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4.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worksheets/sheet5.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worksheets/sheet6.xml" ContentType="application/vnd.openxmlformats-officedocument.spreadsheetml.worksheet+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worksheets/sheet7.xml" ContentType="application/vnd.openxmlformats-officedocument.spreadsheetml.worksheet+xml"/>
  <Override PartName="/xl/comments/comment4.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0" yWindow="880" windowWidth="28800" windowHeight="16740" tabRatio="600" firstSheet="0" activeTab="2" autoFilterDateGrouping="1"/>
  </bookViews>
  <sheets>
    <sheet xmlns:r="http://schemas.openxmlformats.org/officeDocument/2006/relationships" name="INPUT" sheetId="1" state="visible" r:id="rId1"/>
    <sheet xmlns:r="http://schemas.openxmlformats.org/officeDocument/2006/relationships" name="@Refr" sheetId="2" state="visible" r:id="rId2"/>
    <sheet xmlns:r="http://schemas.openxmlformats.org/officeDocument/2006/relationships" name="@Main" sheetId="3" state="visible" r:id="rId3"/>
    <sheet xmlns:r="http://schemas.openxmlformats.org/officeDocument/2006/relationships" name="@Flight" sheetId="4" state="visible" r:id="rId4"/>
    <sheet xmlns:r="http://schemas.openxmlformats.org/officeDocument/2006/relationships" name="@Home" sheetId="5" state="visible" r:id="rId5"/>
    <sheet xmlns:r="http://schemas.openxmlformats.org/officeDocument/2006/relationships" name="@Other" sheetId="6" state="visible" r:id="rId6"/>
    <sheet xmlns:r="http://schemas.openxmlformats.org/officeDocument/2006/relationships" name="Quadro" sheetId="7" state="visible" r:id="rId7"/>
  </sheets>
  <externalReferences>
    <externalReference xmlns:r="http://schemas.openxmlformats.org/officeDocument/2006/relationships" r:id="rId8"/>
  </externalReferences>
  <definedNames/>
  <calcPr calcId="191029" fullCalcOnLoad="1" iterate="1" iterateCount="1" calcOnSave="0"/>
</workbook>
</file>

<file path=xl/styles.xml><?xml version="1.0" encoding="utf-8"?>
<styleSheet xmlns="http://schemas.openxmlformats.org/spreadsheetml/2006/main">
  <numFmts count="11">
    <numFmt numFmtId="164" formatCode="[$-C09]dd\-mmm\-yy;@"/>
    <numFmt numFmtId="165" formatCode="d/m;@"/>
    <numFmt numFmtId="166" formatCode="[$-416]d/mmm/yy;@"/>
    <numFmt numFmtId="167" formatCode="[$-416]d/mmm;@"/>
    <numFmt numFmtId="168" formatCode="0\k"/>
    <numFmt numFmtId="169" formatCode="0.0"/>
    <numFmt numFmtId="170" formatCode="0.0\k"/>
    <numFmt numFmtId="171" formatCode="0.0%"/>
    <numFmt numFmtId="172" formatCode="d\.m\.yy;@"/>
    <numFmt numFmtId="173" formatCode="00"/>
    <numFmt numFmtId="174" formatCode="[&gt;0]d\.m\.yy;&quot;-&quot;"/>
  </numFmts>
  <fonts count="148">
    <font>
      <name val="Aptos Narrow"/>
      <family val="2"/>
      <color theme="1"/>
      <sz val="12"/>
      <scheme val="minor"/>
    </font>
    <font>
      <name val="Aptos Narrow"/>
      <family val="2"/>
      <color theme="1"/>
      <sz val="12"/>
      <scheme val="minor"/>
    </font>
    <font>
      <name val="Aptos Narrow"/>
      <family val="2"/>
      <color rgb="FF006100"/>
      <sz val="12"/>
      <scheme val="minor"/>
    </font>
    <font>
      <name val="Aptos Narrow"/>
      <family val="2"/>
      <color rgb="FF9C0006"/>
      <sz val="12"/>
      <scheme val="minor"/>
    </font>
    <font>
      <name val="Aptos Narrow"/>
      <family val="2"/>
      <color rgb="FF3F3F76"/>
      <sz val="12"/>
      <scheme val="minor"/>
    </font>
    <font>
      <name val="Aptos Narrow"/>
      <family val="2"/>
      <b val="1"/>
      <color rgb="FFFA7D00"/>
      <sz val="12"/>
      <scheme val="minor"/>
    </font>
    <font>
      <name val="Aptos Narrow"/>
      <family val="2"/>
      <b val="1"/>
      <color theme="0"/>
      <sz val="12"/>
      <scheme val="minor"/>
    </font>
    <font>
      <name val="Aptos Narrow"/>
      <family val="2"/>
      <color rgb="FFFF0000"/>
      <sz val="12"/>
      <scheme val="minor"/>
    </font>
    <font>
      <name val="Aptos Narrow"/>
      <family val="2"/>
      <b val="1"/>
      <color theme="1"/>
      <sz val="12"/>
      <scheme val="minor"/>
    </font>
    <font>
      <name val="Aptos Narrow"/>
      <family val="2"/>
      <color theme="0"/>
      <sz val="12"/>
      <scheme val="minor"/>
    </font>
    <font>
      <name val="Calibri"/>
      <family val="2"/>
      <color rgb="FFFFFF00"/>
      <sz val="12"/>
    </font>
    <font>
      <name val="Calibri"/>
      <family val="2"/>
      <sz val="12"/>
    </font>
    <font>
      <name val="Aptos Narrow"/>
      <family val="2"/>
      <b val="1"/>
      <sz val="12"/>
      <scheme val="minor"/>
    </font>
    <font>
      <name val="Aptos Narrow"/>
      <family val="2"/>
      <b val="1"/>
      <color theme="2"/>
      <sz val="12"/>
      <scheme val="minor"/>
    </font>
    <font>
      <name val="Calibri"/>
      <family val="2"/>
      <color theme="4"/>
      <sz val="12"/>
    </font>
    <font>
      <name val="Aptos Narrow"/>
      <family val="2"/>
      <sz val="12"/>
      <scheme val="minor"/>
    </font>
    <font>
      <name val="Calibri"/>
      <family val="2"/>
      <color rgb="FFFF0000"/>
      <sz val="12"/>
    </font>
    <font>
      <name val="Calibri"/>
      <family val="2"/>
      <color theme="1"/>
      <sz val="12"/>
    </font>
    <font>
      <name val="Aptos Narrow"/>
      <family val="2"/>
      <b val="1"/>
      <color theme="2" tint="-0.09997863704336681"/>
      <sz val="12"/>
      <scheme val="minor"/>
    </font>
    <font>
      <name val="Aptos Narrow"/>
      <b val="1"/>
      <color theme="2"/>
      <sz val="12"/>
      <scheme val="minor"/>
    </font>
    <font>
      <name val="Aptos Narrow"/>
      <family val="2"/>
      <color theme="2"/>
      <sz val="12"/>
      <scheme val="minor"/>
    </font>
    <font>
      <name val="Aptos Narrow"/>
      <color theme="2"/>
      <sz val="12"/>
      <scheme val="minor"/>
    </font>
    <font>
      <name val="Aptos Narrow"/>
      <color theme="1"/>
      <sz val="12"/>
      <scheme val="minor"/>
    </font>
    <font>
      <name val="Calibri"/>
      <family val="2"/>
      <b val="1"/>
      <color theme="1"/>
      <sz val="12"/>
    </font>
    <font>
      <name val="Aptos Narrow"/>
      <b val="1"/>
      <color theme="1"/>
      <sz val="12"/>
      <scheme val="minor"/>
    </font>
    <font>
      <name val="Tahoma"/>
      <family val="2"/>
      <b val="1"/>
      <color indexed="81"/>
      <sz val="9"/>
    </font>
    <font>
      <name val="Tahoma"/>
      <family val="2"/>
      <color indexed="81"/>
      <sz val="9"/>
    </font>
    <font>
      <name val="Calibri"/>
      <family val="2"/>
      <color theme="2"/>
      <sz val="12"/>
    </font>
    <font>
      <name val="Aptos Narrow"/>
      <sz val="12"/>
      <scheme val="minor"/>
    </font>
    <font>
      <name val="Aptos Narrow"/>
      <family val="2"/>
      <color rgb="FFFFC000"/>
      <sz val="12"/>
      <scheme val="minor"/>
    </font>
    <font>
      <name val="Aptos Narrow"/>
      <color theme="0" tint="-0.499984740745262"/>
      <sz val="12"/>
      <scheme val="minor"/>
    </font>
    <font>
      <name val="Aptos Narrow"/>
      <family val="2"/>
      <b val="1"/>
      <color theme="2" tint="-0.249977111117893"/>
      <sz val="12"/>
      <scheme val="minor"/>
    </font>
    <font>
      <name val="Aptos Narrow"/>
      <b val="1"/>
      <color rgb="FFFFFF00"/>
      <sz val="12"/>
      <scheme val="minor"/>
    </font>
    <font>
      <name val="Calibri"/>
      <family val="2"/>
      <sz val="10"/>
    </font>
    <font>
      <name val="Calibri"/>
      <family val="2"/>
      <b val="1"/>
      <color indexed="9"/>
      <sz val="10"/>
    </font>
    <font>
      <name val="Calibri"/>
      <family val="2"/>
      <b val="1"/>
      <color theme="1"/>
      <sz val="10"/>
    </font>
    <font>
      <name val="Calibri"/>
      <family val="2"/>
      <color theme="1"/>
      <sz val="10"/>
    </font>
    <font>
      <name val="Calibri"/>
      <family val="2"/>
      <b val="1"/>
      <sz val="10"/>
    </font>
    <font>
      <name val="Calibri"/>
      <family val="2"/>
      <color indexed="9"/>
      <sz val="10"/>
    </font>
    <font>
      <name val="Calibri"/>
      <family val="2"/>
      <b val="1"/>
      <color theme="0"/>
      <sz val="10"/>
    </font>
    <font>
      <name val="Calibri"/>
      <family val="2"/>
      <color theme="0"/>
      <sz val="10"/>
    </font>
    <font>
      <name val="Calibri"/>
      <family val="2"/>
      <color indexed="13"/>
      <sz val="10"/>
    </font>
    <font>
      <name val="Calibri"/>
      <family val="2"/>
      <i val="1"/>
      <sz val="10"/>
    </font>
    <font>
      <name val="Calibri"/>
      <family val="2"/>
      <i val="1"/>
      <color indexed="9"/>
      <sz val="10"/>
    </font>
    <font>
      <name val="Calibri"/>
      <family val="2"/>
      <b val="1"/>
      <color indexed="13"/>
      <sz val="10"/>
    </font>
    <font>
      <name val="Calibri"/>
      <family val="2"/>
      <color indexed="10"/>
      <sz val="10"/>
    </font>
    <font>
      <name val="Calibri"/>
      <family val="2"/>
      <b val="1"/>
      <i val="1"/>
      <sz val="10"/>
    </font>
    <font>
      <name val="Calibri"/>
      <family val="2"/>
      <b val="1"/>
      <i val="1"/>
      <color indexed="9"/>
      <sz val="10"/>
    </font>
    <font>
      <name val="Calibri"/>
      <family val="2"/>
      <i val="1"/>
      <color rgb="FFFFFF00"/>
      <sz val="10"/>
    </font>
    <font>
      <name val="Calibri"/>
      <family val="2"/>
      <b val="1"/>
      <sz val="10"/>
      <u val="single"/>
    </font>
    <font>
      <name val="Calibri"/>
      <family val="2"/>
      <b val="1"/>
      <color rgb="FFFFFFFF"/>
      <sz val="10"/>
    </font>
    <font>
      <name val="Calibri"/>
      <family val="2"/>
      <color rgb="FFFFFFFF"/>
      <sz val="10"/>
    </font>
    <font>
      <name val="Calibri"/>
      <family val="2"/>
      <i val="1"/>
      <color rgb="FFFF0000"/>
      <sz val="10"/>
    </font>
    <font>
      <name val="Tahoma"/>
      <family val="2"/>
      <b val="1"/>
      <color indexed="81"/>
      <sz val="8"/>
    </font>
    <font>
      <name val="Tahoma"/>
      <family val="2"/>
      <color indexed="81"/>
      <sz val="8"/>
    </font>
    <font>
      <name val="Tahoma"/>
      <family val="2"/>
      <b val="1"/>
      <color indexed="81"/>
      <sz val="7.5"/>
    </font>
    <font>
      <name val="Tahoma"/>
      <family val="2"/>
      <color indexed="81"/>
      <sz val="7.5"/>
    </font>
    <font>
      <name val="Tahoma"/>
      <family val="2"/>
      <b val="1"/>
      <color indexed="81"/>
      <sz val="7.5"/>
      <u val="single"/>
    </font>
    <font>
      <name val="Tahoma"/>
      <family val="2"/>
      <b val="1"/>
      <color indexed="81"/>
      <sz val="10"/>
    </font>
    <font>
      <name val="Tahoma"/>
      <family val="2"/>
      <color indexed="81"/>
      <sz val="10"/>
    </font>
    <font>
      <name val="Tahoma"/>
      <family val="2"/>
      <color indexed="10"/>
      <sz val="8"/>
    </font>
    <font>
      <name val="Tahoma"/>
      <family val="2"/>
      <b val="1"/>
      <color indexed="81"/>
      <sz val="7"/>
    </font>
    <font>
      <name val="Tahoma"/>
      <family val="2"/>
      <color indexed="81"/>
      <sz val="7"/>
    </font>
    <font>
      <name val="Tahoma"/>
      <family val="2"/>
      <b val="1"/>
      <color indexed="81"/>
      <sz val="6"/>
      <u val="single"/>
    </font>
    <font>
      <name val="Tahoma"/>
      <family val="2"/>
      <b val="1"/>
      <color indexed="81"/>
      <sz val="6"/>
    </font>
    <font>
      <name val="Tahoma"/>
      <family val="2"/>
      <color indexed="81"/>
      <sz val="6"/>
    </font>
    <font>
      <name val="Tahoma"/>
      <family val="2"/>
      <b val="1"/>
      <color indexed="10"/>
      <sz val="6"/>
      <u val="single"/>
    </font>
    <font>
      <name val="Arial"/>
      <family val="2"/>
      <b val="1"/>
      <color indexed="81"/>
      <sz val="8"/>
    </font>
    <font>
      <name val="Arial"/>
      <family val="2"/>
      <color indexed="81"/>
      <sz val="8"/>
    </font>
    <font>
      <name val="Tahoma"/>
      <family val="2"/>
      <color indexed="39"/>
      <sz val="9"/>
    </font>
    <font>
      <name val="Arial"/>
      <family val="2"/>
      <b val="1"/>
      <color indexed="81"/>
      <sz val="9"/>
    </font>
    <font>
      <name val="Arial"/>
      <family val="2"/>
      <color indexed="81"/>
      <sz val="9"/>
    </font>
    <font>
      <name val="Tahoma"/>
      <family val="2"/>
      <color indexed="12"/>
      <sz val="9"/>
    </font>
    <font>
      <name val="Tahoma"/>
      <family val="2"/>
      <color indexed="10"/>
      <sz val="9"/>
    </font>
    <font>
      <name val="Calibri"/>
      <family val="2"/>
      <b val="1"/>
      <color rgb="FFFFFF00"/>
      <sz val="12"/>
    </font>
    <font>
      <name val="Calibri"/>
      <family val="2"/>
      <b val="1"/>
      <color theme="2"/>
      <sz val="12"/>
    </font>
    <font>
      <name val="Aptos Narrow"/>
      <family val="2"/>
      <sz val="8"/>
      <scheme val="minor"/>
    </font>
    <font>
      <name val="Aptos Narrow"/>
      <family val="2"/>
      <color rgb="FF9C5700"/>
      <sz val="12"/>
      <scheme val="minor"/>
    </font>
    <font>
      <name val="Aptos Narrow"/>
      <color theme="0"/>
      <sz val="12"/>
      <scheme val="minor"/>
    </font>
    <font>
      <name val="Aptos Narrow"/>
      <family val="2"/>
      <color theme="8" tint="0.5999938962981048"/>
      <sz val="12"/>
      <scheme val="minor"/>
    </font>
    <font>
      <name val="Aptos Narrow"/>
      <family val="2"/>
      <color theme="4"/>
      <sz val="12"/>
      <scheme val="minor"/>
    </font>
    <font>
      <name val="Aptos Narrow"/>
      <b val="1"/>
      <sz val="12"/>
      <scheme val="minor"/>
    </font>
    <font>
      <name val="Tahoma"/>
      <family val="2"/>
      <b val="1"/>
      <color rgb="FF000000"/>
      <sz val="8"/>
    </font>
    <font>
      <name val="Tahoma"/>
      <family val="2"/>
      <color rgb="FF000000"/>
      <sz val="8"/>
    </font>
    <font>
      <name val="Aptos Narrow"/>
      <color theme="4"/>
      <sz val="12"/>
      <scheme val="minor"/>
    </font>
    <font>
      <name val="Calibri"/>
      <family val="2"/>
      <color theme="2"/>
      <sz val="10"/>
    </font>
    <font>
      <name val="Calibri"/>
      <family val="2"/>
      <color theme="2"/>
      <sz val="9"/>
    </font>
    <font>
      <name val="Calibri"/>
      <family val="2"/>
      <color indexed="9"/>
      <sz val="12"/>
    </font>
    <font>
      <name val="Aptos Narrow"/>
      <family val="2"/>
      <color theme="8"/>
      <sz val="12"/>
      <scheme val="minor"/>
    </font>
    <font>
      <name val="Aptos Narrow"/>
      <family val="2"/>
      <color theme="10"/>
      <sz val="12"/>
      <u val="single"/>
      <scheme val="minor"/>
    </font>
    <font>
      <name val="Aptos Narrow"/>
      <family val="2"/>
      <color theme="1"/>
      <sz val="8"/>
      <scheme val="minor"/>
    </font>
    <font>
      <name val="Aptos Narrow"/>
      <color theme="0"/>
      <sz val="8"/>
      <scheme val="minor"/>
    </font>
    <font>
      <name val="Aptos Narrow"/>
      <color theme="1"/>
      <sz val="8"/>
      <scheme val="minor"/>
    </font>
    <font>
      <name val="Aptos Narrow"/>
      <color rgb="FFFFC000"/>
      <sz val="8"/>
      <scheme val="minor"/>
    </font>
    <font>
      <name val="Aptos Narrow"/>
      <b val="1"/>
      <color theme="8"/>
      <sz val="12"/>
      <scheme val="minor"/>
    </font>
    <font>
      <name val="Calibri"/>
      <family val="2"/>
      <b val="1"/>
      <sz val="12"/>
    </font>
    <font>
      <name val="Aptos Narrow"/>
      <color rgb="FFFFC000"/>
      <sz val="12"/>
      <scheme val="minor"/>
    </font>
    <font>
      <name val="Tahoma"/>
      <family val="2"/>
      <color rgb="FF000000"/>
      <sz val="10"/>
    </font>
    <font>
      <name val="Tahoma"/>
      <family val="2"/>
      <b val="1"/>
      <color rgb="FF000000"/>
      <sz val="10"/>
    </font>
    <font>
      <name val="Aptos Narrow"/>
      <color rgb="FFFF0000"/>
      <sz val="12"/>
      <scheme val="minor"/>
    </font>
    <font>
      <name val="Aptos Narrow"/>
      <i val="1"/>
      <color theme="1"/>
      <sz val="12"/>
      <scheme val="minor"/>
    </font>
    <font>
      <name val="Aptos Narrow"/>
      <i val="1"/>
      <color theme="1" tint="0.499984740745262"/>
      <sz val="12"/>
      <scheme val="minor"/>
    </font>
    <font>
      <name val="Aptos Narrow"/>
      <i val="1"/>
      <color rgb="FFFF0000"/>
      <sz val="12"/>
      <scheme val="minor"/>
    </font>
    <font>
      <name val="Aptos Narrow"/>
      <family val="2"/>
      <color theme="0" tint="-0.499984740745262"/>
      <sz val="12"/>
      <scheme val="minor"/>
    </font>
    <font>
      <name val="Calibri"/>
      <family val="2"/>
      <color theme="8"/>
      <sz val="12"/>
    </font>
    <font>
      <name val="Tahoma"/>
      <family val="2"/>
      <color rgb="FF000000"/>
      <sz val="9"/>
    </font>
    <font>
      <name val="Aptos Narrow"/>
      <b val="1"/>
      <color rgb="FF000000"/>
      <sz val="10"/>
    </font>
    <font>
      <name val="Aptos Narrow"/>
      <color rgb="FF000000"/>
      <sz val="10"/>
    </font>
    <font>
      <name val="Aptos Narrow"/>
      <i val="1"/>
      <color rgb="FF9C0006"/>
      <sz val="12"/>
      <scheme val="minor"/>
    </font>
    <font>
      <name val="Tahoma"/>
      <family val="2"/>
      <b val="1"/>
      <color rgb="FF000000"/>
      <sz val="9"/>
    </font>
    <font>
      <name val="Aptos Narrow"/>
      <family val="2"/>
      <color rgb="FF3F3F76"/>
      <sz val="8"/>
      <scheme val="minor"/>
    </font>
    <font>
      <name val="Aptos Narrow"/>
      <color theme="8" tint="0.5999938962981048"/>
      <sz val="8"/>
      <scheme val="minor"/>
    </font>
    <font>
      <name val="Calibri"/>
      <family val="2"/>
      <b val="1"/>
      <color rgb="FFFF0000"/>
      <sz val="12"/>
    </font>
    <font>
      <name val="Aptos Narrow"/>
      <b val="1"/>
      <color theme="0"/>
      <sz val="12"/>
      <scheme val="minor"/>
    </font>
    <font>
      <name val=".AppleSystemUIFont"/>
      <b val="1"/>
      <color rgb="FF0E0E0E"/>
      <sz val="14"/>
    </font>
    <font>
      <name val="Aptos Narrow"/>
      <family val="2"/>
      <b val="1"/>
      <color theme="1"/>
      <sz val="13.5"/>
      <scheme val="minor"/>
    </font>
    <font>
      <name val="Aptos Narrow"/>
      <b val="1"/>
      <color theme="3" tint="0.249977111117893"/>
      <sz val="12"/>
      <scheme val="minor"/>
    </font>
    <font>
      <name val="Aptos Narrow"/>
      <color theme="0"/>
      <sz val="9"/>
      <scheme val="minor"/>
    </font>
    <font>
      <name val="Aptos Narrow"/>
      <color rgb="FFFFC000"/>
      <sz val="9"/>
      <scheme val="minor"/>
    </font>
    <font>
      <name val="Aptos Narrow"/>
      <family val="2"/>
      <b val="1"/>
      <color theme="3"/>
      <sz val="12"/>
      <scheme val="minor"/>
    </font>
    <font>
      <name val="Aptos Narrow"/>
      <family val="2"/>
      <color theme="2" tint="-0.249977111117893"/>
      <sz val="12"/>
      <scheme val="minor"/>
    </font>
    <font>
      <name val="Aptos Narrow"/>
      <i val="1"/>
      <color theme="2" tint="-0.499984740745262"/>
      <sz val="12"/>
      <scheme val="minor"/>
    </font>
    <font>
      <name val="Aptos Narrow"/>
      <family val="2"/>
      <b val="1"/>
      <color rgb="FFFF0000"/>
      <sz val="12"/>
      <scheme val="minor"/>
    </font>
    <font>
      <name val="Aptos Narrow (Body)"/>
      <b val="1"/>
      <color rgb="FFFF0000"/>
      <sz val="12"/>
    </font>
    <font>
      <name val="Aptos Narrow"/>
      <family val="2"/>
      <color rgb="FFFFFF00"/>
      <sz val="12"/>
      <scheme val="minor"/>
    </font>
    <font>
      <name val="Aptos Narrow"/>
      <b val="1"/>
      <color rgb="FFFFC000"/>
      <sz val="12"/>
      <scheme val="minor"/>
    </font>
    <font>
      <name val="Aptos Narrow"/>
      <b val="1"/>
      <color theme="6"/>
      <sz val="12"/>
      <scheme val="minor"/>
    </font>
    <font>
      <name val="Aptos Narrow"/>
      <b val="1"/>
      <color theme="6" tint="0.5999938962981048"/>
      <sz val="12"/>
      <scheme val="minor"/>
    </font>
    <font>
      <name val="Aptos Narrow"/>
      <b val="1"/>
      <color rgb="FF3F3F76"/>
      <sz val="12"/>
      <scheme val="minor"/>
    </font>
    <font>
      <name val="Aptos Narrow"/>
      <family val="2"/>
      <i val="1"/>
      <color theme="6"/>
      <sz val="12"/>
      <scheme val="minor"/>
    </font>
    <font>
      <name val="Calibri"/>
      <family val="2"/>
      <i val="1"/>
      <color theme="6"/>
      <sz val="12"/>
    </font>
    <font>
      <name val="Arial"/>
      <b val="1"/>
      <color rgb="00FFFFFF"/>
      <sz val="9"/>
    </font>
    <font>
      <name val="Arial"/>
      <b val="1"/>
      <color rgb="001A1A2E"/>
      <sz val="9"/>
    </font>
    <font>
      <name val="Arial"/>
      <b val="1"/>
      <color rgb="001A1A2E"/>
      <sz val="10"/>
    </font>
    <font>
      <name val="Arial"/>
      <color rgb="001A1A2E"/>
      <sz val="9"/>
    </font>
    <font>
      <name val="Arial"/>
      <color rgb="FF9C0006"/>
      <sz val="9"/>
    </font>
    <font>
      <name val="Arial"/>
      <color rgb="FF3F3F76"/>
      <sz val="9"/>
    </font>
    <font>
      <name val="Arial"/>
      <color rgb="FF006100"/>
      <sz val="9"/>
    </font>
    <font>
      <name val="Arial"/>
      <b val="1"/>
      <color rgb="FFFF0000"/>
      <sz val="9"/>
    </font>
    <font>
      <name val="Arial"/>
      <color rgb="FFFF0000"/>
      <sz val="9"/>
    </font>
    <font>
      <name val="Arial"/>
      <b val="1"/>
      <color rgb="FFFA7D00"/>
      <sz val="9"/>
    </font>
    <font>
      <name val="Arial"/>
      <color rgb="FF9C5700"/>
      <sz val="9"/>
    </font>
    <font>
      <name val="Arial"/>
      <b val="1"/>
      <color rgb="FF0E0E0E"/>
      <sz val="9"/>
    </font>
    <font>
      <name val="Arial"/>
      <b val="1"/>
      <color rgb="00FFFFFF"/>
      <sz val="10"/>
    </font>
    <font>
      <name val="Arial"/>
      <color rgb="001A1A2E"/>
      <sz val="10"/>
    </font>
    <font>
      <name val="Arial"/>
      <color rgb="FFFFFF00"/>
      <sz val="9"/>
    </font>
    <font>
      <name val="Arial"/>
      <b val="1"/>
      <color rgb="FFFFFFFF"/>
      <sz val="9"/>
    </font>
    <font>
      <name val="Arial"/>
      <color rgb="FFFFFFFF"/>
      <sz val="9"/>
    </font>
  </fonts>
  <fills count="106">
    <fill>
      <patternFill/>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1"/>
        <bgColor indexed="64"/>
      </patternFill>
    </fill>
    <fill>
      <patternFill patternType="solid">
        <fgColor theme="1" tint="0.249977111117893"/>
        <bgColor indexed="64"/>
      </patternFill>
    </fill>
    <fill>
      <patternFill patternType="solid">
        <fgColor theme="2"/>
        <bgColor indexed="64"/>
      </patternFill>
    </fill>
    <fill>
      <patternFill patternType="solid">
        <fgColor theme="2" tint="-0.09997863704336681"/>
        <bgColor indexed="64"/>
      </patternFill>
    </fill>
    <fill>
      <patternFill patternType="solid">
        <fgColor rgb="FFFFFF00"/>
        <bgColor indexed="64"/>
      </patternFill>
    </fill>
    <fill>
      <patternFill patternType="solid">
        <fgColor theme="0" tint="-0.1499984740745262"/>
        <bgColor theme="0" tint="-0.1499984740745262"/>
      </patternFill>
    </fill>
    <fill>
      <patternFill patternType="solid">
        <fgColor theme="9"/>
        <bgColor indexed="64"/>
      </patternFill>
    </fill>
    <fill>
      <patternFill patternType="solid">
        <fgColor theme="0" tint="-0.249977111117893"/>
        <bgColor indexed="64"/>
      </patternFill>
    </fill>
    <fill>
      <patternFill patternType="solid">
        <fgColor theme="5" tint="0.7999816888943144"/>
        <bgColor indexed="64"/>
      </patternFill>
    </fill>
    <fill>
      <patternFill patternType="solid">
        <fgColor theme="1" tint="0.499984740745262"/>
        <bgColor indexed="64"/>
      </patternFill>
    </fill>
    <fill>
      <patternFill patternType="solid">
        <fgColor theme="9" tint="0.7999816888943144"/>
        <bgColor indexed="64"/>
      </patternFill>
    </fill>
    <fill>
      <patternFill patternType="solid">
        <fgColor theme="6" tint="0.7999816888943144"/>
        <bgColor indexed="64"/>
      </patternFill>
    </fill>
    <fill>
      <patternFill patternType="solid">
        <fgColor indexed="8"/>
        <bgColor indexed="64"/>
      </patternFill>
    </fill>
    <fill>
      <patternFill patternType="solid">
        <fgColor indexed="63"/>
        <bgColor indexed="64"/>
      </patternFill>
    </fill>
    <fill>
      <patternFill patternType="solid">
        <fgColor indexed="48"/>
        <bgColor indexed="64"/>
      </patternFill>
    </fill>
    <fill>
      <patternFill patternType="solid">
        <fgColor indexed="23"/>
        <bgColor indexed="64"/>
      </patternFill>
    </fill>
    <fill>
      <patternFill patternType="solid">
        <fgColor indexed="47"/>
        <bgColor indexed="64"/>
      </patternFill>
    </fill>
    <fill>
      <patternFill patternType="solid">
        <fgColor indexed="43"/>
        <bgColor indexed="64"/>
      </patternFill>
    </fill>
    <fill>
      <patternFill patternType="solid">
        <fgColor theme="6" tint="-0.499984740745262"/>
        <bgColor indexed="64"/>
      </patternFill>
    </fill>
    <fill>
      <patternFill patternType="solid">
        <fgColor indexed="16"/>
        <bgColor indexed="64"/>
      </patternFill>
    </fill>
    <fill>
      <patternFill patternType="solid">
        <fgColor indexed="10"/>
        <bgColor indexed="64"/>
      </patternFill>
    </fill>
    <fill>
      <patternFill patternType="solid">
        <fgColor theme="6" tint="0.3999755851924192"/>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indexed="62"/>
        <bgColor indexed="64"/>
      </patternFill>
    </fill>
    <fill>
      <patternFill patternType="solid">
        <fgColor indexed="44"/>
        <bgColor indexed="64"/>
      </patternFill>
    </fill>
    <fill>
      <patternFill patternType="solid">
        <fgColor indexed="22"/>
        <bgColor indexed="64"/>
      </patternFill>
    </fill>
    <fill>
      <patternFill patternType="solid">
        <fgColor indexed="45"/>
        <bgColor indexed="64"/>
      </patternFill>
    </fill>
    <fill>
      <patternFill patternType="solid">
        <fgColor indexed="13"/>
        <bgColor indexed="64"/>
      </patternFill>
    </fill>
    <fill>
      <patternFill patternType="solid">
        <fgColor indexed="60"/>
        <bgColor indexed="64"/>
      </patternFill>
    </fill>
    <fill>
      <patternFill patternType="solid">
        <fgColor indexed="53"/>
        <bgColor indexed="64"/>
      </patternFill>
    </fill>
    <fill>
      <patternFill patternType="solid">
        <fgColor indexed="54"/>
        <bgColor indexed="64"/>
      </patternFill>
    </fill>
    <fill>
      <patternFill patternType="solid">
        <fgColor indexed="55"/>
        <bgColor indexed="64"/>
      </patternFill>
    </fill>
    <fill>
      <patternFill patternType="solid">
        <fgColor indexed="51"/>
        <bgColor indexed="64"/>
      </patternFill>
    </fill>
    <fill>
      <patternFill patternType="solid">
        <fgColor indexed="20"/>
        <bgColor indexed="64"/>
      </patternFill>
    </fill>
    <fill>
      <patternFill patternType="solid">
        <fgColor indexed="52"/>
        <bgColor indexed="64"/>
      </patternFill>
    </fill>
    <fill>
      <patternFill patternType="solid">
        <fgColor indexed="41"/>
        <bgColor indexed="64"/>
      </patternFill>
    </fill>
    <fill>
      <patternFill patternType="solid">
        <fgColor indexed="61"/>
        <bgColor indexed="64"/>
      </patternFill>
    </fill>
    <fill>
      <patternFill patternType="solid">
        <fgColor indexed="9"/>
        <bgColor indexed="64"/>
      </patternFill>
    </fill>
    <fill>
      <patternFill patternType="solid">
        <fgColor theme="1" tint="0.3499862666707358"/>
        <bgColor indexed="64"/>
      </patternFill>
    </fill>
    <fill>
      <patternFill patternType="solid">
        <fgColor indexed="18"/>
        <bgColor indexed="64"/>
      </patternFill>
    </fill>
    <fill>
      <patternFill patternType="solid">
        <fgColor theme="5" tint="-0.249977111117893"/>
        <bgColor indexed="64"/>
      </patternFill>
    </fill>
    <fill>
      <patternFill patternType="solid">
        <fgColor indexed="46"/>
        <bgColor indexed="64"/>
      </patternFill>
    </fill>
    <fill>
      <patternFill patternType="solid">
        <fgColor indexed="19"/>
        <bgColor indexed="64"/>
      </patternFill>
    </fill>
    <fill>
      <patternFill patternType="solid">
        <fgColor rgb="FF000090"/>
        <bgColor indexed="64"/>
      </patternFill>
    </fill>
    <fill>
      <patternFill patternType="solid">
        <fgColor rgb="FFFF6600"/>
        <bgColor indexed="64"/>
      </patternFill>
    </fill>
    <fill>
      <patternFill patternType="solid">
        <fgColor theme="0"/>
        <bgColor indexed="64"/>
      </patternFill>
    </fill>
    <fill>
      <patternFill patternType="solid">
        <fgColor rgb="FFFF6600"/>
        <bgColor rgb="FF000000"/>
      </patternFill>
    </fill>
    <fill>
      <patternFill patternType="solid">
        <fgColor rgb="FF90713A"/>
        <bgColor rgb="FF000000"/>
      </patternFill>
    </fill>
    <fill>
      <patternFill patternType="solid">
        <fgColor theme="2" tint="-0.249977111117893"/>
        <bgColor rgb="FF000000"/>
      </patternFill>
    </fill>
    <fill>
      <patternFill patternType="solid">
        <fgColor theme="8" tint="-0.499984740745262"/>
        <bgColor indexed="64"/>
      </patternFill>
    </fill>
    <fill>
      <patternFill patternType="solid">
        <fgColor rgb="FFFFFF99"/>
        <bgColor rgb="FF000000"/>
      </patternFill>
    </fill>
    <fill>
      <patternFill patternType="solid">
        <fgColor rgb="FFFFCC99"/>
        <bgColor rgb="FF000000"/>
      </patternFill>
    </fill>
    <fill>
      <patternFill patternType="solid">
        <fgColor rgb="FF000000"/>
        <bgColor rgb="FF000000"/>
      </patternFill>
    </fill>
    <fill>
      <patternFill patternType="solid">
        <fgColor rgb="FF4600A5"/>
        <bgColor rgb="FF000000"/>
      </patternFill>
    </fill>
    <fill>
      <patternFill patternType="solid">
        <fgColor rgb="FFFFEB9C"/>
      </patternFill>
    </fill>
    <fill>
      <patternFill patternType="solid">
        <fgColor theme="4" tint="0.7999816888943144"/>
        <bgColor indexed="65"/>
      </patternFill>
    </fill>
    <fill>
      <patternFill patternType="solid">
        <fgColor theme="8" tint="0.7999816888943144"/>
        <bgColor indexed="64"/>
      </patternFill>
    </fill>
    <fill>
      <patternFill patternType="solid">
        <fgColor theme="7" tint="0.3999755851924192"/>
        <bgColor indexed="65"/>
      </patternFill>
    </fill>
    <fill>
      <patternFill patternType="solid">
        <fgColor theme="0" tint="-0.1499984740745262"/>
        <bgColor indexed="64"/>
      </patternFill>
    </fill>
    <fill>
      <patternFill patternType="solid">
        <fgColor theme="1" tint="0.249977111117893"/>
        <bgColor theme="8" tint="0.7999816888943144"/>
      </patternFill>
    </fill>
    <fill>
      <patternFill patternType="solid">
        <fgColor theme="1" tint="0.249977111117893"/>
        <bgColor theme="8" tint="0.5999938962981048"/>
      </patternFill>
    </fill>
    <fill>
      <patternFill patternType="solid">
        <fgColor rgb="FFFF0000"/>
        <bgColor indexed="64"/>
      </patternFill>
    </fill>
    <fill>
      <patternFill patternType="solid">
        <fgColor theme="1"/>
        <bgColor theme="1"/>
      </patternFill>
    </fill>
    <fill>
      <patternFill patternType="solid">
        <fgColor theme="6"/>
        <bgColor indexed="64"/>
      </patternFill>
    </fill>
    <fill>
      <patternFill patternType="solid">
        <fgColor theme="6" tint="0.7999816888943144"/>
        <bgColor theme="0" tint="-0.1499984740745262"/>
      </patternFill>
    </fill>
    <fill>
      <patternFill patternType="solid">
        <fgColor theme="9" tint="0.7999816888943144"/>
        <bgColor indexed="65"/>
      </patternFill>
    </fill>
    <fill>
      <patternFill patternType="solid">
        <fgColor rgb="FFFFC000"/>
        <bgColor indexed="64"/>
      </patternFill>
    </fill>
    <fill>
      <patternFill patternType="solid">
        <fgColor theme="9" tint="0.5999938962981048"/>
        <bgColor indexed="64"/>
      </patternFill>
    </fill>
    <fill>
      <patternFill patternType="solid">
        <fgColor theme="5" tint="0.3999755851924192"/>
        <bgColor indexed="64"/>
      </patternFill>
    </fill>
    <fill>
      <patternFill patternType="solid">
        <fgColor theme="2" tint="-0.249977111117893"/>
        <bgColor indexed="64"/>
      </patternFill>
    </fill>
    <fill>
      <patternFill patternType="solid">
        <fgColor theme="9" tint="0.3999755851924192"/>
        <bgColor indexed="64"/>
      </patternFill>
    </fill>
    <fill>
      <patternFill patternType="solid">
        <fgColor theme="3" tint="0.499984740745262"/>
        <bgColor indexed="64"/>
      </patternFill>
    </fill>
    <fill>
      <patternFill patternType="solid">
        <fgColor theme="5"/>
        <bgColor indexed="64"/>
      </patternFill>
    </fill>
    <fill>
      <patternFill patternType="solid">
        <fgColor theme="6" tint="0.3999755851924192"/>
        <bgColor theme="0" tint="-0.1499984740745262"/>
      </patternFill>
    </fill>
    <fill>
      <patternFill patternType="solid">
        <fgColor rgb="FFE5EA72"/>
        <bgColor indexed="64"/>
      </patternFill>
    </fill>
    <fill>
      <patternFill patternType="solid">
        <fgColor theme="2" tint="-0.499984740745262"/>
        <bgColor indexed="64"/>
      </patternFill>
    </fill>
    <fill>
      <patternFill patternType="solid">
        <fgColor rgb="001F3864"/>
      </patternFill>
    </fill>
    <fill>
      <patternFill patternType="solid">
        <fgColor rgb="002E5090"/>
      </patternFill>
    </fill>
    <fill>
      <patternFill patternType="solid">
        <fgColor rgb="00FFF9C4"/>
      </patternFill>
    </fill>
    <fill>
      <patternFill patternType="solid">
        <fgColor rgb="00FCE4EC"/>
      </patternFill>
    </fill>
    <fill>
      <patternFill patternType="solid">
        <fgColor rgb="00F3E5F5"/>
      </patternFill>
    </fill>
    <fill>
      <patternFill patternType="solid">
        <fgColor rgb="00FFF3E0"/>
      </patternFill>
    </fill>
    <fill>
      <patternFill patternType="solid">
        <fgColor rgb="00E0F2F1"/>
      </patternFill>
    </fill>
    <fill>
      <patternFill patternType="solid">
        <fgColor rgb="00D6E4F7"/>
      </patternFill>
    </fill>
    <fill>
      <patternFill patternType="solid">
        <fgColor rgb="00E8F5E9"/>
      </patternFill>
    </fill>
    <fill>
      <patternFill patternType="solid">
        <fgColor rgb="00E3EBF6"/>
      </patternFill>
    </fill>
    <fill>
      <patternFill patternType="solid">
        <fgColor rgb="00F0F5FC"/>
      </patternFill>
    </fill>
    <fill>
      <patternFill patternType="solid">
        <fgColor rgb="00FFFFFF"/>
      </patternFill>
    </fill>
    <fill>
      <patternFill patternType="solid">
        <fgColor rgb="00F4F8FF"/>
      </patternFill>
    </fill>
    <fill>
      <patternFill patternType="solid">
        <fgColor rgb="00344E6E"/>
      </patternFill>
    </fill>
  </fills>
  <borders count="6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7F7F7F"/>
      </left>
      <right/>
      <top style="thin">
        <color rgb="FF7F7F7F"/>
      </top>
      <bottom style="thin">
        <color rgb="FF7F7F7F"/>
      </bottom>
      <diagonal/>
    </border>
    <border>
      <left/>
      <right/>
      <top style="thin">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bottom/>
      <diagonal/>
    </border>
    <border>
      <left style="medium">
        <color auto="1"/>
      </left>
      <right/>
      <top/>
      <bottom/>
      <diagonal/>
    </border>
    <border>
      <left/>
      <right style="thin">
        <color rgb="FF000000"/>
      </right>
      <top/>
      <bottom/>
      <diagonal/>
    </border>
    <border>
      <left/>
      <right style="medium">
        <color auto="1"/>
      </right>
      <top style="thin">
        <color auto="1"/>
      </top>
      <bottom style="thin">
        <color auto="1"/>
      </bottom>
      <diagonal/>
    </border>
    <border>
      <left style="medium">
        <color auto="1"/>
      </left>
      <right/>
      <top/>
      <bottom style="thin">
        <color auto="1"/>
      </bottom>
      <diagonal/>
    </border>
    <border>
      <left style="thin">
        <color rgb="FF7F7F7F"/>
      </left>
      <right style="thin">
        <color rgb="FF7F7F7F"/>
      </right>
      <top/>
      <bottom style="thin">
        <color rgb="FF7F7F7F"/>
      </bottom>
      <diagonal/>
    </border>
    <border>
      <left/>
      <right/>
      <top style="thin">
        <color rgb="FF7F7F7F"/>
      </top>
      <bottom style="thin">
        <color rgb="FF7F7F7F"/>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style="thin">
        <color auto="1"/>
      </left>
      <right/>
      <top style="thin">
        <color rgb="FFB2B2B2"/>
      </top>
      <bottom style="thin">
        <color rgb="FFB2B2B2"/>
      </bottom>
      <diagonal/>
    </border>
    <border>
      <left/>
      <right style="thin">
        <color rgb="FF7F7F7F"/>
      </right>
      <top style="thin">
        <color rgb="FF7F7F7F"/>
      </top>
      <bottom style="thin">
        <color rgb="FF7F7F7F"/>
      </bottom>
      <diagonal/>
    </border>
    <border>
      <left/>
      <right style="thin">
        <color rgb="FFB2B2B2"/>
      </right>
      <top/>
      <bottom style="thin">
        <color auto="1"/>
      </bottom>
      <diagonal/>
    </border>
    <border>
      <left/>
      <right/>
      <top style="thin">
        <color rgb="FFB2B2B2"/>
      </top>
      <bottom/>
      <diagonal/>
    </border>
    <border>
      <left/>
      <right style="thin">
        <color auto="1"/>
      </right>
      <top style="thin">
        <color rgb="FFB2B2B2"/>
      </top>
      <bottom/>
      <diagonal/>
    </border>
    <border>
      <left style="thin">
        <color auto="1"/>
      </left>
      <right style="thin">
        <color theme="1"/>
      </right>
      <top style="thin">
        <color auto="1"/>
      </top>
      <bottom style="thin">
        <color auto="1"/>
      </bottom>
      <diagonal/>
    </border>
    <border>
      <left style="thin">
        <color rgb="FFB2B2B2"/>
      </left>
      <right style="thin">
        <color rgb="FFB2B2B2"/>
      </right>
      <top style="thin">
        <color rgb="FFB2B2B2"/>
      </top>
      <bottom/>
      <diagonal/>
    </border>
    <border>
      <left/>
      <right style="thin">
        <color rgb="FFB2B2B2"/>
      </right>
      <top style="thin">
        <color auto="1"/>
      </top>
      <bottom style="thin">
        <color auto="1"/>
      </bottom>
      <diagonal/>
    </border>
    <border>
      <left style="thin">
        <color auto="1"/>
      </left>
      <right/>
      <top style="thin">
        <color rgb="FF7F7F7F"/>
      </top>
      <bottom/>
      <diagonal/>
    </border>
    <border>
      <left/>
      <right/>
      <top style="thin">
        <color rgb="FF7F7F7F"/>
      </top>
      <bottom/>
      <diagonal/>
    </border>
    <border>
      <left/>
      <right style="thin">
        <color auto="1"/>
      </right>
      <top style="thin">
        <color rgb="FF7F7F7F"/>
      </top>
      <bottom/>
      <diagonal/>
    </border>
    <border>
      <left/>
      <right/>
      <top style="thin">
        <color rgb="FF3F3F3F"/>
      </top>
      <bottom/>
      <diagonal/>
    </border>
    <border>
      <left/>
      <right style="thin">
        <color rgb="FF3F3F3F"/>
      </right>
      <top style="thin">
        <color rgb="FF3F3F3F"/>
      </top>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auto="1"/>
      </left>
      <right style="thin">
        <color auto="1"/>
      </right>
      <top style="thin">
        <color rgb="FF7F7F7F"/>
      </top>
      <bottom/>
      <diagonal/>
    </border>
    <border>
      <left/>
      <right style="thin">
        <color rgb="FF7F7F7F"/>
      </right>
      <top style="thin">
        <color rgb="FF7F7F7F"/>
      </top>
      <bottom/>
      <diagonal/>
    </border>
    <border>
      <left/>
      <right style="thin">
        <color rgb="FFB2B2B2"/>
      </right>
      <top/>
      <bottom/>
      <diagonal/>
    </border>
    <border>
      <left/>
      <right style="thin">
        <color rgb="FFB2B2B2"/>
      </right>
      <top style="thin">
        <color rgb="FFB2B2B2"/>
      </top>
      <bottom/>
      <diagonal/>
    </border>
    <border>
      <left/>
      <right style="thin">
        <color rgb="FFB2B2B2"/>
      </right>
      <top style="thin">
        <color auto="1"/>
      </top>
      <bottom/>
      <diagonal/>
    </border>
    <border>
      <left style="thin">
        <color auto="1"/>
      </left>
      <right style="thin">
        <color rgb="FFB2B2B2"/>
      </right>
      <top style="thin">
        <color rgb="FFB2B2B2"/>
      </top>
      <bottom style="thin">
        <color rgb="FFB2B2B2"/>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rgb="00B0BEC5"/>
      </left>
      <right style="thin">
        <color rgb="00B0BEC5"/>
      </right>
      <top style="thin">
        <color rgb="00B0BEC5"/>
      </top>
      <bottom style="thin">
        <color rgb="00B0BEC5"/>
      </bottom>
    </border>
  </borders>
  <cellStyleXfs count="19">
    <xf numFmtId="0" fontId="1" fillId="0" borderId="0"/>
    <xf numFmtId="9" fontId="1" fillId="0" borderId="0"/>
    <xf numFmtId="0" fontId="2" fillId="2" borderId="0"/>
    <xf numFmtId="0" fontId="3" fillId="3" borderId="0"/>
    <xf numFmtId="0" fontId="4" fillId="4" borderId="1"/>
    <xf numFmtId="0" fontId="5" fillId="5" borderId="1"/>
    <xf numFmtId="0" fontId="6" fillId="6" borderId="3"/>
    <xf numFmtId="0" fontId="1" fillId="7" borderId="4"/>
    <xf numFmtId="0" fontId="9" fillId="8" borderId="0"/>
    <xf numFmtId="0" fontId="1" fillId="10" borderId="0"/>
    <xf numFmtId="0" fontId="1" fillId="11" borderId="0"/>
    <xf numFmtId="0" fontId="1" fillId="12" borderId="0"/>
    <xf numFmtId="0" fontId="1" fillId="13" borderId="0"/>
    <xf numFmtId="0" fontId="77" fillId="70" borderId="0"/>
    <xf numFmtId="0" fontId="1" fillId="71" borderId="0"/>
    <xf numFmtId="0" fontId="1" fillId="73" borderId="0"/>
    <xf numFmtId="0" fontId="89" fillId="0" borderId="0"/>
    <xf numFmtId="0" fontId="9" fillId="9" borderId="0"/>
    <xf numFmtId="0" fontId="1" fillId="81" borderId="0"/>
  </cellStyleXfs>
  <cellXfs count="2400">
    <xf numFmtId="0" fontId="0" fillId="0" borderId="0" pivotButton="0" quotePrefix="0" xfId="0"/>
    <xf numFmtId="0" fontId="0" fillId="0" borderId="0" applyAlignment="1" pivotButton="0" quotePrefix="0" xfId="0">
      <alignment horizontal="left"/>
    </xf>
    <xf numFmtId="0" fontId="0" fillId="14" borderId="0" pivotButton="0" quotePrefix="0" xfId="0"/>
    <xf numFmtId="0" fontId="0" fillId="0" borderId="0" applyAlignment="1" pivotButton="0" quotePrefix="0" xfId="0">
      <alignment horizontal="center"/>
    </xf>
    <xf numFmtId="0" fontId="0" fillId="14" borderId="0" applyAlignment="1" pivotButton="0" quotePrefix="0" xfId="0">
      <alignment horizontal="left"/>
    </xf>
    <xf numFmtId="0" fontId="0" fillId="14" borderId="5" applyAlignment="1" pivotButton="0" quotePrefix="0" xfId="0">
      <alignment horizontal="left"/>
    </xf>
    <xf numFmtId="0" fontId="20" fillId="14" borderId="5" applyAlignment="1" pivotButton="0" quotePrefix="0" xfId="0">
      <alignment horizontal="center"/>
    </xf>
    <xf numFmtId="0" fontId="0" fillId="14" borderId="5" applyAlignment="1" pivotButton="0" quotePrefix="0" xfId="0">
      <alignment horizontal="center"/>
    </xf>
    <xf numFmtId="0" fontId="0" fillId="14" borderId="0" applyAlignment="1" pivotButton="0" quotePrefix="0" xfId="0">
      <alignment horizontal="center"/>
    </xf>
    <xf numFmtId="164" fontId="0" fillId="0" borderId="5" applyAlignment="1" pivotButton="0" quotePrefix="0" xfId="0">
      <alignment horizontal="center"/>
    </xf>
    <xf numFmtId="0" fontId="17" fillId="0" borderId="5" applyAlignment="1" pivotButton="0" quotePrefix="0" xfId="0">
      <alignment horizontal="center"/>
    </xf>
    <xf numFmtId="0" fontId="12" fillId="14" borderId="5" applyAlignment="1" pivotButton="0" quotePrefix="0" xfId="0">
      <alignment horizontal="center" vertical="center"/>
    </xf>
    <xf numFmtId="0" fontId="9" fillId="23" borderId="5" applyAlignment="1" pivotButton="0" quotePrefix="0" xfId="0">
      <alignment horizontal="center" vertical="center"/>
    </xf>
    <xf numFmtId="0" fontId="9" fillId="14" borderId="5" applyAlignment="1" pivotButton="0" quotePrefix="0" xfId="0">
      <alignment horizontal="center" vertical="center"/>
    </xf>
    <xf numFmtId="0" fontId="29" fillId="14" borderId="5" applyAlignment="1" pivotButton="0" quotePrefix="0" xfId="0">
      <alignment horizontal="center" vertical="center"/>
    </xf>
    <xf numFmtId="0" fontId="17" fillId="0" borderId="16" applyAlignment="1" pivotButton="0" quotePrefix="0" xfId="0">
      <alignment horizontal="center"/>
    </xf>
    <xf numFmtId="0" fontId="17" fillId="0" borderId="8" applyAlignment="1" pivotButton="0" quotePrefix="0" xfId="0">
      <alignment horizontal="center"/>
    </xf>
    <xf numFmtId="0" fontId="17" fillId="0" borderId="13" applyAlignment="1" pivotButton="0" quotePrefix="0" xfId="0">
      <alignment horizontal="center"/>
    </xf>
    <xf numFmtId="0" fontId="15" fillId="14" borderId="8" applyAlignment="1" pivotButton="0" quotePrefix="0" xfId="0">
      <alignment horizontal="center" vertical="center"/>
    </xf>
    <xf numFmtId="0" fontId="12" fillId="14" borderId="10" applyAlignment="1" pivotButton="0" quotePrefix="0" xfId="0">
      <alignment horizontal="center" vertical="center"/>
    </xf>
    <xf numFmtId="0" fontId="30" fillId="14" borderId="5" applyAlignment="1" pivotButton="0" quotePrefix="0" xfId="0">
      <alignment horizontal="center" vertical="center"/>
    </xf>
    <xf numFmtId="0" fontId="17" fillId="0" borderId="14" applyAlignment="1" pivotButton="0" quotePrefix="0" xfId="0">
      <alignment horizontal="center"/>
    </xf>
    <xf numFmtId="1" fontId="23" fillId="0" borderId="5" applyAlignment="1" pivotButton="0" quotePrefix="0" xfId="0">
      <alignment horizontal="center"/>
    </xf>
    <xf numFmtId="0" fontId="5" fillId="5" borderId="1" applyAlignment="1" pivotButton="0" quotePrefix="0" xfId="5">
      <alignment horizontal="center"/>
    </xf>
    <xf numFmtId="0" fontId="33" fillId="14" borderId="21" applyAlignment="1" pivotButton="0" quotePrefix="0" xfId="0">
      <alignment horizontal="center"/>
    </xf>
    <xf numFmtId="0" fontId="35" fillId="14" borderId="11" applyAlignment="1" pivotButton="0" quotePrefix="0" xfId="0">
      <alignment horizontal="center"/>
    </xf>
    <xf numFmtId="0" fontId="36" fillId="0" borderId="0" pivotButton="0" quotePrefix="0" xfId="0"/>
    <xf numFmtId="0" fontId="34" fillId="27" borderId="5" applyAlignment="1" pivotButton="0" quotePrefix="0" xfId="0">
      <alignment horizontal="center" vertical="center"/>
    </xf>
    <xf numFmtId="0" fontId="38" fillId="27" borderId="26" applyAlignment="1" pivotButton="0" quotePrefix="0" xfId="0">
      <alignment horizontal="center"/>
    </xf>
    <xf numFmtId="0" fontId="38" fillId="27" borderId="27" applyAlignment="1" pivotButton="0" quotePrefix="0" xfId="0">
      <alignment horizontal="center"/>
    </xf>
    <xf numFmtId="0" fontId="39" fillId="14" borderId="11" applyAlignment="1" pivotButton="0" quotePrefix="0" xfId="0">
      <alignment horizontal="center"/>
    </xf>
    <xf numFmtId="0" fontId="33" fillId="0" borderId="0" applyAlignment="1" pivotButton="0" quotePrefix="0" xfId="0">
      <alignment vertical="center"/>
    </xf>
    <xf numFmtId="0" fontId="33" fillId="0" borderId="0" applyAlignment="1" pivotButton="0" quotePrefix="0" xfId="0">
      <alignment horizontal="center" vertical="center"/>
    </xf>
    <xf numFmtId="0" fontId="34" fillId="29" borderId="5" applyAlignment="1" pivotButton="0" quotePrefix="0" xfId="0">
      <alignment horizontal="center" vertical="center"/>
    </xf>
    <xf numFmtId="0" fontId="33" fillId="30" borderId="0" applyAlignment="1" pivotButton="0" quotePrefix="0" xfId="0">
      <alignment horizontal="center"/>
    </xf>
    <xf numFmtId="0" fontId="33" fillId="30" borderId="9" applyAlignment="1" pivotButton="0" quotePrefix="0" xfId="0">
      <alignment horizontal="center"/>
    </xf>
    <xf numFmtId="0" fontId="33" fillId="31" borderId="16" applyAlignment="1" pivotButton="0" quotePrefix="0" xfId="0">
      <alignment horizontal="center"/>
    </xf>
    <xf numFmtId="0" fontId="33" fillId="30" borderId="7" applyAlignment="1" pivotButton="0" quotePrefix="0" xfId="0">
      <alignment horizontal="center"/>
    </xf>
    <xf numFmtId="0" fontId="38" fillId="26" borderId="15" applyAlignment="1" pivotButton="0" quotePrefix="0" xfId="0">
      <alignment horizontal="left" vertical="center"/>
    </xf>
    <xf numFmtId="0" fontId="38" fillId="26" borderId="20" applyAlignment="1" pivotButton="0" quotePrefix="0" xfId="0">
      <alignment horizontal="right" vertical="center"/>
    </xf>
    <xf numFmtId="165" fontId="38" fillId="26" borderId="15" applyAlignment="1" pivotButton="0" quotePrefix="0" xfId="0">
      <alignment horizontal="center" vertical="center"/>
    </xf>
    <xf numFmtId="165" fontId="38" fillId="26" borderId="11" applyAlignment="1" pivotButton="0" quotePrefix="0" xfId="0">
      <alignment horizontal="center" vertical="center"/>
    </xf>
    <xf numFmtId="0" fontId="38" fillId="26" borderId="12" applyAlignment="1" pivotButton="0" quotePrefix="0" xfId="0">
      <alignment horizontal="center" vertical="center"/>
    </xf>
    <xf numFmtId="0" fontId="38" fillId="26" borderId="13" applyAlignment="1" pivotButton="0" quotePrefix="0" xfId="0">
      <alignment horizontal="left" vertical="center"/>
    </xf>
    <xf numFmtId="0" fontId="38" fillId="26" borderId="17" applyAlignment="1" pivotButton="0" quotePrefix="0" xfId="0">
      <alignment horizontal="right" vertical="center"/>
    </xf>
    <xf numFmtId="166" fontId="40" fillId="32" borderId="5" applyAlignment="1" pivotButton="0" quotePrefix="1" xfId="0">
      <alignment horizontal="center" vertical="center"/>
    </xf>
    <xf numFmtId="0" fontId="38" fillId="26" borderId="5" applyAlignment="1" pivotButton="0" quotePrefix="0" xfId="0">
      <alignment horizontal="center" vertical="center"/>
    </xf>
    <xf numFmtId="0" fontId="41" fillId="26" borderId="20" applyAlignment="1" pivotButton="0" quotePrefix="0" xfId="0">
      <alignment horizontal="left" vertical="center"/>
    </xf>
    <xf numFmtId="0" fontId="41" fillId="26" borderId="20" applyAlignment="1" pivotButton="0" quotePrefix="0" xfId="0">
      <alignment horizontal="right" vertical="center"/>
    </xf>
    <xf numFmtId="165" fontId="41" fillId="26" borderId="15" applyAlignment="1" pivotButton="0" quotePrefix="0" xfId="0">
      <alignment horizontal="center" vertical="center"/>
    </xf>
    <xf numFmtId="165" fontId="41" fillId="26" borderId="11" applyAlignment="1" pivotButton="0" quotePrefix="0" xfId="0">
      <alignment horizontal="center" vertical="center"/>
    </xf>
    <xf numFmtId="0" fontId="41" fillId="26" borderId="5" applyAlignment="1" pivotButton="0" quotePrefix="0" xfId="0">
      <alignment horizontal="center" vertical="center"/>
    </xf>
    <xf numFmtId="0" fontId="38" fillId="33" borderId="20" applyAlignment="1" pivotButton="0" quotePrefix="0" xfId="0">
      <alignment horizontal="left" vertical="center"/>
    </xf>
    <xf numFmtId="0" fontId="38" fillId="33" borderId="20" applyAlignment="1" pivotButton="0" quotePrefix="0" xfId="0">
      <alignment horizontal="right" vertical="center"/>
    </xf>
    <xf numFmtId="165" fontId="38" fillId="33" borderId="15" applyAlignment="1" pivotButton="0" quotePrefix="0" xfId="0">
      <alignment horizontal="center" vertical="center"/>
    </xf>
    <xf numFmtId="165" fontId="38" fillId="33" borderId="11" applyAlignment="1" pivotButton="0" quotePrefix="0" xfId="0">
      <alignment horizontal="center" vertical="center"/>
    </xf>
    <xf numFmtId="0" fontId="38" fillId="34" borderId="11" applyAlignment="1" pivotButton="0" quotePrefix="0" xfId="0">
      <alignment horizontal="center" vertical="center"/>
    </xf>
    <xf numFmtId="0" fontId="33" fillId="31" borderId="5" applyAlignment="1" pivotButton="0" quotePrefix="0" xfId="0">
      <alignment horizontal="center"/>
    </xf>
    <xf numFmtId="0" fontId="33" fillId="31" borderId="6" applyAlignment="1" pivotButton="0" quotePrefix="0" xfId="0">
      <alignment horizontal="center"/>
    </xf>
    <xf numFmtId="0" fontId="33" fillId="31" borderId="0" applyAlignment="1" pivotButton="0" quotePrefix="0" xfId="0">
      <alignment horizontal="center"/>
    </xf>
    <xf numFmtId="0" fontId="33" fillId="30" borderId="8" applyAlignment="1" pivotButton="0" quotePrefix="0" xfId="0">
      <alignment horizontal="center"/>
    </xf>
    <xf numFmtId="0" fontId="33" fillId="31" borderId="9" applyAlignment="1" pivotButton="0" quotePrefix="0" xfId="0">
      <alignment horizontal="center"/>
    </xf>
    <xf numFmtId="0" fontId="33" fillId="30" borderId="6" applyAlignment="1" pivotButton="0" quotePrefix="0" xfId="0">
      <alignment horizontal="center"/>
    </xf>
    <xf numFmtId="0" fontId="33" fillId="30" borderId="10" applyAlignment="1" pivotButton="0" quotePrefix="0" xfId="0">
      <alignment horizontal="center"/>
    </xf>
    <xf numFmtId="0" fontId="41" fillId="26" borderId="6" applyAlignment="1" pivotButton="0" quotePrefix="0" xfId="0">
      <alignment horizontal="left" vertical="center"/>
    </xf>
    <xf numFmtId="0" fontId="41" fillId="26" borderId="0" applyAlignment="1" pivotButton="0" quotePrefix="0" xfId="0">
      <alignment horizontal="right" vertical="center"/>
    </xf>
    <xf numFmtId="165" fontId="41" fillId="26" borderId="6" applyAlignment="1" pivotButton="0" quotePrefix="0" xfId="0">
      <alignment horizontal="center" vertical="center"/>
    </xf>
    <xf numFmtId="165" fontId="41" fillId="26" borderId="7" applyAlignment="1" pivotButton="0" quotePrefix="0" xfId="0">
      <alignment horizontal="center" vertical="center"/>
    </xf>
    <xf numFmtId="0" fontId="41" fillId="26" borderId="18" applyAlignment="1" pivotButton="0" quotePrefix="0" xfId="0">
      <alignment horizontal="center" vertical="center"/>
    </xf>
    <xf numFmtId="0" fontId="33" fillId="36" borderId="0" applyAlignment="1" pivotButton="0" quotePrefix="0" xfId="0">
      <alignment horizontal="left" vertical="center"/>
    </xf>
    <xf numFmtId="0" fontId="33" fillId="36" borderId="0" applyAlignment="1" pivotButton="0" quotePrefix="0" xfId="0">
      <alignment horizontal="center" vertical="center"/>
    </xf>
    <xf numFmtId="165" fontId="33" fillId="36" borderId="6" applyAlignment="1" pivotButton="0" quotePrefix="0" xfId="0">
      <alignment horizontal="center" vertical="center"/>
    </xf>
    <xf numFmtId="165" fontId="33" fillId="36" borderId="7" applyAlignment="1" pivotButton="0" quotePrefix="0" xfId="0">
      <alignment horizontal="center" vertical="center"/>
    </xf>
    <xf numFmtId="0" fontId="38" fillId="34" borderId="18" applyAlignment="1" pivotButton="0" quotePrefix="0" xfId="0">
      <alignment horizontal="center" vertical="center"/>
    </xf>
    <xf numFmtId="0" fontId="41" fillId="29" borderId="0" applyAlignment="1" pivotButton="0" quotePrefix="0" xfId="0">
      <alignment horizontal="left" vertical="center"/>
    </xf>
    <xf numFmtId="0" fontId="41" fillId="29" borderId="0" applyAlignment="1" pivotButton="0" quotePrefix="0" xfId="0">
      <alignment horizontal="right" vertical="center"/>
    </xf>
    <xf numFmtId="165" fontId="41" fillId="29" borderId="6" applyAlignment="1" pivotButton="0" quotePrefix="0" xfId="0">
      <alignment horizontal="center" vertical="center"/>
    </xf>
    <xf numFmtId="165" fontId="41" fillId="29" borderId="7" applyAlignment="1" pivotButton="0" quotePrefix="0" xfId="0">
      <alignment horizontal="center" vertical="center"/>
    </xf>
    <xf numFmtId="0" fontId="38" fillId="34" borderId="5" applyAlignment="1" pivotButton="0" quotePrefix="0" xfId="0">
      <alignment horizontal="center" vertical="center"/>
    </xf>
    <xf numFmtId="16" fontId="33" fillId="37" borderId="0" applyAlignment="1" pivotButton="0" quotePrefix="0" xfId="0">
      <alignment horizontal="left" vertical="center"/>
    </xf>
    <xf numFmtId="16" fontId="33" fillId="37" borderId="0" applyAlignment="1" pivotButton="0" quotePrefix="0" xfId="0">
      <alignment horizontal="right" vertical="center"/>
    </xf>
    <xf numFmtId="165" fontId="33" fillId="37" borderId="6" applyAlignment="1" pivotButton="0" quotePrefix="0" xfId="0">
      <alignment horizontal="center" vertical="center"/>
    </xf>
    <xf numFmtId="165" fontId="33" fillId="37" borderId="7" applyAlignment="1" pivotButton="0" quotePrefix="0" xfId="0">
      <alignment horizontal="center" vertical="center"/>
    </xf>
    <xf numFmtId="0" fontId="38" fillId="34" borderId="7" applyAlignment="1" pivotButton="0" quotePrefix="0" xfId="0">
      <alignment horizontal="center" vertical="center"/>
    </xf>
    <xf numFmtId="0" fontId="33" fillId="31" borderId="15" applyAlignment="1" pivotButton="0" quotePrefix="0" xfId="0">
      <alignment horizontal="center"/>
    </xf>
    <xf numFmtId="0" fontId="33" fillId="30" borderId="13" applyAlignment="1" pivotButton="0" quotePrefix="0" xfId="0">
      <alignment horizontal="center"/>
    </xf>
    <xf numFmtId="0" fontId="33" fillId="30" borderId="17" applyAlignment="1" pivotButton="0" quotePrefix="0" xfId="0">
      <alignment horizontal="center"/>
    </xf>
    <xf numFmtId="0" fontId="38" fillId="26" borderId="14" applyAlignment="1" pivotButton="0" quotePrefix="0" xfId="0">
      <alignment horizontal="left" vertical="center"/>
    </xf>
    <xf numFmtId="165" fontId="38" fillId="26" borderId="13" applyAlignment="1" pivotButton="0" quotePrefix="0" xfId="0">
      <alignment horizontal="center" vertical="center"/>
    </xf>
    <xf numFmtId="165" fontId="38" fillId="26" borderId="14" applyAlignment="1" pivotButton="0" quotePrefix="0" xfId="0">
      <alignment horizontal="center" vertical="center"/>
    </xf>
    <xf numFmtId="16" fontId="33" fillId="38" borderId="0" applyAlignment="1" pivotButton="0" quotePrefix="0" xfId="0">
      <alignment horizontal="left" vertical="center"/>
    </xf>
    <xf numFmtId="16" fontId="33" fillId="38" borderId="0" applyAlignment="1" pivotButton="0" quotePrefix="0" xfId="0">
      <alignment horizontal="center" vertical="center"/>
    </xf>
    <xf numFmtId="165" fontId="33" fillId="38" borderId="6" applyAlignment="1" pivotButton="0" quotePrefix="0" xfId="0">
      <alignment horizontal="center" vertical="center"/>
    </xf>
    <xf numFmtId="165" fontId="33" fillId="38" borderId="7" applyAlignment="1" pivotButton="0" quotePrefix="0" xfId="0">
      <alignment horizontal="center" vertical="center"/>
    </xf>
    <xf numFmtId="0" fontId="38" fillId="34" borderId="12" applyAlignment="1" pivotButton="0" quotePrefix="0" xfId="0">
      <alignment horizontal="center" vertical="center"/>
    </xf>
    <xf numFmtId="0" fontId="38" fillId="29" borderId="0" applyAlignment="1" pivotButton="0" quotePrefix="0" xfId="0">
      <alignment horizontal="left" vertical="center"/>
    </xf>
    <xf numFmtId="0" fontId="38" fillId="29" borderId="0" applyAlignment="1" pivotButton="0" quotePrefix="0" xfId="0">
      <alignment horizontal="right" vertical="center"/>
    </xf>
    <xf numFmtId="165" fontId="38" fillId="29" borderId="6" applyAlignment="1" pivotButton="0" quotePrefix="0" xfId="0">
      <alignment horizontal="center" vertical="center"/>
    </xf>
    <xf numFmtId="165" fontId="38" fillId="29" borderId="7" applyAlignment="1" pivotButton="0" quotePrefix="0" xfId="0">
      <alignment horizontal="center" vertical="center"/>
    </xf>
    <xf numFmtId="0" fontId="33" fillId="30" borderId="5" applyAlignment="1" pivotButton="0" quotePrefix="0" xfId="0">
      <alignment horizontal="center"/>
    </xf>
    <xf numFmtId="16" fontId="38" fillId="39" borderId="15" applyAlignment="1" pivotButton="0" quotePrefix="0" xfId="0">
      <alignment horizontal="left" vertical="center"/>
    </xf>
    <xf numFmtId="16" fontId="38" fillId="39" borderId="20" applyAlignment="1" pivotButton="0" quotePrefix="0" xfId="0">
      <alignment horizontal="right" vertical="center"/>
    </xf>
    <xf numFmtId="165" fontId="38" fillId="39" borderId="15" applyAlignment="1" pivotButton="0" quotePrefix="0" xfId="0">
      <alignment horizontal="center" vertical="center"/>
    </xf>
    <xf numFmtId="165" fontId="38" fillId="39" borderId="11" applyAlignment="1" pivotButton="0" quotePrefix="0" xfId="0">
      <alignment horizontal="center" vertical="center"/>
    </xf>
    <xf numFmtId="0" fontId="38" fillId="34" borderId="16" applyAlignment="1" pivotButton="0" quotePrefix="0" xfId="0">
      <alignment horizontal="center" vertical="center"/>
    </xf>
    <xf numFmtId="0" fontId="42" fillId="40" borderId="0" applyAlignment="1" pivotButton="0" quotePrefix="0" xfId="0">
      <alignment horizontal="left" vertical="center"/>
    </xf>
    <xf numFmtId="0" fontId="42" fillId="40" borderId="0" applyAlignment="1" pivotButton="0" quotePrefix="0" xfId="0">
      <alignment horizontal="right" vertical="center"/>
    </xf>
    <xf numFmtId="165" fontId="42" fillId="40" borderId="6" applyAlignment="1" pivotButton="0" quotePrefix="0" xfId="0">
      <alignment horizontal="center" vertical="center"/>
    </xf>
    <xf numFmtId="165" fontId="42" fillId="40" borderId="7" applyAlignment="1" pivotButton="0" quotePrefix="0" xfId="0">
      <alignment horizontal="center" vertical="center"/>
    </xf>
    <xf numFmtId="0" fontId="43" fillId="34" borderId="7" applyAlignment="1" pivotButton="0" quotePrefix="0" xfId="0">
      <alignment horizontal="center" vertical="center"/>
    </xf>
    <xf numFmtId="0" fontId="33" fillId="41" borderId="5" applyAlignment="1" pivotButton="0" quotePrefix="0" xfId="0">
      <alignment horizontal="center"/>
    </xf>
    <xf numFmtId="0" fontId="38" fillId="33" borderId="13" applyAlignment="1" pivotButton="0" quotePrefix="0" xfId="0">
      <alignment horizontal="center"/>
    </xf>
    <xf numFmtId="0" fontId="38" fillId="29" borderId="5" applyAlignment="1" pivotButton="0" quotePrefix="0" xfId="0">
      <alignment horizontal="center"/>
    </xf>
    <xf numFmtId="0" fontId="33" fillId="31" borderId="13" applyAlignment="1" pivotButton="0" quotePrefix="0" xfId="0">
      <alignment horizontal="center"/>
    </xf>
    <xf numFmtId="0" fontId="33" fillId="31" borderId="17" applyAlignment="1" pivotButton="0" quotePrefix="0" xfId="0">
      <alignment horizontal="center"/>
    </xf>
    <xf numFmtId="0" fontId="33" fillId="31" borderId="14" applyAlignment="1" pivotButton="0" quotePrefix="0" xfId="0">
      <alignment horizontal="center"/>
    </xf>
    <xf numFmtId="16" fontId="38" fillId="39" borderId="6" applyAlignment="1" pivotButton="0" quotePrefix="0" xfId="0">
      <alignment horizontal="left" vertical="center"/>
    </xf>
    <xf numFmtId="16" fontId="38" fillId="39" borderId="0" applyAlignment="1" pivotButton="0" quotePrefix="0" xfId="0">
      <alignment horizontal="right" vertical="center"/>
    </xf>
    <xf numFmtId="165" fontId="38" fillId="39" borderId="6" applyAlignment="1" pivotButton="0" quotePrefix="0" xfId="0">
      <alignment horizontal="center" vertical="center"/>
    </xf>
    <xf numFmtId="165" fontId="38" fillId="39" borderId="7" applyAlignment="1" pivotButton="0" quotePrefix="0" xfId="0">
      <alignment horizontal="center" vertical="center"/>
    </xf>
    <xf numFmtId="0" fontId="33" fillId="42" borderId="0" applyAlignment="1" pivotButton="0" quotePrefix="0" xfId="0">
      <alignment horizontal="left" vertical="center"/>
    </xf>
    <xf numFmtId="165" fontId="33" fillId="42" borderId="6" applyAlignment="1" pivotButton="0" quotePrefix="0" xfId="0">
      <alignment horizontal="center" vertical="center"/>
    </xf>
    <xf numFmtId="165" fontId="33" fillId="42" borderId="7" applyAlignment="1" pivotButton="0" quotePrefix="0" xfId="0">
      <alignment horizontal="center" vertical="center"/>
    </xf>
    <xf numFmtId="0" fontId="44" fillId="29" borderId="5" applyAlignment="1" pivotButton="0" quotePrefix="0" xfId="0">
      <alignment horizontal="center" vertical="center"/>
    </xf>
    <xf numFmtId="0" fontId="33" fillId="40" borderId="8" applyAlignment="1" pivotButton="0" quotePrefix="0" xfId="0">
      <alignment horizontal="center"/>
    </xf>
    <xf numFmtId="0" fontId="33" fillId="40" borderId="9" applyAlignment="1" pivotButton="0" quotePrefix="0" xfId="0">
      <alignment horizontal="center"/>
    </xf>
    <xf numFmtId="0" fontId="33" fillId="40" borderId="0" applyAlignment="1" pivotButton="0" quotePrefix="0" xfId="0">
      <alignment horizontal="center"/>
    </xf>
    <xf numFmtId="0" fontId="33" fillId="40" borderId="7" applyAlignment="1" pivotButton="0" quotePrefix="0" xfId="0">
      <alignment horizontal="center"/>
    </xf>
    <xf numFmtId="0" fontId="33" fillId="38" borderId="0" applyAlignment="1" pivotButton="0" quotePrefix="0" xfId="0">
      <alignment horizontal="center"/>
    </xf>
    <xf numFmtId="16" fontId="43" fillId="39" borderId="6" applyAlignment="1" pivotButton="0" quotePrefix="0" xfId="0">
      <alignment horizontal="left" vertical="center"/>
    </xf>
    <xf numFmtId="0" fontId="43" fillId="39" borderId="0" applyAlignment="1" pivotButton="0" quotePrefix="0" xfId="0">
      <alignment horizontal="right" vertical="center"/>
    </xf>
    <xf numFmtId="165" fontId="43" fillId="39" borderId="6" applyAlignment="1" pivotButton="0" quotePrefix="0" xfId="0">
      <alignment horizontal="center" vertical="center"/>
    </xf>
    <xf numFmtId="165" fontId="43" fillId="39" borderId="7" applyAlignment="1" pivotButton="0" quotePrefix="0" xfId="0">
      <alignment horizontal="center" vertical="center"/>
    </xf>
    <xf numFmtId="0" fontId="33" fillId="30" borderId="20" applyAlignment="1" pivotButton="0" quotePrefix="0" xfId="0">
      <alignment horizontal="center"/>
    </xf>
    <xf numFmtId="0" fontId="33" fillId="31" borderId="8" applyAlignment="1" pivotButton="0" quotePrefix="0" xfId="0">
      <alignment horizontal="center"/>
    </xf>
    <xf numFmtId="0" fontId="33" fillId="38" borderId="15" applyAlignment="1" pivotButton="0" quotePrefix="0" xfId="0">
      <alignment horizontal="center"/>
    </xf>
    <xf numFmtId="0" fontId="33" fillId="38" borderId="20" applyAlignment="1" pivotButton="0" quotePrefix="0" xfId="0">
      <alignment horizontal="center"/>
    </xf>
    <xf numFmtId="0" fontId="33" fillId="38" borderId="9" applyAlignment="1" pivotButton="0" quotePrefix="0" xfId="0">
      <alignment horizontal="center"/>
    </xf>
    <xf numFmtId="0" fontId="33" fillId="30" borderId="18" applyAlignment="1" pivotButton="0" quotePrefix="0" xfId="0">
      <alignment horizontal="center"/>
    </xf>
    <xf numFmtId="0" fontId="38" fillId="39" borderId="6" applyAlignment="1" pivotButton="0" quotePrefix="0" xfId="0">
      <alignment horizontal="left" vertical="center"/>
    </xf>
    <xf numFmtId="0" fontId="38" fillId="39" borderId="0" applyAlignment="1" pivotButton="0" quotePrefix="0" xfId="0">
      <alignment horizontal="right" vertical="center"/>
    </xf>
    <xf numFmtId="16" fontId="33" fillId="43" borderId="0" applyAlignment="1" pivotButton="0" quotePrefix="0" xfId="0">
      <alignment horizontal="left" vertical="center"/>
    </xf>
    <xf numFmtId="16" fontId="33" fillId="43" borderId="0" applyAlignment="1" pivotButton="0" quotePrefix="0" xfId="0">
      <alignment horizontal="center" vertical="center"/>
    </xf>
    <xf numFmtId="165" fontId="33" fillId="43" borderId="6" applyAlignment="1" pivotButton="0" quotePrefix="0" xfId="0">
      <alignment horizontal="center" vertical="center"/>
    </xf>
    <xf numFmtId="165" fontId="33" fillId="43" borderId="7" applyAlignment="1" pivotButton="0" quotePrefix="0" xfId="0">
      <alignment horizontal="center" vertical="center"/>
    </xf>
    <xf numFmtId="0" fontId="33" fillId="38" borderId="13" applyAlignment="1" pivotButton="0" quotePrefix="0" xfId="0">
      <alignment horizontal="center"/>
    </xf>
    <xf numFmtId="0" fontId="33" fillId="38" borderId="14" applyAlignment="1" pivotButton="0" quotePrefix="0" xfId="0">
      <alignment horizontal="center"/>
    </xf>
    <xf numFmtId="0" fontId="33" fillId="38" borderId="17" applyAlignment="1" pivotButton="0" quotePrefix="0" xfId="0">
      <alignment horizontal="center"/>
    </xf>
    <xf numFmtId="0" fontId="33" fillId="40" borderId="15" applyAlignment="1" pivotButton="0" quotePrefix="0" xfId="0">
      <alignment horizontal="center"/>
    </xf>
    <xf numFmtId="0" fontId="33" fillId="40" borderId="5" applyAlignment="1" pivotButton="0" quotePrefix="0" xfId="0">
      <alignment horizontal="center"/>
    </xf>
    <xf numFmtId="0" fontId="33" fillId="38" borderId="8" applyAlignment="1" pivotButton="0" quotePrefix="0" xfId="0">
      <alignment horizontal="center"/>
    </xf>
    <xf numFmtId="0" fontId="33" fillId="40" borderId="12" applyAlignment="1" pivotButton="0" quotePrefix="0" xfId="0">
      <alignment horizontal="center"/>
    </xf>
    <xf numFmtId="0" fontId="33" fillId="38" borderId="18" applyAlignment="1" pivotButton="0" quotePrefix="0" xfId="0">
      <alignment horizontal="center"/>
    </xf>
    <xf numFmtId="0" fontId="33" fillId="38" borderId="10" applyAlignment="1" pivotButton="0" quotePrefix="0" xfId="0">
      <alignment horizontal="center"/>
    </xf>
    <xf numFmtId="0" fontId="38" fillId="44" borderId="13" applyAlignment="1" pivotButton="0" quotePrefix="0" xfId="0">
      <alignment horizontal="left" vertical="center"/>
    </xf>
    <xf numFmtId="0" fontId="38" fillId="44" borderId="14" applyAlignment="1" pivotButton="0" quotePrefix="0" xfId="0">
      <alignment horizontal="left" vertical="center"/>
    </xf>
    <xf numFmtId="165" fontId="38" fillId="44" borderId="13" applyAlignment="1" pivotButton="0" quotePrefix="0" xfId="0">
      <alignment horizontal="center" vertical="center"/>
    </xf>
    <xf numFmtId="165" fontId="38" fillId="44" borderId="14" applyAlignment="1" pivotButton="0" quotePrefix="0" xfId="0">
      <alignment horizontal="center" vertical="center"/>
    </xf>
    <xf numFmtId="0" fontId="38" fillId="44" borderId="5" applyAlignment="1" pivotButton="0" quotePrefix="0" xfId="0">
      <alignment horizontal="center" vertical="center"/>
    </xf>
    <xf numFmtId="0" fontId="33" fillId="45" borderId="0" applyAlignment="1" pivotButton="0" quotePrefix="0" xfId="0">
      <alignment horizontal="left" vertical="center"/>
    </xf>
    <xf numFmtId="0" fontId="33" fillId="45" borderId="0" applyAlignment="1" pivotButton="0" quotePrefix="0" xfId="0">
      <alignment horizontal="right" vertical="center"/>
    </xf>
    <xf numFmtId="165" fontId="33" fillId="45" borderId="6" applyAlignment="1" pivotButton="0" quotePrefix="0" xfId="0">
      <alignment horizontal="center" vertical="center"/>
    </xf>
    <xf numFmtId="165" fontId="33" fillId="45" borderId="7" applyAlignment="1" pivotButton="0" quotePrefix="0" xfId="0">
      <alignment horizontal="center" vertical="center"/>
    </xf>
    <xf numFmtId="0" fontId="33" fillId="38" borderId="16" applyAlignment="1" pivotButton="0" quotePrefix="0" xfId="0">
      <alignment horizontal="center"/>
    </xf>
    <xf numFmtId="0" fontId="33" fillId="31" borderId="20" applyAlignment="1" pivotButton="0" quotePrefix="0" xfId="0">
      <alignment horizontal="center"/>
    </xf>
    <xf numFmtId="0" fontId="33" fillId="30" borderId="15" applyAlignment="1" pivotButton="0" quotePrefix="0" xfId="0">
      <alignment horizontal="center"/>
    </xf>
    <xf numFmtId="16" fontId="38" fillId="46" borderId="15" applyAlignment="1" pivotButton="0" quotePrefix="0" xfId="0">
      <alignment horizontal="left" vertical="center"/>
    </xf>
    <xf numFmtId="16" fontId="38" fillId="46" borderId="20" applyAlignment="1" pivotButton="0" quotePrefix="0" xfId="0">
      <alignment horizontal="right" vertical="center"/>
    </xf>
    <xf numFmtId="165" fontId="38" fillId="46" borderId="15" applyAlignment="1" pivotButton="0" quotePrefix="0" xfId="0">
      <alignment horizontal="center" vertical="center"/>
    </xf>
    <xf numFmtId="165" fontId="38" fillId="46" borderId="11" applyAlignment="1" pivotButton="0" quotePrefix="0" xfId="0">
      <alignment horizontal="center" vertical="center"/>
    </xf>
    <xf numFmtId="16" fontId="33" fillId="43" borderId="0" applyAlignment="1" pivotButton="0" quotePrefix="0" xfId="0">
      <alignment horizontal="right" vertical="center"/>
    </xf>
    <xf numFmtId="0" fontId="37" fillId="47" borderId="5" applyAlignment="1" pivotButton="0" quotePrefix="0" xfId="0">
      <alignment horizontal="center" vertical="center"/>
    </xf>
    <xf numFmtId="0" fontId="33" fillId="30" borderId="16" applyAlignment="1" pivotButton="0" quotePrefix="0" xfId="0">
      <alignment horizontal="center"/>
    </xf>
    <xf numFmtId="0" fontId="33" fillId="31" borderId="7" applyAlignment="1" pivotButton="0" quotePrefix="0" xfId="0">
      <alignment horizontal="center"/>
    </xf>
    <xf numFmtId="16" fontId="38" fillId="46" borderId="6" applyAlignment="1" pivotButton="0" quotePrefix="0" xfId="0">
      <alignment horizontal="left" vertical="center"/>
    </xf>
    <xf numFmtId="16" fontId="38" fillId="46" borderId="0" applyAlignment="1" pivotButton="0" quotePrefix="0" xfId="0">
      <alignment horizontal="right" vertical="center"/>
    </xf>
    <xf numFmtId="165" fontId="38" fillId="46" borderId="6" applyAlignment="1" pivotButton="0" quotePrefix="0" xfId="0">
      <alignment horizontal="center" vertical="center"/>
    </xf>
    <xf numFmtId="165" fontId="38" fillId="46" borderId="7" applyAlignment="1" pivotButton="0" quotePrefix="0" xfId="0">
      <alignment horizontal="center" vertical="center"/>
    </xf>
    <xf numFmtId="0" fontId="33" fillId="42" borderId="0" applyAlignment="1" pivotButton="0" quotePrefix="0" xfId="0">
      <alignment horizontal="right" vertical="center"/>
    </xf>
    <xf numFmtId="0" fontId="33" fillId="31" borderId="10" applyAlignment="1" pivotButton="0" quotePrefix="0" xfId="0">
      <alignment horizontal="center"/>
    </xf>
    <xf numFmtId="16" fontId="38" fillId="46" borderId="8" applyAlignment="1" pivotButton="0" quotePrefix="0" xfId="0">
      <alignment horizontal="left" vertical="center"/>
    </xf>
    <xf numFmtId="16" fontId="38" fillId="46" borderId="9" applyAlignment="1" pivotButton="0" quotePrefix="0" xfId="0">
      <alignment horizontal="right" vertical="center"/>
    </xf>
    <xf numFmtId="165" fontId="38" fillId="46" borderId="8" applyAlignment="1" pivotButton="0" quotePrefix="0" xfId="0">
      <alignment horizontal="center" vertical="center"/>
    </xf>
    <xf numFmtId="165" fontId="38" fillId="46" borderId="10" applyAlignment="1" pivotButton="0" quotePrefix="0" xfId="0">
      <alignment horizontal="center" vertical="center"/>
    </xf>
    <xf numFmtId="0" fontId="33" fillId="48" borderId="0" applyAlignment="1" pivotButton="0" quotePrefix="0" xfId="0">
      <alignment horizontal="left" vertical="center"/>
    </xf>
    <xf numFmtId="0" fontId="33" fillId="48" borderId="0" applyAlignment="1" pivotButton="0" quotePrefix="0" xfId="0">
      <alignment horizontal="center" vertical="center"/>
    </xf>
    <xf numFmtId="165" fontId="33" fillId="48" borderId="6" applyAlignment="1" pivotButton="0" quotePrefix="0" xfId="0">
      <alignment horizontal="center" vertical="center"/>
    </xf>
    <xf numFmtId="165" fontId="33" fillId="48" borderId="7" applyAlignment="1" pivotButton="0" quotePrefix="0" xfId="0">
      <alignment horizontal="center" vertical="center"/>
    </xf>
    <xf numFmtId="0" fontId="38" fillId="27" borderId="0" applyAlignment="1" pivotButton="0" quotePrefix="0" xfId="0">
      <alignment horizontal="left" vertical="center"/>
    </xf>
    <xf numFmtId="0" fontId="38" fillId="27" borderId="0" applyAlignment="1" pivotButton="0" quotePrefix="0" xfId="0">
      <alignment horizontal="right" vertical="center"/>
    </xf>
    <xf numFmtId="165" fontId="38" fillId="27" borderId="6" applyAlignment="1" pivotButton="0" quotePrefix="0" xfId="0">
      <alignment horizontal="center" vertical="center"/>
    </xf>
    <xf numFmtId="165" fontId="38" fillId="27" borderId="7" applyAlignment="1" pivotButton="0" quotePrefix="0" xfId="0">
      <alignment horizontal="center" vertical="center"/>
    </xf>
    <xf numFmtId="0" fontId="34" fillId="49" borderId="6" applyAlignment="1" pivotButton="0" quotePrefix="0" xfId="0">
      <alignment horizontal="left" vertical="center"/>
    </xf>
    <xf numFmtId="0" fontId="38" fillId="49" borderId="0" applyAlignment="1" pivotButton="0" quotePrefix="0" xfId="0">
      <alignment horizontal="right" vertical="center"/>
    </xf>
    <xf numFmtId="165" fontId="38" fillId="49" borderId="6" applyAlignment="1" pivotButton="0" quotePrefix="0" xfId="0">
      <alignment horizontal="center" vertical="center"/>
    </xf>
    <xf numFmtId="165" fontId="38" fillId="49" borderId="7" applyAlignment="1" pivotButton="0" quotePrefix="0" xfId="0">
      <alignment horizontal="center" vertical="center"/>
    </xf>
    <xf numFmtId="0" fontId="44" fillId="47" borderId="5" applyAlignment="1" pivotButton="0" quotePrefix="0" xfId="0">
      <alignment horizontal="center" vertical="center"/>
    </xf>
    <xf numFmtId="0" fontId="33" fillId="40" borderId="13" applyAlignment="1" pivotButton="0" quotePrefix="0" xfId="0">
      <alignment horizontal="center"/>
    </xf>
    <xf numFmtId="0" fontId="33" fillId="40" borderId="17" applyAlignment="1" pivotButton="0" quotePrefix="0" xfId="0">
      <alignment horizontal="center"/>
    </xf>
    <xf numFmtId="0" fontId="33" fillId="40" borderId="14" applyAlignment="1" pivotButton="0" quotePrefix="0" xfId="0">
      <alignment horizontal="center"/>
    </xf>
    <xf numFmtId="0" fontId="33" fillId="42" borderId="17" applyAlignment="1" pivotButton="0" quotePrefix="0" xfId="0">
      <alignment horizontal="center"/>
    </xf>
    <xf numFmtId="0" fontId="33" fillId="42" borderId="20" applyAlignment="1" pivotButton="0" quotePrefix="0" xfId="0">
      <alignment horizontal="center"/>
    </xf>
    <xf numFmtId="0" fontId="33" fillId="42" borderId="14" applyAlignment="1" pivotButton="0" quotePrefix="0" xfId="0">
      <alignment horizontal="center"/>
    </xf>
    <xf numFmtId="0" fontId="38" fillId="49" borderId="6" applyAlignment="1" pivotButton="0" quotePrefix="0" xfId="0">
      <alignment horizontal="left" vertical="center"/>
    </xf>
    <xf numFmtId="0" fontId="41" fillId="27" borderId="0" applyAlignment="1" pivotButton="0" quotePrefix="0" xfId="0">
      <alignment horizontal="left" vertical="center"/>
    </xf>
    <xf numFmtId="165" fontId="41" fillId="27" borderId="6" applyAlignment="1" pivotButton="0" quotePrefix="0" xfId="0">
      <alignment horizontal="center" vertical="center"/>
    </xf>
    <xf numFmtId="165" fontId="41" fillId="27" borderId="7" applyAlignment="1" pivotButton="0" quotePrefix="0" xfId="0">
      <alignment horizontal="center" vertical="center"/>
    </xf>
    <xf numFmtId="16" fontId="33" fillId="42" borderId="0" applyAlignment="1" pivotButton="0" quotePrefix="0" xfId="0">
      <alignment horizontal="left" vertical="center"/>
    </xf>
    <xf numFmtId="16" fontId="33" fillId="42" borderId="0" applyAlignment="1" pivotButton="0" quotePrefix="0" xfId="0">
      <alignment horizontal="right" vertical="center"/>
    </xf>
    <xf numFmtId="0" fontId="33" fillId="42" borderId="5" applyAlignment="1" pivotButton="0" quotePrefix="0" xfId="0">
      <alignment horizontal="center"/>
    </xf>
    <xf numFmtId="0" fontId="38" fillId="49" borderId="6" applyAlignment="1" pivotButton="0" quotePrefix="0" xfId="0">
      <alignment horizontal="right" vertical="center"/>
    </xf>
    <xf numFmtId="0" fontId="38" fillId="44" borderId="0" applyAlignment="1" pivotButton="0" quotePrefix="0" xfId="0">
      <alignment horizontal="left" vertical="center"/>
    </xf>
    <xf numFmtId="0" fontId="38" fillId="44" borderId="7" applyAlignment="1" pivotButton="0" quotePrefix="0" xfId="0">
      <alignment horizontal="left" vertical="center"/>
    </xf>
    <xf numFmtId="165" fontId="38" fillId="44" borderId="6" applyAlignment="1" pivotButton="0" quotePrefix="0" xfId="0">
      <alignment horizontal="center" vertical="center"/>
    </xf>
    <xf numFmtId="165" fontId="38" fillId="44" borderId="7" applyAlignment="1" pivotButton="0" quotePrefix="0" xfId="0">
      <alignment horizontal="center" vertical="center"/>
    </xf>
    <xf numFmtId="0" fontId="38" fillId="44" borderId="18" applyAlignment="1" pivotButton="0" quotePrefix="0" xfId="0">
      <alignment horizontal="center" vertical="center"/>
    </xf>
    <xf numFmtId="16" fontId="38" fillId="27" borderId="0" applyAlignment="1" pivotButton="0" quotePrefix="0" xfId="0">
      <alignment horizontal="left" vertical="center"/>
    </xf>
    <xf numFmtId="16" fontId="38" fillId="27" borderId="0" applyAlignment="1" pivotButton="0" quotePrefix="0" xfId="0">
      <alignment horizontal="right" vertical="center"/>
    </xf>
    <xf numFmtId="0" fontId="44" fillId="41" borderId="5" applyAlignment="1" pivotButton="0" quotePrefix="0" xfId="0">
      <alignment horizontal="center" vertical="center"/>
    </xf>
    <xf numFmtId="0" fontId="33" fillId="41" borderId="6" applyAlignment="1" pivotButton="0" quotePrefix="0" xfId="0">
      <alignment horizontal="center"/>
    </xf>
    <xf numFmtId="0" fontId="33" fillId="50" borderId="13" applyAlignment="1" pivotButton="0" quotePrefix="0" xfId="0">
      <alignment horizontal="center"/>
    </xf>
    <xf numFmtId="0" fontId="33" fillId="50" borderId="17" applyAlignment="1" pivotButton="0" quotePrefix="0" xfId="0">
      <alignment horizontal="center"/>
    </xf>
    <xf numFmtId="0" fontId="33" fillId="50" borderId="14" applyAlignment="1" pivotButton="0" quotePrefix="0" xfId="0">
      <alignment horizontal="center"/>
    </xf>
    <xf numFmtId="0" fontId="38" fillId="49" borderId="8" applyAlignment="1" pivotButton="0" quotePrefix="0" xfId="0">
      <alignment horizontal="left" vertical="center"/>
    </xf>
    <xf numFmtId="0" fontId="38" fillId="49" borderId="9" applyAlignment="1" pivotButton="0" quotePrefix="0" xfId="0">
      <alignment horizontal="right" vertical="center"/>
    </xf>
    <xf numFmtId="165" fontId="38" fillId="49" borderId="8" applyAlignment="1" pivotButton="0" quotePrefix="0" xfId="0">
      <alignment horizontal="center" vertical="center"/>
    </xf>
    <xf numFmtId="165" fontId="38" fillId="49" borderId="10" applyAlignment="1" pivotButton="0" quotePrefix="0" xfId="0">
      <alignment horizontal="center" vertical="center"/>
    </xf>
    <xf numFmtId="16" fontId="34" fillId="49" borderId="20" applyAlignment="1" pivotButton="0" quotePrefix="0" xfId="0">
      <alignment horizontal="left" vertical="center"/>
    </xf>
    <xf numFmtId="0" fontId="38" fillId="49" borderId="11" applyAlignment="1" pivotButton="0" quotePrefix="0" xfId="0">
      <alignment horizontal="right" vertical="center"/>
    </xf>
    <xf numFmtId="165" fontId="38" fillId="49" borderId="20" applyAlignment="1" pivotButton="0" quotePrefix="0" xfId="0">
      <alignment horizontal="center" vertical="center"/>
    </xf>
    <xf numFmtId="165" fontId="38" fillId="49" borderId="11" applyAlignment="1" pivotButton="0" quotePrefix="0" xfId="0">
      <alignment horizontal="center" vertical="center"/>
    </xf>
    <xf numFmtId="0" fontId="37" fillId="41" borderId="5" applyAlignment="1" pivotButton="0" quotePrefix="0" xfId="0">
      <alignment horizontal="center" vertical="center"/>
    </xf>
    <xf numFmtId="0" fontId="38" fillId="44" borderId="8" applyAlignment="1" pivotButton="0" quotePrefix="0" xfId="0">
      <alignment horizontal="left" vertical="center"/>
    </xf>
    <xf numFmtId="0" fontId="38" fillId="44" borderId="10" applyAlignment="1" pivotButton="0" quotePrefix="0" xfId="0">
      <alignment horizontal="left" vertical="center"/>
    </xf>
    <xf numFmtId="165" fontId="38" fillId="44" borderId="8" applyAlignment="1" pivotButton="0" quotePrefix="0" xfId="0">
      <alignment horizontal="center" vertical="center"/>
    </xf>
    <xf numFmtId="165" fontId="38" fillId="44" borderId="10" applyAlignment="1" pivotButton="0" quotePrefix="0" xfId="0">
      <alignment horizontal="center" vertical="center"/>
    </xf>
    <xf numFmtId="0" fontId="38" fillId="44" borderId="16" applyAlignment="1" pivotButton="0" quotePrefix="0" xfId="0">
      <alignment horizontal="center" vertical="center"/>
    </xf>
    <xf numFmtId="0" fontId="38" fillId="49" borderId="0" applyAlignment="1" pivotButton="0" quotePrefix="0" xfId="0">
      <alignment horizontal="left" vertical="center"/>
    </xf>
    <xf numFmtId="0" fontId="38" fillId="49" borderId="7" applyAlignment="1" pivotButton="0" quotePrefix="0" xfId="0">
      <alignment horizontal="right" vertical="center"/>
    </xf>
    <xf numFmtId="165" fontId="38" fillId="49" borderId="0" applyAlignment="1" pivotButton="0" quotePrefix="0" xfId="0">
      <alignment horizontal="center" vertical="center"/>
    </xf>
    <xf numFmtId="165" fontId="45" fillId="49" borderId="0" applyAlignment="1" pivotButton="0" quotePrefix="0" xfId="0">
      <alignment horizontal="center" vertical="center"/>
    </xf>
    <xf numFmtId="0" fontId="33" fillId="43" borderId="0" applyAlignment="1" pivotButton="0" quotePrefix="0" xfId="0">
      <alignment horizontal="left" vertical="center"/>
    </xf>
    <xf numFmtId="0" fontId="33" fillId="43" borderId="0" applyAlignment="1" pivotButton="0" quotePrefix="0" xfId="0">
      <alignment horizontal="right" vertical="center"/>
    </xf>
    <xf numFmtId="0" fontId="33" fillId="47" borderId="13" applyAlignment="1" pivotButton="0" quotePrefix="0" xfId="0">
      <alignment horizontal="center"/>
    </xf>
    <xf numFmtId="0" fontId="33" fillId="30" borderId="14" applyAlignment="1" pivotButton="0" quotePrefix="0" xfId="0">
      <alignment horizontal="center"/>
    </xf>
    <xf numFmtId="0" fontId="33" fillId="47" borderId="17" applyAlignment="1" pivotButton="0" quotePrefix="0" xfId="0">
      <alignment horizontal="center"/>
    </xf>
    <xf numFmtId="0" fontId="33" fillId="31" borderId="12" applyAlignment="1" pivotButton="0" quotePrefix="0" xfId="0">
      <alignment horizontal="center"/>
    </xf>
    <xf numFmtId="0" fontId="33" fillId="30" borderId="12" applyAlignment="1" pivotButton="0" quotePrefix="0" xfId="0">
      <alignment horizontal="center"/>
    </xf>
    <xf numFmtId="0" fontId="38" fillId="49" borderId="9" applyAlignment="1" pivotButton="0" quotePrefix="0" xfId="0">
      <alignment horizontal="left" vertical="center"/>
    </xf>
    <xf numFmtId="0" fontId="38" fillId="49" borderId="10" applyAlignment="1" pivotButton="0" quotePrefix="0" xfId="0">
      <alignment horizontal="right" vertical="center"/>
    </xf>
    <xf numFmtId="165" fontId="38" fillId="49" borderId="9" applyAlignment="1" pivotButton="0" quotePrefix="0" xfId="0">
      <alignment horizontal="center" vertical="center"/>
    </xf>
    <xf numFmtId="0" fontId="33" fillId="31" borderId="11" applyAlignment="1" pivotButton="0" quotePrefix="0" xfId="0">
      <alignment horizontal="center"/>
    </xf>
    <xf numFmtId="0" fontId="33" fillId="38" borderId="11" applyAlignment="1" pivotButton="0" quotePrefix="0" xfId="0">
      <alignment horizontal="center"/>
    </xf>
    <xf numFmtId="0" fontId="33" fillId="50" borderId="5" applyAlignment="1" pivotButton="0" quotePrefix="0" xfId="0">
      <alignment horizontal="center"/>
    </xf>
    <xf numFmtId="0" fontId="38" fillId="26" borderId="6" applyAlignment="1" pivotButton="0" quotePrefix="0" xfId="0">
      <alignment horizontal="left" vertical="center"/>
    </xf>
    <xf numFmtId="0" fontId="38" fillId="26" borderId="0" applyAlignment="1" pivotButton="0" quotePrefix="0" xfId="0">
      <alignment horizontal="right" vertical="center"/>
    </xf>
    <xf numFmtId="165" fontId="38" fillId="26" borderId="6" applyAlignment="1" pivotButton="0" quotePrefix="0" xfId="0">
      <alignment horizontal="center" vertical="center"/>
    </xf>
    <xf numFmtId="165" fontId="38" fillId="26" borderId="7" applyAlignment="1" pivotButton="0" quotePrefix="0" xfId="0">
      <alignment horizontal="center" vertical="center"/>
    </xf>
    <xf numFmtId="0" fontId="38" fillId="26" borderId="18" applyAlignment="1" pivotButton="0" quotePrefix="0" xfId="0">
      <alignment horizontal="center" vertical="center"/>
    </xf>
    <xf numFmtId="0" fontId="33" fillId="51" borderId="5" applyAlignment="1" pivotButton="0" quotePrefix="0" xfId="0">
      <alignment horizontal="center"/>
    </xf>
    <xf numFmtId="0" fontId="33" fillId="38" borderId="5" applyAlignment="1" pivotButton="0" quotePrefix="0" xfId="0">
      <alignment horizontal="center"/>
    </xf>
    <xf numFmtId="0" fontId="38" fillId="52" borderId="15" applyAlignment="1" pivotButton="0" quotePrefix="1" xfId="0">
      <alignment horizontal="center"/>
    </xf>
    <xf numFmtId="0" fontId="33" fillId="53" borderId="6" applyAlignment="1" pivotButton="0" quotePrefix="0" xfId="0">
      <alignment horizontal="left" vertical="center"/>
    </xf>
    <xf numFmtId="0" fontId="33" fillId="53" borderId="0" applyAlignment="1" pivotButton="0" quotePrefix="0" xfId="0">
      <alignment horizontal="center" vertical="center"/>
    </xf>
    <xf numFmtId="165" fontId="33" fillId="53" borderId="6" applyAlignment="1" pivotButton="0" quotePrefix="0" xfId="0">
      <alignment horizontal="center" vertical="center"/>
    </xf>
    <xf numFmtId="165" fontId="33" fillId="53" borderId="7" applyAlignment="1" pivotButton="0" quotePrefix="0" xfId="0">
      <alignment horizontal="center" vertical="center"/>
    </xf>
    <xf numFmtId="0" fontId="33" fillId="53" borderId="0" applyAlignment="1" pivotButton="0" quotePrefix="0" xfId="0">
      <alignment horizontal="left" vertical="center"/>
    </xf>
    <xf numFmtId="0" fontId="33" fillId="40" borderId="0" applyAlignment="1" pivotButton="0" quotePrefix="0" xfId="0">
      <alignment horizontal="left" vertical="center"/>
    </xf>
    <xf numFmtId="0" fontId="33" fillId="40" borderId="0" applyAlignment="1" pivotButton="0" quotePrefix="0" xfId="0">
      <alignment horizontal="right" vertical="center"/>
    </xf>
    <xf numFmtId="165" fontId="33" fillId="40" borderId="6" applyAlignment="1" pivotButton="0" quotePrefix="0" xfId="0">
      <alignment horizontal="center" vertical="center"/>
    </xf>
    <xf numFmtId="165" fontId="33" fillId="40" borderId="7" applyAlignment="1" pivotButton="0" quotePrefix="0" xfId="0">
      <alignment horizontal="center" vertical="center"/>
    </xf>
    <xf numFmtId="0" fontId="38" fillId="52" borderId="0" applyAlignment="1" pivotButton="0" quotePrefix="1" xfId="0">
      <alignment horizontal="center"/>
    </xf>
    <xf numFmtId="0" fontId="41" fillId="27" borderId="0" applyAlignment="1" pivotButton="0" quotePrefix="0" xfId="0">
      <alignment horizontal="right" vertical="center"/>
    </xf>
    <xf numFmtId="0" fontId="38" fillId="52" borderId="20" applyAlignment="1" pivotButton="0" quotePrefix="0" xfId="0">
      <alignment horizontal="center"/>
    </xf>
    <xf numFmtId="0" fontId="38" fillId="52" borderId="0" applyAlignment="1" pivotButton="0" quotePrefix="0" xfId="0">
      <alignment horizontal="center"/>
    </xf>
    <xf numFmtId="0" fontId="38" fillId="44" borderId="7" applyAlignment="1" pivotButton="0" quotePrefix="0" xfId="0">
      <alignment horizontal="center" vertical="center"/>
    </xf>
    <xf numFmtId="0" fontId="38" fillId="52" borderId="5" applyAlignment="1" pivotButton="0" quotePrefix="0" xfId="0">
      <alignment horizontal="center"/>
    </xf>
    <xf numFmtId="16" fontId="33" fillId="53" borderId="6" applyAlignment="1" pivotButton="0" quotePrefix="0" xfId="0">
      <alignment horizontal="left" vertical="center"/>
    </xf>
    <xf numFmtId="16" fontId="33" fillId="53" borderId="0" applyAlignment="1" pivotButton="0" quotePrefix="0" xfId="0">
      <alignment horizontal="center" vertical="center"/>
    </xf>
    <xf numFmtId="16" fontId="33" fillId="53" borderId="0" applyAlignment="1" pivotButton="0" quotePrefix="0" xfId="0">
      <alignment horizontal="left" vertical="center"/>
    </xf>
    <xf numFmtId="0" fontId="33" fillId="37" borderId="0" applyAlignment="1" pivotButton="0" quotePrefix="0" xfId="0">
      <alignment horizontal="left" vertical="center"/>
    </xf>
    <xf numFmtId="0" fontId="33" fillId="37" borderId="0" applyAlignment="1" pivotButton="0" quotePrefix="0" xfId="0">
      <alignment horizontal="right" vertical="center"/>
    </xf>
    <xf numFmtId="0" fontId="41" fillId="26" borderId="0" applyAlignment="1" pivotButton="0" quotePrefix="0" xfId="0">
      <alignment horizontal="left" vertical="center"/>
    </xf>
    <xf numFmtId="0" fontId="41" fillId="26" borderId="7" applyAlignment="1" pivotButton="0" quotePrefix="0" xfId="0">
      <alignment horizontal="center" vertical="center"/>
    </xf>
    <xf numFmtId="0" fontId="33" fillId="53" borderId="0" applyAlignment="1" pivotButton="0" quotePrefix="0" xfId="0">
      <alignment horizontal="right" vertical="center"/>
    </xf>
    <xf numFmtId="16" fontId="33" fillId="0" borderId="0" applyAlignment="1" pivotButton="0" quotePrefix="0" xfId="0">
      <alignment vertical="center"/>
    </xf>
    <xf numFmtId="0" fontId="40" fillId="23" borderId="5" applyAlignment="1" pivotButton="0" quotePrefix="0" xfId="0">
      <alignment horizontal="center"/>
    </xf>
    <xf numFmtId="0" fontId="38" fillId="52" borderId="14" applyAlignment="1" pivotButton="0" quotePrefix="0" xfId="0">
      <alignment horizontal="center"/>
    </xf>
    <xf numFmtId="0" fontId="41" fillId="29" borderId="9" applyAlignment="1" pivotButton="0" quotePrefix="0" xfId="0">
      <alignment horizontal="left" vertical="center"/>
    </xf>
    <xf numFmtId="0" fontId="41" fillId="29" borderId="9" applyAlignment="1" pivotButton="0" quotePrefix="0" xfId="0">
      <alignment horizontal="right" vertical="center"/>
    </xf>
    <xf numFmtId="165" fontId="41" fillId="29" borderId="8" applyAlignment="1" pivotButton="0" quotePrefix="0" xfId="0">
      <alignment horizontal="center" vertical="center"/>
    </xf>
    <xf numFmtId="165" fontId="41" fillId="29" borderId="10" applyAlignment="1" pivotButton="0" quotePrefix="0" xfId="0">
      <alignment horizontal="center" vertical="center"/>
    </xf>
    <xf numFmtId="0" fontId="33" fillId="41" borderId="16" applyAlignment="1" pivotButton="0" quotePrefix="0" xfId="0">
      <alignment horizontal="center"/>
    </xf>
    <xf numFmtId="0" fontId="33" fillId="53" borderId="8" applyAlignment="1" pivotButton="0" quotePrefix="0" xfId="0">
      <alignment horizontal="left" vertical="center"/>
    </xf>
    <xf numFmtId="0" fontId="33" fillId="53" borderId="9" applyAlignment="1" pivotButton="0" quotePrefix="0" xfId="0">
      <alignment horizontal="center" vertical="center"/>
    </xf>
    <xf numFmtId="165" fontId="33" fillId="53" borderId="8" applyAlignment="1" pivotButton="0" quotePrefix="0" xfId="0">
      <alignment horizontal="center" vertical="center"/>
    </xf>
    <xf numFmtId="165" fontId="33" fillId="53" borderId="10" applyAlignment="1" pivotButton="0" quotePrefix="0" xfId="0">
      <alignment horizontal="center" vertical="center"/>
    </xf>
    <xf numFmtId="0" fontId="38" fillId="26" borderId="16" applyAlignment="1" pivotButton="0" quotePrefix="0" xfId="0">
      <alignment horizontal="center" vertical="center"/>
    </xf>
    <xf numFmtId="0" fontId="33" fillId="53" borderId="9" applyAlignment="1" pivotButton="0" quotePrefix="0" xfId="0">
      <alignment horizontal="left" vertical="center"/>
    </xf>
    <xf numFmtId="0" fontId="38" fillId="44" borderId="0" applyAlignment="1" pivotButton="0" quotePrefix="0" xfId="0">
      <alignment horizontal="right" vertical="center"/>
    </xf>
    <xf numFmtId="0" fontId="38" fillId="44" borderId="16" applyAlignment="1" pivotButton="0" quotePrefix="1" xfId="0">
      <alignment horizontal="center" vertical="center"/>
    </xf>
    <xf numFmtId="0" fontId="33" fillId="53" borderId="9" applyAlignment="1" pivotButton="0" quotePrefix="0" xfId="0">
      <alignment horizontal="right" vertical="center"/>
    </xf>
    <xf numFmtId="0" fontId="38" fillId="34" borderId="10" applyAlignment="1" pivotButton="0" quotePrefix="0" xfId="0">
      <alignment horizontal="center" vertical="center"/>
    </xf>
    <xf numFmtId="0" fontId="33" fillId="26" borderId="7" applyAlignment="1" pivotButton="0" quotePrefix="0" xfId="0">
      <alignment vertical="center"/>
    </xf>
    <xf numFmtId="167" fontId="38" fillId="26" borderId="6" applyAlignment="1" pivotButton="0" quotePrefix="0" xfId="0">
      <alignment horizontal="center" vertical="center"/>
    </xf>
    <xf numFmtId="167" fontId="38" fillId="26" borderId="7" applyAlignment="1" pivotButton="0" quotePrefix="0" xfId="0">
      <alignment horizontal="center" vertical="center"/>
    </xf>
    <xf numFmtId="0" fontId="38" fillId="26" borderId="7" applyAlignment="1" pivotButton="0" quotePrefix="0" xfId="0">
      <alignment horizontal="center" vertical="center"/>
    </xf>
    <xf numFmtId="0" fontId="38" fillId="26" borderId="0" applyAlignment="1" pivotButton="0" quotePrefix="0" xfId="0">
      <alignment horizontal="left" vertical="center"/>
    </xf>
    <xf numFmtId="0" fontId="33" fillId="30" borderId="6" applyAlignment="1" pivotButton="0" quotePrefix="0" xfId="0">
      <alignment horizontal="left" vertical="center"/>
    </xf>
    <xf numFmtId="0" fontId="33" fillId="30" borderId="0" applyAlignment="1" pivotButton="0" quotePrefix="0" xfId="0">
      <alignment horizontal="left" vertical="center"/>
    </xf>
    <xf numFmtId="167" fontId="33" fillId="30" borderId="6" applyAlignment="1" pivotButton="0" quotePrefix="0" xfId="0">
      <alignment horizontal="center" vertical="center"/>
    </xf>
    <xf numFmtId="167" fontId="33" fillId="30" borderId="7" applyAlignment="1" pivotButton="0" quotePrefix="0" xfId="0">
      <alignment horizontal="center" vertical="center"/>
    </xf>
    <xf numFmtId="0" fontId="33" fillId="30" borderId="0" applyAlignment="1" pivotButton="0" quotePrefix="0" xfId="0">
      <alignment horizontal="right" vertical="center"/>
    </xf>
    <xf numFmtId="165" fontId="33" fillId="30" borderId="6" applyAlignment="1" pivotButton="0" quotePrefix="0" xfId="0">
      <alignment horizontal="center" vertical="center"/>
    </xf>
    <xf numFmtId="165" fontId="33" fillId="30" borderId="7" applyAlignment="1" pivotButton="0" quotePrefix="0" xfId="0">
      <alignment horizontal="center" vertical="center"/>
    </xf>
    <xf numFmtId="0" fontId="38" fillId="34" borderId="0" applyAlignment="1" pivotButton="0" quotePrefix="0" xfId="0">
      <alignment horizontal="center" vertical="center"/>
    </xf>
    <xf numFmtId="0" fontId="46" fillId="35" borderId="6" applyAlignment="1" pivotButton="0" quotePrefix="0" xfId="0">
      <alignment horizontal="left" vertical="center"/>
    </xf>
    <xf numFmtId="0" fontId="46" fillId="35" borderId="0" applyAlignment="1" pivotButton="0" quotePrefix="0" xfId="0">
      <alignment horizontal="left" vertical="center"/>
    </xf>
    <xf numFmtId="165" fontId="46" fillId="35" borderId="6" applyAlignment="1" pivotButton="0" quotePrefix="0" xfId="0">
      <alignment horizontal="center" vertical="center"/>
    </xf>
    <xf numFmtId="165" fontId="46" fillId="35" borderId="7" applyAlignment="1" pivotButton="0" quotePrefix="0" xfId="0">
      <alignment horizontal="center" vertical="center"/>
    </xf>
    <xf numFmtId="0" fontId="41" fillId="27" borderId="6" applyAlignment="1" pivotButton="0" quotePrefix="0" xfId="0">
      <alignment vertical="center"/>
    </xf>
    <xf numFmtId="0" fontId="41" fillId="27" borderId="0" applyAlignment="1" pivotButton="0" quotePrefix="0" xfId="0">
      <alignment vertical="center"/>
    </xf>
    <xf numFmtId="16" fontId="41" fillId="27" borderId="6" applyAlignment="1" pivotButton="0" quotePrefix="0" xfId="0">
      <alignment horizontal="center" vertical="center"/>
    </xf>
    <xf numFmtId="16" fontId="41" fillId="27" borderId="7" applyAlignment="1" pivotButton="0" quotePrefix="0" xfId="0">
      <alignment horizontal="center" vertical="center"/>
    </xf>
    <xf numFmtId="0" fontId="33" fillId="31" borderId="6" applyAlignment="1" pivotButton="0" quotePrefix="0" xfId="0">
      <alignment horizontal="left" vertical="center"/>
    </xf>
    <xf numFmtId="0" fontId="33" fillId="31" borderId="0" applyAlignment="1" pivotButton="0" quotePrefix="0" xfId="0">
      <alignment horizontal="left" vertical="center"/>
    </xf>
    <xf numFmtId="167" fontId="33" fillId="31" borderId="6" applyAlignment="1" pivotButton="0" quotePrefix="0" xfId="0">
      <alignment horizontal="center" vertical="center"/>
    </xf>
    <xf numFmtId="167" fontId="33" fillId="31" borderId="7" applyAlignment="1" pivotButton="0" quotePrefix="0" xfId="0">
      <alignment horizontal="center" vertical="center"/>
    </xf>
    <xf numFmtId="0" fontId="33" fillId="31" borderId="0" applyAlignment="1" pivotButton="0" quotePrefix="0" xfId="0">
      <alignment horizontal="right" vertical="center"/>
    </xf>
    <xf numFmtId="165" fontId="33" fillId="31" borderId="6" applyAlignment="1" pivotButton="0" quotePrefix="0" xfId="0">
      <alignment horizontal="center" vertical="center"/>
    </xf>
    <xf numFmtId="165" fontId="33" fillId="31" borderId="7" applyAlignment="1" pivotButton="0" quotePrefix="0" xfId="0">
      <alignment horizontal="center" vertical="center"/>
    </xf>
    <xf numFmtId="0" fontId="33" fillId="42" borderId="6" applyAlignment="1" pivotButton="0" quotePrefix="0" xfId="0">
      <alignment vertical="center"/>
    </xf>
    <xf numFmtId="16" fontId="33" fillId="42" borderId="6" applyAlignment="1" pivotButton="0" quotePrefix="0" xfId="0">
      <alignment horizontal="center" vertical="center"/>
    </xf>
    <xf numFmtId="16" fontId="33" fillId="42" borderId="7" applyAlignment="1" pivotButton="0" quotePrefix="0" xfId="0">
      <alignment horizontal="center" vertical="center"/>
    </xf>
    <xf numFmtId="0" fontId="38" fillId="34" borderId="7" applyAlignment="1" pivotButton="0" quotePrefix="1" xfId="0">
      <alignment horizontal="center" vertical="center"/>
    </xf>
    <xf numFmtId="0" fontId="33" fillId="36" borderId="6" applyAlignment="1" pivotButton="0" quotePrefix="0" xfId="0">
      <alignment horizontal="left" vertical="center"/>
    </xf>
    <xf numFmtId="167" fontId="33" fillId="36" borderId="6" applyAlignment="1" pivotButton="0" quotePrefix="0" xfId="0">
      <alignment horizontal="center" vertical="center"/>
    </xf>
    <xf numFmtId="167" fontId="33" fillId="36" borderId="7" applyAlignment="1" pivotButton="0" quotePrefix="0" xfId="0">
      <alignment horizontal="center" vertical="center"/>
    </xf>
    <xf numFmtId="0" fontId="41" fillId="29" borderId="6" applyAlignment="1" pivotButton="0" quotePrefix="0" xfId="0">
      <alignment horizontal="left" vertical="center"/>
    </xf>
    <xf numFmtId="0" fontId="38" fillId="29" borderId="6" applyAlignment="1" pivotButton="0" quotePrefix="0" xfId="0">
      <alignment horizontal="left" vertical="center"/>
    </xf>
    <xf numFmtId="16" fontId="38" fillId="29" borderId="6" applyAlignment="1" pivotButton="0" quotePrefix="0" xfId="0">
      <alignment horizontal="center" vertical="center"/>
    </xf>
    <xf numFmtId="16" fontId="38" fillId="29" borderId="7" applyAlignment="1" pivotButton="0" quotePrefix="0" xfId="0">
      <alignment horizontal="center" vertical="center"/>
    </xf>
    <xf numFmtId="0" fontId="38" fillId="52" borderId="0" pivotButton="0" quotePrefix="0" xfId="0"/>
    <xf numFmtId="16" fontId="33" fillId="36" borderId="6" applyAlignment="1" pivotButton="0" quotePrefix="0" xfId="0">
      <alignment horizontal="left" vertical="center"/>
    </xf>
    <xf numFmtId="16" fontId="33" fillId="36" borderId="0" applyAlignment="1" pivotButton="0" quotePrefix="0" xfId="0">
      <alignment horizontal="left" vertical="center"/>
    </xf>
    <xf numFmtId="0" fontId="41" fillId="27" borderId="6" applyAlignment="1" pivotButton="0" quotePrefix="0" xfId="0">
      <alignment horizontal="left" vertical="center"/>
    </xf>
    <xf numFmtId="0" fontId="38" fillId="44" borderId="6" applyAlignment="1" pivotButton="0" quotePrefix="0" xfId="0">
      <alignment horizontal="left" vertical="center"/>
    </xf>
    <xf numFmtId="0" fontId="38" fillId="44" borderId="5" applyAlignment="1" pivotButton="0" quotePrefix="0" xfId="0">
      <alignment horizontal="center"/>
    </xf>
    <xf numFmtId="0" fontId="33" fillId="50" borderId="6" applyAlignment="1" pivotButton="0" quotePrefix="0" xfId="0">
      <alignment horizontal="left" vertical="center"/>
    </xf>
    <xf numFmtId="0" fontId="33" fillId="50" borderId="0" applyAlignment="1" pivotButton="0" quotePrefix="0" xfId="0">
      <alignment horizontal="left" vertical="center"/>
    </xf>
    <xf numFmtId="167" fontId="33" fillId="50" borderId="6" applyAlignment="1" pivotButton="0" quotePrefix="0" xfId="0">
      <alignment horizontal="center" vertical="center"/>
    </xf>
    <xf numFmtId="167" fontId="33" fillId="50" borderId="7" applyAlignment="1" pivotButton="0" quotePrefix="0" xfId="0">
      <alignment horizontal="center" vertical="center"/>
    </xf>
    <xf numFmtId="0" fontId="37" fillId="38" borderId="18" applyAlignment="1" pivotButton="0" quotePrefix="0" xfId="0">
      <alignment horizontal="center" vertical="center"/>
    </xf>
    <xf numFmtId="0" fontId="38" fillId="26" borderId="0" applyAlignment="1" pivotButton="0" quotePrefix="1" xfId="0">
      <alignment horizontal="right" vertical="center"/>
    </xf>
    <xf numFmtId="0" fontId="43" fillId="27" borderId="6" applyAlignment="1" pivotButton="0" quotePrefix="0" xfId="0">
      <alignment horizontal="left" vertical="center"/>
    </xf>
    <xf numFmtId="0" fontId="43" fillId="27" borderId="0" applyAlignment="1" pivotButton="0" quotePrefix="0" xfId="0">
      <alignment horizontal="left" vertical="center"/>
    </xf>
    <xf numFmtId="165" fontId="43" fillId="27" borderId="6" applyAlignment="1" pivotButton="0" quotePrefix="0" xfId="0">
      <alignment horizontal="center" vertical="center"/>
    </xf>
    <xf numFmtId="165" fontId="43" fillId="27" borderId="7" applyAlignment="1" pivotButton="0" quotePrefix="0" xfId="0">
      <alignment horizontal="center" vertical="center"/>
    </xf>
    <xf numFmtId="0" fontId="47" fillId="50" borderId="7" applyAlignment="1" pivotButton="0" quotePrefix="0" xfId="0">
      <alignment horizontal="center" vertical="center"/>
    </xf>
    <xf numFmtId="0" fontId="33" fillId="48" borderId="6" applyAlignment="1" pivotButton="0" quotePrefix="0" xfId="0">
      <alignment horizontal="left" vertical="center"/>
    </xf>
    <xf numFmtId="0" fontId="38" fillId="26" borderId="7" applyAlignment="1" pivotButton="0" quotePrefix="0" xfId="0">
      <alignment horizontal="left" vertical="center"/>
    </xf>
    <xf numFmtId="0" fontId="38" fillId="49" borderId="6" applyAlignment="1" pivotButton="0" quotePrefix="0" xfId="0">
      <alignment vertical="center"/>
    </xf>
    <xf numFmtId="16" fontId="38" fillId="49" borderId="6" applyAlignment="1" pivotButton="0" quotePrefix="0" xfId="0">
      <alignment horizontal="center" vertical="center"/>
    </xf>
    <xf numFmtId="16" fontId="38" fillId="49" borderId="7" applyAlignment="1" pivotButton="0" quotePrefix="0" xfId="0">
      <alignment horizontal="center" vertical="center"/>
    </xf>
    <xf numFmtId="0" fontId="48" fillId="54" borderId="0" applyAlignment="1" pivotButton="0" quotePrefix="0" xfId="0">
      <alignment horizontal="left" vertical="center"/>
    </xf>
    <xf numFmtId="0" fontId="38" fillId="33" borderId="6" applyAlignment="1" pivotButton="0" quotePrefix="0" xfId="0">
      <alignment horizontal="left" vertical="center"/>
    </xf>
    <xf numFmtId="0" fontId="34" fillId="33" borderId="0" applyAlignment="1" pivotButton="0" quotePrefix="0" xfId="0">
      <alignment horizontal="left" vertical="center"/>
    </xf>
    <xf numFmtId="167" fontId="38" fillId="33" borderId="6" applyAlignment="1" pivotButton="0" quotePrefix="0" xfId="0">
      <alignment horizontal="center" vertical="center"/>
    </xf>
    <xf numFmtId="167" fontId="38" fillId="33" borderId="7" applyAlignment="1" pivotButton="0" quotePrefix="0" xfId="0">
      <alignment horizontal="center" vertical="center"/>
    </xf>
    <xf numFmtId="16" fontId="33" fillId="40" borderId="6" applyAlignment="1" pivotButton="0" quotePrefix="0" xfId="0">
      <alignment horizontal="left" vertical="center"/>
    </xf>
    <xf numFmtId="16" fontId="37" fillId="40" borderId="0" applyAlignment="1" pivotButton="0" quotePrefix="0" xfId="0">
      <alignment horizontal="left" vertical="center"/>
    </xf>
    <xf numFmtId="0" fontId="38" fillId="49" borderId="0" applyAlignment="1" pivotButton="0" quotePrefix="0" xfId="0">
      <alignment vertical="center"/>
    </xf>
    <xf numFmtId="16" fontId="38" fillId="44" borderId="6" applyAlignment="1" pivotButton="0" quotePrefix="0" xfId="0">
      <alignment horizontal="center" vertical="center"/>
    </xf>
    <xf numFmtId="16" fontId="38" fillId="44" borderId="7" applyAlignment="1" pivotButton="0" quotePrefix="0" xfId="0">
      <alignment horizontal="center" vertical="center"/>
    </xf>
    <xf numFmtId="0" fontId="33" fillId="26" borderId="0" applyAlignment="1" pivotButton="0" quotePrefix="0" xfId="0">
      <alignment vertical="center"/>
    </xf>
    <xf numFmtId="16" fontId="33" fillId="48" borderId="6" applyAlignment="1" pivotButton="0" quotePrefix="0" xfId="0">
      <alignment horizontal="left" vertical="center"/>
    </xf>
    <xf numFmtId="16" fontId="33" fillId="48" borderId="0" applyAlignment="1" pivotButton="0" quotePrefix="0" xfId="0">
      <alignment horizontal="left" vertical="center"/>
    </xf>
    <xf numFmtId="0" fontId="42" fillId="35" borderId="6" applyAlignment="1" pivotButton="0" quotePrefix="0" xfId="0">
      <alignment horizontal="left" vertical="center"/>
    </xf>
    <xf numFmtId="0" fontId="42" fillId="35" borderId="0" applyAlignment="1" pivotButton="0" quotePrefix="0" xfId="0">
      <alignment horizontal="left" vertical="center"/>
    </xf>
    <xf numFmtId="165" fontId="42" fillId="35" borderId="6" applyAlignment="1" pivotButton="0" quotePrefix="0" xfId="0">
      <alignment horizontal="center" vertical="center"/>
    </xf>
    <xf numFmtId="165" fontId="42" fillId="35" borderId="7" applyAlignment="1" pivotButton="0" quotePrefix="0" xfId="0">
      <alignment horizontal="center" vertical="center"/>
    </xf>
    <xf numFmtId="16" fontId="33" fillId="37" borderId="6" applyAlignment="1" pivotButton="0" quotePrefix="0" xfId="0">
      <alignment horizontal="left" vertical="center"/>
    </xf>
    <xf numFmtId="0" fontId="38" fillId="44" borderId="7" applyAlignment="1" pivotButton="0" quotePrefix="1" xfId="0">
      <alignment horizontal="center" vertical="center"/>
    </xf>
    <xf numFmtId="16" fontId="38" fillId="27" borderId="6" applyAlignment="1" pivotButton="0" quotePrefix="0" xfId="0">
      <alignment horizontal="center" vertical="center"/>
    </xf>
    <xf numFmtId="16" fontId="38" fillId="27" borderId="7" applyAlignment="1" pivotButton="0" quotePrefix="0" xfId="0">
      <alignment horizontal="center" vertical="center"/>
    </xf>
    <xf numFmtId="0" fontId="37" fillId="40" borderId="6" applyAlignment="1" pivotButton="0" quotePrefix="0" xfId="0">
      <alignment horizontal="left" vertical="center"/>
    </xf>
    <xf numFmtId="0" fontId="37" fillId="50" borderId="6" applyAlignment="1" pivotButton="0" quotePrefix="0" xfId="0">
      <alignment horizontal="left" vertical="center"/>
    </xf>
    <xf numFmtId="0" fontId="33" fillId="40" borderId="6" applyAlignment="1" pivotButton="0" quotePrefix="0" xfId="0">
      <alignment horizontal="left" vertical="center"/>
    </xf>
    <xf numFmtId="0" fontId="33" fillId="40" borderId="0" applyAlignment="1" pivotButton="0" quotePrefix="0" xfId="0">
      <alignment vertical="center"/>
    </xf>
    <xf numFmtId="16" fontId="33" fillId="40" borderId="6" applyAlignment="1" pivotButton="0" quotePrefix="0" xfId="0">
      <alignment horizontal="center" vertical="center"/>
    </xf>
    <xf numFmtId="16" fontId="33" fillId="40" borderId="7" applyAlignment="1" pivotButton="0" quotePrefix="0" xfId="0">
      <alignment horizontal="center" vertical="center"/>
    </xf>
    <xf numFmtId="0" fontId="33" fillId="38" borderId="0" applyAlignment="1" pivotButton="0" quotePrefix="0" xfId="0">
      <alignment horizontal="center" vertical="center"/>
    </xf>
    <xf numFmtId="16" fontId="37" fillId="37" borderId="0" applyAlignment="1" pivotButton="0" quotePrefix="0" xfId="0">
      <alignment horizontal="left" vertical="center"/>
    </xf>
    <xf numFmtId="0" fontId="33" fillId="43" borderId="6" applyAlignment="1" pivotButton="0" quotePrefix="0" xfId="0">
      <alignment horizontal="left" vertical="center"/>
    </xf>
    <xf numFmtId="0" fontId="38" fillId="34" borderId="18" applyAlignment="1" pivotButton="0" quotePrefix="1" xfId="0">
      <alignment horizontal="center" vertical="center"/>
    </xf>
    <xf numFmtId="0" fontId="33" fillId="53" borderId="6" applyAlignment="1" pivotButton="0" quotePrefix="0" xfId="0">
      <alignment vertical="center"/>
    </xf>
    <xf numFmtId="0" fontId="33" fillId="53" borderId="0" applyAlignment="1" pivotButton="0" quotePrefix="0" xfId="0">
      <alignment vertical="center"/>
    </xf>
    <xf numFmtId="16" fontId="33" fillId="53" borderId="6" applyAlignment="1" pivotButton="0" quotePrefix="0" xfId="0">
      <alignment horizontal="center" vertical="center"/>
    </xf>
    <xf numFmtId="16" fontId="33" fillId="53" borderId="7" applyAlignment="1" pivotButton="0" quotePrefix="0" xfId="0">
      <alignment horizontal="center" vertical="center"/>
    </xf>
    <xf numFmtId="0" fontId="37" fillId="53" borderId="6" applyAlignment="1" pivotButton="0" quotePrefix="0" xfId="0">
      <alignment vertical="center"/>
    </xf>
    <xf numFmtId="16" fontId="37" fillId="38" borderId="6" applyAlignment="1" pivotButton="0" quotePrefix="0" xfId="0">
      <alignment horizontal="left" vertical="center"/>
    </xf>
    <xf numFmtId="0" fontId="37" fillId="53" borderId="0" applyAlignment="1" pivotButton="0" quotePrefix="0" xfId="0">
      <alignment vertical="center"/>
    </xf>
    <xf numFmtId="16" fontId="33" fillId="38" borderId="6" applyAlignment="1" pivotButton="0" quotePrefix="0" xfId="0">
      <alignment horizontal="left" vertical="center"/>
    </xf>
    <xf numFmtId="0" fontId="34" fillId="34" borderId="0" applyAlignment="1" pivotButton="0" quotePrefix="0" xfId="0">
      <alignment horizontal="center" vertical="center"/>
    </xf>
    <xf numFmtId="0" fontId="33" fillId="26" borderId="18" applyAlignment="1" pivotButton="0" quotePrefix="0" xfId="0">
      <alignment vertical="center"/>
    </xf>
    <xf numFmtId="167" fontId="38" fillId="44" borderId="6" applyAlignment="1" pivotButton="0" quotePrefix="0" xfId="0">
      <alignment horizontal="center" vertical="center"/>
    </xf>
    <xf numFmtId="167" fontId="38" fillId="44" borderId="7" applyAlignment="1" pivotButton="0" quotePrefix="0" xfId="0">
      <alignment horizontal="center" vertical="center"/>
    </xf>
    <xf numFmtId="0" fontId="38" fillId="27" borderId="6" applyAlignment="1" pivotButton="0" quotePrefix="0" xfId="0">
      <alignment horizontal="left" vertical="center"/>
    </xf>
    <xf numFmtId="0" fontId="34" fillId="45" borderId="18" applyAlignment="1" pivotButton="0" quotePrefix="0" xfId="0">
      <alignment horizontal="center" vertical="center"/>
    </xf>
    <xf numFmtId="0" fontId="33" fillId="38" borderId="0" applyAlignment="1" pivotButton="0" quotePrefix="0" xfId="0">
      <alignment vertical="center"/>
    </xf>
    <xf numFmtId="0" fontId="33" fillId="45" borderId="0" applyAlignment="1" pivotButton="0" quotePrefix="0" xfId="0">
      <alignment vertical="center"/>
    </xf>
    <xf numFmtId="0" fontId="33" fillId="50" borderId="0" applyAlignment="1" pivotButton="0" quotePrefix="0" xfId="0">
      <alignment vertical="center"/>
    </xf>
    <xf numFmtId="0" fontId="33" fillId="50" borderId="0" applyAlignment="1" pivotButton="0" quotePrefix="0" xfId="0">
      <alignment horizontal="right" vertical="center"/>
    </xf>
    <xf numFmtId="165" fontId="33" fillId="50" borderId="6" applyAlignment="1" pivotButton="0" quotePrefix="0" xfId="0">
      <alignment horizontal="center" vertical="center"/>
    </xf>
    <xf numFmtId="165" fontId="33" fillId="50" borderId="7" applyAlignment="1" pivotButton="0" quotePrefix="0" xfId="0">
      <alignment horizontal="center" vertical="center"/>
    </xf>
    <xf numFmtId="0" fontId="33" fillId="48" borderId="0" applyAlignment="1" pivotButton="0" quotePrefix="0" xfId="0">
      <alignment vertical="center"/>
    </xf>
    <xf numFmtId="0" fontId="37" fillId="30" borderId="6" applyAlignment="1" pivotButton="0" quotePrefix="0" xfId="0">
      <alignment horizontal="left" vertical="center"/>
    </xf>
    <xf numFmtId="0" fontId="33" fillId="37" borderId="0" applyAlignment="1" pivotButton="0" quotePrefix="0" xfId="0">
      <alignment vertical="center"/>
    </xf>
    <xf numFmtId="0" fontId="33" fillId="26" borderId="16" applyAlignment="1" pivotButton="0" quotePrefix="0" xfId="0">
      <alignment vertical="center"/>
    </xf>
    <xf numFmtId="0" fontId="38" fillId="53" borderId="6" applyAlignment="1" pivotButton="0" quotePrefix="0" xfId="0">
      <alignment vertical="center"/>
    </xf>
    <xf numFmtId="0" fontId="38" fillId="53" borderId="0" applyAlignment="1" pivotButton="0" quotePrefix="0" xfId="0">
      <alignment vertical="center"/>
    </xf>
    <xf numFmtId="16" fontId="38" fillId="53" borderId="6" applyAlignment="1" pivotButton="0" quotePrefix="0" xfId="0">
      <alignment horizontal="center" vertical="center"/>
    </xf>
    <xf numFmtId="16" fontId="38" fillId="53" borderId="7" applyAlignment="1" pivotButton="0" quotePrefix="0" xfId="0">
      <alignment horizontal="center" vertical="center"/>
    </xf>
    <xf numFmtId="0" fontId="38" fillId="53" borderId="8" applyAlignment="1" pivotButton="0" quotePrefix="0" xfId="0">
      <alignment vertical="center"/>
    </xf>
    <xf numFmtId="0" fontId="38" fillId="53" borderId="9" applyAlignment="1" pivotButton="0" quotePrefix="0" xfId="0">
      <alignment vertical="center"/>
    </xf>
    <xf numFmtId="16" fontId="38" fillId="53" borderId="8" applyAlignment="1" pivotButton="0" quotePrefix="0" xfId="0">
      <alignment horizontal="center" vertical="center"/>
    </xf>
    <xf numFmtId="16" fontId="38" fillId="53" borderId="10" applyAlignment="1" pivotButton="0" quotePrefix="0" xfId="0">
      <alignment horizontal="center" vertical="center"/>
    </xf>
    <xf numFmtId="0" fontId="33" fillId="14" borderId="0" applyAlignment="1" pivotButton="0" quotePrefix="0" xfId="0">
      <alignment vertical="center"/>
    </xf>
    <xf numFmtId="165" fontId="33" fillId="30" borderId="0" applyAlignment="1" pivotButton="0" quotePrefix="0" xfId="0">
      <alignment horizontal="center" vertical="center"/>
    </xf>
    <xf numFmtId="16" fontId="38" fillId="26" borderId="6" applyAlignment="1" pivotButton="0" quotePrefix="0" xfId="0">
      <alignment horizontal="center" vertical="center"/>
    </xf>
    <xf numFmtId="16" fontId="38" fillId="26" borderId="7" applyAlignment="1" pivotButton="0" quotePrefix="0" xfId="0">
      <alignment horizontal="center" vertical="center"/>
    </xf>
    <xf numFmtId="0" fontId="41" fillId="29" borderId="15" applyAlignment="1" pivotButton="0" quotePrefix="0" xfId="0">
      <alignment vertical="center"/>
    </xf>
    <xf numFmtId="0" fontId="41" fillId="29" borderId="11" applyAlignment="1" pivotButton="0" quotePrefix="0" xfId="0">
      <alignment horizontal="right" vertical="center"/>
    </xf>
    <xf numFmtId="16" fontId="41" fillId="29" borderId="15" applyAlignment="1" pivotButton="0" quotePrefix="0" xfId="0">
      <alignment horizontal="center" vertical="center"/>
    </xf>
    <xf numFmtId="16" fontId="41" fillId="29" borderId="11" applyAlignment="1" pivotButton="0" quotePrefix="0" xfId="0">
      <alignment horizontal="center" vertical="center"/>
    </xf>
    <xf numFmtId="0" fontId="38" fillId="34" borderId="15" applyAlignment="1" pivotButton="0" quotePrefix="0" xfId="0">
      <alignment horizontal="center" vertical="center"/>
    </xf>
    <xf numFmtId="16" fontId="37" fillId="31" borderId="6" applyAlignment="1" pivotButton="0" quotePrefix="0" xfId="0">
      <alignment horizontal="center" vertical="center"/>
    </xf>
    <xf numFmtId="16" fontId="33" fillId="31" borderId="7" applyAlignment="1" pivotButton="0" quotePrefix="0" xfId="0">
      <alignment horizontal="center" vertical="center"/>
    </xf>
    <xf numFmtId="0" fontId="38" fillId="34" borderId="6" applyAlignment="1" pivotButton="0" quotePrefix="0" xfId="0">
      <alignment horizontal="center" vertical="center"/>
    </xf>
    <xf numFmtId="0" fontId="33" fillId="58" borderId="15" applyAlignment="1" pivotButton="0" quotePrefix="0" xfId="0">
      <alignment horizontal="left" vertical="center"/>
    </xf>
    <xf numFmtId="0" fontId="33" fillId="58" borderId="11" applyAlignment="1" pivotButton="0" quotePrefix="0" xfId="0">
      <alignment horizontal="left" vertical="center"/>
    </xf>
    <xf numFmtId="16" fontId="33" fillId="58" borderId="15" applyAlignment="1" pivotButton="0" quotePrefix="0" xfId="0">
      <alignment horizontal="center" vertical="center"/>
    </xf>
    <xf numFmtId="16" fontId="33" fillId="58" borderId="11" applyAlignment="1" pivotButton="0" quotePrefix="0" xfId="0">
      <alignment horizontal="center" vertical="center"/>
    </xf>
    <xf numFmtId="0" fontId="38" fillId="34" borderId="6" applyAlignment="1" pivotButton="0" quotePrefix="1" xfId="0">
      <alignment horizontal="center" vertical="center"/>
    </xf>
    <xf numFmtId="0" fontId="38" fillId="34" borderId="12" applyAlignment="1" pivotButton="0" quotePrefix="1" xfId="0">
      <alignment horizontal="center" vertical="center"/>
    </xf>
    <xf numFmtId="0" fontId="33" fillId="31" borderId="7" applyAlignment="1" pivotButton="0" quotePrefix="0" xfId="0">
      <alignment horizontal="right" vertical="center"/>
    </xf>
    <xf numFmtId="16" fontId="33" fillId="31" borderId="6" applyAlignment="1" pivotButton="0" quotePrefix="0" xfId="0">
      <alignment horizontal="center" vertical="center"/>
    </xf>
    <xf numFmtId="16" fontId="33" fillId="31" borderId="0" applyAlignment="1" pivotButton="0" quotePrefix="0" xfId="0">
      <alignment horizontal="center" vertical="center"/>
    </xf>
    <xf numFmtId="0" fontId="34" fillId="49" borderId="0" applyAlignment="1" pivotButton="0" quotePrefix="0" xfId="0">
      <alignment horizontal="right" vertical="center"/>
    </xf>
    <xf numFmtId="165" fontId="33" fillId="31" borderId="0" applyAlignment="1" pivotButton="0" quotePrefix="0" xfId="0">
      <alignment horizontal="center" vertical="center"/>
    </xf>
    <xf numFmtId="0" fontId="34" fillId="33" borderId="7" applyAlignment="1" pivotButton="0" quotePrefix="0" xfId="0">
      <alignment horizontal="left" vertical="center"/>
    </xf>
    <xf numFmtId="16" fontId="38" fillId="33" borderId="6" applyAlignment="1" pivotButton="0" quotePrefix="0" xfId="0">
      <alignment horizontal="center" vertical="center"/>
    </xf>
    <xf numFmtId="16" fontId="38" fillId="33" borderId="7" applyAlignment="1" pivotButton="0" quotePrefix="0" xfId="0">
      <alignment horizontal="center" vertical="center"/>
    </xf>
    <xf numFmtId="0" fontId="33" fillId="30" borderId="7" applyAlignment="1" pivotButton="0" quotePrefix="0" xfId="0">
      <alignment horizontal="right" vertical="center"/>
    </xf>
    <xf numFmtId="16" fontId="33" fillId="30" borderId="6" applyAlignment="1" pivotButton="0" quotePrefix="0" xfId="0">
      <alignment horizontal="center" vertical="center"/>
    </xf>
    <xf numFmtId="16" fontId="33" fillId="30" borderId="7" applyAlignment="1" pivotButton="0" quotePrefix="0" xfId="0">
      <alignment horizontal="center" vertical="center"/>
    </xf>
    <xf numFmtId="0" fontId="33" fillId="58" borderId="6" applyAlignment="1" pivotButton="0" quotePrefix="0" xfId="0">
      <alignment horizontal="left" vertical="center"/>
    </xf>
    <xf numFmtId="0" fontId="33" fillId="58" borderId="7" applyAlignment="1" pivotButton="0" quotePrefix="0" xfId="0">
      <alignment horizontal="left" vertical="center"/>
    </xf>
    <xf numFmtId="16" fontId="37" fillId="58" borderId="6" applyAlignment="1" pivotButton="0" quotePrefix="0" xfId="0">
      <alignment horizontal="center" vertical="center"/>
    </xf>
    <xf numFmtId="16" fontId="33" fillId="58" borderId="7" applyAlignment="1" pivotButton="0" quotePrefix="0" xfId="0">
      <alignment horizontal="center" vertical="center"/>
    </xf>
    <xf numFmtId="16" fontId="33" fillId="30" borderId="0" applyAlignment="1" pivotButton="0" quotePrefix="0" xfId="0">
      <alignment horizontal="center" vertical="center"/>
    </xf>
    <xf numFmtId="0" fontId="38" fillId="50" borderId="18" applyAlignment="1" pivotButton="0" quotePrefix="0" xfId="0">
      <alignment horizontal="center" vertical="center"/>
    </xf>
    <xf numFmtId="0" fontId="41" fillId="27" borderId="7" applyAlignment="1" pivotButton="0" quotePrefix="0" xfId="0">
      <alignment horizontal="right" vertical="center"/>
    </xf>
    <xf numFmtId="0" fontId="33" fillId="58" borderId="7" applyAlignment="1" pivotButton="0" quotePrefix="0" xfId="0">
      <alignment horizontal="right" vertical="center"/>
    </xf>
    <xf numFmtId="16" fontId="33" fillId="58" borderId="6" applyAlignment="1" pivotButton="0" quotePrefix="0" xfId="0">
      <alignment horizontal="center" vertical="center"/>
    </xf>
    <xf numFmtId="0" fontId="38" fillId="49" borderId="7" applyAlignment="1" pivotButton="0" quotePrefix="0" xfId="0">
      <alignment horizontal="left" vertical="center"/>
    </xf>
    <xf numFmtId="0" fontId="33" fillId="48" borderId="7" applyAlignment="1" pivotButton="0" quotePrefix="0" xfId="0">
      <alignment horizontal="right" vertical="center"/>
    </xf>
    <xf numFmtId="16" fontId="33" fillId="48" borderId="6" applyAlignment="1" pivotButton="0" quotePrefix="0" xfId="0">
      <alignment horizontal="center" vertical="center"/>
    </xf>
    <xf numFmtId="16" fontId="33" fillId="48" borderId="0" applyAlignment="1" pivotButton="0" quotePrefix="0" xfId="0">
      <alignment horizontal="center" vertical="center"/>
    </xf>
    <xf numFmtId="0" fontId="41" fillId="29" borderId="0" applyAlignment="1" pivotButton="0" quotePrefix="0" xfId="0">
      <alignment vertical="center"/>
    </xf>
    <xf numFmtId="16" fontId="41" fillId="29" borderId="6" applyAlignment="1" pivotButton="0" quotePrefix="0" xfId="0">
      <alignment horizontal="center" vertical="center"/>
    </xf>
    <xf numFmtId="16" fontId="41" fillId="29" borderId="7" applyAlignment="1" pivotButton="0" quotePrefix="0" xfId="0">
      <alignment horizontal="center" vertical="center"/>
    </xf>
    <xf numFmtId="0" fontId="41" fillId="29" borderId="7" applyAlignment="1" pivotButton="0" quotePrefix="0" xfId="0">
      <alignment horizontal="center" vertical="center"/>
    </xf>
    <xf numFmtId="0" fontId="43" fillId="27" borderId="6" applyAlignment="1" pivotButton="0" quotePrefix="0" xfId="0">
      <alignment vertical="center"/>
    </xf>
    <xf numFmtId="0" fontId="43" fillId="27" borderId="7" applyAlignment="1" pivotButton="0" quotePrefix="0" xfId="0">
      <alignment horizontal="right" vertical="center"/>
    </xf>
    <xf numFmtId="16" fontId="43" fillId="27" borderId="6" applyAlignment="1" pivotButton="0" quotePrefix="0" xfId="0">
      <alignment horizontal="center" vertical="center"/>
    </xf>
    <xf numFmtId="16" fontId="43" fillId="27" borderId="7" applyAlignment="1" pivotButton="0" quotePrefix="0" xfId="0">
      <alignment horizontal="center" vertical="center"/>
    </xf>
    <xf numFmtId="0" fontId="43" fillId="34" borderId="6" applyAlignment="1" pivotButton="0" quotePrefix="1" xfId="0">
      <alignment horizontal="center" vertical="center"/>
    </xf>
    <xf numFmtId="0" fontId="38" fillId="59" borderId="6" applyAlignment="1" pivotButton="0" quotePrefix="0" xfId="0">
      <alignment horizontal="left" vertical="center"/>
    </xf>
    <xf numFmtId="0" fontId="38" fillId="59" borderId="7" applyAlignment="1" pivotButton="0" quotePrefix="0" xfId="0">
      <alignment horizontal="right" vertical="center"/>
    </xf>
    <xf numFmtId="16" fontId="38" fillId="59" borderId="6" applyAlignment="1" pivotButton="0" quotePrefix="0" xfId="0">
      <alignment horizontal="center" vertical="center"/>
    </xf>
    <xf numFmtId="16" fontId="38" fillId="59" borderId="7" applyAlignment="1" pivotButton="0" quotePrefix="0" xfId="0">
      <alignment horizontal="center" vertical="center"/>
    </xf>
    <xf numFmtId="0" fontId="38" fillId="59" borderId="18" applyAlignment="1" pivotButton="0" quotePrefix="0" xfId="0">
      <alignment horizontal="center" vertical="center"/>
    </xf>
    <xf numFmtId="0" fontId="38" fillId="26" borderId="18" applyAlignment="1" pivotButton="0" quotePrefix="1" xfId="0">
      <alignment horizontal="center" vertical="center"/>
    </xf>
    <xf numFmtId="0" fontId="37" fillId="31" borderId="0" applyAlignment="1" pivotButton="0" quotePrefix="0" xfId="0">
      <alignment horizontal="left" vertical="center"/>
    </xf>
    <xf numFmtId="0" fontId="37" fillId="31" borderId="0" applyAlignment="1" pivotButton="0" quotePrefix="0" xfId="0">
      <alignment horizontal="right" vertical="center"/>
    </xf>
    <xf numFmtId="0" fontId="41" fillId="27" borderId="7" applyAlignment="1" pivotButton="0" quotePrefix="0" xfId="0">
      <alignment horizontal="center" vertical="center"/>
    </xf>
    <xf numFmtId="0" fontId="41" fillId="29" borderId="6" applyAlignment="1" pivotButton="0" quotePrefix="0" xfId="0">
      <alignment vertical="center"/>
    </xf>
    <xf numFmtId="0" fontId="41" fillId="29" borderId="7" applyAlignment="1" pivotButton="0" quotePrefix="0" xfId="0">
      <alignment horizontal="right" vertical="center"/>
    </xf>
    <xf numFmtId="0" fontId="38" fillId="59" borderId="6" applyAlignment="1" pivotButton="0" quotePrefix="0" xfId="0">
      <alignment horizontal="center" vertical="center"/>
    </xf>
    <xf numFmtId="16" fontId="38" fillId="49" borderId="0" applyAlignment="1" pivotButton="0" quotePrefix="0" xfId="0">
      <alignment horizontal="center" vertical="center"/>
    </xf>
    <xf numFmtId="0" fontId="33" fillId="42" borderId="7" applyAlignment="1" pivotButton="0" quotePrefix="0" xfId="0">
      <alignment horizontal="right" vertical="center"/>
    </xf>
    <xf numFmtId="16" fontId="33" fillId="58" borderId="0" applyAlignment="1" pivotButton="0" quotePrefix="0" xfId="0">
      <alignment horizontal="center" vertical="center"/>
    </xf>
    <xf numFmtId="0" fontId="34" fillId="60" borderId="18" applyAlignment="1" pivotButton="0" quotePrefix="0" xfId="0">
      <alignment horizontal="center" vertical="center"/>
    </xf>
    <xf numFmtId="0" fontId="43" fillId="27" borderId="0" applyAlignment="1" pivotButton="0" quotePrefix="0" xfId="0">
      <alignment horizontal="right" vertical="center"/>
    </xf>
    <xf numFmtId="0" fontId="43" fillId="34" borderId="18" applyAlignment="1" pivotButton="0" quotePrefix="1" xfId="0">
      <alignment horizontal="center" vertical="center"/>
    </xf>
    <xf numFmtId="0" fontId="38" fillId="27" borderId="0" applyAlignment="1" pivotButton="0" quotePrefix="0" xfId="0">
      <alignment vertical="center"/>
    </xf>
    <xf numFmtId="0" fontId="38" fillId="27" borderId="7" applyAlignment="1" pivotButton="0" quotePrefix="0" xfId="0">
      <alignment horizontal="center" vertical="center"/>
    </xf>
    <xf numFmtId="0" fontId="38" fillId="44" borderId="7" applyAlignment="1" pivotButton="0" quotePrefix="0" xfId="0">
      <alignment horizontal="right" vertical="center"/>
    </xf>
    <xf numFmtId="0" fontId="38" fillId="44" borderId="6" applyAlignment="1" pivotButton="0" quotePrefix="0" xfId="0">
      <alignment horizontal="center" vertical="center"/>
    </xf>
    <xf numFmtId="0" fontId="33" fillId="38" borderId="6" applyAlignment="1" pivotButton="0" quotePrefix="0" xfId="0">
      <alignment horizontal="left" vertical="center"/>
    </xf>
    <xf numFmtId="0" fontId="33" fillId="38" borderId="7" applyAlignment="1" pivotButton="0" quotePrefix="0" xfId="0">
      <alignment horizontal="right" vertical="center"/>
    </xf>
    <xf numFmtId="16" fontId="33" fillId="38" borderId="6" applyAlignment="1" pivotButton="0" quotePrefix="0" xfId="0">
      <alignment horizontal="center" vertical="center"/>
    </xf>
    <xf numFmtId="0" fontId="38" fillId="27" borderId="6" applyAlignment="1" pivotButton="0" quotePrefix="0" xfId="0">
      <alignment vertical="center"/>
    </xf>
    <xf numFmtId="0" fontId="38" fillId="26" borderId="7" applyAlignment="1" pivotButton="0" quotePrefix="0" xfId="0">
      <alignment horizontal="right" vertical="center"/>
    </xf>
    <xf numFmtId="0" fontId="38" fillId="29" borderId="6" applyAlignment="1" pivotButton="0" quotePrefix="0" xfId="0">
      <alignment vertical="center"/>
    </xf>
    <xf numFmtId="0" fontId="33" fillId="40" borderId="7" applyAlignment="1" pivotButton="0" quotePrefix="0" xfId="0">
      <alignment horizontal="center" vertical="center"/>
    </xf>
    <xf numFmtId="0" fontId="33" fillId="38" borderId="0" applyAlignment="1" pivotButton="0" quotePrefix="0" xfId="0">
      <alignment horizontal="right" vertical="center"/>
    </xf>
    <xf numFmtId="16" fontId="33" fillId="38" borderId="7" applyAlignment="1" pivotButton="0" quotePrefix="0" xfId="0">
      <alignment horizontal="center" vertical="center"/>
    </xf>
    <xf numFmtId="0" fontId="33" fillId="38" borderId="7" applyAlignment="1" pivotButton="0" quotePrefix="0" xfId="0">
      <alignment horizontal="center" vertical="center"/>
    </xf>
    <xf numFmtId="0" fontId="38" fillId="44" borderId="9" applyAlignment="1" pivotButton="0" quotePrefix="0" xfId="0">
      <alignment horizontal="right" vertical="center"/>
    </xf>
    <xf numFmtId="0" fontId="33" fillId="43" borderId="7" applyAlignment="1" pivotButton="0" quotePrefix="0" xfId="0">
      <alignment horizontal="right" vertical="center"/>
    </xf>
    <xf numFmtId="16" fontId="33" fillId="43" borderId="6" applyAlignment="1" pivotButton="0" quotePrefix="0" xfId="0">
      <alignment horizontal="center" vertical="center"/>
    </xf>
    <xf numFmtId="16" fontId="33" fillId="43" borderId="7" applyAlignment="1" pivotButton="0" quotePrefix="0" xfId="0">
      <alignment horizontal="center" vertical="center"/>
    </xf>
    <xf numFmtId="0" fontId="38" fillId="26" borderId="6" applyAlignment="1" pivotButton="0" quotePrefix="0" xfId="0">
      <alignment horizontal="center" vertical="center"/>
    </xf>
    <xf numFmtId="0" fontId="34" fillId="53" borderId="0" applyAlignment="1" pivotButton="0" quotePrefix="0" xfId="0">
      <alignment vertical="center"/>
    </xf>
    <xf numFmtId="0" fontId="38" fillId="39" borderId="0" applyAlignment="1" pivotButton="0" quotePrefix="0" xfId="0">
      <alignment vertical="center"/>
    </xf>
    <xf numFmtId="165" fontId="38" fillId="39" borderId="0" applyAlignment="1" pivotButton="0" quotePrefix="0" xfId="0">
      <alignment horizontal="center" vertical="center"/>
    </xf>
    <xf numFmtId="0" fontId="33" fillId="38" borderId="6" applyAlignment="1" pivotButton="0" quotePrefix="0" xfId="0">
      <alignment vertical="center"/>
    </xf>
    <xf numFmtId="0" fontId="38" fillId="46" borderId="0" applyAlignment="1" pivotButton="0" quotePrefix="0" xfId="0">
      <alignment vertical="center"/>
    </xf>
    <xf numFmtId="0" fontId="38" fillId="46" borderId="0" applyAlignment="1" pivotButton="0" quotePrefix="0" xfId="0">
      <alignment horizontal="right" vertical="center"/>
    </xf>
    <xf numFmtId="165" fontId="38" fillId="46" borderId="0" applyAlignment="1" pivotButton="0" quotePrefix="0" xfId="0">
      <alignment horizontal="center" vertical="center"/>
    </xf>
    <xf numFmtId="0" fontId="33" fillId="38" borderId="7" applyAlignment="1" pivotButton="0" quotePrefix="0" xfId="0">
      <alignment horizontal="left" vertical="center"/>
    </xf>
    <xf numFmtId="16" fontId="38" fillId="46" borderId="7" applyAlignment="1" pivotButton="0" quotePrefix="0" xfId="0">
      <alignment horizontal="right" vertical="center"/>
    </xf>
    <xf numFmtId="16" fontId="38" fillId="46" borderId="6" applyAlignment="1" pivotButton="0" quotePrefix="0" xfId="0">
      <alignment horizontal="center" vertical="center"/>
    </xf>
    <xf numFmtId="16" fontId="38" fillId="46" borderId="7" applyAlignment="1" pivotButton="0" quotePrefix="0" xfId="0">
      <alignment horizontal="center" vertical="center"/>
    </xf>
    <xf numFmtId="16" fontId="37" fillId="58" borderId="7" applyAlignment="1" pivotButton="0" quotePrefix="0" xfId="0">
      <alignment horizontal="center" vertical="center"/>
    </xf>
    <xf numFmtId="0" fontId="43" fillId="27" borderId="8" applyAlignment="1" pivotButton="0" quotePrefix="0" xfId="0">
      <alignment vertical="center"/>
    </xf>
    <xf numFmtId="0" fontId="43" fillId="27" borderId="9" applyAlignment="1" pivotButton="0" quotePrefix="0" xfId="0">
      <alignment horizontal="right" vertical="center"/>
    </xf>
    <xf numFmtId="16" fontId="43" fillId="27" borderId="8" applyAlignment="1" pivotButton="0" quotePrefix="0" xfId="0">
      <alignment horizontal="center" vertical="center"/>
    </xf>
    <xf numFmtId="16" fontId="43" fillId="27" borderId="10" applyAlignment="1" pivotButton="0" quotePrefix="0" xfId="0">
      <alignment horizontal="center" vertical="center"/>
    </xf>
    <xf numFmtId="0" fontId="43" fillId="34" borderId="16" applyAlignment="1" pivotButton="0" quotePrefix="1" xfId="0">
      <alignment horizontal="center" vertical="center"/>
    </xf>
    <xf numFmtId="16" fontId="33" fillId="37" borderId="6" applyAlignment="1" pivotButton="0" quotePrefix="0" xfId="0">
      <alignment horizontal="center" vertical="center"/>
    </xf>
    <xf numFmtId="16" fontId="33" fillId="37" borderId="7" applyAlignment="1" pivotButton="0" quotePrefix="0" xfId="0">
      <alignment horizontal="center" vertical="center"/>
    </xf>
    <xf numFmtId="0" fontId="33" fillId="37" borderId="7" applyAlignment="1" pivotButton="0" quotePrefix="0" xfId="0">
      <alignment horizontal="center" vertical="center"/>
    </xf>
    <xf numFmtId="0" fontId="38" fillId="44" borderId="15" applyAlignment="1" pivotButton="0" quotePrefix="0" xfId="0">
      <alignment horizontal="left" vertical="center"/>
    </xf>
    <xf numFmtId="0" fontId="38" fillId="44" borderId="11" applyAlignment="1" pivotButton="0" quotePrefix="0" xfId="0">
      <alignment horizontal="right" vertical="center"/>
    </xf>
    <xf numFmtId="165" fontId="38" fillId="44" borderId="15" applyAlignment="1" pivotButton="0" quotePrefix="0" xfId="0">
      <alignment horizontal="center" vertical="center"/>
    </xf>
    <xf numFmtId="165" fontId="38" fillId="44" borderId="11" applyAlignment="1" pivotButton="0" quotePrefix="0" xfId="0">
      <alignment horizontal="center" vertical="center"/>
    </xf>
    <xf numFmtId="0" fontId="38" fillId="44" borderId="12" applyAlignment="1" pivotButton="0" quotePrefix="1" xfId="0">
      <alignment horizontal="center" vertical="center"/>
    </xf>
    <xf numFmtId="16" fontId="33" fillId="48" borderId="7" applyAlignment="1" pivotButton="0" quotePrefix="0" xfId="0">
      <alignment horizontal="center" vertical="center"/>
    </xf>
    <xf numFmtId="0" fontId="38" fillId="44" borderId="10" applyAlignment="1" pivotButton="0" quotePrefix="0" xfId="0">
      <alignment horizontal="right" vertical="center"/>
    </xf>
    <xf numFmtId="0" fontId="38" fillId="44" borderId="0" applyAlignment="1" pivotButton="0" quotePrefix="0" xfId="0">
      <alignment vertical="center"/>
    </xf>
    <xf numFmtId="0" fontId="33" fillId="53" borderId="7" applyAlignment="1" pivotButton="0" quotePrefix="0" xfId="0">
      <alignment vertical="center"/>
    </xf>
    <xf numFmtId="16" fontId="33" fillId="50" borderId="6" applyAlignment="1" pivotButton="0" quotePrefix="0" xfId="0">
      <alignment horizontal="center" vertical="center"/>
    </xf>
    <xf numFmtId="16" fontId="33" fillId="50" borderId="7" applyAlignment="1" pivotButton="0" quotePrefix="0" xfId="0">
      <alignment horizontal="center" vertical="center"/>
    </xf>
    <xf numFmtId="0" fontId="33" fillId="43" borderId="0" applyAlignment="1" pivotButton="0" quotePrefix="0" xfId="0">
      <alignment vertical="center"/>
    </xf>
    <xf numFmtId="0" fontId="33" fillId="48" borderId="0" applyAlignment="1" pivotButton="0" quotePrefix="0" xfId="0">
      <alignment horizontal="right" vertical="center"/>
    </xf>
    <xf numFmtId="0" fontId="33" fillId="48" borderId="7" applyAlignment="1" pivotButton="0" quotePrefix="0" xfId="0">
      <alignment horizontal="center" vertical="center"/>
    </xf>
    <xf numFmtId="16" fontId="33" fillId="45" borderId="6" applyAlignment="1" pivotButton="0" quotePrefix="0" xfId="0">
      <alignment horizontal="center" vertical="center"/>
    </xf>
    <xf numFmtId="16" fontId="33" fillId="45" borderId="7" applyAlignment="1" pivotButton="0" quotePrefix="0" xfId="0">
      <alignment horizontal="center" vertical="center"/>
    </xf>
    <xf numFmtId="0" fontId="33" fillId="45" borderId="7" applyAlignment="1" pivotButton="0" quotePrefix="0" xfId="0">
      <alignment horizontal="center" vertical="center"/>
    </xf>
    <xf numFmtId="0" fontId="34" fillId="53" borderId="6" applyAlignment="1" pivotButton="0" quotePrefix="0" xfId="0">
      <alignment vertical="center"/>
    </xf>
    <xf numFmtId="0" fontId="33" fillId="18" borderId="6" applyAlignment="1" pivotButton="0" quotePrefix="0" xfId="0">
      <alignment horizontal="left" vertical="center"/>
    </xf>
    <xf numFmtId="0" fontId="33" fillId="18" borderId="7" applyAlignment="1" pivotButton="0" quotePrefix="0" xfId="0">
      <alignment horizontal="right" vertical="center"/>
    </xf>
    <xf numFmtId="16" fontId="33" fillId="18" borderId="6" applyAlignment="1" pivotButton="0" quotePrefix="0" xfId="0">
      <alignment horizontal="center" vertical="center"/>
    </xf>
    <xf numFmtId="16" fontId="33" fillId="18" borderId="7" applyAlignment="1" pivotButton="0" quotePrefix="0" xfId="0">
      <alignment horizontal="center" vertical="center"/>
    </xf>
    <xf numFmtId="0" fontId="38" fillId="39" borderId="6" applyAlignment="1" pivotButton="0" quotePrefix="0" xfId="0">
      <alignment vertical="center"/>
    </xf>
    <xf numFmtId="0" fontId="38" fillId="39" borderId="7" applyAlignment="1" pivotButton="0" quotePrefix="0" xfId="0">
      <alignment horizontal="right" vertical="center"/>
    </xf>
    <xf numFmtId="16" fontId="38" fillId="39" borderId="6" applyAlignment="1" pivotButton="0" quotePrefix="0" xfId="0">
      <alignment horizontal="center" vertical="center"/>
    </xf>
    <xf numFmtId="16" fontId="38" fillId="39" borderId="7" applyAlignment="1" pivotButton="0" quotePrefix="0" xfId="0">
      <alignment horizontal="center" vertical="center"/>
    </xf>
    <xf numFmtId="16" fontId="37" fillId="31" borderId="7" applyAlignment="1" pivotButton="0" quotePrefix="0" xfId="0">
      <alignment horizontal="center" vertical="center"/>
    </xf>
    <xf numFmtId="0" fontId="33" fillId="61" borderId="0" applyAlignment="1" pivotButton="0" quotePrefix="0" xfId="0">
      <alignment vertical="center"/>
    </xf>
    <xf numFmtId="0" fontId="33" fillId="53" borderId="8" applyAlignment="1" pivotButton="0" quotePrefix="0" xfId="0">
      <alignment vertical="center"/>
    </xf>
    <xf numFmtId="0" fontId="33" fillId="53" borderId="9" applyAlignment="1" pivotButton="0" quotePrefix="0" xfId="0">
      <alignment vertical="center"/>
    </xf>
    <xf numFmtId="16" fontId="33" fillId="53" borderId="8" applyAlignment="1" pivotButton="0" quotePrefix="0" xfId="0">
      <alignment horizontal="center" vertical="center"/>
    </xf>
    <xf numFmtId="16" fontId="33" fillId="53" borderId="10" applyAlignment="1" pivotButton="0" quotePrefix="0" xfId="0">
      <alignment horizontal="center" vertical="center"/>
    </xf>
    <xf numFmtId="0" fontId="33" fillId="31" borderId="9" applyAlignment="1" pivotButton="0" quotePrefix="0" xfId="0">
      <alignment horizontal="left" vertical="center"/>
    </xf>
    <xf numFmtId="0" fontId="33" fillId="31" borderId="9" applyAlignment="1" pivotButton="0" quotePrefix="0" xfId="0">
      <alignment horizontal="right" vertical="center"/>
    </xf>
    <xf numFmtId="165" fontId="33" fillId="31" borderId="8" applyAlignment="1" pivotButton="0" quotePrefix="0" xfId="0">
      <alignment horizontal="center" vertical="center"/>
    </xf>
    <xf numFmtId="165" fontId="33" fillId="31" borderId="9" applyAlignment="1" pivotButton="0" quotePrefix="0" xfId="0">
      <alignment horizontal="center" vertical="center"/>
    </xf>
    <xf numFmtId="0" fontId="50" fillId="62" borderId="18" applyAlignment="1" pivotButton="0" quotePrefix="0" xfId="0">
      <alignment horizontal="center" vertical="center"/>
    </xf>
    <xf numFmtId="0" fontId="33" fillId="63" borderId="6" applyAlignment="1" pivotButton="0" quotePrefix="0" xfId="0">
      <alignment horizontal="left" vertical="center"/>
    </xf>
    <xf numFmtId="0" fontId="33" fillId="63" borderId="7" applyAlignment="1" pivotButton="0" quotePrefix="0" xfId="0">
      <alignment horizontal="left" vertical="center"/>
    </xf>
    <xf numFmtId="16" fontId="33" fillId="63" borderId="0" applyAlignment="1" pivotButton="0" quotePrefix="0" xfId="0">
      <alignment horizontal="center" vertical="center"/>
    </xf>
    <xf numFmtId="0" fontId="33" fillId="64" borderId="6" applyAlignment="1" pivotButton="0" quotePrefix="0" xfId="0">
      <alignment horizontal="left" vertical="center"/>
    </xf>
    <xf numFmtId="0" fontId="33" fillId="64" borderId="7" applyAlignment="1" pivotButton="0" quotePrefix="0" xfId="0">
      <alignment horizontal="right" vertical="center"/>
    </xf>
    <xf numFmtId="16" fontId="33" fillId="64" borderId="0" applyAlignment="1" pivotButton="0" quotePrefix="0" xfId="0">
      <alignment horizontal="center" vertical="center"/>
    </xf>
    <xf numFmtId="0" fontId="34" fillId="60" borderId="6" applyAlignment="1" pivotButton="0" quotePrefix="0" xfId="0">
      <alignment horizontal="center" vertical="center"/>
    </xf>
    <xf numFmtId="16" fontId="33" fillId="58" borderId="20" applyAlignment="1" pivotButton="0" quotePrefix="0" xfId="0">
      <alignment horizontal="center" vertical="center"/>
    </xf>
    <xf numFmtId="0" fontId="34" fillId="60" borderId="12" applyAlignment="1" pivotButton="0" quotePrefix="0" xfId="0">
      <alignment horizontal="center" vertical="center"/>
    </xf>
    <xf numFmtId="0" fontId="46" fillId="21" borderId="6" applyAlignment="1" pivotButton="0" quotePrefix="0" xfId="0">
      <alignment vertical="center"/>
    </xf>
    <xf numFmtId="0" fontId="42" fillId="21" borderId="7" applyAlignment="1" pivotButton="0" quotePrefix="0" xfId="0">
      <alignment horizontal="right" vertical="center"/>
    </xf>
    <xf numFmtId="16" fontId="42" fillId="21" borderId="6" applyAlignment="1" pivotButton="0" quotePrefix="0" xfId="0">
      <alignment horizontal="center" vertical="center"/>
    </xf>
    <xf numFmtId="16" fontId="42" fillId="21" borderId="7" applyAlignment="1" pivotButton="0" quotePrefix="0" xfId="0">
      <alignment horizontal="center" vertical="center"/>
    </xf>
    <xf numFmtId="0" fontId="42" fillId="21" borderId="18" applyAlignment="1" pivotButton="0" quotePrefix="0" xfId="0">
      <alignment horizontal="center" vertical="center"/>
    </xf>
    <xf numFmtId="0" fontId="33" fillId="63" borderId="7" applyAlignment="1" pivotButton="0" quotePrefix="0" xfId="0">
      <alignment horizontal="right" vertical="center"/>
    </xf>
    <xf numFmtId="0" fontId="41" fillId="27" borderId="0" applyAlignment="1" pivotButton="0" quotePrefix="0" xfId="0">
      <alignment horizontal="center" vertical="center"/>
    </xf>
    <xf numFmtId="0" fontId="33" fillId="31" borderId="6" applyAlignment="1" pivotButton="0" quotePrefix="0" xfId="0">
      <alignment horizontal="right" vertical="center"/>
    </xf>
    <xf numFmtId="0" fontId="38" fillId="65" borderId="6" applyAlignment="1" pivotButton="0" quotePrefix="0" xfId="0">
      <alignment horizontal="left" vertical="center"/>
    </xf>
    <xf numFmtId="0" fontId="38" fillId="65" borderId="7" applyAlignment="1" pivotButton="0" quotePrefix="0" xfId="0">
      <alignment horizontal="left" vertical="center"/>
    </xf>
    <xf numFmtId="16" fontId="38" fillId="65" borderId="6" applyAlignment="1" pivotButton="0" quotePrefix="0" xfId="0">
      <alignment horizontal="center" vertical="center"/>
    </xf>
    <xf numFmtId="16" fontId="38" fillId="65" borderId="0" applyAlignment="1" pivotButton="0" quotePrefix="0" xfId="0">
      <alignment horizontal="center" vertical="center"/>
    </xf>
    <xf numFmtId="0" fontId="38" fillId="65" borderId="18" applyAlignment="1" pivotButton="0" quotePrefix="0" xfId="0">
      <alignment horizontal="center" vertical="center"/>
    </xf>
    <xf numFmtId="0" fontId="33" fillId="66" borderId="6" applyAlignment="1" pivotButton="0" quotePrefix="0" xfId="0">
      <alignment horizontal="left" vertical="center"/>
    </xf>
    <xf numFmtId="0" fontId="33" fillId="66" borderId="7" applyAlignment="1" pivotButton="0" quotePrefix="0" xfId="0">
      <alignment horizontal="right" vertical="center"/>
    </xf>
    <xf numFmtId="16" fontId="33" fillId="66" borderId="0" applyAlignment="1" pivotButton="0" quotePrefix="0" xfId="0">
      <alignment horizontal="center" vertical="center"/>
    </xf>
    <xf numFmtId="16" fontId="33" fillId="66" borderId="7" applyAlignment="1" pivotButton="0" quotePrefix="0" xfId="0">
      <alignment horizontal="center" vertical="center"/>
    </xf>
    <xf numFmtId="0" fontId="33" fillId="50" borderId="6" applyAlignment="1" pivotButton="0" quotePrefix="0" xfId="0">
      <alignment vertical="center"/>
    </xf>
    <xf numFmtId="0" fontId="33" fillId="67" borderId="6" applyAlignment="1" pivotButton="0" quotePrefix="0" xfId="0">
      <alignment horizontal="left" vertical="center"/>
    </xf>
    <xf numFmtId="0" fontId="33" fillId="67" borderId="7" applyAlignment="1" pivotButton="0" quotePrefix="0" xfId="0">
      <alignment horizontal="right" vertical="center"/>
    </xf>
    <xf numFmtId="16" fontId="33" fillId="67" borderId="0" applyAlignment="1" pivotButton="0" quotePrefix="0" xfId="0">
      <alignment horizontal="center" vertical="center"/>
    </xf>
    <xf numFmtId="16" fontId="33" fillId="67" borderId="7" applyAlignment="1" pivotButton="0" quotePrefix="0" xfId="0">
      <alignment horizontal="center" vertical="center"/>
    </xf>
    <xf numFmtId="0" fontId="51" fillId="68" borderId="6" applyAlignment="1" pivotButton="0" quotePrefix="0" xfId="0">
      <alignment horizontal="left" vertical="center"/>
    </xf>
    <xf numFmtId="0" fontId="51" fillId="68" borderId="30" applyAlignment="1" pivotButton="0" quotePrefix="0" xfId="0">
      <alignment horizontal="left" vertical="center"/>
    </xf>
    <xf numFmtId="16" fontId="51" fillId="68" borderId="0" applyAlignment="1" pivotButton="0" quotePrefix="0" xfId="0">
      <alignment horizontal="center" vertical="center"/>
    </xf>
    <xf numFmtId="16" fontId="51" fillId="68" borderId="7" applyAlignment="1" pivotButton="0" quotePrefix="0" xfId="0">
      <alignment horizontal="center" vertical="center"/>
    </xf>
    <xf numFmtId="0" fontId="51" fillId="69" borderId="6" applyAlignment="1" pivotButton="0" quotePrefix="0" xfId="0">
      <alignment horizontal="left" vertical="center"/>
    </xf>
    <xf numFmtId="0" fontId="51" fillId="69" borderId="7" applyAlignment="1" pivotButton="0" quotePrefix="0" xfId="0">
      <alignment horizontal="left" vertical="center"/>
    </xf>
    <xf numFmtId="16" fontId="51" fillId="69" borderId="0" applyAlignment="1" pivotButton="0" quotePrefix="0" xfId="0">
      <alignment horizontal="center" vertical="center"/>
    </xf>
    <xf numFmtId="16" fontId="51" fillId="69" borderId="7" applyAlignment="1" pivotButton="0" quotePrefix="0" xfId="0">
      <alignment horizontal="center" vertical="center"/>
    </xf>
    <xf numFmtId="0" fontId="42" fillId="21" borderId="6" applyAlignment="1" pivotButton="0" quotePrefix="0" xfId="0">
      <alignment horizontal="center" vertical="center"/>
    </xf>
    <xf numFmtId="16" fontId="52" fillId="21" borderId="7" applyAlignment="1" pivotButton="0" quotePrefix="0" xfId="0">
      <alignment horizontal="center" vertical="center"/>
    </xf>
    <xf numFmtId="0" fontId="42" fillId="21" borderId="0" applyAlignment="1" pivotButton="0" quotePrefix="0" xfId="0">
      <alignment horizontal="right" vertical="center"/>
    </xf>
    <xf numFmtId="0" fontId="37" fillId="53" borderId="8" applyAlignment="1" pivotButton="0" quotePrefix="0" xfId="0">
      <alignment vertical="center"/>
    </xf>
    <xf numFmtId="0" fontId="33" fillId="53" borderId="10" applyAlignment="1" pivotButton="0" quotePrefix="0" xfId="0">
      <alignment vertical="center"/>
    </xf>
    <xf numFmtId="0" fontId="38" fillId="34" borderId="8" applyAlignment="1" pivotButton="0" quotePrefix="0" xfId="0">
      <alignment horizontal="center" vertical="center"/>
    </xf>
    <xf numFmtId="0" fontId="33" fillId="55" borderId="0" applyAlignment="1" pivotButton="0" quotePrefix="0" xfId="0">
      <alignment horizontal="center" vertical="center"/>
    </xf>
    <xf numFmtId="0" fontId="23" fillId="14" borderId="0" applyAlignment="1" pivotButton="0" quotePrefix="0" xfId="0">
      <alignment horizontal="center" vertical="center"/>
    </xf>
    <xf numFmtId="0" fontId="17" fillId="0" borderId="0" pivotButton="0" quotePrefix="0" xfId="0"/>
    <xf numFmtId="1" fontId="74" fillId="14" borderId="5" applyAlignment="1" pivotButton="0" quotePrefix="0" xfId="0">
      <alignment horizontal="center" vertical="center"/>
    </xf>
    <xf numFmtId="0" fontId="17" fillId="14" borderId="0" pivotButton="0" quotePrefix="0" xfId="0"/>
    <xf numFmtId="1" fontId="17" fillId="0" borderId="5" applyAlignment="1" pivotButton="0" quotePrefix="0" xfId="0">
      <alignment horizontal="center" vertical="center"/>
    </xf>
    <xf numFmtId="1" fontId="11" fillId="0" borderId="5" applyAlignment="1" pivotButton="0" quotePrefix="0" xfId="0">
      <alignment horizontal="center" vertical="center"/>
    </xf>
    <xf numFmtId="0" fontId="11" fillId="0" borderId="5" applyAlignment="1" pivotButton="0" quotePrefix="0" xfId="0">
      <alignment horizontal="center" vertical="center"/>
    </xf>
    <xf numFmtId="1" fontId="74" fillId="14" borderId="5" applyAlignment="1" pivotButton="0" quotePrefix="0" xfId="0">
      <alignment vertical="center"/>
    </xf>
    <xf numFmtId="0" fontId="20" fillId="14" borderId="5" applyAlignment="1" pivotButton="0" quotePrefix="0" xfId="0">
      <alignment horizontal="center" vertical="center"/>
    </xf>
    <xf numFmtId="0" fontId="17" fillId="14" borderId="5" applyAlignment="1" pivotButton="0" quotePrefix="0" xfId="0">
      <alignment horizontal="center" vertical="center"/>
    </xf>
    <xf numFmtId="1" fontId="75" fillId="14" borderId="5" applyAlignment="1" pivotButton="0" quotePrefix="0" xfId="0">
      <alignment horizontal="center" vertical="center"/>
    </xf>
    <xf numFmtId="1" fontId="27" fillId="14" borderId="5" applyAlignment="1" pivotButton="0" quotePrefix="0" xfId="0">
      <alignment horizontal="center" vertical="center"/>
    </xf>
    <xf numFmtId="0" fontId="27" fillId="14" borderId="5" pivotButton="0" quotePrefix="0" xfId="0"/>
    <xf numFmtId="0" fontId="17" fillId="14" borderId="5" pivotButton="0" quotePrefix="0" xfId="0"/>
    <xf numFmtId="1" fontId="74" fillId="14" borderId="16" applyAlignment="1" pivotButton="0" quotePrefix="0" xfId="0">
      <alignment horizontal="center" vertical="center"/>
    </xf>
    <xf numFmtId="16" fontId="17" fillId="0" borderId="10" applyAlignment="1" pivotButton="0" quotePrefix="0" xfId="0">
      <alignment horizontal="center"/>
    </xf>
    <xf numFmtId="0" fontId="23" fillId="0" borderId="14" applyAlignment="1" pivotButton="0" quotePrefix="0" xfId="0">
      <alignment horizontal="center"/>
    </xf>
    <xf numFmtId="1" fontId="23" fillId="0" borderId="13" applyAlignment="1" pivotButton="0" quotePrefix="0" xfId="0">
      <alignment horizontal="center"/>
    </xf>
    <xf numFmtId="0" fontId="23" fillId="14" borderId="5" applyAlignment="1" pivotButton="0" quotePrefix="0" xfId="0">
      <alignment horizontal="center" vertical="center"/>
    </xf>
    <xf numFmtId="0" fontId="15" fillId="0" borderId="5" applyAlignment="1" pivotButton="0" quotePrefix="0" xfId="0">
      <alignment horizontal="left" vertical="center"/>
    </xf>
    <xf numFmtId="0" fontId="10" fillId="14" borderId="0" applyAlignment="1" pivotButton="0" quotePrefix="0" xfId="0">
      <alignment horizontal="center" vertical="center"/>
    </xf>
    <xf numFmtId="0" fontId="17" fillId="14" borderId="0" applyAlignment="1" pivotButton="0" quotePrefix="0" xfId="0">
      <alignment horizontal="center" vertical="center"/>
    </xf>
    <xf numFmtId="0" fontId="0" fillId="14" borderId="0" applyAlignment="1" pivotButton="0" quotePrefix="0" xfId="0">
      <alignment horizontal="center" vertical="center"/>
    </xf>
    <xf numFmtId="0" fontId="11" fillId="14" borderId="5" applyAlignment="1" pivotButton="0" quotePrefix="0" xfId="0">
      <alignment horizontal="center" vertical="center"/>
    </xf>
    <xf numFmtId="0" fontId="17" fillId="0" borderId="5" applyAlignment="1" pivotButton="0" quotePrefix="0" xfId="0">
      <alignment horizontal="center" vertical="center"/>
    </xf>
    <xf numFmtId="0" fontId="13" fillId="14" borderId="13" applyAlignment="1" pivotButton="0" quotePrefix="0" xfId="6">
      <alignment horizontal="center" vertical="center"/>
    </xf>
    <xf numFmtId="0" fontId="12" fillId="14" borderId="5" applyAlignment="1" pivotButton="0" quotePrefix="0" xfId="6">
      <alignment horizontal="center" vertical="center"/>
    </xf>
    <xf numFmtId="0" fontId="0" fillId="14" borderId="5" applyAlignment="1" pivotButton="0" quotePrefix="0" xfId="0">
      <alignment horizontal="center" vertical="center"/>
    </xf>
    <xf numFmtId="1" fontId="17" fillId="24" borderId="5" applyAlignment="1" pivotButton="0" quotePrefix="0" xfId="0">
      <alignment horizontal="center" vertical="center"/>
    </xf>
    <xf numFmtId="0" fontId="0" fillId="0" borderId="5" applyAlignment="1" pivotButton="0" quotePrefix="0" xfId="0">
      <alignment horizontal="left" vertical="center"/>
    </xf>
    <xf numFmtId="0" fontId="17" fillId="0" borderId="14" applyAlignment="1" pivotButton="0" quotePrefix="0" xfId="0">
      <alignment horizontal="center" vertical="center"/>
    </xf>
    <xf numFmtId="0" fontId="19" fillId="14" borderId="5" applyAlignment="1" pivotButton="0" quotePrefix="0" xfId="6">
      <alignment horizontal="left"/>
    </xf>
    <xf numFmtId="0" fontId="19" fillId="14" borderId="5" applyAlignment="1" pivotButton="0" quotePrefix="0" xfId="0">
      <alignment horizontal="left"/>
    </xf>
    <xf numFmtId="0" fontId="11" fillId="7" borderId="5" applyAlignment="1" pivotButton="0" quotePrefix="0" xfId="7">
      <alignment horizontal="left"/>
    </xf>
    <xf numFmtId="0" fontId="9" fillId="14" borderId="5" applyAlignment="1" pivotButton="0" quotePrefix="0" xfId="0">
      <alignment horizontal="left"/>
    </xf>
    <xf numFmtId="0" fontId="3" fillId="3" borderId="5" applyAlignment="1" pivotButton="0" quotePrefix="0" xfId="3">
      <alignment horizontal="left"/>
    </xf>
    <xf numFmtId="0" fontId="0" fillId="0" borderId="5" applyAlignment="1" pivotButton="0" quotePrefix="0" xfId="0">
      <alignment horizontal="left"/>
    </xf>
    <xf numFmtId="0" fontId="0" fillId="72" borderId="5" applyAlignment="1" pivotButton="0" quotePrefix="0" xfId="0">
      <alignment horizontal="left"/>
    </xf>
    <xf numFmtId="0" fontId="0" fillId="25" borderId="5" applyAlignment="1" pivotButton="0" quotePrefix="0" xfId="0">
      <alignment horizontal="left"/>
    </xf>
    <xf numFmtId="0" fontId="0" fillId="22" borderId="5" applyAlignment="1" pivotButton="0" quotePrefix="0" xfId="0">
      <alignment horizontal="left"/>
    </xf>
    <xf numFmtId="0" fontId="0" fillId="14" borderId="13" applyAlignment="1" pivotButton="0" quotePrefix="0" xfId="0">
      <alignment horizontal="left"/>
    </xf>
    <xf numFmtId="0" fontId="20" fillId="14" borderId="5" applyAlignment="1" pivotButton="0" quotePrefix="0" xfId="0">
      <alignment horizontal="left"/>
    </xf>
    <xf numFmtId="0" fontId="21" fillId="14" borderId="5" applyAlignment="1" pivotButton="0" quotePrefix="0" xfId="0">
      <alignment horizontal="left"/>
    </xf>
    <xf numFmtId="2" fontId="21" fillId="14" borderId="5" applyAlignment="1" pivotButton="0" quotePrefix="0" xfId="6">
      <alignment horizontal="left"/>
    </xf>
    <xf numFmtId="0" fontId="0" fillId="0" borderId="13" applyAlignment="1" pivotButton="0" quotePrefix="0" xfId="0">
      <alignment horizontal="left"/>
    </xf>
    <xf numFmtId="1" fontId="29" fillId="14" borderId="5" applyAlignment="1" pivotButton="0" quotePrefix="0" xfId="0">
      <alignment horizontal="left" vertical="center"/>
    </xf>
    <xf numFmtId="0" fontId="0" fillId="0" borderId="14" applyAlignment="1" pivotButton="0" quotePrefix="0" xfId="0">
      <alignment horizontal="left"/>
    </xf>
    <xf numFmtId="0" fontId="0" fillId="0" borderId="11" applyAlignment="1" pivotButton="0" quotePrefix="0" xfId="0">
      <alignment horizontal="left"/>
    </xf>
    <xf numFmtId="0" fontId="0" fillId="0" borderId="15" applyAlignment="1" pivotButton="0" quotePrefix="0" xfId="0">
      <alignment horizontal="left"/>
    </xf>
    <xf numFmtId="0" fontId="0" fillId="0" borderId="12" applyAlignment="1" pivotButton="0" quotePrefix="0" xfId="0">
      <alignment horizontal="left"/>
    </xf>
    <xf numFmtId="0" fontId="21" fillId="14" borderId="5" applyAlignment="1" pivotButton="0" quotePrefix="0" xfId="6">
      <alignment horizontal="center"/>
    </xf>
    <xf numFmtId="0" fontId="17" fillId="14" borderId="0" applyAlignment="1" pivotButton="0" quotePrefix="0" xfId="0">
      <alignment horizontal="left" vertical="center"/>
    </xf>
    <xf numFmtId="0" fontId="0" fillId="0" borderId="8" applyAlignment="1" pivotButton="0" quotePrefix="0" xfId="0">
      <alignment horizontal="left"/>
    </xf>
    <xf numFmtId="0" fontId="0" fillId="0" borderId="16" applyAlignment="1" pivotButton="0" quotePrefix="0" xfId="0">
      <alignment horizontal="left"/>
    </xf>
    <xf numFmtId="0" fontId="16" fillId="14" borderId="0" applyAlignment="1" pivotButton="0" quotePrefix="0" xfId="0">
      <alignment horizontal="left" vertical="center"/>
    </xf>
    <xf numFmtId="0" fontId="18" fillId="15" borderId="5" applyAlignment="1" pivotButton="0" quotePrefix="0" xfId="0">
      <alignment horizontal="left" vertical="center"/>
    </xf>
    <xf numFmtId="0" fontId="0" fillId="0" borderId="10" applyAlignment="1" pivotButton="0" quotePrefix="0" xfId="0">
      <alignment horizontal="left"/>
    </xf>
    <xf numFmtId="0" fontId="20" fillId="14" borderId="10" applyAlignment="1" pivotButton="0" quotePrefix="0" xfId="0">
      <alignment horizontal="left"/>
    </xf>
    <xf numFmtId="0" fontId="20" fillId="14" borderId="16" applyAlignment="1" pivotButton="0" quotePrefix="0" xfId="0">
      <alignment horizontal="left"/>
    </xf>
    <xf numFmtId="0" fontId="20" fillId="14" borderId="8" applyAlignment="1" pivotButton="0" quotePrefix="0" xfId="0">
      <alignment horizontal="left"/>
    </xf>
    <xf numFmtId="168" fontId="0" fillId="0" borderId="13" applyAlignment="1" pivotButton="0" quotePrefix="0" xfId="0">
      <alignment horizontal="left"/>
    </xf>
    <xf numFmtId="168" fontId="20" fillId="14" borderId="5" applyAlignment="1" pivotButton="0" quotePrefix="0" xfId="0">
      <alignment horizontal="left"/>
    </xf>
    <xf numFmtId="0" fontId="80" fillId="0" borderId="5" applyAlignment="1" pivotButton="0" quotePrefix="0" xfId="0">
      <alignment horizontal="left" vertical="center"/>
    </xf>
    <xf numFmtId="0" fontId="10" fillId="14" borderId="5" applyAlignment="1" pivotButton="0" quotePrefix="0" xfId="0">
      <alignment vertical="center"/>
    </xf>
    <xf numFmtId="0" fontId="9" fillId="23" borderId="5" applyAlignment="1" pivotButton="0" quotePrefix="0" xfId="0">
      <alignment horizontal="left" vertical="center"/>
    </xf>
    <xf numFmtId="1" fontId="9" fillId="23" borderId="5" applyAlignment="1" pivotButton="0" quotePrefix="0" xfId="0">
      <alignment horizontal="left" vertical="center"/>
    </xf>
    <xf numFmtId="1" fontId="9" fillId="14" borderId="5" applyAlignment="1" pivotButton="0" quotePrefix="0" xfId="0">
      <alignment horizontal="left" vertical="center"/>
    </xf>
    <xf numFmtId="1" fontId="79" fillId="14" borderId="5" applyAlignment="1" pivotButton="0" quotePrefix="0" xfId="0">
      <alignment horizontal="left" vertical="center"/>
    </xf>
    <xf numFmtId="0" fontId="0" fillId="0" borderId="15" applyAlignment="1" pivotButton="0" quotePrefix="0" xfId="0">
      <alignment horizontal="center"/>
    </xf>
    <xf numFmtId="0" fontId="0" fillId="0" borderId="13" applyAlignment="1" pivotButton="0" quotePrefix="0" xfId="0">
      <alignment horizontal="center"/>
    </xf>
    <xf numFmtId="0" fontId="0" fillId="0" borderId="5" applyAlignment="1" pivotButton="0" quotePrefix="0" xfId="0">
      <alignment horizontal="center"/>
    </xf>
    <xf numFmtId="169" fontId="17" fillId="0" borderId="5" applyAlignment="1" pivotButton="0" quotePrefix="0" xfId="0">
      <alignment horizontal="center" vertical="center"/>
    </xf>
    <xf numFmtId="169" fontId="23" fillId="0" borderId="5" applyAlignment="1" pivotButton="0" quotePrefix="0" xfId="0">
      <alignment horizontal="center" vertical="center"/>
    </xf>
    <xf numFmtId="0" fontId="20" fillId="20" borderId="5" applyAlignment="1" pivotButton="0" quotePrefix="0" xfId="0">
      <alignment horizontal="center"/>
    </xf>
    <xf numFmtId="0" fontId="27" fillId="14" borderId="5" applyAlignment="1" pivotButton="0" quotePrefix="0" xfId="0">
      <alignment horizontal="center" vertical="center"/>
    </xf>
    <xf numFmtId="0" fontId="8" fillId="0" borderId="5" applyAlignment="1" pivotButton="0" quotePrefix="0" xfId="0">
      <alignment horizontal="center"/>
    </xf>
    <xf numFmtId="0" fontId="13" fillId="14" borderId="15" applyAlignment="1" pivotButton="0" quotePrefix="0" xfId="0">
      <alignment horizontal="left"/>
    </xf>
    <xf numFmtId="2" fontId="84" fillId="74" borderId="16" applyAlignment="1" pivotButton="0" quotePrefix="0" xfId="0">
      <alignment horizontal="center" vertical="center"/>
    </xf>
    <xf numFmtId="2" fontId="15" fillId="74" borderId="13" applyAlignment="1" pivotButton="0" quotePrefix="0" xfId="0">
      <alignment horizontal="center" vertical="center"/>
    </xf>
    <xf numFmtId="1" fontId="15" fillId="0" borderId="5" applyAlignment="1" pivotButton="0" quotePrefix="0" xfId="0">
      <alignment horizontal="center" vertical="center"/>
    </xf>
    <xf numFmtId="2" fontId="15" fillId="74" borderId="15" applyAlignment="1" pivotButton="0" quotePrefix="0" xfId="0">
      <alignment horizontal="center" vertical="center"/>
    </xf>
    <xf numFmtId="2" fontId="15" fillId="74" borderId="5" applyAlignment="1" pivotButton="0" quotePrefix="0" xfId="0">
      <alignment horizontal="center" vertical="center"/>
    </xf>
    <xf numFmtId="2" fontId="15" fillId="74" borderId="8" applyAlignment="1" pivotButton="0" quotePrefix="0" xfId="0">
      <alignment horizontal="center" vertical="center"/>
    </xf>
    <xf numFmtId="0" fontId="0" fillId="75" borderId="15" applyAlignment="1" pivotButton="0" quotePrefix="0" xfId="0">
      <alignment horizontal="left"/>
    </xf>
    <xf numFmtId="0" fontId="0" fillId="75" borderId="12" applyAlignment="1" pivotButton="0" quotePrefix="0" xfId="0">
      <alignment horizontal="left"/>
    </xf>
    <xf numFmtId="0" fontId="0" fillId="76" borderId="15" applyAlignment="1" pivotButton="0" quotePrefix="0" xfId="0">
      <alignment horizontal="left"/>
    </xf>
    <xf numFmtId="0" fontId="0" fillId="76" borderId="12" applyAlignment="1" pivotButton="0" quotePrefix="0" xfId="0">
      <alignment horizontal="left"/>
    </xf>
    <xf numFmtId="0" fontId="0" fillId="75" borderId="13" applyAlignment="1" pivotButton="0" quotePrefix="0" xfId="0">
      <alignment horizontal="left"/>
    </xf>
    <xf numFmtId="0" fontId="0" fillId="75" borderId="5" applyAlignment="1" pivotButton="0" quotePrefix="0" xfId="0">
      <alignment horizontal="left"/>
    </xf>
    <xf numFmtId="0" fontId="20" fillId="14" borderId="0" pivotButton="0" quotePrefix="0" xfId="0"/>
    <xf numFmtId="1" fontId="75" fillId="14" borderId="16" applyAlignment="1" pivotButton="0" quotePrefix="0" xfId="0">
      <alignment horizontal="center" vertical="center"/>
    </xf>
    <xf numFmtId="0" fontId="27" fillId="14" borderId="5" applyAlignment="1" pivotButton="0" quotePrefix="0" xfId="6">
      <alignment horizontal="center" vertical="center"/>
    </xf>
    <xf numFmtId="1" fontId="4" fillId="4" borderId="1" applyAlignment="1" pivotButton="0" quotePrefix="0" xfId="4">
      <alignment horizontal="center" vertical="center"/>
    </xf>
    <xf numFmtId="0" fontId="23" fillId="0" borderId="11" applyAlignment="1" pivotButton="0" quotePrefix="0" xfId="0">
      <alignment horizontal="center"/>
    </xf>
    <xf numFmtId="1" fontId="23" fillId="0" borderId="12" applyAlignment="1" pivotButton="0" quotePrefix="0" xfId="0">
      <alignment horizontal="center"/>
    </xf>
    <xf numFmtId="1" fontId="23" fillId="0" borderId="15" applyAlignment="1" pivotButton="0" quotePrefix="0" xfId="0">
      <alignment horizontal="center"/>
    </xf>
    <xf numFmtId="0" fontId="86" fillId="14" borderId="5" applyAlignment="1" pivotButton="0" quotePrefix="0" xfId="0">
      <alignment horizontal="center"/>
    </xf>
    <xf numFmtId="0" fontId="86" fillId="14" borderId="5" applyAlignment="1" pivotButton="0" quotePrefix="1" xfId="0">
      <alignment horizontal="center"/>
    </xf>
    <xf numFmtId="1" fontId="17" fillId="14" borderId="5" applyAlignment="1" pivotButton="0" quotePrefix="0" xfId="0">
      <alignment horizontal="center" vertical="center"/>
    </xf>
    <xf numFmtId="169" fontId="86" fillId="14" borderId="0" applyAlignment="1" pivotButton="0" quotePrefix="0" xfId="0">
      <alignment horizontal="center"/>
    </xf>
    <xf numFmtId="0" fontId="17" fillId="14" borderId="0" applyAlignment="1" pivotButton="0" quotePrefix="0" xfId="0">
      <alignment horizontal="center"/>
    </xf>
    <xf numFmtId="0" fontId="87" fillId="27" borderId="5" applyAlignment="1" pivotButton="0" quotePrefix="0" xfId="0">
      <alignment horizontal="center" vertical="center"/>
    </xf>
    <xf numFmtId="0" fontId="11" fillId="41" borderId="5" applyAlignment="1" pivotButton="0" quotePrefix="0" xfId="0">
      <alignment horizontal="center" vertical="center"/>
    </xf>
    <xf numFmtId="0" fontId="11" fillId="36" borderId="5" applyAlignment="1" pivotButton="0" quotePrefix="0" xfId="0">
      <alignment horizontal="left" vertical="center"/>
    </xf>
    <xf numFmtId="0" fontId="11" fillId="53" borderId="5" applyAlignment="1" pivotButton="0" quotePrefix="1" xfId="0">
      <alignment horizontal="center" vertical="center"/>
    </xf>
    <xf numFmtId="0" fontId="11" fillId="53" borderId="5" applyAlignment="1" pivotButton="0" quotePrefix="0" xfId="0">
      <alignment horizontal="center" vertical="center"/>
    </xf>
    <xf numFmtId="0" fontId="87" fillId="49" borderId="5" applyAlignment="1" pivotButton="0" quotePrefix="0" xfId="0">
      <alignment vertical="center"/>
    </xf>
    <xf numFmtId="0" fontId="11" fillId="57" borderId="5" applyAlignment="1" pivotButton="0" quotePrefix="0" xfId="0">
      <alignment horizontal="center" vertical="center"/>
    </xf>
    <xf numFmtId="0" fontId="11" fillId="28" borderId="5" applyAlignment="1" pivotButton="0" quotePrefix="0" xfId="0">
      <alignment vertical="center"/>
    </xf>
    <xf numFmtId="0" fontId="11" fillId="40" borderId="5" applyAlignment="1" pivotButton="0" quotePrefix="0" xfId="0">
      <alignment horizontal="center" vertical="center"/>
    </xf>
    <xf numFmtId="0" fontId="11" fillId="38" borderId="5" applyAlignment="1" pivotButton="0" quotePrefix="0" xfId="0">
      <alignment vertical="center"/>
    </xf>
    <xf numFmtId="0" fontId="11" fillId="36" borderId="5" applyAlignment="1" pivotButton="0" quotePrefix="0" xfId="0">
      <alignment horizontal="center" vertical="center"/>
    </xf>
    <xf numFmtId="0" fontId="11" fillId="38" borderId="5" applyAlignment="1" pivotButton="0" quotePrefix="0" xfId="0">
      <alignment horizontal="left" vertical="center"/>
    </xf>
    <xf numFmtId="0" fontId="14" fillId="38" borderId="5" applyAlignment="1" pivotButton="0" quotePrefix="0" xfId="0">
      <alignment horizontal="left" vertical="center"/>
    </xf>
    <xf numFmtId="0" fontId="11" fillId="48" borderId="5" applyAlignment="1" pivotButton="0" quotePrefix="0" xfId="0">
      <alignment vertical="center"/>
    </xf>
    <xf numFmtId="0" fontId="11" fillId="31" borderId="5" applyAlignment="1" pivotButton="0" quotePrefix="0" xfId="0">
      <alignment horizontal="center" vertical="center"/>
    </xf>
    <xf numFmtId="0" fontId="11" fillId="45" borderId="5" applyAlignment="1" pivotButton="0" quotePrefix="0" xfId="0">
      <alignment vertical="center"/>
    </xf>
    <xf numFmtId="0" fontId="11" fillId="30" borderId="5" applyAlignment="1" pivotButton="0" quotePrefix="0" xfId="0">
      <alignment horizontal="center" vertical="center"/>
    </xf>
    <xf numFmtId="0" fontId="87" fillId="44" borderId="5" applyAlignment="1" pivotButton="0" quotePrefix="0" xfId="0">
      <alignment vertical="center"/>
    </xf>
    <xf numFmtId="0" fontId="27" fillId="14" borderId="5" applyAlignment="1" pivotButton="0" quotePrefix="0" xfId="0">
      <alignment vertical="center"/>
    </xf>
    <xf numFmtId="0" fontId="20" fillId="14" borderId="5" pivotButton="0" quotePrefix="0" xfId="0"/>
    <xf numFmtId="0" fontId="19" fillId="14" borderId="14" applyAlignment="1" pivotButton="0" quotePrefix="0" xfId="0">
      <alignment horizontal="center"/>
    </xf>
    <xf numFmtId="0" fontId="19" fillId="14" borderId="17" applyAlignment="1" pivotButton="0" quotePrefix="0" xfId="0">
      <alignment horizontal="center"/>
    </xf>
    <xf numFmtId="0" fontId="20" fillId="0" borderId="10" applyAlignment="1" pivotButton="0" quotePrefix="0" xfId="11">
      <alignment horizontal="left"/>
    </xf>
    <xf numFmtId="0" fontId="20" fillId="0" borderId="8" applyAlignment="1" pivotButton="0" quotePrefix="0" xfId="11">
      <alignment horizontal="left"/>
    </xf>
    <xf numFmtId="0" fontId="1" fillId="0" borderId="14" applyAlignment="1" pivotButton="0" quotePrefix="0" xfId="11">
      <alignment horizontal="left"/>
    </xf>
    <xf numFmtId="0" fontId="1" fillId="0" borderId="13" applyAlignment="1" pivotButton="0" quotePrefix="0" xfId="11">
      <alignment horizontal="left"/>
    </xf>
    <xf numFmtId="0" fontId="1" fillId="0" borderId="11" applyAlignment="1" pivotButton="0" quotePrefix="0" xfId="11">
      <alignment horizontal="left"/>
    </xf>
    <xf numFmtId="0" fontId="1" fillId="0" borderId="15" applyAlignment="1" pivotButton="0" quotePrefix="0" xfId="11">
      <alignment horizontal="left"/>
    </xf>
    <xf numFmtId="0" fontId="0" fillId="19" borderId="5" applyAlignment="1" pivotButton="0" quotePrefix="0" xfId="11">
      <alignment horizontal="left"/>
    </xf>
    <xf numFmtId="0" fontId="24" fillId="14" borderId="17" applyAlignment="1" pivotButton="0" quotePrefix="0" xfId="0">
      <alignment horizontal="center"/>
    </xf>
    <xf numFmtId="0" fontId="0" fillId="14" borderId="5" pivotButton="0" quotePrefix="0" xfId="0"/>
    <xf numFmtId="169" fontId="17" fillId="0" borderId="14" applyAlignment="1" pivotButton="0" quotePrefix="0" xfId="0">
      <alignment horizontal="center" vertical="center"/>
    </xf>
    <xf numFmtId="0" fontId="20" fillId="20" borderId="16" applyAlignment="1" pivotButton="0" quotePrefix="0" xfId="0">
      <alignment horizontal="center"/>
    </xf>
    <xf numFmtId="0" fontId="19" fillId="14" borderId="13" pivotButton="0" quotePrefix="0" xfId="0"/>
    <xf numFmtId="0" fontId="19" fillId="14" borderId="14" pivotButton="0" quotePrefix="0" xfId="0"/>
    <xf numFmtId="0" fontId="85" fillId="56" borderId="0" pivotButton="0" quotePrefix="0" xfId="0"/>
    <xf numFmtId="0" fontId="88" fillId="0" borderId="5" applyAlignment="1" pivotButton="0" quotePrefix="0" xfId="0">
      <alignment horizontal="center"/>
    </xf>
    <xf numFmtId="0" fontId="27" fillId="14" borderId="5" applyAlignment="1" pivotButton="0" quotePrefix="0" xfId="0">
      <alignment horizontal="left" vertical="center"/>
    </xf>
    <xf numFmtId="0" fontId="90" fillId="14" borderId="5" applyAlignment="1" pivotButton="0" quotePrefix="0" xfId="0">
      <alignment horizontal="center"/>
    </xf>
    <xf numFmtId="49" fontId="29" fillId="15" borderId="0" applyAlignment="1" pivotButton="0" quotePrefix="0" xfId="0">
      <alignment horizontal="left"/>
    </xf>
    <xf numFmtId="49" fontId="15" fillId="14" borderId="16" applyAlignment="1" pivotButton="0" quotePrefix="0" xfId="0">
      <alignment horizontal="center" vertical="center"/>
    </xf>
    <xf numFmtId="0" fontId="91" fillId="14" borderId="5" applyAlignment="1" pivotButton="0" quotePrefix="0" xfId="0">
      <alignment horizontal="center" vertical="center"/>
    </xf>
    <xf numFmtId="0" fontId="92" fillId="14" borderId="5" applyAlignment="1" pivotButton="0" quotePrefix="0" xfId="0">
      <alignment horizontal="left"/>
    </xf>
    <xf numFmtId="1" fontId="93" fillId="14" borderId="5" applyAlignment="1" pivotButton="0" quotePrefix="0" xfId="0">
      <alignment horizontal="center" vertical="center"/>
    </xf>
    <xf numFmtId="1" fontId="95" fillId="0" borderId="5" applyAlignment="1" pivotButton="0" quotePrefix="0" xfId="0">
      <alignment horizontal="center" vertical="center"/>
    </xf>
    <xf numFmtId="1" fontId="0" fillId="0" borderId="14" applyAlignment="1" pivotButton="0" quotePrefix="0" xfId="0">
      <alignment horizontal="center" vertical="center"/>
    </xf>
    <xf numFmtId="1" fontId="8" fillId="0" borderId="14" applyAlignment="1" pivotButton="0" quotePrefix="0" xfId="0">
      <alignment horizontal="center" vertical="center"/>
    </xf>
    <xf numFmtId="0" fontId="0" fillId="14" borderId="14" applyAlignment="1" pivotButton="0" quotePrefix="0" xfId="0">
      <alignment horizontal="center" vertical="center"/>
    </xf>
    <xf numFmtId="0" fontId="20" fillId="14" borderId="14" applyAlignment="1" pivotButton="0" quotePrefix="0" xfId="0">
      <alignment horizontal="center" vertical="center"/>
    </xf>
    <xf numFmtId="0" fontId="20" fillId="14" borderId="11" applyAlignment="1" pivotButton="0" quotePrefix="0" xfId="0">
      <alignment horizontal="center" vertical="center"/>
    </xf>
    <xf numFmtId="49" fontId="78" fillId="23" borderId="5" applyAlignment="1" pivotButton="0" quotePrefix="0" xfId="0">
      <alignment horizontal="left" vertical="center"/>
    </xf>
    <xf numFmtId="49" fontId="78" fillId="14" borderId="5" applyAlignment="1" pivotButton="0" quotePrefix="0" xfId="0">
      <alignment horizontal="left" vertical="center"/>
    </xf>
    <xf numFmtId="49" fontId="96" fillId="14" borderId="5" applyAlignment="1" pivotButton="0" quotePrefix="0" xfId="0">
      <alignment horizontal="left" vertical="center"/>
    </xf>
    <xf numFmtId="49" fontId="96" fillId="14" borderId="13" applyAlignment="1" pivotButton="0" quotePrefix="0" xfId="0">
      <alignment horizontal="left" vertical="center"/>
    </xf>
    <xf numFmtId="0" fontId="21" fillId="14" borderId="9" applyAlignment="1" pivotButton="0" quotePrefix="0" xfId="0">
      <alignment horizontal="left" vertical="center"/>
    </xf>
    <xf numFmtId="0" fontId="21" fillId="14" borderId="10" applyAlignment="1" pivotButton="0" quotePrefix="0" xfId="0">
      <alignment horizontal="left" vertical="center"/>
    </xf>
    <xf numFmtId="1" fontId="81" fillId="0" borderId="5" applyAlignment="1" pivotButton="0" quotePrefix="0" xfId="0">
      <alignment horizontal="center" vertical="center"/>
    </xf>
    <xf numFmtId="0" fontId="4" fillId="4" borderId="5" applyAlignment="1" pivotButton="0" quotePrefix="0" xfId="4">
      <alignment horizontal="left"/>
    </xf>
    <xf numFmtId="168" fontId="0" fillId="0" borderId="8" applyAlignment="1" pivotButton="0" quotePrefix="0" xfId="0">
      <alignment horizontal="left"/>
    </xf>
    <xf numFmtId="0" fontId="0" fillId="0" borderId="5" pivotButton="0" quotePrefix="0" xfId="0"/>
    <xf numFmtId="0" fontId="9" fillId="14" borderId="14" applyAlignment="1" pivotButton="0" quotePrefix="0" xfId="0">
      <alignment horizontal="left"/>
    </xf>
    <xf numFmtId="0" fontId="19" fillId="14" borderId="13" applyAlignment="1" pivotButton="0" quotePrefix="0" xfId="6">
      <alignment horizontal="left"/>
    </xf>
    <xf numFmtId="0" fontId="9" fillId="14" borderId="10" applyAlignment="1" pivotButton="0" quotePrefix="0" xfId="0">
      <alignment horizontal="left"/>
    </xf>
    <xf numFmtId="0" fontId="77" fillId="70" borderId="16" applyAlignment="1" pivotButton="0" quotePrefix="0" xfId="13">
      <alignment horizontal="left"/>
    </xf>
    <xf numFmtId="0" fontId="77" fillId="70" borderId="8" applyAlignment="1" pivotButton="0" quotePrefix="0" xfId="13">
      <alignment horizontal="left"/>
    </xf>
    <xf numFmtId="164" fontId="0" fillId="0" borderId="0" applyAlignment="1" pivotButton="0" quotePrefix="0" xfId="0">
      <alignment horizontal="left"/>
    </xf>
    <xf numFmtId="0" fontId="4" fillId="4" borderId="5" applyAlignment="1" pivotButton="0" quotePrefix="0" xfId="4">
      <alignment horizontal="center"/>
    </xf>
    <xf numFmtId="0" fontId="77" fillId="70" borderId="5" applyAlignment="1" pivotButton="0" quotePrefix="0" xfId="13">
      <alignment horizontal="left"/>
    </xf>
    <xf numFmtId="0" fontId="13" fillId="14" borderId="5" applyAlignment="1" pivotButton="0" quotePrefix="0" xfId="0">
      <alignment horizontal="left"/>
    </xf>
    <xf numFmtId="0" fontId="24" fillId="14" borderId="5" applyAlignment="1" pivotButton="0" quotePrefix="0" xfId="0">
      <alignment horizontal="left"/>
    </xf>
    <xf numFmtId="0" fontId="24" fillId="14" borderId="14" applyAlignment="1" pivotButton="0" quotePrefix="0" xfId="0">
      <alignment horizontal="left"/>
    </xf>
    <xf numFmtId="0" fontId="20" fillId="14" borderId="13" applyAlignment="1" pivotButton="0" quotePrefix="0" xfId="0">
      <alignment horizontal="center"/>
    </xf>
    <xf numFmtId="0" fontId="2" fillId="2" borderId="5" applyAlignment="1" pivotButton="0" quotePrefix="0" xfId="2">
      <alignment horizontal="center"/>
    </xf>
    <xf numFmtId="0" fontId="0" fillId="25" borderId="5" pivotButton="0" quotePrefix="0" xfId="0"/>
    <xf numFmtId="0" fontId="4" fillId="4" borderId="1" applyAlignment="1" pivotButton="0" quotePrefix="0" xfId="4">
      <alignment horizontal="left"/>
    </xf>
    <xf numFmtId="0" fontId="19" fillId="14" borderId="16" applyAlignment="1" pivotButton="0" quotePrefix="0" xfId="0">
      <alignment horizontal="left"/>
    </xf>
    <xf numFmtId="0" fontId="0" fillId="17" borderId="5" pivotButton="0" quotePrefix="0" xfId="0"/>
    <xf numFmtId="0" fontId="24" fillId="14" borderId="16" applyAlignment="1" pivotButton="0" quotePrefix="0" xfId="0">
      <alignment horizontal="left"/>
    </xf>
    <xf numFmtId="0" fontId="4" fillId="7" borderId="5" applyAlignment="1" pivotButton="0" quotePrefix="0" xfId="7">
      <alignment horizontal="left"/>
    </xf>
    <xf numFmtId="0" fontId="24" fillId="14" borderId="5" applyAlignment="1" pivotButton="0" quotePrefix="0" xfId="0">
      <alignment horizontal="center"/>
    </xf>
    <xf numFmtId="0" fontId="13" fillId="14" borderId="5" applyAlignment="1" pivotButton="0" quotePrefix="0" xfId="0">
      <alignment horizontal="center"/>
    </xf>
    <xf numFmtId="0" fontId="0" fillId="25" borderId="5" applyAlignment="1" pivotButton="0" quotePrefix="0" xfId="0">
      <alignment horizontal="center"/>
    </xf>
    <xf numFmtId="0" fontId="0" fillId="0" borderId="16" applyAlignment="1" pivotButton="0" quotePrefix="0" xfId="0">
      <alignment horizontal="center"/>
    </xf>
    <xf numFmtId="0" fontId="0" fillId="20" borderId="5" applyAlignment="1" pivotButton="0" quotePrefix="0" xfId="0">
      <alignment horizontal="left"/>
    </xf>
    <xf numFmtId="0" fontId="20" fillId="14" borderId="5" applyAlignment="1" pivotButton="0" quotePrefix="0" xfId="4">
      <alignment horizontal="left"/>
    </xf>
    <xf numFmtId="0" fontId="0" fillId="72" borderId="5" pivotButton="0" quotePrefix="0" xfId="0"/>
    <xf numFmtId="164" fontId="0" fillId="24" borderId="5" applyAlignment="1" pivotButton="0" quotePrefix="0" xfId="0">
      <alignment horizontal="left"/>
    </xf>
    <xf numFmtId="0" fontId="0" fillId="24" borderId="5" applyAlignment="1" pivotButton="0" quotePrefix="0" xfId="0">
      <alignment horizontal="left"/>
    </xf>
    <xf numFmtId="0" fontId="20" fillId="14" borderId="18" applyAlignment="1" pivotButton="0" quotePrefix="0" xfId="0">
      <alignment horizontal="left"/>
    </xf>
    <xf numFmtId="0" fontId="4" fillId="22" borderId="5" applyAlignment="1" pivotButton="0" quotePrefix="0" xfId="4">
      <alignment horizontal="left"/>
    </xf>
    <xf numFmtId="164" fontId="4" fillId="22" borderId="5" applyAlignment="1" pivotButton="0" quotePrefix="0" xfId="4">
      <alignment horizontal="left"/>
    </xf>
    <xf numFmtId="0" fontId="4" fillId="22" borderId="5" applyAlignment="1" pivotButton="0" quotePrefix="1" xfId="4">
      <alignment horizontal="left"/>
    </xf>
    <xf numFmtId="0" fontId="0" fillId="7" borderId="4" applyAlignment="1" pivotButton="0" quotePrefix="0" xfId="7">
      <alignment horizontal="center"/>
    </xf>
    <xf numFmtId="0" fontId="5" fillId="5" borderId="0" applyAlignment="1" pivotButton="0" quotePrefix="0" xfId="5">
      <alignment horizontal="center"/>
    </xf>
    <xf numFmtId="0" fontId="7" fillId="24" borderId="5" applyAlignment="1" pivotButton="0" quotePrefix="0" xfId="0">
      <alignment horizontal="left"/>
    </xf>
    <xf numFmtId="0" fontId="7" fillId="0" borderId="0" applyAlignment="1" pivotButton="0" quotePrefix="0" xfId="0">
      <alignment horizontal="left"/>
    </xf>
    <xf numFmtId="0" fontId="0" fillId="77" borderId="13" applyAlignment="1" pivotButton="0" quotePrefix="0" xfId="0">
      <alignment horizontal="left"/>
    </xf>
    <xf numFmtId="0" fontId="0" fillId="24" borderId="0" applyAlignment="1" pivotButton="0" quotePrefix="0" xfId="0">
      <alignment horizontal="left"/>
    </xf>
    <xf numFmtId="164" fontId="0" fillId="25" borderId="5" applyAlignment="1" pivotButton="0" quotePrefix="0" xfId="0">
      <alignment horizontal="left"/>
    </xf>
    <xf numFmtId="0" fontId="7" fillId="25" borderId="5" applyAlignment="1" pivotButton="0" quotePrefix="0" xfId="0">
      <alignment horizontal="left"/>
    </xf>
    <xf numFmtId="164" fontId="7" fillId="25" borderId="5" applyAlignment="1" pivotButton="0" quotePrefix="0" xfId="0">
      <alignment horizontal="left"/>
    </xf>
    <xf numFmtId="0" fontId="7" fillId="22" borderId="5" applyAlignment="1" pivotButton="0" quotePrefix="0" xfId="4">
      <alignment horizontal="left"/>
    </xf>
    <xf numFmtId="164" fontId="7" fillId="22" borderId="5" applyAlignment="1" pivotButton="0" quotePrefix="0" xfId="4">
      <alignment horizontal="left"/>
    </xf>
    <xf numFmtId="0" fontId="15" fillId="25" borderId="5" applyAlignment="1" pivotButton="0" quotePrefix="0" xfId="13">
      <alignment horizontal="left"/>
    </xf>
    <xf numFmtId="168" fontId="0" fillId="0" borderId="5" applyAlignment="1" pivotButton="0" quotePrefix="0" xfId="0">
      <alignment horizontal="left"/>
    </xf>
    <xf numFmtId="0" fontId="24" fillId="14" borderId="13" applyAlignment="1" pivotButton="0" quotePrefix="0" xfId="0">
      <alignment horizontal="left"/>
    </xf>
    <xf numFmtId="0" fontId="5" fillId="5" borderId="1" applyAlignment="1" pivotButton="0" quotePrefix="0" xfId="5">
      <alignment horizontal="left"/>
    </xf>
    <xf numFmtId="168" fontId="20" fillId="14" borderId="0" applyAlignment="1" pivotButton="0" quotePrefix="0" xfId="0">
      <alignment horizontal="left"/>
    </xf>
    <xf numFmtId="0" fontId="6" fillId="78" borderId="5" applyAlignment="1" pivotButton="0" quotePrefix="0" xfId="0">
      <alignment horizontal="left"/>
    </xf>
    <xf numFmtId="0" fontId="0" fillId="17" borderId="14" pivotButton="0" quotePrefix="0" xfId="0"/>
    <xf numFmtId="0" fontId="12" fillId="0" borderId="10" applyAlignment="1" pivotButton="0" quotePrefix="0" xfId="0">
      <alignment horizontal="left"/>
    </xf>
    <xf numFmtId="0" fontId="12" fillId="0" borderId="16" applyAlignment="1" pivotButton="0" quotePrefix="0" xfId="0">
      <alignment horizontal="left"/>
    </xf>
    <xf numFmtId="0" fontId="12" fillId="0" borderId="8" applyAlignment="1" pivotButton="0" quotePrefix="0" xfId="0">
      <alignment horizontal="left"/>
    </xf>
    <xf numFmtId="0" fontId="15" fillId="0" borderId="14" applyAlignment="1" pivotButton="0" quotePrefix="0" xfId="0">
      <alignment horizontal="left"/>
    </xf>
    <xf numFmtId="0" fontId="15" fillId="0" borderId="5" applyAlignment="1" pivotButton="0" quotePrefix="0" xfId="0">
      <alignment horizontal="left"/>
    </xf>
    <xf numFmtId="0" fontId="15" fillId="0" borderId="5" applyAlignment="1" pivotButton="0" quotePrefix="0" xfId="4">
      <alignment horizontal="left"/>
    </xf>
    <xf numFmtId="164" fontId="15" fillId="0" borderId="5" applyAlignment="1" pivotButton="0" quotePrefix="0" xfId="13">
      <alignment horizontal="left"/>
    </xf>
    <xf numFmtId="0" fontId="15" fillId="0" borderId="13" applyAlignment="1" pivotButton="0" quotePrefix="0" xfId="0">
      <alignment horizontal="left"/>
    </xf>
    <xf numFmtId="0" fontId="15" fillId="0" borderId="5" pivotButton="0" quotePrefix="0" xfId="0"/>
    <xf numFmtId="0" fontId="15" fillId="0" borderId="11" applyAlignment="1" pivotButton="0" quotePrefix="0" xfId="0">
      <alignment horizontal="left"/>
    </xf>
    <xf numFmtId="0" fontId="15" fillId="0" borderId="12" applyAlignment="1" pivotButton="0" quotePrefix="0" xfId="0">
      <alignment horizontal="left"/>
    </xf>
    <xf numFmtId="0" fontId="15" fillId="0" borderId="12" pivotButton="0" quotePrefix="0" xfId="0"/>
    <xf numFmtId="164" fontId="15" fillId="0" borderId="12" applyAlignment="1" pivotButton="0" quotePrefix="0" xfId="13">
      <alignment horizontal="left"/>
    </xf>
    <xf numFmtId="0" fontId="15" fillId="0" borderId="15" applyAlignment="1" pivotButton="0" quotePrefix="0" xfId="0">
      <alignment horizontal="left"/>
    </xf>
    <xf numFmtId="0" fontId="81" fillId="14" borderId="5" applyAlignment="1" pivotButton="0" quotePrefix="0" xfId="0">
      <alignment horizontal="left"/>
    </xf>
    <xf numFmtId="0" fontId="28" fillId="14" borderId="5" applyAlignment="1" pivotButton="0" quotePrefix="0" xfId="2">
      <alignment horizontal="left"/>
    </xf>
    <xf numFmtId="0" fontId="28" fillId="0" borderId="0" applyAlignment="1" pivotButton="0" quotePrefix="0" xfId="0">
      <alignment horizontal="left"/>
    </xf>
    <xf numFmtId="0" fontId="5" fillId="5" borderId="33" applyAlignment="1" pivotButton="0" quotePrefix="0" xfId="5">
      <alignment horizontal="left"/>
    </xf>
    <xf numFmtId="0" fontId="0" fillId="25" borderId="16" applyAlignment="1" pivotButton="0" quotePrefix="0" xfId="0">
      <alignment horizontal="left"/>
    </xf>
    <xf numFmtId="0" fontId="11" fillId="7" borderId="5" applyAlignment="1" pivotButton="0" quotePrefix="0" xfId="7">
      <alignment horizontal="left"/>
    </xf>
    <xf numFmtId="0" fontId="11" fillId="16" borderId="5" applyAlignment="1" pivotButton="0" quotePrefix="0" xfId="7">
      <alignment horizontal="left"/>
    </xf>
    <xf numFmtId="164" fontId="19" fillId="14" borderId="5" applyAlignment="1" pivotButton="0" quotePrefix="0" xfId="0">
      <alignment horizontal="left"/>
    </xf>
    <xf numFmtId="9" fontId="15" fillId="0" borderId="13" applyAlignment="1" pivotButton="0" quotePrefix="0" xfId="1">
      <alignment horizontal="left"/>
    </xf>
    <xf numFmtId="9" fontId="15" fillId="0" borderId="15" applyAlignment="1" pivotButton="0" quotePrefix="0" xfId="1">
      <alignment horizontal="left"/>
    </xf>
    <xf numFmtId="0" fontId="19" fillId="14" borderId="12" applyAlignment="1" pivotButton="0" quotePrefix="0" xfId="0">
      <alignment horizontal="left"/>
    </xf>
    <xf numFmtId="0" fontId="3" fillId="14" borderId="5" applyAlignment="1" pivotButton="0" quotePrefix="0" xfId="3">
      <alignment horizontal="left"/>
    </xf>
    <xf numFmtId="164" fontId="0" fillId="14" borderId="0" applyAlignment="1" pivotButton="0" quotePrefix="0" xfId="0">
      <alignment horizontal="left"/>
    </xf>
    <xf numFmtId="0" fontId="22" fillId="14" borderId="13" applyAlignment="1" pivotButton="0" quotePrefix="0" xfId="0">
      <alignment horizontal="left"/>
    </xf>
    <xf numFmtId="0" fontId="22" fillId="14" borderId="5" applyAlignment="1" pivotButton="0" quotePrefix="0" xfId="0">
      <alignment horizontal="left"/>
    </xf>
    <xf numFmtId="0" fontId="100" fillId="24" borderId="5" applyAlignment="1" pivotButton="0" quotePrefix="0" xfId="0">
      <alignment horizontal="left"/>
    </xf>
    <xf numFmtId="0" fontId="101" fillId="24" borderId="5" applyAlignment="1" pivotButton="0" quotePrefix="0" xfId="0">
      <alignment horizontal="left"/>
    </xf>
    <xf numFmtId="1" fontId="7" fillId="0" borderId="0" applyAlignment="1" pivotButton="0" quotePrefix="0" xfId="0">
      <alignment horizontal="left"/>
    </xf>
    <xf numFmtId="170" fontId="0" fillId="0" borderId="8" applyAlignment="1" pivotButton="0" quotePrefix="0" xfId="0">
      <alignment horizontal="left"/>
    </xf>
    <xf numFmtId="0" fontId="0" fillId="14" borderId="5" pivotButton="0" quotePrefix="0" xfId="7"/>
    <xf numFmtId="0" fontId="20" fillId="14" borderId="0" applyAlignment="1" pivotButton="0" quotePrefix="0" xfId="0">
      <alignment horizontal="left"/>
    </xf>
    <xf numFmtId="1" fontId="13" fillId="14" borderId="12" applyAlignment="1" pivotButton="0" quotePrefix="0" xfId="0">
      <alignment horizontal="center"/>
    </xf>
    <xf numFmtId="9" fontId="0" fillId="0" borderId="5" applyAlignment="1" pivotButton="0" quotePrefix="0" xfId="1">
      <alignment horizontal="center"/>
    </xf>
    <xf numFmtId="0" fontId="0" fillId="14" borderId="13" applyAlignment="1" pivotButton="0" quotePrefix="0" xfId="0">
      <alignment horizontal="center"/>
    </xf>
    <xf numFmtId="0" fontId="0" fillId="14" borderId="14" pivotButton="0" quotePrefix="0" xfId="0"/>
    <xf numFmtId="0" fontId="0" fillId="14" borderId="12" applyAlignment="1" pivotButton="0" quotePrefix="0" xfId="0">
      <alignment horizontal="center"/>
    </xf>
    <xf numFmtId="0" fontId="0" fillId="14" borderId="12" applyAlignment="1" pivotButton="0" quotePrefix="0" xfId="0">
      <alignment horizontal="left"/>
    </xf>
    <xf numFmtId="0" fontId="0" fillId="0" borderId="14" applyAlignment="1" pivotButton="0" quotePrefix="0" xfId="0">
      <alignment horizontal="center"/>
    </xf>
    <xf numFmtId="0" fontId="0" fillId="0" borderId="11" applyAlignment="1" pivotButton="0" quotePrefix="0" xfId="0">
      <alignment horizontal="center"/>
    </xf>
    <xf numFmtId="0" fontId="0" fillId="0" borderId="12" applyAlignment="1" pivotButton="0" quotePrefix="0" xfId="0">
      <alignment horizontal="center"/>
    </xf>
    <xf numFmtId="0" fontId="6" fillId="78" borderId="7" applyAlignment="1" pivotButton="0" quotePrefix="0" xfId="0">
      <alignment horizontal="left"/>
    </xf>
    <xf numFmtId="0" fontId="0" fillId="14" borderId="14" applyAlignment="1" pivotButton="0" quotePrefix="0" xfId="0">
      <alignment horizontal="left"/>
    </xf>
    <xf numFmtId="0" fontId="22" fillId="14" borderId="14" applyAlignment="1" pivotButton="0" quotePrefix="0" xfId="0">
      <alignment horizontal="left"/>
    </xf>
    <xf numFmtId="0" fontId="6" fillId="14" borderId="0" applyAlignment="1" pivotButton="0" quotePrefix="0" xfId="0">
      <alignment horizontal="left"/>
    </xf>
    <xf numFmtId="0" fontId="19" fillId="14" borderId="15" applyAlignment="1" pivotButton="0" quotePrefix="0" xfId="0">
      <alignment horizontal="left"/>
    </xf>
    <xf numFmtId="49" fontId="6" fillId="14" borderId="16" applyAlignment="1" pivotButton="0" quotePrefix="0" xfId="0">
      <alignment horizontal="center" vertical="center"/>
    </xf>
    <xf numFmtId="49" fontId="6" fillId="14" borderId="16" applyAlignment="1" pivotButton="0" quotePrefix="0" xfId="0">
      <alignment horizontal="left" vertical="center"/>
    </xf>
    <xf numFmtId="0" fontId="103" fillId="14" borderId="10" applyAlignment="1" pivotButton="0" quotePrefix="0" xfId="0">
      <alignment horizontal="left" vertical="center"/>
    </xf>
    <xf numFmtId="164" fontId="99" fillId="24" borderId="5" applyAlignment="1" pivotButton="0" quotePrefix="0" xfId="0">
      <alignment horizontal="left"/>
    </xf>
    <xf numFmtId="0" fontId="4" fillId="7" borderId="5" applyAlignment="1" pivotButton="0" quotePrefix="1" xfId="7">
      <alignment horizontal="left"/>
    </xf>
    <xf numFmtId="49" fontId="6" fillId="14" borderId="8" applyAlignment="1" pivotButton="0" quotePrefix="0" xfId="0">
      <alignment horizontal="center" vertical="center"/>
    </xf>
    <xf numFmtId="0" fontId="17" fillId="19" borderId="5" applyAlignment="1" pivotButton="0" quotePrefix="0" xfId="0">
      <alignment horizontal="center" vertical="center"/>
    </xf>
    <xf numFmtId="0" fontId="32" fillId="14" borderId="5" applyAlignment="1" pivotButton="0" quotePrefix="1" xfId="0">
      <alignment horizontal="left"/>
    </xf>
    <xf numFmtId="164" fontId="0" fillId="0" borderId="5" applyAlignment="1" pivotButton="0" quotePrefix="0" xfId="0">
      <alignment horizontal="left"/>
    </xf>
    <xf numFmtId="164" fontId="19" fillId="14" borderId="15" applyAlignment="1" pivotButton="0" quotePrefix="0" xfId="0">
      <alignment horizontal="left"/>
    </xf>
    <xf numFmtId="0" fontId="22" fillId="24" borderId="5" applyAlignment="1" pivotButton="0" quotePrefix="0" xfId="0">
      <alignment horizontal="left"/>
    </xf>
    <xf numFmtId="164" fontId="22" fillId="24" borderId="5" applyAlignment="1" pivotButton="0" quotePrefix="0" xfId="0">
      <alignment horizontal="left"/>
    </xf>
    <xf numFmtId="0" fontId="1" fillId="73" borderId="14" applyAlignment="1" pivotButton="0" quotePrefix="0" xfId="15">
      <alignment horizontal="center" vertical="center"/>
    </xf>
    <xf numFmtId="0" fontId="9" fillId="8" borderId="14" applyAlignment="1" pivotButton="0" quotePrefix="0" xfId="8">
      <alignment horizontal="center" vertical="center"/>
    </xf>
    <xf numFmtId="0" fontId="9" fillId="8" borderId="5" applyAlignment="1" pivotButton="0" quotePrefix="0" xfId="8">
      <alignment horizontal="center" vertical="center"/>
    </xf>
    <xf numFmtId="171" fontId="1" fillId="0" borderId="14" applyAlignment="1" pivotButton="0" quotePrefix="0" xfId="1">
      <alignment horizontal="center"/>
    </xf>
    <xf numFmtId="0" fontId="16" fillId="19" borderId="5" applyAlignment="1" pivotButton="0" quotePrefix="0" xfId="0">
      <alignment horizontal="center" vertical="center"/>
    </xf>
    <xf numFmtId="0" fontId="78" fillId="6" borderId="5" applyAlignment="1" pivotButton="0" quotePrefix="0" xfId="6">
      <alignment horizontal="center"/>
    </xf>
    <xf numFmtId="1" fontId="11" fillId="19" borderId="5" applyAlignment="1" pivotButton="0" quotePrefix="0" xfId="0">
      <alignment horizontal="center" vertical="center"/>
    </xf>
    <xf numFmtId="0" fontId="104" fillId="19" borderId="5" applyAlignment="1" pivotButton="0" quotePrefix="0" xfId="0">
      <alignment horizontal="center" vertical="center"/>
    </xf>
    <xf numFmtId="1" fontId="104" fillId="24" borderId="5" applyAlignment="1" pivotButton="0" quotePrefix="0" xfId="0">
      <alignment horizontal="center" vertical="center"/>
    </xf>
    <xf numFmtId="1" fontId="11" fillId="19" borderId="5" applyAlignment="1" pivotButton="0" quotePrefix="0" xfId="0">
      <alignment horizontal="left" vertical="center"/>
    </xf>
    <xf numFmtId="0" fontId="0" fillId="15" borderId="0" applyAlignment="1" pivotButton="0" quotePrefix="0" xfId="0">
      <alignment horizontal="left"/>
    </xf>
    <xf numFmtId="0" fontId="89" fillId="14" borderId="0" applyAlignment="1" pivotButton="0" quotePrefix="0" xfId="16">
      <alignment horizontal="center" vertical="center"/>
    </xf>
    <xf numFmtId="0" fontId="91" fillId="23" borderId="5" applyAlignment="1" pivotButton="0" quotePrefix="0" xfId="0">
      <alignment horizontal="center" vertical="center"/>
    </xf>
    <xf numFmtId="0" fontId="1" fillId="11" borderId="5" applyAlignment="1" pivotButton="0" quotePrefix="0" xfId="10">
      <alignment horizontal="center" vertical="center"/>
    </xf>
    <xf numFmtId="1" fontId="0" fillId="0" borderId="5" applyAlignment="1" pivotButton="0" quotePrefix="0" xfId="0">
      <alignment horizontal="center" vertical="center"/>
    </xf>
    <xf numFmtId="0" fontId="1" fillId="12" borderId="5" applyAlignment="1" pivotButton="0" quotePrefix="0" xfId="11">
      <alignment horizontal="center" vertical="center"/>
    </xf>
    <xf numFmtId="1" fontId="0" fillId="25" borderId="5" applyAlignment="1" pivotButton="0" quotePrefix="0" xfId="0">
      <alignment horizontal="center" vertical="center"/>
    </xf>
    <xf numFmtId="1" fontId="0" fillId="22" borderId="5" applyAlignment="1" pivotButton="0" quotePrefix="0" xfId="0">
      <alignment horizontal="center" vertical="center"/>
    </xf>
    <xf numFmtId="0" fontId="0" fillId="14" borderId="10" applyAlignment="1" pivotButton="0" quotePrefix="0" xfId="0">
      <alignment horizontal="center" vertical="center"/>
    </xf>
    <xf numFmtId="49" fontId="6" fillId="23" borderId="16" applyAlignment="1" pivotButton="0" quotePrefix="0" xfId="0">
      <alignment horizontal="center" vertical="center"/>
    </xf>
    <xf numFmtId="49" fontId="0" fillId="14" borderId="5" applyAlignment="1" pivotButton="0" quotePrefix="0" xfId="0">
      <alignment horizontal="left"/>
    </xf>
    <xf numFmtId="0" fontId="22" fillId="11" borderId="14" applyAlignment="1" pivotButton="0" quotePrefix="0" xfId="10">
      <alignment horizontal="center" vertical="center"/>
    </xf>
    <xf numFmtId="0" fontId="22" fillId="12" borderId="14" applyAlignment="1" pivotButton="0" quotePrefix="0" xfId="11">
      <alignment horizontal="center" vertical="center"/>
    </xf>
    <xf numFmtId="1" fontId="11" fillId="19" borderId="13" applyAlignment="1" pivotButton="0" quotePrefix="0" xfId="0">
      <alignment horizontal="center" vertical="center"/>
    </xf>
    <xf numFmtId="0" fontId="22" fillId="13" borderId="14" applyAlignment="1" pivotButton="0" quotePrefix="0" xfId="12">
      <alignment horizontal="center" vertical="center"/>
    </xf>
    <xf numFmtId="0" fontId="22" fillId="10" borderId="14" applyAlignment="1" pivotButton="0" quotePrefix="0" xfId="9">
      <alignment horizontal="center" vertical="center"/>
    </xf>
    <xf numFmtId="0" fontId="28" fillId="16" borderId="14" applyAlignment="1" pivotButton="0" quotePrefix="0" xfId="0">
      <alignment horizontal="center" vertical="center"/>
    </xf>
    <xf numFmtId="0" fontId="28" fillId="16" borderId="11" applyAlignment="1" pivotButton="0" quotePrefix="0" xfId="0">
      <alignment horizontal="center" vertical="center"/>
    </xf>
    <xf numFmtId="1" fontId="11" fillId="19" borderId="12" applyAlignment="1" pivotButton="0" quotePrefix="0" xfId="0">
      <alignment horizontal="center" vertical="center"/>
    </xf>
    <xf numFmtId="1" fontId="11" fillId="19" borderId="15" applyAlignment="1" pivotButton="0" quotePrefix="0" xfId="0">
      <alignment horizontal="center" vertical="center"/>
    </xf>
    <xf numFmtId="49" fontId="6" fillId="23" borderId="16" applyAlignment="1" pivotButton="0" quotePrefix="0" xfId="0">
      <alignment horizontal="left" vertical="center"/>
    </xf>
    <xf numFmtId="0" fontId="22" fillId="11" borderId="14" applyAlignment="1" pivotButton="0" quotePrefix="0" xfId="10">
      <alignment horizontal="left" vertical="center"/>
    </xf>
    <xf numFmtId="1" fontId="17" fillId="0" borderId="5" applyAlignment="1" pivotButton="0" quotePrefix="0" xfId="0">
      <alignment horizontal="left" vertical="center"/>
    </xf>
    <xf numFmtId="0" fontId="22" fillId="12" borderId="14" applyAlignment="1" pivotButton="0" quotePrefix="0" xfId="11">
      <alignment horizontal="left" vertical="center"/>
    </xf>
    <xf numFmtId="0" fontId="22" fillId="13" borderId="14" applyAlignment="1" pivotButton="0" quotePrefix="0" xfId="12">
      <alignment horizontal="left" vertical="center"/>
    </xf>
    <xf numFmtId="0" fontId="28" fillId="16" borderId="14" applyAlignment="1" pivotButton="0" quotePrefix="0" xfId="0">
      <alignment horizontal="left" vertical="center"/>
    </xf>
    <xf numFmtId="1" fontId="104" fillId="19" borderId="5" applyAlignment="1" pivotButton="0" quotePrefix="0" xfId="0">
      <alignment horizontal="center" vertical="center"/>
    </xf>
    <xf numFmtId="0" fontId="15" fillId="77" borderId="5" applyAlignment="1" pivotButton="0" quotePrefix="0" xfId="4">
      <alignment horizontal="left"/>
    </xf>
    <xf numFmtId="164" fontId="15" fillId="77" borderId="5" applyAlignment="1" pivotButton="0" quotePrefix="0" xfId="4">
      <alignment horizontal="left"/>
    </xf>
    <xf numFmtId="0" fontId="20" fillId="79" borderId="5" applyAlignment="1" pivotButton="0" quotePrefix="0" xfId="0">
      <alignment horizontal="left"/>
    </xf>
    <xf numFmtId="0" fontId="3" fillId="14" borderId="40" pivotButton="0" quotePrefix="0" xfId="3"/>
    <xf numFmtId="0" fontId="3" fillId="14" borderId="41" pivotButton="0" quotePrefix="0" xfId="3"/>
    <xf numFmtId="172" fontId="0" fillId="14" borderId="5" applyAlignment="1" pivotButton="0" quotePrefix="0" xfId="0">
      <alignment horizontal="left"/>
    </xf>
    <xf numFmtId="172" fontId="22" fillId="14" borderId="5" applyAlignment="1" pivotButton="0" quotePrefix="0" xfId="0">
      <alignment horizontal="left"/>
    </xf>
    <xf numFmtId="172" fontId="0" fillId="24" borderId="5" applyAlignment="1" pivotButton="0" quotePrefix="0" xfId="0">
      <alignment horizontal="left"/>
    </xf>
    <xf numFmtId="172" fontId="22" fillId="24" borderId="5" applyAlignment="1" pivotButton="0" quotePrefix="0" xfId="0">
      <alignment horizontal="left"/>
    </xf>
    <xf numFmtId="172" fontId="19" fillId="14" borderId="5" applyAlignment="1" pivotButton="0" quotePrefix="0" xfId="0">
      <alignment horizontal="left"/>
    </xf>
    <xf numFmtId="172" fontId="99" fillId="24" borderId="5" applyAlignment="1" pivotButton="0" quotePrefix="0" xfId="0">
      <alignment horizontal="left"/>
    </xf>
    <xf numFmtId="172" fontId="0" fillId="0" borderId="5" applyAlignment="1" pivotButton="0" quotePrefix="0" xfId="0">
      <alignment horizontal="left"/>
    </xf>
    <xf numFmtId="172" fontId="0" fillId="0" borderId="0" applyAlignment="1" pivotButton="0" quotePrefix="0" xfId="0">
      <alignment horizontal="left"/>
    </xf>
    <xf numFmtId="172" fontId="99" fillId="0" borderId="0" applyAlignment="1" pivotButton="0" quotePrefix="0" xfId="0">
      <alignment horizontal="left"/>
    </xf>
    <xf numFmtId="0" fontId="5" fillId="5" borderId="1" pivotButton="0" quotePrefix="0" xfId="5"/>
    <xf numFmtId="172" fontId="0" fillId="25" borderId="5" applyAlignment="1" pivotButton="0" quotePrefix="0" xfId="0">
      <alignment horizontal="left"/>
    </xf>
    <xf numFmtId="0" fontId="20" fillId="15" borderId="5" applyAlignment="1" pivotButton="0" quotePrefix="0" xfId="0">
      <alignment horizontal="left"/>
    </xf>
    <xf numFmtId="0" fontId="0" fillId="72" borderId="0" pivotButton="0" quotePrefix="0" xfId="0"/>
    <xf numFmtId="1" fontId="74" fillId="14" borderId="15" applyAlignment="1" pivotButton="0" quotePrefix="0" xfId="0">
      <alignment horizontal="center" vertical="center"/>
    </xf>
    <xf numFmtId="0" fontId="27" fillId="14" borderId="12" applyAlignment="1" pivotButton="0" quotePrefix="0" xfId="6">
      <alignment horizontal="center" vertical="center"/>
    </xf>
    <xf numFmtId="1" fontId="17" fillId="0" borderId="12" applyAlignment="1" pivotButton="0" quotePrefix="0" xfId="0">
      <alignment horizontal="center"/>
    </xf>
    <xf numFmtId="1" fontId="74" fillId="14" borderId="10" applyAlignment="1" pivotButton="0" quotePrefix="0" xfId="0">
      <alignment horizontal="center" vertical="center"/>
    </xf>
    <xf numFmtId="2" fontId="17" fillId="0" borderId="5" applyAlignment="1" pivotButton="0" quotePrefix="0" xfId="0">
      <alignment horizontal="center"/>
    </xf>
    <xf numFmtId="0" fontId="4" fillId="17" borderId="5" applyAlignment="1" pivotButton="0" quotePrefix="0" xfId="4">
      <alignment horizontal="left"/>
    </xf>
    <xf numFmtId="0" fontId="0" fillId="80" borderId="5" applyAlignment="1" pivotButton="0" quotePrefix="0" xfId="11">
      <alignment horizontal="left"/>
    </xf>
    <xf numFmtId="0" fontId="0" fillId="25" borderId="5" applyAlignment="1" pivotButton="0" quotePrefix="0" xfId="11">
      <alignment horizontal="left"/>
    </xf>
    <xf numFmtId="0" fontId="0" fillId="0" borderId="1" applyAlignment="1" pivotButton="0" quotePrefix="0" xfId="0">
      <alignment horizontal="left"/>
    </xf>
    <xf numFmtId="172" fontId="5" fillId="14" borderId="34" pivotButton="0" quotePrefix="0" xfId="5"/>
    <xf numFmtId="172" fontId="24" fillId="14" borderId="34" pivotButton="0" quotePrefix="0" xfId="5"/>
    <xf numFmtId="172" fontId="24" fillId="14" borderId="5" applyAlignment="1" pivotButton="0" quotePrefix="0" xfId="0">
      <alignment horizontal="left"/>
    </xf>
    <xf numFmtId="172" fontId="0" fillId="0" borderId="0" pivotButton="0" quotePrefix="0" xfId="0"/>
    <xf numFmtId="171" fontId="0" fillId="0" borderId="5" pivotButton="0" quotePrefix="0" xfId="1"/>
    <xf numFmtId="1" fontId="0" fillId="0" borderId="5" pivotButton="0" quotePrefix="0" xfId="0"/>
    <xf numFmtId="0" fontId="9" fillId="9" borderId="5" pivotButton="0" quotePrefix="0" xfId="17"/>
    <xf numFmtId="171" fontId="9" fillId="9" borderId="5" pivotButton="0" quotePrefix="0" xfId="17"/>
    <xf numFmtId="172" fontId="81" fillId="20" borderId="5" applyAlignment="1" pivotButton="0" quotePrefix="0" xfId="0">
      <alignment horizontal="left"/>
    </xf>
    <xf numFmtId="1" fontId="17" fillId="19" borderId="5" applyAlignment="1" pivotButton="0" quotePrefix="0" xfId="0">
      <alignment horizontal="center"/>
    </xf>
    <xf numFmtId="0" fontId="27" fillId="14" borderId="14" applyAlignment="1" pivotButton="0" quotePrefix="0" xfId="6">
      <alignment horizontal="center" vertical="center"/>
    </xf>
    <xf numFmtId="1" fontId="74" fillId="14" borderId="8" applyAlignment="1" pivotButton="0" quotePrefix="0" xfId="0">
      <alignment horizontal="center" vertical="center"/>
    </xf>
    <xf numFmtId="1" fontId="17" fillId="0" borderId="13" applyAlignment="1" pivotButton="0" quotePrefix="0" xfId="0">
      <alignment horizontal="center" vertical="center"/>
    </xf>
    <xf numFmtId="0" fontId="27" fillId="14" borderId="11" applyAlignment="1" pivotButton="0" quotePrefix="0" xfId="0">
      <alignment horizontal="center"/>
    </xf>
    <xf numFmtId="0" fontId="27" fillId="14" borderId="12" applyAlignment="1" pivotButton="0" quotePrefix="0" xfId="7">
      <alignment horizontal="center" vertical="center"/>
    </xf>
    <xf numFmtId="0" fontId="17" fillId="14" borderId="12" applyAlignment="1" pivotButton="0" quotePrefix="0" xfId="0">
      <alignment horizontal="center" vertical="center"/>
    </xf>
    <xf numFmtId="1" fontId="17" fillId="0" borderId="15" applyAlignment="1" pivotButton="0" quotePrefix="0" xfId="0">
      <alignment horizontal="center" vertical="center"/>
    </xf>
    <xf numFmtId="1" fontId="0" fillId="0" borderId="5" applyAlignment="1" pivotButton="0" quotePrefix="0" xfId="0">
      <alignment horizontal="center"/>
    </xf>
    <xf numFmtId="164" fontId="17" fillId="24" borderId="5" applyAlignment="1" pivotButton="0" quotePrefix="0" xfId="0">
      <alignment horizontal="center" vertical="center"/>
    </xf>
    <xf numFmtId="164" fontId="17" fillId="24" borderId="16" applyAlignment="1" pivotButton="0" quotePrefix="0" xfId="0">
      <alignment horizontal="center" vertical="center"/>
    </xf>
    <xf numFmtId="0" fontId="33" fillId="18" borderId="12" applyAlignment="1" pivotButton="0" quotePrefix="0" xfId="0">
      <alignment horizontal="center"/>
    </xf>
    <xf numFmtId="0" fontId="33" fillId="42" borderId="5" applyAlignment="1" pivotButton="0" quotePrefix="0" xfId="0">
      <alignment horizontal="center" vertical="center"/>
    </xf>
    <xf numFmtId="168" fontId="4" fillId="0" borderId="5" applyAlignment="1" pivotButton="0" quotePrefix="0" xfId="4">
      <alignment horizontal="left"/>
    </xf>
    <xf numFmtId="0" fontId="13" fillId="0" borderId="16" applyAlignment="1" pivotButton="0" quotePrefix="0" xfId="6">
      <alignment horizontal="left" vertical="center"/>
    </xf>
    <xf numFmtId="0" fontId="13" fillId="0" borderId="10" applyAlignment="1" pivotButton="0" quotePrefix="0" xfId="6">
      <alignment horizontal="left" vertical="center"/>
    </xf>
    <xf numFmtId="0" fontId="20" fillId="0" borderId="16" applyAlignment="1" pivotButton="0" quotePrefix="0" xfId="0">
      <alignment horizontal="left"/>
    </xf>
    <xf numFmtId="0" fontId="20" fillId="14" borderId="8" applyAlignment="1" pivotButton="0" quotePrefix="0" xfId="6">
      <alignment horizontal="left" vertical="center"/>
    </xf>
    <xf numFmtId="0" fontId="13" fillId="14" borderId="10" applyAlignment="1" pivotButton="0" quotePrefix="0" xfId="6">
      <alignment horizontal="left" vertical="center"/>
    </xf>
    <xf numFmtId="0" fontId="21" fillId="14" borderId="16" applyAlignment="1" pivotButton="0" quotePrefix="0" xfId="6">
      <alignment horizontal="left" vertical="center"/>
    </xf>
    <xf numFmtId="0" fontId="20" fillId="14" borderId="16" applyAlignment="1" pivotButton="0" quotePrefix="0" xfId="6">
      <alignment horizontal="left" vertical="center"/>
    </xf>
    <xf numFmtId="0" fontId="21" fillId="14" borderId="8" applyAlignment="1" pivotButton="0" quotePrefix="0" xfId="6">
      <alignment horizontal="left" vertical="center"/>
    </xf>
    <xf numFmtId="0" fontId="11" fillId="0" borderId="14" applyAlignment="1" pivotButton="0" quotePrefix="0" xfId="0">
      <alignment horizontal="left" vertical="center"/>
    </xf>
    <xf numFmtId="164" fontId="11" fillId="24" borderId="5" applyAlignment="1" pivotButton="0" quotePrefix="0" xfId="0">
      <alignment horizontal="center" vertical="center"/>
    </xf>
    <xf numFmtId="0" fontId="15" fillId="0" borderId="5" applyAlignment="1" pivotButton="0" quotePrefix="0" xfId="0">
      <alignment horizontal="center"/>
    </xf>
    <xf numFmtId="164" fontId="11" fillId="24" borderId="12" applyAlignment="1" pivotButton="0" quotePrefix="0" xfId="0">
      <alignment horizontal="center" vertical="center"/>
    </xf>
    <xf numFmtId="164" fontId="17" fillId="22" borderId="5" applyAlignment="1" pivotButton="0" quotePrefix="0" xfId="0">
      <alignment horizontal="center" vertical="center"/>
    </xf>
    <xf numFmtId="164" fontId="11" fillId="22" borderId="12" applyAlignment="1" pivotButton="0" quotePrefix="0" xfId="0">
      <alignment horizontal="center" vertical="center"/>
    </xf>
    <xf numFmtId="164" fontId="11" fillId="22" borderId="5" applyAlignment="1" pivotButton="0" quotePrefix="0" xfId="0">
      <alignment horizontal="center" vertical="center"/>
    </xf>
    <xf numFmtId="164" fontId="17" fillId="22" borderId="16" applyAlignment="1" pivotButton="0" quotePrefix="0" xfId="0">
      <alignment horizontal="center" vertical="center"/>
    </xf>
    <xf numFmtId="0" fontId="11" fillId="23" borderId="14" applyAlignment="1" pivotButton="0" quotePrefix="0" xfId="0">
      <alignment horizontal="center" vertical="center"/>
    </xf>
    <xf numFmtId="0" fontId="11" fillId="0" borderId="13" applyAlignment="1" pivotButton="0" quotePrefix="0" xfId="0">
      <alignment horizontal="center" vertical="center"/>
    </xf>
    <xf numFmtId="0" fontId="15" fillId="11" borderId="14" applyAlignment="1" pivotButton="0" quotePrefix="0" xfId="10">
      <alignment horizontal="center" vertical="center"/>
    </xf>
    <xf numFmtId="0" fontId="15" fillId="11" borderId="11" applyAlignment="1" pivotButton="0" quotePrefix="0" xfId="10">
      <alignment horizontal="center" vertical="center"/>
    </xf>
    <xf numFmtId="0" fontId="108" fillId="3" borderId="0" pivotButton="0" quotePrefix="0" xfId="3"/>
    <xf numFmtId="0" fontId="1" fillId="81" borderId="5" applyAlignment="1" pivotButton="0" quotePrefix="0" xfId="18">
      <alignment horizontal="left"/>
    </xf>
    <xf numFmtId="0" fontId="3" fillId="14" borderId="14" applyAlignment="1" pivotButton="0" quotePrefix="0" xfId="3">
      <alignment horizontal="center"/>
    </xf>
    <xf numFmtId="164" fontId="17" fillId="0" borderId="5" applyAlignment="1" pivotButton="0" quotePrefix="0" xfId="0">
      <alignment horizontal="center" vertical="center"/>
    </xf>
    <xf numFmtId="0" fontId="95" fillId="0" borderId="5" applyAlignment="1" pivotButton="0" quotePrefix="0" xfId="0">
      <alignment horizontal="center" vertical="center"/>
    </xf>
    <xf numFmtId="0" fontId="95" fillId="0" borderId="14" applyAlignment="1" pivotButton="0" quotePrefix="0" xfId="0">
      <alignment horizontal="left" vertical="center"/>
    </xf>
    <xf numFmtId="164" fontId="95" fillId="24" borderId="5" applyAlignment="1" pivotButton="0" quotePrefix="0" xfId="0">
      <alignment horizontal="center" vertical="center"/>
    </xf>
    <xf numFmtId="0" fontId="12" fillId="0" borderId="5" applyAlignment="1" pivotButton="0" quotePrefix="0" xfId="0">
      <alignment horizontal="center"/>
    </xf>
    <xf numFmtId="0" fontId="0" fillId="83" borderId="5" applyAlignment="1" pivotButton="0" quotePrefix="0" xfId="0">
      <alignment horizontal="center"/>
    </xf>
    <xf numFmtId="164" fontId="0" fillId="83" borderId="5" applyAlignment="1" pivotButton="0" quotePrefix="0" xfId="0">
      <alignment horizontal="center"/>
    </xf>
    <xf numFmtId="0" fontId="0" fillId="84" borderId="5" applyAlignment="1" pivotButton="0" quotePrefix="0" xfId="0">
      <alignment horizontal="center"/>
    </xf>
    <xf numFmtId="164" fontId="0" fillId="84" borderId="5" applyAlignment="1" pivotButton="0" quotePrefix="0" xfId="0">
      <alignment horizontal="center"/>
    </xf>
    <xf numFmtId="0" fontId="0" fillId="82" borderId="5" applyAlignment="1" pivotButton="0" quotePrefix="0" xfId="0">
      <alignment horizontal="center"/>
    </xf>
    <xf numFmtId="172" fontId="15" fillId="0" borderId="5" applyAlignment="1" pivotButton="0" quotePrefix="0" xfId="0">
      <alignment horizontal="center"/>
    </xf>
    <xf numFmtId="172" fontId="15" fillId="0" borderId="12" applyAlignment="1" pivotButton="0" quotePrefix="0" xfId="0">
      <alignment horizontal="center"/>
    </xf>
    <xf numFmtId="0" fontId="20" fillId="14" borderId="12" applyAlignment="1" pivotButton="0" quotePrefix="0" xfId="0">
      <alignment horizontal="left"/>
    </xf>
    <xf numFmtId="0" fontId="19" fillId="14" borderId="16" applyAlignment="1" pivotButton="0" quotePrefix="0" xfId="6">
      <alignment horizontal="left" vertical="center"/>
    </xf>
    <xf numFmtId="16" fontId="0" fillId="0" borderId="0" applyAlignment="1" pivotButton="0" quotePrefix="0" xfId="0">
      <alignment horizontal="left"/>
    </xf>
    <xf numFmtId="0" fontId="12" fillId="14" borderId="13" applyAlignment="1" pivotButton="0" quotePrefix="0" xfId="0">
      <alignment horizontal="center" vertical="center"/>
    </xf>
    <xf numFmtId="0" fontId="12" fillId="14" borderId="17" applyAlignment="1" pivotButton="0" quotePrefix="0" xfId="0">
      <alignment horizontal="center" vertical="center"/>
    </xf>
    <xf numFmtId="0" fontId="0" fillId="14" borderId="17" applyAlignment="1" pivotButton="0" quotePrefix="0" xfId="0">
      <alignment horizontal="left"/>
    </xf>
    <xf numFmtId="0" fontId="12" fillId="14" borderId="9" applyAlignment="1" pivotButton="0" quotePrefix="0" xfId="0">
      <alignment horizontal="center" vertical="center"/>
    </xf>
    <xf numFmtId="173" fontId="20" fillId="14" borderId="5" applyAlignment="1" pivotButton="0" quotePrefix="0" xfId="0">
      <alignment horizontal="center"/>
    </xf>
    <xf numFmtId="0" fontId="15" fillId="11" borderId="5" applyAlignment="1" pivotButton="0" quotePrefix="0" xfId="10">
      <alignment horizontal="center" vertical="center"/>
    </xf>
    <xf numFmtId="169" fontId="0" fillId="0" borderId="5" applyAlignment="1" pivotButton="0" quotePrefix="0" xfId="0">
      <alignment horizontal="center"/>
    </xf>
    <xf numFmtId="0" fontId="11" fillId="19" borderId="5" applyAlignment="1" pivotButton="0" quotePrefix="0" xfId="0">
      <alignment horizontal="left" vertical="center"/>
    </xf>
    <xf numFmtId="14" fontId="110" fillId="14" borderId="5" pivotButton="0" quotePrefix="0" xfId="4"/>
    <xf numFmtId="173" fontId="4" fillId="4" borderId="1" applyAlignment="1" pivotButton="0" quotePrefix="0" xfId="4">
      <alignment horizontal="center"/>
    </xf>
    <xf numFmtId="1" fontId="91" fillId="23" borderId="5" applyAlignment="1" pivotButton="0" quotePrefix="0" xfId="0">
      <alignment horizontal="center" vertical="center"/>
    </xf>
    <xf numFmtId="1" fontId="91" fillId="14" borderId="5" applyAlignment="1" pivotButton="0" quotePrefix="0" xfId="0">
      <alignment horizontal="center" vertical="center"/>
    </xf>
    <xf numFmtId="1" fontId="111" fillId="14" borderId="5" applyAlignment="1" pivotButton="0" quotePrefix="0" xfId="0">
      <alignment horizontal="center" vertical="center"/>
    </xf>
    <xf numFmtId="171" fontId="24" fillId="0" borderId="14" applyAlignment="1" pivotButton="0" quotePrefix="0" xfId="1">
      <alignment horizontal="center"/>
    </xf>
    <xf numFmtId="1" fontId="23" fillId="19" borderId="5" applyAlignment="1" pivotButton="0" quotePrefix="0" xfId="0">
      <alignment horizontal="center"/>
    </xf>
    <xf numFmtId="169" fontId="17" fillId="14" borderId="5" applyAlignment="1" pivotButton="0" quotePrefix="0" xfId="0">
      <alignment horizontal="center"/>
    </xf>
    <xf numFmtId="0" fontId="100" fillId="14" borderId="5" applyAlignment="1" pivotButton="0" quotePrefix="0" xfId="0">
      <alignment horizontal="right"/>
    </xf>
    <xf numFmtId="1" fontId="23" fillId="24" borderId="5" applyAlignment="1" pivotButton="0" quotePrefix="0" xfId="0">
      <alignment horizontal="center" vertical="center"/>
    </xf>
    <xf numFmtId="0" fontId="23" fillId="19" borderId="5" applyAlignment="1" pivotButton="0" quotePrefix="0" xfId="0">
      <alignment horizontal="center" vertical="center"/>
    </xf>
    <xf numFmtId="0" fontId="112" fillId="19" borderId="5" applyAlignment="1" pivotButton="0" quotePrefix="0" xfId="0">
      <alignment horizontal="center" vertical="center"/>
    </xf>
    <xf numFmtId="1" fontId="95" fillId="19" borderId="5" applyAlignment="1" pivotButton="0" quotePrefix="0" xfId="0">
      <alignment horizontal="center" vertical="center"/>
    </xf>
    <xf numFmtId="0" fontId="7" fillId="0" borderId="0" pivotButton="0" quotePrefix="0" xfId="0"/>
    <xf numFmtId="172" fontId="1" fillId="73" borderId="5" applyAlignment="1" pivotButton="0" quotePrefix="0" xfId="15">
      <alignment horizontal="center" vertical="center"/>
    </xf>
    <xf numFmtId="2" fontId="4" fillId="22" borderId="5" applyAlignment="1" pivotButton="0" quotePrefix="0" xfId="4">
      <alignment horizontal="left"/>
    </xf>
    <xf numFmtId="0" fontId="0" fillId="56" borderId="5" applyAlignment="1" pivotButton="0" quotePrefix="0" xfId="0">
      <alignment horizontal="center"/>
    </xf>
    <xf numFmtId="0" fontId="91" fillId="14" borderId="13" applyAlignment="1" pivotButton="0" quotePrefix="0" xfId="0">
      <alignment horizontal="center" vertical="center"/>
    </xf>
    <xf numFmtId="0" fontId="91" fillId="14" borderId="14" applyAlignment="1" pivotButton="0" quotePrefix="0" xfId="0">
      <alignment horizontal="center" vertical="center"/>
    </xf>
    <xf numFmtId="1" fontId="0" fillId="0" borderId="16" applyAlignment="1" pivotButton="0" quotePrefix="0" xfId="0">
      <alignment horizontal="center" vertical="center"/>
    </xf>
    <xf numFmtId="14" fontId="110" fillId="4" borderId="5" applyAlignment="1" pivotButton="0" quotePrefix="0" xfId="4">
      <alignment horizontal="center"/>
    </xf>
    <xf numFmtId="0" fontId="11" fillId="19" borderId="5" applyAlignment="1" pivotButton="0" quotePrefix="0" xfId="0">
      <alignment horizontal="center" vertical="center"/>
    </xf>
    <xf numFmtId="0" fontId="7" fillId="0" borderId="14" applyAlignment="1" pivotButton="0" quotePrefix="0" xfId="11">
      <alignment horizontal="left"/>
    </xf>
    <xf numFmtId="0" fontId="92" fillId="86" borderId="5" applyAlignment="1" pivotButton="0" quotePrefix="0" xfId="0">
      <alignment horizontal="center" vertical="center"/>
    </xf>
    <xf numFmtId="1" fontId="92" fillId="86" borderId="5" applyAlignment="1" pivotButton="0" quotePrefix="0" xfId="0">
      <alignment horizontal="center" vertical="center"/>
    </xf>
    <xf numFmtId="0" fontId="11" fillId="82" borderId="5" applyAlignment="1" pivotButton="0" quotePrefix="0" xfId="0">
      <alignment horizontal="center" vertical="center"/>
    </xf>
    <xf numFmtId="0" fontId="4" fillId="4" borderId="1" applyAlignment="1" pivotButton="0" quotePrefix="0" xfId="4">
      <alignment horizontal="center"/>
    </xf>
    <xf numFmtId="1" fontId="5" fillId="5" borderId="38" applyAlignment="1" pivotButton="0" quotePrefix="0" xfId="5">
      <alignment horizontal="center"/>
    </xf>
    <xf numFmtId="1" fontId="74" fillId="14" borderId="18" applyAlignment="1" pivotButton="0" quotePrefix="0" xfId="0">
      <alignment horizontal="center" vertical="center"/>
    </xf>
    <xf numFmtId="1" fontId="75" fillId="14" borderId="18" applyAlignment="1" pivotButton="0" quotePrefix="0" xfId="0">
      <alignment horizontal="center" vertical="center"/>
    </xf>
    <xf numFmtId="1" fontId="75" fillId="14" borderId="6" applyAlignment="1" pivotButton="0" quotePrefix="0" xfId="0">
      <alignment horizontal="center" vertical="center"/>
    </xf>
    <xf numFmtId="0" fontId="0" fillId="83" borderId="5" applyAlignment="1" pivotButton="0" quotePrefix="0" xfId="0">
      <alignment horizontal="left"/>
    </xf>
    <xf numFmtId="9" fontId="0" fillId="83" borderId="5" applyAlignment="1" pivotButton="0" quotePrefix="0" xfId="1">
      <alignment horizontal="center"/>
    </xf>
    <xf numFmtId="0" fontId="0" fillId="87" borderId="5" applyAlignment="1" pivotButton="0" quotePrefix="0" xfId="0">
      <alignment horizontal="left"/>
    </xf>
    <xf numFmtId="164" fontId="0" fillId="87" borderId="5" applyAlignment="1" pivotButton="0" quotePrefix="0" xfId="0">
      <alignment horizontal="center"/>
    </xf>
    <xf numFmtId="0" fontId="0" fillId="87" borderId="5" applyAlignment="1" pivotButton="0" quotePrefix="0" xfId="0">
      <alignment horizontal="center"/>
    </xf>
    <xf numFmtId="9" fontId="0" fillId="87" borderId="5" applyAlignment="1" pivotButton="0" quotePrefix="0" xfId="1">
      <alignment horizontal="center"/>
    </xf>
    <xf numFmtId="0" fontId="0" fillId="82" borderId="5" applyAlignment="1" pivotButton="0" quotePrefix="0" xfId="0">
      <alignment horizontal="left"/>
    </xf>
    <xf numFmtId="164" fontId="0" fillId="82" borderId="5" applyAlignment="1" pivotButton="0" quotePrefix="0" xfId="0">
      <alignment horizontal="center"/>
    </xf>
    <xf numFmtId="9" fontId="0" fillId="82" borderId="5" applyAlignment="1" pivotButton="0" quotePrefix="0" xfId="1">
      <alignment horizontal="center"/>
    </xf>
    <xf numFmtId="0" fontId="0" fillId="84" borderId="5" applyAlignment="1" pivotButton="0" quotePrefix="0" xfId="0">
      <alignment horizontal="left"/>
    </xf>
    <xf numFmtId="9" fontId="0" fillId="84" borderId="5" applyAlignment="1" pivotButton="0" quotePrefix="0" xfId="1">
      <alignment horizontal="center"/>
    </xf>
    <xf numFmtId="0" fontId="15" fillId="88" borderId="5" applyAlignment="1" pivotButton="0" quotePrefix="0" xfId="0">
      <alignment horizontal="left"/>
    </xf>
    <xf numFmtId="164" fontId="15" fillId="88" borderId="5" applyAlignment="1" pivotButton="0" quotePrefix="0" xfId="0">
      <alignment horizontal="center"/>
    </xf>
    <xf numFmtId="0" fontId="15" fillId="88" borderId="5" applyAlignment="1" pivotButton="0" quotePrefix="0" xfId="0">
      <alignment horizontal="center"/>
    </xf>
    <xf numFmtId="9" fontId="15" fillId="88" borderId="5" applyAlignment="1" pivotButton="0" quotePrefix="0" xfId="1">
      <alignment horizontal="center"/>
    </xf>
    <xf numFmtId="0" fontId="0" fillId="0" borderId="8" pivotButton="0" quotePrefix="0" xfId="0"/>
    <xf numFmtId="0" fontId="0" fillId="0" borderId="10" pivotButton="0" quotePrefix="0" xfId="0"/>
    <xf numFmtId="0" fontId="0" fillId="0" borderId="16" pivotButton="0" quotePrefix="0" xfId="0"/>
    <xf numFmtId="0" fontId="0" fillId="0" borderId="14" pivotButton="0" quotePrefix="0" xfId="0"/>
    <xf numFmtId="0" fontId="0" fillId="0" borderId="13" pivotButton="0" quotePrefix="0" xfId="0"/>
    <xf numFmtId="0" fontId="0" fillId="0" borderId="12" pivotButton="0" quotePrefix="0" xfId="0"/>
    <xf numFmtId="0" fontId="114" fillId="0" borderId="0" pivotButton="0" quotePrefix="0" xfId="0"/>
    <xf numFmtId="0" fontId="8" fillId="0" borderId="0" pivotButton="0" quotePrefix="0" xfId="0"/>
    <xf numFmtId="0" fontId="0" fillId="0" borderId="11" pivotButton="0" quotePrefix="0" xfId="0"/>
    <xf numFmtId="0" fontId="4" fillId="4" borderId="1" pivotButton="0" quotePrefix="0" xfId="4"/>
    <xf numFmtId="0" fontId="4" fillId="4" borderId="33" applyAlignment="1" pivotButton="0" quotePrefix="0" xfId="4">
      <alignment horizontal="left"/>
    </xf>
    <xf numFmtId="0" fontId="115" fillId="0" borderId="0" pivotButton="0" quotePrefix="0" xfId="0"/>
    <xf numFmtId="0" fontId="6" fillId="0" borderId="5" pivotButton="0" quotePrefix="0" xfId="0"/>
    <xf numFmtId="0" fontId="8" fillId="0" borderId="5" pivotButton="0" quotePrefix="0" xfId="0"/>
    <xf numFmtId="0" fontId="116" fillId="4" borderId="1" applyAlignment="1" pivotButton="0" quotePrefix="0" xfId="4">
      <alignment horizontal="left"/>
    </xf>
    <xf numFmtId="0" fontId="19" fillId="0" borderId="16" applyAlignment="1" pivotButton="0" quotePrefix="0" xfId="0">
      <alignment horizontal="left"/>
    </xf>
    <xf numFmtId="0" fontId="4" fillId="0" borderId="5" applyAlignment="1" pivotButton="0" quotePrefix="0" xfId="4">
      <alignment horizontal="left"/>
    </xf>
    <xf numFmtId="0" fontId="4" fillId="0" borderId="5" applyAlignment="1" pivotButton="0" quotePrefix="0" xfId="4">
      <alignment horizontal="center"/>
    </xf>
    <xf numFmtId="0" fontId="9" fillId="77" borderId="5" applyAlignment="1" pivotButton="0" quotePrefix="0" xfId="3">
      <alignment horizontal="left"/>
    </xf>
    <xf numFmtId="164" fontId="3" fillId="77" borderId="5" applyAlignment="1" pivotButton="0" quotePrefix="0" xfId="3">
      <alignment horizontal="left"/>
    </xf>
    <xf numFmtId="164" fontId="15" fillId="77" borderId="5" applyAlignment="1" pivotButton="0" quotePrefix="0" xfId="13">
      <alignment horizontal="left"/>
    </xf>
    <xf numFmtId="164" fontId="15" fillId="77" borderId="12" applyAlignment="1" pivotButton="0" quotePrefix="0" xfId="13">
      <alignment horizontal="left"/>
    </xf>
    <xf numFmtId="0" fontId="6" fillId="77" borderId="16" applyAlignment="1" pivotButton="0" quotePrefix="0" xfId="0">
      <alignment horizontal="left"/>
    </xf>
    <xf numFmtId="0" fontId="77" fillId="70" borderId="4" applyAlignment="1" pivotButton="0" quotePrefix="0" xfId="13">
      <alignment horizontal="left"/>
    </xf>
    <xf numFmtId="0" fontId="28" fillId="14" borderId="5" applyAlignment="1" pivotButton="0" quotePrefix="0" xfId="2">
      <alignment horizontal="center"/>
    </xf>
    <xf numFmtId="0" fontId="0" fillId="0" borderId="1" applyAlignment="1" pivotButton="0" quotePrefix="0" xfId="0">
      <alignment horizontal="center"/>
    </xf>
    <xf numFmtId="0" fontId="13" fillId="14" borderId="16" applyAlignment="1" pivotButton="0" quotePrefix="0" xfId="6">
      <alignment horizontal="left" vertical="center"/>
    </xf>
    <xf numFmtId="0" fontId="11" fillId="0" borderId="12" applyAlignment="1" pivotButton="0" quotePrefix="0" xfId="0">
      <alignment horizontal="center" vertical="center"/>
    </xf>
    <xf numFmtId="164" fontId="11" fillId="0" borderId="12" applyAlignment="1" pivotButton="0" quotePrefix="0" xfId="0">
      <alignment horizontal="center" vertical="center"/>
    </xf>
    <xf numFmtId="0" fontId="15" fillId="0" borderId="12" applyAlignment="1" pivotButton="0" quotePrefix="0" xfId="0">
      <alignment horizontal="center"/>
    </xf>
    <xf numFmtId="0" fontId="11" fillId="89" borderId="5" applyAlignment="1" pivotButton="0" quotePrefix="0" xfId="0">
      <alignment horizontal="center" vertical="center"/>
    </xf>
    <xf numFmtId="9" fontId="24" fillId="0" borderId="5" applyAlignment="1" pivotButton="0" quotePrefix="0" xfId="1">
      <alignment horizontal="center"/>
    </xf>
    <xf numFmtId="49" fontId="117" fillId="23" borderId="5" applyAlignment="1" pivotButton="0" quotePrefix="0" xfId="0">
      <alignment horizontal="center" vertical="center"/>
    </xf>
    <xf numFmtId="49" fontId="117" fillId="14" borderId="5" applyAlignment="1" pivotButton="0" quotePrefix="0" xfId="0">
      <alignment horizontal="center" vertical="center"/>
    </xf>
    <xf numFmtId="49" fontId="118" fillId="14" borderId="5" applyAlignment="1" pivotButton="0" quotePrefix="0" xfId="0">
      <alignment horizontal="center" vertical="center"/>
    </xf>
    <xf numFmtId="49" fontId="118" fillId="14" borderId="42" applyAlignment="1" pivotButton="0" quotePrefix="0" xfId="0">
      <alignment horizontal="center" vertical="center"/>
    </xf>
    <xf numFmtId="0" fontId="119" fillId="5" borderId="1" applyAlignment="1" pivotButton="0" quotePrefix="0" xfId="5">
      <alignment horizontal="center" vertical="center"/>
    </xf>
    <xf numFmtId="0" fontId="16" fillId="0" borderId="20" applyAlignment="1" pivotButton="0" quotePrefix="0" xfId="0">
      <alignment horizontal="left" vertical="center"/>
    </xf>
    <xf numFmtId="0" fontId="16" fillId="0" borderId="12" applyAlignment="1" pivotButton="0" quotePrefix="0" xfId="0">
      <alignment horizontal="center" vertical="center"/>
    </xf>
    <xf numFmtId="0" fontId="16" fillId="0" borderId="15" applyAlignment="1" pivotButton="0" quotePrefix="0" xfId="0">
      <alignment horizontal="center" vertical="center"/>
    </xf>
    <xf numFmtId="0" fontId="120" fillId="14" borderId="5" applyAlignment="1" pivotButton="0" quotePrefix="0" xfId="0">
      <alignment horizontal="left"/>
    </xf>
    <xf numFmtId="1" fontId="11" fillId="19" borderId="20" applyAlignment="1" pivotButton="0" quotePrefix="0" xfId="0">
      <alignment horizontal="center" vertical="center"/>
    </xf>
    <xf numFmtId="0" fontId="22" fillId="0" borderId="5" applyAlignment="1" pivotButton="0" quotePrefix="0" xfId="0">
      <alignment horizontal="center"/>
    </xf>
    <xf numFmtId="0" fontId="1" fillId="22" borderId="1" applyAlignment="1" pivotButton="0" quotePrefix="0" xfId="4">
      <alignment horizontal="left"/>
    </xf>
    <xf numFmtId="0" fontId="121" fillId="81" borderId="5" applyAlignment="1" pivotButton="0" quotePrefix="0" xfId="18">
      <alignment horizontal="left"/>
    </xf>
    <xf numFmtId="0" fontId="13" fillId="14" borderId="16" applyAlignment="1" pivotButton="0" quotePrefix="0" xfId="0">
      <alignment horizontal="left"/>
    </xf>
    <xf numFmtId="0" fontId="11" fillId="18" borderId="5" applyAlignment="1" pivotButton="0" quotePrefix="0" xfId="7">
      <alignment horizontal="left"/>
    </xf>
    <xf numFmtId="0" fontId="77" fillId="70" borderId="10" applyAlignment="1" pivotButton="0" quotePrefix="0" xfId="13">
      <alignment horizontal="left"/>
    </xf>
    <xf numFmtId="0" fontId="19" fillId="14" borderId="8" applyAlignment="1" pivotButton="0" quotePrefix="0" xfId="6">
      <alignment horizontal="left"/>
    </xf>
    <xf numFmtId="0" fontId="0" fillId="14" borderId="16" applyAlignment="1" pivotButton="0" quotePrefix="0" xfId="0">
      <alignment horizontal="left"/>
    </xf>
    <xf numFmtId="0" fontId="6" fillId="6" borderId="16" applyAlignment="1" pivotButton="0" quotePrefix="0" xfId="6">
      <alignment horizontal="left"/>
    </xf>
    <xf numFmtId="0" fontId="77" fillId="17" borderId="5" applyAlignment="1" pivotButton="0" quotePrefix="0" xfId="13">
      <alignment horizontal="left"/>
    </xf>
    <xf numFmtId="0" fontId="77" fillId="70" borderId="5" pivotButton="0" quotePrefix="0" xfId="13"/>
    <xf numFmtId="0" fontId="11" fillId="23" borderId="5" applyAlignment="1" pivotButton="0" quotePrefix="0" xfId="0">
      <alignment horizontal="center" vertical="center"/>
    </xf>
    <xf numFmtId="0" fontId="17" fillId="23" borderId="5" applyAlignment="1" pivotButton="0" quotePrefix="0" xfId="0">
      <alignment horizontal="center" vertical="center"/>
    </xf>
    <xf numFmtId="0" fontId="20" fillId="15" borderId="14" applyAlignment="1" pivotButton="0" quotePrefix="0" xfId="0">
      <alignment horizontal="center" vertical="center"/>
    </xf>
    <xf numFmtId="0" fontId="20" fillId="15" borderId="5" applyAlignment="1" pivotButton="0" quotePrefix="0" xfId="0">
      <alignment horizontal="center" vertical="center"/>
    </xf>
    <xf numFmtId="1" fontId="20" fillId="15" borderId="5" applyAlignment="1" pivotButton="0" quotePrefix="0" xfId="0">
      <alignment horizontal="center" vertical="center"/>
    </xf>
    <xf numFmtId="0" fontId="27" fillId="14" borderId="5" applyAlignment="1" pivotButton="0" quotePrefix="0" xfId="7">
      <alignment horizontal="center" vertical="center"/>
    </xf>
    <xf numFmtId="1" fontId="17" fillId="0" borderId="5" applyAlignment="1" pivotButton="0" quotePrefix="0" xfId="0">
      <alignment horizontal="center"/>
    </xf>
    <xf numFmtId="0" fontId="9" fillId="6" borderId="20" applyAlignment="1" pivotButton="0" quotePrefix="0" xfId="6">
      <alignment horizontal="center"/>
    </xf>
    <xf numFmtId="0" fontId="7" fillId="22" borderId="5" applyAlignment="1" pivotButton="0" quotePrefix="0" xfId="0">
      <alignment horizontal="left"/>
    </xf>
    <xf numFmtId="0" fontId="15" fillId="82" borderId="5" applyAlignment="1" pivotButton="0" quotePrefix="0" xfId="0">
      <alignment horizontal="left"/>
    </xf>
    <xf numFmtId="0" fontId="15" fillId="22" borderId="5" applyAlignment="1" pivotButton="0" quotePrefix="0" xfId="4">
      <alignment horizontal="left"/>
    </xf>
    <xf numFmtId="164" fontId="15" fillId="22" borderId="5" applyAlignment="1" pivotButton="0" quotePrefix="0" xfId="4">
      <alignment horizontal="left"/>
    </xf>
    <xf numFmtId="14" fontId="0" fillId="0" borderId="0" applyAlignment="1" pivotButton="0" quotePrefix="0" xfId="0">
      <alignment horizontal="left"/>
    </xf>
    <xf numFmtId="169" fontId="0" fillId="0" borderId="0" applyAlignment="1" pivotButton="0" quotePrefix="0" xfId="0">
      <alignment horizontal="left"/>
    </xf>
    <xf numFmtId="9" fontId="0" fillId="0" borderId="0" pivotButton="0" quotePrefix="0" xfId="1"/>
    <xf numFmtId="0" fontId="124" fillId="14" borderId="5" applyAlignment="1" pivotButton="0" quotePrefix="0" xfId="0">
      <alignment horizontal="left"/>
    </xf>
    <xf numFmtId="0" fontId="124" fillId="14" borderId="13" applyAlignment="1" pivotButton="0" quotePrefix="0" xfId="0">
      <alignment horizontal="left"/>
    </xf>
    <xf numFmtId="9" fontId="32" fillId="14" borderId="5" applyAlignment="1" pivotButton="0" quotePrefix="0" xfId="1">
      <alignment horizontal="center"/>
    </xf>
    <xf numFmtId="9" fontId="21" fillId="14" borderId="5" applyAlignment="1" pivotButton="0" quotePrefix="0" xfId="1">
      <alignment horizontal="center"/>
    </xf>
    <xf numFmtId="9" fontId="24" fillId="0" borderId="14" applyAlignment="1" pivotButton="0" quotePrefix="0" xfId="1">
      <alignment horizontal="center"/>
    </xf>
    <xf numFmtId="9" fontId="1" fillId="0" borderId="14" applyAlignment="1" pivotButton="0" quotePrefix="0" xfId="1">
      <alignment horizontal="center"/>
    </xf>
    <xf numFmtId="9" fontId="94" fillId="0" borderId="14" applyAlignment="1" pivotButton="0" quotePrefix="0" xfId="1">
      <alignment horizontal="center"/>
    </xf>
    <xf numFmtId="9" fontId="125" fillId="14" borderId="5" applyAlignment="1" pivotButton="0" quotePrefix="0" xfId="1">
      <alignment horizontal="center"/>
    </xf>
    <xf numFmtId="0" fontId="24" fillId="0" borderId="5" applyAlignment="1" pivotButton="0" quotePrefix="0" xfId="0">
      <alignment horizontal="center"/>
    </xf>
    <xf numFmtId="9" fontId="127" fillId="14" borderId="5" applyAlignment="1" pivotButton="0" quotePrefix="0" xfId="1">
      <alignment horizontal="center"/>
    </xf>
    <xf numFmtId="0" fontId="95" fillId="0" borderId="13" applyAlignment="1" pivotButton="0" quotePrefix="0" xfId="0">
      <alignment horizontal="center" vertical="center"/>
    </xf>
    <xf numFmtId="0" fontId="13" fillId="78" borderId="5" applyAlignment="1" pivotButton="0" quotePrefix="0" xfId="0">
      <alignment horizontal="left"/>
    </xf>
    <xf numFmtId="0" fontId="0" fillId="7" borderId="5" pivotButton="0" quotePrefix="0" xfId="7"/>
    <xf numFmtId="0" fontId="4" fillId="4" borderId="5" pivotButton="0" quotePrefix="0" xfId="4"/>
    <xf numFmtId="0" fontId="2" fillId="2" borderId="5" pivotButton="0" quotePrefix="0" xfId="2"/>
    <xf numFmtId="0" fontId="0" fillId="21" borderId="5" pivotButton="0" quotePrefix="0" xfId="0"/>
    <xf numFmtId="0" fontId="121" fillId="22" borderId="5" pivotButton="0" quotePrefix="0" xfId="0"/>
    <xf numFmtId="0" fontId="128" fillId="22" borderId="5" applyAlignment="1" pivotButton="0" quotePrefix="0" xfId="4">
      <alignment horizontal="left"/>
    </xf>
    <xf numFmtId="164" fontId="128" fillId="22" borderId="5" applyAlignment="1" pivotButton="0" quotePrefix="0" xfId="4">
      <alignment horizontal="left"/>
    </xf>
    <xf numFmtId="0" fontId="126" fillId="18" borderId="12" applyAlignment="1" pivotButton="0" quotePrefix="0" xfId="0">
      <alignment horizontal="left"/>
    </xf>
    <xf numFmtId="0" fontId="126" fillId="18" borderId="18" applyAlignment="1" pivotButton="0" quotePrefix="0" xfId="0">
      <alignment horizontal="left"/>
    </xf>
    <xf numFmtId="0" fontId="28" fillId="18" borderId="18" applyAlignment="1" pivotButton="0" quotePrefix="0" xfId="0">
      <alignment horizontal="left"/>
    </xf>
    <xf numFmtId="0" fontId="126" fillId="18" borderId="16" applyAlignment="1" pivotButton="0" quotePrefix="0" xfId="0">
      <alignment horizontal="left"/>
    </xf>
    <xf numFmtId="0" fontId="20" fillId="14" borderId="10" applyAlignment="1" pivotButton="0" quotePrefix="0" xfId="0">
      <alignment horizontal="left" vertical="center"/>
    </xf>
    <xf numFmtId="0" fontId="38" fillId="52" borderId="20" applyAlignment="1" pivotButton="0" quotePrefix="1" xfId="0">
      <alignment horizontal="center"/>
    </xf>
    <xf numFmtId="0" fontId="85" fillId="56" borderId="0" applyAlignment="1" pivotButton="0" quotePrefix="0" xfId="0">
      <alignment horizontal="center"/>
    </xf>
    <xf numFmtId="0" fontId="38" fillId="52" borderId="15" applyAlignment="1" pivotButton="0" quotePrefix="0" xfId="0">
      <alignment horizontal="center"/>
    </xf>
    <xf numFmtId="0" fontId="33" fillId="50" borderId="16" applyAlignment="1" pivotButton="0" quotePrefix="0" xfId="0">
      <alignment horizontal="center"/>
    </xf>
    <xf numFmtId="0" fontId="38" fillId="52" borderId="8" applyAlignment="1" pivotButton="0" quotePrefix="0" xfId="0">
      <alignment horizontal="center"/>
    </xf>
    <xf numFmtId="0" fontId="38" fillId="52" borderId="9" applyAlignment="1" pivotButton="0" quotePrefix="0" xfId="0">
      <alignment horizontal="center"/>
    </xf>
    <xf numFmtId="0" fontId="33" fillId="47" borderId="12" applyAlignment="1" pivotButton="0" quotePrefix="0" xfId="0">
      <alignment horizontal="center"/>
    </xf>
    <xf numFmtId="0" fontId="85" fillId="56" borderId="15" pivotButton="0" quotePrefix="0" xfId="0"/>
    <xf numFmtId="0" fontId="85" fillId="56" borderId="20" pivotButton="0" quotePrefix="0" xfId="0"/>
    <xf numFmtId="0" fontId="85" fillId="56" borderId="20" applyAlignment="1" pivotButton="0" quotePrefix="0" xfId="0">
      <alignment horizontal="center"/>
    </xf>
    <xf numFmtId="0" fontId="33" fillId="41" borderId="18" applyAlignment="1" pivotButton="0" quotePrefix="0" xfId="0">
      <alignment horizontal="center"/>
    </xf>
    <xf numFmtId="0" fontId="38" fillId="52" borderId="12" applyAlignment="1" pivotButton="0" quotePrefix="0" xfId="0">
      <alignment horizontal="center"/>
    </xf>
    <xf numFmtId="0" fontId="33" fillId="18" borderId="13" applyAlignment="1" pivotButton="0" quotePrefix="0" xfId="0">
      <alignment horizontal="center"/>
    </xf>
    <xf numFmtId="0" fontId="33" fillId="18" borderId="5" applyAlignment="1" pivotButton="0" quotePrefix="0" xfId="0">
      <alignment horizontal="center"/>
    </xf>
    <xf numFmtId="0" fontId="33" fillId="18" borderId="16" applyAlignment="1" pivotButton="0" quotePrefix="0" xfId="0">
      <alignment horizontal="center"/>
    </xf>
    <xf numFmtId="0" fontId="33" fillId="18" borderId="10" applyAlignment="1" pivotButton="0" quotePrefix="0" xfId="0">
      <alignment horizontal="center"/>
    </xf>
    <xf numFmtId="0" fontId="7" fillId="0" borderId="0" pivotButton="0" quotePrefix="1" xfId="0"/>
    <xf numFmtId="0" fontId="1" fillId="73" borderId="14" applyAlignment="1" pivotButton="0" quotePrefix="0" xfId="15">
      <alignment horizontal="center" vertical="center"/>
    </xf>
    <xf numFmtId="0" fontId="1" fillId="71" borderId="14" applyAlignment="1" pivotButton="0" quotePrefix="0" xfId="14">
      <alignment horizontal="center" vertical="center"/>
    </xf>
    <xf numFmtId="172" fontId="1" fillId="71" borderId="5" applyAlignment="1" pivotButton="0" quotePrefix="0" xfId="14">
      <alignment horizontal="center" vertical="center"/>
    </xf>
    <xf numFmtId="0" fontId="1" fillId="71" borderId="5" applyAlignment="1" pivotButton="0" quotePrefix="0" xfId="14">
      <alignment horizontal="center" vertical="center"/>
    </xf>
    <xf numFmtId="174" fontId="15" fillId="0" borderId="5" applyAlignment="1" pivotButton="0" quotePrefix="0" xfId="0">
      <alignment horizontal="center"/>
    </xf>
    <xf numFmtId="1" fontId="21" fillId="20" borderId="5" applyAlignment="1" pivotButton="0" quotePrefix="0" xfId="0">
      <alignment horizontal="center"/>
    </xf>
    <xf numFmtId="0" fontId="23" fillId="0" borderId="14" applyAlignment="1" pivotButton="0" quotePrefix="0" xfId="0">
      <alignment horizontal="center" vertical="center"/>
    </xf>
    <xf numFmtId="0" fontId="24" fillId="18" borderId="0" applyAlignment="1" pivotButton="0" quotePrefix="0" xfId="0">
      <alignment horizontal="center"/>
    </xf>
    <xf numFmtId="0" fontId="0" fillId="90" borderId="0" applyAlignment="1" pivotButton="0" quotePrefix="0" xfId="0">
      <alignment horizontal="center"/>
    </xf>
    <xf numFmtId="1" fontId="0" fillId="0" borderId="0" pivotButton="0" quotePrefix="0" xfId="0"/>
    <xf numFmtId="1" fontId="0" fillId="86" borderId="0" pivotButton="0" quotePrefix="0" xfId="0"/>
    <xf numFmtId="0" fontId="7" fillId="14" borderId="0" applyAlignment="1" pivotButton="0" quotePrefix="0" xfId="0">
      <alignment horizontal="center"/>
    </xf>
    <xf numFmtId="172" fontId="88" fillId="71" borderId="5" applyAlignment="1" pivotButton="0" quotePrefix="0" xfId="14">
      <alignment horizontal="center" vertical="center"/>
    </xf>
    <xf numFmtId="1" fontId="129" fillId="0" borderId="14" applyAlignment="1" pivotButton="0" quotePrefix="0" xfId="0">
      <alignment horizontal="center" vertical="center"/>
    </xf>
    <xf numFmtId="0" fontId="130" fillId="0" borderId="14" applyAlignment="1" pivotButton="0" quotePrefix="0" xfId="0">
      <alignment horizontal="center" vertical="center"/>
    </xf>
    <xf numFmtId="1" fontId="130" fillId="0" borderId="5" applyAlignment="1" pivotButton="0" quotePrefix="0" xfId="0">
      <alignment horizontal="center" vertical="center"/>
    </xf>
    <xf numFmtId="14" fontId="0" fillId="0" borderId="0" pivotButton="0" quotePrefix="0" xfId="0"/>
    <xf numFmtId="0" fontId="4" fillId="0" borderId="1" pivotButton="0" quotePrefix="0" xfId="4"/>
    <xf numFmtId="0" fontId="4" fillId="0" borderId="1" applyAlignment="1" pivotButton="0" quotePrefix="0" xfId="4">
      <alignment horizontal="left"/>
    </xf>
    <xf numFmtId="9" fontId="81" fillId="14" borderId="8" applyAlignment="1" pivotButton="0" quotePrefix="0" xfId="1">
      <alignment horizontal="center" vertical="center"/>
    </xf>
    <xf numFmtId="9" fontId="28" fillId="14" borderId="8" applyAlignment="1" pivotButton="0" quotePrefix="0" xfId="1">
      <alignment horizontal="center" vertical="center"/>
    </xf>
    <xf numFmtId="9" fontId="0" fillId="14" borderId="5" applyAlignment="1" pivotButton="0" quotePrefix="0" xfId="1">
      <alignment horizontal="left"/>
    </xf>
    <xf numFmtId="171" fontId="0" fillId="14" borderId="5" applyAlignment="1" pivotButton="0" quotePrefix="0" xfId="1">
      <alignment horizontal="left"/>
    </xf>
    <xf numFmtId="0" fontId="113" fillId="91" borderId="5" applyAlignment="1" pivotButton="0" quotePrefix="0" xfId="6">
      <alignment horizontal="center"/>
    </xf>
    <xf numFmtId="2" fontId="8" fillId="0" borderId="5" applyAlignment="1" pivotButton="0" quotePrefix="0" xfId="0">
      <alignment horizontal="center"/>
    </xf>
    <xf numFmtId="0" fontId="125" fillId="91" borderId="5" applyAlignment="1" pivotButton="0" quotePrefix="0" xfId="6">
      <alignment horizontal="center"/>
    </xf>
    <xf numFmtId="0" fontId="9" fillId="9" borderId="2" applyAlignment="1" pivotButton="0" quotePrefix="0" xfId="17">
      <alignment horizontal="center"/>
    </xf>
    <xf numFmtId="0" fontId="5" fillId="5" borderId="45" applyAlignment="1" pivotButton="0" quotePrefix="0" xfId="5">
      <alignment horizontal="center"/>
    </xf>
    <xf numFmtId="0" fontId="5" fillId="5" borderId="46" applyAlignment="1" pivotButton="0" quotePrefix="0" xfId="5">
      <alignment horizontal="center"/>
    </xf>
    <xf numFmtId="0" fontId="5" fillId="5" borderId="47" applyAlignment="1" pivotButton="0" quotePrefix="0" xfId="5">
      <alignment horizontal="center"/>
    </xf>
    <xf numFmtId="0" fontId="5" fillId="5" borderId="1" applyAlignment="1" pivotButton="0" quotePrefix="0" xfId="5">
      <alignment horizontal="center"/>
    </xf>
    <xf numFmtId="0" fontId="102" fillId="7" borderId="9" applyAlignment="1" pivotButton="0" quotePrefix="0" xfId="7">
      <alignment horizontal="center"/>
    </xf>
    <xf numFmtId="0" fontId="102" fillId="7" borderId="39" applyAlignment="1" pivotButton="0" quotePrefix="0" xfId="7">
      <alignment horizontal="center"/>
    </xf>
    <xf numFmtId="0" fontId="0" fillId="25" borderId="0" applyAlignment="1" pivotButton="0" quotePrefix="0" xfId="0">
      <alignment horizontal="center"/>
    </xf>
    <xf numFmtId="0" fontId="5" fillId="5" borderId="0" applyAlignment="1" pivotButton="0" quotePrefix="0" xfId="5">
      <alignment horizontal="center"/>
    </xf>
    <xf numFmtId="0" fontId="5" fillId="5" borderId="7" applyAlignment="1" pivotButton="0" quotePrefix="0" xfId="5">
      <alignment horizontal="center"/>
    </xf>
    <xf numFmtId="0" fontId="6" fillId="6" borderId="5" applyAlignment="1" pivotButton="0" quotePrefix="0" xfId="6">
      <alignment horizontal="center"/>
    </xf>
    <xf numFmtId="0" fontId="8" fillId="7" borderId="4" applyAlignment="1" pivotButton="0" quotePrefix="0" xfId="7">
      <alignment horizontal="center"/>
    </xf>
    <xf numFmtId="0" fontId="8" fillId="7" borderId="17" applyAlignment="1" pivotButton="0" quotePrefix="0" xfId="7">
      <alignment horizontal="center"/>
    </xf>
    <xf numFmtId="0" fontId="8" fillId="7" borderId="44" applyAlignment="1" pivotButton="0" quotePrefix="0" xfId="7">
      <alignment horizontal="center"/>
    </xf>
    <xf numFmtId="0" fontId="3" fillId="3" borderId="13" applyAlignment="1" pivotButton="0" quotePrefix="0" xfId="3">
      <alignment horizontal="center"/>
    </xf>
    <xf numFmtId="0" fontId="3" fillId="3" borderId="17" applyAlignment="1" pivotButton="0" quotePrefix="0" xfId="3">
      <alignment horizontal="center"/>
    </xf>
    <xf numFmtId="0" fontId="3" fillId="3" borderId="14" applyAlignment="1" pivotButton="0" quotePrefix="0" xfId="3">
      <alignment horizontal="center"/>
    </xf>
    <xf numFmtId="0" fontId="0" fillId="7" borderId="15" applyAlignment="1" pivotButton="0" quotePrefix="0" xfId="7">
      <alignment horizontal="center"/>
    </xf>
    <xf numFmtId="0" fontId="0" fillId="7" borderId="20" applyAlignment="1" pivotButton="0" quotePrefix="0" xfId="7">
      <alignment horizontal="center"/>
    </xf>
    <xf numFmtId="0" fontId="0" fillId="7" borderId="11" applyAlignment="1" pivotButton="0" quotePrefix="0" xfId="7">
      <alignment horizontal="center"/>
    </xf>
    <xf numFmtId="0" fontId="0" fillId="7" borderId="36" applyAlignment="1" pivotButton="0" quotePrefix="0" xfId="7">
      <alignment horizontal="center"/>
    </xf>
    <xf numFmtId="0" fontId="0" fillId="7" borderId="4" applyAlignment="1" pivotButton="0" quotePrefix="0" xfId="7">
      <alignment horizontal="center"/>
    </xf>
    <xf numFmtId="0" fontId="1" fillId="7" borderId="5" applyAlignment="1" pivotButton="0" quotePrefix="0" xfId="7">
      <alignment horizontal="center"/>
    </xf>
    <xf numFmtId="0" fontId="0" fillId="7" borderId="37" applyAlignment="1" pivotButton="0" quotePrefix="0" xfId="7">
      <alignment horizontal="center"/>
    </xf>
    <xf numFmtId="0" fontId="0" fillId="7" borderId="35" applyAlignment="1" pivotButton="0" quotePrefix="0" xfId="7">
      <alignment horizontal="center"/>
    </xf>
    <xf numFmtId="0" fontId="1" fillId="7" borderId="13" applyAlignment="1" pivotButton="0" quotePrefix="0" xfId="7">
      <alignment horizontal="center"/>
    </xf>
    <xf numFmtId="0" fontId="1" fillId="7" borderId="17" applyAlignment="1" pivotButton="0" quotePrefix="0" xfId="7">
      <alignment horizontal="center"/>
    </xf>
    <xf numFmtId="0" fontId="1" fillId="7" borderId="14" applyAlignment="1" pivotButton="0" quotePrefix="0" xfId="7">
      <alignment horizontal="center"/>
    </xf>
    <xf numFmtId="0" fontId="4" fillId="17" borderId="13" applyAlignment="1" pivotButton="0" quotePrefix="0" xfId="4">
      <alignment horizontal="center"/>
    </xf>
    <xf numFmtId="0" fontId="4" fillId="17" borderId="14" applyAlignment="1" pivotButton="0" quotePrefix="0" xfId="4">
      <alignment horizontal="center"/>
    </xf>
    <xf numFmtId="0" fontId="21" fillId="77" borderId="13" applyAlignment="1" pivotButton="0" quotePrefix="0" xfId="2">
      <alignment horizontal="center"/>
    </xf>
    <xf numFmtId="0" fontId="21" fillId="77" borderId="14" applyAlignment="1" pivotButton="0" quotePrefix="0" xfId="2">
      <alignment horizontal="center"/>
    </xf>
    <xf numFmtId="0" fontId="122" fillId="25" borderId="13" applyAlignment="1" pivotButton="0" quotePrefix="0" xfId="4">
      <alignment horizontal="center"/>
    </xf>
    <xf numFmtId="0" fontId="122" fillId="25" borderId="14" applyAlignment="1" pivotButton="0" quotePrefix="0" xfId="4">
      <alignment horizontal="center"/>
    </xf>
    <xf numFmtId="0" fontId="12" fillId="7" borderId="4" applyAlignment="1" pivotButton="0" quotePrefix="0" xfId="7">
      <alignment horizontal="center"/>
    </xf>
    <xf numFmtId="0" fontId="102" fillId="7" borderId="13" applyAlignment="1" pivotButton="0" quotePrefix="0" xfId="7">
      <alignment horizontal="center"/>
    </xf>
    <xf numFmtId="0" fontId="102" fillId="7" borderId="14" applyAlignment="1" pivotButton="0" quotePrefix="0" xfId="7">
      <alignment horizontal="center"/>
    </xf>
    <xf numFmtId="0" fontId="4" fillId="25" borderId="13" applyAlignment="1" pivotButton="0" quotePrefix="0" xfId="4">
      <alignment horizontal="center"/>
    </xf>
    <xf numFmtId="0" fontId="4" fillId="25" borderId="14" applyAlignment="1" pivotButton="0" quotePrefix="0" xfId="4">
      <alignment horizontal="center"/>
    </xf>
    <xf numFmtId="0" fontId="4" fillId="25" borderId="5" applyAlignment="1" pivotButton="0" quotePrefix="0" xfId="4">
      <alignment horizontal="center"/>
    </xf>
    <xf numFmtId="0" fontId="4" fillId="25" borderId="17" applyAlignment="1" pivotButton="0" quotePrefix="0" xfId="4">
      <alignment horizontal="center"/>
    </xf>
    <xf numFmtId="0" fontId="8" fillId="7" borderId="43" applyAlignment="1" pivotButton="0" quotePrefix="0" xfId="7">
      <alignment horizontal="center"/>
    </xf>
    <xf numFmtId="0" fontId="5" fillId="5" borderId="5" applyAlignment="1" pivotButton="0" quotePrefix="0" xfId="5">
      <alignment horizontal="center"/>
    </xf>
    <xf numFmtId="0" fontId="124" fillId="14" borderId="13" applyAlignment="1" pivotButton="0" quotePrefix="0" xfId="0">
      <alignment horizontal="right"/>
    </xf>
    <xf numFmtId="0" fontId="124" fillId="14" borderId="17" applyAlignment="1" pivotButton="0" quotePrefix="0" xfId="0">
      <alignment horizontal="right"/>
    </xf>
    <xf numFmtId="0" fontId="124" fillId="14" borderId="14" applyAlignment="1" pivotButton="0" quotePrefix="0" xfId="0">
      <alignment horizontal="right"/>
    </xf>
    <xf numFmtId="0" fontId="78" fillId="14" borderId="5" applyAlignment="1" pivotButton="0" quotePrefix="0" xfId="6">
      <alignment horizontal="center"/>
    </xf>
    <xf numFmtId="164" fontId="78" fillId="14" borderId="5" applyAlignment="1" pivotButton="0" quotePrefix="0" xfId="6">
      <alignment horizontal="center"/>
    </xf>
    <xf numFmtId="0" fontId="100" fillId="56" borderId="13" applyAlignment="1" pivotButton="0" quotePrefix="0" xfId="0">
      <alignment horizontal="center"/>
    </xf>
    <xf numFmtId="0" fontId="100" fillId="56" borderId="17" applyAlignment="1" pivotButton="0" quotePrefix="0" xfId="0">
      <alignment horizontal="center"/>
    </xf>
    <xf numFmtId="0" fontId="100" fillId="56" borderId="14" applyAlignment="1" pivotButton="0" quotePrefix="0" xfId="0">
      <alignment horizontal="center"/>
    </xf>
    <xf numFmtId="0" fontId="11" fillId="23" borderId="12" applyAlignment="1" pivotButton="0" quotePrefix="0" xfId="0">
      <alignment horizontal="center" vertical="center"/>
    </xf>
    <xf numFmtId="0" fontId="11" fillId="23" borderId="16" applyAlignment="1" pivotButton="0" quotePrefix="0" xfId="0">
      <alignment horizontal="center" vertical="center"/>
    </xf>
    <xf numFmtId="0" fontId="31" fillId="14" borderId="16" applyAlignment="1" pivotButton="0" quotePrefix="0" xfId="0">
      <alignment horizontal="left" vertical="center"/>
    </xf>
    <xf numFmtId="0" fontId="31" fillId="14" borderId="6" applyAlignment="1" pivotButton="0" quotePrefix="0" xfId="0">
      <alignment horizontal="left" vertical="center"/>
    </xf>
    <xf numFmtId="0" fontId="31" fillId="14" borderId="0" applyAlignment="1" pivotButton="0" quotePrefix="0" xfId="0">
      <alignment horizontal="left" vertical="center"/>
    </xf>
    <xf numFmtId="0" fontId="31" fillId="14" borderId="5" applyAlignment="1" pivotButton="0" quotePrefix="0" xfId="0">
      <alignment horizontal="left" vertical="center"/>
    </xf>
    <xf numFmtId="0" fontId="19" fillId="77" borderId="0" applyAlignment="1" pivotButton="0" quotePrefix="0" xfId="0">
      <alignment horizontal="center"/>
    </xf>
    <xf numFmtId="0" fontId="19" fillId="77" borderId="7" applyAlignment="1" pivotButton="0" quotePrefix="0" xfId="0">
      <alignment horizontal="center"/>
    </xf>
    <xf numFmtId="0" fontId="4" fillId="4" borderId="19" applyAlignment="1" pivotButton="0" quotePrefix="0" xfId="4">
      <alignment horizontal="center"/>
    </xf>
    <xf numFmtId="0" fontId="4" fillId="4" borderId="34" applyAlignment="1" pivotButton="0" quotePrefix="0" xfId="4">
      <alignment horizontal="center"/>
    </xf>
    <xf numFmtId="0" fontId="4" fillId="4" borderId="38" applyAlignment="1" pivotButton="0" quotePrefix="0" xfId="4">
      <alignment horizontal="center"/>
    </xf>
    <xf numFmtId="0" fontId="32" fillId="14" borderId="0" applyAlignment="1" pivotButton="0" quotePrefix="0" xfId="0">
      <alignment horizontal="center"/>
    </xf>
    <xf numFmtId="0" fontId="32" fillId="14" borderId="7" applyAlignment="1" pivotButton="0" quotePrefix="0" xfId="0">
      <alignment horizontal="center"/>
    </xf>
    <xf numFmtId="0" fontId="27" fillId="14" borderId="5" applyAlignment="1" pivotButton="0" quotePrefix="0" xfId="0">
      <alignment horizontal="center"/>
    </xf>
    <xf numFmtId="1" fontId="27" fillId="14" borderId="0" applyAlignment="1" pivotButton="0" quotePrefix="0" xfId="0">
      <alignment horizontal="center" vertical="center"/>
    </xf>
    <xf numFmtId="1" fontId="27" fillId="14" borderId="7" applyAlignment="1" pivotButton="0" quotePrefix="0" xfId="0">
      <alignment horizontal="center" vertical="center"/>
    </xf>
    <xf numFmtId="0" fontId="27" fillId="14" borderId="13" applyAlignment="1" pivotButton="0" quotePrefix="0" xfId="0">
      <alignment horizontal="center"/>
    </xf>
    <xf numFmtId="0" fontId="27" fillId="14" borderId="14" applyAlignment="1" pivotButton="0" quotePrefix="0" xfId="0">
      <alignment horizontal="center"/>
    </xf>
    <xf numFmtId="0" fontId="34" fillId="27" borderId="29" applyAlignment="1" pivotButton="0" quotePrefix="0" xfId="0">
      <alignment horizontal="center" vertical="center"/>
    </xf>
    <xf numFmtId="0" fontId="34" fillId="27" borderId="0" applyAlignment="1" pivotButton="0" quotePrefix="0" xfId="0">
      <alignment horizontal="center" vertical="center"/>
    </xf>
    <xf numFmtId="0" fontId="34" fillId="27" borderId="28" applyAlignment="1" pivotButton="0" quotePrefix="0" xfId="0">
      <alignment horizontal="center" vertical="center"/>
    </xf>
    <xf numFmtId="0" fontId="34" fillId="27" borderId="13" applyAlignment="1" pivotButton="0" quotePrefix="0" xfId="0">
      <alignment horizontal="center" vertical="center"/>
    </xf>
    <xf numFmtId="0" fontId="34" fillId="27" borderId="17" applyAlignment="1" pivotButton="0" quotePrefix="0" xfId="0">
      <alignment horizontal="center" vertical="center"/>
    </xf>
    <xf numFmtId="0" fontId="34" fillId="27" borderId="14" applyAlignment="1" pivotButton="0" quotePrefix="0" xfId="0">
      <alignment horizontal="center" vertical="center"/>
    </xf>
    <xf numFmtId="0" fontId="34" fillId="27" borderId="31" applyAlignment="1" pivotButton="0" quotePrefix="0" xfId="0">
      <alignment horizontal="center" vertical="center"/>
    </xf>
    <xf numFmtId="0" fontId="34" fillId="27" borderId="32" applyAlignment="1" pivotButton="0" quotePrefix="0" xfId="0">
      <alignment horizontal="center" vertical="center"/>
    </xf>
    <xf numFmtId="0" fontId="34" fillId="27" borderId="9" applyAlignment="1" pivotButton="0" quotePrefix="0" xfId="0">
      <alignment horizontal="center" vertical="center"/>
    </xf>
    <xf numFmtId="0" fontId="34" fillId="27" borderId="10" applyAlignment="1" pivotButton="0" quotePrefix="0" xfId="0">
      <alignment horizontal="center" vertical="center"/>
    </xf>
    <xf numFmtId="0" fontId="33" fillId="55" borderId="0" applyAlignment="1" pivotButton="0" quotePrefix="0" xfId="0">
      <alignment vertical="center"/>
    </xf>
    <xf numFmtId="0" fontId="33" fillId="55" borderId="0" applyAlignment="1" pivotButton="0" quotePrefix="0" xfId="0">
      <alignment horizontal="center" vertical="center"/>
    </xf>
    <xf numFmtId="0" fontId="49" fillId="26" borderId="12" applyAlignment="1" pivotButton="0" quotePrefix="0" xfId="0">
      <alignment horizontal="center" vertical="center"/>
    </xf>
    <xf numFmtId="0" fontId="49" fillId="26" borderId="18" applyAlignment="1" pivotButton="0" quotePrefix="0" xfId="0">
      <alignment horizontal="center" vertical="center"/>
    </xf>
    <xf numFmtId="0" fontId="49" fillId="26" borderId="16" applyAlignment="1" pivotButton="0" quotePrefix="0" xfId="0">
      <alignment horizontal="center" vertical="center"/>
    </xf>
    <xf numFmtId="0" fontId="49" fillId="26" borderId="20" applyAlignment="1" pivotButton="0" quotePrefix="0" xfId="0">
      <alignment horizontal="center" vertical="center"/>
    </xf>
    <xf numFmtId="0" fontId="49" fillId="26" borderId="0" applyAlignment="1" pivotButton="0" quotePrefix="0" xfId="0">
      <alignment horizontal="center" vertical="center"/>
    </xf>
    <xf numFmtId="0" fontId="34" fillId="27" borderId="7" applyAlignment="1" pivotButton="0" quotePrefix="0" xfId="0">
      <alignment horizontal="center" vertical="center"/>
    </xf>
    <xf numFmtId="0" fontId="33" fillId="26" borderId="12" applyAlignment="1" pivotButton="0" quotePrefix="0" xfId="0">
      <alignment vertical="center"/>
    </xf>
    <xf numFmtId="0" fontId="33" fillId="26" borderId="18" applyAlignment="1" pivotButton="0" quotePrefix="0" xfId="0">
      <alignment vertical="center"/>
    </xf>
    <xf numFmtId="0" fontId="33" fillId="26" borderId="16" applyAlignment="1" pivotButton="0" quotePrefix="0" xfId="0">
      <alignment vertical="center"/>
    </xf>
    <xf numFmtId="0" fontId="33" fillId="40" borderId="13" applyAlignment="1" pivotButton="0" quotePrefix="0" xfId="0">
      <alignment horizontal="center"/>
    </xf>
    <xf numFmtId="0" fontId="33" fillId="40" borderId="14" applyAlignment="1" pivotButton="0" quotePrefix="0" xfId="0">
      <alignment horizontal="center"/>
    </xf>
    <xf numFmtId="0" fontId="33" fillId="41" borderId="13" applyAlignment="1" pivotButton="0" quotePrefix="0" xfId="0">
      <alignment horizontal="center"/>
    </xf>
    <xf numFmtId="0" fontId="33" fillId="41" borderId="17" applyAlignment="1" pivotButton="0" quotePrefix="0" xfId="0">
      <alignment horizontal="center"/>
    </xf>
    <xf numFmtId="0" fontId="33" fillId="41" borderId="14" applyAlignment="1" pivotButton="0" quotePrefix="0" xfId="0">
      <alignment horizontal="center"/>
    </xf>
    <xf numFmtId="0" fontId="33" fillId="30" borderId="13" applyAlignment="1" pivotButton="0" quotePrefix="0" xfId="0">
      <alignment horizontal="center"/>
    </xf>
    <xf numFmtId="0" fontId="33" fillId="30" borderId="17" applyAlignment="1" pivotButton="0" quotePrefix="0" xfId="0">
      <alignment horizontal="center"/>
    </xf>
    <xf numFmtId="0" fontId="33" fillId="30" borderId="14" applyAlignment="1" pivotButton="0" quotePrefix="0" xfId="0">
      <alignment horizontal="center"/>
    </xf>
    <xf numFmtId="0" fontId="33" fillId="30" borderId="11" applyAlignment="1" pivotButton="0" quotePrefix="0" xfId="0">
      <alignment horizontal="center"/>
    </xf>
    <xf numFmtId="0" fontId="33" fillId="30" borderId="15" applyAlignment="1" pivotButton="0" quotePrefix="0" xfId="0">
      <alignment horizontal="center"/>
    </xf>
    <xf numFmtId="0" fontId="33" fillId="26" borderId="7" applyAlignment="1" pivotButton="0" quotePrefix="0" xfId="0">
      <alignment vertical="center"/>
    </xf>
    <xf numFmtId="0" fontId="33" fillId="26" borderId="10" applyAlignment="1" pivotButton="0" quotePrefix="0" xfId="0">
      <alignment vertical="center"/>
    </xf>
    <xf numFmtId="0" fontId="33" fillId="42" borderId="13" applyAlignment="1" pivotButton="0" quotePrefix="0" xfId="0">
      <alignment horizontal="center"/>
    </xf>
    <xf numFmtId="0" fontId="33" fillId="42" borderId="14" applyAlignment="1" pivotButton="0" quotePrefix="0" xfId="0">
      <alignment horizontal="center"/>
    </xf>
    <xf numFmtId="0" fontId="33" fillId="38" borderId="13" applyAlignment="1" pivotButton="0" quotePrefix="0" xfId="0">
      <alignment horizontal="center"/>
    </xf>
    <xf numFmtId="0" fontId="33" fillId="38" borderId="17" applyAlignment="1" pivotButton="0" quotePrefix="0" xfId="0">
      <alignment horizontal="center"/>
    </xf>
    <xf numFmtId="0" fontId="33" fillId="38" borderId="14" applyAlignment="1" pivotButton="0" quotePrefix="0" xfId="0">
      <alignment horizontal="center"/>
    </xf>
    <xf numFmtId="0" fontId="33" fillId="31" borderId="12" applyAlignment="1" pivotButton="0" quotePrefix="0" xfId="0">
      <alignment horizontal="center"/>
    </xf>
    <xf numFmtId="0" fontId="33" fillId="31" borderId="16" applyAlignment="1" pivotButton="0" quotePrefix="0" xfId="0">
      <alignment horizontal="center"/>
    </xf>
    <xf numFmtId="0" fontId="38" fillId="52" borderId="15" applyAlignment="1" pivotButton="0" quotePrefix="1" xfId="0">
      <alignment horizontal="center"/>
    </xf>
    <xf numFmtId="0" fontId="38" fillId="52" borderId="20" applyAlignment="1" pivotButton="0" quotePrefix="1" xfId="0">
      <alignment horizontal="center"/>
    </xf>
    <xf numFmtId="0" fontId="38" fillId="52" borderId="11" applyAlignment="1" pivotButton="0" quotePrefix="1" xfId="0">
      <alignment horizontal="center"/>
    </xf>
    <xf numFmtId="0" fontId="33" fillId="30" borderId="20" applyAlignment="1" pivotButton="0" quotePrefix="0" xfId="0">
      <alignment horizontal="center"/>
    </xf>
    <xf numFmtId="0" fontId="33" fillId="18" borderId="13" applyAlignment="1" pivotButton="0" quotePrefix="0" xfId="0">
      <alignment horizontal="center"/>
    </xf>
    <xf numFmtId="0" fontId="33" fillId="18" borderId="14" applyAlignment="1" pivotButton="0" quotePrefix="0" xfId="0">
      <alignment horizontal="center"/>
    </xf>
    <xf numFmtId="0" fontId="33" fillId="30" borderId="8" applyAlignment="1" pivotButton="0" quotePrefix="0" xfId="0">
      <alignment horizontal="center"/>
    </xf>
    <xf numFmtId="0" fontId="33" fillId="30" borderId="10" applyAlignment="1" pivotButton="0" quotePrefix="0" xfId="0">
      <alignment horizontal="center"/>
    </xf>
    <xf numFmtId="0" fontId="33" fillId="30" borderId="12" applyAlignment="1" pivotButton="0" quotePrefix="0" xfId="0">
      <alignment horizontal="center" vertical="center"/>
    </xf>
    <xf numFmtId="0" fontId="33" fillId="30" borderId="16" applyAlignment="1" pivotButton="0" quotePrefix="0" xfId="0">
      <alignment horizontal="center" vertical="center"/>
    </xf>
    <xf numFmtId="0" fontId="38" fillId="52" borderId="0" applyAlignment="1" pivotButton="0" quotePrefix="0" xfId="0">
      <alignment horizontal="center"/>
    </xf>
    <xf numFmtId="0" fontId="33" fillId="31" borderId="13" applyAlignment="1" pivotButton="0" quotePrefix="0" xfId="0">
      <alignment horizontal="center"/>
    </xf>
    <xf numFmtId="0" fontId="33" fillId="31" borderId="14" applyAlignment="1" pivotButton="0" quotePrefix="0" xfId="0">
      <alignment horizontal="center"/>
    </xf>
    <xf numFmtId="0" fontId="38" fillId="34" borderId="12" applyAlignment="1" pivotButton="0" quotePrefix="0" xfId="0">
      <alignment horizontal="center" vertical="center"/>
    </xf>
    <xf numFmtId="0" fontId="38" fillId="34" borderId="18" applyAlignment="1" pivotButton="0" quotePrefix="0" xfId="0">
      <alignment horizontal="center" vertical="center"/>
    </xf>
    <xf numFmtId="0" fontId="38" fillId="34" borderId="16" applyAlignment="1" pivotButton="0" quotePrefix="0" xfId="0">
      <alignment horizontal="center" vertical="center"/>
    </xf>
    <xf numFmtId="0" fontId="33" fillId="40" borderId="17" applyAlignment="1" pivotButton="0" quotePrefix="0" xfId="0">
      <alignment horizontal="center"/>
    </xf>
    <xf numFmtId="0" fontId="38" fillId="44" borderId="13" applyAlignment="1" pivotButton="0" quotePrefix="0" xfId="0">
      <alignment horizontal="center"/>
    </xf>
    <xf numFmtId="0" fontId="38" fillId="44" borderId="17" applyAlignment="1" pivotButton="0" quotePrefix="0" xfId="0">
      <alignment horizontal="center"/>
    </xf>
    <xf numFmtId="0" fontId="38" fillId="44" borderId="14" applyAlignment="1" pivotButton="0" quotePrefix="0" xfId="0">
      <alignment horizontal="center"/>
    </xf>
    <xf numFmtId="0" fontId="33" fillId="40" borderId="8" applyAlignment="1" pivotButton="0" quotePrefix="0" xfId="0">
      <alignment horizontal="center"/>
    </xf>
    <xf numFmtId="0" fontId="33" fillId="40" borderId="10" applyAlignment="1" pivotButton="0" quotePrefix="0" xfId="0">
      <alignment horizontal="center"/>
    </xf>
    <xf numFmtId="0" fontId="34" fillId="26" borderId="22" applyAlignment="1" pivotButton="0" quotePrefix="0" xfId="0">
      <alignment horizontal="center"/>
    </xf>
    <xf numFmtId="0" fontId="34" fillId="26" borderId="23" applyAlignment="1" pivotButton="0" quotePrefix="0" xfId="0">
      <alignment horizontal="center"/>
    </xf>
    <xf numFmtId="0" fontId="34" fillId="26" borderId="24" applyAlignment="1" pivotButton="0" quotePrefix="0" xfId="0">
      <alignment horizontal="center"/>
    </xf>
    <xf numFmtId="0" fontId="34" fillId="27" borderId="22" applyAlignment="1" pivotButton="0" quotePrefix="0" xfId="0">
      <alignment horizontal="center"/>
    </xf>
    <xf numFmtId="0" fontId="34" fillId="27" borderId="23" applyAlignment="1" pivotButton="0" quotePrefix="0" xfId="0">
      <alignment horizontal="center"/>
    </xf>
    <xf numFmtId="0" fontId="34" fillId="27" borderId="25" applyAlignment="1" pivotButton="0" quotePrefix="0" xfId="0">
      <alignment horizontal="center"/>
    </xf>
    <xf numFmtId="0" fontId="34" fillId="27" borderId="24" applyAlignment="1" pivotButton="0" quotePrefix="0" xfId="0">
      <alignment horizontal="center"/>
    </xf>
    <xf numFmtId="0" fontId="24" fillId="85" borderId="5" applyAlignment="1" pivotButton="0" quotePrefix="0" xfId="0">
      <alignment horizontal="center"/>
    </xf>
    <xf numFmtId="0" fontId="81" fillId="11" borderId="5" applyAlignment="1" pivotButton="0" quotePrefix="0" xfId="10">
      <alignment horizontal="center" vertical="center"/>
    </xf>
    <xf numFmtId="0" fontId="24" fillId="0" borderId="0" pivotButton="0" quotePrefix="0" xfId="0"/>
    <xf numFmtId="0" fontId="131" fillId="92" borderId="12" applyAlignment="1" pivotButton="0" quotePrefix="0" xfId="0">
      <alignment horizontal="left" vertical="center"/>
    </xf>
    <xf numFmtId="0" fontId="0" fillId="0" borderId="20" pivotButton="0" quotePrefix="0" xfId="0"/>
    <xf numFmtId="0" fontId="131" fillId="93" borderId="0" applyAlignment="1" pivotButton="0" quotePrefix="0" xfId="0">
      <alignment horizontal="left" vertical="center"/>
    </xf>
    <xf numFmtId="0" fontId="132" fillId="94" borderId="7" applyAlignment="1" pivotButton="0" quotePrefix="0" xfId="5">
      <alignment horizontal="left" vertical="center"/>
    </xf>
    <xf numFmtId="0" fontId="0" fillId="0" borderId="7" pivotButton="0" quotePrefix="0" xfId="0"/>
    <xf numFmtId="0" fontId="132" fillId="95" borderId="7" applyAlignment="1" pivotButton="0" quotePrefix="0" xfId="5">
      <alignment horizontal="left" vertical="center"/>
    </xf>
    <xf numFmtId="0" fontId="132" fillId="96" borderId="7" applyAlignment="1" pivotButton="0" quotePrefix="0" xfId="5">
      <alignment horizontal="left" vertical="center"/>
    </xf>
    <xf numFmtId="0" fontId="132" fillId="97" borderId="1" applyAlignment="1" pivotButton="0" quotePrefix="0" xfId="5">
      <alignment horizontal="left" vertical="center"/>
    </xf>
    <xf numFmtId="0" fontId="0" fillId="0" borderId="34" pivotButton="0" quotePrefix="0" xfId="0"/>
    <xf numFmtId="0" fontId="0" fillId="0" borderId="38" pivotButton="0" quotePrefix="0" xfId="0"/>
    <xf numFmtId="0" fontId="132" fillId="98" borderId="0" applyAlignment="1" pivotButton="0" quotePrefix="0" xfId="5">
      <alignment horizontal="left" vertical="center"/>
    </xf>
    <xf numFmtId="0" fontId="132" fillId="94" borderId="0" applyAlignment="1" pivotButton="0" quotePrefix="0" xfId="0">
      <alignment horizontal="left" vertical="center"/>
    </xf>
    <xf numFmtId="0" fontId="132" fillId="95" borderId="0" applyAlignment="1" pivotButton="0" quotePrefix="0" xfId="0">
      <alignment horizontal="left" vertical="center"/>
    </xf>
    <xf numFmtId="0" fontId="132" fillId="96" borderId="0" applyAlignment="1" pivotButton="0" quotePrefix="0" xfId="0">
      <alignment horizontal="left" vertical="center"/>
    </xf>
    <xf numFmtId="0" fontId="132" fillId="97" borderId="0" applyAlignment="1" pivotButton="0" quotePrefix="0" xfId="0">
      <alignment horizontal="left" vertical="center"/>
    </xf>
    <xf numFmtId="171" fontId="9" fillId="9" borderId="5" pivotButton="0" quotePrefix="0" xfId="17"/>
    <xf numFmtId="0" fontId="133" fillId="99" borderId="65" applyAlignment="1" pivotButton="0" quotePrefix="0" xfId="0">
      <alignment horizontal="center" vertical="center"/>
    </xf>
    <xf numFmtId="0" fontId="133" fillId="99" borderId="65" applyAlignment="1" pivotButton="0" quotePrefix="0" xfId="4">
      <alignment horizontal="center" vertical="center"/>
    </xf>
    <xf numFmtId="0" fontId="133" fillId="99" borderId="65" applyAlignment="1" pivotButton="0" quotePrefix="0" xfId="13">
      <alignment horizontal="center" vertical="center"/>
    </xf>
    <xf numFmtId="0" fontId="133" fillId="99" borderId="65" applyAlignment="1" pivotButton="0" quotePrefix="0" xfId="6">
      <alignment horizontal="center" vertical="center"/>
    </xf>
    <xf numFmtId="0" fontId="133" fillId="100" borderId="65" applyAlignment="1" pivotButton="0" quotePrefix="0" xfId="17">
      <alignment horizontal="center" vertical="center"/>
    </xf>
    <xf numFmtId="0" fontId="0" fillId="0" borderId="50" pivotButton="0" quotePrefix="0" xfId="0"/>
    <xf numFmtId="0" fontId="0" fillId="0" borderId="51" pivotButton="0" quotePrefix="0" xfId="0"/>
    <xf numFmtId="0" fontId="133" fillId="94" borderId="65" applyAlignment="1" pivotButton="0" quotePrefix="0" xfId="0">
      <alignment horizontal="center" vertical="center"/>
    </xf>
    <xf numFmtId="172" fontId="133" fillId="94" borderId="65" applyAlignment="1" pivotButton="0" quotePrefix="0" xfId="0">
      <alignment horizontal="center" vertical="center"/>
    </xf>
    <xf numFmtId="0" fontId="133" fillId="95" borderId="65" applyAlignment="1" pivotButton="0" quotePrefix="0" xfId="0">
      <alignment horizontal="center" vertical="center"/>
    </xf>
    <xf numFmtId="0" fontId="133" fillId="96" borderId="65" applyAlignment="1" pivotButton="0" quotePrefix="0" xfId="0">
      <alignment horizontal="center" vertical="center"/>
    </xf>
    <xf numFmtId="172" fontId="133" fillId="96" borderId="65" applyAlignment="1" pivotButton="0" quotePrefix="0" xfId="0">
      <alignment horizontal="center" vertical="center"/>
    </xf>
    <xf numFmtId="0" fontId="133" fillId="97" borderId="65" applyAlignment="1" pivotButton="0" quotePrefix="0" xfId="0">
      <alignment horizontal="center" vertical="center"/>
    </xf>
    <xf numFmtId="172" fontId="133" fillId="97" borderId="65" applyAlignment="1" pivotButton="0" quotePrefix="0" xfId="0">
      <alignment horizontal="center" vertical="center"/>
    </xf>
    <xf numFmtId="0" fontId="133" fillId="98" borderId="65" applyAlignment="1" pivotButton="0" quotePrefix="0" xfId="0">
      <alignment horizontal="center" vertical="center"/>
    </xf>
    <xf numFmtId="164" fontId="133" fillId="94" borderId="65" applyAlignment="1" pivotButton="0" quotePrefix="0" xfId="0">
      <alignment horizontal="center" vertical="center"/>
    </xf>
    <xf numFmtId="164" fontId="133" fillId="95" borderId="65" applyAlignment="1" pivotButton="0" quotePrefix="0" xfId="0">
      <alignment horizontal="center" vertical="center"/>
    </xf>
    <xf numFmtId="0" fontId="134" fillId="14" borderId="14" applyAlignment="1" pivotButton="0" quotePrefix="0" xfId="0">
      <alignment horizontal="center" vertical="center"/>
    </xf>
    <xf numFmtId="0" fontId="132" fillId="14" borderId="5" applyAlignment="1" pivotButton="0" quotePrefix="0" xfId="6">
      <alignment horizontal="center" vertical="center"/>
    </xf>
    <xf numFmtId="2" fontId="134" fillId="14" borderId="5" applyAlignment="1" pivotButton="0" quotePrefix="0" xfId="6">
      <alignment horizontal="center" vertical="center"/>
    </xf>
    <xf numFmtId="0" fontId="132" fillId="14" borderId="13" applyAlignment="1" pivotButton="0" quotePrefix="0" xfId="6">
      <alignment horizontal="center" vertical="center"/>
    </xf>
    <xf numFmtId="0" fontId="132" fillId="14" borderId="8" applyAlignment="1" pivotButton="0" quotePrefix="0" xfId="6">
      <alignment horizontal="center" vertical="center"/>
    </xf>
    <xf numFmtId="0" fontId="132" fillId="14" borderId="5" applyAlignment="1" pivotButton="0" quotePrefix="0" xfId="0">
      <alignment horizontal="center" vertical="center"/>
    </xf>
    <xf numFmtId="172" fontId="132" fillId="20" borderId="5" applyAlignment="1" pivotButton="0" quotePrefix="0" xfId="0">
      <alignment horizontal="center" vertical="center"/>
    </xf>
    <xf numFmtId="0" fontId="132" fillId="14" borderId="15" applyAlignment="1" pivotButton="0" quotePrefix="0" xfId="0">
      <alignment horizontal="center" vertical="center"/>
    </xf>
    <xf numFmtId="164" fontId="132" fillId="14" borderId="15" applyAlignment="1" pivotButton="0" quotePrefix="0" xfId="0">
      <alignment horizontal="center" vertical="center"/>
    </xf>
    <xf numFmtId="172" fontId="132" fillId="14" borderId="5" applyAlignment="1" pivotButton="0" quotePrefix="0" xfId="0">
      <alignment horizontal="center" vertical="center"/>
    </xf>
    <xf numFmtId="0" fontId="132" fillId="14" borderId="14" applyAlignment="1" pivotButton="0" quotePrefix="0" xfId="0">
      <alignment horizontal="center" vertical="center"/>
    </xf>
    <xf numFmtId="164" fontId="132" fillId="14" borderId="5" applyAlignment="1" pivotButton="0" quotePrefix="0" xfId="0">
      <alignment horizontal="center" vertical="center"/>
    </xf>
    <xf numFmtId="0" fontId="132" fillId="14" borderId="12" applyAlignment="1" pivotButton="0" quotePrefix="0" xfId="0">
      <alignment horizontal="center" vertical="center"/>
    </xf>
    <xf numFmtId="0" fontId="134" fillId="14" borderId="0" applyAlignment="1" pivotButton="0" quotePrefix="0" xfId="0">
      <alignment horizontal="center" vertical="center"/>
    </xf>
    <xf numFmtId="0" fontId="134" fillId="0" borderId="0" applyAlignment="1" pivotButton="0" quotePrefix="0" xfId="0">
      <alignment horizontal="center" vertical="center"/>
    </xf>
    <xf numFmtId="0" fontId="134" fillId="22" borderId="5" applyAlignment="1" pivotButton="0" quotePrefix="0" xfId="4">
      <alignment horizontal="center" vertical="center"/>
    </xf>
    <xf numFmtId="164" fontId="134" fillId="22" borderId="5" applyAlignment="1" pivotButton="0" quotePrefix="0" xfId="4">
      <alignment horizontal="center" vertical="center"/>
    </xf>
    <xf numFmtId="0" fontId="134" fillId="7" borderId="5" applyAlignment="1" pivotButton="0" quotePrefix="0" xfId="7">
      <alignment horizontal="center" vertical="center"/>
    </xf>
    <xf numFmtId="0" fontId="134" fillId="18" borderId="5" applyAlignment="1" pivotButton="0" quotePrefix="0" xfId="7">
      <alignment horizontal="center" vertical="center"/>
    </xf>
    <xf numFmtId="0" fontId="134" fillId="16" borderId="5" applyAlignment="1" pivotButton="0" quotePrefix="0" xfId="7">
      <alignment horizontal="center" vertical="center"/>
    </xf>
    <xf numFmtId="0" fontId="134" fillId="14" borderId="5" applyAlignment="1" pivotButton="0" quotePrefix="0" xfId="0">
      <alignment horizontal="center" vertical="center"/>
    </xf>
    <xf numFmtId="1" fontId="134" fillId="0" borderId="5" applyAlignment="1" pivotButton="0" quotePrefix="0" xfId="0">
      <alignment horizontal="center" vertical="center"/>
    </xf>
    <xf numFmtId="0" fontId="134" fillId="0" borderId="5" applyAlignment="1" pivotButton="0" quotePrefix="0" xfId="0">
      <alignment horizontal="center" vertical="center"/>
    </xf>
    <xf numFmtId="171" fontId="134" fillId="0" borderId="5" applyAlignment="1" pivotButton="0" quotePrefix="0" xfId="1">
      <alignment horizontal="center" vertical="center"/>
    </xf>
    <xf numFmtId="0" fontId="134" fillId="24" borderId="5" applyAlignment="1" pivotButton="0" quotePrefix="0" xfId="0">
      <alignment horizontal="center" vertical="center"/>
    </xf>
    <xf numFmtId="172" fontId="134" fillId="24" borderId="5" applyAlignment="1" pivotButton="0" quotePrefix="0" xfId="0">
      <alignment horizontal="center" vertical="center"/>
    </xf>
    <xf numFmtId="164" fontId="134" fillId="0" borderId="5" applyAlignment="1" pivotButton="0" quotePrefix="0" xfId="0">
      <alignment horizontal="center" vertical="center"/>
    </xf>
    <xf numFmtId="172" fontId="134" fillId="0" borderId="5" applyAlignment="1" pivotButton="0" quotePrefix="0" xfId="0">
      <alignment horizontal="center" vertical="center"/>
    </xf>
    <xf numFmtId="0" fontId="134" fillId="15" borderId="5" applyAlignment="1" pivotButton="0" quotePrefix="0" xfId="0">
      <alignment horizontal="center" vertical="center"/>
    </xf>
    <xf numFmtId="0" fontId="134" fillId="20" borderId="5" applyAlignment="1" pivotButton="0" quotePrefix="0" xfId="0">
      <alignment horizontal="center" vertical="center"/>
    </xf>
    <xf numFmtId="0" fontId="134" fillId="79" borderId="5" applyAlignment="1" pivotButton="0" quotePrefix="0" xfId="0">
      <alignment horizontal="center" vertical="center"/>
    </xf>
    <xf numFmtId="0" fontId="134" fillId="0" borderId="13" applyAlignment="1" pivotButton="0" quotePrefix="0" xfId="0">
      <alignment horizontal="center" vertical="center"/>
    </xf>
    <xf numFmtId="0" fontId="134" fillId="72" borderId="5" applyAlignment="1" pivotButton="0" quotePrefix="0" xfId="0">
      <alignment horizontal="center" vertical="center"/>
    </xf>
    <xf numFmtId="0" fontId="134" fillId="25" borderId="5" applyAlignment="1" pivotButton="0" quotePrefix="0" xfId="0">
      <alignment horizontal="center" vertical="center"/>
    </xf>
    <xf numFmtId="164" fontId="134" fillId="25" borderId="5" applyAlignment="1" pivotButton="0" quotePrefix="0" xfId="0">
      <alignment horizontal="center" vertical="center"/>
    </xf>
    <xf numFmtId="172" fontId="134" fillId="25" borderId="5" applyAlignment="1" pivotButton="0" quotePrefix="0" xfId="0">
      <alignment horizontal="center" vertical="center"/>
    </xf>
    <xf numFmtId="0" fontId="134" fillId="17" borderId="14" applyAlignment="1" pivotButton="0" quotePrefix="0" xfId="0">
      <alignment horizontal="center" vertical="center"/>
    </xf>
    <xf numFmtId="0" fontId="134" fillId="17" borderId="5" applyAlignment="1" pivotButton="0" quotePrefix="0" xfId="0">
      <alignment horizontal="center" vertical="center"/>
    </xf>
    <xf numFmtId="164" fontId="134" fillId="0" borderId="0" applyAlignment="1" pivotButton="0" quotePrefix="0" xfId="0">
      <alignment horizontal="center" vertical="center"/>
    </xf>
    <xf numFmtId="2" fontId="134" fillId="22" borderId="5" applyAlignment="1" pivotButton="0" quotePrefix="0" xfId="4">
      <alignment horizontal="center" vertical="center"/>
    </xf>
    <xf numFmtId="0" fontId="134" fillId="77" borderId="5" applyAlignment="1" pivotButton="0" quotePrefix="0" xfId="4">
      <alignment horizontal="center" vertical="center"/>
    </xf>
    <xf numFmtId="164" fontId="134" fillId="77" borderId="5" applyAlignment="1" pivotButton="0" quotePrefix="0" xfId="4">
      <alignment horizontal="center" vertical="center"/>
    </xf>
    <xf numFmtId="164" fontId="134" fillId="24" borderId="5" applyAlignment="1" pivotButton="0" quotePrefix="0" xfId="0">
      <alignment horizontal="center" vertical="center"/>
    </xf>
    <xf numFmtId="0" fontId="134" fillId="0" borderId="15" applyAlignment="1" pivotButton="0" quotePrefix="0" xfId="0">
      <alignment horizontal="center" vertical="center"/>
    </xf>
    <xf numFmtId="172" fontId="134" fillId="0" borderId="0" applyAlignment="1" pivotButton="0" quotePrefix="0" xfId="0">
      <alignment horizontal="center" vertical="center"/>
    </xf>
    <xf numFmtId="0" fontId="134" fillId="22" borderId="5" applyAlignment="1" pivotButton="0" quotePrefix="1" xfId="4">
      <alignment horizontal="center" vertical="center"/>
    </xf>
    <xf numFmtId="0" fontId="134" fillId="7" borderId="5" applyAlignment="1" pivotButton="0" quotePrefix="1" xfId="7">
      <alignment horizontal="center" vertical="center"/>
    </xf>
    <xf numFmtId="0" fontId="132" fillId="22" borderId="5" applyAlignment="1" pivotButton="0" quotePrefix="0" xfId="4">
      <alignment horizontal="center" vertical="center"/>
    </xf>
    <xf numFmtId="164" fontId="132" fillId="22" borderId="5" applyAlignment="1" pivotButton="0" quotePrefix="0" xfId="4">
      <alignment horizontal="center" vertical="center"/>
    </xf>
    <xf numFmtId="0" fontId="132" fillId="14" borderId="5" applyAlignment="1" pivotButton="0" quotePrefix="0" xfId="0">
      <alignment horizontal="left"/>
    </xf>
    <xf numFmtId="0" fontId="135" fillId="3" borderId="5" applyAlignment="1" pivotButton="0" quotePrefix="0" xfId="3">
      <alignment horizontal="center"/>
    </xf>
    <xf numFmtId="0" fontId="0" fillId="0" borderId="17" pivotButton="0" quotePrefix="0" xfId="0"/>
    <xf numFmtId="0" fontId="135" fillId="14" borderId="14" applyAlignment="1" pivotButton="0" quotePrefix="0" xfId="3">
      <alignment horizontal="center"/>
    </xf>
    <xf numFmtId="0" fontId="135" fillId="3" borderId="13" applyAlignment="1" pivotButton="0" quotePrefix="0" xfId="3">
      <alignment horizontal="center"/>
    </xf>
    <xf numFmtId="0" fontId="134" fillId="14" borderId="5" applyAlignment="1" pivotButton="0" quotePrefix="0" xfId="2">
      <alignment horizontal="left"/>
    </xf>
    <xf numFmtId="0" fontId="134" fillId="14" borderId="5" applyAlignment="1" pivotButton="0" quotePrefix="0" xfId="2">
      <alignment horizontal="center"/>
    </xf>
    <xf numFmtId="0" fontId="134" fillId="77" borderId="5" applyAlignment="1" pivotButton="0" quotePrefix="0" xfId="2">
      <alignment horizontal="center"/>
    </xf>
    <xf numFmtId="0" fontId="134" fillId="14" borderId="0" pivotButton="0" quotePrefix="0" xfId="0"/>
    <xf numFmtId="0" fontId="132" fillId="14" borderId="5" applyAlignment="1" pivotButton="0" quotePrefix="0" xfId="0">
      <alignment horizontal="center"/>
    </xf>
    <xf numFmtId="0" fontId="136" fillId="4" borderId="5" applyAlignment="1" pivotButton="0" quotePrefix="0" xfId="4">
      <alignment horizontal="center"/>
    </xf>
    <xf numFmtId="0" fontId="137" fillId="2" borderId="5" applyAlignment="1" pivotButton="0" quotePrefix="0" xfId="2">
      <alignment horizontal="center"/>
    </xf>
    <xf numFmtId="0" fontId="138" fillId="25" borderId="5" applyAlignment="1" pivotButton="0" quotePrefix="0" xfId="4">
      <alignment horizontal="center"/>
    </xf>
    <xf numFmtId="0" fontId="134" fillId="7" borderId="5" applyAlignment="1" pivotButton="0" quotePrefix="0" xfId="7">
      <alignment horizontal="center"/>
    </xf>
    <xf numFmtId="0" fontId="139" fillId="7" borderId="5" applyAlignment="1" pivotButton="0" quotePrefix="0" xfId="7">
      <alignment horizontal="center"/>
    </xf>
    <xf numFmtId="0" fontId="136" fillId="25" borderId="5" applyAlignment="1" pivotButton="0" quotePrefix="0" xfId="4">
      <alignment horizontal="center"/>
    </xf>
    <xf numFmtId="0" fontId="136" fillId="25" borderId="13" applyAlignment="1" pivotButton="0" quotePrefix="0" xfId="4">
      <alignment horizontal="center"/>
    </xf>
    <xf numFmtId="0" fontId="134" fillId="7" borderId="57" applyAlignment="1" pivotButton="0" quotePrefix="0" xfId="7">
      <alignment horizontal="center"/>
    </xf>
    <xf numFmtId="0" fontId="0" fillId="0" borderId="35" pivotButton="0" quotePrefix="0" xfId="0"/>
    <xf numFmtId="0" fontId="0" fillId="0" borderId="36" pivotButton="0" quotePrefix="0" xfId="0"/>
    <xf numFmtId="0" fontId="134" fillId="25" borderId="5" applyAlignment="1" pivotButton="0" quotePrefix="0" xfId="0">
      <alignment horizontal="center"/>
    </xf>
    <xf numFmtId="0" fontId="134" fillId="7" borderId="12" applyAlignment="1" pivotButton="0" quotePrefix="0" xfId="7">
      <alignment horizontal="center"/>
    </xf>
    <xf numFmtId="0" fontId="134" fillId="7" borderId="36" applyAlignment="1" pivotButton="0" quotePrefix="0" xfId="7">
      <alignment horizontal="center"/>
    </xf>
    <xf numFmtId="0" fontId="134" fillId="7" borderId="4" applyAlignment="1" pivotButton="0" quotePrefix="0" xfId="7">
      <alignment horizontal="center"/>
    </xf>
    <xf numFmtId="0" fontId="134" fillId="14" borderId="0" applyAlignment="1" pivotButton="0" quotePrefix="0" xfId="0">
      <alignment horizontal="center"/>
    </xf>
    <xf numFmtId="0" fontId="132" fillId="7" borderId="4" applyAlignment="1" pivotButton="0" quotePrefix="0" xfId="7">
      <alignment horizontal="center"/>
    </xf>
    <xf numFmtId="0" fontId="132" fillId="7" borderId="44" applyAlignment="1" pivotButton="0" quotePrefix="0" xfId="7">
      <alignment horizontal="center"/>
    </xf>
    <xf numFmtId="0" fontId="0" fillId="0" borderId="44" pivotButton="0" quotePrefix="0" xfId="0"/>
    <xf numFmtId="0" fontId="132" fillId="7" borderId="43" applyAlignment="1" pivotButton="0" quotePrefix="0" xfId="7">
      <alignment horizontal="center"/>
    </xf>
    <xf numFmtId="0" fontId="0" fillId="0" borderId="40" pivotButton="0" quotePrefix="0" xfId="0"/>
    <xf numFmtId="0" fontId="0" fillId="0" borderId="55" pivotButton="0" quotePrefix="0" xfId="0"/>
    <xf numFmtId="0" fontId="134" fillId="7" borderId="5" pivotButton="0" quotePrefix="0" xfId="7"/>
    <xf numFmtId="0" fontId="136" fillId="4" borderId="5" applyAlignment="1" pivotButton="0" quotePrefix="0" xfId="4">
      <alignment horizontal="left"/>
    </xf>
    <xf numFmtId="0" fontId="140" fillId="5" borderId="1" applyAlignment="1" pivotButton="0" quotePrefix="0" xfId="5">
      <alignment horizontal="left"/>
    </xf>
    <xf numFmtId="0" fontId="141" fillId="70" borderId="5" applyAlignment="1" pivotButton="0" quotePrefix="0" xfId="13">
      <alignment horizontal="left"/>
    </xf>
    <xf numFmtId="0" fontId="136" fillId="17" borderId="5" applyAlignment="1" pivotButton="0" quotePrefix="0" xfId="4">
      <alignment horizontal="left"/>
    </xf>
    <xf numFmtId="0" fontId="135" fillId="3" borderId="5" applyAlignment="1" pivotButton="0" quotePrefix="0" xfId="3">
      <alignment horizontal="left"/>
    </xf>
    <xf numFmtId="0" fontId="136" fillId="17" borderId="5" applyAlignment="1" pivotButton="0" quotePrefix="0" xfId="4">
      <alignment horizontal="center"/>
    </xf>
    <xf numFmtId="0" fontId="134" fillId="25" borderId="5" applyAlignment="1" pivotButton="0" quotePrefix="0" xfId="13">
      <alignment horizontal="left"/>
    </xf>
    <xf numFmtId="0" fontId="141" fillId="70" borderId="4" applyAlignment="1" pivotButton="0" quotePrefix="0" xfId="13">
      <alignment horizontal="left"/>
    </xf>
    <xf numFmtId="0" fontId="134" fillId="14" borderId="0" applyAlignment="1" pivotButton="0" quotePrefix="0" xfId="0">
      <alignment horizontal="left"/>
    </xf>
    <xf numFmtId="168" fontId="134" fillId="14" borderId="0" applyAlignment="1" pivotButton="0" quotePrefix="0" xfId="0">
      <alignment horizontal="left"/>
    </xf>
    <xf numFmtId="0" fontId="140" fillId="5" borderId="33" applyAlignment="1" pivotButton="0" quotePrefix="0" xfId="5">
      <alignment horizontal="left"/>
    </xf>
    <xf numFmtId="0" fontId="134" fillId="25" borderId="16" applyAlignment="1" pivotButton="0" quotePrefix="0" xfId="0">
      <alignment horizontal="left"/>
    </xf>
    <xf numFmtId="0" fontId="134" fillId="77" borderId="5" applyAlignment="1" pivotButton="0" quotePrefix="0" xfId="3">
      <alignment horizontal="left"/>
    </xf>
    <xf numFmtId="0" fontId="135" fillId="14" borderId="5" applyAlignment="1" pivotButton="0" quotePrefix="0" xfId="3">
      <alignment horizontal="left"/>
    </xf>
    <xf numFmtId="0" fontId="134" fillId="25" borderId="5" applyAlignment="1" pivotButton="0" quotePrefix="0" xfId="0">
      <alignment horizontal="left"/>
    </xf>
    <xf numFmtId="0" fontId="134" fillId="14" borderId="14" applyAlignment="1" pivotButton="0" quotePrefix="0" xfId="0">
      <alignment horizontal="left"/>
    </xf>
    <xf numFmtId="0" fontId="141" fillId="70" borderId="5" pivotButton="0" quotePrefix="0" xfId="13"/>
    <xf numFmtId="0" fontId="132" fillId="6" borderId="5" applyAlignment="1" pivotButton="0" quotePrefix="0" xfId="6">
      <alignment horizontal="center"/>
    </xf>
    <xf numFmtId="0" fontId="134" fillId="14" borderId="5" applyAlignment="1" pivotButton="0" quotePrefix="0" xfId="0">
      <alignment horizontal="left"/>
    </xf>
    <xf numFmtId="0" fontId="134" fillId="14" borderId="5" applyAlignment="1" pivotButton="0" quotePrefix="0" xfId="0">
      <alignment horizontal="center"/>
    </xf>
    <xf numFmtId="0" fontId="134" fillId="14" borderId="13" applyAlignment="1" pivotButton="0" quotePrefix="0" xfId="0">
      <alignment horizontal="left"/>
    </xf>
    <xf numFmtId="0" fontId="132" fillId="14" borderId="16" applyAlignment="1" pivotButton="0" quotePrefix="0" xfId="0">
      <alignment horizontal="left"/>
    </xf>
    <xf numFmtId="0" fontId="132" fillId="14" borderId="13" applyAlignment="1" pivotButton="0" quotePrefix="0" xfId="0">
      <alignment horizontal="left"/>
    </xf>
    <xf numFmtId="0" fontId="134" fillId="0" borderId="10" applyAlignment="1" pivotButton="0" quotePrefix="0" xfId="0">
      <alignment horizontal="left"/>
    </xf>
    <xf numFmtId="0" fontId="134" fillId="0" borderId="16" applyAlignment="1" pivotButton="0" quotePrefix="0" xfId="0">
      <alignment horizontal="left"/>
    </xf>
    <xf numFmtId="0" fontId="134" fillId="0" borderId="8" applyAlignment="1" pivotButton="0" quotePrefix="0" xfId="0">
      <alignment horizontal="left"/>
    </xf>
    <xf numFmtId="0" fontId="132" fillId="78" borderId="5" applyAlignment="1" pivotButton="0" quotePrefix="0" xfId="0">
      <alignment horizontal="left"/>
    </xf>
    <xf numFmtId="0" fontId="132" fillId="0" borderId="10" applyAlignment="1" pivotButton="0" quotePrefix="0" xfId="0">
      <alignment horizontal="left"/>
    </xf>
    <xf numFmtId="0" fontId="132" fillId="0" borderId="16" applyAlignment="1" pivotButton="0" quotePrefix="0" xfId="0">
      <alignment horizontal="left"/>
    </xf>
    <xf numFmtId="0" fontId="132" fillId="77" borderId="16" applyAlignment="1" pivotButton="0" quotePrefix="0" xfId="0">
      <alignment horizontal="left"/>
    </xf>
    <xf numFmtId="0" fontId="132" fillId="0" borderId="8" applyAlignment="1" pivotButton="0" quotePrefix="0" xfId="0">
      <alignment horizontal="left"/>
    </xf>
    <xf numFmtId="0" fontId="132" fillId="78" borderId="7" applyAlignment="1" pivotButton="0" quotePrefix="0" xfId="0">
      <alignment horizontal="left"/>
    </xf>
    <xf numFmtId="0" fontId="134" fillId="0" borderId="0" pivotButton="0" quotePrefix="0" xfId="0"/>
    <xf numFmtId="0" fontId="134" fillId="0" borderId="10" pivotButton="0" quotePrefix="0" xfId="0"/>
    <xf numFmtId="0" fontId="134" fillId="0" borderId="16" pivotButton="0" quotePrefix="0" xfId="0"/>
    <xf numFmtId="0" fontId="134" fillId="0" borderId="8" pivotButton="0" quotePrefix="0" xfId="0"/>
    <xf numFmtId="0" fontId="132" fillId="0" borderId="5" pivotButton="0" quotePrefix="0" xfId="0"/>
    <xf numFmtId="0" fontId="134" fillId="22" borderId="5" applyAlignment="1" pivotButton="0" quotePrefix="0" xfId="0">
      <alignment horizontal="left"/>
    </xf>
    <xf numFmtId="0" fontId="134" fillId="24" borderId="5" applyAlignment="1" pivotButton="0" quotePrefix="0" xfId="0">
      <alignment horizontal="left"/>
    </xf>
    <xf numFmtId="0" fontId="134" fillId="82" borderId="5" applyAlignment="1" pivotButton="0" quotePrefix="0" xfId="0">
      <alignment horizontal="left"/>
    </xf>
    <xf numFmtId="0" fontId="134" fillId="22" borderId="1" applyAlignment="1" pivotButton="0" quotePrefix="0" xfId="4">
      <alignment horizontal="left"/>
    </xf>
    <xf numFmtId="0" fontId="134" fillId="0" borderId="5" applyAlignment="1" pivotButton="0" quotePrefix="0" xfId="0">
      <alignment horizontal="left"/>
    </xf>
    <xf numFmtId="0" fontId="134" fillId="81" borderId="5" applyAlignment="1" pivotButton="0" quotePrefix="0" xfId="18">
      <alignment horizontal="left"/>
    </xf>
    <xf numFmtId="0" fontId="136" fillId="4" borderId="1" applyAlignment="1" pivotButton="0" quotePrefix="0" xfId="4">
      <alignment horizontal="left"/>
    </xf>
    <xf numFmtId="0" fontId="132" fillId="4" borderId="1" applyAlignment="1" pivotButton="0" quotePrefix="0" xfId="4">
      <alignment horizontal="left"/>
    </xf>
    <xf numFmtId="0" fontId="134" fillId="20" borderId="5" applyAlignment="1" pivotButton="0" quotePrefix="0" xfId="0">
      <alignment horizontal="left"/>
    </xf>
    <xf numFmtId="168" fontId="134" fillId="0" borderId="5" applyAlignment="1" pivotButton="0" quotePrefix="0" xfId="0">
      <alignment horizontal="left"/>
    </xf>
    <xf numFmtId="0" fontId="134" fillId="0" borderId="14" applyAlignment="1" pivotButton="0" quotePrefix="0" xfId="0">
      <alignment horizontal="left"/>
    </xf>
    <xf numFmtId="168" fontId="134" fillId="0" borderId="13" applyAlignment="1" pivotButton="0" quotePrefix="0" xfId="0">
      <alignment horizontal="left"/>
    </xf>
    <xf numFmtId="0" fontId="134" fillId="0" borderId="5" applyAlignment="1" pivotButton="0" quotePrefix="0" xfId="4">
      <alignment horizontal="left"/>
    </xf>
    <xf numFmtId="164" fontId="134" fillId="0" borderId="5" applyAlignment="1" pivotButton="0" quotePrefix="0" xfId="13">
      <alignment horizontal="left"/>
    </xf>
    <xf numFmtId="164" fontId="135" fillId="77" borderId="5" applyAlignment="1" pivotButton="0" quotePrefix="0" xfId="3">
      <alignment horizontal="left"/>
    </xf>
    <xf numFmtId="0" fontId="134" fillId="0" borderId="13" applyAlignment="1" pivotButton="0" quotePrefix="0" xfId="0">
      <alignment horizontal="left"/>
    </xf>
    <xf numFmtId="9" fontId="134" fillId="0" borderId="13" applyAlignment="1" pivotButton="0" quotePrefix="0" xfId="1">
      <alignment horizontal="left"/>
    </xf>
    <xf numFmtId="0" fontId="134" fillId="0" borderId="5" pivotButton="0" quotePrefix="0" xfId="0"/>
    <xf numFmtId="0" fontId="136" fillId="4" borderId="1" applyAlignment="1" pivotButton="0" quotePrefix="0" xfId="4">
      <alignment horizontal="center"/>
    </xf>
    <xf numFmtId="0" fontId="136" fillId="0" borderId="1" pivotButton="0" quotePrefix="0" xfId="4"/>
    <xf numFmtId="0" fontId="134" fillId="0" borderId="13" pivotButton="0" quotePrefix="0" xfId="0"/>
    <xf numFmtId="0" fontId="136" fillId="0" borderId="1" applyAlignment="1" pivotButton="0" quotePrefix="0" xfId="4">
      <alignment horizontal="left"/>
    </xf>
    <xf numFmtId="0" fontId="134" fillId="0" borderId="1" applyAlignment="1" pivotButton="0" quotePrefix="0" xfId="0">
      <alignment horizontal="left"/>
    </xf>
    <xf numFmtId="0" fontId="136" fillId="4" borderId="5" pivotButton="0" quotePrefix="0" xfId="4"/>
    <xf numFmtId="0" fontId="134" fillId="22" borderId="5" pivotButton="0" quotePrefix="0" xfId="0"/>
    <xf numFmtId="0" fontId="136" fillId="0" borderId="5" applyAlignment="1" pivotButton="0" quotePrefix="0" xfId="4">
      <alignment horizontal="left"/>
    </xf>
    <xf numFmtId="0" fontId="137" fillId="2" borderId="5" pivotButton="0" quotePrefix="0" xfId="2"/>
    <xf numFmtId="0" fontId="134" fillId="21" borderId="5" pivotButton="0" quotePrefix="0" xfId="0"/>
    <xf numFmtId="0" fontId="139" fillId="22" borderId="5" applyAlignment="1" pivotButton="0" quotePrefix="0" xfId="0">
      <alignment horizontal="left"/>
    </xf>
    <xf numFmtId="0" fontId="134" fillId="0" borderId="1" applyAlignment="1" pivotButton="0" quotePrefix="0" xfId="0">
      <alignment horizontal="center"/>
    </xf>
    <xf numFmtId="164" fontId="134" fillId="77" borderId="5" applyAlignment="1" pivotButton="0" quotePrefix="0" xfId="13">
      <alignment horizontal="left"/>
    </xf>
    <xf numFmtId="0" fontId="134" fillId="0" borderId="11" applyAlignment="1" pivotButton="0" quotePrefix="0" xfId="0">
      <alignment horizontal="left"/>
    </xf>
    <xf numFmtId="0" fontId="134" fillId="0" borderId="12" applyAlignment="1" pivotButton="0" quotePrefix="0" xfId="0">
      <alignment horizontal="left"/>
    </xf>
    <xf numFmtId="0" fontId="134" fillId="0" borderId="12" pivotButton="0" quotePrefix="0" xfId="0"/>
    <xf numFmtId="164" fontId="134" fillId="0" borderId="12" applyAlignment="1" pivotButton="0" quotePrefix="0" xfId="13">
      <alignment horizontal="left"/>
    </xf>
    <xf numFmtId="164" fontId="134" fillId="77" borderId="12" applyAlignment="1" pivotButton="0" quotePrefix="0" xfId="13">
      <alignment horizontal="left"/>
    </xf>
    <xf numFmtId="0" fontId="134" fillId="0" borderId="15" applyAlignment="1" pivotButton="0" quotePrefix="0" xfId="0">
      <alignment horizontal="left"/>
    </xf>
    <xf numFmtId="9" fontId="134" fillId="0" borderId="15" applyAlignment="1" pivotButton="0" quotePrefix="0" xfId="1">
      <alignment horizontal="left"/>
    </xf>
    <xf numFmtId="0" fontId="134" fillId="25" borderId="5" pivotButton="0" quotePrefix="0" xfId="0"/>
    <xf numFmtId="0" fontId="134" fillId="14" borderId="5" applyAlignment="1" pivotButton="0" quotePrefix="0" xfId="4">
      <alignment horizontal="left"/>
    </xf>
    <xf numFmtId="0" fontId="132" fillId="0" borderId="0" pivotButton="0" quotePrefix="0" xfId="0"/>
    <xf numFmtId="0" fontId="136" fillId="4" borderId="1" pivotButton="0" quotePrefix="0" xfId="4"/>
    <xf numFmtId="0" fontId="134" fillId="0" borderId="14" pivotButton="0" quotePrefix="0" xfId="0"/>
    <xf numFmtId="168" fontId="136" fillId="0" borderId="5" applyAlignment="1" pivotButton="0" quotePrefix="0" xfId="4">
      <alignment horizontal="left"/>
    </xf>
    <xf numFmtId="0" fontId="136" fillId="0" borderId="5" applyAlignment="1" pivotButton="0" quotePrefix="0" xfId="4">
      <alignment horizontal="center"/>
    </xf>
    <xf numFmtId="0" fontId="134" fillId="0" borderId="5" applyAlignment="1" pivotButton="0" quotePrefix="0" xfId="0">
      <alignment horizontal="center"/>
    </xf>
    <xf numFmtId="0" fontId="134" fillId="0" borderId="11" pivotButton="0" quotePrefix="0" xfId="0"/>
    <xf numFmtId="0" fontId="142" fillId="0" borderId="0" pivotButton="0" quotePrefix="0" xfId="0"/>
    <xf numFmtId="0" fontId="134" fillId="0" borderId="0" applyAlignment="1" pivotButton="0" quotePrefix="0" xfId="0">
      <alignment horizontal="left"/>
    </xf>
    <xf numFmtId="0" fontId="143" fillId="92" borderId="5" applyAlignment="1" pivotButton="0" quotePrefix="0" xfId="0">
      <alignment horizontal="center" vertical="center"/>
    </xf>
    <xf numFmtId="164" fontId="143" fillId="92" borderId="5" applyAlignment="1" pivotButton="0" quotePrefix="0" xfId="6">
      <alignment horizontal="center" vertical="center"/>
    </xf>
    <xf numFmtId="1" fontId="143" fillId="92" borderId="5" applyAlignment="1" pivotButton="0" quotePrefix="0" xfId="0">
      <alignment horizontal="center" vertical="center"/>
    </xf>
    <xf numFmtId="0" fontId="143" fillId="92" borderId="0" applyAlignment="1" pivotButton="0" quotePrefix="0" xfId="0">
      <alignment horizontal="center" vertical="center"/>
    </xf>
    <xf numFmtId="14" fontId="143" fillId="92" borderId="5" applyAlignment="1" pivotButton="0" quotePrefix="0" xfId="4">
      <alignment horizontal="center" vertical="center"/>
    </xf>
    <xf numFmtId="173" fontId="143" fillId="92" borderId="1" applyAlignment="1" pivotButton="0" quotePrefix="0" xfId="4">
      <alignment horizontal="center" vertical="center"/>
    </xf>
    <xf numFmtId="173" fontId="143" fillId="92" borderId="5" applyAlignment="1" pivotButton="0" quotePrefix="0" xfId="0">
      <alignment horizontal="center" vertical="center"/>
    </xf>
    <xf numFmtId="0" fontId="144" fillId="101" borderId="5" applyAlignment="1" pivotButton="0" quotePrefix="0" xfId="0">
      <alignment horizontal="center" vertical="center"/>
    </xf>
    <xf numFmtId="164" fontId="144" fillId="101" borderId="5" applyAlignment="1" pivotButton="0" quotePrefix="0" xfId="6">
      <alignment horizontal="center" vertical="center"/>
    </xf>
    <xf numFmtId="1" fontId="144" fillId="101" borderId="5" applyAlignment="1" pivotButton="0" quotePrefix="0" xfId="0">
      <alignment horizontal="center" vertical="center"/>
    </xf>
    <xf numFmtId="0" fontId="144" fillId="101" borderId="8" applyAlignment="1" pivotButton="0" quotePrefix="0" xfId="0">
      <alignment horizontal="center" vertical="center"/>
    </xf>
    <xf numFmtId="0" fontId="144" fillId="101" borderId="10" applyAlignment="1" pivotButton="0" quotePrefix="0" xfId="6">
      <alignment horizontal="center" vertical="center"/>
    </xf>
    <xf numFmtId="0" fontId="144" fillId="101" borderId="16" applyAlignment="1" pivotButton="0" quotePrefix="0" xfId="6">
      <alignment horizontal="center" vertical="center"/>
    </xf>
    <xf numFmtId="0" fontId="144" fillId="101" borderId="16" applyAlignment="1" pivotButton="0" quotePrefix="0" xfId="0">
      <alignment horizontal="center" vertical="center"/>
    </xf>
    <xf numFmtId="0" fontId="144" fillId="101" borderId="8" applyAlignment="1" pivotButton="0" quotePrefix="0" xfId="6">
      <alignment horizontal="center" vertical="center"/>
    </xf>
    <xf numFmtId="0" fontId="144" fillId="101" borderId="0" applyAlignment="1" pivotButton="0" quotePrefix="0" xfId="0">
      <alignment horizontal="center" vertical="center"/>
    </xf>
    <xf numFmtId="0" fontId="144" fillId="101" borderId="14" applyAlignment="1" pivotButton="0" quotePrefix="0" xfId="8">
      <alignment horizontal="center" vertical="center"/>
    </xf>
    <xf numFmtId="0" fontId="144" fillId="101" borderId="5" applyAlignment="1" pivotButton="0" quotePrefix="0" xfId="8">
      <alignment horizontal="center" vertical="center"/>
    </xf>
    <xf numFmtId="0" fontId="144" fillId="101" borderId="0" applyAlignment="1" pivotButton="0" quotePrefix="0" xfId="3">
      <alignment horizontal="center" vertical="center"/>
    </xf>
    <xf numFmtId="0" fontId="144" fillId="102" borderId="5" applyAlignment="1" pivotButton="0" quotePrefix="0" xfId="0">
      <alignment horizontal="center" vertical="center"/>
    </xf>
    <xf numFmtId="0" fontId="144" fillId="102" borderId="5" applyAlignment="1" pivotButton="0" quotePrefix="0" xfId="6">
      <alignment horizontal="center" vertical="center"/>
    </xf>
    <xf numFmtId="9" fontId="144" fillId="102" borderId="5" applyAlignment="1" pivotButton="0" quotePrefix="0" xfId="1">
      <alignment horizontal="center" vertical="center"/>
    </xf>
    <xf numFmtId="0" fontId="144" fillId="102" borderId="8" applyAlignment="1" pivotButton="0" quotePrefix="0" xfId="0">
      <alignment horizontal="center" vertical="center"/>
    </xf>
    <xf numFmtId="0" fontId="144" fillId="102" borderId="14" applyAlignment="1" pivotButton="0" quotePrefix="0" xfId="0">
      <alignment horizontal="center" vertical="center"/>
    </xf>
    <xf numFmtId="164" fontId="144" fillId="102" borderId="5" applyAlignment="1" pivotButton="0" quotePrefix="0" xfId="0">
      <alignment horizontal="center" vertical="center"/>
    </xf>
    <xf numFmtId="172" fontId="144" fillId="102" borderId="5" applyAlignment="1" pivotButton="0" quotePrefix="0" xfId="0">
      <alignment horizontal="center" vertical="center"/>
    </xf>
    <xf numFmtId="0" fontId="144" fillId="102" borderId="13" applyAlignment="1" pivotButton="0" quotePrefix="0" xfId="0">
      <alignment horizontal="center" vertical="center"/>
    </xf>
    <xf numFmtId="9" fontId="144" fillId="102" borderId="8" applyAlignment="1" pivotButton="0" quotePrefix="0" xfId="1">
      <alignment horizontal="center" vertical="center"/>
    </xf>
    <xf numFmtId="0" fontId="144" fillId="102" borderId="0" applyAlignment="1" pivotButton="0" quotePrefix="0" xfId="0">
      <alignment horizontal="center" vertical="center"/>
    </xf>
    <xf numFmtId="0" fontId="144" fillId="102" borderId="14" applyAlignment="1" pivotButton="0" quotePrefix="0" xfId="14">
      <alignment horizontal="center" vertical="center"/>
    </xf>
    <xf numFmtId="172" fontId="144" fillId="102" borderId="5" applyAlignment="1" pivotButton="0" quotePrefix="0" xfId="14">
      <alignment horizontal="center" vertical="center"/>
    </xf>
    <xf numFmtId="0" fontId="144" fillId="102" borderId="5" applyAlignment="1" pivotButton="0" quotePrefix="0" xfId="14">
      <alignment horizontal="center" vertical="center"/>
    </xf>
    <xf numFmtId="0" fontId="144" fillId="102" borderId="0" applyAlignment="1" pivotButton="0" quotePrefix="1" xfId="0">
      <alignment horizontal="center" vertical="center"/>
    </xf>
    <xf numFmtId="0" fontId="144" fillId="102" borderId="0" applyAlignment="1" pivotButton="0" quotePrefix="0" xfId="3">
      <alignment horizontal="center" vertical="center"/>
    </xf>
    <xf numFmtId="171" fontId="144" fillId="102" borderId="14" applyAlignment="1" pivotButton="0" quotePrefix="0" xfId="1">
      <alignment horizontal="center" vertical="center"/>
    </xf>
    <xf numFmtId="9" fontId="144" fillId="102" borderId="14" applyAlignment="1" pivotButton="0" quotePrefix="0" xfId="1">
      <alignment horizontal="center" vertical="center"/>
    </xf>
    <xf numFmtId="0" fontId="144" fillId="102" borderId="14" applyAlignment="1" pivotButton="0" quotePrefix="0" xfId="10">
      <alignment horizontal="center" vertical="center"/>
    </xf>
    <xf numFmtId="164" fontId="144" fillId="102" borderId="12" applyAlignment="1" pivotButton="0" quotePrefix="0" xfId="0">
      <alignment horizontal="center" vertical="center"/>
    </xf>
    <xf numFmtId="0" fontId="144" fillId="102" borderId="5" applyAlignment="1" pivotButton="0" quotePrefix="0" xfId="10">
      <alignment horizontal="center" vertical="center"/>
    </xf>
    <xf numFmtId="16" fontId="144" fillId="102" borderId="0" applyAlignment="1" pivotButton="0" quotePrefix="0" xfId="0">
      <alignment horizontal="center" vertical="center"/>
    </xf>
    <xf numFmtId="169" fontId="144" fillId="102" borderId="14" applyAlignment="1" pivotButton="0" quotePrefix="0" xfId="0">
      <alignment horizontal="center" vertical="center"/>
    </xf>
    <xf numFmtId="169" fontId="144" fillId="102" borderId="5" applyAlignment="1" pivotButton="0" quotePrefix="0" xfId="0">
      <alignment horizontal="center" vertical="center"/>
    </xf>
    <xf numFmtId="1" fontId="133" fillId="99" borderId="65" applyAlignment="1" pivotButton="0" quotePrefix="0" xfId="0">
      <alignment horizontal="center" vertical="center"/>
    </xf>
    <xf numFmtId="0" fontId="133" fillId="99" borderId="65" applyAlignment="1" pivotButton="0" quotePrefix="0" xfId="10">
      <alignment horizontal="center" vertical="center"/>
    </xf>
    <xf numFmtId="164" fontId="133" fillId="99" borderId="65" applyAlignment="1" pivotButton="0" quotePrefix="0" xfId="0">
      <alignment horizontal="center" vertical="center"/>
    </xf>
    <xf numFmtId="172" fontId="133" fillId="99" borderId="65" applyAlignment="1" pivotButton="0" quotePrefix="0" xfId="0">
      <alignment horizontal="center" vertical="center"/>
    </xf>
    <xf numFmtId="9" fontId="133" fillId="99" borderId="65" applyAlignment="1" pivotButton="0" quotePrefix="0" xfId="1">
      <alignment horizontal="center" vertical="center"/>
    </xf>
    <xf numFmtId="0" fontId="133" fillId="99" borderId="65" applyAlignment="1" pivotButton="0" quotePrefix="0" xfId="15">
      <alignment horizontal="center" vertical="center"/>
    </xf>
    <xf numFmtId="172" fontId="133" fillId="99" borderId="65" applyAlignment="1" pivotButton="0" quotePrefix="0" xfId="15">
      <alignment horizontal="center" vertical="center"/>
    </xf>
    <xf numFmtId="0" fontId="133" fillId="99" borderId="65" applyAlignment="1" pivotButton="0" quotePrefix="0" xfId="3">
      <alignment horizontal="center" vertical="center"/>
    </xf>
    <xf numFmtId="16" fontId="133" fillId="99" borderId="65" applyAlignment="1" pivotButton="0" quotePrefix="0" xfId="0">
      <alignment horizontal="center" vertical="center"/>
    </xf>
    <xf numFmtId="0" fontId="144" fillId="103" borderId="5" applyAlignment="1" pivotButton="0" quotePrefix="0" xfId="0">
      <alignment horizontal="center" vertical="center"/>
    </xf>
    <xf numFmtId="0" fontId="144" fillId="14" borderId="5" applyAlignment="1" pivotButton="0" quotePrefix="0" xfId="0">
      <alignment horizontal="center" vertical="center"/>
    </xf>
    <xf numFmtId="0" fontId="144" fillId="23" borderId="5" applyAlignment="1" pivotButton="0" quotePrefix="0" xfId="0">
      <alignment horizontal="center" vertical="center"/>
    </xf>
    <xf numFmtId="1" fontId="144" fillId="23" borderId="5" applyAlignment="1" pivotButton="0" quotePrefix="0" xfId="0">
      <alignment horizontal="center" vertical="center"/>
    </xf>
    <xf numFmtId="1" fontId="144" fillId="14" borderId="5" applyAlignment="1" pivotButton="0" quotePrefix="0" xfId="0">
      <alignment horizontal="center" vertical="center"/>
    </xf>
    <xf numFmtId="0" fontId="144" fillId="14" borderId="8" applyAlignment="1" pivotButton="0" quotePrefix="0" xfId="0">
      <alignment horizontal="center" vertical="center"/>
    </xf>
    <xf numFmtId="0" fontId="144" fillId="11" borderId="14" applyAlignment="1" pivotButton="0" quotePrefix="0" xfId="10">
      <alignment horizontal="center" vertical="center"/>
    </xf>
    <xf numFmtId="0" fontId="144" fillId="0" borderId="5" applyAlignment="1" pivotButton="0" quotePrefix="0" xfId="0">
      <alignment horizontal="center" vertical="center"/>
    </xf>
    <xf numFmtId="164" fontId="144" fillId="24" borderId="5" applyAlignment="1" pivotButton="0" quotePrefix="0" xfId="0">
      <alignment horizontal="center" vertical="center"/>
    </xf>
    <xf numFmtId="164" fontId="144" fillId="22" borderId="12" applyAlignment="1" pivotButton="0" quotePrefix="0" xfId="0">
      <alignment horizontal="center" vertical="center"/>
    </xf>
    <xf numFmtId="172" fontId="144" fillId="0" borderId="5" applyAlignment="1" pivotButton="0" quotePrefix="0" xfId="0">
      <alignment horizontal="center" vertical="center"/>
    </xf>
    <xf numFmtId="0" fontId="144" fillId="0" borderId="13" applyAlignment="1" pivotButton="0" quotePrefix="0" xfId="0">
      <alignment horizontal="center" vertical="center"/>
    </xf>
    <xf numFmtId="9" fontId="144" fillId="14" borderId="8" applyAlignment="1" pivotButton="0" quotePrefix="0" xfId="1">
      <alignment horizontal="center" vertical="center"/>
    </xf>
    <xf numFmtId="0" fontId="144" fillId="11" borderId="5" applyAlignment="1" pivotButton="0" quotePrefix="0" xfId="10">
      <alignment horizontal="center" vertical="center"/>
    </xf>
    <xf numFmtId="1" fontId="144" fillId="0" borderId="5" applyAlignment="1" pivotButton="0" quotePrefix="0" xfId="0">
      <alignment horizontal="center" vertical="center"/>
    </xf>
    <xf numFmtId="0" fontId="144" fillId="14" borderId="0" applyAlignment="1" pivotButton="0" quotePrefix="0" xfId="0">
      <alignment horizontal="center" vertical="center"/>
    </xf>
    <xf numFmtId="0" fontId="144" fillId="0" borderId="0" applyAlignment="1" pivotButton="0" quotePrefix="0" xfId="0">
      <alignment horizontal="center" vertical="center"/>
    </xf>
    <xf numFmtId="0" fontId="144" fillId="3" borderId="0" applyAlignment="1" pivotButton="0" quotePrefix="0" xfId="3">
      <alignment horizontal="center" vertical="center"/>
    </xf>
    <xf numFmtId="16" fontId="144" fillId="0" borderId="0" applyAlignment="1" pivotButton="0" quotePrefix="0" xfId="0">
      <alignment horizontal="center" vertical="center"/>
    </xf>
    <xf numFmtId="0" fontId="144" fillId="104" borderId="5" applyAlignment="1" pivotButton="0" quotePrefix="0" xfId="0">
      <alignment horizontal="center" vertical="center"/>
    </xf>
    <xf numFmtId="0" fontId="133" fillId="104" borderId="5" applyAlignment="1" pivotButton="0" quotePrefix="0" xfId="0">
      <alignment horizontal="center" vertical="center"/>
    </xf>
    <xf numFmtId="1" fontId="133" fillId="104" borderId="5" applyAlignment="1" pivotButton="0" quotePrefix="0" xfId="0">
      <alignment horizontal="center" vertical="center"/>
    </xf>
    <xf numFmtId="0" fontId="133" fillId="91" borderId="5" applyAlignment="1" pivotButton="0" quotePrefix="0" xfId="6">
      <alignment horizontal="center" vertical="center"/>
    </xf>
    <xf numFmtId="1" fontId="133" fillId="19" borderId="5" applyAlignment="1" pivotButton="0" quotePrefix="0" xfId="0">
      <alignment horizontal="center" vertical="center"/>
    </xf>
    <xf numFmtId="9" fontId="144" fillId="14" borderId="5" applyAlignment="1" pivotButton="0" quotePrefix="0" xfId="1">
      <alignment horizontal="center" vertical="center"/>
    </xf>
    <xf numFmtId="0" fontId="133" fillId="103" borderId="5" applyAlignment="1" pivotButton="0" quotePrefix="0" xfId="0">
      <alignment horizontal="center" vertical="center"/>
    </xf>
    <xf numFmtId="1" fontId="133" fillId="103" borderId="5" applyAlignment="1" pivotButton="0" quotePrefix="0" xfId="0">
      <alignment horizontal="center" vertical="center"/>
    </xf>
    <xf numFmtId="171" fontId="144" fillId="14" borderId="5" applyAlignment="1" pivotButton="0" quotePrefix="0" xfId="1">
      <alignment horizontal="center" vertical="center"/>
    </xf>
    <xf numFmtId="0" fontId="144" fillId="11" borderId="11" applyAlignment="1" pivotButton="0" quotePrefix="0" xfId="10">
      <alignment horizontal="center" vertical="center"/>
    </xf>
    <xf numFmtId="164" fontId="144" fillId="24" borderId="12" applyAlignment="1" pivotButton="0" quotePrefix="0" xfId="0">
      <alignment horizontal="center" vertical="center"/>
    </xf>
    <xf numFmtId="172" fontId="144" fillId="0" borderId="12" applyAlignment="1" pivotButton="0" quotePrefix="0" xfId="0">
      <alignment horizontal="center" vertical="center"/>
    </xf>
    <xf numFmtId="0" fontId="133" fillId="14" borderId="5" applyAlignment="1" pivotButton="0" quotePrefix="0" xfId="0">
      <alignment horizontal="center" vertical="center"/>
    </xf>
    <xf numFmtId="0" fontId="133" fillId="14" borderId="16" applyAlignment="1" pivotButton="0" quotePrefix="0" xfId="6">
      <alignment horizontal="center" vertical="center"/>
    </xf>
    <xf numFmtId="0" fontId="133" fillId="0" borderId="10" applyAlignment="1" pivotButton="0" quotePrefix="0" xfId="6">
      <alignment horizontal="center" vertical="center"/>
    </xf>
    <xf numFmtId="0" fontId="133" fillId="0" borderId="16" applyAlignment="1" pivotButton="0" quotePrefix="0" xfId="6">
      <alignment horizontal="center" vertical="center"/>
    </xf>
    <xf numFmtId="0" fontId="144" fillId="0" borderId="16" applyAlignment="1" pivotButton="0" quotePrefix="0" xfId="0">
      <alignment horizontal="center" vertical="center"/>
    </xf>
    <xf numFmtId="14" fontId="144" fillId="4" borderId="5" applyAlignment="1" pivotButton="0" quotePrefix="0" xfId="4">
      <alignment horizontal="center" vertical="center"/>
    </xf>
    <xf numFmtId="173" fontId="144" fillId="14" borderId="5" applyAlignment="1" pivotButton="0" quotePrefix="0" xfId="0">
      <alignment horizontal="center" vertical="center"/>
    </xf>
    <xf numFmtId="0" fontId="133" fillId="5" borderId="5" applyAlignment="1" pivotButton="0" quotePrefix="0" xfId="5">
      <alignment horizontal="center" vertical="center"/>
    </xf>
    <xf numFmtId="2" fontId="133" fillId="104" borderId="5" applyAlignment="1" pivotButton="0" quotePrefix="0" xfId="0">
      <alignment horizontal="center" vertical="center"/>
    </xf>
    <xf numFmtId="0" fontId="144" fillId="0" borderId="14" applyAlignment="1" pivotButton="0" quotePrefix="0" xfId="0">
      <alignment horizontal="center" vertical="center"/>
    </xf>
    <xf numFmtId="164" fontId="144" fillId="22" borderId="5" applyAlignment="1" pivotButton="0" quotePrefix="0" xfId="0">
      <alignment horizontal="center" vertical="center"/>
    </xf>
    <xf numFmtId="174" fontId="144" fillId="0" borderId="5" applyAlignment="1" pivotButton="0" quotePrefix="0" xfId="0">
      <alignment horizontal="center" vertical="center"/>
    </xf>
    <xf numFmtId="0" fontId="133" fillId="14" borderId="13" applyAlignment="1" pivotButton="0" quotePrefix="0" xfId="0">
      <alignment horizontal="center" vertical="center"/>
    </xf>
    <xf numFmtId="0" fontId="144" fillId="89" borderId="5" applyAlignment="1" pivotButton="0" quotePrefix="0" xfId="0">
      <alignment horizontal="center" vertical="center"/>
    </xf>
    <xf numFmtId="169" fontId="144" fillId="0" borderId="5" applyAlignment="1" pivotButton="0" quotePrefix="0" xfId="0">
      <alignment horizontal="center" vertical="center"/>
    </xf>
    <xf numFmtId="0" fontId="133" fillId="0" borderId="5" applyAlignment="1" pivotButton="0" quotePrefix="0" xfId="0">
      <alignment horizontal="center" vertical="center"/>
    </xf>
    <xf numFmtId="0" fontId="144" fillId="19" borderId="5" applyAlignment="1" pivotButton="0" quotePrefix="0" xfId="0">
      <alignment horizontal="center" vertical="center"/>
    </xf>
    <xf numFmtId="0" fontId="133" fillId="85" borderId="5" applyAlignment="1" pivotButton="0" quotePrefix="0" xfId="0">
      <alignment horizontal="center" vertical="center"/>
    </xf>
    <xf numFmtId="0" fontId="133" fillId="11" borderId="5" applyAlignment="1" pivotButton="0" quotePrefix="0" xfId="10">
      <alignment horizontal="center" vertical="center"/>
    </xf>
    <xf numFmtId="0" fontId="133" fillId="14" borderId="17" applyAlignment="1" pivotButton="0" quotePrefix="0" xfId="0">
      <alignment horizontal="center" vertical="center"/>
    </xf>
    <xf numFmtId="1" fontId="144" fillId="103" borderId="5" applyAlignment="1" pivotButton="0" quotePrefix="0" xfId="0">
      <alignment horizontal="center" vertical="center"/>
    </xf>
    <xf numFmtId="0" fontId="144" fillId="6" borderId="5" applyAlignment="1" pivotButton="0" quotePrefix="0" xfId="6">
      <alignment horizontal="center" vertical="center"/>
    </xf>
    <xf numFmtId="1" fontId="144" fillId="19" borderId="5" applyAlignment="1" pivotButton="0" quotePrefix="0" xfId="0">
      <alignment horizontal="center" vertical="center"/>
    </xf>
    <xf numFmtId="0" fontId="133" fillId="0" borderId="14" applyAlignment="1" pivotButton="0" quotePrefix="0" xfId="0">
      <alignment horizontal="center" vertical="center"/>
    </xf>
    <xf numFmtId="164" fontId="133" fillId="24" borderId="5" applyAlignment="1" pivotButton="0" quotePrefix="0" xfId="0">
      <alignment horizontal="center" vertical="center"/>
    </xf>
    <xf numFmtId="1" fontId="144" fillId="104" borderId="5" applyAlignment="1" pivotButton="0" quotePrefix="0" xfId="0">
      <alignment horizontal="center" vertical="center"/>
    </xf>
    <xf numFmtId="0" fontId="144" fillId="14" borderId="17" applyAlignment="1" pivotButton="0" quotePrefix="0" xfId="0">
      <alignment horizontal="center" vertical="center"/>
    </xf>
    <xf numFmtId="0" fontId="133" fillId="18" borderId="0" applyAlignment="1" pivotButton="0" quotePrefix="0" xfId="0">
      <alignment horizontal="center" vertical="center"/>
    </xf>
    <xf numFmtId="0" fontId="133" fillId="18" borderId="12" applyAlignment="1" pivotButton="0" quotePrefix="0" xfId="0">
      <alignment horizontal="center" vertical="center"/>
    </xf>
    <xf numFmtId="0" fontId="144" fillId="90" borderId="0" applyAlignment="1" pivotButton="0" quotePrefix="0" xfId="0">
      <alignment horizontal="center" vertical="center"/>
    </xf>
    <xf numFmtId="0" fontId="133" fillId="18" borderId="18" applyAlignment="1" pivotButton="0" quotePrefix="0" xfId="0">
      <alignment horizontal="center" vertical="center"/>
    </xf>
    <xf numFmtId="0" fontId="133" fillId="0" borderId="0" applyAlignment="1" pivotButton="0" quotePrefix="0" xfId="0">
      <alignment horizontal="center" vertical="center"/>
    </xf>
    <xf numFmtId="0" fontId="144" fillId="18" borderId="18" applyAlignment="1" pivotButton="0" quotePrefix="0" xfId="0">
      <alignment horizontal="center" vertical="center"/>
    </xf>
    <xf numFmtId="0" fontId="133" fillId="14" borderId="9" applyAlignment="1" pivotButton="0" quotePrefix="0" xfId="0">
      <alignment horizontal="center" vertical="center"/>
    </xf>
    <xf numFmtId="14" fontId="144" fillId="0" borderId="0" applyAlignment="1" pivotButton="0" quotePrefix="0" xfId="0">
      <alignment horizontal="center" vertical="center"/>
    </xf>
    <xf numFmtId="0" fontId="133" fillId="18" borderId="16" applyAlignment="1" pivotButton="0" quotePrefix="0" xfId="0">
      <alignment horizontal="center" vertical="center"/>
    </xf>
    <xf numFmtId="169" fontId="144" fillId="0" borderId="0" applyAlignment="1" pivotButton="0" quotePrefix="0" xfId="0">
      <alignment horizontal="center" vertical="center"/>
    </xf>
    <xf numFmtId="9" fontId="144" fillId="0" borderId="0" applyAlignment="1" pivotButton="0" quotePrefix="0" xfId="1">
      <alignment horizontal="center" vertical="center"/>
    </xf>
    <xf numFmtId="164" fontId="144" fillId="0" borderId="5" applyAlignment="1" pivotButton="0" quotePrefix="0" xfId="0">
      <alignment horizontal="center" vertical="center"/>
    </xf>
    <xf numFmtId="0" fontId="133" fillId="14" borderId="10" applyAlignment="1" pivotButton="0" quotePrefix="0" xfId="0">
      <alignment horizontal="center" vertical="center"/>
    </xf>
    <xf numFmtId="0" fontId="144" fillId="6" borderId="20" applyAlignment="1" pivotButton="0" quotePrefix="0" xfId="6">
      <alignment horizontal="center" vertical="center"/>
    </xf>
    <xf numFmtId="1" fontId="144" fillId="19" borderId="20" applyAlignment="1" pivotButton="0" quotePrefix="0" xfId="0">
      <alignment horizontal="center" vertical="center"/>
    </xf>
    <xf numFmtId="0" fontId="144" fillId="0" borderId="20" applyAlignment="1" pivotButton="0" quotePrefix="0" xfId="0">
      <alignment horizontal="center" vertical="center"/>
    </xf>
    <xf numFmtId="0" fontId="144" fillId="0" borderId="12" applyAlignment="1" pivotButton="0" quotePrefix="0" xfId="0">
      <alignment horizontal="center" vertical="center"/>
    </xf>
    <xf numFmtId="0" fontId="144" fillId="0" borderId="15" applyAlignment="1" pivotButton="0" quotePrefix="0" xfId="0">
      <alignment horizontal="center" vertical="center"/>
    </xf>
    <xf numFmtId="0" fontId="144" fillId="56" borderId="5" applyAlignment="1" pivotButton="0" quotePrefix="0" xfId="0">
      <alignment horizontal="center" vertical="center"/>
    </xf>
    <xf numFmtId="0" fontId="144" fillId="103" borderId="0" applyAlignment="1" pivotButton="0" quotePrefix="0" xfId="0">
      <alignment horizontal="center" vertical="center"/>
    </xf>
    <xf numFmtId="0" fontId="144" fillId="15" borderId="0" applyAlignment="1" pivotButton="0" quotePrefix="0" xfId="0">
      <alignment horizontal="center" vertical="center"/>
    </xf>
    <xf numFmtId="49" fontId="144" fillId="15" borderId="0" applyAlignment="1" pivotButton="0" quotePrefix="0" xfId="0">
      <alignment horizontal="center" vertical="center"/>
    </xf>
    <xf numFmtId="49" fontId="144" fillId="14" borderId="16" applyAlignment="1" pivotButton="0" quotePrefix="0" xfId="0">
      <alignment horizontal="center" vertical="center"/>
    </xf>
    <xf numFmtId="0" fontId="144" fillId="104" borderId="0" applyAlignment="1" pivotButton="0" quotePrefix="0" xfId="0">
      <alignment horizontal="center" vertical="center"/>
    </xf>
    <xf numFmtId="0" fontId="144" fillId="104" borderId="0" applyAlignment="1" pivotButton="0" quotePrefix="0" xfId="16">
      <alignment horizontal="center" vertical="center"/>
    </xf>
    <xf numFmtId="0" fontId="144" fillId="14" borderId="13" applyAlignment="1" pivotButton="0" quotePrefix="0" xfId="0">
      <alignment horizontal="center" vertical="center"/>
    </xf>
    <xf numFmtId="0" fontId="144" fillId="14" borderId="14" applyAlignment="1" pivotButton="0" quotePrefix="0" xfId="0">
      <alignment horizontal="center" vertical="center"/>
    </xf>
    <xf numFmtId="1" fontId="144" fillId="0" borderId="16" applyAlignment="1" pivotButton="0" quotePrefix="0" xfId="0">
      <alignment horizontal="center" vertical="center"/>
    </xf>
    <xf numFmtId="0" fontId="144" fillId="12" borderId="5" applyAlignment="1" pivotButton="0" quotePrefix="0" xfId="11">
      <alignment horizontal="center" vertical="center"/>
    </xf>
    <xf numFmtId="1" fontId="144" fillId="25" borderId="5" applyAlignment="1" pivotButton="0" quotePrefix="0" xfId="0">
      <alignment horizontal="center" vertical="center"/>
    </xf>
    <xf numFmtId="1" fontId="144" fillId="22" borderId="5" applyAlignment="1" pivotButton="0" quotePrefix="0" xfId="0">
      <alignment horizontal="center" vertical="center"/>
    </xf>
    <xf numFmtId="0" fontId="144" fillId="14" borderId="10" applyAlignment="1" pivotButton="0" quotePrefix="0" xfId="0">
      <alignment horizontal="center" vertical="center"/>
    </xf>
    <xf numFmtId="49" fontId="133" fillId="14" borderId="16" applyAlignment="1" pivotButton="0" quotePrefix="0" xfId="0">
      <alignment horizontal="center" vertical="center"/>
    </xf>
    <xf numFmtId="49" fontId="133" fillId="23" borderId="16" applyAlignment="1" pivotButton="0" quotePrefix="0" xfId="0">
      <alignment horizontal="center" vertical="center"/>
    </xf>
    <xf numFmtId="49" fontId="133" fillId="14" borderId="8" applyAlignment="1" pivotButton="0" quotePrefix="0" xfId="0">
      <alignment horizontal="center" vertical="center"/>
    </xf>
    <xf numFmtId="49" fontId="144" fillId="14" borderId="5" applyAlignment="1" pivotButton="0" quotePrefix="0" xfId="0">
      <alignment horizontal="center" vertical="center"/>
    </xf>
    <xf numFmtId="0" fontId="133" fillId="103" borderId="13" applyAlignment="1" pivotButton="0" quotePrefix="0" xfId="6">
      <alignment horizontal="center" vertical="center"/>
    </xf>
    <xf numFmtId="164" fontId="144" fillId="24" borderId="16" applyAlignment="1" pivotButton="0" quotePrefix="0" xfId="0">
      <alignment horizontal="center" vertical="center"/>
    </xf>
    <xf numFmtId="164" fontId="144" fillId="22" borderId="16" applyAlignment="1" pivotButton="0" quotePrefix="0" xfId="0">
      <alignment horizontal="center" vertical="center"/>
    </xf>
    <xf numFmtId="0" fontId="133" fillId="104" borderId="5" applyAlignment="1" pivotButton="0" quotePrefix="0" xfId="6">
      <alignment horizontal="center" vertical="center"/>
    </xf>
    <xf numFmtId="0" fontId="144" fillId="12" borderId="14" applyAlignment="1" pivotButton="0" quotePrefix="0" xfId="11">
      <alignment horizontal="center" vertical="center"/>
    </xf>
    <xf numFmtId="1" fontId="144" fillId="19" borderId="13" applyAlignment="1" pivotButton="0" quotePrefix="0" xfId="0">
      <alignment horizontal="center" vertical="center"/>
    </xf>
    <xf numFmtId="0" fontId="144" fillId="13" borderId="14" applyAlignment="1" pivotButton="0" quotePrefix="0" xfId="12">
      <alignment horizontal="center" vertical="center"/>
    </xf>
    <xf numFmtId="0" fontId="133" fillId="104" borderId="13" applyAlignment="1" pivotButton="0" quotePrefix="0" xfId="6">
      <alignment horizontal="center" vertical="center"/>
    </xf>
    <xf numFmtId="0" fontId="144" fillId="10" borderId="14" applyAlignment="1" pivotButton="0" quotePrefix="0" xfId="9">
      <alignment horizontal="center" vertical="center"/>
    </xf>
    <xf numFmtId="0" fontId="144" fillId="16" borderId="14" applyAlignment="1" pivotButton="0" quotePrefix="0" xfId="0">
      <alignment horizontal="center" vertical="center"/>
    </xf>
    <xf numFmtId="0" fontId="144" fillId="16" borderId="11" applyAlignment="1" pivotButton="0" quotePrefix="0" xfId="0">
      <alignment horizontal="center" vertical="center"/>
    </xf>
    <xf numFmtId="1" fontId="144" fillId="19" borderId="12" applyAlignment="1" pivotButton="0" quotePrefix="0" xfId="0">
      <alignment horizontal="center" vertical="center"/>
    </xf>
    <xf numFmtId="1" fontId="144" fillId="19" borderId="15" applyAlignment="1" pivotButton="0" quotePrefix="0" xfId="0">
      <alignment horizontal="center" vertical="center"/>
    </xf>
    <xf numFmtId="0" fontId="144" fillId="14" borderId="12" applyAlignment="1" pivotButton="0" quotePrefix="0" xfId="0">
      <alignment horizontal="center" vertical="center"/>
    </xf>
    <xf numFmtId="164" fontId="144" fillId="0" borderId="12" applyAlignment="1" pivotButton="0" quotePrefix="0" xfId="0">
      <alignment horizontal="center" vertical="center"/>
    </xf>
    <xf numFmtId="0" fontId="143" fillId="92" borderId="5" applyAlignment="1" pivotButton="0" quotePrefix="0" xfId="7">
      <alignment horizontal="center" vertical="center"/>
    </xf>
    <xf numFmtId="0" fontId="143" fillId="92" borderId="5" applyAlignment="1" pivotButton="0" quotePrefix="0" xfId="6">
      <alignment horizontal="center" vertical="center"/>
    </xf>
    <xf numFmtId="0" fontId="143" fillId="105" borderId="5" applyAlignment="1" pivotButton="0" quotePrefix="0" xfId="0">
      <alignment horizontal="center" vertical="center"/>
    </xf>
    <xf numFmtId="168" fontId="143" fillId="105" borderId="5" applyAlignment="1" pivotButton="0" quotePrefix="0" xfId="0">
      <alignment horizontal="center" vertical="center"/>
    </xf>
    <xf numFmtId="0" fontId="143" fillId="105" borderId="0" applyAlignment="1" pivotButton="0" quotePrefix="0" xfId="0">
      <alignment horizontal="center" vertical="center"/>
    </xf>
    <xf numFmtId="0" fontId="143" fillId="105" borderId="6" applyAlignment="1" pivotButton="0" quotePrefix="0" xfId="0">
      <alignment horizontal="center" vertical="center"/>
    </xf>
    <xf numFmtId="0" fontId="143" fillId="105" borderId="16" applyAlignment="1" pivotButton="0" quotePrefix="0" xfId="0">
      <alignment horizontal="center" vertical="center"/>
    </xf>
    <xf numFmtId="0" fontId="0" fillId="0" borderId="9" pivotButton="0" quotePrefix="0" xfId="0"/>
    <xf numFmtId="0" fontId="133" fillId="103" borderId="1" applyAlignment="1" pivotButton="0" quotePrefix="0" xfId="5">
      <alignment horizontal="center" vertical="center"/>
    </xf>
    <xf numFmtId="2" fontId="144" fillId="103" borderId="16" applyAlignment="1" pivotButton="0" quotePrefix="0" xfId="0">
      <alignment horizontal="center" vertical="center"/>
    </xf>
    <xf numFmtId="2" fontId="144" fillId="103" borderId="13" applyAlignment="1" pivotButton="0" quotePrefix="0" xfId="0">
      <alignment horizontal="center" vertical="center"/>
    </xf>
    <xf numFmtId="0" fontId="144" fillId="0" borderId="10" applyAlignment="1" pivotButton="0" quotePrefix="0" xfId="0">
      <alignment horizontal="center" vertical="center"/>
    </xf>
    <xf numFmtId="168" fontId="144" fillId="0" borderId="8" applyAlignment="1" pivotButton="0" quotePrefix="0" xfId="0">
      <alignment horizontal="center" vertical="center"/>
    </xf>
    <xf numFmtId="168" fontId="144" fillId="0" borderId="13" applyAlignment="1" pivotButton="0" quotePrefix="0" xfId="0">
      <alignment horizontal="center" vertical="center"/>
    </xf>
    <xf numFmtId="1" fontId="144" fillId="0" borderId="0" applyAlignment="1" pivotButton="0" quotePrefix="0" xfId="0">
      <alignment horizontal="center" vertical="center"/>
    </xf>
    <xf numFmtId="2" fontId="144" fillId="104" borderId="16" applyAlignment="1" pivotButton="0" quotePrefix="0" xfId="0">
      <alignment horizontal="center" vertical="center"/>
    </xf>
    <xf numFmtId="2" fontId="144" fillId="104" borderId="13" applyAlignment="1" pivotButton="0" quotePrefix="0" xfId="0">
      <alignment horizontal="center" vertical="center"/>
    </xf>
    <xf numFmtId="1" fontId="133" fillId="0" borderId="5" applyAlignment="1" pivotButton="0" quotePrefix="0" xfId="0">
      <alignment horizontal="center" vertical="center"/>
    </xf>
    <xf numFmtId="170" fontId="144" fillId="0" borderId="8" applyAlignment="1" pivotButton="0" quotePrefix="0" xfId="0">
      <alignment horizontal="center" vertical="center"/>
    </xf>
    <xf numFmtId="2" fontId="144" fillId="103" borderId="15" applyAlignment="1" pivotButton="0" quotePrefix="0" xfId="0">
      <alignment horizontal="center" vertical="center"/>
    </xf>
    <xf numFmtId="2" fontId="144" fillId="104" borderId="5" applyAlignment="1" pivotButton="0" quotePrefix="0" xfId="0">
      <alignment horizontal="center" vertical="center"/>
    </xf>
    <xf numFmtId="2" fontId="144" fillId="103" borderId="8" applyAlignment="1" pivotButton="0" quotePrefix="0" xfId="0">
      <alignment horizontal="center" vertical="center"/>
    </xf>
    <xf numFmtId="0" fontId="144" fillId="104" borderId="15" applyAlignment="1" pivotButton="0" quotePrefix="0" xfId="0">
      <alignment horizontal="center" vertical="center"/>
    </xf>
    <xf numFmtId="0" fontId="144" fillId="75" borderId="12" applyAlignment="1" pivotButton="0" quotePrefix="0" xfId="0">
      <alignment horizontal="center" vertical="center"/>
    </xf>
    <xf numFmtId="0" fontId="144" fillId="103" borderId="15" applyAlignment="1" pivotButton="0" quotePrefix="0" xfId="0">
      <alignment horizontal="center" vertical="center"/>
    </xf>
    <xf numFmtId="0" fontId="144" fillId="76" borderId="12" applyAlignment="1" pivotButton="0" quotePrefix="0" xfId="0">
      <alignment horizontal="center" vertical="center"/>
    </xf>
    <xf numFmtId="0" fontId="144" fillId="104" borderId="13" applyAlignment="1" pivotButton="0" quotePrefix="0" xfId="0">
      <alignment horizontal="center" vertical="center"/>
    </xf>
    <xf numFmtId="0" fontId="144" fillId="75" borderId="5" applyAlignment="1" pivotButton="0" quotePrefix="0" xfId="0">
      <alignment horizontal="center" vertical="center"/>
    </xf>
    <xf numFmtId="0" fontId="144" fillId="103" borderId="13" applyAlignment="1" pivotButton="0" quotePrefix="0" xfId="0">
      <alignment horizontal="center" vertical="center"/>
    </xf>
    <xf numFmtId="0" fontId="143" fillId="92" borderId="12" applyAlignment="1" pivotButton="0" quotePrefix="0" xfId="0">
      <alignment horizontal="center" vertical="center"/>
    </xf>
    <xf numFmtId="0" fontId="144" fillId="103" borderId="5" applyAlignment="1" pivotButton="0" quotePrefix="0" xfId="0">
      <alignment horizontal="left" vertical="center"/>
    </xf>
    <xf numFmtId="164" fontId="144" fillId="103" borderId="5" applyAlignment="1" pivotButton="0" quotePrefix="0" xfId="0">
      <alignment horizontal="left" vertical="center"/>
    </xf>
    <xf numFmtId="9" fontId="144" fillId="103" borderId="5" applyAlignment="1" pivotButton="0" quotePrefix="0" xfId="1">
      <alignment horizontal="left" vertical="center"/>
    </xf>
    <xf numFmtId="0" fontId="144" fillId="103" borderId="13" applyAlignment="1" pivotButton="0" quotePrefix="0" xfId="0">
      <alignment horizontal="left" vertical="center"/>
    </xf>
    <xf numFmtId="0" fontId="144" fillId="0" borderId="14" applyAlignment="1" pivotButton="0" quotePrefix="0" xfId="0">
      <alignment horizontal="left" vertical="center"/>
    </xf>
    <xf numFmtId="0" fontId="144" fillId="0" borderId="5" applyAlignment="1" pivotButton="0" quotePrefix="0" xfId="0">
      <alignment horizontal="left" vertical="center"/>
    </xf>
    <xf numFmtId="0" fontId="144" fillId="14" borderId="14" applyAlignment="1" pivotButton="0" quotePrefix="0" xfId="0">
      <alignment horizontal="left" vertical="center"/>
    </xf>
    <xf numFmtId="0" fontId="144" fillId="0" borderId="0" applyAlignment="1" pivotButton="0" quotePrefix="0" xfId="0">
      <alignment horizontal="left" vertical="center"/>
    </xf>
    <xf numFmtId="0" fontId="133" fillId="14" borderId="5" applyAlignment="1" pivotButton="0" quotePrefix="0" xfId="0">
      <alignment horizontal="left" vertical="center"/>
    </xf>
    <xf numFmtId="0" fontId="133" fillId="14" borderId="13" applyAlignment="1" pivotButton="0" quotePrefix="0" xfId="0">
      <alignment horizontal="left" vertical="center"/>
    </xf>
    <xf numFmtId="0" fontId="133" fillId="14" borderId="14" applyAlignment="1" pivotButton="0" quotePrefix="0" xfId="0">
      <alignment horizontal="left" vertical="center"/>
    </xf>
    <xf numFmtId="0" fontId="133" fillId="14" borderId="17" applyAlignment="1" pivotButton="0" quotePrefix="0" xfId="0">
      <alignment horizontal="left" vertical="center"/>
    </xf>
    <xf numFmtId="0" fontId="144" fillId="14" borderId="5" applyAlignment="1" pivotButton="0" quotePrefix="0" xfId="0">
      <alignment horizontal="left" vertical="center"/>
    </xf>
    <xf numFmtId="0" fontId="144" fillId="104" borderId="5" applyAlignment="1" pivotButton="0" quotePrefix="0" xfId="0">
      <alignment horizontal="left" vertical="center"/>
    </xf>
    <xf numFmtId="164" fontId="144" fillId="104" borderId="5" applyAlignment="1" pivotButton="0" quotePrefix="0" xfId="0">
      <alignment horizontal="left" vertical="center"/>
    </xf>
    <xf numFmtId="9" fontId="144" fillId="104" borderId="5" applyAlignment="1" pivotButton="0" quotePrefix="0" xfId="1">
      <alignment horizontal="left" vertical="center"/>
    </xf>
    <xf numFmtId="0" fontId="144" fillId="104" borderId="13" applyAlignment="1" pivotButton="0" quotePrefix="0" xfId="0">
      <alignment horizontal="left" vertical="center"/>
    </xf>
    <xf numFmtId="0" fontId="144" fillId="80" borderId="5" applyAlignment="1" pivotButton="0" quotePrefix="0" xfId="11">
      <alignment horizontal="left" vertical="center"/>
    </xf>
    <xf numFmtId="0" fontId="144" fillId="19" borderId="5" applyAlignment="1" pivotButton="0" quotePrefix="0" xfId="11">
      <alignment horizontal="left" vertical="center"/>
    </xf>
    <xf numFmtId="0" fontId="144" fillId="0" borderId="10" applyAlignment="1" pivotButton="0" quotePrefix="0" xfId="11">
      <alignment horizontal="left" vertical="center"/>
    </xf>
    <xf numFmtId="0" fontId="144" fillId="0" borderId="8" applyAlignment="1" pivotButton="0" quotePrefix="0" xfId="11">
      <alignment horizontal="left" vertical="center"/>
    </xf>
    <xf numFmtId="0" fontId="144" fillId="25" borderId="5" applyAlignment="1" pivotButton="0" quotePrefix="0" xfId="11">
      <alignment horizontal="left" vertical="center"/>
    </xf>
    <xf numFmtId="0" fontId="144" fillId="0" borderId="14" applyAlignment="1" pivotButton="0" quotePrefix="0" xfId="11">
      <alignment horizontal="left" vertical="center"/>
    </xf>
    <xf numFmtId="0" fontId="144" fillId="0" borderId="13" applyAlignment="1" pivotButton="0" quotePrefix="0" xfId="11">
      <alignment horizontal="left" vertical="center"/>
    </xf>
    <xf numFmtId="0" fontId="144" fillId="0" borderId="13" applyAlignment="1" pivotButton="0" quotePrefix="0" xfId="0">
      <alignment horizontal="left" vertical="center"/>
    </xf>
    <xf numFmtId="0" fontId="144" fillId="0" borderId="11" applyAlignment="1" pivotButton="0" quotePrefix="0" xfId="11">
      <alignment horizontal="left" vertical="center"/>
    </xf>
    <xf numFmtId="0" fontId="144" fillId="0" borderId="15" applyAlignment="1" pivotButton="0" quotePrefix="0" xfId="11">
      <alignment horizontal="left" vertical="center"/>
    </xf>
    <xf numFmtId="0" fontId="144" fillId="0" borderId="11" applyAlignment="1" pivotButton="0" quotePrefix="0" xfId="0">
      <alignment horizontal="left" vertical="center"/>
    </xf>
    <xf numFmtId="0" fontId="144" fillId="0" borderId="12" applyAlignment="1" pivotButton="0" quotePrefix="0" xfId="0">
      <alignment horizontal="left" vertical="center"/>
    </xf>
    <xf numFmtId="0" fontId="144" fillId="0" borderId="15" applyAlignment="1" pivotButton="0" quotePrefix="0" xfId="0">
      <alignment horizontal="left" vertical="center"/>
    </xf>
    <xf numFmtId="0" fontId="144" fillId="0" borderId="16" applyAlignment="1" pivotButton="0" quotePrefix="0" xfId="0">
      <alignment horizontal="left" vertical="center"/>
    </xf>
    <xf numFmtId="1" fontId="144" fillId="0" borderId="5" applyAlignment="1" pivotButton="0" quotePrefix="0" xfId="0">
      <alignment horizontal="left" vertical="center"/>
    </xf>
    <xf numFmtId="0" fontId="144" fillId="14" borderId="0" applyAlignment="1" pivotButton="0" quotePrefix="0" xfId="0">
      <alignment horizontal="left" vertical="center"/>
    </xf>
    <xf numFmtId="0" fontId="144" fillId="103" borderId="11" applyAlignment="1" pivotButton="0" quotePrefix="0" xfId="0">
      <alignment horizontal="left" vertical="center"/>
    </xf>
    <xf numFmtId="0" fontId="144" fillId="104" borderId="0" applyAlignment="1" pivotButton="0" quotePrefix="0" xfId="0">
      <alignment horizontal="left" vertical="center"/>
    </xf>
    <xf numFmtId="0" fontId="143" fillId="92" borderId="5" applyAlignment="1" pivotButton="0" quotePrefix="1" xfId="0">
      <alignment horizontal="center" vertical="center"/>
    </xf>
    <xf numFmtId="0" fontId="143" fillId="105" borderId="7" applyAlignment="1" pivotButton="0" quotePrefix="0" xfId="0">
      <alignment horizontal="center" vertical="center"/>
    </xf>
    <xf numFmtId="49" fontId="143" fillId="105" borderId="5" applyAlignment="1" pivotButton="0" quotePrefix="0" xfId="0">
      <alignment horizontal="center" vertical="center"/>
    </xf>
    <xf numFmtId="49" fontId="143" fillId="105" borderId="42" applyAlignment="1" pivotButton="0" quotePrefix="0" xfId="0">
      <alignment horizontal="center" vertical="center"/>
    </xf>
    <xf numFmtId="1" fontId="143" fillId="105" borderId="5" applyAlignment="1" pivotButton="0" quotePrefix="0" xfId="0">
      <alignment horizontal="center" vertical="center"/>
    </xf>
    <xf numFmtId="1" fontId="143" fillId="105" borderId="15" applyAlignment="1" pivotButton="0" quotePrefix="0" xfId="0">
      <alignment horizontal="center" vertical="center"/>
    </xf>
    <xf numFmtId="0" fontId="143" fillId="105" borderId="12" applyAlignment="1" pivotButton="0" quotePrefix="0" xfId="6">
      <alignment horizontal="center" vertical="center"/>
    </xf>
    <xf numFmtId="1" fontId="143" fillId="105" borderId="1" applyAlignment="1" pivotButton="0" quotePrefix="0" xfId="4">
      <alignment horizontal="center" vertical="center"/>
    </xf>
    <xf numFmtId="0" fontId="143" fillId="105" borderId="5" applyAlignment="1" pivotButton="0" quotePrefix="0" xfId="6">
      <alignment horizontal="center" vertical="center"/>
    </xf>
    <xf numFmtId="0" fontId="143" fillId="105" borderId="1" applyAlignment="1" pivotButton="0" quotePrefix="0" xfId="4">
      <alignment horizontal="center" vertical="center"/>
    </xf>
    <xf numFmtId="49" fontId="133" fillId="99" borderId="65" applyAlignment="1" pivotButton="0" quotePrefix="0" xfId="0">
      <alignment horizontal="center" vertical="center"/>
    </xf>
    <xf numFmtId="1" fontId="144" fillId="104" borderId="14" applyAlignment="1" pivotButton="0" quotePrefix="0" xfId="0">
      <alignment horizontal="center" vertical="center"/>
    </xf>
    <xf numFmtId="0" fontId="144" fillId="104" borderId="14" applyAlignment="1" pivotButton="0" quotePrefix="0" xfId="0">
      <alignment horizontal="center" vertical="center"/>
    </xf>
    <xf numFmtId="0" fontId="144" fillId="14" borderId="14" applyAlignment="1" pivotButton="0" quotePrefix="0" xfId="6">
      <alignment horizontal="center" vertical="center"/>
    </xf>
    <xf numFmtId="1" fontId="144" fillId="0" borderId="13" applyAlignment="1" pivotButton="0" quotePrefix="0" xfId="0">
      <alignment horizontal="center" vertical="center"/>
    </xf>
    <xf numFmtId="2" fontId="144" fillId="0" borderId="5" applyAlignment="1" pivotButton="0" quotePrefix="0" xfId="0">
      <alignment horizontal="center" vertical="center"/>
    </xf>
    <xf numFmtId="1" fontId="133" fillId="5" borderId="38" applyAlignment="1" pivotButton="0" quotePrefix="0" xfId="5">
      <alignment horizontal="center" vertical="center"/>
    </xf>
    <xf numFmtId="0" fontId="133" fillId="5" borderId="1" applyAlignment="1" pivotButton="0" quotePrefix="0" xfId="5">
      <alignment horizontal="center" vertical="center"/>
    </xf>
    <xf numFmtId="0" fontId="144" fillId="27" borderId="5" applyAlignment="1" pivotButton="0" quotePrefix="0" xfId="0">
      <alignment horizontal="center" vertical="center"/>
    </xf>
    <xf numFmtId="0" fontId="144" fillId="41" borderId="5" applyAlignment="1" pivotButton="0" quotePrefix="0" xfId="0">
      <alignment horizontal="center" vertical="center"/>
    </xf>
    <xf numFmtId="0" fontId="144" fillId="36" borderId="5" applyAlignment="1" pivotButton="0" quotePrefix="0" xfId="0">
      <alignment horizontal="center" vertical="center"/>
    </xf>
    <xf numFmtId="0" fontId="144" fillId="53" borderId="5" applyAlignment="1" pivotButton="0" quotePrefix="1" xfId="0">
      <alignment horizontal="center" vertical="center"/>
    </xf>
    <xf numFmtId="0" fontId="144" fillId="53" borderId="5" applyAlignment="1" pivotButton="0" quotePrefix="0" xfId="0">
      <alignment horizontal="center" vertical="center"/>
    </xf>
    <xf numFmtId="0" fontId="133" fillId="14" borderId="0" applyAlignment="1" pivotButton="0" quotePrefix="0" xfId="0">
      <alignment horizontal="center" vertical="center"/>
    </xf>
    <xf numFmtId="1" fontId="144" fillId="103" borderId="14" applyAlignment="1" pivotButton="0" quotePrefix="0" xfId="0">
      <alignment horizontal="center" vertical="center"/>
    </xf>
    <xf numFmtId="0" fontId="144" fillId="103" borderId="14" applyAlignment="1" pivotButton="0" quotePrefix="0" xfId="0">
      <alignment horizontal="center" vertical="center"/>
    </xf>
    <xf numFmtId="16" fontId="144" fillId="0" borderId="10" applyAlignment="1" pivotButton="0" quotePrefix="0" xfId="0">
      <alignment horizontal="center" vertical="center"/>
    </xf>
    <xf numFmtId="0" fontId="144" fillId="0" borderId="8" applyAlignment="1" pivotButton="0" quotePrefix="0" xfId="0">
      <alignment horizontal="center" vertical="center"/>
    </xf>
    <xf numFmtId="0" fontId="133" fillId="103" borderId="14" applyAlignment="1" pivotButton="0" quotePrefix="0" xfId="0">
      <alignment horizontal="center" vertical="center"/>
    </xf>
    <xf numFmtId="0" fontId="144" fillId="49" borderId="5" applyAlignment="1" pivotButton="0" quotePrefix="0" xfId="0">
      <alignment horizontal="center" vertical="center"/>
    </xf>
    <xf numFmtId="0" fontId="144" fillId="57" borderId="5" applyAlignment="1" pivotButton="0" quotePrefix="0" xfId="0">
      <alignment horizontal="center" vertical="center"/>
    </xf>
    <xf numFmtId="1" fontId="133" fillId="0" borderId="13" applyAlignment="1" pivotButton="0" quotePrefix="0" xfId="0">
      <alignment horizontal="center" vertical="center"/>
    </xf>
    <xf numFmtId="0" fontId="144" fillId="28" borderId="5" applyAlignment="1" pivotButton="0" quotePrefix="0" xfId="0">
      <alignment horizontal="center" vertical="center"/>
    </xf>
    <xf numFmtId="0" fontId="144" fillId="40" borderId="5" applyAlignment="1" pivotButton="0" quotePrefix="0" xfId="0">
      <alignment horizontal="center" vertical="center"/>
    </xf>
    <xf numFmtId="0" fontId="144" fillId="38" borderId="5" applyAlignment="1" pivotButton="0" quotePrefix="0" xfId="0">
      <alignment horizontal="center" vertical="center"/>
    </xf>
    <xf numFmtId="0" fontId="144" fillId="48" borderId="5" applyAlignment="1" pivotButton="0" quotePrefix="0" xfId="0">
      <alignment horizontal="center" vertical="center"/>
    </xf>
    <xf numFmtId="0" fontId="144" fillId="31" borderId="5" applyAlignment="1" pivotButton="0" quotePrefix="0" xfId="0">
      <alignment horizontal="center" vertical="center"/>
    </xf>
    <xf numFmtId="1" fontId="133" fillId="103" borderId="14" applyAlignment="1" pivotButton="0" quotePrefix="0" xfId="0">
      <alignment horizontal="center" vertical="center"/>
    </xf>
    <xf numFmtId="1" fontId="144" fillId="0" borderId="12" applyAlignment="1" pivotButton="0" quotePrefix="0" xfId="0">
      <alignment horizontal="center" vertical="center"/>
    </xf>
    <xf numFmtId="1" fontId="144" fillId="0" borderId="15" applyAlignment="1" pivotButton="0" quotePrefix="0" xfId="0">
      <alignment horizontal="center" vertical="center"/>
    </xf>
    <xf numFmtId="1" fontId="144" fillId="15" borderId="5" applyAlignment="1" pivotButton="0" quotePrefix="0" xfId="0">
      <alignment horizontal="center" vertical="center"/>
    </xf>
    <xf numFmtId="0" fontId="144" fillId="14" borderId="5" applyAlignment="1" pivotButton="0" quotePrefix="0" xfId="7">
      <alignment horizontal="center" vertical="center"/>
    </xf>
    <xf numFmtId="0" fontId="144" fillId="14" borderId="11" applyAlignment="1" pivotButton="0" quotePrefix="0" xfId="0">
      <alignment horizontal="center" vertical="center"/>
    </xf>
    <xf numFmtId="0" fontId="133" fillId="0" borderId="11" applyAlignment="1" pivotButton="0" quotePrefix="0" xfId="0">
      <alignment horizontal="center" vertical="center"/>
    </xf>
    <xf numFmtId="1" fontId="133" fillId="0" borderId="12" applyAlignment="1" pivotButton="0" quotePrefix="0" xfId="0">
      <alignment horizontal="center" vertical="center"/>
    </xf>
    <xf numFmtId="1" fontId="133" fillId="0" borderId="15" applyAlignment="1" pivotButton="0" quotePrefix="0" xfId="0">
      <alignment horizontal="center" vertical="center"/>
    </xf>
    <xf numFmtId="0" fontId="144" fillId="14" borderId="12" applyAlignment="1" pivotButton="0" quotePrefix="0" xfId="7">
      <alignment horizontal="center" vertical="center"/>
    </xf>
    <xf numFmtId="1" fontId="133" fillId="14" borderId="16" applyAlignment="1" pivotButton="0" quotePrefix="0" xfId="0">
      <alignment horizontal="center" vertical="center"/>
    </xf>
    <xf numFmtId="1" fontId="133" fillId="14" borderId="5" applyAlignment="1" pivotButton="0" quotePrefix="0" xfId="0">
      <alignment horizontal="center" vertical="center"/>
    </xf>
    <xf numFmtId="0" fontId="144" fillId="45" borderId="5" applyAlignment="1" pivotButton="0" quotePrefix="0" xfId="0">
      <alignment horizontal="center" vertical="center"/>
    </xf>
    <xf numFmtId="0" fontId="144" fillId="30" borderId="5" applyAlignment="1" pivotButton="0" quotePrefix="0" xfId="0">
      <alignment horizontal="center" vertical="center"/>
    </xf>
    <xf numFmtId="1" fontId="144" fillId="14" borderId="7" applyAlignment="1" pivotButton="0" quotePrefix="0" xfId="0">
      <alignment horizontal="center" vertical="center"/>
    </xf>
    <xf numFmtId="169" fontId="144" fillId="14" borderId="5" applyAlignment="1" pivotButton="0" quotePrefix="0" xfId="0">
      <alignment horizontal="center" vertical="center"/>
    </xf>
    <xf numFmtId="0" fontId="144" fillId="44" borderId="5" applyAlignment="1" pivotButton="0" quotePrefix="0" xfId="0">
      <alignment horizontal="center" vertical="center"/>
    </xf>
    <xf numFmtId="0" fontId="144" fillId="82" borderId="5" applyAlignment="1" pivotButton="0" quotePrefix="0" xfId="0">
      <alignment horizontal="center" vertical="center"/>
    </xf>
    <xf numFmtId="169" fontId="144" fillId="14" borderId="0" applyAlignment="1" pivotButton="0" quotePrefix="0" xfId="0">
      <alignment horizontal="center" vertical="center"/>
    </xf>
    <xf numFmtId="0" fontId="133" fillId="103" borderId="7" applyAlignment="1" pivotButton="0" quotePrefix="0" xfId="0">
      <alignment horizontal="center" vertical="center"/>
    </xf>
    <xf numFmtId="49" fontId="144" fillId="23" borderId="5" applyAlignment="1" pivotButton="0" quotePrefix="0" xfId="0">
      <alignment horizontal="center" vertical="center"/>
    </xf>
    <xf numFmtId="0" fontId="144" fillId="104" borderId="9" applyAlignment="1" pivotButton="0" quotePrefix="0" xfId="0">
      <alignment horizontal="center" vertical="center"/>
    </xf>
    <xf numFmtId="0" fontId="144" fillId="104" borderId="10" applyAlignment="1" pivotButton="0" quotePrefix="0" xfId="0">
      <alignment horizontal="center" vertical="center"/>
    </xf>
    <xf numFmtId="49" fontId="144" fillId="14" borderId="13" applyAlignment="1" pivotButton="0" quotePrefix="0" xfId="0">
      <alignment horizontal="center" vertical="center"/>
    </xf>
    <xf numFmtId="1" fontId="144" fillId="86" borderId="0" applyAlignment="1" pivotButton="0" quotePrefix="0" xfId="0">
      <alignment horizontal="center" vertical="center"/>
    </xf>
    <xf numFmtId="0" fontId="134" fillId="14" borderId="21" applyAlignment="1" pivotButton="0" quotePrefix="0" xfId="0">
      <alignment horizontal="center"/>
    </xf>
    <xf numFmtId="0" fontId="132" fillId="26" borderId="59" applyAlignment="1" pivotButton="0" quotePrefix="0" xfId="0">
      <alignment horizontal="center"/>
    </xf>
    <xf numFmtId="0" fontId="0" fillId="0" borderId="23" pivotButton="0" quotePrefix="0" xfId="0"/>
    <xf numFmtId="0" fontId="0" fillId="0" borderId="24" pivotButton="0" quotePrefix="0" xfId="0"/>
    <xf numFmtId="0" fontId="132" fillId="27" borderId="59" applyAlignment="1" pivotButton="0" quotePrefix="0" xfId="0">
      <alignment horizontal="center"/>
    </xf>
    <xf numFmtId="0" fontId="132" fillId="27" borderId="58" applyAlignment="1" pivotButton="0" quotePrefix="0" xfId="0">
      <alignment horizontal="center"/>
    </xf>
    <xf numFmtId="0" fontId="0" fillId="0" borderId="25" pivotButton="0" quotePrefix="0" xfId="0"/>
    <xf numFmtId="0" fontId="132" fillId="14" borderId="11" applyAlignment="1" pivotButton="0" quotePrefix="0" xfId="0">
      <alignment horizontal="center"/>
    </xf>
    <xf numFmtId="0" fontId="134" fillId="26" borderId="7" applyAlignment="1" pivotButton="0" quotePrefix="0" xfId="0">
      <alignment vertical="center"/>
    </xf>
    <xf numFmtId="0" fontId="132" fillId="27" borderId="5" applyAlignment="1" pivotButton="0" quotePrefix="0" xfId="0">
      <alignment horizontal="center" vertical="center"/>
    </xf>
    <xf numFmtId="0" fontId="134" fillId="0" borderId="0" applyAlignment="1" pivotButton="0" quotePrefix="0" xfId="0">
      <alignment vertical="center"/>
    </xf>
    <xf numFmtId="0" fontId="134" fillId="27" borderId="26" applyAlignment="1" pivotButton="0" quotePrefix="0" xfId="0">
      <alignment horizontal="center"/>
    </xf>
    <xf numFmtId="0" fontId="134" fillId="27" borderId="27" applyAlignment="1" pivotButton="0" quotePrefix="0" xfId="0">
      <alignment horizontal="center"/>
    </xf>
    <xf numFmtId="0" fontId="134" fillId="26" borderId="15" applyAlignment="1" pivotButton="0" quotePrefix="0" xfId="0">
      <alignment horizontal="left" vertical="center"/>
    </xf>
    <xf numFmtId="0" fontId="134" fillId="26" borderId="20" applyAlignment="1" pivotButton="0" quotePrefix="0" xfId="0">
      <alignment horizontal="right" vertical="center"/>
    </xf>
    <xf numFmtId="165" fontId="134" fillId="26" borderId="15" applyAlignment="1" pivotButton="0" quotePrefix="0" xfId="0">
      <alignment horizontal="center" vertical="center"/>
    </xf>
    <xf numFmtId="165" fontId="134" fillId="26" borderId="11" applyAlignment="1" pivotButton="0" quotePrefix="0" xfId="0">
      <alignment horizontal="center" vertical="center"/>
    </xf>
    <xf numFmtId="0" fontId="134" fillId="26" borderId="12" applyAlignment="1" pivotButton="0" quotePrefix="0" xfId="0">
      <alignment horizontal="center" vertical="center"/>
    </xf>
    <xf numFmtId="0" fontId="134" fillId="26" borderId="13" applyAlignment="1" pivotButton="0" quotePrefix="0" xfId="0">
      <alignment horizontal="left" vertical="center"/>
    </xf>
    <xf numFmtId="0" fontId="134" fillId="26" borderId="17" applyAlignment="1" pivotButton="0" quotePrefix="0" xfId="0">
      <alignment horizontal="right" vertical="center"/>
    </xf>
    <xf numFmtId="166" fontId="134" fillId="32" borderId="5" applyAlignment="1" pivotButton="0" quotePrefix="1" xfId="0">
      <alignment horizontal="center" vertical="center"/>
    </xf>
    <xf numFmtId="0" fontId="134" fillId="26" borderId="5" applyAlignment="1" pivotButton="0" quotePrefix="0" xfId="0">
      <alignment horizontal="center" vertical="center"/>
    </xf>
    <xf numFmtId="0" fontId="134" fillId="26" borderId="20" applyAlignment="1" pivotButton="0" quotePrefix="0" xfId="0">
      <alignment horizontal="left" vertical="center"/>
    </xf>
    <xf numFmtId="0" fontId="134" fillId="33" borderId="20" applyAlignment="1" pivotButton="0" quotePrefix="0" xfId="0">
      <alignment horizontal="left" vertical="center"/>
    </xf>
    <xf numFmtId="0" fontId="134" fillId="33" borderId="20" applyAlignment="1" pivotButton="0" quotePrefix="0" xfId="0">
      <alignment horizontal="right" vertical="center"/>
    </xf>
    <xf numFmtId="165" fontId="134" fillId="33" borderId="15" applyAlignment="1" pivotButton="0" quotePrefix="0" xfId="0">
      <alignment horizontal="center" vertical="center"/>
    </xf>
    <xf numFmtId="165" fontId="134" fillId="33" borderId="11" applyAlignment="1" pivotButton="0" quotePrefix="0" xfId="0">
      <alignment horizontal="center" vertical="center"/>
    </xf>
    <xf numFmtId="0" fontId="134" fillId="34" borderId="11" applyAlignment="1" pivotButton="0" quotePrefix="0" xfId="0">
      <alignment horizontal="center" vertical="center"/>
    </xf>
    <xf numFmtId="0" fontId="132" fillId="29" borderId="5" applyAlignment="1" pivotButton="0" quotePrefix="0" xfId="0">
      <alignment horizontal="center" vertical="center"/>
    </xf>
    <xf numFmtId="0" fontId="134" fillId="30" borderId="0" applyAlignment="1" pivotButton="0" quotePrefix="0" xfId="0">
      <alignment horizontal="center"/>
    </xf>
    <xf numFmtId="0" fontId="134" fillId="30" borderId="9" applyAlignment="1" pivotButton="0" quotePrefix="0" xfId="0">
      <alignment horizontal="center"/>
    </xf>
    <xf numFmtId="0" fontId="134" fillId="31" borderId="16" applyAlignment="1" pivotButton="0" quotePrefix="0" xfId="0">
      <alignment horizontal="center"/>
    </xf>
    <xf numFmtId="0" fontId="134" fillId="30" borderId="7" applyAlignment="1" pivotButton="0" quotePrefix="0" xfId="0">
      <alignment horizontal="center"/>
    </xf>
    <xf numFmtId="0" fontId="134" fillId="26" borderId="6" applyAlignment="1" pivotButton="0" quotePrefix="0" xfId="0">
      <alignment horizontal="left" vertical="center"/>
    </xf>
    <xf numFmtId="0" fontId="134" fillId="26" borderId="0" applyAlignment="1" pivotButton="0" quotePrefix="0" xfId="0">
      <alignment horizontal="right" vertical="center"/>
    </xf>
    <xf numFmtId="165" fontId="134" fillId="26" borderId="6" applyAlignment="1" pivotButton="0" quotePrefix="0" xfId="0">
      <alignment horizontal="center" vertical="center"/>
    </xf>
    <xf numFmtId="165" fontId="134" fillId="26" borderId="7" applyAlignment="1" pivotButton="0" quotePrefix="0" xfId="0">
      <alignment horizontal="center" vertical="center"/>
    </xf>
    <xf numFmtId="0" fontId="134" fillId="26" borderId="18" applyAlignment="1" pivotButton="0" quotePrefix="0" xfId="0">
      <alignment horizontal="center" vertical="center"/>
    </xf>
    <xf numFmtId="0" fontId="134" fillId="36" borderId="0" applyAlignment="1" pivotButton="0" quotePrefix="0" xfId="0">
      <alignment horizontal="left" vertical="center"/>
    </xf>
    <xf numFmtId="0" fontId="134" fillId="36" borderId="0" applyAlignment="1" pivotButton="0" quotePrefix="0" xfId="0">
      <alignment horizontal="center" vertical="center"/>
    </xf>
    <xf numFmtId="165" fontId="134" fillId="36" borderId="6" applyAlignment="1" pivotButton="0" quotePrefix="0" xfId="0">
      <alignment horizontal="center" vertical="center"/>
    </xf>
    <xf numFmtId="165" fontId="134" fillId="36" borderId="7" applyAlignment="1" pivotButton="0" quotePrefix="0" xfId="0">
      <alignment horizontal="center" vertical="center"/>
    </xf>
    <xf numFmtId="0" fontId="134" fillId="34" borderId="18" applyAlignment="1" pivotButton="0" quotePrefix="0" xfId="0">
      <alignment horizontal="center" vertical="center"/>
    </xf>
    <xf numFmtId="0" fontId="134" fillId="29" borderId="0" applyAlignment="1" pivotButton="0" quotePrefix="0" xfId="0">
      <alignment horizontal="left" vertical="center"/>
    </xf>
    <xf numFmtId="0" fontId="134" fillId="29" borderId="0" applyAlignment="1" pivotButton="0" quotePrefix="0" xfId="0">
      <alignment horizontal="right" vertical="center"/>
    </xf>
    <xf numFmtId="165" fontId="134" fillId="29" borderId="6" applyAlignment="1" pivotButton="0" quotePrefix="0" xfId="0">
      <alignment horizontal="center" vertical="center"/>
    </xf>
    <xf numFmtId="165" fontId="134" fillId="29" borderId="7" applyAlignment="1" pivotButton="0" quotePrefix="0" xfId="0">
      <alignment horizontal="center" vertical="center"/>
    </xf>
    <xf numFmtId="0" fontId="134" fillId="34" borderId="5" applyAlignment="1" pivotButton="0" quotePrefix="0" xfId="0">
      <alignment horizontal="center" vertical="center"/>
    </xf>
    <xf numFmtId="16" fontId="134" fillId="37" borderId="0" applyAlignment="1" pivotButton="0" quotePrefix="0" xfId="0">
      <alignment horizontal="left" vertical="center"/>
    </xf>
    <xf numFmtId="16" fontId="134" fillId="37" borderId="0" applyAlignment="1" pivotButton="0" quotePrefix="0" xfId="0">
      <alignment horizontal="right" vertical="center"/>
    </xf>
    <xf numFmtId="165" fontId="134" fillId="37" borderId="6" applyAlignment="1" pivotButton="0" quotePrefix="0" xfId="0">
      <alignment horizontal="center" vertical="center"/>
    </xf>
    <xf numFmtId="165" fontId="134" fillId="37" borderId="7" applyAlignment="1" pivotButton="0" quotePrefix="0" xfId="0">
      <alignment horizontal="center" vertical="center"/>
    </xf>
    <xf numFmtId="0" fontId="134" fillId="34" borderId="7" applyAlignment="1" pivotButton="0" quotePrefix="0" xfId="0">
      <alignment horizontal="center" vertical="center"/>
    </xf>
    <xf numFmtId="0" fontId="134" fillId="31" borderId="5" applyAlignment="1" pivotButton="0" quotePrefix="0" xfId="0">
      <alignment horizontal="center"/>
    </xf>
    <xf numFmtId="0" fontId="134" fillId="31" borderId="6" applyAlignment="1" pivotButton="0" quotePrefix="0" xfId="0">
      <alignment horizontal="center"/>
    </xf>
    <xf numFmtId="0" fontId="134" fillId="31" borderId="0" applyAlignment="1" pivotButton="0" quotePrefix="0" xfId="0">
      <alignment horizontal="center"/>
    </xf>
    <xf numFmtId="0" fontId="134" fillId="30" borderId="8" applyAlignment="1" pivotButton="0" quotePrefix="0" xfId="0">
      <alignment horizontal="center"/>
    </xf>
    <xf numFmtId="0" fontId="134" fillId="31" borderId="9" applyAlignment="1" pivotButton="0" quotePrefix="0" xfId="0">
      <alignment horizontal="center"/>
    </xf>
    <xf numFmtId="0" fontId="134" fillId="30" borderId="6" applyAlignment="1" pivotButton="0" quotePrefix="0" xfId="0">
      <alignment horizontal="center"/>
    </xf>
    <xf numFmtId="0" fontId="134" fillId="30" borderId="10" applyAlignment="1" pivotButton="0" quotePrefix="0" xfId="0">
      <alignment horizontal="center"/>
    </xf>
    <xf numFmtId="0" fontId="134" fillId="26" borderId="14" applyAlignment="1" pivotButton="0" quotePrefix="0" xfId="0">
      <alignment horizontal="left" vertical="center"/>
    </xf>
    <xf numFmtId="165" fontId="134" fillId="26" borderId="13" applyAlignment="1" pivotButton="0" quotePrefix="0" xfId="0">
      <alignment horizontal="center" vertical="center"/>
    </xf>
    <xf numFmtId="165" fontId="134" fillId="26" borderId="14" applyAlignment="1" pivotButton="0" quotePrefix="0" xfId="0">
      <alignment horizontal="center" vertical="center"/>
    </xf>
    <xf numFmtId="16" fontId="134" fillId="38" borderId="0" applyAlignment="1" pivotButton="0" quotePrefix="0" xfId="0">
      <alignment horizontal="left" vertical="center"/>
    </xf>
    <xf numFmtId="16" fontId="134" fillId="38" borderId="0" applyAlignment="1" pivotButton="0" quotePrefix="0" xfId="0">
      <alignment horizontal="center" vertical="center"/>
    </xf>
    <xf numFmtId="165" fontId="134" fillId="38" borderId="6" applyAlignment="1" pivotButton="0" quotePrefix="0" xfId="0">
      <alignment horizontal="center" vertical="center"/>
    </xf>
    <xf numFmtId="165" fontId="134" fillId="38" borderId="7" applyAlignment="1" pivotButton="0" quotePrefix="0" xfId="0">
      <alignment horizontal="center" vertical="center"/>
    </xf>
    <xf numFmtId="0" fontId="134" fillId="34" borderId="12" applyAlignment="1" pivotButton="0" quotePrefix="0" xfId="0">
      <alignment horizontal="center" vertical="center"/>
    </xf>
    <xf numFmtId="0" fontId="134" fillId="31" borderId="15" applyAlignment="1" pivotButton="0" quotePrefix="0" xfId="0">
      <alignment horizontal="center"/>
    </xf>
    <xf numFmtId="0" fontId="134" fillId="30" borderId="13" applyAlignment="1" pivotButton="0" quotePrefix="0" xfId="0">
      <alignment horizontal="center"/>
    </xf>
    <xf numFmtId="0" fontId="134" fillId="30" borderId="17" applyAlignment="1" pivotButton="0" quotePrefix="0" xfId="0">
      <alignment horizontal="center"/>
    </xf>
    <xf numFmtId="16" fontId="134" fillId="39" borderId="15" applyAlignment="1" pivotButton="0" quotePrefix="0" xfId="0">
      <alignment horizontal="left" vertical="center"/>
    </xf>
    <xf numFmtId="16" fontId="134" fillId="39" borderId="20" applyAlignment="1" pivotButton="0" quotePrefix="0" xfId="0">
      <alignment horizontal="right" vertical="center"/>
    </xf>
    <xf numFmtId="165" fontId="134" fillId="39" borderId="15" applyAlignment="1" pivotButton="0" quotePrefix="0" xfId="0">
      <alignment horizontal="center" vertical="center"/>
    </xf>
    <xf numFmtId="165" fontId="134" fillId="39" borderId="11" applyAlignment="1" pivotButton="0" quotePrefix="0" xfId="0">
      <alignment horizontal="center" vertical="center"/>
    </xf>
    <xf numFmtId="0" fontId="134" fillId="34" borderId="16" applyAlignment="1" pivotButton="0" quotePrefix="0" xfId="0">
      <alignment horizontal="center" vertical="center"/>
    </xf>
    <xf numFmtId="0" fontId="0" fillId="0" borderId="18" pivotButton="0" quotePrefix="0" xfId="0"/>
    <xf numFmtId="0" fontId="134" fillId="40" borderId="0" applyAlignment="1" pivotButton="0" quotePrefix="0" xfId="0">
      <alignment horizontal="left" vertical="center"/>
    </xf>
    <xf numFmtId="0" fontId="134" fillId="40" borderId="0" applyAlignment="1" pivotButton="0" quotePrefix="0" xfId="0">
      <alignment horizontal="right" vertical="center"/>
    </xf>
    <xf numFmtId="165" fontId="134" fillId="40" borderId="6" applyAlignment="1" pivotButton="0" quotePrefix="0" xfId="0">
      <alignment horizontal="center" vertical="center"/>
    </xf>
    <xf numFmtId="165" fontId="134" fillId="40" borderId="7" applyAlignment="1" pivotButton="0" quotePrefix="0" xfId="0">
      <alignment horizontal="center" vertical="center"/>
    </xf>
    <xf numFmtId="0" fontId="134" fillId="30" borderId="5" applyAlignment="1" pivotButton="0" quotePrefix="0" xfId="0">
      <alignment horizontal="center"/>
    </xf>
    <xf numFmtId="16" fontId="134" fillId="39" borderId="6" applyAlignment="1" pivotButton="0" quotePrefix="0" xfId="0">
      <alignment horizontal="left" vertical="center"/>
    </xf>
    <xf numFmtId="16" fontId="134" fillId="39" borderId="0" applyAlignment="1" pivotButton="0" quotePrefix="0" xfId="0">
      <alignment horizontal="right" vertical="center"/>
    </xf>
    <xf numFmtId="165" fontId="134" fillId="39" borderId="6" applyAlignment="1" pivotButton="0" quotePrefix="0" xfId="0">
      <alignment horizontal="center" vertical="center"/>
    </xf>
    <xf numFmtId="165" fontId="134" fillId="39" borderId="7" applyAlignment="1" pivotButton="0" quotePrefix="0" xfId="0">
      <alignment horizontal="center" vertical="center"/>
    </xf>
    <xf numFmtId="0" fontId="134" fillId="42" borderId="0" applyAlignment="1" pivotButton="0" quotePrefix="0" xfId="0">
      <alignment horizontal="left" vertical="center"/>
    </xf>
    <xf numFmtId="165" fontId="134" fillId="42" borderId="6" applyAlignment="1" pivotButton="0" quotePrefix="0" xfId="0">
      <alignment horizontal="center" vertical="center"/>
    </xf>
    <xf numFmtId="165" fontId="134" fillId="42" borderId="7" applyAlignment="1" pivotButton="0" quotePrefix="0" xfId="0">
      <alignment horizontal="center" vertical="center"/>
    </xf>
    <xf numFmtId="0" fontId="134" fillId="41" borderId="5" applyAlignment="1" pivotButton="0" quotePrefix="0" xfId="0">
      <alignment horizontal="center"/>
    </xf>
    <xf numFmtId="0" fontId="134" fillId="33" borderId="13" applyAlignment="1" pivotButton="0" quotePrefix="0" xfId="0">
      <alignment horizontal="center"/>
    </xf>
    <xf numFmtId="0" fontId="134" fillId="29" borderId="5" applyAlignment="1" pivotButton="0" quotePrefix="0" xfId="0">
      <alignment horizontal="center"/>
    </xf>
    <xf numFmtId="0" fontId="134" fillId="31" borderId="13" applyAlignment="1" pivotButton="0" quotePrefix="0" xfId="0">
      <alignment horizontal="center"/>
    </xf>
    <xf numFmtId="0" fontId="134" fillId="31" borderId="17" applyAlignment="1" pivotButton="0" quotePrefix="0" xfId="0">
      <alignment horizontal="center"/>
    </xf>
    <xf numFmtId="0" fontId="134" fillId="31" borderId="14" applyAlignment="1" pivotButton="0" quotePrefix="0" xfId="0">
      <alignment horizontal="center"/>
    </xf>
    <xf numFmtId="0" fontId="134" fillId="39" borderId="0" applyAlignment="1" pivotButton="0" quotePrefix="0" xfId="0">
      <alignment horizontal="right" vertical="center"/>
    </xf>
    <xf numFmtId="0" fontId="134" fillId="40" borderId="8" applyAlignment="1" pivotButton="0" quotePrefix="0" xfId="0">
      <alignment horizontal="center"/>
    </xf>
    <xf numFmtId="0" fontId="134" fillId="40" borderId="9" applyAlignment="1" pivotButton="0" quotePrefix="0" xfId="0">
      <alignment horizontal="center"/>
    </xf>
    <xf numFmtId="0" fontId="134" fillId="40" borderId="0" applyAlignment="1" pivotButton="0" quotePrefix="0" xfId="0">
      <alignment horizontal="center"/>
    </xf>
    <xf numFmtId="0" fontId="134" fillId="40" borderId="7" applyAlignment="1" pivotButton="0" quotePrefix="0" xfId="0">
      <alignment horizontal="center"/>
    </xf>
    <xf numFmtId="0" fontId="134" fillId="38" borderId="0" applyAlignment="1" pivotButton="0" quotePrefix="0" xfId="0">
      <alignment horizontal="center"/>
    </xf>
    <xf numFmtId="0" fontId="134" fillId="39" borderId="6" applyAlignment="1" pivotButton="0" quotePrefix="0" xfId="0">
      <alignment horizontal="left" vertical="center"/>
    </xf>
    <xf numFmtId="16" fontId="134" fillId="43" borderId="0" applyAlignment="1" pivotButton="0" quotePrefix="0" xfId="0">
      <alignment horizontal="left" vertical="center"/>
    </xf>
    <xf numFmtId="16" fontId="134" fillId="43" borderId="0" applyAlignment="1" pivotButton="0" quotePrefix="0" xfId="0">
      <alignment horizontal="center" vertical="center"/>
    </xf>
    <xf numFmtId="165" fontId="134" fillId="43" borderId="6" applyAlignment="1" pivotButton="0" quotePrefix="0" xfId="0">
      <alignment horizontal="center" vertical="center"/>
    </xf>
    <xf numFmtId="165" fontId="134" fillId="43" borderId="7" applyAlignment="1" pivotButton="0" quotePrefix="0" xfId="0">
      <alignment horizontal="center" vertical="center"/>
    </xf>
    <xf numFmtId="0" fontId="134" fillId="30" borderId="20" applyAlignment="1" pivotButton="0" quotePrefix="0" xfId="0">
      <alignment horizontal="center"/>
    </xf>
    <xf numFmtId="0" fontId="134" fillId="31" borderId="8" applyAlignment="1" pivotButton="0" quotePrefix="0" xfId="0">
      <alignment horizontal="center"/>
    </xf>
    <xf numFmtId="0" fontId="134" fillId="38" borderId="15" applyAlignment="1" pivotButton="0" quotePrefix="0" xfId="0">
      <alignment horizontal="center"/>
    </xf>
    <xf numFmtId="0" fontId="134" fillId="38" borderId="20" applyAlignment="1" pivotButton="0" quotePrefix="0" xfId="0">
      <alignment horizontal="center"/>
    </xf>
    <xf numFmtId="0" fontId="134" fillId="38" borderId="9" applyAlignment="1" pivotButton="0" quotePrefix="0" xfId="0">
      <alignment horizontal="center"/>
    </xf>
    <xf numFmtId="0" fontId="134" fillId="30" borderId="18" applyAlignment="1" pivotButton="0" quotePrefix="0" xfId="0">
      <alignment horizontal="center"/>
    </xf>
    <xf numFmtId="0" fontId="134" fillId="44" borderId="13" applyAlignment="1" pivotButton="0" quotePrefix="0" xfId="0">
      <alignment horizontal="left" vertical="center"/>
    </xf>
    <xf numFmtId="0" fontId="134" fillId="44" borderId="14" applyAlignment="1" pivotButton="0" quotePrefix="0" xfId="0">
      <alignment horizontal="left" vertical="center"/>
    </xf>
    <xf numFmtId="165" fontId="134" fillId="44" borderId="13" applyAlignment="1" pivotButton="0" quotePrefix="0" xfId="0">
      <alignment horizontal="center" vertical="center"/>
    </xf>
    <xf numFmtId="165" fontId="134" fillId="44" borderId="14" applyAlignment="1" pivotButton="0" quotePrefix="0" xfId="0">
      <alignment horizontal="center" vertical="center"/>
    </xf>
    <xf numFmtId="0" fontId="134" fillId="44" borderId="5" applyAlignment="1" pivotButton="0" quotePrefix="0" xfId="0">
      <alignment horizontal="center" vertical="center"/>
    </xf>
    <xf numFmtId="0" fontId="134" fillId="45" borderId="0" applyAlignment="1" pivotButton="0" quotePrefix="0" xfId="0">
      <alignment horizontal="left" vertical="center"/>
    </xf>
    <xf numFmtId="0" fontId="134" fillId="45" borderId="0" applyAlignment="1" pivotButton="0" quotePrefix="0" xfId="0">
      <alignment horizontal="right" vertical="center"/>
    </xf>
    <xf numFmtId="165" fontId="134" fillId="45" borderId="6" applyAlignment="1" pivotButton="0" quotePrefix="0" xfId="0">
      <alignment horizontal="center" vertical="center"/>
    </xf>
    <xf numFmtId="165" fontId="134" fillId="45" borderId="7" applyAlignment="1" pivotButton="0" quotePrefix="0" xfId="0">
      <alignment horizontal="center" vertical="center"/>
    </xf>
    <xf numFmtId="0" fontId="134" fillId="38" borderId="5" applyAlignment="1" pivotButton="0" quotePrefix="0" xfId="0">
      <alignment horizontal="center"/>
    </xf>
    <xf numFmtId="0" fontId="134" fillId="40" borderId="15" applyAlignment="1" pivotButton="0" quotePrefix="0" xfId="0">
      <alignment horizontal="center"/>
    </xf>
    <xf numFmtId="0" fontId="134" fillId="38" borderId="13" applyAlignment="1" pivotButton="0" quotePrefix="0" xfId="0">
      <alignment horizontal="center"/>
    </xf>
    <xf numFmtId="0" fontId="134" fillId="38" borderId="17" applyAlignment="1" pivotButton="0" quotePrefix="0" xfId="0">
      <alignment horizontal="center"/>
    </xf>
    <xf numFmtId="0" fontId="134" fillId="38" borderId="14" applyAlignment="1" pivotButton="0" quotePrefix="0" xfId="0">
      <alignment horizontal="center"/>
    </xf>
    <xf numFmtId="0" fontId="134" fillId="40" borderId="5" applyAlignment="1" pivotButton="0" quotePrefix="0" xfId="0">
      <alignment horizontal="center"/>
    </xf>
    <xf numFmtId="0" fontId="134" fillId="38" borderId="8" applyAlignment="1" pivotButton="0" quotePrefix="0" xfId="0">
      <alignment horizontal="center"/>
    </xf>
    <xf numFmtId="0" fontId="134" fillId="40" borderId="12" applyAlignment="1" pivotButton="0" quotePrefix="0" xfId="0">
      <alignment horizontal="center"/>
    </xf>
    <xf numFmtId="0" fontId="134" fillId="38" borderId="18" applyAlignment="1" pivotButton="0" quotePrefix="0" xfId="0">
      <alignment horizontal="center"/>
    </xf>
    <xf numFmtId="0" fontId="134" fillId="44" borderId="5" applyAlignment="1" pivotButton="0" quotePrefix="0" xfId="0">
      <alignment horizontal="center"/>
    </xf>
    <xf numFmtId="0" fontId="134" fillId="38" borderId="10" applyAlignment="1" pivotButton="0" quotePrefix="0" xfId="0">
      <alignment horizontal="center"/>
    </xf>
    <xf numFmtId="16" fontId="134" fillId="46" borderId="15" applyAlignment="1" pivotButton="0" quotePrefix="0" xfId="0">
      <alignment horizontal="left" vertical="center"/>
    </xf>
    <xf numFmtId="16" fontId="134" fillId="46" borderId="20" applyAlignment="1" pivotButton="0" quotePrefix="0" xfId="0">
      <alignment horizontal="right" vertical="center"/>
    </xf>
    <xf numFmtId="165" fontId="134" fillId="46" borderId="15" applyAlignment="1" pivotButton="0" quotePrefix="0" xfId="0">
      <alignment horizontal="center" vertical="center"/>
    </xf>
    <xf numFmtId="165" fontId="134" fillId="46" borderId="11" applyAlignment="1" pivotButton="0" quotePrefix="0" xfId="0">
      <alignment horizontal="center" vertical="center"/>
    </xf>
    <xf numFmtId="16" fontId="134" fillId="43" borderId="0" applyAlignment="1" pivotButton="0" quotePrefix="0" xfId="0">
      <alignment horizontal="right" vertical="center"/>
    </xf>
    <xf numFmtId="0" fontId="134" fillId="40" borderId="16" applyAlignment="1" pivotButton="0" quotePrefix="0" xfId="0">
      <alignment horizontal="center"/>
    </xf>
    <xf numFmtId="0" fontId="134" fillId="38" borderId="16" applyAlignment="1" pivotButton="0" quotePrefix="0" xfId="0">
      <alignment horizontal="center"/>
    </xf>
    <xf numFmtId="0" fontId="134" fillId="31" borderId="20" applyAlignment="1" pivotButton="0" quotePrefix="0" xfId="0">
      <alignment horizontal="center"/>
    </xf>
    <xf numFmtId="0" fontId="134" fillId="30" borderId="15" applyAlignment="1" pivotButton="0" quotePrefix="0" xfId="0">
      <alignment horizontal="center"/>
    </xf>
    <xf numFmtId="16" fontId="134" fillId="46" borderId="6" applyAlignment="1" pivotButton="0" quotePrefix="0" xfId="0">
      <alignment horizontal="left" vertical="center"/>
    </xf>
    <xf numFmtId="16" fontId="134" fillId="46" borderId="0" applyAlignment="1" pivotButton="0" quotePrefix="0" xfId="0">
      <alignment horizontal="right" vertical="center"/>
    </xf>
    <xf numFmtId="165" fontId="134" fillId="46" borderId="6" applyAlignment="1" pivotButton="0" quotePrefix="0" xfId="0">
      <alignment horizontal="center" vertical="center"/>
    </xf>
    <xf numFmtId="165" fontId="134" fillId="46" borderId="7" applyAlignment="1" pivotButton="0" quotePrefix="0" xfId="0">
      <alignment horizontal="center" vertical="center"/>
    </xf>
    <xf numFmtId="0" fontId="134" fillId="42" borderId="0" applyAlignment="1" pivotButton="0" quotePrefix="0" xfId="0">
      <alignment horizontal="right" vertical="center"/>
    </xf>
    <xf numFmtId="0" fontId="132" fillId="47" borderId="5" applyAlignment="1" pivotButton="0" quotePrefix="0" xfId="0">
      <alignment horizontal="center" vertical="center"/>
    </xf>
    <xf numFmtId="0" fontId="134" fillId="30" borderId="16" applyAlignment="1" pivotButton="0" quotePrefix="0" xfId="0">
      <alignment horizontal="center"/>
    </xf>
    <xf numFmtId="0" fontId="134" fillId="31" borderId="7" applyAlignment="1" pivotButton="0" quotePrefix="0" xfId="0">
      <alignment horizontal="center"/>
    </xf>
    <xf numFmtId="16" fontId="134" fillId="46" borderId="8" applyAlignment="1" pivotButton="0" quotePrefix="0" xfId="0">
      <alignment horizontal="left" vertical="center"/>
    </xf>
    <xf numFmtId="16" fontId="134" fillId="46" borderId="9" applyAlignment="1" pivotButton="0" quotePrefix="0" xfId="0">
      <alignment horizontal="right" vertical="center"/>
    </xf>
    <xf numFmtId="165" fontId="134" fillId="46" borderId="8" applyAlignment="1" pivotButton="0" quotePrefix="0" xfId="0">
      <alignment horizontal="center" vertical="center"/>
    </xf>
    <xf numFmtId="165" fontId="134" fillId="46" borderId="10" applyAlignment="1" pivotButton="0" quotePrefix="0" xfId="0">
      <alignment horizontal="center" vertical="center"/>
    </xf>
    <xf numFmtId="0" fontId="134" fillId="48" borderId="0" applyAlignment="1" pivotButton="0" quotePrefix="0" xfId="0">
      <alignment horizontal="left" vertical="center"/>
    </xf>
    <xf numFmtId="0" fontId="134" fillId="48" borderId="0" applyAlignment="1" pivotButton="0" quotePrefix="0" xfId="0">
      <alignment horizontal="center" vertical="center"/>
    </xf>
    <xf numFmtId="165" fontId="134" fillId="48" borderId="6" applyAlignment="1" pivotButton="0" quotePrefix="0" xfId="0">
      <alignment horizontal="center" vertical="center"/>
    </xf>
    <xf numFmtId="165" fontId="134" fillId="48" borderId="7" applyAlignment="1" pivotButton="0" quotePrefix="0" xfId="0">
      <alignment horizontal="center" vertical="center"/>
    </xf>
    <xf numFmtId="0" fontId="134" fillId="27" borderId="0" applyAlignment="1" pivotButton="0" quotePrefix="0" xfId="0">
      <alignment horizontal="left" vertical="center"/>
    </xf>
    <xf numFmtId="0" fontId="134" fillId="27" borderId="0" applyAlignment="1" pivotButton="0" quotePrefix="0" xfId="0">
      <alignment horizontal="right" vertical="center"/>
    </xf>
    <xf numFmtId="165" fontId="134" fillId="27" borderId="6" applyAlignment="1" pivotButton="0" quotePrefix="0" xfId="0">
      <alignment horizontal="center" vertical="center"/>
    </xf>
    <xf numFmtId="165" fontId="134" fillId="27" borderId="7" applyAlignment="1" pivotButton="0" quotePrefix="0" xfId="0">
      <alignment horizontal="center" vertical="center"/>
    </xf>
    <xf numFmtId="0" fontId="134" fillId="31" borderId="10" applyAlignment="1" pivotButton="0" quotePrefix="0" xfId="0">
      <alignment horizontal="center"/>
    </xf>
    <xf numFmtId="0" fontId="132" fillId="49" borderId="6" applyAlignment="1" pivotButton="0" quotePrefix="0" xfId="0">
      <alignment horizontal="left" vertical="center"/>
    </xf>
    <xf numFmtId="0" fontId="134" fillId="49" borderId="0" applyAlignment="1" pivotButton="0" quotePrefix="0" xfId="0">
      <alignment horizontal="right" vertical="center"/>
    </xf>
    <xf numFmtId="165" fontId="134" fillId="49" borderId="6" applyAlignment="1" pivotButton="0" quotePrefix="0" xfId="0">
      <alignment horizontal="center" vertical="center"/>
    </xf>
    <xf numFmtId="165" fontId="134" fillId="49" borderId="7" applyAlignment="1" pivotButton="0" quotePrefix="0" xfId="0">
      <alignment horizontal="center" vertical="center"/>
    </xf>
    <xf numFmtId="0" fontId="134" fillId="49" borderId="6" applyAlignment="1" pivotButton="0" quotePrefix="0" xfId="0">
      <alignment horizontal="left" vertical="center"/>
    </xf>
    <xf numFmtId="16" fontId="134" fillId="42" borderId="0" applyAlignment="1" pivotButton="0" quotePrefix="0" xfId="0">
      <alignment horizontal="left" vertical="center"/>
    </xf>
    <xf numFmtId="16" fontId="134" fillId="42" borderId="0" applyAlignment="1" pivotButton="0" quotePrefix="0" xfId="0">
      <alignment horizontal="right" vertical="center"/>
    </xf>
    <xf numFmtId="0" fontId="134" fillId="40" borderId="13" applyAlignment="1" pivotButton="0" quotePrefix="0" xfId="0">
      <alignment horizontal="center"/>
    </xf>
    <xf numFmtId="0" fontId="134" fillId="40" borderId="17" applyAlignment="1" pivotButton="0" quotePrefix="0" xfId="0">
      <alignment horizontal="center"/>
    </xf>
    <xf numFmtId="0" fontId="134" fillId="40" borderId="14" applyAlignment="1" pivotButton="0" quotePrefix="0" xfId="0">
      <alignment horizontal="center"/>
    </xf>
    <xf numFmtId="0" fontId="134" fillId="42" borderId="17" applyAlignment="1" pivotButton="0" quotePrefix="0" xfId="0">
      <alignment horizontal="center"/>
    </xf>
    <xf numFmtId="0" fontId="134" fillId="42" borderId="20" applyAlignment="1" pivotButton="0" quotePrefix="0" xfId="0">
      <alignment horizontal="center"/>
    </xf>
    <xf numFmtId="0" fontId="134" fillId="42" borderId="14" applyAlignment="1" pivotButton="0" quotePrefix="0" xfId="0">
      <alignment horizontal="center"/>
    </xf>
    <xf numFmtId="0" fontId="134" fillId="49" borderId="6" applyAlignment="1" pivotButton="0" quotePrefix="0" xfId="0">
      <alignment horizontal="right" vertical="center"/>
    </xf>
    <xf numFmtId="0" fontId="134" fillId="44" borderId="0" applyAlignment="1" pivotButton="0" quotePrefix="0" xfId="0">
      <alignment horizontal="left" vertical="center"/>
    </xf>
    <xf numFmtId="0" fontId="134" fillId="44" borderId="7" applyAlignment="1" pivotButton="0" quotePrefix="0" xfId="0">
      <alignment horizontal="left" vertical="center"/>
    </xf>
    <xf numFmtId="165" fontId="134" fillId="44" borderId="6" applyAlignment="1" pivotButton="0" quotePrefix="0" xfId="0">
      <alignment horizontal="center" vertical="center"/>
    </xf>
    <xf numFmtId="165" fontId="134" fillId="44" borderId="7" applyAlignment="1" pivotButton="0" quotePrefix="0" xfId="0">
      <alignment horizontal="center" vertical="center"/>
    </xf>
    <xf numFmtId="0" fontId="134" fillId="44" borderId="18" applyAlignment="1" pivotButton="0" quotePrefix="0" xfId="0">
      <alignment horizontal="center" vertical="center"/>
    </xf>
    <xf numFmtId="16" fontId="134" fillId="27" borderId="0" applyAlignment="1" pivotButton="0" quotePrefix="0" xfId="0">
      <alignment horizontal="left" vertical="center"/>
    </xf>
    <xf numFmtId="16" fontId="134" fillId="27" borderId="0" applyAlignment="1" pivotButton="0" quotePrefix="0" xfId="0">
      <alignment horizontal="right" vertical="center"/>
    </xf>
    <xf numFmtId="0" fontId="134" fillId="42" borderId="5" applyAlignment="1" pivotButton="0" quotePrefix="0" xfId="0">
      <alignment horizontal="center"/>
    </xf>
    <xf numFmtId="0" fontId="134" fillId="49" borderId="8" applyAlignment="1" pivotButton="0" quotePrefix="0" xfId="0">
      <alignment horizontal="left" vertical="center"/>
    </xf>
    <xf numFmtId="0" fontId="134" fillId="49" borderId="9" applyAlignment="1" pivotButton="0" quotePrefix="0" xfId="0">
      <alignment horizontal="right" vertical="center"/>
    </xf>
    <xf numFmtId="165" fontId="134" fillId="49" borderId="8" applyAlignment="1" pivotButton="0" quotePrefix="0" xfId="0">
      <alignment horizontal="center" vertical="center"/>
    </xf>
    <xf numFmtId="165" fontId="134" fillId="49" borderId="10" applyAlignment="1" pivotButton="0" quotePrefix="0" xfId="0">
      <alignment horizontal="center" vertical="center"/>
    </xf>
    <xf numFmtId="16" fontId="132" fillId="49" borderId="20" applyAlignment="1" pivotButton="0" quotePrefix="0" xfId="0">
      <alignment horizontal="left" vertical="center"/>
    </xf>
    <xf numFmtId="0" fontId="134" fillId="49" borderId="11" applyAlignment="1" pivotButton="0" quotePrefix="0" xfId="0">
      <alignment horizontal="right" vertical="center"/>
    </xf>
    <xf numFmtId="165" fontId="134" fillId="49" borderId="20" applyAlignment="1" pivotButton="0" quotePrefix="0" xfId="0">
      <alignment horizontal="center" vertical="center"/>
    </xf>
    <xf numFmtId="165" fontId="134" fillId="49" borderId="11" applyAlignment="1" pivotButton="0" quotePrefix="0" xfId="0">
      <alignment horizontal="center" vertical="center"/>
    </xf>
    <xf numFmtId="0" fontId="132" fillId="41" borderId="5" applyAlignment="1" pivotButton="0" quotePrefix="0" xfId="0">
      <alignment horizontal="center" vertical="center"/>
    </xf>
    <xf numFmtId="0" fontId="134" fillId="18" borderId="10" applyAlignment="1" pivotButton="0" quotePrefix="0" xfId="0">
      <alignment horizontal="center"/>
    </xf>
    <xf numFmtId="0" fontId="134" fillId="41" borderId="6" applyAlignment="1" pivotButton="0" quotePrefix="0" xfId="0">
      <alignment horizontal="center"/>
    </xf>
    <xf numFmtId="0" fontId="134" fillId="50" borderId="13" applyAlignment="1" pivotButton="0" quotePrefix="0" xfId="0">
      <alignment horizontal="center"/>
    </xf>
    <xf numFmtId="0" fontId="134" fillId="50" borderId="17" applyAlignment="1" pivotButton="0" quotePrefix="0" xfId="0">
      <alignment horizontal="center"/>
    </xf>
    <xf numFmtId="0" fontId="134" fillId="50" borderId="14" applyAlignment="1" pivotButton="0" quotePrefix="0" xfId="0">
      <alignment horizontal="center"/>
    </xf>
    <xf numFmtId="0" fontId="134" fillId="44" borderId="8" applyAlignment="1" pivotButton="0" quotePrefix="0" xfId="0">
      <alignment horizontal="left" vertical="center"/>
    </xf>
    <xf numFmtId="0" fontId="134" fillId="44" borderId="10" applyAlignment="1" pivotButton="0" quotePrefix="0" xfId="0">
      <alignment horizontal="left" vertical="center"/>
    </xf>
    <xf numFmtId="165" fontId="134" fillId="44" borderId="8" applyAlignment="1" pivotButton="0" quotePrefix="0" xfId="0">
      <alignment horizontal="center" vertical="center"/>
    </xf>
    <xf numFmtId="165" fontId="134" fillId="44" borderId="10" applyAlignment="1" pivotButton="0" quotePrefix="0" xfId="0">
      <alignment horizontal="center" vertical="center"/>
    </xf>
    <xf numFmtId="0" fontId="134" fillId="44" borderId="16" applyAlignment="1" pivotButton="0" quotePrefix="0" xfId="0">
      <alignment horizontal="center" vertical="center"/>
    </xf>
    <xf numFmtId="0" fontId="134" fillId="49" borderId="0" applyAlignment="1" pivotButton="0" quotePrefix="0" xfId="0">
      <alignment horizontal="left" vertical="center"/>
    </xf>
    <xf numFmtId="0" fontId="134" fillId="49" borderId="7" applyAlignment="1" pivotButton="0" quotePrefix="0" xfId="0">
      <alignment horizontal="right" vertical="center"/>
    </xf>
    <xf numFmtId="165" fontId="134" fillId="49" borderId="0" applyAlignment="1" pivotButton="0" quotePrefix="0" xfId="0">
      <alignment horizontal="center" vertical="center"/>
    </xf>
    <xf numFmtId="0" fontId="134" fillId="43" borderId="0" applyAlignment="1" pivotButton="0" quotePrefix="0" xfId="0">
      <alignment horizontal="left" vertical="center"/>
    </xf>
    <xf numFmtId="0" fontId="134" fillId="43" borderId="0" applyAlignment="1" pivotButton="0" quotePrefix="0" xfId="0">
      <alignment horizontal="right" vertical="center"/>
    </xf>
    <xf numFmtId="0" fontId="134" fillId="49" borderId="9" applyAlignment="1" pivotButton="0" quotePrefix="0" xfId="0">
      <alignment horizontal="left" vertical="center"/>
    </xf>
    <xf numFmtId="0" fontId="134" fillId="49" borderId="10" applyAlignment="1" pivotButton="0" quotePrefix="0" xfId="0">
      <alignment horizontal="right" vertical="center"/>
    </xf>
    <xf numFmtId="165" fontId="134" fillId="49" borderId="9" applyAlignment="1" pivotButton="0" quotePrefix="0" xfId="0">
      <alignment horizontal="center" vertical="center"/>
    </xf>
    <xf numFmtId="0" fontId="134" fillId="18" borderId="13" applyAlignment="1" pivotButton="0" quotePrefix="0" xfId="0">
      <alignment horizontal="center"/>
    </xf>
    <xf numFmtId="0" fontId="134" fillId="47" borderId="13" applyAlignment="1" pivotButton="0" quotePrefix="0" xfId="0">
      <alignment horizontal="center"/>
    </xf>
    <xf numFmtId="0" fontId="134" fillId="30" borderId="14" applyAlignment="1" pivotButton="0" quotePrefix="0" xfId="0">
      <alignment horizontal="center"/>
    </xf>
    <xf numFmtId="0" fontId="134" fillId="47" borderId="17" applyAlignment="1" pivotButton="0" quotePrefix="0" xfId="0">
      <alignment horizontal="center"/>
    </xf>
    <xf numFmtId="0" fontId="134" fillId="18" borderId="12" applyAlignment="1" pivotButton="0" quotePrefix="0" xfId="0">
      <alignment horizontal="center"/>
    </xf>
    <xf numFmtId="0" fontId="134" fillId="30" borderId="12" applyAlignment="1" pivotButton="0" quotePrefix="0" xfId="0">
      <alignment horizontal="center"/>
    </xf>
    <xf numFmtId="0" fontId="134" fillId="31" borderId="12" applyAlignment="1" pivotButton="0" quotePrefix="0" xfId="0">
      <alignment horizontal="center"/>
    </xf>
    <xf numFmtId="0" fontId="134" fillId="31" borderId="11" applyAlignment="1" pivotButton="0" quotePrefix="0" xfId="0">
      <alignment horizontal="center"/>
    </xf>
    <xf numFmtId="0" fontId="134" fillId="38" borderId="11" applyAlignment="1" pivotButton="0" quotePrefix="0" xfId="0">
      <alignment horizontal="center"/>
    </xf>
    <xf numFmtId="0" fontId="134" fillId="50" borderId="5" applyAlignment="1" pivotButton="0" quotePrefix="0" xfId="0">
      <alignment horizontal="center"/>
    </xf>
    <xf numFmtId="0" fontId="134" fillId="53" borderId="6" applyAlignment="1" pivotButton="0" quotePrefix="0" xfId="0">
      <alignment horizontal="left" vertical="center"/>
    </xf>
    <xf numFmtId="0" fontId="134" fillId="53" borderId="0" applyAlignment="1" pivotButton="0" quotePrefix="0" xfId="0">
      <alignment horizontal="center" vertical="center"/>
    </xf>
    <xf numFmtId="165" fontId="134" fillId="53" borderId="6" applyAlignment="1" pivotButton="0" quotePrefix="0" xfId="0">
      <alignment horizontal="center" vertical="center"/>
    </xf>
    <xf numFmtId="165" fontId="134" fillId="53" borderId="7" applyAlignment="1" pivotButton="0" quotePrefix="0" xfId="0">
      <alignment horizontal="center" vertical="center"/>
    </xf>
    <xf numFmtId="0" fontId="134" fillId="53" borderId="0" applyAlignment="1" pivotButton="0" quotePrefix="0" xfId="0">
      <alignment horizontal="left" vertical="center"/>
    </xf>
    <xf numFmtId="0" fontId="134" fillId="51" borderId="5" applyAlignment="1" pivotButton="0" quotePrefix="0" xfId="0">
      <alignment horizontal="center"/>
    </xf>
    <xf numFmtId="0" fontId="134" fillId="52" borderId="12" applyAlignment="1" pivotButton="0" quotePrefix="1" xfId="0">
      <alignment horizontal="center"/>
    </xf>
    <xf numFmtId="0" fontId="134" fillId="47" borderId="12" applyAlignment="1" pivotButton="0" quotePrefix="0" xfId="0">
      <alignment horizontal="center"/>
    </xf>
    <xf numFmtId="0" fontId="134" fillId="18" borderId="5" applyAlignment="1" pivotButton="0" quotePrefix="0" xfId="0">
      <alignment horizontal="center"/>
    </xf>
    <xf numFmtId="0" fontId="134" fillId="52" borderId="15" applyAlignment="1" pivotButton="0" quotePrefix="1" xfId="0">
      <alignment horizontal="center"/>
    </xf>
    <xf numFmtId="0" fontId="134" fillId="52" borderId="0" applyAlignment="1" pivotButton="0" quotePrefix="1" xfId="0">
      <alignment horizontal="center"/>
    </xf>
    <xf numFmtId="0" fontId="134" fillId="52" borderId="20" applyAlignment="1" pivotButton="0" quotePrefix="1" xfId="0">
      <alignment horizontal="center"/>
    </xf>
    <xf numFmtId="0" fontId="134" fillId="52" borderId="15" applyAlignment="1" pivotButton="0" quotePrefix="0" xfId="0">
      <alignment horizontal="center"/>
    </xf>
    <xf numFmtId="0" fontId="134" fillId="52" borderId="20" applyAlignment="1" pivotButton="0" quotePrefix="0" xfId="0">
      <alignment horizontal="center"/>
    </xf>
    <xf numFmtId="0" fontId="134" fillId="52" borderId="0" applyAlignment="1" pivotButton="0" quotePrefix="0" xfId="0">
      <alignment horizontal="center"/>
    </xf>
    <xf numFmtId="0" fontId="134" fillId="42" borderId="5" applyAlignment="1" pivotButton="0" quotePrefix="0" xfId="0">
      <alignment horizontal="center" vertical="center"/>
    </xf>
    <xf numFmtId="0" fontId="134" fillId="44" borderId="7" applyAlignment="1" pivotButton="0" quotePrefix="0" xfId="0">
      <alignment horizontal="center" vertical="center"/>
    </xf>
    <xf numFmtId="0" fontId="134" fillId="30" borderId="5" applyAlignment="1" pivotButton="0" quotePrefix="0" xfId="0">
      <alignment horizontal="center" vertical="center"/>
    </xf>
    <xf numFmtId="16" fontId="134" fillId="53" borderId="6" applyAlignment="1" pivotButton="0" quotePrefix="0" xfId="0">
      <alignment horizontal="left" vertical="center"/>
    </xf>
    <xf numFmtId="16" fontId="134" fillId="53" borderId="0" applyAlignment="1" pivotButton="0" quotePrefix="0" xfId="0">
      <alignment horizontal="center" vertical="center"/>
    </xf>
    <xf numFmtId="16" fontId="134" fillId="53" borderId="0" applyAlignment="1" pivotButton="0" quotePrefix="0" xfId="0">
      <alignment horizontal="left" vertical="center"/>
    </xf>
    <xf numFmtId="0" fontId="134" fillId="37" borderId="0" applyAlignment="1" pivotButton="0" quotePrefix="0" xfId="0">
      <alignment horizontal="left" vertical="center"/>
    </xf>
    <xf numFmtId="0" fontId="134" fillId="37" borderId="0" applyAlignment="1" pivotButton="0" quotePrefix="0" xfId="0">
      <alignment horizontal="right" vertical="center"/>
    </xf>
    <xf numFmtId="0" fontId="134" fillId="26" borderId="0" applyAlignment="1" pivotButton="0" quotePrefix="0" xfId="0">
      <alignment horizontal="left" vertical="center"/>
    </xf>
    <xf numFmtId="0" fontId="134" fillId="26" borderId="7" applyAlignment="1" pivotButton="0" quotePrefix="0" xfId="0">
      <alignment horizontal="center" vertical="center"/>
    </xf>
    <xf numFmtId="0" fontId="134" fillId="18" borderId="16" applyAlignment="1" pivotButton="0" quotePrefix="0" xfId="0">
      <alignment horizontal="center"/>
    </xf>
    <xf numFmtId="0" fontId="134" fillId="52" borderId="5" applyAlignment="1" pivotButton="0" quotePrefix="0" xfId="0">
      <alignment horizontal="center"/>
    </xf>
    <xf numFmtId="0" fontId="134" fillId="53" borderId="0" applyAlignment="1" pivotButton="0" quotePrefix="0" xfId="0">
      <alignment horizontal="right" vertical="center"/>
    </xf>
    <xf numFmtId="16" fontId="134" fillId="0" borderId="0" applyAlignment="1" pivotButton="0" quotePrefix="0" xfId="0">
      <alignment vertical="center"/>
    </xf>
    <xf numFmtId="0" fontId="134" fillId="23" borderId="5" applyAlignment="1" pivotButton="0" quotePrefix="0" xfId="0">
      <alignment horizontal="center"/>
    </xf>
    <xf numFmtId="0" fontId="134" fillId="29" borderId="9" applyAlignment="1" pivotButton="0" quotePrefix="0" xfId="0">
      <alignment horizontal="left" vertical="center"/>
    </xf>
    <xf numFmtId="0" fontId="134" fillId="29" borderId="9" applyAlignment="1" pivotButton="0" quotePrefix="0" xfId="0">
      <alignment horizontal="right" vertical="center"/>
    </xf>
    <xf numFmtId="165" fontId="134" fillId="29" borderId="8" applyAlignment="1" pivotButton="0" quotePrefix="0" xfId="0">
      <alignment horizontal="center" vertical="center"/>
    </xf>
    <xf numFmtId="165" fontId="134" fillId="29" borderId="10" applyAlignment="1" pivotButton="0" quotePrefix="0" xfId="0">
      <alignment horizontal="center" vertical="center"/>
    </xf>
    <xf numFmtId="0" fontId="134" fillId="52" borderId="14" applyAlignment="1" pivotButton="0" quotePrefix="0" xfId="0">
      <alignment horizontal="center"/>
    </xf>
    <xf numFmtId="0" fontId="134" fillId="53" borderId="8" applyAlignment="1" pivotButton="0" quotePrefix="0" xfId="0">
      <alignment horizontal="left" vertical="center"/>
    </xf>
    <xf numFmtId="0" fontId="134" fillId="53" borderId="9" applyAlignment="1" pivotButton="0" quotePrefix="0" xfId="0">
      <alignment horizontal="center" vertical="center"/>
    </xf>
    <xf numFmtId="165" fontId="134" fillId="53" borderId="8" applyAlignment="1" pivotButton="0" quotePrefix="0" xfId="0">
      <alignment horizontal="center" vertical="center"/>
    </xf>
    <xf numFmtId="165" fontId="134" fillId="53" borderId="10" applyAlignment="1" pivotButton="0" quotePrefix="0" xfId="0">
      <alignment horizontal="center" vertical="center"/>
    </xf>
    <xf numFmtId="0" fontId="134" fillId="26" borderId="16" applyAlignment="1" pivotButton="0" quotePrefix="0" xfId="0">
      <alignment horizontal="center" vertical="center"/>
    </xf>
    <xf numFmtId="0" fontId="134" fillId="53" borderId="9" applyAlignment="1" pivotButton="0" quotePrefix="0" xfId="0">
      <alignment horizontal="left" vertical="center"/>
    </xf>
    <xf numFmtId="0" fontId="134" fillId="44" borderId="0" applyAlignment="1" pivotButton="0" quotePrefix="0" xfId="0">
      <alignment horizontal="right" vertical="center"/>
    </xf>
    <xf numFmtId="0" fontId="134" fillId="44" borderId="16" applyAlignment="1" pivotButton="0" quotePrefix="1" xfId="0">
      <alignment horizontal="center" vertical="center"/>
    </xf>
    <xf numFmtId="0" fontId="134" fillId="53" borderId="9" applyAlignment="1" pivotButton="0" quotePrefix="0" xfId="0">
      <alignment horizontal="right" vertical="center"/>
    </xf>
    <xf numFmtId="0" fontId="134" fillId="34" borderId="10" applyAlignment="1" pivotButton="0" quotePrefix="0" xfId="0">
      <alignment horizontal="center" vertical="center"/>
    </xf>
    <xf numFmtId="0" fontId="134" fillId="41" borderId="16" applyAlignment="1" pivotButton="0" quotePrefix="0" xfId="0">
      <alignment horizontal="center"/>
    </xf>
    <xf numFmtId="0" fontId="134" fillId="26" borderId="10" applyAlignment="1" pivotButton="0" quotePrefix="0" xfId="0">
      <alignment vertical="center"/>
    </xf>
    <xf numFmtId="167" fontId="134" fillId="26" borderId="6" applyAlignment="1" pivotButton="0" quotePrefix="0" xfId="0">
      <alignment horizontal="center" vertical="center"/>
    </xf>
    <xf numFmtId="167" fontId="134" fillId="26" borderId="7" applyAlignment="1" pivotButton="0" quotePrefix="0" xfId="0">
      <alignment horizontal="center" vertical="center"/>
    </xf>
    <xf numFmtId="0" fontId="134" fillId="30" borderId="6" applyAlignment="1" pivotButton="0" quotePrefix="0" xfId="0">
      <alignment horizontal="left" vertical="center"/>
    </xf>
    <xf numFmtId="0" fontId="134" fillId="30" borderId="0" applyAlignment="1" pivotButton="0" quotePrefix="0" xfId="0">
      <alignment horizontal="left" vertical="center"/>
    </xf>
    <xf numFmtId="167" fontId="134" fillId="30" borderId="6" applyAlignment="1" pivotButton="0" quotePrefix="0" xfId="0">
      <alignment horizontal="center" vertical="center"/>
    </xf>
    <xf numFmtId="167" fontId="134" fillId="30" borderId="7" applyAlignment="1" pivotButton="0" quotePrefix="0" xfId="0">
      <alignment horizontal="center" vertical="center"/>
    </xf>
    <xf numFmtId="0" fontId="134" fillId="30" borderId="0" applyAlignment="1" pivotButton="0" quotePrefix="0" xfId="0">
      <alignment horizontal="right" vertical="center"/>
    </xf>
    <xf numFmtId="165" fontId="134" fillId="30" borderId="6" applyAlignment="1" pivotButton="0" quotePrefix="0" xfId="0">
      <alignment horizontal="center" vertical="center"/>
    </xf>
    <xf numFmtId="165" fontId="134" fillId="30" borderId="7" applyAlignment="1" pivotButton="0" quotePrefix="0" xfId="0">
      <alignment horizontal="center" vertical="center"/>
    </xf>
    <xf numFmtId="0" fontId="134" fillId="34" borderId="0" applyAlignment="1" pivotButton="0" quotePrefix="0" xfId="0">
      <alignment horizontal="center" vertical="center"/>
    </xf>
    <xf numFmtId="0" fontId="132" fillId="35" borderId="6" applyAlignment="1" pivotButton="0" quotePrefix="0" xfId="0">
      <alignment horizontal="left" vertical="center"/>
    </xf>
    <xf numFmtId="0" fontId="132" fillId="35" borderId="0" applyAlignment="1" pivotButton="0" quotePrefix="0" xfId="0">
      <alignment horizontal="left" vertical="center"/>
    </xf>
    <xf numFmtId="165" fontId="132" fillId="35" borderId="6" applyAlignment="1" pivotButton="0" quotePrefix="0" xfId="0">
      <alignment horizontal="center" vertical="center"/>
    </xf>
    <xf numFmtId="165" fontId="132" fillId="35" borderId="7" applyAlignment="1" pivotButton="0" quotePrefix="0" xfId="0">
      <alignment horizontal="center" vertical="center"/>
    </xf>
    <xf numFmtId="0" fontId="134" fillId="27" borderId="6" applyAlignment="1" pivotButton="0" quotePrefix="0" xfId="0">
      <alignment vertical="center"/>
    </xf>
    <xf numFmtId="0" fontId="134" fillId="27" borderId="0" applyAlignment="1" pivotButton="0" quotePrefix="0" xfId="0">
      <alignment vertical="center"/>
    </xf>
    <xf numFmtId="16" fontId="134" fillId="27" borderId="6" applyAlignment="1" pivotButton="0" quotePrefix="0" xfId="0">
      <alignment horizontal="center" vertical="center"/>
    </xf>
    <xf numFmtId="16" fontId="134" fillId="27" borderId="7" applyAlignment="1" pivotButton="0" quotePrefix="0" xfId="0">
      <alignment horizontal="center" vertical="center"/>
    </xf>
    <xf numFmtId="0" fontId="134" fillId="31" borderId="6" applyAlignment="1" pivotButton="0" quotePrefix="0" xfId="0">
      <alignment horizontal="left" vertical="center"/>
    </xf>
    <xf numFmtId="0" fontId="134" fillId="31" borderId="0" applyAlignment="1" pivotButton="0" quotePrefix="0" xfId="0">
      <alignment horizontal="left" vertical="center"/>
    </xf>
    <xf numFmtId="167" fontId="134" fillId="31" borderId="6" applyAlignment="1" pivotButton="0" quotePrefix="0" xfId="0">
      <alignment horizontal="center" vertical="center"/>
    </xf>
    <xf numFmtId="167" fontId="134" fillId="31" borderId="7" applyAlignment="1" pivotButton="0" quotePrefix="0" xfId="0">
      <alignment horizontal="center" vertical="center"/>
    </xf>
    <xf numFmtId="0" fontId="134" fillId="31" borderId="0" applyAlignment="1" pivotButton="0" quotePrefix="0" xfId="0">
      <alignment horizontal="right" vertical="center"/>
    </xf>
    <xf numFmtId="165" fontId="134" fillId="31" borderId="6" applyAlignment="1" pivotButton="0" quotePrefix="0" xfId="0">
      <alignment horizontal="center" vertical="center"/>
    </xf>
    <xf numFmtId="165" fontId="134" fillId="31" borderId="7" applyAlignment="1" pivotButton="0" quotePrefix="0" xfId="0">
      <alignment horizontal="center" vertical="center"/>
    </xf>
    <xf numFmtId="0" fontId="134" fillId="42" borderId="6" applyAlignment="1" pivotButton="0" quotePrefix="0" xfId="0">
      <alignment vertical="center"/>
    </xf>
    <xf numFmtId="16" fontId="134" fillId="42" borderId="6" applyAlignment="1" pivotButton="0" quotePrefix="0" xfId="0">
      <alignment horizontal="center" vertical="center"/>
    </xf>
    <xf numFmtId="16" fontId="134" fillId="42" borderId="7" applyAlignment="1" pivotButton="0" quotePrefix="0" xfId="0">
      <alignment horizontal="center" vertical="center"/>
    </xf>
    <xf numFmtId="0" fontId="134" fillId="34" borderId="7" applyAlignment="1" pivotButton="0" quotePrefix="1" xfId="0">
      <alignment horizontal="center" vertical="center"/>
    </xf>
    <xf numFmtId="0" fontId="134" fillId="36" borderId="6" applyAlignment="1" pivotButton="0" quotePrefix="0" xfId="0">
      <alignment horizontal="left" vertical="center"/>
    </xf>
    <xf numFmtId="167" fontId="134" fillId="36" borderId="6" applyAlignment="1" pivotButton="0" quotePrefix="0" xfId="0">
      <alignment horizontal="center" vertical="center"/>
    </xf>
    <xf numFmtId="167" fontId="134" fillId="36" borderId="7" applyAlignment="1" pivotButton="0" quotePrefix="0" xfId="0">
      <alignment horizontal="center" vertical="center"/>
    </xf>
    <xf numFmtId="0" fontId="134" fillId="29" borderId="6" applyAlignment="1" pivotButton="0" quotePrefix="0" xfId="0">
      <alignment horizontal="left" vertical="center"/>
    </xf>
    <xf numFmtId="16" fontId="134" fillId="29" borderId="6" applyAlignment="1" pivotButton="0" quotePrefix="0" xfId="0">
      <alignment horizontal="center" vertical="center"/>
    </xf>
    <xf numFmtId="16" fontId="134" fillId="29" borderId="7" applyAlignment="1" pivotButton="0" quotePrefix="0" xfId="0">
      <alignment horizontal="center" vertical="center"/>
    </xf>
    <xf numFmtId="16" fontId="134" fillId="36" borderId="6" applyAlignment="1" pivotButton="0" quotePrefix="0" xfId="0">
      <alignment horizontal="left" vertical="center"/>
    </xf>
    <xf numFmtId="16" fontId="134" fillId="36" borderId="0" applyAlignment="1" pivotButton="0" quotePrefix="0" xfId="0">
      <alignment horizontal="left" vertical="center"/>
    </xf>
    <xf numFmtId="0" fontId="134" fillId="27" borderId="6" applyAlignment="1" pivotButton="0" quotePrefix="0" xfId="0">
      <alignment horizontal="left" vertical="center"/>
    </xf>
    <xf numFmtId="0" fontId="134" fillId="44" borderId="6" applyAlignment="1" pivotButton="0" quotePrefix="0" xfId="0">
      <alignment horizontal="left" vertical="center"/>
    </xf>
    <xf numFmtId="0" fontId="134" fillId="52" borderId="0" pivotButton="0" quotePrefix="0" xfId="0"/>
    <xf numFmtId="0" fontId="134" fillId="50" borderId="6" applyAlignment="1" pivotButton="0" quotePrefix="0" xfId="0">
      <alignment horizontal="left" vertical="center"/>
    </xf>
    <xf numFmtId="0" fontId="134" fillId="50" borderId="0" applyAlignment="1" pivotButton="0" quotePrefix="0" xfId="0">
      <alignment horizontal="left" vertical="center"/>
    </xf>
    <xf numFmtId="167" fontId="134" fillId="50" borderId="6" applyAlignment="1" pivotButton="0" quotePrefix="0" xfId="0">
      <alignment horizontal="center" vertical="center"/>
    </xf>
    <xf numFmtId="167" fontId="134" fillId="50" borderId="7" applyAlignment="1" pivotButton="0" quotePrefix="0" xfId="0">
      <alignment horizontal="center" vertical="center"/>
    </xf>
    <xf numFmtId="0" fontId="132" fillId="38" borderId="18" applyAlignment="1" pivotButton="0" quotePrefix="0" xfId="0">
      <alignment horizontal="center" vertical="center"/>
    </xf>
    <xf numFmtId="0" fontId="134" fillId="26" borderId="0" applyAlignment="1" pivotButton="0" quotePrefix="1" xfId="0">
      <alignment horizontal="right" vertical="center"/>
    </xf>
    <xf numFmtId="0" fontId="134" fillId="41" borderId="18" applyAlignment="1" pivotButton="0" quotePrefix="0" xfId="0">
      <alignment horizontal="center"/>
    </xf>
    <xf numFmtId="0" fontId="132" fillId="50" borderId="7" applyAlignment="1" pivotButton="0" quotePrefix="0" xfId="0">
      <alignment horizontal="center" vertical="center"/>
    </xf>
    <xf numFmtId="0" fontId="134" fillId="48" borderId="6" applyAlignment="1" pivotButton="0" quotePrefix="0" xfId="0">
      <alignment horizontal="left" vertical="center"/>
    </xf>
    <xf numFmtId="0" fontId="134" fillId="26" borderId="7" applyAlignment="1" pivotButton="0" quotePrefix="0" xfId="0">
      <alignment horizontal="left" vertical="center"/>
    </xf>
    <xf numFmtId="0" fontId="134" fillId="49" borderId="6" applyAlignment="1" pivotButton="0" quotePrefix="0" xfId="0">
      <alignment vertical="center"/>
    </xf>
    <xf numFmtId="16" fontId="134" fillId="49" borderId="6" applyAlignment="1" pivotButton="0" quotePrefix="0" xfId="0">
      <alignment horizontal="center" vertical="center"/>
    </xf>
    <xf numFmtId="16" fontId="134" fillId="49" borderId="7" applyAlignment="1" pivotButton="0" quotePrefix="0" xfId="0">
      <alignment horizontal="center" vertical="center"/>
    </xf>
    <xf numFmtId="0" fontId="134" fillId="52" borderId="8" applyAlignment="1" pivotButton="0" quotePrefix="0" xfId="0">
      <alignment horizontal="center"/>
    </xf>
    <xf numFmtId="0" fontId="134" fillId="52" borderId="9" applyAlignment="1" pivotButton="0" quotePrefix="0" xfId="0">
      <alignment horizontal="center"/>
    </xf>
    <xf numFmtId="0" fontId="134" fillId="56" borderId="15" pivotButton="0" quotePrefix="0" xfId="0"/>
    <xf numFmtId="0" fontId="134" fillId="56" borderId="20" pivotButton="0" quotePrefix="0" xfId="0"/>
    <xf numFmtId="0" fontId="134" fillId="56" borderId="20" applyAlignment="1" pivotButton="0" quotePrefix="0" xfId="0">
      <alignment horizontal="center"/>
    </xf>
    <xf numFmtId="0" fontId="134" fillId="52" borderId="12" applyAlignment="1" pivotButton="0" quotePrefix="0" xfId="0">
      <alignment horizontal="center"/>
    </xf>
    <xf numFmtId="0" fontId="145" fillId="54" borderId="0" applyAlignment="1" pivotButton="0" quotePrefix="0" xfId="0">
      <alignment horizontal="left" vertical="center"/>
    </xf>
    <xf numFmtId="0" fontId="134" fillId="56" borderId="0" pivotButton="0" quotePrefix="0" xfId="0"/>
    <xf numFmtId="0" fontId="134" fillId="56" borderId="0" applyAlignment="1" pivotButton="0" quotePrefix="0" xfId="0">
      <alignment horizontal="center"/>
    </xf>
    <xf numFmtId="0" fontId="134" fillId="50" borderId="16" applyAlignment="1" pivotButton="0" quotePrefix="0" xfId="0">
      <alignment horizontal="center"/>
    </xf>
    <xf numFmtId="0" fontId="134" fillId="33" borderId="6" applyAlignment="1" pivotButton="0" quotePrefix="0" xfId="0">
      <alignment horizontal="left" vertical="center"/>
    </xf>
    <xf numFmtId="0" fontId="132" fillId="33" borderId="0" applyAlignment="1" pivotButton="0" quotePrefix="0" xfId="0">
      <alignment horizontal="left" vertical="center"/>
    </xf>
    <xf numFmtId="167" fontId="134" fillId="33" borderId="6" applyAlignment="1" pivotButton="0" quotePrefix="0" xfId="0">
      <alignment horizontal="center" vertical="center"/>
    </xf>
    <xf numFmtId="167" fontId="134" fillId="33" borderId="7" applyAlignment="1" pivotButton="0" quotePrefix="0" xfId="0">
      <alignment horizontal="center" vertical="center"/>
    </xf>
    <xf numFmtId="16" fontId="134" fillId="40" borderId="6" applyAlignment="1" pivotButton="0" quotePrefix="0" xfId="0">
      <alignment horizontal="left" vertical="center"/>
    </xf>
    <xf numFmtId="16" fontId="132" fillId="40" borderId="0" applyAlignment="1" pivotButton="0" quotePrefix="0" xfId="0">
      <alignment horizontal="left" vertical="center"/>
    </xf>
    <xf numFmtId="0" fontId="134" fillId="49" borderId="0" applyAlignment="1" pivotButton="0" quotePrefix="0" xfId="0">
      <alignment vertical="center"/>
    </xf>
    <xf numFmtId="16" fontId="134" fillId="44" borderId="6" applyAlignment="1" pivotButton="0" quotePrefix="0" xfId="0">
      <alignment horizontal="center" vertical="center"/>
    </xf>
    <xf numFmtId="16" fontId="134" fillId="44" borderId="7" applyAlignment="1" pivotButton="0" quotePrefix="0" xfId="0">
      <alignment horizontal="center" vertical="center"/>
    </xf>
    <xf numFmtId="16" fontId="134" fillId="48" borderId="6" applyAlignment="1" pivotButton="0" quotePrefix="0" xfId="0">
      <alignment horizontal="left" vertical="center"/>
    </xf>
    <xf numFmtId="16" fontId="134" fillId="48" borderId="0" applyAlignment="1" pivotButton="0" quotePrefix="0" xfId="0">
      <alignment horizontal="left" vertical="center"/>
    </xf>
    <xf numFmtId="0" fontId="134" fillId="35" borderId="6" applyAlignment="1" pivotButton="0" quotePrefix="0" xfId="0">
      <alignment horizontal="left" vertical="center"/>
    </xf>
    <xf numFmtId="0" fontId="134" fillId="35" borderId="0" applyAlignment="1" pivotButton="0" quotePrefix="0" xfId="0">
      <alignment horizontal="left" vertical="center"/>
    </xf>
    <xf numFmtId="165" fontId="134" fillId="35" borderId="6" applyAlignment="1" pivotButton="0" quotePrefix="0" xfId="0">
      <alignment horizontal="center" vertical="center"/>
    </xf>
    <xf numFmtId="165" fontId="134" fillId="35" borderId="7" applyAlignment="1" pivotButton="0" quotePrefix="0" xfId="0">
      <alignment horizontal="center" vertical="center"/>
    </xf>
    <xf numFmtId="16" fontId="134" fillId="37" borderId="6" applyAlignment="1" pivotButton="0" quotePrefix="0" xfId="0">
      <alignment horizontal="left" vertical="center"/>
    </xf>
    <xf numFmtId="0" fontId="134" fillId="44" borderId="7" applyAlignment="1" pivotButton="0" quotePrefix="1" xfId="0">
      <alignment horizontal="center" vertical="center"/>
    </xf>
    <xf numFmtId="0" fontId="132" fillId="40" borderId="6" applyAlignment="1" pivotButton="0" quotePrefix="0" xfId="0">
      <alignment horizontal="left" vertical="center"/>
    </xf>
    <xf numFmtId="0" fontId="132" fillId="50" borderId="6" applyAlignment="1" pivotButton="0" quotePrefix="0" xfId="0">
      <alignment horizontal="left" vertical="center"/>
    </xf>
    <xf numFmtId="0" fontId="134" fillId="40" borderId="6" applyAlignment="1" pivotButton="0" quotePrefix="0" xfId="0">
      <alignment horizontal="left" vertical="center"/>
    </xf>
    <xf numFmtId="0" fontId="134" fillId="40" borderId="0" applyAlignment="1" pivotButton="0" quotePrefix="0" xfId="0">
      <alignment vertical="center"/>
    </xf>
    <xf numFmtId="16" fontId="134" fillId="40" borderId="6" applyAlignment="1" pivotButton="0" quotePrefix="0" xfId="0">
      <alignment horizontal="center" vertical="center"/>
    </xf>
    <xf numFmtId="16" fontId="134" fillId="40" borderId="7" applyAlignment="1" pivotButton="0" quotePrefix="0" xfId="0">
      <alignment horizontal="center" vertical="center"/>
    </xf>
    <xf numFmtId="0" fontId="134" fillId="38" borderId="0" applyAlignment="1" pivotButton="0" quotePrefix="0" xfId="0">
      <alignment horizontal="center" vertical="center"/>
    </xf>
    <xf numFmtId="16" fontId="132" fillId="37" borderId="0" applyAlignment="1" pivotButton="0" quotePrefix="0" xfId="0">
      <alignment horizontal="left" vertical="center"/>
    </xf>
    <xf numFmtId="0" fontId="134" fillId="43" borderId="6" applyAlignment="1" pivotButton="0" quotePrefix="0" xfId="0">
      <alignment horizontal="left" vertical="center"/>
    </xf>
    <xf numFmtId="0" fontId="134" fillId="34" borderId="18" applyAlignment="1" pivotButton="0" quotePrefix="1" xfId="0">
      <alignment horizontal="center" vertical="center"/>
    </xf>
    <xf numFmtId="0" fontId="134" fillId="53" borderId="6" applyAlignment="1" pivotButton="0" quotePrefix="0" xfId="0">
      <alignment vertical="center"/>
    </xf>
    <xf numFmtId="0" fontId="134" fillId="53" borderId="0" applyAlignment="1" pivotButton="0" quotePrefix="0" xfId="0">
      <alignment vertical="center"/>
    </xf>
    <xf numFmtId="16" fontId="134" fillId="53" borderId="6" applyAlignment="1" pivotButton="0" quotePrefix="0" xfId="0">
      <alignment horizontal="center" vertical="center"/>
    </xf>
    <xf numFmtId="16" fontId="134" fillId="53" borderId="7" applyAlignment="1" pivotButton="0" quotePrefix="0" xfId="0">
      <alignment horizontal="center" vertical="center"/>
    </xf>
    <xf numFmtId="0" fontId="132" fillId="53" borderId="6" applyAlignment="1" pivotButton="0" quotePrefix="0" xfId="0">
      <alignment vertical="center"/>
    </xf>
    <xf numFmtId="16" fontId="132" fillId="38" borderId="6" applyAlignment="1" pivotButton="0" quotePrefix="0" xfId="0">
      <alignment horizontal="left" vertical="center"/>
    </xf>
    <xf numFmtId="0" fontId="132" fillId="53" borderId="0" applyAlignment="1" pivotButton="0" quotePrefix="0" xfId="0">
      <alignment vertical="center"/>
    </xf>
    <xf numFmtId="16" fontId="134" fillId="38" borderId="6" applyAlignment="1" pivotButton="0" quotePrefix="0" xfId="0">
      <alignment horizontal="left" vertical="center"/>
    </xf>
    <xf numFmtId="0" fontId="132" fillId="34" borderId="0" applyAlignment="1" pivotButton="0" quotePrefix="0" xfId="0">
      <alignment horizontal="center" vertical="center"/>
    </xf>
    <xf numFmtId="167" fontId="134" fillId="44" borderId="6" applyAlignment="1" pivotButton="0" quotePrefix="0" xfId="0">
      <alignment horizontal="center" vertical="center"/>
    </xf>
    <xf numFmtId="167" fontId="134" fillId="44" borderId="7" applyAlignment="1" pivotButton="0" quotePrefix="0" xfId="0">
      <alignment horizontal="center" vertical="center"/>
    </xf>
    <xf numFmtId="0" fontId="132" fillId="45" borderId="18" applyAlignment="1" pivotButton="0" quotePrefix="0" xfId="0">
      <alignment horizontal="center" vertical="center"/>
    </xf>
    <xf numFmtId="0" fontId="134" fillId="50" borderId="0" applyAlignment="1" pivotButton="0" quotePrefix="0" xfId="0">
      <alignment horizontal="right" vertical="center"/>
    </xf>
    <xf numFmtId="165" fontId="134" fillId="50" borderId="6" applyAlignment="1" pivotButton="0" quotePrefix="0" xfId="0">
      <alignment horizontal="center" vertical="center"/>
    </xf>
    <xf numFmtId="165" fontId="134" fillId="50" borderId="7" applyAlignment="1" pivotButton="0" quotePrefix="0" xfId="0">
      <alignment horizontal="center" vertical="center"/>
    </xf>
    <xf numFmtId="0" fontId="132" fillId="30" borderId="6" applyAlignment="1" pivotButton="0" quotePrefix="0" xfId="0">
      <alignment horizontal="left" vertical="center"/>
    </xf>
    <xf numFmtId="0" fontId="134" fillId="26" borderId="5" applyAlignment="1" pivotButton="0" quotePrefix="0" xfId="0">
      <alignment vertical="center"/>
    </xf>
    <xf numFmtId="0" fontId="134" fillId="53" borderId="8" applyAlignment="1" pivotButton="0" quotePrefix="0" xfId="0">
      <alignment vertical="center"/>
    </xf>
    <xf numFmtId="0" fontId="134" fillId="53" borderId="9" applyAlignment="1" pivotButton="0" quotePrefix="0" xfId="0">
      <alignment vertical="center"/>
    </xf>
    <xf numFmtId="16" fontId="134" fillId="53" borderId="8" applyAlignment="1" pivotButton="0" quotePrefix="0" xfId="0">
      <alignment horizontal="center" vertical="center"/>
    </xf>
    <xf numFmtId="16" fontId="134" fillId="53" borderId="10" applyAlignment="1" pivotButton="0" quotePrefix="0" xfId="0">
      <alignment horizontal="center" vertical="center"/>
    </xf>
    <xf numFmtId="0" fontId="134" fillId="14" borderId="0" applyAlignment="1" pivotButton="0" quotePrefix="0" xfId="0">
      <alignment vertical="center"/>
    </xf>
    <xf numFmtId="0" fontId="132" fillId="26" borderId="5" applyAlignment="1" pivotButton="0" quotePrefix="0" xfId="0">
      <alignment horizontal="center" vertical="center"/>
    </xf>
    <xf numFmtId="0" fontId="132" fillId="27" borderId="62" applyAlignment="1" pivotButton="0" quotePrefix="0" xfId="0">
      <alignment horizontal="center" vertical="center"/>
    </xf>
    <xf numFmtId="0" fontId="0" fillId="0" borderId="31" pivotButton="0" quotePrefix="0" xfId="0"/>
    <xf numFmtId="0" fontId="132" fillId="27" borderId="64" applyAlignment="1" pivotButton="0" quotePrefix="0" xfId="0">
      <alignment horizontal="center" vertical="center"/>
    </xf>
    <xf numFmtId="0" fontId="132" fillId="27" borderId="63" applyAlignment="1" pivotButton="0" quotePrefix="0" xfId="0">
      <alignment horizontal="center" vertical="center"/>
    </xf>
    <xf numFmtId="0" fontId="0" fillId="0" borderId="28" pivotButton="0" quotePrefix="0" xfId="0"/>
    <xf numFmtId="165" fontId="134" fillId="30" borderId="0" applyAlignment="1" pivotButton="0" quotePrefix="0" xfId="0">
      <alignment horizontal="center" vertical="center"/>
    </xf>
    <xf numFmtId="16" fontId="134" fillId="26" borderId="6" applyAlignment="1" pivotButton="0" quotePrefix="0" xfId="0">
      <alignment horizontal="center" vertical="center"/>
    </xf>
    <xf numFmtId="16" fontId="134" fillId="26" borderId="7" applyAlignment="1" pivotButton="0" quotePrefix="0" xfId="0">
      <alignment horizontal="center" vertical="center"/>
    </xf>
    <xf numFmtId="0" fontId="134" fillId="29" borderId="15" applyAlignment="1" pivotButton="0" quotePrefix="0" xfId="0">
      <alignment vertical="center"/>
    </xf>
    <xf numFmtId="0" fontId="134" fillId="29" borderId="11" applyAlignment="1" pivotButton="0" quotePrefix="0" xfId="0">
      <alignment horizontal="right" vertical="center"/>
    </xf>
    <xf numFmtId="16" fontId="134" fillId="29" borderId="15" applyAlignment="1" pivotButton="0" quotePrefix="0" xfId="0">
      <alignment horizontal="center" vertical="center"/>
    </xf>
    <xf numFmtId="16" fontId="134" fillId="29" borderId="11" applyAlignment="1" pivotButton="0" quotePrefix="0" xfId="0">
      <alignment horizontal="center" vertical="center"/>
    </xf>
    <xf numFmtId="0" fontId="134" fillId="34" borderId="15" applyAlignment="1" pivotButton="0" quotePrefix="0" xfId="0">
      <alignment horizontal="center" vertical="center"/>
    </xf>
    <xf numFmtId="16" fontId="132" fillId="31" borderId="6" applyAlignment="1" pivotButton="0" quotePrefix="0" xfId="0">
      <alignment horizontal="center" vertical="center"/>
    </xf>
    <xf numFmtId="16" fontId="134" fillId="31" borderId="7" applyAlignment="1" pivotButton="0" quotePrefix="0" xfId="0">
      <alignment horizontal="center" vertical="center"/>
    </xf>
    <xf numFmtId="0" fontId="134" fillId="34" borderId="6" applyAlignment="1" pivotButton="0" quotePrefix="0" xfId="0">
      <alignment horizontal="center" vertical="center"/>
    </xf>
    <xf numFmtId="0" fontId="134" fillId="58" borderId="15" applyAlignment="1" pivotButton="0" quotePrefix="0" xfId="0">
      <alignment horizontal="left" vertical="center"/>
    </xf>
    <xf numFmtId="0" fontId="134" fillId="58" borderId="11" applyAlignment="1" pivotButton="0" quotePrefix="0" xfId="0">
      <alignment horizontal="left" vertical="center"/>
    </xf>
    <xf numFmtId="16" fontId="134" fillId="58" borderId="15" applyAlignment="1" pivotButton="0" quotePrefix="0" xfId="0">
      <alignment horizontal="center" vertical="center"/>
    </xf>
    <xf numFmtId="16" fontId="134" fillId="58" borderId="11" applyAlignment="1" pivotButton="0" quotePrefix="0" xfId="0">
      <alignment horizontal="center" vertical="center"/>
    </xf>
    <xf numFmtId="0" fontId="134" fillId="34" borderId="6" applyAlignment="1" pivotButton="0" quotePrefix="1" xfId="0">
      <alignment horizontal="center" vertical="center"/>
    </xf>
    <xf numFmtId="0" fontId="134" fillId="34" borderId="12" applyAlignment="1" pivotButton="0" quotePrefix="1" xfId="0">
      <alignment horizontal="center" vertical="center"/>
    </xf>
    <xf numFmtId="0" fontId="134" fillId="31" borderId="7" applyAlignment="1" pivotButton="0" quotePrefix="0" xfId="0">
      <alignment horizontal="right" vertical="center"/>
    </xf>
    <xf numFmtId="16" fontId="134" fillId="31" borderId="6" applyAlignment="1" pivotButton="0" quotePrefix="0" xfId="0">
      <alignment horizontal="center" vertical="center"/>
    </xf>
    <xf numFmtId="16" fontId="134" fillId="31" borderId="0" applyAlignment="1" pivotButton="0" quotePrefix="0" xfId="0">
      <alignment horizontal="center" vertical="center"/>
    </xf>
    <xf numFmtId="0" fontId="132" fillId="49" borderId="0" applyAlignment="1" pivotButton="0" quotePrefix="0" xfId="0">
      <alignment horizontal="right" vertical="center"/>
    </xf>
    <xf numFmtId="165" fontId="134" fillId="31" borderId="0" applyAlignment="1" pivotButton="0" quotePrefix="0" xfId="0">
      <alignment horizontal="center" vertical="center"/>
    </xf>
    <xf numFmtId="0" fontId="132" fillId="33" borderId="7" applyAlignment="1" pivotButton="0" quotePrefix="0" xfId="0">
      <alignment horizontal="left" vertical="center"/>
    </xf>
    <xf numFmtId="16" fontId="134" fillId="33" borderId="6" applyAlignment="1" pivotButton="0" quotePrefix="0" xfId="0">
      <alignment horizontal="center" vertical="center"/>
    </xf>
    <xf numFmtId="16" fontId="134" fillId="33" borderId="7" applyAlignment="1" pivotButton="0" quotePrefix="0" xfId="0">
      <alignment horizontal="center" vertical="center"/>
    </xf>
    <xf numFmtId="0" fontId="134" fillId="30" borderId="7" applyAlignment="1" pivotButton="0" quotePrefix="0" xfId="0">
      <alignment horizontal="right" vertical="center"/>
    </xf>
    <xf numFmtId="16" fontId="134" fillId="30" borderId="6" applyAlignment="1" pivotButton="0" quotePrefix="0" xfId="0">
      <alignment horizontal="center" vertical="center"/>
    </xf>
    <xf numFmtId="16" fontId="134" fillId="30" borderId="7" applyAlignment="1" pivotButton="0" quotePrefix="0" xfId="0">
      <alignment horizontal="center" vertical="center"/>
    </xf>
    <xf numFmtId="0" fontId="134" fillId="58" borderId="6" applyAlignment="1" pivotButton="0" quotePrefix="0" xfId="0">
      <alignment horizontal="left" vertical="center"/>
    </xf>
    <xf numFmtId="0" fontId="134" fillId="58" borderId="7" applyAlignment="1" pivotButton="0" quotePrefix="0" xfId="0">
      <alignment horizontal="left" vertical="center"/>
    </xf>
    <xf numFmtId="16" fontId="132" fillId="58" borderId="6" applyAlignment="1" pivotButton="0" quotePrefix="0" xfId="0">
      <alignment horizontal="center" vertical="center"/>
    </xf>
    <xf numFmtId="16" fontId="134" fillId="58" borderId="7" applyAlignment="1" pivotButton="0" quotePrefix="0" xfId="0">
      <alignment horizontal="center" vertical="center"/>
    </xf>
    <xf numFmtId="16" fontId="134" fillId="30" borderId="0" applyAlignment="1" pivotButton="0" quotePrefix="0" xfId="0">
      <alignment horizontal="center" vertical="center"/>
    </xf>
    <xf numFmtId="0" fontId="134" fillId="50" borderId="18" applyAlignment="1" pivotButton="0" quotePrefix="0" xfId="0">
      <alignment horizontal="center" vertical="center"/>
    </xf>
    <xf numFmtId="0" fontId="134" fillId="27" borderId="7" applyAlignment="1" pivotButton="0" quotePrefix="0" xfId="0">
      <alignment horizontal="right" vertical="center"/>
    </xf>
    <xf numFmtId="0" fontId="134" fillId="58" borderId="7" applyAlignment="1" pivotButton="0" quotePrefix="0" xfId="0">
      <alignment horizontal="right" vertical="center"/>
    </xf>
    <xf numFmtId="16" fontId="134" fillId="58" borderId="6" applyAlignment="1" pivotButton="0" quotePrefix="0" xfId="0">
      <alignment horizontal="center" vertical="center"/>
    </xf>
    <xf numFmtId="0" fontId="134" fillId="49" borderId="7" applyAlignment="1" pivotButton="0" quotePrefix="0" xfId="0">
      <alignment horizontal="left" vertical="center"/>
    </xf>
    <xf numFmtId="0" fontId="134" fillId="48" borderId="7" applyAlignment="1" pivotButton="0" quotePrefix="0" xfId="0">
      <alignment horizontal="right" vertical="center"/>
    </xf>
    <xf numFmtId="16" fontId="134" fillId="48" borderId="6" applyAlignment="1" pivotButton="0" quotePrefix="0" xfId="0">
      <alignment horizontal="center" vertical="center"/>
    </xf>
    <xf numFmtId="16" fontId="134" fillId="48" borderId="0" applyAlignment="1" pivotButton="0" quotePrefix="0" xfId="0">
      <alignment horizontal="center" vertical="center"/>
    </xf>
    <xf numFmtId="0" fontId="134" fillId="29" borderId="0" applyAlignment="1" pivotButton="0" quotePrefix="0" xfId="0">
      <alignment vertical="center"/>
    </xf>
    <xf numFmtId="0" fontId="134" fillId="29" borderId="7" applyAlignment="1" pivotButton="0" quotePrefix="0" xfId="0">
      <alignment horizontal="center" vertical="center"/>
    </xf>
    <xf numFmtId="0" fontId="134" fillId="59" borderId="6" applyAlignment="1" pivotButton="0" quotePrefix="0" xfId="0">
      <alignment horizontal="left" vertical="center"/>
    </xf>
    <xf numFmtId="0" fontId="134" fillId="59" borderId="7" applyAlignment="1" pivotButton="0" quotePrefix="0" xfId="0">
      <alignment horizontal="right" vertical="center"/>
    </xf>
    <xf numFmtId="16" fontId="134" fillId="59" borderId="6" applyAlignment="1" pivotButton="0" quotePrefix="0" xfId="0">
      <alignment horizontal="center" vertical="center"/>
    </xf>
    <xf numFmtId="16" fontId="134" fillId="59" borderId="7" applyAlignment="1" pivotButton="0" quotePrefix="0" xfId="0">
      <alignment horizontal="center" vertical="center"/>
    </xf>
    <xf numFmtId="0" fontId="134" fillId="59" borderId="18" applyAlignment="1" pivotButton="0" quotePrefix="0" xfId="0">
      <alignment horizontal="center" vertical="center"/>
    </xf>
    <xf numFmtId="0" fontId="134" fillId="26" borderId="18" applyAlignment="1" pivotButton="0" quotePrefix="1" xfId="0">
      <alignment horizontal="center" vertical="center"/>
    </xf>
    <xf numFmtId="0" fontId="132" fillId="31" borderId="0" applyAlignment="1" pivotButton="0" quotePrefix="0" xfId="0">
      <alignment horizontal="left" vertical="center"/>
    </xf>
    <xf numFmtId="0" fontId="132" fillId="31" borderId="0" applyAlignment="1" pivotButton="0" quotePrefix="0" xfId="0">
      <alignment horizontal="right" vertical="center"/>
    </xf>
    <xf numFmtId="0" fontId="134" fillId="27" borderId="7" applyAlignment="1" pivotButton="0" quotePrefix="0" xfId="0">
      <alignment horizontal="center" vertical="center"/>
    </xf>
    <xf numFmtId="0" fontId="134" fillId="29" borderId="6" applyAlignment="1" pivotButton="0" quotePrefix="0" xfId="0">
      <alignment vertical="center"/>
    </xf>
    <xf numFmtId="0" fontId="134" fillId="29" borderId="7" applyAlignment="1" pivotButton="0" quotePrefix="0" xfId="0">
      <alignment horizontal="right" vertical="center"/>
    </xf>
    <xf numFmtId="0" fontId="134" fillId="59" borderId="6" applyAlignment="1" pivotButton="0" quotePrefix="0" xfId="0">
      <alignment horizontal="center" vertical="center"/>
    </xf>
    <xf numFmtId="16" fontId="134" fillId="49" borderId="0" applyAlignment="1" pivotButton="0" quotePrefix="0" xfId="0">
      <alignment horizontal="center" vertical="center"/>
    </xf>
    <xf numFmtId="0" fontId="134" fillId="42" borderId="7" applyAlignment="1" pivotButton="0" quotePrefix="0" xfId="0">
      <alignment horizontal="right" vertical="center"/>
    </xf>
    <xf numFmtId="16" fontId="134" fillId="58" borderId="0" applyAlignment="1" pivotButton="0" quotePrefix="0" xfId="0">
      <alignment horizontal="center" vertical="center"/>
    </xf>
    <xf numFmtId="0" fontId="132" fillId="60" borderId="18" applyAlignment="1" pivotButton="0" quotePrefix="0" xfId="0">
      <alignment horizontal="center" vertical="center"/>
    </xf>
    <xf numFmtId="0" fontId="134" fillId="44" borderId="7" applyAlignment="1" pivotButton="0" quotePrefix="0" xfId="0">
      <alignment horizontal="right" vertical="center"/>
    </xf>
    <xf numFmtId="0" fontId="134" fillId="44" borderId="6" applyAlignment="1" pivotButton="0" quotePrefix="0" xfId="0">
      <alignment horizontal="center" vertical="center"/>
    </xf>
    <xf numFmtId="0" fontId="134" fillId="38" borderId="6" applyAlignment="1" pivotButton="0" quotePrefix="0" xfId="0">
      <alignment horizontal="left" vertical="center"/>
    </xf>
    <xf numFmtId="0" fontId="134" fillId="38" borderId="7" applyAlignment="1" pivotButton="0" quotePrefix="0" xfId="0">
      <alignment horizontal="right" vertical="center"/>
    </xf>
    <xf numFmtId="16" fontId="134" fillId="38" borderId="6" applyAlignment="1" pivotButton="0" quotePrefix="0" xfId="0">
      <alignment horizontal="center" vertical="center"/>
    </xf>
    <xf numFmtId="0" fontId="134" fillId="26" borderId="7" applyAlignment="1" pivotButton="0" quotePrefix="0" xfId="0">
      <alignment horizontal="right" vertical="center"/>
    </xf>
    <xf numFmtId="0" fontId="134" fillId="40" borderId="7" applyAlignment="1" pivotButton="0" quotePrefix="0" xfId="0">
      <alignment horizontal="center" vertical="center"/>
    </xf>
    <xf numFmtId="0" fontId="134" fillId="38" borderId="0" applyAlignment="1" pivotButton="0" quotePrefix="0" xfId="0">
      <alignment vertical="center"/>
    </xf>
    <xf numFmtId="0" fontId="134" fillId="38" borderId="0" applyAlignment="1" pivotButton="0" quotePrefix="0" xfId="0">
      <alignment horizontal="right" vertical="center"/>
    </xf>
    <xf numFmtId="16" fontId="134" fillId="38" borderId="7" applyAlignment="1" pivotButton="0" quotePrefix="0" xfId="0">
      <alignment horizontal="center" vertical="center"/>
    </xf>
    <xf numFmtId="0" fontId="134" fillId="38" borderId="7" applyAlignment="1" pivotButton="0" quotePrefix="0" xfId="0">
      <alignment horizontal="center" vertical="center"/>
    </xf>
    <xf numFmtId="0" fontId="134" fillId="44" borderId="9" applyAlignment="1" pivotButton="0" quotePrefix="0" xfId="0">
      <alignment horizontal="right" vertical="center"/>
    </xf>
    <xf numFmtId="0" fontId="134" fillId="43" borderId="7" applyAlignment="1" pivotButton="0" quotePrefix="0" xfId="0">
      <alignment horizontal="right" vertical="center"/>
    </xf>
    <xf numFmtId="16" fontId="134" fillId="43" borderId="6" applyAlignment="1" pivotButton="0" quotePrefix="0" xfId="0">
      <alignment horizontal="center" vertical="center"/>
    </xf>
    <xf numFmtId="16" fontId="134" fillId="43" borderId="7" applyAlignment="1" pivotButton="0" quotePrefix="0" xfId="0">
      <alignment horizontal="center" vertical="center"/>
    </xf>
    <xf numFmtId="0" fontId="134" fillId="26" borderId="6" applyAlignment="1" pivotButton="0" quotePrefix="0" xfId="0">
      <alignment horizontal="center" vertical="center"/>
    </xf>
    <xf numFmtId="0" fontId="134" fillId="39" borderId="0" applyAlignment="1" pivotButton="0" quotePrefix="0" xfId="0">
      <alignment vertical="center"/>
    </xf>
    <xf numFmtId="165" fontId="134" fillId="39" borderId="0" applyAlignment="1" pivotButton="0" quotePrefix="0" xfId="0">
      <alignment horizontal="center" vertical="center"/>
    </xf>
    <xf numFmtId="0" fontId="134" fillId="38" borderId="6" applyAlignment="1" pivotButton="0" quotePrefix="0" xfId="0">
      <alignment vertical="center"/>
    </xf>
    <xf numFmtId="0" fontId="134" fillId="46" borderId="0" applyAlignment="1" pivotButton="0" quotePrefix="0" xfId="0">
      <alignment vertical="center"/>
    </xf>
    <xf numFmtId="0" fontId="134" fillId="46" borderId="0" applyAlignment="1" pivotButton="0" quotePrefix="0" xfId="0">
      <alignment horizontal="right" vertical="center"/>
    </xf>
    <xf numFmtId="165" fontId="134" fillId="46" borderId="0" applyAlignment="1" pivotButton="0" quotePrefix="0" xfId="0">
      <alignment horizontal="center" vertical="center"/>
    </xf>
    <xf numFmtId="0" fontId="134" fillId="38" borderId="7" applyAlignment="1" pivotButton="0" quotePrefix="0" xfId="0">
      <alignment horizontal="left" vertical="center"/>
    </xf>
    <xf numFmtId="0" fontId="134" fillId="26" borderId="0" applyAlignment="1" pivotButton="0" quotePrefix="0" xfId="0">
      <alignment vertical="center"/>
    </xf>
    <xf numFmtId="0" fontId="134" fillId="26" borderId="18" applyAlignment="1" pivotButton="0" quotePrefix="0" xfId="0">
      <alignment vertical="center"/>
    </xf>
    <xf numFmtId="16" fontId="134" fillId="46" borderId="7" applyAlignment="1" pivotButton="0" quotePrefix="0" xfId="0">
      <alignment horizontal="right" vertical="center"/>
    </xf>
    <xf numFmtId="16" fontId="134" fillId="46" borderId="6" applyAlignment="1" pivotButton="0" quotePrefix="0" xfId="0">
      <alignment horizontal="center" vertical="center"/>
    </xf>
    <xf numFmtId="16" fontId="134" fillId="46" borderId="7" applyAlignment="1" pivotButton="0" quotePrefix="0" xfId="0">
      <alignment horizontal="center" vertical="center"/>
    </xf>
    <xf numFmtId="16" fontId="132" fillId="58" borderId="7" applyAlignment="1" pivotButton="0" quotePrefix="0" xfId="0">
      <alignment horizontal="center" vertical="center"/>
    </xf>
    <xf numFmtId="0" fontId="134" fillId="27" borderId="8" applyAlignment="1" pivotButton="0" quotePrefix="0" xfId="0">
      <alignment vertical="center"/>
    </xf>
    <xf numFmtId="0" fontId="134" fillId="27" borderId="9" applyAlignment="1" pivotButton="0" quotePrefix="0" xfId="0">
      <alignment horizontal="right" vertical="center"/>
    </xf>
    <xf numFmtId="16" fontId="134" fillId="27" borderId="8" applyAlignment="1" pivotButton="0" quotePrefix="0" xfId="0">
      <alignment horizontal="center" vertical="center"/>
    </xf>
    <xf numFmtId="16" fontId="134" fillId="27" borderId="10" applyAlignment="1" pivotButton="0" quotePrefix="0" xfId="0">
      <alignment horizontal="center" vertical="center"/>
    </xf>
    <xf numFmtId="0" fontId="134" fillId="34" borderId="16" applyAlignment="1" pivotButton="0" quotePrefix="1" xfId="0">
      <alignment horizontal="center" vertical="center"/>
    </xf>
    <xf numFmtId="0" fontId="134" fillId="37" borderId="0" applyAlignment="1" pivotButton="0" quotePrefix="0" xfId="0">
      <alignment vertical="center"/>
    </xf>
    <xf numFmtId="16" fontId="134" fillId="37" borderId="6" applyAlignment="1" pivotButton="0" quotePrefix="0" xfId="0">
      <alignment horizontal="center" vertical="center"/>
    </xf>
    <xf numFmtId="16" fontId="134" fillId="37" borderId="7" applyAlignment="1" pivotButton="0" quotePrefix="0" xfId="0">
      <alignment horizontal="center" vertical="center"/>
    </xf>
    <xf numFmtId="0" fontId="134" fillId="37" borderId="7" applyAlignment="1" pivotButton="0" quotePrefix="0" xfId="0">
      <alignment horizontal="center" vertical="center"/>
    </xf>
    <xf numFmtId="0" fontId="134" fillId="44" borderId="15" applyAlignment="1" pivotButton="0" quotePrefix="0" xfId="0">
      <alignment horizontal="left" vertical="center"/>
    </xf>
    <xf numFmtId="0" fontId="134" fillId="44" borderId="11" applyAlignment="1" pivotButton="0" quotePrefix="0" xfId="0">
      <alignment horizontal="right" vertical="center"/>
    </xf>
    <xf numFmtId="165" fontId="134" fillId="44" borderId="15" applyAlignment="1" pivotButton="0" quotePrefix="0" xfId="0">
      <alignment horizontal="center" vertical="center"/>
    </xf>
    <xf numFmtId="165" fontId="134" fillId="44" borderId="11" applyAlignment="1" pivotButton="0" quotePrefix="0" xfId="0">
      <alignment horizontal="center" vertical="center"/>
    </xf>
    <xf numFmtId="0" fontId="134" fillId="44" borderId="12" applyAlignment="1" pivotButton="0" quotePrefix="1" xfId="0">
      <alignment horizontal="center" vertical="center"/>
    </xf>
    <xf numFmtId="16" fontId="134" fillId="48" borderId="7" applyAlignment="1" pivotButton="0" quotePrefix="0" xfId="0">
      <alignment horizontal="center" vertical="center"/>
    </xf>
    <xf numFmtId="0" fontId="134" fillId="44" borderId="10" applyAlignment="1" pivotButton="0" quotePrefix="0" xfId="0">
      <alignment horizontal="right" vertical="center"/>
    </xf>
    <xf numFmtId="0" fontId="134" fillId="44" borderId="0" applyAlignment="1" pivotButton="0" quotePrefix="0" xfId="0">
      <alignment vertical="center"/>
    </xf>
    <xf numFmtId="0" fontId="134" fillId="53" borderId="7" applyAlignment="1" pivotButton="0" quotePrefix="0" xfId="0">
      <alignment vertical="center"/>
    </xf>
    <xf numFmtId="0" fontId="134" fillId="50" borderId="0" applyAlignment="1" pivotButton="0" quotePrefix="0" xfId="0">
      <alignment vertical="center"/>
    </xf>
    <xf numFmtId="16" fontId="134" fillId="50" borderId="6" applyAlignment="1" pivotButton="0" quotePrefix="0" xfId="0">
      <alignment horizontal="center" vertical="center"/>
    </xf>
    <xf numFmtId="16" fontId="134" fillId="50" borderId="7" applyAlignment="1" pivotButton="0" quotePrefix="0" xfId="0">
      <alignment horizontal="center" vertical="center"/>
    </xf>
    <xf numFmtId="0" fontId="134" fillId="43" borderId="0" applyAlignment="1" pivotButton="0" quotePrefix="0" xfId="0">
      <alignment vertical="center"/>
    </xf>
    <xf numFmtId="0" fontId="134" fillId="48" borderId="0" applyAlignment="1" pivotButton="0" quotePrefix="0" xfId="0">
      <alignment vertical="center"/>
    </xf>
    <xf numFmtId="0" fontId="134" fillId="48" borderId="0" applyAlignment="1" pivotButton="0" quotePrefix="0" xfId="0">
      <alignment horizontal="right" vertical="center"/>
    </xf>
    <xf numFmtId="0" fontId="134" fillId="48" borderId="7" applyAlignment="1" pivotButton="0" quotePrefix="0" xfId="0">
      <alignment horizontal="center" vertical="center"/>
    </xf>
    <xf numFmtId="0" fontId="134" fillId="45" borderId="0" applyAlignment="1" pivotButton="0" quotePrefix="0" xfId="0">
      <alignment vertical="center"/>
    </xf>
    <xf numFmtId="16" fontId="134" fillId="45" borderId="6" applyAlignment="1" pivotButton="0" quotePrefix="0" xfId="0">
      <alignment horizontal="center" vertical="center"/>
    </xf>
    <xf numFmtId="16" fontId="134" fillId="45" borderId="7" applyAlignment="1" pivotButton="0" quotePrefix="0" xfId="0">
      <alignment horizontal="center" vertical="center"/>
    </xf>
    <xf numFmtId="0" fontId="134" fillId="45" borderId="7" applyAlignment="1" pivotButton="0" quotePrefix="0" xfId="0">
      <alignment horizontal="center" vertical="center"/>
    </xf>
    <xf numFmtId="0" fontId="134" fillId="18" borderId="6" applyAlignment="1" pivotButton="0" quotePrefix="0" xfId="0">
      <alignment horizontal="left" vertical="center"/>
    </xf>
    <xf numFmtId="0" fontId="134" fillId="18" borderId="7" applyAlignment="1" pivotButton="0" quotePrefix="0" xfId="0">
      <alignment horizontal="right" vertical="center"/>
    </xf>
    <xf numFmtId="16" fontId="134" fillId="18" borderId="6" applyAlignment="1" pivotButton="0" quotePrefix="0" xfId="0">
      <alignment horizontal="center" vertical="center"/>
    </xf>
    <xf numFmtId="16" fontId="134" fillId="18" borderId="7" applyAlignment="1" pivotButton="0" quotePrefix="0" xfId="0">
      <alignment horizontal="center" vertical="center"/>
    </xf>
    <xf numFmtId="0" fontId="134" fillId="39" borderId="6" applyAlignment="1" pivotButton="0" quotePrefix="0" xfId="0">
      <alignment vertical="center"/>
    </xf>
    <xf numFmtId="0" fontId="134" fillId="39" borderId="7" applyAlignment="1" pivotButton="0" quotePrefix="0" xfId="0">
      <alignment horizontal="right" vertical="center"/>
    </xf>
    <xf numFmtId="16" fontId="134" fillId="39" borderId="6" applyAlignment="1" pivotButton="0" quotePrefix="0" xfId="0">
      <alignment horizontal="center" vertical="center"/>
    </xf>
    <xf numFmtId="16" fontId="134" fillId="39" borderId="7" applyAlignment="1" pivotButton="0" quotePrefix="0" xfId="0">
      <alignment horizontal="center" vertical="center"/>
    </xf>
    <xf numFmtId="16" fontId="132" fillId="31" borderId="7" applyAlignment="1" pivotButton="0" quotePrefix="0" xfId="0">
      <alignment horizontal="center" vertical="center"/>
    </xf>
    <xf numFmtId="0" fontId="134" fillId="61" borderId="0" applyAlignment="1" pivotButton="0" quotePrefix="0" xfId="0">
      <alignment vertical="center"/>
    </xf>
    <xf numFmtId="0" fontId="134" fillId="31" borderId="9" applyAlignment="1" pivotButton="0" quotePrefix="0" xfId="0">
      <alignment horizontal="left" vertical="center"/>
    </xf>
    <xf numFmtId="0" fontId="134" fillId="31" borderId="9" applyAlignment="1" pivotButton="0" quotePrefix="0" xfId="0">
      <alignment horizontal="right" vertical="center"/>
    </xf>
    <xf numFmtId="165" fontId="134" fillId="31" borderId="8" applyAlignment="1" pivotButton="0" quotePrefix="0" xfId="0">
      <alignment horizontal="center" vertical="center"/>
    </xf>
    <xf numFmtId="165" fontId="134" fillId="31" borderId="9" applyAlignment="1" pivotButton="0" quotePrefix="0" xfId="0">
      <alignment horizontal="center" vertical="center"/>
    </xf>
    <xf numFmtId="0" fontId="132" fillId="26" borderId="20" applyAlignment="1" pivotButton="0" quotePrefix="0" xfId="0">
      <alignment horizontal="center" vertical="center"/>
    </xf>
    <xf numFmtId="0" fontId="132" fillId="27" borderId="61" applyAlignment="1" pivotButton="0" quotePrefix="0" xfId="0">
      <alignment horizontal="center" vertical="center"/>
    </xf>
    <xf numFmtId="0" fontId="146" fillId="62" borderId="18" applyAlignment="1" pivotButton="0" quotePrefix="0" xfId="0">
      <alignment horizontal="center" vertical="center"/>
    </xf>
    <xf numFmtId="0" fontId="134" fillId="63" borderId="6" applyAlignment="1" pivotButton="0" quotePrefix="0" xfId="0">
      <alignment horizontal="left" vertical="center"/>
    </xf>
    <xf numFmtId="0" fontId="134" fillId="63" borderId="7" applyAlignment="1" pivotButton="0" quotePrefix="0" xfId="0">
      <alignment horizontal="left" vertical="center"/>
    </xf>
    <xf numFmtId="16" fontId="134" fillId="63" borderId="0" applyAlignment="1" pivotButton="0" quotePrefix="0" xfId="0">
      <alignment horizontal="center" vertical="center"/>
    </xf>
    <xf numFmtId="0" fontId="134" fillId="64" borderId="6" applyAlignment="1" pivotButton="0" quotePrefix="0" xfId="0">
      <alignment horizontal="left" vertical="center"/>
    </xf>
    <xf numFmtId="0" fontId="134" fillId="64" borderId="7" applyAlignment="1" pivotButton="0" quotePrefix="0" xfId="0">
      <alignment horizontal="right" vertical="center"/>
    </xf>
    <xf numFmtId="16" fontId="134" fillId="64" borderId="0" applyAlignment="1" pivotButton="0" quotePrefix="0" xfId="0">
      <alignment horizontal="center" vertical="center"/>
    </xf>
    <xf numFmtId="0" fontId="132" fillId="60" borderId="6" applyAlignment="1" pivotButton="0" quotePrefix="0" xfId="0">
      <alignment horizontal="center" vertical="center"/>
    </xf>
    <xf numFmtId="16" fontId="134" fillId="58" borderId="20" applyAlignment="1" pivotButton="0" quotePrefix="0" xfId="0">
      <alignment horizontal="center" vertical="center"/>
    </xf>
    <xf numFmtId="0" fontId="132" fillId="60" borderId="12" applyAlignment="1" pivotButton="0" quotePrefix="0" xfId="0">
      <alignment horizontal="center" vertical="center"/>
    </xf>
    <xf numFmtId="0" fontId="132" fillId="21" borderId="6" applyAlignment="1" pivotButton="0" quotePrefix="0" xfId="0">
      <alignment vertical="center"/>
    </xf>
    <xf numFmtId="0" fontId="134" fillId="21" borderId="7" applyAlignment="1" pivotButton="0" quotePrefix="0" xfId="0">
      <alignment horizontal="right" vertical="center"/>
    </xf>
    <xf numFmtId="16" fontId="134" fillId="21" borderId="6" applyAlignment="1" pivotButton="0" quotePrefix="0" xfId="0">
      <alignment horizontal="center" vertical="center"/>
    </xf>
    <xf numFmtId="16" fontId="134" fillId="21" borderId="7" applyAlignment="1" pivotButton="0" quotePrefix="0" xfId="0">
      <alignment horizontal="center" vertical="center"/>
    </xf>
    <xf numFmtId="0" fontId="134" fillId="21" borderId="18" applyAlignment="1" pivotButton="0" quotePrefix="0" xfId="0">
      <alignment horizontal="center" vertical="center"/>
    </xf>
    <xf numFmtId="0" fontId="134" fillId="63" borderId="7" applyAlignment="1" pivotButton="0" quotePrefix="0" xfId="0">
      <alignment horizontal="right" vertical="center"/>
    </xf>
    <xf numFmtId="0" fontId="134" fillId="27" borderId="0" applyAlignment="1" pivotButton="0" quotePrefix="0" xfId="0">
      <alignment horizontal="center" vertical="center"/>
    </xf>
    <xf numFmtId="0" fontId="134" fillId="31" borderId="6" applyAlignment="1" pivotButton="0" quotePrefix="0" xfId="0">
      <alignment horizontal="right" vertical="center"/>
    </xf>
    <xf numFmtId="0" fontId="134" fillId="65" borderId="6" applyAlignment="1" pivotButton="0" quotePrefix="0" xfId="0">
      <alignment horizontal="left" vertical="center"/>
    </xf>
    <xf numFmtId="0" fontId="134" fillId="65" borderId="7" applyAlignment="1" pivotButton="0" quotePrefix="0" xfId="0">
      <alignment horizontal="left" vertical="center"/>
    </xf>
    <xf numFmtId="16" fontId="134" fillId="65" borderId="6" applyAlignment="1" pivotButton="0" quotePrefix="0" xfId="0">
      <alignment horizontal="center" vertical="center"/>
    </xf>
    <xf numFmtId="16" fontId="134" fillId="65" borderId="0" applyAlignment="1" pivotButton="0" quotePrefix="0" xfId="0">
      <alignment horizontal="center" vertical="center"/>
    </xf>
    <xf numFmtId="0" fontId="134" fillId="65" borderId="18" applyAlignment="1" pivotButton="0" quotePrefix="0" xfId="0">
      <alignment horizontal="center" vertical="center"/>
    </xf>
    <xf numFmtId="0" fontId="134" fillId="66" borderId="6" applyAlignment="1" pivotButton="0" quotePrefix="0" xfId="0">
      <alignment horizontal="left" vertical="center"/>
    </xf>
    <xf numFmtId="0" fontId="134" fillId="66" borderId="7" applyAlignment="1" pivotButton="0" quotePrefix="0" xfId="0">
      <alignment horizontal="right" vertical="center"/>
    </xf>
    <xf numFmtId="16" fontId="134" fillId="66" borderId="0" applyAlignment="1" pivotButton="0" quotePrefix="0" xfId="0">
      <alignment horizontal="center" vertical="center"/>
    </xf>
    <xf numFmtId="16" fontId="134" fillId="66" borderId="7" applyAlignment="1" pivotButton="0" quotePrefix="0" xfId="0">
      <alignment horizontal="center" vertical="center"/>
    </xf>
    <xf numFmtId="0" fontId="134" fillId="50" borderId="6" applyAlignment="1" pivotButton="0" quotePrefix="0" xfId="0">
      <alignment vertical="center"/>
    </xf>
    <xf numFmtId="0" fontId="134" fillId="67" borderId="6" applyAlignment="1" pivotButton="0" quotePrefix="0" xfId="0">
      <alignment horizontal="left" vertical="center"/>
    </xf>
    <xf numFmtId="0" fontId="134" fillId="67" borderId="7" applyAlignment="1" pivotButton="0" quotePrefix="0" xfId="0">
      <alignment horizontal="right" vertical="center"/>
    </xf>
    <xf numFmtId="16" fontId="134" fillId="67" borderId="0" applyAlignment="1" pivotButton="0" quotePrefix="0" xfId="0">
      <alignment horizontal="center" vertical="center"/>
    </xf>
    <xf numFmtId="16" fontId="134" fillId="67" borderId="7" applyAlignment="1" pivotButton="0" quotePrefix="0" xfId="0">
      <alignment horizontal="center" vertical="center"/>
    </xf>
    <xf numFmtId="0" fontId="147" fillId="68" borderId="6" applyAlignment="1" pivotButton="0" quotePrefix="0" xfId="0">
      <alignment horizontal="left" vertical="center"/>
    </xf>
    <xf numFmtId="0" fontId="147" fillId="68" borderId="30" applyAlignment="1" pivotButton="0" quotePrefix="0" xfId="0">
      <alignment horizontal="left" vertical="center"/>
    </xf>
    <xf numFmtId="16" fontId="147" fillId="68" borderId="0" applyAlignment="1" pivotButton="0" quotePrefix="0" xfId="0">
      <alignment horizontal="center" vertical="center"/>
    </xf>
    <xf numFmtId="16" fontId="147" fillId="68" borderId="7" applyAlignment="1" pivotButton="0" quotePrefix="0" xfId="0">
      <alignment horizontal="center" vertical="center"/>
    </xf>
    <xf numFmtId="0" fontId="147" fillId="69" borderId="6" applyAlignment="1" pivotButton="0" quotePrefix="0" xfId="0">
      <alignment horizontal="left" vertical="center"/>
    </xf>
    <xf numFmtId="0" fontId="147" fillId="69" borderId="7" applyAlignment="1" pivotButton="0" quotePrefix="0" xfId="0">
      <alignment horizontal="left" vertical="center"/>
    </xf>
    <xf numFmtId="16" fontId="147" fillId="69" borderId="0" applyAlignment="1" pivotButton="0" quotePrefix="0" xfId="0">
      <alignment horizontal="center" vertical="center"/>
    </xf>
    <xf numFmtId="16" fontId="147" fillId="69" borderId="7" applyAlignment="1" pivotButton="0" quotePrefix="0" xfId="0">
      <alignment horizontal="center" vertical="center"/>
    </xf>
    <xf numFmtId="0" fontId="134" fillId="21" borderId="6" applyAlignment="1" pivotButton="0" quotePrefix="0" xfId="0">
      <alignment horizontal="center" vertical="center"/>
    </xf>
    <xf numFmtId="16" fontId="139" fillId="21" borderId="7" applyAlignment="1" pivotButton="0" quotePrefix="0" xfId="0">
      <alignment horizontal="center" vertical="center"/>
    </xf>
    <xf numFmtId="0" fontId="134" fillId="21" borderId="0" applyAlignment="1" pivotButton="0" quotePrefix="0" xfId="0">
      <alignment horizontal="right" vertical="center"/>
    </xf>
    <xf numFmtId="0" fontId="132" fillId="53" borderId="8" applyAlignment="1" pivotButton="0" quotePrefix="0" xfId="0">
      <alignment vertical="center"/>
    </xf>
    <xf numFmtId="0" fontId="134" fillId="53" borderId="10" applyAlignment="1" pivotButton="0" quotePrefix="0" xfId="0">
      <alignment vertical="center"/>
    </xf>
    <xf numFmtId="0" fontId="134" fillId="34" borderId="8" applyAlignment="1" pivotButton="0" quotePrefix="0" xfId="0">
      <alignment horizontal="center" vertical="center"/>
    </xf>
    <xf numFmtId="0" fontId="134" fillId="26" borderId="16" applyAlignment="1" pivotButton="0" quotePrefix="0" xfId="0">
      <alignment vertical="center"/>
    </xf>
    <xf numFmtId="0" fontId="134" fillId="55" borderId="0" applyAlignment="1" pivotButton="0" quotePrefix="0" xfId="0">
      <alignment vertical="center"/>
    </xf>
    <xf numFmtId="0" fontId="134" fillId="55" borderId="0" applyAlignment="1" pivotButton="0" quotePrefix="0" xfId="0">
      <alignment horizontal="center" vertical="center"/>
    </xf>
  </cellXfs>
  <cellStyles count="19">
    <cellStyle name="Normal" xfId="0" builtinId="0"/>
    <cellStyle name="Per cent" xfId="1" builtinId="5"/>
    <cellStyle name="Good" xfId="2" builtinId="26"/>
    <cellStyle name="Bad" xfId="3" builtinId="27"/>
    <cellStyle name="Input" xfId="4" builtinId="20"/>
    <cellStyle name="Calculation" xfId="5" builtinId="22"/>
    <cellStyle name="Check Cell" xfId="6" builtinId="23"/>
    <cellStyle name="Note" xfId="7" builtinId="10"/>
    <cellStyle name="Accent1" xfId="8" builtinId="29"/>
    <cellStyle name="20% - Accent2" xfId="9" builtinId="34"/>
    <cellStyle name="20% - Accent3" xfId="10" builtinId="38"/>
    <cellStyle name="20% - Accent4" xfId="11" builtinId="42"/>
    <cellStyle name="20% - Accent5" xfId="12" builtinId="46"/>
    <cellStyle name="Neutral" xfId="13" builtinId="28"/>
    <cellStyle name="20% - Accent1" xfId="14" builtinId="30"/>
    <cellStyle name="60% - Accent4" xfId="15" builtinId="44"/>
    <cellStyle name="Hyperlink" xfId="16" builtinId="8"/>
    <cellStyle name="Accent2" xfId="17" builtinId="33"/>
    <cellStyle name="20% - Accent6" xfId="18" builtinId="50"/>
  </cellStyles>
  <dxfs count="658">
    <dxf>
      <fill>
        <patternFill>
          <bgColor indexed="63"/>
        </patternFill>
      </fill>
    </dxf>
    <dxf>
      <font>
        <color rgb="FF006100"/>
      </font>
      <fill>
        <patternFill>
          <bgColor rgb="FFC6EFCE"/>
        </patternFill>
      </fill>
    </dxf>
    <dxf>
      <fill>
        <patternFill>
          <bgColor theme="1" tint="0.24994659260841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1" tint="0.24994659260841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1" tint="0.24994659260841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1" tint="0.249946592608417"/>
        </patternFill>
      </fill>
    </dxf>
    <dxf>
      <fill>
        <patternFill>
          <bgColor theme="1" tint="0.249946592608417"/>
        </patternFill>
      </fill>
    </dxf>
    <dxf>
      <fill>
        <patternFill>
          <bgColor theme="1" tint="0.249946592608417"/>
        </patternFill>
      </fill>
    </dxf>
    <dxf>
      <fill>
        <patternFill>
          <bgColor theme="1" tint="0.249946592608417"/>
        </patternFill>
      </fill>
    </dxf>
    <dxf>
      <font>
        <color theme="1" tint="0.249946592608417"/>
      </font>
      <fill>
        <patternFill>
          <bgColor theme="1" tint="0.249946592608417"/>
        </patternFill>
      </fill>
    </dxf>
    <dxf>
      <fill>
        <patternFill>
          <bgColor theme="9" tint="0.5999633777886288"/>
        </patternFill>
      </fill>
    </dxf>
    <dxf>
      <fill>
        <patternFill>
          <bgColor rgb="FFFFC000"/>
        </patternFill>
      </fill>
    </dxf>
    <dxf>
      <fill>
        <patternFill>
          <bgColor theme="5" tint="0.3999450666829432"/>
        </patternFill>
      </fill>
    </dxf>
    <dxf>
      <fill>
        <patternFill>
          <bgColor theme="7" tint="0.5999633777886288"/>
        </patternFill>
      </fill>
    </dxf>
    <dxf>
      <fill>
        <patternFill>
          <bgColor rgb="FFFFFF00"/>
        </patternFill>
      </fill>
    </dxf>
    <dxf>
      <fill>
        <patternFill>
          <bgColor theme="1" tint="0.249946592608417"/>
        </patternFill>
      </fill>
    </dxf>
    <dxf>
      <fill>
        <patternFill>
          <bgColor theme="1" tint="0.249946592608417"/>
        </patternFill>
      </fill>
    </dxf>
    <dxf>
      <fill>
        <patternFill>
          <bgColor theme="1" tint="0.249946592608417"/>
        </patternFill>
      </fill>
    </dxf>
    <dxf>
      <fill>
        <patternFill>
          <bgColor theme="1" tint="0.249946592608417"/>
        </patternFill>
      </fill>
    </dxf>
    <dxf>
      <fill>
        <patternFill>
          <bgColor theme="9" tint="0.5999633777886288"/>
        </patternFill>
      </fill>
    </dxf>
    <dxf>
      <fill>
        <patternFill>
          <bgColor rgb="FFFFC000"/>
        </patternFill>
      </fill>
    </dxf>
    <dxf>
      <fill>
        <patternFill>
          <bgColor theme="5" tint="0.3999450666829432"/>
        </patternFill>
      </fill>
    </dxf>
    <dxf>
      <fill>
        <patternFill>
          <bgColor theme="7" tint="0.5999633777886288"/>
        </patternFill>
      </fill>
    </dxf>
    <dxf>
      <fill>
        <patternFill>
          <bgColor rgb="FFFFFF00"/>
        </patternFill>
      </fill>
    </dxf>
    <dxf>
      <fill>
        <patternFill>
          <bgColor theme="9" tint="0.5999633777886288"/>
        </patternFill>
      </fill>
    </dxf>
    <dxf>
      <fill>
        <patternFill>
          <bgColor rgb="FFFFC000"/>
        </patternFill>
      </fill>
    </dxf>
    <dxf>
      <fill>
        <patternFill>
          <bgColor theme="5" tint="0.3999450666829432"/>
        </patternFill>
      </fill>
    </dxf>
    <dxf>
      <fill>
        <patternFill>
          <bgColor theme="7" tint="0.5999633777886288"/>
        </patternFill>
      </fill>
    </dxf>
    <dxf>
      <fill>
        <patternFill>
          <bgColor rgb="FFFFFF00"/>
        </patternFill>
      </fill>
    </dxf>
    <dxf>
      <fill>
        <patternFill>
          <bgColor theme="6" tint="0.7999816888943144"/>
        </patternFill>
      </fill>
    </dxf>
    <dxf>
      <fill>
        <patternFill>
          <bgColor theme="5" tint="0.7999816888943144"/>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1" tint="0.249946592608417"/>
        </patternFill>
      </fill>
    </dxf>
    <dxf>
      <fill>
        <patternFill>
          <bgColor theme="2"/>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1" tint="0.24994659260841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2"/>
        </patternFill>
      </fill>
    </dxf>
    <dxf>
      <fill>
        <patternFill>
          <bgColor theme="1" tint="0.249946592608417"/>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FF00"/>
      </font>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fill>
        <patternFill>
          <bgColor theme="1" tint="0.249946592608417"/>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fill>
        <patternFill>
          <bgColor theme="1" tint="0.24994659260841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9"/>
        </patternFill>
      </fill>
    </dxf>
    <dxf>
      <fill>
        <patternFill>
          <bgColor theme="9" tint="0.5999633777886288"/>
        </patternFill>
      </fill>
    </dxf>
    <dxf>
      <fill>
        <patternFill>
          <bgColor theme="4" tint="0.5999633777886288"/>
        </patternFill>
      </fill>
    </dxf>
    <dxf>
      <fill>
        <patternFill>
          <bgColor rgb="FFFFC000"/>
        </patternFill>
      </fill>
    </dxf>
    <dxf>
      <fill>
        <patternFill>
          <bgColor rgb="FFFFFF00"/>
        </patternFill>
      </fill>
    </dxf>
    <dxf>
      <fill>
        <patternFill>
          <bgColor theme="5" tint="0.5999633777886288"/>
        </patternFill>
      </fill>
    </dxf>
    <dxf>
      <font>
        <color rgb="FF9C5700"/>
      </font>
      <fill>
        <patternFill>
          <bgColor rgb="FFFFEB9C"/>
        </patternFill>
      </fill>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center" vertical="center"/>
      <border>
        <left style="thin">
          <color auto="1"/>
        </left>
        <right style="thin">
          <color auto="1"/>
        </right>
        <top style="thin">
          <color auto="1"/>
        </top>
        <bottom style="thin">
          <color auto="1"/>
        </bottom>
        <vertical/>
        <horizontal/>
      </border>
    </dxf>
    <dxf>
      <font>
        <name val="Aptos Narrow"/>
        <family val="2"/>
        <strike val="0"/>
        <outline val="0"/>
        <shadow val="0"/>
        <condense val="0"/>
        <color theme="2"/>
        <extend val="0"/>
        <sz val="12"/>
        <vertAlign val="baseline"/>
        <scheme val="minor"/>
      </font>
      <numFmt numFmtId="1" formatCode="0"/>
      <fill>
        <patternFill patternType="solid">
          <fgColor indexed="64"/>
          <bgColor theme="1"/>
        </patternFill>
      </fill>
      <alignment horizontal="center" vertical="center"/>
      <border>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bottom style="thin">
          <color auto="1"/>
        </bottom>
      </border>
    </dxf>
    <dxf>
      <font>
        <name val="Calibri"/>
        <family val="2"/>
        <strike val="0"/>
        <outline val="0"/>
        <shadow val="0"/>
        <condense val="0"/>
        <color auto="1"/>
        <extend val="0"/>
        <sz val="12"/>
        <vertAlign val="baseline"/>
      </font>
      <alignment horizontal="center" vertical="center"/>
    </dxf>
    <dxf>
      <border outline="0">
        <bottom style="thin">
          <color auto="1"/>
        </bottom>
      </border>
    </dxf>
    <dxf>
      <font>
        <name val="Aptos Narrow"/>
        <family val="2"/>
        <strike val="0"/>
        <outline val="0"/>
        <shadow val="0"/>
        <condense val="0"/>
        <color theme="0"/>
        <extend val="0"/>
        <sz val="12"/>
        <vertAlign val="baseline"/>
        <scheme val="minor"/>
      </font>
      <numFmt numFmtId="30" formatCode="@"/>
      <fill>
        <patternFill patternType="solid">
          <fgColor indexed="64"/>
          <bgColor theme="1"/>
        </patternFill>
      </fill>
      <alignment horizontal="left" vertical="center"/>
      <border outline="0">
        <left style="thin">
          <color auto="1"/>
        </left>
        <right style="thin">
          <color auto="1"/>
        </right>
        <top/>
        <bottom/>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center" vertical="center"/>
      <border>
        <left style="thin">
          <color auto="1"/>
        </left>
        <right style="thin">
          <color auto="1"/>
        </right>
        <top style="thin">
          <color auto="1"/>
        </top>
        <bottom style="thin">
          <color auto="1"/>
        </bottom>
        <vertical/>
        <horizontal/>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center" vertical="center"/>
      <border>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bottom style="thin">
          <color auto="1"/>
        </bottom>
      </border>
    </dxf>
    <dxf>
      <font>
        <name val="Calibri"/>
        <family val="2"/>
        <strike val="0"/>
        <outline val="0"/>
        <shadow val="0"/>
        <condense val="0"/>
        <color auto="1"/>
        <extend val="0"/>
        <sz val="12"/>
        <vertAlign val="baseline"/>
      </font>
      <alignment horizontal="center" vertical="center"/>
    </dxf>
    <dxf>
      <border outline="0">
        <bottom style="thin">
          <color auto="1"/>
        </bottom>
      </border>
    </dxf>
    <dxf>
      <font>
        <name val="Aptos Narrow"/>
        <family val="2"/>
        <strike val="0"/>
        <outline val="0"/>
        <shadow val="0"/>
        <condense val="0"/>
        <color theme="0"/>
        <extend val="0"/>
        <sz val="12"/>
        <vertAlign val="baseline"/>
        <scheme val="minor"/>
      </font>
      <numFmt numFmtId="30" formatCode="@"/>
      <fill>
        <patternFill patternType="solid">
          <fgColor indexed="64"/>
          <bgColor theme="1"/>
        </patternFill>
      </fill>
      <alignment horizontal="left" vertical="center"/>
      <border outline="0">
        <left style="thin">
          <color auto="1"/>
        </left>
        <right style="thin">
          <color auto="1"/>
        </right>
        <top/>
        <bottom/>
      </border>
    </dxf>
    <dxf>
      <font>
        <name val="Calibri"/>
        <family val="2"/>
        <strike val="0"/>
        <outline val="0"/>
        <shadow val="0"/>
        <condense val="0"/>
        <color theme="1"/>
        <extend val="0"/>
        <sz val="12"/>
        <vertAlign val="baseline"/>
      </font>
      <numFmt numFmtId="1" formatCode="0"/>
      <alignment horizontal="center" vertical="center"/>
      <border>
        <left style="thin">
          <color indexed="64"/>
        </left>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fill>
        <patternFill patternType="solid">
          <fgColor indexed="64"/>
          <bgColor theme="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1" formatCode="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2"/>
        <extend val="0"/>
        <sz val="12"/>
        <vertAlign val="baseline"/>
      </font>
      <fill>
        <patternFill patternType="solid">
          <fgColor indexed="64"/>
          <bgColor theme="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2"/>
        <extend val="0"/>
        <sz val="12"/>
        <vertAlign val="baseline"/>
      </font>
      <fill>
        <patternFill patternType="solid">
          <fgColor indexed="64"/>
          <bgColor theme="1"/>
        </patternFill>
      </fill>
      <alignment horizontal="center"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font>
        <name val="Calibri"/>
        <family val="2"/>
        <b val="1"/>
        <strike val="0"/>
        <outline val="0"/>
        <shadow val="0"/>
        <condense val="0"/>
        <color theme="2"/>
        <extend val="0"/>
        <sz val="12"/>
        <vertAlign val="baseline"/>
      </font>
      <numFmt numFmtId="1" formatCode="0"/>
      <fill>
        <patternFill patternType="solid">
          <fgColor indexed="64"/>
          <bgColor theme="1"/>
        </patternFill>
      </fill>
      <alignment horizontal="center" vertical="center"/>
      <border>
        <left style="thin">
          <color indexed="64"/>
        </left>
        <right style="thin">
          <color indexed="64"/>
        </right>
        <top/>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trike val="0"/>
        <outline val="0"/>
        <shadow val="0"/>
        <condense val="0"/>
        <color theme="1"/>
        <extend val="0"/>
        <sz val="12"/>
        <vertAlign val="baseline"/>
      </font>
      <numFmt numFmtId="2" formatCode="0.00"/>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theme="0"/>
        <extend val="0"/>
        <sz val="12"/>
        <vertAlign val="baseline"/>
        <scheme val="minor"/>
      </font>
      <fill>
        <patternFill patternType="solid">
          <fgColor indexed="64"/>
          <bgColor theme="1"/>
        </patternFill>
      </fill>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center" vertical="center"/>
      <border>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bottom style="thin">
          <color auto="1"/>
        </bottom>
      </border>
    </dxf>
    <dxf>
      <font>
        <name val="Calibri"/>
        <family val="2"/>
        <strike val="0"/>
        <outline val="0"/>
        <shadow val="0"/>
        <condense val="0"/>
        <color theme="1"/>
        <extend val="0"/>
        <sz val="12"/>
        <vertAlign val="baseline"/>
      </font>
      <alignment horizontal="center" vertical="bottom"/>
    </dxf>
    <dxf>
      <border outline="0">
        <bottom style="thin">
          <color auto="1"/>
        </bottom>
      </border>
    </dxf>
    <dxf>
      <font>
        <name val="Calibri"/>
        <family val="2"/>
        <b val="1"/>
        <strike val="0"/>
        <outline val="0"/>
        <shadow val="0"/>
        <condense val="0"/>
        <color theme="2"/>
        <extend val="0"/>
        <sz val="12"/>
        <vertAlign val="baseline"/>
      </font>
      <numFmt numFmtId="1" formatCode="0"/>
      <fill>
        <patternFill patternType="solid">
          <fgColor indexed="64"/>
          <bgColor theme="1"/>
        </patternFill>
      </fill>
      <alignment horizontal="center" vertical="center"/>
      <border outline="0">
        <left style="thin">
          <color auto="1"/>
        </left>
        <right style="thin">
          <color auto="1"/>
        </right>
        <top/>
        <bottom/>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1" formatCode="0"/>
      <alignment horizontal="center" vertical="center"/>
      <border>
        <left style="thin">
          <color auto="1"/>
        </left>
        <right style="thin">
          <color auto="1"/>
        </right>
        <top style="thin">
          <color auto="1"/>
        </top>
        <bottom style="thin">
          <color auto="1"/>
        </bottom>
        <vertical/>
        <horizontal/>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center" vertical="center"/>
      <border>
        <left style="thin">
          <color auto="1"/>
        </left>
        <right style="thin">
          <color auto="1"/>
        </right>
        <top style="thin">
          <color auto="1"/>
        </top>
        <bottom style="thin">
          <color auto="1"/>
        </bottom>
        <vertical/>
        <horizontal/>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center" vertical="center"/>
      <border>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bottom style="thin">
          <color auto="1"/>
        </bottom>
      </border>
    </dxf>
    <dxf>
      <font>
        <name val="Calibri"/>
        <family val="2"/>
        <strike val="0"/>
        <outline val="0"/>
        <shadow val="0"/>
        <condense val="0"/>
        <color auto="1"/>
        <extend val="0"/>
        <sz val="12"/>
        <vertAlign val="baseline"/>
      </font>
      <alignment horizontal="center" vertical="center"/>
    </dxf>
    <dxf>
      <border outline="0">
        <bottom style="thin">
          <color auto="1"/>
        </bottom>
      </border>
    </dxf>
    <dxf>
      <font>
        <name val="Aptos Narrow"/>
        <family val="2"/>
        <strike val="0"/>
        <outline val="0"/>
        <shadow val="0"/>
        <condense val="0"/>
        <color theme="0"/>
        <extend val="0"/>
        <sz val="12"/>
        <vertAlign val="baseline"/>
        <scheme val="minor"/>
      </font>
      <numFmt numFmtId="30" formatCode="@"/>
      <fill>
        <patternFill patternType="solid">
          <fgColor indexed="64"/>
          <bgColor theme="1"/>
        </patternFill>
      </fill>
      <alignment horizontal="left" vertical="center"/>
      <border outline="0">
        <left style="thin">
          <color auto="1"/>
        </left>
        <right style="thin">
          <color auto="1"/>
        </right>
        <top/>
        <bottom/>
      </border>
    </dxf>
    <dxf>
      <font>
        <name val="Calibri"/>
        <family val="2"/>
        <strike val="0"/>
        <outline val="0"/>
        <shadow val="0"/>
        <condense val="0"/>
        <color theme="1"/>
        <extend val="0"/>
        <sz val="12"/>
        <vertAlign val="baseline"/>
      </font>
      <alignment horizontal="center" vertical="bottom"/>
      <border>
        <left style="thin">
          <color auto="1"/>
        </left>
        <right/>
        <top style="thin">
          <color auto="1"/>
        </top>
        <bottom style="thin">
          <color auto="1"/>
        </bottom>
        <vertical/>
        <horizontal/>
      </border>
    </dxf>
    <dxf>
      <font>
        <name val="Calibri"/>
        <family val="2"/>
        <strike val="0"/>
        <outline val="0"/>
        <shadow val="0"/>
        <condense val="0"/>
        <color theme="1"/>
        <extend val="0"/>
        <sz val="12"/>
        <vertAlign val="baseline"/>
      </font>
      <alignment horizontal="center"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theme="1"/>
        <extend val="0"/>
        <sz val="12"/>
        <vertAlign val="baseline"/>
      </font>
      <alignment horizontal="center" vertical="bottom"/>
      <border>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ill>
        <patternFill>
          <fgColor indexed="64"/>
          <bgColor auto="1"/>
        </patternFill>
      </fill>
      <alignment horizontal="left" vertical="bottom"/>
      <border outline="0">
        <left style="thin">
          <color auto="1"/>
        </left>
        <right/>
        <top style="thin">
          <color auto="1"/>
        </top>
        <bottom style="thin">
          <color auto="1"/>
        </bottom>
      </border>
    </dxf>
    <dxf>
      <fill>
        <patternFill>
          <fgColor indexed="64"/>
          <bgColor auto="1"/>
        </patternFill>
      </fill>
      <alignment horizontal="left" vertical="bottom"/>
      <border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auto="1"/>
        </patternFill>
      </fill>
    </dxf>
    <dxf>
      <border outline="0">
        <bottom style="thin">
          <color auto="1"/>
        </bottom>
      </border>
    </dxf>
    <dxf>
      <font>
        <name val="Aptos Narrow"/>
        <family val="2"/>
        <strike val="0"/>
        <outline val="0"/>
        <shadow val="0"/>
        <condense val="0"/>
        <color theme="2"/>
        <extend val="0"/>
        <sz val="12"/>
        <vertAlign val="baseline"/>
        <scheme val="minor"/>
      </font>
      <fill>
        <patternFill>
          <fgColor indexed="64"/>
          <bgColor auto="1"/>
        </patternFill>
      </fill>
      <alignment horizontal="left" vertical="bottom"/>
      <border outline="0">
        <left style="thin">
          <color auto="1"/>
        </left>
        <right style="thin">
          <color auto="1"/>
        </right>
        <top/>
        <bottom/>
      </border>
    </dxf>
    <dxf>
      <fill>
        <patternFill>
          <fgColor indexed="64"/>
          <bgColor auto="1"/>
        </patternFill>
      </fill>
      <alignment horizontal="left" vertical="bottom"/>
      <border outline="0">
        <left style="thin">
          <color auto="1"/>
        </left>
        <right/>
        <top style="thin">
          <color auto="1"/>
        </top>
        <bottom style="thin">
          <color auto="1"/>
        </bottom>
      </border>
    </dxf>
    <dxf>
      <fill>
        <patternFill>
          <fgColor indexed="64"/>
          <bgColor auto="1"/>
        </patternFill>
      </fill>
      <alignment horizontal="left" vertical="bottom"/>
      <border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auto="1"/>
        </patternFill>
      </fill>
    </dxf>
    <dxf>
      <border outline="0">
        <bottom style="thin">
          <color auto="1"/>
        </bottom>
      </border>
    </dxf>
    <dxf>
      <font>
        <name val="Aptos Narrow"/>
        <family val="2"/>
        <strike val="0"/>
        <outline val="0"/>
        <shadow val="0"/>
        <condense val="0"/>
        <color theme="2"/>
        <extend val="0"/>
        <sz val="12"/>
        <vertAlign val="baseline"/>
        <scheme val="minor"/>
      </font>
      <fill>
        <patternFill>
          <fgColor indexed="64"/>
          <bgColor auto="1"/>
        </patternFill>
      </fill>
      <alignment horizontal="left" vertical="bottom"/>
      <border outline="0">
        <left style="thin">
          <color auto="1"/>
        </left>
        <right style="thin">
          <color auto="1"/>
        </right>
        <top/>
        <bottom/>
      </border>
    </dxf>
    <dxf>
      <fill>
        <patternFill>
          <fgColor indexed="64"/>
          <bgColor auto="1"/>
        </patternFill>
      </fill>
      <alignment horizontal="left" vertical="bottom"/>
      <border outline="0">
        <left style="thin">
          <color auto="1"/>
        </left>
        <right/>
        <top style="thin">
          <color auto="1"/>
        </top>
        <bottom style="thin">
          <color auto="1"/>
        </bottom>
      </border>
    </dxf>
    <dxf>
      <fill>
        <patternFill>
          <fgColor indexed="64"/>
          <bgColor auto="1"/>
        </patternFill>
      </fill>
      <alignment horizontal="left" vertical="bottom"/>
      <border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auto="1"/>
        </patternFill>
      </fill>
    </dxf>
    <dxf>
      <border outline="0">
        <bottom style="thin">
          <color auto="1"/>
        </bottom>
      </border>
    </dxf>
    <dxf>
      <font>
        <name val="Aptos Narrow"/>
        <family val="2"/>
        <strike val="0"/>
        <outline val="0"/>
        <shadow val="0"/>
        <condense val="0"/>
        <color theme="2"/>
        <extend val="0"/>
        <sz val="12"/>
        <vertAlign val="baseline"/>
        <scheme val="minor"/>
      </font>
      <fill>
        <patternFill>
          <fgColor indexed="64"/>
          <bgColor auto="1"/>
        </patternFill>
      </fill>
      <alignment horizontal="left" vertical="bottom"/>
      <border outline="0">
        <left style="thin">
          <color auto="1"/>
        </left>
        <right style="thin">
          <color auto="1"/>
        </right>
        <top/>
        <bottom/>
      </border>
    </dxf>
    <dxf>
      <fill>
        <patternFill>
          <fgColor indexed="64"/>
          <bgColor auto="1"/>
        </patternFill>
      </fill>
      <alignment horizontal="left" vertical="bottom"/>
      <border outline="0">
        <left style="thin">
          <color auto="1"/>
        </left>
        <right/>
        <top style="thin">
          <color auto="1"/>
        </top>
        <bottom style="thin">
          <color auto="1"/>
        </bottom>
      </border>
    </dxf>
    <dxf>
      <fill>
        <patternFill>
          <fgColor indexed="64"/>
          <bgColor auto="1"/>
        </patternFill>
      </fill>
      <alignment horizontal="left" vertical="bottom"/>
      <border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fgColor indexed="64"/>
          <bgColor auto="1"/>
        </patternFill>
      </fill>
    </dxf>
    <dxf>
      <border outline="0">
        <bottom style="thin">
          <color auto="1"/>
        </bottom>
      </border>
    </dxf>
    <dxf>
      <font>
        <name val="Aptos Narrow"/>
        <family val="2"/>
        <strike val="0"/>
        <outline val="0"/>
        <shadow val="0"/>
        <condense val="0"/>
        <color theme="2"/>
        <extend val="0"/>
        <sz val="12"/>
        <vertAlign val="baseline"/>
        <scheme val="minor"/>
      </font>
      <fill>
        <patternFill>
          <fgColor indexed="64"/>
          <bgColor auto="1"/>
        </patternFill>
      </fill>
      <alignment horizontal="left" vertical="bottom"/>
      <border outline="0">
        <left style="thin">
          <color auto="1"/>
        </left>
        <right style="thin">
          <color auto="1"/>
        </right>
        <top/>
        <bottom/>
      </border>
    </dxf>
    <dxf>
      <numFmt numFmtId="0" formatCode="General"/>
      <fill>
        <patternFill>
          <fgColor indexed="64"/>
          <bgColor auto="1"/>
        </patternFill>
      </fill>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fgColor indexed="64"/>
          <bgColor indexed="65"/>
        </patternFill>
      </fill>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alignment horizontal="left" vertical="bottom"/>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ill>
        <patternFill>
          <fgColor indexed="64"/>
          <bgColor auto="1"/>
        </patternFill>
      </fill>
      <alignment horizontal="center" vertical="bottom"/>
    </dxf>
    <dxf>
      <border>
        <bottom style="thin">
          <color indexed="64"/>
        </bottom>
      </border>
    </dxf>
    <dxf>
      <fill>
        <patternFill>
          <fgColor indexed="64"/>
          <bgColor auto="1"/>
        </patternFill>
      </fill>
      <alignment horizontal="center" vertical="bottom"/>
      <border outline="0">
        <left style="thin">
          <color indexed="64"/>
        </left>
        <right style="thin">
          <color indexed="64"/>
        </right>
        <top/>
        <bottom/>
      </border>
    </dxf>
    <dxf>
      <numFmt numFmtId="0" formatCode="General"/>
      <alignment horizontal="center" vertical="bottom"/>
      <border>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bottom"/>
    </dxf>
    <dxf>
      <border>
        <bottom style="thin">
          <color indexed="64"/>
        </bottom>
      </border>
    </dxf>
    <dxf>
      <alignment horizontal="left" vertical="bottom"/>
      <border outline="0">
        <left style="thin">
          <color indexed="64"/>
        </left>
        <right style="thin">
          <color indexed="64"/>
        </right>
        <top/>
        <bottom/>
      </border>
    </dxf>
    <dxf>
      <numFmt numFmtId="0" formatCode="General"/>
      <alignment horizontal="left" vertical="bottom"/>
    </dxf>
    <dxf>
      <alignment horizontal="center" vertical="bottom"/>
      <border outline="0">
        <left style="thin">
          <color indexed="64"/>
        </left>
        <right/>
        <top style="thin">
          <color indexed="64"/>
        </top>
        <bottom style="thin">
          <color indexed="64"/>
        </bottom>
      </border>
    </dxf>
    <dxf>
      <alignment horizontal="center" vertical="bottom"/>
      <border outline="0">
        <left style="thin">
          <color indexed="64"/>
        </left>
        <right style="thin">
          <color indexed="64"/>
        </right>
        <top style="thin">
          <color indexed="64"/>
        </top>
        <bottom style="thin">
          <color indexed="64"/>
        </bottom>
      </border>
    </dxf>
    <dxf>
      <numFmt numFmtId="164" formatCode="[$-C09]dd\-mmm\-yy;@"/>
      <alignment horizontal="center" vertical="bottom"/>
      <border outline="0">
        <left style="thin">
          <color indexed="64"/>
        </left>
        <right style="thin">
          <color indexed="64"/>
        </right>
        <top style="thin">
          <color indexed="64"/>
        </top>
        <bottom style="thin">
          <color indexed="64"/>
        </bottom>
      </border>
    </dxf>
    <dxf>
      <alignment horizontal="center" vertical="bottom"/>
      <border outline="0">
        <left style="thin">
          <color indexed="64"/>
        </left>
        <right style="thin">
          <color indexed="64"/>
        </right>
        <top style="thin">
          <color indexed="64"/>
        </top>
        <bottom style="thin">
          <color indexed="64"/>
        </bottom>
      </border>
    </dxf>
    <dxf>
      <alignment horizontal="left" vertical="bottom"/>
      <border outline="0">
        <left style="thin">
          <color indexed="64"/>
        </left>
        <right style="thin">
          <color indexed="64"/>
        </right>
        <top style="thin">
          <color indexed="64"/>
        </top>
        <bottom style="thin">
          <color indexed="64"/>
        </bottom>
      </border>
    </dxf>
    <dxf>
      <alignment horizontal="left" vertical="bottom"/>
      <border outline="0">
        <left style="thin">
          <color indexed="64"/>
        </left>
        <right style="thin">
          <color indexed="64"/>
        </right>
        <top style="thin">
          <color indexed="64"/>
        </top>
        <bottom style="thin">
          <color indexed="64"/>
        </bottom>
      </border>
    </dxf>
    <dxf>
      <font>
        <name val="Aptos Narrow"/>
        <family val="2"/>
        <strike val="0"/>
        <outline val="0"/>
        <shadow val="0"/>
        <color theme="2"/>
        <sz val="12"/>
        <vertAlign val="baseline"/>
        <scheme val="minor"/>
      </font>
      <fill>
        <patternFill patternType="solid">
          <fgColor indexed="64"/>
          <bgColor theme="1"/>
        </patternFill>
      </fill>
      <alignment horizontal="center" vertical="bottom"/>
      <border outline="0">
        <left/>
        <right style="thin">
          <color indexed="64"/>
        </right>
        <top style="thin">
          <color indexed="64"/>
        </top>
        <bottom style="thin">
          <color indexed="64"/>
        </bottom>
      </border>
    </dxf>
    <dxf>
      <border outline="0">
        <top style="thin">
          <color auto="1"/>
        </top>
      </border>
    </dxf>
    <dxf>
      <border outline="0">
        <left style="thin">
          <color auto="1"/>
        </left>
        <right style="thin">
          <color auto="1"/>
        </right>
        <top style="thin">
          <color auto="1"/>
        </top>
        <bottom style="thin">
          <color auto="1"/>
        </bottom>
      </border>
    </dxf>
    <dxf>
      <alignment horizontal="left" vertical="bottom"/>
    </dxf>
    <dxf>
      <border outline="0">
        <bottom style="thin">
          <color auto="1"/>
        </bottom>
      </border>
    </dxf>
    <dxf>
      <alignment horizontal="left" vertical="bottom"/>
      <border outline="0">
        <left style="thin">
          <color indexed="64"/>
        </left>
        <right style="thin">
          <color indexed="64"/>
        </right>
        <top/>
        <bottom/>
      </border>
    </dxf>
    <dxf>
      <alignment horizontal="left" vertical="bottom"/>
      <border>
        <left style="thin">
          <color auto="1"/>
        </left>
        <right/>
        <top style="thin">
          <color auto="1"/>
        </top>
        <bottom style="thin">
          <color auto="1"/>
        </bottom>
        <vertical/>
        <horizontal/>
      </border>
    </dxf>
    <dxf>
      <alignment horizontal="left" vertical="bottom"/>
      <border>
        <left style="thin">
          <color auto="1"/>
        </left>
        <right style="thin">
          <color auto="1"/>
        </right>
        <top style="thin">
          <color auto="1"/>
        </top>
        <bottom style="thin">
          <color auto="1"/>
        </bottom>
        <vertical/>
        <horizontal/>
      </border>
    </dxf>
    <dxf>
      <alignment horizontal="left" vertical="bottom"/>
      <border>
        <left style="thin">
          <color auto="1"/>
        </left>
        <right style="thin">
          <color auto="1"/>
        </right>
        <top style="thin">
          <color auto="1"/>
        </top>
        <bottom style="thin">
          <color auto="1"/>
        </bottom>
        <vertical/>
        <horizontal/>
      </border>
    </dxf>
    <dxf>
      <alignment horizontal="left" vertical="bottom"/>
      <border>
        <left/>
        <right style="thin">
          <color auto="1"/>
        </right>
        <top/>
        <bottom style="thin">
          <color auto="1"/>
        </bottom>
        <vertical/>
        <horizontal/>
      </border>
    </dxf>
    <dxf>
      <border outline="0">
        <left style="thin">
          <color auto="1"/>
        </left>
        <right style="thin">
          <color auto="1"/>
        </right>
        <top style="thin">
          <color auto="1"/>
        </top>
        <bottom style="thin">
          <color auto="1"/>
        </bottom>
      </border>
    </dxf>
    <dxf>
      <border outline="0">
        <bottom style="thin">
          <color auto="1"/>
        </bottom>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left" vertical="bottom"/>
      <border outline="0">
        <left style="thin">
          <color auto="1"/>
        </left>
        <right style="thin">
          <color auto="1"/>
        </right>
        <top/>
        <bottom/>
      </border>
    </dxf>
    <dxf>
      <numFmt numFmtId="165" formatCode="0.0\k"/>
      <alignment horizontal="left" vertical="bottom"/>
      <border>
        <left style="thin">
          <color auto="1"/>
        </left>
        <right/>
        <top/>
        <bottom style="thin">
          <color auto="1"/>
        </bottom>
        <vertical/>
        <horizontal/>
      </border>
    </dxf>
    <dxf>
      <alignment horizontal="left" vertical="bottom"/>
      <border>
        <left style="thin">
          <color auto="1"/>
        </left>
        <right/>
        <top style="thin">
          <color auto="1"/>
        </top>
        <bottom style="thin">
          <color auto="1"/>
        </bottom>
        <vertical/>
        <horizontal/>
      </border>
    </dxf>
    <dxf>
      <numFmt numFmtId="0" formatCode="General"/>
      <alignment horizontal="left" vertical="bottom"/>
      <border>
        <left style="thin">
          <color auto="1"/>
        </left>
        <right/>
        <top/>
        <bottom style="thin">
          <color auto="1"/>
        </bottom>
        <vertical/>
        <horizontal/>
      </border>
    </dxf>
    <dxf>
      <numFmt numFmtId="0" formatCode="General"/>
      <alignment horizontal="left" vertical="bottom"/>
      <border>
        <left style="thin">
          <color auto="1"/>
        </left>
        <right style="thin">
          <color auto="1"/>
        </right>
        <top/>
        <bottom style="thin">
          <color auto="1"/>
        </bottom>
        <vertical/>
        <horizontal/>
      </border>
    </dxf>
    <dxf>
      <alignment horizontal="left" vertical="bottom"/>
      <border>
        <left style="thin">
          <color auto="1"/>
        </left>
        <right style="thin">
          <color auto="1"/>
        </right>
        <top style="thin">
          <color auto="1"/>
        </top>
        <bottom style="thin">
          <color auto="1"/>
        </bottom>
        <vertical/>
        <horizontal/>
      </border>
    </dxf>
    <dxf>
      <alignment horizontal="left" vertical="bottom"/>
      <border>
        <left/>
        <right style="thin">
          <color auto="1"/>
        </right>
        <top/>
        <bottom style="thin">
          <color auto="1"/>
        </bottom>
        <vertical/>
        <horizontal/>
      </border>
    </dxf>
    <dxf>
      <border outline="0">
        <left style="thin">
          <color auto="1"/>
        </left>
        <right style="thin">
          <color auto="1"/>
        </right>
        <top style="thin">
          <color auto="1"/>
        </top>
        <bottom style="thin">
          <color auto="1"/>
        </bottom>
      </border>
    </dxf>
    <dxf>
      <border outline="0">
        <bottom style="thin">
          <color auto="1"/>
        </bottom>
      </border>
    </dxf>
    <dxf>
      <font>
        <name val="Aptos Narrow"/>
        <family val="2"/>
        <strike val="0"/>
        <outline val="0"/>
        <shadow val="0"/>
        <condense val="0"/>
        <color theme="2"/>
        <extend val="0"/>
        <sz val="12"/>
        <vertAlign val="baseline"/>
        <scheme val="minor"/>
      </font>
      <fill>
        <patternFill patternType="solid">
          <fgColor indexed="64"/>
          <bgColor theme="1"/>
        </patternFill>
      </fill>
      <alignment horizontal="left" vertical="bottom"/>
      <border outline="0">
        <left style="thin">
          <color auto="1"/>
        </left>
        <right style="thin">
          <color auto="1"/>
        </right>
        <top/>
        <bottom/>
      </border>
    </dxf>
    <dxf>
      <font>
        <name val="Calibri"/>
        <family val="2"/>
        <strike val="0"/>
        <outline val="0"/>
        <shadow val="0"/>
        <condense val="0"/>
        <color theme="1"/>
        <extend val="0"/>
        <sz val="12"/>
        <vertAlign val="baseline"/>
      </font>
      <numFmt numFmtId="0" formatCode="General"/>
      <fill>
        <patternFill>
          <fgColor theme="0" tint="-0.3499862666707358"/>
          <bgColor auto="1"/>
        </patternFill>
      </fill>
      <alignment horizontal="center"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numFmt numFmtId="0" formatCode="General"/>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center" vertical="center"/>
      <border outline="0">
        <left style="thin">
          <color auto="1"/>
        </left>
        <right/>
        <top style="thin">
          <color auto="1"/>
        </top>
        <bottom/>
      </border>
    </dxf>
    <dxf>
      <font>
        <name val="Aptos Narrow"/>
        <family val="2"/>
        <strike val="0"/>
        <outline val="0"/>
        <shadow val="0"/>
        <color auto="1"/>
        <sz val="12"/>
        <vertAlign val="baseline"/>
        <scheme val="minor"/>
      </font>
      <numFmt numFmtId="174" formatCode="[&gt;0]d\.m\.yy;&quot;-&quot;"/>
      <fill>
        <patternFill>
          <bgColor auto="1"/>
        </patternFill>
      </fill>
      <alignment horizontal="center" vertical="bottom"/>
      <border>
        <left style="thin">
          <color auto="1"/>
        </left>
        <right style="thin">
          <color auto="1"/>
        </right>
        <top style="thin">
          <color auto="1"/>
        </top>
        <bottom style="thin">
          <color auto="1"/>
        </bottom>
        <vertical/>
        <horizontal/>
      </border>
    </dxf>
    <dxf>
      <font>
        <name val="Aptos Narrow"/>
        <family val="2"/>
        <strike val="0"/>
        <outline val="0"/>
        <shadow val="0"/>
        <color auto="1"/>
        <sz val="12"/>
        <vertAlign val="baseline"/>
        <scheme val="minor"/>
      </font>
      <numFmt numFmtId="174" formatCode="[&gt;0]d\.m\.yy;&quot;-&quot;"/>
      <fill>
        <patternFill>
          <bgColor auto="1"/>
        </patternFill>
      </fill>
      <alignment horizontal="center"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theme="1"/>
        <extend val="0"/>
        <sz val="12"/>
        <vertAlign val="baseline"/>
      </font>
      <numFmt numFmtId="164" formatCode="[$-C09]dd\-mmm\-yy;@"/>
      <fill>
        <patternFill patternType="solid">
          <fgColor indexed="64"/>
          <bgColor theme="5" tint="0.7999816888943144"/>
        </patternFill>
      </fill>
      <alignment horizontal="center" vertical="center"/>
      <border>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64" formatCode="[$-C09]dd\-mmm\-yy;@"/>
      <fill>
        <patternFill patternType="solid">
          <fgColor indexed="64"/>
          <bgColor theme="9" tint="0.7999816888943144"/>
        </patternFill>
      </fill>
      <alignment horizontal="center" vertical="center"/>
      <border outline="0">
        <left style="thin">
          <color auto="1"/>
        </left>
        <right style="thin">
          <color auto="1"/>
        </right>
        <top style="thin">
          <color auto="1"/>
        </top>
        <bottom style="thin">
          <color auto="1"/>
        </bottom>
      </border>
    </dxf>
    <dxf>
      <font>
        <name val="Calibri"/>
        <family val="2"/>
        <strike val="0"/>
        <outline val="0"/>
        <shadow val="0"/>
        <condense val="0"/>
        <color rgb="FFFF0000"/>
        <extend val="0"/>
        <sz val="12"/>
        <vertAlign val="baseline"/>
      </font>
      <numFmt numFmtId="0" formatCode="General"/>
      <fill>
        <patternFill patternType="solid">
          <fgColor indexed="64"/>
          <bgColor theme="1"/>
        </patternFill>
      </fill>
      <alignment horizontal="center" vertical="center"/>
      <border>
        <left style="thin">
          <color auto="1"/>
        </left>
        <right style="thin">
          <color auto="1"/>
        </right>
        <top style="thin">
          <color auto="1"/>
        </top>
        <bottom/>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left" vertical="center"/>
      <border outline="0">
        <left style="thin">
          <color auto="1"/>
        </left>
        <right style="thin">
          <color auto="1"/>
        </right>
        <top style="thin">
          <color auto="1"/>
        </top>
        <bottom/>
      </border>
    </dxf>
    <dxf>
      <font>
        <name val="Calibri"/>
        <family val="2"/>
        <strike val="0"/>
        <outline val="0"/>
        <shadow val="0"/>
        <condense val="0"/>
        <color theme="2"/>
        <extend val="0"/>
        <sz val="12"/>
        <vertAlign val="baseline"/>
      </font>
      <fill>
        <patternFill>
          <fgColor indexed="64"/>
          <bgColor theme="1"/>
        </patternFill>
      </fill>
      <alignment horizontal="center" vertical="center"/>
      <border outline="0">
        <left style="thin">
          <color indexed="64"/>
        </left>
        <right style="thin">
          <color indexed="64"/>
        </right>
        <top style="thin">
          <color indexed="64"/>
        </top>
        <bottom style="thin">
          <color indexed="64"/>
        </bottom>
      </border>
    </dxf>
    <dxf>
      <border outline="0">
        <left style="thin">
          <color auto="1"/>
        </left>
        <top style="thin">
          <color auto="1"/>
        </top>
      </border>
    </dxf>
    <dxf>
      <font>
        <name val="Calibri"/>
        <family val="2"/>
        <strike val="0"/>
        <outline val="0"/>
        <shadow val="0"/>
        <condense val="0"/>
        <color rgb="FFFF0000"/>
        <extend val="0"/>
        <sz val="12"/>
        <vertAlign val="baseline"/>
      </font>
      <fill>
        <patternFill>
          <fgColor theme="0" tint="-0.3499862666707358"/>
          <bgColor auto="1"/>
        </patternFill>
      </fill>
      <alignment horizontal="center" vertical="center"/>
    </dxf>
    <dxf>
      <border outline="0">
        <bottom style="thin">
          <color auto="1"/>
        </bottom>
      </border>
    </dxf>
    <dxf>
      <font>
        <name val="Aptos Narrow"/>
        <family val="2"/>
        <b val="1"/>
        <strike val="0"/>
        <outline val="0"/>
        <shadow val="0"/>
        <condense val="0"/>
        <color theme="2"/>
        <extend val="0"/>
        <sz val="12"/>
        <vertAlign val="baseline"/>
        <scheme val="minor"/>
      </font>
      <fill>
        <patternFill>
          <fgColor indexed="64"/>
          <bgColor auto="1"/>
        </patternFill>
      </fill>
      <alignment horizontal="left" vertical="center"/>
      <border outline="0">
        <left style="thin">
          <color auto="1"/>
        </left>
        <right style="thin">
          <color auto="1"/>
        </right>
        <top/>
        <bottom/>
      </border>
    </dxf>
    <dxf>
      <font>
        <name val="Calibri"/>
        <family val="2"/>
        <strike val="0"/>
        <outline val="0"/>
        <shadow val="0"/>
        <condense val="0"/>
        <color theme="1"/>
        <extend val="0"/>
        <sz val="12"/>
        <vertAlign val="baseline"/>
      </font>
      <numFmt numFmtId="0" formatCode="General"/>
      <fill>
        <patternFill>
          <fgColor theme="0" tint="-0.3499862666707358"/>
          <bgColor auto="1"/>
        </patternFill>
      </fill>
      <alignment horizontal="center"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numFmt numFmtId="0" formatCode="General"/>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center" vertical="center"/>
      <border outline="0">
        <left style="thin">
          <color auto="1"/>
        </left>
        <right/>
        <top style="thin">
          <color auto="1"/>
        </top>
        <bottom/>
      </border>
    </dxf>
    <dxf>
      <font>
        <name val="Aptos Narrow"/>
        <family val="2"/>
        <strike val="0"/>
        <outline val="0"/>
        <shadow val="0"/>
        <color theme="1"/>
        <sz val="12"/>
        <vertAlign val="baseline"/>
        <scheme val="minor"/>
      </font>
      <numFmt numFmtId="164" formatCode="[$-C09]dd\-mmm\-yy;@"/>
      <fill>
        <patternFill>
          <bgColor auto="1"/>
        </patternFill>
      </fill>
      <alignment horizontal="center" vertical="bottom"/>
      <border outline="0">
        <left style="thin">
          <color auto="1"/>
        </left>
        <right style="thin">
          <color auto="1"/>
        </right>
        <top style="thin">
          <color auto="1"/>
        </top>
        <bottom style="thin">
          <color auto="1"/>
        </bottom>
      </border>
    </dxf>
    <dxf>
      <font>
        <name val="Aptos Narrow"/>
        <family val="2"/>
        <strike val="0"/>
        <outline val="0"/>
        <shadow val="0"/>
        <color theme="1"/>
        <sz val="12"/>
        <vertAlign val="baseline"/>
        <scheme val="minor"/>
      </font>
      <numFmt numFmtId="164" formatCode="[$-C09]dd\-mmm\-yy;@"/>
      <fill>
        <patternFill>
          <bgColor auto="1"/>
        </patternFill>
      </fill>
      <alignment horizontal="center" vertical="bottom"/>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64" formatCode="[$-C09]dd\-mmm\-yy;@"/>
      <fill>
        <patternFill patternType="solid">
          <fgColor indexed="64"/>
          <bgColor theme="5" tint="0.7999816888943144"/>
        </patternFill>
      </fill>
      <alignment horizontal="center" vertical="center"/>
      <border>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64" formatCode="[$-C09]dd\-mmm\-yy;@"/>
      <fill>
        <patternFill patternType="solid">
          <fgColor indexed="64"/>
          <bgColor theme="9" tint="0.7999816888943144"/>
        </patternFill>
      </fill>
      <alignment horizontal="center" vertical="center"/>
      <border outline="0">
        <left style="thin">
          <color auto="1"/>
        </left>
        <right style="thin">
          <color auto="1"/>
        </right>
        <top style="thin">
          <color auto="1"/>
        </top>
        <bottom style="thin">
          <color auto="1"/>
        </bottom>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center" vertical="center"/>
      <border outline="0">
        <left style="thin">
          <color auto="1"/>
        </left>
        <right style="thin">
          <color auto="1"/>
        </right>
        <top style="thin">
          <color auto="1"/>
        </top>
        <bottom/>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left" vertical="center"/>
      <border outline="0">
        <left/>
        <right/>
        <top style="thin">
          <color auto="1"/>
        </top>
        <bottom/>
      </border>
    </dxf>
    <dxf>
      <font>
        <name val="Calibri"/>
        <family val="2"/>
        <strike val="0"/>
        <outline val="0"/>
        <shadow val="0"/>
        <condense val="0"/>
        <color theme="2"/>
        <extend val="0"/>
        <sz val="12"/>
        <vertAlign val="baseline"/>
      </font>
      <fill>
        <patternFill>
          <fgColor indexed="64"/>
          <bgColor theme="1"/>
        </patternFill>
      </fill>
      <alignment horizontal="center" vertical="center"/>
      <border outline="0">
        <left style="thin">
          <color indexed="64"/>
        </left>
        <right style="thin">
          <color indexed="64"/>
        </right>
        <top style="thin">
          <color indexed="64"/>
        </top>
        <bottom style="thin">
          <color indexed="64"/>
        </bottom>
      </border>
    </dxf>
    <dxf>
      <border outline="0">
        <left style="thin">
          <color auto="1"/>
        </left>
        <top style="thin">
          <color auto="1"/>
        </top>
      </border>
    </dxf>
    <dxf>
      <font>
        <name val="Calibri"/>
        <family val="2"/>
        <strike val="0"/>
        <outline val="0"/>
        <shadow val="0"/>
        <condense val="0"/>
        <color rgb="FFFF0000"/>
        <extend val="0"/>
        <sz val="12"/>
        <vertAlign val="baseline"/>
      </font>
      <fill>
        <patternFill>
          <fgColor theme="0" tint="-0.3499862666707358"/>
          <bgColor auto="1"/>
        </patternFill>
      </fill>
      <alignment horizontal="center" vertical="center"/>
    </dxf>
    <dxf>
      <border outline="0">
        <bottom style="thin">
          <color auto="1"/>
        </bottom>
      </border>
    </dxf>
    <dxf>
      <font>
        <name val="Aptos Narrow"/>
        <family val="2"/>
        <b val="1"/>
        <strike val="0"/>
        <outline val="0"/>
        <shadow val="0"/>
        <condense val="0"/>
        <color theme="2"/>
        <extend val="0"/>
        <sz val="12"/>
        <vertAlign val="baseline"/>
        <scheme val="minor"/>
      </font>
      <fill>
        <patternFill>
          <fgColor indexed="64"/>
          <bgColor auto="1"/>
        </patternFill>
      </fill>
      <alignment horizontal="left" vertical="center"/>
      <border outline="0">
        <left style="thin">
          <color auto="1"/>
        </left>
        <right style="thin">
          <color auto="1"/>
        </right>
        <top/>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auto="1"/>
        </top>
        <bottom style="thin">
          <color auto="1"/>
        </bottom>
      </border>
    </dxf>
    <dxf>
      <font/>
      <alignment horizontal="center" vertical="center"/>
      <border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ndense val="0"/>
        <color auto="1"/>
        <extend val="0"/>
        <sz val="12"/>
        <vertAlign val="baseline"/>
      </font>
      <numFmt numFmtId="30" formatCode="@"/>
      <fill>
        <patternFill patternType="solid">
          <fgColor theme="0" tint="-0.1499984740745262"/>
          <bgColor theme="0" tint="-0.1499984740745262"/>
        </patternFill>
      </fill>
      <alignment horizontal="center" vertical="center"/>
    </dxf>
    <dxf>
      <border outline="0">
        <bottom style="thin">
          <color auto="1"/>
        </bottom>
      </border>
    </dxf>
    <dxf>
      <font>
        <name val="Aptos Narrow"/>
        <family val="2"/>
        <b val="1"/>
        <strike val="0"/>
        <outline val="0"/>
        <shadow val="0"/>
        <condense val="0"/>
        <color theme="0"/>
        <extend val="0"/>
        <sz val="12"/>
        <vertAlign val="baseline"/>
        <scheme val="minor"/>
      </font>
      <numFmt numFmtId="30" formatCode="@"/>
      <fill>
        <patternFill patternType="solid">
          <fgColor indexed="64"/>
          <bgColor theme="1"/>
        </patternFill>
      </fill>
      <alignment horizontal="center" vertical="center"/>
      <border outline="0">
        <left style="thin">
          <color auto="1"/>
        </left>
        <right style="thin">
          <color auto="1"/>
        </right>
        <top/>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 formatCode="0"/>
      <alignment horizontal="left" vertical="center"/>
      <border outline="0">
        <left/>
        <right style="thin">
          <color auto="1"/>
        </right>
        <top style="thin">
          <color auto="1"/>
        </top>
        <bottom style="thin">
          <color auto="1"/>
        </bottom>
      </border>
    </dxf>
    <dxf>
      <font>
        <name val="Aptos Narrow"/>
        <strike val="0"/>
        <outline val="0"/>
        <shadow val="0"/>
        <condense val="0"/>
        <color auto="1"/>
        <extend val="0"/>
        <sz val="12"/>
        <vertAlign val="baseline"/>
        <scheme val="minor"/>
      </font>
      <fill>
        <patternFill patternType="solid">
          <fgColor indexed="64"/>
          <bgColor theme="2"/>
        </patternFill>
      </fill>
      <alignment horizontal="left" vertical="center"/>
      <border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30" formatCode="@"/>
      <alignment horizontal="left" vertical="center"/>
    </dxf>
    <dxf>
      <border outline="0">
        <bottom style="thin">
          <color auto="1"/>
        </bottom>
      </border>
    </dxf>
    <dxf>
      <font>
        <name val="Aptos Narrow"/>
        <family val="2"/>
        <b val="1"/>
        <strike val="0"/>
        <outline val="0"/>
        <shadow val="0"/>
        <condense val="0"/>
        <color theme="0"/>
        <extend val="0"/>
        <sz val="12"/>
        <vertAlign val="baseline"/>
        <scheme val="minor"/>
      </font>
      <numFmt numFmtId="30" formatCode="@"/>
      <fill>
        <patternFill patternType="solid">
          <fgColor indexed="64"/>
          <bgColor theme="1"/>
        </patternFill>
      </fill>
      <alignment horizontal="left" vertical="center"/>
      <border outline="0">
        <left style="thin">
          <color auto="1"/>
        </left>
        <right style="thin">
          <color auto="1"/>
        </right>
        <top/>
        <bottom/>
      </border>
    </dxf>
    <dxf>
      <font>
        <name val="Calibri"/>
        <family val="2"/>
        <strike val="0"/>
        <outline val="0"/>
        <shadow val="0"/>
        <condense val="0"/>
        <color auto="1"/>
        <extend val="0"/>
        <sz val="12"/>
        <vertAlign val="baseline"/>
      </font>
      <fill>
        <patternFill>
          <fgColor indexed="64"/>
          <bgColor auto="1"/>
        </patternFill>
      </fill>
      <alignment horizontal="center" vertical="center"/>
      <border outline="0">
        <left/>
        <right/>
        <top style="thin">
          <color auto="1"/>
        </top>
        <bottom style="thin">
          <color auto="1"/>
        </bottom>
      </border>
    </dxf>
    <dxf>
      <font>
        <name val="Calibri"/>
        <family val="2"/>
        <strike val="0"/>
        <outline val="0"/>
        <shadow val="0"/>
        <condense val="0"/>
        <color auto="1"/>
        <extend val="0"/>
        <sz val="12"/>
        <vertAlign val="baseline"/>
      </font>
      <numFmt numFmtId="0" formatCode="General"/>
      <alignment horizontal="center" vertical="center"/>
      <border outline="0">
        <left style="thin">
          <color auto="1"/>
        </left>
        <right/>
        <top style="thin">
          <color auto="1"/>
        </top>
        <bottom style="thin">
          <color auto="1"/>
        </bottom>
      </border>
    </dxf>
    <dxf>
      <font>
        <name val="Calibri"/>
        <family val="2"/>
        <strike val="0"/>
        <outline val="0"/>
        <shadow val="0"/>
        <condense val="0"/>
        <color auto="1"/>
        <extend val="0"/>
        <sz val="12"/>
        <vertAlign val="baseline"/>
      </font>
      <numFmt numFmtId="0" formatCode="General"/>
      <fill>
        <patternFill>
          <fgColor indexed="64"/>
          <bgColor auto="1"/>
        </patternFill>
      </fill>
      <alignment horizontal="center" vertical="center"/>
      <border outline="0">
        <left/>
        <right/>
        <top style="thin">
          <color auto="1"/>
        </top>
        <bottom style="thin">
          <color auto="1"/>
        </bottom>
      </border>
    </dxf>
    <dxf>
      <font>
        <name val="Aptos Narrow"/>
        <family val="2"/>
        <strike val="0"/>
        <outline val="0"/>
        <shadow val="0"/>
        <condense val="0"/>
        <color auto="1"/>
        <extend val="0"/>
        <sz val="12"/>
        <vertAlign val="baseline"/>
        <scheme val="minor"/>
      </font>
      <numFmt numFmtId="172" formatCode="d\.m\.yy;@"/>
      <fill>
        <patternFill>
          <fgColor indexed="64"/>
          <bgColor auto="1"/>
        </patternFill>
      </fill>
      <alignment horizontal="center" vertical="bottom"/>
      <border>
        <left/>
        <right/>
        <top style="thin">
          <color auto="1"/>
        </top>
        <bottom style="thin">
          <color auto="1"/>
        </bottom>
      </border>
    </dxf>
    <dxf>
      <font>
        <name val="Aptos Narrow"/>
        <family val="2"/>
        <strike val="0"/>
        <outline val="0"/>
        <shadow val="0"/>
        <condense val="0"/>
        <color auto="1"/>
        <extend val="0"/>
        <sz val="12"/>
        <vertAlign val="baseline"/>
        <scheme val="minor"/>
      </font>
      <numFmt numFmtId="172" formatCode="d\.m\.yy;@"/>
      <fill>
        <patternFill>
          <fgColor indexed="64"/>
          <bgColor auto="1"/>
        </patternFill>
      </fill>
      <alignment horizontal="center" vertical="bottom"/>
      <border>
        <left style="thin">
          <color auto="1"/>
        </left>
        <right/>
        <top style="thin">
          <color auto="1"/>
        </top>
        <bottom style="thin">
          <color auto="1"/>
        </bottom>
      </border>
    </dxf>
    <dxf>
      <font>
        <name val="Calibri"/>
        <family val="2"/>
        <strike val="0"/>
        <outline val="0"/>
        <shadow val="0"/>
        <condense val="0"/>
        <color auto="1"/>
        <extend val="0"/>
        <sz val="12"/>
        <vertAlign val="baseline"/>
      </font>
      <numFmt numFmtId="164" formatCode="[$-C09]dd\-mmm\-yy;@"/>
      <fill>
        <patternFill patternType="solid">
          <fgColor indexed="64"/>
          <bgColor theme="5" tint="0.7999816888943144"/>
        </patternFill>
      </fill>
      <alignment horizontal="center" vertical="center"/>
      <border outline="0">
        <left style="thin">
          <color auto="1"/>
        </left>
        <right style="thin">
          <color auto="1"/>
        </right>
        <top style="thin">
          <color auto="1"/>
        </top>
        <bottom style="thin">
          <color auto="1"/>
        </bottom>
      </border>
    </dxf>
    <dxf>
      <font>
        <name val="Calibri"/>
        <family val="2"/>
        <strike val="0"/>
        <outline val="0"/>
        <shadow val="0"/>
        <condense val="0"/>
        <color auto="1"/>
        <extend val="0"/>
        <sz val="12"/>
        <vertAlign val="baseline"/>
      </font>
      <numFmt numFmtId="0" formatCode="General"/>
      <fill>
        <patternFill patternType="solid">
          <fgColor indexed="64"/>
          <bgColor theme="9" tint="0.7999816888943144"/>
        </patternFill>
      </fill>
      <alignment horizontal="center" vertical="center"/>
      <border outline="0">
        <left style="thin">
          <color auto="1"/>
        </left>
        <right style="thin">
          <color auto="1"/>
        </right>
        <top style="thin">
          <color auto="1"/>
        </top>
        <bottom style="thin">
          <color auto="1"/>
        </bottom>
      </border>
    </dxf>
    <dxf>
      <font>
        <name val="Calibri"/>
        <family val="2"/>
        <strike val="0"/>
        <outline val="0"/>
        <shadow val="0"/>
        <condense val="0"/>
        <color auto="1"/>
        <extend val="0"/>
        <sz val="12"/>
        <vertAlign val="baseline"/>
      </font>
      <numFmt numFmtId="0" formatCode="General"/>
      <fill>
        <patternFill>
          <fgColor indexed="64"/>
          <bgColor auto="1"/>
        </patternFill>
      </fill>
      <alignment horizontal="center" vertical="center"/>
      <border outline="0">
        <left style="thin">
          <color auto="1"/>
        </left>
        <right style="thin">
          <color auto="1"/>
        </right>
        <top style="thin">
          <color auto="1"/>
        </top>
        <bottom style="thin">
          <color auto="1"/>
        </bottom>
      </border>
    </dxf>
    <dxf>
      <font>
        <name val="Aptos Narrow"/>
        <family val="2"/>
        <strike val="0"/>
        <outline val="0"/>
        <shadow val="0"/>
        <condense val="0"/>
        <color auto="1"/>
        <extend val="0"/>
        <sz val="12"/>
        <vertAlign val="baseline"/>
        <scheme val="minor"/>
      </font>
      <alignment horizontal="center" vertical="center"/>
      <border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color auto="1"/>
        <sz val="12"/>
        <vertAlign val="baseline"/>
      </font>
    </dxf>
    <dxf>
      <border outline="0">
        <bottom style="thin">
          <color auto="1"/>
        </bottom>
      </border>
    </dxf>
    <dxf>
      <font>
        <name val="Aptos Narrow"/>
        <strike val="0"/>
        <outline val="0"/>
        <shadow val="0"/>
        <condense val="0"/>
        <color theme="2"/>
        <extend val="0"/>
        <sz val="12"/>
        <vertAlign val="baseline"/>
        <scheme val="minor"/>
      </font>
      <fill>
        <patternFill patternType="solid">
          <fgColor indexed="64"/>
          <bgColor theme="1"/>
        </patternFill>
      </fill>
      <alignment horizontal="left" vertical="center"/>
      <border outline="0">
        <left style="thin">
          <color auto="1"/>
        </left>
        <right style="thin">
          <color auto="1"/>
        </right>
        <top/>
        <bottom/>
      </border>
    </dxf>
    <dxf>
      <font>
        <name val="Calibri"/>
        <family val="2"/>
        <strike val="0"/>
        <outline val="0"/>
        <shadow val="0"/>
        <condense val="0"/>
        <color theme="1"/>
        <extend val="0"/>
        <sz val="12"/>
        <vertAlign val="baseline"/>
      </font>
      <numFmt numFmtId="0" formatCode="General"/>
      <fill>
        <patternFill>
          <fgColor theme="0" tint="-0.3499862666707358"/>
          <bgColor auto="1"/>
        </patternFill>
      </fill>
      <alignment horizontal="center" vertical="center"/>
      <border outline="0">
        <left style="thin">
          <color indexed="64"/>
        </left>
        <right style="thin">
          <color indexed="64"/>
        </right>
        <top style="thin">
          <color indexed="64"/>
        </top>
        <bottom style="thin">
          <color indexed="64"/>
        </bottom>
      </border>
    </dxf>
    <dxf>
      <font>
        <name val="Calibri"/>
        <family val="2"/>
        <strike val="0"/>
        <outline val="0"/>
        <shadow val="0"/>
        <condense val="0"/>
        <color theme="1"/>
        <extend val="0"/>
        <sz val="12"/>
        <vertAlign val="baseline"/>
      </font>
      <numFmt numFmtId="0" formatCode="General"/>
      <alignment horizontal="center" vertical="center"/>
      <border>
        <left style="thin">
          <color auto="1"/>
        </left>
        <right style="thin">
          <color auto="1"/>
        </right>
        <top style="thin">
          <color auto="1"/>
        </top>
        <bottom style="thin">
          <color auto="1"/>
        </bottom>
        <vertical/>
        <horizontal/>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center" vertical="center"/>
      <border outline="0">
        <left style="thin">
          <color auto="1"/>
        </left>
        <right/>
        <top style="thin">
          <color auto="1"/>
        </top>
        <bottom/>
      </border>
    </dxf>
    <dxf>
      <font>
        <name val="Aptos Narrow"/>
        <family val="2"/>
        <strike val="0"/>
        <outline val="0"/>
        <shadow val="0"/>
        <color auto="1"/>
        <sz val="12"/>
        <vertAlign val="baseline"/>
        <scheme val="minor"/>
      </font>
      <numFmt numFmtId="174" formatCode="[&gt;0]d\.m\.yy;&quot;-&quot;"/>
      <fill>
        <patternFill>
          <bgColor auto="1"/>
        </patternFill>
      </fill>
      <alignment horizontal="center" vertical="bottom"/>
      <border>
        <left style="thin">
          <color auto="1"/>
        </left>
        <right style="thin">
          <color auto="1"/>
        </right>
        <top style="thin">
          <color auto="1"/>
        </top>
        <bottom style="thin">
          <color auto="1"/>
        </bottom>
        <vertical/>
        <horizontal/>
      </border>
    </dxf>
    <dxf>
      <font>
        <name val="Aptos Narrow"/>
        <family val="2"/>
        <strike val="0"/>
        <outline val="0"/>
        <shadow val="0"/>
        <color auto="1"/>
        <sz val="12"/>
        <vertAlign val="baseline"/>
        <scheme val="minor"/>
      </font>
      <numFmt numFmtId="174" formatCode="[&gt;0]d\.m\.yy;&quot;-&quot;"/>
      <fill>
        <patternFill>
          <bgColor auto="1"/>
        </patternFill>
      </fill>
      <alignment horizontal="center"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theme="1"/>
        <extend val="0"/>
        <sz val="12"/>
        <vertAlign val="baseline"/>
      </font>
      <numFmt numFmtId="164" formatCode="[$-C09]dd\-mmm\-yy;@"/>
      <fill>
        <patternFill patternType="solid">
          <fgColor indexed="64"/>
          <bgColor theme="5" tint="0.7999816888943144"/>
        </patternFill>
      </fill>
      <alignment horizontal="center" vertical="center"/>
      <border outline="0">
        <left style="thin">
          <color auto="1"/>
        </left>
        <right style="thin">
          <color auto="1"/>
        </right>
        <top style="thin">
          <color auto="1"/>
        </top>
        <bottom style="thin">
          <color auto="1"/>
        </bottom>
      </border>
    </dxf>
    <dxf>
      <font>
        <name val="Calibri"/>
        <family val="2"/>
        <strike val="0"/>
        <outline val="0"/>
        <shadow val="0"/>
        <condense val="0"/>
        <color theme="1"/>
        <extend val="0"/>
        <sz val="12"/>
        <vertAlign val="baseline"/>
      </font>
      <numFmt numFmtId="164" formatCode="[$-C09]dd\-mmm\-yy;@"/>
      <fill>
        <patternFill patternType="solid">
          <fgColor indexed="64"/>
          <bgColor theme="9" tint="0.7999816888943144"/>
        </patternFill>
      </fill>
      <alignment horizontal="center" vertical="center"/>
      <border outline="0">
        <left style="thin">
          <color auto="1"/>
        </left>
        <right style="thin">
          <color auto="1"/>
        </right>
        <top style="thin">
          <color auto="1"/>
        </top>
        <bottom style="thin">
          <color auto="1"/>
        </bottom>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center" vertical="center"/>
      <border outline="0">
        <left style="thin">
          <color auto="1"/>
        </left>
        <right style="thin">
          <color auto="1"/>
        </right>
        <top style="thin">
          <color auto="1"/>
        </top>
        <bottom/>
      </border>
    </dxf>
    <dxf>
      <font>
        <name val="Calibri"/>
        <family val="2"/>
        <strike val="0"/>
        <outline val="0"/>
        <shadow val="0"/>
        <condense val="0"/>
        <color rgb="FFFF0000"/>
        <extend val="0"/>
        <sz val="12"/>
        <vertAlign val="baseline"/>
      </font>
      <numFmt numFmtId="0" formatCode="General"/>
      <fill>
        <patternFill>
          <fgColor theme="0" tint="-0.3499862666707358"/>
          <bgColor auto="1"/>
        </patternFill>
      </fill>
      <alignment horizontal="left" vertical="center"/>
      <border outline="0">
        <left/>
        <right/>
        <top style="thin">
          <color auto="1"/>
        </top>
        <bottom/>
      </border>
    </dxf>
    <dxf>
      <font>
        <name val="Calibri"/>
        <family val="2"/>
        <strike val="0"/>
        <outline val="0"/>
        <shadow val="0"/>
        <condense val="0"/>
        <color theme="2"/>
        <extend val="0"/>
        <sz val="12"/>
        <vertAlign val="baseline"/>
      </font>
      <fill>
        <patternFill patternType="solid">
          <fgColor indexed="64"/>
          <bgColor theme="1"/>
        </patternFill>
      </fill>
      <alignment horizontal="center" vertical="center"/>
      <border outline="0">
        <left style="thin">
          <color indexed="64"/>
        </left>
        <right style="thin">
          <color indexed="64"/>
        </right>
        <top style="thin">
          <color indexed="64"/>
        </top>
        <bottom style="thin">
          <color indexed="64"/>
        </bottom>
      </border>
    </dxf>
    <dxf>
      <border outline="0">
        <left style="thin">
          <color auto="1"/>
        </left>
        <top style="thin">
          <color auto="1"/>
        </top>
      </border>
    </dxf>
    <dxf>
      <font>
        <name val="Calibri"/>
        <family val="2"/>
        <strike val="0"/>
        <outline val="0"/>
        <shadow val="0"/>
        <condense val="0"/>
        <color rgb="FFFF0000"/>
        <extend val="0"/>
        <sz val="12"/>
        <vertAlign val="baseline"/>
      </font>
      <fill>
        <patternFill>
          <fgColor theme="0" tint="-0.3499862666707358"/>
          <bgColor auto="1"/>
        </patternFill>
      </fill>
      <alignment horizontal="center" vertical="center"/>
    </dxf>
    <dxf>
      <border outline="0">
        <bottom style="thin">
          <color auto="1"/>
        </bottom>
      </border>
    </dxf>
    <dxf>
      <font>
        <name val="Aptos Narrow"/>
        <family val="2"/>
        <b val="1"/>
        <strike val="0"/>
        <outline val="0"/>
        <shadow val="0"/>
        <condense val="0"/>
        <color theme="2"/>
        <extend val="0"/>
        <sz val="12"/>
        <vertAlign val="baseline"/>
        <scheme val="minor"/>
      </font>
      <fill>
        <patternFill>
          <fgColor indexed="64"/>
          <bgColor auto="1"/>
        </patternFill>
      </fill>
      <alignment horizontal="left" vertical="center"/>
      <border outline="0">
        <left style="thin">
          <color auto="1"/>
        </left>
        <right style="thin">
          <color auto="1"/>
        </right>
        <top/>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Aptos Narrow"/>
        <strike val="0"/>
        <outline val="0"/>
        <shadow val="0"/>
        <condense val="0"/>
        <color theme="0"/>
        <extend val="0"/>
        <sz val="12"/>
        <vertAlign val="baseline"/>
        <scheme val="minor"/>
      </font>
      <alignment horizontal="center" vertical="bottom"/>
      <border outline="0">
        <left/>
        <right/>
        <top style="thin">
          <color indexed="64"/>
        </top>
        <bottom style="thin">
          <color indexed="64"/>
        </bottom>
      </border>
    </dxf>
    <dxf>
      <font/>
      <numFmt numFmtId="0" formatCode="General"/>
      <alignment horizontal="center" vertical="bottom"/>
      <border outline="0">
        <left/>
        <right/>
        <top style="thin">
          <color indexed="64"/>
        </top>
        <bottom style="thin">
          <color indexed="64"/>
        </bottom>
      </border>
    </dxf>
    <dxf>
      <font>
        <name val="Calibri"/>
        <family val="2"/>
        <strike val="0"/>
        <outline val="0"/>
        <shadow val="0"/>
        <condense val="0"/>
        <color rgb="FFFF0000"/>
        <extend val="0"/>
        <sz val="12"/>
        <vertAlign val="baseline"/>
      </font>
      <numFmt numFmtId="0" formatCode="General"/>
      <alignment horizontal="center" vertical="center"/>
      <border outline="0">
        <left/>
        <right/>
        <top style="thin">
          <color indexed="64"/>
        </top>
        <bottom style="thin">
          <color indexed="64"/>
        </bottom>
      </border>
    </dxf>
    <dxf>
      <font>
        <name val="Calibri"/>
        <family val="2"/>
        <strike val="0"/>
        <outline val="0"/>
        <shadow val="0"/>
        <condense val="0"/>
        <color theme="1"/>
        <extend val="0"/>
        <sz val="12"/>
        <vertAlign val="baseline"/>
      </font>
      <numFmt numFmtId="0" formatCode="General"/>
      <fill>
        <patternFill patternType="solid">
          <fgColor theme="0" tint="-0.1499984740745262"/>
          <bgColor theme="0" tint="-0.1499984740745262"/>
        </patternFill>
      </fill>
      <alignment horizontal="center" vertical="center"/>
      <border outline="0">
        <left/>
        <right/>
        <top style="thin">
          <color indexed="64"/>
        </top>
        <bottom style="thin">
          <color indexed="64"/>
        </bottom>
      </border>
    </dxf>
    <dxf>
      <font>
        <name val="Calibri"/>
        <family val="2"/>
        <strike val="0"/>
        <outline val="0"/>
        <shadow val="0"/>
        <condense val="0"/>
        <color theme="1"/>
        <extend val="0"/>
        <sz val="12"/>
        <vertAlign val="baseline"/>
      </font>
      <numFmt numFmtId="1" formatCode="0"/>
      <fill>
        <patternFill patternType="solid">
          <fgColor indexed="64"/>
          <bgColor theme="9" tint="0.7999816888943144"/>
        </patternFill>
      </fill>
      <alignment horizontal="center" vertical="center"/>
      <border outline="0">
        <left style="thin">
          <color auto="1"/>
        </left>
        <right/>
        <top style="thin">
          <color indexed="64"/>
        </top>
        <bottom style="thin">
          <color indexed="64"/>
        </bottom>
      </border>
    </dxf>
    <dxf>
      <font/>
      <alignment horizontal="center" vertical="bottom"/>
      <border outline="0">
        <left/>
        <right/>
        <top style="thin">
          <color indexed="64"/>
        </top>
        <bottom style="thin">
          <color indexed="64"/>
        </bottom>
      </border>
    </dxf>
    <dxf>
      <border outline="0">
        <left style="thin">
          <color auto="1"/>
        </left>
        <right style="thin">
          <color auto="1"/>
        </right>
        <top style="thin">
          <color auto="1"/>
        </top>
        <bottom style="thin">
          <color auto="1"/>
        </bottom>
      </border>
    </dxf>
    <dxf>
      <font>
        <name val="Calibri"/>
        <family val="2"/>
        <strike val="0"/>
        <outline val="0"/>
        <shadow val="0"/>
        <condense val="0"/>
        <color auto="1"/>
        <extend val="0"/>
        <sz val="12"/>
        <vertAlign val="baseline"/>
      </font>
      <numFmt numFmtId="1" formatCode="0"/>
      <fill>
        <patternFill patternType="solid">
          <fgColor theme="0" tint="-0.1499984740745262"/>
          <bgColor theme="0" tint="-0.1499984740745262"/>
        </patternFill>
      </fill>
      <alignment horizontal="left" vertical="center"/>
    </dxf>
    <dxf>
      <font>
        <name val="Aptos Narrow"/>
        <family val="2"/>
        <strike val="0"/>
        <outline val="0"/>
        <shadow val="0"/>
        <condense val="0"/>
        <color theme="0"/>
        <extend val="0"/>
        <sz val="12"/>
        <vertAlign val="baseline"/>
        <scheme val="minor"/>
      </font>
      <numFmt numFmtId="1" formatCode="0"/>
      <fill>
        <patternFill patternType="solid">
          <fgColor indexed="64"/>
          <bgColor theme="1"/>
        </patternFill>
      </fill>
      <alignment horizontal="left" vertical="center"/>
      <border outline="0">
        <left style="thin">
          <color indexed="64"/>
        </left>
        <right style="thin">
          <color indexed="64"/>
        </right>
        <top/>
        <bottom/>
      </border>
    </dxf>
    <dxf>
      <fill>
        <patternFill>
          <fgColor indexed="64"/>
          <bgColor auto="1"/>
        </patternFill>
      </fill>
      <alignment horizontal="center" vertical="bottom"/>
      <border outline="0">
        <left style="thin">
          <color auto="1"/>
        </left>
        <right style="thin">
          <color auto="1"/>
        </right>
        <top style="thin">
          <color auto="1"/>
        </top>
        <bottom style="thin">
          <color auto="1"/>
        </bottom>
      </border>
    </dxf>
    <dxf>
      <fill>
        <patternFill>
          <fgColor indexed="64"/>
          <bgColor auto="1"/>
        </patternFill>
      </fill>
      <border outline="0">
        <left style="thin">
          <color auto="1"/>
        </left>
        <right style="thin">
          <color auto="1"/>
        </right>
        <top style="thin">
          <color auto="1"/>
        </top>
        <bottom style="thin">
          <color auto="1"/>
        </bottom>
      </border>
    </dxf>
    <dxf>
      <fill>
        <patternFill>
          <fgColor indexed="64"/>
          <bgColor auto="1"/>
        </patternFill>
      </fill>
      <border outline="0">
        <left style="thin">
          <color auto="1"/>
        </left>
        <right style="thin">
          <color auto="1"/>
        </right>
        <top style="thin">
          <color auto="1"/>
        </top>
        <bottom style="thin">
          <color auto="1"/>
        </bottom>
      </border>
    </dxf>
    <dxf>
      <fill>
        <patternFill>
          <fgColor indexed="64"/>
          <bgColor auto="1"/>
        </patternFill>
      </fill>
      <border outline="0">
        <left style="thin">
          <color auto="1"/>
        </left>
        <right style="thin">
          <color auto="1"/>
        </right>
        <top style="thin">
          <color auto="1"/>
        </top>
        <bottom style="thin">
          <color auto="1"/>
        </bottom>
      </border>
    </dxf>
    <dxf>
      <fill>
        <patternFill>
          <fgColor indexed="64"/>
          <bgColor auto="1"/>
        </patternFill>
      </fill>
      <alignment horizontal="left" vertical="bottom"/>
      <border outline="0">
        <left style="thin">
          <color auto="1"/>
        </left>
        <right style="thin">
          <color auto="1"/>
        </right>
        <top style="thin">
          <color auto="1"/>
        </top>
        <bottom style="thin">
          <color auto="1"/>
        </bottom>
      </border>
    </dxf>
    <dxf>
      <border outline="0">
        <top style="thin">
          <color auto="1"/>
        </top>
        <bottom style="thin">
          <color auto="1"/>
        </bottom>
      </border>
    </dxf>
    <dxf>
      <fill>
        <patternFill>
          <fgColor indexed="64"/>
          <bgColor auto="1"/>
        </patternFill>
      </fill>
    </dxf>
    <dxf>
      <border outline="0">
        <bottom style="thin">
          <color auto="1"/>
        </bottom>
      </border>
    </dxf>
    <dxf>
      <font>
        <name val="Aptos Narrow"/>
        <b val="1"/>
        <strike val="0"/>
        <outline val="0"/>
        <shadow val="0"/>
        <condense val="0"/>
        <color theme="2"/>
        <extend val="0"/>
        <sz val="12"/>
        <vertAlign val="baseline"/>
        <scheme val="minor"/>
      </font>
      <fill>
        <patternFill>
          <fgColor indexed="64"/>
          <bgColor auto="1"/>
        </patternFill>
      </fill>
      <alignment horizontal="left" vertical="bottom"/>
      <border outline="0">
        <left style="thin">
          <color auto="1"/>
        </left>
        <right style="thin">
          <color auto="1"/>
        </right>
        <top/>
        <bottom/>
      </border>
    </dxf>
    <dxf>
      <fill>
        <patternFill>
          <fgColor indexed="64"/>
          <bgColor auto="1"/>
        </patternFill>
      </fill>
      <border>
        <left style="thin">
          <color indexed="64"/>
        </left>
        <right/>
        <top style="thin">
          <color indexed="64"/>
        </top>
        <bottom style="thin">
          <color indexed="64"/>
        </bottom>
        <vertical style="thin">
          <color indexed="64"/>
        </vertical>
        <horizontal style="thin">
          <color indexed="64"/>
        </horizontal>
      </border>
    </dxf>
    <dxf>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auto="1"/>
        </patternFill>
      </fill>
      <alignment horizontal="left" vertical="bottom"/>
      <border>
        <left/>
        <right style="thin">
          <color indexed="64"/>
        </right>
        <top style="thin">
          <color indexed="64"/>
        </top>
        <bottom style="thin">
          <color indexed="64"/>
        </bottom>
        <vertical style="thin">
          <color indexed="64"/>
        </vertical>
        <horizontal style="thin">
          <color indexed="64"/>
        </horizontal>
      </border>
    </dxf>
    <dxf>
      <border outline="0">
        <top style="thin">
          <color theme="5" tint="0.3999755851924192"/>
        </top>
      </border>
    </dxf>
    <dxf>
      <fill>
        <patternFill>
          <fgColor indexed="64"/>
          <bgColor auto="1"/>
        </patternFill>
      </fill>
    </dxf>
    <dxf>
      <fill>
        <patternFill>
          <fgColor indexed="64"/>
          <bgColor auto="1"/>
        </patternFill>
      </fill>
      <border>
        <left style="thin">
          <color indexed="64"/>
        </left>
        <right style="thin">
          <color indexed="64"/>
        </right>
        <top/>
        <bottom/>
        <vertical style="thin">
          <color indexed="64"/>
        </vertical>
        <horizontal style="thin">
          <color indexed="64"/>
        </horizontal>
      </border>
    </dxf>
    <dxf>
      <numFmt numFmtId="0" formatCode="General"/>
      <fill>
        <patternFill>
          <bgColor auto="1"/>
        </patternFill>
      </fill>
      <alignment horizontal="left" vertical="bottom"/>
      <border>
        <left style="thin">
          <color indexed="64"/>
        </left>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theme="1"/>
        <extend val="0"/>
        <sz val="12"/>
        <vertAlign val="baseline"/>
        <scheme val="minor"/>
      </font>
      <numFmt numFmtId="0" formatCode="General"/>
      <fill>
        <patternFill>
          <fgColor theme="4" tint="0.7999816888943144"/>
          <bgColor auto="1"/>
        </patternFill>
      </fill>
      <alignment horizontal="left" vertical="bottom"/>
      <border>
        <left/>
        <right style="thin">
          <color indexed="64"/>
        </right>
        <top style="thin">
          <color indexed="64"/>
        </top>
        <bottom style="thin">
          <color indexed="64"/>
        </bottom>
      </border>
    </dxf>
    <dxf>
      <font>
        <name val="Aptos Narrow"/>
        <family val="2"/>
        <strike val="0"/>
        <outline val="0"/>
        <shadow val="0"/>
        <condense val="0"/>
        <color theme="1"/>
        <extend val="0"/>
        <sz val="12"/>
        <vertAlign val="baseline"/>
        <scheme val="minor"/>
      </font>
      <fill>
        <patternFill>
          <fgColor theme="4" tint="0.7999816888943144"/>
          <bgColor auto="1"/>
        </patternFill>
      </fil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ill>
        <patternFill>
          <bgColor auto="1"/>
        </patternFill>
      </fill>
    </dxf>
    <dxf>
      <border>
        <bottom style="thin">
          <color indexed="64"/>
        </bottom>
      </border>
    </dxf>
    <dxf>
      <fill>
        <patternFill>
          <bgColor auto="1"/>
        </patternFill>
      </fill>
      <alignment horizontal="left" vertical="bottom"/>
      <border>
        <left style="thin">
          <color indexed="64"/>
        </left>
        <right style="thin">
          <color indexed="64"/>
        </right>
        <top/>
        <bottom/>
        <vertical style="thin">
          <color indexed="64"/>
        </vertical>
        <horizontal style="thin">
          <color indexed="64"/>
        </horizontal>
      </border>
    </dxf>
    <dxf>
      <font>
        <name val="Aptos Narrow"/>
        <family val="2"/>
        <b val="1"/>
        <strike val="0"/>
        <outline val="0"/>
        <shadow val="0"/>
        <condense val="0"/>
        <color theme="1"/>
        <extend val="0"/>
        <sz val="12"/>
        <vertAlign val="baseline"/>
        <scheme val="minor"/>
      </font>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right style="thin">
          <color auto="1"/>
        </right>
        <top style="thin">
          <color auto="1"/>
        </top>
        <bottom style="thin">
          <color auto="1"/>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7F7F7F"/>
        </left>
        <right style="thin">
          <color indexed="64"/>
        </right>
        <top style="thin">
          <color indexed="64"/>
        </top>
        <bottom style="thin">
          <color indexed="64"/>
        </bottom>
      </border>
    </dxf>
    <dxf>
      <alignment horizontal="center" vertical="bottom"/>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
      <numFmt numFmtId="0" formatCode="General"/>
      <fill>
        <patternFill>
          <fgColor indexed="64"/>
          <bgColor auto="1"/>
        </patternFill>
      </fill>
    </dxf>
    <dxf>
      <fill>
        <patternFill>
          <fgColor indexed="64"/>
          <bgColor auto="1"/>
        </patternFill>
      </fill>
      <border outline="0">
        <left style="thin">
          <color indexed="64"/>
        </left>
        <right style="thin">
          <color auto="1"/>
        </right>
        <top style="thin">
          <color indexed="64"/>
        </top>
        <bottom style="thin">
          <color indexed="64"/>
        </bottom>
      </border>
    </dxf>
    <dxf>
      <fill>
        <patternFill>
          <fgColor indexed="64"/>
          <bgColor auto="1"/>
        </patternFill>
      </fill>
      <alignment horizontal="left" vertical="bottom"/>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auto="1"/>
        </left>
      </border>
    </dxf>
    <dxf>
      <fill>
        <patternFill>
          <fgColor indexed="64"/>
          <bgColor auto="1"/>
        </patternFill>
      </fill>
    </dxf>
    <dxf>
      <font>
        <name val="Aptos Narrow"/>
        <family val="2"/>
        <strike val="0"/>
        <outline val="0"/>
        <shadow val="0"/>
        <color auto="1"/>
        <sz val="12"/>
        <vertAlign val="baseline"/>
        <scheme val="minor"/>
      </font>
      <numFmt numFmtId="0" formatCode="General"/>
      <fill>
        <patternFill>
          <fgColor indexed="64"/>
          <bgColor auto="1"/>
        </patternFill>
      </fill>
    </dxf>
    <dxf>
      <font>
        <name val="Aptos Narrow"/>
        <family val="2"/>
        <strike val="0"/>
        <outline val="0"/>
        <shadow val="0"/>
        <color auto="1"/>
        <sz val="12"/>
        <vertAlign val="baseline"/>
        <scheme val="minor"/>
      </font>
      <numFmt numFmtId="0" formatCode="General"/>
      <fill>
        <patternFill>
          <fgColor indexed="64"/>
          <bgColor auto="1"/>
        </patternFill>
      </fill>
    </dxf>
    <dxf>
      <font>
        <name val="Aptos Narrow"/>
        <family val="2"/>
        <strike val="0"/>
        <outline val="0"/>
        <shadow val="0"/>
        <condense val="0"/>
        <color auto="1"/>
        <extend val="0"/>
        <sz val="12"/>
        <vertAlign val="baseline"/>
        <scheme val="minor"/>
      </font>
      <numFmt numFmtId="13" formatCode="0%"/>
      <fill>
        <patternFill>
          <fgColor indexed="64"/>
          <bgColor indexed="65"/>
        </patternFill>
      </fill>
      <alignment horizontal="left" vertical="bottom"/>
      <border>
        <left style="thin">
          <color auto="1"/>
        </left>
        <right/>
        <top style="thin">
          <color auto="1"/>
        </top>
        <bottom style="thin">
          <color auto="1"/>
        </bottom>
        <vertical/>
        <horizontal/>
      </border>
    </dxf>
    <dxf>
      <font>
        <name val="Aptos Narrow"/>
        <family val="2"/>
        <strike val="0"/>
        <outline val="0"/>
        <shadow val="0"/>
        <color auto="1"/>
        <sz val="12"/>
        <vertAlign val="baseline"/>
        <scheme val="minor"/>
      </font>
      <numFmt numFmtId="0" formatCode="General"/>
      <fill>
        <patternFill>
          <fgColor indexed="64"/>
          <bgColor auto="1"/>
        </patternFill>
      </fill>
    </dxf>
    <dxf>
      <font>
        <name val="Aptos Narrow"/>
        <family val="2"/>
        <strike val="0"/>
        <outline val="0"/>
        <shadow val="0"/>
        <color auto="1"/>
        <sz val="12"/>
        <vertAlign val="baseline"/>
        <scheme val="minor"/>
      </font>
      <numFmt numFmtId="0" formatCode="General"/>
      <fill>
        <patternFill>
          <fgColor indexed="64"/>
          <bgColor auto="1"/>
        </patternFill>
      </fill>
      <alignment horizontal="left" vertical="bottom"/>
      <border>
        <left style="thin">
          <color indexed="64"/>
        </left>
        <right/>
        <top style="thin">
          <color indexed="64"/>
        </top>
        <bottom style="thin">
          <color indexed="64"/>
        </bottom>
        <vertical style="thin">
          <color indexed="64"/>
        </vertical>
        <horizontal style="thin">
          <color indexed="64"/>
        </horizontal>
      </border>
    </dxf>
    <dxf>
      <font>
        <name val="Aptos Narrow"/>
        <family val="2"/>
        <strike val="0"/>
        <outline val="0"/>
        <shadow val="0"/>
        <color auto="1"/>
        <sz val="12"/>
        <vertAlign val="baseline"/>
        <scheme val="minor"/>
      </font>
      <fill>
        <patternFill>
          <fgColor indexed="64"/>
          <bgColor auto="1"/>
        </patternFill>
      </fill>
      <alignment horizontal="left" vertical="bottom"/>
      <border outline="0">
        <left style="thin">
          <color auto="1"/>
        </left>
        <right style="thin">
          <color indexed="64"/>
        </right>
        <top style="thin">
          <color indexed="64"/>
        </top>
        <bottom style="thin">
          <color indexed="64"/>
        </bottom>
      </border>
    </dxf>
    <dxf>
      <font>
        <name val="Aptos Narrow"/>
        <family val="2"/>
        <strike val="0"/>
        <outline val="0"/>
        <shadow val="0"/>
        <color auto="1"/>
        <sz val="12"/>
        <vertAlign val="baseline"/>
        <scheme val="minor"/>
      </font>
      <numFmt numFmtId="164" formatCode="[$-C09]dd\-mmm\-yy;@"/>
      <fill>
        <patternFill>
          <fgColor indexed="64"/>
          <bgColor rgb="FFFF0000"/>
        </patternFill>
      </fill>
      <alignment horizontal="left" vertical="bottom"/>
      <border outline="0">
        <left style="thin">
          <color indexed="64"/>
        </left>
        <right style="thin">
          <color indexed="64"/>
        </right>
        <top style="thin">
          <color indexed="64"/>
        </top>
        <bottom style="thin">
          <color indexed="64"/>
        </bottom>
      </border>
    </dxf>
    <dxf>
      <font>
        <name val="Aptos Narrow"/>
        <family val="2"/>
        <strike val="0"/>
        <outline val="0"/>
        <shadow val="0"/>
        <color auto="1"/>
        <sz val="12"/>
        <vertAlign val="baseline"/>
        <scheme val="minor"/>
      </font>
      <numFmt numFmtId="164" formatCode="[$-C09]dd\-mmm\-yy;@"/>
      <fill>
        <patternFill>
          <fgColor indexed="64"/>
          <bgColor auto="1"/>
        </patternFill>
      </fill>
      <alignment horizontal="left" vertical="bottom"/>
      <border outline="0">
        <left style="thin">
          <color indexed="64"/>
        </left>
        <right style="thin">
          <color auto="1"/>
        </right>
        <top style="thin">
          <color indexed="64"/>
        </top>
        <bottom style="thin">
          <color indexed="64"/>
        </bottom>
      </border>
    </dxf>
    <dxf>
      <font>
        <name val="Aptos Narrow"/>
        <family val="2"/>
        <strike val="0"/>
        <outline val="0"/>
        <shadow val="0"/>
        <color auto="1"/>
        <sz val="12"/>
        <vertAlign val="baseline"/>
        <scheme val="minor"/>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lor auto="1"/>
        <sz val="12"/>
        <vertAlign val="baseline"/>
        <scheme val="minor"/>
      </font>
      <fill>
        <patternFill>
          <fgColor indexed="64"/>
          <bgColor auto="1"/>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lor auto="1"/>
        <sz val="12"/>
        <vertAlign val="baseline"/>
        <scheme val="minor"/>
      </font>
      <fill>
        <patternFill>
          <fgColor indexed="64"/>
          <bgColor auto="1"/>
        </patternFill>
      </fill>
      <alignment horizontal="left"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lor auto="1"/>
        <sz val="12"/>
        <vertAlign val="baseline"/>
        <scheme val="minor"/>
      </font>
      <fill>
        <patternFill>
          <fgColor indexed="64"/>
          <bgColor auto="1"/>
        </patternFill>
      </fill>
      <alignment horizontal="left" vertical="bottom"/>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font>
        <name val="Aptos Narrow"/>
        <family val="2"/>
        <strike val="0"/>
        <outline val="0"/>
        <shadow val="0"/>
        <color auto="1"/>
        <sz val="12"/>
        <vertAlign val="baseline"/>
        <scheme val="minor"/>
      </font>
      <fill>
        <patternFill>
          <fgColor indexed="64"/>
          <bgColor auto="1"/>
        </patternFill>
      </fill>
    </dxf>
    <dxf>
      <border>
        <bottom style="thin">
          <color indexed="64"/>
        </bottom>
      </border>
    </dxf>
    <dxf>
      <font>
        <name val="Aptos Narrow"/>
        <family val="2"/>
        <b val="1"/>
        <strike val="0"/>
        <outline val="0"/>
        <shadow val="0"/>
        <condense val="0"/>
        <color auto="1"/>
        <extend val="0"/>
        <sz val="12"/>
        <vertAlign val="baseline"/>
        <scheme val="minor"/>
      </font>
      <fill>
        <patternFill>
          <fgColor indexed="64"/>
          <bgColor auto="1"/>
        </patternFill>
      </fill>
      <alignment horizontal="left" vertical="bottom"/>
      <border>
        <left style="thin">
          <color indexed="64"/>
        </left>
        <right style="thin">
          <color indexed="64"/>
        </right>
        <top/>
        <bottom/>
        <vertical style="thin">
          <color indexed="64"/>
        </vertical>
        <horizontal style="thin">
          <color indexed="64"/>
        </horizontal>
      </border>
    </dxf>
    <dxf>
      <alignment horizontal="left" vertical="bottom"/>
      <border>
        <left style="thin">
          <color auto="1"/>
        </left>
        <right/>
        <top style="thin">
          <color auto="1"/>
        </top>
        <bottom style="thin">
          <color auto="1"/>
        </bottom>
        <vertical/>
        <horizontal/>
      </border>
    </dxf>
    <dxf>
      <alignment horizontal="left" vertical="bottom"/>
      <border outline="0">
        <left style="thin">
          <color auto="1"/>
        </left>
        <right style="thin">
          <color auto="1"/>
        </right>
        <top style="thin">
          <color auto="1"/>
        </top>
        <bottom style="thin">
          <color auto="1"/>
        </bottom>
      </border>
    </dxf>
    <dxf>
      <fill>
        <patternFill>
          <fgColor indexed="64"/>
          <bgColor auto="1"/>
        </patternFill>
      </fill>
      <alignment horizontal="left" vertical="bottom"/>
      <border outline="0">
        <left style="thin">
          <color auto="1"/>
        </left>
        <right style="thin">
          <color auto="1"/>
        </right>
        <top style="thin">
          <color auto="1"/>
        </top>
        <bottom style="thin">
          <color auto="1"/>
        </bottom>
      </border>
    </dxf>
    <dxf>
      <alignment horizontal="left" vertical="bottom"/>
      <border outline="0">
        <left style="thin">
          <color auto="1"/>
        </left>
        <right style="thin">
          <color auto="1"/>
        </right>
        <top style="thin">
          <color auto="1"/>
        </top>
        <bottom style="thin">
          <color auto="1"/>
        </bottom>
      </border>
    </dxf>
    <dxf>
      <alignment horizontal="left" vertical="bottom"/>
      <border>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left" vertical="bottom"/>
    </dxf>
    <dxf>
      <border outline="0">
        <bottom style="thin">
          <color auto="1"/>
        </bottom>
      </border>
    </dxf>
    <dxf>
      <alignment horizontal="left" vertical="bottom"/>
      <border outline="0">
        <left style="thin">
          <color auto="1"/>
        </left>
        <right style="thin">
          <color auto="1"/>
        </right>
        <top/>
        <bottom/>
      </border>
    </dxf>
    <dxf>
      <numFmt numFmtId="0" formatCode="General"/>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border outline="0">
        <top style="thin">
          <color auto="1"/>
        </top>
      </border>
    </dxf>
    <dxf>
      <alignment horizontal="left" vertical="bottom"/>
    </dxf>
    <dxf>
      <border outline="0">
        <bottom style="thin">
          <color auto="1"/>
        </bottom>
      </border>
    </dxf>
    <dxf>
      <font>
        <name val="Aptos Narrow"/>
        <b val="1"/>
        <strike val="0"/>
        <outline val="0"/>
        <shadow val="0"/>
        <condense val="0"/>
        <color theme="2"/>
        <extend val="0"/>
        <sz val="12"/>
        <vertAlign val="baseline"/>
        <scheme val="minor"/>
      </font>
      <fill>
        <patternFill patternType="solid">
          <fgColor indexed="64"/>
          <bgColor theme="1"/>
        </patternFill>
      </fill>
      <alignment horizontal="left" vertical="bottom"/>
      <border outline="0">
        <left style="thin">
          <color auto="1"/>
        </left>
        <right style="thin">
          <color auto="1"/>
        </right>
        <top/>
        <bottom/>
      </border>
    </dxf>
    <dxf>
      <fill>
        <patternFill patternType="solid">
          <fgColor indexed="64"/>
          <bgColor theme="5" tint="0.7999816888943144"/>
        </patternFill>
      </fill>
      <alignment horizontal="left" vertical="bottom"/>
    </dxf>
    <dxf>
      <fill>
        <patternFill patternType="solid">
          <fgColor indexed="64"/>
          <bgColor theme="5" tint="0.7999816888943144"/>
        </patternFill>
      </fill>
      <alignment horizontal="left" vertical="bottom"/>
    </dxf>
    <dxf>
      <border outline="0">
        <bottom style="thin">
          <color auto="1"/>
        </bottom>
      </border>
    </dxf>
    <dxf>
      <alignment horizontal="left" vertical="bottom"/>
    </dxf>
    <dxf>
      <border>
        <bottom style="thin">
          <color indexed="64"/>
        </bottom>
      </border>
    </dxf>
    <dxf>
      <font>
        <name val="Aptos Narrow"/>
        <b val="1"/>
        <strike val="0"/>
        <outline val="0"/>
        <shadow val="0"/>
        <condense val="0"/>
        <color theme="2"/>
        <extend val="0"/>
        <sz val="12"/>
        <vertAlign val="baseline"/>
        <scheme val="minor"/>
      </font>
      <fill>
        <patternFill patternType="solid">
          <fgColor indexed="64"/>
          <bgColor theme="1"/>
        </patternFill>
      </fill>
      <alignment horizontal="left" vertical="bottom"/>
      <border outline="0">
        <left style="thin">
          <color indexed="64"/>
        </left>
        <right style="thin">
          <color indexed="64"/>
        </right>
        <top/>
        <bottom/>
      </border>
    </dxf>
    <dxf>
      <fill>
        <patternFill>
          <fgColor indexed="64"/>
          <bgColor auto="1"/>
        </patternFill>
      </fill>
      <alignment horizontal="left" vertical="bottom"/>
      <border>
        <left style="thin">
          <color indexed="64"/>
        </left>
        <right/>
        <top style="thin">
          <color indexed="64"/>
        </top>
        <bottom style="thin">
          <color indexed="64"/>
        </bottom>
        <vertical style="thin">
          <color indexed="64"/>
        </vertical>
        <horizontal style="thin">
          <color indexed="64"/>
        </horizontal>
      </border>
    </dxf>
    <dxf>
      <fill>
        <patternFill>
          <fgColor indexed="64"/>
          <bgColor auto="1"/>
        </patternFill>
      </fill>
      <alignment horizontal="left" vertical="bottom"/>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theme="1"/>
        <extend val="0"/>
        <sz val="12"/>
        <vertAlign val="baseline"/>
        <scheme val="minor"/>
      </font>
      <numFmt numFmtId="0" formatCode="General"/>
      <fill>
        <patternFill>
          <fgColor theme="0" tint="-0.1499984740745262"/>
          <bgColor auto="1"/>
        </patternFill>
      </fill>
      <alignment horizontal="left"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theme="1"/>
        <extend val="0"/>
        <sz val="12"/>
        <vertAlign val="baseline"/>
        <scheme val="minor"/>
      </font>
      <fill>
        <patternFill>
          <fgColor indexed="64"/>
          <bgColor auto="1"/>
        </patternFill>
      </fill>
      <alignment horizontal="left" vertical="bottom"/>
      <border>
        <left/>
        <right style="thin">
          <color indexed="64"/>
        </right>
        <top style="thin">
          <color indexed="64"/>
        </top>
        <bottom style="thin">
          <color indexed="64"/>
        </bottom>
        <vertical style="thin">
          <color indexed="64"/>
        </vertical>
        <horizontal style="thin">
          <color indexed="64"/>
        </horizontal>
      </border>
    </dxf>
    <dxf>
      <border outline="0">
        <left style="thin">
          <color auto="1"/>
        </left>
        <right style="thin">
          <color auto="1"/>
        </right>
      </border>
    </dxf>
    <dxf>
      <fill>
        <patternFill>
          <bgColor auto="1"/>
        </patternFill>
      </fill>
      <alignment horizontal="left" vertical="bottom"/>
    </dxf>
    <dxf>
      <border outline="0">
        <bottom style="thin">
          <color auto="1"/>
        </bottom>
      </border>
    </dxf>
    <dxf>
      <font>
        <name val="Aptos Narrow"/>
        <b val="1"/>
        <strike val="0"/>
        <outline val="0"/>
        <shadow val="0"/>
        <condense val="0"/>
        <color theme="2"/>
        <extend val="0"/>
        <sz val="12"/>
        <vertAlign val="baseline"/>
        <scheme val="minor"/>
      </font>
      <fill>
        <patternFill patternType="solid">
          <fgColor indexed="64"/>
          <bgColor theme="1"/>
        </patternFill>
      </fill>
      <alignment horizontal="left" vertical="bottom"/>
      <border>
        <left style="thin">
          <color indexed="64"/>
        </left>
        <right style="thin">
          <color indexed="64"/>
        </right>
        <top/>
        <bottom/>
        <vertical style="thin">
          <color indexed="64"/>
        </vertical>
        <horizontal style="thin">
          <color indexed="64"/>
        </horizontal>
      </border>
    </dxf>
    <dxf>
      <numFmt numFmtId="0" formatCode="General"/>
      <alignment horizontal="left" vertical="bottom"/>
    </dxf>
    <dxf>
      <numFmt numFmtId="0" formatCode="General"/>
      <alignment horizontal="left" vertical="bottom"/>
    </dxf>
    <dxf>
      <alignment horizontal="left" vertical="bottom"/>
    </dxf>
    <dxf>
      <alignment horizontal="left" vertical="bottom"/>
    </dxf>
    <dxf>
      <border outline="0">
        <top style="thin">
          <color auto="1"/>
        </top>
      </border>
    </dxf>
    <dxf>
      <alignment horizontal="left" vertical="bottom"/>
    </dxf>
    <dxf>
      <border outline="0">
        <bottom style="thin">
          <color auto="1"/>
        </bottom>
      </border>
    </dxf>
    <dxf>
      <font>
        <name val="Aptos Narrow"/>
        <b val="1"/>
        <strike val="0"/>
        <outline val="0"/>
        <shadow val="0"/>
        <condense val="0"/>
        <color theme="2"/>
        <extend val="0"/>
        <sz val="12"/>
        <vertAlign val="baseline"/>
        <scheme val="minor"/>
      </font>
      <fill>
        <patternFill patternType="solid">
          <fgColor indexed="64"/>
          <bgColor theme="1"/>
        </patternFill>
      </fill>
      <alignment horizontal="left" vertical="bottom"/>
      <border outline="0">
        <left style="thin">
          <color auto="1"/>
        </left>
        <right style="thin">
          <color auto="1"/>
        </right>
        <top/>
        <bottom/>
      </border>
    </dxf>
    <dxf>
      <font>
        <name val="Aptos Narrow"/>
        <family val="2"/>
        <strike val="0"/>
        <outline val="0"/>
        <shadow val="0"/>
        <condense val="0"/>
        <color theme="1"/>
        <extend val="0"/>
        <sz val="12"/>
        <vertAlign val="baseline"/>
        <scheme val="minor"/>
      </font>
      <fill>
        <patternFill>
          <fgColor indexed="64"/>
          <bgColor indexed="65"/>
        </patternFill>
      </fill>
      <alignment horizontal="left" vertical="bottom"/>
      <border>
        <left style="thin">
          <color auto="1"/>
        </left>
        <right/>
        <top style="thin">
          <color auto="1"/>
        </top>
        <bottom/>
        <vertical/>
        <horizontal/>
      </border>
    </dxf>
    <dxf>
      <border outline="0">
        <right style="thin">
          <color auto="1"/>
        </right>
        <bottom style="thin">
          <color auto="1"/>
        </bottom>
      </border>
    </dxf>
    <dxf>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theme="1"/>
        <extend val="0"/>
        <sz val="12"/>
        <vertAlign val="baseline"/>
        <scheme val="minor"/>
      </font>
      <numFmt numFmtId="0" formatCode="General"/>
      <fill>
        <patternFill>
          <fgColor indexed="64"/>
          <bgColor indexed="65"/>
        </patternFill>
      </fill>
      <alignment horizontal="left" vertical="bottom"/>
      <border>
        <left style="thin">
          <color auto="1"/>
        </left>
        <right/>
        <top style="thin">
          <color auto="1"/>
        </top>
        <bottom/>
        <vertical/>
        <horizontal/>
      </border>
    </dxf>
    <dxf>
      <numFmt numFmtId="164" formatCode="[$-C09]dd\-mmm\-yy;@"/>
      <alignment horizontal="left" vertical="bottom"/>
      <border>
        <left style="thin">
          <color auto="1"/>
        </left>
        <right style="thin">
          <color auto="1"/>
        </right>
        <top style="thin">
          <color auto="1"/>
        </top>
        <bottom style="thin">
          <color auto="1"/>
        </bottom>
        <vertical/>
        <horizontal/>
      </border>
    </dxf>
    <dxf>
      <numFmt numFmtId="164" formatCode="[$-C09]dd\-mmm\-yy;@"/>
      <alignment horizontal="left" vertical="bottom"/>
      <border>
        <left style="thin">
          <color auto="1"/>
        </left>
        <right style="thin">
          <color auto="1"/>
        </right>
        <top style="thin">
          <color auto="1"/>
        </top>
        <bottom style="thin">
          <color auto="1"/>
        </bottom>
        <vertical/>
        <horizontal/>
      </border>
    </dxf>
    <dxf>
      <numFmt numFmtId="0" formatCode="General"/>
      <fill>
        <patternFill>
          <fgColor indexed="64"/>
          <bgColor indexed="65"/>
        </patternFill>
      </fill>
      <alignment horizontal="left" vertical="bottom"/>
      <border>
        <left style="thin">
          <color auto="1"/>
        </left>
        <right style="thin">
          <color auto="1"/>
        </right>
        <top style="thin">
          <color auto="1"/>
        </top>
        <bottom style="thin">
          <color auto="1"/>
        </bottom>
        <vertical/>
        <horizontal/>
      </border>
    </dxf>
    <dxf>
      <border outline="0">
        <right style="thin">
          <color auto="1"/>
        </right>
        <bottom style="thin">
          <color auto="1"/>
        </bottom>
      </border>
    </dxf>
    <dxf>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theme="1"/>
        <extend val="0"/>
        <sz val="12"/>
        <vertAlign val="baseline"/>
        <scheme val="minor"/>
      </font>
      <fill>
        <patternFill>
          <fgColor indexed="64"/>
          <bgColor indexed="65"/>
        </patternFill>
      </fill>
      <alignment horizontal="left" vertical="bottom"/>
      <border>
        <left style="thin">
          <color auto="1"/>
        </left>
        <right/>
        <top style="thin">
          <color auto="1"/>
        </top>
        <bottom/>
        <vertical/>
        <horizontal/>
      </border>
    </dxf>
    <dxf>
      <numFmt numFmtId="164" formatCode="[$-C09]dd\-mmm\-yy;@"/>
      <alignment horizontal="left" vertical="bottom"/>
      <border>
        <left style="thin">
          <color auto="1"/>
        </left>
        <right style="thin">
          <color auto="1"/>
        </right>
        <top style="thin">
          <color auto="1"/>
        </top>
        <bottom style="thin">
          <color auto="1"/>
        </bottom>
        <vertical/>
        <horizontal/>
      </border>
    </dxf>
    <dxf>
      <numFmt numFmtId="164" formatCode="[$-C09]dd\-mmm\-yy;@"/>
      <alignment horizontal="left" vertical="bottom"/>
      <border>
        <left style="thin">
          <color auto="1"/>
        </left>
        <right style="thin">
          <color auto="1"/>
        </right>
        <top style="thin">
          <color auto="1"/>
        </top>
        <bottom style="thin">
          <color auto="1"/>
        </bottom>
        <vertical/>
        <horizontal/>
      </border>
    </dxf>
    <dxf>
      <numFmt numFmtId="0" formatCode="General"/>
      <fill>
        <patternFill>
          <fgColor indexed="64"/>
          <bgColor indexed="65"/>
        </patternFill>
      </fill>
      <alignment horizontal="left" vertical="bottom"/>
      <border>
        <left style="thin">
          <color auto="1"/>
        </left>
        <right style="thin">
          <color auto="1"/>
        </right>
        <top style="thin">
          <color auto="1"/>
        </top>
        <bottom style="thin">
          <color auto="1"/>
        </bottom>
        <vertical/>
        <horizontal/>
      </border>
    </dxf>
    <dxf>
      <border outline="0">
        <right style="thin">
          <color auto="1"/>
        </right>
        <bottom style="thin">
          <color auto="1"/>
        </bottom>
      </border>
    </dxf>
    <dxf>
      <numFmt numFmtId="0" formatCode="General"/>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theme="1"/>
        <extend val="0"/>
        <sz val="12"/>
        <vertAlign val="baseline"/>
        <scheme val="minor"/>
      </font>
      <fill>
        <patternFill>
          <fgColor indexed="64"/>
          <bgColor indexed="65"/>
        </patternFill>
      </fill>
      <alignment horizontal="left" vertical="bottom"/>
      <border>
        <left style="thin">
          <color auto="1"/>
        </left>
        <right/>
        <top style="thin">
          <color auto="1"/>
        </top>
        <bottom/>
        <vertical/>
        <horizontal/>
      </border>
    </dxf>
    <dxf>
      <numFmt numFmtId="0" formatCode="General"/>
      <alignment horizontal="left" vertical="bottom"/>
      <border>
        <left style="thin">
          <color auto="1"/>
        </left>
        <right style="thin">
          <color auto="1"/>
        </right>
        <top style="thin">
          <color auto="1"/>
        </top>
        <bottom style="thin">
          <color auto="1"/>
        </bottom>
        <vertical/>
        <horizontal/>
      </border>
    </dxf>
    <dxf>
      <numFmt numFmtId="164" formatCode="[$-C09]dd\-mmm\-yy;@"/>
      <alignment horizontal="left" vertical="bottom"/>
      <border>
        <left style="thin">
          <color auto="1"/>
        </left>
        <right style="thin">
          <color auto="1"/>
        </right>
        <top style="thin">
          <color auto="1"/>
        </top>
        <bottom style="thin">
          <color auto="1"/>
        </bottom>
        <vertical/>
        <horizontal/>
      </border>
    </dxf>
    <dxf>
      <numFmt numFmtId="0" formatCode="General"/>
      <fill>
        <patternFill>
          <fgColor indexed="64"/>
          <bgColor indexed="65"/>
        </patternFill>
      </fill>
      <alignment horizontal="left" vertical="bottom"/>
      <border>
        <left style="thin">
          <color auto="1"/>
        </left>
        <right style="thin">
          <color auto="1"/>
        </right>
        <top style="thin">
          <color auto="1"/>
        </top>
        <bottom style="thin">
          <color auto="1"/>
        </bottom>
        <vertical/>
        <horizontal/>
      </border>
    </dxf>
    <dxf>
      <border outline="0">
        <right style="thin">
          <color auto="1"/>
        </right>
        <bottom style="thin">
          <color auto="1"/>
        </bottom>
      </border>
    </dxf>
    <dxf>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theme="1"/>
        <extend val="0"/>
        <sz val="12"/>
        <vertAlign val="baseline"/>
        <scheme val="minor"/>
      </font>
      <fill>
        <patternFill>
          <fgColor indexed="64"/>
          <bgColor indexed="65"/>
        </patternFill>
      </fill>
      <alignment horizontal="left" vertical="bottom"/>
      <border>
        <left style="thin">
          <color auto="1"/>
        </left>
        <right/>
        <top style="thin">
          <color auto="1"/>
        </top>
        <bottom/>
        <vertical/>
        <horizontal/>
      </border>
    </dxf>
    <dxf>
      <numFmt numFmtId="164" formatCode="[$-C09]dd\-mmm\-yy;@"/>
      <alignment horizontal="left" vertical="bottom"/>
      <border>
        <left style="thin">
          <color auto="1"/>
        </left>
        <right style="thin">
          <color auto="1"/>
        </right>
        <top style="thin">
          <color auto="1"/>
        </top>
        <bottom style="thin">
          <color auto="1"/>
        </bottom>
        <vertical/>
        <horizontal/>
      </border>
    </dxf>
    <dxf>
      <numFmt numFmtId="164" formatCode="[$-C09]dd\-mmm\-yy;@"/>
      <alignment horizontal="left" vertical="bottom"/>
      <border>
        <left style="thin">
          <color auto="1"/>
        </left>
        <right style="thin">
          <color auto="1"/>
        </right>
        <top style="thin">
          <color auto="1"/>
        </top>
        <bottom style="thin">
          <color auto="1"/>
        </bottom>
        <vertical/>
        <horizontal/>
      </border>
    </dxf>
    <dxf>
      <numFmt numFmtId="0" formatCode="General"/>
      <fill>
        <patternFill>
          <fgColor indexed="64"/>
          <bgColor indexed="65"/>
        </patternFill>
      </fill>
      <alignment horizontal="left" vertical="bottom"/>
      <border>
        <left style="thin">
          <color auto="1"/>
        </left>
        <right style="thin">
          <color auto="1"/>
        </right>
        <top style="thin">
          <color auto="1"/>
        </top>
        <bottom style="thin">
          <color auto="1"/>
        </bottom>
        <vertical/>
        <horizontal/>
      </border>
    </dxf>
    <dxf>
      <border outline="0">
        <right style="thin">
          <color auto="1"/>
        </right>
        <bottom style="thin">
          <color auto="1"/>
        </bottom>
      </border>
    </dxf>
    <dxf>
      <font>
        <name val="Aptos Narrow"/>
        <family val="2"/>
        <strike val="0"/>
        <outline val="0"/>
        <shadow val="0"/>
        <condense val="0"/>
        <color theme="1"/>
        <extend val="0"/>
        <sz val="12"/>
        <vertAlign val="baseline"/>
        <scheme val="minor"/>
      </font>
      <numFmt numFmtId="0" formatCode="General"/>
      <fill>
        <patternFill>
          <fgColor indexed="64"/>
          <bgColor indexed="65"/>
        </patternFill>
      </fill>
      <alignment horizontal="left" vertical="bottom"/>
      <border>
        <left style="thin">
          <color auto="1"/>
        </left>
        <right/>
        <top style="thin">
          <color auto="1"/>
        </top>
        <bottom/>
        <vertical/>
        <horizontal/>
      </border>
    </dxf>
    <dxf>
      <font>
        <name val="Aptos Narrow"/>
        <family val="2"/>
        <strike val="0"/>
        <outline val="0"/>
        <shadow val="0"/>
        <condense val="0"/>
        <color theme="1"/>
        <extend val="0"/>
        <sz val="12"/>
        <vertAlign val="baseline"/>
        <scheme val="minor"/>
      </font>
      <fill>
        <patternFill>
          <fgColor indexed="64"/>
          <bgColor indexed="65"/>
        </patternFill>
      </fill>
      <alignment horizontal="left" vertical="bottom"/>
      <border>
        <left style="thin">
          <color auto="1"/>
        </left>
        <right/>
        <top style="thin">
          <color auto="1"/>
        </top>
        <bottom/>
        <vertical/>
        <horizontal/>
      </border>
    </dxf>
    <dxf>
      <border outline="0">
        <right style="thin">
          <color auto="1"/>
        </right>
        <bottom style="thin">
          <color auto="1"/>
        </bottom>
      </border>
    </dxf>
    <dxf>
      <font>
        <name val="Calibri"/>
        <family val="2"/>
        <strike val="0"/>
        <outline val="0"/>
        <shadow val="0"/>
        <condense val="0"/>
        <color auto="1"/>
        <extend val="0"/>
        <sz val="12"/>
        <vertAlign val="baseline"/>
      </font>
      <numFmt numFmtId="0" formatCode="General"/>
      <alignment horizontal="left" vertical="bottom"/>
    </dxf>
    <dxf>
      <font>
        <name val="Calibri"/>
        <family val="2"/>
        <strike val="0"/>
        <outline val="0"/>
        <shadow val="0"/>
        <condense val="0"/>
        <color auto="1"/>
        <extend val="0"/>
        <sz val="12"/>
        <vertAlign val="baseline"/>
      </font>
      <numFmt numFmtId="0" formatCode="General"/>
      <fill>
        <patternFill patternType="solid">
          <fgColor indexed="64"/>
          <bgColor theme="2"/>
        </patternFill>
      </fill>
      <alignment horizontal="left"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0" formatCode="General"/>
      <alignment horizontal="left" vertical="bottom"/>
    </dxf>
    <dxf>
      <font>
        <name val="Calibri"/>
        <family val="2"/>
        <strike val="0"/>
        <outline val="0"/>
        <shadow val="0"/>
        <condense val="0"/>
        <color auto="1"/>
        <extend val="0"/>
        <sz val="12"/>
        <vertAlign val="baseline"/>
      </font>
      <numFmt numFmtId="0" formatCode="General"/>
      <alignment horizontal="left" vertical="bottom"/>
    </dxf>
    <dxf>
      <font>
        <name val="Calibri"/>
        <family val="2"/>
        <strike val="0"/>
        <outline val="0"/>
        <shadow val="0"/>
        <condense val="0"/>
        <color auto="1"/>
        <extend val="0"/>
        <sz val="12"/>
        <vertAlign val="baseline"/>
      </font>
      <numFmt numFmtId="0" formatCode="General"/>
      <fill>
        <patternFill patternType="solid">
          <fgColor indexed="64"/>
          <bgColor theme="2"/>
        </patternFill>
      </fill>
      <alignment horizontal="left"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0" formatCode="General"/>
      <alignment horizontal="left" vertical="bottom"/>
    </dxf>
    <dxf>
      <font>
        <name val="Calibri"/>
        <family val="2"/>
        <strike val="0"/>
        <outline val="0"/>
        <shadow val="0"/>
        <condense val="0"/>
        <color auto="1"/>
        <extend val="0"/>
        <sz val="12"/>
        <vertAlign val="baseline"/>
      </font>
      <numFmt numFmtId="0" formatCode="General"/>
      <alignment horizontal="left"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numFmt numFmtId="0" formatCode="General"/>
      <alignment horizontal="left" vertical="bottom"/>
      <border>
        <left style="thin">
          <color auto="1"/>
        </left>
        <right style="thin">
          <color auto="1"/>
        </right>
        <top style="thin">
          <color auto="1"/>
        </top>
        <bottom style="thin">
          <color auto="1"/>
        </bottom>
        <vertical/>
        <horizontal/>
      </border>
    </dxf>
    <dxf>
      <numFmt numFmtId="0" formatCode="General"/>
      <fill>
        <patternFill patternType="solid">
          <fgColor indexed="64"/>
          <bgColor theme="5" tint="0.7999816888943144"/>
        </patternFill>
      </fill>
      <alignment horizontal="left" vertical="bottom"/>
      <border>
        <left style="thin">
          <color auto="1"/>
        </left>
        <right style="thin">
          <color auto="1"/>
        </right>
        <top style="thin">
          <color auto="1"/>
        </top>
        <bottom/>
        <vertical/>
        <horizontal/>
      </border>
    </dxf>
    <dxf>
      <font>
        <name val="Calibri"/>
        <family val="2"/>
        <strike val="0"/>
        <outline val="0"/>
        <shadow val="0"/>
        <condense val="0"/>
        <color auto="1"/>
        <extend val="0"/>
        <sz val="12"/>
        <vertAlign val="baseline"/>
      </font>
      <alignment horizontal="left" vertical="bottom"/>
      <border>
        <left style="thin">
          <color auto="1"/>
        </left>
        <right/>
        <top style="thin">
          <color auto="1"/>
        </top>
        <bottom style="thin">
          <color auto="1"/>
        </bottom>
        <vertical/>
        <horizontal/>
      </border>
    </dxf>
    <dxf>
      <font>
        <name val="Calibri"/>
        <family val="2"/>
        <strike val="0"/>
        <outline val="0"/>
        <shadow val="0"/>
        <condense val="0"/>
        <color auto="1"/>
        <extend val="0"/>
        <sz val="12"/>
        <vertAlign val="baseline"/>
      </font>
      <alignment horizontal="left"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alignment horizontal="left"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auto="1"/>
        <extend val="0"/>
        <sz val="12"/>
        <vertAlign val="baseline"/>
      </font>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auto="1"/>
        <extend val="0"/>
        <sz val="12"/>
        <vertAlign val="baseline"/>
        <scheme val="minor"/>
      </font>
      <numFmt numFmtId="164" formatCode="[$-C09]dd\-mmm\-yy;@"/>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auto="1"/>
        <extend val="0"/>
        <sz val="12"/>
        <vertAlign val="baseline"/>
        <scheme val="minor"/>
      </font>
      <numFmt numFmtId="164" formatCode="[$-C09]dd\-mmm\-yy;@"/>
      <alignment horizontal="left" vertical="bottom"/>
      <border>
        <left style="thin">
          <color auto="1"/>
        </left>
        <right style="thin">
          <color auto="1"/>
        </right>
        <top style="thin">
          <color auto="1"/>
        </top>
        <bottom style="thin">
          <color auto="1"/>
        </bottom>
        <vertical/>
        <horizontal/>
      </border>
    </dxf>
    <dxf>
      <font>
        <name val="Calibri"/>
        <family val="2"/>
        <strike val="0"/>
        <outline val="0"/>
        <shadow val="0"/>
        <condense val="0"/>
        <color theme="4"/>
        <extend val="0"/>
        <sz val="12"/>
        <vertAlign val="baseline"/>
      </font>
      <alignment horizontal="left" vertical="bottom"/>
      <border>
        <left style="thin">
          <color auto="1"/>
        </left>
        <right style="thin">
          <color auto="1"/>
        </right>
        <top style="thin">
          <color auto="1"/>
        </top>
        <bottom style="thin">
          <color auto="1"/>
        </bottom>
        <vertical/>
        <horizontal/>
      </border>
    </dxf>
    <dxf>
      <font>
        <name val="Aptos Narrow"/>
        <family val="2"/>
        <strike val="0"/>
        <outline val="0"/>
        <shadow val="0"/>
        <condense val="0"/>
        <color theme="0"/>
        <extend val="0"/>
        <sz val="12"/>
        <vertAlign val="baseline"/>
        <scheme val="minor"/>
      </font>
      <fill>
        <patternFill patternType="solid">
          <fgColor indexed="64"/>
          <bgColor theme="1"/>
        </patternFill>
      </fill>
      <alignment horizontal="left" vertical="bottom"/>
      <border>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name val="Calibri"/>
        <family val="2"/>
        <strike val="0"/>
        <outline val="0"/>
        <shadow val="0"/>
        <condense val="0"/>
        <color auto="1"/>
        <extend val="0"/>
        <sz val="12"/>
        <vertAlign val="baseline"/>
      </font>
      <alignment horizontal="left" vertical="bottom"/>
    </dxf>
    <dxf>
      <border outline="0">
        <bottom style="thin">
          <color auto="1"/>
        </bottom>
      </border>
    </dxf>
    <dxf>
      <alignment horizontal="left" vertical="bottom"/>
      <border outline="0">
        <left style="thin">
          <color auto="1"/>
        </left>
        <right style="thin">
          <color auto="1"/>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tc={81D08D20-55FC-4542-8468-8F09733C5C93}</author>
    <author>tc={780F5ED3-DFA1-2B4E-AA6E-BEC64D7CB746}</author>
    <author>tc={951BED3C-47B0-0548-A44E-90AE453D8289}</author>
    <author>tc={869858EE-0731-6344-A534-D88A73BE6B63}</author>
    <author>tc={43F9AF37-DC9D-844D-9B97-8F299E3F1762}</author>
    <author>tc={8B7EAC9A-8527-034C-8CC0-65EFBAC5A5E6}</author>
    <author>tc={D11FFF8F-2306-1C46-9DF4-DA27B0E2EFA4}</author>
    <author>tc={6762C2E0-5EF7-0D4A-A706-0DDE0E9A3E48}</author>
    <author>tc={29042ACA-99BE-0D4D-BDD3-64B67FF67800}</author>
    <author>tc={DF16AE19-AAAC-2B4F-811A-079C3902F793}</author>
    <author>tc={1DB5B774-C0CF-694B-8272-34A1194AB2A5}</author>
    <author>tc={1892A147-751F-454B-B2DC-FA721C76D882}</author>
    <author>tc={A94C4681-0686-454A-9D38-E16BED6371CA}</author>
    <author>tc={1CA3BBCA-3A89-1F46-ACDD-CBEDB7C002BB}</author>
    <author>tc={8B8C3573-1FD8-DB41-9B74-6A390E4ADF5C}</author>
    <author>tc={E8D85657-AC0F-E740-95B8-F3200D90F1BE}</author>
    <author>tc={E4ACB302-AE0C-5640-B7A9-C8C59A974437}</author>
    <author>tc={64D7865A-9118-E34F-A794-08D538B0B881}</author>
    <author>tc={885C578D-E8BE-F849-BAD0-8CF403F1D1A6}</author>
    <author>tc={FA10807D-12AE-2A4B-B1AE-0703445CFDE9}</author>
    <author>tc={BDBC0178-F373-3A42-AE88-B124A29842A0}</author>
    <author>tc={3590C9F4-8036-2A40-A361-8F35DAE2102F}</author>
    <author>tc={0AF7B4F0-573D-0D46-9E94-E0B7B7F1B96F}</author>
    <author>tc={94F1DDDC-041B-2840-A10B-64DE16A13314}</author>
    <author>tc={C0E8C671-BE59-FC41-ACBF-D0DB3842E644}</author>
    <author>tc={F3096AA0-7F96-9948-93C6-2B10959D747D}</author>
    <author>tc={18933EED-A085-944D-B61D-51ABA9DA39AF}</author>
    <author>tc={C9E53D38-B6CA-1644-B1AC-37B1509ACC52}</author>
    <author>tc={A9A6B5BE-26B6-EB41-BAA4-982DFBE0FE87}</author>
    <author>tc={6C08DBD3-6002-9144-A8BA-7D00331D510E}</author>
    <author>tc={C7AA2CBA-7504-6C47-BC5A-A46CB15C44D7}</author>
    <author>tc={1099F2B9-7E62-154B-9DF8-7B5FA429BE13}</author>
    <author>tc={D7D8CD6F-B4D5-8D48-84FA-09904118E9F5}</author>
    <author>tc={5B2CC0B7-9C0A-F843-997A-4053EC46AC08}</author>
    <author>tc={A07FD746-5DC9-1E45-879A-AA8E71C07455}</author>
    <author>tc={8412979E-3959-1B4C-BBA5-13A4ADD3C059}</author>
    <author>tc={85B00EE0-7C64-F848-9B82-578602617B82}</author>
    <author>tc={7F6C0280-611C-5340-A82B-FFBC2C580ACE}</author>
    <author>tc={78C2339A-D452-0649-9850-94EF4F89780C}</author>
    <author>tc={7C66139E-6B0E-444E-BA99-1A3CB55E6D92}</author>
    <author>tc={B159C6B5-1B0D-1949-B4A6-7ACC46168CE9}</author>
    <author>tc={BE9F0DA2-78F5-534C-8056-0E4D3179B74A}</author>
    <author>tc={A4996D18-5EB4-5149-B843-CDE10ED85361}</author>
    <author>tc={E8DF948C-A2CF-934D-BEAB-BC152330206A}</author>
    <author>tc={F9D8127A-8026-AB4D-B40D-5F3901CD622A}</author>
    <author>tc={13FFEBA9-FA9D-8A49-A8B4-813DFE5BA8E9}</author>
    <author>tc={851F6AB1-8A77-7045-914F-3639E2F5A050}</author>
    <author>tc={1D0E2EED-1E4C-8C46-9137-C268BCFDC0D3}</author>
    <author>tc={F2F0B762-B7FF-C84A-9A30-974EC545D5A5}</author>
    <author>tc={796AAC99-5874-B247-BA0C-1A746D9C65E0}</author>
    <author>tc={3D28E0FE-FC35-3144-8973-11B449483A48}</author>
    <author>tc={C14EB134-BEF0-C642-A91F-BDCD0FE90912}</author>
    <author>tc={05B75081-A1FA-4D40-B51C-50E9669BF555}</author>
    <author>tc={FE55CDFF-36B4-4040-A909-57AB23D6E5F8}</author>
    <author>tc={35FE2125-50E1-2544-A1F0-208A25132B86}</author>
    <author>tc={C2C45763-7EF8-4640-BDAC-DE0D824246EA}</author>
    <author>tc={CA122B80-AB66-2C4C-9986-09C06FD3CFC8}</author>
    <author>tc={76AB2754-9889-7248-AB99-B5063F10BA8F}</author>
    <author>Marcos Bulcao</author>
    <author>tc={111527F3-605B-8747-A3E1-5313574F09B0}</author>
    <author>tc={DD9C9CFC-81AB-FD4A-AB28-D6548A322106}</author>
    <author>tc={48AD44D9-898A-E748-86F1-B94238774051}</author>
    <author>tc={094D0146-4833-7D42-A788-A4E3365850EF}</author>
    <author>tc={BFD2C00E-5886-0844-A236-ECA2C7EC34A3}</author>
    <author>tc={E01EFA42-5CBB-CF46-9705-9718D1DE9B02}</author>
    <author>tc={1980579F-7C70-C34B-9676-1F65A83C5D68}</author>
    <author>tc={266601AB-C5F1-3D4B-9B25-C87681D2EF54}</author>
    <author>tc={6CD88F05-54DA-E046-B797-72F88666F2BB}</author>
    <author>tc={A7044DE6-B03F-EC44-85DC-056E1957B22F}</author>
    <author>tc={19F9A7FE-6E38-9A4B-B04C-AB5D1E7AB856}</author>
    <author>tc={37FF36CA-F740-AA48-8D12-08358D5CDE7A}</author>
    <author>tc={FDA38448-F46E-D44E-823D-322E3ADBB36D}</author>
    <author>tc={73A780E2-4F5F-BC4B-9C70-017C3A7394ED}</author>
    <author>tc={880D8A6C-86CF-504A-9645-E006B43ACF97}</author>
    <author>tc={9CDB7E34-2DC7-B940-BD41-717DBAB9C617}</author>
    <author>tc={A677E169-3A29-7544-9A9D-2D70DBFAB5F2}</author>
    <author>tc={D6E3B865-4AD7-8F4A-8E72-501139CEB39D}</author>
    <author>tc={DF331A85-9086-AC4F-827E-D140C2C41517}</author>
    <author>tc={EABDD2DE-B98E-F04B-975D-3BA6C2B4421C}</author>
    <author>tc={353AE2BA-E018-3944-8B7A-8AF86FCFE3BD}</author>
    <author>tc={419F4405-9DC6-8E49-8257-F4DC0DB7287E}</author>
    <author>tc={347F4EA1-4E36-AF4A-9BD3-584BC121D4B2}</author>
    <author>tc={FD062E6A-33BC-F04F-8FAD-655CC4D11506}</author>
    <author>tc={9DDAD606-7CF4-794D-A68B-0D8299AB760C}</author>
    <author>tc={BDDFD082-1096-B140-BC79-4FBE7EF0DC71}</author>
    <author>tc={6C76A943-C5B9-F749-A4BB-F8F63AD4C45E}</author>
    <author>tc={A1DC746B-34DC-9746-823B-0A9D4A762316}</author>
    <author>tc={20169584-4870-F64D-A30F-DC2D2DC96D51}</author>
    <author>tc={02C19C32-0C4A-7341-BC7A-1728D514A110}</author>
    <author>tc={59E469B4-A8E8-C643-9671-23042123BB17}</author>
    <author>tc={5DEB78E9-B72B-4242-9ED8-93C38746F56A}</author>
    <author>tc={88E98C0F-798C-1D4A-BA8C-2EE8CF7C84F3}</author>
    <author>tc={B308E693-8B20-2D44-A2E5-DCB76F58A4F9}</author>
    <author>tc={5867CEDE-7EE1-DC4A-A135-76E399C3A020}</author>
    <author>tc={C1894833-8B0B-7841-991E-DEB2EC22C922}</author>
    <author>tc={DEB2C4F5-A071-B840-8092-D5F27BA45848}</author>
    <author>tc={6CEEBC9E-42FA-7546-8CC7-2048C886D575}</author>
  </authors>
  <commentList>
    <comment ref="D59" authorId="0" shapeId="0">
      <text>
        <t>[Threaded comment]
Your version of Excel allows you to read this threaded comment; however, any edits to it will get removed if the file is opened in a newer version of Excel. Learn more: https://go.microsoft.com/fwlink/?linkid=870924
Comment:
    A data desse voo é meio aleatória. 
O ano é 1980</t>
      </text>
    </comment>
    <comment ref="D82" authorId="1" shapeId="0">
      <text>
        <t>[Threaded comment]
Your version of Excel allows you to read this threaded comment; however, any edits to it will get removed if the file is opened in a newer version of Excel. Learn more: https://go.microsoft.com/fwlink/?linkid=870924
Comment:
    Wizard Inn</t>
      </text>
    </comment>
    <comment ref="D86" authorId="2" shapeId="0">
      <text>
        <t>[Threaded comment]
Your version of Excel allows you to read this threaded comment; however, any edits to it will get removed if the file is opened in a newer version of Excel. Learn more: https://go.microsoft.com/fwlink/?linkid=870924
Comment:
    Hotel Tropical</t>
      </text>
    </comment>
    <comment ref="D245" authorId="3" shapeId="0">
      <text>
        <t>[Threaded comment]
Your version of Excel allows you to read this threaded comment; however, any edits to it will get removed if the file is opened in a newer version of Excel. Learn more: https://go.microsoft.com/fwlink/?linkid=870924
Comment:
    Nascimento Silva, chez tios de Marcelo. Despedida de Zico, encontro com Guerreiro. Asa delta, Show de Jobim no Jockey (com Milton Nascimento).</t>
      </text>
    </comment>
    <comment ref="D247" authorId="4" shapeId="0">
      <text>
        <t xml:space="preserve">[Threaded comment]
Your version of Excel allows you to read this threaded comment; however, any edits to it will get removed if the file is opened in a newer version of Excel. Learn more: https://go.microsoft.com/fwlink/?linkid=870924
Comment:
    Datas imprecisas.
Viagem com Mauricio, Fred e amigos. 
Ficamos todos na pousada de Silvinha. 
Possivelmente uns 4-5 dias. 
Trilhas, cachoeiras. 
Provavelmente em 1990 (depois de terminar o 2o grau)
A escolha de abril é aleatória.
</t>
      </text>
    </comment>
    <comment ref="D250" authorId="5" shapeId="0">
      <text>
        <t>[Threaded comment]
Your version of Excel allows you to read this threaded comment; however, any edits to it will get removed if the file is opened in a newer version of Excel. Learn more: https://go.microsoft.com/fwlink/?linkid=870924
Comment:
    Vestibular USP: fase 1</t>
      </text>
    </comment>
    <comment ref="D253" authorId="6" shapeId="0">
      <text>
        <t>[Threaded comment]
Your version of Excel allows you to read this threaded comment; however, any edits to it will get removed if the file is opened in a newer version of Excel. Learn more: https://go.microsoft.com/fwlink/?linkid=870924
Comment:
    Vestibular 2: fase USP</t>
      </text>
    </comment>
    <comment ref="D358" authorId="7" shapeId="0">
      <text>
        <t>[Threaded comment]
Your version of Excel allows you to read this threaded comment; however, any edits to it will get removed if the file is opened in a newer version of Excel. Learn more: https://go.microsoft.com/fwlink/?linkid=870924
Comment:
    Sao Joao, chez Peu, com galera</t>
      </text>
    </comment>
    <comment ref="D361" authorId="8" shapeId="0">
      <text>
        <t>[Threaded comment]
Your version of Excel allows you to read this threaded comment; however, any edits to it will get removed if the file is opened in a newer version of Excel. Learn more: https://go.microsoft.com/fwlink/?linkid=870924
Comment:
    Metropolitan Plaza: dias aflitos, pre-encontro com Tereza</t>
      </text>
    </comment>
    <comment ref="D362" authorId="9" shapeId="0">
      <text>
        <t>[Threaded comment]
Your version of Excel allows you to read this threaded comment; however, any edits to it will get removed if the file is opened in a newer version of Excel. Learn more: https://go.microsoft.com/fwlink/?linkid=870924
Comment:
    Hospedado com Tatá, que morava com amigos</t>
      </text>
    </comment>
    <comment ref="D367" authorId="10" shapeId="0">
      <text>
        <t>[Threaded comment]
Your version of Excel allows you to read this threaded comment; however, any edits to it will get removed if the file is opened in a newer version of Excel. Learn more: https://go.microsoft.com/fwlink/?linkid=870924
Comment:
    Tania</t>
      </text>
    </comment>
    <comment ref="D373" authorId="11" shapeId="0">
      <text>
        <t>[Threaded comment]
Your version of Excel allows you to read this threaded comment; however, any edits to it will get removed if the file is opened in a newer version of Excel. Learn more: https://go.microsoft.com/fwlink/?linkid=870924
Comment:
    Bado/Ale, FH/Fabiana</t>
      </text>
    </comment>
    <comment ref="D388" authorId="12" shapeId="0">
      <text>
        <t>[Threaded comment]
Your version of Excel allows you to read this threaded comment; however, any edits to it will get removed if the file is opened in a newer version of Excel. Learn more: https://go.microsoft.com/fwlink/?linkid=870924
Comment:
    Viagem de carro com Johnny colombiano e amigos. 
Primeira experiencia dirigindo carro inglês - difícil!</t>
      </text>
    </comment>
    <comment ref="D397" authorId="13" shapeId="0">
      <text>
        <t>[Threaded comment]
Your version of Excel allows you to read this threaded comment; however, any edits to it will get removed if the file is opened in a newer version of Excel. Learn more: https://go.microsoft.com/fwlink/?linkid=870924
Comment:
    Meeting Niina, finlandesa. Foi me esperar em Stockolm, depois fomos juntos de barco para Helsink. 
De lá, pro seu chalé, etc.</t>
      </text>
    </comment>
    <comment ref="D407" authorId="14" shapeId="0">
      <text>
        <t>[Threaded comment]
Your version of Excel allows you to read this threaded comment; however, any edits to it will get removed if the file is opened in a newer version of Excel. Learn more: https://go.microsoft.com/fwlink/?linkid=870924
Comment:
    JULIA</t>
      </text>
    </comment>
    <comment ref="D416" authorId="15" shapeId="0">
      <text>
        <t>[Threaded comment]
Your version of Excel allows you to read this threaded comment; however, any edits to it will get removed if the file is opened in a newer version of Excel. Learn more: https://go.microsoft.com/fwlink/?linkid=870924
Comment:
    Hospedado com Rene, que morava em Barnfield, apt de Thomas</t>
      </text>
    </comment>
    <comment ref="D421" authorId="16" shapeId="0">
      <text>
        <t>[Threaded comment]
Your version of Excel allows you to read this threaded comment; however, any edits to it will get removed if the file is opened in a newer version of Excel. Learn more: https://go.microsoft.com/fwlink/?linkid=870924
Comment:
    Chez Nando, com Mauricio</t>
      </text>
    </comment>
    <comment ref="D424" authorId="17" shapeId="0">
      <text>
        <t>[Threaded comment]
Your version of Excel allows you to read this threaded comment; however, any edits to it will get removed if the file is opened in a newer version of Excel. Learn more: https://go.microsoft.com/fwlink/?linkid=870924
Comment:
    Pre-caju, com Duda, Sergio, Rato
Primeiro encontro com Duda</t>
      </text>
    </comment>
    <comment ref="D465" authorId="18" shapeId="0">
      <text>
        <t xml:space="preserve">[Threaded comment]
Your version of Excel allows you to read this threaded comment; however, any edits to it will get removed if the file is opened in a newer version of Excel. Learn more: https://go.microsoft.com/fwlink/?linkid=870924
Comment:
    Hospedado com Ratao, que dividia apt com Paulao
</t>
      </text>
    </comment>
    <comment ref="D468" authorId="19" shapeId="0">
      <text>
        <t>[Threaded comment]
Your version of Excel allows you to read this threaded comment; however, any edits to it will get removed if the file is opened in a newer version of Excel. Learn more: https://go.microsoft.com/fwlink/?linkid=870924
Comment:
    Com Porciuncula e Dani Mercury. Hotel</t>
      </text>
    </comment>
    <comment ref="D471" authorId="20" shapeId="0">
      <text>
        <t>[Threaded comment]
Your version of Excel allows you to read this threaded comment; however, any edits to it will get removed if the file is opened in a newer version of Excel. Learn more: https://go.microsoft.com/fwlink/?linkid=870924
Comment:
    Hospedado com Ratao, que dividia casa com outros estudantes (especie de republica). 
Marco italiano tambem morava la</t>
      </text>
    </comment>
    <comment ref="D473" authorId="21" shapeId="0">
      <text>
        <t>[Threaded comment]
Your version of Excel allows you to read this threaded comment; however, any edits to it will get removed if the file is opened in a newer version of Excel. Learn more: https://go.microsoft.com/fwlink/?linkid=870924
Comment:
    Encontro com avô e Nair</t>
      </text>
    </comment>
    <comment ref="D621" authorId="22" shapeId="0">
      <text>
        <t>[Threaded comment]
Your version of Excel allows you to read this threaded comment; however, any edits to it will get removed if the file is opened in a newer version of Excel. Learn more: https://go.microsoft.com/fwlink/?linkid=870924
Comment:
    No apt de tio Carlinhos, Copacabana</t>
      </text>
    </comment>
    <comment ref="D626" authorId="23" shapeId="0">
      <text>
        <t>[Threaded comment]
Your version of Excel allows you to read this threaded comment; however, any edits to it will get removed if the file is opened in a newer version of Excel. Learn more: https://go.microsoft.com/fwlink/?linkid=870924
Comment:
    Pousada Guto</t>
      </text>
    </comment>
    <comment ref="D668" authorId="24" shapeId="0">
      <text>
        <t>[Threaded comment]
Your version of Excel allows you to read this threaded comment; however, any edits to it will get removed if the file is opened in a newer version of Excel. Learn more: https://go.microsoft.com/fwlink/?linkid=870924
Comment:
    Com Quiloso e Fernanda</t>
      </text>
    </comment>
    <comment ref="D727" authorId="25" shapeId="0">
      <text>
        <t>[Threaded comment]
Your version of Excel allows you to read this threaded comment; however, any edits to it will get removed if the file is opened in a newer version of Excel. Learn more: https://go.microsoft.com/fwlink/?linkid=870924
Comment:
    Com Porchat e Ieda</t>
      </text>
    </comment>
    <comment ref="D759" authorId="26" shapeId="0">
      <text>
        <t>[Threaded comment]
Your version of Excel allows you to read this threaded comment; however, any edits to it will get removed if the file is opened in a newer version of Excel. Learn more: https://go.microsoft.com/fwlink/?linkid=870924
Comment:
    25 anos CLE
Dormi num hotel</t>
      </text>
    </comment>
    <comment ref="D768" authorId="27" shapeId="0">
      <text>
        <t>[Threaded comment]
Your version of Excel allows you to read this threaded comment; however, any edits to it will get removed if the file is opened in a newer version of Excel. Learn more: https://go.microsoft.com/fwlink/?linkid=870924
Comment:
    Camping com Thomas e estudantes</t>
      </text>
    </comment>
    <comment ref="D787" authorId="28" shapeId="0">
      <text>
        <t>[Threaded comment]
Your version of Excel allows you to read this threaded comment; however, any edits to it will get removed if the file is opened in a newer version of Excel. Learn more: https://go.microsoft.com/fwlink/?linkid=870924
Comment:
    Ski com David e amigos
Peter and Severin
Casal sul-africano e filhos</t>
      </text>
    </comment>
    <comment ref="D897" authorId="29" shapeId="0">
      <text>
        <t>[Threaded comment]
Your version of Excel allows you to read this threaded comment; however, any edits to it will get removed if the file is opened in a newer version of Excel. Learn more: https://go.microsoft.com/fwlink/?linkid=870924
Comment:
    Chez Carlos e Lorraine</t>
      </text>
    </comment>
    <comment ref="D912" authorId="30" shapeId="0">
      <text>
        <t>[Threaded comment]
Your version of Excel allows you to read this threaded comment; however, any edits to it will get removed if the file is opened in a newer version of Excel. Learn more: https://go.microsoft.com/fwlink/?linkid=870924
Comment:
    chalé dos pais de Lorraine, com Carlos, Sylvain e Paula</t>
      </text>
    </comment>
    <comment ref="D979" authorId="31" shapeId="0">
      <text>
        <t>[Threaded comment]
Your version of Excel allows you to read this threaded comment; however, any edits to it will get removed if the file is opened in a newer version of Excel. Learn more: https://go.microsoft.com/fwlink/?linkid=870924
Comment:
    Via Fonteiana, quarto com Alex Calheiros. 
Depois que Dani chegou, Alex foi pra casa de amigos e Dani ficou comigo.</t>
      </text>
    </comment>
    <comment ref="D980" authorId="32" shapeId="0">
      <text>
        <t>[Threaded comment]
Your version of Excel allows you to read this threaded comment; however, any edits to it will get removed if the file is opened in a newer version of Excel. Learn more: https://go.microsoft.com/fwlink/?linkid=870924
Comment:
    Via Fonteiana, quarto com Alex Calheiros. 
Depois que Dani chegou, Alex foi pra casa de amigos e Dani ficou comigo.</t>
      </text>
    </comment>
    <comment ref="D981" authorId="33" shapeId="0">
      <text>
        <t>[Threaded comment]
Your version of Excel allows you to read this threaded comment; however, any edits to it will get removed if the file is opened in a newer version of Excel. Learn more: https://go.microsoft.com/fwlink/?linkid=870924
Comment:
    Periodo com Dani</t>
      </text>
    </comment>
    <comment ref="D1007" authorId="34" shapeId="0">
      <text>
        <t xml:space="preserve">[Threaded comment]
Your version of Excel allows you to read this threaded comment; however, any edits to it will get removed if the file is opened in a newer version of Excel. Learn more: https://go.microsoft.com/fwlink/?linkid=870924
Comment:
    Datas imprecisas. 
2006 é a melhor aposta. Depois do meu aniversario. 
Setembro ou outubro sao os melhores palpites.
De carro (Fiesta prata), com PL e Vergne. 
Fomos de carro, possivelmente dormimos na primeira noite numa pousada em Lençóis. 
Dia seguinte: trilha direcao Andarai, camping. 
Retorno no dia seguinte. 
Provavelmente mais uma noite em Lençóis, retorno no dia seguinte. 
</t>
      </text>
    </comment>
    <comment ref="D1008" authorId="35" shapeId="0">
      <text>
        <t xml:space="preserve">[Threaded comment]
Your version of Excel allows you to read this threaded comment; however, any edits to it will get removed if the file is opened in a newer version of Excel. Learn more: https://go.microsoft.com/fwlink/?linkid=870924
Comment:
    Datas imprecisas. 
2006 é a melhor aposta. Depois do meu aniversario. 
Setembro ou outubro sao os melhores palpites.
De carro (Fiesta prata), com PL e Vergne. 
Fomos de carro, possivelmente dormimos na primeira noite numa pousada em Lençóis. 
Dia seguinte: trilha direcao Andarai, camping. 
Retorno no dia seguinte. 
Provavelmente mais uma noite em Lençóis, retorno no dia seguinte. 
</t>
      </text>
    </comment>
    <comment ref="D1009" authorId="36" shapeId="0">
      <text>
        <t xml:space="preserve">[Threaded comment]
Your version of Excel allows you to read this threaded comment; however, any edits to it will get removed if the file is opened in a newer version of Excel. Learn more: https://go.microsoft.com/fwlink/?linkid=870924
Comment:
    Datas imprecisas. 
2006 é a melhor aposta. Depois do meu aniversario. 
Setembro ou outubro sao os melhores palpites.
De carro (Fiesta prata), com PL e Vergne. 
Fomos de carro, possivelmente dormimos na primeira noite numa pousada em Lençóis. 
Dia seguinte: trilha direcao Andarai, camping. 
Retorno no dia seguinte. 
Provavelmente mais uma noite em Lençóis, retorno no dia seguinte. 
</t>
      </text>
    </comment>
    <comment ref="D1015" authorId="37" shapeId="0">
      <text>
        <t xml:space="preserve">[Threaded comment]
Your version of Excel allows you to read this threaded comment; however, any edits to it will get removed if the file is opened in a newer version of Excel. Learn more: https://go.microsoft.com/fwlink/?linkid=870924
Comment:
    Com Peu, Duda, Ze Luis
</t>
      </text>
    </comment>
    <comment ref="D1056" authorId="38" shapeId="0">
      <text>
        <t>[Threaded comment]
Your version of Excel allows you to read this threaded comment; however, any edits to it will get removed if the file is opened in a newer version of Excel. Learn more: https://go.microsoft.com/fwlink/?linkid=870924
Comment:
    Conexao perdida Air Europa
Malas desaparecidas
Noite no hotel, bem ruim a experiencia</t>
      </text>
    </comment>
    <comment ref="D1063" authorId="39" shapeId="0">
      <text>
        <t>[Threaded comment]
Your version of Excel allows you to read this threaded comment; however, any edits to it will get removed if the file is opened in a newer version of Excel. Learn more: https://go.microsoft.com/fwlink/?linkid=870924
Comment:
    Carnatal, Duda e FH</t>
      </text>
    </comment>
    <comment ref="D1068" authorId="40" shapeId="0">
      <text>
        <t>[Threaded comment]
Your version of Excel allows you to read this threaded comment; however, any edits to it will get removed if the file is opened in a newer version of Excel. Learn more: https://go.microsoft.com/fwlink/?linkid=870924
Comment:
    Nina, Porto do Sol !!!</t>
      </text>
    </comment>
    <comment ref="D1106" authorId="41" shapeId="0">
      <text>
        <t>[Threaded comment]
Your version of Excel allows you to read this threaded comment; however, any edits to it will get removed if the file is opened in a newer version of Excel. Learn more: https://go.microsoft.com/fwlink/?linkid=870924
Comment:
    Com Peu e Dea. Pit stop pre-meia maratona do Rio.</t>
      </text>
    </comment>
    <comment ref="D1133" authorId="42" shapeId="0">
      <text>
        <t>[Threaded comment]
Your version of Excel allows you to read this threaded comment; however, any edits to it will get removed if the file is opened in a newer version of Excel. Learn more: https://go.microsoft.com/fwlink/?linkid=870924
Comment:
    Hotel Apostophre</t>
      </text>
    </comment>
    <comment ref="I1164" authorId="43" shapeId="0">
      <text>
        <t>[Threaded comment]
Your version of Excel allows you to read this threaded comment; however, any edits to it will get removed if the file is opened in a newer version of Excel. Learn more: https://go.microsoft.com/fwlink/?linkid=870924
Comment:
    Hector Berlioz</t>
      </text>
    </comment>
    <comment ref="I1165" authorId="44" shapeId="0">
      <text>
        <t>[Threaded comment]
Your version of Excel allows you to read this threaded comment; however, any edits to it will get removed if the file is opened in a newer version of Excel. Learn more: https://go.microsoft.com/fwlink/?linkid=870924
Comment:
    Hector Berlioz</t>
      </text>
    </comment>
    <comment ref="D1249" authorId="45" shapeId="0">
      <text>
        <t>[Threaded comment]
Your version of Excel allows you to read this threaded comment; however, any edits to it will get removed if the file is opened in a newer version of Excel. Learn more: https://go.microsoft.com/fwlink/?linkid=870924
Comment:
    Com Cyrus</t>
      </text>
    </comment>
    <comment ref="D1250" authorId="46" shapeId="0">
      <text>
        <t>[Threaded comment]
Your version of Excel allows you to read this threaded comment; however, any edits to it will get removed if the file is opened in a newer version of Excel. Learn more: https://go.microsoft.com/fwlink/?linkid=870924
Comment:
    Day trip com Francele</t>
      </text>
    </comment>
    <comment ref="D1254" authorId="47" shapeId="0">
      <text>
        <t xml:space="preserve">[Threaded comment]
Your version of Excel allows you to read this threaded comment; however, any edits to it will get removed if the file is opened in a newer version of Excel. Learn more: https://go.microsoft.com/fwlink/?linkid=870924
Comment:
    Ski com Pita
</t>
      </text>
    </comment>
    <comment ref="D1264" authorId="48" shapeId="0">
      <text>
        <t>[Threaded comment]
Your version of Excel allows you to read this threaded comment; however, any edits to it will get removed if the file is opened in a newer version of Excel. Learn more: https://go.microsoft.com/fwlink/?linkid=870924
Comment:
    Parque aquatico</t>
      </text>
    </comment>
    <comment ref="D1266" authorId="49" shapeId="0">
      <text>
        <t>[Threaded comment]
Your version of Excel allows you to read this threaded comment; however, any edits to it will get removed if the file is opened in a newer version of Excel. Learn more: https://go.microsoft.com/fwlink/?linkid=870924
Comment:
    Parque aquatico</t>
      </text>
    </comment>
    <comment ref="D1268" authorId="50" shapeId="0">
      <text>
        <t>[Threaded comment]
Your version of Excel allows you to read this threaded comment; however, any edits to it will get removed if the file is opened in a newer version of Excel. Learn more: https://go.microsoft.com/fwlink/?linkid=870924
Comment:
    Parque aquatico</t>
      </text>
    </comment>
    <comment ref="D1274" authorId="51" shapeId="0">
      <text>
        <t>[Threaded comment]
Your version of Excel allows you to read this threaded comment; however, any edits to it will get removed if the file is opened in a newer version of Excel. Learn more: https://go.microsoft.com/fwlink/?linkid=870924
Comment:
    Eco Resort: 70 anos pai</t>
      </text>
    </comment>
    <comment ref="D1303" authorId="52" shapeId="0">
      <text>
        <t xml:space="preserve">[Threaded comment]
Your version of Excel allows you to read this threaded comment; however, any edits to it will get removed if the file is opened in a newer version of Excel. Learn more: https://go.microsoft.com/fwlink/?linkid=870924
Comment:
    Nascimento de CHLOE !!! </t>
      </text>
    </comment>
    <comment ref="D1309" authorId="53" shapeId="0">
      <text>
        <t>[Threaded comment]
Your version of Excel allows you to read this threaded comment; however, any edits to it will get removed if the file is opened in a newer version of Excel. Learn more: https://go.microsoft.com/fwlink/?linkid=870924
Comment:
    Viagem de carro, com pai tata e cia</t>
      </text>
    </comment>
    <comment ref="D1312" authorId="54" shapeId="0">
      <text>
        <t>[Threaded comment]
Your version of Excel allows you to read this threaded comment; however, any edits to it will get removed if the file is opened in a newer version of Excel. Learn more: https://go.microsoft.com/fwlink/?linkid=870924
Comment:
    Casamento Mike Christine</t>
      </text>
    </comment>
    <comment ref="D1314" authorId="55" shapeId="0">
      <text>
        <t>[Threaded comment]
Your version of Excel allows you to read this threaded comment; however, any edits to it will get removed if the file is opened in a newer version of Excel. Learn more: https://go.microsoft.com/fwlink/?linkid=870924
Comment:
    Hampton Inn, Chloe's 1st trip USA
1st time talk = MAMA!</t>
      </text>
    </comment>
    <comment ref="D1319" authorId="56" shapeId="0">
      <text>
        <t>[Threaded comment]
Your version of Excel allows you to read this threaded comment; however, any edits to it will get removed if the file is opened in a newer version of Excel. Learn more: https://go.microsoft.com/fwlink/?linkid=870924
Comment:
    Com Chloe
Mike e Christine</t>
      </text>
    </comment>
    <comment ref="D1333" authorId="57" shapeId="0">
      <text>
        <t>[Threaded comment]
Your version of Excel allows you to read this threaded comment; however, any edits to it will get removed if the file is opened in a newer version of Excel. Learn more: https://go.microsoft.com/fwlink/?linkid=870924
Comment:
    chalé com muita gente
Pita/Carol, Francele, Ricky/Renata</t>
      </text>
    </comment>
    <comment ref="D1344" authorId="58" shapeId="0">
      <text>
        <t>Marcos Bulcao:
19 times
classes
reuniao depto - commis</t>
      </text>
    </comment>
    <comment ref="D1379" authorId="59" shapeId="0">
      <text>
        <t>[Threaded comment]
Your version of Excel allows you to read this threaded comment; however, any edits to it will get removed if the file is opened in a newer version of Excel. Learn more: https://go.microsoft.com/fwlink/?linkid=870924
Comment:
    Parque aquatico</t>
      </text>
    </comment>
    <comment ref="D1383" authorId="60" shapeId="0">
      <text>
        <t>[Threaded comment]
Your version of Excel allows you to read this threaded comment; however, any edits to it will get removed if the file is opened in a newer version of Excel. Learn more: https://go.microsoft.com/fwlink/?linkid=870924
Comment:
    30k, Microbrasseries</t>
      </text>
    </comment>
    <comment ref="D1384" authorId="58" shapeId="0">
      <text>
        <t xml:space="preserve">Marcos Bulcao:
pq novembro e nao setembro (inicio do curso)?
</t>
      </text>
    </comment>
    <comment ref="D1386" authorId="61" shapeId="0">
      <text>
        <t>[Threaded comment]
Your version of Excel allows you to read this threaded comment; however, any edits to it will get removed if the file is opened in a newer version of Excel. Learn more: https://go.microsoft.com/fwlink/?linkid=870924
Comment:
    Ielts, Cyrus</t>
      </text>
    </comment>
    <comment ref="D1404" authorId="62" shapeId="0">
      <text>
        <t>[Threaded comment]
Your version of Excel allows you to read this threaded comment; however, any edits to it will get removed if the file is opened in a newer version of Excel. Learn more: https://go.microsoft.com/fwlink/?linkid=870924
Comment:
    renaissance beijing capital hotel/</t>
      </text>
    </comment>
    <comment ref="D1405" authorId="63" shapeId="0">
      <text>
        <t>[Threaded comment]
Your version of Excel allows you to read this threaded comment; however, any edits to it will get removed if the file is opened in a newer version of Excel. Learn more: https://go.microsoft.com/fwlink/?linkid=870924
Comment:
    renaissance beijing capital hotel/</t>
      </text>
    </comment>
    <comment ref="D1417" authorId="58" shapeId="0">
      <text>
        <t xml:space="preserve">Marcos Bulcao:
pq novembro e nao setembro (inicio do curso)?
</t>
      </text>
    </comment>
    <comment ref="D1435" authorId="64" shapeId="0">
      <text>
        <t>[Threaded comment]
Your version of Excel allows you to read this threaded comment; however, any edits to it will get removed if the file is opened in a newer version of Excel. Learn more: https://go.microsoft.com/fwlink/?linkid=870924
Comment:
    Sem Nina
David's (13-16); Stu (16-20); David's (20-22)/</t>
      </text>
    </comment>
    <comment ref="D1451" authorId="65" shapeId="0">
      <text>
        <t>[Threaded comment]
Your version of Excel allows you to read this threaded comment; however, any edits to it will get removed if the file is opened in a newer version of Excel. Learn more: https://go.microsoft.com/fwlink/?linkid=870924
Comment:
    Citizenship 17 julho</t>
      </text>
    </comment>
    <comment ref="D1465" authorId="66" shapeId="0">
      <text>
        <t>[Threaded comment]
Your version of Excel allows you to read this threaded comment; however, any edits to it will get removed if the file is opened in a newer version of Excel. Learn more: https://go.microsoft.com/fwlink/?linkid=870924
Comment:
    Casa da Fernanda!</t>
      </text>
    </comment>
    <comment ref="D1473" authorId="67" shapeId="0">
      <text>
        <t>[Threaded comment]
Your version of Excel allows you to read this threaded comment; however, any edits to it will get removed if the file is opened in a newer version of Excel. Learn more: https://go.microsoft.com/fwlink/?linkid=870924
Comment:
    Pedro Hospitaleiro</t>
      </text>
    </comment>
    <comment ref="D1491" authorId="68" shapeId="0">
      <text>
        <t>[Threaded comment]
Your version of Excel allows you to read this threaded comment; however, any edits to it will get removed if the file is opened in a newer version of Excel. Learn more: https://go.microsoft.com/fwlink/?linkid=870924
Comment:
    Business meeting, com Bado e Tatá</t>
      </text>
    </comment>
    <comment ref="D1503" authorId="69" shapeId="0">
      <text>
        <t>[Threaded comment]
Your version of Excel allows you to read this threaded comment; however, any edits to it will get removed if the file is opened in a newer version of Excel. Learn more: https://go.microsoft.com/fwlink/?linkid=870924
Comment:
    50 anos Murilo</t>
      </text>
    </comment>
    <comment ref="D1508" authorId="70" shapeId="0">
      <text>
        <t>[Threaded comment]
Your version of Excel allows you to read this threaded comment; however, any edits to it will get removed if the file is opened in a newer version of Excel. Learn more: https://go.microsoft.com/fwlink/?linkid=870924
Comment:
    12h conexao = city tour</t>
      </text>
    </comment>
    <comment ref="D1516" authorId="71" shapeId="0">
      <text>
        <t>[Threaded comment]
Your version of Excel allows you to read this threaded comment; however, any edits to it will get removed if the file is opened in a newer version of Excel. Learn more: https://go.microsoft.com/fwlink/?linkid=870924
Comment:
    David's (13-15); 
Thomas (15-17), 
David (17-18); 
Thomas (18-20); 
David (21-24)/</t>
      </text>
    </comment>
    <comment ref="D1521" authorId="72" shapeId="0">
      <text>
        <t>[Threaded comment]
Your version of Excel allows you to read this threaded comment; however, any edits to it will get removed if the file is opened in a newer version of Excel. Learn more: https://go.microsoft.com/fwlink/?linkid=870924
Comment:
    Us 3
Com Francele</t>
      </text>
    </comment>
    <comment ref="D1525" authorId="58" shapeId="0">
      <text>
        <t>Marcos Bulcao:
5 times
viagem ao Brasil - Tata
then covid: aulas online</t>
      </text>
    </comment>
    <comment ref="D1528" authorId="73" shapeId="0">
      <text>
        <t>[Threaded comment]
Your version of Excel allows you to read this threaded comment; however, any edits to it will get removed if the file is opened in a newer version of Excel. Learn more: https://go.microsoft.com/fwlink/?linkid=870924
Comment:
    chez Clovis - sampa, tatá no sirio, tumor removido… encontro com rinaldo e sam, canedo, eurico, chocolate/</t>
      </text>
    </comment>
    <comment ref="I1530" authorId="74" shapeId="0">
      <text>
        <t>[Threaded comment]
Your version of Excel allows you to read this threaded comment; however, any edits to it will get removed if the file is opened in a newer version of Excel. Learn more: https://go.microsoft.com/fwlink/?linkid=870924
Comment:
    Venancio Flores, 130</t>
      </text>
    </comment>
    <comment ref="D1537" authorId="75" shapeId="0">
      <text>
        <t>[Threaded comment]
Your version of Excel allows you to read this threaded comment; however, any edits to it will get removed if the file is opened in a newer version of Excel. Learn more: https://go.microsoft.com/fwlink/?linkid=870924
Comment:
    Ski com Marcelo</t>
      </text>
    </comment>
    <comment ref="D1549" authorId="76" shapeId="0">
      <text>
        <t>[Threaded comment]
Your version of Excel allows you to read this threaded comment; however, any edits to it will get removed if the file is opened in a newer version of Excel. Learn more: https://go.microsoft.com/fwlink/?linkid=870924
Comment:
    120k de bike! (Primeiro 100+k)
Com Marcelo Reis</t>
      </text>
    </comment>
    <comment ref="D1555" authorId="77" shapeId="0">
      <text>
        <t>[Threaded comment]
Your version of Excel allows you to read this threaded comment; however, any edits to it will get removed if the file is opened in a newer version of Excel. Learn more: https://go.microsoft.com/fwlink/?linkid=870924
Comment:
    16 Apr: Nina moved out to Gaspe…</t>
      </text>
    </comment>
    <comment ref="D1557" authorId="78" shapeId="0">
      <text>
        <t>[Threaded comment]
Your version of Excel allows you to read this threaded comment; however, any edits to it will get removed if the file is opened in a newer version of Excel. Learn more: https://go.microsoft.com/fwlink/?linkid=870924
Comment:
    06-07/May: trancado fora de casa = chez marcelo, em maio/
{nao tenho lembrança do que isso significa…)</t>
      </text>
    </comment>
    <comment ref="D1562" authorId="58" shapeId="0">
      <text>
        <t>Marcos Bulcao:
bike trip com Marcelo</t>
      </text>
    </comment>
    <comment ref="D1566" authorId="79" shapeId="0">
      <text>
        <t>[Threaded comment]
Your version of Excel allows you to read this threaded comment; however, any edits to it will get removed if the file is opened in a newer version of Excel. Learn more: https://go.microsoft.com/fwlink/?linkid=870924
Comment:
    Mae Line</t>
      </text>
    </comment>
    <comment ref="D1597" authorId="80" shapeId="0">
      <text>
        <t>[Threaded comment]
Your version of Excel allows you to read this threaded comment; however, any edits to it will get removed if the file is opened in a newer version of Excel. Learn more: https://go.microsoft.com/fwlink/?linkid=870924
Comment:
    Camping Sepaq Voltigeurs/</t>
      </text>
    </comment>
    <comment ref="D1599" authorId="81" shapeId="0">
      <text>
        <t>[Threaded comment]
Your version of Excel allows you to read this threaded comment; however, any edits to it will get removed if the file is opened in a newer version of Excel. Learn more: https://go.microsoft.com/fwlink/?linkid=870924
Comment:
    Cirurgia olho Chloe</t>
      </text>
    </comment>
    <comment ref="D1605" authorId="82" shapeId="0">
      <text>
        <t>[Threaded comment]
Your version of Excel allows you to read this threaded comment; however, any edits to it will get removed if the file is opened in a newer version of Excel. Learn more: https://go.microsoft.com/fwlink/?linkid=870924
Comment:
    Camping Tropical; next day, same route, back/</t>
      </text>
    </comment>
    <comment ref="D1612" authorId="83" shapeId="0">
      <text>
        <t>[Threaded comment]
Your version of Excel allows you to read this threaded comment; however, any edits to it will get removed if the file is opened in a newer version of Excel. Learn more: https://go.microsoft.com/fwlink/?linkid=870924
Comment:
    camping au plateau 5 etoiles/</t>
      </text>
    </comment>
    <comment ref="D1653" authorId="84" shapeId="0">
      <text>
        <t>[Threaded comment]
Your version of Excel allows you to read this threaded comment; however, any edits to it will get removed if the file is opened in a newer version of Excel. Learn more: https://go.microsoft.com/fwlink/?linkid=870924
Comment:
    Bus para Grosseto
Conexao 
Trem para Roma</t>
      </text>
    </comment>
    <comment ref="D1656" authorId="85" shapeId="0">
      <text>
        <t>[Threaded comment]
Your version of Excel allows you to read this threaded comment; however, any edits to it will get removed if the file is opened in a newer version of Excel. Learn more: https://go.microsoft.com/fwlink/?linkid=870924
Comment:
    Dormimos numa cidadezinha mais perto do aeroporto.
Com o voo cancelado, repetimos a noite aí</t>
      </text>
    </comment>
    <comment ref="D1691" authorId="86" shapeId="0">
      <text>
        <t>[Threaded comment]
Your version of Excel allows you to read this threaded comment; however, any edits to it will get removed if the file is opened in a newer version of Excel. Learn more: https://go.microsoft.com/fwlink/?linkid=870924
Comment:
    Timhotel (pessimo), Gare Montparnasse</t>
      </text>
    </comment>
    <comment ref="D1692" authorId="87" shapeId="0">
      <text>
        <t>[Threaded comment]
Your version of Excel allows you to read this threaded comment; however, any edits to it will get removed if the file is opened in a newer version of Excel. Learn more: https://go.microsoft.com/fwlink/?linkid=870924
Comment:
    Hyde Park Boutique Hotel</t>
      </text>
    </comment>
    <comment ref="D1693" authorId="88" shapeId="0">
      <text>
        <t>[Threaded comment]
Your version of Excel allows you to read this threaded comment; however, any edits to it will get removed if the file is opened in a newer version of Excel. Learn more: https://go.microsoft.com/fwlink/?linkid=870924
Comment:
    Ibis Place Italie</t>
      </text>
    </comment>
    <comment ref="D1701" authorId="89" shapeId="0">
      <text>
        <t>[Threaded comment]
Your version of Excel allows you to read this threaded comment; however, any edits to it will get removed if the file is opened in a newer version of Excel. Learn more: https://go.microsoft.com/fwlink/?linkid=870924
Comment:
    entrega chaves marie victorin 21 OCT</t>
      </text>
    </comment>
    <comment ref="D1711" authorId="90" shapeId="0">
      <text>
        <t>[Threaded comment]
Your version of Excel allows you to read this threaded comment; however, any edits to it will get removed if the file is opened in a newer version of Excel. Learn more: https://go.microsoft.com/fwlink/?linkid=870924
Comment:
    Pascoa</t>
      </text>
    </comment>
    <comment ref="D1716" authorId="58" shapeId="0">
      <text>
        <t xml:space="preserve">Canedo em Montreal
creio que ele passou 3 dias lah. 
o combinado era acampar/pedalar
a chuva nos fez adaptar os planos
Marcelo estava prestes a se mudar e estava com o apto em Carignan vazio. 
Montamos base lah e fizemos a pedalada. 
dormimos lah duas noites
eu no chao, direto no saco de dormir
canedo com o colchao inflavel 
fizemos, se bem lembro, 180k em 2-3 dias 
100k+ em um dos dias, conforme meta
</t>
      </text>
    </comment>
    <comment ref="D1721" authorId="91" shapeId="0">
      <text>
        <t>[Threaded comment]
Your version of Excel allows you to read this threaded comment; however, any edits to it will get removed if the file is opened in a newer version of Excel. Learn more: https://go.microsoft.com/fwlink/?linkid=870924
Comment:
    MPR: meeting first time</t>
      </text>
    </comment>
    <comment ref="D1729" authorId="92" shapeId="0">
      <text>
        <t>[Threaded comment]
Your version of Excel allows you to read this threaded comment; however, any edits to it will get removed if the file is opened in a newer version of Excel. Learn more: https://go.microsoft.com/fwlink/?linkid=870924
Comment:
    Eurostar Plaza Mayor</t>
      </text>
    </comment>
    <comment ref="D1733" authorId="93" shapeId="0">
      <text>
        <t>[Threaded comment]
Your version of Excel allows you to read this threaded comment; however, any edits to it will get removed if the file is opened in a newer version of Excel. Learn more: https://go.microsoft.com/fwlink/?linkid=870924
Comment:
    Eurostar das Letras</t>
      </text>
    </comment>
    <comment ref="D1735" authorId="94" shapeId="0">
      <text>
        <t>[Threaded comment]
Your version of Excel allows you to read this threaded comment; however, any edits to it will get removed if the file is opened in a newer version of Excel. Learn more: https://go.microsoft.com/fwlink/?linkid=870924
Comment:
    Holiday Inn em Gaia nos 4 dias</t>
      </text>
    </comment>
    <comment ref="D1740" authorId="95" shapeId="0">
      <text>
        <t>[Threaded comment]
Your version of Excel allows you to read this threaded comment; however, any edits to it will get removed if the file is opened in a newer version of Excel. Learn more: https://go.microsoft.com/fwlink/?linkid=870924
Comment:
    David’s memorial on Sep 06</t>
      </text>
    </comment>
    <comment ref="D1763" authorId="96" shapeId="0">
      <text>
        <t>[Threaded comment]
Your version of Excel allows you to read this threaded comment; however, any edits to it will get removed if the file is opened in a newer version of Excel. Learn more: https://go.microsoft.com/fwlink/?linkid=870924
Comment:
    Leça da Palmeira - Holiday Inn (01-02 jul)
Airbnb (02-07 jul) Brito Capelo 526</t>
      </text>
    </comment>
    <comment ref="D1771" authorId="58" shapeId="0">
      <text>
        <t xml:space="preserve">“Diego rescue”
Chez Marcelo e Vania
Meeting Mike e Bee/Chris
Vet, CFIA, papers
3 amigos on Wednesday
Bike on Saturday
</t>
      </text>
    </comment>
    <comment ref="D1773" authorId="58" shapeId="0">
      <text>
        <t>Marcos Bulcao:
23/9 pai chega de viagem
flixbus to lisbon
lunch
flixbus to porto (train fully booked
nice chat
queijos e vinho</t>
      </text>
    </comment>
    <comment ref="D1774" authorId="58" shapeId="0">
      <text>
        <t xml:space="preserve">Marcos Bulcao:
PARTIDA
this time we took the train, much better
Lisboa Oriente, taxi to airport
quick lunch and talk, check-in and the infinite wait for the wheel chair assistance. 
great days with my dad!
</t>
      </text>
    </comment>
    <comment ref="D1775" authorId="58" shapeId="0">
      <text>
        <t xml:space="preserve">Marcos Bulcao:
PARTIDA
this time we took the train, much better
Lisboa Oriente, taxi to airport
quick lunch and talk, check-in and the infinite wait for the wheel chair assistance. 
great days with my dad!
</t>
      </text>
    </comment>
    <comment ref="D1785" authorId="58" shapeId="0">
      <text>
        <t>Rome: com Nina e Chloe - 25-30 March
Ryanir
Hotel Eurostars - Via Casilina 125
25
flight, taxi, hotel
dinner - carbonara, risosto, bolognesa (ruim)
26 -- rainy day + granizo
Colisseo (!!) e Foro Romano
Brunch - La  Licata
Walk - Piazza di Spagna; metro hotel
mercado --&gt; dinner at room
27
bfast in room
Vatican Musei - Systine Chapel
lunch at Spaghetti - veal
Walk Sant'Angelo Castle, Largo di Argentina, 
Piazza Navona, Pantheon, Fontana de Trevi
28 free day
bfast brunch at hotel - very good
relax at room - grey's anatomy + writing psy
final de tarde --&gt; giardino degli aranci + sunset
circo massimo + palantino + colisseo at night ! 
dinner restaurant: polvo entrada, porcini al tartufo; fetuccini ai frutti di mari; bolognesa (bom!), chianti
metro hotel
29
pompeii tour + sorrento
tour fraco, guia fraco, divisao do dia ruim
mas Pompeii... WOW! nao esperava ver uma ciadde reconstruida tao completa! 
metro hotel, bought some sanduiches (street food)
banho cama</t>
      </text>
    </comment>
    <comment ref="D1791" authorId="58" shapeId="0">
      <text>
        <t xml:space="preserve">Flixbus 07/abr
[via Aveiro - mas era noite, nao vi nada da cidade relevante, nem saltei]
dormi no Quimpecavel 
reuniao da AIMA
Flixbus back 08/abr
</t>
      </text>
    </comment>
    <comment ref="D1794" authorId="58" shapeId="0">
      <text>
        <t xml:space="preserve">Conexao
14h, pernoite
dormi no F1 Roissy-en-France
</t>
      </text>
    </comment>
    <comment ref="D1795" authorId="58" shapeId="0">
      <text>
        <t xml:space="preserve">Roissy-en-France
Hotel Formule 1
pernoite (10-&gt;11)
</t>
      </text>
    </comment>
  </commentList>
</comments>
</file>

<file path=xl/comments/comment2.xml><?xml version="1.0" encoding="utf-8"?>
<comments xmlns="http://schemas.openxmlformats.org/spreadsheetml/2006/main">
  <authors>
    <author>Marcos Bulcao</author>
  </authors>
  <commentList>
    <comment ref="K3" authorId="0" shapeId="0">
      <text>
        <t xml:space="preserve">NOT SURE
why I need the ucity_all  here...
</t>
      </text>
    </comment>
    <comment ref="BQ208" authorId="0" shapeId="0">
      <text>
        <t xml:space="preserve">Sao Sebastiao
</t>
      </text>
    </comment>
    <comment ref="BQ335" authorId="0" shapeId="0">
      <text>
        <t>Cairu</t>
      </text>
    </comment>
    <comment ref="BQ387" authorId="0" shapeId="0">
      <text>
        <t xml:space="preserve">Tibau do Sul
</t>
      </text>
    </comment>
    <comment ref="BQ407" authorId="0" shapeId="0">
      <text>
        <t xml:space="preserve">Mata de Sao Joao
</t>
      </text>
    </comment>
    <comment ref="BR576" authorId="0" shapeId="0">
      <text>
        <t>Azores</t>
      </text>
    </comment>
  </commentList>
</comments>
</file>

<file path=xl/comments/comment3.xml><?xml version="1.0" encoding="utf-8"?>
<comments xmlns="http://schemas.openxmlformats.org/spreadsheetml/2006/main">
  <authors>
    <author>Marcos Bulcao</author>
  </authors>
  <commentList>
    <comment ref="AM4" authorId="0" shapeId="0">
      <text>
        <t>Marcos Bulcao:
09 Oct 2025
exactly 1/3 abroad</t>
      </text>
    </comment>
  </commentList>
</comments>
</file>

<file path=xl/comments/comment4.xml><?xml version="1.0" encoding="utf-8"?>
<comments xmlns="http://schemas.openxmlformats.org/spreadsheetml/2006/main">
  <authors>
    <author>Marcos Bulcao</author>
    <author>Marcos Bulcão</author>
    <author>Marcos</author>
    <author>MB</author>
    <author>mb</author>
    <author>MARCOS BULCAO</author>
  </authors>
  <commentList>
    <comment ref="BB4" authorId="0" shapeId="0">
      <text>
        <t>Angelina:
normandie (honfleur, st michel) 
bretagne (st malo, dinan, dinard)
poitiers, 
angoulême, 
sarlat en passant, 
albi, 
carcassonne, 
gorges du tarn,</t>
      </text>
    </comment>
    <comment ref="BG12" authorId="0" shapeId="0">
      <text>
        <t xml:space="preserve">Angelina:
calais, 
dover, hastings, bath, salisbury,
stratford, chester, lagos, glasgow en passant, fort william, iverness,
perth, edimburgh, york, leeds (revisao do carro), cambridge, london, paris.
</t>
      </text>
    </comment>
    <comment ref="BC14" authorId="0" shapeId="0">
      <text>
        <t xml:space="preserve">Angelina:
vienne, geneve, lausanne, montreux, bern, </t>
      </text>
    </comment>
    <comment ref="Z21" authorId="0" shapeId="0">
      <text>
        <t>Marcos Bulcao:
Venice
Bari (cruise)
Roma</t>
      </text>
    </comment>
    <comment ref="O23" authorId="0" shapeId="0">
      <text>
        <t>SP twice</t>
      </text>
    </comment>
    <comment ref="AW31" authorId="1" shapeId="0">
      <text>
        <t>Marcos Bulcão:
Período turbulento. Voltaríamos juntos no avião, presumivelmente para reatarmos. Não. O que acontecia? Acho que nenhum de nós dois sabia, ao certo. Dúvidas dela, vontade de partir e de voltar para seus braços, da minha parte. Ela vai para o reveillon em Minas. Revelo meu desejo de partir, o orgulho mantém a decisao, apesar da volta, afinal em meados de janeiro. Nesse meio tempo, Kenia e Lavagem do Bonfim, vinda de Tânia, que pena, para minha formatura. Mês intenso, até chegada de Carlos. Depois disso, ficaríamos juntos até a ida a Sampa, pré-Londres, mas algo da intensidade se perdera ou simplesmente diminuira. Parto com uma dor no peito, com a esperança me levando, mas com uma convicçao apertada e calada de que estava realmetne dando adeus a Tereza.</t>
      </text>
    </comment>
    <comment ref="BB31" authorId="1" shapeId="0">
      <text>
        <t xml:space="preserve">Marcos Bulcão:
Temporada em Salvador para preparo de projeto. Bom para conviver com a diretoria, arrumar alguns namoros, paixoes e desencontros: Tina e Priscila. Alex me visitou em julho.
</t>
      </text>
    </comment>
    <comment ref="BG31" authorId="1" shapeId="0">
      <text>
        <t xml:space="preserve">Marcos Bulcão:
Arraiá d'Ajuda com Pássaro, Eduardo, Edimilson, em excursao promovida pela Timbalada. Dias razoáveis, mas biela atrapalhou, estava desacostumado à paquera brasileira, auto-estima baixa. Uma mineira apenas, para não passar a noite em branco. Volta antecipada, sozinho, descontente com minha "atuaçao". Mais valia passar os últimos dias antes do retorno a Paris em SSA, com o resto da galera, Priscila
</t>
      </text>
    </comment>
    <comment ref="CA31" authorId="1" shapeId="0">
      <text>
        <t>Marcos Bulcão:
01 JAN
Já é 2002. Voltamos logo depois para a casa, depois dos fogos, goles na champanhe, algumas fotos. Todos encharcados. 
Em casa, eu, Fernanda e Marta continuamos na varanda, na chuva forte, dançando e bebendo e gritando: TÁ MOLHANDO AÊ?!?! Ficamos assim até dar uma da manhã, quando comemoramos a segunda passagem de ano, desta vez descontado o horário de verao. Depois, roupas secas, comida pronta e servida, fome imensa, fomos à mesa. O banquete: moqueca de pargo (preparada por Marta), ensopado de pargo com lulas (preparado por Didi), salada de lulas (preparada por Celeste e Fernanda), pirao (delicioso), sete camaroes pistola, arroz à vontade. 
Comemos e muito, lemos um pouco e aí deu aquela moleza, o speed baixou muito e a noite terminou muito antes do amanhecer.
Dormimos, acordamos umas dez da matina. Mais uma ida a Floripa, almoço com a mãe de Celeste. Obrigaçao social meio chata, ninguém gostou.
Comemos, cerveja e no final da tarde, finalmente, saímos de lá para conhecer a praia da Solidão (o nome nao poderia ser mais sugestivo). Praia meio longe, mas valeu a pena. A enseada é belíssima, havia ainda sol, o mar maravilhoso, uma piscina. O pessoal (inclui alguns familiares de Celeste) foi andar um pouco, ver uma tal de cachoeira, eu Marta e Fernanda ficamos na praia, aproveitando os ultimos raios de sol e o banho de mar. 
Posso dizer que estes breves minutos (pouco mais de uma hora) valeram o dia: a paisagem, o banho de mar, a areia, o sol na pele... Sem comentários.
Saímos de lá com o sol perto de se por, às 8 da noite, mas o engarrafamento ainda assim foi cruel. Chegamos na casa da mae de Celeste às 21h30, breve enrolaçao e de volta a Camburiú. Chegamos onze e tanta, banho e saímos para comer algo na orla.
Achamos um restaurante simpático na orla, com vista para o calçadao e o mar. Pedimos dois pratos de congrio: um grelhado, com camaroes empanados, arroz à grega, e fritas; outro com molho a frutos do mar: com lulas, mexilhoes e buzios (uma espécie de caramujo). A fome era gigantesca, só proporcional ao prazer que se seguiu ao saciamento.
Depois do jantar, ainda andamos um pouco pela orla, pausa para um cafezinho e sorvetinho, compra de cigarros para quem fuma, casa e cama, quase 4 da matina.
------------------------------------------------------------------------------
02 JAN
Eu e Marta nao queríamos perder um minuto do dia, afinal iríamos viajar dali a pouco. Acordamos 9 e pouco e fomos direto para a praia, que fica a tres quadras do apê de Celeste. Ficamos lá cerca de uma hora e meia e curtimos bastante o ultimo sol, o ultimo banho de mar. Voltamos, banho, lanchinho, arrumamos mala e pé na estrada. Fernanda ficaria mais alguns dias, Didi e Duda voltaram conosco.
Saímos quase pontualmente uma da tarde. Até Curitiba, viagem tranquila. A 20 km, porém, parou tudo por causa dos semáforos infernais e perdemos 2 horas de vida. Depois dos tais sinais, o tráfego volta a fluir normalmente, sai-se da BR 101 e pega-se a BR116 para Sampa. 
Marta dirigiu o primeiro pedaço, trocamos pouco antes de terminar o engarrafamento e segui bastante, ritmo forte, até pararmos para almoçar/jantar, cerca de 19h30.
Que fome! Era um self-service, com feijao, arroz, salada de batata e salada em geral, linguiça e filé de frango. Comemos muito e voltamos à estrada. Marta pegou daí até o final. Faltavam ainda 200km.
Daí em diante, tráfego intenso mas contínuo. Chegamos em Sampa às 10h30, pegamos ainda as cadelas no hotel e pisamos em casa às 11.
Era o final da viagem. Maravilhosa, em resumo.</t>
      </text>
    </comment>
    <comment ref="AW32" authorId="1" shapeId="0">
      <text>
        <t>Marcos Bulcão:
No meio do Carnaval (os três primeiros dias, saí no Coco Bambu), fui com Tereza para Maceió, onde nos encontramos com Bado, Alê, Fábio e Fabiana I. Não foi a lua de mel que eu esperava, mas foram dias bons, em todo caso. A impressao que me dava é que a vinda de Carlos a Salvador mexia mais uma vez na ferida.</t>
      </text>
    </comment>
    <comment ref="BB32" authorId="1" shapeId="0">
      <text>
        <t>Marcos Bulcão:
Passagem só para dar adeus à galera: Moysés, Renato, Enéias, Tânia.</t>
      </text>
    </comment>
    <comment ref="BL32" authorId="1" shapeId="0">
      <text>
        <t xml:space="preserve">Marcos Bulcão:
Nasce uma paixão. Esses dias foram memoráveis, perfeitos em sua harmonia. Eu, Tita, Vanessa e Rato. O pretexto era o pré-caju. Iríamos ficar hospedados em casa de um amigo de Roni. Chegamos e fomos logo comer caranguejo (a 18 centavos) e quando entramos em contato com Roni, já era tarde, não conseguimos. Procuramos um hotelzinho e lá ficamos. Foi a grande sorte do fim de semana. Éramos só os quatro agora. Dormimos um pouco para ter forças para ir para a rua, acordamos tarde, quase nao fomos, quase fomos, fomos, às 3 da manhã pra rua, ver os blocos passarem. Dormimos eu e Tita num quarto (nada de mao boba), Van e Rato no outro. Primeira cena de ciúme (meu). Na volta, paramos para tomar uma (várias) na praia do Forte, comer uns petiscos. A cana foi tao dura que tivemos de ficar para dormir. Arranjamos uma pousada-casa para dormir, os quatro, meio amontoados. Nao importa. Entre o bar e a pousada, cenas antológicas: rato com o cachorro, meu mergulho em cima do carro, tita e o cavalo. A frase: "raiva é o que me mantém acordado", por todos terem tomado banho antes de mim (e assim poderem ir dormir).
</t>
      </text>
    </comment>
    <comment ref="CA32" authorId="1" shapeId="0">
      <text>
        <t xml:space="preserve">Marcos Bulcão:
O reveillon se passou com uma certa tensao no ar: o fim do relacionamento estava meio anunciado. Um tempo se fazia imperioso, mas um tempo num casal não se dá sem grandes consequencias. Para mim, os dias se arrastavam sem uma definição mais concreta. Dia 11, tivemos uma conversa acertando grandemente nossos ponteiros. O tempo seria dado. Prevíamos que nao seria curto. 
Dia 18, parti para o Rio, para iniciar esse dito tempo. Eu precisava sair, nao estava conseguindo viver nesse "limbo". 
</t>
      </text>
    </comment>
    <comment ref="CF32" authorId="2" shapeId="0">
      <text>
        <t>Marcos:
Saídas com galera, Pirica veio aqui
Dani Angel dia 05 !!
Laptop nada, estudo nada</t>
      </text>
    </comment>
    <comment ref="S33" authorId="3" shapeId="0">
      <text>
        <t>MB:
trois-rivieres
quebec
(mtl-qc by bike)</t>
      </text>
    </comment>
    <comment ref="AW33" authorId="1" shapeId="0">
      <text>
        <t>Marcos Bulcão:
Acertar últimos detalhes da viagem. Retomada das coisas de Tereza chez Carlos, idas ao Rio, último pedido de "fique", volta de ponte aérea para Sampa. Perda da jaqueta antes de chegar ao aeroporto, partida para Londres. Quase perco o avião no free-shop.</t>
      </text>
    </comment>
    <comment ref="BB33" authorId="1" shapeId="0">
      <text>
        <t>Marcos Bulcão:
Chegada mais do que impactante. Hotel Europe, na Rue Magenta, antes de pegar as chaves do studio. Madrugadas insones, pesadas de grande produção amarga e solitária. Todo o peso das decisões antigas vêm à tona, à mente, e me devastam. Entremeios, tenho de cuidar dos últimos acertos do projeto, impressão, etc. Tento passar o aniversário em Londres, rever Julia, não dá. Julia nao pode, a passagem nao está barata, só no dia seguinte. Passo aniversário com Taiane, Ulisses e Vitória?? num restaurante grego, métro Saint Michel.</t>
      </text>
    </comment>
    <comment ref="BC33" authorId="1" shapeId="0">
      <text>
        <t xml:space="preserve">Marcos Bulcão:
19 AGO - chegada: Hotel Europa, Av. Margenta
20 ago - mudança pro studio, 83, rue Dunquerque
20-25/08 - revisao do projeto
-----
25/8 - almoço com Ulisses, mae, Alice, Taiane no RU, cité universitaire
 jantar com Ulisses, mae, Taiane. St. Michel, restaurante grego. Otimo vinho.
</t>
      </text>
    </comment>
    <comment ref="BG33" authorId="1" shapeId="0">
      <text>
        <t xml:space="preserve">Marcos Bulcão:
Uma passagem ganha inesperadamente de Popó e a ida surpresa para a formatura de Fábio e Pipo e, claro, para o carnaval. Dias impagáveis, imprescindíveis para angariar forças para terminar o meu mestrado a tempo. Muita cachaça, diversao, mulheres. Valeu demais a pena. 
</t>
      </text>
    </comment>
    <comment ref="BH33" authorId="1" shapeId="0">
      <text>
        <t xml:space="preserve">Marcos Bulcão:
 19/01 MUSÉE D'HISTOIRE NATURELLE (PALEONTOLOGIE ET GRANDE GALERIE DE L'EVOLUTION)
 20/01 D'ORSAY, CONCORDE/CHAMPS ELYSÉES, c/ Rato
 22/01 devil's advocate
 24/01 duplex - estelle
 26/01 titanic
 28/01 chacal, seven years in tibet (jean jacques annaud), deconstructing harry
 31/01 u-turn (oliver stonne)
SSA - 06/02 - 09/03
 10/03 coquetel abertura de Tripoli (Canudos)
 13/03 contes immoraux, when we were kings
 15/03 restaurant le clocher, musée de l'ORANGERIE
 16/03 g.i.jane - ridley scott
 24/03 st michel, vosges, les rues, com ratao
 30/03  louvre com marcelo
 09/04 in and out - c/ kevin kline
 14/04 jack brown, will hunting
MURILINHO 21-28/04
la lune rose; COCONAS (terrini); BACARINI (confit, saumon); 
GERARD BESSON (tout)
 28/04 sphere
 04/05 pour le meilleur et le pire
</t>
      </text>
    </comment>
    <comment ref="BV33" authorId="1" shapeId="0">
      <text>
        <t>Marcos Bulcão:
Saltamos pela primeira vez de pára-quedas. Descrição do salto em arquivo doc.</t>
      </text>
    </comment>
    <comment ref="CA33" authorId="1" shapeId="0">
      <text>
        <t xml:space="preserve">Marcos Bulcão:
-----18/01: Fui de ônibus ─ cometa ─ para o Rio. Era uma 6a. Cheguei lá quase 7 da noite, peguei um taxi até o trabalho de Renê e de lá outro para a casa dele. 
Conversamos, experimentei coca pela primeira vez ─ fraca, segundo ele, de efeitos bem meeiros. Nao achei nada demais. Deu um certo speed, vontade de falar, coisa e tal, mas nada, nada demais mesmo. 
Renê ficou animado e me levou no Cicciolina, uma casa de strip em Copacabana. Ele já fora lá algumas vezes. Algumas meninas bonitas, nada excepcional. Renê estava adorando aquele lugar. Ele era confundido com o ator global Angelo Paes Leme, e as putas ficavam todas assanhadas. Ele se sentia o rei do lugar, rei das putas. Apelidei ele de RP. Ficamos lá algumas poucas horas e voltamos pra casa.
-----19/01: Acordamos tarde. Lúcio foi lá para trabalhar com Renê. Conversamos um pouco, aproveitei para correr na Lagoa. O percurso era perfeito para o meu preparo: 7,4km. Dei a volta completa em 43' (10,3km/h). À noite, fomos na Cobal, um lugar grande com vários bares e lojas (tem uma feira funcionando durante o dia): eu, Renê e Max (roteirista da Globo). Renê se foi cedo, eu e Max ficamos até as 4 e tanta da manhã.
-----20/01 (DOM): acordamos tarde. Marcelle (colega de trabalho de Renê) foi nos buscar para comermos um gnocci na casa de André e Irina. Gnocci verde e branco, molho delicioso. Ficamos uma parte da tarde lá. Marcelle nos deixou de volta. Mais conversa e comecei os estudos para a prova de Kuhn.
-----21/01: decidi ir à praia. Corri 15'+5' até a praia de Ipanema, andei até o arpoador, tirei várias fotos, voltei até o posto 9, corri o resto do percurso da lagoa (25') até em casa. Estudei (Kuhn) e à noitinha, Viviane me pegou e fomos jantar no Tanaka, um restô japonês na beira da Lagoa. Boa comida. Beijo na despedida.
-----22/01 (TER): fiquei mal nesse dia. Saí pra correr na lagoa, mas só corri a primeira metade (22'). Estava muito quente e resolvi nao forçar a barra. Andei o resto do percurso (28'). Estava indócil. Fui pro Shopping da Gávea tentar espairecer um pouco. Sentei no Mr. Coffee, pedi um vinho, petiscos e desandei a escrever. Voltei quase meia-noite pra casa.
-----23/01: Estudei bastante para compensar o dia anterior. De tardinha, fui correr na lagoa. Baixei meu tempo para 38'20 (11,6km/h). Pedimos comida chinesa em casa.
-----24/01: Mais um dia bom de estudos. Ainda Kuhn.
-----25/01: outro dia bem escroto. Telefonemas mil, minha mae ligou pra Rato, que disse que eu ia pra SSA. Mae liga pra Gracinha que liga pra Marta que me põe em xeque. Fico louco. Dou a volta na lagoa andando para tentar relaxar, descarregar. Depois, totalmente desconcentrado, vou pro Rio Sul espairecer. Como, dou uma volta, cinema, escritos e chopp no Habib's.
-----26/01 (SAB): Os pais de Renê estao na area. Declino dos convites e passo o dia estudando. Rendo bem. No final da tarde, corrida na lagoa: o recorde: fiz em 36' (12,4km/h).
-----27/01: Aniversário de Renê. Almoço com ele, os pais e avós no hotel onde estao hospedados (Luxor). Volto, estudo um pouco, corro na lagoa e volto para a pequena recepçao que Renê dá aos amigos. Cerveja e cachorro quente, estou de bom humor. Gilberto Braga dá o ar de suas graças lá, deixando Renê exultante.
-----28/01: Nao estou bem nesse dia, extremamente dividido, se vou ou nao a SSA. Decido nao ir. Ligo pra Marta, temos uma conversa sensacional. Ela está com o tom de voz ótimo, parece realmente estar se revolucionando. Me dissuade da desistência (nao vale a pena fazer ou deixar de fazer nada por sua causa, nesse momento). Acho que, no fim das contas, ela tem razao. Decido ir. Ando na lagoa nesse dia, muito quente. À noite, vamos no baixo gávea, regiao efervescente de bares e jovens. Realmente, este é o Rio de Janeiro: dezenas de mulheres lindas nos bares. Paulo, Celso e outro nos encontram lá. Dali, vamos para uma festa-disco, fraquíssima, pouca gente: boa apenas para tomar várias tequilas. Eu estava precisando de umas doses extras.
-----29/01 (TER): Estudo Popper, faço barra e paralela na lagoa. À noite, Viviane me pega para ir a Nuth, uma boate/casa de shows: vamos ver Gabriel o Pensador. Mulheres lindíssimas nesse local. Proporçao inacreditável de gatas. Ficamos mais uma vez, mas sem qualquer entusiasmo de minha parte. Simplesmente nao dá para descontrair, tao logo após o término com Marta. Acho que fico com ela mesmo só para aumentar a auto-estima, que está bem baixa.
-----30/01: Corrida na lagoa, meu prazo da prova está terminando. Estudo loucamente, termino a prova às 3 da manhã e ainda encontro forças para fazer o trabalho do Congresso. Nao durmo antes das 6 e meia, completamente aceso pelo guaraná tomado.
-----31/01 (QUI): Relax: terminei a porra da prova. Vou com Renê pro trabalho dele, para enviar as coisas todas via e-mail. Beleza. Para comemorar, vou à praia, sem tempo pra voltar pra casa. Corro na ida até Ipanema, novamente ando bastante de um lado pro outro, para exercício, para passar o tempo, para ver a paisagem. Volto de tardinha, corrida pela lagoa até em casa.
-----01/02: é o dia da partida. Mais uma vez praia, para despedida. Corrida na ida, corrida na volta. Telefone para Marta, estresse. Ela fica sabendo mais uma vez por terceiros. Minha mãe mais uma vez detona tudo. O sigilo realmente é dificil. Tenho minha cota de erro: tinha de ter contado a ela antes de qualquer coisa. Conversa tensa, fico num estresse só. Ela fala ter tido uma "revelação, decepção". Nao me conta qual foi. Diz nao ter nada a ver com SSA. Mas creio que sim. Oficialmente fica acertado que os pais saberao que estamos brigados: terminados, ela diz. Nao quer mais eufemismos. Talvez a revelaçao tenha sido mesmo a minha persistência na ida a SSA: se eu quisesse mesmo voltar, eu nao iria = esse pode bem ter sido o pensamento dela. Correto, num certo sentido. Errado, porém, noutro. Gostaria de voltar, mas nao sob qualquer condiçao. Precisava dela inteira, dengosa, amante. E isso eu nao tinha, como nao tinha esperanças (esse é o ponto chave) de reaver isso dela, nao logo, pelo menos. Por isso, corri o risco de ir a SSA, assumindo as consequencias. Só nao queria decepcioná-la, brigar com ela, interromper nosso diálogo e amizade. A ilusao talvez tenha sido a de que tudo isso era possível: término, SSA, ausência de grandes estresses mútuos. 
Falo também com meu pai, conto-lhe o principal, digo que nao quero ver minha mae (pela invasao de privacidade, etc). Taxi pro Galeao, vôo para SSA.
</t>
      </text>
    </comment>
    <comment ref="CF33" authorId="2" shapeId="0">
      <text>
        <t>Marcos:
Niver Porchat, 70 anos (dia 11)
Cinema
Marta quer voltar (?!?!?)
Niver de Guta e Érica, japonesa (dia 15)</t>
      </text>
    </comment>
    <comment ref="AS34" authorId="0" shapeId="0">
      <text>
        <t>Angelina:
lisboa, evora, 
sevilha, granada, peñiscola, barcelona, madrid, toledo,
escorial, salamanca, 
atravessamos serra estrela, coimbra, lisboa.</t>
      </text>
    </comment>
    <comment ref="BB34" authorId="1" shapeId="0">
      <text>
        <t>Marcos Bulcão:
Bom para espairecer, rever o pessoal. Fico com Sofia, no sótão. Morte de Diana no meu dia de partida. Festas, idas a escola, David.</t>
      </text>
    </comment>
    <comment ref="BC34" authorId="1" shapeId="0">
      <text>
        <t xml:space="preserve">Marcos Bulcão:
LONDRES - 26-31/8
Londres - school, revendo amigos, chez Sofia, tarde com Stuart
29/8 - TATE GALERY (wonderful!)
RODIN - O BEIJO
MARC CHAGAL - BOUQUET WITH FLYING LOVERS
Auguste Renoir, Edouard Vuillard (impressionism)
Carl Milles (sweden), Edgar Degas (sculptures)
Monet, Wassily Kandinsky, Henri Matisse
Georges Braque (1882-1963), Picasso, 
Paul Cézanne, Dod Procter (and its 'Morning')
Monzani, Francis Bacon (1909-1992), 
Michael Ayrton (the capture seven - seven deadly sins)
Alberto Giacometti (esculturas)
Max Ernst, Dali, Miró
René Magrite (the reckless sleeper - le dormeur téméraire)(1898-1967)
Fernand Léger
30/8 - Leiscester Square - green beautiful goddess; Sofia's party
31/8 - Diana morre, volta para Paris; 
</t>
      </text>
    </comment>
    <comment ref="BQ34" authorId="1" shapeId="0">
      <text>
        <t xml:space="preserve">Marcos Bulcão:
Ida para casamento de Bado, dia 24 de março.
</t>
      </text>
    </comment>
    <comment ref="CA34" authorId="1" shapeId="0">
      <text>
        <t xml:space="preserve">Marcos Bulcão:
-----01 fev: volta de taxi com Bado. Nos encontramos com fábio e rato, vamos pro posto dos namorados, tomamos algumas poucas. Bado se vai, nós seguimos pro aeroclube. 
Minha mae descobre que estou chegando em SSA, estresse. Volto pra casa, cumprimento normalmente, converso com meu pai, eles viajam (para Portugal)
-----02 fev: Iemanjá. Dou raça e acordo pro baba de Roninho. Participaçao bem razoavel. Apesar do cansaço e sono, consigo correr razoavelmente (graças às corridas na lagoa), fazer dois gols e boas jogadas. No futebol, preparo físico é fundamental. As pernas precisam poder obedecer às ordens. Vou pra casa de Rato, almoço lá. COnversa, dúvida: vou ou nao pra Lavagem de Ondina? Decido ir. Vou na porta e compro de cambistas por preço bom (30 = era 50). Estranho o ambiente. Muita mulher gata, e daí? Encontro depois de um tempo Eduardo Príncipe e Fábio. Bebemos bastante, dá pra se divertir bem. Queixo duas deusas, supostamente para me "aquecer" pro carnaval. Dois foras. Depois, vamos os tres lá pra casa. Muita cachaça, pizza. Fico nenê.
------03 fev (DOM): faxina leve em casa, corrida até casa de Ronei: piscina a tarde toda. Rato nos encontra lá. Depois, marcamos para assistir o Super Bowl lá em casa -- Bado, Fábio, ROnei e Greice. Jogaço: gol definidor nos ultimos segundos.
----04 fev: me tranco fora de casa. Tento Tatá, meu avô: nada. Pirica: cerveja e rango no shopping barra; caranguejo de sergipe com eduardo e ulisses e depois rogério. Fui dormir chez Pirica, que peidou a noite toda!! Foi bom comer água com Pirica, mas com isso perdi o esperado baba da 2a feira de Fabao. E logo quando eu estava preparado fisicamente para correr!!! Pena.
----05 fev (TER): pego com Pirica um chaveiro. 20 reais e 10 minutos depois, eu estava dentro de casa. Antes tivesse feito isso logo. Almoço chez avô. Compro pesos no Shopping Barra (Centauro). Maresia, quase depressao. Nao estou a fim de sair. ENTAO, piripaque de meu avô: provavelmente um min AVC (ou isquemia?).
----06 fev: almoço novamente com avô. casa, malhaçao, corrida. Bohemia com Van e Rato. Excelente conversa, muita cachaça. Tiramos fotos juntos.
----07 fev (QUI): carnaval começa hoje, dia do ALCOOLMAN. Conseguimos as LPs de ultima hora, beleza. Casa de Pirica, pego a camisa, almoço chez avô, maresia e barra. Começo bem a noite, animado. Receptividade no olhar de uma loira gata. Está cedo, demoro para agir. Quando decido agir, ela está conversando com outro. Me desencanto e me ponho a refletir: nao quero uma que estava há pouco com outro! Esse é o grande erro: a reflexao me mina completamente: o que eu quero, preciso, é alguém especial, que me veja como especial. Só que é carnaval, nao é o momento de desejar isso. Fudeu. Saudade de Tita, fragilidade: choro. Saio e volto pra casa. Fico pensando: se tivesse ficado com aquela menina já nos primeiros momentos da noite, tudo poderia ter sido diferente na sequencia... da noite e do carnaval inteiro...
----08 fev: acompanhamos o micro-trio, com ratao e aids. De noite, camarote no Caesar. Fico um tempinho, acho uma merda e vou pra casa cedo.
----09 fev (SAB): hoje vai ser diferente! Me "programo" para me armar. Saio depois de Fábio (que foi pro camarote) para inaugurar o placar. Logo na saída, vejo uma menina bonita, Sâmia (Maceió), que me dá mole. Estou ainda de cara, deixo pra lá e continuo andando em direçao ao Espanhol. Ela, coincidentemente talvez, vai atrás de mim. Nao deixo passar esse acaso e sorte. Ficamos lado a lado para a Timbalada passar. Puxo conversa, pego. Andamos juntos ainda até o Espanhol, digo que marquei 10h30 com minha galera. Vou pro Caesar.
Queixo mais uma, linda, tomo o fora. Fábio e Manuela vao pra parte VIP, dou um tempo e me pico. ANtes de ir pra casa, penso em dar um pulo no Espanhol, ver se encontro alguém. No meio do caminho, está o trio de Daniela (sem cordas). Dou muita raça e consigo subir. Encontro Marcelo, conversamos, etc. Avisto Michelle (gauchinha do sorriso lindo), encosto, começo a conversar, termina o trio, saltamos, levo-a em casa de taxi (Pituba), ficamos, trocamos telefone e volto. Pela primeira vez, chego em casa depois de Fábio.
----10 fev (DOM): o aquecimento do sabado foi bom e o domingo?? Domingo é dia de Camaleao!! Mas nao estava num ritmo afinal tao bom. Exigente acima da média, me desestimulava por qualquer coisa. Meninas bonitas perdiam o encanto quando avistava suas pernas flácidas... Mas é carnaval, porra!?! O encontro precoce com Sandrinha também me desconcentra da minha "missao". Fico com ela tempo o bastante para crer que nao preciso caçar ninguém: estava bom daquele jeito. A vigilância potencial dela, a lembrança permanente de Tita sem dúvida me inibiam.  Curti assim a música, a lança, a praça Castro Alves. Estava já muito bom. PS: peguei uma bêbada amiga de Lupita: ela me agarrou, me deu um beijo, e só. Pós Praça Castro Alves, o ápice, já queria ir embora. Na primeira brecha, peguei a pipoca e voltei pra casa. 
----11 fev: A segunda feira foi parecida, só que a Castro Alves foi demais!!! Valeu demais!!!
----12 fev: A terça foi pior. Já mais desanimado, convencido de que nao precisava ou queria pegar ninguém, só esperava mesmo a Castro Alves. Mas Bel deu a louca, passou batido e tornou a terça no pior dia, disparado. Peguei a pipoca de Beto Jamaica e Ivete Sangalo. A pipoca ainda é o que há. Mas era ultimo dia, e nao quis voltar pra casa direto. Fui pra casa de Rato. Lá estava já Aids. Tomei banho, bati rango, chegou Sandrinha  (que carma!!) Fomos para a ladeira do Espanhol, curtimos um pouco a pipoca, bateu maresia em Ratao, nos despedimos. Eu ia pra casa, mas reencontrei a pipoca de Gil e com ela fui até o final. Cheguei em casa mais de 3 da manhã, pela segunda vez depois de Fábio.
-----13 fev (QUA): Quarta de cinzas é maresia geral. Nao saímos de casa. Rato e PL foram lá pra casa, Lupita depois se juntou brevemente a nós. Piscina, sol, conversa e risada. Depois um chinezinho para matar a fome.
-----14 fev (QUI): No dia anterior, havia falado com Michelle. Marcamos de nos encontrar. A idéia era: Pelô (visitar e tirar fotos), Mercado Modelo (trocar boneca quebrada) e praia. Demoramos muito nas duas primeiras etapas (um almoço pra lá de demorado no pelourinho...) e acabamos indo pro Porto da Barra. O teste do biquini nao lhe é muito favorável. Acarajé em Regina (maravilhoso, mais uma vez). Dou cobertura a Marcelo e Joana lá em Ondina. Casa de Rato e vou buscar pais no aeroporto.
-----15 fev (SEX): almoço chez Tatá, vários telefonemas, Casa Amarela (Jd Brasil) com Dani, Van, Sandra e Rato. Foi sensacional. Dani deu um "show" inesquecivel na primeira meia hora. Ela estava atacadíssima. O resto da noite nao foi menos bom. Muito gim tônica, fiquei em águas como há muito tempo nao ficava. E olhe que a noite terminou pouco antes das duas... Às 5, pesadelo: acordar para levar meus pais no aeroporto (ida a Sampa para operaçao de meu pai = baso celular).
-----16 fev: do aeroporto, fui direto pro Encontro. A idéia era jogar tênis com Bado, mas acabei dormindo demais. Só ficou a segunda parte, a ida à praia com a galera do dia anterior: Sandra, Dani, Van e Rato. A praia também foi 10. Comemos muito, tudo a que tinhamos direito: lambreta, caranguejo, peixe frito e queijo coalho. Depois da praia, paramos em Cira, onde comemos, claro, acarajé. Aí encontramos Fábio. Depois, Van e Sandra foram embora, rumamos pro Caranguejo de Sergipe, onde estavam Aids e Paulinho Laborda. Mais comida: quibe, queijo coalho, escondidinho. Mais cerveja e rosca. 
-----17 fev: ultimo dia. Acordei 9: a) arrumei mala, b) fui chez Gracinha e Luiz, conversamos legal; c) almocei com avô e Nair; d) piscina com Bado, Rato, Fábio e Ronei; e) Fábio e Rato me levaram no aeroporto. 
Tentei fazer Tita me pegar no aeroporto, mas nao rolou. Cheguei em Sampa numa ansiedade só...
</t>
      </text>
    </comment>
    <comment ref="CF34" authorId="2" shapeId="0">
      <text>
        <t xml:space="preserve">Marcos:
Mais problemas com micro, o estudo está difícil. Dificuldade de concentração, falta de vontade geral. Questionamentos globais sobre planos, vida, afetividade... Realmente não estou passando por uma fase muito feliz.
Onde morar, voltar com Marta, assumir Érica e novo relacionamento, ir pra NY, isolar-me? E doutorado, cadê a energia, vontade, sentido?
==========================================================================
Mudança pro Encontro, dia 25 jan
Renê aqui: período dia 01 a 16 fevereiro
                freenight e inesquecível strip de silvana ou vanusa key (dia 07)
               foi um bom período. boas conversas, estímulo mútuo ao estudo. O meu teria rendido ainda mais, nao
               estivesse eu tao viciado em praticar meu tênis. Mesmo assim, já é o melhor fevereiro, ever.
==========================================================================
Primeiras aulas de tênis, com Gastão, no clube do Encontro
Efeito rápido das aulas: Bado, que ganhava todas com facilidade, machuca o dedo. Enquanto ele se recupera, eu tomo algumas aulas. Quando ele faz sua reapariçao, já venço por 7X5 (mas o dedo ainda atrapalha algumas bolas e afeta a confiança nos golpes). Alguns dias depois, já com o dedo um pouco melhor, ele me vence no tie break. 
Domingo, 16, Bado com o dedo quase bom, venço por 6X4. Terça, 18, venço por 7X6 (7/3)(na Winner). Domingo, 23, venço por 6X4. São quatro vitórias nos ultimos cinco confrontos de sets (ele me venceu em dois mini confrontos 4X2, 3X1). Venci também Fabao numa melhor de 5 (3X1). Estou realmente viciado.
===========================================================================
Depois de mais de um mês, reato contato com Dani Angel, e finalmente saímos no domingo, 16. Barzinho, Tijuana, e Del Rey. 
===========================================================================
Tres dias seguidos de médico (17, 18, 19): eco, prova de esforço, sangue, etc. Parece tudo bem.
Lavagem de Ondina, sábado, 22: armação polêmica: fico com Simone, ex-colega de medicina de Marta.
===========================================================================
Carnaval fraco: poucas armações. Viviane salva, mais uma vez, o ritmo. Duas visitas lá em casa, provo e aprovo seus novos seios turbinados.
Dani Angel, despedida no Encontro.
</t>
      </text>
    </comment>
    <comment ref="AW35" authorId="1" shapeId="0">
      <text>
        <t>Marcos Bulcão:
Chegada impactante. Falo com Tereza: penso: o que estou fazendo exatamente aqui? O "exatamente" nunca ganharia resposta. Mas a sucessao de dúvidas e perguntas e respostas tentativas, buscas constantes, descobertas fizeram de mim parte do que sou hoje. Lá, memórias indeléveis do explorador, algo destemido embora também frágil. Parte da minha natureza se revelara e se encravara na minha pele, tal como uma cicatriz aberta.
Poemas de Frost se junta ao de Borges para guiar uma vida.
Em Londres, demora para adaptaçao. Nenhum amigo ou namorada, apenas alguns conhecidos. Destaque para os colombianos liderados por JOhnny. Com eles batia babas que pareciam guerras para mim, tamanha a fúria e determinaçao com que jogava. Viajamos juntos para o interior: nao lembro exatamente do roteiro: primeiramente sul de Londres: Brighton (litorânea, com praia de pedregulhos, jogos eletrônicos), Plymouth (de passagem), Cornwall (costa oeste, belas praias, mas fazia frio). Todas minhas fotos se perderam, acabei nao tirando cópia das deles. É uma viagem quase perdida na memória.
Depois, aterrissagem em Camden. Demora de integraçao, mas depois a vida fica perto da perfeiçao. PJ e Eva, Alex e André, babas memoráveis. Julia. David e suas conversas que até hoje ecoam na minha cabeça. Um dos grandes personagens da minha vida. Dilema na ida para Paris. Acabei indo. O que teria acontecido, tivesse eu ficado? Namoro sério com Julia, volta rápida pro Brasil e do Brasil, para matar as saudades e aprender francês. Iria ela comigo? Meu inglês estaria perfeito hoje... meu destino completamente diferente, presumo. Só nao sei se para melhor. Quem saberia?
Petit Affair com:
Ruth israelense (pitoque); Niina finlandesa: dois ou tres fins de semana, o que conduziria à minha viagem à Finlândia.
Moema: beijos na festinha brasileira dos gaúchos.</t>
      </text>
    </comment>
    <comment ref="BB35" authorId="1" shapeId="0">
      <text>
        <t>Marcos Bulcão:
Entrevista, aceitação. Outubro é mês de cinema: 50 filmes. Novembro é de estudo moderado (apenas 100 horas). Dezembro vai louco de estudos até dia 18. Entremeios, Amsterdam e Lucerne.</t>
      </text>
    </comment>
    <comment ref="BC35" authorId="1" shapeId="0">
      <text>
        <t xml:space="preserve">Marcos Bulcão:
TIOS IVO E ISA, HENRIQUE E BEL EM PARIS - 31/8-05/9
31/8 - jantar com Henrique e Cia (em St. Michel)
02/9 - jantar Marroquino - perto de Montparnasse  
03/9 - jantar no "La Lune Rousse" (?). Regiao de St. Michel.
04/9 - Versailles - alguns bonitos quartos, o jardim, alguns quadros lindíssimos, móveis e 
 objetos... Mas, no geral, nao é algo que me encante tanto. Jantar em St. Michel
 NUNCA SE VIU TANTAS MULHERES LINDAS SOLTAS NAS RUAS. UM ENCANTO DESESPERADOR.
05/9(sex)- crepe no shopping da Tour Montparnasse. 
----------------------
AVÔ EM PARIS - 06-15/9
----------------------
07/9 - Les Jardins (rue St Benoit). Café de Flore à noite.
08/9 - Deux Magots; LE PETIT COUR (ótimo ambiente, comida, vinho).  
09/9 - (ao lado do Les Jardins (rue St Benoit). Jantar no "Le Coucher".
 - CABARET LA BELLE EPOQUE. Fraco show, algumas mulheres lindíssimas. Divertido no geral.
10/9 - L'AMBROISIE (9, Place des Vosges). HÁ O QUE DIZER? Talvez apenas o que já foi dito.
 "Glorifications des biens de la nature, joie, varieté, art et science, saveur et parfum, 
 musique du gout, ilustre tradition française. La cuisine française plait aus couers
 fraternels et aux gens d'esprit. Applaudi de l'univers fin, le club des cent qui la
 defend rend hommage a Monsieur Bernard Pacaud". Paris, 17/2/87.
   Le Président: Miterrand.
11/9 - Bistro Romaine
13/9 - Le Petit Zinc (rue St Benoit) - Mignon de Veau aux Cerises Rôtis (excelent)
 - CRAZY HORSE - TROP AMERICAIN
14/9 - Le Petit Zinc - Saumon fumé norvégien
15/9 - Le Petit Zinc
 - COUPE
=====================================================================
3/6 26-31/08 - LONDRES - lost world, conspiracy theory, addicts to love
 A VIDA PARISIENSE COMEÇA AQUI...
 16/09 (MARDI) - primeiro dia de aula
1/2 17/09  - contact, Relais Odeon (queijos e vinho)
4/3 18/09  - volcano, scream, pour une nuit
 22/09  - FERNAND LEGER (POMPIDOU); MAM (BEN VAUTIER - L'ORGUEIL)
05/08 23/09  - LE CERCLE PARFAIT (ADEMIR KENOVIC)
06/17 02/10  - le mariage de mon meilleur ami
07/18 03/10  - air force one
 05/10  - L'ÉTRANGER (CAMUS)
08/21 06/10  - play it again sam (w. allen)
10/22 07/10  - terra estrangeira; WIVES AND HUSBANDS
 09/10  - WAGNER (PARSIFAL)
12/25 10/10  - breakdown; BROADWAY DANNY ROSE
13/26 11/10  - EL CHE
14/28 13/10  - THE PURPLE ROSE OF CAIRO
17/29 14/10  - romeo+juliet, HAMLET, au-delà du bien et du mal
20/30 15/10  - mars attacks, monthy pithon - holy graal, reservoir dogs
22/31 16/10  - affinités électives, DE BEAUX LENDEMAINS
26/32 17/10  - WITTGENSTEIN, la verité si je mens, FREEWAY, LA CONFIDENTIEL
29/33 18/10  - THE PEOPLE RAIN, ONE FROM THE HEART, PEGGY SUE GET MARRIED
34/34 19/10  - everything about sex, nao matarás, METROPOLIS, 120 dias de sodoma, eraserhead
38/35 20/10  - take the money and run, DECAMERON, LABIRINTO DAS PAIXOES, WILD AT HEART
 20/10  - MANIFESTO COMUNISTA  
42/36 21/10  - STARDUST MEMORIES, annie hall, PEPI LUCI BOM, dune
46/37 22/10  - MIDSUMMER'S NIGHT SEX COMEDY, THE FULL MONTY, USUAL SUSPECTS, K
 23/10  - P.L. ASSOUN
48/39 24/10  - lost highway, secretos del corazon
53/40 25/10  - SCARFACE, QU'EST-CE QUE LES NUAGES, LA RICOTTA, LA SÉQUECE DE LA FLEUR DU PAPIER, LA TERRE VUE DE LOIN (COURTES DE PASOLINI)
 25/10  - DINER CHEZ ANGELA
54/41 26/10  - FEMMES... CRISE DE NERF
55/43 28/10  - twin peaks
 30/10  - scala (rivoli), champs elysées
-----------------
OCTOBRE: 50 FILMS
-----------------
56/49 03/11  - CARNE TREMULA
 05/11  - PSG 3x1 BAYERN DE MUNICH
 06/11  - transfert du canape - chez vitoria - ulisses
57/58 12/11  - mr.bean
58/61 15/11  - bananas
</t>
      </text>
    </comment>
    <comment ref="BL35" authorId="1" shapeId="0">
      <text>
        <t xml:space="preserve">Marcos Bulcão:
Morada de 1999 no Ogun, na Rua João Pondé, 124/201, a partir de 16 de março.
</t>
      </text>
    </comment>
    <comment ref="BV35" authorId="1" shapeId="0">
      <text>
        <t>Marcos Bulcão:
Descrição detalhada mais abaixo</t>
      </text>
    </comment>
    <comment ref="CA35" authorId="1" shapeId="0">
      <text>
        <t xml:space="preserve">Marcos Bulcão:
17 fev:  Cheguei em Sampa numa ansiedade só. Era tarde, não haveria tempo nem mesmo para falar com Tita ao telefone. Queria mesmo era encontrar com ela, olhar-lhe nos olhos, sei lá, cair no seu colo, chorar, declarar-me, implorar-lhe e outras coisas que fazem os amantes e os culpados de alguma coisa.
Cheguei no apê (JEL 712/510) e o aperto no peito foi forte: a casa estava vazia, silenciosa. Fazia um mês quase exato que eu havia partido, mas retornava agora sob outra condição. Antes, era um tempo, agora tudo parecia mais definitivo. A casa parecia nao ser mais minha, parecia nao ser mais de ninguém. Algo como um limbo, onde se fica antes de se ser transferido para o lugar definitivo. Assim me parecia esse apê: nao pertencia mais nem a mim, nem a Marta, só esperava por nossas respectivas mudanças.
-----------------
18 fev: missa inaugural do ano letivo no Instituto Sao Boaventura, onde lecionarei Lógica. Chegamos 9h15, 15 minutos atrasados. Fui apresentado ao bispo, tomamos café, e fomos embora. 
Fui pro Flat Opera. Almocei com meus pais e de lá rumamos para a clínica onde ele seria operado. Chegamos 13h30, saímos às 18h00. A operaçao transcorreu bem.
À noite, à espera do jantar, uma conversa puxa outra e entao teve lugar a maior LAVAGEM DE ROUPA SUJA da história. Tres horas de conversa tensa, mas com resultado bem proveitoso: confissoes quase completas de minha mae. Nao que isso vá mudar muita coisa na cabeça e comportamentos dela no futuro... Mas as bases foram lançadas, nem que seja para usá-las depois para posterior acusaçao, puniçao, demoliçao. Enfim, qualquer coisa que tenha a ver com rancores mal resolvidos...
------
19 fev: acordei, tomei pé nos bancos e contas. Fomos almoçar juntos. Clima um pouco tenso, melhorou à medida que o tempo transcorreu. Almoçamos no flat, cochilei um pouco, fomos trocar curativo de meu pai, voltamos e fomos jantar no Ráscal.
------
20 fev: as atividades começam a retomar curso. Consegui ajustar as contas da PARTILHA e recomecei a estudar. Nao revisei a prova de Chiappin, é verdade. Mas imprimi a prova e o trabalho, deixando-os prontos para entregar na USP. Além disso, soube da aprovaçao do meu trabalho no Congresso e já retrabalhei o resumo, colocando-o em condiçoes de ser publicado nos anais. 
Saí com meu pai mais uma vez para fazer o curativo e aproveitei que estava na rua para ir a USP. Fim da novela Chiappin.
</t>
      </text>
    </comment>
    <comment ref="CF35" authorId="2" shapeId="0">
      <text>
        <t xml:space="preserve">Marcos:
Volta a Sampa, encontros filosóficos, grupo de estudo, estudo, retomada das aulas pros seminaristas: agora dou Antropologia Filosófica, Hobbes so far.
Micro quebra por duas semanas. 
Pri Mineira ainda na ativa (chez elle). Ericka japa (chez moi, JM). 
Me mudo pra Joao Moura, 1119/32B, Flat Richilieu. (dia 20/03: ate 14/07)
3061-3900 (r. 297). 3083-0611 (nova linha).
</t>
      </text>
    </comment>
    <comment ref="AA36" authorId="3" shapeId="0">
      <text>
        <t>MB:
David's memorial</t>
      </text>
    </comment>
    <comment ref="AW36" authorId="1" shapeId="0">
      <text>
        <t>Marcos Bulcão:
Destaque para os colombianos liderados por Johnny. 
Com eles batia babas que pareciam guerras para mim, tamanha a fúria e determinaçao com que jogava. 
Viajamos juntos para o interior: nao lembro exatamente do roteiro: primeiramente sul de Londres: 
Brighton (litorânea, com praia de pedregulhos, jogos eletrônicos), Plymouth (de passagem), 
Cornwall (NewQuay? - belas praias, mas fazia frio). 
Todas minhas fotos se perderam, acabei nao tirando cópia das deles. 
É uma viagem quase perdida na memória.
============================
Nao sei se foram 2 ou 3 dias.
Nao lembro as cidades onde dormimos.
1a noite em Brighton ?!
2a noite em Cornwall, but where?</t>
      </text>
    </comment>
    <comment ref="BB36" authorId="1" shapeId="0">
      <text>
        <t xml:space="preserve">Marcos Bulcão:
Fui a Amsterdam sob pretexto da companhia de Marcelo, um fotógrafo amigo de Taiane (uma brasileira fazendo DEA como eu) e Adriana (amiga do fotógrafo). Eu cheguei primeiro, um dia antes. Conheci Angel e Stéphanie. Cogumelos, que experiência!!
</t>
      </text>
    </comment>
    <comment ref="BG36" authorId="1" shapeId="0">
      <text>
        <t xml:space="preserve">Marcos Bulcão:
Período louco de estudos, leituras de Lacan, principalmente, resenhas, escrita. Malhação duas vezes por semana, cineminha, museus e só. Vida social praticamente nula. Telefonemas para Vitória, saídas breves com Thaty e curitibanos.
</t>
      </text>
    </comment>
    <comment ref="BQ36" authorId="1" shapeId="0">
      <text>
        <t xml:space="preserve">Marcos Bulcão:
Viagem deliciosa. Fomos de carro e ficamos hospedados no apto de tio Carlinhos, na N. Sra de Copacabana. Fugindo do frio de Sampa, pegamos tempo maravilhoso, com direito a praia. Dafne foi conosco, mas não pôde aproveitar tanto porque não tinha completado as vacinas. O ponto alto foi o pulo de asa delta e subida em Pedra Bonita, de onde se pode ver toda a Barra da Tijuca, Sao Conrado e adjacências. Vista realmente belíssima. Visitamos ainda o Pão de Açúcar, cuja vista está longe de ser desprezível. Ao contrário, diz sem palavras por que o Rio é uma das cidades mais lindas do planeta. Ao final da noite, um delicioso fondue, com vários tipos de queijos e pães, regado a vinho branco.
</t>
      </text>
    </comment>
    <comment ref="CA36" authorId="1" shapeId="0">
      <text>
        <t xml:space="preserve">Marcos Bulcão:
Porchat me convidou para passar uns dias em sua casa, em Guaecá.
Saí de Sampa às 17, cheguei lá às 20h10. Jantamos (camarao na moranga) e ficamos na varanda, eu e Porchat, conversando e tomando vinho.
Fomos dormir cerca de 1h30.
Dia seguinte (26, terça), acordei bem tarde (11h30: estava bem cansado da semana anterior). Tomei meu café sozinho (todos já haviam acordado) e fomos para a praia. Ficamos lá os 3, mas logo Ieda voltou à casa. Eu e Porchat conversamos sobre coisas gerais, sobre ceticismo e meu artigo do congresso.
Caipirosca e amendoins, depois almoço (feijoada). Ieda foi à cidade (Sao Sebastiao), enquanto nós passamos a tarde inteira conversando.
Jantar, partida de buraco, mais conversa.
Quarta, 27. Acordei às 10h30 e acompanhei Porchat até a cidade, onde ele tinha certos afazeres -- banco, supermercado, comprar jornal. Voltamos, praia, almoço, conversa, buraco. À noite, fomos comer uma pizza na cidade (Casa Grande). Um sorvetinho e volta. Mais conversa e histórias.
Quinta, 28. Último dia. Fui acordado às 10. Café, praia. O mar estava divino, uma piscina. Almoço, arrumaçao, estrada. Cheguei em Sampa 17h20. Espero que nao seja multado (dia de rodizio).
1) Porchat ganhou bolsa na França para estudar grego. Transformou sua bolsa -- a pedido de Goldschimidt -- e fez sua graduaçao de filosofia.  Como já era formado em Letras, dispensou todas as optativas, o que lhe permitiu formar-se em 2 anos. Sua graduação foi em Rennes.
2) Também por intermédio de Goldschimidt (e Granger), Porchat foi aceito na École Normal, privilégio concedido a apenas 10 estrangeiros por ano, 2 dos quais de filosofia. Seu colega de quarto, Carmona (?), foi uma das duas pessoas no século (até entao) a ter entrado de primeira na École (o outro tinha sido Merleau Ponty). Porchat lá ficou 2 anos. Um como estudante interno, com direito a quarto e o resto. O outro como visitante, com direito a usar a biblioteca.
a) École Normal e Politechinique (vinculado a Escola Militar): seus estudantes eram rivais. Certa vez, estudantes da École invadiram a Poli e cimentaram todas as fechaduras dos alojamentos, mantendo-os presos durante horas. Os estudantes da Poli se vingaram. Roubaram um canhao e bombardearam o pátio da École.
b) estudantes da École sequestraram um esqueleto de girafa do museu, colocaram um quepe e a faixa presidencial  e foram fazer um protesto nas ruas, com objetivo de ridicularizar o Gen. De Gaulle, que era bem alto.  A polícia cercou a galera, a maioria fugiu, mas nao Carmona, que foi detido, juntamente com a girafa. A girafa, muito alta, nao pode entrar na delegacia e ficou do lado de fora, chamando atençao e fazendo parar gente. O delegado entao interroga Carmona, perguntando-lhe se ele achava certo sair às ruas e ridicularizar o General, que isso era grave ofensa. Carmona respondeu: mas o que fez o senhor pensar no Gen. De Gaulle? O delegado, percebendo que nao podia confessar a associaçao feita (e óbvia), caiu na gargalhada e resolveu soltá-lo.
c) Jean Hypollite era o diretor (geral ou da filosofia) da École nessa época.
d) O quarto do Diretor (Prin...etc)  tinha duas portas como saída: para o pátio interno da École e para outro corredor. Certa vez, os estudantes bloquearam as duas portas, construindo paredes de tijolos e cimento na madrugada. Todos os estudantes se reuniram pela manhã para aguardar o grande momento. Ouviram entao o diretor abrir a primeira porta, entao a segunda: todos caíram na gargalhada. Detalhe: nos muros construídos, na parte que dava para o interior do quarto eles colaram uma citação de Pascal -- especialidade do diretor -- ironizando o fato (CHECAR A CITAÇAO).
3) Certa vez, Porchat e amigos compraram um carro e viajaram pela Itália até a Grécia. Aí passaram alguns dias, Porchat decidiu ficar. Pagou sua cota de gasolina da viagem de volta e ficou. Comprou sua passagem de navio de volta para dali a um mês. Seu cálculo das finanças foi mal feito, e o dinheiro acabou praticamente 10 dias antes da data marcada. Dormiu na praia alguns dias (acordado invariavelmente às 5 da manhã pelo sol forte matutino), racionava violentamente a comida (um cafezinho pela manhã, sanduíche meio dia, fruta ou outro à noite, pex). Emagreceu vários quilos com esse regime de fome. Detalhe: ele lá ficou sem bagagem. Sua única roupa era a do corpo (!?!) Entao, passados vários dias, sua roupa estava imunda, sua barba gigantesca, a camisa havia perdido alguns botoes e sua sandália se destruído. Porchat passou a andar sujo e mal trapilho, descalço, como um mendigo. Um dia, encontrou um amigo francês que quase nao o reconheceu, dado o seu estado. Ele estava acompanhado de duas amigas, gregas, meio "patricinhas". O amigo francês teve a ideia de apresentar Porchat como um filósofo existencialista. As meninas adoraram o fato, convidaram-no para fazer um lanche (muito bem vindo, por sinal). Mantiveram a pequena farsa, o amigo francês servindo de intérprete entre Porchat e as meninas. 
4) Porchat, por intermédio de um amigo, acabou se incluindo numa delegaçao de estudantes que ia para a Uniao Soviética. Era 1957. O gancho era que ele, Porchat, era professor secundário de grego (a delegaçao era de professores, parece = CHECAR).
a) Passou uns 15 dias na Rússia, participou de um baile no Kremlim.
b) Na época, oficialmente, um dolar valia 8 rublos, mas no câmbio negro valia 28 rublos. Todos faziam câmbio negro, em geral com os chineses da própria delegação. A tática era andar pelos alojamentos ostensivamente com dolares, e os chineses fatalmetne fariam contato, oferecendo para cambiar. Porchat fez isso, mas quem se aproximou dele foi um russo, perguntando-lhe se queria fazer câmbio. Porchat respondeu que sim, e sairam andando. Mas o russo percebeu que duas pessoas os estavam seguindo. O russo propôs que pegassem um taxi e fizessem a troca dentro do taxi. Porchat aceitou e assim fizeram. 
Mas, durante o trajeto, perceberam que os dois homens ainda os estavam seguindo. O russo ficou entao apavorado, apavorando entao e naturalmente Porchat (medo de ser preso na Rússia por "fraude cambial"!). Desfez imediatamente a troca de dolares e rublos, mandou o taxi parar e entraram no metrô. O outro carro parou, e os dois homens continuaram atrás. Eles entraram num carro do metrô, os homens atrás. Até que o russo lançou a hipótese tranquilizadora (para Porchat). Por que eles nao os tinham abordado ainda? Resposta provável: nao queriam incomodar os estudantes desse "congresso/forum" (?). Eles estavam esperando que o russo e Porchat se separassem para prender/interrogar o russo. Dito e feito. O russo saltou uma estaçao antes e os homens foram atrás dele. Porchat nunca mais os viu e respirou aliviado. Fez mais tarde a troca com os chineses.
c) Teve a chance de passar quase um mês na Polônia, com direito a incursoes pelo interior do país. Conversou com várias pessoas. Disse que nenhuma delas gostava do regime comunista ou se intitulava comunista. Nao queriam, é certo, voltar aos tempos anteriores de miséria expandida, mas nao gostavam tampouco do regime comunista.
5) Porchat e Ieda queriam ter 3 ou 4 filhos. Tiveram Patrícia. Depois foram para os EUA, Ieda fez mestrado, etc. Decidiram ter outro filho. Nasceu entao uma menina, Sílvia. Porém, ela nasceu com problemas, meio condenada. Dois dias depois de nascida, teve convulsoes e mais outros cinco dias e morreu. Todos ficaram abaladíssimos, naturalmente. Ieda mais do que todos. Nao quis ver a criança, uma vez que soube das convulsoes e da morte certa. Nao foi ao enterro. Ficou um mês trancada no quarto, onde só podiam entrar Porchat, Patrícia e a mãe. Um mês depois, saiu do quarto e retomou suas atividades normais. Proibiu que se falasse no assunto, do qual só foi capaz de falar mais de 3 anos depois. Mesmo assim, é um assunto que nao é tocado nem puxado.
6) 4 anos mais tarde (Patrícia contava uns 14 anos de idade), eles estavam no Rio. Patrícia teve dores abdominais, vômitos. Um médico diagnosticou como colite e receitou o tratamento para tal. Nao melhorou com os dias, Patrícia foi ficando mais fraca, os mesmo sintomas. O médico manteve, alegou até mesmo que ela era meio "mimada". Uns 4 ou 5 dias depois, Porchat, preocupado, quis voltar a Sao Paulo, onde veriam um médico tao logo chegassem. Chegou a comprar as passagens. Patrícia, no entanto, disse que nao queria viajar, que estava fraca, que queria ficar ali. Porchat ligou para um médico amigo (santista como ele) e o consultou, apenas para respaldá-lo na sua decisao. O médico, no entanto, disse para seguir o que Patrícia pedia. "Se ela pede para ficar, é porque o corpo dela está pedindo para ficar". Fiquem, mas vao a um bom hospital aí no Rio mesmo imediatamente. Pois bem, levaram, tiraram uma chapa do abdomen dela, que apresentou uma mancha escura generalizada. Era preciso abrir. Quando abriram, viram o estrago da demora: tudo estava tomado pelo apêndice supurado: o intestino tinha sido completamente contaminado, chegando a parar de funcionar; o apêndice estava gangrenado. Operaram, limparam, etc, numa operaçao delicada, de horas. Concluída a operaçao, o médico adverte: a operaçao foi bem sucedida, mas a situaçao é grave, e só saberei se ela viverá nos próximos dias. O intestino está comprometido e ele precisa voltar a funcionar nos proximos dias. Caso contrário, ela fatalmente morre. Enquanto isso, a evacuação era feita por uma sonda colocada diretametne no estomago. O médico disse para ficarem atentos a se Patrícia tinha gases, pois isso seria indicativo de que o intestino voltara a funcionar. Todos os dias entao Porchat e Ieda perguntavam a Patrícia, assim como o médico, se ela tinha gases. Ela nao entendia a razao de tanto interesse pelos seus puns, nem lhe tinha sido contado a gravidade de seu caso, inclusive risco grande de morte. Dois ou tres dias após a operaçao, ela diz finalmente que estava sentindo os tais benditos gases. Porchat e Ieda choraram com a notícia. Nunca um peido foi tao comemorado! De fato, era o sinal que faltava. O intestino voltou a funcionar, ela passou mais 15 dias no hospital e teve alta. Vencera a infecçao e a imbecilidade do outro médico.
Duas semanas depois, voltou a vomitar e ter febre: uma recaída. Nova internaçao, ansiedade se seria preciso nova operaçao, mas nao. Desta vez, recuperaçao do próprio organismo. E entao a cura foi total.
7) Porchat teve tuberculose aos 18 anos. Passou um ano em Campos do Jordao, se tratando. Curou-se, abusou e voltou a apresentar o quadro, passando mais outro ano em Campos.
a) dois anos depois, teve tuberculose no pé (?!), que foi diagnosticada tardiamente, após formar um grande calombo no pé. Fez-se a incisao cirúrgica e extirpou-se-o. Tivesse estourado, seria tuberculose generalizada = morte.
8) Pai de Porchat era filho de fazendeiro. O avô morreu, roubaram a avó, e o pai de Porchat ficou pobre. Nao tinha muitos estudos. 
a) tino comercial aguçado: comprava terrenos, construía, vendia. Chegou a ter 53 casas. Um tio de Porchat propôs-lhe sociedade no ramo de tecidos. Os sócios lhe roubaram, endividaram-no, deixaram-no a zero. O pai de Porchat teve de começar tudo de novo e conseguiu se reerguer. Ironicamente, um japones propos-lhe nova sociedade, também no ramo de tecidos. A história se repetiu e foi a zero, mais uma vez. Conseguiu reerguer-se novamente, desta vez com menor porte. E depois perdeu boa parte do patrimonio ao vender tudo e colocar na caderneta de poupança, em época de inflação alta, pensando ganhar dinheiro com a correçao monetária. Erro grave. Acabou reduzido ao apto em que morava e mais uma loja, que alugava para dar-lhe o sustento, mas que nao chegava para tanto. Porchat secretamente o ajudava, dando dinheiro à sua segunda companheira (a mae de Porchat havia morrido anos antes).
</t>
      </text>
    </comment>
    <comment ref="CF36" authorId="4" shapeId="0">
      <text>
        <t>mb:
25 anos CLE</t>
      </text>
    </comment>
    <comment ref="BG37" authorId="1" shapeId="0">
      <text>
        <t>Marcos Bulcão:
Primeira visita a Ratão. A amizade se formava mediante cartas. Dias bons para espairecer. Londres era meu recanto de fuga do dia a dia meio massacrante de solidao em Paris.</t>
      </text>
    </comment>
    <comment ref="BH37" authorId="1" shapeId="0">
      <text>
        <t xml:space="preserve">Marcos Bulcão:
LONDRES 26/05 - 02/06 
hayward galery - anish karpoon
british library - newton, galileo, darwin...
globe theatre - as you like it
st paul's cathedral
photograph art galery
buckingham palace
big ben, westminster abey (dehors)
prince charles' house
st james park
speaker's corner (hyde park)
trafalgar square
leicester square
picadilly circus
thames river
</t>
      </text>
    </comment>
    <comment ref="BL37" authorId="1" shapeId="0">
      <text>
        <t>Marcos Bulcão:
Brigas constantes com Tita me fazem querer partir, retomar planos de estudar fora. A carta dela muda tudo. Não posso me afastar dela, não enquanto depender de mim. Decido voltar ainda antes de embarcar. Só embarquei mesmo para pegar minhas coisas e dinheiro que estavam ainda em Londres e Paris, respectivamente.</t>
      </text>
    </comment>
    <comment ref="BV37" authorId="1" shapeId="0">
      <text>
        <t>Marcos Bulcão:
Sítio de Rita, com Paula, Sílvia, Katia, Mauricio. Em Minas Gerais, quase fronteira com São Paulo. Sol e videokê.</t>
      </text>
    </comment>
    <comment ref="CA37" authorId="1" shapeId="0">
      <text>
        <t>Marcos Bulcão:
1/3: aula de lógica; soteropolitano com Moysés. Marta apareceu (?!) com Fernanda, Luís, Sueli. Cachaça até as 3 da matina. Paulinho lá tocou com banda de choro: sensacional.
2/3: sono. Márcia apareceu para passar roupa. Cinema para não passar dia em branco. Dormi no filme de Godard. Na saída, encontrei Alex e Kadu. Resolvemos dar uma "breve" parada no Prainha. Chegamos às 11, saímos às 4 da matina.
3/3: difícil foi acordar para ir jogar bola no sítio de Paulinho, em Atibaia. Futebol, piscina, churrasco, saúna. Cheguei em casa quase meia-noite.
4/3: nao dormi muito, para ir aos bancos cedos. Resolvi tudo relativamente rápido e passei o resto do dia lendo García-Roza.
5/3: internet (inscriçao no congresso, patagon, bancos, sites gerais. Fim de García-Roza. Enrolaçao. Volta à malhação, depois de quase 2 meses. Nao consegui férias retroativas na Runner.</t>
      </text>
    </comment>
    <comment ref="CF37" authorId="4" shapeId="0">
      <text>
        <t xml:space="preserve">mb:
Curto reatamento com Marta: 18 a 26; 29 junho
Break-up: não adianta insistir
minha mente aponta para os EUA, para migrações pós-término do doutorado... A incompatibilidade de planos futuros é decisiva. </t>
      </text>
    </comment>
    <comment ref="AW38" authorId="1" shapeId="0">
      <text>
        <t>Marcos Bulcão:
Chegada impactante. Falo com Tereza: penso: o que estou fazendo exatamente aqui? O "exatamente" nunca ganharia resposta. Mas a sucessao de dúvidas e perguntas e respostas tentativas, buscas constantes, descobertas fizeram de mim parte do que sou hoje. Lá, memórias indeléveis do explorador, algo destemido embora também frágil. Parte da minha natureza se revelara e se encravara na minha pele, tal como uma cicatriz aberta.
Poemas de Frost se junta ao de Borges para guiar uma vida.
Em Londres, demora para adaptaçao. Nenhum amigo ou namorada, apenas alguns conhecidos. Destaque para os colombianos liderados por JOhnny. Com eles batia babas que pareciam guerras para mim, tamanha a fúria e determinaçao com que jogava. Viajamos juntos para o interior: nao lembro exatamente do roteiro: primeiramente sul de Londres: Brighton (litorânea, com praia de pedregulhos, jogos eletrônicos), Plymouth (de passagem), Cornwall (costa oeste, belas praias, mas fazia frio). Todas minhas fotos se perderam, acabei nao tirando cópia das deles. É uma viagem quase perdida na memória.
Depois, aterrissagem em Camden. Demora de integraçao, mas depois a vida fica perto da perfeiçao. PJ e Eva, Alex e André, babas memoráveis. Julia. David e suas conversas que até hoje ecoam na minha cabeça. Um dos grandes personagens da minha vida. Dilema na ida para Paris. Acabei indo. O que teria acontecido, tivesse eu ficado? Namoro sério com Julia, volta rápida pro Brasil e do Brasil, para matar as saudades e aprender francês. Iria ela comigo? Meu inglês estaria perfeito hoje... meu destino completamente diferente, presumo. Só nao sei se para melhor. Quem saberia?
Petit Affair com:
Ruth israelense (pitoque); Niina finlandesa: dois ou tres fins de semana, o que conduziria à minha viagem à Finlândia.
Moema: beijos na festinha brasileira dos gaúchos.</t>
      </text>
    </comment>
    <comment ref="BB38" authorId="1" shapeId="0">
      <text>
        <t>Marcos Bulcão:
hospedagem com Cécile. Linda cidade !</t>
      </text>
    </comment>
    <comment ref="BG38" authorId="1" shapeId="0">
      <text>
        <t>Marcos Bulcão:
Período para ver Copa do Mundo, defender o D.E.A, recepcionar Tânia, Marcelo. Final perdida. Procedimentos para mudança de apê, assinatura de novo contrato. Assim que deu, fui direto para Londres.</t>
      </text>
    </comment>
    <comment ref="BH38" authorId="1" shapeId="0">
      <text>
        <t xml:space="preserve">Marcos Bulcão:
PARIS 10/06 - 14/06
tour eiffel (com Tania)
trocadéro
d'orsay
notre dame
rodin
sorbonne (Tani)
sacre coeur
champs elysees (Tania)
louvre (Marcelo)
Paris 15/06 - 02/08
BERGMAN - 6 filmes
les fraises sauvages
il pleut sur notre amour
la honte
au seuil de la vie
le septieme sceau (the seventh seal)
</t>
      </text>
    </comment>
    <comment ref="BL38" authorId="1" shapeId="0">
      <text>
        <t>Marcos Bulcão:
Breve passagem, cujo pretexto era ir aos bancos e à universidade, pegar meu diploma. Nome errado, mas tudo bem. Jantar com Mauricio e Cris Rocha, cinema, museu?, nada demais. Muita saudade. Já queria voltar, nem curti como deveria.</t>
      </text>
    </comment>
    <comment ref="BQ38" authorId="1" shapeId="0">
      <text>
        <t xml:space="preserve">Marcos Bulcão:
Descoberta por acaso deste paraíso. Não dispondo de todos os dias do feriado prolongado, ficamos sem opçoes de hotéis para viajar. Perguntei a Alex, que então me deu a dica. Lá chegando, a maravilhosa surpresa. Um lugar divino, sossegado entre colinas no meio da serra. Ficamos hospedados num chalé, com lareira e toda infra-estrutura, com o Niva branco a nossa disposiçao. Tudo ali conspira para o bem estar. A hospitalidade de Guto e suas caipiroscas. As belas e deliciosas refeições que ele prepara (para nao falar do café da manhã). Passear de cavalo e tomar banho de cachoeira completam os programas que fizeram tres dias parecerem pouco. 
</t>
      </text>
    </comment>
    <comment ref="CA38" authorId="1" shapeId="0">
      <text>
        <t>Marcos Bulcão:
Fui convidado novamente para passar uns dias em Guaecá, desta vez na semana santa. Patrícia acabou não podendo ir e então fomos só os três.
Decidi almoçar com Marta e os avós na sexta (vatapá!!! E moqueca de badejo!!!) e só então ir para lá. Cheguei umas 7 e meia.
Jantamos esfihas e salsichas -- seguindo os bons e velhos costumes ateus de esquecer as prescriçoes religiosas de nao comer carne na sexta feira da paixao.
Os dias transcorreram na "rotina": café da manhã leve, praia, banho de mar maravilhoso, volta, caipiroska na varanda com petiscos, almoço, prosa pós almoço na rede, eventual soneca.
Jantar no DECK, em Ilhabela (no sábado): bons pratos de camarão e congro.
Pizza em Sao Sebastiao, no domingo (tive a "ousadia" de pagar a conta).
Como no sábado à tarde, tinha dormido muito depois do almoço, acabei acordando muito cedo no domingo. Aproveitei para ir sozinho à praia. Andei bastante (4km), depois entrei no mar (que estava uma piscina) e nadei pelo menos meia hora, talvez mais. Relaxei mais um pouco no mar e saí, completamente revigorado.
UMA PEQUENA NOTA para o pôr-do-sol contemplado na praia de Toque-Toque, no domingo. Faltaram fotos, sobrarao memórias.</t>
      </text>
    </comment>
    <comment ref="CF38" authorId="4" shapeId="0">
      <text>
        <t>mb:
chez Fred</t>
      </text>
    </comment>
    <comment ref="AW39" authorId="1" shapeId="0">
      <text>
        <t>Marcos Bulcão:
Chegada impactante. Falo com Tereza: penso: o que estou fazendo exatamente aqui? O "exatamente" nunca ganharia resposta. Mas a sucessao de dúvidas e perguntas e respostas tentativas, buscas constantes, descobertas fizeram de mim parte do que sou hoje. Lá, memórias indeléveis do explorador, algo destemido embora também frágil. Parte da minha natureza se revelara e se encravara na minha pele, tal como uma cicatriz aberta.
Poemas de Frost se junta ao de Borges para guiar uma vida.
Em Londres, demora para adaptaçao. Nenhum amigo ou namorada, apenas alguns conhecidos. Destaque para os colombianos liderados por JOhnny. Com eles batia babas que pareciam guerras para mim, tamanha a fúria e determinaçao com que jogava. Viajamos juntos para o interior: nao lembro exatamente do roteiro: primeiramente sul de Londres: Brighton (litorânea, com praia de pedregulhos, jogos eletrônicos), Plymouth (de passagem), Cornwall (costa oeste, belas praias, mas fazia frio). Todas minhas fotos se perderam, acabei nao tirando cópia das deles. É uma viagem quase perdida na memória.
Depois, aterrissagem em Camden. Demora de integraçao, mas depois a vida fica perto da perfeiçao. PJ e Eva, Alex e André, babas memoráveis. Julia. David e suas conversas que até hoje ecoam na minha cabeça. Um dos grandes personagens da minha vida. Dilema na ida para Paris. Acabei indo. O que teria acontecido, tivesse eu ficado? Namoro sério com Julia, volta rápida pro Brasil e do Brasil, para matar as saudades e aprender francês. Iria ela comigo? Meu inglês estaria perfeito hoje... meu destino completamente diferente, presumo. Só nao sei se para melhor. Quem saberia?
Petit Affair com:
Ruth israelense (pitoque); Niina finlandesa: dois ou tres fins de semana, o que conduziria à minha viagem à Finlândia.
Moema: beijos na festinha brasileira dos gaúchos.</t>
      </text>
    </comment>
    <comment ref="BG39" authorId="1" shapeId="0">
      <text>
        <t xml:space="preserve">Marcos Bulcão:
Com Marcelo, para ver show de Daniela. Fomos e voltamos juntos de trem. Dormi num quarto só pra mim num hotel naturalmente 5 estrelas. 
Marcelo pagou a passagem de trem. Almoçamos no hotel, fomos à noite para o show. 
Foi no dia do jogo Paraguai X França, do qual assisti boa parte. Marcelo subiu ao quarto e ficou lá escrotamente umas boas duas horas. "Escrotamente", tomei um Jack Daniels no bar. Deveria ter explorado mais.
</t>
      </text>
    </comment>
    <comment ref="BL39" authorId="1" shapeId="0">
      <text>
        <t>Marcos Bulcão:
Em Londres, nenhuma curtiçao. Idas a Universidade de London, xerocar material, pegar informaçoes gerais. Comi muita crepe, brócolis, miojo. Alguns encontros com David. Nostalgia antecipada do que estava em vias de deixar para trás. A decisao era difícil demais. Todo um sonho de vida estava sendo mudado naqueles instantes, em busca do amor de uma mulher. Uma frase para a história: "big forks" acontecem em qualquer momento, em qualquer idade na vida de uma pessoa. Basta estar aberto a isso. Vide o próprio David, ou mesmo a amiga sul-africana que jantou conosco. 
Picnic em Hampstead Heath, algum estudo para terminar o projeto. Mauricio foi lá passar o fim de semana. Pub, Hampstead, Camden, nada demais. Estava com muita saudade para curtir como deveria.</t>
      </text>
    </comment>
    <comment ref="BV39" authorId="1" shapeId="0">
      <text>
        <t>Marcos Bulcão:
-- Casamento de tatá no dia 09, com uma festa fantástica. Fomos eu, Marta, Fábio, Rato, Popó. --- Moysés chegou alguns dias depois. Marisa Monte, acarajés, Araketu, bares, foram algumas das programaçoes conjuntas. Na 5a à noite, o evento: jantar com pais de Marta, Vitória, Jehorvan. "Impecável": e Tita declara guerra a Moysés, causando grande tensao no ar, abalo na amizade entre os casais. Samuel chega na noite seguinte, com o clima tenso instalado. 
-- Passeio de lancha com pais de tita em torno da ilha de Itaparica. Achamos um lindo tronco, que pegamos para obra de arte. 
-- Carnaval no alcoolman com Aids, Rato, Fabio, depois com Ivete Sangalo, no Cerveja e Cia, com Fábio, camarote no Caesar, sab com Fabio e dom com Rato, Online na Barra com Rato e Aids, Dani Mercury, na terça. 
-- No mais, saídas com galera, praia, bares. Bom pra relaxar.
-- Filmes: Hannibal e Chocolate.</t>
      </text>
    </comment>
    <comment ref="CA39" authorId="1" shapeId="0">
      <text>
        <t xml:space="preserve">Marcos Bulcão:
Abril começa com ótimo ritmo de estudos, permitindo flashs dos velhos tempos. Porém, o ritmo muito pesado, pouco sono, saídas e bebida, estresse psicológico amoroso... O resultado, sem saber medir quanto se deve a que, foi uma grande gripe, amidalite ou que outra infecçao. 
Na terça, 16, já estava péssimo. Mas aí eu pensava se tratar apenas de cansaço devido à noitadada noite anterior na cozinha de Moysés -- muita cachaça!! Eu já estava indo pro quarto quando Moysés me disse para ficar mais um pouco e brindar com ele e Samuel, que comemoravam 7 anos. Decidi ficar apenas para brindar com eles. Doce ilusao. Eu nao estava bem e a conversa era bem vinda. Do brinde de champanhe, veio o jantar, o vinho. Depois, mais conversa, o vinho acabou, uma cervejinha pra acompanhar. Acabou a cerveja, smirnoff ice. Cristian entao desceu e fui pegar o complemento: bacardi e jack daniels. Quatro da manhã estava indo pra cama, completamente bêbado e exausto.
Acordei meio-dia, mas ainda assim nao o bastante para recuperar todas as noites perdidas da semana anterior: várias por estudo, uma delas após a reuniao na casa de Marta, em que levei Moysés e cia pra casa e voltei no mesmo pé pra Cotia, num gesto impulsivo e romântico de reatar com Marta. Resultado: nao preveni a ela e, quando lá cheguei, ela estava a sono solto, nao ouviu telefonemas nem campainhas, me fazendo passar quatro horríveis horas semi-vivo, sem saber se desistia ou insistia. Insisti, mas a essa altura sem a força do impulso inicial. 
Encontrei-a, revelei que tinha emendado, esperei um sinal forte, deitei no colo dela, esperando talvez um carinho, um cafuné, nao houve. Hesitei. Estava exausto. Tomei banho, e acabamos indo dormir. Na mesma cama, é verdade, mas sem iniciativas ou gestos de parte a parte. Somos ingleses demais, eu acho, nesses momentos de dúvida. Ou aproveitamos o momento certo de nos lançarmos ao abismo ou ficamos estudando gestos e travando nossos próprios desejos. Bem, no meu caso, havia um motivo racional para travá-los. Racionalmente, acho que nao vale muito a pena voltar. Porque acho que os problemas continuarao os mesmos. Nao sei se terei energia e desejo suficiente para fazer com que ela se sinta confiante o bastante para me desejar de volta, tomar iniciativas e reacender e realimentar meu desejo. E sem esse feedback, esvazio-me rapidamente. E carinho, carinho... Sao Paulo lhe faz tao mal que é inevitável que ela nao tenha carinho para nada, para ninguém, por vários dias... E eu também morro sem carinho. Entao, eu nao sei bem... Mas gosto tanto dela. Ou sinto tanto a falta de poder expressar o meu amor, meu carinho. Receber carinho, ser ancorado, protegido e coisas do gênero.
==========================================================================
Desde o mês passado, após a volta de Guaecá (da primeira vez), eu e Porchat temos nos encontrado semanalmente para almoçar. Depois de dois almoços, apenas almoços, começamos a emendar almoço com seminário. E estamos assim, nessa base semanal de encontros filosóficos. Está sendo uma oportunidado impagável contar com a interlocuçao dele e de um modo tao próximo e constante.
==========================================================================
</t>
      </text>
    </comment>
    <comment ref="AW40" authorId="1" shapeId="0">
      <text>
        <t xml:space="preserve">Marcos Bulcão:
Destaque para Milles´ Gardens: fabuloso. A cidade é também lindíssima.
</t>
      </text>
    </comment>
    <comment ref="BW40" authorId="1" shapeId="0">
      <text>
        <t xml:space="preserve">Marcos Bulcão:
─ 2 de abril. Marta começa a trabalhar no Qualis Jd. Angela, Alto da Riviera, perto da represa de Guarapiranga. Conhece Fernanda (paulistana; Sueli) e Luís (paraense; Ailta).
─ Outros colegas: Helenita, Ciça.
─ Chefe: Jussara. Péssima gerente, eles conspiram e conseguem transferi-la.
-- Outros personagens do trabalho. Suzana "em cima do muro" vem para substituir Jussara. Marisa vem para substituir enfermeira Laura.
Dra Glória da Coordenaçao (quem vem a demitir Fernanda); Glorinha "Uh" (coordenadora da Enfermagem, articuladora da demissao, com ajuda de Marisa).
</t>
      </text>
    </comment>
    <comment ref="CA40" authorId="1" shapeId="0">
      <text>
        <t>Marcos Bulcão:
Depois de dois meses tentando trabalhar uma idéia que tive, acabei tendo que renunciar a ela. Estresse grande, muita energia despendida nisso. Mudei o tema rápido do trabalho do congresso para Quine e Ceticismo. Em uma tarde, Porchat e eu definimos os tópicos básicos. Em dois dias escrevi o trabalho que apresentei. Repito: quanta energia desperdiçada. 
Já perto do Congresso, entrei em parafuso, crise profunda. Queria mudar, precisava mudar. Se iniciou um processo mental terrivelmente desgastante, em que pensamentos de abandono do doutorado se alternavam com o sentido de responsabilidade e pé no chao para o futuro profissional.
Bem, fui ao Congresso estritamente para apresentar meu trabalho, primeira vez que apresento um trabalho assim, publicamente. E a estréia foi num Colóquio Internacional de Filosofia e História da Ciência. Foi uma apresentação tranquila, sem grande debate porque me colocaram numa sala com tema completamente diferente da minha área.
De Lindóia, passei rapidamente em Sampa, comprei equipamento de mergulho e rumei para Paraty.</t>
      </text>
    </comment>
    <comment ref="CF40" authorId="4" shapeId="0">
      <text>
        <t>mb:
first days chez david</t>
      </text>
    </comment>
    <comment ref="BG41" authorId="1" shapeId="0">
      <text>
        <t>Marcos Bulcão:
Já totalmente livre do mestrado, me senti livre também em espírito. Dei show logo na noite de chegada. Ester húngara e Cristina colombiana amenizaram a biela louca parisiense. Dias excelentes com Ratão.
Fiquei hospedado numa casa que ele dividia com mais outros 5: Pablo colombiano, Marco "addicted", um polonês chato e um italiano que botou piercing nos mamilos e um brasileiro paulista.
Destaque para a festa de aniversário de Pablo. Baseado e droga do "vidrinho" (efeito estilo lança, porem mais desconfortavel). Ratao, claro, ficou na lama. Eu também tive ressaca de drogas no dia seguinte, dia da volta para Paris de onibus. Passei a viagem toda enjoado e fiquei vários dias "clean", sem nem mesmo alcool.</t>
      </text>
    </comment>
    <comment ref="BH41" authorId="1" shapeId="0">
      <text>
        <t xml:space="preserve">Marcos Bulcão:
London 04 a 18/08
Ester from Hungary, Cristina from Colombia, 05/08
Freud Museum, 14/08
Shakespeare's The Merchant of Venice, 15/08
pablo's party
</t>
      </text>
    </comment>
    <comment ref="BQ41" authorId="1" shapeId="0">
      <text>
        <t xml:space="preserve">Marcos Bulcão:
Projeto da FAPESP finalmente pronto, dia 14 de novembro. Entrada no processo dia 16.
</t>
      </text>
    </comment>
    <comment ref="BV41" authorId="1" shapeId="0">
      <text>
        <t>Marcos Bulcão:
Fomos os três casais: Tatá e Janaína, pais, eu e Marta. O hotel (Lausanne) é muito bom, com uma vista maravilhosa para vales e colinas. Ficamos no apto 201. Acordamos cedo (9h) nos dois dias. Tomamos café, passeamos pelos jardins e bosque no primeiro dia, jogamos tênis no segundo. 
Almoçamos no Gato Gordo. Razoável, porém pretensioso (caro). Além disso, tudo temperado com excesso de azeite. À noite, fomos a um bar na movimentada praça, ao lado da loja Inverness. Tomamos sopa de cebola, creme de aspargos (no pão italiano), além de vinho. No dia seguinte, teleférico, almoço rápido no Piero e jantamos um fondue (carne e queijo) no Maggiore. No domingo, fomos ao Parque dos Lagos.</t>
      </text>
    </comment>
    <comment ref="BW41" authorId="1" shapeId="0">
      <text>
        <t>Marcos Bulcão:
07/04/2001 = 
Rapel em Cachoeira Grande, município de Lagoinha, perto de São Luís de Paraitinga. Sensacional!! Primeira descida, adrenalina máxima ao inclinar o corpo em direção ao abismo. Depois, sensação de segurança nas mãos, a descida fantástica, sensaçao de liberdade, aventura. Deu pra controlar legal. Segunda descida debaixo das águas (fortes) da cachoeira, o "vôo" proporcionado pelos seguranças, a "aterrissagem" sempre difícil para sermos puxados para fora das pedras escorregadias. Terceira descida no "seco" novamente. Tranqüila, deliciosa. Agora é praticar para ganhar liberdade e velocidade na descida.</t>
      </text>
    </comment>
    <comment ref="CA41" authorId="1" shapeId="0">
      <text>
        <t xml:space="preserve">Marcos Bulcão:
Quiloso (Aquiles Camelier) me havia convidado para ir com ele, Fernanda e amigos para Paraty no feriado. Aceitei o pretexto, era bem vindo. 
Eles ficaram em pousada, eu acampei. Foram 4 dias deliciosos. Cheguei 4a à noite, quase 10. Só deu para um violao rápido, conhecer o pessoal e cama.
D1: Trindade. Linda praia, sol básico, cerveja e petiscos.
       Soneca, à noite violão na pousada, jantar e breve volta no centro histórico.
D2: Escuna pelas ilhas. Minha estréia no mergulho livre: FANTÁSTICO!!! Belíssimas ilhas, praias,  
      paisagens. Mas o show mesmo estava debaixo d'água. Lanche, banho e fomos ao Café Paraty: 
      show de Jazz muito bom com Paulo Meyer e Banda.
D3: Trilha para Praia do Sono. É na estrada que leva à Trindade, uma bifurcação antes, à esquerda, condomínio Laranjeiras. A trilha é de 
       cerca de uma hora de caminhada, dependendo do ritmo, da conversa, da companhia com quem se anda. Fizemos a ida em 70, 
       voltamos em 55 minutos. Só a trilha já vale, é aquela velha emoçao andarilha, seguir trilhas antigas, no meio do mato, tendo como 
       prêmio a paisagem deslumbrante do outro lado. Maravilhosa a sensação de andar, chegar, voltar. Tentamos mergulhar ainda, mas 
       nao o mar nao estava bom pra isso. Ficamos entao mais no sol e jacaré.
D4: dia da partida, dia de Copa do Mundo -- Argentina e Nigéria. Acordei de madrugada, vi o jogo, soneca, voltei para ver Espanha e 
       Eslovênia. Saímos pouco antes de o jogo terminar, para evitar trânsito na volta. Foi tranquilo. Chegamos bem em casa, sem 
       problema. Dias excelentes.
</t>
      </text>
    </comment>
    <comment ref="AW42" authorId="1" shapeId="0">
      <text>
        <t>Marcos Bulcão:
Barco para atravessar o mar da Finlândia, onde ficamos numa cabine só para nós dois...
Chegada em Helsinque, partida para o interior. Ficamos em uma cabana típica, à beira do lago, um dos mil lagos da Finlândia, em meio a uma linda floresta. Dormimos os dois no andar de cima, espécie de mesanino/sótão. Blowjob ao acordar.
Sauna finlandesa e banho, nus, no lago gelado. 
Depois, para Tampere, Helsinque, volta de barco para Estocolmo e daí avião para Londres.
Chegamos na Finlândia no dia do solstício, dia mais longo do ano, com ditas 22h40 de sol, e apenas 1h20 de noite. Mesmo assim, uma noite nao completa, o sol parece que fica ali, à espreita, impedindo o céu de ficar totalmente negro.
Destaque para o pôr do sol no barco, na viagem de volta a Estocolmo, às 11 da noite. As águas geladas do mar, que se perdia à minha frente, me dando uma grande sensação de estar diminuto diante da imensidão da natureza. Ou algo assim.
Estocolmo
Águas suecas (1)
Helsinque (0)
Cabana no lago (3)
Tampere (2)
Helsinque (1)
Estocolmo (0)</t>
      </text>
    </comment>
    <comment ref="BB42" authorId="1" shapeId="0">
      <text>
        <t xml:space="preserve">Marcos Bulcão:
Arraiá d'Ajuda com Pássaro, Eduardo, Edimilson, em excursao promovida pela Timbalada. Dias razoáveis, mas biela atrapalhou, estava desacostumado à paquera brasileira, auto-estima baixa. Uma mineira apenas, para não passar a noite em branco. Volta antecipada, sozinho, descontente com minha "atuaçao". Mais valia passar os últimos dias antes do retorno a Paris em SSA, com o resto da galera, Priscila
</t>
      </text>
    </comment>
    <comment ref="BG42" authorId="1" shapeId="0">
      <text>
        <t>Marcos Bulcão:
Recpcionar Viviane, aniversário na Bastille, meu avô por breves dias e de novo Londres!!
Foram também os breves dias no apê na rue Buffon. Dias de relativo conforto e excessiva solidão. Vinho na banheira, cartas melancolicas para Ratão, reflexoes e decisoes difíceis foram tomadas ou germinadas aí.</t>
      </text>
    </comment>
    <comment ref="BH42" authorId="1" shapeId="0">
      <text>
        <t xml:space="preserve">Marcos Bulcão:
VIVIANE À PARIS 24/08 - 01/09
musée louvre
musée picasso
musée carnavalet
panthéon
madeleine
sacre coeur - crypte et dôme
notre-dame
st. étienne-du-mont
champs-elysées
bastille
place de la concorde - jardin des tuilleries
grand et petit palais - pont alexandre III
tour eiffel, trocadéro
jardin luxembourg - fontaine des médici
parc monceau
jardin des plantes
</t>
      </text>
    </comment>
    <comment ref="BL42" authorId="1" shapeId="0">
      <text>
        <t>Marcos Bulcão:
Volta para os braços de Tita, a serem comemorados em dias chuvosos de lua de mel em Morro de São Paulo. Dias de muito sexo e pouca praia.</t>
      </text>
    </comment>
    <comment ref="CA42" authorId="0" shapeId="0">
      <text>
        <t>Marcos Bulcao:
Emerito de Porchat e lancamento do livro de Aristoteles. 
Defesa do Mestrado da Pat.
Nao tenho certeza das datas.</t>
      </text>
    </comment>
    <comment ref="CK42" authorId="4" shapeId="0">
      <text>
        <t>mb:
Coloquio Ceticismo: 28-30 abril 2004
Porchat permanece aqui por mais uma semana, com Ieda. Vao-se no dia 08.
Pat Bueno chega dia 03 sai dia 08.
Luis Octavio nasce no dia 06, quinta, 21h44.
Eneias chega dia 09, para concurso na UFBA, fica ate dia 16.
Tata comemora seus 36 anos, com o filho no colo, dia 16.</t>
      </text>
    </comment>
    <comment ref="BG43" authorId="1" shapeId="0">
      <text>
        <t xml:space="preserve">Marcos Bulcão:
Novo encontro com Rato, hospedagem na casa de David, sob o piano, encontro mágico com Camila, preparativos para ida a Itália.
Coincidências em torno desse encontro com Camila. Logo que cheguei, ela não estava. Chegou no dia seguinte, após uma viagem pela Europa. Acordei com o ronronar de uma gata, e foi inevitável interessar-me pelo personagem daquele acordar. Fomos a uma feira de flores com David, e lá lhe ofereci uma rosa amarela, seguida de um poema, que instaurou um clima imediato de romance, proibido, no ar. Ela era meio que noiva, embora me dissesse que havia terminado. Namoramos meio escondidos, sob vigília de David (que gostava de Vanius) e das demais pessoas da escola. Foi delicioso nosso breve romance. Cheiros e beijos inesquecíveis. Pizza com vinho em Hampstead Heath viram o deflagrar dessa paixão. Na véspera da minha viagem a Itália com Ratao, ela invade sorrateiramente minha cama, sob o edredon, luzes apagadas, todos dormiam. Nos amamos em torturante silêncio, por apenas breves segundos, apenas para ter o gosto de nos imortalizarmos um dentro do outro. Lindo. Carmina Burana e Alceu Valença sao a trilha sonora desses dias. Ainda propus a ela viajarmos juntos, preterindo Rato, mas ela nao aceitou. Vale menção para o turco e o cigarro de hachiche que fumamos no terraço de David.
</t>
      </text>
    </comment>
    <comment ref="BV43" authorId="1" shapeId="0">
      <text>
        <t>Marcos Bulcão:
Chegamos à noitinha e achamos logo um hotel agradável, Tocotel, 75 o casal. Quarto simpático, banheiro melhor ainda, boa localização, bom café da manhã. Na manhã seguinte, fomos procurar a represa da Usina, onde nos disseram que poderíamos alugar jetskis. Nada. De informação em informação, não em não, acabamos no km 13, longe de tudo e desesperançados até que conseguimos ligar para a própria Pousada Fazendinha -- idéia genial -- e conseguir melhores informações. Lá chegando, finalmente após mais de 100km rodados em vão, o inacreditável: um jetski estava quebrado, nao poderíamos andar os dois juntos. O dia se configurava como "ótimo". O lugar, porém, era maravilhoso. Um lago cercado de floresta e serra, chalés no topo da colina. Fomos visitar o hotel. Nesse meio-tempo, coisa do destino. Um cara consegue, ao manobrar num estacionamento vazio, bater no nosso carro. Chateação, tomada de informações, documentos, acertos de detalhes para futuro pagamento. Parece que o cara é sério, pelo menos. Almoçamos, com uma caipiroska para relaxar, e descobrimos que lá também se faz ski aquático. Resolvemos tentar. Que maravilha!! Pode-se dizer que salvou o dia, marcou para sempre essa ida à Atibaia e à Pousada Fazendinha, apagando por completo o incidente com o carro. Ambos conseguimos esquiar, deliciosamente, e ainda nos dar ao luxo de realizar algumas manobras mais simples, como ziguezaguear de um lado para o outro do barco, "enfrentando" as ondas que a própria lancha cria. Um espetáculo.</t>
      </text>
    </comment>
    <comment ref="CA43" authorId="1" shapeId="0">
      <text>
        <t xml:space="preserve">Marcos Bulcão:
Felipe, depois de 4 anos sumido, resolve aparecer. Faz contato via mail (intermediado inicialmente por Oli) e marcamos para nos encontrar. Ele conta a história suposta, plausível, ainda que certamente floreada. Almoçamos juntos (com Elder também) no Jardineira. Almoço agradável, opto por fingir que nada aconteceu. A verdade é que, passado tantos anos, nao importava mais mesmo o que ele tinha feito. Ele apenas nao era mais um amigo, no sentido próprio, mas era um amigo no sentido bem lato: dá pra sentar e passar uma tarde agradável. Como diz meu tio Ronei, a vida é muito curta para se irritar à toa. Mas há os que vao discordar...
Bem, como ele queria fazer contato com o resto da galera, me pediu para intermediar e me pagou a ida a Salvador. Lá, encontramos com Roninho (outro a quem ele pediu dinheiro emprestado), papo tenso. O resto da galera nao quis vê-lo. Ficou só com os nossos relatos.
Fui pro Pelourinho encontrar Fabio e Paulinho Laborda e depois praticamente emendamos no baba. Joguei bem para as minhas condições físicas, fiz um gol (de cabeça), algumas boas assistências.
Nos outros dias, nao vi a galera. Almocei com meu avô e pais, fiquei doente e curti crises de rinite na terça, quarta e quinta, quando voltei pra Sampa.
</t>
      </text>
    </comment>
    <comment ref="CG43" authorId="0" shapeId="0">
      <text>
        <t>17 Barnfield
Upper Park Road
London
NW3 2UU</t>
      </text>
    </comment>
    <comment ref="BG44" authorId="1" shapeId="0">
      <text>
        <t xml:space="preserve">Marcos Bulcão:
Primeira parada da viagem que seria feita com Ratão. A amizade consumada e reforçada. Escritos e poemas incessantes. Foram dias fantásticos.
</t>
      </text>
    </comment>
    <comment ref="BL44" authorId="1" shapeId="0">
      <text>
        <t xml:space="preserve">Marcos Bulcão:
Para fazer contatos com Porchat, inscriçoes no doutorado, provas de língua.
</t>
      </text>
    </comment>
    <comment ref="BQ44" authorId="1" shapeId="0">
      <text>
        <t>Marcos Bulcão:
Primeira tentativa real de voar. Fomos até Boituva para saltarmos de Pára-quedas. Chegamos lá, nos informamos e marcamos o vôo. Mas, como estávamos cansados — viráramos a noite no dia anterior — decidimos voar no dia seguinte. Tínhamos tempo, o tempo estava bom. Dia seguinte, céu amanhece meio nublado, melhora depois. Vamos à cidade comprar presentes de Natal e depois rumo ao campo de salto. Na fila, constato ansioso a mudança de tempo. Azar. O tempo fecha, e o último salto a poder ser realizado é justamente o último salto antes do nosso. Fica pro ano que vem.</t>
      </text>
    </comment>
    <comment ref="CA44" authorId="1" shapeId="0">
      <text>
        <t>Marcos Bulcão:
Volta de Salvador, prova final do bimestre de Lógica, férias daí.
Estresse, contagem regressiva para conversa com Porchat -- pedido de trancamento, etc. A conversa foi excelente, mas terminou com um resultado a princípio imprevisto: não há trancamento possível, salvo declaração médica. Nao é o caso para tanto. Ainda. Assim, é ou continuar na marra ou abandonar o doutorado por uns dois anos, correr mundo, eventualmente reingressar. Nao é totalmente má idéia... Mas vamos ver o que acontece nesse fim de ano. Tem Bertioga, Salvador, casamento do Pássaro, eventualmente EUA no finalzinho ou começo de ano... Vamos levando.</t>
      </text>
    </comment>
    <comment ref="BG45" authorId="1" shapeId="0">
      <text>
        <t xml:space="preserve">Marcos Bulcão:
comemos água nessa parada forçada em Bruxelas. Inundaçoes nos impediram de chegar nesse mesmo dia a Amsterdam e ficamos hospedados num albergue. Cerveja Stela Artois, boa conversa. Uma grande noite improvisada. </t>
      </text>
    </comment>
    <comment ref="BV45" authorId="1" shapeId="0">
      <text>
        <t>Marcos Bulcão:
Chegamos em Ilhabela pela manhã, após ver as lindas praias de Boiçucanga e Maresias. Procuramos alguns hotéis e aterrissamos no Palhoça, na praia da Feiticeira. Nesse primeiro dia, ficamos nessa mesma praia, jiboiando, tomando cerveja, dormindo. Uma delícia relembrar o contato com a areia, o mar. À noite, fomos jantar: um badejo ao molho de camaroes bem gostoso.
Dia seguinte, procuramos a Colonial Diver para fazer um Dive Resort. Tomamos as instruçoes básicas para mergulho com cilindro e lá fomos para o fundo do mar, ao lado da Ilha das Cabras (uma ilha particular, pertecente ao senador Gilberto ?). A experiência foi excepcional. Nunca tinha mergulhado e gostei bastante da sensaçao. Peixes e corais, pneus e outros lixos humanos que se transformam e sao apropriados pela natureza para servir de habitat aos seus elementos. Paramos quando Tita começou a sentir frio demais. Mergulhamos a cerca de 8 metros.</t>
      </text>
    </comment>
    <comment ref="CA45" authorId="1" shapeId="0">
      <text>
        <t>Marcos Bulcão:
Fui e voltei de ponte aérea. Fui basicamente para levar para Marcelo os dólares que trouxe de Salvador.
Não fiz muita coisa. Fiquei hospedado com Alex/Renê, em Botafogo (rua Dona Mariana), apê que ele divide com Irina (namorada) e Alê (fag).
Na quinta mesma, eles chamaram um "taxi". Foi minha segunda vez, mas nao achei, novamente, grande coisa. Saímos ainda para encontrar Viviane num barzinho (aniversário de um amigo dela). Nao ficamos muito. Oi, conversa fiada, beijo de despedida.
Dia seguinte, almoço com Renê no shopping, atualização das novidades, tevê, preguiça.
Sábado, almoço no Felini (kilo no Leblon), encontro com Marcelo. Conversa rápida, agonia, Galeão e ida dele a NY.
Volta de ponte aérea (FLY).</t>
      </text>
    </comment>
    <comment ref="BG46" authorId="1" shapeId="0">
      <text>
        <t>Marcos Bulcão:
Amsterdam: terra da solidao, da promessa de felicidade fácil. Não curti tanto. Não estava em fase de mulheres fáceis (Ratão compareceu duas vezes com a deusa viking, imensa, linda, poderosa). Não achamos cogumelo, o baseado foi fraco. Dias mais ou menos. O que ficou de bom foi devido aos museus Van Gogh e Reik?museum.</t>
      </text>
    </comment>
    <comment ref="BL46" authorId="1" shapeId="0">
      <text>
        <t xml:space="preserve">Marcos Bulcão:
Chalé alugado pelo pai de Rato. Hóspedes totais: eu, Tita, Rato, Aninha e namorado, meia irmã de Rato e amiga, pai de Rato e namorada. Um chalé situado numa Village, com piscina, ótima estrutura. O pai de Rato levou uísque de sobra (Bucanas 12 anos para o dia a dia, Chivas 15 anos para a noite do Reveillon), e várias quentinhas para nossas refeições de fim de tarde. De dia, praia em Porto Seguro ou Arraiá. À noite, Arraiá d'Ajuda. Cachaça minha e de Tita ("se vc aceitar o desafio"), muitas e boas risadas. Noite de Reveillon propriamente em Porto, numa mega barraca, à beira mar. Muitos fogos, ano 2000 chegando. Piriquito se juntou a nós apenas na noite de Reveillon. Água dura dele. Os outros dias foram leves. Praia, bebida, vida leve, em suma. 
</t>
      </text>
    </comment>
    <comment ref="BQ46" authorId="1" shapeId="0">
      <text>
        <t xml:space="preserve">Marcos Bulcão:
Fomos, pela primeira vez, em grupo para Cunha. Moysés e Samuel, Luciano e Niele se juntaram a nós para passarmos o Reveillon. Dias maravilhosos. Andada a cavalo com um Moysés enlouquecido "gritando" "SOY LIBRE, SOY LIBRE", e eu, claro, atrás, nao perdendo a oportunidade de galopar o máximo possível. Nos distanciamos tanto que foi preciso um empregado de Guto nos alcançar com a moto para nos fazer voltar. Estava quase escuro e tivemos uma volta divina para casa. Vagalumes criavam constelaçoes de estrelas à nossa volta. Só o humor do resto do grupo -- que nos esperava voltar -- tirou um pouco do nosso prazer. Mas só um pouco. Na noite de Reveillon, alguns amigos locais de Gutto se juntaram a nós. Mesa farta -- claro -- axé, forró, anos 70, e muita disposição para dançar das meninas fizeram a noite ser bem agradável, com direito a fogos à meia-noite. Boa entrada de milênio. Que se registre o "escalpelamento" das bundas de Moysés e Samuel pelo atrito na sela dos cavalos.
</t>
      </text>
    </comment>
    <comment ref="CA46" authorId="1" shapeId="0">
      <text>
        <t xml:space="preserve">Marcos Bulcão:
Pentacampeão!! Jogo nervoso, dois gols, comemoraçao. Foi diferente de 94. Seria bom certamente estar em Salvador, ainda que a galera não estivesse inteiramente junta. Mas teria trio, cachaçao conjunta, alguma pegação. Na Mooca, não estava ruim, porém: muita gata, alguma paquera efetiva.
Churrasco, mais cerveja e casa. Cansaço enorme, tevê, banho, e esperar Paulinho Laborda chegar, coisa que só aconteceu 1h30 da manhã.
=============
Bado apareceu em Sampa; noite de 1 pra 2 de julho. Programação mínima: peguei-o em Congonhas, compramos cerveja e pizza, conversa até quase duas, sono, acordamos cedo, conversa até Guarulhos.
====================
</t>
      </text>
    </comment>
    <comment ref="BH47" authorId="0" shapeId="0">
      <text>
        <t>Tinha anotado Koln na volta, o que nao faz sentido. Rato confirmou que foi na ida.</t>
      </text>
    </comment>
    <comment ref="BV47" authorId="1" shapeId="0">
      <text>
        <t>Marcos Bulcão:
Hotel 7 Lagos 
(R$190 a diária com pensão completa) Com piscina aquecida, sauna, massagem, cavalos (péssimos), quadras de tênis e futebol e vôlei. Animação para crianças (argh).
Tivemos bons dias de sol que tornaram os dias bem agradáveis.
Almoço, sol, piscina, sauna, banho, jantar, forró, baralho, sono
Café da manhã, caminhada, sol, almoço, cavalo, massagem, sauna, banho, x, baralho, bingo, sono
Café da manhã, cavalo, piscina, estrada</t>
      </text>
    </comment>
    <comment ref="CA47" authorId="1" shapeId="0">
      <text>
        <t>Marcos Bulcão:
Primeira parte da mudança: malas com roupas.
Ida basicamente para isso. Deixei duas malas de roupas, minha mochila de camping, violão e sacola com sapatos. Dei também a dormida inaugural no meu futuro quarto - futura casa - apto 212 da Cia do Mar.</t>
      </text>
    </comment>
    <comment ref="AW48" authorId="1" shapeId="0">
      <text>
        <t>Marcos Bulcão:
Noite no salsa regada a tequila e roska. Fico com Kris alemã (2/7).
Mês de intensificaçao da amizade com Alex, PJ e Eva. Vários fracassos em investidas amorosas. 
Julia fica com André em meados de julho, no dia do show de Gil.
Passa-se o tempo, dias complicados.
Caio da escada, tala no braço, perco a chave no metrô + 50 pounds. À noite, encontramos (eu e Alex) com Julia e Sofia em Hampstead. Bebo dois pints. Désaguo num chorar copioso em frente à creperie, amparado nos ombros de Julia. Ambas me acolhem inteiramente. Passeamos um pouco pelas ruas de Hampstead, eu chorando e sendo paparicado pelas duas. NO dia seguinte (D+1), Julia me liga para saber como estou. Marcamos para nos vermos no dia seguinte (D+2) no Hampstead Heath. Leio um poema para ela, brincamos de "pegar" e nos beijamos intensamente. No dia seguinte (D+3), vamos a um pub e daí para o apto dela. Fazemos amor divinamente. Julia é uma imortal. A entrega é total, uma espécie de amor entre duas aves, em que todos os possíveis comportamentos sao exibidos em ordem para mostrar o que queremos, do que gostamos, do que somos capazes. 
Começamos a namorar. 
Planejamos uma viagem juntos no começo de setembro (acho que 4 a 6). Destino: St David, pequeno povoado de Gales e outros. Destaque para hotelzinho no meio de uma ravina, com divino jantar. Meu furúnculo debaixo do braço impede que os dias sejam melhores. 
Meio que  brigamos após declarar intençao de voltar para Cris no Brasil.
Após alguns dias, retomamos o namoro. 
Decido ficar, mas mudo de idéia em seguida. Várias coisas pesam pró e contra. Detalhes me fazem tomar a decisao (o caminho da menor resistência, do menos esforço).</t>
      </text>
    </comment>
    <comment ref="BW48" authorId="1" shapeId="0">
      <text>
        <t>Marcos Bulcão:
Faço curso do Chiappin sobre Filosofia da Ciência.
Conheço melhor Alex, que me indica para ensinar Lógica no Seminário. Ele estuda Cinema Italiano (neo-realismo) com Marilena e também ensina lá.
Vindas de Bado e Lazlo a Sampa. Lazlo e Luciana Faraco no Halloween.
Henrique vem a Sampa.
Aniversário de Marília chez elle.</t>
      </text>
    </comment>
    <comment ref="CF48" authorId="4" shapeId="0">
      <text>
        <t xml:space="preserve">mb:
Thanksgiving, com Otavio e Patricia. Neve no 28/11.
</t>
      </text>
    </comment>
    <comment ref="AW49" authorId="1" shapeId="0">
      <text>
        <t>Marcos Bulcão:
Turismo louco e estudo intenso de francês, que fica bom, já adequado para o ano seguinte. Cécile e a Bastille. O beijo de "l'adieu infini".Volta a pé, pela madrugada na Rue de Rivoli. 
Inclui a ida a Chartres e Fontainebleu, com Cécile e mais dois colegas do Eurocentre. One-day trip.
Alugamos um carro e fizemos o passeio.</t>
      </text>
    </comment>
    <comment ref="BH49" authorId="0" shapeId="0">
      <text>
        <t>Assumo que meia-noite se passou em solo italiano</t>
      </text>
    </comment>
    <comment ref="BV49" authorId="1" shapeId="0">
      <text>
        <t>Marcos Bulcão:
Congresso de Tita: acupuntura.
Alugamos um pequeno apê da tia de Fernanda (colega de trabalho de Tita do Alto da Riviera - enfermeira), condomínio Saint Moritz. Lindo e aconchegante apê de um quarto e sala. Banho bom porém curto. Lareira, varandinha. Nao levamos aquecedor (estava quebrado) e passamos muito frio.
Basicamente, Tita ia pro congresso e eu estudava no meu laptop. Dafne e Capitu foram.
Na primeira noite, ficamos em casa, fizemos compras e preparamos um fondue de queijo.
Na segunda noite, fomos a um bar na rua principal da praça. Pedimos sopas, deliciosas, e vinho para acompanhar.
Para terminar, no domingo, almoçamos uma bela truta 3 queijos (baden-baden) com salsichoes de entrada.
Entao fomos ao Palácio do Governo e Auditório Musical com várias esculturas de Felícia Lerner??. Visitas que valem muito a pena.</t>
      </text>
    </comment>
    <comment ref="CA49" authorId="1" shapeId="0">
      <text>
        <t>Marcos Bulcão:
Mudança consumada: resto das roupas (de cabide), livros, micro e mesa, gaveteiro, c.ds, etc. 08 de julho é a data inaugural para constar nos autos.
-----
09 de julho, terça: D1. Acordei, tomei um café da manhã espetacular, dei uma andada rápida na praia, depois fui fazer algumas compras: fui no supermercado comprar alguns artigos de primeira necessidade -- escova e pasta de dentes, aparelho de barbear, vinho e cerveja. Comprei entao uma sunga, alguns apetrechos de limpeza, cestinha de lixo, etc. Para terminar meu passeio, fui acessar a internet (20 reais, 5 horas): colocar meu mail em dia, dizer à galera da mudança, checar contas bancárias, saber as novas do dia.
Agora, enrolar um pouco e estudar, que foi pra isso que vim.
===============================================
O mês corresponde à expectativa. Estudei bastante mais do que vinha acontecendo. Ter o mar à minha vista, a bicicleta, a corrida, o isolamento, o tempo enfim: foram mudanças de condições importantes para esse segundo semestre.</t>
      </text>
    </comment>
    <comment ref="AW50" authorId="1" shapeId="0">
      <text>
        <t>Marcos Bulcão:
para amenizar o impacto da chegada a Paris e do reencontro com a solidao. Baseado de cogumelos, noites perdidas, introspecçao e anti-sociabilidade. Fui furtado no albergue. Museu e passeios a pé. Museu Van Gogh estava fechado.</t>
      </text>
    </comment>
    <comment ref="BG50" authorId="1" shapeId="0">
      <text>
        <t xml:space="preserve">Marcos Bulcão:
Existe algo mais belo do que as romanas, digo a cidade e suas ruínas históricas? 
Grande cachaça com Rato no Est Est Est. Pizza maravilhosa, duas jarras de vinho, conversa excepcional. Nós dois, cheios de vida, cheios de planos e mudanças de vida.
Marco "addicted" nos recepcionou muito bem. Saímos também com Andrea e outros amigos. Destaque para amiga deles cantando Edith Piaf nas ruas de Roma. Voz linda.
Destaque também para almoço chez Marco e sua irmã Federica. Beijo involuntário na despedida, para inveja de Ratao.
</t>
      </text>
    </comment>
    <comment ref="BW50" authorId="1" shapeId="0">
      <text>
        <t>Marcos Bulcão:
30 anos. Para comemorar, uma pequena festa no salao de festas do nosso apto (na Joaquim Eugênio de Lima, 712/510, ed. Barao de Aiuroca).
Convidados:
pais, Marília, Porchat e Ieda, 
Elita e seu Pimentel, Sânia
Sônia, Luciano e Niele
Lico, Fernanda, Luís, Ailta, Paula,
Aquiles e Fernanda, Carmine e Amanda
Moysés, Enéias, Samuel
Alex em rápida parada
Um delicioso banquete de comida baiana.
Rolou das 13h30 até as 21h00, mais ou menos</t>
      </text>
    </comment>
    <comment ref="CA50" authorId="1" shapeId="0">
      <text>
        <t>Marcos Bulcão:
Ida a Sampa para checar dobs (frustrada), ver o pessoal, sair. Essa parte foi cumprida. O' Bar com Marta, Moysés e Christian. Os dois últimos saíram cedo, fiquei com Moysés atá as 4 da matina. Grande noite.
Na sexta, cinema com  Moysés e Paulinho (8 mulheres), Viena.
Levei Paulinho ao aeroporto.
No sábado, jornada cinematográfica: 4 filmes, à la Paris.
Domingo: acordei tarde, almoço no Mestiço, debate presidencial na tevê, desisti de ir a Bertioga.
Segunda: volta a Bertioga: saco: caminhao bate em mim: DP, BO, e outras siglas.</t>
      </text>
    </comment>
    <comment ref="AW51" authorId="1" shapeId="0">
      <text>
        <t>Marcos Bulcão:
Kay, a onipotência do charme, hesitaçao e o novo furúnculo, desta vez na nuca.</t>
      </text>
    </comment>
    <comment ref="BG51" authorId="1" shapeId="0">
      <text>
        <t xml:space="preserve">Marcos Bulcão:
Decidimos alugar um carro, incidentalmente um conversível
Roma: saída 22 set.
Magliano, Orvietto
visita a tumba etrusca
Bolsena, Siena, Firenze, Prato, 
Montecatini Terme (dormida)
23 set
Pisa; Viareggio (dormida)
24 set
Massa; Firenze (dormida)
25 set
Firenze (dormida)
duomo, cripta, academia, uffizi, chagall
26 set
Firenze --&gt; Fiesole (teatro romano)
Siena (almoço); Orte (dormida)
27 set
Orte --&gt; Roma Termini (trem)
28 set
Köln (caminho) --&gt; Paris
</t>
      </text>
    </comment>
    <comment ref="BV51" authorId="1" shapeId="0">
      <text>
        <t>Compramos barraca nova e colchão de casal inflável. Infra-estrutura básica para um melhor conforto no camping.
Primeira parada Paraty. Fomos pela Ayrton Senna, Dutra, estrada Cunha-Paraty. Checamos o Sítio Tibum, não achamos bom e rumamos para a cidade. Campings: Jabaquara, Beira-Rio, "Pontal".
Estacionamos e fomos passear pela cidade histórica. Compramos pequenas coisas: akiki qui nois mora, panela de barro, colher de pau. A sandália de Marta partiu ao caminhar nas ruas de pedras. Compramos outra.
Almoçamos num agradável restaurante -- Café Margarida (?) -- com música ao vivo. Couvert com patés, entrada salada de camarão, pratos: peixe recheado com lula e acompanhado de creme de espinafre; peixe ao molho de camarao, alecrim, acompanhando batatas sautés. A comida é potencialmente boa, mas exageram demais no sal. A música era divina: chico, caetano, marisa monte...
Depois de almoço, fomos para Trindade, pequena cidade a cerca de 25Km de Paraty, tida como recanto de beleza natural, com praias melhores para banho e mais bonitas do que as de Paraty.
A cidade é um ovo, com uma rua central tomada por bares, mercados e casas que se adaptam para receber campistas. Junto à praia, dois grandes campings, onde a malocada toda se aloja. Sao centenas de barracas dispostas meio caoticamente umas juntos às outras, carros no meio. Estrutura precária: banheiro meio podre, banho frio.
Contudo, o lugar é realmente divino. As praias sao qualquer coisa, com aquela combinaçao que deixa o Rio tao maravilhoso: baías, mar azul, morros, pedra e verde. Lindíssima regiao.
Tita estava morta da semana de trabalho e cochilou horas, enquanto eu aproveitei momentos de inspiraçao para trabalhar na minha tese. Boas idéias eu tive ali. À noite, saímos para fazer um lanche e descemos até a primeira praia, onde tinha um show num bar. Dançamos um pouco e fomos dar uma olhada no show na outra praia. Dançamos um forrozinho, bateu aquele sono e fomos para a barraca. 
Dormimos bem. O colchao comprado valeu o investimento. Contudo, às 7 da matina, já tinha um maloqueiro tocando heavy metal altíssimo no som do seu carro.
Acordamos meio obrigados, tomamos um belo café da manhã: mamao, banana, pao e ovos mexidos, e fomos curtir as lindas praias. Fomos direto para Cacha d'Aço, onde presenciamos um quase afogamento fatal. O amigo deu o alerta, dois caras foram até ele, deram a primeira assistência tendo logo em seguida a ajuda providencial de alguns surfistas. O cara saiu da água meio desmaiado, recebeu a velha pressao no tórax e expeliu vários litros de água. Recuperou-se lentamente e pôde ser visto depois na praia com o amigo,  circulando de cabeça baixa. Pode-se dizer que o cara renasceu, porque se nao fosse a ajuda, ele se ia desta para melhor.
Ficamos na praia fazendo o que há de melhor: jiboiando, dando aquela cochilada. Depois fomos à praia do meio, onde conseguimos uma mesa no bar. Isca de peixe, aipim frito e várias cervejas à beira-mar. Como diz Fernanda: foi Qualis.
A precária estrutura e a vizinhança de maloqueiros -- nunca fumamos tanto baseado passivamente -- nos fez decidir voltar a Paraty. Antes, demos uma olhada nas praias de Sao Gonçalo e Corumbê para saber se havia campings por lá. Nao achamos nada, voltamos a Paraty e ficamos no tranquilo Camping Jabaquara, em frente à praia de mesmo nome. A vista é lindíssima. Pena apenas que a praia seja lodosa e por isso nao muito legal para banho. 
Neste camping, a estrutura era outra. Banheiro limpo, com uma dezena de vasos e chuveiros. E o mais importante: um deles elétrico. Bom banho, barraca armada, fomos passear -- já era noite -- por Paraty. Ela, à noite, é ainda mais simpática. Paramos no Café Paraty, onde tinha um gostoso ambiente, com música ao vivo. Adriana Calcanhoto, Caetano, Chico, Tom, Elis, Gal. Um caldo de robalo e duas roskas para abrir o apetite.
Depois fomos para um restaurante simplinho, Marta estava com "desejo" de comer feijao. Frango grelhado, arroz, feijao e fritas nos recuperaram as forças do dia. De volta ao acampamento, cama direta e imediata.
Dia seguinte, acordamos quase oito, café pequeno -- apenas frutas -- e fomos à praia de Corumbê. Estava gostosa, tranquila e aí ficamos. A velha jiboiada na areia, duas ou três cervejinhas, conversa e namoro... Ê vidinha mais ou menos...
Lá pra uma hora, a fome bateu e resolvemos economizar. Subimos a uma área mais isolada e armamos nossa "cozinha". Almoço: entrada = miojo com atum; prato principal = miojo com ovo e queijo. Sobremesa: deditos de chocolate. Perfeito.
Almoço simples, com fome e, melhor de tudo, com maravilhosa vista para o mar e ilhas ao redor.
Voltamos para o acampamento, banho e cochilo providencial para pegar a estrada de volta. Acordamos às 5, arrumamos tudo e umas 5 e meia já estamos na estrada. 
Decidimos nao voltar pela estrada Cunha-Paraty, por onde viemos. Ia escurecer dali a pouco e havia um trecho de 30km muito estreito e precário. Em resumo, perigoso para fazer à noite.
Rumamos pela Rio-Santos, na esperança de em Ubatuba pegar o trevo para Taubaté e daí Ayrton Senna. Doce ilusao. Estrada tranquila até Ubatuba, engarrafamento daí em diante. Tudo parado. Nao havia condiçoes de ser feliz. Arranjamos uma padaria agradável, com algumas mesinhas, pedimos alguns petiscos e ali paramos por mais de tres horas, jogando buraco e conversando. Nove e meia, decidimos partir.  O trevo Ubatuba-Taubaté estava ainda parado, incrível, já eram quase 10 da noite.
Seguimos entao até Caraguatatuba, onde tinha uma nova saída para Ayrton Senna. Arriscamos. Os primeiros kms estavam ok, mas na metade do caminho, a desagradável surpresa: engarrafamento. Lentidao, lentidao, lentidao. Deu meia-noite e ainda engarrafado, quase inacreditável. Parece que Sao Paulo inteira estava em Ubatuba. 
Chegando à rodovia Carvalho Pinto, transito cheio, mas bom. Exausto, passei o carro a Marta faltando 35 km para Sampa. Chegamos em casa exatas 2 da manhã. Ufa.</t>
      </text>
    </comment>
    <comment ref="CA51" authorId="1" shapeId="0">
      <text>
        <t>Marcos Bulcão:
Santos, dobs, 6 ago
estudo, exercício na praia, basicamente</t>
      </text>
    </comment>
    <comment ref="CG51" authorId="0" shapeId="0">
      <text>
        <t xml:space="preserve">
38 McCall House, Tufnell Park Road</t>
      </text>
    </comment>
    <comment ref="AW52" authorId="1" shapeId="0">
      <text>
        <t xml:space="preserve">Marcos Bulcão:
De passagem, para pegar meu vôo de volta para o Brasil. Com furúnculo, nada de Julia. Dias amenos, desentendimento com Alex, o "bom anfitriao".
</t>
      </text>
    </comment>
    <comment ref="BH52" authorId="0" shapeId="0">
      <text>
        <t>assumo que a virada do 27 pro 28 se deu em solo italiano</t>
      </text>
    </comment>
    <comment ref="BV52" authorId="1" shapeId="0">
      <text>
        <t xml:space="preserve">Marcos Bulcão:
Freejazz com Marta, Ronei e Greice. Belle &amp; Sebastian. Gran Daddy.
Il Trovatore, Verdi: no Municipal, com Marta, Ronei e Greice.
</t>
      </text>
    </comment>
    <comment ref="BW52" authorId="1" shapeId="0">
      <text>
        <t>Marcos Bulcão:
Mais um Runner Adventure. Saída de Sampa às 7 da matina, chegada em Brotas às 10h30. Ônibus muito lento. Descemos duas (de três) cachoeiras, localizadas numa fazenda particular. São as chamadas 3 quedas. A primeira (não sei o nome), de cerca de 20m. A segunda, das Figueiras, de 47m (!). 
A primeira foi bem legal, descemos duas vezes. A primeira, debaixo das águas da cachoeira, foi mais difícil. A saída nao tinha muito apoio para os pés e logo se ficava no negativo. Me embolei na saída, escorreguei, mas depois que ficou no negativo, foi tranquilo. A descida foi lenta, porém, o segurança nao meu deu muita chance de velocidade.
A segunda foi mais fácil. Tinha um paredao de uns 3 m e assim era fácil sair, prever e preparar para o negativo. Desta vez, o segurança me deu liberdade e deu para fazer uma descida mais rápida. Muito bom!!
A segunda cachoeira começou com um incidente. Antes de chegar ao ponto de descida, temos de atravessar um trecho de rio, com uma corda para nos ajudar na travessia. NO meio do caminho, escorreguei legal, pernas para cima. O capacete, que nao estava preso, voou da minha cabeça (junto com meus óculos de 10 reais) e lá se foi despencar 47m abaixo pela cachoeira. Fiquei assim de "castigo". Tive de esperar Marta descer e trazer meu capacete de volta. Perdi umas 10 posiçoes ou quase 1 hora de espera a mais.
Foi a maior descida já feita até entao. Deu um certo medo na saída, olhar para baixo era excitante, mas dava uma pequena vertigem. A descida foi fácil, porém. Metade dela era "positiva", com o auxílio de um paredao reto, com ótimo apoio para os pés. Foi dez. A expectativa agora continua sendo o curso com Daniel.
Depois de minha descida, banho e entao ficamos esperando no bar, tomando uma cervejinha, provando a pinga local, comendo um queijo trançado, mussarela no óleo.
Lanche na sede da "VERTICAL" (Ayrton e Eduardo sao seus principais nomes) e ônibus para casa, onde chegamos quase meia-noite.</t>
      </text>
    </comment>
    <comment ref="CA52" authorId="1" shapeId="0">
      <text>
        <t>Marcos Bulcão:
Sábado: Niver de Fernanda, bar da Ló: Moysés e Samuel foram. Marta se estressou e foi embora.
Domingo: Maresia
Segunda: USP - trabalhei nos caps 2 e 3, mandei pra Porchat. Corrida no Cepê.
Terça: defesa de Moysés, festa chez lui. Guta.
Quarta: aula de lógica, sono. Priscilla à noite. My Flower.
Quinta: 1o encontro de Epistemologia na São Judas. Muito bom. Francis Bacon com Moysés e Enéias.
Sexta: aula de Lógica. Baba. Happy Hour com Marta. Casa de Priscila.
Sábado: churrasco chez Marta. Niver de Renato.
Domingo: Maresia, volta pra Bertioga.</t>
      </text>
    </comment>
    <comment ref="BG53" authorId="1" shapeId="0">
      <text>
        <t xml:space="preserve">Marcos Bulcão:
Encontro com pais para viagem.
</t>
      </text>
    </comment>
    <comment ref="BV53" authorId="1" shapeId="0">
      <text>
        <t>Marcos Bulcão:
Convidados por Paula. Alugou-se um chalé para 6 pessoas. Acabamos indo apenas 5: Paula e Cristian, Dênis, eu e Marta.
Viagem de ida relativamente tranqüila, trânsito intenso mas nada dramático. Lá chegando, cerveja e um petard (depois de muito tempo - 1999, com Ratao, Pajé e Saruaba).
Baseado gostoso, sensação de lentidao (normal), percepção fragmentada. Beijo fica espetacular.
Dia seguinte, mormaço, vamos à praia mesmo assim. Novo baseado, matinal, fico algumas horas meio chapado. Saio para andar na praia para amenizar.
Frescobol, cerveja, conversa fora.
Banho e cidade, almoço num restaurante a quilo. Fraco.
Sorvete, volta pro chalé. Marta estava passando meio mal do estômago, foi descansar e acabamos dormindo bem cedo. A galera não, ficou bebendo, fumando e fazendo barulho.
Madrugada pavorosa. Antes eles na bagunça. Cristian roncou muito alto esta noite, e o sono já meio satisfeito de ter começado a dormir às 8 da noite nao resistiu. Desde as 3 fiquei acordado, saí para andar na praia, enrolei, voltei pra cama umas cinco, cinco e pouca. Voltei a dormir e acordei às 8h30.
Banho, constatação da chuva, e eu e Marta rumamos para cidade.
Dia gostoso. Passeamos pela cidade, entramos e saímos de várias lojas, aquário de Ubatuba (tubarões, arraias, cavalos marinhos, pinguim, etc), algumas compras, almoçamos um bom badejo, feira de filhotes (com leãozinho), casa.
Um futebolzinho para distrair (salão), cerveja, novo banho e cidade. Jantamos na feira das nações.
Entrada na Alemanha, pizza na Itália, sobremesa em Portugal. Voltamos às 3, cama.
Dia seguinte, domingo, amanhece chovendo. Idéia brilhante: vamos voltar mais cedo e evitar engarrafamento. TODO mundo tem a mesma idéia. Resultado: saímos meio-dia do chalé. Duas pausas: almoço (1 hora); lanche (1/2 hora). Chegamos em casa às 9 da noite. Ou seja, sete horas e meia de uma viagem que pode ser feita na metade do tempo... Muito desgastante. A volta em dois carros, no entanto, deu uma aliviada: conversas no trânsito, troca de cerveja, espeto no lanche, batida ao lado, baseado no carro do Cristian.
Pegamos as cadelas no hotel e finalmente casa às 9h30.</t>
      </text>
    </comment>
    <comment ref="CA53" authorId="1" shapeId="0">
      <text>
        <t>Marcos Bulcão:
Estudo, alguma deprê</t>
      </text>
    </comment>
    <comment ref="AW54" authorId="1" shapeId="0">
      <text>
        <t xml:space="preserve">Marcos Bulcão:
São Paulo: dias basicamente para rever Moyses, Renato, Enéias, Tânia.
Guta, no último dia, acaba me convidando para um cinema, esticado com café em seu apto na Oscar Freire. </t>
      </text>
    </comment>
    <comment ref="BW54" authorId="1" shapeId="0">
      <text>
        <t>Marcos Bulcão:
─ Marta pede demissao em 14 de novembro.
─ Barnaldo Lucrécia com Fernanda, Tati, Lico, Danilo e Marta. Muiiita cerveja. Dia seguinte de estudo perdido.
─ Gracinha passa 15 dias em Sampa, hospeda-se com Elita e Seu Pimentel.
─ Churrasco dia 15.
-- Sueli (namorada de Fernanda) opera o apêndice de emergência.
-- Marta arranja outro emprego em Cotia. Começa 25 de novembro.</t>
      </text>
    </comment>
    <comment ref="CA54" authorId="1" shapeId="0">
      <text>
        <t>Marcos Bulcão:
Seminários com Porchat na praia. Conseguimos o intento de fazer dois bons seminários. Praia pela manhã, seminário à tarde, buraco, conversa, vinho.
Detalhe: brindamos à meia-noite o meu aniversário com queijos e vinho (beaujolais village), jogando buraco.
Manhã seguinte (25), praia, pastel e batida, almoço, volta pra Bertioga com trânsito (desisti de ir a Sampa). Ligaçao pros amigos, passo metade do meu aniversário sozinho. Original, pra dizer o mínimo.</t>
      </text>
    </comment>
    <comment ref="AR55" authorId="4" shapeId="0">
      <text>
        <t>mb:
Tereza se muda pra Sampa. Fica comigo, no quarto no ape de Nisia.</t>
      </text>
    </comment>
    <comment ref="AW55" authorId="1" shapeId="0">
      <text>
        <t>Marcos Bulcão:
De volta a Salvador, desta vez para uma estada bem longa, preparatória para o mestrado em psicanálise em Paris.
A idéia é fazer cursos de Psicanálise, frequentar hospitais psiquiátricos com meu pai, ler bastante e escrever o projeto.
Mas isso nao, é claro, antes de curtir o verao intenso de Salvador.</t>
      </text>
    </comment>
    <comment ref="BJ55" authorId="0" shapeId="0">
      <text>
        <t>Marcos Bulcao:
Dormimos ou nao em Canterbury antes de cruzar o Canal da Mancha?</t>
      </text>
    </comment>
    <comment ref="BV55" authorId="1" shapeId="0">
      <text>
        <t>Marcos Bulcão:
SSA:
Chegada dia 01, madrugada.
Trapalhada da Gol. Atrapalham minha reserva com a de Marta, depois alteram número de vôo, perco vôo e me mandam num taxi para Guarulhos, embarque pela TAM. Pelo menos, o serviço da TAM é bem melhor: red label, filé com batatas. Cheguei quase 1h30, ainda tive que esperar para pegar minha mala, que veio no vôo da Gol. 
Com esse atraso, nada de galera lá em casa. Conversa com pais e cama.
-----------------
Sábado, 1: acordei cedo para ajudar Bado. Fomos ao comércio comprar rede, bola, pito, etc. Fábio nos encontrou lá. Terminamos e fomos juntos pro Encontro, jogar tênis até Tita chegar (previsto para 12h30). Sorte, o vôo dela atrasou muito (ficou preso em BH) e jogamos bastante. Fui até o aeroporto, dei um beijo e voltamos pro Encontro, jogar mais tênis, desta vez duplas com Black incluído. Black e Fábio; eu e Bado. 6/4 eles no primeiro set; 6/3 nosso no segundo set. O sol interrompeu a negra. Na simples, ganhei uma de Fábio e perdi duas. Perdi todas para Bado.
Do Encontro, fui ver Ratao chez lui. Marcamos a night pro Bohemia. Dani e Márcio (novo namorado), Van e Bruno, Fábio, Rato, Aids. Boa cachaça.
-----------------
Domingo, 2: niver de Badao no Encontro. Acordei cedo, peguei Rolinho e rumei pro Encontro. Fomos comprar cal, marcar o campo, bater uma bolinha enquanto o pessoal nao chegava. O baba sob o sol a pino nao durou muito, mas joguei heroicamente apesar de dois anos sem jogar bola. Um gol, atuaçao fraca, melhor do que esperava, pior do que queria. Mas ainda sei driblar. 
Tomei umazinha, fui pro P32, onde minha mae fez uma almoço famililar: meu avô e Nair, Tio Ivo, Isa, Henrique, Luciana, Francisco, Cláudia e sogra, filha (Luiza), tio Murilo, Selma, Murilinho; Luiz e Gracinha, Marta. Almocei, fiquei cerca de uma hora e meia e voltei pro niver de Bado. Lá, segundo round: feijoada, mais cerveja até 6. De lá pra Timbalada.
Timbalada: com Van e Bruno, basicamente. Fábio também foi, mas ficou com Lupita e cia. Foi muito bom dar de novo a volta no gueto.
----------------
Segunda e Terça: dias fracos. Nao fez sol, todo mundo trabalhando. Fomos ao shopping, assistimos a vários filmes na tv a cabo.
Terça à noite: jantar dos "filósofos": Waldomiro e Virgínia; João Carlos e Betty; Vitória e Jehorvan; eu, Marta e meus pais.
Quarta: praia. Corsário, depois Porto. Banho de mar sensacional, acarajé. Noite: Natal antecipado. Avô e Nair, Tatá e Jana. Pais e irmao de Jana. Demos presentes para todos. Fábio e Ratao também foram, o que deixou a noite muito mais agradável.
Quinta: almoço chez Gracinha, briga com Marta pela remarcação do bilhete (pagamento de multa, cara). Soneca à tarde, Maria João à noite.
Maria João com Dani e Márcio, Sandrinha. Fomos ver Tati e Peu cantarem. Muita cachaça: black label chez moi, 2 cubas, 2 smirnoff ice, 2 gins: fiquei bem enjoado. Música da melhor qualidade.
Sexta: Stella Maris, barraca Honolulu com Dani e Márcio, caranguejo, compra dos anjinhos. Dali, fomos pro Caranguejo do Farol, encontrar Rato, Van e Sandra. Ronei apareceu brevemente com Greice. Cerveja, caranguejo, bolinhos. Saímos de lá mais de 9. À noite, niver de Paulo Laborda. Estávamos mortos sem termos dormido entre a praia e o happy hour ou entre happy hour e festa. Chegamos lá mais de 11, saímos às duas, dormindo em pé. Pena. A festa foi até as seis, com banda ao vivo e muita cerveja.
----------------
Sábado: baba com Roninho e Bado chez Roninho. Um gol, vários perdidos, dei raça para jogar mais uma vez sob sol escaldante e dor na virilha. De lá, rumei pra Piatã, encontrar com Gracinha e Marta. Aí, melhor banho de mar do século, tamanho era o calor e cansaço muscular do baba. Uma água de coco e cervejinha para completar o 'cool down'. Fiquei poucos minutos, nos despedimos de Gracinha, rumamos para Stella Maris, onde estavam Bruno e Van, Sandra e Rato. Caranguejo, peixe frito, ficamos até 4 e meia. Dali pra casa, tomar banho rápido e ir para a Concha Acústica, ver Zeca Baleiro e o Cordel do Fogo Encantado. Este começou primeiro e fez um show fantástico, inovador. O de Zeca Baleiro também foi muito bom. Daí, pegamos o carro em Ondina e direto para Cira, onde estavam Van e Bruno, Sandra (saiu logo), Dani e Márcio, Rato e Aids. Ronei e Fábio chegaram depois. O que era para ser rápido, se esticou até meia-noite. Muito acarajé, cerveja e sobretudo muita risada.
----------------
Domingo: acordamos cedo, Marta queria embarcar no domingo para nao ter problema com o trabalho. Nao conseguimos, o vôo saiu às 9 (pensávamos que era 10). Dali fomos entao para Villas, café da manhã a quilo, compramos o presente de Janaína e fomos à praia, barraca Maré Blu, Villas. De lá, ligamos para Rato, que trouxe Ronei, Paulo Laborda, namorada deste e cunhado. Dani e Márcio chegaram depois. 
Saímos de lá quase 4, fomos para o P32, niver de Janaína. Começou a chover minutos depois de termos saído. Almoçamos churrasco, roscas, média com avô e família. Às 6 todos partiram e nós com eles. Destino: Bohemia. Banho rápido, deixei Marta lá com Ratao e Paulinho, fui ver Tia Reja. Esta estava dormindo, deixei recado que estive lá com Julinho e voltei para o Bohemia. Rato estava debandando quando cheguei. Fiquei lá com Paulinho e cia e Marta até 9 e meia, deixei Marta chez Gracinha, dei um tempo e voltei pra Ondina. Fiz mala, conversei com mãe, vi tv e fui dormir.
----------------
Segunda, 10: acordei 7, confirmei vôo, despedi de pais e Marinalva. Gracinha foi nos pegar, chegamos cedo no aeroporto. Tomamos café, encontramos Rato (que trabalhava entao na Infraero), e embarcamos. Vôo tranquilo, sanduíche a bordo. Chuva forte logo depois de aterrissarmos. Chegamos e fomos direto para casa dos avós de Marta, pegar as meninas.</t>
      </text>
    </comment>
    <comment ref="CA55" authorId="1" shapeId="0">
      <text>
        <t>Marcos Bulcão:
Estudo e bike na praia.</t>
      </text>
    </comment>
    <comment ref="AR56" authorId="4" shapeId="0">
      <text>
        <t>mb:
SSA: Sao Joao em Castro Alves, com a diretoria.
Tereza parte para BH...
Volta pra Sampa, termino...</t>
      </text>
    </comment>
    <comment ref="BG56" authorId="1" shapeId="0">
      <text>
        <t xml:space="preserve">Marcos Bulcão:
Onde encontramos Tatá. Dirigi em Londres e fui sozinho até Camden Town. Ao passar debaixo do arco do Lock Market, me senti Napoleao passando, vitorioso, debaixo do arco do triunfo. Comi crepe, fui na casa de David (que não estava) e voltei para o centro, onde estávamos hospedados. Vários shows (Bela e Fera, Saigon, )
</t>
      </text>
    </comment>
    <comment ref="BW56" authorId="1" shapeId="0">
      <text>
        <t>Marcos Bulcão:
─ Museu do Ipiranga com Luiz e Marta: dia 15/12.
─ 16/12: Conversa pra lá de back com Marta: a crise é grande. As especulações dela alcançam níveis que eu não imaginava: para resumir, é um desejo de sumir...</t>
      </text>
    </comment>
    <comment ref="CA56" authorId="1" shapeId="0">
      <text>
        <t>Marcos Bulcão:
Não tive aula de lógica na 4a, só subi na 5a. Trânsito na Anchieta, grupo de estudo na São Judas, pizza rápida com pessoal do grupo. Direto pro Quatrino, Gnocci da sorte: Moysés, Marta, Fê e Sueli, Luiz e Hailta, Henrique e amigo. Gnocci Wilker (lulas e camaroes ao pesto, maravilhoso), com direito a pedaço de bolo de surpresa, pelo aniversário.
Na 6a, aula de lógica, seminário de Porchat, pizza com ele e Ieda, casa de Marília. Sábado, almoço com Marília, no Mestiço, seminário com Porchat, Antartica com Fê, Su, Marta. A conversa foca sobre ela, chora muito, eu fico mais sensibilizado do que nunca e, se nao estivesse tão bêbado, acho que teria levado ela pra casa e aí... Reflexoes abaixo.
------------------------------------------------------------------------------------------------------------------------------------------------------------------------------------------------------------------------------
Ganho de Marta um cartão lindíssimo, que leva a dificílimas reflexoes. O cartão fala de nossos tempos, de mim, e indica claramente que ela quer voltar. E eu? Nao sei. Essas reflexoes me ocupam longamente nos dias que seguem. As palavras delas sao lindas demais para desprezar, o carinho que tenho por ela é nao menos imenso, o desejo de vê-la, de vê-la mais feliz... Que fazer? Só que sei que uma volta nao faria tudo virar flores. E minhas hesitações, dúvidas quanto ao futuro, desejo adolescente de aventuras e de liberdade? E o estudo, e os EUA, e a rotina, que cedo ou tarde nos atingiria novamente? E o tesão, conseguiria reconquistá-lo? Ela se soltaria mais? E sua tendência à infelicidade, instabilidade de humor, voltariam a se manifestar fortemente após as primeiras semanas de reconciliaçao, quando tudo "é bom"? E pra mim, quanto tempo duraria essa poesia? Um mês, dois? E o ano que vem, voltaríamos a morar juntos? E ela em Sampa, mais um ano por minha causa? E o mesmo problema de amizades, de só contar comigo??
E um possível término, desta vez por minha causa? Se contentaria ela com pouco só porque sofreu demais e agora vê que deve dar mais valor ao que tem, mesmo se nao é ideal? E minha paixao pelo ideal? Deve-se (re)começar algo mesmo se nao há esse ideal no horizonte?
-----------------
E as novas mulheres? E a minha paixão pelo novo? E o desbravamento dos EUA sozinho?
E o projeto andarilho? E o sofrimento e a angústia pela eventual reproduçao de nossos antigos problemas -- rotina, instabilidade de humor, timidez e insegurança sexuais?
----------------
E uma volta, poderia ela ser hesitante ou teria ela de ser "otimista"? Valeria uma volta que nao fosse uma tentativa real de reatamento: 2 anos no horizonte, pelo menos?
====================================================
E ano que vem, onde moraríamos? O que ela faria em Sampa, mais um ano? E profissao, onde ela se estabilizaria? E projeto andarilho: liberdade de movimento, dinheiro para carregar mais de um? Eu, sem raízes, querendo me movimentar e ancorar onde der; e ela?
------------
Uma volta, deveria ser levada a sério.
Ela termina Acupuntura em novembro. Eu termino o curso de lógica em dezembro.
Verão livre para mim X Emprego dela? = Natal juntos, aqui ou em Salvador. Casamento de Aquiles.
EUA?? Bolsa Fapesp para dois. 3 ou 4 meses de estudo e/ou exploraçao conjuntas. Zero economizado. Prazer a dois.
E NA VOLTA: MORARÍAMOS JUNTOS ??
           Morar em Sampa? Ela, mais um ano, quando finalmente está livre?
          Onde morar? Bertioga, litoral? Capital, procurar apto para nós dois, novo contrato, nova casa, nova tentativa de rotina?
                                                           Cotia, perto do emprego dela?
                                                           Qualquer litoral?
          E a residência médica? O que isso implicaria nos nossos planos futuros? Ela entraria = 2 anos mais em sampa, quando só me restaria mais um ano e meio para terminar o doutorado.
                (Seria longe demais para especular, pois talvez houvesse TÉRMINO ANTES disso? Mas essa perspectiva é tensa demais. Haveria como nao morar juntos? Sem alimentar uma nóia: já nao queria casar, agora nao quero nem morar junto!?)
RESUMINDO: NÃO SEI, NÃO SEI, NÃO SEI..................</t>
      </text>
    </comment>
    <comment ref="AR57" authorId="4" shapeId="0">
      <text>
        <t>mb:
Termino com a Cris... No comments
Tania</t>
      </text>
    </comment>
    <comment ref="BG57" authorId="0" shapeId="0">
      <text>
        <t>Angelina:
canterbury, london, (tata chegou) volta para a frança, vale do loire
(chambord, azay-le-rideau, cheverny, villandry (aquele dos jardins) tours,
paris. (asterix)</t>
      </text>
    </comment>
    <comment ref="BH57" authorId="1" shapeId="0">
      <text>
        <t>Marcos Bulcão:
Orleans 7/10
Loire 8/10 
------------
Chateau Royal de Blois;
           d'Azay-le-Rideau; 
Villandry; Chenonceau;
Chambord
-------------
Tours 9/10
Paris 10/10</t>
      </text>
    </comment>
    <comment ref="BV57" authorId="1" shapeId="0">
      <text>
        <t xml:space="preserve">Marcos Bulcão:
-----28 DEZ 2001.
Saí de casa 11h30, fui pegar Marta no trabalho, em Cotia, com tudo pronto para viajar. Tudo pronto, saímos de lá cerca de 12h40, pegamos a Raposo, cortamos para a Regis Bittencourt via Embu.
Viagem tranquila, nenhum tráfego. Paramos para almoço rápido. Trânsito mais intenso em Curitiba, por causa dos sinais na regiao próxima à cidade.
Já perto de Camburiú, paramos para comprar uma toalha de praia e numa loja de roupas de couro. Marta fez a festa: jaqueta, calça, corpete. Eu comprei uma sacola de viagem.
Chegamos finalmente às 21h na casa de CELESTE E LANA MACEDO (casadas há 7 anos). FERNANDA ALLUCI já estava lá, com EDSON (DIDI) E HUDSON (DUDA)(casados há 12 anos).
Conversa, cerveja, banho, fomos todos a uma boate gay. Fraquíssima, foi o comentário geral. Gogo boys, 90% de homens, nada demais. Alguns homens se beijando, poucas lésbicas, nada escandaloso como se poderia imaginar. A paquera é a normal. By the way, Marta conquistou uma admiradora, que me perguntou se "minha amiga era do babado". Ficamos pouco tempo lá, voltamos para casa, "LEMOS"  um pequeno back, mais cerveja, dormimos.
-----29 DEZ
Acordamos meio tarde (10h30), café, cervejinha leve, praia. Chegamos na praia 13h: Praia Brava, em Camburiú mesmo. Praia bonita, mar de águas mornas, sol estonteante. Bem gostoso tomar de novo aquele banho de mar. Sol a tarde inteira, cerveja, petiscos. Íamos sair às 17h30, mas estava tudo parado. Voltamos para a praia, sentamos num bar, cervejinha, conversa, 19h30 saímos. 
Paramos no supermercado, fazer compras: lotado. Compramos generos, churrasco, cerveja e gnocci.
Bem, dia 29 é dia de gnocci. Didi preparou o molho à bolonhesa (com tomates frescos, carne e manjericao) e o gnocci pré-cozido. Enquanto isso, todos se arrumavam para comermos.
Todos prontos, nos reunimos os SETE em torno da mesa, em pé. Comemos cada um SETE pedaços, como manda a tradiçao, fazendo os respectivos pedidos. Subimos entao para comermos o churrasco (em acréscimo ao gnocci). Repetiçoes aqui e ali, desço para tentar ver se sobrou algo e, quando vou me servir, conto exatos 7 pedaços de gnocci. Desisto de comer, pensando que alguém pode ter deixado de propósito os sete pedaços, pro santo, sei lá. Conto para todos, que ficam boquiabertos: nao fora proposital!! Duda havia sido o ultimo a se servir e deixou casualmente uma pequena sobra. Aquilo só podia ser um sinal, todos pensaram, algo como uma confirmaçao dos nossos pedidos vindouros. Pura sorte também que eu tenha notado, contado, e nao comido. Marta veio entao com o pirex com os pedaços restantes e cada um comeu o seu, mentalizando o pedido mais importante. Valeu pela graça. 
Depois de tudo, mais cerveja, conversa e cama cedo para tentar acordar cedo e ir para Floripa no dia seguinte.
-----30 DEZ
A idéia era descer para Floripa. Acordamos cedo (9h30), café rápido e estrada. Só fomos nós 5 (Celeste e Lana iriam receber parentes para almoço).
80 km separam Camburiú de Floripa. Chegamos na entrada da cidade, e a visao é impactante ao cruzarmos a ponte que nos guia ao interior da ilha. Abençoada ilha, pensamos todos. Nosso destino era a Praia Mole. Pegamos um engarrafamento estrondoso, e somente quase duas horas depois conseguimos chegar à praia. O caminho, porém, nao deixava ninguém ficar mal-humorado. A ilha é linda, subimos colinas de onde a visao era fantástica. A praia nao era menos bonita. O mar era pior para banho, mas também gostoso.
"Lemos" na praia, fiquei chapadíssimo por um bom tempo, banho de mar, 7 cervejas. 
Às 19h30, resolvemos ir embora, tentar achar um restaurante que Duda e Didi conheciam. Fomos na direçao contrária do fluxo de volta dos carros (tudo parado) e tentar um caminho alternativo até o restaurante. Mais de uma hora depois conseguimos chegar lá. O restaurante fica à beira-mar, voltado para o pôr do sol numa visao inacreditável. A comida nem precisava ser boa com aquela vista. Mas era. Era espetacular. Comemos o famoso CONGRIO, peixe local, delicioso, com porçoes de pirao de camarao (simplesmente fantástico). Grande refeiçao. O nome do restaurante, para registro, é: CHAO BATIDO.
Chegamos em casa, banho, cerveja, leitura, conversa até tarde.
-----31 DEZ
Celeste, Marta, Lana e Duda acordaram cedo para comprar peixe, lula, camarao, ainda frescos no mercado, para o jantar de ano novo. Eu, Fernanda e Didi ficamos dormindo. Quando eles chegaram, estávamos tomando café. Limpa-se o peixe, tempera, deixa tudo pronto para a hora de cozinhar. O dia inteiro foi de maresia. Quem acordou cedo estava morto e ficou meio zumbi, cochilando aqui e ali.
Os outros começamos a beber cedo. Para mim, o ápice foi às 4 da tarde. Para mim, já era ano novo. O clima estava fantástico, a risada solta.
Às 8, desacelerei, dei uma cochilada. Banho, preparativos finais. Todos prontos, fomos à praia. Já começara a chover, bem fininho. Celeste ameaçou nao ir. Tensao. Pára de chover. Celeste decide ir. Aproveitamos para sair o mais rápido possível. Menos de 5 minutos depois, já na rua, começa a chover. Mas nao há mais volta: meia-noite será na praia. Uma vez na praia, chove cada vez mais forte. O clima é maravilhoso, e a chuva só vem para dar um complemento a mais. Pés descalços na areia, sete pulos nas ondas, abraços gerais, um real para Iemanjá (o número sete nos perseguia: quando vou olhar na carteira para pegar algum dinheiro para levar à praia, percebo que tem exatas 7 notas de um real: Marta nao acredita nessa estranha -- mais uma -- coincidencia e distribui um real para cada um de nós sete). Logo depois da minha oferenda, o mar como que me entrega uma rosa aos meus pés. A onda veio, trouxe a rosa, a deixou a um centímetro dos meus pés e se foi. Peguei a rosa, agradeci, considero isso mais um sinal, como uma pétala e a devolvo ao mar (depois da ida a Tereza, a cartomante, estou totalmente místico, adorando todo e qualquer simbolismo. O ano de 2002 promete bastante e parece ser um ano simbolicamente decisivo na minha vida).
------PARA REGISTRO: Algumas conversas tensas, em que Marta manifesta o desejo de dar um tempo... 
</t>
      </text>
    </comment>
    <comment ref="BG58" authorId="1" shapeId="0">
      <text>
        <t>Marcos Bulcão:
Tatá parte dia 11</t>
      </text>
    </comment>
    <comment ref="CA58" authorId="1" shapeId="0">
      <text>
        <t>Marcos Bulcão:
Defesa de Enéias, dia 05 set. 4,5 horas.
Depois, Pirajá (lotado) —&gt; Habib´s.
Enchemos a cara, mudamos de bar (apenas eu, Moysés, Bolzani, Érica e Antônia).
Chez Moysés às 4 da manhã, bêbado, bêbado.
Dia seguinte, maresia, pizza e Amateur no vídeo.</t>
      </text>
    </comment>
    <comment ref="BH59" authorId="1" shapeId="0">
      <text>
        <t>Rota da Champagne
passagem por Reims, 
dormida em Metz</t>
      </text>
    </comment>
    <comment ref="CA60" authorId="1" shapeId="0">
      <text>
        <t xml:space="preserve">Marcos Bulcão:
aulas de lógica + são judas
</t>
      </text>
    </comment>
    <comment ref="BG62" authorId="1" shapeId="0">
      <text>
        <t>Marcos Bulcão:
Pit Stop antes da ida a Espanha. Tudo já estava comprado, bota amaciada. Era só partir.
Encontro inesperado com Ratao, que havia deixado a mochila chez Cris. Saímos prum barzinho ali perto da Rue Buffon, tomamos umas cervejas, atualizamos as novidades, lemos poemas uns dos outros, impressoes das viagens que havíamos feito (Ratao viajara sozinho, com Europass).
 Meus foram embora no dia 17, eu embarquei no dia seguinte.</t>
      </text>
    </comment>
    <comment ref="CA62" authorId="1" shapeId="0">
      <text>
        <t>Marcos Bulcão:
ajuda moyses inglês
aula de lógica
saídas com galera, cinema</t>
      </text>
    </comment>
    <comment ref="CA64" authorId="1" shapeId="0">
      <text>
        <t xml:space="preserve">Marcos Bulcão:
Encontro Qualificação na 3a, Pizzaria com excelente conversa.
Na quarta, cambial, jogos, jantar com marta
Na quinta, oficina, são judas, aeroporto —&gt; SSA
</t>
      </text>
    </comment>
    <comment ref="BG65" authorId="1" shapeId="0">
      <text>
        <t xml:space="preserve">Marcos Bulcão:
15 últimos dias de acertos. Fiquei com Thaty e Cris Rocha e Andréia. Saídas breves, cinema, museu. Não lembro bem.
</t>
      </text>
    </comment>
    <comment ref="CA65" authorId="1" shapeId="0">
      <text>
        <t>Marcos Bulcão:
Cheguei na madrugada da quinta (26-27 set). Bado e Fábio foram me buscar e fomos comer água no Bambara. Ficamos até as quatro conversando. 
Na sexta, almoço na casa de tia Selma e tio Murilo, até as 4, visita a meu avô, casa de Rato (aniversário da mãe dele). Pra lá foram também Bado, Fábio, Pedro. Cachaça e caruru até as 3h30. Rato anunciou operação de estômago.
Sábado: shopping: comprei presente de meu pai e almocei com Bado e Ronei. De lá, fui pro Quatro Rodas encontrar meus pais, primeira etapa dos 60 anos. Jantar no francês ali perto, com Tatá e Jana.
Domingo: piscina, tênis (venci tatá por 7X5 num bom jogo), petiscos. Às 4 saímos. Fui pra casa, enrolei até o jantar no Holliday Inn, com tios e primos, emendado com torta e champanhe lá em casa. Saíram de lá às 1h30.
Segunda: Porto da Barra com Dani Franco, almoço com avô, cochilo, happy hour com Bado e Fábio no Iguatemi, rápida passada na casa de Luiz e Gracinha para deixar encomenda de Marta, Pós-Tudo com Rato, Fábio, Rônei, Dani, Liu e Lilian. Até 1h30.
Mala arrumada, sono, aeroporto pra pegar vôo das 7h15.
Em Sampa, bus até Augusta, taxi até oficina, almoço com Samuca, direto pra ANPOF.</t>
      </text>
    </comment>
    <comment ref="CA66" authorId="1" shapeId="0">
      <text>
        <t xml:space="preserve">Marcos Bulcão:
ANPOF.
Terça, 01: Curso João Carlos Salles (UFBA), mesa redonda com Chateaubriand (UFRJ).
Saímos depois eu, Porchat e Luiz Eva para tomar chope na Vila Boim, Higienópolis (La Villette). Ficamos até as 10, deixei Porchat em casa, voltamos eu e Luiz pro Lorena Flat, cerveja de saideira, chez Moysés, cozinha, conversa até as 3.
Quarta, 02: Acordei 11, arrrumaçao lenta, almoço num quilo perto do Lorena. Curso João Carlos, fracas apresentações, saí mais cedo. Decidi ir pro Hotel Fórmula 1, pra relaxar e poder dormir mais cedo. Dia seguinte, era meu dia de apresentar trabalho.
Quinta, 03: GT (Grupo Temático) de Ceticismo. Cheguei pouco antes de 9, pra prestigiar o trabalho de Bob (Roberto Bolzani). Depois apresentaram Luiz Eva e outros. Discussao animada até as 2, almoço com Porchat no Piero, apresentaçao do meu trabalho -- Quine e o Ceticismo. Parece que foi boa. Plínio (Smith) apresentou em seguida, Roberto Horácio, Porchat (O Argumento da Loucura, em versão cortada, pelo tempo).
De lá, pizzaria Margherita: Maria das Graças e Lúcio, Luiz Eva, Porchat e Ieda, Moysés, Cristiano, Plínio.
Acabou cedo (9h30), e Moysés e eu decidimos continuar a conversa no O' Bar. Até 1h30. Chez Moysés, conversa na cozinha, até as 3.
Sexta: Acordei às 11, almoço, preguiça, USP (conversa rápida com Alex), estrada. Lentidão, neblina, comboio. Só cheguei quase 7. Jantar no kilo, hotel Cia do Mar, finalmente. Um pouco de tevê, organização dos arquivos, banco, net, cama.
</t>
      </text>
    </comment>
    <comment ref="CA68" authorId="1" shapeId="0">
      <text>
        <t>Marcos Bulcão:
08: impressão da Qualificação na USP
pizza com porchat
09: sessao eric rohmer com cristian
10: são judas, mais cinema
11: lógica —&gt; bertioga</t>
      </text>
    </comment>
    <comment ref="CA69" authorId="1" shapeId="0">
      <text>
        <t xml:space="preserve">Marcos Bulcão:
11/10: Marta vem passar o fim de semana comigo. Foi realmente muito legal tê-la aqui. É realmente muita pena não estar apaixonado por ela em todos os sentidos. Cerveja e boa conversa na sexta; praia, boa conversa e barzinho no Sábado; 
No domingo (13), fomos convidados por seu Geraldo (dono do Hotel) para um passeio de barco no rio local. Sensacional conhecer as pequenas ramificações do rio e pequenos paraísos naturais escondidos e ainda nao muito acessados pelo homem. Dez.
Fui acompanhar Marta até Sampa. Acordamos às 4. Antes de 6 estávamos em sampa. Fiquei na estaçao Paraíso, metrô até Jabaquara, bus pra Bertioga.
</t>
      </text>
    </comment>
    <comment ref="CA70" authorId="1" shapeId="0">
      <text>
        <t>Marcos Bulcão:
Fui na 6a pela manhã. Praia, discussões filosóficas, buraco (Dona Cotinha, mãe de Ieda estava lá). Patrícia chegou 1 da manhã, e ficamos conversando até as 4. Conversas gerais, sobre viagens, relacionamentos.
Sábado: praia, almoço, cochilo, praia, corrida, lanche
Domingo: Gianotti e Luiz Henrique foram lá pra almoçar. Praia, conversas gerais, filosofia e política, buraco, pizza em São Sebastião.
Segunda: acabo sendo convencido a ficar mais um dia. Praia, ventania, almoço, estudo leve, praia, Ilhabela: casquinha e drinque no Pier, jantar no Deck.
Terça: volta pra Bertioga, bem cedo.</t>
      </text>
    </comment>
    <comment ref="CA72" authorId="1" shapeId="0">
      <text>
        <t xml:space="preserve">Marcos Bulcão:
Grupo de Estudo +
Qualificação (25), com Luiz Henrique e João Virgílio na banca.
</t>
      </text>
    </comment>
    <comment ref="CA73" authorId="1" shapeId="0">
      <text>
        <t>Marcos Bulcão:
Cheguei 12h, almoço rápido, casa, fone Rato —&gt; CASAMENTO DE MAURICIO
Festa do casamento normal, uísque, conversas com Oli, esticada (fracassada) no Casa Amarela.
DOMINGO: é eleição! Fui pro Bahiano dar meu voto pra LULA e encontrar Fábio (Manuela, Perazzo e esposa). Almoço, sol, às 5 cerveja e 2 jogos no bahiano. Às 8, eleiçao decidida, Caranguejo de Sergipe rápido (2 cubas libres), Rio Vermelho encontrar com Eduardo, Aids, Rogério, etc. Ficamos um pouco lá, com a multidao, cerveja quente --&gt; Mercado do Peixe. Tempo só de duas caipiroskas e um arrumadinho, tiros na mesa alguns metros ao lado. Três tiros, correria, me escondi atrás de um carro, feri a mão. Um cara foi morto com dois tiros na cara. Clima quebrado, esticamos (eu, FH, Eduardo e Rogério) lá em casa. Pronunciamento de Lula, uísque, conversa até as 3.
SEGUNDA: ações, almoço, estudo na piscina, baba com Fabão (1 golzinho), churrasco lá mesmo (niver de alguém de lá).
TERÇA: almoço, época na piscina, corrida na orla, "formatura" de isabela, niver de Greice (com Ronei, Paulinho Laborda, Aids, Rato, Nuno, Pajé).
QUARTA: almoço com avô, estudo na piscina, happy hour com FH, Bado, Pedro, até as 10. Niver de Marília. Meia-noite em casa.
QUINTA: almoço chez avô, escritório de Tatá, corrida na orla, Varadero (Aeroclube): com Rato, Aids, Paulinho Laborda, Dani Franco e Liu. Fui deixar Liu (Lílian) em casa e ficamos.
SEXTA: fui a vítima! Marcamos praia, ela diz vamos deixar o controle remoto em Villas num apê nosso, ok, subimos. Bar, sofá, quarto... Não pisei na areia. À noite, ela ia pra formatura; do outro lado, fomos (eu, Rato, FH, Vanessa e Dani) pro Pós-Tudo. Ri muito.
SÁBADO: Almoço rápido com pais, Caranguejo de Sergipe com Van, Rato, Cristina Rocha, Aids, Pedro e Andréa, Dani Franco. Ficamos lá até as 8. Furou a saída com Liu, fui jantar chez Tatá, com Jana e pais.
DOMINGO: almoço rápido no Baby Beef. Pedro lá me pegou e fomos pro Barradão, ver o BA X VI. Jogo horrível, Bahia perde muitos gols e um penalti. Vitória vence por 1X0. De lá, Caranguejo de Sergipe com Pedro e Rato, até 8 e pouco, marquei com Liu às 9h30. Varadero, duas roskas, fomos embora, ela precisava acordar cedo. Mas era meu último dia em SSA, e insisti para irmos ao Del Rey. Coisa rápida, de uma hora e meia. Não vai rolar de novo, com certeza.
SEGUNDA: volta pra Sampa.</t>
      </text>
    </comment>
    <comment ref="CA74" authorId="1" shapeId="0">
      <text>
        <t>Marcos Bulcão:
Cheguei a Sampa às 9, deixei malas lá, fui pro Tietê comprar passagem pra BH, e fui encontrar Marta no Viena. Almoço, chopes vários, carona pra pegar o Peugeot na revisão.
Acabei indo dormir na casa dela, pra ter privacidade e estudar melhor. Fiquei lá até quinta.
Lá, estudo durante o dia, à noite conversa e vinho. Nao rolou nada. Ainda nao sucumbimos nenhuma vez ao flash back.
Quinta, grupo de estudo, conversa com Moysés à tarde, Pasquale com Alex, Enéias, Samuel e Moysés.
Sexta, dei aula, joguei bola com a galera, e à noite fui no niver de Marília. Altas conversas com Larissa (do Piauí, mas feinha) e alguma conversa e paquera incipiente com Liu (outra Liu)... Perspectivas? Nao sei.
Sábado, almocei chez MOysés e voltei pra Bertioga.</t>
      </text>
    </comment>
    <comment ref="CA76" authorId="1" shapeId="0">
      <text>
        <t>Marcos Bulcão:
Bado me propõe ir mais cedo para BH. Aceito. Compro uma passagem pela Gol. Chego lá na 4a, 4 da tarde. Espero Bado até as 8h30 da noite, num bar-restaurante. Almoço e estudo. Vamos prum hotel pago pela empresa dele. Saímos prum barzinho, colocamos a conversa em dia. Torpedo pra uma loira gatíssima, sem proveito.
Na 5a, tevê (tênis), troca de hotéis, enquanto Bado fazia visitas pela empresa. A galera chega no fim da tarde. Conversa, combinações. Vamos pro Albano's: eu, Bado, Fábio, Príncipe, Ulisses, Rogério e esposa, Adrianinha, Dani-angel, mais dois caras desconhecidos.
Ficamos lá um pouco (petiscos, dois jacks) até o Pássaro dar sinal verde. De lá, fomos pro New Sagitarius: meia garrafa de uísque, Playboy 2 com 4 meninas. Um mega-evento.
Chegamos de volta no hotel quase 7. Acordamos o pessoal, resenha no café da manhã. Eu o Pássaro emendamos. Cerveja direto, piscina, dominó, pizza. Só fomos dormir quase 1 da manhã, 40 horas acordados.
Sábado, acordamos e fomos almoçar num rodízio (péssimo por sinal). Almoço, cerveja, volta pro flat: é o dia D. Casamento, uísque, paquera, praticamente sou empurrado para Daniela, sobrinha de Ulisses, 18 anos recém-completados! Mais um beijo (bem) roubado de Daniela-32, prima da primeira Dani.
Domingo: acordamos exaustos, almoçamos no hotel (Bado partiu cedo demais, às 8). A maioria partiu às 4 da tarde. Eu fiquei no hotel, aproveitando que Paulão e Edmilson só iam na segunda. Assistimos aos jogos, vimos o Palmeiras cair pra segundona. Às oito e meia, taxi pra Rodoviária, leito pra Sampa. 
Segunda, Metrô para Jabaquara, ônibus para Bertioga. Sono até as 4 da tarde. Bike, resenhas.</t>
      </text>
    </comment>
    <comment ref="CA78" authorId="1" shapeId="0">
      <text>
        <t xml:space="preserve">Marcos Bulcão:
grupo de estudo + últimas aulas de lógica
</t>
      </text>
    </comment>
    <comment ref="CA79" authorId="1" shapeId="0">
      <text>
        <t>Marcos Bulcão:
Fim de Semana: Mineirinha ressurge das cinzas, manda mail, eu convido pra cá e Bertioga perde a virgindade.
Pós fim-de-semana: micro quebrado e maior período de estudo no PHD!!</t>
      </text>
    </comment>
    <comment ref="CA80" authorId="1" shapeId="0">
      <text>
        <t xml:space="preserve">Marcos Bulcão:
Fui passar o Domingo com Porchat e Ieda, acabei ficando pra dormir. </t>
      </text>
    </comment>
    <comment ref="CA81" authorId="1" shapeId="0">
      <text>
        <t>Marcos Bulcão:
Últimos dias de Bertioga, nesta temporada ao menos. 
Dia 08, à noitinha, fui interinamente para Guaecá.
Muito estudo, dieta e exercícios.
=============================</t>
      </text>
    </comment>
    <comment ref="CA82" authorId="1" shapeId="0">
      <text>
        <t xml:space="preserve">Marcos Bulcão:
Dias interinos em Guaecá, não sei se muito efetivos para estudo. Fico até dia 12, pela manhã. 
(PORCHAT EMPRESTOU A CASA)
==========================================================================
Dia 09/12. Fui correr na praia. Chegando na ponta, resolvo escalar o morro. Porchat já tinha me falado da vista, que Patrícia já tinha subido algumas vezes, inclusive com as filhas. Penso entao que é fácil. Mas nao acho a trilha -- se há alguma -- e faço a subida por um caminho enviesado, difícil e lento, em meio ao mato (baixo, pelo menos). Imprimo ritmo forte e em pouco mais de dez minutos chego ao topo. 
Vou entao até a ponta, para ver a vista dos dois lados: Guaecá e Baraqueçaba. Lindíssima vista. O problema agora é a descida. Procuro uma trilha mais fácil, condizente com o fato de que duas crianças foram capazes de subir. Avisto algo que parece um caminho fácil e sigo. Vou descendo, facilmente durante um tempo, mas logo depois começo a entrever apenas dificuldades. Ainda assim acho que dá. Chego na metade (+-) da descida e constato o erro do meu caminho. A continuar descendo por ali, vou dar direto nas pedras, sem trilha alguma, e bem longe da praia. Alternativa: voltar tudo, ie, subir tudo de novo. A idéia de subir é horrível, ainda mais considerando que alguns trechos de descida o fiz com saltos. A volta poderia ser mais do que difícil... Pois bem, teimoso e otimista, resolvo seguir adiante. Chego nas pedras e percebo a gravidade do meu movimento: estou BEM longe da praia realmente, nao há trilha, e mesmo pelas pedras há trechos íngremes, possivelmente escorregadios, difíceis e/ou perigosos. Além disso, de onde estava nao podia avistar todo o caminho a fazer, de modo que poderia mesmo haver algum trecho intransponível. Ir nadando, àquela hora (quase 8 da noite, ia escurecer dentro de minutos), era inviável.
Resolvi continuar. Era isso ou dormir ali, numa "plataforma" lisa de pedras, somente de sunga e tênis. 
Tirei o tênis, para maior aderência, e continuei, lentamente e com todo o cuidado. Algumas partes eram mais fáceis, porém em outras a dificuldade e perigo potencial eram grandes: inclinaçao maior, algum limo, falta de aderência... A adrenalina era máxima, porque além de tudo nao podia ir muito devagar porque, se escurecesse, aí que nao poderia continuar mesmo, sem ver onde estava pisando. Mais outros infinitos minutos e consegui alcançar a praia, aliviado, confesso.
Voltei o trecho de areia correndo e celebrando o feito. 
Detalhes: 
1) apenas cinco minutos depois a visão já estava suficientemente prejudicada pela escuridão crescente, em dez minutos já nao seria possível enxergar com os detalhes necessários os lugares onde pisaria;
2) apenas cinco minutos depois, começou a GAROAR, bem levemente, mas certamente o suficiente para tornar as pedras mais escorregadias e aumentar consideravelmente o perigo da travessia. 
UFA! É tudo o que posso dizer.
</t>
      </text>
    </comment>
    <comment ref="CA83" authorId="1" shapeId="0">
      <text>
        <t>Marcos Bulcão:
Saí de Guaecá às 2 da manhã, cheguei em Sampa às 5h40. Dormi num motel por três horas, na Washington Luís, para esperar a hora da Reuniao dos professores, às 10.
Reuniao terminada, fui chez Padre Samuel, que topou ficar com minhas caixas de mudança. Maravilha.
Chez Moysés, pegar Enéias, Porchat, para reuniao na Sao Judas.
Pizza até quase 9, emendamos no Pasquale (Guta, eu, Enéias, Moysés, Bob), saímos quase 1, deixei a galera em casa e ainda tomei a saideira com Moysés, no Souza, av. Pompéia.
-------
Sexta: almoço com Porchat, banco, stand center, compras "eletrônicas", frei caneca, mais compras de natal e cinema com Moysés.
Sábado: usp, biblioteca, dolares de Marcelo com Tatiana, almoço chez Elita, niver de seu Pimentel. Fico lá até 6, chez Moysés, banho, SPOT com Christian, irmã (Angela), Moysés, Samuel e Guta. Comemos bebemos estouramos champagne à meia-noite para celebrar niver de Guta.
Depois, pós saideira no Antartica, com Fê, Sueli, Marta, Luís, Hailta.
Domingo: depois de dias sem dormir, acordei às 2, almoço, final, santos campeao, guaecá.</t>
      </text>
    </comment>
    <comment ref="CA84" authorId="2" shapeId="0">
      <text>
        <t xml:space="preserve">Marcos:
Mais alguns dias de estudo e corridas na praia. Subi pra Sampa dia 18 para o almoço com Otávio Bueno.
</t>
      </text>
    </comment>
    <comment ref="CA86" authorId="2" shapeId="0">
      <text>
        <t>Marcos:
Fui visitar Marcelo no Rio, que está morando no Leblon, de frente para o campo do Flamengo, vista quase completa da Lagoa, do Corcovado, a 10 min da praia...
Corrida básica em volta da lagoa, linda.</t>
      </text>
    </comment>
    <comment ref="CA87" authorId="2" shapeId="0">
      <text>
        <t>Marcos:
Natal com meu avô e família, algumas saídas com a galera.</t>
      </text>
    </comment>
    <comment ref="CA88" authorId="2" shapeId="0">
      <text>
        <t>Marcos:
Porto com Eduardo. Chuva nos dois primeiros dias, depois abriu. Roteiro básico: Arraial d'Ajuda, praia e shows.
Exceção para o Reveillon em Porto mesmo, barraca Barra Mares, para facilitar nossa viagem na manhã do dia primeiro.
Dani Angel: 28/12; 01/01!!!!</t>
      </text>
    </comment>
    <comment ref="AR91" authorId="0" shapeId="0">
      <text>
        <t>Marcos Bulcao:
corte do cantagalo: ape bem legal, com vista pra maravilhosa Lagoa. Reveillon chez Celso e Gabi, com caminhada ate Copa para ver os fogos. Os outros dias, quase todos na maresia. Prega total, jantar na lagoa, boliche no shopping; pub no ultimo dia, quando fiquei com Helena, "inaugurando" o ano.</t>
      </text>
    </comment>
    <comment ref="AZ92" authorId="0" shapeId="0">
      <text>
        <t>Marcos Bulcao:
chegada a SSA no próprio dia 12, entao nao caracteriza o (+1 day)</t>
      </text>
    </comment>
    <comment ref="BB92" authorId="0" shapeId="0">
      <text>
        <t xml:space="preserve">Marcos Bulcao:
5a-feira, 11 jan 2007. Tudo comecou na Corrida Sagrada, com largada 'as 7h30. Corremos eu, Peu, Duda, Rogerio e Cesar. 6,5k em 29'15'' (eu); 29'36'' (Peu). 'As 8h15, Peu ja' estava com uma latinha de cerveja na mao. Voltamos a pe', pegando o cortejo no contra-fluxo. Calor forte, ritmo da bebida tambem. Ao chegarmos perto do mercado modelo, os "trabalhos" comecaram. Pedro pegou uma boa peituda e eu e Duda comecamos a queixar todas. Peu ainda pegou outra, eu tambem peguei duas, Duda ficou no zero. E Rogerio a tudo assistia e ria, meio incredulo.
Depois de duas quedas de Peu (de tao bebado), conseguimos pegar um taxi. Deixei Peu em casa, voltei pra Ondina, banho, dr. Scholl, peguei Duda e de volta pra casa de Peu. Ze' Luis nos encontrou em seguida e seguimos entao pro aeroporto, partida pra Fortaleza. 
Voo no horario (21h), chegamos no hotel Brasil Tropical (av. Abolicao 2323) pouco antes das 23h30. Peu morgou, nos 3 fomos pro Croco-beach, uma barraca na Praia do Futuro. La', so' putas e piriguetes de carteirinha. Nao conseguimos nem  beber nem interagir muito, mas ja' deu pra sentir que o ritmo seria forte. 
Na 6a, conseguimos acordar a tempo do cafe' e depois seguimos pra Praia do Futuro, barraca Coco-beach. Fechamos 1 grade certinha, atendidos por Zeferino/Severino. Caraguejo (excelente); massagem de Erica, banho de mar, mercado (comprar bebida -- gim e teachers e redbull --, agua, pao e queijo e salgadinhos), hotel no final da tarde. Sono ate' as 22h. Destino da noite: Mucuripe, um espaco gigantesco, com 5 ambientes, muito bom mesmo, algo que faria muito bem a Salvador. 
Ze' logo se perdeu da gente (depois de pedidos 8 gins) pra nos encontrar tempos depois. Os outros tres achamos um espaco onde tocava axe'. Peu estava devagar, eu e Duda abordamos duas cearenses. Conversa boa, tudo parecia indicar a abertura do placar, nada. Ambos tomamos. Peu sumiu. Demos outra volta e, quando ja' iamos rodar pra conhecer outro ambiente, recebi uma olhada fulminante e encostei em Tatiana, paulista que mora em Fortaleza ha' 7 anos. Aniversariante da noite, me ofereci de presente. Coro longo ate' reachar a galera. Primeiro Ze' (que depois vi com uma loira), depois Duda e Peu. Fomos ao ambiente-boate e la' ficamos ate' o final. Algumas abordagens rapidas, sem sucesso e casa. Ze' se perdeu mais uma vez e voltou de taxi sozinho. 
Chegamos no hotel quase no horario do cafe' da manha (6h30), comemos e cama. 
No sab., a ideia original era ir para Cumbuco, mas acordamos tarde e nao rolou. Fomos dar uma volta na orla antes de ir 'a praia e ai' o evento inesquecivel da viagem. A galera, em alta rotacao, mexeu com 3 garotas que passaram. Uma sorriu, olhou pra tras e Duda colou atras pra conversar. Sarah o nome dela, bonitinha, totalmente pegavel. As outras duas eram Maiana, menos bonitinha mas tambem pegavel, e LADYANE (!?!), algo que classificamos como "o zero absoluto na escala do terror", algo que "pior do que ela, so' se tiver pica", algo como uma "mosca marciana gigante, recem saida de seu estado de larva", etc, etc. 
Peu, movido, segundo ele, por um instinto solidario, foi apoiar o avanco do Principe. Mas, em vez de colar em Maiana, colou justamente em Ladyane (?!?). Ze' tentou colidir um pouco Duda, mas depois ficou na retaguarda, eu mais distante, nao querendo encarar aquela luta antes ainda de meio-dia. 
Conversa vai, conversa vem, Duda parecia fazer progressos, Ladyane parecia passado e a conversa ficava mais coletiva. O que fazer, praia do Futuro, Cumbuco, vamos juntos ou nao, etc. De repente, Duda se refere a Ladyane dizendo que ele havia desprezado nosso amigo. "ELE QUE NAO ME QUER", foi a sua resposta. O mundo parou, alguma atitude precisava ser tomada. E, para a nossa mais completa incredulidade, foi tomada. Peu nao se fez de rogado, encostou e beijou, honrando o approach original. Mas beijou nao apenas uma, mas TRES vezes. E de lingua! Horario registrado por Ze' Luis: 11h48 da manha. 
Tendo Sarah jogado duro (so recebeu uns pitoques), fingimos querer ir pra Cumbuco e fomos novamente pra praia do Futuro, barraca Coco-beach. Natasha e o brinde embratel. Fechamos quase uma grade (20), mais caranguejos (nao tao bons), camaroes pistola. A pequenina Carol e seu queijo coalho. Massagem da safada Carla (que nao perdia oportunidade de ir no limite das minhas coxas)(destaque para seu amigo figuraca-ruivo-quase-traveco Michel). 
E, claro, mais dois momentos impagaveis de Peu. (1) Conversando com Carla, que insistia para que ele fizesse massagem, ele solta "e o cu?" -- o vento para de soprar, as ondas se seguram no ar, as pessoas da barraca paralisam; eu, Duda e Ze' simplesmente nao acreditavamos, queriamos estourar de rir, mas nao podiamos, apesar de Carla ter levado relativamente na boa. (2) Ja' perto do final, Duda e Ze' pegam pressao e vao pra parte coberta da barraca, onde estava tocando uma banda. Ficamos eu e Peu, em rotacao mais do que total, ele dizendo que ia encostar em tres coroas ali perto. Esbocou ir umas duas vezes, mas nao hesitou quando elas pediram a conta. Abordou a ultima, Abigail, e tentou de tudo para roubar-lhe um beijo. Ela parecia totalmetne receptiva, conversaram bastante, mas se esquivou das investidas. Nao ha' registro, infelizmente, do teor exato da conversa...
Eu, pensando em sair com Tatiana, quis tomar o rumo do hotel e levei Peu, que estava bem perto de dar PT. Duda e Ze' resolveram ficar, ainda mais porque Duda conseguiu se armar com uma baixinha bem gostosa. Mercado rapidamente (agua, pao e queijo), lanche no hotel. Os caras chegaram, resenha e cama. O cansaco era tremendo e, quando Tatiana disse que iria para um pagode com as amigas (niver dela), resolvi limar. Ela era bonitinha, mas nao quis dar a garra de enfrentar a noite toda com ela para, no final, comer. Mortos, so' fomos acordar 0h30. Rapidas especulacoes sobre se sairiamos, decidimos que sim. Peu morgou, mais uma vez. Banho, uisque, gin, saimos ja' bem tarde de casa. Palpites para o taxista, acabamos indo para Iracema, antigo point da cidade, hoje concentracao total de putas. No caminho pra la', mexemos com algumas putas de rua. A uma delas, que estave semi-nua, com vestido de oncinha e a bunda de fora, Ze' lanca o seu classico "assim eu me apaixono". A resposta veio pronta: "que mane' paixao!" com uma voz nada feminina...
Em Iracema, eu pego pressao, logo interajo com Veronica. Comeco pedindo um beijo, que me e' dado. O pau sobe, vejo o resto do movimento, o desanimo das caras, decido carregar ela para um programinha. Sair de Fortaleza sem comer uma puta e' quase como ir a Paris e nao ir ao Louvre (pobre Fortaleza, que fama!). Dali fomos primeiro para um hotel que estava lotado. Por sorte. Ele cobrava 60 reais, o seguinte que encontramos cobrou incriveis 11 reais !! e era bem direitinho, tenho de dizer (bem melhor, por ex, que o quartinho pra la' de mequetrefe do VIP). Para minha agradavel surpresa, ela quando tirou a roupa se mostrou bem mais gostosa do que supus, com uma bundinha deliciosa, pele macia e bem safada na cama. Comi Veronica com gosto, varias posicoes, por muito tempo. Tentei comer de todo jeito sua bundinha, ate' propus uma aposta "o dobro ou nada" (disse que so' ia gozar na bundinha dela); ela recusou a aposta, mas teria ganho. Me pagou um boquete/punheta e gozei no teto. Uma "puta dedicada", como mais tarde defini. 
Cheguei no hotel 6h30, os caras ja' estavam la' havia tempo, acordei todo mundo e carreguei pro cafe da manha. 
No dom., acordamos todos derrotados, sem conseguir forca para nada. Ir uma 3a vez pra praia do Futuro nao ganhou nenhuma determinacao, ir pra qualquer praia distante ja' estava fora de cogitacao. Acabamos indo parar no Shopping Iguatemi, onde tivemos nossa primeira refeicao desde a chegada. Eu no japones, eles num grill. Ficamos ali na praca de alimentacao tomando primeiro chope, depois uisque e vodka. Ate' pipocar uma estranha alergia em mim (causa nao identificada). Meu rosto comecou a ficar vermelho, a orelha roxa. Farmacia, polaramine e hotel. Eu ja' queria uma noite morta, aquele era o pretexto para recuperar energia. Peu concordou de pronto, Ze' e Duda desistiram de sair logo depois. E foi a melhor coisa porque...
Na 2a, conseguimos acordar cedo (8h30), tomar cafe' e rumar para o Beach Park. Chegamos la' pouco antes de abrir (10h30) e ficamos la' ate' pouco depois de fechar (17h30). Fomos e voltamos (80 reais ida/volta) com seu Benedito , um taxista que havia nos levado um dia pra praia do Futuro. Foi um dia otimo. Insano (3X), Calafrio (3X), Esfinge, Sarcofago, Naja, incontaveis "Plunktplaktzum", "Mocreia", "Cheetos", etc. 
Hotel, lanche, breve sono e Pirata. Outro lugar espetacular, bem legal mesmo. Sem putas, o que ja' e' um otimo comeco, cheio de turistas. Compramos algumas bebidas e Duda e Peu comecaram rapido e logo se armaram. Eu e Ze' ficamos circulando, queixei uma menina linda (Luiza, e sua irma, nao menos bonita, Laura), nada. Reencontramos uma paulista (Fernanda), conversamos mas nao rolou tambem. Quando estavamos subindo pra procurar os caras, uma olhada e encostei em Celia, com um approach estilo carnaval. Dei provavelmente o primeiro beijo mais longo da historia das pegacoes furtivas (à exceçao, talvez, do beijo de Peu no ultimo alcoolman). Com isso, me perdi dos caras e fui circular, mas ja' com muito mais confiança devido ao placar aberto. Queixei uma amazonense deliciosa, nada. Depois encontrei Debora, outra amazonense, gata, com um sorriso absoltuamente encantador, e sua amiga Marcia (fraquíssima). Encostei, conversei, ela resistiu à primeira abordagem. Mas ali fiquei, conversando, sem ter qualquer pressa de ir embora. Conversava com as duas, dando especial atençao a Marcia. Uma certa hora, Debora saiu para ir ao banheiro, Celia decidiu ficar ali, eu também. Na volta, vendo Debora que eu ainda estava ali, meio que se desarmou. Na vez seguinte que a abordei, ela me beijou com vontade, e que beijo gostoso. Que beijos gostosos, deveria dizer. Ficamos juntos até ela ir embora (cerca de 3h30), dançando, conversando e beijando. Grande pegada. 
Às 4h15, como combinado saímos do Pirata. Mas só estávamos eu e Duda (que tambem pegou duas). Peu e Zé haviam desaparecido. Quando chegamos no hotel, Peu já estava lá (tinha carregado uma das mulheres que ele pegou pra comer), mas só fomos reencontrar Zé já no aeroporto, depois de também ter comido a mulher que ele pegou (sobrinha da de Peu). 
Eu cheguei no aeroporto mais bêbado do que saí do Pirata e bêbado estava quando o aviao decolou. Duda e Peu estavam ainda em alta rotaçao: pediram 3 uísques e abordaram uma aeromoça da TAF. No aviao, Peu totalmente pressao ainda sentou do lado de uma menina, conversou, tentou pegar, nao conseguiu mas deitou e dormiu no colo da mesma. Que figura !! Que viagem !!
Já em Salvador, pegamos o carro de Peu que deixáramos no estacionamento, Peu nos deixou em casa e nos prometemos nao nos encontrar nos proximos meses... 
</t>
      </text>
    </comment>
    <comment ref="CB92" authorId="0" shapeId="0">
      <text>
        <t xml:space="preserve">4560 Boulevard Lassale, #112
Verdun-QC, 
H4G 2B1
</t>
      </text>
    </comment>
    <comment ref="CG92" authorId="0" shapeId="0">
      <text>
        <t xml:space="preserve">4560 Boulevard Lassale, #112
Verdun-QC, 
H4G 2B1
</t>
      </text>
    </comment>
    <comment ref="AY93" authorId="0" shapeId="0">
      <text>
        <t>Marcos Bulcao:
Cheguei mesmo no dia 12/mar ?!?!?!?</t>
      </text>
    </comment>
    <comment ref="BQ93" authorId="0" shapeId="0">
      <text>
        <t xml:space="preserve">Stonehenge &amp; Bath
(w/ David)
</t>
      </text>
    </comment>
    <comment ref="BR93" authorId="0" shapeId="0">
      <text>
        <t>Marcos Bulcao:
13 Lynmouth Drive</t>
      </text>
    </comment>
    <comment ref="CB93" authorId="0" shapeId="0">
      <text>
        <t>Skiing, with Pitta</t>
      </text>
    </comment>
    <comment ref="CL93" authorId="5" shapeId="0">
      <text>
        <t>Apto Leblon:
sem Tatá e cia, só Val</t>
      </text>
    </comment>
    <comment ref="BR94" authorId="0" shapeId="0">
      <text>
        <t>Marcos Bulcao:
com David</t>
      </text>
    </comment>
    <comment ref="CB94" authorId="0" shapeId="0">
      <text>
        <t xml:space="preserve">ORLANDO:
Hotel: Orlando Continental Plaza
Car: Budget; black Suzuki
Island of Adventure (w/ Tata' &amp; cia: briefly)(--&gt; Supertarget)
Epcot (--&gt; Tony Roma's w/ Peu e Dea)
Universal Studios (--&gt; Margarita Villa w/ Peu e Dea)
Magic Kingdom (w/ Bado &amp; cia)
Sea World (+ Oliver Garden w/ Bado &amp; cia)
Animal Kingdom (w/ Bado &amp; cia)
Hollywood Studios (+ Carraba's w/ Tata' &amp; cia)
Magic Kingdom: Illumination + Fireworks: Farewell !
Walmart/Outlet Lake Buena Vista 
                          (--&gt; Bahama's Breeze w/ Jorge Canedo &amp; cia)
Florida Mall/Airport
=====================================
</t>
      </text>
    </comment>
    <comment ref="CG94" authorId="0" shapeId="0">
      <text>
        <t>Decolagem de Miami: 23h00
O que garante estarmos no espaco aereo americano ate' a meia-noite</t>
      </text>
    </comment>
    <comment ref="BM95" authorId="0" shapeId="0">
      <text>
        <t xml:space="preserve">
76 Leslie Road, London N2 8BJ</t>
      </text>
    </comment>
    <comment ref="BR95" authorId="0" shapeId="0">
      <text>
        <t xml:space="preserve">Comment:
Van &amp; Bruno 
chez nous: from 16 to 24
with us:      from 20 to 24
</t>
      </text>
    </comment>
    <comment ref="CB95" authorId="0" shapeId="0">
      <text>
        <t>Decolagem de Orlando: 23h00
O que garante estarmos no espaco aereo americano ate' a meia-noite (25--&gt;26)</t>
      </text>
    </comment>
    <comment ref="CG95" authorId="0" shapeId="0">
      <text>
        <t>Apto Leblon: Cupertino Durao
––––––––––––––––––––––––––––––––
Angelina falece no dia 07, voo pro Brasil no dia 08, chegada no dia 09, para cerimonia de cremacao. Bee fica em Montreal, com Mariana. 
Do Rio pra Salvador, apoio afetivo e logistico a meu pai; amigos; medicos...</t>
      </text>
    </comment>
    <comment ref="CB96" authorId="0" shapeId="0">
      <text>
        <t xml:space="preserve">4560 Boulevard Lassale, #112
Verdun-QC, 
H4G 2B1
</t>
      </text>
    </comment>
    <comment ref="CL96" authorId="0" shapeId="0">
      <text>
        <t xml:space="preserve">771 Rue Beatty
H4H 1X9
</t>
      </text>
    </comment>
    <comment ref="BM97" authorId="0" shapeId="0">
      <text>
        <t xml:space="preserve">NORFOLK
Norwich
-- University
-- Cathedral
Cromer
Sheringham (sleep)
Blickling National Trust
(Anne Boleen's house)
Horse races
</t>
      </text>
    </comment>
    <comment ref="CB97" authorId="0" shapeId="0">
      <text>
        <t xml:space="preserve">with Francele:
LCBO
Festival de Tulipas
Beer
Red Lobster
</t>
      </text>
    </comment>
    <comment ref="CL97" authorId="0" shapeId="0">
      <text>
        <t>Hotel Portneuvois</t>
      </text>
    </comment>
    <comment ref="AX98" authorId="0" shapeId="0">
      <text>
        <t>Marcos Bulcao:
Meia-maratona
com Gui e Peu</t>
      </text>
    </comment>
    <comment ref="BR98" authorId="0" shapeId="0">
      <text>
        <t xml:space="preserve">Pit Stop: 
Comfort Guarulhos
</t>
      </text>
    </comment>
    <comment ref="CB98" authorId="0" shapeId="0">
      <text>
        <t>Parc Acquatique, c/ Francele</t>
      </text>
    </comment>
    <comment ref="CL98" authorId="0" shapeId="0">
      <text>
        <t xml:space="preserve">771 Rue Beatty
H4H 1X9
</t>
      </text>
    </comment>
    <comment ref="CB99" authorId="0" shapeId="0">
      <text>
        <t>Parc Acquatique, c/ Francele</t>
      </text>
    </comment>
    <comment ref="CL99" authorId="0" shapeId="0">
      <text>
        <t>Toronto Plaza Hotel
1677 Wilson Avenue
––––––––––––––––-
Só eu, desta vez. 
Masters Toronto: 
––––––––––––––
Federer 2X0 Polansky
Wawrinka 2X1 B. Paire
Murray 2X0 Kyrgios
Djokovic 2X1 Monfils
Raonic 2X1 Jack Sock</t>
      </text>
    </comment>
    <comment ref="CB100" authorId="0" shapeId="0">
      <text>
        <t>Parc Acquatique, 
c/ Bee; Francele; Martine; Simobio;</t>
      </text>
    </comment>
    <comment ref="CG100" authorId="0" shapeId="0">
      <text>
        <t xml:space="preserve">4560 Boulevard Lassale, #112
Verdun-QC, 
H4G 2B1
</t>
      </text>
    </comment>
    <comment ref="CL100" authorId="0" shapeId="0">
      <text>
        <t xml:space="preserve">771 Rue Beatty
H4H 1X9
</t>
      </text>
    </comment>
    <comment ref="CB102" authorId="0" shapeId="0">
      <text>
        <t>Decolagem de Orlando: 23h00
O que garante estarmos no espaco aereo americano ate' a meia-noite (25--&gt;26)</t>
      </text>
    </comment>
    <comment ref="CG102" authorId="0" shapeId="0">
      <text>
        <t>Moramos: 
De 10 jun 2011 a 28 jun 2013
-----------------------------------
Contrato terminado 30 Jun</t>
      </text>
    </comment>
    <comment ref="CL102" authorId="5" shapeId="0">
      <text>
        <t>4633 Cumbrian Lakes Drive, Kissimee
––––––––––––––-
Casa alugada: Peu, Dea, meninos e D. Lourdinha</t>
      </text>
    </comment>
    <comment ref="CG103" authorId="0" shapeId="0">
      <text>
        <t xml:space="preserve">771 Rue Beatty
H4H 1X9
</t>
      </text>
    </comment>
    <comment ref="BC104" authorId="0" shapeId="0">
      <text>
        <t>St Ives; St Juste
Trerice National Trust
Portreath; Lanhydrock
Stonehenge</t>
      </text>
    </comment>
    <comment ref="CG104" authorId="0" shapeId="0">
      <text>
        <t>Hotel Best Western</t>
      </text>
    </comment>
    <comment ref="CL104" authorId="0" shapeId="0">
      <text>
        <t xml:space="preserve">771 Rue Beatty
H4H 1X9
</t>
      </text>
    </comment>
    <comment ref="BW105" authorId="0" shapeId="0">
      <text>
        <t xml:space="preserve">Chez Francele's:
82, rue Gordon
Verdun
</t>
      </text>
    </comment>
    <comment ref="CG105" authorId="0" shapeId="0">
      <text>
        <t xml:space="preserve">771 Rue Beatty
H4H 1X9
</t>
      </text>
    </comment>
    <comment ref="BW106" authorId="0" shapeId="0">
      <text>
        <t xml:space="preserve">4560 Boulevard Lassale, #112
Verdun-QC, 
H4G 2B1
</t>
      </text>
    </comment>
    <comment ref="CG106" authorId="0" shapeId="0">
      <text>
        <t>Hotel Portneuvois</t>
      </text>
    </comment>
    <comment ref="BR107" authorId="0" shapeId="0">
      <text>
        <t>Chez Marcele</t>
      </text>
    </comment>
    <comment ref="BW107" authorId="0" shapeId="0">
      <text>
        <t>With Cyrus:
Montebello e Chateau Vaudreuil</t>
      </text>
    </comment>
    <comment ref="CG107" authorId="0" shapeId="0">
      <text>
        <t xml:space="preserve">771 Rue Beatty
H4H 1X9
</t>
      </text>
    </comment>
    <comment ref="BW108" authorId="0" shapeId="0">
      <text>
        <t xml:space="preserve">with Francele+Mariana:
basically 
LCBO + Red Lobster
</t>
      </text>
    </comment>
    <comment ref="BF109" authorId="0" shapeId="0">
      <text>
        <t>Marcos Bulcao:
presumivelmente atravessei a fronteira já no dia 05, logo o dia vai para a Franca</t>
      </text>
    </comment>
    <comment ref="BM109" authorId="0" shapeId="0">
      <text>
        <t xml:space="preserve">Marcos Bulcao:
192 North Gower Street
London NW1 2LY
</t>
      </text>
    </comment>
    <comment ref="CG109" authorId="0" shapeId="0">
      <text>
        <t xml:space="preserve">771 Rue Beatty
H4H 1X9
</t>
      </text>
    </comment>
    <comment ref="AT110" authorId="0" shapeId="0">
      <text>
        <t>Marcos Bulcao:
Marcos Bulcao:
Conexao Lisboa, porém voo de dia = chegada no mesmo dia</t>
      </text>
    </comment>
    <comment ref="BM110" authorId="0" shapeId="0">
      <text>
        <t>Marcos Bulcao:
38 Hector Berlioz
Bobigny
93000</t>
      </text>
    </comment>
    <comment ref="BM111" authorId="0" shapeId="0">
      <text>
        <t xml:space="preserve">Marcos Bulcao:
13 Rue du Loing
75014
</t>
      </text>
    </comment>
    <comment ref="CG111" authorId="0" shapeId="0">
      <text>
        <t xml:space="preserve">771 Rue Beatty
H4H 1X9
</t>
      </text>
    </comment>
    <comment ref="BM112" authorId="0" shapeId="0">
      <text>
        <t>Marcos Bulcao:
Hotel Hem</t>
      </text>
    </comment>
    <comment ref="CB112" authorId="0" shapeId="0">
      <text>
        <t>Decolagem de Orlando: 23h00
O que garante estarmos no espaco aereo americano ate' a meia-noite (25--&gt;26)</t>
      </text>
    </comment>
    <comment ref="BC113" authorId="5" shapeId="0">
      <text>
        <t>Air Europa: perda da conexao, dormida em Madrid</t>
      </text>
    </comment>
    <comment ref="BM113" authorId="0" shapeId="0">
      <text>
        <t>Marcos Bulcao:
Gites d'Etape
Jacques Brel</t>
      </text>
    </comment>
    <comment ref="CG113" authorId="0" shapeId="0">
      <text>
        <t>Decolagem de Miami: 23h00
O que garante estarmos no espaco aereo americano ate' a meia-noite</t>
      </text>
    </comment>
    <comment ref="CB114" authorId="0" shapeId="0">
      <text>
        <t xml:space="preserve">4560 Boulevard Lassale, #112
Verdun-QC, 
H4G 2B1
</t>
      </text>
    </comment>
    <comment ref="BM115" authorId="0" shapeId="0">
      <text>
        <t>Marcos Bulcao:
Hotel Demo</t>
      </text>
    </comment>
    <comment ref="CB115" authorId="0" shapeId="0">
      <text>
        <t>Natal em NY [pais;Tata'&amp;Cia;Duzu&amp;Cia]
------------------------------------------------
#22/dez: NY, by car
Imigracao EUA; processo de residencia (!); de volta 'a imigracao americana: 3h30 no total, deixando a viagem longa e cansativa.
Chegada tarde (20h); jantar no proprio hotel, apenas familia.
#23/dez 
Babies R us: compras nenen; almoco TGI Friday
Taxi hotel; gripe Nina; walk me &amp; Bee: Macy's, Broadway, Times Square; 
Limousine --&gt; Jantar no Original Vicent's (sem Bee/Nina/Jana/Lipe)
#24/dez
Bfast; Walk (us 3) Bryant Park, Times Square, Broadway, Rockfeller Center, hotel.
Limo --&gt; Rockfeller Center: show Rockettes; ceia Natal 
#25/dez
Bfast, back to hotel, tudo fechado... 
Almoco no Alfredo di Roma (Ossobuco con risotto !!!) 
Walk back hotel; gifts to Tata'&amp;Cia (none for us)
Jantar com pai no Central Terminal: nice father-son moment
#26/dez
Bfast Pershins com pai; One Direction, Natural History Museum, taxi hotel
Best Buy (Canon Bee); Jantar no Nobu (special guest: Vicentinho)
#27/dez
Tentativa frustrada MoMA (fila grande --&gt; desisti); hotel, checkout, pickup car
Woodbury Premium Outlet: compras nenen, francele/martine/us
Estrada... longa, cansativa... NEVE... rapido na imigracao!... casa
45cm de neve em Montreal... parking dificil na Wellington (no coins,,,)</t>
      </text>
    </comment>
    <comment ref="BM116" authorId="0" shapeId="0">
      <text>
        <t>Marcos Bulcao:
Castle Steps</t>
      </text>
    </comment>
    <comment ref="CB116" authorId="0" shapeId="0">
      <text>
        <t xml:space="preserve">4560 Boulevard Lassale, #112
Verdun-QC, 
H4G 2B1
</t>
      </text>
    </comment>
    <comment ref="BC117" authorId="0" shapeId="0">
      <text>
        <t>Marcos Bulcao:
Fabao e Duda</t>
      </text>
    </comment>
    <comment ref="BO117" authorId="0" shapeId="0">
      <text>
        <t>Marcos Bulcao:
Bibi chega no dia 09</t>
      </text>
    </comment>
    <comment ref="BH118" authorId="0" shapeId="0">
      <text>
        <t>Marcos Bulcao:
meia-maratona
com peu</t>
      </text>
    </comment>
    <comment ref="BM119" authorId="0" shapeId="0">
      <text>
        <t>Marcos Bulcao:
13 Lynmouth Drive</t>
      </text>
    </comment>
    <comment ref="BR119" authorId="0" shapeId="0">
      <text>
        <t xml:space="preserve">Atraso no voo B.Aires-SP, perda de conexao, dormida em Sampa.
Almoco com Porchat, banco.
</t>
      </text>
    </comment>
    <comment ref="BH124" authorId="0" shapeId="0">
      <text>
        <t>Marcos Bulcao:
Congresso</t>
      </text>
    </comment>
    <comment ref="BH127" authorId="0" shapeId="0">
      <text>
        <t>Marcos Bulcao:
Madonna</t>
      </text>
    </comment>
    <comment ref="AS133" authorId="0" shapeId="0">
      <text>
        <t xml:space="preserve">771 Rue Beatty
H4H 1X9
</t>
      </text>
    </comment>
    <comment ref="AX135" authorId="5" shapeId="0">
      <text>
        <t>4792 Cumbrian Lakes Drive, Kissimee
––––––––––––––-
Casa alugada: Susan Home Away
Com Vovô Mario e Tato</t>
      </text>
    </comment>
    <comment ref="BH135" authorId="5" shapeId="0">
      <text>
        <t>4792 Cumbrian Lakes Drive, Kissimee
––––––––––––––-
Casa alugada: Susan Home Away
Com Vovô Mario e Tato</t>
      </text>
    </comment>
    <comment ref="AX137" authorId="0" shapeId="0">
      <text>
        <t xml:space="preserve">771 Rue Beatty
H4H 1X9
</t>
      </text>
    </comment>
    <comment ref="AX143" authorId="0" shapeId="0">
      <text>
        <t xml:space="preserve">771 Rue Beatty
H4H 1X9
</t>
      </text>
    </comment>
  </commentList>
</comments>
</file>

<file path=xl/externalLinks/_rels/externalLink1.xml.rels><Relationships xmlns="http://schemas.openxmlformats.org/package/2006/relationships"><Relationship Type="http://schemas.openxmlformats.org/officeDocument/2006/relationships/externalLinkPath" Target="/Users/marcosbulcao/Documents/Excel/@ALL_REFR.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6">
          <cell r="C6" t="str">
            <v>Beijing</v>
          </cell>
          <cell r="D6" t="str">
            <v>-</v>
          </cell>
          <cell r="E6" t="str">
            <v>-</v>
          </cell>
          <cell r="F6" t="str">
            <v>CHN</v>
          </cell>
          <cell r="G6" t="str">
            <v>A</v>
          </cell>
          <cell r="H6" t="str">
            <v>CHN-</v>
          </cell>
          <cell r="J6" t="str">
            <v>BRA</v>
          </cell>
          <cell r="K6" t="str">
            <v>AC</v>
          </cell>
          <cell r="L6" t="str">
            <v>Acre</v>
          </cell>
          <cell r="M6" t="str">
            <v>BRAAC</v>
          </cell>
          <cell r="P6" t="str">
            <v>China</v>
          </cell>
          <cell r="Q6" t="str">
            <v>CHN</v>
          </cell>
          <cell r="R6" t="str">
            <v>A</v>
          </cell>
        </row>
        <row r="7">
          <cell r="C7" t="str">
            <v>Xi'An</v>
          </cell>
          <cell r="D7" t="str">
            <v>-</v>
          </cell>
          <cell r="E7" t="str">
            <v>-</v>
          </cell>
          <cell r="F7" t="str">
            <v>CHN</v>
          </cell>
          <cell r="G7" t="str">
            <v>A</v>
          </cell>
          <cell r="H7" t="str">
            <v>CHN-</v>
          </cell>
          <cell r="J7" t="str">
            <v>BRA</v>
          </cell>
          <cell r="K7" t="str">
            <v>AL</v>
          </cell>
          <cell r="L7" t="str">
            <v>Alagoas</v>
          </cell>
          <cell r="M7" t="str">
            <v>BRAAL</v>
          </cell>
          <cell r="P7" t="str">
            <v>Turkey (Asia)</v>
          </cell>
          <cell r="Q7" t="str">
            <v>TUR-A</v>
          </cell>
          <cell r="R7" t="str">
            <v>A</v>
          </cell>
        </row>
        <row r="8">
          <cell r="C8" t="str">
            <v>Ephesus</v>
          </cell>
          <cell r="D8" t="str">
            <v>-</v>
          </cell>
          <cell r="E8" t="str">
            <v>-</v>
          </cell>
          <cell r="F8" t="str">
            <v>TUR-A</v>
          </cell>
          <cell r="G8" t="str">
            <v>A</v>
          </cell>
          <cell r="H8" t="str">
            <v>TUR-A-</v>
          </cell>
          <cell r="J8" t="str">
            <v>BRA</v>
          </cell>
          <cell r="K8" t="str">
            <v>AM</v>
          </cell>
          <cell r="L8" t="str">
            <v>Amazonas</v>
          </cell>
          <cell r="M8" t="str">
            <v>BRAAM</v>
          </cell>
          <cell r="P8" t="str">
            <v>Brazil</v>
          </cell>
          <cell r="Q8" t="str">
            <v>BRA</v>
          </cell>
          <cell r="R8" t="str">
            <v>B</v>
          </cell>
        </row>
        <row r="9">
          <cell r="C9" t="str">
            <v>Instambul-A</v>
          </cell>
          <cell r="D9" t="str">
            <v>-</v>
          </cell>
          <cell r="E9" t="str">
            <v>-</v>
          </cell>
          <cell r="F9" t="str">
            <v>TUR-A</v>
          </cell>
          <cell r="G9" t="str">
            <v>A</v>
          </cell>
          <cell r="H9" t="str">
            <v>TUR-A-</v>
          </cell>
          <cell r="J9" t="str">
            <v>BRA</v>
          </cell>
          <cell r="K9" t="str">
            <v>AP</v>
          </cell>
          <cell r="L9" t="str">
            <v>Amapá</v>
          </cell>
          <cell r="M9" t="str">
            <v>BRAAP</v>
          </cell>
          <cell r="P9" t="str">
            <v>Panama</v>
          </cell>
          <cell r="Q9" t="str">
            <v>PAN</v>
          </cell>
          <cell r="R9" t="str">
            <v>C</v>
          </cell>
        </row>
        <row r="10">
          <cell r="C10" t="str">
            <v>Road</v>
          </cell>
          <cell r="D10" t="str">
            <v>-</v>
          </cell>
          <cell r="E10" t="str">
            <v>-</v>
          </cell>
          <cell r="F10" t="str">
            <v>BRA</v>
          </cell>
          <cell r="G10" t="str">
            <v>B</v>
          </cell>
          <cell r="H10" t="str">
            <v>BRA-</v>
          </cell>
          <cell r="J10" t="str">
            <v>BRA</v>
          </cell>
          <cell r="K10" t="str">
            <v>BA</v>
          </cell>
          <cell r="L10" t="str">
            <v>Bahia</v>
          </cell>
          <cell r="M10" t="str">
            <v>BRABA</v>
          </cell>
          <cell r="P10" t="str">
            <v>Albania</v>
          </cell>
          <cell r="Q10" t="str">
            <v>ALB</v>
          </cell>
          <cell r="R10" t="str">
            <v>E</v>
          </cell>
        </row>
        <row r="11">
          <cell r="C11" t="str">
            <v>Maceió</v>
          </cell>
          <cell r="D11" t="str">
            <v>AL</v>
          </cell>
          <cell r="E11" t="str">
            <v>Alagoas</v>
          </cell>
          <cell r="F11" t="str">
            <v>BRA</v>
          </cell>
          <cell r="G11" t="str">
            <v>B</v>
          </cell>
          <cell r="H11" t="str">
            <v>BRAAL</v>
          </cell>
          <cell r="J11" t="str">
            <v>BRA</v>
          </cell>
          <cell r="K11" t="str">
            <v>CE</v>
          </cell>
          <cell r="L11" t="str">
            <v>Ceará</v>
          </cell>
          <cell r="M11" t="str">
            <v>BRACE</v>
          </cell>
          <cell r="P11" t="str">
            <v>Andorra</v>
          </cell>
          <cell r="Q11" t="str">
            <v>AND</v>
          </cell>
          <cell r="R11" t="str">
            <v>E</v>
          </cell>
        </row>
        <row r="12">
          <cell r="C12" t="str">
            <v>Manaus</v>
          </cell>
          <cell r="D12" t="str">
            <v>AM</v>
          </cell>
          <cell r="E12" t="str">
            <v>Amazonas</v>
          </cell>
          <cell r="F12" t="str">
            <v>BRA</v>
          </cell>
          <cell r="G12" t="str">
            <v>B</v>
          </cell>
          <cell r="H12" t="str">
            <v>BRAAM</v>
          </cell>
          <cell r="J12" t="str">
            <v>BRA</v>
          </cell>
          <cell r="K12" t="str">
            <v>DF</v>
          </cell>
          <cell r="L12" t="str">
            <v>Distrito Federal</v>
          </cell>
          <cell r="M12" t="str">
            <v>BRADF</v>
          </cell>
          <cell r="P12" t="str">
            <v>Austria</v>
          </cell>
          <cell r="Q12" t="str">
            <v>AUT</v>
          </cell>
          <cell r="R12" t="str">
            <v>E</v>
          </cell>
        </row>
        <row r="13">
          <cell r="C13" t="str">
            <v>Amargosa</v>
          </cell>
          <cell r="D13" t="str">
            <v>BA</v>
          </cell>
          <cell r="E13" t="str">
            <v>Bahia</v>
          </cell>
          <cell r="F13" t="str">
            <v>BRA</v>
          </cell>
          <cell r="G13" t="str">
            <v>B</v>
          </cell>
          <cell r="H13" t="str">
            <v>BRABA</v>
          </cell>
          <cell r="J13" t="str">
            <v>BRA</v>
          </cell>
          <cell r="K13" t="str">
            <v>ES</v>
          </cell>
          <cell r="L13" t="str">
            <v>Espírito Santo</v>
          </cell>
          <cell r="M13" t="str">
            <v>BRAES</v>
          </cell>
          <cell r="P13" t="str">
            <v>Belgium</v>
          </cell>
          <cell r="Q13" t="str">
            <v>BEL</v>
          </cell>
          <cell r="R13" t="str">
            <v>E</v>
          </cell>
        </row>
        <row r="14">
          <cell r="C14" t="str">
            <v>Andarai</v>
          </cell>
          <cell r="D14" t="str">
            <v>BA</v>
          </cell>
          <cell r="E14" t="str">
            <v>Bahia</v>
          </cell>
          <cell r="F14" t="str">
            <v>BRA</v>
          </cell>
          <cell r="G14" t="str">
            <v>B</v>
          </cell>
          <cell r="H14" t="str">
            <v>BRABA</v>
          </cell>
          <cell r="J14" t="str">
            <v>BRA</v>
          </cell>
          <cell r="K14" t="str">
            <v>GO</v>
          </cell>
          <cell r="L14" t="str">
            <v>Goiás</v>
          </cell>
          <cell r="M14" t="str">
            <v>BRAGO</v>
          </cell>
          <cell r="P14" t="str">
            <v>Bulgaria</v>
          </cell>
          <cell r="Q14" t="str">
            <v>BGR</v>
          </cell>
          <cell r="R14" t="str">
            <v>E</v>
          </cell>
        </row>
        <row r="15">
          <cell r="C15" t="str">
            <v>Arraial d'Ajuda</v>
          </cell>
          <cell r="D15" t="str">
            <v>BA</v>
          </cell>
          <cell r="E15" t="str">
            <v>Bahia</v>
          </cell>
          <cell r="F15" t="str">
            <v>BRA</v>
          </cell>
          <cell r="G15" t="str">
            <v>B</v>
          </cell>
          <cell r="H15" t="str">
            <v>BRABA</v>
          </cell>
          <cell r="J15" t="str">
            <v>BRA</v>
          </cell>
          <cell r="K15" t="str">
            <v>MA</v>
          </cell>
          <cell r="L15" t="str">
            <v>Maranhão</v>
          </cell>
          <cell r="M15" t="str">
            <v>BRAMA</v>
          </cell>
          <cell r="P15" t="str">
            <v>Bosnia and Herzegovina</v>
          </cell>
          <cell r="Q15" t="str">
            <v>BIH</v>
          </cell>
          <cell r="R15" t="str">
            <v>E</v>
          </cell>
        </row>
        <row r="16">
          <cell r="C16" t="str">
            <v>Boipeba</v>
          </cell>
          <cell r="D16" t="str">
            <v>BA</v>
          </cell>
          <cell r="E16" t="str">
            <v>Bahia</v>
          </cell>
          <cell r="F16" t="str">
            <v>BRA</v>
          </cell>
          <cell r="G16" t="str">
            <v>B</v>
          </cell>
          <cell r="H16" t="str">
            <v>BRABA</v>
          </cell>
          <cell r="J16" t="str">
            <v>BRA</v>
          </cell>
          <cell r="K16" t="str">
            <v>MG</v>
          </cell>
          <cell r="L16" t="str">
            <v>Minas Gerais</v>
          </cell>
          <cell r="M16" t="str">
            <v>BRAMG</v>
          </cell>
          <cell r="P16" t="str">
            <v>Belarus</v>
          </cell>
          <cell r="Q16" t="str">
            <v>BLR</v>
          </cell>
          <cell r="R16" t="str">
            <v>E</v>
          </cell>
        </row>
        <row r="17">
          <cell r="C17" t="str">
            <v>Castro Alves</v>
          </cell>
          <cell r="D17" t="str">
            <v>BA</v>
          </cell>
          <cell r="E17" t="str">
            <v>Bahia</v>
          </cell>
          <cell r="F17" t="str">
            <v>BRA</v>
          </cell>
          <cell r="G17" t="str">
            <v>B</v>
          </cell>
          <cell r="H17" t="str">
            <v>BRABA</v>
          </cell>
          <cell r="J17" t="str">
            <v>BRA</v>
          </cell>
          <cell r="K17" t="str">
            <v>MS</v>
          </cell>
          <cell r="L17" t="str">
            <v>Mato Grosso do Sul</v>
          </cell>
          <cell r="M17" t="str">
            <v>BRAMS</v>
          </cell>
          <cell r="P17" t="str">
            <v>Switzerland</v>
          </cell>
          <cell r="Q17" t="str">
            <v>CHE</v>
          </cell>
          <cell r="R17" t="str">
            <v>E</v>
          </cell>
        </row>
        <row r="18">
          <cell r="C18" t="str">
            <v>Cruz das Almas</v>
          </cell>
          <cell r="D18" t="str">
            <v>BA</v>
          </cell>
          <cell r="E18" t="str">
            <v>Bahia</v>
          </cell>
          <cell r="F18" t="str">
            <v>BRA</v>
          </cell>
          <cell r="G18" t="str">
            <v>B</v>
          </cell>
          <cell r="H18" t="str">
            <v>BRABA</v>
          </cell>
          <cell r="J18" t="str">
            <v>BRA</v>
          </cell>
          <cell r="K18" t="str">
            <v>MT</v>
          </cell>
          <cell r="L18" t="str">
            <v>Mato Grosso</v>
          </cell>
          <cell r="M18" t="str">
            <v>BRAMT</v>
          </cell>
          <cell r="P18" t="str">
            <v>Cyprus</v>
          </cell>
          <cell r="Q18" t="str">
            <v>CYP</v>
          </cell>
          <cell r="R18" t="str">
            <v>E</v>
          </cell>
        </row>
        <row r="19">
          <cell r="C19" t="str">
            <v>Guarajuba</v>
          </cell>
          <cell r="D19" t="str">
            <v>BA</v>
          </cell>
          <cell r="E19" t="str">
            <v>Bahia</v>
          </cell>
          <cell r="F19" t="str">
            <v>BRA</v>
          </cell>
          <cell r="G19" t="str">
            <v>B</v>
          </cell>
          <cell r="H19" t="str">
            <v>BRABA</v>
          </cell>
          <cell r="J19" t="str">
            <v>BRA</v>
          </cell>
          <cell r="K19" t="str">
            <v>PA</v>
          </cell>
          <cell r="L19" t="str">
            <v>Pará</v>
          </cell>
          <cell r="M19" t="str">
            <v>BRAPA</v>
          </cell>
          <cell r="P19" t="str">
            <v>Czech Republic</v>
          </cell>
          <cell r="Q19" t="str">
            <v>CZE</v>
          </cell>
          <cell r="R19" t="str">
            <v>E</v>
          </cell>
        </row>
        <row r="20">
          <cell r="C20" t="str">
            <v>Lagoinha</v>
          </cell>
          <cell r="D20" t="str">
            <v>BA</v>
          </cell>
          <cell r="E20" t="str">
            <v>Bahia</v>
          </cell>
          <cell r="F20" t="str">
            <v>BRA</v>
          </cell>
          <cell r="G20" t="str">
            <v>B</v>
          </cell>
          <cell r="H20" t="str">
            <v>BRABA</v>
          </cell>
          <cell r="J20" t="str">
            <v>BRA</v>
          </cell>
          <cell r="K20" t="str">
            <v>PB</v>
          </cell>
          <cell r="L20" t="str">
            <v>Paraíba</v>
          </cell>
          <cell r="M20" t="str">
            <v>BRAPB</v>
          </cell>
          <cell r="P20" t="str">
            <v>Germany</v>
          </cell>
          <cell r="Q20" t="str">
            <v>DEU</v>
          </cell>
          <cell r="R20" t="str">
            <v>E</v>
          </cell>
        </row>
        <row r="21">
          <cell r="C21" t="str">
            <v>Lauro de Freitas</v>
          </cell>
          <cell r="D21" t="str">
            <v>BA</v>
          </cell>
          <cell r="E21" t="str">
            <v>Bahia</v>
          </cell>
          <cell r="F21" t="str">
            <v>BRA</v>
          </cell>
          <cell r="G21" t="str">
            <v>B</v>
          </cell>
          <cell r="H21" t="str">
            <v>BRABA</v>
          </cell>
          <cell r="J21" t="str">
            <v>BRA</v>
          </cell>
          <cell r="K21" t="str">
            <v>PE</v>
          </cell>
          <cell r="L21" t="str">
            <v>Pernambuco</v>
          </cell>
          <cell r="M21" t="str">
            <v>BRAPE</v>
          </cell>
          <cell r="P21" t="str">
            <v>Denmark</v>
          </cell>
          <cell r="Q21" t="str">
            <v>DNK</v>
          </cell>
          <cell r="R21" t="str">
            <v>E</v>
          </cell>
        </row>
        <row r="22">
          <cell r="C22" t="str">
            <v>Lencois</v>
          </cell>
          <cell r="D22" t="str">
            <v>BA</v>
          </cell>
          <cell r="E22" t="str">
            <v>Bahia</v>
          </cell>
          <cell r="F22" t="str">
            <v>BRA</v>
          </cell>
          <cell r="G22" t="str">
            <v>B</v>
          </cell>
          <cell r="H22" t="str">
            <v>BRABA</v>
          </cell>
          <cell r="J22" t="str">
            <v>BRA</v>
          </cell>
          <cell r="K22" t="str">
            <v>PI</v>
          </cell>
          <cell r="L22" t="str">
            <v>Piauí</v>
          </cell>
          <cell r="M22" t="str">
            <v>BRAPI</v>
          </cell>
          <cell r="P22" t="str">
            <v>Spain</v>
          </cell>
          <cell r="Q22" t="str">
            <v>ESP</v>
          </cell>
          <cell r="R22" t="str">
            <v>E</v>
          </cell>
        </row>
        <row r="23">
          <cell r="C23" t="str">
            <v>Mombaça</v>
          </cell>
          <cell r="D23" t="str">
            <v>BA</v>
          </cell>
          <cell r="E23" t="str">
            <v>Bahia</v>
          </cell>
          <cell r="F23" t="str">
            <v>BRA</v>
          </cell>
          <cell r="G23" t="str">
            <v>B</v>
          </cell>
          <cell r="H23" t="str">
            <v>BRABA</v>
          </cell>
          <cell r="J23" t="str">
            <v>BRA</v>
          </cell>
          <cell r="K23" t="str">
            <v>PR</v>
          </cell>
          <cell r="L23" t="str">
            <v>Paraná</v>
          </cell>
          <cell r="M23" t="str">
            <v>BRAPR</v>
          </cell>
          <cell r="P23" t="str">
            <v>Estonia</v>
          </cell>
          <cell r="Q23" t="str">
            <v>EST</v>
          </cell>
          <cell r="R23" t="str">
            <v>E</v>
          </cell>
        </row>
        <row r="24">
          <cell r="C24" t="str">
            <v>Morro de SP</v>
          </cell>
          <cell r="D24" t="str">
            <v>BA</v>
          </cell>
          <cell r="E24" t="str">
            <v>Bahia</v>
          </cell>
          <cell r="F24" t="str">
            <v>BRA</v>
          </cell>
          <cell r="G24" t="str">
            <v>B</v>
          </cell>
          <cell r="H24" t="str">
            <v>BRABA</v>
          </cell>
          <cell r="J24" t="str">
            <v>BRA</v>
          </cell>
          <cell r="K24" t="str">
            <v>RJ</v>
          </cell>
          <cell r="L24" t="str">
            <v>Rio de Janeiro</v>
          </cell>
          <cell r="M24" t="str">
            <v>BRARJ</v>
          </cell>
          <cell r="P24" t="str">
            <v>Finland</v>
          </cell>
          <cell r="Q24" t="str">
            <v>FIN</v>
          </cell>
          <cell r="R24" t="str">
            <v>E</v>
          </cell>
        </row>
        <row r="25">
          <cell r="C25" t="str">
            <v>Porto Seguro</v>
          </cell>
          <cell r="D25" t="str">
            <v>BA</v>
          </cell>
          <cell r="E25" t="str">
            <v>Bahia</v>
          </cell>
          <cell r="F25" t="str">
            <v>BRA</v>
          </cell>
          <cell r="G25" t="str">
            <v>B</v>
          </cell>
          <cell r="H25" t="str">
            <v>BRABA</v>
          </cell>
          <cell r="J25" t="str">
            <v>BRA</v>
          </cell>
          <cell r="K25" t="str">
            <v>RN</v>
          </cell>
          <cell r="L25" t="str">
            <v>Rio Grande do Norte</v>
          </cell>
          <cell r="M25" t="str">
            <v>BRARN</v>
          </cell>
          <cell r="P25" t="str">
            <v>France</v>
          </cell>
          <cell r="Q25" t="str">
            <v>FRA</v>
          </cell>
          <cell r="R25" t="str">
            <v>E</v>
          </cell>
        </row>
        <row r="26">
          <cell r="C26" t="str">
            <v>Praia do Forte</v>
          </cell>
          <cell r="D26" t="str">
            <v>BA</v>
          </cell>
          <cell r="E26" t="str">
            <v>Bahia</v>
          </cell>
          <cell r="F26" t="str">
            <v>BRA</v>
          </cell>
          <cell r="G26" t="str">
            <v>B</v>
          </cell>
          <cell r="H26" t="str">
            <v>BRABA</v>
          </cell>
          <cell r="J26" t="str">
            <v>BRA</v>
          </cell>
          <cell r="K26" t="str">
            <v>RO</v>
          </cell>
          <cell r="L26" t="str">
            <v>Rondônia</v>
          </cell>
          <cell r="M26" t="str">
            <v>BRARO</v>
          </cell>
          <cell r="P26" t="str">
            <v>Greece</v>
          </cell>
          <cell r="Q26" t="str">
            <v>GRC</v>
          </cell>
          <cell r="R26" t="str">
            <v>E</v>
          </cell>
        </row>
        <row r="27">
          <cell r="C27" t="str">
            <v>Sao Felipe</v>
          </cell>
          <cell r="D27" t="str">
            <v>BA</v>
          </cell>
          <cell r="E27" t="str">
            <v>Bahia</v>
          </cell>
          <cell r="F27" t="str">
            <v>BRA</v>
          </cell>
          <cell r="G27" t="str">
            <v>B</v>
          </cell>
          <cell r="H27" t="str">
            <v>BRABA</v>
          </cell>
          <cell r="J27" t="str">
            <v>BRA</v>
          </cell>
          <cell r="K27" t="str">
            <v>RR</v>
          </cell>
          <cell r="L27" t="str">
            <v>Roraima</v>
          </cell>
          <cell r="M27" t="str">
            <v>BRARR</v>
          </cell>
          <cell r="P27" t="str">
            <v>Croatia</v>
          </cell>
          <cell r="Q27" t="str">
            <v>HRV</v>
          </cell>
          <cell r="R27" t="str">
            <v>E</v>
          </cell>
        </row>
        <row r="28">
          <cell r="C28" t="str">
            <v>SSA</v>
          </cell>
          <cell r="D28" t="str">
            <v>BA</v>
          </cell>
          <cell r="E28" t="str">
            <v>Bahia</v>
          </cell>
          <cell r="F28" t="str">
            <v>BRA</v>
          </cell>
          <cell r="G28" t="str">
            <v>B</v>
          </cell>
          <cell r="H28" t="str">
            <v>BRABA</v>
          </cell>
          <cell r="J28" t="str">
            <v>BRA</v>
          </cell>
          <cell r="K28" t="str">
            <v>RS</v>
          </cell>
          <cell r="L28" t="str">
            <v>Rio Grande do Sul</v>
          </cell>
          <cell r="M28" t="str">
            <v>BRARS</v>
          </cell>
          <cell r="P28" t="str">
            <v>Hungary</v>
          </cell>
          <cell r="Q28" t="str">
            <v>HUN</v>
          </cell>
          <cell r="R28" t="str">
            <v>E</v>
          </cell>
        </row>
        <row r="29">
          <cell r="C29" t="str">
            <v>Fortaleza</v>
          </cell>
          <cell r="D29" t="str">
            <v>CE</v>
          </cell>
          <cell r="E29" t="str">
            <v>Ceará</v>
          </cell>
          <cell r="F29" t="str">
            <v>BRA</v>
          </cell>
          <cell r="G29" t="str">
            <v>B</v>
          </cell>
          <cell r="H29" t="str">
            <v>BRACE</v>
          </cell>
          <cell r="J29" t="str">
            <v>BRA</v>
          </cell>
          <cell r="K29" t="str">
            <v>SC</v>
          </cell>
          <cell r="L29" t="str">
            <v>Santa Catarina</v>
          </cell>
          <cell r="M29" t="str">
            <v>BRASC</v>
          </cell>
          <cell r="P29" t="str">
            <v>Ireland</v>
          </cell>
          <cell r="Q29" t="str">
            <v>IRL</v>
          </cell>
          <cell r="R29" t="str">
            <v>E</v>
          </cell>
        </row>
        <row r="30">
          <cell r="C30" t="str">
            <v>Brasilia</v>
          </cell>
          <cell r="D30" t="str">
            <v>DF</v>
          </cell>
          <cell r="E30" t="str">
            <v>Distrito Federal</v>
          </cell>
          <cell r="F30" t="str">
            <v>BRA</v>
          </cell>
          <cell r="G30" t="str">
            <v>B</v>
          </cell>
          <cell r="H30" t="str">
            <v>BRADF</v>
          </cell>
          <cell r="J30" t="str">
            <v>BRA</v>
          </cell>
          <cell r="K30" t="str">
            <v>SE</v>
          </cell>
          <cell r="L30" t="str">
            <v>Sergipe</v>
          </cell>
          <cell r="M30" t="str">
            <v>BRASE</v>
          </cell>
          <cell r="P30" t="str">
            <v>Iceland</v>
          </cell>
          <cell r="Q30" t="str">
            <v>ISL</v>
          </cell>
          <cell r="R30" t="str">
            <v>E</v>
          </cell>
        </row>
        <row r="31">
          <cell r="C31" t="str">
            <v>Guarapari</v>
          </cell>
          <cell r="D31" t="str">
            <v>ES</v>
          </cell>
          <cell r="E31" t="str">
            <v>Espírito Santo</v>
          </cell>
          <cell r="F31" t="str">
            <v>BRA</v>
          </cell>
          <cell r="G31" t="str">
            <v>B</v>
          </cell>
          <cell r="H31" t="str">
            <v>BRAES</v>
          </cell>
          <cell r="J31" t="str">
            <v>BRA</v>
          </cell>
          <cell r="K31" t="str">
            <v>SP</v>
          </cell>
          <cell r="L31" t="str">
            <v>São Paulo</v>
          </cell>
          <cell r="M31" t="str">
            <v>BRASP</v>
          </cell>
          <cell r="P31" t="str">
            <v>Italy</v>
          </cell>
          <cell r="Q31" t="str">
            <v>ITA</v>
          </cell>
          <cell r="R31" t="str">
            <v>E</v>
          </cell>
        </row>
        <row r="32">
          <cell r="C32" t="str">
            <v>BH</v>
          </cell>
          <cell r="D32" t="str">
            <v>MG</v>
          </cell>
          <cell r="E32" t="str">
            <v>Minas Gerais</v>
          </cell>
          <cell r="F32" t="str">
            <v>BRA</v>
          </cell>
          <cell r="G32" t="str">
            <v>B</v>
          </cell>
          <cell r="H32" t="str">
            <v>BRAMG</v>
          </cell>
          <cell r="J32" t="str">
            <v>BRA</v>
          </cell>
          <cell r="K32" t="str">
            <v>TO</v>
          </cell>
          <cell r="L32" t="str">
            <v>Tocantins</v>
          </cell>
          <cell r="M32" t="str">
            <v>BRATO</v>
          </cell>
          <cell r="P32" t="str">
            <v>Liechtenstein</v>
          </cell>
          <cell r="Q32" t="str">
            <v>LIE</v>
          </cell>
          <cell r="R32" t="str">
            <v>E</v>
          </cell>
        </row>
        <row r="33">
          <cell r="C33" t="str">
            <v>Itapeva</v>
          </cell>
          <cell r="D33" t="str">
            <v>MG</v>
          </cell>
          <cell r="E33" t="str">
            <v>Minas Gerais</v>
          </cell>
          <cell r="F33" t="str">
            <v>BRA</v>
          </cell>
          <cell r="G33" t="str">
            <v>B</v>
          </cell>
          <cell r="H33" t="str">
            <v>BRAMG</v>
          </cell>
          <cell r="J33" t="str">
            <v>CAN</v>
          </cell>
          <cell r="K33" t="str">
            <v>AB</v>
          </cell>
          <cell r="L33" t="str">
            <v>Alberta</v>
          </cell>
          <cell r="M33" t="str">
            <v>CANAB</v>
          </cell>
          <cell r="P33" t="str">
            <v>Lithuania</v>
          </cell>
          <cell r="Q33" t="str">
            <v>LTU</v>
          </cell>
          <cell r="R33" t="str">
            <v>E</v>
          </cell>
        </row>
        <row r="34">
          <cell r="C34" t="str">
            <v>Sao Lourenço</v>
          </cell>
          <cell r="D34" t="str">
            <v>MG</v>
          </cell>
          <cell r="E34" t="str">
            <v>Minas Gerais</v>
          </cell>
          <cell r="F34" t="str">
            <v>BRA</v>
          </cell>
          <cell r="G34" t="str">
            <v>B</v>
          </cell>
          <cell r="H34" t="str">
            <v>BRAMG</v>
          </cell>
          <cell r="J34" t="str">
            <v>CAN</v>
          </cell>
          <cell r="K34" t="str">
            <v>BC</v>
          </cell>
          <cell r="L34" t="str">
            <v>British Columbia</v>
          </cell>
          <cell r="M34" t="str">
            <v>CANBC</v>
          </cell>
          <cell r="P34" t="str">
            <v>Luxembourg</v>
          </cell>
          <cell r="Q34" t="str">
            <v>LUX</v>
          </cell>
          <cell r="R34" t="str">
            <v>E</v>
          </cell>
        </row>
        <row r="35">
          <cell r="C35" t="str">
            <v>Joao Pessoa</v>
          </cell>
          <cell r="D35" t="str">
            <v>PB</v>
          </cell>
          <cell r="E35" t="str">
            <v>Paraíba</v>
          </cell>
          <cell r="F35" t="str">
            <v>BRA</v>
          </cell>
          <cell r="G35" t="str">
            <v>B</v>
          </cell>
          <cell r="H35" t="str">
            <v>BRAPB</v>
          </cell>
          <cell r="J35" t="str">
            <v>CAN</v>
          </cell>
          <cell r="K35" t="str">
            <v>MB</v>
          </cell>
          <cell r="L35" t="str">
            <v>Manitoba</v>
          </cell>
          <cell r="M35" t="str">
            <v>CANMB</v>
          </cell>
          <cell r="P35" t="str">
            <v>Latvia</v>
          </cell>
          <cell r="Q35" t="str">
            <v>LVA</v>
          </cell>
          <cell r="R35" t="str">
            <v>E</v>
          </cell>
        </row>
        <row r="36">
          <cell r="C36" t="str">
            <v>Olinda</v>
          </cell>
          <cell r="D36" t="str">
            <v>PE</v>
          </cell>
          <cell r="E36" t="str">
            <v>Pernambuco</v>
          </cell>
          <cell r="F36" t="str">
            <v>BRA</v>
          </cell>
          <cell r="G36" t="str">
            <v>B</v>
          </cell>
          <cell r="H36" t="str">
            <v>BRAPE</v>
          </cell>
          <cell r="J36" t="str">
            <v>CAN</v>
          </cell>
          <cell r="K36" t="str">
            <v>NB</v>
          </cell>
          <cell r="L36" t="str">
            <v>New Brunswick</v>
          </cell>
          <cell r="M36" t="str">
            <v>CANNB</v>
          </cell>
          <cell r="P36" t="str">
            <v>Monaco</v>
          </cell>
          <cell r="Q36" t="str">
            <v>MCO</v>
          </cell>
          <cell r="R36" t="str">
            <v>E</v>
          </cell>
        </row>
        <row r="37">
          <cell r="C37" t="str">
            <v>Recife</v>
          </cell>
          <cell r="D37" t="str">
            <v>PE</v>
          </cell>
          <cell r="E37" t="str">
            <v>Pernambuco</v>
          </cell>
          <cell r="F37" t="str">
            <v>BRA</v>
          </cell>
          <cell r="G37" t="str">
            <v>B</v>
          </cell>
          <cell r="H37" t="str">
            <v>BRAPE</v>
          </cell>
          <cell r="J37" t="str">
            <v>CAN</v>
          </cell>
          <cell r="K37" t="str">
            <v>NL</v>
          </cell>
          <cell r="L37" t="str">
            <v>Newfoundland and Labrador</v>
          </cell>
          <cell r="M37" t="str">
            <v>CANNL</v>
          </cell>
          <cell r="P37" t="str">
            <v>Moldova</v>
          </cell>
          <cell r="Q37" t="str">
            <v>MDA</v>
          </cell>
          <cell r="R37" t="str">
            <v>E</v>
          </cell>
        </row>
        <row r="38">
          <cell r="C38" t="str">
            <v>Curitiba</v>
          </cell>
          <cell r="D38" t="str">
            <v>PR</v>
          </cell>
          <cell r="E38" t="str">
            <v>Paraná</v>
          </cell>
          <cell r="F38" t="str">
            <v>BRA</v>
          </cell>
          <cell r="G38" t="str">
            <v>B</v>
          </cell>
          <cell r="H38" t="str">
            <v>BRAPR</v>
          </cell>
          <cell r="J38" t="str">
            <v>CAN</v>
          </cell>
          <cell r="K38" t="str">
            <v>NS</v>
          </cell>
          <cell r="L38" t="str">
            <v>Nova Scotia</v>
          </cell>
          <cell r="M38" t="str">
            <v>CANNS</v>
          </cell>
          <cell r="P38" t="str">
            <v>North Macedonia</v>
          </cell>
          <cell r="Q38" t="str">
            <v>MKD</v>
          </cell>
          <cell r="R38" t="str">
            <v>E</v>
          </cell>
        </row>
        <row r="39">
          <cell r="C39" t="str">
            <v>Friburgo</v>
          </cell>
          <cell r="D39" t="str">
            <v>RJ</v>
          </cell>
          <cell r="E39" t="str">
            <v>Rio de Janeiro</v>
          </cell>
          <cell r="F39" t="str">
            <v>BRA</v>
          </cell>
          <cell r="G39" t="str">
            <v>B</v>
          </cell>
          <cell r="H39" t="str">
            <v>BRARJ</v>
          </cell>
          <cell r="J39" t="str">
            <v>CAN</v>
          </cell>
          <cell r="K39" t="str">
            <v>NT</v>
          </cell>
          <cell r="L39" t="str">
            <v>Northwest Territories</v>
          </cell>
          <cell r="M39" t="str">
            <v>CANNT</v>
          </cell>
          <cell r="P39" t="str">
            <v>Malta</v>
          </cell>
          <cell r="Q39" t="str">
            <v>MLT</v>
          </cell>
          <cell r="R39" t="str">
            <v>E</v>
          </cell>
        </row>
        <row r="40">
          <cell r="C40" t="str">
            <v>Itatiaia</v>
          </cell>
          <cell r="D40" t="str">
            <v>RJ</v>
          </cell>
          <cell r="E40" t="str">
            <v>Rio de Janeiro</v>
          </cell>
          <cell r="F40" t="str">
            <v>BRA</v>
          </cell>
          <cell r="G40" t="str">
            <v>B</v>
          </cell>
          <cell r="H40" t="str">
            <v>BRARJ</v>
          </cell>
          <cell r="J40" t="str">
            <v>CAN</v>
          </cell>
          <cell r="K40" t="str">
            <v>NU</v>
          </cell>
          <cell r="L40" t="str">
            <v>Nunavut</v>
          </cell>
          <cell r="M40" t="str">
            <v>CANNU</v>
          </cell>
          <cell r="P40" t="str">
            <v>Montenegro</v>
          </cell>
          <cell r="Q40" t="str">
            <v>MNE</v>
          </cell>
          <cell r="R40" t="str">
            <v>E</v>
          </cell>
        </row>
        <row r="41">
          <cell r="C41" t="str">
            <v>Paraty</v>
          </cell>
          <cell r="D41" t="str">
            <v>RJ</v>
          </cell>
          <cell r="E41" t="str">
            <v>Rio de Janeiro</v>
          </cell>
          <cell r="F41" t="str">
            <v>BRA</v>
          </cell>
          <cell r="G41" t="str">
            <v>B</v>
          </cell>
          <cell r="H41" t="str">
            <v>BRARJ</v>
          </cell>
          <cell r="J41" t="str">
            <v>CAN</v>
          </cell>
          <cell r="K41" t="str">
            <v>ON</v>
          </cell>
          <cell r="L41" t="str">
            <v>Ontario</v>
          </cell>
          <cell r="M41" t="str">
            <v>CANON</v>
          </cell>
          <cell r="P41" t="str">
            <v>Netherlands</v>
          </cell>
          <cell r="Q41" t="str">
            <v>NED</v>
          </cell>
          <cell r="R41" t="str">
            <v>E</v>
          </cell>
        </row>
        <row r="42">
          <cell r="C42" t="str">
            <v>Petropolis</v>
          </cell>
          <cell r="D42" t="str">
            <v>RJ</v>
          </cell>
          <cell r="E42" t="str">
            <v>Rio de Janeiro</v>
          </cell>
          <cell r="F42" t="str">
            <v>BRA</v>
          </cell>
          <cell r="G42" t="str">
            <v>B</v>
          </cell>
          <cell r="H42" t="str">
            <v>BRARJ</v>
          </cell>
          <cell r="J42" t="str">
            <v>CAN</v>
          </cell>
          <cell r="K42" t="str">
            <v>PE</v>
          </cell>
          <cell r="L42" t="str">
            <v>Prince Edward Island</v>
          </cell>
          <cell r="M42" t="str">
            <v>CANPE</v>
          </cell>
          <cell r="P42" t="str">
            <v>Norway</v>
          </cell>
          <cell r="Q42" t="str">
            <v>NOR</v>
          </cell>
          <cell r="R42" t="str">
            <v>E</v>
          </cell>
        </row>
        <row r="43">
          <cell r="C43" t="str">
            <v>Rio</v>
          </cell>
          <cell r="D43" t="str">
            <v>RJ</v>
          </cell>
          <cell r="E43" t="str">
            <v>Rio de Janeiro</v>
          </cell>
          <cell r="F43" t="str">
            <v>BRA</v>
          </cell>
          <cell r="G43" t="str">
            <v>B</v>
          </cell>
          <cell r="H43" t="str">
            <v>BRARJ</v>
          </cell>
          <cell r="J43" t="str">
            <v>CAN</v>
          </cell>
          <cell r="K43" t="str">
            <v>QC</v>
          </cell>
          <cell r="L43" t="str">
            <v>Quebec</v>
          </cell>
          <cell r="M43" t="str">
            <v>CANQC</v>
          </cell>
          <cell r="P43" t="str">
            <v>Poland</v>
          </cell>
          <cell r="Q43" t="str">
            <v>POL</v>
          </cell>
          <cell r="R43" t="str">
            <v>E</v>
          </cell>
        </row>
        <row r="44">
          <cell r="C44" t="str">
            <v>Trindade</v>
          </cell>
          <cell r="D44" t="str">
            <v>RJ</v>
          </cell>
          <cell r="E44" t="str">
            <v>Rio de Janeiro</v>
          </cell>
          <cell r="F44" t="str">
            <v>BRA</v>
          </cell>
          <cell r="G44" t="str">
            <v>B</v>
          </cell>
          <cell r="H44" t="str">
            <v>BRARJ</v>
          </cell>
          <cell r="J44" t="str">
            <v>CAN</v>
          </cell>
          <cell r="K44" t="str">
            <v>SK</v>
          </cell>
          <cell r="L44" t="str">
            <v>Saskatchewan</v>
          </cell>
          <cell r="M44" t="str">
            <v>CANSK</v>
          </cell>
          <cell r="P44" t="str">
            <v>Portugal</v>
          </cell>
          <cell r="Q44" t="str">
            <v>PRT</v>
          </cell>
          <cell r="R44" t="str">
            <v>E</v>
          </cell>
        </row>
        <row r="45">
          <cell r="C45" t="str">
            <v>Vassouras</v>
          </cell>
          <cell r="D45" t="str">
            <v>RJ</v>
          </cell>
          <cell r="E45" t="str">
            <v>Rio de Janeiro</v>
          </cell>
          <cell r="F45" t="str">
            <v>BRA</v>
          </cell>
          <cell r="G45" t="str">
            <v>B</v>
          </cell>
          <cell r="H45" t="str">
            <v>BRARJ</v>
          </cell>
          <cell r="J45" t="str">
            <v>CAN</v>
          </cell>
          <cell r="K45" t="str">
            <v>YT</v>
          </cell>
          <cell r="L45" t="str">
            <v>Yukon</v>
          </cell>
          <cell r="M45" t="str">
            <v>CANYT</v>
          </cell>
          <cell r="P45" t="str">
            <v>Romania</v>
          </cell>
          <cell r="Q45" t="str">
            <v>ROU</v>
          </cell>
          <cell r="R45" t="str">
            <v>E</v>
          </cell>
        </row>
        <row r="46">
          <cell r="C46" t="str">
            <v>Natal</v>
          </cell>
          <cell r="D46" t="str">
            <v>RN</v>
          </cell>
          <cell r="E46" t="str">
            <v>Rio Grande do Norte</v>
          </cell>
          <cell r="F46" t="str">
            <v>BRA</v>
          </cell>
          <cell r="G46" t="str">
            <v>B</v>
          </cell>
          <cell r="H46" t="str">
            <v>BRARN</v>
          </cell>
          <cell r="J46" t="str">
            <v>FRA</v>
          </cell>
          <cell r="K46" t="str">
            <v>AL</v>
          </cell>
          <cell r="L46" t="str">
            <v>Alsace</v>
          </cell>
          <cell r="M46" t="str">
            <v>FRAAL</v>
          </cell>
          <cell r="P46" t="str">
            <v>San Marino</v>
          </cell>
          <cell r="Q46" t="str">
            <v>SMR</v>
          </cell>
          <cell r="R46" t="str">
            <v>E</v>
          </cell>
        </row>
        <row r="47">
          <cell r="C47" t="str">
            <v>Pipa</v>
          </cell>
          <cell r="D47" t="str">
            <v>RN</v>
          </cell>
          <cell r="E47" t="str">
            <v>Rio Grande do Norte</v>
          </cell>
          <cell r="F47" t="str">
            <v>BRA</v>
          </cell>
          <cell r="G47" t="str">
            <v>B</v>
          </cell>
          <cell r="H47" t="str">
            <v>BRARN</v>
          </cell>
          <cell r="J47" t="str">
            <v>FRA</v>
          </cell>
          <cell r="K47" t="str">
            <v>AQ</v>
          </cell>
          <cell r="L47" t="str">
            <v>Aquitaine</v>
          </cell>
          <cell r="M47" t="str">
            <v>FRAAQ</v>
          </cell>
          <cell r="P47" t="str">
            <v>Serbia</v>
          </cell>
          <cell r="Q47" t="str">
            <v>SRB</v>
          </cell>
          <cell r="R47" t="str">
            <v>E</v>
          </cell>
        </row>
        <row r="48">
          <cell r="C48" t="str">
            <v>Timbau do Sul</v>
          </cell>
          <cell r="D48" t="str">
            <v>RN</v>
          </cell>
          <cell r="E48" t="str">
            <v>Rio Grande do Norte</v>
          </cell>
          <cell r="F48" t="str">
            <v>BRA</v>
          </cell>
          <cell r="G48" t="str">
            <v>B</v>
          </cell>
          <cell r="H48" t="str">
            <v>BRARN</v>
          </cell>
          <cell r="J48" t="str">
            <v>FRA</v>
          </cell>
          <cell r="K48" t="str">
            <v>AR</v>
          </cell>
          <cell r="L48" t="str">
            <v>Ardennes</v>
          </cell>
          <cell r="M48" t="str">
            <v>FRAAR</v>
          </cell>
          <cell r="P48" t="str">
            <v>Slovakia</v>
          </cell>
          <cell r="Q48" t="str">
            <v>SVK</v>
          </cell>
          <cell r="R48" t="str">
            <v>E</v>
          </cell>
        </row>
        <row r="49">
          <cell r="C49" t="str">
            <v>Caxias</v>
          </cell>
          <cell r="D49" t="str">
            <v>RS</v>
          </cell>
          <cell r="E49" t="str">
            <v>Rio Grande do Sul</v>
          </cell>
          <cell r="F49" t="str">
            <v>BRA</v>
          </cell>
          <cell r="G49" t="str">
            <v>B</v>
          </cell>
          <cell r="H49" t="str">
            <v>BRARS</v>
          </cell>
          <cell r="J49" t="str">
            <v>FRA</v>
          </cell>
          <cell r="K49" t="str">
            <v>AU</v>
          </cell>
          <cell r="L49" t="str">
            <v>Auvergne</v>
          </cell>
          <cell r="M49" t="str">
            <v>FRAAU</v>
          </cell>
          <cell r="P49" t="str">
            <v>Slovenia</v>
          </cell>
          <cell r="Q49" t="str">
            <v>SVN</v>
          </cell>
          <cell r="R49" t="str">
            <v>E</v>
          </cell>
        </row>
        <row r="50">
          <cell r="C50" t="str">
            <v>Gramado</v>
          </cell>
          <cell r="D50" t="str">
            <v>RS</v>
          </cell>
          <cell r="E50" t="str">
            <v>Rio Grande do Sul</v>
          </cell>
          <cell r="F50" t="str">
            <v>BRA</v>
          </cell>
          <cell r="G50" t="str">
            <v>B</v>
          </cell>
          <cell r="H50" t="str">
            <v>BRARS</v>
          </cell>
          <cell r="J50" t="str">
            <v>FRA</v>
          </cell>
          <cell r="K50" t="str">
            <v>BO</v>
          </cell>
          <cell r="L50" t="str">
            <v>Bourgogne</v>
          </cell>
          <cell r="M50" t="str">
            <v>FRABO</v>
          </cell>
          <cell r="P50" t="str">
            <v>Sweden</v>
          </cell>
          <cell r="Q50" t="str">
            <v>SWE</v>
          </cell>
          <cell r="R50" t="str">
            <v>E</v>
          </cell>
        </row>
        <row r="51">
          <cell r="C51" t="str">
            <v>Porto Alegre</v>
          </cell>
          <cell r="D51" t="str">
            <v>RS</v>
          </cell>
          <cell r="E51" t="str">
            <v>Rio Grande do Sul</v>
          </cell>
          <cell r="F51" t="str">
            <v>BRA</v>
          </cell>
          <cell r="G51" t="str">
            <v>B</v>
          </cell>
          <cell r="H51" t="str">
            <v>BRARS</v>
          </cell>
          <cell r="J51" t="str">
            <v>FRA</v>
          </cell>
          <cell r="K51" t="str">
            <v>BR</v>
          </cell>
          <cell r="L51" t="str">
            <v>Bretagne</v>
          </cell>
          <cell r="M51" t="str">
            <v>FRABR</v>
          </cell>
          <cell r="P51" t="str">
            <v>Turkey (Europe)</v>
          </cell>
          <cell r="Q51" t="str">
            <v>TUR-E</v>
          </cell>
          <cell r="R51" t="str">
            <v>E</v>
          </cell>
        </row>
        <row r="52">
          <cell r="C52" t="str">
            <v>Blumenau</v>
          </cell>
          <cell r="D52" t="str">
            <v>SC</v>
          </cell>
          <cell r="E52" t="str">
            <v>Santa Catarina</v>
          </cell>
          <cell r="F52" t="str">
            <v>BRA</v>
          </cell>
          <cell r="G52" t="str">
            <v>B</v>
          </cell>
          <cell r="H52" t="str">
            <v>BRASC</v>
          </cell>
          <cell r="J52" t="str">
            <v>FRA</v>
          </cell>
          <cell r="K52" t="str">
            <v>CE</v>
          </cell>
          <cell r="L52" t="str">
            <v>Centre-Val de Loire</v>
          </cell>
          <cell r="M52" t="str">
            <v>FRACE</v>
          </cell>
          <cell r="P52" t="str">
            <v>United Kingdom</v>
          </cell>
          <cell r="Q52" t="str">
            <v>UK</v>
          </cell>
          <cell r="R52" t="str">
            <v>E</v>
          </cell>
        </row>
        <row r="53">
          <cell r="C53" t="str">
            <v>Camboriú</v>
          </cell>
          <cell r="D53" t="str">
            <v>SC</v>
          </cell>
          <cell r="E53" t="str">
            <v>Santa Catarina</v>
          </cell>
          <cell r="F53" t="str">
            <v>BRA</v>
          </cell>
          <cell r="G53" t="str">
            <v>B</v>
          </cell>
          <cell r="H53" t="str">
            <v>BRASC</v>
          </cell>
          <cell r="J53" t="str">
            <v>FRA</v>
          </cell>
          <cell r="K53" t="str">
            <v>CH</v>
          </cell>
          <cell r="L53" t="str">
            <v>Champagne</v>
          </cell>
          <cell r="M53" t="str">
            <v>FRACH</v>
          </cell>
          <cell r="P53" t="str">
            <v>Ukraine</v>
          </cell>
          <cell r="Q53" t="str">
            <v>UKR</v>
          </cell>
          <cell r="R53" t="str">
            <v>E</v>
          </cell>
        </row>
        <row r="54">
          <cell r="C54" t="str">
            <v>Florianopolis</v>
          </cell>
          <cell r="D54" t="str">
            <v>SC</v>
          </cell>
          <cell r="E54" t="str">
            <v>Santa Catarina</v>
          </cell>
          <cell r="F54" t="str">
            <v>BRA</v>
          </cell>
          <cell r="G54" t="str">
            <v>B</v>
          </cell>
          <cell r="H54" t="str">
            <v>BRASC</v>
          </cell>
          <cell r="J54" t="str">
            <v>FRA</v>
          </cell>
          <cell r="K54" t="str">
            <v>CO</v>
          </cell>
          <cell r="L54" t="str">
            <v>Corse</v>
          </cell>
          <cell r="M54" t="str">
            <v>FRACO</v>
          </cell>
          <cell r="P54" t="str">
            <v>Vatican City</v>
          </cell>
          <cell r="Q54" t="str">
            <v>VAT</v>
          </cell>
          <cell r="R54" t="str">
            <v>E</v>
          </cell>
        </row>
        <row r="55">
          <cell r="C55" t="str">
            <v>Joinvile</v>
          </cell>
          <cell r="D55" t="str">
            <v>SC</v>
          </cell>
          <cell r="E55" t="str">
            <v>Santa Catarina</v>
          </cell>
          <cell r="F55" t="str">
            <v>BRA</v>
          </cell>
          <cell r="G55" t="str">
            <v>B</v>
          </cell>
          <cell r="H55" t="str">
            <v>BRASC</v>
          </cell>
          <cell r="J55" t="str">
            <v>FRA</v>
          </cell>
          <cell r="K55" t="str">
            <v>DA</v>
          </cell>
          <cell r="L55" t="str">
            <v>Dauphiné</v>
          </cell>
          <cell r="M55" t="str">
            <v>FRADA</v>
          </cell>
          <cell r="P55" t="str">
            <v>Kosovo</v>
          </cell>
          <cell r="Q55" t="str">
            <v>XKX</v>
          </cell>
          <cell r="R55" t="str">
            <v>E</v>
          </cell>
        </row>
        <row r="56">
          <cell r="C56" t="str">
            <v>Aracaju</v>
          </cell>
          <cell r="D56" t="str">
            <v>SE</v>
          </cell>
          <cell r="E56" t="str">
            <v>Sergipe</v>
          </cell>
          <cell r="F56" t="str">
            <v>BRA</v>
          </cell>
          <cell r="G56" t="str">
            <v>B</v>
          </cell>
          <cell r="H56" t="str">
            <v>BRASE</v>
          </cell>
          <cell r="J56" t="str">
            <v>FRA</v>
          </cell>
          <cell r="K56" t="str">
            <v>FR</v>
          </cell>
          <cell r="L56" t="str">
            <v>Franche-Comté</v>
          </cell>
          <cell r="M56" t="str">
            <v>FRAFR</v>
          </cell>
          <cell r="P56" t="str">
            <v>Egypt</v>
          </cell>
          <cell r="Q56" t="str">
            <v>EGY</v>
          </cell>
          <cell r="R56" t="str">
            <v>F</v>
          </cell>
        </row>
        <row r="57">
          <cell r="C57" t="str">
            <v>Atibaia</v>
          </cell>
          <cell r="D57" t="str">
            <v>SP</v>
          </cell>
          <cell r="E57" t="str">
            <v>São Paulo</v>
          </cell>
          <cell r="F57" t="str">
            <v>BRA</v>
          </cell>
          <cell r="G57" t="str">
            <v>B</v>
          </cell>
          <cell r="H57" t="str">
            <v>BRASP</v>
          </cell>
          <cell r="J57" t="str">
            <v>FRA</v>
          </cell>
          <cell r="K57" t="str">
            <v>GA</v>
          </cell>
          <cell r="L57" t="str">
            <v>Gascogne</v>
          </cell>
          <cell r="M57" t="str">
            <v>FRAGA</v>
          </cell>
          <cell r="P57" t="str">
            <v>Morocco</v>
          </cell>
          <cell r="Q57" t="str">
            <v>MAR</v>
          </cell>
          <cell r="R57" t="str">
            <v>F</v>
          </cell>
        </row>
        <row r="58">
          <cell r="C58" t="str">
            <v>Bertioga</v>
          </cell>
          <cell r="D58" t="str">
            <v>SP</v>
          </cell>
          <cell r="E58" t="str">
            <v>São Paulo</v>
          </cell>
          <cell r="F58" t="str">
            <v>BRA</v>
          </cell>
          <cell r="G58" t="str">
            <v>B</v>
          </cell>
          <cell r="H58" t="str">
            <v>BRASP</v>
          </cell>
          <cell r="J58" t="str">
            <v>FRA</v>
          </cell>
          <cell r="K58" t="str">
            <v>IF</v>
          </cell>
          <cell r="L58" t="str">
            <v>Île-de-France</v>
          </cell>
          <cell r="M58" t="str">
            <v>FRAIF</v>
          </cell>
          <cell r="P58" t="str">
            <v>Canada</v>
          </cell>
          <cell r="Q58" t="str">
            <v>CAN</v>
          </cell>
          <cell r="R58" t="str">
            <v>N</v>
          </cell>
        </row>
        <row r="59">
          <cell r="C59" t="str">
            <v>Boituva</v>
          </cell>
          <cell r="D59" t="str">
            <v>SP</v>
          </cell>
          <cell r="E59" t="str">
            <v>São Paulo</v>
          </cell>
          <cell r="F59" t="str">
            <v>BRA</v>
          </cell>
          <cell r="G59" t="str">
            <v>B</v>
          </cell>
          <cell r="H59" t="str">
            <v>BRASP</v>
          </cell>
          <cell r="J59" t="str">
            <v>FRA</v>
          </cell>
          <cell r="K59" t="str">
            <v>LA</v>
          </cell>
          <cell r="L59" t="str">
            <v>Languedoc</v>
          </cell>
          <cell r="M59" t="str">
            <v>FRALA</v>
          </cell>
          <cell r="P59" t="str">
            <v>Mexico</v>
          </cell>
          <cell r="Q59" t="str">
            <v>MEX</v>
          </cell>
          <cell r="R59" t="str">
            <v>N</v>
          </cell>
        </row>
        <row r="60">
          <cell r="C60" t="str">
            <v>Brotas</v>
          </cell>
          <cell r="D60" t="str">
            <v>SP</v>
          </cell>
          <cell r="E60" t="str">
            <v>São Paulo</v>
          </cell>
          <cell r="F60" t="str">
            <v>BRA</v>
          </cell>
          <cell r="G60" t="str">
            <v>B</v>
          </cell>
          <cell r="H60" t="str">
            <v>BRASP</v>
          </cell>
          <cell r="J60" t="str">
            <v>FRA</v>
          </cell>
          <cell r="K60" t="str">
            <v>LI</v>
          </cell>
          <cell r="L60" t="str">
            <v>Limousin</v>
          </cell>
          <cell r="M60" t="str">
            <v>FRALI</v>
          </cell>
          <cell r="P60" t="str">
            <v>United States</v>
          </cell>
          <cell r="Q60" t="str">
            <v>USA</v>
          </cell>
          <cell r="R60" t="str">
            <v>N</v>
          </cell>
        </row>
        <row r="61">
          <cell r="C61" t="str">
            <v>Campinas</v>
          </cell>
          <cell r="D61" t="str">
            <v>SP</v>
          </cell>
          <cell r="E61" t="str">
            <v>São Paulo</v>
          </cell>
          <cell r="F61" t="str">
            <v>BRA</v>
          </cell>
          <cell r="G61" t="str">
            <v>B</v>
          </cell>
          <cell r="H61" t="str">
            <v>BRASP</v>
          </cell>
          <cell r="J61" t="str">
            <v>FRA</v>
          </cell>
          <cell r="K61" t="str">
            <v>LO</v>
          </cell>
          <cell r="L61" t="str">
            <v>Lorraine</v>
          </cell>
          <cell r="M61" t="str">
            <v>FRALO</v>
          </cell>
          <cell r="P61" t="str">
            <v>Argentina</v>
          </cell>
          <cell r="Q61" t="str">
            <v>ARG</v>
          </cell>
          <cell r="R61" t="str">
            <v>S</v>
          </cell>
        </row>
        <row r="62">
          <cell r="C62" t="str">
            <v>Campos do Jordao</v>
          </cell>
          <cell r="D62" t="str">
            <v>SP</v>
          </cell>
          <cell r="E62" t="str">
            <v>São Paulo</v>
          </cell>
          <cell r="F62" t="str">
            <v>BRA</v>
          </cell>
          <cell r="G62" t="str">
            <v>B</v>
          </cell>
          <cell r="H62" t="str">
            <v>BRASP</v>
          </cell>
          <cell r="J62" t="str">
            <v>FRA</v>
          </cell>
          <cell r="K62" t="str">
            <v>NO</v>
          </cell>
          <cell r="L62" t="str">
            <v>Normandie</v>
          </cell>
          <cell r="M62" t="str">
            <v>FRANO</v>
          </cell>
          <cell r="P62" t="str">
            <v>Bolivia</v>
          </cell>
          <cell r="Q62" t="str">
            <v>BOL</v>
          </cell>
          <cell r="R62" t="str">
            <v>S</v>
          </cell>
        </row>
        <row r="63">
          <cell r="C63" t="str">
            <v>Cunha</v>
          </cell>
          <cell r="D63" t="str">
            <v>SP</v>
          </cell>
          <cell r="E63" t="str">
            <v>São Paulo</v>
          </cell>
          <cell r="F63" t="str">
            <v>BRA</v>
          </cell>
          <cell r="G63" t="str">
            <v>B</v>
          </cell>
          <cell r="H63" t="str">
            <v>BRASP</v>
          </cell>
          <cell r="J63" t="str">
            <v>FRA</v>
          </cell>
          <cell r="K63" t="str">
            <v>PD</v>
          </cell>
          <cell r="L63" t="str">
            <v>Pays de la Loire</v>
          </cell>
          <cell r="M63" t="str">
            <v>FRAPD</v>
          </cell>
          <cell r="P63" t="str">
            <v>Chile</v>
          </cell>
          <cell r="Q63" t="str">
            <v>CHL</v>
          </cell>
          <cell r="R63" t="str">
            <v>S</v>
          </cell>
        </row>
        <row r="64">
          <cell r="C64" t="str">
            <v>Guaecá</v>
          </cell>
          <cell r="D64" t="str">
            <v>SP</v>
          </cell>
          <cell r="E64" t="str">
            <v>São Paulo</v>
          </cell>
          <cell r="F64" t="str">
            <v>BRA</v>
          </cell>
          <cell r="G64" t="str">
            <v>B</v>
          </cell>
          <cell r="H64" t="str">
            <v>BRASP</v>
          </cell>
          <cell r="J64" t="str">
            <v>FRA</v>
          </cell>
          <cell r="K64" t="str">
            <v>PI</v>
          </cell>
          <cell r="L64" t="str">
            <v>Picardie</v>
          </cell>
          <cell r="M64" t="str">
            <v>FRAPI</v>
          </cell>
          <cell r="P64" t="str">
            <v>Colombia</v>
          </cell>
          <cell r="Q64" t="str">
            <v>COL</v>
          </cell>
          <cell r="R64" t="str">
            <v>S</v>
          </cell>
        </row>
        <row r="65">
          <cell r="C65" t="str">
            <v>Guaratinguetá</v>
          </cell>
          <cell r="D65" t="str">
            <v>SP</v>
          </cell>
          <cell r="E65" t="str">
            <v>São Paulo</v>
          </cell>
          <cell r="F65" t="str">
            <v>BRA</v>
          </cell>
          <cell r="G65" t="str">
            <v>B</v>
          </cell>
          <cell r="H65" t="str">
            <v>BRASP</v>
          </cell>
          <cell r="J65" t="str">
            <v>FRA</v>
          </cell>
          <cell r="K65" t="str">
            <v>PO</v>
          </cell>
          <cell r="L65" t="str">
            <v>Poitou</v>
          </cell>
          <cell r="M65" t="str">
            <v>FRAPO</v>
          </cell>
          <cell r="P65" t="str">
            <v>Ecuador</v>
          </cell>
          <cell r="Q65" t="str">
            <v>ECU</v>
          </cell>
          <cell r="R65" t="str">
            <v>S</v>
          </cell>
        </row>
        <row r="66">
          <cell r="C66" t="str">
            <v>Ilhabela</v>
          </cell>
          <cell r="D66" t="str">
            <v>SP</v>
          </cell>
          <cell r="E66" t="str">
            <v>São Paulo</v>
          </cell>
          <cell r="F66" t="str">
            <v>BRA</v>
          </cell>
          <cell r="G66" t="str">
            <v>B</v>
          </cell>
          <cell r="H66" t="str">
            <v>BRASP</v>
          </cell>
          <cell r="J66" t="str">
            <v>FRA</v>
          </cell>
          <cell r="K66" t="str">
            <v>PR</v>
          </cell>
          <cell r="L66" t="str">
            <v>Provence</v>
          </cell>
          <cell r="M66" t="str">
            <v>FRAPR</v>
          </cell>
          <cell r="P66" t="str">
            <v>Guyana</v>
          </cell>
          <cell r="Q66" t="str">
            <v>GUY</v>
          </cell>
          <cell r="R66" t="str">
            <v>S</v>
          </cell>
        </row>
        <row r="67">
          <cell r="C67" t="str">
            <v>Iporanga</v>
          </cell>
          <cell r="D67" t="str">
            <v>SP</v>
          </cell>
          <cell r="E67" t="str">
            <v>São Paulo</v>
          </cell>
          <cell r="F67" t="str">
            <v>BRA</v>
          </cell>
          <cell r="G67" t="str">
            <v>B</v>
          </cell>
          <cell r="H67" t="str">
            <v>BRASP</v>
          </cell>
          <cell r="J67" t="str">
            <v>FRA</v>
          </cell>
          <cell r="K67" t="str">
            <v>RO</v>
          </cell>
          <cell r="L67" t="str">
            <v>Roussillon</v>
          </cell>
          <cell r="M67" t="str">
            <v>FRARO</v>
          </cell>
          <cell r="P67" t="str">
            <v>Peru</v>
          </cell>
          <cell r="Q67" t="str">
            <v>PER</v>
          </cell>
          <cell r="R67" t="str">
            <v>S</v>
          </cell>
        </row>
        <row r="68">
          <cell r="C68" t="str">
            <v>Lindoia</v>
          </cell>
          <cell r="D68" t="str">
            <v>SP</v>
          </cell>
          <cell r="E68" t="str">
            <v>São Paulo</v>
          </cell>
          <cell r="F68" t="str">
            <v>BRA</v>
          </cell>
          <cell r="G68" t="str">
            <v>B</v>
          </cell>
          <cell r="H68" t="str">
            <v>BRASP</v>
          </cell>
          <cell r="J68" t="str">
            <v>FRA</v>
          </cell>
          <cell r="K68" t="str">
            <v>SA</v>
          </cell>
          <cell r="L68" t="str">
            <v>Savoie</v>
          </cell>
          <cell r="M68" t="str">
            <v>FRASA</v>
          </cell>
          <cell r="P68" t="str">
            <v>Paraguay</v>
          </cell>
          <cell r="Q68" t="str">
            <v>PRY</v>
          </cell>
          <cell r="R68" t="str">
            <v>S</v>
          </cell>
        </row>
        <row r="69">
          <cell r="C69" t="str">
            <v>Peruibe</v>
          </cell>
          <cell r="D69" t="str">
            <v>SP</v>
          </cell>
          <cell r="E69" t="str">
            <v>São Paulo</v>
          </cell>
          <cell r="F69" t="str">
            <v>BRA</v>
          </cell>
          <cell r="G69" t="str">
            <v>B</v>
          </cell>
          <cell r="H69" t="str">
            <v>BRASP</v>
          </cell>
          <cell r="J69" t="str">
            <v>ITA</v>
          </cell>
          <cell r="K69" t="str">
            <v>AB</v>
          </cell>
          <cell r="L69" t="str">
            <v>Abruzzo</v>
          </cell>
          <cell r="M69" t="str">
            <v>ITAAB</v>
          </cell>
          <cell r="P69" t="str">
            <v>Suriname</v>
          </cell>
          <cell r="Q69" t="str">
            <v>SUR</v>
          </cell>
          <cell r="R69" t="str">
            <v>S</v>
          </cell>
        </row>
        <row r="70">
          <cell r="C70" t="str">
            <v>Sao Luis de Piratininga</v>
          </cell>
          <cell r="D70" t="str">
            <v>SP</v>
          </cell>
          <cell r="E70" t="str">
            <v>São Paulo</v>
          </cell>
          <cell r="F70" t="str">
            <v>BRA</v>
          </cell>
          <cell r="G70" t="str">
            <v>B</v>
          </cell>
          <cell r="H70" t="str">
            <v>BRASP</v>
          </cell>
          <cell r="J70" t="str">
            <v>ITA</v>
          </cell>
          <cell r="K70" t="str">
            <v>BA</v>
          </cell>
          <cell r="L70" t="str">
            <v>Basilicata</v>
          </cell>
          <cell r="M70" t="str">
            <v>ITABA</v>
          </cell>
          <cell r="P70" t="str">
            <v>Uruguay</v>
          </cell>
          <cell r="Q70" t="str">
            <v>URY</v>
          </cell>
          <cell r="R70" t="str">
            <v>S</v>
          </cell>
        </row>
        <row r="71">
          <cell r="C71" t="str">
            <v>SP</v>
          </cell>
          <cell r="D71" t="str">
            <v>SP</v>
          </cell>
          <cell r="E71" t="str">
            <v>São Paulo</v>
          </cell>
          <cell r="F71" t="str">
            <v>BRA</v>
          </cell>
          <cell r="G71" t="str">
            <v>B</v>
          </cell>
          <cell r="H71" t="str">
            <v>BRASP</v>
          </cell>
          <cell r="J71" t="str">
            <v>ITA</v>
          </cell>
          <cell r="K71" t="str">
            <v>CA</v>
          </cell>
          <cell r="L71" t="str">
            <v>Calabria</v>
          </cell>
          <cell r="M71" t="str">
            <v>ITACA</v>
          </cell>
          <cell r="P71" t="str">
            <v>Venezuela</v>
          </cell>
          <cell r="Q71" t="str">
            <v>VEN</v>
          </cell>
          <cell r="R71" t="str">
            <v>S</v>
          </cell>
        </row>
        <row r="72">
          <cell r="C72" t="str">
            <v>Ubatuba</v>
          </cell>
          <cell r="D72" t="str">
            <v>SP</v>
          </cell>
          <cell r="E72" t="str">
            <v>São Paulo</v>
          </cell>
          <cell r="F72" t="str">
            <v>BRA</v>
          </cell>
          <cell r="G72" t="str">
            <v>B</v>
          </cell>
          <cell r="H72" t="str">
            <v>BRASP</v>
          </cell>
          <cell r="J72" t="str">
            <v>ITA</v>
          </cell>
          <cell r="K72" t="str">
            <v>CM</v>
          </cell>
          <cell r="L72" t="str">
            <v>Campania</v>
          </cell>
          <cell r="M72" t="str">
            <v>ITACM</v>
          </cell>
          <cell r="P72" t="str">
            <v>Air travel</v>
          </cell>
          <cell r="Q72" t="str">
            <v>AIR</v>
          </cell>
          <cell r="R72" t="str">
            <v>Z</v>
          </cell>
        </row>
        <row r="73">
          <cell r="C73" t="str">
            <v>Panama</v>
          </cell>
          <cell r="D73" t="str">
            <v>-</v>
          </cell>
          <cell r="E73" t="str">
            <v>-</v>
          </cell>
          <cell r="F73" t="str">
            <v>PAN</v>
          </cell>
          <cell r="G73" t="str">
            <v>C</v>
          </cell>
          <cell r="H73" t="str">
            <v>PAN-</v>
          </cell>
          <cell r="J73" t="str">
            <v>ITA</v>
          </cell>
          <cell r="K73" t="str">
            <v>ER</v>
          </cell>
          <cell r="L73" t="str">
            <v>Emilia-Romagna</v>
          </cell>
          <cell r="M73" t="str">
            <v>ITAER</v>
          </cell>
        </row>
        <row r="74">
          <cell r="C74" t="str">
            <v>Insbruck</v>
          </cell>
          <cell r="D74" t="str">
            <v>-</v>
          </cell>
          <cell r="E74" t="str">
            <v>-</v>
          </cell>
          <cell r="F74" t="str">
            <v>AUT</v>
          </cell>
          <cell r="G74" t="str">
            <v>E</v>
          </cell>
          <cell r="H74" t="str">
            <v>AUT-</v>
          </cell>
          <cell r="J74" t="str">
            <v>ITA</v>
          </cell>
          <cell r="K74" t="str">
            <v>FR</v>
          </cell>
          <cell r="L74" t="str">
            <v>Friuli-Venezia Giulia</v>
          </cell>
          <cell r="M74" t="str">
            <v>ITAFR</v>
          </cell>
        </row>
        <row r="75">
          <cell r="C75" t="str">
            <v>Salzburg</v>
          </cell>
          <cell r="D75" t="str">
            <v>-</v>
          </cell>
          <cell r="E75" t="str">
            <v>-</v>
          </cell>
          <cell r="F75" t="str">
            <v>AUT</v>
          </cell>
          <cell r="G75" t="str">
            <v>E</v>
          </cell>
          <cell r="H75" t="str">
            <v>AUT-</v>
          </cell>
          <cell r="J75" t="str">
            <v>ITA</v>
          </cell>
          <cell r="K75" t="str">
            <v>LA</v>
          </cell>
          <cell r="L75" t="str">
            <v>Lazio</v>
          </cell>
          <cell r="M75" t="str">
            <v>ITALA</v>
          </cell>
        </row>
        <row r="76">
          <cell r="C76" t="str">
            <v>Viena</v>
          </cell>
          <cell r="D76" t="str">
            <v>-</v>
          </cell>
          <cell r="E76" t="str">
            <v>-</v>
          </cell>
          <cell r="F76" t="str">
            <v>AUT</v>
          </cell>
          <cell r="G76" t="str">
            <v>E</v>
          </cell>
          <cell r="H76" t="str">
            <v>AUT-</v>
          </cell>
          <cell r="J76" t="str">
            <v>ITA</v>
          </cell>
          <cell r="K76" t="str">
            <v>LI</v>
          </cell>
          <cell r="L76" t="str">
            <v>Liguria</v>
          </cell>
          <cell r="M76" t="str">
            <v>ITALI</v>
          </cell>
        </row>
        <row r="77">
          <cell r="C77" t="str">
            <v>Achel</v>
          </cell>
          <cell r="D77" t="str">
            <v>-</v>
          </cell>
          <cell r="E77" t="str">
            <v>-</v>
          </cell>
          <cell r="F77" t="str">
            <v>BEL</v>
          </cell>
          <cell r="G77" t="str">
            <v>E</v>
          </cell>
          <cell r="H77" t="str">
            <v>BEL-</v>
          </cell>
          <cell r="J77" t="str">
            <v>ITA</v>
          </cell>
          <cell r="K77" t="str">
            <v>LO</v>
          </cell>
          <cell r="L77" t="str">
            <v>Lombardia</v>
          </cell>
          <cell r="M77" t="str">
            <v>ITALO</v>
          </cell>
        </row>
        <row r="78">
          <cell r="C78" t="str">
            <v>Brugge</v>
          </cell>
          <cell r="D78" t="str">
            <v>-</v>
          </cell>
          <cell r="E78" t="str">
            <v>-</v>
          </cell>
          <cell r="F78" t="str">
            <v>BEL</v>
          </cell>
          <cell r="G78" t="str">
            <v>E</v>
          </cell>
          <cell r="H78" t="str">
            <v>BEL-</v>
          </cell>
          <cell r="J78" t="str">
            <v>ITA</v>
          </cell>
          <cell r="K78" t="str">
            <v>MA</v>
          </cell>
          <cell r="L78" t="str">
            <v>Marche</v>
          </cell>
          <cell r="M78" t="str">
            <v>ITAMA</v>
          </cell>
        </row>
        <row r="79">
          <cell r="C79" t="str">
            <v>Bruxelas</v>
          </cell>
          <cell r="D79" t="str">
            <v>-</v>
          </cell>
          <cell r="E79" t="str">
            <v>-</v>
          </cell>
          <cell r="F79" t="str">
            <v>BEL</v>
          </cell>
          <cell r="G79" t="str">
            <v>E</v>
          </cell>
          <cell r="H79" t="str">
            <v>BEL-</v>
          </cell>
          <cell r="J79" t="str">
            <v>ITA</v>
          </cell>
          <cell r="K79" t="str">
            <v>MO</v>
          </cell>
          <cell r="L79" t="str">
            <v>Molise</v>
          </cell>
          <cell r="M79" t="str">
            <v>ITAMO</v>
          </cell>
        </row>
        <row r="80">
          <cell r="C80" t="str">
            <v>Gent</v>
          </cell>
          <cell r="D80" t="str">
            <v>-</v>
          </cell>
          <cell r="E80" t="str">
            <v>-</v>
          </cell>
          <cell r="F80" t="str">
            <v>BEL</v>
          </cell>
          <cell r="G80" t="str">
            <v>E</v>
          </cell>
          <cell r="H80" t="str">
            <v>BEL-</v>
          </cell>
          <cell r="J80" t="str">
            <v>ITA</v>
          </cell>
          <cell r="K80" t="str">
            <v>PI</v>
          </cell>
          <cell r="L80" t="str">
            <v>Piemonte</v>
          </cell>
          <cell r="M80" t="str">
            <v>ITAPI</v>
          </cell>
        </row>
        <row r="81">
          <cell r="C81" t="str">
            <v>Aigle</v>
          </cell>
          <cell r="D81" t="str">
            <v>-</v>
          </cell>
          <cell r="E81" t="str">
            <v>-</v>
          </cell>
          <cell r="F81" t="str">
            <v>CHE</v>
          </cell>
          <cell r="G81" t="str">
            <v>E</v>
          </cell>
          <cell r="H81" t="str">
            <v>CHE-</v>
          </cell>
          <cell r="J81" t="str">
            <v>ITA</v>
          </cell>
          <cell r="K81" t="str">
            <v>PU</v>
          </cell>
          <cell r="L81" t="str">
            <v>Puglia</v>
          </cell>
          <cell r="M81" t="str">
            <v>ITAPU</v>
          </cell>
        </row>
        <row r="82">
          <cell r="C82" t="str">
            <v>Auberson</v>
          </cell>
          <cell r="D82" t="str">
            <v>-</v>
          </cell>
          <cell r="E82" t="str">
            <v>-</v>
          </cell>
          <cell r="F82" t="str">
            <v>CHE</v>
          </cell>
          <cell r="G82" t="str">
            <v>E</v>
          </cell>
          <cell r="H82" t="str">
            <v>CHE-</v>
          </cell>
          <cell r="J82" t="str">
            <v>ITA</v>
          </cell>
          <cell r="K82" t="str">
            <v>SA</v>
          </cell>
          <cell r="L82" t="str">
            <v>Sardegna</v>
          </cell>
          <cell r="M82" t="str">
            <v>ITASA</v>
          </cell>
        </row>
        <row r="83">
          <cell r="C83" t="str">
            <v>Basel</v>
          </cell>
          <cell r="D83" t="str">
            <v>-</v>
          </cell>
          <cell r="E83" t="str">
            <v>-</v>
          </cell>
          <cell r="F83" t="str">
            <v>CHE</v>
          </cell>
          <cell r="G83" t="str">
            <v>E</v>
          </cell>
          <cell r="H83" t="str">
            <v>CHE-</v>
          </cell>
          <cell r="J83" t="str">
            <v>ITA</v>
          </cell>
          <cell r="K83" t="str">
            <v>SI</v>
          </cell>
          <cell r="L83" t="str">
            <v>Sicilia</v>
          </cell>
          <cell r="M83" t="str">
            <v>ITASI</v>
          </cell>
        </row>
        <row r="84">
          <cell r="C84" t="str">
            <v>Baulmes</v>
          </cell>
          <cell r="D84" t="str">
            <v>-</v>
          </cell>
          <cell r="E84" t="str">
            <v>-</v>
          </cell>
          <cell r="F84" t="str">
            <v>CHE</v>
          </cell>
          <cell r="G84" t="str">
            <v>E</v>
          </cell>
          <cell r="H84" t="str">
            <v>CHE-</v>
          </cell>
          <cell r="J84" t="str">
            <v>ITA</v>
          </cell>
          <cell r="K84" t="str">
            <v>TO</v>
          </cell>
          <cell r="L84" t="str">
            <v>Toscana</v>
          </cell>
          <cell r="M84" t="str">
            <v>ITATO</v>
          </cell>
        </row>
        <row r="85">
          <cell r="C85" t="str">
            <v>Bern</v>
          </cell>
          <cell r="D85" t="str">
            <v>-</v>
          </cell>
          <cell r="E85" t="str">
            <v>-</v>
          </cell>
          <cell r="F85" t="str">
            <v>CHE</v>
          </cell>
          <cell r="G85" t="str">
            <v>E</v>
          </cell>
          <cell r="H85" t="str">
            <v>CHE-</v>
          </cell>
          <cell r="J85" t="str">
            <v>ITA</v>
          </cell>
          <cell r="K85" t="str">
            <v>TR</v>
          </cell>
          <cell r="L85" t="str">
            <v>Trentino-Alto Adige / Südtirol</v>
          </cell>
          <cell r="M85" t="str">
            <v>ITATR</v>
          </cell>
        </row>
        <row r="86">
          <cell r="C86" t="str">
            <v>Evionnaz</v>
          </cell>
          <cell r="D86" t="str">
            <v>-</v>
          </cell>
          <cell r="E86" t="str">
            <v>-</v>
          </cell>
          <cell r="F86" t="str">
            <v>CHE</v>
          </cell>
          <cell r="G86" t="str">
            <v>E</v>
          </cell>
          <cell r="H86" t="str">
            <v>CHE-</v>
          </cell>
          <cell r="J86" t="str">
            <v>ITA</v>
          </cell>
          <cell r="K86" t="str">
            <v>UM</v>
          </cell>
          <cell r="L86" t="str">
            <v>Umbria</v>
          </cell>
          <cell r="M86" t="str">
            <v>ITAUM</v>
          </cell>
        </row>
        <row r="87">
          <cell r="C87" t="str">
            <v>Geneve</v>
          </cell>
          <cell r="D87" t="str">
            <v>-</v>
          </cell>
          <cell r="E87" t="str">
            <v>-</v>
          </cell>
          <cell r="F87" t="str">
            <v>CHE</v>
          </cell>
          <cell r="G87" t="str">
            <v>E</v>
          </cell>
          <cell r="H87" t="str">
            <v>CHE-</v>
          </cell>
          <cell r="J87" t="str">
            <v>ITA</v>
          </cell>
          <cell r="K87" t="str">
            <v>VA</v>
          </cell>
          <cell r="L87" t="str">
            <v>Valle d’Aosta</v>
          </cell>
          <cell r="M87" t="str">
            <v>ITAVA</v>
          </cell>
        </row>
        <row r="88">
          <cell r="C88" t="str">
            <v>Grand Saint-Bernard</v>
          </cell>
          <cell r="D88" t="str">
            <v>-</v>
          </cell>
          <cell r="E88" t="str">
            <v>-</v>
          </cell>
          <cell r="F88" t="str">
            <v>CHE</v>
          </cell>
          <cell r="G88" t="str">
            <v>E</v>
          </cell>
          <cell r="H88" t="str">
            <v>CHE-</v>
          </cell>
          <cell r="J88" t="str">
            <v>ITA</v>
          </cell>
          <cell r="K88" t="str">
            <v>VE</v>
          </cell>
          <cell r="L88" t="str">
            <v>Veneto</v>
          </cell>
          <cell r="M88" t="str">
            <v>ITAVE</v>
          </cell>
        </row>
        <row r="89">
          <cell r="C89" t="str">
            <v>Grindenwald</v>
          </cell>
          <cell r="D89" t="str">
            <v>-</v>
          </cell>
          <cell r="E89" t="str">
            <v>-</v>
          </cell>
          <cell r="F89" t="str">
            <v>CHE</v>
          </cell>
          <cell r="G89" t="str">
            <v>E</v>
          </cell>
          <cell r="H89" t="str">
            <v>CHE-</v>
          </cell>
          <cell r="J89" t="str">
            <v>PRT</v>
          </cell>
          <cell r="K89" t="str">
            <v>AC</v>
          </cell>
          <cell r="L89" t="str">
            <v>Açores</v>
          </cell>
          <cell r="M89" t="str">
            <v>PRTAC</v>
          </cell>
        </row>
        <row r="90">
          <cell r="C90" t="str">
            <v>Interlaken</v>
          </cell>
          <cell r="D90" t="str">
            <v>-</v>
          </cell>
          <cell r="E90" t="str">
            <v>-</v>
          </cell>
          <cell r="F90" t="str">
            <v>CHE</v>
          </cell>
          <cell r="G90" t="str">
            <v>E</v>
          </cell>
          <cell r="H90" t="str">
            <v>CHE-</v>
          </cell>
          <cell r="J90" t="str">
            <v>PRT</v>
          </cell>
          <cell r="K90" t="str">
            <v>AG</v>
          </cell>
          <cell r="L90" t="str">
            <v>Algarve</v>
          </cell>
          <cell r="M90" t="str">
            <v>PRTAG</v>
          </cell>
        </row>
        <row r="91">
          <cell r="C91" t="str">
            <v>La Sage</v>
          </cell>
          <cell r="D91" t="str">
            <v>-</v>
          </cell>
          <cell r="E91" t="str">
            <v>-</v>
          </cell>
          <cell r="F91" t="str">
            <v>CHE</v>
          </cell>
          <cell r="G91" t="str">
            <v>E</v>
          </cell>
          <cell r="H91" t="str">
            <v>CHE-</v>
          </cell>
          <cell r="J91" t="str">
            <v>PRT</v>
          </cell>
          <cell r="K91" t="str">
            <v>AL</v>
          </cell>
          <cell r="L91" t="str">
            <v>Alentejo</v>
          </cell>
          <cell r="M91" t="str">
            <v>PRTAL</v>
          </cell>
        </row>
        <row r="92">
          <cell r="C92" t="str">
            <v>Lausanne</v>
          </cell>
          <cell r="D92" t="str">
            <v>-</v>
          </cell>
          <cell r="E92" t="str">
            <v>-</v>
          </cell>
          <cell r="F92" t="str">
            <v>CHE</v>
          </cell>
          <cell r="G92" t="str">
            <v>E</v>
          </cell>
          <cell r="H92" t="str">
            <v>CHE-</v>
          </cell>
          <cell r="J92" t="str">
            <v>PRT</v>
          </cell>
          <cell r="K92" t="str">
            <v>BA</v>
          </cell>
          <cell r="L92" t="str">
            <v>Beira Alta</v>
          </cell>
          <cell r="M92" t="str">
            <v>PRTBA</v>
          </cell>
        </row>
        <row r="93">
          <cell r="C93" t="str">
            <v>Le Borgeaud</v>
          </cell>
          <cell r="D93" t="str">
            <v>-</v>
          </cell>
          <cell r="E93" t="str">
            <v>-</v>
          </cell>
          <cell r="F93" t="str">
            <v>CHE</v>
          </cell>
          <cell r="G93" t="str">
            <v>E</v>
          </cell>
          <cell r="H93" t="str">
            <v>CHE-</v>
          </cell>
          <cell r="J93" t="str">
            <v>PRT</v>
          </cell>
          <cell r="K93" t="str">
            <v>BI</v>
          </cell>
          <cell r="L93" t="str">
            <v>Beira Interior</v>
          </cell>
          <cell r="M93" t="str">
            <v>PRTBI</v>
          </cell>
        </row>
        <row r="94">
          <cell r="C94" t="str">
            <v>Le Bourg</v>
          </cell>
          <cell r="D94" t="str">
            <v>-</v>
          </cell>
          <cell r="E94" t="str">
            <v>-</v>
          </cell>
          <cell r="F94" t="str">
            <v>CHE</v>
          </cell>
          <cell r="G94" t="str">
            <v>E</v>
          </cell>
          <cell r="H94" t="str">
            <v>CHE-</v>
          </cell>
          <cell r="J94" t="str">
            <v>PRT</v>
          </cell>
          <cell r="K94" t="str">
            <v>BL</v>
          </cell>
          <cell r="L94" t="str">
            <v>Beira Litoral</v>
          </cell>
          <cell r="M94" t="str">
            <v>PRTBL</v>
          </cell>
        </row>
        <row r="95">
          <cell r="C95" t="str">
            <v>Les Hauderes</v>
          </cell>
          <cell r="D95" t="str">
            <v>-</v>
          </cell>
          <cell r="E95" t="str">
            <v>-</v>
          </cell>
          <cell r="F95" t="str">
            <v>CHE</v>
          </cell>
          <cell r="G95" t="str">
            <v>E</v>
          </cell>
          <cell r="H95" t="str">
            <v>CHE-</v>
          </cell>
          <cell r="J95" t="str">
            <v>PRT</v>
          </cell>
          <cell r="K95" t="str">
            <v>BX</v>
          </cell>
          <cell r="L95" t="str">
            <v>Beira Baixa</v>
          </cell>
          <cell r="M95" t="str">
            <v>PRTBX</v>
          </cell>
        </row>
        <row r="96">
          <cell r="C96" t="str">
            <v>Lucerne</v>
          </cell>
          <cell r="D96" t="str">
            <v>-</v>
          </cell>
          <cell r="E96" t="str">
            <v>-</v>
          </cell>
          <cell r="F96" t="str">
            <v>CHE</v>
          </cell>
          <cell r="G96" t="str">
            <v>E</v>
          </cell>
          <cell r="H96" t="str">
            <v>CHE-</v>
          </cell>
          <cell r="J96" t="str">
            <v>PRT</v>
          </cell>
          <cell r="K96" t="str">
            <v>CE</v>
          </cell>
          <cell r="L96" t="str">
            <v>Centro</v>
          </cell>
          <cell r="M96" t="str">
            <v>PRTCE</v>
          </cell>
        </row>
        <row r="97">
          <cell r="C97" t="str">
            <v>Martigny</v>
          </cell>
          <cell r="D97" t="str">
            <v>-</v>
          </cell>
          <cell r="E97" t="str">
            <v>-</v>
          </cell>
          <cell r="F97" t="str">
            <v>CHE</v>
          </cell>
          <cell r="G97" t="str">
            <v>E</v>
          </cell>
          <cell r="H97" t="str">
            <v>CHE-</v>
          </cell>
          <cell r="J97" t="str">
            <v>PRT</v>
          </cell>
          <cell r="K97" t="str">
            <v>DL</v>
          </cell>
          <cell r="L97" t="str">
            <v>Douro Litoral</v>
          </cell>
          <cell r="M97" t="str">
            <v>PRTDL</v>
          </cell>
        </row>
        <row r="98">
          <cell r="C98" t="str">
            <v>Montreux</v>
          </cell>
          <cell r="D98" t="str">
            <v>-</v>
          </cell>
          <cell r="E98" t="str">
            <v>-</v>
          </cell>
          <cell r="F98" t="str">
            <v>CHE</v>
          </cell>
          <cell r="G98" t="str">
            <v>E</v>
          </cell>
          <cell r="H98" t="str">
            <v>CHE-</v>
          </cell>
          <cell r="J98" t="str">
            <v>PRT</v>
          </cell>
          <cell r="K98" t="str">
            <v>DO</v>
          </cell>
          <cell r="L98" t="str">
            <v>Douro</v>
          </cell>
          <cell r="M98" t="str">
            <v>PRTDO</v>
          </cell>
        </row>
        <row r="99">
          <cell r="C99" t="str">
            <v>Orbe</v>
          </cell>
          <cell r="D99" t="str">
            <v>-</v>
          </cell>
          <cell r="E99" t="str">
            <v>-</v>
          </cell>
          <cell r="F99" t="str">
            <v>CHE</v>
          </cell>
          <cell r="G99" t="str">
            <v>E</v>
          </cell>
          <cell r="H99" t="str">
            <v>CHE-</v>
          </cell>
          <cell r="J99" t="str">
            <v>PRT</v>
          </cell>
          <cell r="K99" t="str">
            <v>ES</v>
          </cell>
          <cell r="L99" t="str">
            <v>Estremadura</v>
          </cell>
          <cell r="M99" t="str">
            <v>PRTES</v>
          </cell>
        </row>
        <row r="100">
          <cell r="C100" t="str">
            <v>Orsieres</v>
          </cell>
          <cell r="D100" t="str">
            <v>-</v>
          </cell>
          <cell r="E100" t="str">
            <v>-</v>
          </cell>
          <cell r="F100" t="str">
            <v>CHE</v>
          </cell>
          <cell r="G100" t="str">
            <v>E</v>
          </cell>
          <cell r="H100" t="str">
            <v>CHE-</v>
          </cell>
          <cell r="J100" t="str">
            <v>PRT</v>
          </cell>
          <cell r="K100" t="str">
            <v>MA</v>
          </cell>
          <cell r="L100" t="str">
            <v>Madeira</v>
          </cell>
          <cell r="M100" t="str">
            <v>PRTMA</v>
          </cell>
        </row>
        <row r="101">
          <cell r="C101" t="str">
            <v>Saint-Maurice</v>
          </cell>
          <cell r="D101" t="str">
            <v>-</v>
          </cell>
          <cell r="E101" t="str">
            <v>-</v>
          </cell>
          <cell r="F101" t="str">
            <v>CHE</v>
          </cell>
          <cell r="G101" t="str">
            <v>E</v>
          </cell>
          <cell r="H101" t="str">
            <v>CHE-</v>
          </cell>
          <cell r="J101" t="str">
            <v>PRT</v>
          </cell>
          <cell r="K101" t="str">
            <v>MI</v>
          </cell>
          <cell r="L101" t="str">
            <v>Minho</v>
          </cell>
          <cell r="M101" t="str">
            <v>PRTMI</v>
          </cell>
        </row>
        <row r="102">
          <cell r="C102" t="str">
            <v>Sembrancher</v>
          </cell>
          <cell r="D102" t="str">
            <v>-</v>
          </cell>
          <cell r="E102" t="str">
            <v>-</v>
          </cell>
          <cell r="F102" t="str">
            <v>CHE</v>
          </cell>
          <cell r="G102" t="str">
            <v>E</v>
          </cell>
          <cell r="H102" t="str">
            <v>CHE-</v>
          </cell>
          <cell r="J102" t="str">
            <v>PRT</v>
          </cell>
          <cell r="K102" t="str">
            <v>RI</v>
          </cell>
          <cell r="L102" t="str">
            <v>Ribatejo</v>
          </cell>
          <cell r="M102" t="str">
            <v>PRTRI</v>
          </cell>
        </row>
        <row r="103">
          <cell r="C103" t="str">
            <v>Ste. Croix</v>
          </cell>
          <cell r="D103" t="str">
            <v>-</v>
          </cell>
          <cell r="E103" t="str">
            <v>-</v>
          </cell>
          <cell r="F103" t="str">
            <v>CHE</v>
          </cell>
          <cell r="G103" t="str">
            <v>E</v>
          </cell>
          <cell r="H103" t="str">
            <v>CHE-</v>
          </cell>
          <cell r="J103" t="str">
            <v>PRT</v>
          </cell>
          <cell r="K103" t="str">
            <v>TM</v>
          </cell>
          <cell r="L103" t="str">
            <v>Trás-os-Montes</v>
          </cell>
          <cell r="M103" t="str">
            <v>PRTTM</v>
          </cell>
        </row>
        <row r="104">
          <cell r="C104" t="str">
            <v>Trient</v>
          </cell>
          <cell r="D104" t="str">
            <v>-</v>
          </cell>
          <cell r="E104" t="str">
            <v>-</v>
          </cell>
          <cell r="F104" t="str">
            <v>CHE</v>
          </cell>
          <cell r="G104" t="str">
            <v>E</v>
          </cell>
          <cell r="H104" t="str">
            <v>CHE-</v>
          </cell>
          <cell r="J104" t="str">
            <v>USA</v>
          </cell>
          <cell r="K104" t="str">
            <v>AK</v>
          </cell>
          <cell r="L104" t="str">
            <v>Alaska</v>
          </cell>
          <cell r="M104" t="str">
            <v>USAAK</v>
          </cell>
        </row>
        <row r="105">
          <cell r="C105" t="str">
            <v>Vevey</v>
          </cell>
          <cell r="D105" t="str">
            <v>-</v>
          </cell>
          <cell r="E105" t="str">
            <v>-</v>
          </cell>
          <cell r="F105" t="str">
            <v>CHE</v>
          </cell>
          <cell r="G105" t="str">
            <v>E</v>
          </cell>
          <cell r="H105" t="str">
            <v>CHE-</v>
          </cell>
          <cell r="J105" t="str">
            <v>USA</v>
          </cell>
          <cell r="K105" t="str">
            <v>AL</v>
          </cell>
          <cell r="L105" t="str">
            <v>Alabama</v>
          </cell>
          <cell r="M105" t="str">
            <v>USAAL</v>
          </cell>
        </row>
        <row r="106">
          <cell r="C106" t="str">
            <v>Villeneuve</v>
          </cell>
          <cell r="D106" t="str">
            <v>-</v>
          </cell>
          <cell r="E106" t="str">
            <v>-</v>
          </cell>
          <cell r="F106" t="str">
            <v>CHE</v>
          </cell>
          <cell r="G106" t="str">
            <v>E</v>
          </cell>
          <cell r="H106" t="str">
            <v>CHE-</v>
          </cell>
          <cell r="J106" t="str">
            <v>USA</v>
          </cell>
          <cell r="K106" t="str">
            <v>AR</v>
          </cell>
          <cell r="L106" t="str">
            <v>Arkansas</v>
          </cell>
          <cell r="M106" t="str">
            <v>USAAR</v>
          </cell>
        </row>
        <row r="107">
          <cell r="C107" t="str">
            <v>Villette</v>
          </cell>
          <cell r="D107" t="str">
            <v>-</v>
          </cell>
          <cell r="E107" t="str">
            <v>-</v>
          </cell>
          <cell r="F107" t="str">
            <v>CHE</v>
          </cell>
          <cell r="G107" t="str">
            <v>E</v>
          </cell>
          <cell r="H107" t="str">
            <v>CHE-</v>
          </cell>
          <cell r="J107" t="str">
            <v>USA</v>
          </cell>
          <cell r="K107" t="str">
            <v>AZ</v>
          </cell>
          <cell r="L107" t="str">
            <v>Arizona</v>
          </cell>
          <cell r="M107" t="str">
            <v>USAAZ</v>
          </cell>
        </row>
        <row r="108">
          <cell r="C108" t="str">
            <v>Vuiteboeuf</v>
          </cell>
          <cell r="D108" t="str">
            <v>-</v>
          </cell>
          <cell r="E108" t="str">
            <v>-</v>
          </cell>
          <cell r="F108" t="str">
            <v>CHE</v>
          </cell>
          <cell r="G108" t="str">
            <v>E</v>
          </cell>
          <cell r="H108" t="str">
            <v>CHE-</v>
          </cell>
          <cell r="J108" t="str">
            <v>USA</v>
          </cell>
          <cell r="K108" t="str">
            <v>CA</v>
          </cell>
          <cell r="L108" t="str">
            <v>California</v>
          </cell>
          <cell r="M108" t="str">
            <v>USACA</v>
          </cell>
        </row>
        <row r="109">
          <cell r="C109" t="str">
            <v>Zurich</v>
          </cell>
          <cell r="D109" t="str">
            <v>-</v>
          </cell>
          <cell r="E109" t="str">
            <v>-</v>
          </cell>
          <cell r="F109" t="str">
            <v>CHE</v>
          </cell>
          <cell r="G109" t="str">
            <v>E</v>
          </cell>
          <cell r="H109" t="str">
            <v>CHE-</v>
          </cell>
          <cell r="J109" t="str">
            <v>USA</v>
          </cell>
          <cell r="K109" t="str">
            <v>CO</v>
          </cell>
          <cell r="L109" t="str">
            <v>Colorado</v>
          </cell>
          <cell r="M109" t="str">
            <v>USACO</v>
          </cell>
        </row>
        <row r="110">
          <cell r="C110" t="str">
            <v>Praga</v>
          </cell>
          <cell r="D110" t="str">
            <v>-</v>
          </cell>
          <cell r="E110" t="str">
            <v>-</v>
          </cell>
          <cell r="F110" t="str">
            <v>CZE</v>
          </cell>
          <cell r="G110" t="str">
            <v>E</v>
          </cell>
          <cell r="H110" t="str">
            <v>CZE-</v>
          </cell>
          <cell r="J110" t="str">
            <v>USA</v>
          </cell>
          <cell r="K110" t="str">
            <v>CT</v>
          </cell>
          <cell r="L110" t="str">
            <v>Connecticut</v>
          </cell>
          <cell r="M110" t="str">
            <v>USACT</v>
          </cell>
        </row>
        <row r="111">
          <cell r="C111" t="str">
            <v>Aachen</v>
          </cell>
          <cell r="D111" t="str">
            <v>-</v>
          </cell>
          <cell r="E111" t="str">
            <v>-</v>
          </cell>
          <cell r="F111" t="str">
            <v>DEU</v>
          </cell>
          <cell r="G111" t="str">
            <v>E</v>
          </cell>
          <cell r="H111" t="str">
            <v>DEU-</v>
          </cell>
          <cell r="J111" t="str">
            <v>USA</v>
          </cell>
          <cell r="K111" t="str">
            <v>DC</v>
          </cell>
          <cell r="L111" t="str">
            <v>Washington</v>
          </cell>
          <cell r="M111" t="str">
            <v>USADC</v>
          </cell>
        </row>
        <row r="112">
          <cell r="C112" t="str">
            <v>Assmannshausen</v>
          </cell>
          <cell r="D112" t="str">
            <v>-</v>
          </cell>
          <cell r="E112" t="str">
            <v>-</v>
          </cell>
          <cell r="F112" t="str">
            <v>DEU</v>
          </cell>
          <cell r="G112" t="str">
            <v>E</v>
          </cell>
          <cell r="H112" t="str">
            <v>DEU-</v>
          </cell>
          <cell r="J112" t="str">
            <v>USA</v>
          </cell>
          <cell r="K112" t="str">
            <v>DE</v>
          </cell>
          <cell r="L112" t="str">
            <v>Delaware</v>
          </cell>
          <cell r="M112" t="str">
            <v>USADE</v>
          </cell>
        </row>
        <row r="113">
          <cell r="C113" t="str">
            <v>Bacharach</v>
          </cell>
          <cell r="D113" t="str">
            <v>-</v>
          </cell>
          <cell r="E113" t="str">
            <v>-</v>
          </cell>
          <cell r="F113" t="str">
            <v>DEU</v>
          </cell>
          <cell r="G113" t="str">
            <v>E</v>
          </cell>
          <cell r="H113" t="str">
            <v>DEU-</v>
          </cell>
          <cell r="J113" t="str">
            <v>USA</v>
          </cell>
          <cell r="K113" t="str">
            <v>FL</v>
          </cell>
          <cell r="L113" t="str">
            <v>Florida</v>
          </cell>
          <cell r="M113" t="str">
            <v>USAFL</v>
          </cell>
        </row>
        <row r="114">
          <cell r="C114" t="str">
            <v>Baden-Baden</v>
          </cell>
          <cell r="D114" t="str">
            <v>-</v>
          </cell>
          <cell r="E114" t="str">
            <v>-</v>
          </cell>
          <cell r="F114" t="str">
            <v>DEU</v>
          </cell>
          <cell r="G114" t="str">
            <v>E</v>
          </cell>
          <cell r="H114" t="str">
            <v>DEU-</v>
          </cell>
          <cell r="J114" t="str">
            <v>USA</v>
          </cell>
          <cell r="K114" t="str">
            <v>GA</v>
          </cell>
          <cell r="L114" t="str">
            <v>Georgia</v>
          </cell>
          <cell r="M114" t="str">
            <v>USAGA</v>
          </cell>
        </row>
        <row r="115">
          <cell r="C115" t="str">
            <v>Berlin</v>
          </cell>
          <cell r="D115" t="str">
            <v>-</v>
          </cell>
          <cell r="E115" t="str">
            <v>-</v>
          </cell>
          <cell r="F115" t="str">
            <v>DEU</v>
          </cell>
          <cell r="G115" t="str">
            <v>E</v>
          </cell>
          <cell r="H115" t="str">
            <v>DEU-</v>
          </cell>
          <cell r="J115" t="str">
            <v>USA</v>
          </cell>
          <cell r="K115" t="str">
            <v>HI</v>
          </cell>
          <cell r="L115" t="str">
            <v>Hawaii</v>
          </cell>
          <cell r="M115" t="str">
            <v>USAHI</v>
          </cell>
        </row>
        <row r="116">
          <cell r="C116" t="str">
            <v>Bonn</v>
          </cell>
          <cell r="D116" t="str">
            <v>-</v>
          </cell>
          <cell r="E116" t="str">
            <v>-</v>
          </cell>
          <cell r="F116" t="str">
            <v>DEU</v>
          </cell>
          <cell r="G116" t="str">
            <v>E</v>
          </cell>
          <cell r="H116" t="str">
            <v>DEU-</v>
          </cell>
          <cell r="J116" t="str">
            <v>USA</v>
          </cell>
          <cell r="K116" t="str">
            <v>IA</v>
          </cell>
          <cell r="L116" t="str">
            <v>Iowa</v>
          </cell>
          <cell r="M116" t="str">
            <v>USAIA</v>
          </cell>
        </row>
        <row r="117">
          <cell r="C117" t="str">
            <v>Dusseldorf</v>
          </cell>
          <cell r="D117" t="str">
            <v>-</v>
          </cell>
          <cell r="E117" t="str">
            <v>-</v>
          </cell>
          <cell r="F117" t="str">
            <v>DEU</v>
          </cell>
          <cell r="G117" t="str">
            <v>E</v>
          </cell>
          <cell r="H117" t="str">
            <v>DEU-</v>
          </cell>
          <cell r="J117" t="str">
            <v>USA</v>
          </cell>
          <cell r="K117" t="str">
            <v>ID</v>
          </cell>
          <cell r="L117" t="str">
            <v>Idaho</v>
          </cell>
          <cell r="M117" t="str">
            <v>USAID</v>
          </cell>
        </row>
        <row r="118">
          <cell r="C118" t="str">
            <v>Frankfurt</v>
          </cell>
          <cell r="D118" t="str">
            <v>-</v>
          </cell>
          <cell r="E118" t="str">
            <v>-</v>
          </cell>
          <cell r="F118" t="str">
            <v>DEU</v>
          </cell>
          <cell r="G118" t="str">
            <v>E</v>
          </cell>
          <cell r="H118" t="str">
            <v>DEU-</v>
          </cell>
          <cell r="J118" t="str">
            <v>USA</v>
          </cell>
          <cell r="K118" t="str">
            <v>IL</v>
          </cell>
          <cell r="L118" t="str">
            <v>Illinois</v>
          </cell>
          <cell r="M118" t="str">
            <v>USAIL</v>
          </cell>
        </row>
        <row r="119">
          <cell r="C119" t="str">
            <v>Freiburg</v>
          </cell>
          <cell r="D119" t="str">
            <v>-</v>
          </cell>
          <cell r="E119" t="str">
            <v>-</v>
          </cell>
          <cell r="F119" t="str">
            <v>DEU</v>
          </cell>
          <cell r="G119" t="str">
            <v>E</v>
          </cell>
          <cell r="H119" t="str">
            <v>DEU-</v>
          </cell>
          <cell r="J119" t="str">
            <v>USA</v>
          </cell>
          <cell r="K119" t="str">
            <v>IN</v>
          </cell>
          <cell r="L119" t="str">
            <v>Indiana</v>
          </cell>
          <cell r="M119" t="str">
            <v>USAIN</v>
          </cell>
        </row>
        <row r="120">
          <cell r="C120" t="str">
            <v>Freudenstadt</v>
          </cell>
          <cell r="D120" t="str">
            <v>-</v>
          </cell>
          <cell r="E120" t="str">
            <v>-</v>
          </cell>
          <cell r="F120" t="str">
            <v>DEU</v>
          </cell>
          <cell r="G120" t="str">
            <v>E</v>
          </cell>
          <cell r="H120" t="str">
            <v>DEU-</v>
          </cell>
          <cell r="J120" t="str">
            <v>USA</v>
          </cell>
          <cell r="K120" t="str">
            <v>KS</v>
          </cell>
          <cell r="L120" t="str">
            <v>Kansas</v>
          </cell>
          <cell r="M120" t="str">
            <v>USAKS</v>
          </cell>
        </row>
        <row r="121">
          <cell r="C121" t="str">
            <v>Karlsruhe</v>
          </cell>
          <cell r="D121" t="str">
            <v>-</v>
          </cell>
          <cell r="E121" t="str">
            <v>-</v>
          </cell>
          <cell r="F121" t="str">
            <v>DEU</v>
          </cell>
          <cell r="G121" t="str">
            <v>E</v>
          </cell>
          <cell r="H121" t="str">
            <v>DEU-</v>
          </cell>
          <cell r="J121" t="str">
            <v>USA</v>
          </cell>
          <cell r="K121" t="str">
            <v>KY</v>
          </cell>
          <cell r="L121" t="str">
            <v>Kentucky</v>
          </cell>
          <cell r="M121" t="str">
            <v>USAKY</v>
          </cell>
        </row>
        <row r="122">
          <cell r="C122" t="str">
            <v>Koblenz</v>
          </cell>
          <cell r="D122" t="str">
            <v>-</v>
          </cell>
          <cell r="E122" t="str">
            <v>-</v>
          </cell>
          <cell r="F122" t="str">
            <v>DEU</v>
          </cell>
          <cell r="G122" t="str">
            <v>E</v>
          </cell>
          <cell r="H122" t="str">
            <v>DEU-</v>
          </cell>
          <cell r="J122" t="str">
            <v>USA</v>
          </cell>
          <cell r="K122" t="str">
            <v>LA</v>
          </cell>
          <cell r="L122" t="str">
            <v>Louisiana</v>
          </cell>
          <cell r="M122" t="str">
            <v>USALA</v>
          </cell>
        </row>
        <row r="123">
          <cell r="C123" t="str">
            <v>Koln</v>
          </cell>
          <cell r="D123" t="str">
            <v>-</v>
          </cell>
          <cell r="E123" t="str">
            <v>-</v>
          </cell>
          <cell r="F123" t="str">
            <v>DEU</v>
          </cell>
          <cell r="G123" t="str">
            <v>E</v>
          </cell>
          <cell r="H123" t="str">
            <v>DEU-</v>
          </cell>
          <cell r="J123" t="str">
            <v>USA</v>
          </cell>
          <cell r="K123" t="str">
            <v>MA</v>
          </cell>
          <cell r="L123" t="str">
            <v>Massachusetts</v>
          </cell>
          <cell r="M123" t="str">
            <v>USAMA</v>
          </cell>
        </row>
        <row r="124">
          <cell r="C124" t="str">
            <v>Lindau</v>
          </cell>
          <cell r="D124" t="str">
            <v>-</v>
          </cell>
          <cell r="E124" t="str">
            <v>-</v>
          </cell>
          <cell r="F124" t="str">
            <v>DEU</v>
          </cell>
          <cell r="G124" t="str">
            <v>E</v>
          </cell>
          <cell r="H124" t="str">
            <v>DEU-</v>
          </cell>
          <cell r="J124" t="str">
            <v>USA</v>
          </cell>
          <cell r="K124" t="str">
            <v>MD</v>
          </cell>
          <cell r="L124" t="str">
            <v>Maryland</v>
          </cell>
          <cell r="M124" t="str">
            <v>USAMD</v>
          </cell>
        </row>
        <row r="125">
          <cell r="C125" t="str">
            <v>Mainz</v>
          </cell>
          <cell r="D125" t="str">
            <v>-</v>
          </cell>
          <cell r="E125" t="str">
            <v>-</v>
          </cell>
          <cell r="F125" t="str">
            <v>DEU</v>
          </cell>
          <cell r="G125" t="str">
            <v>E</v>
          </cell>
          <cell r="H125" t="str">
            <v>DEU-</v>
          </cell>
          <cell r="J125" t="str">
            <v>USA</v>
          </cell>
          <cell r="K125" t="str">
            <v>ME</v>
          </cell>
          <cell r="L125" t="str">
            <v>Maine</v>
          </cell>
          <cell r="M125" t="str">
            <v>USAME</v>
          </cell>
        </row>
        <row r="126">
          <cell r="C126" t="str">
            <v>Munich</v>
          </cell>
          <cell r="D126" t="str">
            <v>-</v>
          </cell>
          <cell r="E126" t="str">
            <v>-</v>
          </cell>
          <cell r="F126" t="str">
            <v>DEU</v>
          </cell>
          <cell r="G126" t="str">
            <v>E</v>
          </cell>
          <cell r="H126" t="str">
            <v>DEU-</v>
          </cell>
          <cell r="J126" t="str">
            <v>USA</v>
          </cell>
          <cell r="K126" t="str">
            <v>MI</v>
          </cell>
          <cell r="L126" t="str">
            <v>Michigan</v>
          </cell>
          <cell r="M126" t="str">
            <v>USAMI</v>
          </cell>
        </row>
        <row r="127">
          <cell r="C127" t="str">
            <v>Oberwesel</v>
          </cell>
          <cell r="D127" t="str">
            <v>-</v>
          </cell>
          <cell r="E127" t="str">
            <v>-</v>
          </cell>
          <cell r="F127" t="str">
            <v>DEU</v>
          </cell>
          <cell r="G127" t="str">
            <v>E</v>
          </cell>
          <cell r="H127" t="str">
            <v>DEU-</v>
          </cell>
          <cell r="J127" t="str">
            <v>USA</v>
          </cell>
          <cell r="K127" t="str">
            <v>MN</v>
          </cell>
          <cell r="L127" t="str">
            <v>Minnesota</v>
          </cell>
          <cell r="M127" t="str">
            <v>USAMN</v>
          </cell>
        </row>
        <row r="128">
          <cell r="C128" t="str">
            <v>Offenburg</v>
          </cell>
          <cell r="D128" t="str">
            <v>-</v>
          </cell>
          <cell r="E128" t="str">
            <v>-</v>
          </cell>
          <cell r="F128" t="str">
            <v>DEU</v>
          </cell>
          <cell r="G128" t="str">
            <v>E</v>
          </cell>
          <cell r="H128" t="str">
            <v>DEU-</v>
          </cell>
          <cell r="J128" t="str">
            <v>USA</v>
          </cell>
          <cell r="K128" t="str">
            <v>MO</v>
          </cell>
          <cell r="L128" t="str">
            <v>Missouri</v>
          </cell>
          <cell r="M128" t="str">
            <v>USAMO</v>
          </cell>
        </row>
        <row r="129">
          <cell r="C129" t="str">
            <v>Remagen</v>
          </cell>
          <cell r="D129" t="str">
            <v>-</v>
          </cell>
          <cell r="E129" t="str">
            <v>-</v>
          </cell>
          <cell r="F129" t="str">
            <v>DEU</v>
          </cell>
          <cell r="G129" t="str">
            <v>E</v>
          </cell>
          <cell r="H129" t="str">
            <v>DEU-</v>
          </cell>
          <cell r="J129" t="str">
            <v>USA</v>
          </cell>
          <cell r="K129" t="str">
            <v>MS</v>
          </cell>
          <cell r="L129" t="str">
            <v>Mississippi</v>
          </cell>
          <cell r="M129" t="str">
            <v>USAMS</v>
          </cell>
        </row>
        <row r="130">
          <cell r="C130" t="str">
            <v>Rudesheim</v>
          </cell>
          <cell r="D130" t="str">
            <v>-</v>
          </cell>
          <cell r="E130" t="str">
            <v>-</v>
          </cell>
          <cell r="F130" t="str">
            <v>DEU</v>
          </cell>
          <cell r="G130" t="str">
            <v>E</v>
          </cell>
          <cell r="H130" t="str">
            <v>DEU-</v>
          </cell>
          <cell r="J130" t="str">
            <v>USA</v>
          </cell>
          <cell r="K130" t="str">
            <v>MT</v>
          </cell>
          <cell r="L130" t="str">
            <v>Montana</v>
          </cell>
          <cell r="M130" t="str">
            <v>USAMT</v>
          </cell>
        </row>
        <row r="131">
          <cell r="C131" t="str">
            <v>St. Goarshausen</v>
          </cell>
          <cell r="D131" t="str">
            <v>-</v>
          </cell>
          <cell r="E131" t="str">
            <v>-</v>
          </cell>
          <cell r="F131" t="str">
            <v>DEU</v>
          </cell>
          <cell r="G131" t="str">
            <v>E</v>
          </cell>
          <cell r="H131" t="str">
            <v>DEU-</v>
          </cell>
          <cell r="J131" t="str">
            <v>USA</v>
          </cell>
          <cell r="K131" t="str">
            <v>NC</v>
          </cell>
          <cell r="L131" t="str">
            <v>North Carolina</v>
          </cell>
          <cell r="M131" t="str">
            <v>USANC</v>
          </cell>
        </row>
        <row r="132">
          <cell r="C132" t="str">
            <v>Wiesbaden</v>
          </cell>
          <cell r="D132" t="str">
            <v>-</v>
          </cell>
          <cell r="E132" t="str">
            <v>-</v>
          </cell>
          <cell r="F132" t="str">
            <v>DEU</v>
          </cell>
          <cell r="G132" t="str">
            <v>E</v>
          </cell>
          <cell r="H132" t="str">
            <v>DEU-</v>
          </cell>
          <cell r="J132" t="str">
            <v>USA</v>
          </cell>
          <cell r="K132" t="str">
            <v>ND</v>
          </cell>
          <cell r="L132" t="str">
            <v>North Dakota</v>
          </cell>
          <cell r="M132" t="str">
            <v>USAND</v>
          </cell>
        </row>
        <row r="133">
          <cell r="C133" t="str">
            <v>A Cancela</v>
          </cell>
          <cell r="D133" t="str">
            <v>-</v>
          </cell>
          <cell r="E133" t="str">
            <v>-</v>
          </cell>
          <cell r="F133" t="str">
            <v>ESP</v>
          </cell>
          <cell r="G133" t="str">
            <v>E</v>
          </cell>
          <cell r="H133" t="str">
            <v>ESP-</v>
          </cell>
          <cell r="J133" t="str">
            <v>USA</v>
          </cell>
          <cell r="K133" t="str">
            <v>NE</v>
          </cell>
          <cell r="L133" t="str">
            <v>Nebraska</v>
          </cell>
          <cell r="M133" t="str">
            <v>USANE</v>
          </cell>
        </row>
        <row r="134">
          <cell r="C134" t="str">
            <v>Algineres</v>
          </cell>
          <cell r="D134" t="str">
            <v>-</v>
          </cell>
          <cell r="E134" t="str">
            <v>-</v>
          </cell>
          <cell r="F134" t="str">
            <v>ESP</v>
          </cell>
          <cell r="G134" t="str">
            <v>E</v>
          </cell>
          <cell r="H134" t="str">
            <v>ESP-</v>
          </cell>
          <cell r="J134" t="str">
            <v>USA</v>
          </cell>
          <cell r="K134" t="str">
            <v>NH</v>
          </cell>
          <cell r="L134" t="str">
            <v>New Hampshire</v>
          </cell>
          <cell r="M134" t="str">
            <v>USANH</v>
          </cell>
        </row>
        <row r="135">
          <cell r="C135" t="str">
            <v>Alicante</v>
          </cell>
          <cell r="D135" t="str">
            <v>-</v>
          </cell>
          <cell r="E135" t="str">
            <v>-</v>
          </cell>
          <cell r="F135" t="str">
            <v>ESP</v>
          </cell>
          <cell r="G135" t="str">
            <v>E</v>
          </cell>
          <cell r="H135" t="str">
            <v>ESP-</v>
          </cell>
          <cell r="J135" t="str">
            <v>USA</v>
          </cell>
          <cell r="K135" t="str">
            <v>NJ</v>
          </cell>
          <cell r="L135" t="str">
            <v>New Jersey</v>
          </cell>
          <cell r="M135" t="str">
            <v>USANJ</v>
          </cell>
        </row>
        <row r="136">
          <cell r="C136" t="str">
            <v>Arneguy</v>
          </cell>
          <cell r="D136" t="str">
            <v>-</v>
          </cell>
          <cell r="E136" t="str">
            <v>-</v>
          </cell>
          <cell r="F136" t="str">
            <v>ESP</v>
          </cell>
          <cell r="G136" t="str">
            <v>E</v>
          </cell>
          <cell r="H136" t="str">
            <v>ESP-</v>
          </cell>
          <cell r="J136" t="str">
            <v>USA</v>
          </cell>
          <cell r="K136" t="str">
            <v>NM</v>
          </cell>
          <cell r="L136" t="str">
            <v>New Mexico</v>
          </cell>
          <cell r="M136" t="str">
            <v>USANM</v>
          </cell>
        </row>
        <row r="137">
          <cell r="C137" t="str">
            <v>Arzuá</v>
          </cell>
          <cell r="D137" t="str">
            <v>-</v>
          </cell>
          <cell r="E137" t="str">
            <v>-</v>
          </cell>
          <cell r="F137" t="str">
            <v>ESP</v>
          </cell>
          <cell r="G137" t="str">
            <v>E</v>
          </cell>
          <cell r="H137" t="str">
            <v>ESP-</v>
          </cell>
          <cell r="J137" t="str">
            <v>USA</v>
          </cell>
          <cell r="K137" t="str">
            <v>NV</v>
          </cell>
          <cell r="L137" t="str">
            <v>Nevada</v>
          </cell>
          <cell r="M137" t="str">
            <v>USANV</v>
          </cell>
        </row>
        <row r="138">
          <cell r="C138" t="str">
            <v>Astorga</v>
          </cell>
          <cell r="D138" t="str">
            <v>-</v>
          </cell>
          <cell r="E138" t="str">
            <v>-</v>
          </cell>
          <cell r="F138" t="str">
            <v>ESP</v>
          </cell>
          <cell r="G138" t="str">
            <v>E</v>
          </cell>
          <cell r="H138" t="str">
            <v>ESP-</v>
          </cell>
          <cell r="J138" t="str">
            <v>USA</v>
          </cell>
          <cell r="K138" t="str">
            <v>NY</v>
          </cell>
          <cell r="L138" t="str">
            <v>New York</v>
          </cell>
          <cell r="M138" t="str">
            <v>USANY</v>
          </cell>
        </row>
        <row r="139">
          <cell r="C139" t="str">
            <v>Avila</v>
          </cell>
          <cell r="D139" t="str">
            <v>-</v>
          </cell>
          <cell r="E139" t="str">
            <v>-</v>
          </cell>
          <cell r="F139" t="str">
            <v>ESP</v>
          </cell>
          <cell r="G139" t="str">
            <v>E</v>
          </cell>
          <cell r="H139" t="str">
            <v>ESP-</v>
          </cell>
          <cell r="J139" t="str">
            <v>USA</v>
          </cell>
          <cell r="K139" t="str">
            <v>OH</v>
          </cell>
          <cell r="L139" t="str">
            <v>Ohio</v>
          </cell>
          <cell r="M139" t="str">
            <v>USAOH</v>
          </cell>
        </row>
        <row r="140">
          <cell r="C140" t="str">
            <v>Barcelona</v>
          </cell>
          <cell r="D140" t="str">
            <v>-</v>
          </cell>
          <cell r="E140" t="str">
            <v>-</v>
          </cell>
          <cell r="F140" t="str">
            <v>ESP</v>
          </cell>
          <cell r="G140" t="str">
            <v>E</v>
          </cell>
          <cell r="H140" t="str">
            <v>ESP-</v>
          </cell>
          <cell r="J140" t="str">
            <v>USA</v>
          </cell>
          <cell r="K140" t="str">
            <v>OK</v>
          </cell>
          <cell r="L140" t="str">
            <v>Oklahoma</v>
          </cell>
          <cell r="M140" t="str">
            <v>USAOK</v>
          </cell>
        </row>
        <row r="141">
          <cell r="C141" t="str">
            <v>Belo Claudio</v>
          </cell>
          <cell r="D141" t="str">
            <v>-</v>
          </cell>
          <cell r="E141" t="str">
            <v>-</v>
          </cell>
          <cell r="F141" t="str">
            <v>ESP</v>
          </cell>
          <cell r="G141" t="str">
            <v>E</v>
          </cell>
          <cell r="H141" t="str">
            <v>ESP-</v>
          </cell>
          <cell r="J141" t="str">
            <v>USA</v>
          </cell>
          <cell r="K141" t="str">
            <v>OR</v>
          </cell>
          <cell r="L141" t="str">
            <v>Oregon</v>
          </cell>
          <cell r="M141" t="str">
            <v>USAOR</v>
          </cell>
        </row>
        <row r="142">
          <cell r="C142" t="str">
            <v>Belorado</v>
          </cell>
          <cell r="D142" t="str">
            <v>-</v>
          </cell>
          <cell r="E142" t="str">
            <v>-</v>
          </cell>
          <cell r="F142" t="str">
            <v>ESP</v>
          </cell>
          <cell r="G142" t="str">
            <v>E</v>
          </cell>
          <cell r="H142" t="str">
            <v>ESP-</v>
          </cell>
          <cell r="J142" t="str">
            <v>USA</v>
          </cell>
          <cell r="K142" t="str">
            <v>PA</v>
          </cell>
          <cell r="L142" t="str">
            <v>Pennsylvania</v>
          </cell>
          <cell r="M142" t="str">
            <v>USAPA</v>
          </cell>
        </row>
        <row r="143">
          <cell r="C143" t="str">
            <v>Bercianos</v>
          </cell>
          <cell r="D143" t="str">
            <v>-</v>
          </cell>
          <cell r="E143" t="str">
            <v>-</v>
          </cell>
          <cell r="F143" t="str">
            <v>ESP</v>
          </cell>
          <cell r="G143" t="str">
            <v>E</v>
          </cell>
          <cell r="H143" t="str">
            <v>ESP-</v>
          </cell>
          <cell r="J143" t="str">
            <v>USA</v>
          </cell>
          <cell r="K143" t="str">
            <v>RI</v>
          </cell>
          <cell r="L143" t="str">
            <v>Rhode Island</v>
          </cell>
          <cell r="M143" t="str">
            <v>USARI</v>
          </cell>
        </row>
        <row r="144">
          <cell r="C144" t="str">
            <v>Burgos</v>
          </cell>
          <cell r="D144" t="str">
            <v>-</v>
          </cell>
          <cell r="E144" t="str">
            <v>-</v>
          </cell>
          <cell r="F144" t="str">
            <v>ESP</v>
          </cell>
          <cell r="G144" t="str">
            <v>E</v>
          </cell>
          <cell r="H144" t="str">
            <v>ESP-</v>
          </cell>
          <cell r="J144" t="str">
            <v>USA</v>
          </cell>
          <cell r="K144" t="str">
            <v>SC</v>
          </cell>
          <cell r="L144" t="str">
            <v>South Carolina</v>
          </cell>
          <cell r="M144" t="str">
            <v>USASC</v>
          </cell>
        </row>
        <row r="145">
          <cell r="C145" t="str">
            <v>Cadiz</v>
          </cell>
          <cell r="D145" t="str">
            <v>-</v>
          </cell>
          <cell r="E145" t="str">
            <v>-</v>
          </cell>
          <cell r="F145" t="str">
            <v>ESP</v>
          </cell>
          <cell r="G145" t="str">
            <v>E</v>
          </cell>
          <cell r="H145" t="str">
            <v>ESP-</v>
          </cell>
          <cell r="J145" t="str">
            <v>USA</v>
          </cell>
          <cell r="K145" t="str">
            <v>SD</v>
          </cell>
          <cell r="L145" t="str">
            <v>South Dakota</v>
          </cell>
          <cell r="M145" t="str">
            <v>USASD</v>
          </cell>
        </row>
        <row r="146">
          <cell r="C146" t="str">
            <v>Calda de Reis</v>
          </cell>
          <cell r="D146" t="str">
            <v>-</v>
          </cell>
          <cell r="E146" t="str">
            <v>-</v>
          </cell>
          <cell r="F146" t="str">
            <v>ESP</v>
          </cell>
          <cell r="G146" t="str">
            <v>E</v>
          </cell>
          <cell r="H146" t="str">
            <v>ESP-</v>
          </cell>
          <cell r="J146" t="str">
            <v>USA</v>
          </cell>
          <cell r="K146" t="str">
            <v>TN</v>
          </cell>
          <cell r="L146" t="str">
            <v>Tennessee</v>
          </cell>
          <cell r="M146" t="str">
            <v>USATN</v>
          </cell>
        </row>
        <row r="147">
          <cell r="C147" t="str">
            <v>Calzadilla</v>
          </cell>
          <cell r="D147" t="str">
            <v>-</v>
          </cell>
          <cell r="E147" t="str">
            <v>-</v>
          </cell>
          <cell r="F147" t="str">
            <v>ESP</v>
          </cell>
          <cell r="G147" t="str">
            <v>E</v>
          </cell>
          <cell r="H147" t="str">
            <v>ESP-</v>
          </cell>
          <cell r="J147" t="str">
            <v>USA</v>
          </cell>
          <cell r="K147" t="str">
            <v>TX</v>
          </cell>
          <cell r="L147" t="str">
            <v>Texas</v>
          </cell>
          <cell r="M147" t="str">
            <v>USATX</v>
          </cell>
        </row>
        <row r="148">
          <cell r="C148" t="str">
            <v>Carrion de los Condes</v>
          </cell>
          <cell r="D148" t="str">
            <v>-</v>
          </cell>
          <cell r="E148" t="str">
            <v>-</v>
          </cell>
          <cell r="F148" t="str">
            <v>ESP</v>
          </cell>
          <cell r="G148" t="str">
            <v>E</v>
          </cell>
          <cell r="H148" t="str">
            <v>ESP-</v>
          </cell>
          <cell r="J148" t="str">
            <v>USA</v>
          </cell>
          <cell r="K148" t="str">
            <v>UT</v>
          </cell>
          <cell r="L148" t="str">
            <v>Utah</v>
          </cell>
          <cell r="M148" t="str">
            <v>USAUT</v>
          </cell>
        </row>
        <row r="149">
          <cell r="C149" t="str">
            <v>Castrojeriz</v>
          </cell>
          <cell r="D149" t="str">
            <v>-</v>
          </cell>
          <cell r="E149" t="str">
            <v>-</v>
          </cell>
          <cell r="F149" t="str">
            <v>ESP</v>
          </cell>
          <cell r="G149" t="str">
            <v>E</v>
          </cell>
          <cell r="H149" t="str">
            <v>ESP-</v>
          </cell>
          <cell r="J149" t="str">
            <v>USA</v>
          </cell>
          <cell r="K149" t="str">
            <v>VA</v>
          </cell>
          <cell r="L149" t="str">
            <v>Virginia</v>
          </cell>
          <cell r="M149" t="str">
            <v>USAVA</v>
          </cell>
        </row>
        <row r="150">
          <cell r="C150" t="str">
            <v>Cruz de Hierro</v>
          </cell>
          <cell r="D150" t="str">
            <v>-</v>
          </cell>
          <cell r="E150" t="str">
            <v>-</v>
          </cell>
          <cell r="F150" t="str">
            <v>ESP</v>
          </cell>
          <cell r="G150" t="str">
            <v>E</v>
          </cell>
          <cell r="H150" t="str">
            <v>ESP-</v>
          </cell>
          <cell r="J150" t="str">
            <v>USA</v>
          </cell>
          <cell r="K150" t="str">
            <v>VT</v>
          </cell>
          <cell r="L150" t="str">
            <v>Vermont</v>
          </cell>
          <cell r="M150" t="str">
            <v>USAVT</v>
          </cell>
        </row>
        <row r="151">
          <cell r="C151" t="str">
            <v>El Alto de Ibaneta</v>
          </cell>
          <cell r="D151" t="str">
            <v>-</v>
          </cell>
          <cell r="E151" t="str">
            <v>-</v>
          </cell>
          <cell r="F151" t="str">
            <v>ESP</v>
          </cell>
          <cell r="G151" t="str">
            <v>E</v>
          </cell>
          <cell r="H151" t="str">
            <v>ESP-</v>
          </cell>
          <cell r="J151" t="str">
            <v>USA</v>
          </cell>
          <cell r="K151" t="str">
            <v>WA</v>
          </cell>
          <cell r="L151" t="str">
            <v>Washington</v>
          </cell>
          <cell r="M151" t="str">
            <v>USAWA</v>
          </cell>
        </row>
        <row r="152">
          <cell r="C152" t="str">
            <v>El Burgo Ranero</v>
          </cell>
          <cell r="D152" t="str">
            <v>-</v>
          </cell>
          <cell r="E152" t="str">
            <v>-</v>
          </cell>
          <cell r="F152" t="str">
            <v>ESP</v>
          </cell>
          <cell r="G152" t="str">
            <v>E</v>
          </cell>
          <cell r="H152" t="str">
            <v>ESP-</v>
          </cell>
          <cell r="J152" t="str">
            <v>USA</v>
          </cell>
          <cell r="K152" t="str">
            <v>WI</v>
          </cell>
          <cell r="L152" t="str">
            <v>Wisconsin</v>
          </cell>
          <cell r="M152" t="str">
            <v>USAWI</v>
          </cell>
        </row>
        <row r="153">
          <cell r="C153" t="str">
            <v>Estella</v>
          </cell>
          <cell r="D153" t="str">
            <v>-</v>
          </cell>
          <cell r="E153" t="str">
            <v>-</v>
          </cell>
          <cell r="F153" t="str">
            <v>ESP</v>
          </cell>
          <cell r="G153" t="str">
            <v>E</v>
          </cell>
          <cell r="H153" t="str">
            <v>ESP-</v>
          </cell>
          <cell r="J153" t="str">
            <v>USA</v>
          </cell>
          <cell r="K153" t="str">
            <v>WV</v>
          </cell>
          <cell r="L153" t="str">
            <v>West Virginia</v>
          </cell>
          <cell r="M153" t="str">
            <v>USAWV</v>
          </cell>
        </row>
        <row r="154">
          <cell r="C154" t="str">
            <v>Foncebadon</v>
          </cell>
          <cell r="D154" t="str">
            <v>-</v>
          </cell>
          <cell r="E154" t="str">
            <v>-</v>
          </cell>
          <cell r="F154" t="str">
            <v>ESP</v>
          </cell>
          <cell r="G154" t="str">
            <v>E</v>
          </cell>
          <cell r="H154" t="str">
            <v>ESP-</v>
          </cell>
          <cell r="M154" t="str">
            <v>USAWY</v>
          </cell>
        </row>
        <row r="155">
          <cell r="C155" t="str">
            <v>Fromista</v>
          </cell>
          <cell r="D155" t="str">
            <v>-</v>
          </cell>
          <cell r="E155" t="str">
            <v>-</v>
          </cell>
          <cell r="F155" t="str">
            <v>ESP</v>
          </cell>
          <cell r="G155" t="str">
            <v>E</v>
          </cell>
          <cell r="H155" t="str">
            <v>ESP-</v>
          </cell>
          <cell r="M155" t="str"/>
        </row>
        <row r="156">
          <cell r="C156" t="str">
            <v>Gibraltar</v>
          </cell>
          <cell r="D156" t="str">
            <v>-</v>
          </cell>
          <cell r="E156" t="str">
            <v>-</v>
          </cell>
          <cell r="F156" t="str">
            <v>ESP</v>
          </cell>
          <cell r="G156" t="str">
            <v>E</v>
          </cell>
          <cell r="H156" t="str">
            <v>ESP-</v>
          </cell>
          <cell r="M156" t="str"/>
        </row>
        <row r="157">
          <cell r="C157" t="str">
            <v>Granada</v>
          </cell>
          <cell r="D157" t="str">
            <v>-</v>
          </cell>
          <cell r="E157" t="str">
            <v>-</v>
          </cell>
          <cell r="F157" t="str">
            <v>ESP</v>
          </cell>
          <cell r="G157" t="str">
            <v>E</v>
          </cell>
          <cell r="H157" t="str">
            <v>ESP-</v>
          </cell>
          <cell r="M157" t="str"/>
        </row>
        <row r="158">
          <cell r="C158" t="str">
            <v>Hontanas</v>
          </cell>
          <cell r="D158" t="str">
            <v>-</v>
          </cell>
          <cell r="E158" t="str">
            <v>-</v>
          </cell>
          <cell r="F158" t="str">
            <v>ESP</v>
          </cell>
          <cell r="G158" t="str">
            <v>E</v>
          </cell>
          <cell r="H158" t="str">
            <v>ESP-</v>
          </cell>
          <cell r="M158" t="str"/>
        </row>
        <row r="159">
          <cell r="C159" t="str">
            <v>Hornillos del Camino</v>
          </cell>
          <cell r="D159" t="str">
            <v>-</v>
          </cell>
          <cell r="E159" t="str">
            <v>-</v>
          </cell>
          <cell r="F159" t="str">
            <v>ESP</v>
          </cell>
          <cell r="G159" t="str">
            <v>E</v>
          </cell>
          <cell r="H159" t="str">
            <v>ESP-</v>
          </cell>
          <cell r="M159" t="str"/>
        </row>
        <row r="160">
          <cell r="C160" t="str">
            <v>Larrasoana</v>
          </cell>
          <cell r="D160" t="str">
            <v>-</v>
          </cell>
          <cell r="E160" t="str">
            <v>-</v>
          </cell>
          <cell r="F160" t="str">
            <v>ESP</v>
          </cell>
          <cell r="G160" t="str">
            <v>E</v>
          </cell>
          <cell r="H160" t="str">
            <v>ESP-</v>
          </cell>
          <cell r="M160" t="str"/>
        </row>
        <row r="161">
          <cell r="C161" t="str">
            <v>Ledigos</v>
          </cell>
          <cell r="D161" t="str">
            <v>-</v>
          </cell>
          <cell r="E161" t="str">
            <v>-</v>
          </cell>
          <cell r="F161" t="str">
            <v>ESP</v>
          </cell>
          <cell r="G161" t="str">
            <v>E</v>
          </cell>
          <cell r="H161" t="str">
            <v>ESP-</v>
          </cell>
          <cell r="M161" t="str"/>
        </row>
        <row r="162">
          <cell r="C162" t="str">
            <v>Leon</v>
          </cell>
          <cell r="D162" t="str">
            <v>-</v>
          </cell>
          <cell r="E162" t="str">
            <v>-</v>
          </cell>
          <cell r="F162" t="str">
            <v>ESP</v>
          </cell>
          <cell r="G162" t="str">
            <v>E</v>
          </cell>
          <cell r="H162" t="str">
            <v>ESP-</v>
          </cell>
          <cell r="M162" t="str"/>
        </row>
        <row r="163">
          <cell r="C163" t="str">
            <v>Ligonde</v>
          </cell>
          <cell r="D163" t="str">
            <v>-</v>
          </cell>
          <cell r="E163" t="str">
            <v>-</v>
          </cell>
          <cell r="F163" t="str">
            <v>ESP</v>
          </cell>
          <cell r="G163" t="str">
            <v>E</v>
          </cell>
          <cell r="H163" t="str">
            <v>ESP-</v>
          </cell>
          <cell r="M163" t="str"/>
        </row>
        <row r="164">
          <cell r="C164" t="str">
            <v>Logrono</v>
          </cell>
          <cell r="D164" t="str">
            <v>-</v>
          </cell>
          <cell r="E164" t="str">
            <v>-</v>
          </cell>
          <cell r="F164" t="str">
            <v>ESP</v>
          </cell>
          <cell r="G164" t="str">
            <v>E</v>
          </cell>
          <cell r="H164" t="str">
            <v>ESP-</v>
          </cell>
          <cell r="M164" t="str"/>
        </row>
        <row r="165">
          <cell r="C165" t="str">
            <v>Los Arcos</v>
          </cell>
          <cell r="D165" t="str">
            <v>-</v>
          </cell>
          <cell r="E165" t="str">
            <v>-</v>
          </cell>
          <cell r="F165" t="str">
            <v>ESP</v>
          </cell>
          <cell r="G165" t="str">
            <v>E</v>
          </cell>
          <cell r="H165" t="str">
            <v>ESP-</v>
          </cell>
          <cell r="M165" t="str"/>
        </row>
        <row r="166">
          <cell r="C166" t="str">
            <v>Madrid</v>
          </cell>
          <cell r="D166" t="str">
            <v>-</v>
          </cell>
          <cell r="E166" t="str">
            <v>-</v>
          </cell>
          <cell r="F166" t="str">
            <v>ESP</v>
          </cell>
          <cell r="G166" t="str">
            <v>E</v>
          </cell>
          <cell r="H166" t="str">
            <v>ESP-</v>
          </cell>
          <cell r="M166" t="str"/>
        </row>
        <row r="167">
          <cell r="C167" t="str">
            <v>Malaga</v>
          </cell>
          <cell r="D167" t="str">
            <v>-</v>
          </cell>
          <cell r="E167" t="str">
            <v>-</v>
          </cell>
          <cell r="F167" t="str">
            <v>ESP</v>
          </cell>
          <cell r="G167" t="str">
            <v>E</v>
          </cell>
          <cell r="H167" t="str">
            <v>ESP-</v>
          </cell>
          <cell r="M167" t="str"/>
        </row>
        <row r="168">
          <cell r="C168" t="str">
            <v>Manjarin</v>
          </cell>
          <cell r="D168" t="str">
            <v>-</v>
          </cell>
          <cell r="E168" t="str">
            <v>-</v>
          </cell>
          <cell r="F168" t="str">
            <v>ESP</v>
          </cell>
          <cell r="G168" t="str">
            <v>E</v>
          </cell>
          <cell r="H168" t="str">
            <v>ESP-</v>
          </cell>
          <cell r="M168" t="str"/>
        </row>
        <row r="169">
          <cell r="C169" t="str">
            <v>Mansilla de las Mulas</v>
          </cell>
          <cell r="D169" t="str">
            <v>-</v>
          </cell>
          <cell r="E169" t="str">
            <v>-</v>
          </cell>
          <cell r="F169" t="str">
            <v>ESP</v>
          </cell>
          <cell r="G169" t="str">
            <v>E</v>
          </cell>
          <cell r="H169" t="str">
            <v>ESP-</v>
          </cell>
          <cell r="M169" t="str"/>
        </row>
        <row r="170">
          <cell r="C170" t="str">
            <v>Mellid</v>
          </cell>
          <cell r="D170" t="str">
            <v>-</v>
          </cell>
          <cell r="E170" t="str">
            <v>-</v>
          </cell>
          <cell r="F170" t="str">
            <v>ESP</v>
          </cell>
          <cell r="G170" t="str">
            <v>E</v>
          </cell>
          <cell r="H170" t="str">
            <v>ESP-</v>
          </cell>
          <cell r="M170" t="str"/>
        </row>
        <row r="171">
          <cell r="C171" t="str">
            <v>Molinaseca</v>
          </cell>
          <cell r="D171" t="str">
            <v>-</v>
          </cell>
          <cell r="E171" t="str">
            <v>-</v>
          </cell>
          <cell r="F171" t="str">
            <v>ESP</v>
          </cell>
          <cell r="G171" t="str">
            <v>E</v>
          </cell>
          <cell r="H171" t="str">
            <v>ESP-</v>
          </cell>
          <cell r="M171" t="str"/>
        </row>
        <row r="172">
          <cell r="C172" t="str">
            <v>Monte del Gozo</v>
          </cell>
          <cell r="D172" t="str">
            <v>-</v>
          </cell>
          <cell r="E172" t="str">
            <v>-</v>
          </cell>
          <cell r="F172" t="str">
            <v>ESP</v>
          </cell>
          <cell r="G172" t="str">
            <v>E</v>
          </cell>
          <cell r="H172" t="str">
            <v>ESP-</v>
          </cell>
          <cell r="M172" t="str"/>
        </row>
        <row r="173">
          <cell r="C173" t="str">
            <v>Muruzubal</v>
          </cell>
          <cell r="D173" t="str">
            <v>-</v>
          </cell>
          <cell r="E173" t="str">
            <v>-</v>
          </cell>
          <cell r="F173" t="str">
            <v>ESP</v>
          </cell>
          <cell r="G173" t="str">
            <v>E</v>
          </cell>
          <cell r="H173" t="str">
            <v>ESP-</v>
          </cell>
          <cell r="M173" t="str"/>
        </row>
        <row r="174">
          <cell r="C174" t="str">
            <v>Najera</v>
          </cell>
          <cell r="D174" t="str">
            <v>-</v>
          </cell>
          <cell r="E174" t="str">
            <v>-</v>
          </cell>
          <cell r="F174" t="str">
            <v>ESP</v>
          </cell>
          <cell r="G174" t="str">
            <v>E</v>
          </cell>
          <cell r="H174" t="str">
            <v>ESP-</v>
          </cell>
          <cell r="M174" t="str"/>
        </row>
        <row r="175">
          <cell r="C175" t="str">
            <v>Navarrete</v>
          </cell>
          <cell r="D175" t="str">
            <v>-</v>
          </cell>
          <cell r="E175" t="str">
            <v>-</v>
          </cell>
          <cell r="F175" t="str">
            <v>ESP</v>
          </cell>
          <cell r="G175" t="str">
            <v>E</v>
          </cell>
          <cell r="H175" t="str">
            <v>ESP-</v>
          </cell>
          <cell r="M175" t="str"/>
        </row>
        <row r="176">
          <cell r="C176" t="str">
            <v>O Cebreiro</v>
          </cell>
          <cell r="D176" t="str">
            <v>-</v>
          </cell>
          <cell r="E176" t="str">
            <v>-</v>
          </cell>
          <cell r="F176" t="str">
            <v>ESP</v>
          </cell>
          <cell r="G176" t="str">
            <v>E</v>
          </cell>
          <cell r="H176" t="str">
            <v>ESP-</v>
          </cell>
          <cell r="M176" t="str"/>
        </row>
        <row r="177">
          <cell r="C177" t="str">
            <v>Oporrino</v>
          </cell>
          <cell r="D177" t="str">
            <v>-</v>
          </cell>
          <cell r="E177" t="str">
            <v>-</v>
          </cell>
          <cell r="F177" t="str">
            <v>ESP</v>
          </cell>
          <cell r="G177" t="str">
            <v>E</v>
          </cell>
          <cell r="H177" t="str">
            <v>ESP-</v>
          </cell>
          <cell r="M177" t="str"/>
        </row>
        <row r="178">
          <cell r="C178" t="str">
            <v>Padron</v>
          </cell>
          <cell r="D178" t="str">
            <v>-</v>
          </cell>
          <cell r="E178" t="str">
            <v>-</v>
          </cell>
          <cell r="F178" t="str">
            <v>ESP</v>
          </cell>
          <cell r="G178" t="str">
            <v>E</v>
          </cell>
          <cell r="H178" t="str">
            <v>ESP-</v>
          </cell>
          <cell r="M178" t="str"/>
        </row>
        <row r="179">
          <cell r="C179" t="str">
            <v>Palas de Rey</v>
          </cell>
          <cell r="D179" t="str">
            <v>-</v>
          </cell>
          <cell r="E179" t="str">
            <v>-</v>
          </cell>
          <cell r="F179" t="str">
            <v>ESP</v>
          </cell>
          <cell r="G179" t="str">
            <v>E</v>
          </cell>
          <cell r="H179" t="str">
            <v>ESP-</v>
          </cell>
          <cell r="M179" t="str"/>
        </row>
        <row r="180">
          <cell r="C180" t="str">
            <v>Pamplona</v>
          </cell>
          <cell r="D180" t="str">
            <v>-</v>
          </cell>
          <cell r="E180" t="str">
            <v>-</v>
          </cell>
          <cell r="F180" t="str">
            <v>ESP</v>
          </cell>
          <cell r="G180" t="str">
            <v>E</v>
          </cell>
          <cell r="H180" t="str">
            <v>ESP-</v>
          </cell>
          <cell r="M180" t="str"/>
        </row>
        <row r="181">
          <cell r="C181" t="str">
            <v>Peniscola</v>
          </cell>
          <cell r="D181" t="str">
            <v>-</v>
          </cell>
          <cell r="E181" t="str">
            <v>-</v>
          </cell>
          <cell r="F181" t="str">
            <v>ESP</v>
          </cell>
          <cell r="G181" t="str">
            <v>E</v>
          </cell>
          <cell r="H181" t="str">
            <v>ESP-</v>
          </cell>
          <cell r="M181" t="str"/>
        </row>
        <row r="182">
          <cell r="C182" t="str">
            <v>Poblacion de Campos</v>
          </cell>
          <cell r="D182" t="str">
            <v>-</v>
          </cell>
          <cell r="E182" t="str">
            <v>-</v>
          </cell>
          <cell r="F182" t="str">
            <v>ESP</v>
          </cell>
          <cell r="G182" t="str">
            <v>E</v>
          </cell>
          <cell r="H182" t="str">
            <v>ESP-</v>
          </cell>
          <cell r="M182" t="str"/>
        </row>
        <row r="183">
          <cell r="C183" t="str">
            <v>Ponferrada</v>
          </cell>
          <cell r="D183" t="str">
            <v>-</v>
          </cell>
          <cell r="E183" t="str">
            <v>-</v>
          </cell>
          <cell r="F183" t="str">
            <v>ESP</v>
          </cell>
          <cell r="G183" t="str">
            <v>E</v>
          </cell>
          <cell r="H183" t="str">
            <v>ESP-</v>
          </cell>
          <cell r="M183" t="str"/>
        </row>
        <row r="184">
          <cell r="C184" t="str">
            <v>Pontevedra</v>
          </cell>
          <cell r="D184" t="str">
            <v>-</v>
          </cell>
          <cell r="E184" t="str">
            <v>-</v>
          </cell>
          <cell r="F184" t="str">
            <v>ESP</v>
          </cell>
          <cell r="G184" t="str">
            <v>E</v>
          </cell>
          <cell r="H184" t="str">
            <v>ESP-</v>
          </cell>
          <cell r="M184" t="str"/>
        </row>
        <row r="185">
          <cell r="C185" t="str">
            <v>Portomarin</v>
          </cell>
          <cell r="D185" t="str">
            <v>-</v>
          </cell>
          <cell r="E185" t="str">
            <v>-</v>
          </cell>
          <cell r="F185" t="str">
            <v>ESP</v>
          </cell>
          <cell r="G185" t="str">
            <v>E</v>
          </cell>
          <cell r="H185" t="str">
            <v>ESP-</v>
          </cell>
          <cell r="M185" t="str"/>
        </row>
        <row r="186">
          <cell r="C186" t="str">
            <v>Puente la Reina</v>
          </cell>
          <cell r="D186" t="str">
            <v>-</v>
          </cell>
          <cell r="E186" t="str">
            <v>-</v>
          </cell>
          <cell r="F186" t="str">
            <v>ESP</v>
          </cell>
          <cell r="G186" t="str">
            <v>E</v>
          </cell>
          <cell r="H186" t="str">
            <v>ESP-</v>
          </cell>
          <cell r="M186" t="str"/>
        </row>
        <row r="187">
          <cell r="C187" t="str">
            <v>Rabanal del Camino</v>
          </cell>
          <cell r="D187" t="str">
            <v>-</v>
          </cell>
          <cell r="E187" t="str">
            <v>-</v>
          </cell>
          <cell r="F187" t="str">
            <v>ESP</v>
          </cell>
          <cell r="G187" t="str">
            <v>E</v>
          </cell>
          <cell r="H187" t="str">
            <v>ESP-</v>
          </cell>
          <cell r="M187" t="str"/>
        </row>
        <row r="188">
          <cell r="C188" t="str">
            <v>Redecilla del Camino</v>
          </cell>
          <cell r="D188" t="str">
            <v>-</v>
          </cell>
          <cell r="E188" t="str">
            <v>-</v>
          </cell>
          <cell r="F188" t="str">
            <v>ESP</v>
          </cell>
          <cell r="G188" t="str">
            <v>E</v>
          </cell>
          <cell r="H188" t="str">
            <v>ESP-</v>
          </cell>
          <cell r="M188" t="str"/>
        </row>
        <row r="189">
          <cell r="C189" t="str">
            <v>Redondela</v>
          </cell>
          <cell r="D189" t="str">
            <v>-</v>
          </cell>
          <cell r="E189" t="str">
            <v>-</v>
          </cell>
          <cell r="F189" t="str">
            <v>ESP</v>
          </cell>
          <cell r="G189" t="str">
            <v>E</v>
          </cell>
          <cell r="H189" t="str">
            <v>ESP-</v>
          </cell>
          <cell r="M189" t="str"/>
        </row>
        <row r="190">
          <cell r="C190" t="str">
            <v>Ribadiso</v>
          </cell>
          <cell r="D190" t="str">
            <v>-</v>
          </cell>
          <cell r="E190" t="str">
            <v>-</v>
          </cell>
          <cell r="F190" t="str">
            <v>ESP</v>
          </cell>
          <cell r="G190" t="str">
            <v>E</v>
          </cell>
          <cell r="H190" t="str">
            <v>ESP-</v>
          </cell>
          <cell r="M190" t="str"/>
        </row>
        <row r="191">
          <cell r="C191" t="str">
            <v>Roncevalles</v>
          </cell>
          <cell r="D191" t="str">
            <v>-</v>
          </cell>
          <cell r="E191" t="str">
            <v>-</v>
          </cell>
          <cell r="F191" t="str">
            <v>ESP</v>
          </cell>
          <cell r="G191" t="str">
            <v>E</v>
          </cell>
          <cell r="H191" t="str">
            <v>ESP-</v>
          </cell>
          <cell r="M191" t="str"/>
        </row>
        <row r="192">
          <cell r="C192" t="str">
            <v>Sahagun</v>
          </cell>
          <cell r="D192" t="str">
            <v>-</v>
          </cell>
          <cell r="E192" t="str">
            <v>-</v>
          </cell>
          <cell r="F192" t="str">
            <v>ESP</v>
          </cell>
          <cell r="G192" t="str">
            <v>E</v>
          </cell>
          <cell r="H192" t="str">
            <v>ESP-</v>
          </cell>
          <cell r="M192" t="str"/>
        </row>
        <row r="193">
          <cell r="C193" t="str">
            <v>Saint Feliu de Guixoi</v>
          </cell>
          <cell r="D193" t="str">
            <v>-</v>
          </cell>
          <cell r="E193" t="str">
            <v>-</v>
          </cell>
          <cell r="F193" t="str">
            <v>ESP</v>
          </cell>
          <cell r="G193" t="str">
            <v>E</v>
          </cell>
          <cell r="H193" t="str">
            <v>ESP-</v>
          </cell>
          <cell r="M193" t="str"/>
        </row>
        <row r="194">
          <cell r="C194" t="str">
            <v>Salamanca</v>
          </cell>
          <cell r="D194" t="str">
            <v>-</v>
          </cell>
          <cell r="E194" t="str">
            <v>-</v>
          </cell>
          <cell r="F194" t="str">
            <v>ESP</v>
          </cell>
          <cell r="G194" t="str">
            <v>E</v>
          </cell>
          <cell r="H194" t="str">
            <v>ESP-</v>
          </cell>
          <cell r="M194" t="str"/>
        </row>
        <row r="195">
          <cell r="C195" t="str">
            <v>Samos</v>
          </cell>
          <cell r="D195" t="str">
            <v>-</v>
          </cell>
          <cell r="E195" t="str">
            <v>-</v>
          </cell>
          <cell r="F195" t="str">
            <v>ESP</v>
          </cell>
          <cell r="G195" t="str">
            <v>E</v>
          </cell>
          <cell r="H195" t="str">
            <v>ESP-</v>
          </cell>
          <cell r="M195" t="str"/>
        </row>
        <row r="196">
          <cell r="C196" t="str">
            <v>San Juan de Ortega</v>
          </cell>
          <cell r="D196" t="str">
            <v>-</v>
          </cell>
          <cell r="E196" t="str">
            <v>-</v>
          </cell>
          <cell r="F196" t="str">
            <v>ESP</v>
          </cell>
          <cell r="G196" t="str">
            <v>E</v>
          </cell>
          <cell r="H196" t="str">
            <v>ESP-</v>
          </cell>
          <cell r="M196" t="str"/>
        </row>
        <row r="197">
          <cell r="C197" t="str">
            <v>Santiago</v>
          </cell>
          <cell r="D197" t="str">
            <v>-</v>
          </cell>
          <cell r="E197" t="str">
            <v>-</v>
          </cell>
          <cell r="F197" t="str">
            <v>ESP</v>
          </cell>
          <cell r="G197" t="str">
            <v>E</v>
          </cell>
          <cell r="H197" t="str">
            <v>ESP-</v>
          </cell>
          <cell r="M197" t="str"/>
        </row>
        <row r="198">
          <cell r="C198" t="str">
            <v>Sarriá</v>
          </cell>
          <cell r="D198" t="str">
            <v>-</v>
          </cell>
          <cell r="E198" t="str">
            <v>-</v>
          </cell>
          <cell r="F198" t="str">
            <v>ESP</v>
          </cell>
          <cell r="G198" t="str">
            <v>E</v>
          </cell>
          <cell r="H198" t="str">
            <v>ESP-</v>
          </cell>
          <cell r="M198" t="str"/>
        </row>
        <row r="199">
          <cell r="C199" t="str">
            <v>Segovia</v>
          </cell>
          <cell r="D199" t="str">
            <v>-</v>
          </cell>
          <cell r="E199" t="str">
            <v>-</v>
          </cell>
          <cell r="F199" t="str">
            <v>ESP</v>
          </cell>
          <cell r="G199" t="str">
            <v>E</v>
          </cell>
          <cell r="H199" t="str">
            <v>ESP-</v>
          </cell>
          <cell r="M199" t="str"/>
        </row>
        <row r="200">
          <cell r="C200" t="str">
            <v>Serra dos Perdoes</v>
          </cell>
          <cell r="D200" t="str">
            <v>-</v>
          </cell>
          <cell r="E200" t="str">
            <v>-</v>
          </cell>
          <cell r="F200" t="str">
            <v>ESP</v>
          </cell>
          <cell r="G200" t="str">
            <v>E</v>
          </cell>
          <cell r="H200" t="str">
            <v>ESP-</v>
          </cell>
          <cell r="M200" t="str"/>
        </row>
        <row r="201">
          <cell r="C201" t="str">
            <v>Sevilla</v>
          </cell>
          <cell r="D201" t="str">
            <v>-</v>
          </cell>
          <cell r="E201" t="str">
            <v>-</v>
          </cell>
          <cell r="F201" t="str">
            <v>ESP</v>
          </cell>
          <cell r="G201" t="str">
            <v>E</v>
          </cell>
          <cell r="H201" t="str">
            <v>ESP-</v>
          </cell>
          <cell r="M201" t="str"/>
        </row>
        <row r="202">
          <cell r="C202" t="str">
            <v>Sta. Irene</v>
          </cell>
          <cell r="D202" t="str">
            <v>-</v>
          </cell>
          <cell r="E202" t="str">
            <v>-</v>
          </cell>
          <cell r="F202" t="str">
            <v>ESP</v>
          </cell>
          <cell r="G202" t="str">
            <v>E</v>
          </cell>
          <cell r="H202" t="str">
            <v>ESP-</v>
          </cell>
          <cell r="M202" t="str"/>
        </row>
        <row r="203">
          <cell r="C203" t="str">
            <v>Sto Domingo de la Calzada</v>
          </cell>
          <cell r="D203" t="str">
            <v>-</v>
          </cell>
          <cell r="E203" t="str">
            <v>-</v>
          </cell>
          <cell r="F203" t="str">
            <v>ESP</v>
          </cell>
          <cell r="G203" t="str">
            <v>E</v>
          </cell>
          <cell r="H203" t="str">
            <v>ESP-</v>
          </cell>
          <cell r="M203" t="str"/>
        </row>
        <row r="204">
          <cell r="C204" t="str">
            <v>Toledo</v>
          </cell>
          <cell r="D204" t="str">
            <v>-</v>
          </cell>
          <cell r="E204" t="str">
            <v>-</v>
          </cell>
          <cell r="F204" t="str">
            <v>ESP</v>
          </cell>
          <cell r="G204" t="str">
            <v>E</v>
          </cell>
          <cell r="H204" t="str">
            <v>ESP-</v>
          </cell>
          <cell r="M204" t="str"/>
        </row>
        <row r="205">
          <cell r="C205" t="str">
            <v>Triacastela</v>
          </cell>
          <cell r="D205" t="str">
            <v>-</v>
          </cell>
          <cell r="E205" t="str">
            <v>-</v>
          </cell>
          <cell r="F205" t="str">
            <v>ESP</v>
          </cell>
          <cell r="G205" t="str">
            <v>E</v>
          </cell>
          <cell r="H205" t="str">
            <v>ESP-</v>
          </cell>
          <cell r="M205" t="str"/>
        </row>
        <row r="206">
          <cell r="C206" t="str">
            <v>Tuí</v>
          </cell>
          <cell r="D206" t="str">
            <v>-</v>
          </cell>
          <cell r="E206" t="str">
            <v>-</v>
          </cell>
          <cell r="F206" t="str">
            <v>ESP</v>
          </cell>
          <cell r="G206" t="str">
            <v>E</v>
          </cell>
          <cell r="H206" t="str">
            <v>ESP-</v>
          </cell>
          <cell r="M206" t="str"/>
        </row>
        <row r="207">
          <cell r="C207" t="str">
            <v>Valcarlos</v>
          </cell>
          <cell r="D207" t="str">
            <v>-</v>
          </cell>
          <cell r="E207" t="str">
            <v>-</v>
          </cell>
          <cell r="F207" t="str">
            <v>ESP</v>
          </cell>
          <cell r="G207" t="str">
            <v>E</v>
          </cell>
          <cell r="H207" t="str">
            <v>ESP-</v>
          </cell>
          <cell r="M207" t="str"/>
        </row>
        <row r="208">
          <cell r="C208" t="str">
            <v>Vale de los Caidos</v>
          </cell>
          <cell r="D208" t="str">
            <v>-</v>
          </cell>
          <cell r="E208" t="str">
            <v>-</v>
          </cell>
          <cell r="F208" t="str">
            <v>ESP</v>
          </cell>
          <cell r="G208" t="str">
            <v>E</v>
          </cell>
          <cell r="H208" t="str">
            <v>ESP-</v>
          </cell>
          <cell r="M208" t="str"/>
        </row>
        <row r="209">
          <cell r="C209" t="str">
            <v>Vigo</v>
          </cell>
          <cell r="D209" t="str">
            <v>-</v>
          </cell>
          <cell r="E209" t="str">
            <v>-</v>
          </cell>
          <cell r="F209" t="str">
            <v>ESP</v>
          </cell>
          <cell r="G209" t="str">
            <v>E</v>
          </cell>
          <cell r="H209" t="str">
            <v>ESP-</v>
          </cell>
          <cell r="M209" t="str"/>
        </row>
        <row r="210">
          <cell r="C210" t="str">
            <v>Villa Franca del Bierzo</v>
          </cell>
          <cell r="D210" t="str">
            <v>-</v>
          </cell>
          <cell r="E210" t="str">
            <v>-</v>
          </cell>
          <cell r="F210" t="str">
            <v>ESP</v>
          </cell>
          <cell r="G210" t="str">
            <v>E</v>
          </cell>
          <cell r="H210" t="str">
            <v>ESP-</v>
          </cell>
          <cell r="M210" t="str"/>
        </row>
        <row r="211">
          <cell r="C211" t="str">
            <v>Villadangos del Paramo</v>
          </cell>
          <cell r="D211" t="str">
            <v>-</v>
          </cell>
          <cell r="E211" t="str">
            <v>-</v>
          </cell>
          <cell r="F211" t="str">
            <v>ESP</v>
          </cell>
          <cell r="G211" t="str">
            <v>E</v>
          </cell>
          <cell r="H211" t="str">
            <v>ESP-</v>
          </cell>
          <cell r="M211" t="str"/>
        </row>
        <row r="212">
          <cell r="C212" t="str">
            <v>Villagarcia de Arousa</v>
          </cell>
          <cell r="D212" t="str">
            <v>-</v>
          </cell>
          <cell r="E212" t="str">
            <v>-</v>
          </cell>
          <cell r="F212" t="str">
            <v>ESP</v>
          </cell>
          <cell r="G212" t="str">
            <v>E</v>
          </cell>
          <cell r="H212" t="str">
            <v>ESP-</v>
          </cell>
          <cell r="M212" t="str"/>
        </row>
        <row r="213">
          <cell r="C213" t="str">
            <v>Villalcazar de Sirga</v>
          </cell>
          <cell r="D213" t="str">
            <v>-</v>
          </cell>
          <cell r="E213" t="str">
            <v>-</v>
          </cell>
          <cell r="F213" t="str">
            <v>ESP</v>
          </cell>
          <cell r="G213" t="str">
            <v>E</v>
          </cell>
          <cell r="H213" t="str">
            <v>ESP-</v>
          </cell>
          <cell r="M213" t="str"/>
        </row>
        <row r="214">
          <cell r="C214" t="str">
            <v>Violia de Rioja</v>
          </cell>
          <cell r="D214" t="str">
            <v>-</v>
          </cell>
          <cell r="E214" t="str">
            <v>-</v>
          </cell>
          <cell r="F214" t="str">
            <v>ESP</v>
          </cell>
          <cell r="G214" t="str">
            <v>E</v>
          </cell>
          <cell r="H214" t="str">
            <v>ESP-</v>
          </cell>
          <cell r="M214" t="str"/>
        </row>
        <row r="215">
          <cell r="C215" t="str">
            <v>Zaragoza</v>
          </cell>
          <cell r="D215" t="str">
            <v>-</v>
          </cell>
          <cell r="E215" t="str">
            <v>-</v>
          </cell>
          <cell r="F215" t="str">
            <v>ESP</v>
          </cell>
          <cell r="G215" t="str">
            <v>E</v>
          </cell>
          <cell r="H215" t="str">
            <v>ESP-</v>
          </cell>
          <cell r="M215" t="str"/>
        </row>
        <row r="216">
          <cell r="C216" t="str">
            <v>Helsink</v>
          </cell>
          <cell r="D216" t="str">
            <v>-</v>
          </cell>
          <cell r="E216" t="str">
            <v>-</v>
          </cell>
          <cell r="F216" t="str">
            <v>FIN</v>
          </cell>
          <cell r="G216" t="str">
            <v>E</v>
          </cell>
          <cell r="H216" t="str">
            <v>FIN-</v>
          </cell>
          <cell r="M216" t="str"/>
        </row>
        <row r="217">
          <cell r="C217" t="str">
            <v>LAKE COTTAGE</v>
          </cell>
          <cell r="D217" t="str">
            <v>-</v>
          </cell>
          <cell r="E217" t="str">
            <v>-</v>
          </cell>
          <cell r="F217" t="str">
            <v>FIN</v>
          </cell>
          <cell r="G217" t="str">
            <v>E</v>
          </cell>
          <cell r="H217" t="str">
            <v>FIN-</v>
          </cell>
          <cell r="M217" t="str"/>
        </row>
        <row r="218">
          <cell r="C218" t="str">
            <v>Sea FIN</v>
          </cell>
          <cell r="D218" t="str">
            <v>-</v>
          </cell>
          <cell r="F218" t="str">
            <v>FIN</v>
          </cell>
          <cell r="G218" t="str">
            <v>E</v>
          </cell>
          <cell r="H218" t="str">
            <v>FIN-</v>
          </cell>
          <cell r="M218" t="str"/>
        </row>
        <row r="219">
          <cell r="C219" t="str">
            <v>Tampere</v>
          </cell>
          <cell r="D219" t="str">
            <v>-</v>
          </cell>
          <cell r="E219" t="str">
            <v>-</v>
          </cell>
          <cell r="F219" t="str">
            <v>FIN</v>
          </cell>
          <cell r="G219" t="str">
            <v>E</v>
          </cell>
          <cell r="H219" t="str">
            <v>FIN-</v>
          </cell>
          <cell r="M219" t="str"/>
        </row>
        <row r="220">
          <cell r="C220" t="str">
            <v>Ambonay</v>
          </cell>
          <cell r="D220" t="str">
            <v>-</v>
          </cell>
          <cell r="E220" t="str">
            <v>-</v>
          </cell>
          <cell r="F220" t="str">
            <v>FRA</v>
          </cell>
          <cell r="G220" t="str">
            <v>E</v>
          </cell>
          <cell r="H220" t="str">
            <v>FRA-</v>
          </cell>
          <cell r="M220" t="str"/>
        </row>
        <row r="221">
          <cell r="C221" t="str">
            <v>Angouleme</v>
          </cell>
          <cell r="D221" t="str">
            <v>-</v>
          </cell>
          <cell r="E221" t="str">
            <v>-</v>
          </cell>
          <cell r="F221" t="str">
            <v>FRA</v>
          </cell>
          <cell r="G221" t="str">
            <v>E</v>
          </cell>
          <cell r="H221" t="str">
            <v>FRA-</v>
          </cell>
          <cell r="M221" t="str"/>
        </row>
        <row r="222">
          <cell r="C222" t="str">
            <v>Begnac</v>
          </cell>
          <cell r="D222" t="str">
            <v>-</v>
          </cell>
          <cell r="E222" t="str">
            <v>-</v>
          </cell>
          <cell r="F222" t="str">
            <v>FRA</v>
          </cell>
          <cell r="G222" t="str">
            <v>E</v>
          </cell>
          <cell r="H222" t="str">
            <v>FRA-</v>
          </cell>
          <cell r="M222" t="str"/>
        </row>
        <row r="223">
          <cell r="C223" t="str">
            <v>Camblain-l'Abbé</v>
          </cell>
          <cell r="D223" t="str">
            <v>-</v>
          </cell>
          <cell r="E223" t="str">
            <v>-</v>
          </cell>
          <cell r="F223" t="str">
            <v>FRA</v>
          </cell>
          <cell r="G223" t="str">
            <v>E</v>
          </cell>
          <cell r="H223" t="str">
            <v>FRA-</v>
          </cell>
          <cell r="M223" t="str"/>
        </row>
        <row r="224">
          <cell r="C224" t="str">
            <v>Carcassone</v>
          </cell>
          <cell r="D224" t="str">
            <v>-</v>
          </cell>
          <cell r="E224" t="str">
            <v>-</v>
          </cell>
          <cell r="F224" t="str">
            <v>FRA</v>
          </cell>
          <cell r="G224" t="str">
            <v>E</v>
          </cell>
          <cell r="H224" t="str">
            <v>FRA-</v>
          </cell>
          <cell r="M224" t="str"/>
        </row>
        <row r="225">
          <cell r="C225" t="str">
            <v>Chalons-en-Champagne</v>
          </cell>
          <cell r="D225" t="str">
            <v>-</v>
          </cell>
          <cell r="E225" t="str">
            <v>-</v>
          </cell>
          <cell r="F225" t="str">
            <v>FRA</v>
          </cell>
          <cell r="G225" t="str">
            <v>E</v>
          </cell>
          <cell r="H225" t="str">
            <v>FRA-</v>
          </cell>
          <cell r="M225" t="str"/>
        </row>
        <row r="226">
          <cell r="C226" t="str">
            <v>Chateneuf du Pape</v>
          </cell>
          <cell r="D226" t="str">
            <v>-</v>
          </cell>
          <cell r="E226" t="str">
            <v>-</v>
          </cell>
          <cell r="F226" t="str">
            <v>FRA</v>
          </cell>
          <cell r="G226" t="str">
            <v>E</v>
          </cell>
          <cell r="H226" t="str">
            <v>FRA-</v>
          </cell>
          <cell r="M226" t="str"/>
        </row>
        <row r="227">
          <cell r="C227" t="str">
            <v>Coberny</v>
          </cell>
          <cell r="D227" t="str">
            <v>-</v>
          </cell>
          <cell r="E227" t="str">
            <v>-</v>
          </cell>
          <cell r="F227" t="str">
            <v>FRA</v>
          </cell>
          <cell r="G227" t="str">
            <v>E</v>
          </cell>
          <cell r="H227" t="str">
            <v>FRA-</v>
          </cell>
          <cell r="M227" t="str"/>
        </row>
        <row r="228">
          <cell r="C228" t="str">
            <v>Conde-sur-Marne</v>
          </cell>
          <cell r="D228" t="str">
            <v>-</v>
          </cell>
          <cell r="E228" t="str">
            <v>-</v>
          </cell>
          <cell r="F228" t="str">
            <v>FRA</v>
          </cell>
          <cell r="G228" t="str">
            <v>E</v>
          </cell>
          <cell r="H228" t="str">
            <v>FRA-</v>
          </cell>
          <cell r="M228" t="str"/>
        </row>
        <row r="229">
          <cell r="C229" t="str">
            <v>Cussey-sur-l'Ognon</v>
          </cell>
          <cell r="D229" t="str">
            <v>-</v>
          </cell>
          <cell r="E229" t="str">
            <v>-</v>
          </cell>
          <cell r="F229" t="str">
            <v>FRA</v>
          </cell>
          <cell r="G229" t="str">
            <v>E</v>
          </cell>
          <cell r="H229" t="str">
            <v>FRA-</v>
          </cell>
          <cell r="M229" t="str"/>
        </row>
        <row r="230">
          <cell r="C230" t="str">
            <v>Frasne-le-Chateau</v>
          </cell>
          <cell r="D230" t="str">
            <v>-</v>
          </cell>
          <cell r="E230" t="str">
            <v>-</v>
          </cell>
          <cell r="F230" t="str">
            <v>FRA</v>
          </cell>
          <cell r="G230" t="str">
            <v>E</v>
          </cell>
          <cell r="H230" t="str">
            <v>FRA-</v>
          </cell>
          <cell r="M230" t="str"/>
        </row>
        <row r="231">
          <cell r="C231" t="str">
            <v>Guines</v>
          </cell>
          <cell r="D231" t="str">
            <v>-</v>
          </cell>
          <cell r="E231" t="str">
            <v>-</v>
          </cell>
          <cell r="F231" t="str">
            <v>FRA</v>
          </cell>
          <cell r="G231" t="str">
            <v>E</v>
          </cell>
          <cell r="H231" t="str">
            <v>FRA-</v>
          </cell>
          <cell r="M231" t="str"/>
        </row>
        <row r="232">
          <cell r="C232" t="str">
            <v>Hanes</v>
          </cell>
          <cell r="D232" t="str">
            <v>-</v>
          </cell>
          <cell r="E232" t="str">
            <v>-</v>
          </cell>
          <cell r="F232" t="str">
            <v>FRA</v>
          </cell>
          <cell r="G232" t="str">
            <v>E</v>
          </cell>
          <cell r="H232" t="str">
            <v>FRA-</v>
          </cell>
          <cell r="M232" t="str"/>
        </row>
        <row r="233">
          <cell r="C233" t="str">
            <v>La Rogue</v>
          </cell>
          <cell r="D233" t="str">
            <v>-</v>
          </cell>
          <cell r="E233" t="str">
            <v>-</v>
          </cell>
          <cell r="F233" t="str">
            <v>FRA</v>
          </cell>
          <cell r="G233" t="str">
            <v>E</v>
          </cell>
          <cell r="H233" t="str">
            <v>FRA-</v>
          </cell>
          <cell r="M233" t="str"/>
        </row>
        <row r="234">
          <cell r="C234" t="str">
            <v>Les Andalys</v>
          </cell>
          <cell r="D234" t="str">
            <v>-</v>
          </cell>
          <cell r="E234" t="str">
            <v>-</v>
          </cell>
          <cell r="F234" t="str">
            <v>FRA</v>
          </cell>
          <cell r="G234" t="str">
            <v>E</v>
          </cell>
          <cell r="H234" t="str">
            <v>FRA-</v>
          </cell>
          <cell r="M234" t="str"/>
        </row>
        <row r="235">
          <cell r="C235" t="str">
            <v>Mercey-sur-Saone</v>
          </cell>
          <cell r="D235" t="str">
            <v>-</v>
          </cell>
          <cell r="E235" t="str">
            <v>-</v>
          </cell>
          <cell r="F235" t="str">
            <v>FRA</v>
          </cell>
          <cell r="G235" t="str">
            <v>E</v>
          </cell>
          <cell r="H235" t="str">
            <v>FRA-</v>
          </cell>
          <cell r="M235" t="str"/>
        </row>
        <row r="236">
          <cell r="C236" t="str">
            <v>Mont St Michel</v>
          </cell>
          <cell r="D236" t="str">
            <v>-</v>
          </cell>
          <cell r="E236" t="str">
            <v>-</v>
          </cell>
          <cell r="F236" t="str">
            <v>FRA</v>
          </cell>
          <cell r="G236" t="str">
            <v>E</v>
          </cell>
          <cell r="H236" t="str">
            <v>FRA-</v>
          </cell>
          <cell r="M236" t="str"/>
        </row>
        <row r="237">
          <cell r="C237" t="str">
            <v>Nimes</v>
          </cell>
          <cell r="D237" t="str">
            <v>-</v>
          </cell>
          <cell r="E237" t="str">
            <v>-</v>
          </cell>
          <cell r="F237" t="str">
            <v>FRA</v>
          </cell>
          <cell r="G237" t="str">
            <v>E</v>
          </cell>
          <cell r="H237" t="str">
            <v>FRA-</v>
          </cell>
          <cell r="M237" t="str"/>
        </row>
        <row r="238">
          <cell r="C238" t="str">
            <v>Obermar</v>
          </cell>
          <cell r="D238" t="str">
            <v>-</v>
          </cell>
          <cell r="E238" t="str">
            <v>-</v>
          </cell>
          <cell r="F238" t="str">
            <v>FRA</v>
          </cell>
          <cell r="G238" t="str">
            <v>E</v>
          </cell>
          <cell r="H238" t="str">
            <v>FRA-</v>
          </cell>
          <cell r="M238" t="str"/>
        </row>
        <row r="239">
          <cell r="C239" t="str">
            <v>Orleans</v>
          </cell>
          <cell r="D239" t="str">
            <v>-</v>
          </cell>
          <cell r="E239" t="str">
            <v>-</v>
          </cell>
          <cell r="F239" t="str">
            <v>FRA</v>
          </cell>
          <cell r="G239" t="str">
            <v>E</v>
          </cell>
          <cell r="H239" t="str">
            <v>FRA-</v>
          </cell>
          <cell r="M239" t="str"/>
        </row>
        <row r="240">
          <cell r="C240" t="str">
            <v>Peronne</v>
          </cell>
          <cell r="D240" t="str">
            <v>-</v>
          </cell>
          <cell r="E240" t="str">
            <v>-</v>
          </cell>
          <cell r="F240" t="str">
            <v>FRA</v>
          </cell>
          <cell r="G240" t="str">
            <v>E</v>
          </cell>
          <cell r="H240" t="str">
            <v>FRA-</v>
          </cell>
          <cell r="M240" t="str"/>
        </row>
        <row r="241">
          <cell r="C241" t="str">
            <v>Petite Venice</v>
          </cell>
          <cell r="D241" t="str">
            <v>-</v>
          </cell>
          <cell r="E241" t="str">
            <v>-</v>
          </cell>
          <cell r="F241" t="str">
            <v>FRA</v>
          </cell>
          <cell r="G241" t="str">
            <v>E</v>
          </cell>
          <cell r="H241" t="str">
            <v>FRA-</v>
          </cell>
          <cell r="M241" t="str"/>
        </row>
        <row r="242">
          <cell r="C242" t="str">
            <v>Poitiens</v>
          </cell>
          <cell r="D242" t="str">
            <v>-</v>
          </cell>
          <cell r="E242" t="str">
            <v>-</v>
          </cell>
          <cell r="F242" t="str">
            <v>FRA</v>
          </cell>
          <cell r="G242" t="str">
            <v>E</v>
          </cell>
          <cell r="H242" t="str">
            <v>FRA-</v>
          </cell>
          <cell r="M242" t="str"/>
        </row>
        <row r="243">
          <cell r="C243" t="str">
            <v>Rolamport</v>
          </cell>
          <cell r="D243" t="str">
            <v>-</v>
          </cell>
          <cell r="E243" t="str">
            <v>-</v>
          </cell>
          <cell r="F243" t="str">
            <v>FRA</v>
          </cell>
          <cell r="G243" t="str">
            <v>E</v>
          </cell>
          <cell r="H243" t="str">
            <v>FRA-</v>
          </cell>
          <cell r="M243" t="str"/>
        </row>
        <row r="244">
          <cell r="C244" t="str">
            <v>Saint Dizier</v>
          </cell>
          <cell r="D244" t="str">
            <v>-</v>
          </cell>
          <cell r="E244" t="str">
            <v>-</v>
          </cell>
          <cell r="F244" t="str">
            <v>FRA</v>
          </cell>
          <cell r="G244" t="str">
            <v>E</v>
          </cell>
          <cell r="H244" t="str">
            <v>FRA-</v>
          </cell>
          <cell r="M244" t="str"/>
        </row>
        <row r="245">
          <cell r="C245" t="str">
            <v>Saint Eloi</v>
          </cell>
          <cell r="D245" t="str">
            <v>-</v>
          </cell>
          <cell r="E245" t="str">
            <v>-</v>
          </cell>
          <cell r="F245" t="str">
            <v>FRA</v>
          </cell>
          <cell r="G245" t="str">
            <v>E</v>
          </cell>
          <cell r="H245" t="str">
            <v>FRA-</v>
          </cell>
          <cell r="M245" t="str"/>
        </row>
        <row r="246">
          <cell r="C246" t="str">
            <v>Saint Malo</v>
          </cell>
          <cell r="D246" t="str">
            <v>-</v>
          </cell>
          <cell r="E246" t="str">
            <v>-</v>
          </cell>
          <cell r="F246" t="str">
            <v>FRA</v>
          </cell>
          <cell r="G246" t="str">
            <v>E</v>
          </cell>
          <cell r="H246" t="str">
            <v>FRA-</v>
          </cell>
          <cell r="M246" t="str"/>
        </row>
        <row r="247">
          <cell r="C247" t="str">
            <v>Serlat</v>
          </cell>
          <cell r="D247" t="str">
            <v>-</v>
          </cell>
          <cell r="E247" t="str">
            <v>-</v>
          </cell>
          <cell r="F247" t="str">
            <v>FRA</v>
          </cell>
          <cell r="G247" t="str">
            <v>E</v>
          </cell>
          <cell r="H247" t="str">
            <v>FRA-</v>
          </cell>
          <cell r="M247" t="str"/>
        </row>
        <row r="248">
          <cell r="C248" t="str">
            <v>St. Jean Pied-de-Port</v>
          </cell>
          <cell r="D248" t="str">
            <v>-</v>
          </cell>
          <cell r="E248" t="str">
            <v>-</v>
          </cell>
          <cell r="F248" t="str">
            <v>FRA</v>
          </cell>
          <cell r="G248" t="str">
            <v>E</v>
          </cell>
          <cell r="H248" t="str">
            <v>FRA-</v>
          </cell>
          <cell r="M248" t="str"/>
        </row>
        <row r="249">
          <cell r="C249" t="str">
            <v>Therouanne</v>
          </cell>
          <cell r="D249" t="str">
            <v>-</v>
          </cell>
          <cell r="E249" t="str">
            <v>-</v>
          </cell>
          <cell r="F249" t="str">
            <v>FRA</v>
          </cell>
          <cell r="G249" t="str">
            <v>E</v>
          </cell>
          <cell r="H249" t="str">
            <v>FRA-</v>
          </cell>
          <cell r="M249" t="str"/>
        </row>
        <row r="250">
          <cell r="C250" t="str">
            <v>Train FRA</v>
          </cell>
          <cell r="D250" t="str">
            <v>-</v>
          </cell>
          <cell r="F250" t="str">
            <v>FRA</v>
          </cell>
          <cell r="G250" t="str">
            <v>E</v>
          </cell>
          <cell r="H250" t="str">
            <v>FRA-</v>
          </cell>
          <cell r="M250" t="str"/>
        </row>
        <row r="251">
          <cell r="C251" t="str">
            <v>Trepail</v>
          </cell>
          <cell r="D251" t="str">
            <v>-</v>
          </cell>
          <cell r="E251" t="str">
            <v>-</v>
          </cell>
          <cell r="F251" t="str">
            <v>FRA</v>
          </cell>
          <cell r="G251" t="str">
            <v>E</v>
          </cell>
          <cell r="H251" t="str">
            <v>FRA-</v>
          </cell>
          <cell r="M251" t="str"/>
        </row>
        <row r="252">
          <cell r="C252" t="str">
            <v>Barr</v>
          </cell>
          <cell r="D252" t="str">
            <v>AL</v>
          </cell>
          <cell r="E252" t="str">
            <v>Alsace</v>
          </cell>
          <cell r="F252" t="str">
            <v>FRA</v>
          </cell>
          <cell r="G252" t="str">
            <v>E</v>
          </cell>
          <cell r="H252" t="str">
            <v>FRAAL</v>
          </cell>
          <cell r="M252" t="str"/>
        </row>
        <row r="253">
          <cell r="C253" t="str">
            <v>Colmar</v>
          </cell>
          <cell r="D253" t="str">
            <v>AL</v>
          </cell>
          <cell r="E253" t="str">
            <v>Alsace</v>
          </cell>
          <cell r="F253" t="str">
            <v>FRA</v>
          </cell>
          <cell r="G253" t="str">
            <v>E</v>
          </cell>
          <cell r="H253" t="str">
            <v>FRAAL</v>
          </cell>
          <cell r="M253" t="str"/>
        </row>
        <row r="254">
          <cell r="C254" t="str">
            <v>Strasbourg</v>
          </cell>
          <cell r="D254" t="str">
            <v>AL</v>
          </cell>
          <cell r="E254" t="str">
            <v>Alsace</v>
          </cell>
          <cell r="F254" t="str">
            <v>FRA</v>
          </cell>
          <cell r="G254" t="str">
            <v>E</v>
          </cell>
          <cell r="H254" t="str">
            <v>FRAAL</v>
          </cell>
          <cell r="M254" t="str"/>
        </row>
        <row r="255">
          <cell r="C255" t="str">
            <v>Gageac</v>
          </cell>
          <cell r="D255" t="str">
            <v>AQ</v>
          </cell>
          <cell r="E255" t="str">
            <v>Aquitaine</v>
          </cell>
          <cell r="F255" t="str">
            <v>FRA</v>
          </cell>
          <cell r="G255" t="str">
            <v>E</v>
          </cell>
          <cell r="H255" t="str">
            <v>FRAAQ</v>
          </cell>
          <cell r="M255" t="str"/>
        </row>
        <row r="256">
          <cell r="C256" t="str">
            <v>Lascaux</v>
          </cell>
          <cell r="D256" t="str">
            <v>AQ</v>
          </cell>
          <cell r="E256" t="str">
            <v>Aquitaine</v>
          </cell>
          <cell r="F256" t="str">
            <v>FRA</v>
          </cell>
          <cell r="G256" t="str">
            <v>E</v>
          </cell>
          <cell r="H256" t="str">
            <v>FRAAQ</v>
          </cell>
          <cell r="M256" t="str"/>
        </row>
        <row r="257">
          <cell r="C257" t="str">
            <v>Les Eyzies</v>
          </cell>
          <cell r="D257" t="str">
            <v>AQ</v>
          </cell>
          <cell r="E257" t="str">
            <v>Aquitaine</v>
          </cell>
          <cell r="F257" t="str">
            <v>FRA</v>
          </cell>
          <cell r="G257" t="str">
            <v>E</v>
          </cell>
          <cell r="H257" t="str">
            <v>FRAAQ</v>
          </cell>
          <cell r="M257" t="str"/>
        </row>
        <row r="258">
          <cell r="C258" t="str">
            <v>Amettes</v>
          </cell>
          <cell r="D258" t="str">
            <v>AR</v>
          </cell>
          <cell r="E258" t="str">
            <v>Ardennes</v>
          </cell>
          <cell r="F258" t="str">
            <v>FRA</v>
          </cell>
          <cell r="G258" t="str">
            <v>E</v>
          </cell>
          <cell r="H258" t="str">
            <v>FRAAR</v>
          </cell>
          <cell r="M258" t="str"/>
        </row>
        <row r="259">
          <cell r="C259" t="str">
            <v>Arras</v>
          </cell>
          <cell r="D259" t="str">
            <v>AR</v>
          </cell>
          <cell r="E259" t="str">
            <v>Ardennes</v>
          </cell>
          <cell r="F259" t="str">
            <v>FRA</v>
          </cell>
          <cell r="G259" t="str">
            <v>E</v>
          </cell>
          <cell r="H259" t="str">
            <v>FRAAR</v>
          </cell>
        </row>
        <row r="260">
          <cell r="C260" t="str">
            <v>Auchy-au-Bois</v>
          </cell>
          <cell r="D260" t="str">
            <v>AR</v>
          </cell>
          <cell r="E260" t="str">
            <v>Ardennes</v>
          </cell>
          <cell r="F260" t="str">
            <v>FRA</v>
          </cell>
          <cell r="G260" t="str">
            <v>E</v>
          </cell>
          <cell r="H260" t="str">
            <v>FRAAR</v>
          </cell>
        </row>
        <row r="261">
          <cell r="C261" t="str">
            <v>Bapaume</v>
          </cell>
          <cell r="D261" t="str">
            <v>AR</v>
          </cell>
          <cell r="E261" t="str">
            <v>Ardennes</v>
          </cell>
          <cell r="F261" t="str">
            <v>FRA</v>
          </cell>
          <cell r="G261" t="str">
            <v>E</v>
          </cell>
          <cell r="H261" t="str">
            <v>FRAAR</v>
          </cell>
        </row>
        <row r="262">
          <cell r="C262" t="str">
            <v>Boucres</v>
          </cell>
          <cell r="D262" t="str">
            <v>AR</v>
          </cell>
          <cell r="E262" t="str">
            <v>Ardennes</v>
          </cell>
          <cell r="F262" t="str">
            <v>FRA</v>
          </cell>
          <cell r="G262" t="str">
            <v>E</v>
          </cell>
          <cell r="H262" t="str">
            <v>FRAAR</v>
          </cell>
        </row>
        <row r="263">
          <cell r="C263" t="str">
            <v>Calais</v>
          </cell>
          <cell r="D263" t="str">
            <v>AR</v>
          </cell>
          <cell r="E263" t="str">
            <v>Ardennes</v>
          </cell>
          <cell r="F263" t="str">
            <v>FRA</v>
          </cell>
          <cell r="G263" t="str">
            <v>E</v>
          </cell>
          <cell r="H263" t="str">
            <v>FRAAR</v>
          </cell>
        </row>
        <row r="264">
          <cell r="C264" t="str">
            <v>Coulogne</v>
          </cell>
          <cell r="D264" t="str">
            <v>AR</v>
          </cell>
          <cell r="E264" t="str">
            <v>Ardennes</v>
          </cell>
          <cell r="F264" t="str">
            <v>FRA</v>
          </cell>
          <cell r="G264" t="str">
            <v>E</v>
          </cell>
          <cell r="H264" t="str">
            <v>FRAAR</v>
          </cell>
        </row>
        <row r="265">
          <cell r="C265" t="str">
            <v>Houdain</v>
          </cell>
          <cell r="D265" t="str">
            <v>AR</v>
          </cell>
          <cell r="E265" t="str">
            <v>Ardennes</v>
          </cell>
          <cell r="F265" t="str">
            <v>FRA</v>
          </cell>
          <cell r="G265" t="str">
            <v>E</v>
          </cell>
          <cell r="H265" t="str">
            <v>FRAAR</v>
          </cell>
        </row>
        <row r="266">
          <cell r="C266" t="str">
            <v>Licques</v>
          </cell>
          <cell r="D266" t="str">
            <v>AR</v>
          </cell>
          <cell r="E266" t="str">
            <v>Ardennes</v>
          </cell>
          <cell r="F266" t="str">
            <v>FRA</v>
          </cell>
          <cell r="G266" t="str">
            <v>E</v>
          </cell>
          <cell r="H266" t="str">
            <v>FRAAR</v>
          </cell>
        </row>
        <row r="267">
          <cell r="C267" t="str">
            <v>Wisques</v>
          </cell>
          <cell r="D267" t="str">
            <v>AR</v>
          </cell>
          <cell r="E267" t="str">
            <v>Ardennes</v>
          </cell>
          <cell r="F267" t="str">
            <v>FRA</v>
          </cell>
          <cell r="G267" t="str">
            <v>E</v>
          </cell>
          <cell r="H267" t="str">
            <v>FRAAR</v>
          </cell>
        </row>
        <row r="268">
          <cell r="C268" t="str">
            <v>Millau</v>
          </cell>
          <cell r="D268" t="str">
            <v>AU</v>
          </cell>
          <cell r="E268" t="str">
            <v>Auvergne</v>
          </cell>
          <cell r="F268" t="str">
            <v>FRA</v>
          </cell>
          <cell r="G268" t="str">
            <v>E</v>
          </cell>
          <cell r="H268" t="str">
            <v>FRAAU</v>
          </cell>
        </row>
        <row r="269">
          <cell r="C269" t="str">
            <v>Dinan</v>
          </cell>
          <cell r="D269" t="str">
            <v>BR</v>
          </cell>
          <cell r="E269" t="str">
            <v>Bretagne</v>
          </cell>
          <cell r="F269" t="str">
            <v>FRA</v>
          </cell>
          <cell r="G269" t="str">
            <v>E</v>
          </cell>
          <cell r="H269" t="str">
            <v>FRABR</v>
          </cell>
        </row>
        <row r="270">
          <cell r="C270" t="str">
            <v>Dinard</v>
          </cell>
          <cell r="D270" t="str">
            <v>BR</v>
          </cell>
          <cell r="E270" t="str">
            <v>Bretagne</v>
          </cell>
          <cell r="F270" t="str">
            <v>FRA</v>
          </cell>
          <cell r="G270" t="str">
            <v>E</v>
          </cell>
          <cell r="H270" t="str">
            <v>FRABR</v>
          </cell>
        </row>
        <row r="271">
          <cell r="C271" t="str">
            <v>Rennes</v>
          </cell>
          <cell r="D271" t="str">
            <v>BR</v>
          </cell>
          <cell r="E271" t="str">
            <v>Bretagne</v>
          </cell>
          <cell r="F271" t="str">
            <v>FRA</v>
          </cell>
          <cell r="G271" t="str">
            <v>E</v>
          </cell>
          <cell r="H271" t="str">
            <v>FRABR</v>
          </cell>
        </row>
        <row r="272">
          <cell r="C272" t="str">
            <v>Loire</v>
          </cell>
          <cell r="D272" t="str">
            <v>CE</v>
          </cell>
          <cell r="E272" t="str">
            <v>Centre-Val de Loire</v>
          </cell>
          <cell r="F272" t="str">
            <v>FRA</v>
          </cell>
          <cell r="G272" t="str">
            <v>E</v>
          </cell>
          <cell r="H272" t="str">
            <v>FRACE</v>
          </cell>
        </row>
        <row r="273">
          <cell r="C273" t="str">
            <v>Tours</v>
          </cell>
          <cell r="D273" t="str">
            <v>CE</v>
          </cell>
          <cell r="E273" t="str">
            <v>Centre-Val de Loire</v>
          </cell>
          <cell r="F273" t="str">
            <v>FRA</v>
          </cell>
          <cell r="G273" t="str">
            <v>E</v>
          </cell>
          <cell r="H273" t="str">
            <v>FRACE</v>
          </cell>
        </row>
        <row r="274">
          <cell r="C274" t="str">
            <v>Chaumont</v>
          </cell>
          <cell r="D274" t="str">
            <v>CH</v>
          </cell>
          <cell r="E274" t="str">
            <v>Champagne</v>
          </cell>
          <cell r="F274" t="str">
            <v>FRA</v>
          </cell>
          <cell r="G274" t="str">
            <v>E</v>
          </cell>
          <cell r="H274" t="str">
            <v>FRACH</v>
          </cell>
        </row>
        <row r="275">
          <cell r="C275" t="str">
            <v>Grenant</v>
          </cell>
          <cell r="D275" t="str">
            <v>CH</v>
          </cell>
          <cell r="E275" t="str">
            <v>Champagne</v>
          </cell>
          <cell r="F275" t="str">
            <v>FRA</v>
          </cell>
          <cell r="G275" t="str">
            <v>E</v>
          </cell>
          <cell r="H275" t="str">
            <v>FRACH</v>
          </cell>
        </row>
        <row r="276">
          <cell r="C276" t="str">
            <v>Joinville</v>
          </cell>
          <cell r="D276" t="str">
            <v>CH</v>
          </cell>
          <cell r="E276" t="str">
            <v>Champagne</v>
          </cell>
          <cell r="F276" t="str">
            <v>FRA</v>
          </cell>
          <cell r="G276" t="str">
            <v>E</v>
          </cell>
          <cell r="H276" t="str">
            <v>FRACH</v>
          </cell>
        </row>
        <row r="277">
          <cell r="C277" t="str">
            <v>Langres</v>
          </cell>
          <cell r="D277" t="str">
            <v>CH</v>
          </cell>
          <cell r="E277" t="str">
            <v>Champagne</v>
          </cell>
          <cell r="F277" t="str">
            <v>FRA</v>
          </cell>
          <cell r="G277" t="str">
            <v>E</v>
          </cell>
          <cell r="H277" t="str">
            <v>FRACH</v>
          </cell>
        </row>
        <row r="278">
          <cell r="C278" t="str">
            <v>Recy</v>
          </cell>
          <cell r="D278" t="str">
            <v>CH</v>
          </cell>
          <cell r="E278" t="str">
            <v>Champagne</v>
          </cell>
          <cell r="F278" t="str">
            <v>FRA</v>
          </cell>
          <cell r="G278" t="str">
            <v>E</v>
          </cell>
          <cell r="H278" t="str">
            <v>FRACH</v>
          </cell>
        </row>
        <row r="279">
          <cell r="C279" t="str">
            <v>Reims</v>
          </cell>
          <cell r="D279" t="str">
            <v>CH</v>
          </cell>
          <cell r="E279" t="str">
            <v>Champagne</v>
          </cell>
          <cell r="F279" t="str">
            <v>FRA</v>
          </cell>
          <cell r="G279" t="str">
            <v>E</v>
          </cell>
          <cell r="H279" t="str">
            <v>FRACH</v>
          </cell>
        </row>
        <row r="280">
          <cell r="C280" t="str">
            <v>Verzenay</v>
          </cell>
          <cell r="D280" t="str">
            <v>CH</v>
          </cell>
          <cell r="E280" t="str">
            <v>Champagne</v>
          </cell>
          <cell r="F280" t="str">
            <v>FRA</v>
          </cell>
          <cell r="G280" t="str">
            <v>E</v>
          </cell>
          <cell r="H280" t="str">
            <v>FRACH</v>
          </cell>
        </row>
        <row r="281">
          <cell r="C281" t="str">
            <v>Verzy</v>
          </cell>
          <cell r="D281" t="str">
            <v>CH</v>
          </cell>
          <cell r="E281" t="str">
            <v>Champagne</v>
          </cell>
          <cell r="F281" t="str">
            <v>FRA</v>
          </cell>
          <cell r="G281" t="str">
            <v>E</v>
          </cell>
          <cell r="H281" t="str">
            <v>FRACH</v>
          </cell>
        </row>
        <row r="282">
          <cell r="C282" t="str">
            <v>Vitry-le-François</v>
          </cell>
          <cell r="D282" t="str">
            <v>CH</v>
          </cell>
          <cell r="E282" t="str">
            <v>Champagne</v>
          </cell>
          <cell r="F282" t="str">
            <v>FRA</v>
          </cell>
          <cell r="G282" t="str">
            <v>E</v>
          </cell>
          <cell r="H282" t="str">
            <v>FRACH</v>
          </cell>
        </row>
        <row r="283">
          <cell r="C283" t="str">
            <v>Besançon</v>
          </cell>
          <cell r="D283" t="str">
            <v>FR</v>
          </cell>
          <cell r="E283" t="str">
            <v>Franche-Comté</v>
          </cell>
          <cell r="F283" t="str">
            <v>FRA</v>
          </cell>
          <cell r="G283" t="str">
            <v>E</v>
          </cell>
          <cell r="H283" t="str">
            <v>FRAFR</v>
          </cell>
        </row>
        <row r="284">
          <cell r="C284" t="str">
            <v>Champlitte</v>
          </cell>
          <cell r="D284" t="str">
            <v>FR</v>
          </cell>
          <cell r="E284" t="str">
            <v>Franche-Comté</v>
          </cell>
          <cell r="F284" t="str">
            <v>FRA</v>
          </cell>
          <cell r="G284" t="str">
            <v>E</v>
          </cell>
          <cell r="H284" t="str">
            <v>FRAFR</v>
          </cell>
        </row>
        <row r="285">
          <cell r="C285" t="str">
            <v>Cluse-et-Mijoux</v>
          </cell>
          <cell r="D285" t="str">
            <v>FR</v>
          </cell>
          <cell r="E285" t="str">
            <v>Franche-Comté</v>
          </cell>
          <cell r="F285" t="str">
            <v>FRA</v>
          </cell>
          <cell r="G285" t="str">
            <v>E</v>
          </cell>
          <cell r="H285" t="str">
            <v>FRAFR</v>
          </cell>
        </row>
        <row r="286">
          <cell r="C286" t="str">
            <v>La Vrine</v>
          </cell>
          <cell r="D286" t="str">
            <v>FR</v>
          </cell>
          <cell r="E286" t="str">
            <v>Franche-Comté</v>
          </cell>
          <cell r="F286" t="str">
            <v>FRA</v>
          </cell>
          <cell r="G286" t="str">
            <v>E</v>
          </cell>
          <cell r="H286" t="str">
            <v>FRAFR</v>
          </cell>
        </row>
        <row r="287">
          <cell r="C287" t="str">
            <v>Les Archots</v>
          </cell>
          <cell r="D287" t="str">
            <v>FR</v>
          </cell>
          <cell r="E287" t="str">
            <v>Franche-Comté</v>
          </cell>
          <cell r="F287" t="str">
            <v>FRA</v>
          </cell>
          <cell r="G287" t="str">
            <v>E</v>
          </cell>
          <cell r="H287" t="str">
            <v>FRAFR</v>
          </cell>
        </row>
        <row r="288">
          <cell r="C288" t="str">
            <v>Les Fourgs</v>
          </cell>
          <cell r="D288" t="str">
            <v>FR</v>
          </cell>
          <cell r="E288" t="str">
            <v>Franche-Comté</v>
          </cell>
          <cell r="F288" t="str">
            <v>FRA</v>
          </cell>
          <cell r="G288" t="str">
            <v>E</v>
          </cell>
          <cell r="H288" t="str">
            <v>FRAFR</v>
          </cell>
        </row>
        <row r="289">
          <cell r="C289" t="str">
            <v>Lods</v>
          </cell>
          <cell r="D289" t="str">
            <v>FR</v>
          </cell>
          <cell r="E289" t="str">
            <v>Franche-Comté</v>
          </cell>
          <cell r="F289" t="str">
            <v>FRA</v>
          </cell>
          <cell r="G289" t="str">
            <v>E</v>
          </cell>
          <cell r="H289" t="str">
            <v>FRAFR</v>
          </cell>
        </row>
        <row r="290">
          <cell r="C290" t="str">
            <v>Mouthier-Haute-Pierre</v>
          </cell>
          <cell r="D290" t="str">
            <v>FR</v>
          </cell>
          <cell r="E290" t="str">
            <v>Franche-Comté</v>
          </cell>
          <cell r="F290" t="str">
            <v>FRA</v>
          </cell>
          <cell r="G290" t="str">
            <v>E</v>
          </cell>
          <cell r="H290" t="str">
            <v>FRAFR</v>
          </cell>
        </row>
        <row r="291">
          <cell r="C291" t="str">
            <v>Ornans</v>
          </cell>
          <cell r="D291" t="str">
            <v>FR</v>
          </cell>
          <cell r="E291" t="str">
            <v>Franche-Comté</v>
          </cell>
          <cell r="F291" t="str">
            <v>FRA</v>
          </cell>
          <cell r="G291" t="str">
            <v>E</v>
          </cell>
          <cell r="H291" t="str">
            <v>FRAFR</v>
          </cell>
        </row>
        <row r="292">
          <cell r="C292" t="str">
            <v>Pontarlier</v>
          </cell>
          <cell r="D292" t="str">
            <v>FR</v>
          </cell>
          <cell r="E292" t="str">
            <v>Franche-Comté</v>
          </cell>
          <cell r="F292" t="str">
            <v>FRA</v>
          </cell>
          <cell r="G292" t="str">
            <v>E</v>
          </cell>
          <cell r="H292" t="str">
            <v>FRAFR</v>
          </cell>
        </row>
        <row r="293">
          <cell r="C293" t="str">
            <v>Vuillafans</v>
          </cell>
          <cell r="D293" t="str">
            <v>FR</v>
          </cell>
          <cell r="E293" t="str">
            <v>Franche-Comté</v>
          </cell>
          <cell r="F293" t="str">
            <v>FRA</v>
          </cell>
          <cell r="G293" t="str">
            <v>E</v>
          </cell>
          <cell r="H293" t="str">
            <v>FRAFR</v>
          </cell>
        </row>
        <row r="294">
          <cell r="C294" t="str">
            <v>Bayonne</v>
          </cell>
          <cell r="D294" t="str">
            <v>GA</v>
          </cell>
          <cell r="E294" t="str">
            <v>Gascogne</v>
          </cell>
          <cell r="F294" t="str">
            <v>FRA</v>
          </cell>
          <cell r="G294" t="str">
            <v>E</v>
          </cell>
          <cell r="H294" t="str">
            <v>FRAGA</v>
          </cell>
        </row>
        <row r="295">
          <cell r="C295" t="str">
            <v>Paris</v>
          </cell>
          <cell r="D295" t="str">
            <v>IF</v>
          </cell>
          <cell r="E295" t="str">
            <v>Île-de-France</v>
          </cell>
          <cell r="F295" t="str">
            <v>FRA</v>
          </cell>
          <cell r="G295" t="str">
            <v>E</v>
          </cell>
          <cell r="H295" t="str">
            <v>FRAIF</v>
          </cell>
        </row>
        <row r="296">
          <cell r="C296" t="str">
            <v>Roissy</v>
          </cell>
          <cell r="D296" t="str">
            <v>IF</v>
          </cell>
          <cell r="E296" t="str">
            <v>Île-de-France</v>
          </cell>
          <cell r="F296" t="str">
            <v>FRA</v>
          </cell>
          <cell r="G296" t="str">
            <v>E</v>
          </cell>
          <cell r="H296" t="str">
            <v>FRAIF</v>
          </cell>
        </row>
        <row r="297">
          <cell r="C297" t="str">
            <v>Aigues-Mortes</v>
          </cell>
          <cell r="D297" t="str">
            <v>LA</v>
          </cell>
          <cell r="E297" t="str">
            <v>Languedoc</v>
          </cell>
          <cell r="F297" t="str">
            <v>FRA</v>
          </cell>
          <cell r="G297" t="str">
            <v>E</v>
          </cell>
          <cell r="H297" t="str">
            <v>FRALA</v>
          </cell>
        </row>
        <row r="298">
          <cell r="C298" t="str">
            <v>Albi</v>
          </cell>
          <cell r="D298" t="str">
            <v>LA</v>
          </cell>
          <cell r="E298" t="str">
            <v>Languedoc</v>
          </cell>
          <cell r="F298" t="str">
            <v>FRA</v>
          </cell>
          <cell r="G298" t="str">
            <v>E</v>
          </cell>
          <cell r="H298" t="str">
            <v>FRALA</v>
          </cell>
        </row>
        <row r="299">
          <cell r="C299" t="str">
            <v>Cahors</v>
          </cell>
          <cell r="D299" t="str">
            <v>LA</v>
          </cell>
          <cell r="E299" t="str">
            <v>Languedoc</v>
          </cell>
          <cell r="F299" t="str">
            <v>FRA</v>
          </cell>
          <cell r="G299" t="str">
            <v>E</v>
          </cell>
          <cell r="H299" t="str">
            <v>FRALA</v>
          </cell>
        </row>
        <row r="300">
          <cell r="C300" t="str">
            <v>Cordes-sur-Ciel</v>
          </cell>
          <cell r="D300" t="str">
            <v>LA</v>
          </cell>
          <cell r="E300" t="str">
            <v>Languedoc</v>
          </cell>
          <cell r="F300" t="str">
            <v>FRA</v>
          </cell>
          <cell r="G300" t="str">
            <v>E</v>
          </cell>
          <cell r="H300" t="str">
            <v>FRALA</v>
          </cell>
        </row>
        <row r="301">
          <cell r="C301" t="str">
            <v>Florac</v>
          </cell>
          <cell r="D301" t="str">
            <v>LA</v>
          </cell>
          <cell r="E301" t="str">
            <v>Languedoc</v>
          </cell>
          <cell r="F301" t="str">
            <v>FRA</v>
          </cell>
          <cell r="G301" t="str">
            <v>E</v>
          </cell>
          <cell r="H301" t="str">
            <v>FRALA</v>
          </cell>
        </row>
        <row r="302">
          <cell r="C302" t="str">
            <v>La Grande-Motte</v>
          </cell>
          <cell r="D302" t="str">
            <v>LA</v>
          </cell>
          <cell r="E302" t="str">
            <v>Languedoc</v>
          </cell>
          <cell r="F302" t="str">
            <v>FRA</v>
          </cell>
          <cell r="G302" t="str">
            <v>E</v>
          </cell>
          <cell r="H302" t="str">
            <v>FRALA</v>
          </cell>
        </row>
        <row r="303">
          <cell r="C303" t="str">
            <v>Saint-Cirq-Lapopie</v>
          </cell>
          <cell r="D303" t="str">
            <v>LA</v>
          </cell>
          <cell r="E303" t="str">
            <v>Languedoc</v>
          </cell>
          <cell r="F303" t="str">
            <v>FRA</v>
          </cell>
          <cell r="G303" t="str">
            <v>E</v>
          </cell>
          <cell r="H303" t="str">
            <v>FRALA</v>
          </cell>
        </row>
        <row r="304">
          <cell r="C304" t="str">
            <v>Toulouse</v>
          </cell>
          <cell r="D304" t="str">
            <v>LA</v>
          </cell>
          <cell r="E304" t="str">
            <v>Languedoc</v>
          </cell>
          <cell r="F304" t="str">
            <v>FRA</v>
          </cell>
          <cell r="G304" t="str">
            <v>E</v>
          </cell>
          <cell r="H304" t="str">
            <v>FRALA</v>
          </cell>
        </row>
        <row r="305">
          <cell r="C305" t="str">
            <v>Metz</v>
          </cell>
          <cell r="D305" t="str">
            <v>LO</v>
          </cell>
          <cell r="E305" t="str">
            <v>Lorraine</v>
          </cell>
          <cell r="F305" t="str">
            <v>FRA</v>
          </cell>
          <cell r="G305" t="str">
            <v>E</v>
          </cell>
          <cell r="H305" t="str">
            <v>FRALO</v>
          </cell>
        </row>
        <row r="306">
          <cell r="C306" t="str">
            <v>Caen</v>
          </cell>
          <cell r="D306" t="str">
            <v>NO</v>
          </cell>
          <cell r="E306" t="str">
            <v>Normandie</v>
          </cell>
          <cell r="F306" t="str">
            <v>FRA</v>
          </cell>
          <cell r="G306" t="str">
            <v>E</v>
          </cell>
          <cell r="H306" t="str">
            <v>FRANO</v>
          </cell>
        </row>
        <row r="307">
          <cell r="C307" t="str">
            <v>Deauville</v>
          </cell>
          <cell r="D307" t="str">
            <v>NO</v>
          </cell>
          <cell r="E307" t="str">
            <v>Normandie</v>
          </cell>
          <cell r="F307" t="str">
            <v>FRA</v>
          </cell>
          <cell r="G307" t="str">
            <v>E</v>
          </cell>
          <cell r="H307" t="str">
            <v>FRANO</v>
          </cell>
        </row>
        <row r="308">
          <cell r="C308" t="str">
            <v>Giverny</v>
          </cell>
          <cell r="D308" t="str">
            <v>NO</v>
          </cell>
          <cell r="E308" t="str">
            <v>Normandie</v>
          </cell>
          <cell r="F308" t="str">
            <v>FRA</v>
          </cell>
          <cell r="G308" t="str">
            <v>E</v>
          </cell>
          <cell r="H308" t="str">
            <v>FRANO</v>
          </cell>
        </row>
        <row r="309">
          <cell r="C309" t="str">
            <v>Honfleur</v>
          </cell>
          <cell r="D309" t="str">
            <v>NO</v>
          </cell>
          <cell r="E309" t="str">
            <v>Normandie</v>
          </cell>
          <cell r="F309" t="str">
            <v>FRA</v>
          </cell>
          <cell r="G309" t="str">
            <v>E</v>
          </cell>
          <cell r="H309" t="str">
            <v>FRANO</v>
          </cell>
        </row>
        <row r="310">
          <cell r="C310" t="str">
            <v>Rouen</v>
          </cell>
          <cell r="D310" t="str">
            <v>NO</v>
          </cell>
          <cell r="E310" t="str">
            <v>Normandie</v>
          </cell>
          <cell r="F310" t="str">
            <v>FRA</v>
          </cell>
          <cell r="G310" t="str">
            <v>E</v>
          </cell>
          <cell r="H310" t="str">
            <v>FRANO</v>
          </cell>
        </row>
        <row r="311">
          <cell r="C311" t="str">
            <v>Vernon</v>
          </cell>
          <cell r="D311" t="str">
            <v>NO</v>
          </cell>
          <cell r="E311" t="str">
            <v>Normandie</v>
          </cell>
          <cell r="F311" t="str">
            <v>FRA</v>
          </cell>
          <cell r="G311" t="str">
            <v>E</v>
          </cell>
          <cell r="H311" t="str">
            <v>FRANO</v>
          </cell>
        </row>
        <row r="312">
          <cell r="C312" t="str">
            <v>Ville-sur-Mer</v>
          </cell>
          <cell r="D312" t="str">
            <v>NO</v>
          </cell>
          <cell r="E312" t="str">
            <v>Normandie</v>
          </cell>
          <cell r="F312" t="str">
            <v>FRA</v>
          </cell>
          <cell r="G312" t="str">
            <v>E</v>
          </cell>
          <cell r="H312" t="str">
            <v>FRANO</v>
          </cell>
        </row>
        <row r="313">
          <cell r="C313" t="str">
            <v>Beauvais</v>
          </cell>
          <cell r="D313" t="str">
            <v>PI</v>
          </cell>
          <cell r="E313" t="str">
            <v>Picardie</v>
          </cell>
          <cell r="F313" t="str">
            <v>FRA</v>
          </cell>
          <cell r="G313" t="str">
            <v>E</v>
          </cell>
          <cell r="H313" t="str">
            <v>FRAPI</v>
          </cell>
        </row>
        <row r="314">
          <cell r="C314" t="str">
            <v>Laon</v>
          </cell>
          <cell r="D314" t="str">
            <v>PI</v>
          </cell>
          <cell r="E314" t="str">
            <v>Picardie</v>
          </cell>
          <cell r="F314" t="str">
            <v>FRA</v>
          </cell>
          <cell r="G314" t="str">
            <v>E</v>
          </cell>
          <cell r="H314" t="str">
            <v>FRAPI</v>
          </cell>
        </row>
        <row r="315">
          <cell r="C315" t="str">
            <v>Montescourt-Lizerolles</v>
          </cell>
          <cell r="D315" t="str">
            <v>PI</v>
          </cell>
          <cell r="E315" t="str">
            <v>Picardie</v>
          </cell>
          <cell r="F315" t="str">
            <v>FRA</v>
          </cell>
          <cell r="G315" t="str">
            <v>E</v>
          </cell>
          <cell r="H315" t="str">
            <v>FRAPI</v>
          </cell>
        </row>
        <row r="316">
          <cell r="C316" t="str">
            <v>Tergnier</v>
          </cell>
          <cell r="D316" t="str">
            <v>PI</v>
          </cell>
          <cell r="E316" t="str">
            <v>Picardie</v>
          </cell>
          <cell r="F316" t="str">
            <v>FRA</v>
          </cell>
          <cell r="G316" t="str">
            <v>E</v>
          </cell>
          <cell r="H316" t="str">
            <v>FRAPI</v>
          </cell>
        </row>
        <row r="317">
          <cell r="C317" t="str">
            <v>Trefcon</v>
          </cell>
          <cell r="D317" t="str">
            <v>PI</v>
          </cell>
          <cell r="E317" t="str">
            <v>Picardie</v>
          </cell>
          <cell r="F317" t="str">
            <v>FRA</v>
          </cell>
          <cell r="G317" t="str">
            <v>E</v>
          </cell>
          <cell r="H317" t="str">
            <v>FRAPI</v>
          </cell>
        </row>
        <row r="318">
          <cell r="C318" t="str">
            <v>Arles</v>
          </cell>
          <cell r="D318" t="str">
            <v>PR</v>
          </cell>
          <cell r="E318" t="str">
            <v>Provence</v>
          </cell>
          <cell r="F318" t="str">
            <v>FRA</v>
          </cell>
          <cell r="G318" t="str">
            <v>E</v>
          </cell>
          <cell r="H318" t="str">
            <v>FRAPR</v>
          </cell>
        </row>
        <row r="319">
          <cell r="C319" t="str">
            <v>Avignon</v>
          </cell>
          <cell r="D319" t="str">
            <v>PR</v>
          </cell>
          <cell r="E319" t="str">
            <v>Provence</v>
          </cell>
          <cell r="F319" t="str">
            <v>FRA</v>
          </cell>
          <cell r="G319" t="str">
            <v>E</v>
          </cell>
          <cell r="H319" t="str">
            <v>FRAPR</v>
          </cell>
        </row>
        <row r="320">
          <cell r="C320" t="str">
            <v>Les Baux-de-Provence</v>
          </cell>
          <cell r="D320" t="str">
            <v>PR</v>
          </cell>
          <cell r="E320" t="str">
            <v>Provence</v>
          </cell>
          <cell r="F320" t="str">
            <v>FRA</v>
          </cell>
          <cell r="G320" t="str">
            <v>E</v>
          </cell>
          <cell r="H320" t="str">
            <v>FRAPR</v>
          </cell>
        </row>
        <row r="321">
          <cell r="C321" t="str">
            <v>Orange</v>
          </cell>
          <cell r="D321" t="str">
            <v>PR</v>
          </cell>
          <cell r="E321" t="str">
            <v>Provence</v>
          </cell>
          <cell r="F321" t="str">
            <v>FRA</v>
          </cell>
          <cell r="G321" t="str">
            <v>E</v>
          </cell>
          <cell r="H321" t="str">
            <v>FRAPR</v>
          </cell>
        </row>
        <row r="322">
          <cell r="C322" t="str">
            <v>Combloux</v>
          </cell>
          <cell r="D322" t="str">
            <v>SA</v>
          </cell>
          <cell r="E322" t="str">
            <v>Savoie</v>
          </cell>
          <cell r="F322" t="str">
            <v>FRA</v>
          </cell>
          <cell r="G322" t="str">
            <v>E</v>
          </cell>
          <cell r="H322" t="str">
            <v>FRASA</v>
          </cell>
        </row>
        <row r="323">
          <cell r="C323" t="str">
            <v>Megeve</v>
          </cell>
          <cell r="D323" t="str">
            <v>SA</v>
          </cell>
          <cell r="E323" t="str">
            <v>Savoie</v>
          </cell>
          <cell r="F323" t="str">
            <v>FRA</v>
          </cell>
          <cell r="G323" t="str">
            <v>E</v>
          </cell>
          <cell r="H323" t="str">
            <v>FRASA</v>
          </cell>
        </row>
        <row r="324">
          <cell r="C324" t="str">
            <v>Athens</v>
          </cell>
          <cell r="D324" t="str">
            <v>-</v>
          </cell>
          <cell r="E324" t="str">
            <v>-</v>
          </cell>
          <cell r="F324" t="str">
            <v>GRC</v>
          </cell>
          <cell r="G324" t="str">
            <v>E</v>
          </cell>
          <cell r="H324" t="str">
            <v>GRC-</v>
          </cell>
        </row>
        <row r="325">
          <cell r="C325" t="str">
            <v>Corfu</v>
          </cell>
          <cell r="D325" t="str">
            <v>-</v>
          </cell>
          <cell r="E325" t="str">
            <v>-</v>
          </cell>
          <cell r="F325" t="str">
            <v>GRC</v>
          </cell>
          <cell r="G325" t="str">
            <v>E</v>
          </cell>
          <cell r="H325" t="str">
            <v>GRC-</v>
          </cell>
        </row>
        <row r="326">
          <cell r="C326" t="str">
            <v>Creta</v>
          </cell>
          <cell r="D326" t="str">
            <v>-</v>
          </cell>
          <cell r="E326" t="str">
            <v>-</v>
          </cell>
          <cell r="F326" t="str">
            <v>GRC</v>
          </cell>
          <cell r="G326" t="str">
            <v>E</v>
          </cell>
          <cell r="H326" t="str">
            <v>GRC-</v>
          </cell>
        </row>
        <row r="327">
          <cell r="C327" t="str">
            <v>Katakolon</v>
          </cell>
          <cell r="D327" t="str">
            <v>-</v>
          </cell>
          <cell r="E327" t="str">
            <v>-</v>
          </cell>
          <cell r="F327" t="str">
            <v>GRC</v>
          </cell>
          <cell r="G327" t="str">
            <v>E</v>
          </cell>
          <cell r="H327" t="str">
            <v>GRC-</v>
          </cell>
        </row>
        <row r="328">
          <cell r="C328" t="str">
            <v>Lindos</v>
          </cell>
          <cell r="D328" t="str">
            <v>-</v>
          </cell>
          <cell r="E328" t="str">
            <v>-</v>
          </cell>
          <cell r="F328" t="str">
            <v>GRC</v>
          </cell>
          <cell r="G328" t="str">
            <v>E</v>
          </cell>
          <cell r="H328" t="str">
            <v>GRC-</v>
          </cell>
        </row>
        <row r="329">
          <cell r="C329" t="str">
            <v>Mikonos</v>
          </cell>
          <cell r="D329" t="str">
            <v>-</v>
          </cell>
          <cell r="E329" t="str">
            <v>-</v>
          </cell>
          <cell r="F329" t="str">
            <v>GRC</v>
          </cell>
          <cell r="G329" t="str">
            <v>E</v>
          </cell>
          <cell r="H329" t="str">
            <v>GRC-</v>
          </cell>
        </row>
        <row r="330">
          <cell r="C330" t="str">
            <v>Olympia</v>
          </cell>
          <cell r="D330" t="str">
            <v>-</v>
          </cell>
          <cell r="E330" t="str">
            <v>-</v>
          </cell>
          <cell r="F330" t="str">
            <v>GRC</v>
          </cell>
          <cell r="G330" t="str">
            <v>E</v>
          </cell>
          <cell r="H330" t="str">
            <v>GRC-</v>
          </cell>
        </row>
        <row r="331">
          <cell r="C331" t="str">
            <v>Rhodes</v>
          </cell>
          <cell r="D331" t="str">
            <v>-</v>
          </cell>
          <cell r="E331" t="str">
            <v>-</v>
          </cell>
          <cell r="F331" t="str">
            <v>GRC</v>
          </cell>
          <cell r="G331" t="str">
            <v>E</v>
          </cell>
          <cell r="H331" t="str">
            <v>GRC-</v>
          </cell>
        </row>
        <row r="332">
          <cell r="C332" t="str">
            <v>Santorini</v>
          </cell>
          <cell r="D332" t="str">
            <v>-</v>
          </cell>
          <cell r="E332" t="str">
            <v>-</v>
          </cell>
          <cell r="F332" t="str">
            <v>GRC</v>
          </cell>
          <cell r="G332" t="str">
            <v>E</v>
          </cell>
          <cell r="H332" t="str">
            <v>GRC-</v>
          </cell>
        </row>
        <row r="333">
          <cell r="C333" t="str">
            <v>Sea GRC</v>
          </cell>
          <cell r="F333" t="str">
            <v>GRC</v>
          </cell>
          <cell r="G333" t="str">
            <v>E</v>
          </cell>
          <cell r="H333" t="str">
            <v>GRC</v>
          </cell>
        </row>
        <row r="334">
          <cell r="C334" t="str">
            <v>Dubrovnik</v>
          </cell>
          <cell r="D334" t="str">
            <v>-</v>
          </cell>
          <cell r="E334" t="str">
            <v>-</v>
          </cell>
          <cell r="F334" t="str">
            <v>HRV</v>
          </cell>
          <cell r="G334" t="str">
            <v>E</v>
          </cell>
          <cell r="H334" t="str">
            <v>HRV-</v>
          </cell>
        </row>
        <row r="335">
          <cell r="C335" t="str">
            <v>Budapest</v>
          </cell>
          <cell r="D335" t="str">
            <v>-</v>
          </cell>
          <cell r="E335" t="str">
            <v>-</v>
          </cell>
          <cell r="F335" t="str">
            <v>HUN</v>
          </cell>
          <cell r="G335" t="str">
            <v>E</v>
          </cell>
          <cell r="H335" t="str">
            <v>HUN-</v>
          </cell>
        </row>
        <row r="336">
          <cell r="C336" t="str">
            <v>Dublin</v>
          </cell>
          <cell r="D336" t="str">
            <v>-</v>
          </cell>
          <cell r="E336" t="str">
            <v>-</v>
          </cell>
          <cell r="F336" t="str">
            <v>IRL</v>
          </cell>
          <cell r="G336" t="str">
            <v>E</v>
          </cell>
          <cell r="H336" t="str">
            <v>IRL-</v>
          </cell>
        </row>
        <row r="337">
          <cell r="C337" t="str">
            <v>Reykjavik</v>
          </cell>
          <cell r="D337" t="str">
            <v>-</v>
          </cell>
          <cell r="E337" t="str">
            <v>-</v>
          </cell>
          <cell r="F337" t="str">
            <v>ISL</v>
          </cell>
          <cell r="G337" t="str">
            <v>E</v>
          </cell>
          <cell r="H337" t="str">
            <v>ISL-</v>
          </cell>
        </row>
        <row r="338">
          <cell r="C338" t="str">
            <v>BUS ITA</v>
          </cell>
          <cell r="D338" t="str">
            <v>-</v>
          </cell>
          <cell r="F338" t="str">
            <v>ITA</v>
          </cell>
          <cell r="G338" t="str">
            <v>E</v>
          </cell>
          <cell r="H338" t="str">
            <v>ITA-</v>
          </cell>
        </row>
        <row r="339">
          <cell r="C339" t="str">
            <v>Sea ITA</v>
          </cell>
          <cell r="D339" t="str">
            <v>-</v>
          </cell>
          <cell r="F339" t="str">
            <v>ITA</v>
          </cell>
          <cell r="G339" t="str">
            <v>E</v>
          </cell>
          <cell r="H339" t="str">
            <v>ITA-</v>
          </cell>
        </row>
        <row r="340">
          <cell r="C340" t="str">
            <v>Train ITA</v>
          </cell>
          <cell r="D340" t="str">
            <v>-</v>
          </cell>
          <cell r="F340" t="str">
            <v>ITA</v>
          </cell>
          <cell r="G340" t="str">
            <v>E</v>
          </cell>
          <cell r="H340" t="str">
            <v>ITA-</v>
          </cell>
        </row>
        <row r="341">
          <cell r="C341" t="str">
            <v>Sant'Antimo</v>
          </cell>
          <cell r="D341" t="str">
            <v>CA</v>
          </cell>
          <cell r="E341" t="str">
            <v>Calabria</v>
          </cell>
          <cell r="F341" t="str">
            <v>ITA</v>
          </cell>
          <cell r="G341" t="str">
            <v>E</v>
          </cell>
          <cell r="H341" t="str">
            <v>ITACA</v>
          </cell>
        </row>
        <row r="342">
          <cell r="C342" t="str">
            <v>Pompeii</v>
          </cell>
          <cell r="D342" t="str">
            <v>CM</v>
          </cell>
          <cell r="E342" t="str">
            <v>Campania</v>
          </cell>
          <cell r="F342" t="str">
            <v>ITA</v>
          </cell>
          <cell r="G342" t="str">
            <v>E</v>
          </cell>
          <cell r="H342" t="str">
            <v>ITACM</v>
          </cell>
        </row>
        <row r="343">
          <cell r="C343" t="str">
            <v>Sorrento</v>
          </cell>
          <cell r="D343" t="str">
            <v>CM</v>
          </cell>
          <cell r="E343" t="str">
            <v>Campania</v>
          </cell>
          <cell r="F343" t="str">
            <v>ITA</v>
          </cell>
          <cell r="G343" t="str">
            <v>E</v>
          </cell>
          <cell r="H343" t="str">
            <v>ITACM</v>
          </cell>
        </row>
        <row r="344">
          <cell r="C344" t="str">
            <v>Bercetto</v>
          </cell>
          <cell r="D344" t="str">
            <v>ER</v>
          </cell>
          <cell r="E344" t="str">
            <v>Emilia-Romagna</v>
          </cell>
          <cell r="F344" t="str">
            <v>ITA</v>
          </cell>
          <cell r="G344" t="str">
            <v>E</v>
          </cell>
          <cell r="H344" t="str">
            <v>ITAER</v>
          </cell>
        </row>
        <row r="345">
          <cell r="C345" t="str">
            <v>Cassio</v>
          </cell>
          <cell r="D345" t="str">
            <v>ER</v>
          </cell>
          <cell r="E345" t="str">
            <v>Emilia-Romagna</v>
          </cell>
          <cell r="F345" t="str">
            <v>ITA</v>
          </cell>
          <cell r="G345" t="str">
            <v>E</v>
          </cell>
          <cell r="H345" t="str">
            <v>ITAER</v>
          </cell>
        </row>
        <row r="346">
          <cell r="C346" t="str">
            <v>Costamezzana</v>
          </cell>
          <cell r="D346" t="str">
            <v>ER</v>
          </cell>
          <cell r="E346" t="str">
            <v>Emilia-Romagna</v>
          </cell>
          <cell r="F346" t="str">
            <v>ITA</v>
          </cell>
          <cell r="G346" t="str">
            <v>E</v>
          </cell>
          <cell r="H346" t="str">
            <v>ITAER</v>
          </cell>
        </row>
        <row r="347">
          <cell r="C347" t="str">
            <v>Fidenza</v>
          </cell>
          <cell r="D347" t="str">
            <v>ER</v>
          </cell>
          <cell r="E347" t="str">
            <v>Emilia-Romagna</v>
          </cell>
          <cell r="F347" t="str">
            <v>ITA</v>
          </cell>
          <cell r="G347" t="str">
            <v>E</v>
          </cell>
          <cell r="H347" t="str">
            <v>ITAER</v>
          </cell>
        </row>
        <row r="348">
          <cell r="C348" t="str">
            <v>Fiorenzuola</v>
          </cell>
          <cell r="D348" t="str">
            <v>ER</v>
          </cell>
          <cell r="E348" t="str">
            <v>Emilia-Romagna</v>
          </cell>
          <cell r="F348" t="str">
            <v>ITA</v>
          </cell>
          <cell r="G348" t="str">
            <v>E</v>
          </cell>
          <cell r="H348" t="str">
            <v>ITAER</v>
          </cell>
        </row>
        <row r="349">
          <cell r="C349" t="str">
            <v>Fornovo di Taro</v>
          </cell>
          <cell r="D349" t="str">
            <v>ER</v>
          </cell>
          <cell r="E349" t="str">
            <v>Emilia-Romagna</v>
          </cell>
          <cell r="F349" t="str">
            <v>ITA</v>
          </cell>
          <cell r="G349" t="str">
            <v>E</v>
          </cell>
          <cell r="H349" t="str">
            <v>ITAER</v>
          </cell>
        </row>
        <row r="350">
          <cell r="C350" t="str">
            <v>Medesano</v>
          </cell>
          <cell r="D350" t="str">
            <v>ER</v>
          </cell>
          <cell r="E350" t="str">
            <v>Emilia-Romagna</v>
          </cell>
          <cell r="F350" t="str">
            <v>ITA</v>
          </cell>
          <cell r="G350" t="str">
            <v>E</v>
          </cell>
          <cell r="H350" t="str">
            <v>ITAER</v>
          </cell>
        </row>
        <row r="351">
          <cell r="C351" t="str">
            <v>Montelungo</v>
          </cell>
          <cell r="D351" t="str">
            <v>ER</v>
          </cell>
          <cell r="E351" t="str">
            <v>Emilia-Romagna</v>
          </cell>
          <cell r="F351" t="str">
            <v>ITA</v>
          </cell>
          <cell r="G351" t="str">
            <v>E</v>
          </cell>
          <cell r="H351" t="str">
            <v>ITAER</v>
          </cell>
        </row>
        <row r="352">
          <cell r="C352" t="str">
            <v>Passo della Cisa</v>
          </cell>
          <cell r="D352" t="str">
            <v>ER</v>
          </cell>
          <cell r="E352" t="str">
            <v>Emilia-Romagna</v>
          </cell>
          <cell r="F352" t="str">
            <v>ITA</v>
          </cell>
          <cell r="G352" t="str">
            <v>E</v>
          </cell>
          <cell r="H352" t="str">
            <v>ITAER</v>
          </cell>
        </row>
        <row r="353">
          <cell r="C353" t="str">
            <v>Piacenza</v>
          </cell>
          <cell r="D353" t="str">
            <v>ER</v>
          </cell>
          <cell r="E353" t="str">
            <v>Emilia-Romagna</v>
          </cell>
          <cell r="F353" t="str">
            <v>ITA</v>
          </cell>
          <cell r="G353" t="str">
            <v>E</v>
          </cell>
          <cell r="H353" t="str">
            <v>ITAER</v>
          </cell>
        </row>
        <row r="354">
          <cell r="C354" t="str">
            <v>Pontenure</v>
          </cell>
          <cell r="D354" t="str">
            <v>ER</v>
          </cell>
          <cell r="E354" t="str">
            <v>Emilia-Romagna</v>
          </cell>
          <cell r="F354" t="str">
            <v>ITA</v>
          </cell>
          <cell r="G354" t="str">
            <v>E</v>
          </cell>
          <cell r="H354" t="str">
            <v>ITAER</v>
          </cell>
        </row>
        <row r="355">
          <cell r="C355" t="str">
            <v>Acquapendente</v>
          </cell>
          <cell r="D355" t="str">
            <v>LA</v>
          </cell>
          <cell r="E355" t="str">
            <v>Lazio</v>
          </cell>
          <cell r="F355" t="str">
            <v>ITA</v>
          </cell>
          <cell r="G355" t="str">
            <v>E</v>
          </cell>
          <cell r="H355" t="str">
            <v>ITALA</v>
          </cell>
        </row>
        <row r="356">
          <cell r="C356" t="str">
            <v>Bolsena</v>
          </cell>
          <cell r="D356" t="str">
            <v>LA</v>
          </cell>
          <cell r="E356" t="str">
            <v>Lazio</v>
          </cell>
          <cell r="F356" t="str">
            <v>ITA</v>
          </cell>
          <cell r="G356" t="str">
            <v>E</v>
          </cell>
          <cell r="H356" t="str">
            <v>ITALA</v>
          </cell>
        </row>
        <row r="357">
          <cell r="C357" t="str">
            <v>La Storta</v>
          </cell>
          <cell r="D357" t="str">
            <v>LA</v>
          </cell>
          <cell r="E357" t="str">
            <v>Lazio</v>
          </cell>
          <cell r="F357" t="str">
            <v>ITA</v>
          </cell>
          <cell r="G357" t="str">
            <v>E</v>
          </cell>
          <cell r="H357" t="str">
            <v>ITALA</v>
          </cell>
        </row>
        <row r="358">
          <cell r="C358" t="str">
            <v>Montefiascone</v>
          </cell>
          <cell r="D358" t="str">
            <v>LA</v>
          </cell>
          <cell r="E358" t="str">
            <v>Lazio</v>
          </cell>
          <cell r="F358" t="str">
            <v>ITA</v>
          </cell>
          <cell r="G358" t="str">
            <v>E</v>
          </cell>
          <cell r="H358" t="str">
            <v>ITALA</v>
          </cell>
        </row>
        <row r="359">
          <cell r="C359" t="str">
            <v>Orte</v>
          </cell>
          <cell r="D359" t="str">
            <v>LA</v>
          </cell>
          <cell r="E359" t="str">
            <v>Lazio</v>
          </cell>
          <cell r="F359" t="str">
            <v>ITA</v>
          </cell>
          <cell r="G359" t="str">
            <v>E</v>
          </cell>
          <cell r="H359" t="str">
            <v>ITALA</v>
          </cell>
        </row>
        <row r="360">
          <cell r="C360" t="str">
            <v>Rome</v>
          </cell>
          <cell r="D360" t="str">
            <v>LA</v>
          </cell>
          <cell r="E360" t="str">
            <v>Lazio</v>
          </cell>
          <cell r="F360" t="str">
            <v>ITA</v>
          </cell>
          <cell r="G360" t="str">
            <v>E</v>
          </cell>
          <cell r="H360" t="str">
            <v>ITALA</v>
          </cell>
        </row>
        <row r="361">
          <cell r="C361" t="str">
            <v>Ronciglione</v>
          </cell>
          <cell r="D361" t="str">
            <v>LA</v>
          </cell>
          <cell r="E361" t="str">
            <v>Lazio</v>
          </cell>
          <cell r="F361" t="str">
            <v>ITA</v>
          </cell>
          <cell r="G361" t="str">
            <v>E</v>
          </cell>
          <cell r="H361" t="str">
            <v>ITALA</v>
          </cell>
        </row>
        <row r="362">
          <cell r="C362" t="str">
            <v>San Lorenzo Nuovo</v>
          </cell>
          <cell r="D362" t="str">
            <v>LA</v>
          </cell>
          <cell r="E362" t="str">
            <v>Lazio</v>
          </cell>
          <cell r="F362" t="str">
            <v>ITA</v>
          </cell>
          <cell r="G362" t="str">
            <v>E</v>
          </cell>
          <cell r="H362" t="str">
            <v>ITALA</v>
          </cell>
        </row>
        <row r="363">
          <cell r="C363" t="str">
            <v>Sutri</v>
          </cell>
          <cell r="D363" t="str">
            <v>LA</v>
          </cell>
          <cell r="E363" t="str">
            <v>Lazio</v>
          </cell>
          <cell r="F363" t="str">
            <v>ITA</v>
          </cell>
          <cell r="G363" t="str">
            <v>E</v>
          </cell>
          <cell r="H363" t="str">
            <v>ITALA</v>
          </cell>
        </row>
        <row r="364">
          <cell r="C364" t="str">
            <v>Viterbo</v>
          </cell>
          <cell r="D364" t="str">
            <v>LA</v>
          </cell>
          <cell r="E364" t="str">
            <v>Lazio</v>
          </cell>
          <cell r="F364" t="str">
            <v>ITA</v>
          </cell>
          <cell r="G364" t="str">
            <v>E</v>
          </cell>
          <cell r="H364" t="str">
            <v>ITALA</v>
          </cell>
        </row>
        <row r="365">
          <cell r="C365" t="str">
            <v>Luni</v>
          </cell>
          <cell r="D365" t="str">
            <v>LI</v>
          </cell>
          <cell r="E365" t="str">
            <v>Liguria</v>
          </cell>
          <cell r="F365" t="str">
            <v>ITA</v>
          </cell>
          <cell r="G365" t="str">
            <v>E</v>
          </cell>
          <cell r="H365" t="str">
            <v>ITALI</v>
          </cell>
        </row>
        <row r="366">
          <cell r="C366" t="str">
            <v>Sarzana</v>
          </cell>
          <cell r="D366" t="str">
            <v>LI</v>
          </cell>
          <cell r="E366" t="str">
            <v>Liguria</v>
          </cell>
          <cell r="F366" t="str">
            <v>ITA</v>
          </cell>
          <cell r="G366" t="str">
            <v>E</v>
          </cell>
          <cell r="H366" t="str">
            <v>ITALI</v>
          </cell>
        </row>
        <row r="367">
          <cell r="C367" t="str">
            <v>Garlasco</v>
          </cell>
          <cell r="D367" t="str">
            <v>LO</v>
          </cell>
          <cell r="E367" t="str">
            <v>Lombardia</v>
          </cell>
          <cell r="F367" t="str">
            <v>ITA</v>
          </cell>
          <cell r="G367" t="str">
            <v>E</v>
          </cell>
          <cell r="H367" t="str">
            <v>ITALO</v>
          </cell>
        </row>
        <row r="368">
          <cell r="C368" t="str">
            <v>Milan</v>
          </cell>
          <cell r="D368" t="str">
            <v>LO</v>
          </cell>
          <cell r="E368" t="str">
            <v>Lombardia</v>
          </cell>
          <cell r="F368" t="str">
            <v>ITA</v>
          </cell>
          <cell r="G368" t="str">
            <v>E</v>
          </cell>
          <cell r="H368" t="str">
            <v>ITALO</v>
          </cell>
        </row>
        <row r="369">
          <cell r="C369" t="str">
            <v>Mortara</v>
          </cell>
          <cell r="D369" t="str">
            <v>LO</v>
          </cell>
          <cell r="E369" t="str">
            <v>Lombardia</v>
          </cell>
          <cell r="F369" t="str">
            <v>ITA</v>
          </cell>
          <cell r="G369" t="str">
            <v>E</v>
          </cell>
          <cell r="H369" t="str">
            <v>ITALO</v>
          </cell>
        </row>
        <row r="370">
          <cell r="C370" t="str">
            <v>Orio Litta</v>
          </cell>
          <cell r="D370" t="str">
            <v>LO</v>
          </cell>
          <cell r="E370" t="str">
            <v>Lombardia</v>
          </cell>
          <cell r="F370" t="str">
            <v>ITA</v>
          </cell>
          <cell r="G370" t="str">
            <v>E</v>
          </cell>
          <cell r="H370" t="str">
            <v>ITALO</v>
          </cell>
        </row>
        <row r="371">
          <cell r="C371" t="str">
            <v>Pavia</v>
          </cell>
          <cell r="D371" t="str">
            <v>LO</v>
          </cell>
          <cell r="E371" t="str">
            <v>Lombardia</v>
          </cell>
          <cell r="F371" t="str">
            <v>ITA</v>
          </cell>
          <cell r="G371" t="str">
            <v>E</v>
          </cell>
          <cell r="H371" t="str">
            <v>ITALO</v>
          </cell>
        </row>
        <row r="372">
          <cell r="C372" t="str">
            <v>Robbio</v>
          </cell>
          <cell r="D372" t="str">
            <v>LO</v>
          </cell>
          <cell r="E372" t="str">
            <v>Lombardia</v>
          </cell>
          <cell r="F372" t="str">
            <v>ITA</v>
          </cell>
          <cell r="G372" t="str">
            <v>E</v>
          </cell>
          <cell r="H372" t="str">
            <v>ITALO</v>
          </cell>
        </row>
        <row r="373">
          <cell r="C373" t="str">
            <v>Santa Cristina</v>
          </cell>
          <cell r="D373" t="str">
            <v>LO</v>
          </cell>
          <cell r="E373" t="str">
            <v>Lombardia</v>
          </cell>
          <cell r="F373" t="str">
            <v>ITA</v>
          </cell>
          <cell r="G373" t="str">
            <v>E</v>
          </cell>
          <cell r="H373" t="str">
            <v>ITALO</v>
          </cell>
        </row>
        <row r="374">
          <cell r="C374" t="str">
            <v>Senna Lodigiana</v>
          </cell>
          <cell r="D374" t="str">
            <v>LO</v>
          </cell>
          <cell r="E374" t="str">
            <v>Lombardia</v>
          </cell>
          <cell r="F374" t="str">
            <v>ITA</v>
          </cell>
          <cell r="G374" t="str">
            <v>E</v>
          </cell>
          <cell r="H374" t="str">
            <v>ITALO</v>
          </cell>
        </row>
        <row r="375">
          <cell r="C375" t="str">
            <v>Vilarejo vizinho</v>
          </cell>
          <cell r="D375" t="str">
            <v>LO</v>
          </cell>
          <cell r="E375" t="str">
            <v>Lombardia</v>
          </cell>
          <cell r="F375" t="str">
            <v>ITA</v>
          </cell>
          <cell r="G375" t="str">
            <v>E</v>
          </cell>
          <cell r="H375" t="str">
            <v>ITALO</v>
          </cell>
        </row>
        <row r="376">
          <cell r="C376" t="str">
            <v>Ivrea</v>
          </cell>
          <cell r="D376" t="str">
            <v>PI</v>
          </cell>
          <cell r="E376" t="str">
            <v>Piemonte</v>
          </cell>
          <cell r="F376" t="str">
            <v>ITA</v>
          </cell>
          <cell r="G376" t="str">
            <v>E</v>
          </cell>
          <cell r="H376" t="str">
            <v>ITAPI</v>
          </cell>
        </row>
        <row r="377">
          <cell r="C377" t="str">
            <v>San Germano</v>
          </cell>
          <cell r="D377" t="str">
            <v>PI</v>
          </cell>
          <cell r="E377" t="str">
            <v>Piemonte</v>
          </cell>
          <cell r="F377" t="str">
            <v>ITA</v>
          </cell>
          <cell r="G377" t="str">
            <v>E</v>
          </cell>
          <cell r="H377" t="str">
            <v>ITAPI</v>
          </cell>
        </row>
        <row r="378">
          <cell r="C378" t="str">
            <v>Vercelli</v>
          </cell>
          <cell r="D378" t="str">
            <v>PI</v>
          </cell>
          <cell r="E378" t="str">
            <v>Piemonte</v>
          </cell>
          <cell r="F378" t="str">
            <v>ITA</v>
          </cell>
          <cell r="G378" t="str">
            <v>E</v>
          </cell>
          <cell r="H378" t="str">
            <v>ITAPI</v>
          </cell>
        </row>
        <row r="379">
          <cell r="C379" t="str">
            <v>Bari</v>
          </cell>
          <cell r="D379" t="str">
            <v>PU</v>
          </cell>
          <cell r="E379" t="str">
            <v>Puglia</v>
          </cell>
          <cell r="F379" t="str">
            <v>ITA</v>
          </cell>
          <cell r="G379" t="str">
            <v>E</v>
          </cell>
          <cell r="H379" t="str">
            <v>ITAPU</v>
          </cell>
        </row>
        <row r="380">
          <cell r="C380" t="str">
            <v>Abbadia San Salvatore</v>
          </cell>
          <cell r="D380" t="str">
            <v>TO</v>
          </cell>
          <cell r="E380" t="str">
            <v>Toscana</v>
          </cell>
          <cell r="F380" t="str">
            <v>ITA</v>
          </cell>
          <cell r="G380" t="str">
            <v>E</v>
          </cell>
          <cell r="H380" t="str">
            <v>ITATO</v>
          </cell>
        </row>
        <row r="381">
          <cell r="C381" t="str">
            <v>Aulla</v>
          </cell>
          <cell r="D381" t="str">
            <v>TO</v>
          </cell>
          <cell r="E381" t="str">
            <v>Toscana</v>
          </cell>
          <cell r="F381" t="str">
            <v>ITA</v>
          </cell>
          <cell r="G381" t="str">
            <v>E</v>
          </cell>
          <cell r="H381" t="str">
            <v>ITATO</v>
          </cell>
        </row>
        <row r="382">
          <cell r="C382" t="str">
            <v>Buonconvento</v>
          </cell>
          <cell r="D382" t="str">
            <v>TO</v>
          </cell>
          <cell r="E382" t="str">
            <v>Toscana</v>
          </cell>
          <cell r="F382" t="str">
            <v>ITA</v>
          </cell>
          <cell r="G382" t="str">
            <v>E</v>
          </cell>
          <cell r="H382" t="str">
            <v>ITATO</v>
          </cell>
        </row>
        <row r="383">
          <cell r="C383" t="str">
            <v>Carrara</v>
          </cell>
          <cell r="D383" t="str">
            <v>TO</v>
          </cell>
          <cell r="E383" t="str">
            <v>Toscana</v>
          </cell>
          <cell r="F383" t="str">
            <v>ITA</v>
          </cell>
          <cell r="G383" t="str">
            <v>E</v>
          </cell>
          <cell r="H383" t="str">
            <v>ITATO</v>
          </cell>
        </row>
        <row r="384">
          <cell r="C384" t="str">
            <v>Firenze</v>
          </cell>
          <cell r="D384" t="str">
            <v>TO</v>
          </cell>
          <cell r="E384" t="str">
            <v>Toscana</v>
          </cell>
          <cell r="F384" t="str">
            <v>ITA</v>
          </cell>
          <cell r="G384" t="str">
            <v>E</v>
          </cell>
          <cell r="H384" t="str">
            <v>ITATO</v>
          </cell>
        </row>
        <row r="385">
          <cell r="C385" t="str">
            <v>Grosseto</v>
          </cell>
          <cell r="D385" t="str">
            <v>TO</v>
          </cell>
          <cell r="E385" t="str">
            <v>Toscana</v>
          </cell>
          <cell r="F385" t="str">
            <v>ITA</v>
          </cell>
          <cell r="G385" t="str">
            <v>E</v>
          </cell>
          <cell r="H385" t="str">
            <v>ITATO</v>
          </cell>
        </row>
        <row r="386">
          <cell r="C386" t="str">
            <v>Isola d'Arbia</v>
          </cell>
          <cell r="D386" t="str">
            <v>TO</v>
          </cell>
          <cell r="E386" t="str">
            <v>Toscana</v>
          </cell>
          <cell r="F386" t="str">
            <v>ITA</v>
          </cell>
          <cell r="G386" t="str">
            <v>E</v>
          </cell>
          <cell r="H386" t="str">
            <v>ITATO</v>
          </cell>
        </row>
        <row r="387">
          <cell r="C387" t="str">
            <v>Litoral Marina de Massa</v>
          </cell>
          <cell r="D387" t="str">
            <v>TO</v>
          </cell>
          <cell r="E387" t="str">
            <v>Toscana</v>
          </cell>
          <cell r="F387" t="str">
            <v>ITA</v>
          </cell>
          <cell r="G387" t="str">
            <v>E</v>
          </cell>
          <cell r="H387" t="str">
            <v>ITATO</v>
          </cell>
        </row>
        <row r="388">
          <cell r="C388" t="str">
            <v>Lucca</v>
          </cell>
          <cell r="D388" t="str">
            <v>TO</v>
          </cell>
          <cell r="E388" t="str">
            <v>Toscana</v>
          </cell>
          <cell r="F388" t="str">
            <v>ITA</v>
          </cell>
          <cell r="G388" t="str">
            <v>E</v>
          </cell>
          <cell r="H388" t="str">
            <v>ITATO</v>
          </cell>
        </row>
        <row r="389">
          <cell r="C389" t="str">
            <v>Magliano</v>
          </cell>
          <cell r="D389" t="str">
            <v>TO</v>
          </cell>
          <cell r="E389" t="str">
            <v>Toscana</v>
          </cell>
          <cell r="F389" t="str">
            <v>ITA</v>
          </cell>
          <cell r="G389" t="str">
            <v>E</v>
          </cell>
          <cell r="H389" t="str">
            <v>ITATO</v>
          </cell>
        </row>
        <row r="390">
          <cell r="C390" t="str">
            <v>Massa</v>
          </cell>
          <cell r="D390" t="str">
            <v>TO</v>
          </cell>
          <cell r="E390" t="str">
            <v>Toscana</v>
          </cell>
          <cell r="F390" t="str">
            <v>ITA</v>
          </cell>
          <cell r="G390" t="str">
            <v>E</v>
          </cell>
          <cell r="H390" t="str">
            <v>ITATO</v>
          </cell>
        </row>
        <row r="391">
          <cell r="C391" t="str">
            <v>Montalcino</v>
          </cell>
          <cell r="D391" t="str">
            <v>TO</v>
          </cell>
          <cell r="E391" t="str">
            <v>Toscana</v>
          </cell>
          <cell r="F391" t="str">
            <v>ITA</v>
          </cell>
          <cell r="G391" t="str">
            <v>E</v>
          </cell>
          <cell r="H391" t="str">
            <v>ITATO</v>
          </cell>
        </row>
        <row r="392">
          <cell r="C392" t="str">
            <v>Montecatini Terme</v>
          </cell>
          <cell r="D392" t="str">
            <v>TO</v>
          </cell>
          <cell r="E392" t="str">
            <v>Toscana</v>
          </cell>
          <cell r="F392" t="str">
            <v>ITA</v>
          </cell>
          <cell r="G392" t="str">
            <v>E</v>
          </cell>
          <cell r="H392" t="str">
            <v>ITATO</v>
          </cell>
        </row>
        <row r="393">
          <cell r="C393" t="str">
            <v>Monteroni d'Arbia</v>
          </cell>
          <cell r="D393" t="str">
            <v>TO</v>
          </cell>
          <cell r="E393" t="str">
            <v>Toscana</v>
          </cell>
          <cell r="F393" t="str">
            <v>ITA</v>
          </cell>
          <cell r="G393" t="str">
            <v>E</v>
          </cell>
          <cell r="H393" t="str">
            <v>ITATO</v>
          </cell>
        </row>
        <row r="394">
          <cell r="C394" t="str">
            <v>Pietrasanta</v>
          </cell>
          <cell r="D394" t="str">
            <v>TO</v>
          </cell>
          <cell r="E394" t="str">
            <v>Toscana</v>
          </cell>
          <cell r="F394" t="str">
            <v>ITA</v>
          </cell>
          <cell r="G394" t="str">
            <v>E</v>
          </cell>
          <cell r="H394" t="str">
            <v>ITATO</v>
          </cell>
        </row>
        <row r="395">
          <cell r="C395" t="str">
            <v>Pisa</v>
          </cell>
          <cell r="D395" t="str">
            <v>TO</v>
          </cell>
          <cell r="E395" t="str">
            <v>Toscana</v>
          </cell>
          <cell r="F395" t="str">
            <v>ITA</v>
          </cell>
          <cell r="G395" t="str">
            <v>E</v>
          </cell>
          <cell r="H395" t="str">
            <v>ITATO</v>
          </cell>
        </row>
        <row r="396">
          <cell r="C396" t="str">
            <v>Pontremoli</v>
          </cell>
          <cell r="D396" t="str">
            <v>TO</v>
          </cell>
          <cell r="E396" t="str">
            <v>Toscana</v>
          </cell>
          <cell r="F396" t="str">
            <v>ITA</v>
          </cell>
          <cell r="G396" t="str">
            <v>E</v>
          </cell>
          <cell r="H396" t="str">
            <v>ITATO</v>
          </cell>
        </row>
        <row r="397">
          <cell r="C397" t="str">
            <v>Prato</v>
          </cell>
          <cell r="D397" t="str">
            <v>TO</v>
          </cell>
          <cell r="E397" t="str">
            <v>Toscana</v>
          </cell>
          <cell r="F397" t="str">
            <v>ITA</v>
          </cell>
          <cell r="G397" t="str">
            <v>E</v>
          </cell>
          <cell r="H397" t="str">
            <v>ITATO</v>
          </cell>
        </row>
        <row r="398">
          <cell r="C398" t="str">
            <v>San Gimignano</v>
          </cell>
          <cell r="D398" t="str">
            <v>TO</v>
          </cell>
          <cell r="E398" t="str">
            <v>Toscana</v>
          </cell>
          <cell r="F398" t="str">
            <v>ITA</v>
          </cell>
          <cell r="G398" t="str">
            <v>E</v>
          </cell>
          <cell r="H398" t="str">
            <v>ITATO</v>
          </cell>
        </row>
        <row r="399">
          <cell r="C399" t="str">
            <v>San Miniato Alto</v>
          </cell>
          <cell r="D399" t="str">
            <v>TO</v>
          </cell>
          <cell r="E399" t="str">
            <v>Toscana</v>
          </cell>
          <cell r="F399" t="str">
            <v>ITA</v>
          </cell>
          <cell r="G399" t="str">
            <v>E</v>
          </cell>
          <cell r="H399" t="str">
            <v>ITATO</v>
          </cell>
        </row>
        <row r="400">
          <cell r="C400" t="str">
            <v>San Miniato Basso</v>
          </cell>
          <cell r="D400" t="str">
            <v>TO</v>
          </cell>
          <cell r="E400" t="str">
            <v>Toscana</v>
          </cell>
          <cell r="F400" t="str">
            <v>ITA</v>
          </cell>
          <cell r="G400" t="str">
            <v>E</v>
          </cell>
          <cell r="H400" t="str">
            <v>ITATO</v>
          </cell>
        </row>
        <row r="401">
          <cell r="C401" t="str">
            <v>Siena</v>
          </cell>
          <cell r="D401" t="str">
            <v>TO</v>
          </cell>
          <cell r="E401" t="str">
            <v>Toscana</v>
          </cell>
          <cell r="F401" t="str">
            <v>ITA</v>
          </cell>
          <cell r="G401" t="str">
            <v>E</v>
          </cell>
          <cell r="H401" t="str">
            <v>ITATO</v>
          </cell>
        </row>
        <row r="402">
          <cell r="C402" t="str">
            <v>Viareggio</v>
          </cell>
          <cell r="D402" t="str">
            <v>TO</v>
          </cell>
          <cell r="E402" t="str">
            <v>Toscana</v>
          </cell>
          <cell r="F402" t="str">
            <v>ITA</v>
          </cell>
          <cell r="G402" t="str">
            <v>E</v>
          </cell>
          <cell r="H402" t="str">
            <v>ITATO</v>
          </cell>
        </row>
        <row r="403">
          <cell r="C403" t="str">
            <v>Villafranca Lunigiana</v>
          </cell>
          <cell r="D403" t="str">
            <v>TO</v>
          </cell>
          <cell r="E403" t="str">
            <v>Toscana</v>
          </cell>
          <cell r="F403" t="str">
            <v>ITA</v>
          </cell>
          <cell r="G403" t="str">
            <v>E</v>
          </cell>
          <cell r="H403" t="str">
            <v>ITATO</v>
          </cell>
        </row>
        <row r="404">
          <cell r="C404" t="str">
            <v>Orvieto</v>
          </cell>
          <cell r="D404" t="str">
            <v>UM</v>
          </cell>
          <cell r="E404" t="str">
            <v>Umbria</v>
          </cell>
          <cell r="F404" t="str">
            <v>ITA</v>
          </cell>
          <cell r="G404" t="str">
            <v>E</v>
          </cell>
          <cell r="H404" t="str">
            <v>ITAUM</v>
          </cell>
        </row>
        <row r="405">
          <cell r="C405" t="str">
            <v>Aosta</v>
          </cell>
          <cell r="D405" t="str">
            <v>VA</v>
          </cell>
          <cell r="E405" t="str">
            <v>Valle d’Aosta</v>
          </cell>
          <cell r="F405" t="str">
            <v>ITA</v>
          </cell>
          <cell r="G405" t="str">
            <v>E</v>
          </cell>
          <cell r="H405" t="str">
            <v>ITAVA</v>
          </cell>
        </row>
        <row r="406">
          <cell r="C406" t="str">
            <v>Bourg-Montjovet</v>
          </cell>
          <cell r="D406" t="str">
            <v>VA</v>
          </cell>
          <cell r="E406" t="str">
            <v>Valle d’Aosta</v>
          </cell>
          <cell r="F406" t="str">
            <v>ITA</v>
          </cell>
          <cell r="G406" t="str">
            <v>E</v>
          </cell>
          <cell r="H406" t="str">
            <v>ITAVA</v>
          </cell>
        </row>
        <row r="407">
          <cell r="C407" t="str">
            <v>Chatillon</v>
          </cell>
          <cell r="D407" t="str">
            <v>VA</v>
          </cell>
          <cell r="E407" t="str">
            <v>Valle d’Aosta</v>
          </cell>
          <cell r="F407" t="str">
            <v>ITA</v>
          </cell>
          <cell r="G407" t="str">
            <v>E</v>
          </cell>
          <cell r="H407" t="str">
            <v>ITAVA</v>
          </cell>
        </row>
        <row r="408">
          <cell r="C408" t="str">
            <v>Etroubles</v>
          </cell>
          <cell r="D408" t="str">
            <v>VA</v>
          </cell>
          <cell r="E408" t="str">
            <v>Valle d’Aosta</v>
          </cell>
          <cell r="F408" t="str">
            <v>ITA</v>
          </cell>
          <cell r="G408" t="str">
            <v>E</v>
          </cell>
          <cell r="H408" t="str">
            <v>ITAVA</v>
          </cell>
        </row>
        <row r="409">
          <cell r="C409" t="str">
            <v>Montjovet</v>
          </cell>
          <cell r="D409" t="str">
            <v>VA</v>
          </cell>
          <cell r="E409" t="str">
            <v>Valle d’Aosta</v>
          </cell>
          <cell r="F409" t="str">
            <v>ITA</v>
          </cell>
          <cell r="G409" t="str">
            <v>E</v>
          </cell>
          <cell r="H409" t="str">
            <v>ITAVA</v>
          </cell>
        </row>
        <row r="410">
          <cell r="C410" t="str">
            <v>Pont-Saint-Martin</v>
          </cell>
          <cell r="D410" t="str">
            <v>VA</v>
          </cell>
          <cell r="E410" t="str">
            <v>Valle d’Aosta</v>
          </cell>
          <cell r="F410" t="str">
            <v>ITA</v>
          </cell>
          <cell r="G410" t="str">
            <v>E</v>
          </cell>
          <cell r="H410" t="str">
            <v>ITAVA</v>
          </cell>
        </row>
        <row r="411">
          <cell r="C411" t="str">
            <v>Saint-Vincent</v>
          </cell>
          <cell r="D411" t="str">
            <v>VA</v>
          </cell>
          <cell r="E411" t="str">
            <v>Valle d’Aosta</v>
          </cell>
          <cell r="F411" t="str">
            <v>ITA</v>
          </cell>
          <cell r="G411" t="str">
            <v>E</v>
          </cell>
          <cell r="H411" t="str">
            <v>ITAVA</v>
          </cell>
        </row>
        <row r="412">
          <cell r="C412" t="str">
            <v>Venice</v>
          </cell>
          <cell r="D412" t="str">
            <v>VE</v>
          </cell>
          <cell r="E412" t="str">
            <v>Veneto</v>
          </cell>
          <cell r="F412" t="str">
            <v>ITA</v>
          </cell>
          <cell r="G412" t="str">
            <v>E</v>
          </cell>
          <cell r="H412" t="str">
            <v>ITAVE</v>
          </cell>
        </row>
        <row r="413">
          <cell r="C413" t="str">
            <v>Verona</v>
          </cell>
          <cell r="D413" t="str">
            <v>VE</v>
          </cell>
          <cell r="E413" t="str">
            <v>Veneto</v>
          </cell>
          <cell r="F413" t="str">
            <v>ITA</v>
          </cell>
          <cell r="G413" t="str">
            <v>E</v>
          </cell>
          <cell r="H413" t="str">
            <v>ITAVE</v>
          </cell>
        </row>
        <row r="414">
          <cell r="C414" t="str">
            <v>Luxembourg</v>
          </cell>
          <cell r="D414" t="str">
            <v>-</v>
          </cell>
          <cell r="E414" t="str">
            <v>-</v>
          </cell>
          <cell r="F414" t="str">
            <v>LUX</v>
          </cell>
          <cell r="G414" t="str">
            <v>E</v>
          </cell>
          <cell r="H414" t="str">
            <v>LUX-</v>
          </cell>
        </row>
        <row r="415">
          <cell r="C415" t="str">
            <v>Petite Suisse</v>
          </cell>
          <cell r="D415" t="str">
            <v>-</v>
          </cell>
          <cell r="E415" t="str">
            <v>-</v>
          </cell>
          <cell r="F415" t="str">
            <v>LUX</v>
          </cell>
          <cell r="G415" t="str">
            <v>E</v>
          </cell>
          <cell r="H415" t="str">
            <v>LUX-</v>
          </cell>
        </row>
        <row r="416">
          <cell r="C416" t="str">
            <v>Vianden</v>
          </cell>
          <cell r="D416" t="str">
            <v>-</v>
          </cell>
          <cell r="E416" t="str">
            <v>-</v>
          </cell>
          <cell r="F416" t="str">
            <v>LUX</v>
          </cell>
          <cell r="G416" t="str">
            <v>E</v>
          </cell>
          <cell r="H416" t="str">
            <v>LUX-</v>
          </cell>
        </row>
        <row r="417">
          <cell r="C417" t="str">
            <v>Amsterdam</v>
          </cell>
          <cell r="D417" t="str">
            <v>-</v>
          </cell>
          <cell r="E417" t="str">
            <v>-</v>
          </cell>
          <cell r="F417" t="str">
            <v>NED</v>
          </cell>
          <cell r="G417" t="str">
            <v>E</v>
          </cell>
          <cell r="H417" t="str">
            <v>NED-</v>
          </cell>
        </row>
        <row r="418">
          <cell r="C418" t="str">
            <v>Camping</v>
          </cell>
          <cell r="D418" t="str">
            <v>-</v>
          </cell>
          <cell r="E418" t="str">
            <v>-</v>
          </cell>
          <cell r="F418" t="str">
            <v>NED</v>
          </cell>
          <cell r="G418" t="str">
            <v>E</v>
          </cell>
          <cell r="H418" t="str">
            <v>NED-</v>
          </cell>
        </row>
        <row r="419">
          <cell r="C419" t="str">
            <v>Camping De Reekens</v>
          </cell>
          <cell r="D419" t="str">
            <v>-</v>
          </cell>
          <cell r="E419" t="str">
            <v>-</v>
          </cell>
          <cell r="F419" t="str">
            <v>NED</v>
          </cell>
          <cell r="G419" t="str">
            <v>E</v>
          </cell>
          <cell r="H419" t="str">
            <v>NED-</v>
          </cell>
        </row>
        <row r="420">
          <cell r="C420" t="str">
            <v>Delft</v>
          </cell>
          <cell r="D420" t="str">
            <v>-</v>
          </cell>
          <cell r="E420" t="str">
            <v>-</v>
          </cell>
          <cell r="F420" t="str">
            <v>NED</v>
          </cell>
          <cell r="G420" t="str">
            <v>E</v>
          </cell>
          <cell r="H420" t="str">
            <v>NED-</v>
          </cell>
        </row>
        <row r="421">
          <cell r="C421" t="str">
            <v>Eindhoven</v>
          </cell>
          <cell r="D421" t="str">
            <v>-</v>
          </cell>
          <cell r="E421" t="str">
            <v>-</v>
          </cell>
          <cell r="F421" t="str">
            <v>NED</v>
          </cell>
          <cell r="G421" t="str">
            <v>E</v>
          </cell>
          <cell r="H421" t="str">
            <v>NED-</v>
          </cell>
        </row>
        <row r="422">
          <cell r="C422" t="str">
            <v>Gouda</v>
          </cell>
          <cell r="D422" t="str">
            <v>-</v>
          </cell>
          <cell r="E422" t="str">
            <v>-</v>
          </cell>
          <cell r="F422" t="str">
            <v>NED</v>
          </cell>
          <cell r="G422" t="str">
            <v>E</v>
          </cell>
          <cell r="H422" t="str">
            <v>NED-</v>
          </cell>
        </row>
        <row r="423">
          <cell r="C423" t="str">
            <v>Grocheim</v>
          </cell>
          <cell r="D423" t="str">
            <v>-</v>
          </cell>
          <cell r="E423" t="str">
            <v>-</v>
          </cell>
          <cell r="F423" t="str">
            <v>NED</v>
          </cell>
          <cell r="G423" t="str">
            <v>E</v>
          </cell>
          <cell r="H423" t="str">
            <v>NED-</v>
          </cell>
        </row>
        <row r="424">
          <cell r="C424" t="str">
            <v>Gulpen</v>
          </cell>
          <cell r="D424" t="str">
            <v>-</v>
          </cell>
          <cell r="E424" t="str">
            <v>-</v>
          </cell>
          <cell r="F424" t="str">
            <v>NED</v>
          </cell>
          <cell r="G424" t="str">
            <v>E</v>
          </cell>
          <cell r="H424" t="str">
            <v>NED-</v>
          </cell>
        </row>
        <row r="425">
          <cell r="C425" t="str">
            <v>Hoodddorp</v>
          </cell>
          <cell r="D425" t="str">
            <v>-</v>
          </cell>
          <cell r="E425" t="str">
            <v>-</v>
          </cell>
          <cell r="F425" t="str">
            <v>NED</v>
          </cell>
          <cell r="G425" t="str">
            <v>E</v>
          </cell>
          <cell r="H425" t="str">
            <v>NED-</v>
          </cell>
        </row>
        <row r="426">
          <cell r="C426" t="str">
            <v>Maastricht</v>
          </cell>
          <cell r="D426" t="str">
            <v>-</v>
          </cell>
          <cell r="E426" t="str">
            <v>-</v>
          </cell>
          <cell r="F426" t="str">
            <v>NED</v>
          </cell>
          <cell r="G426" t="str">
            <v>E</v>
          </cell>
          <cell r="H426" t="str">
            <v>NED-</v>
          </cell>
        </row>
        <row r="427">
          <cell r="C427" t="str">
            <v>s'Hertogenbosch</v>
          </cell>
          <cell r="D427" t="str">
            <v>-</v>
          </cell>
          <cell r="E427" t="str">
            <v>-</v>
          </cell>
          <cell r="F427" t="str">
            <v>NED</v>
          </cell>
          <cell r="G427" t="str">
            <v>E</v>
          </cell>
          <cell r="H427" t="str">
            <v>NED-</v>
          </cell>
        </row>
        <row r="428">
          <cell r="C428" t="str">
            <v>Schonhoven</v>
          </cell>
          <cell r="D428" t="str">
            <v>-</v>
          </cell>
          <cell r="E428" t="str">
            <v>-</v>
          </cell>
          <cell r="F428" t="str">
            <v>NED</v>
          </cell>
          <cell r="G428" t="str">
            <v>E</v>
          </cell>
          <cell r="H428" t="str">
            <v>NED-</v>
          </cell>
        </row>
        <row r="429">
          <cell r="C429" t="str">
            <v>The Hague</v>
          </cell>
          <cell r="D429" t="str">
            <v>-</v>
          </cell>
          <cell r="E429" t="str">
            <v>-</v>
          </cell>
          <cell r="F429" t="str">
            <v>NED</v>
          </cell>
          <cell r="G429" t="str">
            <v>E</v>
          </cell>
          <cell r="H429" t="str">
            <v>NED-</v>
          </cell>
        </row>
        <row r="430">
          <cell r="C430" t="str">
            <v>Valkenswaard</v>
          </cell>
          <cell r="D430" t="str">
            <v>-</v>
          </cell>
          <cell r="E430" t="str">
            <v>-</v>
          </cell>
          <cell r="F430" t="str">
            <v>NED</v>
          </cell>
          <cell r="G430" t="str">
            <v>E</v>
          </cell>
          <cell r="H430" t="str">
            <v>NED-</v>
          </cell>
        </row>
        <row r="431">
          <cell r="C431" t="str">
            <v>Zevenhuis</v>
          </cell>
          <cell r="D431" t="str">
            <v>-</v>
          </cell>
          <cell r="E431" t="str">
            <v>-</v>
          </cell>
          <cell r="F431" t="str">
            <v>NED</v>
          </cell>
          <cell r="G431" t="str">
            <v>E</v>
          </cell>
          <cell r="H431" t="str">
            <v>NED-</v>
          </cell>
        </row>
        <row r="432">
          <cell r="C432" t="str">
            <v>Ponta Delgada</v>
          </cell>
          <cell r="D432" t="str">
            <v>AC</v>
          </cell>
          <cell r="E432" t="str">
            <v>Açores</v>
          </cell>
          <cell r="F432" t="str">
            <v>PRT</v>
          </cell>
          <cell r="G432" t="str">
            <v>E</v>
          </cell>
          <cell r="H432" t="str">
            <v>PRTAC</v>
          </cell>
        </row>
        <row r="433">
          <cell r="C433" t="str">
            <v>Evora</v>
          </cell>
          <cell r="D433" t="str">
            <v>AL</v>
          </cell>
          <cell r="E433" t="str">
            <v>Alentejo</v>
          </cell>
          <cell r="F433" t="str">
            <v>PRT</v>
          </cell>
          <cell r="G433" t="str">
            <v>E</v>
          </cell>
          <cell r="H433" t="str">
            <v>PRTAL</v>
          </cell>
        </row>
        <row r="434">
          <cell r="C434" t="str">
            <v>Serra da Estrela</v>
          </cell>
          <cell r="D434" t="str">
            <v>BA</v>
          </cell>
          <cell r="E434" t="str">
            <v>Beira Alta</v>
          </cell>
          <cell r="F434" t="str">
            <v>PRT</v>
          </cell>
          <cell r="G434" t="str">
            <v>E</v>
          </cell>
          <cell r="H434" t="str">
            <v>PRTBA</v>
          </cell>
        </row>
        <row r="435">
          <cell r="C435" t="str">
            <v>Batalha</v>
          </cell>
          <cell r="D435" t="str">
            <v>BL</v>
          </cell>
          <cell r="E435" t="str">
            <v>Beira Litoral</v>
          </cell>
          <cell r="F435" t="str">
            <v>PRT</v>
          </cell>
          <cell r="G435" t="str">
            <v>E</v>
          </cell>
          <cell r="H435" t="str">
            <v>PRTBL</v>
          </cell>
        </row>
        <row r="436">
          <cell r="C436" t="str">
            <v>Coimbra</v>
          </cell>
          <cell r="D436" t="str">
            <v>BL</v>
          </cell>
          <cell r="E436" t="str">
            <v>Beira Litoral</v>
          </cell>
          <cell r="F436" t="str">
            <v>PRT</v>
          </cell>
          <cell r="G436" t="str">
            <v>E</v>
          </cell>
          <cell r="H436" t="str">
            <v>PRTBL</v>
          </cell>
        </row>
        <row r="437">
          <cell r="C437" t="str">
            <v>Conimbriga</v>
          </cell>
          <cell r="D437" t="str">
            <v>BL</v>
          </cell>
          <cell r="E437" t="str">
            <v>Beira Litoral</v>
          </cell>
          <cell r="F437" t="str">
            <v>PRT</v>
          </cell>
          <cell r="G437" t="str">
            <v>E</v>
          </cell>
          <cell r="H437" t="str">
            <v>PRTBL</v>
          </cell>
        </row>
        <row r="438">
          <cell r="C438" t="str">
            <v>Fatima</v>
          </cell>
          <cell r="D438" t="str">
            <v>BL</v>
          </cell>
          <cell r="E438" t="str">
            <v>Beira Litoral</v>
          </cell>
          <cell r="F438" t="str">
            <v>PRT</v>
          </cell>
          <cell r="G438" t="str">
            <v>E</v>
          </cell>
          <cell r="H438" t="str">
            <v>PRTBL</v>
          </cell>
        </row>
        <row r="439">
          <cell r="C439" t="str">
            <v>Figueira da Foz</v>
          </cell>
          <cell r="D439" t="str">
            <v>CE</v>
          </cell>
          <cell r="E439" t="str">
            <v>Centro</v>
          </cell>
          <cell r="F439" t="str">
            <v>PRT</v>
          </cell>
          <cell r="G439" t="str">
            <v>E</v>
          </cell>
          <cell r="H439" t="str">
            <v>PRTCE</v>
          </cell>
        </row>
        <row r="440">
          <cell r="C440" t="str">
            <v>Felgueiras</v>
          </cell>
          <cell r="D440" t="str">
            <v>DL</v>
          </cell>
          <cell r="E440" t="str">
            <v>Douro Litoral</v>
          </cell>
          <cell r="F440" t="str">
            <v>PRT</v>
          </cell>
          <cell r="G440" t="str">
            <v>E</v>
          </cell>
          <cell r="H440" t="str">
            <v>PRTDL</v>
          </cell>
        </row>
        <row r="441">
          <cell r="C441" t="str">
            <v>Ferreira</v>
          </cell>
          <cell r="D441" t="str">
            <v>DL</v>
          </cell>
          <cell r="E441" t="str">
            <v>Douro Litoral</v>
          </cell>
          <cell r="F441" t="str">
            <v>PRT</v>
          </cell>
          <cell r="G441" t="str">
            <v>E</v>
          </cell>
          <cell r="H441" t="str">
            <v>PRTDL</v>
          </cell>
        </row>
        <row r="442">
          <cell r="C442" t="str">
            <v>Leça da Palmeira</v>
          </cell>
          <cell r="D442" t="str">
            <v>DL</v>
          </cell>
          <cell r="E442" t="str">
            <v>Douro Litoral</v>
          </cell>
          <cell r="F442" t="str">
            <v>PRT</v>
          </cell>
          <cell r="G442" t="str">
            <v>E</v>
          </cell>
          <cell r="H442" t="str">
            <v>PRTDL</v>
          </cell>
        </row>
        <row r="443">
          <cell r="C443" t="str">
            <v>Matosinhos</v>
          </cell>
          <cell r="D443" t="str">
            <v>DL</v>
          </cell>
          <cell r="E443" t="str">
            <v>Douro Litoral</v>
          </cell>
          <cell r="F443" t="str">
            <v>PRT</v>
          </cell>
          <cell r="G443" t="str">
            <v>E</v>
          </cell>
          <cell r="H443" t="str">
            <v>PRTDL</v>
          </cell>
        </row>
        <row r="444">
          <cell r="C444" t="str">
            <v>Porto</v>
          </cell>
          <cell r="D444" t="str">
            <v>DL</v>
          </cell>
          <cell r="E444" t="str">
            <v>Douro Litoral</v>
          </cell>
          <cell r="F444" t="str">
            <v>PRT</v>
          </cell>
          <cell r="G444" t="str">
            <v>E</v>
          </cell>
          <cell r="H444" t="str">
            <v>PRTDL</v>
          </cell>
        </row>
        <row r="445">
          <cell r="C445" t="str">
            <v>Vairao</v>
          </cell>
          <cell r="D445" t="str">
            <v>DL</v>
          </cell>
          <cell r="E445" t="str">
            <v>Douro Litoral</v>
          </cell>
          <cell r="F445" t="str">
            <v>PRT</v>
          </cell>
          <cell r="G445" t="str">
            <v>E</v>
          </cell>
          <cell r="H445" t="str">
            <v>PRTDL</v>
          </cell>
        </row>
        <row r="446">
          <cell r="C446" t="str">
            <v>Vila Nova de Gaia</v>
          </cell>
          <cell r="D446" t="str">
            <v>DL</v>
          </cell>
          <cell r="E446" t="str">
            <v>Douro Litoral</v>
          </cell>
          <cell r="F446" t="str">
            <v>PRT</v>
          </cell>
          <cell r="G446" t="str">
            <v>E</v>
          </cell>
          <cell r="H446" t="str">
            <v>PRTDL</v>
          </cell>
        </row>
        <row r="447">
          <cell r="C447" t="str">
            <v>Alcobaça</v>
          </cell>
          <cell r="D447" t="str">
            <v>ED</v>
          </cell>
          <cell r="E447" t="str">
            <v>-</v>
          </cell>
          <cell r="F447" t="str">
            <v>PRT</v>
          </cell>
          <cell r="G447" t="str">
            <v>E</v>
          </cell>
          <cell r="H447" t="str">
            <v>PRTED</v>
          </cell>
        </row>
        <row r="448">
          <cell r="C448" t="str">
            <v>Cascais</v>
          </cell>
          <cell r="D448" t="str">
            <v>ED</v>
          </cell>
          <cell r="E448" t="str">
            <v>-</v>
          </cell>
          <cell r="F448" t="str">
            <v>PRT</v>
          </cell>
          <cell r="G448" t="str">
            <v>E</v>
          </cell>
          <cell r="H448" t="str">
            <v>PRTED</v>
          </cell>
        </row>
        <row r="449">
          <cell r="C449" t="str">
            <v>Lisbon</v>
          </cell>
          <cell r="D449" t="str">
            <v>ED</v>
          </cell>
          <cell r="E449" t="str">
            <v>-</v>
          </cell>
          <cell r="F449" t="str">
            <v>PRT</v>
          </cell>
          <cell r="G449" t="str">
            <v>E</v>
          </cell>
          <cell r="H449" t="str">
            <v>PRTED</v>
          </cell>
        </row>
        <row r="450">
          <cell r="C450" t="str">
            <v>Nazaré</v>
          </cell>
          <cell r="D450" t="str">
            <v>ED</v>
          </cell>
          <cell r="E450" t="str">
            <v>-</v>
          </cell>
          <cell r="F450" t="str">
            <v>PRT</v>
          </cell>
          <cell r="G450" t="str">
            <v>E</v>
          </cell>
          <cell r="H450" t="str">
            <v>PRTED</v>
          </cell>
        </row>
        <row r="451">
          <cell r="C451" t="str">
            <v>Sintra</v>
          </cell>
          <cell r="D451" t="str">
            <v>ED</v>
          </cell>
          <cell r="E451" t="str">
            <v>-</v>
          </cell>
          <cell r="F451" t="str">
            <v>PRT</v>
          </cell>
          <cell r="G451" t="str">
            <v>E</v>
          </cell>
          <cell r="H451" t="str">
            <v>PRTED</v>
          </cell>
        </row>
        <row r="452">
          <cell r="C452" t="str">
            <v>Arcos</v>
          </cell>
          <cell r="D452" t="str">
            <v>MI</v>
          </cell>
          <cell r="E452" t="str">
            <v>Minho</v>
          </cell>
          <cell r="F452" t="str">
            <v>PRT</v>
          </cell>
          <cell r="G452" t="str">
            <v>E</v>
          </cell>
          <cell r="H452" t="str">
            <v>PRTMI</v>
          </cell>
        </row>
        <row r="453">
          <cell r="C453" t="str">
            <v>Balugães</v>
          </cell>
          <cell r="D453" t="str">
            <v>MI</v>
          </cell>
          <cell r="E453" t="str">
            <v>Minho</v>
          </cell>
          <cell r="F453" t="str">
            <v>PRT</v>
          </cell>
          <cell r="G453" t="str">
            <v>E</v>
          </cell>
          <cell r="H453" t="str">
            <v>PRTMI</v>
          </cell>
        </row>
        <row r="454">
          <cell r="C454" t="str">
            <v>Barcelinhos</v>
          </cell>
          <cell r="D454" t="str">
            <v>MI</v>
          </cell>
          <cell r="E454" t="str">
            <v>Minho</v>
          </cell>
          <cell r="F454" t="str">
            <v>PRT</v>
          </cell>
          <cell r="G454" t="str">
            <v>E</v>
          </cell>
          <cell r="H454" t="str">
            <v>PRTMI</v>
          </cell>
        </row>
        <row r="455">
          <cell r="C455" t="str">
            <v>Barcelos</v>
          </cell>
          <cell r="D455" t="str">
            <v>MI</v>
          </cell>
          <cell r="E455" t="str">
            <v>Minho</v>
          </cell>
          <cell r="F455" t="str">
            <v>PRT</v>
          </cell>
          <cell r="G455" t="str">
            <v>E</v>
          </cell>
          <cell r="H455" t="str">
            <v>PRTMI</v>
          </cell>
        </row>
        <row r="456">
          <cell r="C456" t="str">
            <v>Ponte de Lima</v>
          </cell>
          <cell r="D456" t="str">
            <v>MI</v>
          </cell>
          <cell r="E456" t="str">
            <v>Minho</v>
          </cell>
          <cell r="F456" t="str">
            <v>PRT</v>
          </cell>
          <cell r="G456" t="str">
            <v>E</v>
          </cell>
          <cell r="H456" t="str">
            <v>PRTMI</v>
          </cell>
        </row>
        <row r="457">
          <cell r="C457" t="str">
            <v>Rubiaes</v>
          </cell>
          <cell r="D457" t="str">
            <v>MI</v>
          </cell>
          <cell r="E457" t="str">
            <v>Minho</v>
          </cell>
          <cell r="F457" t="str">
            <v>PRT</v>
          </cell>
          <cell r="G457" t="str">
            <v>E</v>
          </cell>
          <cell r="H457" t="str">
            <v>PRTMI</v>
          </cell>
        </row>
        <row r="458">
          <cell r="C458" t="str">
            <v>Valença</v>
          </cell>
          <cell r="D458" t="str">
            <v>MI</v>
          </cell>
          <cell r="E458" t="str">
            <v>Minho</v>
          </cell>
          <cell r="F458" t="str">
            <v>PRT</v>
          </cell>
          <cell r="G458" t="str">
            <v>E</v>
          </cell>
          <cell r="H458" t="str">
            <v>PRTMI</v>
          </cell>
        </row>
        <row r="459">
          <cell r="C459" t="str">
            <v>Vitorino dos Piães</v>
          </cell>
          <cell r="D459" t="str">
            <v>MI</v>
          </cell>
          <cell r="E459" t="str">
            <v>Minho</v>
          </cell>
          <cell r="F459" t="str">
            <v>PRT</v>
          </cell>
          <cell r="G459" t="str">
            <v>E</v>
          </cell>
          <cell r="H459" t="str">
            <v>PRTMI</v>
          </cell>
        </row>
        <row r="460">
          <cell r="C460" t="str">
            <v>Sea SWE</v>
          </cell>
          <cell r="D460" t="str">
            <v>-</v>
          </cell>
          <cell r="F460" t="str">
            <v>SWE</v>
          </cell>
          <cell r="G460" t="str">
            <v>E</v>
          </cell>
          <cell r="H460" t="str">
            <v>SWE-</v>
          </cell>
        </row>
        <row r="461">
          <cell r="C461" t="str">
            <v>Stockholm</v>
          </cell>
          <cell r="D461" t="str">
            <v>-</v>
          </cell>
          <cell r="E461" t="str">
            <v>-</v>
          </cell>
          <cell r="F461" t="str">
            <v>SWE</v>
          </cell>
          <cell r="G461" t="str">
            <v>E</v>
          </cell>
          <cell r="H461" t="str">
            <v>SWE-</v>
          </cell>
        </row>
        <row r="462">
          <cell r="C462" t="str">
            <v>Instambul-E</v>
          </cell>
          <cell r="D462" t="str">
            <v>-</v>
          </cell>
          <cell r="E462" t="str">
            <v>-</v>
          </cell>
          <cell r="F462" t="str">
            <v>TUR-E</v>
          </cell>
          <cell r="G462" t="str">
            <v>E</v>
          </cell>
          <cell r="H462" t="str">
            <v>TUR-E-</v>
          </cell>
        </row>
        <row r="463">
          <cell r="C463" t="str">
            <v>Bath</v>
          </cell>
          <cell r="D463" t="str">
            <v>Eng</v>
          </cell>
          <cell r="E463" t="str">
            <v>-</v>
          </cell>
          <cell r="F463" t="str">
            <v>UK</v>
          </cell>
          <cell r="G463" t="str">
            <v>E</v>
          </cell>
          <cell r="H463" t="str">
            <v>UKEng</v>
          </cell>
        </row>
        <row r="464">
          <cell r="C464" t="str">
            <v>Blickling</v>
          </cell>
          <cell r="D464" t="str">
            <v>Eng</v>
          </cell>
          <cell r="E464" t="str">
            <v>-</v>
          </cell>
          <cell r="F464" t="str">
            <v>UK</v>
          </cell>
          <cell r="G464" t="str">
            <v>E</v>
          </cell>
          <cell r="H464" t="str">
            <v>UKEng</v>
          </cell>
        </row>
        <row r="465">
          <cell r="C465" t="str">
            <v>Bournemouth</v>
          </cell>
          <cell r="D465" t="str">
            <v>Eng</v>
          </cell>
          <cell r="E465" t="str">
            <v>-</v>
          </cell>
          <cell r="F465" t="str">
            <v>UK</v>
          </cell>
          <cell r="G465" t="str">
            <v>E</v>
          </cell>
          <cell r="H465" t="str">
            <v>UKEng</v>
          </cell>
        </row>
        <row r="466">
          <cell r="C466" t="str">
            <v>Brighton</v>
          </cell>
          <cell r="D466" t="str">
            <v>Eng</v>
          </cell>
          <cell r="E466" t="str">
            <v>-</v>
          </cell>
          <cell r="F466" t="str">
            <v>UK</v>
          </cell>
          <cell r="G466" t="str">
            <v>E</v>
          </cell>
          <cell r="H466" t="str">
            <v>UKEng</v>
          </cell>
        </row>
        <row r="467">
          <cell r="C467" t="str">
            <v>Bristol</v>
          </cell>
          <cell r="D467" t="str">
            <v>Eng</v>
          </cell>
          <cell r="E467" t="str">
            <v>-</v>
          </cell>
          <cell r="F467" t="str">
            <v>UK</v>
          </cell>
          <cell r="G467" t="str">
            <v>E</v>
          </cell>
          <cell r="H467" t="str">
            <v>UKEng</v>
          </cell>
        </row>
        <row r="468">
          <cell r="C468" t="str">
            <v>Cambridge</v>
          </cell>
          <cell r="D468" t="str">
            <v>Eng</v>
          </cell>
          <cell r="E468" t="str">
            <v>-</v>
          </cell>
          <cell r="F468" t="str">
            <v>UK</v>
          </cell>
          <cell r="G468" t="str">
            <v>E</v>
          </cell>
          <cell r="H468" t="str">
            <v>UKEng</v>
          </cell>
        </row>
        <row r="469">
          <cell r="C469" t="str">
            <v>Canterbury</v>
          </cell>
          <cell r="D469" t="str">
            <v>Eng</v>
          </cell>
          <cell r="E469" t="str">
            <v>-</v>
          </cell>
          <cell r="F469" t="str">
            <v>UK</v>
          </cell>
          <cell r="G469" t="str">
            <v>E</v>
          </cell>
          <cell r="H469" t="str">
            <v>UKEng</v>
          </cell>
        </row>
        <row r="470">
          <cell r="C470" t="str">
            <v>Chester</v>
          </cell>
          <cell r="D470" t="str">
            <v>Eng</v>
          </cell>
          <cell r="E470" t="str">
            <v>-</v>
          </cell>
          <cell r="F470" t="str">
            <v>UK</v>
          </cell>
          <cell r="G470" t="str">
            <v>E</v>
          </cell>
          <cell r="H470" t="str">
            <v>UKEng</v>
          </cell>
        </row>
        <row r="471">
          <cell r="C471" t="str">
            <v>Cromer</v>
          </cell>
          <cell r="D471" t="str">
            <v>Eng</v>
          </cell>
          <cell r="E471" t="str">
            <v>-</v>
          </cell>
          <cell r="F471" t="str">
            <v>UK</v>
          </cell>
          <cell r="G471" t="str">
            <v>E</v>
          </cell>
          <cell r="H471" t="str">
            <v>UKEng</v>
          </cell>
        </row>
        <row r="472">
          <cell r="C472" t="str">
            <v>Dover</v>
          </cell>
          <cell r="D472" t="str">
            <v>Eng</v>
          </cell>
          <cell r="E472" t="str">
            <v>-</v>
          </cell>
          <cell r="F472" t="str">
            <v>UK</v>
          </cell>
          <cell r="G472" t="str">
            <v>E</v>
          </cell>
          <cell r="H472" t="str">
            <v>UKEng</v>
          </cell>
        </row>
        <row r="473">
          <cell r="C473" t="str">
            <v>Exeter</v>
          </cell>
          <cell r="D473" t="str">
            <v>Eng</v>
          </cell>
          <cell r="E473" t="str">
            <v>-</v>
          </cell>
          <cell r="F473" t="str">
            <v>UK</v>
          </cell>
          <cell r="G473" t="str">
            <v>E</v>
          </cell>
          <cell r="H473" t="str">
            <v>UKEng</v>
          </cell>
        </row>
        <row r="474">
          <cell r="C474" t="str">
            <v>Hampton</v>
          </cell>
          <cell r="D474" t="str">
            <v>Eng</v>
          </cell>
          <cell r="E474" t="str">
            <v>-</v>
          </cell>
          <cell r="F474" t="str">
            <v>UK</v>
          </cell>
          <cell r="G474" t="str">
            <v>E</v>
          </cell>
          <cell r="H474" t="str">
            <v>UKEng</v>
          </cell>
        </row>
        <row r="475">
          <cell r="C475" t="str">
            <v>Leeds</v>
          </cell>
          <cell r="D475" t="str">
            <v>Eng</v>
          </cell>
          <cell r="E475" t="str">
            <v>-</v>
          </cell>
          <cell r="F475" t="str">
            <v>UK</v>
          </cell>
          <cell r="G475" t="str">
            <v>E</v>
          </cell>
          <cell r="H475" t="str">
            <v>UKEng</v>
          </cell>
        </row>
        <row r="476">
          <cell r="C476" t="str">
            <v>London</v>
          </cell>
          <cell r="D476" t="str">
            <v>Eng</v>
          </cell>
          <cell r="E476" t="str">
            <v>-</v>
          </cell>
          <cell r="F476" t="str">
            <v>UK</v>
          </cell>
          <cell r="G476" t="str">
            <v>E</v>
          </cell>
          <cell r="H476" t="str">
            <v>UKEng</v>
          </cell>
        </row>
        <row r="477">
          <cell r="C477" t="str">
            <v>Newquay</v>
          </cell>
          <cell r="D477" t="str">
            <v>Eng</v>
          </cell>
          <cell r="E477" t="str">
            <v>-</v>
          </cell>
          <cell r="F477" t="str">
            <v>UK</v>
          </cell>
          <cell r="G477" t="str">
            <v>E</v>
          </cell>
          <cell r="H477" t="str">
            <v>UKEng</v>
          </cell>
        </row>
        <row r="478">
          <cell r="C478" t="str">
            <v>Norwich</v>
          </cell>
          <cell r="D478" t="str">
            <v>Eng</v>
          </cell>
          <cell r="E478" t="str">
            <v>-</v>
          </cell>
          <cell r="F478" t="str">
            <v>UK</v>
          </cell>
          <cell r="G478" t="str">
            <v>E</v>
          </cell>
          <cell r="H478" t="str">
            <v>UKEng</v>
          </cell>
        </row>
        <row r="479">
          <cell r="C479" t="str">
            <v>Penzance</v>
          </cell>
          <cell r="D479" t="str">
            <v>Eng</v>
          </cell>
          <cell r="E479" t="str">
            <v>-</v>
          </cell>
          <cell r="F479" t="str">
            <v>UK</v>
          </cell>
          <cell r="G479" t="str">
            <v>E</v>
          </cell>
          <cell r="H479" t="str">
            <v>UKEng</v>
          </cell>
        </row>
        <row r="480">
          <cell r="C480" t="str">
            <v>Plymouth</v>
          </cell>
          <cell r="D480" t="str">
            <v>Eng</v>
          </cell>
          <cell r="E480" t="str">
            <v>-</v>
          </cell>
          <cell r="F480" t="str">
            <v>UK</v>
          </cell>
          <cell r="G480" t="str">
            <v>E</v>
          </cell>
          <cell r="H480" t="str">
            <v>UKEng</v>
          </cell>
        </row>
        <row r="481">
          <cell r="C481" t="str">
            <v>Salisbury</v>
          </cell>
          <cell r="D481" t="str">
            <v>Eng</v>
          </cell>
          <cell r="E481" t="str">
            <v>-</v>
          </cell>
          <cell r="F481" t="str">
            <v>UK</v>
          </cell>
          <cell r="G481" t="str">
            <v>E</v>
          </cell>
          <cell r="H481" t="str">
            <v>UKEng</v>
          </cell>
        </row>
        <row r="482">
          <cell r="C482" t="str">
            <v>Sheperdswell</v>
          </cell>
          <cell r="D482" t="str">
            <v>Eng</v>
          </cell>
          <cell r="E482" t="str">
            <v>-</v>
          </cell>
          <cell r="F482" t="str">
            <v>UK</v>
          </cell>
          <cell r="G482" t="str">
            <v>E</v>
          </cell>
          <cell r="H482" t="str">
            <v>UKEng</v>
          </cell>
        </row>
        <row r="483">
          <cell r="C483" t="str">
            <v>Sheringham</v>
          </cell>
          <cell r="D483" t="str">
            <v>Eng</v>
          </cell>
          <cell r="E483" t="str">
            <v>-</v>
          </cell>
          <cell r="F483" t="str">
            <v>UK</v>
          </cell>
          <cell r="G483" t="str">
            <v>E</v>
          </cell>
          <cell r="H483" t="str">
            <v>UKEng</v>
          </cell>
        </row>
        <row r="484">
          <cell r="C484" t="str">
            <v>St. Ives</v>
          </cell>
          <cell r="D484" t="str">
            <v>Eng</v>
          </cell>
          <cell r="E484" t="str">
            <v>-</v>
          </cell>
          <cell r="F484" t="str">
            <v>UK</v>
          </cell>
          <cell r="G484" t="str">
            <v>E</v>
          </cell>
          <cell r="H484" t="str">
            <v>UKEng</v>
          </cell>
        </row>
        <row r="485">
          <cell r="C485" t="str">
            <v>St. Juste</v>
          </cell>
          <cell r="D485" t="str">
            <v>Eng</v>
          </cell>
          <cell r="E485" t="str">
            <v>-</v>
          </cell>
          <cell r="F485" t="str">
            <v>UK</v>
          </cell>
          <cell r="G485" t="str">
            <v>E</v>
          </cell>
          <cell r="H485" t="str">
            <v>UKEng</v>
          </cell>
        </row>
        <row r="486">
          <cell r="C486" t="str">
            <v>Stonehenge</v>
          </cell>
          <cell r="D486" t="str">
            <v>Eng</v>
          </cell>
          <cell r="E486" t="str">
            <v>-</v>
          </cell>
          <cell r="F486" t="str">
            <v>UK</v>
          </cell>
          <cell r="G486" t="str">
            <v>E</v>
          </cell>
          <cell r="H486" t="str">
            <v>UKEng</v>
          </cell>
        </row>
        <row r="487">
          <cell r="C487" t="str">
            <v>Stratford</v>
          </cell>
          <cell r="D487" t="str">
            <v>Eng</v>
          </cell>
          <cell r="E487" t="str">
            <v>-</v>
          </cell>
          <cell r="F487" t="str">
            <v>UK</v>
          </cell>
          <cell r="G487" t="str">
            <v>E</v>
          </cell>
          <cell r="H487" t="str">
            <v>UKEng</v>
          </cell>
        </row>
        <row r="488">
          <cell r="C488" t="str">
            <v>Whitfield</v>
          </cell>
          <cell r="D488" t="str">
            <v>Eng</v>
          </cell>
          <cell r="E488" t="str">
            <v>-</v>
          </cell>
          <cell r="F488" t="str">
            <v>UK</v>
          </cell>
          <cell r="G488" t="str">
            <v>E</v>
          </cell>
          <cell r="H488" t="str">
            <v>UKEng</v>
          </cell>
        </row>
        <row r="489">
          <cell r="C489" t="str">
            <v>Windsor</v>
          </cell>
          <cell r="D489" t="str">
            <v>Eng</v>
          </cell>
          <cell r="E489" t="str">
            <v>-</v>
          </cell>
          <cell r="F489" t="str">
            <v>UK</v>
          </cell>
          <cell r="G489" t="str">
            <v>E</v>
          </cell>
          <cell r="H489" t="str">
            <v>UKEng</v>
          </cell>
        </row>
        <row r="490">
          <cell r="C490" t="str">
            <v>York</v>
          </cell>
          <cell r="D490" t="str">
            <v>Eng</v>
          </cell>
          <cell r="E490" t="str">
            <v>-</v>
          </cell>
          <cell r="F490" t="str">
            <v>UK</v>
          </cell>
          <cell r="G490" t="str">
            <v>E</v>
          </cell>
          <cell r="H490" t="str">
            <v>UKEng</v>
          </cell>
        </row>
        <row r="491">
          <cell r="C491" t="str">
            <v>Ballater</v>
          </cell>
          <cell r="D491" t="str">
            <v>Sco</v>
          </cell>
          <cell r="E491" t="str">
            <v>-</v>
          </cell>
          <cell r="F491" t="str">
            <v>UK</v>
          </cell>
          <cell r="G491" t="str">
            <v>E</v>
          </cell>
          <cell r="H491" t="str">
            <v>UKSco</v>
          </cell>
        </row>
        <row r="492">
          <cell r="C492" t="str">
            <v>Bass Rock</v>
          </cell>
          <cell r="D492" t="str">
            <v>Sco</v>
          </cell>
          <cell r="E492" t="str">
            <v>-</v>
          </cell>
          <cell r="F492" t="str">
            <v>UK</v>
          </cell>
          <cell r="G492" t="str">
            <v>E</v>
          </cell>
          <cell r="H492" t="str">
            <v>UKSco</v>
          </cell>
        </row>
        <row r="493">
          <cell r="C493" t="str">
            <v>Braemar</v>
          </cell>
          <cell r="D493" t="str">
            <v>Sco</v>
          </cell>
          <cell r="E493" t="str">
            <v>-</v>
          </cell>
          <cell r="F493" t="str">
            <v>UK</v>
          </cell>
          <cell r="G493" t="str">
            <v>E</v>
          </cell>
          <cell r="H493" t="str">
            <v>UKSco</v>
          </cell>
        </row>
        <row r="494">
          <cell r="C494" t="str">
            <v>Dirleton</v>
          </cell>
          <cell r="D494" t="str">
            <v>Sco</v>
          </cell>
          <cell r="E494" t="str">
            <v>-</v>
          </cell>
          <cell r="F494" t="str">
            <v>UK</v>
          </cell>
          <cell r="G494" t="str">
            <v>E</v>
          </cell>
          <cell r="H494" t="str">
            <v>UKSco</v>
          </cell>
        </row>
        <row r="495">
          <cell r="C495" t="str">
            <v>East Lothian</v>
          </cell>
          <cell r="D495" t="str">
            <v>Sco</v>
          </cell>
          <cell r="E495" t="str">
            <v>-</v>
          </cell>
          <cell r="F495" t="str">
            <v>UK</v>
          </cell>
          <cell r="G495" t="str">
            <v>E</v>
          </cell>
          <cell r="H495" t="str">
            <v>UKSco</v>
          </cell>
        </row>
        <row r="496">
          <cell r="C496" t="str">
            <v>Edinburgh</v>
          </cell>
          <cell r="D496" t="str">
            <v>Sco</v>
          </cell>
          <cell r="E496" t="str">
            <v>-</v>
          </cell>
          <cell r="F496" t="str">
            <v>UK</v>
          </cell>
          <cell r="G496" t="str">
            <v>E</v>
          </cell>
          <cell r="H496" t="str">
            <v>UKSco</v>
          </cell>
        </row>
        <row r="497">
          <cell r="C497" t="str">
            <v>Fort William</v>
          </cell>
          <cell r="D497" t="str">
            <v>Sco</v>
          </cell>
          <cell r="E497" t="str">
            <v>-</v>
          </cell>
          <cell r="F497" t="str">
            <v>UK</v>
          </cell>
          <cell r="G497" t="str">
            <v>E</v>
          </cell>
          <cell r="H497" t="str">
            <v>UKSco</v>
          </cell>
        </row>
        <row r="498">
          <cell r="C498" t="str">
            <v>Glasgow</v>
          </cell>
          <cell r="D498" t="str">
            <v>Sco</v>
          </cell>
          <cell r="E498" t="str">
            <v>-</v>
          </cell>
          <cell r="F498" t="str">
            <v>UK</v>
          </cell>
          <cell r="G498" t="str">
            <v>E</v>
          </cell>
          <cell r="H498" t="str">
            <v>UKSco</v>
          </cell>
        </row>
        <row r="499">
          <cell r="C499" t="str">
            <v>Glencoe</v>
          </cell>
          <cell r="D499" t="str">
            <v>Sco</v>
          </cell>
          <cell r="E499" t="str">
            <v>-</v>
          </cell>
          <cell r="F499" t="str">
            <v>UK</v>
          </cell>
          <cell r="G499" t="str">
            <v>E</v>
          </cell>
          <cell r="H499" t="str">
            <v>UKSco</v>
          </cell>
        </row>
        <row r="500">
          <cell r="C500" t="str">
            <v>Grantown-on-Spey</v>
          </cell>
          <cell r="D500" t="str">
            <v>Sco</v>
          </cell>
          <cell r="E500" t="str">
            <v>-</v>
          </cell>
          <cell r="F500" t="str">
            <v>UK</v>
          </cell>
          <cell r="G500" t="str">
            <v>E</v>
          </cell>
          <cell r="H500" t="str">
            <v>UKSco</v>
          </cell>
        </row>
        <row r="501">
          <cell r="C501" t="str">
            <v>Haddington</v>
          </cell>
          <cell r="D501" t="str">
            <v>Sco</v>
          </cell>
          <cell r="E501" t="str">
            <v>-</v>
          </cell>
          <cell r="F501" t="str">
            <v>UK</v>
          </cell>
          <cell r="G501" t="str">
            <v>E</v>
          </cell>
          <cell r="H501" t="str">
            <v>UKSco</v>
          </cell>
        </row>
        <row r="502">
          <cell r="C502" t="str">
            <v>Hastings</v>
          </cell>
          <cell r="D502" t="str">
            <v>Sco</v>
          </cell>
          <cell r="E502" t="str">
            <v>-</v>
          </cell>
          <cell r="F502" t="str">
            <v>UK</v>
          </cell>
          <cell r="G502" t="str">
            <v>E</v>
          </cell>
          <cell r="H502" t="str">
            <v>UKSco</v>
          </cell>
        </row>
        <row r="503">
          <cell r="C503" t="str">
            <v>Inverness</v>
          </cell>
          <cell r="D503" t="str">
            <v>Sco</v>
          </cell>
          <cell r="E503" t="str">
            <v>-</v>
          </cell>
          <cell r="F503" t="str">
            <v>UK</v>
          </cell>
          <cell r="G503" t="str">
            <v>E</v>
          </cell>
          <cell r="H503" t="str">
            <v>UKSco</v>
          </cell>
        </row>
        <row r="504">
          <cell r="C504" t="str">
            <v>Keswick</v>
          </cell>
          <cell r="D504" t="str">
            <v>Sco</v>
          </cell>
          <cell r="E504" t="str">
            <v>-</v>
          </cell>
          <cell r="F504" t="str">
            <v>UK</v>
          </cell>
          <cell r="G504" t="str">
            <v>E</v>
          </cell>
          <cell r="H504" t="str">
            <v>UKSco</v>
          </cell>
        </row>
        <row r="505">
          <cell r="C505" t="str">
            <v>Lake District</v>
          </cell>
          <cell r="D505" t="str">
            <v>Sco</v>
          </cell>
          <cell r="E505" t="str">
            <v>-</v>
          </cell>
          <cell r="F505" t="str">
            <v>UK</v>
          </cell>
          <cell r="G505" t="str">
            <v>E</v>
          </cell>
          <cell r="H505" t="str">
            <v>UKSco</v>
          </cell>
        </row>
        <row r="506">
          <cell r="C506" t="str">
            <v>Lanhydrock</v>
          </cell>
          <cell r="D506" t="str">
            <v>Sco</v>
          </cell>
          <cell r="E506" t="str">
            <v>-</v>
          </cell>
          <cell r="F506" t="str">
            <v>UK</v>
          </cell>
          <cell r="G506" t="str">
            <v>E</v>
          </cell>
          <cell r="H506" t="str">
            <v>UKSco</v>
          </cell>
        </row>
        <row r="507">
          <cell r="C507" t="str">
            <v>Loch Lomond</v>
          </cell>
          <cell r="D507" t="str">
            <v>Sco</v>
          </cell>
          <cell r="E507" t="str">
            <v>-</v>
          </cell>
          <cell r="F507" t="str">
            <v>UK</v>
          </cell>
          <cell r="G507" t="str">
            <v>E</v>
          </cell>
          <cell r="H507" t="str">
            <v>UKSco</v>
          </cell>
        </row>
        <row r="508">
          <cell r="C508" t="str">
            <v>Melrose Abbey</v>
          </cell>
          <cell r="D508" t="str">
            <v>Sco</v>
          </cell>
          <cell r="E508" t="str">
            <v>-</v>
          </cell>
          <cell r="F508" t="str">
            <v>UK</v>
          </cell>
          <cell r="G508" t="str">
            <v>E</v>
          </cell>
          <cell r="H508" t="str">
            <v>UKSco</v>
          </cell>
        </row>
        <row r="509">
          <cell r="C509" t="str">
            <v>Perth</v>
          </cell>
          <cell r="D509" t="str">
            <v>Sco</v>
          </cell>
          <cell r="E509" t="str">
            <v>-</v>
          </cell>
          <cell r="F509" t="str">
            <v>UK</v>
          </cell>
          <cell r="G509" t="str">
            <v>E</v>
          </cell>
          <cell r="H509" t="str">
            <v>UKSco</v>
          </cell>
        </row>
        <row r="510">
          <cell r="C510" t="str">
            <v>Portreath</v>
          </cell>
          <cell r="D510" t="str">
            <v>Sco</v>
          </cell>
          <cell r="E510" t="str">
            <v>-</v>
          </cell>
          <cell r="F510" t="str">
            <v>UK</v>
          </cell>
          <cell r="G510" t="str">
            <v>E</v>
          </cell>
          <cell r="H510" t="str">
            <v>UKSco</v>
          </cell>
        </row>
        <row r="511">
          <cell r="C511" t="str">
            <v>Stirling</v>
          </cell>
          <cell r="D511" t="str">
            <v>Sco</v>
          </cell>
          <cell r="E511" t="str">
            <v>-</v>
          </cell>
          <cell r="F511" t="str">
            <v>UK</v>
          </cell>
          <cell r="G511" t="str">
            <v>E</v>
          </cell>
          <cell r="H511" t="str">
            <v>UKSco</v>
          </cell>
        </row>
        <row r="512">
          <cell r="C512" t="str">
            <v>Trerice National Trust</v>
          </cell>
          <cell r="D512" t="str">
            <v>Sco</v>
          </cell>
          <cell r="E512" t="str">
            <v>-</v>
          </cell>
          <cell r="F512" t="str">
            <v>UK</v>
          </cell>
          <cell r="G512" t="str">
            <v>E</v>
          </cell>
          <cell r="H512" t="str">
            <v>UKSco</v>
          </cell>
        </row>
        <row r="513">
          <cell r="C513" t="str">
            <v>Windermere</v>
          </cell>
          <cell r="D513" t="str">
            <v>Sco</v>
          </cell>
          <cell r="E513" t="str">
            <v>-</v>
          </cell>
          <cell r="F513" t="str">
            <v>UK</v>
          </cell>
          <cell r="G513" t="str">
            <v>E</v>
          </cell>
          <cell r="H513" t="str">
            <v>UKSco</v>
          </cell>
        </row>
        <row r="514">
          <cell r="C514" t="str">
            <v>WALES 1</v>
          </cell>
          <cell r="D514" t="str">
            <v>Wal</v>
          </cell>
          <cell r="E514" t="str">
            <v>-</v>
          </cell>
          <cell r="F514" t="str">
            <v>UK</v>
          </cell>
          <cell r="G514" t="str">
            <v>E</v>
          </cell>
          <cell r="H514" t="str">
            <v>UKWal</v>
          </cell>
        </row>
        <row r="515">
          <cell r="C515" t="str">
            <v>WALES 2</v>
          </cell>
          <cell r="D515" t="str">
            <v>Wal</v>
          </cell>
          <cell r="E515" t="str">
            <v>-</v>
          </cell>
          <cell r="F515" t="str">
            <v>UK</v>
          </cell>
          <cell r="G515" t="str">
            <v>E</v>
          </cell>
          <cell r="H515" t="str">
            <v>UKWal</v>
          </cell>
        </row>
        <row r="516">
          <cell r="C516" t="str">
            <v>Cairo</v>
          </cell>
          <cell r="D516" t="str">
            <v>-</v>
          </cell>
          <cell r="E516" t="str">
            <v>-</v>
          </cell>
          <cell r="F516" t="str">
            <v>EGY</v>
          </cell>
          <cell r="G516" t="str">
            <v>F</v>
          </cell>
          <cell r="H516" t="str">
            <v>EGY-</v>
          </cell>
        </row>
        <row r="517">
          <cell r="C517" t="str">
            <v>Marrakech</v>
          </cell>
          <cell r="D517" t="str">
            <v>-</v>
          </cell>
          <cell r="E517" t="str">
            <v>-</v>
          </cell>
          <cell r="F517" t="str">
            <v>MAR</v>
          </cell>
          <cell r="G517" t="str">
            <v>F</v>
          </cell>
          <cell r="H517" t="str">
            <v>MAR-</v>
          </cell>
        </row>
        <row r="518">
          <cell r="C518" t="str">
            <v>Tangier</v>
          </cell>
          <cell r="D518" t="str">
            <v>-</v>
          </cell>
          <cell r="E518" t="str">
            <v>-</v>
          </cell>
          <cell r="F518" t="str">
            <v>MAR</v>
          </cell>
          <cell r="G518" t="str">
            <v>F</v>
          </cell>
          <cell r="H518" t="str">
            <v>MAR-</v>
          </cell>
        </row>
        <row r="519">
          <cell r="C519" t="str">
            <v>Vancouver</v>
          </cell>
          <cell r="D519" t="str">
            <v>BC</v>
          </cell>
          <cell r="E519" t="str">
            <v>British Columbia</v>
          </cell>
          <cell r="F519" t="str">
            <v>CAN</v>
          </cell>
          <cell r="G519" t="str">
            <v>N</v>
          </cell>
          <cell r="H519" t="str">
            <v>CANBC</v>
          </cell>
        </row>
        <row r="520">
          <cell r="C520" t="str">
            <v>Halifax</v>
          </cell>
          <cell r="D520" t="str">
            <v>NS</v>
          </cell>
          <cell r="E520" t="str">
            <v>Nova Scotia</v>
          </cell>
          <cell r="F520" t="str">
            <v>CAN</v>
          </cell>
          <cell r="G520" t="str">
            <v>N</v>
          </cell>
          <cell r="H520" t="str">
            <v>CANNS</v>
          </cell>
        </row>
        <row r="521">
          <cell r="C521" t="str">
            <v>Gananoque</v>
          </cell>
          <cell r="D521" t="str">
            <v>ON</v>
          </cell>
          <cell r="E521" t="str">
            <v>Ontario</v>
          </cell>
          <cell r="F521" t="str">
            <v>CAN</v>
          </cell>
          <cell r="G521" t="str">
            <v>N</v>
          </cell>
          <cell r="H521" t="str">
            <v>CANON</v>
          </cell>
        </row>
        <row r="522">
          <cell r="C522" t="str">
            <v>Niagara Falls</v>
          </cell>
          <cell r="D522" t="str">
            <v>ON</v>
          </cell>
          <cell r="E522" t="str">
            <v>Ontario</v>
          </cell>
          <cell r="F522" t="str">
            <v>CAN</v>
          </cell>
          <cell r="G522" t="str">
            <v>N</v>
          </cell>
          <cell r="H522" t="str">
            <v>CANON</v>
          </cell>
        </row>
        <row r="523">
          <cell r="C523" t="str">
            <v>Ottawa</v>
          </cell>
          <cell r="D523" t="str">
            <v>ON</v>
          </cell>
          <cell r="E523" t="str">
            <v>Ontario</v>
          </cell>
          <cell r="F523" t="str">
            <v>CAN</v>
          </cell>
          <cell r="G523" t="str">
            <v>N</v>
          </cell>
          <cell r="H523" t="str">
            <v>CANON</v>
          </cell>
        </row>
        <row r="524">
          <cell r="C524" t="str">
            <v>Toronto</v>
          </cell>
          <cell r="D524" t="str">
            <v>ON</v>
          </cell>
          <cell r="E524" t="str">
            <v>Ontario</v>
          </cell>
          <cell r="F524" t="str">
            <v>CAN</v>
          </cell>
          <cell r="G524" t="str">
            <v>N</v>
          </cell>
          <cell r="H524" t="str">
            <v>CANON</v>
          </cell>
        </row>
        <row r="525">
          <cell r="C525" t="str">
            <v>Acton Vale</v>
          </cell>
          <cell r="D525" t="str">
            <v>QC</v>
          </cell>
          <cell r="E525" t="str">
            <v>Quebec</v>
          </cell>
          <cell r="F525" t="str">
            <v>CAN</v>
          </cell>
          <cell r="G525" t="str">
            <v>N</v>
          </cell>
          <cell r="H525" t="str">
            <v>CANQC</v>
          </cell>
        </row>
        <row r="526">
          <cell r="C526" t="str">
            <v>Bois des Filion</v>
          </cell>
          <cell r="D526" t="str">
            <v>QC</v>
          </cell>
          <cell r="E526" t="str">
            <v>Quebec</v>
          </cell>
          <cell r="F526" t="str">
            <v>CAN</v>
          </cell>
          <cell r="G526" t="str">
            <v>N</v>
          </cell>
          <cell r="H526" t="str">
            <v>CANQC</v>
          </cell>
        </row>
        <row r="527">
          <cell r="C527" t="str">
            <v>Bromont</v>
          </cell>
          <cell r="D527" t="str">
            <v>QC</v>
          </cell>
          <cell r="E527" t="str">
            <v>Quebec</v>
          </cell>
          <cell r="F527" t="str">
            <v>CAN</v>
          </cell>
          <cell r="G527" t="str">
            <v>N</v>
          </cell>
          <cell r="H527" t="str">
            <v>CANQC</v>
          </cell>
        </row>
        <row r="528">
          <cell r="C528" t="str">
            <v>Carignan</v>
          </cell>
          <cell r="D528" t="str">
            <v>QC</v>
          </cell>
          <cell r="E528" t="str">
            <v>Quebec</v>
          </cell>
          <cell r="F528" t="str">
            <v>CAN</v>
          </cell>
          <cell r="G528" t="str">
            <v>N</v>
          </cell>
          <cell r="H528" t="str">
            <v>CANQC</v>
          </cell>
        </row>
        <row r="529">
          <cell r="C529" t="str">
            <v>Chambly</v>
          </cell>
          <cell r="D529" t="str">
            <v>QC</v>
          </cell>
          <cell r="E529" t="str">
            <v>Quebec</v>
          </cell>
          <cell r="F529" t="str">
            <v>CAN</v>
          </cell>
          <cell r="G529" t="str">
            <v>N</v>
          </cell>
          <cell r="H529" t="str">
            <v>CANQC</v>
          </cell>
        </row>
        <row r="530">
          <cell r="C530" t="str">
            <v>Drummondville</v>
          </cell>
          <cell r="D530" t="str">
            <v>QC</v>
          </cell>
          <cell r="E530" t="str">
            <v>Quebec</v>
          </cell>
          <cell r="F530" t="str">
            <v>CAN</v>
          </cell>
          <cell r="G530" t="str">
            <v>N</v>
          </cell>
          <cell r="H530" t="str">
            <v>CANQC</v>
          </cell>
        </row>
        <row r="531">
          <cell r="C531" t="str">
            <v>Gatineau</v>
          </cell>
          <cell r="D531" t="str">
            <v>QC</v>
          </cell>
          <cell r="E531" t="str">
            <v>Quebec</v>
          </cell>
          <cell r="F531" t="str">
            <v>CAN</v>
          </cell>
          <cell r="G531" t="str">
            <v>N</v>
          </cell>
          <cell r="H531" t="str">
            <v>CANQC</v>
          </cell>
        </row>
        <row r="532">
          <cell r="C532" t="str">
            <v>Granby</v>
          </cell>
          <cell r="D532" t="str">
            <v>QC</v>
          </cell>
          <cell r="E532" t="str">
            <v>Quebec</v>
          </cell>
          <cell r="F532" t="str">
            <v>CAN</v>
          </cell>
          <cell r="G532" t="str">
            <v>N</v>
          </cell>
          <cell r="H532" t="str">
            <v>CANQC</v>
          </cell>
        </row>
        <row r="533">
          <cell r="C533" t="str">
            <v>La Belle</v>
          </cell>
          <cell r="D533" t="str">
            <v>QC</v>
          </cell>
          <cell r="E533" t="str">
            <v>Quebec</v>
          </cell>
          <cell r="F533" t="str">
            <v>CAN</v>
          </cell>
          <cell r="G533" t="str">
            <v>N</v>
          </cell>
          <cell r="H533" t="str">
            <v>CANQC</v>
          </cell>
        </row>
        <row r="534">
          <cell r="C534" t="str">
            <v>Lorraine</v>
          </cell>
          <cell r="D534" t="str">
            <v>QC</v>
          </cell>
          <cell r="E534" t="str">
            <v>Quebec</v>
          </cell>
          <cell r="F534" t="str">
            <v>CAN</v>
          </cell>
          <cell r="G534" t="str">
            <v>N</v>
          </cell>
          <cell r="H534" t="str">
            <v>CANQC</v>
          </cell>
        </row>
        <row r="535">
          <cell r="C535" t="str">
            <v>Lyster</v>
          </cell>
          <cell r="D535" t="str">
            <v>QC</v>
          </cell>
          <cell r="E535" t="str">
            <v>Quebec</v>
          </cell>
          <cell r="F535" t="str">
            <v>CAN</v>
          </cell>
          <cell r="G535" t="str">
            <v>N</v>
          </cell>
          <cell r="H535" t="str">
            <v>CANQC</v>
          </cell>
        </row>
        <row r="536">
          <cell r="C536" t="str">
            <v>Mont-Tremblant</v>
          </cell>
          <cell r="D536" t="str">
            <v>QC</v>
          </cell>
          <cell r="E536" t="str">
            <v>Quebec</v>
          </cell>
          <cell r="F536" t="str">
            <v>CAN</v>
          </cell>
          <cell r="G536" t="str">
            <v>N</v>
          </cell>
          <cell r="H536" t="str">
            <v>CANQC</v>
          </cell>
        </row>
        <row r="537">
          <cell r="C537" t="str">
            <v>Montebello</v>
          </cell>
          <cell r="D537" t="str">
            <v>QC</v>
          </cell>
          <cell r="E537" t="str">
            <v>Quebec</v>
          </cell>
          <cell r="F537" t="str">
            <v>CAN</v>
          </cell>
          <cell r="G537" t="str">
            <v>N</v>
          </cell>
          <cell r="H537" t="str">
            <v>CANQC</v>
          </cell>
        </row>
        <row r="538">
          <cell r="C538" t="str">
            <v>Montreal</v>
          </cell>
          <cell r="D538" t="str">
            <v>QC</v>
          </cell>
          <cell r="E538" t="str">
            <v>Quebec</v>
          </cell>
          <cell r="F538" t="str">
            <v>CAN</v>
          </cell>
          <cell r="G538" t="str">
            <v>N</v>
          </cell>
          <cell r="H538" t="str">
            <v>CANQC</v>
          </cell>
        </row>
        <row r="539">
          <cell r="C539" t="str">
            <v>Portneuf</v>
          </cell>
          <cell r="D539" t="str">
            <v>QC</v>
          </cell>
          <cell r="E539" t="str">
            <v>Quebec</v>
          </cell>
          <cell r="F539" t="str">
            <v>CAN</v>
          </cell>
          <cell r="G539" t="str">
            <v>N</v>
          </cell>
          <cell r="H539" t="str">
            <v>CANQC</v>
          </cell>
        </row>
        <row r="540">
          <cell r="C540" t="str">
            <v>Princeville</v>
          </cell>
          <cell r="D540" t="str">
            <v>QC</v>
          </cell>
          <cell r="E540" t="str">
            <v>Quebec</v>
          </cell>
          <cell r="F540" t="str">
            <v>CAN</v>
          </cell>
          <cell r="G540" t="str">
            <v>N</v>
          </cell>
          <cell r="H540" t="str">
            <v>CANQC</v>
          </cell>
        </row>
        <row r="541">
          <cell r="C541" t="str">
            <v>Quebec City</v>
          </cell>
          <cell r="D541" t="str">
            <v>QC</v>
          </cell>
          <cell r="E541" t="str">
            <v>Quebec</v>
          </cell>
          <cell r="F541" t="str">
            <v>CAN</v>
          </cell>
          <cell r="G541" t="str">
            <v>N</v>
          </cell>
          <cell r="H541" t="str">
            <v>CANQC</v>
          </cell>
        </row>
        <row r="542">
          <cell r="C542" t="str">
            <v>Richmond</v>
          </cell>
          <cell r="D542" t="str">
            <v>QC</v>
          </cell>
          <cell r="E542" t="str">
            <v>Quebec</v>
          </cell>
          <cell r="F542" t="str">
            <v>CAN</v>
          </cell>
          <cell r="G542" t="str">
            <v>N</v>
          </cell>
          <cell r="H542" t="str">
            <v>CANQC</v>
          </cell>
        </row>
        <row r="543">
          <cell r="C543" t="str">
            <v>Roxton Falls</v>
          </cell>
          <cell r="D543" t="str">
            <v>QC</v>
          </cell>
          <cell r="E543" t="str">
            <v>Quebec</v>
          </cell>
          <cell r="F543" t="str">
            <v>CAN</v>
          </cell>
          <cell r="G543" t="str">
            <v>N</v>
          </cell>
          <cell r="H543" t="str">
            <v>CANQC</v>
          </cell>
        </row>
        <row r="544">
          <cell r="C544" t="str">
            <v>Saint Anne des Plaines</v>
          </cell>
          <cell r="D544" t="str">
            <v>QC</v>
          </cell>
          <cell r="E544" t="str">
            <v>Quebec</v>
          </cell>
          <cell r="F544" t="str">
            <v>CAN</v>
          </cell>
          <cell r="G544" t="str">
            <v>N</v>
          </cell>
          <cell r="H544" t="str">
            <v>CANQC</v>
          </cell>
        </row>
        <row r="545">
          <cell r="C545" t="str">
            <v>Saint Jerome</v>
          </cell>
          <cell r="D545" t="str">
            <v>QC</v>
          </cell>
          <cell r="E545" t="str">
            <v>Quebec</v>
          </cell>
          <cell r="F545" t="str">
            <v>CAN</v>
          </cell>
          <cell r="G545" t="str">
            <v>N</v>
          </cell>
          <cell r="H545" t="str">
            <v>CANQC</v>
          </cell>
        </row>
        <row r="546">
          <cell r="C546" t="str">
            <v>Saint Sauveur</v>
          </cell>
          <cell r="D546" t="str">
            <v>QC</v>
          </cell>
          <cell r="E546" t="str">
            <v>Quebec</v>
          </cell>
          <cell r="F546" t="str">
            <v>CAN</v>
          </cell>
          <cell r="G546" t="str">
            <v>N</v>
          </cell>
          <cell r="H546" t="str">
            <v>CANQC</v>
          </cell>
        </row>
        <row r="547">
          <cell r="C547" t="str">
            <v>Sainte-Julienne</v>
          </cell>
          <cell r="D547" t="str">
            <v>QC</v>
          </cell>
          <cell r="E547" t="str">
            <v>Quebec</v>
          </cell>
          <cell r="F547" t="str">
            <v>CAN</v>
          </cell>
          <cell r="G547" t="str">
            <v>N</v>
          </cell>
          <cell r="H547" t="str">
            <v>CANQC</v>
          </cell>
        </row>
        <row r="548">
          <cell r="C548" t="str">
            <v>Sherbrooke</v>
          </cell>
          <cell r="D548" t="str">
            <v>QC</v>
          </cell>
          <cell r="E548" t="str">
            <v>Quebec</v>
          </cell>
          <cell r="F548" t="str">
            <v>CAN</v>
          </cell>
          <cell r="G548" t="str">
            <v>N</v>
          </cell>
          <cell r="H548" t="str">
            <v>CANQC</v>
          </cell>
        </row>
        <row r="549">
          <cell r="C549" t="str">
            <v>Terrebonne</v>
          </cell>
          <cell r="D549" t="str">
            <v>QC</v>
          </cell>
          <cell r="E549" t="str">
            <v>Quebec</v>
          </cell>
          <cell r="F549" t="str">
            <v>CAN</v>
          </cell>
          <cell r="G549" t="str">
            <v>N</v>
          </cell>
          <cell r="H549" t="str">
            <v>CANQC</v>
          </cell>
        </row>
        <row r="550">
          <cell r="C550" t="str">
            <v>Trois-Rivieres</v>
          </cell>
          <cell r="D550" t="str">
            <v>QC</v>
          </cell>
          <cell r="E550" t="str">
            <v>Quebec</v>
          </cell>
          <cell r="F550" t="str">
            <v>CAN</v>
          </cell>
          <cell r="G550" t="str">
            <v>N</v>
          </cell>
          <cell r="H550" t="str">
            <v>CANQC</v>
          </cell>
        </row>
        <row r="551">
          <cell r="C551" t="str">
            <v>Vaudreuil</v>
          </cell>
          <cell r="D551" t="str">
            <v>QC</v>
          </cell>
          <cell r="E551" t="str">
            <v>Quebec</v>
          </cell>
          <cell r="F551" t="str">
            <v>CAN</v>
          </cell>
          <cell r="G551" t="str">
            <v>N</v>
          </cell>
          <cell r="H551" t="str">
            <v>CANQC</v>
          </cell>
        </row>
        <row r="552">
          <cell r="C552" t="str">
            <v>Victoriaville</v>
          </cell>
          <cell r="D552" t="str">
            <v>QC</v>
          </cell>
          <cell r="E552" t="str">
            <v>Quebec</v>
          </cell>
          <cell r="F552" t="str">
            <v>CAN</v>
          </cell>
          <cell r="G552" t="str">
            <v>N</v>
          </cell>
          <cell r="H552" t="str">
            <v>CANQC</v>
          </cell>
        </row>
        <row r="553">
          <cell r="C553" t="str">
            <v>Warwick</v>
          </cell>
          <cell r="D553" t="str">
            <v>QC</v>
          </cell>
          <cell r="E553" t="str">
            <v>Quebec</v>
          </cell>
          <cell r="F553" t="str">
            <v>CAN</v>
          </cell>
          <cell r="G553" t="str">
            <v>N</v>
          </cell>
          <cell r="H553" t="str">
            <v>CANQC</v>
          </cell>
        </row>
        <row r="554">
          <cell r="C554" t="str">
            <v>Acapulco</v>
          </cell>
          <cell r="D554" t="str">
            <v>-</v>
          </cell>
          <cell r="E554" t="str">
            <v>-</v>
          </cell>
          <cell r="F554" t="str">
            <v>MEX</v>
          </cell>
          <cell r="G554" t="str">
            <v>N</v>
          </cell>
          <cell r="H554" t="str">
            <v>MEX-</v>
          </cell>
        </row>
        <row r="555">
          <cell r="C555" t="str">
            <v>Cavaglia</v>
          </cell>
          <cell r="D555" t="str">
            <v>-</v>
          </cell>
          <cell r="E555" t="str">
            <v>-</v>
          </cell>
          <cell r="F555" t="str">
            <v>MEX</v>
          </cell>
          <cell r="G555" t="str">
            <v>N</v>
          </cell>
          <cell r="H555" t="str">
            <v>MEX-</v>
          </cell>
        </row>
        <row r="556">
          <cell r="C556" t="str">
            <v>Mexico City</v>
          </cell>
          <cell r="D556" t="str">
            <v>-</v>
          </cell>
          <cell r="E556" t="str">
            <v>-</v>
          </cell>
          <cell r="F556" t="str">
            <v>MEX</v>
          </cell>
          <cell r="G556" t="str">
            <v>N</v>
          </cell>
          <cell r="H556" t="str">
            <v>MEX-</v>
          </cell>
        </row>
        <row r="557">
          <cell r="C557" t="str">
            <v>Taxco</v>
          </cell>
          <cell r="D557" t="str">
            <v>-</v>
          </cell>
          <cell r="E557" t="str">
            <v>-</v>
          </cell>
          <cell r="F557" t="str">
            <v>MEX</v>
          </cell>
          <cell r="G557" t="str">
            <v>N</v>
          </cell>
          <cell r="H557" t="str">
            <v>MEX-</v>
          </cell>
        </row>
        <row r="558">
          <cell r="C558" t="str">
            <v>Washington</v>
          </cell>
          <cell r="D558" t="str">
            <v>DC</v>
          </cell>
          <cell r="E558" t="str">
            <v>Washington</v>
          </cell>
          <cell r="F558" t="str">
            <v>USA</v>
          </cell>
          <cell r="G558" t="str">
            <v>N</v>
          </cell>
          <cell r="H558" t="str">
            <v>USADC</v>
          </cell>
        </row>
        <row r="559">
          <cell r="C559" t="str">
            <v>Kissimee</v>
          </cell>
          <cell r="D559" t="str">
            <v>FL</v>
          </cell>
          <cell r="E559" t="str">
            <v>Florida</v>
          </cell>
          <cell r="F559" t="str">
            <v>USA</v>
          </cell>
          <cell r="G559" t="str">
            <v>N</v>
          </cell>
          <cell r="H559" t="str">
            <v>USAFL</v>
          </cell>
        </row>
        <row r="560">
          <cell r="C560" t="str">
            <v>Miami</v>
          </cell>
          <cell r="D560" t="str">
            <v>FL</v>
          </cell>
          <cell r="E560" t="str">
            <v>Florida</v>
          </cell>
          <cell r="F560" t="str">
            <v>USA</v>
          </cell>
          <cell r="G560" t="str">
            <v>N</v>
          </cell>
          <cell r="H560" t="str">
            <v>USAFL</v>
          </cell>
        </row>
        <row r="561">
          <cell r="C561" t="str">
            <v>Orlando</v>
          </cell>
          <cell r="D561" t="str">
            <v>FL</v>
          </cell>
          <cell r="E561" t="str">
            <v>Florida</v>
          </cell>
          <cell r="F561" t="str">
            <v>USA</v>
          </cell>
          <cell r="G561" t="str">
            <v>N</v>
          </cell>
          <cell r="H561" t="str">
            <v>USAFL</v>
          </cell>
        </row>
        <row r="562">
          <cell r="C562" t="str">
            <v>Tampa</v>
          </cell>
          <cell r="D562" t="str">
            <v>FL</v>
          </cell>
          <cell r="E562" t="str">
            <v>Florida</v>
          </cell>
          <cell r="F562" t="str">
            <v>USA</v>
          </cell>
          <cell r="G562" t="str">
            <v>N</v>
          </cell>
          <cell r="H562" t="str">
            <v>USAFL</v>
          </cell>
        </row>
        <row r="563">
          <cell r="C563" t="str">
            <v>Atlanta</v>
          </cell>
          <cell r="D563" t="str">
            <v>GE</v>
          </cell>
          <cell r="E563" t="str">
            <v>-</v>
          </cell>
          <cell r="F563" t="str">
            <v>USA</v>
          </cell>
          <cell r="G563" t="str">
            <v>N</v>
          </cell>
          <cell r="H563" t="str">
            <v>USAGE</v>
          </cell>
        </row>
        <row r="564">
          <cell r="C564" t="str">
            <v>Chicago</v>
          </cell>
          <cell r="D564" t="str">
            <v>IL</v>
          </cell>
          <cell r="E564" t="str">
            <v>Illinois</v>
          </cell>
          <cell r="F564" t="str">
            <v>USA</v>
          </cell>
          <cell r="G564" t="str">
            <v>N</v>
          </cell>
          <cell r="H564" t="str">
            <v>USAIL</v>
          </cell>
        </row>
        <row r="565">
          <cell r="C565" t="str">
            <v>New Orleans</v>
          </cell>
          <cell r="D565" t="str">
            <v>LA</v>
          </cell>
          <cell r="E565" t="str">
            <v>Louisiana</v>
          </cell>
          <cell r="F565" t="str">
            <v>USA</v>
          </cell>
          <cell r="G565" t="str">
            <v>N</v>
          </cell>
          <cell r="H565" t="str">
            <v>USALA</v>
          </cell>
        </row>
        <row r="566">
          <cell r="C566" t="str">
            <v>Detroit</v>
          </cell>
          <cell r="D566" t="str">
            <v>MI</v>
          </cell>
          <cell r="E566" t="str">
            <v>Michigan</v>
          </cell>
          <cell r="F566" t="str">
            <v>USA</v>
          </cell>
          <cell r="G566" t="str">
            <v>N</v>
          </cell>
          <cell r="H566" t="str">
            <v>USAMI</v>
          </cell>
        </row>
        <row r="567">
          <cell r="C567" t="str">
            <v>Asheville</v>
          </cell>
          <cell r="D567" t="str">
            <v>NC</v>
          </cell>
          <cell r="E567" t="str">
            <v>North Carolina</v>
          </cell>
          <cell r="F567" t="str">
            <v>USA</v>
          </cell>
          <cell r="G567" t="str">
            <v>N</v>
          </cell>
          <cell r="H567" t="str">
            <v>USANC</v>
          </cell>
        </row>
        <row r="568">
          <cell r="C568" t="str">
            <v>Newark</v>
          </cell>
          <cell r="D568" t="str">
            <v>NJ</v>
          </cell>
          <cell r="E568" t="str">
            <v>New Jersey</v>
          </cell>
          <cell r="F568" t="str">
            <v>USA</v>
          </cell>
          <cell r="G568" t="str">
            <v>N</v>
          </cell>
          <cell r="H568" t="str">
            <v>USANJ</v>
          </cell>
        </row>
        <row r="569">
          <cell r="C569" t="str">
            <v>NYC</v>
          </cell>
          <cell r="D569" t="str">
            <v>NY</v>
          </cell>
          <cell r="E569" t="str">
            <v>New York</v>
          </cell>
          <cell r="F569" t="str">
            <v>USA</v>
          </cell>
          <cell r="G569" t="str">
            <v>N</v>
          </cell>
          <cell r="H569" t="str">
            <v>USANY</v>
          </cell>
        </row>
        <row r="570">
          <cell r="C570" t="str">
            <v>Plattsburgh</v>
          </cell>
          <cell r="D570" t="str">
            <v>NY</v>
          </cell>
          <cell r="E570" t="str">
            <v>New York</v>
          </cell>
          <cell r="F570" t="str">
            <v>USA</v>
          </cell>
          <cell r="G570" t="str">
            <v>N</v>
          </cell>
          <cell r="H570" t="str">
            <v>USANY</v>
          </cell>
        </row>
        <row r="571">
          <cell r="C571" t="str">
            <v>Queensbury</v>
          </cell>
          <cell r="D571" t="str">
            <v>NY</v>
          </cell>
          <cell r="E571" t="str">
            <v>New York</v>
          </cell>
          <cell r="F571" t="str">
            <v>USA</v>
          </cell>
          <cell r="G571" t="str">
            <v>N</v>
          </cell>
          <cell r="H571" t="str">
            <v>USANY</v>
          </cell>
        </row>
        <row r="572">
          <cell r="C572" t="str">
            <v>Philadelphia</v>
          </cell>
          <cell r="D572" t="str">
            <v>PA</v>
          </cell>
          <cell r="E572" t="str">
            <v>Pennsylvania</v>
          </cell>
          <cell r="F572" t="str">
            <v>USA</v>
          </cell>
          <cell r="G572" t="str">
            <v>N</v>
          </cell>
          <cell r="H572" t="str">
            <v>USAPA</v>
          </cell>
        </row>
        <row r="573">
          <cell r="C573" t="str">
            <v>Columbia</v>
          </cell>
          <cell r="D573" t="str">
            <v>SC</v>
          </cell>
          <cell r="E573" t="str">
            <v>South Carolina</v>
          </cell>
          <cell r="F573" t="str">
            <v>USA</v>
          </cell>
          <cell r="G573" t="str">
            <v>N</v>
          </cell>
          <cell r="H573" t="str">
            <v>USASC</v>
          </cell>
        </row>
        <row r="574">
          <cell r="C574" t="str">
            <v>Burlington</v>
          </cell>
          <cell r="D574" t="str">
            <v>VE</v>
          </cell>
          <cell r="E574" t="str">
            <v>-</v>
          </cell>
          <cell r="F574" t="str">
            <v>USA</v>
          </cell>
          <cell r="G574" t="str">
            <v>N</v>
          </cell>
          <cell r="H574" t="str">
            <v>USAVE</v>
          </cell>
        </row>
        <row r="575">
          <cell r="C575" t="str">
            <v>Bariloche</v>
          </cell>
          <cell r="D575" t="str">
            <v>-</v>
          </cell>
          <cell r="E575" t="str">
            <v>-</v>
          </cell>
          <cell r="F575" t="str">
            <v>ARG</v>
          </cell>
          <cell r="G575" t="str">
            <v>S</v>
          </cell>
          <cell r="H575" t="str">
            <v>ARG-</v>
          </cell>
        </row>
        <row r="576">
          <cell r="C576" t="str">
            <v>Buenos Aires</v>
          </cell>
          <cell r="D576" t="str">
            <v>-</v>
          </cell>
          <cell r="E576" t="str">
            <v>-</v>
          </cell>
          <cell r="F576" t="str">
            <v>ARG</v>
          </cell>
          <cell r="G576" t="str">
            <v>S</v>
          </cell>
          <cell r="H576" t="str">
            <v>ARG-</v>
          </cell>
        </row>
        <row r="577">
          <cell r="C577" t="str">
            <v>San Isidro</v>
          </cell>
          <cell r="D577" t="str">
            <v>-</v>
          </cell>
          <cell r="E577" t="str">
            <v>-</v>
          </cell>
          <cell r="F577" t="str">
            <v>ARG</v>
          </cell>
          <cell r="G577" t="str">
            <v>S</v>
          </cell>
          <cell r="H577" t="str">
            <v>ARG-</v>
          </cell>
        </row>
        <row r="578">
          <cell r="C578" t="str">
            <v>Tigre</v>
          </cell>
          <cell r="D578" t="str">
            <v>-</v>
          </cell>
          <cell r="E578" t="str">
            <v>-</v>
          </cell>
          <cell r="F578" t="str">
            <v>ARG</v>
          </cell>
          <cell r="G578" t="str">
            <v>S</v>
          </cell>
          <cell r="H578" t="str">
            <v>ARG-</v>
          </cell>
        </row>
        <row r="579">
          <cell r="C579" t="str">
            <v>Cuzco</v>
          </cell>
          <cell r="D579" t="str">
            <v>-</v>
          </cell>
          <cell r="E579" t="str">
            <v>-</v>
          </cell>
          <cell r="F579" t="str">
            <v>PER</v>
          </cell>
          <cell r="G579" t="str">
            <v>S</v>
          </cell>
          <cell r="H579" t="str">
            <v>PER-</v>
          </cell>
        </row>
        <row r="580">
          <cell r="C580" t="str">
            <v>Lima</v>
          </cell>
          <cell r="D580" t="str">
            <v>-</v>
          </cell>
          <cell r="E580" t="str">
            <v>-</v>
          </cell>
          <cell r="F580" t="str">
            <v>PER</v>
          </cell>
          <cell r="G580" t="str">
            <v>S</v>
          </cell>
          <cell r="H580" t="str">
            <v>PER-</v>
          </cell>
        </row>
        <row r="581">
          <cell r="C581" t="str">
            <v>Macchu-Picchu</v>
          </cell>
          <cell r="D581" t="str">
            <v>-</v>
          </cell>
          <cell r="E581" t="str">
            <v>-</v>
          </cell>
          <cell r="F581" t="str">
            <v>PER</v>
          </cell>
          <cell r="G581" t="str">
            <v>S</v>
          </cell>
          <cell r="H581" t="str">
            <v>PER-</v>
          </cell>
        </row>
        <row r="582">
          <cell r="C582" t="str">
            <v>Montevideo</v>
          </cell>
          <cell r="D582" t="str">
            <v>-</v>
          </cell>
          <cell r="E582" t="str">
            <v>-</v>
          </cell>
          <cell r="F582" t="str">
            <v>URY</v>
          </cell>
          <cell r="G582" t="str">
            <v>S</v>
          </cell>
          <cell r="H582" t="str">
            <v>URY-</v>
          </cell>
        </row>
        <row r="583">
          <cell r="C583" t="str">
            <v>AIR</v>
          </cell>
          <cell r="D583" t="str">
            <v>-</v>
          </cell>
          <cell r="E583" t="str">
            <v>-</v>
          </cell>
          <cell r="F583" t="str">
            <v>AIR</v>
          </cell>
          <cell r="G583" t="str">
            <v>Z</v>
          </cell>
          <cell r="H583" t="str">
            <v>AIR-</v>
          </cell>
        </row>
      </sheetData>
      <sheetData sheetId="1" refreshError="1"/>
    </sheetDataSet>
  </externalBook>
</externalLink>
</file>

<file path=xl/tables/table1.xml><?xml version="1.0" encoding="utf-8"?>
<table xmlns="http://schemas.openxmlformats.org/spreadsheetml/2006/main" id="1" name="raw" displayName="raw" ref="C3:S2100" headerRowCount="1" totalsRowShown="0" headerRowDxfId="657" dataDxfId="655" headerRowBorderDxfId="656" tableBorderDxfId="654" totalsRowBorderDxfId="653" headerRowCellStyle="Neutral" dataCellStyle="Note">
  <autoFilter ref="C3:S2100"/>
  <tableColumns count="17">
    <tableColumn id="1" name="id" dataDxfId="652">
      <calculatedColumnFormula>C3+1</calculatedColumnFormula>
    </tableColumn>
    <tableColumn id="2" name="city" dataDxfId="651" dataCellStyle="Note"/>
    <tableColumn id="3" name="in" dataDxfId="650" dataCellStyle="Note"/>
    <tableColumn id="4" name="out" dataDxfId="649" dataCellStyle="Note"/>
    <tableColumn id="5" name="flight" dataDxfId="648" dataCellStyle="Note"/>
    <tableColumn id="6" name="home" dataDxfId="647" dataCellStyle="Note"/>
    <tableColumn id="7" name="transit" dataDxfId="646" dataCellStyle="Note"/>
    <tableColumn id="8" name="note" dataDxfId="645" dataCellStyle="Note"/>
    <tableColumn id="23" name="prov" dataDxfId="644" dataCellStyle="Input">
      <calculatedColumnFormula>IF(raw[[#This Row],[city]]&lt;&gt;"",_xlfn.XLOOKUP($D4,ccc[city],ccc[prov],"-"),"-")</calculatedColumnFormula>
    </tableColumn>
    <tableColumn id="9" name="ctry" dataDxfId="643" dataCellStyle="Note">
      <calculatedColumnFormula>IF(raw[[#This Row],[city]]&lt;&gt;"",_xlfn.XLOOKUP($D4,cities[city],#REF!,"-"),"-")</calculatedColumnFormula>
    </tableColumn>
    <tableColumn id="10" name="cont" dataDxfId="642" dataCellStyle="Note">
      <calculatedColumnFormula>IF(raw[[#This Row],[city]]&lt;&gt;"",_xlfn.XLOOKUP($L4,ctries[ctry],ctries[cont],"-"),"-")</calculatedColumnFormula>
    </tableColumn>
    <tableColumn id="11" name="wb" dataDxfId="641" dataCellStyle="Note">
      <calculatedColumnFormula>IF(raw[[#This Row],[city]]&lt;&gt;"",_xlfn.XLOOKUP($L4,ctries[ctry],ctries[wb],"-"),"-")</calculatedColumnFormula>
    </tableColumn>
    <tableColumn id="22" name="stay" dataDxfId="640" dataCellStyle="Note">
      <calculatedColumnFormula>IF(raw[[#This Row],[out]]=0,0,IF(raw[[#This Row],[out]]=raw[[#This Row],[in]],0.01,raw[[#This Row],[out]]-raw[[#This Row],[in]]))</calculatedColumnFormula>
    </tableColumn>
    <tableColumn id="12" name="mth" dataDxfId="639" dataCellStyle="Note">
      <calculatedColumnFormula>MONTH(raw[[#This Row],[in]])</calculatedColumnFormula>
    </tableColumn>
    <tableColumn id="13" name="yr" dataDxfId="638" dataCellStyle="Note">
      <calculatedColumnFormula>YEAR(raw[[#This Row],[in]])</calculatedColumnFormula>
    </tableColumn>
    <tableColumn id="15" name="dec" dataDxfId="637" dataCellStyle="Note">
      <calculatedColumnFormula>INT(raw[[#This Row],[yr]]/10)*10</calculatedColumnFormula>
    </tableColumn>
    <tableColumn id="14" name="notHome" dataDxfId="636" dataCellStyle="Note">
      <calculatedColumnFormula>IF(raw[[#This Row],[city]]="","-",IF(raw[[#This Row],[city]]&lt;&gt;_xlfn.XLOOKUP(raw[[#This Row],[home]],homes[home],homes[city],"-"),1,0))</calculatedColumnFormula>
    </tableColumn>
  </tableColumns>
  <tableStyleInfo name="TableStyleMedium8" showFirstColumn="0" showLastColumn="0" showRowStripes="1" showColumnStripes="0"/>
</table>
</file>

<file path=xl/tables/table2.xml><?xml version="1.0" encoding="utf-8"?>
<table xmlns="http://schemas.openxmlformats.org/spreadsheetml/2006/main" id="2" name="entryCtry" displayName="entryCtry" ref="BK3:BL305" headerRowCount="1" totalsRowShown="0" tableBorderDxfId="635">
  <autoFilter ref="BK3:BL305"/>
  <tableColumns count="2">
    <tableColumn id="2" name="ctry" dataDxfId="634">
      <calculatedColumnFormula>BI4</calculatedColumnFormula>
    </tableColumn>
    <tableColumn id="1" name="yr" dataDxfId="633">
      <calculatedColumnFormula>BJ4</calculatedColumnFormula>
    </tableColumn>
  </tableColumns>
  <tableStyleInfo name="TableStyleMedium13" showFirstColumn="0" showLastColumn="0" showRowStripes="1" showColumnStripes="0"/>
</table>
</file>

<file path=xl/tables/table3.xml><?xml version="1.0" encoding="utf-8"?>
<table xmlns="http://schemas.openxmlformats.org/spreadsheetml/2006/main" id="3" name="stayCont" displayName="stayCont" ref="AT3:AX305" headerRowCount="1" totalsRowShown="0" tableBorderDxfId="632">
  <autoFilter ref="AT3:AX305"/>
  <tableColumns count="5">
    <tableColumn id="3" name="cont" dataDxfId="631">
      <calculatedColumnFormula>AQ4</calculatedColumnFormula>
    </tableColumn>
    <tableColumn id="4" name="in" dataDxfId="630">
      <calculatedColumnFormula>IF(AR4="","-",AR4)</calculatedColumnFormula>
    </tableColumn>
    <tableColumn id="1" name="out" dataDxfId="629">
      <calculatedColumnFormula>IF(AS4="","-",AS4)</calculatedColumnFormula>
    </tableColumn>
    <tableColumn id="2" name="stay" dataDxfId="628">
      <calculatedColumnFormula>#REF!</calculatedColumnFormula>
    </tableColumn>
    <tableColumn id="5" name="id" dataDxfId="627"/>
  </tableColumns>
  <tableStyleInfo name="TableStyleMedium13" showFirstColumn="0" showLastColumn="0" showRowStripes="1" showColumnStripes="0"/>
</table>
</file>

<file path=xl/tables/table4.xml><?xml version="1.0" encoding="utf-8"?>
<table xmlns="http://schemas.openxmlformats.org/spreadsheetml/2006/main" id="4" name="stayCtry" displayName="stayCtry" ref="AK3:AO305" headerRowCount="1" totalsRowShown="0" tableBorderDxfId="626">
  <autoFilter ref="AK3:AO305"/>
  <tableColumns count="5">
    <tableColumn id="3" name="ctry" dataDxfId="625">
      <calculatedColumnFormula>AH4</calculatedColumnFormula>
    </tableColumn>
    <tableColumn id="4" name="in" dataDxfId="624">
      <calculatedColumnFormula>AI4</calculatedColumnFormula>
    </tableColumn>
    <tableColumn id="1" name="out" dataDxfId="623">
      <calculatedColumnFormula>IF(AJ4="","-",AJ4)</calculatedColumnFormula>
    </tableColumn>
    <tableColumn id="2" name="stay" dataDxfId="622">
      <calculatedColumnFormula>#REF!</calculatedColumnFormula>
    </tableColumn>
    <tableColumn id="5" name="id" dataDxfId="621">
      <calculatedColumnFormula>IF(AI4&lt;&gt;"",AO3+1,AO3)</calculatedColumnFormula>
    </tableColumn>
  </tableColumns>
  <tableStyleInfo name="TableStyleMedium13" showFirstColumn="0" showLastColumn="0" showRowStripes="1" showColumnStripes="0"/>
</table>
</file>

<file path=xl/tables/table5.xml><?xml version="1.0" encoding="utf-8"?>
<table xmlns="http://schemas.openxmlformats.org/spreadsheetml/2006/main" id="5" name="stayCity" displayName="stayCity" ref="AB3:AF903" headerRowCount="1" totalsRowShown="0" tableBorderDxfId="620">
  <autoFilter ref="AB3:AF903"/>
  <tableColumns count="5">
    <tableColumn id="3" name="city" dataDxfId="619">
      <calculatedColumnFormula array="1">_xlfn.LET(_xlpm.S,_xlfn.ANCHORARRAY($Y$4),_xlpm.r,ROWS(stayCity[[#Headers],[city]]:stayCity[[#This Row],[city]])-1,IF(_xlpm.r&lt;=ROWS(_xlpm.S),INDEX(_xlpm.S,_xlpm.r,1),""))</calculatedColumnFormula>
    </tableColumn>
    <tableColumn id="4" name="in" dataDxfId="618">
      <calculatedColumnFormula array="1">_xlfn.LET(_xlpm.S,_xlfn.ANCHORARRAY($Y$4),_xlpm.r,ROWS(stayCity[[#Headers],[city]]:stayCity[[#This Row],[city]])-1,IF(_xlpm.r&lt;=ROWS(_xlpm.S),INDEX(_xlpm.S,_xlpm.r,2),""))</calculatedColumnFormula>
    </tableColumn>
    <tableColumn id="1" name="out" dataDxfId="617">
      <calculatedColumnFormula array="1">_xlfn.LET(_xlpm.S,_xlfn.ANCHORARRAY($Y$4),_xlpm.r,ROWS(stayCity[[#Headers],[city]]:stayCity[[#This Row],[city]])-1,IF(_xlpm.r&lt;=ROWS(_xlpm.S),INDEX(_xlpm.S,_xlpm.r,3),""))</calculatedColumnFormula>
    </tableColumn>
    <tableColumn id="2" name="stay" dataDxfId="616">
      <calculatedColumnFormula>#REF!</calculatedColumnFormula>
    </tableColumn>
    <tableColumn id="7" name="yr" dataDxfId="615"/>
  </tableColumns>
  <tableStyleInfo name="TableStyleMedium13" showFirstColumn="0" showLastColumn="0" showRowStripes="1" showColumnStripes="0"/>
</table>
</file>

<file path=xl/tables/table6.xml><?xml version="1.0" encoding="utf-8"?>
<table xmlns="http://schemas.openxmlformats.org/spreadsheetml/2006/main" id="6" name="stayWB" displayName="stayWB" ref="BC3:BG305" headerRowCount="1" totalsRowShown="0" tableBorderDxfId="614">
  <autoFilter ref="BC3:BG305"/>
  <tableColumns count="5">
    <tableColumn id="3" name="wb" dataDxfId="613">
      <calculatedColumnFormula>AZ4</calculatedColumnFormula>
    </tableColumn>
    <tableColumn id="5" name="in" dataDxfId="612">
      <calculatedColumnFormula>BA4</calculatedColumnFormula>
    </tableColumn>
    <tableColumn id="4" name="out" dataDxfId="611">
      <calculatedColumnFormula>BB4</calculatedColumnFormula>
    </tableColumn>
    <tableColumn id="2" name="stay" dataDxfId="610">
      <calculatedColumnFormula>stayWB[[#This Row],[out]]-stayWB[[#This Row],[in]]</calculatedColumnFormula>
    </tableColumn>
    <tableColumn id="6" name="id" dataDxfId="609"/>
  </tableColumns>
  <tableStyleInfo name="TableStyleMedium13" showFirstColumn="0" showLastColumn="0" showRowStripes="1" showColumnStripes="0"/>
</table>
</file>

<file path=xl/tables/table7.xml><?xml version="1.0" encoding="utf-8"?>
<table xmlns="http://schemas.openxmlformats.org/spreadsheetml/2006/main" id="7" name="entryCont" displayName="entryCont" ref="BO3:BO305" headerRowCount="1" totalsRowShown="0" tableBorderDxfId="608">
  <autoFilter ref="BO3:BO305"/>
  <tableColumns count="1">
    <tableColumn id="2" name="cont" dataDxfId="607">
      <calculatedColumnFormula>BN4</calculatedColumnFormula>
    </tableColumn>
  </tableColumns>
  <tableStyleInfo name="TableStyleMedium13" showFirstColumn="0" showLastColumn="0" showRowStripes="1" showColumnStripes="0"/>
</table>
</file>

<file path=xl/tables/table8.xml><?xml version="1.0" encoding="utf-8"?>
<table xmlns="http://schemas.openxmlformats.org/spreadsheetml/2006/main" id="8" name="cities" displayName="cities" ref="J4:M654" headerRowCount="1" totalsRowShown="0" headerRowDxfId="606" dataDxfId="604" headerRowBorderDxfId="605" tableBorderDxfId="603">
  <autoFilter ref="J4:M654"/>
  <sortState ref="J5:M654">
    <sortCondition ref="J4:J654"/>
  </sortState>
  <tableColumns count="4">
    <tableColumn id="1" name="id" dataDxfId="602"/>
    <tableColumn id="2" name="city" dataDxfId="601"/>
    <tableColumn id="3" name="ctry" dataDxfId="600">
      <calculatedColumnFormula>_xlfn.XLOOKUP(cities[[#This Row],[city]],ccc[city],ccc[ctry],"-")</calculatedColumnFormula>
    </tableColumn>
    <tableColumn id="5" name="stay" dataDxfId="599">
      <calculatedColumnFormula>SUMIFS(stayCity[stay],stayCity[city],cities[[#This Row],[city]])</calculatedColumnFormula>
    </tableColumn>
  </tableColumns>
  <tableStyleInfo name="TableStyleMedium15" showFirstColumn="0" showLastColumn="0" showRowStripes="1" showColumnStripes="0"/>
</table>
</file>

<file path=xl/tables/table9.xml><?xml version="1.0" encoding="utf-8"?>
<table xmlns="http://schemas.openxmlformats.org/spreadsheetml/2006/main" id="9" name="ctries" displayName="ctries" ref="U4:Y55" headerRowCount="1" totalsRowShown="0" headerRowDxfId="598" dataDxfId="596" headerRowBorderDxfId="597" tableBorderDxfId="595">
  <autoFilter ref="U4:Y55"/>
  <sortState ref="U5:Y55">
    <sortCondition ref="U4:U55"/>
  </sortState>
  <tableColumns count="5">
    <tableColumn id="1" name="id" dataDxfId="594"/>
    <tableColumn id="2" name="ctry" dataDxfId="593">
      <calculatedColumnFormula>_xlfn.XLOOKUP(ctries[[#This Row],[id]],$R$5:$R$1000,S$5:S$1000,"-")</calculatedColumnFormula>
    </tableColumn>
    <tableColumn id="5" name="Ncity" dataDxfId="592">
      <calculatedColumnFormula>COUNTIF(#REF!,ctries[[#This Row],[ctry]])</calculatedColumnFormula>
    </tableColumn>
    <tableColumn id="3" name="cont" dataDxfId="591"/>
    <tableColumn id="4" name="wb" dataDxfId="590"/>
  </tableColumns>
  <tableStyleInfo name="TableStyleMedium8" showFirstColumn="0" showLastColumn="0" showRowStripes="1" showColumnStripes="0"/>
</table>
</file>

<file path=xl/tables/table10.xml><?xml version="1.0" encoding="utf-8"?>
<table xmlns="http://schemas.openxmlformats.org/spreadsheetml/2006/main" id="10" name="tblExc" displayName="tblExc" ref="B4:C56" headerRowCount="1" totalsRowShown="0" headerRowDxfId="589" dataDxfId="587" headerRowBorderDxfId="588" tableBorderDxfId="586">
  <autoFilter ref="B4:C56"/>
  <sortState ref="B5:C56">
    <sortCondition ref="C4:C56"/>
  </sortState>
  <tableColumns count="2">
    <tableColumn id="1" name="id" dataDxfId="585">
      <calculatedColumnFormula>IF(C5&lt;&gt;"",B4+1,B4)</calculatedColumnFormula>
    </tableColumn>
    <tableColumn id="2" name="exceptions" dataDxfId="584"/>
  </tableColumns>
  <tableStyleInfo name="TableStyleMedium10" showFirstColumn="0" showLastColumn="0" showRowStripes="1" showColumnStripes="0"/>
</table>
</file>

<file path=xl/tables/table11.xml><?xml version="1.0" encoding="utf-8"?>
<table xmlns="http://schemas.openxmlformats.org/spreadsheetml/2006/main" id="11" name="routes" displayName="routes" ref="AF4:AL205" headerRowCount="1" totalsRowShown="0" headerRowDxfId="583" dataDxfId="581" headerRowBorderDxfId="582" tableBorderDxfId="580">
  <autoFilter ref="AF4:AL205"/>
  <sortState ref="AF5:AL205">
    <sortCondition ref="AF4:AF205"/>
  </sortState>
  <tableColumns count="7">
    <tableColumn id="1" name="id" dataDxfId="579"/>
    <tableColumn id="2" name="route" dataDxfId="578">
      <calculatedColumnFormula>_xlfn.XLOOKUP(routes[[#This Row],[id]],$AA$5:$AA$300,$AB$5:$AB$300,"-")</calculatedColumnFormula>
    </tableColumn>
    <tableColumn id="6" name="outbound" dataDxfId="577">
      <calculatedColumnFormula>_xlfn.XLOOKUP(routes[[#This Row],[id]],$AA$5:$AA$300,$AC$5:$AC$300,"-")</calculatedColumnFormula>
    </tableColumn>
    <tableColumn id="5" name="inbound" dataDxfId="576">
      <calculatedColumnFormula>_xlfn.XLOOKUP(routes[[#This Row],[id]],$AA$5:$AA$300,$AD$5:$AD$300,"-")</calculatedColumnFormula>
    </tableColumn>
    <tableColumn id="3" name="km" dataDxfId="575">
      <calculatedColumnFormula>_xlfn.XLOOKUP(routes[[#This Row],[id]],$AA$5:$AA$300,#REF!,"-")</calculatedColumnFormula>
    </tableColumn>
    <tableColumn id="4" name="rpt" dataDxfId="574">
      <calculatedColumnFormula>COUNTIF(INPUT!BT$5:BT$1000,AG5)</calculatedColumnFormula>
    </tableColumn>
    <tableColumn id="7" name="total" dataDxfId="573">
      <calculatedColumnFormula>routes[[#This Row],[km]]*routes[[#This Row],[rpt]]/1000</calculatedColumnFormula>
    </tableColumn>
  </tableColumns>
  <tableStyleInfo name="TableStyleMedium15" showFirstColumn="0" showLastColumn="0" showRowStripes="1" showColumnStripes="0"/>
</table>
</file>

<file path=xl/tables/table12.xml><?xml version="1.0" encoding="utf-8"?>
<table xmlns="http://schemas.openxmlformats.org/spreadsheetml/2006/main" id="12" name="cityRoutes" displayName="cityRoutes" ref="AN4:AR173" headerRowCount="1" totalsRowShown="0" headerRowDxfId="572" dataDxfId="570" headerRowBorderDxfId="571" tableBorderDxfId="569" totalsRowBorderDxfId="568">
  <autoFilter ref="AN4:AR173"/>
  <tableColumns count="5">
    <tableColumn id="1" name="#" dataDxfId="567"/>
    <tableColumn id="2" name="city" dataDxfId="566">
      <calculatedColumnFormula>IF(AD5&lt;&gt;"",AD5,"-")</calculatedColumnFormula>
    </tableColumn>
    <tableColumn id="3" name="ctry" dataDxfId="565">
      <calculatedColumnFormula>_xlfn.XLOOKUP(cityRoutes[[#This Row],[city]],ccc[city],ccc[ctry],"-")</calculatedColumnFormula>
    </tableColumn>
    <tableColumn id="4" name="rpt" dataDxfId="564">
      <calculatedColumnFormula>COUNTIF(INPUT!BR$5:BS$1000,AO5)</calculatedColumnFormula>
    </tableColumn>
    <tableColumn id="5" name="km" dataDxfId="563"/>
  </tableColumns>
  <tableStyleInfo name="TableStyleMedium15" showFirstColumn="0" showLastColumn="0" showRowStripes="1" showColumnStripes="0"/>
</table>
</file>

<file path=xl/tables/table13.xml><?xml version="1.0" encoding="utf-8"?>
<table xmlns="http://schemas.openxmlformats.org/spreadsheetml/2006/main" id="13" name="homes" displayName="homes" ref="AV4:BG54" headerRowCount="1" totalsRowShown="0" headerRowDxfId="562" dataDxfId="560" headerRowBorderDxfId="561" tableBorderDxfId="559" totalsRowBorderDxfId="558">
  <autoFilter ref="AV4:BG54"/>
  <tableColumns count="12">
    <tableColumn id="1" name="id" dataDxfId="557">
      <calculatedColumnFormula>IF(AT5&lt;=AT$3,AT5,0)</calculatedColumnFormula>
    </tableColumn>
    <tableColumn id="2" name="home" dataDxfId="556">
      <calculatedColumnFormula>AU5</calculatedColumnFormula>
    </tableColumn>
    <tableColumn id="3" name="city" dataDxfId="555">
      <calculatedColumnFormula>_xlfn.XLOOKUP(homes[[#This Row],[home]],raw[home],raw[city],"-")</calculatedColumnFormula>
    </tableColumn>
    <tableColumn id="4" name="ctry" dataDxfId="554"/>
    <tableColumn id="5" name="1st date" dataDxfId="553" dataCellStyle="Neutral"/>
    <tableColumn id="6" name="Last date" dataDxfId="552" dataCellStyle="Neutral"/>
    <tableColumn id="7" name="rpt" dataDxfId="551">
      <calculatedColumnFormula>COUNTIF(INPUT!BX5:BX100,AU5)</calculatedColumnFormula>
    </tableColumn>
    <tableColumn id="8" name="main" dataDxfId="550">
      <calculatedColumnFormula>INT(SUMIFS(raw[stay],raw[home],homes[[#This Row],[home]]))</calculatedColumnFormula>
    </tableColumn>
    <tableColumn id="9" name="netmain" dataDxfId="549">
      <calculatedColumnFormula>INT(SUMIFS(raw[stay],raw[home],homes[[#This Row],[home]],raw[notHome],0))</calculatedColumnFormula>
    </tableColumn>
    <tableColumn id="12" name="%" dataDxfId="548" dataCellStyle="Per cent">
      <calculatedColumnFormula>IF(homes[[#This Row],[main]]=0,"-",homes[[#This Row],[netmain]]/homes[[#This Row],[main]])</calculatedColumnFormula>
    </tableColumn>
    <tableColumn id="10" name="extra" dataDxfId="547">
      <calculatedColumnFormula>INT(SUMIFS(raw[stay],raw[transit],homes[[#This Row],[home]]))</calculatedColumnFormula>
    </tableColumn>
    <tableColumn id="11" name="total" dataDxfId="546">
      <calculatedColumnFormula>homes[[#This Row],[netmain]]+homes[[#This Row],[extra]]</calculatedColumnFormula>
    </tableColumn>
  </tableColumns>
  <tableStyleInfo name="TableStyleMedium10" showFirstColumn="0" showLastColumn="0" showRowStripes="1" showColumnStripes="0"/>
</table>
</file>

<file path=xl/tables/table14.xml><?xml version="1.0" encoding="utf-8"?>
<table xmlns="http://schemas.openxmlformats.org/spreadsheetml/2006/main" id="14" name="homeCities" displayName="homeCities" ref="BL4:BN20" headerRowCount="1" totalsRowShown="0" dataDxfId="545" tableBorderDxfId="544">
  <autoFilter ref="BL4:BN20"/>
  <tableColumns count="3">
    <tableColumn id="1" name="#" dataDxfId="543">
      <calculatedColumnFormula>IF(BJ5="",0,BI5)</calculatedColumnFormula>
    </tableColumn>
    <tableColumn id="2" name="homeCity" dataDxfId="542">
      <calculatedColumnFormula>BJ5</calculatedColumnFormula>
    </tableColumn>
    <tableColumn id="3" name="homeCtry" dataDxfId="541">
      <calculatedColumnFormula>_xlfn.XLOOKUP(homeCities[[#This Row],[homeCity]],ccc[city],ccc[ctry],"-")</calculatedColumnFormula>
    </tableColumn>
  </tableColumns>
  <tableStyleInfo name="TableStyleMedium10" showFirstColumn="0" showLastColumn="0" showRowStripes="1" showColumnStripes="0"/>
</table>
</file>

<file path=xl/tables/table15.xml><?xml version="1.0" encoding="utf-8"?>
<table xmlns="http://schemas.openxmlformats.org/spreadsheetml/2006/main" id="15" name="ccc" displayName="ccc" ref="BP4:BV631" headerRowCount="1" totalsRowShown="0" headerRowDxfId="540" headerRowBorderDxfId="539" tableBorderDxfId="538" totalsRowBorderDxfId="537">
  <autoFilter ref="BP4:BV631"/>
  <sortState ref="BP5:BV631">
    <sortCondition ref="BQ4:BQ631"/>
  </sortState>
  <tableColumns count="7">
    <tableColumn id="1" name="id" dataDxfId="536" dataCellStyle="Input"/>
    <tableColumn id="2" name="city" dataDxfId="535"/>
    <tableColumn id="3" name="prov" dataDxfId="534"/>
    <tableColumn id="6" name="prov_full" dataDxfId="533">
      <calculatedColumnFormula>_xlfn.XLOOKUP(ccc[[#This Row],[C+P]],prov[P+C],prov[prov_full],"-")</calculatedColumnFormula>
    </tableColumn>
    <tableColumn id="4" name="ctry" dataDxfId="532"/>
    <tableColumn id="5" name="cont" dataDxfId="531">
      <calculatedColumnFormula>_xlfn.XLOOKUP(ccc[[#This Row],[ctry]],cont[ctry],cont[cont],"-")</calculatedColumnFormula>
    </tableColumn>
    <tableColumn id="7" name="C+P" dataDxfId="530">
      <calculatedColumnFormula>ccc[[#This Row],[ctry]]&amp;ccc[[#This Row],[prov]]</calculatedColumnFormula>
    </tableColumn>
  </tableColumns>
  <tableStyleInfo name="TableStyleMedium9" showFirstColumn="0" showLastColumn="0" showRowStripes="1" showColumnStripes="0"/>
</table>
</file>

<file path=xl/tables/table16.xml><?xml version="1.0" encoding="utf-8"?>
<table xmlns="http://schemas.openxmlformats.org/spreadsheetml/2006/main" id="16" name="temp" displayName="temp" ref="CH4:CJ105" headerRowCount="1" totalsRowShown="0" headerRowDxfId="529">
  <autoFilter ref="CH4:CJ105"/>
  <sortState ref="CH5:CJ78">
    <sortCondition ref="CH4:CH78"/>
  </sortState>
  <tableColumns count="3">
    <tableColumn id="1" name="city"/>
    <tableColumn id="2" name="prov"/>
    <tableColumn id="3" name="abrev"/>
  </tableColumns>
  <tableStyleInfo name="TableStyleMedium3" showFirstColumn="0" showLastColumn="0" showRowStripes="1" showColumnStripes="0"/>
</table>
</file>

<file path=xl/tables/table17.xml><?xml version="1.0" encoding="utf-8"?>
<table xmlns="http://schemas.openxmlformats.org/spreadsheetml/2006/main" id="17" name="prov" displayName="prov" ref="BX4:CA257" headerRowCount="1" totalsRowShown="0" headerRowDxfId="528" dataDxfId="526" headerRowBorderDxfId="527" tableBorderDxfId="525" totalsRowBorderDxfId="524">
  <autoFilter ref="BX4:CA257"/>
  <sortState ref="BX5:CA257">
    <sortCondition ref="BX4:BX257"/>
  </sortState>
  <tableColumns count="4">
    <tableColumn id="4" name="ctry" dataDxfId="523"/>
    <tableColumn id="1" name="prov" dataDxfId="522"/>
    <tableColumn id="2" name="prov_full" dataCellStyle="Input"/>
    <tableColumn id="3" name="P+C" dataDxfId="521">
      <calculatedColumnFormula>[1]Sheet1!$M6</calculatedColumnFormula>
    </tableColumn>
  </tableColumns>
  <tableStyleInfo name="TableStyleMedium6" showFirstColumn="0" showLastColumn="0" showRowStripes="1" showColumnStripes="0"/>
</table>
</file>

<file path=xl/tables/table18.xml><?xml version="1.0" encoding="utf-8"?>
<table xmlns="http://schemas.openxmlformats.org/spreadsheetml/2006/main" id="18" name="cont" displayName="cont" ref="CD4:CF105" headerRowCount="1" totalsRowShown="0" headerRowDxfId="520" dataDxfId="519" tableBorderDxfId="518">
  <autoFilter ref="CD4:CF105"/>
  <sortState ref="CD5:CF105">
    <sortCondition ref="CF4:CF105"/>
  </sortState>
  <tableColumns count="3">
    <tableColumn id="1" name="ctry_name" dataDxfId="517"/>
    <tableColumn id="2" name="ctry" dataDxfId="516"/>
    <tableColumn id="3" name="cont" dataDxfId="515"/>
  </tableColumns>
  <tableStyleInfo name="TableStyleMedium13" showFirstColumn="0" showLastColumn="0" showRowStripes="1" showColumnStripes="0"/>
</table>
</file>

<file path=xl/tables/table19.xml><?xml version="1.0" encoding="utf-8"?>
<table xmlns="http://schemas.openxmlformats.org/spreadsheetml/2006/main" id="19" name="routesUniv" displayName="routesUniv" ref="CL4:CP204" headerRowCount="1" totalsRowShown="0" headerRowDxfId="514" dataDxfId="512" headerRowBorderDxfId="513" tableBorderDxfId="511">
  <autoFilter ref="CL4:CP204"/>
  <sortState ref="CL5:CP204">
    <sortCondition ref="CM4:CM204"/>
  </sortState>
  <tableColumns count="5">
    <tableColumn id="1" name="id" dataDxfId="510"/>
    <tableColumn id="2" name="route" dataDxfId="509"/>
    <tableColumn id="3" name="outbound" dataDxfId="508"/>
    <tableColumn id="4" name="inbound" dataDxfId="507"/>
    <tableColumn id="5" name="km" dataDxfId="506"/>
  </tableColumns>
  <tableStyleInfo name="TableStyleMedium15" showFirstColumn="0" showLastColumn="0" showRowStripes="1" showColumnStripes="0"/>
</table>
</file>

<file path=xl/tables/table20.xml><?xml version="1.0" encoding="utf-8"?>
<table xmlns="http://schemas.openxmlformats.org/spreadsheetml/2006/main" id="20" name="mainW" displayName="mainW" ref="B7:AN39" headerRowCount="1" totalsRowShown="0" headerRowDxfId="505" dataDxfId="504" tableBorderDxfId="503">
  <autoFilter ref="B7:AN39"/>
  <sortState ref="B8:AN39">
    <sortCondition descending="1" ref="C7:C39"/>
  </sortState>
  <tableColumns count="39">
    <tableColumn id="1" name="#" dataDxfId="502"/>
    <tableColumn id="2" name="total" dataDxfId="501">
      <calculatedColumnFormula>INT(SUM(H8:AO8))</calculatedColumnFormula>
    </tableColumn>
    <tableColumn id="3" name="seq" dataDxfId="500">
      <calculatedColumnFormula array="1">MAX(IF(stayCtry[ctry]=$G8,stayCtry[stay]))</calculatedColumnFormula>
    </tableColumn>
    <tableColumn id="4" name="entries" dataDxfId="499">
      <calculatedColumnFormula>COUNTIF(entryCtry[],mainW[[#This Row],[ctry]])</calculatedColumnFormula>
    </tableColumn>
    <tableColumn id="5" name="yrs" dataDxfId="498">
      <calculatedColumnFormula>COUNTIF(H8:AO8,"&gt;=1")+COUNTIFS(H8:AO8,"&gt;0",H8:AO8,"&lt;1")/100</calculatedColumnFormula>
    </tableColumn>
    <tableColumn id="6" name="ctry" dataDxfId="497" dataCellStyle="Check Cell">
      <calculatedColumnFormula>_xlfn.XLOOKUP(mainW[[#This Row],['#]],ctries[id],ctries[ctry],"-")</calculatedColumnFormula>
    </tableColumn>
    <tableColumn id="7" name="82" dataDxfId="496">
      <calculatedColumnFormula>SUMIFS(raw[stay],raw[ctry],mainW[[#This Row],[ctry]],raw[yr],H$1)</calculatedColumnFormula>
    </tableColumn>
    <tableColumn id="8" name="84" dataDxfId="495">
      <calculatedColumnFormula>SUMIFS(raw[stay],raw[ctry],mainW[[#This Row],[ctry]],raw[yr],I$1)</calculatedColumnFormula>
    </tableColumn>
    <tableColumn id="9" name="87" dataDxfId="494">
      <calculatedColumnFormula>SUMIFS(raw[stay],raw[ctry],mainW[[#This Row],[ctry]],raw[yr],J$1)</calculatedColumnFormula>
    </tableColumn>
    <tableColumn id="10" name="89" dataDxfId="493">
      <calculatedColumnFormula>SUMIFS(raw[stay],raw[ctry],mainW[[#This Row],[ctry]],raw[yr],K$1)</calculatedColumnFormula>
    </tableColumn>
    <tableColumn id="11" name="95" dataDxfId="492">
      <calculatedColumnFormula>SUMIFS(raw[stay],raw[ctry],mainW[[#This Row],[ctry]],raw[yr],L$1)</calculatedColumnFormula>
    </tableColumn>
    <tableColumn id="12" name="96" dataDxfId="491">
      <calculatedColumnFormula>SUMIFS(raw[stay],raw[ctry],mainW[[#This Row],[ctry]],raw[yr],M$1)</calculatedColumnFormula>
    </tableColumn>
    <tableColumn id="13" name="97" dataDxfId="490">
      <calculatedColumnFormula>SUMIFS(raw[stay],raw[ctry],mainW[[#This Row],[ctry]],raw[yr],N$1)</calculatedColumnFormula>
    </tableColumn>
    <tableColumn id="14" name="98" dataDxfId="489">
      <calculatedColumnFormula>SUMIFS(raw[stay],raw[ctry],mainW[[#This Row],[ctry]],raw[yr],O$1)</calculatedColumnFormula>
    </tableColumn>
    <tableColumn id="15" name="99" dataDxfId="488">
      <calculatedColumnFormula>SUMIFS(raw[stay],raw[ctry],mainW[[#This Row],[ctry]],raw[yr],P$1)</calculatedColumnFormula>
    </tableColumn>
    <tableColumn id="16" name="03" dataDxfId="487">
      <calculatedColumnFormula>SUMIFS(raw[stay],raw[ctry],mainW[[#This Row],[ctry]],raw[yr],Q$1)</calculatedColumnFormula>
    </tableColumn>
    <tableColumn id="17" name="04" dataDxfId="486">
      <calculatedColumnFormula>SUMIFS(raw[stay],raw[ctry],mainW[[#This Row],[ctry]],raw[yr],R$1)</calculatedColumnFormula>
    </tableColumn>
    <tableColumn id="18" name="05" dataDxfId="485">
      <calculatedColumnFormula>SUMIFS(raw[stay],raw[ctry],mainW[[#This Row],[ctry]],raw[yr],S$1)</calculatedColumnFormula>
    </tableColumn>
    <tableColumn id="19" name="06" dataDxfId="484">
      <calculatedColumnFormula>SUMIFS(raw[stay],raw[ctry],mainW[[#This Row],[ctry]],raw[yr],T$1)</calculatedColumnFormula>
    </tableColumn>
    <tableColumn id="20" name="07" dataDxfId="483">
      <calculatedColumnFormula>SUMIFS(raw[stay],raw[ctry],mainW[[#This Row],[ctry]],raw[yr],U$1)</calculatedColumnFormula>
    </tableColumn>
    <tableColumn id="21" name="08" dataDxfId="482">
      <calculatedColumnFormula>SUMIFS(raw[stay],raw[ctry],mainW[[#This Row],[ctry]],raw[yr],V$1)</calculatedColumnFormula>
    </tableColumn>
    <tableColumn id="22" name="09" dataDxfId="481">
      <calculatedColumnFormula>SUMIFS(raw[stay],raw[ctry],mainW[[#This Row],[ctry]],raw[yr],W$1)</calculatedColumnFormula>
    </tableColumn>
    <tableColumn id="23" name="10" dataDxfId="480">
      <calculatedColumnFormula>SUMIFS(raw[stay],raw[ctry],mainW[[#This Row],[ctry]],raw[yr],X$1)</calculatedColumnFormula>
    </tableColumn>
    <tableColumn id="24" name="11" dataDxfId="479">
      <calculatedColumnFormula>SUMIFS(raw[stay],raw[ctry],mainW[[#This Row],[ctry]],raw[yr],Y$1)</calculatedColumnFormula>
    </tableColumn>
    <tableColumn id="25" name="12" dataDxfId="478">
      <calculatedColumnFormula>SUMIFS(raw[stay],raw[ctry],mainW[[#This Row],[ctry]],raw[yr],Z$1)</calculatedColumnFormula>
    </tableColumn>
    <tableColumn id="26" name="13" dataDxfId="477">
      <calculatedColumnFormula>SUMIFS(raw[stay],raw[ctry],mainW[[#This Row],[ctry]],raw[yr],AA$1)</calculatedColumnFormula>
    </tableColumn>
    <tableColumn id="27" name="14" dataDxfId="476">
      <calculatedColumnFormula>SUMIFS(raw[stay],raw[ctry],mainW[[#This Row],[ctry]],raw[yr],AB$1)</calculatedColumnFormula>
    </tableColumn>
    <tableColumn id="28" name="15" dataDxfId="475">
      <calculatedColumnFormula>SUMIFS(raw[stay],raw[ctry],mainW[[#This Row],[ctry]],raw[yr],AC$1)</calculatedColumnFormula>
    </tableColumn>
    <tableColumn id="29" name="16" dataDxfId="474">
      <calculatedColumnFormula>SUMIFS(raw[stay],raw[ctry],mainW[[#This Row],[ctry]],raw[yr],AD$1)</calculatedColumnFormula>
    </tableColumn>
    <tableColumn id="30" name="17" dataDxfId="473">
      <calculatedColumnFormula>SUMIFS(raw[stay],raw[ctry],mainW[[#This Row],[ctry]],raw[yr],AE$1)</calculatedColumnFormula>
    </tableColumn>
    <tableColumn id="31" name="18" dataDxfId="472">
      <calculatedColumnFormula>SUMIFS(raw[stay],raw[ctry],mainW[[#This Row],[ctry]],raw[yr],AF$1)</calculatedColumnFormula>
    </tableColumn>
    <tableColumn id="32" name="19" dataDxfId="471">
      <calculatedColumnFormula>SUMIFS(raw[stay],raw[ctry],mainW[[#This Row],[ctry]],raw[yr],AG$1)</calculatedColumnFormula>
    </tableColumn>
    <tableColumn id="33" name="20" dataDxfId="470">
      <calculatedColumnFormula>SUMIFS(raw[stay],raw[ctry],mainW[[#This Row],[ctry]],raw[yr],AH$1)</calculatedColumnFormula>
    </tableColumn>
    <tableColumn id="34" name="21" dataDxfId="469"/>
    <tableColumn id="35" name="22" dataDxfId="468"/>
    <tableColumn id="36" name="23" dataDxfId="467"/>
    <tableColumn id="37" name="24" dataDxfId="466"/>
    <tableColumn id="38" name="25" dataDxfId="465"/>
    <tableColumn id="39" name="26" dataDxfId="464">
      <calculatedColumnFormula>SUMIFS(raw[stay],raw[ctry],mainW[[#This Row],[ctry]],raw[yr],AN$1)</calculatedColumnFormula>
    </tableColumn>
  </tableColumns>
  <tableStyleInfo name="TableStyleMedium15" showFirstColumn="0" showLastColumn="0" showRowStripes="1" showColumnStripes="0"/>
</table>
</file>

<file path=xl/tables/table21.xml><?xml version="1.0" encoding="utf-8"?>
<table xmlns="http://schemas.openxmlformats.org/spreadsheetml/2006/main" id="21" name="citySeq" displayName="citySeq" ref="AP11:AY46" headerRowCount="1" totalsRowShown="0" headerRowDxfId="463" dataDxfId="461" headerRowBorderDxfId="462" tableBorderDxfId="460" headerRowCellStyle="Check Cell">
  <autoFilter ref="AP11:AY46"/>
  <sortState ref="AP12:AY46">
    <sortCondition descending="1" ref="AY11:AY46"/>
  </sortState>
  <tableColumns count="10">
    <tableColumn id="7" name="id" dataDxfId="459"/>
    <tableColumn id="1" name="city" dataDxfId="458">
      <calculatedColumnFormula>'@Refr'!P5</calculatedColumnFormula>
    </tableColumn>
    <tableColumn id="2" name="ctry" dataDxfId="457">
      <calculatedColumnFormula>_xlfn.XLOOKUP(citySeq[[#This Row],[city]],cities[city],#REF!)</calculatedColumnFormula>
    </tableColumn>
    <tableColumn id="8" name="1st date" dataDxfId="456">
      <calculatedColumnFormula>_xlfn.MINIFS(stayCity[in], stayCity[city], citySeq[[#This Row],[city]])</calculatedColumnFormula>
    </tableColumn>
    <tableColumn id="9" name="Last date" dataDxfId="455">
      <calculatedColumnFormula>_xlfn.MAXIFS(stayCity[out], stayCity[city], citySeq[[#This Row],[city]])</calculatedColumnFormula>
    </tableColumn>
    <tableColumn id="3" name="seq in" dataDxfId="454">
      <calculatedColumnFormula>_xlfn.XLOOKUP(citySeq[[#This Row],[seq]],stayCity[stay],stayCity[in],"-")</calculatedColumnFormula>
    </tableColumn>
    <tableColumn id="4" name="seq out" dataDxfId="453">
      <calculatedColumnFormula>_xlfn.XLOOKUP(citySeq[[#This Row],[seq]],stayCity[stay],stayCity[out],"-")</calculatedColumnFormula>
    </tableColumn>
    <tableColumn id="5" name="seq" dataDxfId="452">
      <calculatedColumnFormula array="1">MAX(IF(stayCity[city]=citySeq[[#This Row],[city]],stayCity[stay]))</calculatedColumnFormula>
    </tableColumn>
    <tableColumn id="10" name="yrs" dataDxfId="451">
      <calculatedColumnFormula array="1">ROWS(_xlfn.UNIQUE(_xlfn._xlws.FILTER(raw[yr], raw[city]=citySeq[[#This Row],[city]])))</calculatedColumnFormula>
    </tableColumn>
    <tableColumn id="6" name="total" dataDxfId="450">
      <calculatedColumnFormula>_xlfn.XLOOKUP(citySeq[[#This Row],[city]],cities[city],cities[stay])</calculatedColumnFormula>
    </tableColumn>
  </tableColumns>
  <tableStyleInfo name="TableStyleMedium18" showFirstColumn="0" showLastColumn="0" showRowStripes="1" showColumnStripes="0"/>
</table>
</file>

<file path=xl/tables/table22.xml><?xml version="1.0" encoding="utf-8"?>
<table xmlns="http://schemas.openxmlformats.org/spreadsheetml/2006/main" id="22" name="wcontSeq" displayName="wcontSeq" ref="AQ2:AY9" headerRowCount="1" totalsRowShown="0" headerRowDxfId="449" dataDxfId="447" headerRowBorderDxfId="448" tableBorderDxfId="446" totalsRowBorderDxfId="445" headerRowCellStyle="Check Cell">
  <autoFilter ref="AQ2:AY9"/>
  <sortState ref="AQ3:AY9">
    <sortCondition descending="1" ref="AR2:AR9"/>
  </sortState>
  <tableColumns count="9">
    <tableColumn id="1" name="w/cont" dataDxfId="444" dataCellStyle="20% - Accent3"/>
    <tableColumn id="2" name="entries" dataDxfId="443">
      <calculatedColumnFormula>INPUT!#REF!/2</calculatedColumnFormula>
    </tableColumn>
    <tableColumn id="7" name="1st date" dataDxfId="442">
      <calculatedColumnFormula>_xlfn.MINIFS(stayCont[in], stayCont[cont], wcontSeq[[#This Row],[w/cont]])</calculatedColumnFormula>
    </tableColumn>
    <tableColumn id="9" name="Last date" dataDxfId="441">
      <calculatedColumnFormula>_xlfn.MAXIFS(stayCont[out], stayCont[cont], wcontSeq[[#This Row],[w/cont]])</calculatedColumnFormula>
    </tableColumn>
    <tableColumn id="3" name="seq in" dataDxfId="440">
      <calculatedColumnFormula>_xlfn.XLOOKUP(wcontSeq[[#This Row],[seq]],stayCont[stay],stayCont[in],"-")</calculatedColumnFormula>
    </tableColumn>
    <tableColumn id="4" name="seq out" dataDxfId="439">
      <calculatedColumnFormula>_xlfn.XLOOKUP(wcontSeq[[#This Row],[seq]],stayCont[stay],stayCont[out],"-")</calculatedColumnFormula>
    </tableColumn>
    <tableColumn id="5" name="seq" dataDxfId="438">
      <calculatedColumnFormula array="1">MAX(IF(stayWB[wb]=$AQ3,stayWB[stay]))</calculatedColumnFormula>
    </tableColumn>
    <tableColumn id="8" name="yrs" dataDxfId="437">
      <calculatedColumnFormula array="1">ROWS(_xlfn.UNIQUE(_xlfn._xlws.FILTER(raw[yr], raw[cont]=wcontSeq[[#This Row],[w/cont]])))</calculatedColumnFormula>
    </tableColumn>
    <tableColumn id="6" name="total" dataDxfId="436"/>
  </tableColumns>
  <tableStyleInfo name="TableStyleMedium20" showFirstColumn="0" showLastColumn="0" showRowStripes="1" showColumnStripes="0"/>
</table>
</file>

<file path=xl/tables/table23.xml><?xml version="1.0" encoding="utf-8"?>
<table xmlns="http://schemas.openxmlformats.org/spreadsheetml/2006/main" id="23" name="BRcity" displayName="BRcity" ref="G61:AN69" headerRowCount="1" totalsRowShown="0" headerRowDxfId="435" dataDxfId="433" headerRowBorderDxfId="434" tableBorderDxfId="432" totalsRowBorderDxfId="431">
  <autoFilter ref="G61:AN69"/>
  <tableColumns count="34">
    <tableColumn id="1" name="city" dataDxfId="430"/>
    <tableColumn id="2" name="91" dataDxfId="429">
      <calculatedColumnFormula>SUMIFS(raw[stay],raw[city],BRcity[[#This Row],[city]],raw[yr],H$51)</calculatedColumnFormula>
    </tableColumn>
    <tableColumn id="3" name="92" dataDxfId="428">
      <calculatedColumnFormula>SUMIFS(raw[stay],raw[city],BRcity[[#This Row],[city]],raw[yr],I$51)</calculatedColumnFormula>
    </tableColumn>
    <tableColumn id="4" name="93" dataDxfId="427">
      <calculatedColumnFormula>SUMIFS(raw[stay],raw[city],BRcity[[#This Row],[city]],raw[yr],J$51)</calculatedColumnFormula>
    </tableColumn>
    <tableColumn id="5" name="94" dataDxfId="426">
      <calculatedColumnFormula>SUMIFS(raw[stay],raw[city],BRcity[[#This Row],[city]],raw[yr],K$51)</calculatedColumnFormula>
    </tableColumn>
    <tableColumn id="6" name="95" dataDxfId="425">
      <calculatedColumnFormula>SUMIFS(raw[stay],raw[city],BRcity[[#This Row],[city]],raw[yr],L$51)</calculatedColumnFormula>
    </tableColumn>
    <tableColumn id="7" name="96" dataDxfId="424">
      <calculatedColumnFormula>SUMIFS(raw[stay],raw[city],BRcity[[#This Row],[city]],raw[yr],M$51)</calculatedColumnFormula>
    </tableColumn>
    <tableColumn id="8" name="97" dataDxfId="423">
      <calculatedColumnFormula>SUMIFS(raw[stay],raw[city],BRcity[[#This Row],[city]],raw[yr],N$51)</calculatedColumnFormula>
    </tableColumn>
    <tableColumn id="9" name="98" dataDxfId="422">
      <calculatedColumnFormula>SUMIFS(raw[stay],raw[city],BRcity[[#This Row],[city]],raw[yr],O$51)</calculatedColumnFormula>
    </tableColumn>
    <tableColumn id="10" name="99" dataDxfId="421">
      <calculatedColumnFormula>SUMIFS(raw[stay],raw[city],BRcity[[#This Row],[city]],raw[yr],P$51)</calculatedColumnFormula>
    </tableColumn>
    <tableColumn id="11" name="00" dataDxfId="420">
      <calculatedColumnFormula>SUMIFS(raw[stay],raw[city],BRcity[[#This Row],[city]],raw[yr],Q$51)</calculatedColumnFormula>
    </tableColumn>
    <tableColumn id="12" name="01" dataDxfId="419">
      <calculatedColumnFormula>SUMIFS(raw[stay],raw[city],BRcity[[#This Row],[city]],raw[yr],R$51)</calculatedColumnFormula>
    </tableColumn>
    <tableColumn id="13" name="02" dataDxfId="418">
      <calculatedColumnFormula>SUMIFS(raw[stay],raw[city],BRcity[[#This Row],[city]],raw[yr],S$51)</calculatedColumnFormula>
    </tableColumn>
    <tableColumn id="14" name="03" dataDxfId="417">
      <calculatedColumnFormula>SUMIFS(raw[stay],raw[city],BRcity[[#This Row],[city]],raw[yr],T$51)</calculatedColumnFormula>
    </tableColumn>
    <tableColumn id="15" name="04" dataDxfId="416">
      <calculatedColumnFormula>SUMIFS(raw[stay],raw[city],BRcity[[#This Row],[city]],raw[yr],U$51)</calculatedColumnFormula>
    </tableColumn>
    <tableColumn id="16" name="05" dataDxfId="415">
      <calculatedColumnFormula>SUMIFS(raw[stay],raw[city],BRcity[[#This Row],[city]],raw[yr],V$51)</calculatedColumnFormula>
    </tableColumn>
    <tableColumn id="17" name="06" dataDxfId="414">
      <calculatedColumnFormula>SUMIFS(raw[stay],raw[city],BRcity[[#This Row],[city]],raw[yr],W$51)</calculatedColumnFormula>
    </tableColumn>
    <tableColumn id="18" name="07" dataDxfId="413">
      <calculatedColumnFormula>SUMIFS(raw[stay],raw[city],BRcity[[#This Row],[city]],raw[yr],X$51)</calculatedColumnFormula>
    </tableColumn>
    <tableColumn id="19" name="08" dataDxfId="412">
      <calculatedColumnFormula>SUMIFS(raw[stay],raw[city],BRcity[[#This Row],[city]],raw[yr],Y$51)</calculatedColumnFormula>
    </tableColumn>
    <tableColumn id="20" name="09" dataDxfId="411">
      <calculatedColumnFormula>SUMIFS(raw[stay],raw[city],BRcity[[#This Row],[city]],raw[yr],Z$51)</calculatedColumnFormula>
    </tableColumn>
    <tableColumn id="21" name="10" dataDxfId="410">
      <calculatedColumnFormula>SUMIFS(raw[stay],raw[city],BRcity[[#This Row],[city]],raw[yr],AA$51)</calculatedColumnFormula>
    </tableColumn>
    <tableColumn id="22" name="11" dataDxfId="409">
      <calculatedColumnFormula>SUMIFS(raw[stay],raw[city],BRcity[[#This Row],[city]],raw[yr],AB$51)</calculatedColumnFormula>
    </tableColumn>
    <tableColumn id="23" name="12" dataDxfId="408">
      <calculatedColumnFormula>SUMIFS(raw[stay],raw[city],BRcity[[#This Row],[city]],raw[yr],AC$51)</calculatedColumnFormula>
    </tableColumn>
    <tableColumn id="24" name="13" dataDxfId="407">
      <calculatedColumnFormula>SUMIFS(raw[stay],raw[city],BRcity[[#This Row],[city]],raw[yr],AD$51)</calculatedColumnFormula>
    </tableColumn>
    <tableColumn id="25" name="14" dataDxfId="406">
      <calculatedColumnFormula>SUMIFS(raw[stay],raw[city],BRcity[[#This Row],[city]],raw[yr],AE$51)</calculatedColumnFormula>
    </tableColumn>
    <tableColumn id="26" name="15" dataDxfId="405">
      <calculatedColumnFormula>SUMIFS(raw[stay],raw[city],BRcity[[#This Row],[city]],raw[yr],AF$51)</calculatedColumnFormula>
    </tableColumn>
    <tableColumn id="27" name="19" dataDxfId="404">
      <calculatedColumnFormula>SUMIFS(raw[stay],raw[city],BRcity[[#This Row],[city]],raw[yr],AG$51)</calculatedColumnFormula>
    </tableColumn>
    <tableColumn id="28" name="20" dataDxfId="403">
      <calculatedColumnFormula>SUMIFS(raw[stay],raw[city],BRcity[[#This Row],[city]],raw[yr],AH$51)</calculatedColumnFormula>
    </tableColumn>
    <tableColumn id="29" name="21" dataDxfId="402">
      <calculatedColumnFormula>SUMIFS(raw[stay],raw[city],BRcity[[#This Row],[city]],raw[yr],AI$51)</calculatedColumnFormula>
    </tableColumn>
    <tableColumn id="30" name="22" dataDxfId="401">
      <calculatedColumnFormula>SUMIFS(raw[stay],raw[city],BRcity[[#This Row],[city]],raw[yr],AJ$51)</calculatedColumnFormula>
    </tableColumn>
    <tableColumn id="31" name="23" dataDxfId="400">
      <calculatedColumnFormula>SUMIFS(raw[stay],raw[city],BRcity[[#This Row],[city]],raw[yr],AK$51)</calculatedColumnFormula>
    </tableColumn>
    <tableColumn id="32" name="24" dataDxfId="399">
      <calculatedColumnFormula>SUMIFS(raw[stay],raw[city],BRcity[[#This Row],[city]],raw[yr],AL$51)</calculatedColumnFormula>
    </tableColumn>
    <tableColumn id="33" name="25" dataDxfId="398">
      <calculatedColumnFormula>SUMIFS(raw[stay],raw[city],BRcity[[#This Row],[city]],raw[yr],AM$51)</calculatedColumnFormula>
    </tableColumn>
    <tableColumn id="34" name="26" dataDxfId="397">
      <calculatedColumnFormula>SUMIFS(raw[stay],raw[city],BRcity[[#This Row],[city]],raw[yr],AN$51)</calculatedColumnFormula>
    </tableColumn>
  </tableColumns>
  <tableStyleInfo name="TableStyleMedium14" showFirstColumn="0" showLastColumn="0" showRowStripes="1" showColumnStripes="0"/>
</table>
</file>

<file path=xl/tables/table24.xml><?xml version="1.0" encoding="utf-8"?>
<table xmlns="http://schemas.openxmlformats.org/spreadsheetml/2006/main" id="24" name="brProv" displayName="brProv" ref="G54:AN60" headerRowCount="1" totalsRowShown="0" headerRowDxfId="396" dataDxfId="394" headerRowBorderDxfId="395" tableBorderDxfId="393" totalsRowBorderDxfId="392">
  <autoFilter ref="G54:AN60"/>
  <tableColumns count="34">
    <tableColumn id="1" name="prov" dataDxfId="391" dataCellStyle="20% - Accent2"/>
    <tableColumn id="2" name="91" dataDxfId="390">
      <calculatedColumnFormula>SUMIFS(raw[stay],raw[prov],brProv[[#This Row],[prov]],raw[yr],H$51)</calculatedColumnFormula>
    </tableColumn>
    <tableColumn id="3" name="92" dataDxfId="389">
      <calculatedColumnFormula>SUMIFS(raw[stay],raw[prov],brProv[[#This Row],[prov]],raw[yr],I$51)</calculatedColumnFormula>
    </tableColumn>
    <tableColumn id="4" name="93" dataDxfId="388">
      <calculatedColumnFormula>SUMIFS(raw[stay],raw[prov],brProv[[#This Row],[prov]],raw[yr],J$51)</calculatedColumnFormula>
    </tableColumn>
    <tableColumn id="5" name="94" dataDxfId="387">
      <calculatedColumnFormula>SUMIFS(raw[stay],raw[prov],brProv[[#This Row],[prov]],raw[yr],K$51)</calculatedColumnFormula>
    </tableColumn>
    <tableColumn id="6" name="95" dataDxfId="386">
      <calculatedColumnFormula>SUMIFS(raw[stay],raw[prov],brProv[[#This Row],[prov]],raw[yr],L$51)</calculatedColumnFormula>
    </tableColumn>
    <tableColumn id="7" name="96" dataDxfId="385">
      <calculatedColumnFormula>SUMIFS(raw[stay],raw[prov],brProv[[#This Row],[prov]],raw[yr],M$51)</calculatedColumnFormula>
    </tableColumn>
    <tableColumn id="8" name="97" dataDxfId="384">
      <calculatedColumnFormula>SUMIFS(raw[stay],raw[prov],brProv[[#This Row],[prov]],raw[yr],N$51)</calculatedColumnFormula>
    </tableColumn>
    <tableColumn id="9" name="98" dataDxfId="383">
      <calculatedColumnFormula>SUMIFS(raw[stay],raw[prov],brProv[[#This Row],[prov]],raw[yr],O$51)</calculatedColumnFormula>
    </tableColumn>
    <tableColumn id="10" name="99" dataDxfId="382">
      <calculatedColumnFormula>SUMIFS(raw[stay],raw[prov],brProv[[#This Row],[prov]],raw[yr],P$51)</calculatedColumnFormula>
    </tableColumn>
    <tableColumn id="11" name="00" dataDxfId="381">
      <calculatedColumnFormula>SUMIFS(raw[stay],raw[prov],brProv[[#This Row],[prov]],raw[yr],Q$51)</calculatedColumnFormula>
    </tableColumn>
    <tableColumn id="12" name="01" dataDxfId="380">
      <calculatedColumnFormula>SUMIFS(raw[stay],raw[prov],brProv[[#This Row],[prov]],raw[yr],R$51)</calculatedColumnFormula>
    </tableColumn>
    <tableColumn id="13" name="02" dataDxfId="379">
      <calculatedColumnFormula>SUMIFS(raw[stay],raw[prov],brProv[[#This Row],[prov]],raw[yr],S$51)</calculatedColumnFormula>
    </tableColumn>
    <tableColumn id="14" name="03" dataDxfId="378">
      <calculatedColumnFormula>SUMIFS(raw[stay],raw[prov],brProv[[#This Row],[prov]],raw[yr],T$51)</calculatedColumnFormula>
    </tableColumn>
    <tableColumn id="15" name="04" dataDxfId="377">
      <calculatedColumnFormula>SUMIFS(raw[stay],raw[prov],brProv[[#This Row],[prov]],raw[yr],U$51)</calculatedColumnFormula>
    </tableColumn>
    <tableColumn id="16" name="05" dataDxfId="376">
      <calculatedColumnFormula>SUMIFS(raw[stay],raw[prov],brProv[[#This Row],[prov]],raw[yr],V$51)</calculatedColumnFormula>
    </tableColumn>
    <tableColumn id="17" name="06" dataDxfId="375">
      <calculatedColumnFormula>SUMIFS(raw[stay],raw[prov],brProv[[#This Row],[prov]],raw[yr],W$51)</calculatedColumnFormula>
    </tableColumn>
    <tableColumn id="18" name="07" dataDxfId="374">
      <calculatedColumnFormula>SUMIFS(raw[stay],raw[prov],brProv[[#This Row],[prov]],raw[yr],X$51)</calculatedColumnFormula>
    </tableColumn>
    <tableColumn id="19" name="08" dataDxfId="373">
      <calculatedColumnFormula>SUMIFS(raw[stay],raw[prov],brProv[[#This Row],[prov]],raw[yr],Y$51)</calculatedColumnFormula>
    </tableColumn>
    <tableColumn id="20" name="09" dataDxfId="372">
      <calculatedColumnFormula>SUMIFS(raw[stay],raw[prov],brProv[[#This Row],[prov]],raw[yr],Z$51)</calculatedColumnFormula>
    </tableColumn>
    <tableColumn id="21" name="10" dataDxfId="371">
      <calculatedColumnFormula>SUMIFS(raw[stay],raw[prov],brProv[[#This Row],[prov]],raw[yr],AA$51)</calculatedColumnFormula>
    </tableColumn>
    <tableColumn id="22" name="11" dataDxfId="370">
      <calculatedColumnFormula>SUMIFS(raw[stay],raw[prov],brProv[[#This Row],[prov]],raw[yr],AB$51)</calculatedColumnFormula>
    </tableColumn>
    <tableColumn id="23" name="12" dataDxfId="369">
      <calculatedColumnFormula>SUMIFS(raw[stay],raw[prov],brProv[[#This Row],[prov]],raw[yr],AC$51)</calculatedColumnFormula>
    </tableColumn>
    <tableColumn id="24" name="13" dataDxfId="368">
      <calculatedColumnFormula>SUMIFS(raw[stay],raw[prov],brProv[[#This Row],[prov]],raw[yr],AD$51)</calculatedColumnFormula>
    </tableColumn>
    <tableColumn id="25" name="14" dataDxfId="367">
      <calculatedColumnFormula>SUMIFS(raw[stay],raw[prov],brProv[[#This Row],[prov]],raw[yr],AE$51)</calculatedColumnFormula>
    </tableColumn>
    <tableColumn id="26" name="15" dataDxfId="366">
      <calculatedColumnFormula>SUMIFS(raw[stay],raw[prov],brProv[[#This Row],[prov]],raw[yr],AF$51)</calculatedColumnFormula>
    </tableColumn>
    <tableColumn id="27" name="19" dataDxfId="365">
      <calculatedColumnFormula>SUMIFS(raw[stay],raw[prov],brProv[[#This Row],[prov]],raw[yr],AG$51)</calculatedColumnFormula>
    </tableColumn>
    <tableColumn id="28" name="20" dataDxfId="364">
      <calculatedColumnFormula>SUMIFS(raw[stay],raw[prov],brProv[[#This Row],[prov]],raw[yr],AH$51)</calculatedColumnFormula>
    </tableColumn>
    <tableColumn id="29" name="21" dataDxfId="363">
      <calculatedColumnFormula>SUMIFS(raw[stay],raw[prov],brProv[[#This Row],[prov]],raw[yr],AI$51)</calculatedColumnFormula>
    </tableColumn>
    <tableColumn id="30" name="22" dataDxfId="362">
      <calculatedColumnFormula>SUMIFS(raw[stay],raw[prov],brProv[[#This Row],[prov]],raw[yr],AJ$51)</calculatedColumnFormula>
    </tableColumn>
    <tableColumn id="31" name="23" dataDxfId="361">
      <calculatedColumnFormula>SUMIFS(raw[stay],raw[prov],brProv[[#This Row],[prov]],raw[yr],AK$51)</calculatedColumnFormula>
    </tableColumn>
    <tableColumn id="32" name="24" dataDxfId="360">
      <calculatedColumnFormula>SUMIFS(raw[stay],raw[prov],brProv[[#This Row],[prov]],raw[yr],AL$51)</calculatedColumnFormula>
    </tableColumn>
    <tableColumn id="33" name="25" dataDxfId="359">
      <calculatedColumnFormula>SUMIFS(raw[stay],raw[prov],brProv[[#This Row],[prov]],raw[yr],AM$51)</calculatedColumnFormula>
    </tableColumn>
    <tableColumn id="34" name="26" dataDxfId="358">
      <calculatedColumnFormula>SUMIFS(raw[stay],raw[prov],brProv[[#This Row],[prov]],raw[yr],AN$51)</calculatedColumnFormula>
    </tableColumn>
  </tableColumns>
  <tableStyleInfo name="TableStyleMedium14" showFirstColumn="0" showLastColumn="0" showRowStripes="1" showColumnStripes="0"/>
</table>
</file>

<file path=xl/tables/table25.xml><?xml version="1.0" encoding="utf-8"?>
<table xmlns="http://schemas.openxmlformats.org/spreadsheetml/2006/main" id="25" name="citySeq3" displayName="citySeq3" ref="AP48:AY75" headerRowCount="1" totalsRowShown="0" headerRowDxfId="357" dataDxfId="355" headerRowBorderDxfId="356" tableBorderDxfId="354" headerRowCellStyle="Check Cell">
  <autoFilter ref="AP48:AY75"/>
  <sortState ref="AP49:AY73">
    <sortCondition descending="1" ref="AY48:AY73"/>
  </sortState>
  <tableColumns count="10">
    <tableColumn id="7" name="id" dataDxfId="353"/>
    <tableColumn id="1" name="city" dataDxfId="352">
      <calculatedColumnFormula>'@Refr'!O5</calculatedColumnFormula>
    </tableColumn>
    <tableColumn id="2" name="ctry" dataDxfId="351">
      <calculatedColumnFormula>_xlfn.XLOOKUP(citySeq3[[#This Row],[city]],cities[city],#REF!)</calculatedColumnFormula>
    </tableColumn>
    <tableColumn id="8" name="1st date" dataDxfId="350">
      <calculatedColumnFormula>_xlfn.MINIFS(stayCity[in], stayCity[city], citySeq3[[#This Row],[city]])</calculatedColumnFormula>
    </tableColumn>
    <tableColumn id="9" name="Last date" dataDxfId="349">
      <calculatedColumnFormula>_xlfn.MAXIFS(stayCity[out], stayCity[city], citySeq3[[#This Row],[city]])</calculatedColumnFormula>
    </tableColumn>
    <tableColumn id="3" name="seq in" dataDxfId="348">
      <calculatedColumnFormula>_xlfn.XLOOKUP(citySeq3[[#This Row],[seq]],stayCity[stay],stayCity[in],"-")</calculatedColumnFormula>
    </tableColumn>
    <tableColumn id="4" name="seq out" dataDxfId="347">
      <calculatedColumnFormula>_xlfn.XLOOKUP(citySeq3[[#This Row],[seq]],stayCity[stay],stayCity[out],"-")</calculatedColumnFormula>
    </tableColumn>
    <tableColumn id="5" name="seq" dataDxfId="346">
      <calculatedColumnFormula array="1">MAX(IF(stayCity[city]=citySeq3[[#This Row],[city]],stayCity[stay]))</calculatedColumnFormula>
    </tableColumn>
    <tableColumn id="10" name="yrs" dataDxfId="345">
      <calculatedColumnFormula array="1">ROWS(_xlfn.UNIQUE(_xlfn._xlws.FILTER(raw[yr], raw[city]=citySeq3[[#This Row],[city]])))</calculatedColumnFormula>
    </tableColumn>
    <tableColumn id="6" name="total" dataDxfId="344">
      <calculatedColumnFormula>_xlfn.XLOOKUP(citySeq3[[#This Row],[city]],cities[city],cities[stay])</calculatedColumnFormula>
    </tableColumn>
  </tableColumns>
  <tableStyleInfo name="TableStyleMedium18" showFirstColumn="0" showLastColumn="0" showRowStripes="1" showColumnStripes="0"/>
</table>
</file>

<file path=xl/tables/table26.xml><?xml version="1.0" encoding="utf-8"?>
<table xmlns="http://schemas.openxmlformats.org/spreadsheetml/2006/main" id="26" name="citySeq313" displayName="citySeq313" ref="AP76:AY102" headerRowCount="1" totalsRowShown="0" headerRowDxfId="343" dataDxfId="341" headerRowBorderDxfId="342" tableBorderDxfId="340" headerRowCellStyle="Check Cell">
  <autoFilter ref="AP76:AY102"/>
  <sortState ref="AP77:AY102">
    <sortCondition descending="1" ref="AY76:AY102"/>
  </sortState>
  <tableColumns count="10">
    <tableColumn id="7" name="id" dataDxfId="339"/>
    <tableColumn id="1" name="ctry" dataDxfId="338">
      <calculatedColumnFormula>G8</calculatedColumnFormula>
    </tableColumn>
    <tableColumn id="2" name="Ncity" dataDxfId="337">
      <calculatedColumnFormula>COUNTIF(cities[ctry],citySeq313[[#This Row],[ctry]])</calculatedColumnFormula>
    </tableColumn>
    <tableColumn id="8" name="1st date" dataDxfId="336">
      <calculatedColumnFormula>_xlfn.MINIFS(stayCity[in], stayCity[city], citySeq313[[#This Row],[ctry]])</calculatedColumnFormula>
    </tableColumn>
    <tableColumn id="9" name="Last date" dataDxfId="335">
      <calculatedColumnFormula>_xlfn.MAXIFS(stayCity[out], stayCity[city], citySeq313[[#This Row],[ctry]])</calculatedColumnFormula>
    </tableColumn>
    <tableColumn id="3" name="seq in" dataDxfId="334">
      <calculatedColumnFormula>_xlfn.XLOOKUP(citySeq313[[#This Row],[seq]],stayCity[stay],stayCity[in],"-")</calculatedColumnFormula>
    </tableColumn>
    <tableColumn id="4" name="seq out" dataDxfId="333">
      <calculatedColumnFormula>_xlfn.XLOOKUP(citySeq313[[#This Row],[seq]],stayCity[stay],stayCity[out],"-")</calculatedColumnFormula>
    </tableColumn>
    <tableColumn id="5" name="seq" dataDxfId="332">
      <calculatedColumnFormula array="1">MAX(IF(stayCity[city]=citySeq313[[#This Row],[ctry]],stayCity[stay]))</calculatedColumnFormula>
    </tableColumn>
    <tableColumn id="10" name="yrs" dataDxfId="331">
      <calculatedColumnFormula array="1">ROWS(_xlfn.UNIQUE(_xlfn._xlws.FILTER(raw[yr], raw[city]=citySeq313[[#This Row],[ctry]])))</calculatedColumnFormula>
    </tableColumn>
    <tableColumn id="6" name="total" dataDxfId="330">
      <calculatedColumnFormula>_xlfn.XLOOKUP(citySeq313[[#This Row],[ctry]],cities[city],cities[stay])</calculatedColumnFormula>
    </tableColumn>
  </tableColumns>
  <tableStyleInfo name="TableStyleMedium18" showFirstColumn="0" showLastColumn="0" showRowStripes="1" showColumnStripes="0"/>
</table>
</file>

<file path=xl/tables/table27.xml><?xml version="1.0" encoding="utf-8"?>
<table xmlns="http://schemas.openxmlformats.org/spreadsheetml/2006/main" id="27" name="Table3" displayName="Table3" ref="G4:L64" headerRowCount="1" totalsRowShown="0" headerRowDxfId="329" headerRowBorderDxfId="328" tableBorderDxfId="327">
  <autoFilter ref="G4:L64"/>
  <sortState ref="G5:L64">
    <sortCondition descending="1" ref="J4:J64"/>
  </sortState>
  <tableColumns count="6">
    <tableColumn id="1" name="#" dataDxfId="326"/>
    <tableColumn id="2" name="city" dataDxfId="325"/>
    <tableColumn id="3" name="ctry" dataDxfId="324">
      <calculatedColumnFormula>_xlfn.XLOOKUP(Table3[[#This Row],[city]],ccc[city],ccc[ctry],"-")</calculatedColumnFormula>
    </tableColumn>
    <tableColumn id="8" name="routes" dataDxfId="323">
      <calculatedColumnFormula>IF(Table3[[#This Row],[city]]="",0,COUNTIF(routes[[outbound]:[inbound]],Table3[[#This Row],[city]]))</calculatedColumnFormula>
    </tableColumn>
    <tableColumn id="7" name="rpt" dataDxfId="322"/>
    <tableColumn id="6" name="km" dataDxfId="321">
      <calculatedColumnFormula>_xlfn.XLOOKUP(Table3[[#This Row],['#]],cityRoutes['#],cityRoutes[km],0)</calculatedColumnFormula>
    </tableColumn>
  </tableColumns>
  <tableStyleInfo name="TableStyleMedium1" showFirstColumn="0" showLastColumn="0" showRowStripes="1" showColumnStripes="0"/>
</table>
</file>

<file path=xl/tables/table28.xml><?xml version="1.0" encoding="utf-8"?>
<table xmlns="http://schemas.openxmlformats.org/spreadsheetml/2006/main" id="28" name="Table4" displayName="Table4" ref="N4:Q64" headerRowCount="1" totalsRowShown="0" headerRowDxfId="320" headerRowBorderDxfId="319" tableBorderDxfId="318">
  <autoFilter ref="N4:Q64"/>
  <sortState ref="N5:Q64">
    <sortCondition descending="1" ref="P4:P64"/>
  </sortState>
  <tableColumns count="4">
    <tableColumn id="1" name="#" dataDxfId="317"/>
    <tableColumn id="2" name="ctry" dataDxfId="316"/>
    <tableColumn id="3" name="rpt" dataDxfId="315"/>
    <tableColumn id="4" name="km" dataDxfId="314"/>
  </tableColumns>
  <tableStyleInfo name="TableStyleMedium9" showFirstColumn="0" showLastColumn="0" showRowStripes="1" showColumnStripes="0"/>
</table>
</file>

<file path=xl/tables/table29.xml><?xml version="1.0" encoding="utf-8"?>
<table xmlns="http://schemas.openxmlformats.org/spreadsheetml/2006/main" id="29" name="tblhome1" displayName="tblhome1" ref="A2:H43" headerRowCount="1" totalsRowShown="0" headerRowDxfId="313" dataDxfId="311" headerRowBorderDxfId="312" tableBorderDxfId="310" totalsRowBorderDxfId="309">
  <autoFilter ref="A2:H43"/>
  <tableColumns count="8">
    <tableColumn id="1" name="#" dataDxfId="308">
      <calculatedColumnFormula>A2+1</calculatedColumnFormula>
    </tableColumn>
    <tableColumn id="2" name="nickname" dataDxfId="307">
      <calculatedColumnFormula>#REF!</calculatedColumnFormula>
    </tableColumn>
    <tableColumn id="3" name="city" dataDxfId="306">
      <calculatedColumnFormula>#REF!</calculatedColumnFormula>
    </tableColumn>
    <tableColumn id="4" name="ctry" dataDxfId="305">
      <calculatedColumnFormula>#REF!</calculatedColumnFormula>
    </tableColumn>
    <tableColumn id="5" name="1st date" dataDxfId="304">
      <calculatedColumnFormula>#REF!</calculatedColumnFormula>
    </tableColumn>
    <tableColumn id="6" name="main" dataDxfId="303">
      <calculatedColumnFormula>#REF!</calculatedColumnFormula>
    </tableColumn>
    <tableColumn id="7" name="total" dataDxfId="302">
      <calculatedColumnFormula>#REF!</calculatedColumnFormula>
    </tableColumn>
    <tableColumn id="8" name="%" dataDxfId="301">
      <calculatedColumnFormula>tblhome1[[#This Row],[main]]/tblhome1[[#This Row],[total]]</calculatedColumnFormula>
    </tableColumn>
  </tableColumns>
  <tableStyleInfo name="TableStyleMedium1" showFirstColumn="0" showLastColumn="0" showRowStripes="1" showColumnStripes="0"/>
</table>
</file>

<file path=xl/tables/table30.xml><?xml version="1.0" encoding="utf-8"?>
<table xmlns="http://schemas.openxmlformats.org/spreadsheetml/2006/main" id="30" name="Table18" displayName="Table18" ref="J2:N22" headerRowCount="1" totalsRowShown="0" headerRowDxfId="300" dataDxfId="298" headerRowBorderDxfId="299" tableBorderDxfId="297" totalsRowBorderDxfId="296">
  <autoFilter ref="J2:N22"/>
  <sortState ref="J3:N22">
    <sortCondition descending="1" ref="N2:N22"/>
  </sortState>
  <tableColumns count="5">
    <tableColumn id="5" name="id" dataDxfId="295"/>
    <tableColumn id="1" name="city" dataDxfId="294">
      <calculatedColumnFormula>_xlfn.XLOOKUP(Table18[[#This Row],[id]],homeCities['#],homeCities[homeCity],"-")</calculatedColumnFormula>
    </tableColumn>
    <tableColumn id="2" name="rpt" dataDxfId="293"/>
    <tableColumn id="4" name="main" dataDxfId="292">
      <calculatedColumnFormula>SUMIFS(tblhome1[main],tblhome1[city],Table18[[#This Row],[city]])</calculatedColumnFormula>
    </tableColumn>
    <tableColumn id="3" name="total" dataDxfId="291">
      <calculatedColumnFormula>SUMIFS(G$3:G$51,$C$3:$C$51,$K3)</calculatedColumnFormula>
    </tableColumn>
  </tableColumns>
  <tableStyleInfo name="TableStyleMedium3" showFirstColumn="0" showLastColumn="0" showRowStripes="1" showColumnStripes="0"/>
</table>
</file>

<file path=xl/tables/table31.xml><?xml version="1.0" encoding="utf-8"?>
<table xmlns="http://schemas.openxmlformats.org/spreadsheetml/2006/main" id="31" name="Table19" displayName="Table19" ref="J23:N42" headerRowCount="1" totalsRowShown="0" headerRowDxfId="290" dataDxfId="288" headerRowBorderDxfId="289" tableBorderDxfId="287" totalsRowBorderDxfId="286">
  <autoFilter ref="J23:N42"/>
  <sortState ref="K24:N42">
    <sortCondition descending="1" ref="N23:N42"/>
  </sortState>
  <tableColumns count="5">
    <tableColumn id="5" name="id" dataDxfId="285"/>
    <tableColumn id="1" name="ctry" dataDxfId="284"/>
    <tableColumn id="2" name="rpt" dataDxfId="283"/>
    <tableColumn id="4" name="h-main" dataDxfId="282">
      <calculatedColumnFormula>SUMIFS(F$3:F$51,$D$3:$D$51,$K24)</calculatedColumnFormula>
    </tableColumn>
    <tableColumn id="3" name="h-net" dataDxfId="281">
      <calculatedColumnFormula>SUMIFS(tblhome1[total],tblhome1[ctry],Table19[[#This Row],[ctry]])</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id="32" name="Table8" displayName="Table8" ref="T4:U21" headerRowCount="1" totalsRowShown="0" headerRowDxfId="280" dataDxfId="278" headerRowBorderDxfId="279" tableBorderDxfId="277" totalsRowBorderDxfId="276" headerRowCellStyle="20% - Accent4">
  <autoFilter ref="T4:U21"/>
  <sortState ref="T5:U21">
    <sortCondition descending="1" ref="U4:U21"/>
  </sortState>
  <tableColumns count="2">
    <tableColumn id="1" name="city" dataDxfId="275" dataCellStyle="20% - Accent4"/>
    <tableColumn id="2" name="rpt" dataDxfId="274" dataCellStyle="20% - Accent4"/>
  </tableColumns>
  <tableStyleInfo name="TableStyleMedium3" showFirstColumn="0" showLastColumn="0" showRowStripes="1" showColumnStripes="0"/>
</table>
</file>

<file path=xl/tables/table33.xml><?xml version="1.0" encoding="utf-8"?>
<table xmlns="http://schemas.openxmlformats.org/spreadsheetml/2006/main" id="33" name="Table9" displayName="Table9" ref="T22:U38" headerRowCount="1" totalsRowShown="0" headerRowDxfId="273" dataDxfId="271" headerRowBorderDxfId="272" tableBorderDxfId="270" totalsRowBorderDxfId="269" headerRowCellStyle="20% - Accent4">
  <autoFilter ref="T22:U38"/>
  <sortState ref="T23:U38">
    <sortCondition descending="1" ref="U22:U38"/>
  </sortState>
  <tableColumns count="2">
    <tableColumn id="1" name="ctry" dataDxfId="268" dataCellStyle="20% - Accent4"/>
    <tableColumn id="2" name="rpt" dataDxfId="267" dataCellStyle="20% - Accent4"/>
  </tableColumns>
  <tableStyleInfo name="TableStyleMedium2" showFirstColumn="0" showLastColumn="0" showRowStripes="1" showColumnStripes="0"/>
</table>
</file>

<file path=xl/tables/table34.xml><?xml version="1.0" encoding="utf-8"?>
<table xmlns="http://schemas.openxmlformats.org/spreadsheetml/2006/main" id="34" name="Table816" displayName="Table816" ref="Y4:Z21" headerRowCount="1" totalsRowShown="0" headerRowDxfId="266" dataDxfId="264" headerRowBorderDxfId="265" tableBorderDxfId="263" totalsRowBorderDxfId="262" headerRowCellStyle="20% - Accent4">
  <autoFilter ref="Y4:Z21"/>
  <sortState ref="Y5:Z21">
    <sortCondition descending="1" ref="Z4:Z21"/>
  </sortState>
  <tableColumns count="2">
    <tableColumn id="1" name="city" dataDxfId="261" dataCellStyle="20% - Accent4"/>
    <tableColumn id="2" name="rpt" dataDxfId="260" dataCellStyle="20% - Accent4"/>
  </tableColumns>
  <tableStyleInfo name="TableStyleMedium3" showFirstColumn="0" showLastColumn="0" showRowStripes="1" showColumnStripes="0"/>
</table>
</file>

<file path=xl/tables/table35.xml><?xml version="1.0" encoding="utf-8"?>
<table xmlns="http://schemas.openxmlformats.org/spreadsheetml/2006/main" id="35" name="Table917" displayName="Table917" ref="Y22:Z38" headerRowCount="1" totalsRowShown="0" headerRowDxfId="259" dataDxfId="257" headerRowBorderDxfId="258" tableBorderDxfId="256" totalsRowBorderDxfId="255" headerRowCellStyle="20% - Accent4">
  <autoFilter ref="Y22:Z38"/>
  <sortState ref="Y23:Z38">
    <sortCondition descending="1" ref="Z22:Z38"/>
  </sortState>
  <tableColumns count="2">
    <tableColumn id="1" name="ctry" dataDxfId="254" dataCellStyle="20% - Accent4"/>
    <tableColumn id="2" name="rpt" dataDxfId="253" dataCellStyle="20% - Accent4"/>
  </tableColumns>
  <tableStyleInfo name="TableStyleMedium2" showFirstColumn="0" showLastColumn="0" showRowStripes="1" showColumnStripes="0"/>
</table>
</file>

<file path=xl/tables/table36.xml><?xml version="1.0" encoding="utf-8"?>
<table xmlns="http://schemas.openxmlformats.org/spreadsheetml/2006/main" id="36" name="Table12" displayName="Table12" ref="BU5:BW36" headerRowCount="1" totalsRowShown="0" headerRowBorderDxfId="252" tableBorderDxfId="251" totalsRowBorderDxfId="250">
  <autoFilter ref="BU5:BW36"/>
  <sortState ref="BU6:BW36">
    <sortCondition descending="1" ref="BV5:BV36"/>
  </sortState>
  <tableColumns count="3">
    <tableColumn id="1" name="ctry" dataDxfId="249"/>
    <tableColumn id="2" name="full" dataDxfId="248"/>
    <tableColumn id="3" name="partial" dataDxfId="247"/>
  </tableColumns>
  <tableStyleInfo name="TableStyleMedium2" showFirstColumn="0" showLastColumn="0" showRowStripes="1" showColumnStripes="0"/>
</table>
</file>

<file path=xl/tables/table37.xml><?xml version="1.0" encoding="utf-8"?>
<table xmlns="http://schemas.openxmlformats.org/spreadsheetml/2006/main" id="37" name="Table6" displayName="Table6" ref="B3:AJ37" headerRowCount="1" totalsRowShown="0" headerRowDxfId="246" dataDxfId="244" headerRowBorderDxfId="245" tableBorderDxfId="243" totalsRowBorderDxfId="242">
  <autoFilter ref="B3:AJ37"/>
  <sortState ref="B4:AJ37">
    <sortCondition descending="1" ref="B3:B37"/>
  </sortState>
  <tableColumns count="35">
    <tableColumn id="1" name="entries" dataDxfId="241"/>
    <tableColumn id="2" name="ctry" dataDxfId="240"/>
    <tableColumn id="3" name="82" dataDxfId="239">
      <calculatedColumnFormula>COUNTIFS(entryCtry[ctry],Table6[[#This Row],[ctry]],entryCtry[yr],D$2)</calculatedColumnFormula>
    </tableColumn>
    <tableColumn id="4" name="84" dataDxfId="238">
      <calculatedColumnFormula>COUNTIFS(entryCtry[ctry],Table6[[#This Row],[ctry]],entryCtry[yr],E$2)</calculatedColumnFormula>
    </tableColumn>
    <tableColumn id="5" name="87" dataDxfId="237">
      <calculatedColumnFormula>COUNTIFS(entryCtry[ctry],Table6[[#This Row],[ctry]],entryCtry[yr],F$2)</calculatedColumnFormula>
    </tableColumn>
    <tableColumn id="6" name="89" dataDxfId="236">
      <calculatedColumnFormula>COUNTIFS(entryCtry[ctry],Table6[[#This Row],[ctry]],entryCtry[yr],G$2)</calculatedColumnFormula>
    </tableColumn>
    <tableColumn id="7" name="95" dataDxfId="235">
      <calculatedColumnFormula>COUNTIFS(entryCtry[ctry],Table6[[#This Row],[ctry]],entryCtry[yr],H$2)</calculatedColumnFormula>
    </tableColumn>
    <tableColumn id="8" name="96" dataDxfId="234">
      <calculatedColumnFormula>COUNTIFS(entryCtry[ctry],Table6[[#This Row],[ctry]],entryCtry[yr],I$2)</calculatedColumnFormula>
    </tableColumn>
    <tableColumn id="9" name="97" dataDxfId="233">
      <calculatedColumnFormula>COUNTIFS(entryCtry[ctry],Table6[[#This Row],[ctry]],entryCtry[yr],J$2)</calculatedColumnFormula>
    </tableColumn>
    <tableColumn id="10" name="98" dataDxfId="232">
      <calculatedColumnFormula>COUNTIFS(entryCtry[ctry],Table6[[#This Row],[ctry]],entryCtry[yr],K$2)</calculatedColumnFormula>
    </tableColumn>
    <tableColumn id="11" name="99" dataDxfId="231">
      <calculatedColumnFormula>COUNTIFS(entryCtry[ctry],Table6[[#This Row],[ctry]],entryCtry[yr],L$2)</calculatedColumnFormula>
    </tableColumn>
    <tableColumn id="12" name="3" dataDxfId="230">
      <calculatedColumnFormula>COUNTIFS(entryCtry[ctry],Table6[[#This Row],[ctry]],entryCtry[yr],M$2)</calculatedColumnFormula>
    </tableColumn>
    <tableColumn id="13" name="4" dataDxfId="229">
      <calculatedColumnFormula>COUNTIFS(entryCtry[ctry],Table6[[#This Row],[ctry]],entryCtry[yr],N$2)</calculatedColumnFormula>
    </tableColumn>
    <tableColumn id="14" name="5" dataDxfId="228">
      <calculatedColumnFormula>COUNTIFS(entryCtry[ctry],Table6[[#This Row],[ctry]],entryCtry[yr],O$2)</calculatedColumnFormula>
    </tableColumn>
    <tableColumn id="15" name="6" dataDxfId="227">
      <calculatedColumnFormula>COUNTIFS(entryCtry[ctry],Table6[[#This Row],[ctry]],entryCtry[yr],P$2)</calculatedColumnFormula>
    </tableColumn>
    <tableColumn id="16" name="7" dataDxfId="226">
      <calculatedColumnFormula>COUNTIFS(entryCtry[ctry],Table6[[#This Row],[ctry]],entryCtry[yr],Q$2)</calculatedColumnFormula>
    </tableColumn>
    <tableColumn id="17" name="8" dataDxfId="225">
      <calculatedColumnFormula>COUNTIFS(entryCtry[ctry],Table6[[#This Row],[ctry]],entryCtry[yr],R$2)</calculatedColumnFormula>
    </tableColumn>
    <tableColumn id="18" name="9" dataDxfId="224">
      <calculatedColumnFormula>COUNTIFS(entryCtry[ctry],Table6[[#This Row],[ctry]],entryCtry[yr],S$2)</calculatedColumnFormula>
    </tableColumn>
    <tableColumn id="19" name="10" dataDxfId="223">
      <calculatedColumnFormula>COUNTIFS(entryCtry[ctry],Table6[[#This Row],[ctry]],entryCtry[yr],T$2)</calculatedColumnFormula>
    </tableColumn>
    <tableColumn id="20" name="11" dataDxfId="222">
      <calculatedColumnFormula>COUNTIFS(entryCtry[ctry],Table6[[#This Row],[ctry]],entryCtry[yr],U$2)</calculatedColumnFormula>
    </tableColumn>
    <tableColumn id="21" name="12" dataDxfId="221">
      <calculatedColumnFormula>COUNTIFS(entryCtry[ctry],Table6[[#This Row],[ctry]],entryCtry[yr],V$2)</calculatedColumnFormula>
    </tableColumn>
    <tableColumn id="22" name="13" dataDxfId="220">
      <calculatedColumnFormula>COUNTIFS(entryCtry[ctry],Table6[[#This Row],[ctry]],entryCtry[yr],W$2)</calculatedColumnFormula>
    </tableColumn>
    <tableColumn id="23" name="14" dataDxfId="219">
      <calculatedColumnFormula>COUNTIFS(entryCtry[ctry],Table6[[#This Row],[ctry]],entryCtry[yr],X$2)</calculatedColumnFormula>
    </tableColumn>
    <tableColumn id="24" name="15" dataDxfId="218">
      <calculatedColumnFormula>COUNTIFS(entryCtry[ctry],Table6[[#This Row],[ctry]],entryCtry[yr],Y$2)</calculatedColumnFormula>
    </tableColumn>
    <tableColumn id="25" name="16" dataDxfId="217">
      <calculatedColumnFormula>COUNTIFS(entryCtry[ctry],Table6[[#This Row],[ctry]],entryCtry[yr],Z$2)</calculatedColumnFormula>
    </tableColumn>
    <tableColumn id="26" name="17" dataDxfId="216">
      <calculatedColumnFormula>COUNTIFS(entryCtry[ctry],Table6[[#This Row],[ctry]],entryCtry[yr],AA$2)</calculatedColumnFormula>
    </tableColumn>
    <tableColumn id="27" name="18" dataDxfId="215">
      <calculatedColumnFormula>COUNTIFS(entryCtry[ctry],Table6[[#This Row],[ctry]],entryCtry[yr],AB$2)</calculatedColumnFormula>
    </tableColumn>
    <tableColumn id="28" name="19" dataDxfId="214">
      <calculatedColumnFormula>COUNTIFS(entryCtry[ctry],Table6[[#This Row],[ctry]],entryCtry[yr],AC$2)</calculatedColumnFormula>
    </tableColumn>
    <tableColumn id="29" name="20" dataDxfId="213">
      <calculatedColumnFormula>COUNTIFS(entryCtry[ctry],Table6[[#This Row],[ctry]],entryCtry[yr],AD$2)</calculatedColumnFormula>
    </tableColumn>
    <tableColumn id="30" name="21" dataDxfId="212">
      <calculatedColumnFormula>COUNTIFS(entryCtry[ctry],Table6[[#This Row],[ctry]],entryCtry[yr],AE$2)</calculatedColumnFormula>
    </tableColumn>
    <tableColumn id="31" name="22" dataDxfId="211">
      <calculatedColumnFormula>COUNTIFS(entryCtry[ctry],Table6[[#This Row],[ctry]],entryCtry[yr],AF$2)</calculatedColumnFormula>
    </tableColumn>
    <tableColumn id="32" name="23" dataDxfId="210">
      <calculatedColumnFormula>COUNTIFS(entryCtry[ctry],Table6[[#This Row],[ctry]],entryCtry[yr],AG$2)</calculatedColumnFormula>
    </tableColumn>
    <tableColumn id="33" name="24" dataDxfId="209">
      <calculatedColumnFormula>COUNTIFS(entryCtry[ctry],Table6[[#This Row],[ctry]],entryCtry[yr],AH$2)</calculatedColumnFormula>
    </tableColumn>
    <tableColumn id="34" name="25" dataDxfId="208">
      <calculatedColumnFormula>COUNTIFS(entryCtry[ctry],Table6[[#This Row],[ctry]],entryCtry[yr],AI$2)</calculatedColumnFormula>
    </tableColumn>
    <tableColumn id="35" name="26" dataDxfId="207">
      <calculatedColumnFormula>COUNTIFS(entryCtry[ctry],Table6[[#This Row],[ctry]],entryCtry[yr],AJ$2)</calculatedColumnFormula>
    </tableColumn>
  </tableColumns>
  <tableStyleInfo name="TableStyleMedium15" showFirstColumn="0" showLastColumn="0" showRowStripes="1" showColumnStripes="0"/>
</table>
</file>

<file path=xl/tables/table38.xml><?xml version="1.0" encoding="utf-8"?>
<table xmlns="http://schemas.openxmlformats.org/spreadsheetml/2006/main" id="38" name="Table15" displayName="Table15" ref="BD3:BQ36" headerRowCount="1" totalsRowShown="0" headerRowDxfId="206" dataDxfId="204" headerRowBorderDxfId="205" tableBorderDxfId="203" totalsRowBorderDxfId="202">
  <autoFilter ref="BD3:BQ36"/>
  <tableColumns count="14">
    <tableColumn id="1" name="ctry" dataDxfId="201">
      <calculatedColumnFormula>BD3</calculatedColumnFormula>
    </tableColumn>
    <tableColumn id="2" name="yr" dataDxfId="200">
      <calculatedColumnFormula>BE3+1</calculatedColumnFormula>
    </tableColumn>
    <tableColumn id="3" name="JAN" dataDxfId="199">
      <calculatedColumnFormula>SUMIFS(raw[stay],raw[ctry],Table15[[#This Row],[ctry]],raw[yr],Table15[[#This Row],[yr]],raw[mth],BF$2)</calculatedColumnFormula>
    </tableColumn>
    <tableColumn id="4" name="FEB" dataDxfId="198">
      <calculatedColumnFormula>SUMIFS(raw[stay],raw[ctry],Table15[[#This Row],[ctry]],raw[yr],Table15[[#This Row],[yr]],raw[mth],BG$2)</calculatedColumnFormula>
    </tableColumn>
    <tableColumn id="5" name="MAR" dataDxfId="197">
      <calculatedColumnFormula>SUMIFS(raw[stay],raw[ctry],Table15[[#This Row],[ctry]],raw[yr],Table15[[#This Row],[yr]],raw[mth],BH$2)</calculatedColumnFormula>
    </tableColumn>
    <tableColumn id="6" name="APR" dataDxfId="196">
      <calculatedColumnFormula>SUMIFS(raw[stay],raw[ctry],Table15[[#This Row],[ctry]],raw[yr],Table15[[#This Row],[yr]],raw[mth],BI$2)</calculatedColumnFormula>
    </tableColumn>
    <tableColumn id="7" name="MAY" dataDxfId="195">
      <calculatedColumnFormula>SUMIFS(raw[stay],raw[ctry],Table15[[#This Row],[ctry]],raw[yr],Table15[[#This Row],[yr]],raw[mth],BJ$2)</calculatedColumnFormula>
    </tableColumn>
    <tableColumn id="8" name="JUN" dataDxfId="194">
      <calculatedColumnFormula>SUMIFS(raw[stay],raw[ctry],Table15[[#This Row],[ctry]],raw[yr],Table15[[#This Row],[yr]],raw[mth],BK$2)</calculatedColumnFormula>
    </tableColumn>
    <tableColumn id="9" name="JUL" dataDxfId="193">
      <calculatedColumnFormula>SUMIFS(raw[stay],raw[ctry],Table15[[#This Row],[ctry]],raw[yr],Table15[[#This Row],[yr]],raw[mth],BL$2)</calculatedColumnFormula>
    </tableColumn>
    <tableColumn id="10" name="AUG" dataDxfId="192">
      <calculatedColumnFormula>SUMIFS(raw[stay],raw[ctry],Table15[[#This Row],[ctry]],raw[yr],Table15[[#This Row],[yr]],raw[mth],BM$2)</calculatedColumnFormula>
    </tableColumn>
    <tableColumn id="11" name="SEP" dataDxfId="191">
      <calculatedColumnFormula>SUMIFS(raw[stay],raw[ctry],Table15[[#This Row],[ctry]],raw[yr],Table15[[#This Row],[yr]],raw[mth],BN$2)</calculatedColumnFormula>
    </tableColumn>
    <tableColumn id="12" name="OCT" dataDxfId="190">
      <calculatedColumnFormula>SUMIFS(raw[stay],raw[ctry],Table15[[#This Row],[ctry]],raw[yr],Table15[[#This Row],[yr]],raw[mth],BO$2)</calculatedColumnFormula>
    </tableColumn>
    <tableColumn id="13" name="NOV" dataDxfId="189">
      <calculatedColumnFormula>SUMIFS(raw[stay],raw[ctry],Table15[[#This Row],[ctry]],raw[yr],Table15[[#This Row],[yr]],raw[mth],BP$2)</calculatedColumnFormula>
    </tableColumn>
    <tableColumn id="14" name="DEC" dataDxfId="188">
      <calculatedColumnFormula>SUMIFS(raw[stay],raw[ctry],Table15[[#This Row],[ctry]],raw[yr],Table15[[#This Row],[yr]],raw[mth],BQ$2)</calculatedColumnFormula>
    </tableColumn>
  </tableColumns>
  <tableStyleInfo name="TableStyleMedium15" showFirstColumn="0" showLastColumn="0" showRowStripes="1" showColumnStripes="0"/>
</table>
</file>

<file path=xl/tables/table39.xml><?xml version="1.0" encoding="utf-8"?>
<table xmlns="http://schemas.openxmlformats.org/spreadsheetml/2006/main" id="39" name="Table1" displayName="Table1" ref="AM3:BB37" headerRowCount="1" totalsRowShown="0" headerRowDxfId="187" headerRowBorderDxfId="186" tableBorderDxfId="185" totalsRowBorderDxfId="184">
  <autoFilter ref="AM3:BB37"/>
  <sortState ref="AM4:BB35">
    <sortCondition descending="1" ref="BB3:BB35"/>
  </sortState>
  <tableColumns count="16">
    <tableColumn id="1" name="#" dataDxfId="183" dataCellStyle="Check Cell"/>
    <tableColumn id="2" name="ctry" dataDxfId="182"/>
    <tableColumn id="3" name="JAN" dataDxfId="181"/>
    <tableColumn id="4" name="FEB" dataDxfId="180"/>
    <tableColumn id="5" name="MAR" dataDxfId="179"/>
    <tableColumn id="6" name="APR" dataDxfId="178"/>
    <tableColumn id="7" name="MAY" dataDxfId="177"/>
    <tableColumn id="8" name="JUN" dataDxfId="176"/>
    <tableColumn id="9" name="JUL" dataDxfId="175"/>
    <tableColumn id="10" name="AUG" dataDxfId="174"/>
    <tableColumn id="11" name="SEP" dataDxfId="173"/>
    <tableColumn id="12" name="OCT" dataDxfId="172"/>
    <tableColumn id="13" name="NOV" dataDxfId="171"/>
    <tableColumn id="14" name="DEC" dataDxfId="170"/>
    <tableColumn id="15" name="rpt" dataDxfId="169">
      <calculatedColumnFormula>COUNTIF(AO4:AZ4,"&gt;0")</calculatedColumnFormula>
    </tableColumn>
    <tableColumn id="16" name="total" dataDxfId="168">
      <calculatedColumnFormula>INT(SUM(AO4:AZ4))</calculatedColumnFormula>
    </tableColumn>
  </tableColumns>
  <tableStyleInfo name="TableStyleMedium13" showFirstColumn="0" showLastColumn="0" showRowStripes="1" showColumnStripes="0"/>
</table>
</file>

<file path=xl/tables/table40.xml><?xml version="1.0" encoding="utf-8"?>
<table xmlns="http://schemas.openxmlformats.org/spreadsheetml/2006/main" id="40" name="entryCity" displayName="entryCity" ref="B46:AJ73" headerRowCount="1" totalsRowShown="0" headerRowDxfId="167" dataDxfId="165" headerRowBorderDxfId="166" tableBorderDxfId="164" totalsRowBorderDxfId="163">
  <autoFilter ref="B46:AJ73"/>
  <sortState ref="B47:AJ73">
    <sortCondition descending="1" ref="B46:B73"/>
  </sortState>
  <tableColumns count="35">
    <tableColumn id="1" name="entries" dataDxfId="162"/>
    <tableColumn id="2" name="city" dataDxfId="161"/>
    <tableColumn id="3" name="82" dataDxfId="160">
      <calculatedColumnFormula>COUNTIFS(entryCtry[ctry],entryCity[[#This Row],[city]],entryCtry[yr],D$2)</calculatedColumnFormula>
    </tableColumn>
    <tableColumn id="4" name="84" dataDxfId="159">
      <calculatedColumnFormula>COUNTIFS(entryCtry[ctry],entryCity[[#This Row],[city]],entryCtry[yr],E$2)</calculatedColumnFormula>
    </tableColumn>
    <tableColumn id="5" name="87" dataDxfId="158">
      <calculatedColumnFormula>COUNTIFS(entryCtry[ctry],entryCity[[#This Row],[city]],entryCtry[yr],F$2)</calculatedColumnFormula>
    </tableColumn>
    <tableColumn id="6" name="89" dataDxfId="157">
      <calculatedColumnFormula>COUNTIFS(entryCtry[ctry],entryCity[[#This Row],[city]],entryCtry[yr],G$2)</calculatedColumnFormula>
    </tableColumn>
    <tableColumn id="7" name="95" dataDxfId="156">
      <calculatedColumnFormula>COUNTIFS(entryCtry[ctry],entryCity[[#This Row],[city]],entryCtry[yr],H$2)</calculatedColumnFormula>
    </tableColumn>
    <tableColumn id="8" name="96" dataDxfId="155">
      <calculatedColumnFormula>COUNTIFS(entryCtry[ctry],entryCity[[#This Row],[city]],entryCtry[yr],I$2)</calculatedColumnFormula>
    </tableColumn>
    <tableColumn id="9" name="97" dataDxfId="154">
      <calculatedColumnFormula>COUNTIFS(entryCtry[ctry],entryCity[[#This Row],[city]],entryCtry[yr],J$2)</calculatedColumnFormula>
    </tableColumn>
    <tableColumn id="10" name="98" dataDxfId="153">
      <calculatedColumnFormula>COUNTIFS(entryCtry[ctry],entryCity[[#This Row],[city]],entryCtry[yr],K$2)</calculatedColumnFormula>
    </tableColumn>
    <tableColumn id="11" name="99" dataDxfId="152">
      <calculatedColumnFormula>COUNTIFS(entryCtry[ctry],entryCity[[#This Row],[city]],entryCtry[yr],L$2)</calculatedColumnFormula>
    </tableColumn>
    <tableColumn id="12" name="3" dataDxfId="151">
      <calculatedColumnFormula>COUNTIFS(entryCtry[ctry],entryCity[[#This Row],[city]],entryCtry[yr],M$2)</calculatedColumnFormula>
    </tableColumn>
    <tableColumn id="13" name="4" dataDxfId="150">
      <calculatedColumnFormula>COUNTIFS(entryCtry[ctry],entryCity[[#This Row],[city]],entryCtry[yr],N$2)</calculatedColumnFormula>
    </tableColumn>
    <tableColumn id="14" name="5" dataDxfId="149">
      <calculatedColumnFormula>COUNTIFS(entryCtry[ctry],entryCity[[#This Row],[city]],entryCtry[yr],O$2)</calculatedColumnFormula>
    </tableColumn>
    <tableColumn id="15" name="6" dataDxfId="148">
      <calculatedColumnFormula>COUNTIFS(entryCtry[ctry],entryCity[[#This Row],[city]],entryCtry[yr],P$2)</calculatedColumnFormula>
    </tableColumn>
    <tableColumn id="16" name="7" dataDxfId="147">
      <calculatedColumnFormula>COUNTIFS(entryCtry[ctry],entryCity[[#This Row],[city]],entryCtry[yr],Q$2)</calculatedColumnFormula>
    </tableColumn>
    <tableColumn id="17" name="8" dataDxfId="146">
      <calculatedColumnFormula>COUNTIFS(entryCtry[ctry],entryCity[[#This Row],[city]],entryCtry[yr],R$2)</calculatedColumnFormula>
    </tableColumn>
    <tableColumn id="18" name="9" dataDxfId="145">
      <calculatedColumnFormula>COUNTIFS(entryCtry[ctry],entryCity[[#This Row],[city]],entryCtry[yr],S$2)</calculatedColumnFormula>
    </tableColumn>
    <tableColumn id="19" name="10" dataDxfId="144">
      <calculatedColumnFormula>COUNTIFS(entryCtry[ctry],entryCity[[#This Row],[city]],entryCtry[yr],T$2)</calculatedColumnFormula>
    </tableColumn>
    <tableColumn id="20" name="11" dataDxfId="143">
      <calculatedColumnFormula>COUNTIFS(entryCtry[ctry],entryCity[[#This Row],[city]],entryCtry[yr],U$2)</calculatedColumnFormula>
    </tableColumn>
    <tableColumn id="21" name="12" dataDxfId="142">
      <calculatedColumnFormula>COUNTIFS(entryCtry[ctry],entryCity[[#This Row],[city]],entryCtry[yr],V$2)</calculatedColumnFormula>
    </tableColumn>
    <tableColumn id="22" name="13" dataDxfId="141">
      <calculatedColumnFormula>COUNTIFS(entryCtry[ctry],entryCity[[#This Row],[city]],entryCtry[yr],W$2)</calculatedColumnFormula>
    </tableColumn>
    <tableColumn id="23" name="14" dataDxfId="140">
      <calculatedColumnFormula>COUNTIFS(entryCtry[ctry],entryCity[[#This Row],[city]],entryCtry[yr],X$2)</calculatedColumnFormula>
    </tableColumn>
    <tableColumn id="24" name="15" dataDxfId="139">
      <calculatedColumnFormula>COUNTIFS(entryCtry[ctry],entryCity[[#This Row],[city]],entryCtry[yr],Y$2)</calculatedColumnFormula>
    </tableColumn>
    <tableColumn id="25" name="16" dataDxfId="138">
      <calculatedColumnFormula>COUNTIFS(entryCtry[ctry],entryCity[[#This Row],[city]],entryCtry[yr],Z$2)</calculatedColumnFormula>
    </tableColumn>
    <tableColumn id="26" name="17" dataDxfId="137">
      <calculatedColumnFormula>COUNTIFS(entryCtry[ctry],entryCity[[#This Row],[city]],entryCtry[yr],AA$2)</calculatedColumnFormula>
    </tableColumn>
    <tableColumn id="27" name="18" dataDxfId="136">
      <calculatedColumnFormula>COUNTIFS(entryCtry[ctry],entryCity[[#This Row],[city]],entryCtry[yr],AB$2)</calculatedColumnFormula>
    </tableColumn>
    <tableColumn id="28" name="19" dataDxfId="135">
      <calculatedColumnFormula>COUNTIFS(entryCtry[ctry],entryCity[[#This Row],[city]],entryCtry[yr],AC$2)</calculatedColumnFormula>
    </tableColumn>
    <tableColumn id="29" name="20" dataDxfId="134">
      <calculatedColumnFormula>COUNTIFS(entryCtry[ctry],entryCity[[#This Row],[city]],entryCtry[yr],AD$2)</calculatedColumnFormula>
    </tableColumn>
    <tableColumn id="30" name="21" dataDxfId="133">
      <calculatedColumnFormula>COUNTIFS(entryCtry[ctry],entryCity[[#This Row],[city]],entryCtry[yr],AE$2)</calculatedColumnFormula>
    </tableColumn>
    <tableColumn id="31" name="22" dataDxfId="132">
      <calculatedColumnFormula>COUNTIFS(entryCtry[ctry],entryCity[[#This Row],[city]],entryCtry[yr],AF$2)</calculatedColumnFormula>
    </tableColumn>
    <tableColumn id="32" name="23" dataDxfId="131">
      <calculatedColumnFormula>COUNTIFS(entryCtry[ctry],entryCity[[#This Row],[city]],entryCtry[yr],AG$2)</calculatedColumnFormula>
    </tableColumn>
    <tableColumn id="33" name="24" dataDxfId="130">
      <calculatedColumnFormula>COUNTIFS(entryCtry[ctry],entryCity[[#This Row],[city]],entryCtry[yr],AH$2)</calculatedColumnFormula>
    </tableColumn>
    <tableColumn id="34" name="25" dataDxfId="129">
      <calculatedColumnFormula>COUNTIFS(entryCtry[ctry],entryCity[[#This Row],[city]],entryCtry[yr],AI$2)</calculatedColumnFormula>
    </tableColumn>
    <tableColumn id="35" name="26" dataDxfId="128">
      <calculatedColumnFormula>COUNTIFS(entryCtry[ctry],entryCity[[#This Row],[city]],entryCtry[yr],AJ$2)</calculatedColumnFormula>
    </tableColumn>
  </tableColumns>
  <tableStyleInfo name="TableStyleMedium15" showFirstColumn="0" showLastColumn="0" showRowStripes="1" showColumnStripes="0"/>
</table>
</file>

<file path=xl/tables/table41.xml><?xml version="1.0" encoding="utf-8"?>
<table xmlns="http://schemas.openxmlformats.org/spreadsheetml/2006/main" id="41" name="entryCityBR" displayName="entryCityBR" ref="B80:AJ105" headerRowCount="1" totalsRowShown="0" headerRowDxfId="127" dataDxfId="125" headerRowBorderDxfId="126" tableBorderDxfId="124" totalsRowBorderDxfId="123">
  <autoFilter ref="B80:AJ105"/>
  <sortState ref="B81:AJ105">
    <sortCondition descending="1" ref="B80:B105"/>
  </sortState>
  <tableColumns count="35">
    <tableColumn id="1" name="entries" dataDxfId="122">
      <calculatedColumnFormula>SUM(entryCityBR[[#This Row],[1991]:[2026]])</calculatedColumnFormula>
    </tableColumn>
    <tableColumn id="2" name="city" dataDxfId="121"/>
    <tableColumn id="3" name="1991" dataDxfId="120">
      <calculatedColumnFormula>COUNTIFS(stayCity[city],entryCityBR[[#This Row],[city]],stayCity[yr],D$79)</calculatedColumnFormula>
    </tableColumn>
    <tableColumn id="4" name="1992" dataDxfId="119">
      <calculatedColumnFormula>COUNTIFS(stayCity[city],entryCityBR[[#This Row],[city]],stayCity[yr],E$79)</calculatedColumnFormula>
    </tableColumn>
    <tableColumn id="5" name="1993" dataDxfId="118">
      <calculatedColumnFormula>COUNTIFS(stayCity[city],entryCityBR[[#This Row],[city]],stayCity[yr],F$79)</calculatedColumnFormula>
    </tableColumn>
    <tableColumn id="6" name="1994" dataDxfId="117">
      <calculatedColumnFormula>COUNTIFS(stayCity[city],entryCityBR[[#This Row],[city]],stayCity[yr],G$79)</calculatedColumnFormula>
    </tableColumn>
    <tableColumn id="7" name="1995" dataDxfId="116">
      <calculatedColumnFormula>COUNTIFS(stayCity[city],entryCityBR[[#This Row],[city]],stayCity[yr],H$79)</calculatedColumnFormula>
    </tableColumn>
    <tableColumn id="8" name="1996" dataDxfId="115">
      <calculatedColumnFormula>COUNTIFS(stayCity[city],entryCityBR[[#This Row],[city]],stayCity[yr],I$79)</calculatedColumnFormula>
    </tableColumn>
    <tableColumn id="9" name="1997" dataDxfId="114">
      <calculatedColumnFormula>COUNTIFS(stayCity[city],entryCityBR[[#This Row],[city]],stayCity[yr],J$79)</calculatedColumnFormula>
    </tableColumn>
    <tableColumn id="10" name="1998" dataDxfId="113">
      <calculatedColumnFormula>COUNTIFS(stayCity[city],entryCityBR[[#This Row],[city]],stayCity[yr],K$79)</calculatedColumnFormula>
    </tableColumn>
    <tableColumn id="11" name="1999" dataDxfId="112">
      <calculatedColumnFormula>COUNTIFS(stayCity[city],entryCityBR[[#This Row],[city]],stayCity[yr],L$79)</calculatedColumnFormula>
    </tableColumn>
    <tableColumn id="12" name="2000" dataDxfId="111">
      <calculatedColumnFormula>COUNTIFS(stayCity[city],entryCityBR[[#This Row],[city]],stayCity[yr],M$79)</calculatedColumnFormula>
    </tableColumn>
    <tableColumn id="13" name="2001" dataDxfId="110">
      <calculatedColumnFormula>COUNTIFS(stayCity[city],entryCityBR[[#This Row],[city]],stayCity[yr],N$79)</calculatedColumnFormula>
    </tableColumn>
    <tableColumn id="14" name="2002" dataDxfId="109">
      <calculatedColumnFormula>COUNTIFS(stayCity[city],entryCityBR[[#This Row],[city]],stayCity[yr],O$79)</calculatedColumnFormula>
    </tableColumn>
    <tableColumn id="15" name="2003" dataDxfId="108">
      <calculatedColumnFormula>COUNTIFS(stayCity[city],entryCityBR[[#This Row],[city]],stayCity[yr],P$79)</calculatedColumnFormula>
    </tableColumn>
    <tableColumn id="16" name="2004" dataDxfId="107">
      <calculatedColumnFormula>COUNTIFS(stayCity[city],entryCityBR[[#This Row],[city]],stayCity[yr],Q$79)</calculatedColumnFormula>
    </tableColumn>
    <tableColumn id="17" name="2005" dataDxfId="106">
      <calculatedColumnFormula>COUNTIFS(stayCity[city],entryCityBR[[#This Row],[city]],stayCity[yr],R$79)</calculatedColumnFormula>
    </tableColumn>
    <tableColumn id="18" name="2006" dataDxfId="105">
      <calculatedColumnFormula>COUNTIFS(stayCity[city],entryCityBR[[#This Row],[city]],stayCity[yr],S$79)</calculatedColumnFormula>
    </tableColumn>
    <tableColumn id="19" name="2007" dataDxfId="104">
      <calculatedColumnFormula>COUNTIFS(stayCity[city],entryCityBR[[#This Row],[city]],stayCity[yr],T$79)</calculatedColumnFormula>
    </tableColumn>
    <tableColumn id="20" name="2008" dataDxfId="103">
      <calculatedColumnFormula>COUNTIFS(stayCity[city],entryCityBR[[#This Row],[city]],stayCity[yr],U$79)</calculatedColumnFormula>
    </tableColumn>
    <tableColumn id="21" name="2009" dataDxfId="102">
      <calculatedColumnFormula>COUNTIFS(stayCity[city],entryCityBR[[#This Row],[city]],stayCity[yr],V$79)</calculatedColumnFormula>
    </tableColumn>
    <tableColumn id="22" name="2010" dataDxfId="101">
      <calculatedColumnFormula>COUNTIFS(stayCity[city],entryCityBR[[#This Row],[city]],stayCity[yr],W$79)</calculatedColumnFormula>
    </tableColumn>
    <tableColumn id="23" name="2011" dataDxfId="100">
      <calculatedColumnFormula>COUNTIFS(stayCity[city],entryCityBR[[#This Row],[city]],stayCity[yr],X$79)</calculatedColumnFormula>
    </tableColumn>
    <tableColumn id="24" name="2012" dataDxfId="99">
      <calculatedColumnFormula>COUNTIFS(stayCity[city],entryCityBR[[#This Row],[city]],stayCity[yr],Y$79)</calculatedColumnFormula>
    </tableColumn>
    <tableColumn id="25" name="2013" dataDxfId="98">
      <calculatedColumnFormula>COUNTIFS(stayCity[city],entryCityBR[[#This Row],[city]],stayCity[yr],Z$79)</calculatedColumnFormula>
    </tableColumn>
    <tableColumn id="26" name="2014" dataDxfId="97">
      <calculatedColumnFormula>COUNTIFS(stayCity[city],entryCityBR[[#This Row],[city]],stayCity[yr],AA$79)</calculatedColumnFormula>
    </tableColumn>
    <tableColumn id="27" name="2015" dataDxfId="96">
      <calculatedColumnFormula>COUNTIFS(stayCity[city],entryCityBR[[#This Row],[city]],stayCity[yr],AB$79)</calculatedColumnFormula>
    </tableColumn>
    <tableColumn id="28" name="2019" dataDxfId="95">
      <calculatedColumnFormula>COUNTIFS(stayCity[city],entryCityBR[[#This Row],[city]],stayCity[yr],AC$79)</calculatedColumnFormula>
    </tableColumn>
    <tableColumn id="29" name="2020" dataDxfId="94">
      <calculatedColumnFormula>COUNTIFS(stayCity[city],entryCityBR[[#This Row],[city]],stayCity[yr],AD$79)</calculatedColumnFormula>
    </tableColumn>
    <tableColumn id="30" name="2021" dataDxfId="93">
      <calculatedColumnFormula>COUNTIFS(stayCity[city],entryCityBR[[#This Row],[city]],stayCity[yr],AE$79)</calculatedColumnFormula>
    </tableColumn>
    <tableColumn id="31" name="2022" dataDxfId="92">
      <calculatedColumnFormula>COUNTIFS(stayCity[city],entryCityBR[[#This Row],[city]],stayCity[yr],AF$79)</calculatedColumnFormula>
    </tableColumn>
    <tableColumn id="32" name="2023" dataDxfId="91">
      <calculatedColumnFormula>COUNTIFS(stayCity[city],entryCityBR[[#This Row],[city]],stayCity[yr],AG$79)</calculatedColumnFormula>
    </tableColumn>
    <tableColumn id="33" name="2024" dataDxfId="90">
      <calculatedColumnFormula>COUNTIFS(stayCity[city],entryCityBR[[#This Row],[city]],stayCity[yr],AH$79)</calculatedColumnFormula>
    </tableColumn>
    <tableColumn id="34" name="2025" dataDxfId="89">
      <calculatedColumnFormula>COUNTIFS(stayCity[city],entryCityBR[[#This Row],[city]],stayCity[yr],AI$79)</calculatedColumnFormula>
    </tableColumn>
    <tableColumn id="35" name="2026" dataDxfId="88">
      <calculatedColumnFormula>COUNTIFS(stayCity[city],entryCityBR[[#This Row],[city]],stayCity[yr],AJ$79)</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 Type="http://schemas.openxmlformats.org/officeDocument/2006/relationships/table" Target="/xl/tables/table11.xml" Id="rId4"/><Relationship Type="http://schemas.openxmlformats.org/officeDocument/2006/relationships/table" Target="/xl/tables/table12.xml" Id="rId5"/><Relationship Type="http://schemas.openxmlformats.org/officeDocument/2006/relationships/table" Target="/xl/tables/table13.xml" Id="rId6"/><Relationship Type="http://schemas.openxmlformats.org/officeDocument/2006/relationships/table" Target="/xl/tables/table14.xml" Id="rId7"/><Relationship Type="http://schemas.openxmlformats.org/officeDocument/2006/relationships/table" Target="/xl/tables/table15.xml" Id="rId8"/><Relationship Type="http://schemas.openxmlformats.org/officeDocument/2006/relationships/table" Target="/xl/tables/table16.xml" Id="rId9"/><Relationship Type="http://schemas.openxmlformats.org/officeDocument/2006/relationships/table" Target="/xl/tables/table17.xml" Id="rId10"/><Relationship Type="http://schemas.openxmlformats.org/officeDocument/2006/relationships/table" Target="/xl/tables/table18.xml" Id="rId11"/><Relationship Type="http://schemas.openxmlformats.org/officeDocument/2006/relationships/table" Target="/xl/tables/table19.xml" Id="rId1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20.xml" Id="rId1"/><Relationship Type="http://schemas.openxmlformats.org/officeDocument/2006/relationships/table" Target="/xl/tables/table21.xml" Id="rId2"/><Relationship Type="http://schemas.openxmlformats.org/officeDocument/2006/relationships/table" Target="/xl/tables/table22.xml" Id="rId3"/><Relationship Type="http://schemas.openxmlformats.org/officeDocument/2006/relationships/table" Target="/xl/tables/table23.xml" Id="rId4"/><Relationship Type="http://schemas.openxmlformats.org/officeDocument/2006/relationships/table" Target="/xl/tables/table24.xml" Id="rId5"/><Relationship Type="http://schemas.openxmlformats.org/officeDocument/2006/relationships/table" Target="/xl/tables/table25.xml" Id="rId6"/><Relationship Type="http://schemas.openxmlformats.org/officeDocument/2006/relationships/table" Target="/xl/tables/table26.xml" Id="rId7"/><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table" Target="/xl/tables/table27.xml" Id="rId1"/><Relationship Type="http://schemas.openxmlformats.org/officeDocument/2006/relationships/table" Target="/xl/tables/table28.xml" Id="rId2"/></Relationships>
</file>

<file path=xl/worksheets/_rels/sheet5.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 Type="http://schemas.openxmlformats.org/officeDocument/2006/relationships/table" Target="/xl/tables/table32.xml" Id="rId4"/><Relationship Type="http://schemas.openxmlformats.org/officeDocument/2006/relationships/table" Target="/xl/tables/table33.xml" Id="rId5"/><Relationship Type="http://schemas.openxmlformats.org/officeDocument/2006/relationships/table" Target="/xl/tables/table34.xml" Id="rId6"/><Relationship Type="http://schemas.openxmlformats.org/officeDocument/2006/relationships/table" Target="/xl/tables/table35.xml" Id="rId7"/></Relationships>
</file>

<file path=xl/worksheets/_rels/sheet6.xml.rels><Relationships xmlns="http://schemas.openxmlformats.org/package/2006/relationships"><Relationship Type="http://schemas.openxmlformats.org/officeDocument/2006/relationships/table" Target="/xl/tables/table36.xml" Id="rId1"/><Relationship Type="http://schemas.openxmlformats.org/officeDocument/2006/relationships/table" Target="/xl/tables/table37.xml" Id="rId2"/><Relationship Type="http://schemas.openxmlformats.org/officeDocument/2006/relationships/table" Target="/xl/tables/table38.xml" Id="rId3"/><Relationship Type="http://schemas.openxmlformats.org/officeDocument/2006/relationships/table" Target="/xl/tables/table39.xml" Id="rId4"/><Relationship Type="http://schemas.openxmlformats.org/officeDocument/2006/relationships/table" Target="/xl/tables/table40.xml" Id="rId5"/><Relationship Type="http://schemas.openxmlformats.org/officeDocument/2006/relationships/table" Target="/xl/tables/table41.xml" Id="rId6"/></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002E5090"/>
    <outlinePr summaryBelow="1" summaryRight="1"/>
    <pageSetUpPr/>
  </sheetPr>
  <dimension ref="A1:CL2100"/>
  <sheetViews>
    <sheetView topLeftCell="A816" workbookViewId="0">
      <pane xSplit="3" ySplit="3" topLeftCell="D4" activePane="bottomRight" state="frozen"/>
      <selection pane="topRight"/>
      <selection pane="bottomLeft"/>
      <selection pane="bottomRight" activeCell="F829" sqref="F829"/>
      <selection pane="topRight" activeCell="Y821" sqref="Y821"/>
      <selection pane="bottomLeft" activeCell="H1802" sqref="H1802"/>
      <selection pane="bottomRight" activeCell="AA1781" sqref="AA1781"/>
    </sheetView>
  </sheetViews>
  <sheetFormatPr baseColWidth="10" defaultRowHeight="16"/>
  <cols>
    <col width="2" bestFit="1" customWidth="1" style="1" min="1" max="2"/>
    <col width="2" customWidth="1" min="2" max="2"/>
    <col width="6" bestFit="1" customWidth="1" style="1" min="3" max="3"/>
    <col width="18" customWidth="1" style="1" min="4" max="4"/>
    <col width="11" bestFit="1" customWidth="1" style="1" min="5" max="5"/>
    <col width="11" customWidth="1" style="1" min="6" max="6"/>
    <col width="7" customWidth="1" style="1" min="7" max="7"/>
    <col width="16" customWidth="1" style="1" min="8" max="8"/>
    <col width="9" customWidth="1" style="1" min="9" max="9"/>
    <col width="7" customWidth="1" style="1" min="10" max="11"/>
    <col width="6" customWidth="1" min="11" max="11"/>
    <col width="6" customWidth="1" style="1" min="12" max="12"/>
    <col width="5" customWidth="1" style="1" min="13" max="13"/>
    <col width="5" customWidth="1" style="1" min="14" max="14"/>
    <col width="6" customWidth="1" style="1" min="15" max="15"/>
    <col width="5" customWidth="1" style="1" min="16" max="16"/>
    <col width="6" customWidth="1" style="1" min="17" max="17"/>
    <col width="6" bestFit="1" customWidth="1" style="1" min="18" max="18"/>
    <col width="8" customWidth="1" style="1" min="19" max="19"/>
    <col width="2" customWidth="1" min="20" max="20"/>
    <col width="11" bestFit="1" customWidth="1" min="21" max="21"/>
    <col width="2" customWidth="1" min="22" max="22"/>
    <col width="2" bestFit="1" customWidth="1" style="1" min="23" max="23"/>
    <col width="2" customWidth="1" style="1" min="24" max="24"/>
    <col width="22.83203125" bestFit="1" customWidth="1" style="939" min="25" max="25"/>
    <col width="8.1640625" bestFit="1" customWidth="1" style="940" min="26" max="26"/>
    <col width="10.1640625" customWidth="1" min="27" max="27"/>
    <col width="13.6640625" customWidth="1" min="28" max="28"/>
    <col width="9.5" bestFit="1" customWidth="1" min="29" max="30"/>
    <col width="6.6640625" customWidth="1" min="31" max="31"/>
    <col width="8.33203125" bestFit="1" customWidth="1" min="32" max="32"/>
    <col width="2" bestFit="1" customWidth="1" min="33" max="33"/>
    <col width="5.33203125" customWidth="1" min="34" max="34"/>
    <col width="8.1640625" bestFit="1" customWidth="1" min="35" max="36"/>
    <col width="5.6640625" customWidth="1" min="37" max="37"/>
    <col width="8.1640625" bestFit="1" customWidth="1" min="38" max="39"/>
    <col width="7.1640625" bestFit="1" customWidth="1" min="40" max="40"/>
    <col width="5.1640625" bestFit="1" customWidth="1" min="41" max="41"/>
    <col width="2" customWidth="1" min="42" max="42"/>
    <col width="4.1640625" customWidth="1" style="957" min="43" max="43"/>
    <col width="8.33203125" customWidth="1" style="957" min="44" max="44"/>
    <col width="8.1640625" bestFit="1" customWidth="1" min="45" max="45"/>
    <col width="4" customWidth="1" min="46" max="46"/>
    <col width="8.1640625" bestFit="1" customWidth="1" min="47" max="48"/>
    <col width="7.1640625" bestFit="1" customWidth="1" min="49" max="49"/>
    <col width="1.6640625" bestFit="1" customWidth="1" min="50" max="50"/>
    <col width="2" bestFit="1" customWidth="1" min="51" max="51"/>
    <col width="3.83203125" customWidth="1" style="957" min="52" max="52"/>
    <col width="8.1640625" bestFit="1" customWidth="1" style="957" min="53" max="53"/>
    <col width="8.1640625" bestFit="1" customWidth="1" min="54" max="54"/>
    <col width="3.33203125" customWidth="1" min="55" max="55"/>
    <col width="8.1640625" bestFit="1" customWidth="1" min="56" max="57"/>
    <col width="5.1640625" bestFit="1" customWidth="1" min="58" max="59"/>
    <col width="2" customWidth="1" min="60" max="60"/>
    <col width="5.33203125" customWidth="1" min="61" max="61"/>
    <col width="5.83203125" customWidth="1" min="62" max="63"/>
    <col width="5.1640625" bestFit="1" customWidth="1" min="64" max="64"/>
    <col width="2" customWidth="1" min="65" max="65"/>
    <col width="2" customWidth="1" min="66" max="66"/>
    <col width="7.33203125" bestFit="1" customWidth="1" style="1" min="67" max="67"/>
    <col width="2" bestFit="1" customWidth="1" style="1" min="68" max="68"/>
    <col width="4" customWidth="1" style="1" min="69" max="69"/>
    <col width="9.5" customWidth="1" style="1" min="70" max="70"/>
    <col width="10.1640625" customWidth="1" style="1" min="71" max="71"/>
    <col width="10.83203125" customWidth="1" style="784" min="72" max="72"/>
    <col width="9.83203125" bestFit="1" customWidth="1" style="1" min="73" max="73"/>
    <col width="2" bestFit="1" customWidth="1" style="1" min="74" max="74"/>
    <col width="4" customWidth="1" style="1" min="75" max="75"/>
    <col width="8.1640625" bestFit="1" customWidth="1" style="784" min="76" max="77"/>
    <col width="8.1640625" bestFit="1" customWidth="1" style="1" min="78" max="78"/>
    <col width="6.83203125" bestFit="1" customWidth="1" min="79" max="79"/>
    <col width="2" bestFit="1" customWidth="1" min="80" max="80"/>
    <col width="4.1640625" bestFit="1" customWidth="1" min="81" max="81"/>
    <col width="12" customWidth="1" style="1" min="82" max="82"/>
    <col width="9.83203125" bestFit="1" customWidth="1" style="1" min="83" max="84"/>
    <col width="4.5" bestFit="1" customWidth="1" style="1" min="85" max="85"/>
    <col width="1.6640625" bestFit="1" customWidth="1" min="86" max="86"/>
    <col width="3.1640625" bestFit="1" customWidth="1" style="1" min="87" max="87"/>
    <col width="14.83203125" customWidth="1" style="1" min="88" max="88"/>
    <col width="1.6640625" bestFit="1" customWidth="1" style="1" min="89" max="89"/>
    <col width="10.83203125" customWidth="1" style="1" min="90" max="16384"/>
  </cols>
  <sheetData>
    <row r="1" ht="16" customHeight="1">
      <c r="A1" s="869" t="inlineStr">
        <is>
          <t>.</t>
        </is>
      </c>
      <c r="B1" s="869" t="inlineStr">
        <is>
          <t>.</t>
        </is>
      </c>
      <c r="C1" s="1345" t="inlineStr">
        <is>
          <t>▸  TRAVEL LOG  (raw input)</t>
        </is>
      </c>
      <c r="D1" s="1346" t="n"/>
      <c r="E1" s="1346" t="n"/>
      <c r="F1" s="1346" t="n"/>
      <c r="G1" s="1346" t="n"/>
      <c r="H1" s="1346" t="n"/>
      <c r="I1" s="1346" t="n"/>
      <c r="J1" s="1346" t="n"/>
      <c r="K1" s="1346" t="n"/>
      <c r="L1" s="1346" t="n"/>
      <c r="M1" s="1346" t="n"/>
      <c r="N1" s="1346" t="n"/>
      <c r="O1" s="1346" t="n"/>
      <c r="P1" s="1346" t="n"/>
      <c r="Q1" s="1346" t="n"/>
      <c r="R1" s="1346" t="n"/>
      <c r="S1" s="1077" t="n"/>
      <c r="T1" s="815" t="n"/>
      <c r="U1" s="1347" t="inlineStr">
        <is>
          <t>▸  TOTALS</t>
        </is>
      </c>
      <c r="X1" s="658" t="n"/>
      <c r="Y1" s="1348" t="inlineStr">
        <is>
          <t>▸  UNIQUE CITY STAYS</t>
        </is>
      </c>
      <c r="AF1" s="1349" t="n"/>
      <c r="AG1" s="658" t="n"/>
      <c r="AH1" s="1350" t="inlineStr">
        <is>
          <t>▸  UNIQUE COUNTRY STAYS</t>
        </is>
      </c>
      <c r="AO1" s="1349" t="n"/>
      <c r="AP1" s="658" t="n"/>
      <c r="AQ1" s="1351" t="inlineStr">
        <is>
          <t>▸  UNIQUE CONTINENT STAYS</t>
        </is>
      </c>
      <c r="AX1" s="1349" t="n"/>
      <c r="AY1" s="658" t="n"/>
      <c r="AZ1" s="1352" t="inlineStr">
        <is>
          <t>▸  UNIQUE WB STAYS</t>
        </is>
      </c>
      <c r="BA1" s="1353" t="n"/>
      <c r="BB1" s="1353" t="n"/>
      <c r="BC1" s="1353" t="n"/>
      <c r="BD1" s="1353" t="n"/>
      <c r="BE1" s="1353" t="n"/>
      <c r="BF1" s="1353" t="n"/>
      <c r="BG1" s="1354" t="n"/>
      <c r="BH1" s="856" t="n"/>
      <c r="BI1" s="1355" t="inlineStr">
        <is>
          <t>▸  COUNTRY ENTRIES</t>
        </is>
      </c>
      <c r="BP1" s="658" t="n"/>
      <c r="BQ1" s="1356" t="inlineStr">
        <is>
          <t>▸  ALL FLIGHTS</t>
        </is>
      </c>
      <c r="BX1" s="1357" t="inlineStr">
        <is>
          <t>▸  HOME STAYS</t>
        </is>
      </c>
      <c r="CC1" s="1211" t="inlineStr">
        <is>
          <t>Stay Transit</t>
        </is>
      </c>
      <c r="CD1" s="1358" t="inlineStr">
        <is>
          <t>▸  TRANSIT STAYS</t>
        </is>
      </c>
      <c r="CI1" s="1210" t="inlineStr">
        <is>
          <t>Repeated Transit</t>
        </is>
      </c>
      <c r="CJ1" s="1359" t="inlineStr">
        <is>
          <t>▸  REPEATED TRANSIT</t>
        </is>
      </c>
    </row>
    <row r="2" ht="6" customHeight="1">
      <c r="A2" s="5" t="inlineStr">
        <is>
          <t>.</t>
        </is>
      </c>
      <c r="B2" s="5" t="inlineStr">
        <is>
          <t>.</t>
        </is>
      </c>
      <c r="C2" s="652">
        <f>MAX(C5:C1758)</f>
        <v/>
      </c>
      <c r="D2" s="776" t="inlineStr">
        <is>
          <t>input</t>
        </is>
      </c>
      <c r="E2" s="776" t="inlineStr">
        <is>
          <t>input</t>
        </is>
      </c>
      <c r="F2" s="776" t="inlineStr">
        <is>
          <t>input</t>
        </is>
      </c>
      <c r="G2" s="776" t="inlineStr">
        <is>
          <t>input</t>
        </is>
      </c>
      <c r="H2" s="776" t="inlineStr">
        <is>
          <t>input</t>
        </is>
      </c>
      <c r="I2" s="776" t="inlineStr">
        <is>
          <t>input</t>
        </is>
      </c>
      <c r="J2" s="776" t="inlineStr">
        <is>
          <t>input</t>
        </is>
      </c>
      <c r="K2" s="786" t="inlineStr">
        <is>
          <t>CCC</t>
        </is>
      </c>
      <c r="L2" s="786" t="inlineStr">
        <is>
          <t>CCC</t>
        </is>
      </c>
      <c r="M2" s="786" t="inlineStr">
        <is>
          <t>CCC</t>
        </is>
      </c>
      <c r="N2" s="1120" t="inlineStr">
        <is>
          <t>fla</t>
        </is>
      </c>
      <c r="O2" s="1120" t="inlineStr">
        <is>
          <t>fla</t>
        </is>
      </c>
      <c r="P2" s="1120" t="inlineStr">
        <is>
          <t>fla</t>
        </is>
      </c>
      <c r="Q2" s="1120" t="inlineStr">
        <is>
          <t>fla</t>
        </is>
      </c>
      <c r="R2" s="1120" t="inlineStr">
        <is>
          <t>fla</t>
        </is>
      </c>
      <c r="S2" s="786" t="inlineStr">
        <is>
          <t>tblHome</t>
        </is>
      </c>
      <c r="T2" s="660" t="n"/>
      <c r="U2" s="960">
        <f>MAX(U5:U2100)</f>
        <v/>
      </c>
      <c r="V2" s="960">
        <f>MAX(V5:V2100)</f>
        <v/>
      </c>
      <c r="W2" s="1360">
        <f>MAX(W5:W2100)</f>
        <v/>
      </c>
      <c r="X2" s="660" t="n"/>
      <c r="Y2" s="885" t="inlineStr">
        <is>
          <t>&lt;&gt;AIR</t>
        </is>
      </c>
      <c r="Z2" s="932" t="n"/>
      <c r="AA2" s="933" t="n"/>
      <c r="AB2" s="4" t="n"/>
      <c r="AC2" s="4" t="n"/>
      <c r="AD2" s="4" t="n"/>
      <c r="AE2" s="4" t="n"/>
      <c r="AF2" s="941">
        <f>MAX(stayCity[yr])</f>
        <v/>
      </c>
      <c r="AG2" s="660" t="n"/>
      <c r="AH2" s="930" t="n"/>
      <c r="AI2" s="930" t="n"/>
      <c r="AJ2" s="931" t="n"/>
      <c r="AK2" s="4" t="n"/>
      <c r="AL2" s="4" t="n"/>
      <c r="AM2" s="4" t="n"/>
      <c r="AN2" s="4" t="n"/>
      <c r="AO2" s="941">
        <f>MAX(AN4:AN4999)</f>
        <v/>
      </c>
      <c r="AP2" s="660" t="n"/>
      <c r="AQ2" s="4" t="n"/>
      <c r="AR2" s="954" t="n"/>
      <c r="AS2" s="955" t="n"/>
      <c r="AT2" s="4" t="n"/>
      <c r="AU2" s="4" t="n"/>
      <c r="AV2" s="4" t="n"/>
      <c r="AW2" s="4" t="n"/>
      <c r="AX2" s="941">
        <f>MAX(AW5:AW5000)</f>
        <v/>
      </c>
      <c r="AY2" s="660" t="n"/>
      <c r="AZ2" s="4" t="n"/>
      <c r="BA2" s="954" t="n"/>
      <c r="BB2" s="955" t="n"/>
      <c r="BC2" s="4" t="n"/>
      <c r="BD2" s="4" t="n"/>
      <c r="BE2" s="4" t="n"/>
      <c r="BF2" s="4" t="n"/>
      <c r="BG2" s="941">
        <f>MAX(BG5:BG5000)</f>
        <v/>
      </c>
      <c r="BH2" s="857" t="n"/>
      <c r="BI2" s="4" t="n"/>
      <c r="BJ2" s="4" t="n"/>
      <c r="BK2" s="804">
        <f>COUNTIF(BK5:BK305,"&lt;&gt;0")</f>
        <v/>
      </c>
      <c r="BL2" s="944" t="n"/>
      <c r="BM2" s="4" t="n"/>
      <c r="BN2" s="4" t="n"/>
      <c r="BO2" s="804">
        <f>COUNTIF(BO5:BO305,"&lt;&gt;0")</f>
        <v/>
      </c>
      <c r="BP2" s="4" t="n"/>
      <c r="BQ2" s="4" t="n"/>
      <c r="BR2" s="4" t="n"/>
      <c r="BS2" s="4" t="n"/>
      <c r="BT2" s="4" t="n"/>
      <c r="BU2" s="855" t="n"/>
      <c r="BV2" s="4" t="n"/>
      <c r="BW2" s="4" t="n"/>
      <c r="BX2" s="4" t="n"/>
      <c r="BY2" s="855" t="n"/>
      <c r="BZ2" s="855" t="n"/>
      <c r="CA2" s="4" t="n"/>
      <c r="CB2" s="4" t="n"/>
      <c r="CC2" s="4" t="n"/>
      <c r="CD2" s="4" t="n"/>
      <c r="CE2" s="4" t="n"/>
      <c r="CF2" s="4" t="n"/>
      <c r="CG2" s="4" t="n"/>
      <c r="CH2" s="4" t="n"/>
      <c r="CI2" s="4" t="n"/>
      <c r="CJ2" s="4" t="n"/>
      <c r="CK2" s="4" t="inlineStr">
        <is>
          <t>.</t>
        </is>
      </c>
    </row>
    <row r="3" ht="18" customHeight="1">
      <c r="A3" s="1118" t="inlineStr">
        <is>
          <t>.</t>
        </is>
      </c>
      <c r="B3" s="1118" t="inlineStr">
        <is>
          <t>.</t>
        </is>
      </c>
      <c r="C3" s="1361" t="inlineStr">
        <is>
          <t>id</t>
        </is>
      </c>
      <c r="D3" s="1362" t="inlineStr">
        <is>
          <t>city</t>
        </is>
      </c>
      <c r="E3" s="1362" t="inlineStr">
        <is>
          <t>in</t>
        </is>
      </c>
      <c r="F3" s="1362" t="inlineStr">
        <is>
          <t>out</t>
        </is>
      </c>
      <c r="G3" s="1362" t="inlineStr">
        <is>
          <t>flight</t>
        </is>
      </c>
      <c r="H3" s="1362" t="inlineStr">
        <is>
          <t>home</t>
        </is>
      </c>
      <c r="I3" s="1362" t="inlineStr">
        <is>
          <t>transit</t>
        </is>
      </c>
      <c r="J3" s="1362" t="inlineStr">
        <is>
          <t>note</t>
        </is>
      </c>
      <c r="K3" s="1363" t="inlineStr">
        <is>
          <t>prov</t>
        </is>
      </c>
      <c r="L3" s="1363" t="inlineStr">
        <is>
          <t>ctry</t>
        </is>
      </c>
      <c r="M3" s="1363" t="inlineStr">
        <is>
          <t>cont</t>
        </is>
      </c>
      <c r="N3" s="1364" t="inlineStr">
        <is>
          <t>wb</t>
        </is>
      </c>
      <c r="O3" s="1364" t="inlineStr">
        <is>
          <t>stay</t>
        </is>
      </c>
      <c r="P3" s="1364" t="inlineStr">
        <is>
          <t>mth</t>
        </is>
      </c>
      <c r="Q3" s="1364" t="inlineStr">
        <is>
          <t>yr</t>
        </is>
      </c>
      <c r="R3" s="1364" t="inlineStr">
        <is>
          <t>dec</t>
        </is>
      </c>
      <c r="S3" s="1363" t="inlineStr">
        <is>
          <t>notHome</t>
        </is>
      </c>
      <c r="T3" s="660" t="n"/>
      <c r="U3" s="1365" t="inlineStr">
        <is>
          <t>daysAbroad</t>
        </is>
      </c>
      <c r="V3" s="1366" t="n"/>
      <c r="W3" s="1367" t="n"/>
      <c r="X3" s="660" t="n"/>
      <c r="Y3" s="1368" t="inlineStr">
        <is>
          <t>ucityStay</t>
        </is>
      </c>
      <c r="Z3" s="1369" t="inlineStr">
        <is>
          <t>in</t>
        </is>
      </c>
      <c r="AA3" s="1369" t="inlineStr">
        <is>
          <t>out</t>
        </is>
      </c>
      <c r="AB3" s="1368" t="inlineStr">
        <is>
          <t>city</t>
        </is>
      </c>
      <c r="AC3" s="1368" t="inlineStr">
        <is>
          <t>in</t>
        </is>
      </c>
      <c r="AD3" s="1368" t="inlineStr">
        <is>
          <t>out</t>
        </is>
      </c>
      <c r="AE3" s="1368" t="inlineStr">
        <is>
          <t>stay</t>
        </is>
      </c>
      <c r="AF3" s="1368" t="inlineStr">
        <is>
          <t>yr</t>
        </is>
      </c>
      <c r="AG3" s="660" t="n"/>
      <c r="AH3" s="1370" t="inlineStr">
        <is>
          <t>uctryStay</t>
        </is>
      </c>
      <c r="AI3" s="1370" t="inlineStr">
        <is>
          <t>in</t>
        </is>
      </c>
      <c r="AJ3" s="1370" t="inlineStr">
        <is>
          <t>out</t>
        </is>
      </c>
      <c r="AK3" s="1370" t="inlineStr">
        <is>
          <t>ctry</t>
        </is>
      </c>
      <c r="AL3" s="1370" t="inlineStr">
        <is>
          <t>in</t>
        </is>
      </c>
      <c r="AM3" s="1370" t="inlineStr">
        <is>
          <t>out</t>
        </is>
      </c>
      <c r="AN3" s="1370" t="inlineStr">
        <is>
          <t>stay</t>
        </is>
      </c>
      <c r="AO3" s="1370" t="inlineStr">
        <is>
          <t>id</t>
        </is>
      </c>
      <c r="AP3" s="660" t="n"/>
      <c r="AQ3" s="1371" t="inlineStr">
        <is>
          <t>ucontStay</t>
        </is>
      </c>
      <c r="AR3" s="1372" t="inlineStr">
        <is>
          <t>in</t>
        </is>
      </c>
      <c r="AS3" s="1372" t="inlineStr">
        <is>
          <t>out</t>
        </is>
      </c>
      <c r="AT3" s="1371" t="inlineStr">
        <is>
          <t>cont</t>
        </is>
      </c>
      <c r="AU3" s="1371" t="inlineStr">
        <is>
          <t>in</t>
        </is>
      </c>
      <c r="AV3" s="1371" t="inlineStr">
        <is>
          <t>out</t>
        </is>
      </c>
      <c r="AW3" s="1371" t="inlineStr">
        <is>
          <t>stay</t>
        </is>
      </c>
      <c r="AX3" s="1371" t="inlineStr">
        <is>
          <t>id</t>
        </is>
      </c>
      <c r="AY3" s="660" t="n"/>
      <c r="AZ3" s="1373" t="inlineStr">
        <is>
          <t>uwb</t>
        </is>
      </c>
      <c r="BA3" s="1374" t="inlineStr">
        <is>
          <t>in</t>
        </is>
      </c>
      <c r="BB3" s="1374" t="inlineStr">
        <is>
          <t>out</t>
        </is>
      </c>
      <c r="BC3" s="1373" t="inlineStr">
        <is>
          <t>wb</t>
        </is>
      </c>
      <c r="BD3" s="1373" t="inlineStr">
        <is>
          <t>in</t>
        </is>
      </c>
      <c r="BE3" s="1373" t="inlineStr">
        <is>
          <t>out</t>
        </is>
      </c>
      <c r="BF3" s="1373" t="inlineStr">
        <is>
          <t>stay</t>
        </is>
      </c>
      <c r="BG3" s="1373" t="inlineStr">
        <is>
          <t>id</t>
        </is>
      </c>
      <c r="BH3" s="857" t="n"/>
      <c r="BI3" s="1375" t="inlineStr">
        <is>
          <t>uctryEntry</t>
        </is>
      </c>
      <c r="BJ3" s="1375" t="n"/>
      <c r="BK3" s="1375" t="inlineStr">
        <is>
          <t>ctry</t>
        </is>
      </c>
      <c r="BL3" s="1375" t="inlineStr">
        <is>
          <t>yr</t>
        </is>
      </c>
      <c r="BM3" s="1375" t="inlineStr">
        <is>
          <t>.</t>
        </is>
      </c>
      <c r="BN3" s="1375" t="inlineStr">
        <is>
          <t>ucontEntry</t>
        </is>
      </c>
      <c r="BO3" s="1375" t="inlineStr">
        <is>
          <t>cont</t>
        </is>
      </c>
      <c r="BP3" s="857" t="inlineStr">
        <is>
          <t>.</t>
        </is>
      </c>
      <c r="BQ3" s="1368">
        <f>MAX(BP5:BP5000)</f>
        <v/>
      </c>
      <c r="BR3" s="1368" t="inlineStr">
        <is>
          <t>outbound</t>
        </is>
      </c>
      <c r="BS3" s="1368" t="inlineStr">
        <is>
          <t>inbound</t>
        </is>
      </c>
      <c r="BT3" s="1368" t="inlineStr">
        <is>
          <t>route</t>
        </is>
      </c>
      <c r="BU3" s="1376" t="inlineStr">
        <is>
          <t>date</t>
        </is>
      </c>
      <c r="BV3" s="1368" t="inlineStr">
        <is>
          <t>.</t>
        </is>
      </c>
      <c r="BW3" s="1368">
        <f>MAX(BV5:BV5000)</f>
        <v/>
      </c>
      <c r="BX3" s="1370" t="inlineStr">
        <is>
          <t>uhomeStay</t>
        </is>
      </c>
      <c r="BY3" s="1377" t="inlineStr">
        <is>
          <t>in</t>
        </is>
      </c>
      <c r="BZ3" s="1377" t="inlineStr">
        <is>
          <t>out</t>
        </is>
      </c>
      <c r="CA3" s="1370" t="inlineStr">
        <is>
          <t>stay</t>
        </is>
      </c>
      <c r="CB3" s="1370" t="inlineStr">
        <is>
          <t>.</t>
        </is>
      </c>
      <c r="CC3" s="804">
        <f>MAX(CB5:CB5000)</f>
        <v/>
      </c>
      <c r="CD3" s="1371" t="inlineStr">
        <is>
          <t>utransitStay</t>
        </is>
      </c>
      <c r="CE3" s="1371" t="inlineStr">
        <is>
          <t>in</t>
        </is>
      </c>
      <c r="CF3" s="1371" t="inlineStr">
        <is>
          <t>out</t>
        </is>
      </c>
      <c r="CG3" s="1371" t="inlineStr">
        <is>
          <t>stay</t>
        </is>
      </c>
      <c r="CH3" s="1371" t="inlineStr">
        <is>
          <t>.</t>
        </is>
      </c>
      <c r="CI3" s="804">
        <f>MAX(CH5:CH5000)</f>
        <v/>
      </c>
      <c r="CJ3" s="1373" t="inlineStr">
        <is>
          <t>uTransit</t>
        </is>
      </c>
      <c r="CK3" s="1373" t="inlineStr">
        <is>
          <t>.</t>
        </is>
      </c>
      <c r="CL3" s="1373" t="n"/>
    </row>
    <row r="4">
      <c r="A4" s="5" t="inlineStr">
        <is>
          <t>.</t>
        </is>
      </c>
      <c r="B4" s="5" t="inlineStr">
        <is>
          <t>.</t>
        </is>
      </c>
      <c r="C4" s="1378" t="n"/>
      <c r="D4" s="1379" t="n"/>
      <c r="E4" s="1379" t="n"/>
      <c r="F4" s="1379" t="n"/>
      <c r="G4" s="1380" t="n"/>
      <c r="H4" s="1379" t="n"/>
      <c r="I4" s="1379" t="n"/>
      <c r="J4" s="1381" t="n"/>
      <c r="K4" s="1381">
        <f>IF(raw[[#This Row],[city]]&lt;&gt;"",_xlfn.XLOOKUP($D4,ccc[city],ccc[prov],"-"),"-")</f>
        <v/>
      </c>
      <c r="L4" s="1381" t="n"/>
      <c r="M4" s="1381" t="n"/>
      <c r="N4" s="1382" t="n"/>
      <c r="O4" s="1382">
        <f>IF(raw[[#This Row],[out]]=0,0,IF(raw[[#This Row],[out]]=raw[[#This Row],[in]],0.01,raw[[#This Row],[out]]-raw[[#This Row],[in]]))</f>
        <v/>
      </c>
      <c r="P4" s="1382" t="n"/>
      <c r="Q4" s="1382" t="n"/>
      <c r="R4" s="1382">
        <f>INT(raw[[#This Row],[yr]]/10)*10</f>
        <v/>
      </c>
      <c r="S4" s="1381">
        <f>IF(raw[[#This Row],[city]]="","-",IF(raw[[#This Row],[city]]&lt;&gt;_xlfn.XLOOKUP(raw[[#This Row],[home]],homes[home],homes[city],"-"),1,0))</f>
        <v/>
      </c>
      <c r="T4" s="1383" t="n"/>
      <c r="U4" s="1383" t="n"/>
      <c r="V4" s="1383" t="n"/>
      <c r="W4" s="1383" t="n"/>
      <c r="X4" s="1383" t="n"/>
      <c r="Y4" s="1384">
        <f t="array" ref="Y4:AA821">_xlfn.LET(_xlpm.ct0,raw[city],_xlpm.di0,raw[in],_xlpm.do0,raw[out],_xlpm.m,(_xlpm.ct0&lt;&gt;"AIR")*(_xlpm.ct0&lt;&gt;"Today")*(_xlpm.ct0&lt;&gt;"-")*(_xlpm.di0&lt;&gt;_xlpm.do0),_xlpm.ct,_xlfn._xlws.FILTER(_xlpm.ct0,_xlpm.m),_xlpm.di,_xlfn._xlws.FILTER(_xlpm.di0,_xlpm.m),_xlpm.do,_xlfn._xlws.FILTER(_xlpm.do0,_xlpm.m),_xlpm.n,ROWS(_xlpm.ct),_xlpm.isStart,(_xlfn.SEQUENCE(_xlpm.n)=1)+(_xlpm.ct&lt;&gt;_xlfn.IFNA(INDEX(_xlpm.ct,_xlfn.SEQUENCE(_xlpm.n)-1),"")),_xlpm.idx,_xlfn._xlws.FILTER(_xlfn.SEQUENCE(_xlpm.n),_xlpm.isStart),_xlpm.endIdx,_xlfn.VSTACK(_xlfn.DROP(_xlpm.idx,1),_xlpm.n+1)-1,_xlfn.HSTACK(INDEX(_xlpm.ct,_xlpm.idx),INDEX(_xlpm.di,_xlpm.idx),INDEX(_xlpm.do,_xlpm.endIdx)))</f>
        <v/>
      </c>
      <c r="Z4" s="1384">
        <f/>
        <v/>
      </c>
      <c r="AA4" s="1384">
        <f/>
        <v/>
      </c>
      <c r="AB4" s="1385">
        <f t="array" ref="AB4">_xlfn.LET(_xlpm.S,_xlfn.ANCHORARRAY($Y$4),_xlpm.r,ROWS(stayCity[[#Headers],[city]]:stayCity[[#This Row],[city]])-1,IF(_xlpm.r&lt;=ROWS(_xlpm.S),INDEX(_xlpm.S,_xlpm.r,1),""))</f>
        <v/>
      </c>
      <c r="AC4" s="1386">
        <f t="array" ref="AC4">_xlfn.LET(_xlpm.S,_xlfn.ANCHORARRAY($Y$4),_xlpm.r,ROWS(stayCity[[#Headers],[city]]:stayCity[[#This Row],[city]])-1,IF(_xlpm.r&lt;=ROWS(_xlpm.S),INDEX(_xlpm.S,_xlpm.r,2),""))</f>
        <v/>
      </c>
      <c r="AD4" s="1386">
        <f t="array" ref="AD4">_xlfn.LET(_xlpm.S,_xlfn.ANCHORARRAY($Y$4),_xlpm.r,ROWS(stayCity[[#Headers],[city]]:stayCity[[#This Row],[city]])-1,IF(_xlpm.r&lt;=ROWS(_xlpm.S),INDEX(_xlpm.S,_xlpm.r,3),""))</f>
        <v/>
      </c>
      <c r="AE4" s="1385" t="n"/>
      <c r="AF4" s="1385" t="n"/>
      <c r="AG4" s="1383" t="n"/>
      <c r="AH4" s="1383" t="n"/>
      <c r="AI4" s="1383" t="n"/>
      <c r="AJ4" s="1383" t="n"/>
      <c r="AK4" s="1385" t="n"/>
      <c r="AL4" s="1386" t="n"/>
      <c r="AM4" s="1386" t="n"/>
      <c r="AN4" s="1385" t="n"/>
      <c r="AO4" s="1385" t="n"/>
      <c r="AP4" s="1383" t="n"/>
      <c r="AQ4" s="1383" t="n"/>
      <c r="AR4" s="1387" t="n"/>
      <c r="AS4" s="1387" t="n"/>
      <c r="AT4" s="1385" t="n"/>
      <c r="AU4" s="1386" t="n"/>
      <c r="AV4" s="1386" t="n"/>
      <c r="AW4" s="1385" t="n"/>
      <c r="AX4" s="1385" t="n"/>
      <c r="AY4" s="1383" t="n"/>
      <c r="AZ4" s="1383" t="n"/>
      <c r="BA4" s="1387" t="n"/>
      <c r="BB4" s="1387" t="n"/>
      <c r="BC4" s="1385" t="n"/>
      <c r="BD4" s="1386" t="n"/>
      <c r="BE4" s="1386" t="n"/>
      <c r="BF4" s="1385" t="n"/>
      <c r="BG4" s="1385" t="n"/>
      <c r="BH4" s="1383" t="n"/>
      <c r="BI4" s="1383" t="n"/>
      <c r="BJ4" s="1385" t="n"/>
      <c r="BK4" s="1385" t="n"/>
      <c r="BL4" s="1385">
        <f>BJ4</f>
        <v/>
      </c>
      <c r="BM4" s="1388" t="n"/>
      <c r="BN4" s="1383" t="n"/>
      <c r="BO4" s="1385" t="n"/>
      <c r="BP4" s="1383" t="n"/>
      <c r="BQ4" s="1383" t="n"/>
      <c r="BR4" s="1383" t="n"/>
      <c r="BS4" s="1383" t="n"/>
      <c r="BT4" s="1383" t="n"/>
      <c r="BU4" s="1389" t="n"/>
      <c r="BV4" s="1383" t="n"/>
      <c r="BW4" s="1383" t="n"/>
      <c r="BX4" s="1383" t="n"/>
      <c r="BY4" s="1389" t="n"/>
      <c r="BZ4" s="1389" t="n"/>
      <c r="CA4" s="1383" t="n"/>
      <c r="CB4" s="1383" t="n"/>
      <c r="CC4" s="1383" t="n"/>
      <c r="CD4" s="1383" t="n"/>
      <c r="CE4" s="1383" t="n"/>
      <c r="CF4" s="1383" t="n"/>
      <c r="CG4" s="1383" t="n"/>
      <c r="CH4" s="1383" t="n"/>
      <c r="CI4" s="1390" t="n"/>
      <c r="CJ4" s="1390" t="n"/>
      <c r="CK4" s="1391" t="inlineStr">
        <is>
          <t>.</t>
        </is>
      </c>
      <c r="CL4" s="1392" t="n"/>
    </row>
    <row r="5">
      <c r="A5" s="5" t="inlineStr">
        <is>
          <t>.</t>
        </is>
      </c>
      <c r="B5" s="5" t="inlineStr">
        <is>
          <t>.</t>
        </is>
      </c>
      <c r="C5" s="1378">
        <f>IF(raw[[#This Row],[city]]="","-",IF(raw[[#This Row],[city]]="TODAY","-",C4+1))</f>
        <v/>
      </c>
      <c r="D5" s="1393" t="inlineStr">
        <is>
          <t>SSA</t>
        </is>
      </c>
      <c r="E5" s="1394" t="n">
        <v>26170</v>
      </c>
      <c r="F5" s="1394" t="n">
        <v>26299</v>
      </c>
      <c r="G5" s="1393" t="inlineStr">
        <is>
          <t>-</t>
        </is>
      </c>
      <c r="H5" s="1393" t="inlineStr">
        <is>
          <t>Vitoria Regia</t>
        </is>
      </c>
      <c r="I5" s="1393" t="inlineStr">
        <is>
          <t>-</t>
        </is>
      </c>
      <c r="J5" s="1393" t="inlineStr">
        <is>
          <t>-</t>
        </is>
      </c>
      <c r="K5" s="1395">
        <f>IF(raw[[#This Row],[city]]&lt;&gt;"",_xlfn.XLOOKUP($D5,ccc[city],ccc[prov],"-"),"-")</f>
        <v/>
      </c>
      <c r="L5" s="1395">
        <f>IF(raw[[#This Row],[city]]&lt;&gt;"",_xlfn.XLOOKUP($D5,ccc[city],ccc[ctry],"-"),"-")</f>
        <v/>
      </c>
      <c r="M5" s="1395">
        <f>IF(raw[[#This Row],[city]]&lt;&gt;"",_xlfn.XLOOKUP($D5,ccc[city],ccc[cont],"-"),"-")</f>
        <v/>
      </c>
      <c r="N5" s="1396">
        <f>IF(raw[[#This Row],[city]]="","-",IF(raw[[#This Row],[cont]]="B",raw[[#This Row],[cont]],"W"))</f>
        <v/>
      </c>
      <c r="O5" s="1397">
        <f>IF(raw[[#This Row],[out]]=0,0,IF(raw[[#This Row],[out]]=raw[[#This Row],[in]],0.01,raw[[#This Row],[out]]-raw[[#This Row],[in]]))</f>
        <v/>
      </c>
      <c r="P5" s="1397">
        <f>IF(raw[[#This Row],[in]]=0,0,MONTH(raw[[#This Row],[in]]))</f>
        <v/>
      </c>
      <c r="Q5" s="1397">
        <f>IF(raw[[#This Row],[in]]=0,0,YEAR(raw[[#This Row],[in]]))</f>
        <v/>
      </c>
      <c r="R5" s="1397">
        <f>INT(raw[[#This Row],[yr]]/10)*10</f>
        <v/>
      </c>
      <c r="S5" s="1395">
        <f>IF(raw[[#This Row],[city]]="","-",IF(raw[[#This Row],[city]]&lt;&gt;_xlfn.XLOOKUP(raw[[#This Row],[home]],homes[home],homes[city],"-"),1,0))</f>
        <v/>
      </c>
      <c r="T5" s="1398" t="inlineStr">
        <is>
          <t>.</t>
        </is>
      </c>
      <c r="U5" s="1399">
        <f>IF(raw[[#This Row],[wb]]="w",raw[[#This Row],[stay]]+U4,U4)</f>
        <v/>
      </c>
      <c r="V5" s="1400">
        <f>IF(raw[[#This Row],[out]]=0,V4,(raw[[#This Row],[out]]-E$5))</f>
        <v/>
      </c>
      <c r="W5" s="1401">
        <f>U5/V5</f>
        <v/>
      </c>
      <c r="X5" s="1378" t="inlineStr">
        <is>
          <t>.</t>
        </is>
      </c>
      <c r="Y5" s="1402">
        <f/>
        <v/>
      </c>
      <c r="Z5" s="1403">
        <f/>
        <v/>
      </c>
      <c r="AA5" s="1403">
        <f/>
        <v/>
      </c>
      <c r="AB5" s="1400">
        <f t="array" ref="AB5">_xlfn.LET(_xlpm.S,_xlfn.ANCHORARRAY($Y$4),_xlpm.r,ROWS(stayCity[[#Headers],[city]]:stayCity[[#This Row],[city]])-1,IF(_xlpm.r&lt;=ROWS(_xlpm.S),INDEX(_xlpm.S,_xlpm.r,1),""))</f>
        <v/>
      </c>
      <c r="AC5" s="1404">
        <f t="array" ref="AC5">_xlfn.LET(_xlpm.S,_xlfn.ANCHORARRAY($Y$4),_xlpm.r,ROWS(stayCity[[#Headers],[city]]:stayCity[[#This Row],[city]])-1,IF(_xlpm.r&lt;=ROWS(_xlpm.S),INDEX(_xlpm.S,_xlpm.r,2),""))</f>
        <v/>
      </c>
      <c r="AD5" s="1405">
        <f t="array" ref="AD5">_xlfn.LET(_xlpm.S,_xlfn.ANCHORARRAY($Y$4),_xlpm.r,ROWS(stayCity[[#Headers],[city]]:stayCity[[#This Row],[city]])-1,IF(_xlpm.r&lt;=ROWS(_xlpm.S),INDEX(_xlpm.S,_xlpm.r,3),""))</f>
        <v/>
      </c>
      <c r="AE5" s="1400">
        <f>IF(stayCity[[#This Row],[out]]&lt;&gt;"",stayCity[[#This Row],[out]]-stayCity[[#This Row],[in]],"-")</f>
        <v/>
      </c>
      <c r="AF5" s="1406">
        <f>IF(Y5="","-",YEAR(stayCity[[#This Row],[in]]))</f>
        <v/>
      </c>
      <c r="AG5" s="1398" t="inlineStr">
        <is>
          <t>.</t>
        </is>
      </c>
      <c r="AH5" s="1407">
        <f t="array" ref="AH5:AJ218">_xlfn.LET(_xlpm.ct0,raw[ctry],_xlpm.di0,raw[in],_xlpm.do0,raw[out],_xlpm.m,(_xlpm.ct0&lt;&gt;"AIR")*(_xlpm.ct0&lt;&gt;"Today")*(_xlpm.ct0&lt;&gt;"-")*(_xlpm.di0&lt;&gt;_xlpm.do0),_xlpm.ct,_xlfn._xlws.FILTER(_xlpm.ct0,_xlpm.m),_xlpm.di,_xlfn._xlws.FILTER(_xlpm.di0,_xlpm.m),_xlpm.do,_xlfn._xlws.FILTER(_xlpm.do0,_xlpm.m),_xlpm.n,ROWS(_xlpm.ct),_xlpm.isStart,(_xlfn.SEQUENCE(_xlpm.n)=1)+(_xlpm.ct&lt;&gt;_xlfn.IFNA(INDEX(_xlpm.ct,_xlfn.SEQUENCE(_xlpm.n)-1),"")),_xlpm.idx,_xlfn._xlws.FILTER(_xlfn.SEQUENCE(_xlpm.n),_xlpm.isStart),_xlpm.endIdx,_xlfn.VSTACK(_xlfn.DROP(_xlpm.idx,1),_xlpm.n+1)-1,_xlfn.HSTACK(INDEX(_xlpm.ct,_xlpm.idx),INDEX(_xlpm.di,_xlpm.idx),INDEX(_xlpm.do,_xlpm.endIdx)))</f>
        <v/>
      </c>
      <c r="AI5" s="1403">
        <f/>
        <v/>
      </c>
      <c r="AJ5" s="1403">
        <f/>
        <v/>
      </c>
      <c r="AK5" s="1400">
        <f>IF(AH5="","-",AH5)</f>
        <v/>
      </c>
      <c r="AL5" s="1405">
        <f>AI5</f>
        <v/>
      </c>
      <c r="AM5" s="1405">
        <f>AJ5</f>
        <v/>
      </c>
      <c r="AN5" s="1400">
        <f>stayCtry[[#This Row],[out]]-stayCtry[[#This Row],[in]]</f>
        <v/>
      </c>
      <c r="AO5" s="1406" t="n">
        <v>1</v>
      </c>
      <c r="AP5" s="1398" t="inlineStr">
        <is>
          <t>.</t>
        </is>
      </c>
      <c r="AQ5" s="1407">
        <f t="array" ref="AQ5:AS161">_xlfn.LET(_xlpm.ct0,raw[cont],_xlpm.di0,raw[in],_xlpm.do0,raw[out],_xlpm.m,(_xlpm.ct0&lt;&gt;0)*(_xlpm.ct0&lt;&gt;"Today")*(_xlpm.ct0&lt;&gt;"-")*(_xlpm.di0&lt;&gt;_xlpm.do0),_xlpm.ct,_xlfn._xlws.FILTER(_xlpm.ct0,_xlpm.m),_xlpm.di,_xlfn._xlws.FILTER(_xlpm.di0,_xlpm.m),_xlpm.do,_xlfn._xlws.FILTER(_xlpm.do0,_xlpm.m),_xlpm.n,ROWS(_xlpm.ct),_xlpm.isStart,(_xlfn.SEQUENCE(_xlpm.n)=1)+(_xlpm.ct&lt;&gt;_xlfn.IFNA(INDEX(_xlpm.ct,_xlfn.SEQUENCE(_xlpm.n)-1),"")),_xlpm.idx,_xlfn._xlws.FILTER(_xlfn.SEQUENCE(_xlpm.n),_xlpm.isStart),_xlpm.endIdx,_xlfn.VSTACK(_xlfn.DROP(_xlpm.idx,1),_xlpm.n+1)-1,_xlfn.HSTACK(INDEX(_xlpm.ct,_xlpm.idx),INDEX(_xlpm.di,_xlpm.idx),INDEX(_xlpm.do,_xlpm.endIdx)))</f>
        <v/>
      </c>
      <c r="AR5" s="1403">
        <f/>
        <v/>
      </c>
      <c r="AS5" s="1403">
        <f/>
        <v/>
      </c>
      <c r="AT5" s="1400">
        <f>AQ5</f>
        <v/>
      </c>
      <c r="AU5" s="1405">
        <f>AR5</f>
        <v/>
      </c>
      <c r="AV5" s="1405">
        <f>AS5</f>
        <v/>
      </c>
      <c r="AW5" s="1400">
        <f>stayCont[[#This Row],[out]]-stayCont[[#This Row],[in]]</f>
        <v/>
      </c>
      <c r="AX5" s="1406" t="n">
        <v>1</v>
      </c>
      <c r="AY5" s="1398" t="inlineStr">
        <is>
          <t>.</t>
        </is>
      </c>
      <c r="AZ5" s="1408">
        <f t="array" ref="AZ5:BB37">_xlfn.LET(_xlpm.ct0,raw[wb],_xlpm.di0,raw[in],_xlpm.do0,raw[out],_xlpm.m,(_xlpm.ct0&lt;&gt;0)*(_xlpm.ct0&lt;&gt;"Today")*(_xlpm.ct0&lt;&gt;"-")*(_xlpm.di0&lt;&gt;_xlpm.do0),_xlpm.ct,_xlfn._xlws.FILTER(_xlpm.ct0,_xlpm.m),_xlpm.di,_xlfn._xlws.FILTER(_xlpm.di0,_xlpm.m),_xlpm.do,_xlfn._xlws.FILTER(_xlpm.do0,_xlpm.m),_xlpm.n,ROWS(_xlpm.ct),_xlpm.isStart,(_xlfn.SEQUENCE(_xlpm.n)=1)+(_xlpm.ct&lt;&gt;_xlfn.IFNA(INDEX(_xlpm.ct,_xlfn.SEQUENCE(_xlpm.n)-1),"")),_xlpm.idx,_xlfn._xlws.FILTER(_xlfn.SEQUENCE(_xlpm.n),_xlpm.isStart),_xlpm.endIdx,_xlfn.VSTACK(_xlfn.DROP(_xlpm.idx,1),_xlpm.n+1)-1,_xlpm.res,_xlfn.HSTACK(INDEX(_xlpm.ct,_xlpm.idx),INDEX(_xlpm.di,_xlpm.idx),INDEX(_xlpm.do,_xlpm.endIdx)),IFERROR(_xlfn._xlws.FILTER(_xlpm.res,INDEX(_xlpm.res,,1)="W"),""))</f>
        <v/>
      </c>
      <c r="BA5" s="1403">
        <f/>
        <v/>
      </c>
      <c r="BB5" s="1403">
        <f/>
        <v/>
      </c>
      <c r="BC5" s="1405">
        <f>AZ5</f>
        <v/>
      </c>
      <c r="BD5" s="1405">
        <f>BA5</f>
        <v/>
      </c>
      <c r="BE5" s="1405">
        <f>BB5</f>
        <v/>
      </c>
      <c r="BF5" s="1400">
        <f>stayWB[[#This Row],[out]]-stayWB[[#This Row],[in]]</f>
        <v/>
      </c>
      <c r="BG5" s="1400" t="n">
        <v>1</v>
      </c>
      <c r="BH5" s="1398" t="inlineStr">
        <is>
          <t>.</t>
        </is>
      </c>
      <c r="BI5" s="1402">
        <f t="array" ref="BI5:BJ279">_xlfn.LET(_xlpm.col0,raw[ctry],_xlpm.yr0,raw[yr],_xlpm.val,IFERROR(IF(ISNUMBER(_xlpm.col0),_xlpm.col0,TRIM(_xlpm.col0)),""),_xlpm.mask,(_xlpm.val&lt;&gt;"AIR")*(_xlpm.val&lt;&gt;"")*(_xlpm.val&lt;&gt;0)*(_xlpm.val&lt;&gt;"-"),_xlpm.col,_xlfn._xlws.FILTER(_xlpm.val,_xlpm.mask),_xlpm.yr,_xlfn._xlws.FILTER(_xlpm.yr0,_xlpm.mask),_xlpm.n,ROWS(_xlpm.col),_xlpm.start,(_xlfn.SEQUENCE(_xlpm.n)=1)+(_xlpm.col&lt;&gt;_xlfn.IFNA(INDEX(_xlpm.col,_xlfn.SEQUENCE(_xlpm.n)-1),"")),_xlpm.idx,_xlfn._xlws.FILTER(_xlfn.SEQUENCE(_xlpm.n),_xlpm.start),_xlfn.HSTACK(INDEX(_xlpm.col,_xlpm.idx),INDEX(_xlpm.yr,_xlpm.idx)))</f>
        <v/>
      </c>
      <c r="BJ5" s="1402" t="n">
        <v>1971</v>
      </c>
      <c r="BK5" s="1400">
        <f>BI5</f>
        <v/>
      </c>
      <c r="BL5" s="1409">
        <f>BJ5</f>
        <v/>
      </c>
      <c r="BM5" s="1378" t="inlineStr">
        <is>
          <t>.</t>
        </is>
      </c>
      <c r="BN5" s="1402">
        <f t="array" ref="BN5:BN170">_xlfn.LET(_xlpm.col0,raw[cont],_xlpm.val,IFERROR(IF(ISNUMBER(_xlpm.col0),_xlpm.col0,TRIM(_xlpm.col0)),""),_xlpm.mask,(_xlpm.val&lt;&gt;"")*(_xlpm.val&lt;&gt;0)*(_xlpm.val&lt;&gt;"-"),_xlpm.col,_xlfn._xlws.FILTER(_xlpm.val,_xlpm.mask),_xlpm.n,ROWS(_xlpm.col),_xlpm.start,(_xlfn.SEQUENCE(_xlpm.n)=1)+(_xlpm.col&lt;&gt;_xlfn.IFNA(INDEX(_xlpm.col,_xlfn.SEQUENCE(_xlpm.n)-1),"")),_xlpm.idx,_xlfn._xlws.FILTER(_xlfn.SEQUENCE(_xlpm.n),_xlpm.start),INDEX(_xlpm.col,_xlpm.idx))</f>
        <v/>
      </c>
      <c r="BO5" s="1400">
        <f>BN5</f>
        <v/>
      </c>
      <c r="BP5" s="1398" t="inlineStr">
        <is>
          <t>.</t>
        </is>
      </c>
      <c r="BQ5" s="1410" t="n">
        <v>1</v>
      </c>
      <c r="BR5" s="1411">
        <f t="array" ref="BR5:BU396">_xlfn.LET(_xlpm.f,raw[flight],_xlpm.city,raw[city],_xlpm.dOut,raw[out], _xlpm.n,ROWS(_xlpm.city),
 _xlpm.startIdx,_xlfn._xlws.FILTER(_xlfn.SEQUENCE(_xlpm.n),(_xlpm.city&lt;&gt;"AIR")*ISNUMBER(_xlpm.f)*((_xlpm.f=1)+(_xlpm.f=0.01))),
 _xlpm.nextOk,_xlfn._xlws.FILTER(_xlfn.SEQUENCE(_xlpm.n),_xlpm.city&lt;&gt;"AIR"),
 _xlpm.toIdx,_xlfn.IFNA(_xlfn.XLOOKUP(_xlpm.startIdx+0.1,_xlpm.nextOk,_xlpm.nextOk,,1),""),
 _xlpm.fromCity,INDEX(_xlpm.city,_xlpm.startIdx),
 _xlpm.toCity,_xlfn.IFNA(INDEX(_xlpm.city,_xlpm.toIdx),""),
 _xlpm.outDate,INDEX(_xlpm.dOut,_xlpm.startIdx),
 _xlfn._xlws.FILTER(_xlfn.HSTACK(_xlpm.fromCity,_xlpm.toCity,_xlpm.fromCity&amp;"-"&amp;_xlpm.toCity,_xlpm.outDate),_xlpm.toCity&lt;&gt;""))</f>
        <v/>
      </c>
      <c r="BS5" s="1411" t="inlineStr">
        <is>
          <t>SSA</t>
        </is>
      </c>
      <c r="BT5" s="1412" t="inlineStr">
        <is>
          <t>Aracaju-SSA</t>
        </is>
      </c>
      <c r="BU5" s="1412" t="n">
        <v>29254</v>
      </c>
      <c r="BV5" s="1398" t="inlineStr">
        <is>
          <t>.</t>
        </is>
      </c>
      <c r="BW5" s="1410" t="n">
        <v>1</v>
      </c>
      <c r="BX5" s="1411">
        <f t="array" ref="BX5:BZ45">_xlfn.LET(_xlpm.ct,raw[home],_xlpm.di,raw[in],_xlpm.do,raw[out],_xlpm.n,ROWS(_xlpm.ct),_xlpm.isStart,(_xlfn.SEQUENCE(_xlpm.n)=1)+(_xlpm.ct&lt;&gt;_xlfn.IFNA(INDEX(_xlpm.ct,_xlfn.SEQUENCE(_xlpm.n)-1),"")),_xlpm.idx,_xlfn._xlws.FILTER(_xlfn.SEQUENCE(_xlpm.n),_xlpm.isStart),_xlpm.nextIdx,_xlfn.VSTACK(_xlfn.DROP(_xlpm.idx,1),_xlpm.n+1),_xlpm.endIdx,_xlpm.nextIdx-1,_xlpm.res,_xlfn.HSTACK(INDEX(_xlpm.ct,_xlpm.idx),INDEX(_xlpm.di,_xlpm.idx),INDEX(_xlpm.do,_xlpm.endIdx)),_xlfn._xlws.FILTER(_xlpm.res,(INDEX(_xlpm.di,_xlpm.idx)&lt;&gt;INDEX(_xlpm.do,_xlpm.endIdx))*(INDEX(_xlpm.ct,_xlpm.idx)&lt;&gt;0)*(INDEX(_xlpm.ct,_xlpm.idx)&lt;&gt;"transit")))</f>
        <v/>
      </c>
      <c r="BY5" s="1413">
        <f/>
        <v/>
      </c>
      <c r="BZ5" s="1413">
        <f/>
        <v/>
      </c>
      <c r="CA5" s="1414">
        <f>BZ5-BY5</f>
        <v/>
      </c>
      <c r="CB5" s="1398" t="inlineStr">
        <is>
          <t>.</t>
        </is>
      </c>
      <c r="CC5" s="1410" t="n">
        <v>1</v>
      </c>
      <c r="CD5" s="1411">
        <f t="array" ref="CD5:CF219">_xlfn.LET(_xlpm.ct,raw[transit],_xlpm.di,raw[in],_xlpm.do,raw[out],_xlpm.n,ROWS(_xlpm.ct),_xlpm.isStart,(_xlfn.SEQUENCE(_xlpm.n)=1)+(_xlpm.ct&lt;&gt;_xlfn.IFNA(INDEX(_xlpm.ct,_xlfn.SEQUENCE(_xlpm.n)-1),"")),_xlpm.idx,_xlfn._xlws.FILTER(_xlfn.SEQUENCE(_xlpm.n),_xlpm.isStart),_xlpm.nextIdx,_xlfn.VSTACK(_xlfn.DROP(_xlpm.idx,1),_xlpm.n+1),_xlpm.endIdx,_xlpm.nextIdx-1,_xlpm.res,_xlfn.HSTACK(INDEX(_xlpm.ct,_xlpm.idx),INDEX(_xlpm.di,_xlpm.idx),INDEX(_xlpm.do,_xlpm.endIdx)),_xlfn._xlws.FILTER(_xlpm.res,(INDEX(_xlpm.di,_xlpm.idx)&lt;&gt;INDEX(_xlpm.do,_xlpm.endIdx))*(INDEX(_xlpm.ct,_xlpm.idx)&lt;&gt;0)*(INDEX(_xlpm.ct,_xlpm.idx)&lt;&gt;"-")))</f>
        <v/>
      </c>
      <c r="CE5" s="1412" t="n">
        <v>33587</v>
      </c>
      <c r="CF5" s="1412" t="n">
        <v>33594</v>
      </c>
      <c r="CG5" s="1415">
        <f>CF5-CE5</f>
        <v/>
      </c>
      <c r="CH5" s="1398" t="inlineStr">
        <is>
          <t>.</t>
        </is>
      </c>
      <c r="CI5" s="1410" t="n">
        <v>1</v>
      </c>
      <c r="CJ5" s="1402">
        <f t="array" ref="CJ5:CJ60">_xlfn.UNIQUE(CD5:CD300)</f>
        <v/>
      </c>
      <c r="CK5" s="1391" t="inlineStr">
        <is>
          <t>.</t>
        </is>
      </c>
      <c r="CL5" s="1392" t="n"/>
    </row>
    <row r="6">
      <c r="A6" s="5" t="inlineStr">
        <is>
          <t>.</t>
        </is>
      </c>
      <c r="B6" s="5" t="inlineStr">
        <is>
          <t>.</t>
        </is>
      </c>
      <c r="C6" s="1378">
        <f>IF(raw[[#This Row],[city]]="","-",IF(raw[[#This Row],[city]]="TODAY","-",C5+1))</f>
        <v/>
      </c>
      <c r="D6" s="1393" t="inlineStr">
        <is>
          <t>SSA</t>
        </is>
      </c>
      <c r="E6" s="1394" t="n">
        <v>26299</v>
      </c>
      <c r="F6" s="1394" t="n">
        <v>26359</v>
      </c>
      <c r="G6" s="1393" t="inlineStr">
        <is>
          <t>-</t>
        </is>
      </c>
      <c r="H6" s="1393" t="inlineStr">
        <is>
          <t>Vitoria Regia</t>
        </is>
      </c>
      <c r="I6" s="1393" t="inlineStr">
        <is>
          <t>-</t>
        </is>
      </c>
      <c r="J6" s="1393" t="inlineStr">
        <is>
          <t>REV</t>
        </is>
      </c>
      <c r="K6" s="1395">
        <f>IF(raw[[#This Row],[city]]&lt;&gt;"",_xlfn.XLOOKUP($D6,ccc[city],ccc[prov],"-"),"-")</f>
        <v/>
      </c>
      <c r="L6" s="1395">
        <f>IF(raw[[#This Row],[city]]&lt;&gt;"",_xlfn.XLOOKUP($D6,ccc[city],ccc[ctry],"-"),"-")</f>
        <v/>
      </c>
      <c r="M6" s="1395">
        <f>IF(raw[[#This Row],[city]]&lt;&gt;"",_xlfn.XLOOKUP($D6,ccc[city],ccc[cont],"-"),"-")</f>
        <v/>
      </c>
      <c r="N6" s="1396">
        <f>IF(raw[[#This Row],[city]]="","-",IF(raw[[#This Row],[cont]]="B",raw[[#This Row],[cont]],"W"))</f>
        <v/>
      </c>
      <c r="O6" s="1397">
        <f>IF(raw[[#This Row],[out]]=0,0,IF(raw[[#This Row],[out]]=raw[[#This Row],[in]],0.01,raw[[#This Row],[out]]-raw[[#This Row],[in]]))</f>
        <v/>
      </c>
      <c r="P6" s="1397">
        <f>IF(raw[[#This Row],[in]]=0,0,MONTH(raw[[#This Row],[in]]))</f>
        <v/>
      </c>
      <c r="Q6" s="1397">
        <f>IF(raw[[#This Row],[in]]=0,0,YEAR(raw[[#This Row],[in]]))</f>
        <v/>
      </c>
      <c r="R6" s="1397">
        <f>INT(raw[[#This Row],[yr]]/10)*10</f>
        <v/>
      </c>
      <c r="S6" s="1395">
        <f>IF(raw[[#This Row],[city]]="","-",IF(raw[[#This Row],[city]]&lt;&gt;_xlfn.XLOOKUP(raw[[#This Row],[home]],homes[home],homes[city],"-"),1,0))</f>
        <v/>
      </c>
      <c r="T6" s="1398" t="inlineStr">
        <is>
          <t>.</t>
        </is>
      </c>
      <c r="U6" s="1399">
        <f>IF(raw[[#This Row],[wb]]="w",raw[[#This Row],[stay]]+U5,U5)</f>
        <v/>
      </c>
      <c r="V6" s="1400">
        <f>IF(raw[[#This Row],[out]]=0,V5,(raw[[#This Row],[out]]-E$5))</f>
        <v/>
      </c>
      <c r="W6" s="1401">
        <f>U6/V6</f>
        <v/>
      </c>
      <c r="X6" s="1378" t="inlineStr">
        <is>
          <t>.</t>
        </is>
      </c>
      <c r="Y6" s="1402">
        <f/>
        <v/>
      </c>
      <c r="Z6" s="1403">
        <f/>
        <v/>
      </c>
      <c r="AA6" s="1403">
        <f/>
        <v/>
      </c>
      <c r="AB6" s="1400">
        <f t="array" ref="AB6">_xlfn.LET(_xlpm.S,_xlfn.ANCHORARRAY($Y$4),_xlpm.r,ROWS(stayCity[[#Headers],[city]]:stayCity[[#This Row],[city]])-1,IF(_xlpm.r&lt;=ROWS(_xlpm.S),INDEX(_xlpm.S,_xlpm.r,1),""))</f>
        <v/>
      </c>
      <c r="AC6" s="1405">
        <f t="array" ref="AC6">_xlfn.LET(_xlpm.S,_xlfn.ANCHORARRAY($Y$4),_xlpm.r,ROWS(stayCity[[#Headers],[city]]:stayCity[[#This Row],[city]])-1,IF(_xlpm.r&lt;=ROWS(_xlpm.S),INDEX(_xlpm.S,_xlpm.r,2),""))</f>
        <v/>
      </c>
      <c r="AD6" s="1405">
        <f t="array" ref="AD6">_xlfn.LET(_xlpm.S,_xlfn.ANCHORARRAY($Y$4),_xlpm.r,ROWS(stayCity[[#Headers],[city]]:stayCity[[#This Row],[city]])-1,IF(_xlpm.r&lt;=ROWS(_xlpm.S),INDEX(_xlpm.S,_xlpm.r,3),""))</f>
        <v/>
      </c>
      <c r="AE6" s="1400">
        <f>IF(stayCity[[#This Row],[out]]&lt;&gt;"",stayCity[[#This Row],[out]]-stayCity[[#This Row],[in]],"-")</f>
        <v/>
      </c>
      <c r="AF6" s="1406">
        <f>IF(Y6="","-",YEAR(stayCity[[#This Row],[in]]))</f>
        <v/>
      </c>
      <c r="AG6" s="1398" t="inlineStr">
        <is>
          <t>.</t>
        </is>
      </c>
      <c r="AH6" s="1402">
        <f/>
        <v/>
      </c>
      <c r="AI6" s="1403">
        <f/>
        <v/>
      </c>
      <c r="AJ6" s="1403">
        <f/>
        <v/>
      </c>
      <c r="AK6" s="1400">
        <f>IF(AH6="","-",AH6)</f>
        <v/>
      </c>
      <c r="AL6" s="1405">
        <f>AI6</f>
        <v/>
      </c>
      <c r="AM6" s="1405">
        <f>AJ6</f>
        <v/>
      </c>
      <c r="AN6" s="1400">
        <f>stayCtry[[#This Row],[out]]-stayCtry[[#This Row],[in]]</f>
        <v/>
      </c>
      <c r="AO6" s="1406">
        <f>IF(AI6&lt;&gt;"",AO5+1,AO5)</f>
        <v/>
      </c>
      <c r="AP6" s="1398" t="inlineStr">
        <is>
          <t>.</t>
        </is>
      </c>
      <c r="AQ6" s="1402">
        <f/>
        <v/>
      </c>
      <c r="AR6" s="1403">
        <f/>
        <v/>
      </c>
      <c r="AS6" s="1403">
        <f/>
        <v/>
      </c>
      <c r="AT6" s="1400">
        <f>AQ6</f>
        <v/>
      </c>
      <c r="AU6" s="1405">
        <f>AR6</f>
        <v/>
      </c>
      <c r="AV6" s="1405">
        <f>AS6</f>
        <v/>
      </c>
      <c r="AW6" s="1400">
        <f>stayCont[[#This Row],[out]]-stayCont[[#This Row],[in]]</f>
        <v/>
      </c>
      <c r="AX6" s="1406">
        <f>IF(AR6&lt;&gt;"",AX5+1,AX5)</f>
        <v/>
      </c>
      <c r="AY6" s="1398" t="inlineStr">
        <is>
          <t>.</t>
        </is>
      </c>
      <c r="AZ6" s="1402">
        <f/>
        <v/>
      </c>
      <c r="BA6" s="1403">
        <f/>
        <v/>
      </c>
      <c r="BB6" s="1403">
        <f/>
        <v/>
      </c>
      <c r="BC6" s="1405">
        <f>AZ6</f>
        <v/>
      </c>
      <c r="BD6" s="1405">
        <f>BA6</f>
        <v/>
      </c>
      <c r="BE6" s="1405">
        <f>BB6</f>
        <v/>
      </c>
      <c r="BF6" s="1400">
        <f>stayWB[[#This Row],[out]]-stayWB[[#This Row],[in]]</f>
        <v/>
      </c>
      <c r="BG6" s="1400">
        <f>IF(BB6&lt;&gt;"",BG5+1,BG5)</f>
        <v/>
      </c>
      <c r="BH6" s="1398" t="inlineStr">
        <is>
          <t>.</t>
        </is>
      </c>
      <c r="BI6" s="1402" t="inlineStr">
        <is>
          <t>PER</t>
        </is>
      </c>
      <c r="BJ6" s="1402" t="n">
        <v>1982</v>
      </c>
      <c r="BK6" s="1400">
        <f>BI6</f>
        <v/>
      </c>
      <c r="BL6" s="1409">
        <f>BJ6</f>
        <v/>
      </c>
      <c r="BM6" s="1378" t="inlineStr">
        <is>
          <t>.</t>
        </is>
      </c>
      <c r="BN6" s="1402" t="inlineStr">
        <is>
          <t>Z</t>
        </is>
      </c>
      <c r="BO6" s="1400">
        <f>BN6</f>
        <v/>
      </c>
      <c r="BP6" s="1398" t="inlineStr">
        <is>
          <t>.</t>
        </is>
      </c>
      <c r="BQ6" s="1400">
        <f>IF(BR6&lt;&gt;"",BQ5+1,BQ5)</f>
        <v/>
      </c>
      <c r="BR6" s="1411" t="inlineStr">
        <is>
          <t>SSA</t>
        </is>
      </c>
      <c r="BS6" s="1411" t="inlineStr">
        <is>
          <t>Rio</t>
        </is>
      </c>
      <c r="BT6" s="1412" t="inlineStr">
        <is>
          <t>SSA-Rio</t>
        </is>
      </c>
      <c r="BU6" s="1412" t="n">
        <v>29957</v>
      </c>
      <c r="BV6" s="1398" t="inlineStr">
        <is>
          <t>.</t>
        </is>
      </c>
      <c r="BW6" s="1400">
        <f>IF(BX6&lt;&gt;"",BW5+1,BW5)</f>
        <v/>
      </c>
      <c r="BX6" s="1411">
        <f/>
        <v/>
      </c>
      <c r="BY6" s="1413">
        <f/>
        <v/>
      </c>
      <c r="BZ6" s="1413">
        <f/>
        <v/>
      </c>
      <c r="CA6" s="1414">
        <f>BZ6-BY6</f>
        <v/>
      </c>
      <c r="CB6" s="1398" t="inlineStr">
        <is>
          <t>.</t>
        </is>
      </c>
      <c r="CC6" s="1400">
        <f>IF(CD6&lt;&gt;"",CC5+1,CC5)</f>
        <v/>
      </c>
      <c r="CD6" s="1411" t="inlineStr">
        <is>
          <t>Anibal/Vila Mariana</t>
        </is>
      </c>
      <c r="CE6" s="1412" t="n">
        <v>33618</v>
      </c>
      <c r="CF6" s="1412" t="n">
        <v>33625</v>
      </c>
      <c r="CG6" s="1415">
        <f>CF6-CE6</f>
        <v/>
      </c>
      <c r="CH6" s="1398" t="inlineStr">
        <is>
          <t>.</t>
        </is>
      </c>
      <c r="CI6" s="1400">
        <f>IF(CJ6&lt;&gt;"",CI5+1,CI5)</f>
        <v/>
      </c>
      <c r="CJ6" s="1402" t="inlineStr">
        <is>
          <t>Anibal/Vila Mariana</t>
        </is>
      </c>
      <c r="CK6" s="1391" t="inlineStr">
        <is>
          <t>.</t>
        </is>
      </c>
      <c r="CL6" s="1392" t="n"/>
    </row>
    <row r="7">
      <c r="A7" s="5" t="inlineStr">
        <is>
          <t>.</t>
        </is>
      </c>
      <c r="B7" s="5" t="inlineStr">
        <is>
          <t>.</t>
        </is>
      </c>
      <c r="C7" s="1378">
        <f>IF(raw[[#This Row],[city]]="","-",IF(raw[[#This Row],[city]]="TODAY","-",C6+1))</f>
        <v/>
      </c>
      <c r="D7" s="1393" t="inlineStr">
        <is>
          <t>SSA</t>
        </is>
      </c>
      <c r="E7" s="1394" t="n">
        <v>26359</v>
      </c>
      <c r="F7" s="1394" t="n">
        <v>26665</v>
      </c>
      <c r="G7" s="1393" t="inlineStr">
        <is>
          <t>-</t>
        </is>
      </c>
      <c r="H7" s="1393" t="inlineStr">
        <is>
          <t>Greenfeld</t>
        </is>
      </c>
      <c r="I7" s="1393" t="inlineStr">
        <is>
          <t>-</t>
        </is>
      </c>
      <c r="J7" s="1393" t="inlineStr">
        <is>
          <t>-</t>
        </is>
      </c>
      <c r="K7" s="1395">
        <f>IF(raw[[#This Row],[city]]&lt;&gt;"",_xlfn.XLOOKUP($D7,ccc[city],ccc[prov],"-"),"-")</f>
        <v/>
      </c>
      <c r="L7" s="1395">
        <f>IF(raw[[#This Row],[city]]&lt;&gt;"",_xlfn.XLOOKUP($D7,ccc[city],ccc[ctry],"-"),"-")</f>
        <v/>
      </c>
      <c r="M7" s="1395">
        <f>IF(raw[[#This Row],[city]]&lt;&gt;"",_xlfn.XLOOKUP($D7,ccc[city],ccc[cont],"-"),"-")</f>
        <v/>
      </c>
      <c r="N7" s="1396">
        <f>IF(raw[[#This Row],[city]]="","-",IF(raw[[#This Row],[cont]]="B",raw[[#This Row],[cont]],"W"))</f>
        <v/>
      </c>
      <c r="O7" s="1397">
        <f>IF(raw[[#This Row],[out]]=0,0,IF(raw[[#This Row],[out]]=raw[[#This Row],[in]],0.01,raw[[#This Row],[out]]-raw[[#This Row],[in]]))</f>
        <v/>
      </c>
      <c r="P7" s="1397">
        <f>IF(raw[[#This Row],[in]]=0,0,MONTH(raw[[#This Row],[in]]))</f>
        <v/>
      </c>
      <c r="Q7" s="1397">
        <f>IF(raw[[#This Row],[in]]=0,0,YEAR(raw[[#This Row],[in]]))</f>
        <v/>
      </c>
      <c r="R7" s="1397">
        <f>INT(raw[[#This Row],[yr]]/10)*10</f>
        <v/>
      </c>
      <c r="S7" s="1395">
        <f>IF(raw[[#This Row],[city]]="","-",IF(raw[[#This Row],[city]]&lt;&gt;_xlfn.XLOOKUP(raw[[#This Row],[home]],homes[home],homes[city],"-"),1,0))</f>
        <v/>
      </c>
      <c r="T7" s="1398" t="inlineStr">
        <is>
          <t>.</t>
        </is>
      </c>
      <c r="U7" s="1399">
        <f>IF(raw[[#This Row],[wb]]="w",raw[[#This Row],[stay]]+U6,U6)</f>
        <v/>
      </c>
      <c r="V7" s="1400">
        <f>IF(raw[[#This Row],[out]]=0,V6,(raw[[#This Row],[out]]-E$5))</f>
        <v/>
      </c>
      <c r="W7" s="1401">
        <f>U7/V7</f>
        <v/>
      </c>
      <c r="X7" s="1378" t="inlineStr">
        <is>
          <t>.</t>
        </is>
      </c>
      <c r="Y7" s="1402">
        <f/>
        <v/>
      </c>
      <c r="Z7" s="1403">
        <f/>
        <v/>
      </c>
      <c r="AA7" s="1403">
        <f/>
        <v/>
      </c>
      <c r="AB7" s="1400">
        <f t="array" ref="AB7">_xlfn.LET(_xlpm.S,_xlfn.ANCHORARRAY($Y$4),_xlpm.r,ROWS(stayCity[[#Headers],[city]]:stayCity[[#This Row],[city]])-1,IF(_xlpm.r&lt;=ROWS(_xlpm.S),INDEX(_xlpm.S,_xlpm.r,1),""))</f>
        <v/>
      </c>
      <c r="AC7" s="1405">
        <f t="array" ref="AC7">_xlfn.LET(_xlpm.S,_xlfn.ANCHORARRAY($Y$4),_xlpm.r,ROWS(stayCity[[#Headers],[city]]:stayCity[[#This Row],[city]])-1,IF(_xlpm.r&lt;=ROWS(_xlpm.S),INDEX(_xlpm.S,_xlpm.r,2),""))</f>
        <v/>
      </c>
      <c r="AD7" s="1405">
        <f t="array" ref="AD7">_xlfn.LET(_xlpm.S,_xlfn.ANCHORARRAY($Y$4),_xlpm.r,ROWS(stayCity[[#Headers],[city]]:stayCity[[#This Row],[city]])-1,IF(_xlpm.r&lt;=ROWS(_xlpm.S),INDEX(_xlpm.S,_xlpm.r,3),""))</f>
        <v/>
      </c>
      <c r="AE7" s="1400">
        <f>IF(stayCity[[#This Row],[out]]&lt;&gt;"",stayCity[[#This Row],[out]]-stayCity[[#This Row],[in]],"-")</f>
        <v/>
      </c>
      <c r="AF7" s="1406">
        <f>IF(Y7="","-",YEAR(stayCity[[#This Row],[in]]))</f>
        <v/>
      </c>
      <c r="AG7" s="1398" t="inlineStr">
        <is>
          <t>.</t>
        </is>
      </c>
      <c r="AH7" s="1402">
        <f/>
        <v/>
      </c>
      <c r="AI7" s="1403">
        <f/>
        <v/>
      </c>
      <c r="AJ7" s="1403">
        <f/>
        <v/>
      </c>
      <c r="AK7" s="1400">
        <f>IF(AH7="","-",AH7)</f>
        <v/>
      </c>
      <c r="AL7" s="1405">
        <f>AI7</f>
        <v/>
      </c>
      <c r="AM7" s="1405">
        <f>AJ7</f>
        <v/>
      </c>
      <c r="AN7" s="1400">
        <f>stayCtry[[#This Row],[out]]-stayCtry[[#This Row],[in]]</f>
        <v/>
      </c>
      <c r="AO7" s="1406">
        <f>IF(AI7&lt;&gt;"",AO6+1,AO6)</f>
        <v/>
      </c>
      <c r="AP7" s="1398" t="inlineStr">
        <is>
          <t>.</t>
        </is>
      </c>
      <c r="AQ7" s="1402">
        <f/>
        <v/>
      </c>
      <c r="AR7" s="1403">
        <f/>
        <v/>
      </c>
      <c r="AS7" s="1403">
        <f/>
        <v/>
      </c>
      <c r="AT7" s="1400">
        <f>AQ7</f>
        <v/>
      </c>
      <c r="AU7" s="1405">
        <f>AR7</f>
        <v/>
      </c>
      <c r="AV7" s="1405">
        <f>AS7</f>
        <v/>
      </c>
      <c r="AW7" s="1400">
        <f>stayCont[[#This Row],[out]]-stayCont[[#This Row],[in]]</f>
        <v/>
      </c>
      <c r="AX7" s="1406">
        <f>IF(AR7&lt;&gt;"",AX6+1,AX6)</f>
        <v/>
      </c>
      <c r="AY7" s="1398" t="inlineStr">
        <is>
          <t>.</t>
        </is>
      </c>
      <c r="AZ7" s="1402">
        <f/>
        <v/>
      </c>
      <c r="BA7" s="1403">
        <f/>
        <v/>
      </c>
      <c r="BB7" s="1403">
        <f/>
        <v/>
      </c>
      <c r="BC7" s="1405">
        <f>AZ7</f>
        <v/>
      </c>
      <c r="BD7" s="1405">
        <f>BA7</f>
        <v/>
      </c>
      <c r="BE7" s="1405">
        <f>BB7</f>
        <v/>
      </c>
      <c r="BF7" s="1400">
        <f>stayWB[[#This Row],[out]]-stayWB[[#This Row],[in]]</f>
        <v/>
      </c>
      <c r="BG7" s="1400">
        <f>IF(BB7&lt;&gt;"",BG6+1,BG6)</f>
        <v/>
      </c>
      <c r="BH7" s="1398" t="inlineStr">
        <is>
          <t>.</t>
        </is>
      </c>
      <c r="BI7" s="1402" t="inlineStr">
        <is>
          <t>MEX</t>
        </is>
      </c>
      <c r="BJ7" s="1402" t="n">
        <v>1982</v>
      </c>
      <c r="BK7" s="1400">
        <f>BI7</f>
        <v/>
      </c>
      <c r="BL7" s="1409">
        <f>BJ7</f>
        <v/>
      </c>
      <c r="BM7" s="1378" t="inlineStr">
        <is>
          <t>.</t>
        </is>
      </c>
      <c r="BN7" s="1402" t="inlineStr">
        <is>
          <t>S</t>
        </is>
      </c>
      <c r="BO7" s="1400">
        <f>BN7</f>
        <v/>
      </c>
      <c r="BP7" s="1398" t="inlineStr">
        <is>
          <t>.</t>
        </is>
      </c>
      <c r="BQ7" s="1400">
        <f>IF(BR7&lt;&gt;"",BQ6+1,BQ6)</f>
        <v/>
      </c>
      <c r="BR7" s="1411" t="inlineStr">
        <is>
          <t>Rio</t>
        </is>
      </c>
      <c r="BS7" s="1411" t="inlineStr">
        <is>
          <t>Lima</t>
        </is>
      </c>
      <c r="BT7" s="1412" t="inlineStr">
        <is>
          <t>Rio-Lima</t>
        </is>
      </c>
      <c r="BU7" s="1412" t="n">
        <v>29957</v>
      </c>
      <c r="BV7" s="1398" t="inlineStr">
        <is>
          <t>.</t>
        </is>
      </c>
      <c r="BW7" s="1400">
        <f>IF(BX7&lt;&gt;"",BW6+1,BW6)</f>
        <v/>
      </c>
      <c r="BX7" s="1411">
        <f/>
        <v/>
      </c>
      <c r="BY7" s="1413">
        <f/>
        <v/>
      </c>
      <c r="BZ7" s="1413">
        <f/>
        <v/>
      </c>
      <c r="CA7" s="1414">
        <f>BZ7-BY7</f>
        <v/>
      </c>
      <c r="CB7" s="1398" t="inlineStr">
        <is>
          <t>.</t>
        </is>
      </c>
      <c r="CC7" s="1400">
        <f>IF(CD7&lt;&gt;"",CC6+1,CC6)</f>
        <v/>
      </c>
      <c r="CD7" s="1411" t="inlineStr">
        <is>
          <t>Anibal/Bela Vista</t>
        </is>
      </c>
      <c r="CE7" s="1412" t="n">
        <v>33676</v>
      </c>
      <c r="CF7" s="1412" t="n">
        <v>33695</v>
      </c>
      <c r="CG7" s="1415">
        <f>CF7-CE7</f>
        <v/>
      </c>
      <c r="CH7" s="1398" t="inlineStr">
        <is>
          <t>.</t>
        </is>
      </c>
      <c r="CI7" s="1400">
        <f>IF(CJ7&lt;&gt;"",CI6+1,CI6)</f>
        <v/>
      </c>
      <c r="CJ7" s="1402" t="inlineStr">
        <is>
          <t>Greenfeld</t>
        </is>
      </c>
      <c r="CK7" s="1391" t="inlineStr">
        <is>
          <t>.</t>
        </is>
      </c>
      <c r="CL7" s="1392" t="n"/>
    </row>
    <row r="8">
      <c r="A8" s="5" t="inlineStr">
        <is>
          <t>.</t>
        </is>
      </c>
      <c r="B8" s="5" t="inlineStr">
        <is>
          <t>.</t>
        </is>
      </c>
      <c r="C8" s="1378">
        <f>IF(raw[[#This Row],[city]]="","-",IF(raw[[#This Row],[city]]="TODAY","-",C7+1))</f>
        <v/>
      </c>
      <c r="D8" s="1393" t="inlineStr">
        <is>
          <t>SSA</t>
        </is>
      </c>
      <c r="E8" s="1394" t="n">
        <v>26665</v>
      </c>
      <c r="F8" s="1394" t="n">
        <v>27030</v>
      </c>
      <c r="G8" s="1393" t="inlineStr">
        <is>
          <t>-</t>
        </is>
      </c>
      <c r="H8" s="1393">
        <f>H7</f>
        <v/>
      </c>
      <c r="I8" s="1393" t="inlineStr">
        <is>
          <t>-</t>
        </is>
      </c>
      <c r="J8" s="1393" t="inlineStr">
        <is>
          <t>REV</t>
        </is>
      </c>
      <c r="K8" s="1395">
        <f>IF(raw[[#This Row],[city]]&lt;&gt;"",_xlfn.XLOOKUP($D8,ccc[city],ccc[prov],"-"),"-")</f>
        <v/>
      </c>
      <c r="L8" s="1395">
        <f>IF(raw[[#This Row],[city]]&lt;&gt;"",_xlfn.XLOOKUP($D8,ccc[city],ccc[ctry],"-"),"-")</f>
        <v/>
      </c>
      <c r="M8" s="1395">
        <f>IF(raw[[#This Row],[city]]&lt;&gt;"",_xlfn.XLOOKUP($D8,ccc[city],ccc[cont],"-"),"-")</f>
        <v/>
      </c>
      <c r="N8" s="1396">
        <f>IF(raw[[#This Row],[city]]="","-",IF(raw[[#This Row],[cont]]="B",raw[[#This Row],[cont]],"W"))</f>
        <v/>
      </c>
      <c r="O8" s="1397">
        <f>IF(raw[[#This Row],[out]]=0,0,IF(raw[[#This Row],[out]]=raw[[#This Row],[in]],0.01,raw[[#This Row],[out]]-raw[[#This Row],[in]]))</f>
        <v/>
      </c>
      <c r="P8" s="1397">
        <f>IF(raw[[#This Row],[in]]=0,0,MONTH(raw[[#This Row],[in]]))</f>
        <v/>
      </c>
      <c r="Q8" s="1397">
        <f>IF(raw[[#This Row],[in]]=0,0,YEAR(raw[[#This Row],[in]]))</f>
        <v/>
      </c>
      <c r="R8" s="1397">
        <f>INT(raw[[#This Row],[yr]]/10)*10</f>
        <v/>
      </c>
      <c r="S8" s="1395">
        <f>IF(raw[[#This Row],[city]]="","-",IF(raw[[#This Row],[city]]&lt;&gt;_xlfn.XLOOKUP(raw[[#This Row],[home]],homes[home],homes[city],"-"),1,0))</f>
        <v/>
      </c>
      <c r="T8" s="1398" t="inlineStr">
        <is>
          <t>.</t>
        </is>
      </c>
      <c r="U8" s="1399">
        <f>IF(raw[[#This Row],[wb]]="w",raw[[#This Row],[stay]]+U7,U7)</f>
        <v/>
      </c>
      <c r="V8" s="1400">
        <f>IF(raw[[#This Row],[out]]=0,V7,(raw[[#This Row],[out]]-E$5))</f>
        <v/>
      </c>
      <c r="W8" s="1401">
        <f>U8/V8</f>
        <v/>
      </c>
      <c r="X8" s="1378" t="inlineStr">
        <is>
          <t>.</t>
        </is>
      </c>
      <c r="Y8" s="1402">
        <f/>
        <v/>
      </c>
      <c r="Z8" s="1403">
        <f/>
        <v/>
      </c>
      <c r="AA8" s="1403">
        <f/>
        <v/>
      </c>
      <c r="AB8" s="1400">
        <f t="array" ref="AB8">_xlfn.LET(_xlpm.S,_xlfn.ANCHORARRAY($Y$4),_xlpm.r,ROWS(stayCity[[#Headers],[city]]:stayCity[[#This Row],[city]])-1,IF(_xlpm.r&lt;=ROWS(_xlpm.S),INDEX(_xlpm.S,_xlpm.r,1),""))</f>
        <v/>
      </c>
      <c r="AC8" s="1405">
        <f t="array" ref="AC8">_xlfn.LET(_xlpm.S,_xlfn.ANCHORARRAY($Y$4),_xlpm.r,ROWS(stayCity[[#Headers],[city]]:stayCity[[#This Row],[city]])-1,IF(_xlpm.r&lt;=ROWS(_xlpm.S),INDEX(_xlpm.S,_xlpm.r,2),""))</f>
        <v/>
      </c>
      <c r="AD8" s="1405">
        <f t="array" ref="AD8">_xlfn.LET(_xlpm.S,_xlfn.ANCHORARRAY($Y$4),_xlpm.r,ROWS(stayCity[[#Headers],[city]]:stayCity[[#This Row],[city]])-1,IF(_xlpm.r&lt;=ROWS(_xlpm.S),INDEX(_xlpm.S,_xlpm.r,3),""))</f>
        <v/>
      </c>
      <c r="AE8" s="1400">
        <f>IF(stayCity[[#This Row],[out]]&lt;&gt;"",stayCity[[#This Row],[out]]-stayCity[[#This Row],[in]],"-")</f>
        <v/>
      </c>
      <c r="AF8" s="1406">
        <f>IF(Y8="","-",YEAR(stayCity[[#This Row],[in]]))</f>
        <v/>
      </c>
      <c r="AG8" s="1398" t="inlineStr">
        <is>
          <t>.</t>
        </is>
      </c>
      <c r="AH8" s="1402">
        <f/>
        <v/>
      </c>
      <c r="AI8" s="1403">
        <f/>
        <v/>
      </c>
      <c r="AJ8" s="1403">
        <f/>
        <v/>
      </c>
      <c r="AK8" s="1400">
        <f>IF(AH8="","-",AH8)</f>
        <v/>
      </c>
      <c r="AL8" s="1405">
        <f>AI8</f>
        <v/>
      </c>
      <c r="AM8" s="1405">
        <f>AJ8</f>
        <v/>
      </c>
      <c r="AN8" s="1400">
        <f>stayCtry[[#This Row],[out]]-stayCtry[[#This Row],[in]]</f>
        <v/>
      </c>
      <c r="AO8" s="1406">
        <f>IF(AI8&lt;&gt;"",AO7+1,AO7)</f>
        <v/>
      </c>
      <c r="AP8" s="1398" t="inlineStr">
        <is>
          <t>.</t>
        </is>
      </c>
      <c r="AQ8" s="1402">
        <f/>
        <v/>
      </c>
      <c r="AR8" s="1403">
        <f/>
        <v/>
      </c>
      <c r="AS8" s="1403">
        <f/>
        <v/>
      </c>
      <c r="AT8" s="1400">
        <f>AQ8</f>
        <v/>
      </c>
      <c r="AU8" s="1405">
        <f>AR8</f>
        <v/>
      </c>
      <c r="AV8" s="1405">
        <f>AS8</f>
        <v/>
      </c>
      <c r="AW8" s="1400">
        <f>stayCont[[#This Row],[out]]-stayCont[[#This Row],[in]]</f>
        <v/>
      </c>
      <c r="AX8" s="1406">
        <f>IF(AR8&lt;&gt;"",AX7+1,AX7)</f>
        <v/>
      </c>
      <c r="AY8" s="1398" t="inlineStr">
        <is>
          <t>.</t>
        </is>
      </c>
      <c r="AZ8" s="1402">
        <f/>
        <v/>
      </c>
      <c r="BA8" s="1403">
        <f/>
        <v/>
      </c>
      <c r="BB8" s="1403">
        <f/>
        <v/>
      </c>
      <c r="BC8" s="1405">
        <f>AZ8</f>
        <v/>
      </c>
      <c r="BD8" s="1405">
        <f>BA8</f>
        <v/>
      </c>
      <c r="BE8" s="1405">
        <f>BB8</f>
        <v/>
      </c>
      <c r="BF8" s="1400">
        <f>stayWB[[#This Row],[out]]-stayWB[[#This Row],[in]]</f>
        <v/>
      </c>
      <c r="BG8" s="1400">
        <f>IF(BB8&lt;&gt;"",BG7+1,BG7)</f>
        <v/>
      </c>
      <c r="BH8" s="1398" t="inlineStr">
        <is>
          <t>.</t>
        </is>
      </c>
      <c r="BI8" s="1402" t="inlineStr">
        <is>
          <t>USA</t>
        </is>
      </c>
      <c r="BJ8" s="1402" t="n">
        <v>1982</v>
      </c>
      <c r="BK8" s="1400">
        <f>BI8</f>
        <v/>
      </c>
      <c r="BL8" s="1409">
        <f>BJ8</f>
        <v/>
      </c>
      <c r="BM8" s="1378" t="inlineStr">
        <is>
          <t>.</t>
        </is>
      </c>
      <c r="BN8" s="1402" t="inlineStr">
        <is>
          <t>Z</t>
        </is>
      </c>
      <c r="BO8" s="1400">
        <f>BN8</f>
        <v/>
      </c>
      <c r="BP8" s="1398" t="inlineStr">
        <is>
          <t>.</t>
        </is>
      </c>
      <c r="BQ8" s="1400">
        <f>IF(BR8&lt;&gt;"",BQ7+1,BQ7)</f>
        <v/>
      </c>
      <c r="BR8" s="1411" t="inlineStr">
        <is>
          <t>Lima</t>
        </is>
      </c>
      <c r="BS8" s="1411" t="inlineStr">
        <is>
          <t>Cuzco</t>
        </is>
      </c>
      <c r="BT8" s="1412" t="inlineStr">
        <is>
          <t>Lima-Cuzco</t>
        </is>
      </c>
      <c r="BU8" s="1412" t="n">
        <v>29959</v>
      </c>
      <c r="BV8" s="1398" t="inlineStr">
        <is>
          <t>.</t>
        </is>
      </c>
      <c r="BW8" s="1400">
        <f>IF(BX8&lt;&gt;"",BW7+1,BW7)</f>
        <v/>
      </c>
      <c r="BX8" s="1411">
        <f/>
        <v/>
      </c>
      <c r="BY8" s="1413">
        <f/>
        <v/>
      </c>
      <c r="BZ8" s="1413">
        <f/>
        <v/>
      </c>
      <c r="CA8" s="1414">
        <f>BZ8-BY8</f>
        <v/>
      </c>
      <c r="CB8" s="1398" t="inlineStr">
        <is>
          <t>.</t>
        </is>
      </c>
      <c r="CC8" s="1400">
        <f>IF(CD8&lt;&gt;"",CC7+1,CC7)</f>
        <v/>
      </c>
      <c r="CD8" s="1411" t="inlineStr">
        <is>
          <t>Greenfeld</t>
        </is>
      </c>
      <c r="CE8" s="1412" t="n">
        <v>33703</v>
      </c>
      <c r="CF8" s="1412" t="n">
        <v>33713</v>
      </c>
      <c r="CG8" s="1415">
        <f>CF8-CE8</f>
        <v/>
      </c>
      <c r="CH8" s="1398" t="inlineStr">
        <is>
          <t>.</t>
        </is>
      </c>
      <c r="CI8" s="1400">
        <f>IF(CJ8&lt;&gt;"",CI7+1,CI7)</f>
        <v/>
      </c>
      <c r="CJ8" s="1402" t="inlineStr">
        <is>
          <t>Meier</t>
        </is>
      </c>
      <c r="CK8" s="1391" t="inlineStr">
        <is>
          <t>.</t>
        </is>
      </c>
      <c r="CL8" s="1392" t="n"/>
    </row>
    <row r="9">
      <c r="A9" s="5" t="inlineStr">
        <is>
          <t>.</t>
        </is>
      </c>
      <c r="B9" s="5" t="inlineStr">
        <is>
          <t>.</t>
        </is>
      </c>
      <c r="C9" s="1378">
        <f>IF(raw[[#This Row],[city]]="","-",IF(raw[[#This Row],[city]]="TODAY","-",C8+1))</f>
        <v/>
      </c>
      <c r="D9" s="1393" t="inlineStr">
        <is>
          <t>SSA</t>
        </is>
      </c>
      <c r="E9" s="1394" t="n">
        <v>27030</v>
      </c>
      <c r="F9" s="1394" t="n">
        <v>27395</v>
      </c>
      <c r="G9" s="1393" t="inlineStr">
        <is>
          <t>-</t>
        </is>
      </c>
      <c r="H9" s="1393">
        <f>H8</f>
        <v/>
      </c>
      <c r="I9" s="1393" t="inlineStr">
        <is>
          <t>-</t>
        </is>
      </c>
      <c r="J9" s="1393" t="inlineStr">
        <is>
          <t>REV</t>
        </is>
      </c>
      <c r="K9" s="1395">
        <f>IF(raw[[#This Row],[city]]&lt;&gt;"",_xlfn.XLOOKUP($D9,ccc[city],ccc[prov],"-"),"-")</f>
        <v/>
      </c>
      <c r="L9" s="1395">
        <f>IF(raw[[#This Row],[city]]&lt;&gt;"",_xlfn.XLOOKUP($D9,ccc[city],ccc[ctry],"-"),"-")</f>
        <v/>
      </c>
      <c r="M9" s="1395">
        <f>IF(raw[[#This Row],[city]]&lt;&gt;"",_xlfn.XLOOKUP($D9,ccc[city],ccc[cont],"-"),"-")</f>
        <v/>
      </c>
      <c r="N9" s="1396">
        <f>IF(raw[[#This Row],[city]]="","-",IF(raw[[#This Row],[cont]]="B",raw[[#This Row],[cont]],"W"))</f>
        <v/>
      </c>
      <c r="O9" s="1397">
        <f>IF(raw[[#This Row],[out]]=0,0,IF(raw[[#This Row],[out]]=raw[[#This Row],[in]],0.01,raw[[#This Row],[out]]-raw[[#This Row],[in]]))</f>
        <v/>
      </c>
      <c r="P9" s="1397">
        <f>IF(raw[[#This Row],[in]]=0,0,MONTH(raw[[#This Row],[in]]))</f>
        <v/>
      </c>
      <c r="Q9" s="1397">
        <f>IF(raw[[#This Row],[in]]=0,0,YEAR(raw[[#This Row],[in]]))</f>
        <v/>
      </c>
      <c r="R9" s="1397">
        <f>INT(raw[[#This Row],[yr]]/10)*10</f>
        <v/>
      </c>
      <c r="S9" s="1395">
        <f>IF(raw[[#This Row],[city]]="","-",IF(raw[[#This Row],[city]]&lt;&gt;_xlfn.XLOOKUP(raw[[#This Row],[home]],homes[home],homes[city],"-"),1,0))</f>
        <v/>
      </c>
      <c r="T9" s="1398" t="inlineStr">
        <is>
          <t>.</t>
        </is>
      </c>
      <c r="U9" s="1399">
        <f>IF(raw[[#This Row],[wb]]="w",raw[[#This Row],[stay]]+U8,U8)</f>
        <v/>
      </c>
      <c r="V9" s="1400">
        <f>IF(raw[[#This Row],[out]]=0,V8,(raw[[#This Row],[out]]-E$5))</f>
        <v/>
      </c>
      <c r="W9" s="1401">
        <f>U9/V9</f>
        <v/>
      </c>
      <c r="X9" s="1378" t="inlineStr">
        <is>
          <t>.</t>
        </is>
      </c>
      <c r="Y9" s="1402">
        <f/>
        <v/>
      </c>
      <c r="Z9" s="1403">
        <f/>
        <v/>
      </c>
      <c r="AA9" s="1403">
        <f/>
        <v/>
      </c>
      <c r="AB9" s="1400">
        <f t="array" ref="AB9">_xlfn.LET(_xlpm.S,_xlfn.ANCHORARRAY($Y$4),_xlpm.r,ROWS(stayCity[[#Headers],[city]]:stayCity[[#This Row],[city]])-1,IF(_xlpm.r&lt;=ROWS(_xlpm.S),INDEX(_xlpm.S,_xlpm.r,1),""))</f>
        <v/>
      </c>
      <c r="AC9" s="1405">
        <f t="array" ref="AC9">_xlfn.LET(_xlpm.S,_xlfn.ANCHORARRAY($Y$4),_xlpm.r,ROWS(stayCity[[#Headers],[city]]:stayCity[[#This Row],[city]])-1,IF(_xlpm.r&lt;=ROWS(_xlpm.S),INDEX(_xlpm.S,_xlpm.r,2),""))</f>
        <v/>
      </c>
      <c r="AD9" s="1405">
        <f t="array" ref="AD9">_xlfn.LET(_xlpm.S,_xlfn.ANCHORARRAY($Y$4),_xlpm.r,ROWS(stayCity[[#Headers],[city]]:stayCity[[#This Row],[city]])-1,IF(_xlpm.r&lt;=ROWS(_xlpm.S),INDEX(_xlpm.S,_xlpm.r,3),""))</f>
        <v/>
      </c>
      <c r="AE9" s="1400">
        <f>IF(stayCity[[#This Row],[out]]&lt;&gt;"",stayCity[[#This Row],[out]]-stayCity[[#This Row],[in]],"-")</f>
        <v/>
      </c>
      <c r="AF9" s="1406">
        <f>IF(Y9="","-",YEAR(stayCity[[#This Row],[in]]))</f>
        <v/>
      </c>
      <c r="AG9" s="1398" t="inlineStr">
        <is>
          <t>.</t>
        </is>
      </c>
      <c r="AH9" s="1402">
        <f/>
        <v/>
      </c>
      <c r="AI9" s="1403">
        <f/>
        <v/>
      </c>
      <c r="AJ9" s="1403">
        <f/>
        <v/>
      </c>
      <c r="AK9" s="1400">
        <f>IF(AH9="","-",AH9)</f>
        <v/>
      </c>
      <c r="AL9" s="1405">
        <f>AI9</f>
        <v/>
      </c>
      <c r="AM9" s="1405">
        <f>AJ9</f>
        <v/>
      </c>
      <c r="AN9" s="1400">
        <f>stayCtry[[#This Row],[out]]-stayCtry[[#This Row],[in]]</f>
        <v/>
      </c>
      <c r="AO9" s="1406">
        <f>IF(AI9&lt;&gt;"",AO8+1,AO8)</f>
        <v/>
      </c>
      <c r="AP9" s="1398" t="inlineStr">
        <is>
          <t>.</t>
        </is>
      </c>
      <c r="AQ9" s="1402">
        <f/>
        <v/>
      </c>
      <c r="AR9" s="1403">
        <f/>
        <v/>
      </c>
      <c r="AS9" s="1403">
        <f/>
        <v/>
      </c>
      <c r="AT9" s="1400">
        <f>AQ9</f>
        <v/>
      </c>
      <c r="AU9" s="1405">
        <f>AR9</f>
        <v/>
      </c>
      <c r="AV9" s="1405">
        <f>AS9</f>
        <v/>
      </c>
      <c r="AW9" s="1400">
        <f>stayCont[[#This Row],[out]]-stayCont[[#This Row],[in]]</f>
        <v/>
      </c>
      <c r="AX9" s="1406">
        <f>IF(AR9&lt;&gt;"",AX8+1,AX8)</f>
        <v/>
      </c>
      <c r="AY9" s="1398" t="inlineStr">
        <is>
          <t>.</t>
        </is>
      </c>
      <c r="AZ9" s="1402">
        <f/>
        <v/>
      </c>
      <c r="BA9" s="1403">
        <f/>
        <v/>
      </c>
      <c r="BB9" s="1403">
        <f/>
        <v/>
      </c>
      <c r="BC9" s="1405">
        <f>AZ9</f>
        <v/>
      </c>
      <c r="BD9" s="1405">
        <f>BA9</f>
        <v/>
      </c>
      <c r="BE9" s="1405">
        <f>BB9</f>
        <v/>
      </c>
      <c r="BF9" s="1400">
        <f>stayWB[[#This Row],[out]]-stayWB[[#This Row],[in]]</f>
        <v/>
      </c>
      <c r="BG9" s="1400">
        <f>IF(BB9&lt;&gt;"",BG8+1,BG8)</f>
        <v/>
      </c>
      <c r="BH9" s="1398" t="inlineStr">
        <is>
          <t>.</t>
        </is>
      </c>
      <c r="BI9" s="1402" t="inlineStr">
        <is>
          <t>BRA</t>
        </is>
      </c>
      <c r="BJ9" s="1402" t="n">
        <v>1982</v>
      </c>
      <c r="BK9" s="1400">
        <f>BI9</f>
        <v/>
      </c>
      <c r="BL9" s="1409">
        <f>BJ9</f>
        <v/>
      </c>
      <c r="BM9" s="1378" t="inlineStr">
        <is>
          <t>.</t>
        </is>
      </c>
      <c r="BN9" s="1402" t="inlineStr">
        <is>
          <t>N</t>
        </is>
      </c>
      <c r="BO9" s="1400">
        <f>BN9</f>
        <v/>
      </c>
      <c r="BP9" s="1398" t="inlineStr">
        <is>
          <t>.</t>
        </is>
      </c>
      <c r="BQ9" s="1400">
        <f>IF(BR9&lt;&gt;"",BQ8+1,BQ8)</f>
        <v/>
      </c>
      <c r="BR9" s="1411" t="inlineStr">
        <is>
          <t>Cuzco</t>
        </is>
      </c>
      <c r="BS9" s="1411" t="inlineStr">
        <is>
          <t>Lima</t>
        </is>
      </c>
      <c r="BT9" s="1412" t="inlineStr">
        <is>
          <t>Cuzco-Lima</t>
        </is>
      </c>
      <c r="BU9" s="1412" t="n">
        <v>29961</v>
      </c>
      <c r="BV9" s="1398" t="inlineStr">
        <is>
          <t>.</t>
        </is>
      </c>
      <c r="BW9" s="1400">
        <f>IF(BX9&lt;&gt;"",BW8+1,BW8)</f>
        <v/>
      </c>
      <c r="BX9" s="1411">
        <f/>
        <v/>
      </c>
      <c r="BY9" s="1413">
        <f/>
        <v/>
      </c>
      <c r="BZ9" s="1413">
        <f/>
        <v/>
      </c>
      <c r="CA9" s="1414">
        <f>BZ9-BY9</f>
        <v/>
      </c>
      <c r="CB9" s="1398" t="inlineStr">
        <is>
          <t>.</t>
        </is>
      </c>
      <c r="CC9" s="1400">
        <f>IF(CD9&lt;&gt;"",CC8+1,CC8)</f>
        <v/>
      </c>
      <c r="CD9" s="1411" t="inlineStr">
        <is>
          <t>Greenfeld</t>
        </is>
      </c>
      <c r="CE9" s="1412" t="n">
        <v>33786</v>
      </c>
      <c r="CF9" s="1412" t="n">
        <v>33821</v>
      </c>
      <c r="CG9" s="1415">
        <f>CF9-CE9</f>
        <v/>
      </c>
      <c r="CH9" s="1398" t="inlineStr">
        <is>
          <t>.</t>
        </is>
      </c>
      <c r="CI9" s="1400">
        <f>IF(CJ9&lt;&gt;"",CI8+1,CI8)</f>
        <v/>
      </c>
      <c r="CJ9" s="1402" t="inlineStr">
        <is>
          <t>Ondina</t>
        </is>
      </c>
      <c r="CK9" s="1391" t="inlineStr">
        <is>
          <t>.</t>
        </is>
      </c>
      <c r="CL9" s="1392" t="n"/>
    </row>
    <row r="10">
      <c r="A10" s="5" t="inlineStr">
        <is>
          <t>.</t>
        </is>
      </c>
      <c r="B10" s="5" t="inlineStr">
        <is>
          <t>.</t>
        </is>
      </c>
      <c r="C10" s="1378">
        <f>IF(raw[[#This Row],[city]]="","-",IF(raw[[#This Row],[city]]="TODAY","-",C9+1))</f>
        <v/>
      </c>
      <c r="D10" s="1393" t="inlineStr">
        <is>
          <t>SSA</t>
        </is>
      </c>
      <c r="E10" s="1394" t="n">
        <v>27395</v>
      </c>
      <c r="F10" s="1394" t="n">
        <v>27426</v>
      </c>
      <c r="G10" s="1393" t="inlineStr">
        <is>
          <t>-</t>
        </is>
      </c>
      <c r="H10" s="1393">
        <f>H9</f>
        <v/>
      </c>
      <c r="I10" s="1393" t="inlineStr">
        <is>
          <t>-</t>
        </is>
      </c>
      <c r="J10" s="1393" t="inlineStr">
        <is>
          <t>REV</t>
        </is>
      </c>
      <c r="K10" s="1395">
        <f>IF(raw[[#This Row],[city]]&lt;&gt;"",_xlfn.XLOOKUP($D10,ccc[city],ccc[prov],"-"),"-")</f>
        <v/>
      </c>
      <c r="L10" s="1395">
        <f>IF(raw[[#This Row],[city]]&lt;&gt;"",_xlfn.XLOOKUP($D10,ccc[city],ccc[ctry],"-"),"-")</f>
        <v/>
      </c>
      <c r="M10" s="1395">
        <f>IF(raw[[#This Row],[city]]&lt;&gt;"",_xlfn.XLOOKUP($D10,ccc[city],ccc[cont],"-"),"-")</f>
        <v/>
      </c>
      <c r="N10" s="1396">
        <f>IF(raw[[#This Row],[city]]="","-",IF(raw[[#This Row],[cont]]="B",raw[[#This Row],[cont]],"W"))</f>
        <v/>
      </c>
      <c r="O10" s="1397">
        <f>IF(raw[[#This Row],[out]]=0,0,IF(raw[[#This Row],[out]]=raw[[#This Row],[in]],0.01,raw[[#This Row],[out]]-raw[[#This Row],[in]]))</f>
        <v/>
      </c>
      <c r="P10" s="1397">
        <f>IF(raw[[#This Row],[in]]=0,0,MONTH(raw[[#This Row],[in]]))</f>
        <v/>
      </c>
      <c r="Q10" s="1397">
        <f>IF(raw[[#This Row],[in]]=0,0,YEAR(raw[[#This Row],[in]]))</f>
        <v/>
      </c>
      <c r="R10" s="1397">
        <f>INT(raw[[#This Row],[yr]]/10)*10</f>
        <v/>
      </c>
      <c r="S10" s="1395">
        <f>IF(raw[[#This Row],[city]]="","-",IF(raw[[#This Row],[city]]&lt;&gt;_xlfn.XLOOKUP(raw[[#This Row],[home]],homes[home],homes[city],"-"),1,0))</f>
        <v/>
      </c>
      <c r="T10" s="1398" t="inlineStr">
        <is>
          <t>.</t>
        </is>
      </c>
      <c r="U10" s="1399">
        <f>IF(raw[[#This Row],[wb]]="w",raw[[#This Row],[stay]]+U9,U9)</f>
        <v/>
      </c>
      <c r="V10" s="1400">
        <f>IF(raw[[#This Row],[out]]=0,V9,(raw[[#This Row],[out]]-E$5))</f>
        <v/>
      </c>
      <c r="W10" s="1401">
        <f>U10/V10</f>
        <v/>
      </c>
      <c r="X10" s="1378" t="inlineStr">
        <is>
          <t>.</t>
        </is>
      </c>
      <c r="Y10" s="1402">
        <f/>
        <v/>
      </c>
      <c r="Z10" s="1403">
        <f/>
        <v/>
      </c>
      <c r="AA10" s="1403">
        <f/>
        <v/>
      </c>
      <c r="AB10" s="1400">
        <f t="array" ref="AB10">_xlfn.LET(_xlpm.S,_xlfn.ANCHORARRAY($Y$4),_xlpm.r,ROWS(stayCity[[#Headers],[city]]:stayCity[[#This Row],[city]])-1,IF(_xlpm.r&lt;=ROWS(_xlpm.S),INDEX(_xlpm.S,_xlpm.r,1),""))</f>
        <v/>
      </c>
      <c r="AC10" s="1405">
        <f t="array" ref="AC10">_xlfn.LET(_xlpm.S,_xlfn.ANCHORARRAY($Y$4),_xlpm.r,ROWS(stayCity[[#Headers],[city]]:stayCity[[#This Row],[city]])-1,IF(_xlpm.r&lt;=ROWS(_xlpm.S),INDEX(_xlpm.S,_xlpm.r,2),""))</f>
        <v/>
      </c>
      <c r="AD10" s="1405">
        <f t="array" ref="AD10">_xlfn.LET(_xlpm.S,_xlfn.ANCHORARRAY($Y$4),_xlpm.r,ROWS(stayCity[[#Headers],[city]]:stayCity[[#This Row],[city]])-1,IF(_xlpm.r&lt;=ROWS(_xlpm.S),INDEX(_xlpm.S,_xlpm.r,3),""))</f>
        <v/>
      </c>
      <c r="AE10" s="1400">
        <f>IF(stayCity[[#This Row],[out]]&lt;&gt;"",stayCity[[#This Row],[out]]-stayCity[[#This Row],[in]],"-")</f>
        <v/>
      </c>
      <c r="AF10" s="1406">
        <f>IF(Y10="","-",YEAR(stayCity[[#This Row],[in]]))</f>
        <v/>
      </c>
      <c r="AG10" s="1398" t="inlineStr">
        <is>
          <t>.</t>
        </is>
      </c>
      <c r="AH10" s="1402">
        <f/>
        <v/>
      </c>
      <c r="AI10" s="1403">
        <f/>
        <v/>
      </c>
      <c r="AJ10" s="1403">
        <f/>
        <v/>
      </c>
      <c r="AK10" s="1400">
        <f>IF(AH10="","-",AH10)</f>
        <v/>
      </c>
      <c r="AL10" s="1405">
        <f>AI10</f>
        <v/>
      </c>
      <c r="AM10" s="1405">
        <f>AJ10</f>
        <v/>
      </c>
      <c r="AN10" s="1400">
        <f>stayCtry[[#This Row],[out]]-stayCtry[[#This Row],[in]]</f>
        <v/>
      </c>
      <c r="AO10" s="1406">
        <f>IF(AI10&lt;&gt;"",AO9+1,AO9)</f>
        <v/>
      </c>
      <c r="AP10" s="1398" t="inlineStr">
        <is>
          <t>.</t>
        </is>
      </c>
      <c r="AQ10" s="1402">
        <f/>
        <v/>
      </c>
      <c r="AR10" s="1403">
        <f/>
        <v/>
      </c>
      <c r="AS10" s="1403">
        <f/>
        <v/>
      </c>
      <c r="AT10" s="1400">
        <f>AQ10</f>
        <v/>
      </c>
      <c r="AU10" s="1405">
        <f>AR10</f>
        <v/>
      </c>
      <c r="AV10" s="1405">
        <f>AS10</f>
        <v/>
      </c>
      <c r="AW10" s="1400">
        <f>stayCont[[#This Row],[out]]-stayCont[[#This Row],[in]]</f>
        <v/>
      </c>
      <c r="AX10" s="1406">
        <f>IF(AR10&lt;&gt;"",AX9+1,AX9)</f>
        <v/>
      </c>
      <c r="AY10" s="1398" t="inlineStr">
        <is>
          <t>.</t>
        </is>
      </c>
      <c r="AZ10" s="1402">
        <f/>
        <v/>
      </c>
      <c r="BA10" s="1403">
        <f/>
        <v/>
      </c>
      <c r="BB10" s="1403">
        <f/>
        <v/>
      </c>
      <c r="BC10" s="1405">
        <f>AZ10</f>
        <v/>
      </c>
      <c r="BD10" s="1405">
        <f>BA10</f>
        <v/>
      </c>
      <c r="BE10" s="1405">
        <f>BB10</f>
        <v/>
      </c>
      <c r="BF10" s="1400">
        <f>stayWB[[#This Row],[out]]-stayWB[[#This Row],[in]]</f>
        <v/>
      </c>
      <c r="BG10" s="1400">
        <f>IF(BB10&lt;&gt;"",BG9+1,BG9)</f>
        <v/>
      </c>
      <c r="BH10" s="1398" t="inlineStr">
        <is>
          <t>.</t>
        </is>
      </c>
      <c r="BI10" s="1402" t="inlineStr">
        <is>
          <t>PRT</t>
        </is>
      </c>
      <c r="BJ10" s="1402" t="n">
        <v>1984</v>
      </c>
      <c r="BK10" s="1400">
        <f>BI10</f>
        <v/>
      </c>
      <c r="BL10" s="1409">
        <f>BJ10</f>
        <v/>
      </c>
      <c r="BM10" s="1378" t="inlineStr">
        <is>
          <t>.</t>
        </is>
      </c>
      <c r="BN10" s="1402" t="inlineStr">
        <is>
          <t>Z</t>
        </is>
      </c>
      <c r="BO10" s="1400">
        <f>BN10</f>
        <v/>
      </c>
      <c r="BP10" s="1398" t="inlineStr">
        <is>
          <t>.</t>
        </is>
      </c>
      <c r="BQ10" s="1400">
        <f>IF(BR10&lt;&gt;"",BQ9+1,BQ9)</f>
        <v/>
      </c>
      <c r="BR10" s="1411" t="inlineStr">
        <is>
          <t>Lima</t>
        </is>
      </c>
      <c r="BS10" s="1411" t="inlineStr">
        <is>
          <t>Mexico City</t>
        </is>
      </c>
      <c r="BT10" s="1412" t="inlineStr">
        <is>
          <t>Lima-Mexico City</t>
        </is>
      </c>
      <c r="BU10" s="1412" t="n">
        <v>29961</v>
      </c>
      <c r="BV10" s="1398" t="inlineStr">
        <is>
          <t>.</t>
        </is>
      </c>
      <c r="BW10" s="1400">
        <f>IF(BX10&lt;&gt;"",BW9+1,BW9)</f>
        <v/>
      </c>
      <c r="BX10" s="1411">
        <f/>
        <v/>
      </c>
      <c r="BY10" s="1413">
        <f/>
        <v/>
      </c>
      <c r="BZ10" s="1413">
        <f/>
        <v/>
      </c>
      <c r="CA10" s="1414">
        <f>BZ10-BY10</f>
        <v/>
      </c>
      <c r="CB10" s="1398" t="inlineStr">
        <is>
          <t>.</t>
        </is>
      </c>
      <c r="CC10" s="1400">
        <f>IF(CD10&lt;&gt;"",CC9+1,CC9)</f>
        <v/>
      </c>
      <c r="CD10" s="1411" t="inlineStr">
        <is>
          <t>Greenfeld</t>
        </is>
      </c>
      <c r="CE10" s="1412" t="n">
        <v>33836</v>
      </c>
      <c r="CF10" s="1412" t="n">
        <v>33848</v>
      </c>
      <c r="CG10" s="1415">
        <f>CF10-CE10</f>
        <v/>
      </c>
      <c r="CH10" s="1398" t="inlineStr">
        <is>
          <t>.</t>
        </is>
      </c>
      <c r="CI10" s="1400">
        <f>IF(CJ10&lt;&gt;"",CI9+1,CI9)</f>
        <v/>
      </c>
      <c r="CJ10" s="1402" t="inlineStr">
        <is>
          <t>Salto Grande</t>
        </is>
      </c>
      <c r="CK10" s="1391" t="inlineStr">
        <is>
          <t>.</t>
        </is>
      </c>
      <c r="CL10" s="1392" t="n"/>
    </row>
    <row r="11">
      <c r="A11" s="5" t="inlineStr">
        <is>
          <t>.</t>
        </is>
      </c>
      <c r="B11" s="5" t="inlineStr">
        <is>
          <t>.</t>
        </is>
      </c>
      <c r="C11" s="1378">
        <f>IF(raw[[#This Row],[city]]="","-",IF(raw[[#This Row],[city]]="TODAY","-",C10+1))</f>
        <v/>
      </c>
      <c r="D11" s="1393" t="inlineStr">
        <is>
          <t>Porto Seguro</t>
        </is>
      </c>
      <c r="E11" s="1394" t="n">
        <v>27426</v>
      </c>
      <c r="F11" s="1394" t="n">
        <v>27427</v>
      </c>
      <c r="G11" s="1393" t="inlineStr">
        <is>
          <t>-</t>
        </is>
      </c>
      <c r="H11" s="1393">
        <f>H10</f>
        <v/>
      </c>
      <c r="I11" s="1393" t="inlineStr">
        <is>
          <t>-</t>
        </is>
      </c>
      <c r="J11" s="1393" t="inlineStr">
        <is>
          <t>-</t>
        </is>
      </c>
      <c r="K11" s="1395">
        <f>IF(raw[[#This Row],[city]]&lt;&gt;"",_xlfn.XLOOKUP($D11,ccc[city],ccc[prov],"-"),"-")</f>
        <v/>
      </c>
      <c r="L11" s="1395">
        <f>IF(raw[[#This Row],[city]]&lt;&gt;"",_xlfn.XLOOKUP($D11,ccc[city],ccc[ctry],"-"),"-")</f>
        <v/>
      </c>
      <c r="M11" s="1395">
        <f>IF(raw[[#This Row],[city]]&lt;&gt;"",_xlfn.XLOOKUP($D11,ccc[city],ccc[cont],"-"),"-")</f>
        <v/>
      </c>
      <c r="N11" s="1396">
        <f>IF(raw[[#This Row],[city]]="","-",IF(raw[[#This Row],[cont]]="B",raw[[#This Row],[cont]],"W"))</f>
        <v/>
      </c>
      <c r="O11" s="1397">
        <f>IF(raw[[#This Row],[out]]=0,0,IF(raw[[#This Row],[out]]=raw[[#This Row],[in]],0.01,raw[[#This Row],[out]]-raw[[#This Row],[in]]))</f>
        <v/>
      </c>
      <c r="P11" s="1397">
        <f>IF(raw[[#This Row],[in]]=0,0,MONTH(raw[[#This Row],[in]]))</f>
        <v/>
      </c>
      <c r="Q11" s="1397">
        <f>IF(raw[[#This Row],[in]]=0,0,YEAR(raw[[#This Row],[in]]))</f>
        <v/>
      </c>
      <c r="R11" s="1397">
        <f>INT(raw[[#This Row],[yr]]/10)*10</f>
        <v/>
      </c>
      <c r="S11" s="1395">
        <f>IF(raw[[#This Row],[city]]="","-",IF(raw[[#This Row],[city]]&lt;&gt;_xlfn.XLOOKUP(raw[[#This Row],[home]],homes[home],homes[city],"-"),1,0))</f>
        <v/>
      </c>
      <c r="T11" s="1398" t="inlineStr">
        <is>
          <t>.</t>
        </is>
      </c>
      <c r="U11" s="1399">
        <f>IF(raw[[#This Row],[wb]]="w",raw[[#This Row],[stay]]+U10,U10)</f>
        <v/>
      </c>
      <c r="V11" s="1400">
        <f>IF(raw[[#This Row],[out]]=0,V10,(raw[[#This Row],[out]]-E$5))</f>
        <v/>
      </c>
      <c r="W11" s="1401">
        <f>U11/V11</f>
        <v/>
      </c>
      <c r="X11" s="1378" t="inlineStr">
        <is>
          <t>.</t>
        </is>
      </c>
      <c r="Y11" s="1402">
        <f/>
        <v/>
      </c>
      <c r="Z11" s="1403">
        <f/>
        <v/>
      </c>
      <c r="AA11" s="1403">
        <f/>
        <v/>
      </c>
      <c r="AB11" s="1400">
        <f t="array" ref="AB11">_xlfn.LET(_xlpm.S,_xlfn.ANCHORARRAY($Y$4),_xlpm.r,ROWS(stayCity[[#Headers],[city]]:stayCity[[#This Row],[city]])-1,IF(_xlpm.r&lt;=ROWS(_xlpm.S),INDEX(_xlpm.S,_xlpm.r,1),""))</f>
        <v/>
      </c>
      <c r="AC11" s="1405">
        <f t="array" ref="AC11">_xlfn.LET(_xlpm.S,_xlfn.ANCHORARRAY($Y$4),_xlpm.r,ROWS(stayCity[[#Headers],[city]]:stayCity[[#This Row],[city]])-1,IF(_xlpm.r&lt;=ROWS(_xlpm.S),INDEX(_xlpm.S,_xlpm.r,2),""))</f>
        <v/>
      </c>
      <c r="AD11" s="1405">
        <f t="array" ref="AD11">_xlfn.LET(_xlpm.S,_xlfn.ANCHORARRAY($Y$4),_xlpm.r,ROWS(stayCity[[#Headers],[city]]:stayCity[[#This Row],[city]])-1,IF(_xlpm.r&lt;=ROWS(_xlpm.S),INDEX(_xlpm.S,_xlpm.r,3),""))</f>
        <v/>
      </c>
      <c r="AE11" s="1400">
        <f>IF(stayCity[[#This Row],[out]]&lt;&gt;"",stayCity[[#This Row],[out]]-stayCity[[#This Row],[in]],"-")</f>
        <v/>
      </c>
      <c r="AF11" s="1406">
        <f>IF(Y11="","-",YEAR(stayCity[[#This Row],[in]]))</f>
        <v/>
      </c>
      <c r="AG11" s="1398" t="inlineStr">
        <is>
          <t>.</t>
        </is>
      </c>
      <c r="AH11" s="1402">
        <f/>
        <v/>
      </c>
      <c r="AI11" s="1403">
        <f/>
        <v/>
      </c>
      <c r="AJ11" s="1403">
        <f/>
        <v/>
      </c>
      <c r="AK11" s="1400">
        <f>IF(AH11="","-",AH11)</f>
        <v/>
      </c>
      <c r="AL11" s="1405">
        <f>AI11</f>
        <v/>
      </c>
      <c r="AM11" s="1405">
        <f>AJ11</f>
        <v/>
      </c>
      <c r="AN11" s="1400">
        <f>stayCtry[[#This Row],[out]]-stayCtry[[#This Row],[in]]</f>
        <v/>
      </c>
      <c r="AO11" s="1406">
        <f>IF(AI11&lt;&gt;"",AO10+1,AO10)</f>
        <v/>
      </c>
      <c r="AP11" s="1398" t="inlineStr">
        <is>
          <t>.</t>
        </is>
      </c>
      <c r="AQ11" s="1402">
        <f/>
        <v/>
      </c>
      <c r="AR11" s="1403">
        <f/>
        <v/>
      </c>
      <c r="AS11" s="1403">
        <f/>
        <v/>
      </c>
      <c r="AT11" s="1400">
        <f>AQ11</f>
        <v/>
      </c>
      <c r="AU11" s="1405">
        <f>AR11</f>
        <v/>
      </c>
      <c r="AV11" s="1405">
        <f>AS11</f>
        <v/>
      </c>
      <c r="AW11" s="1400">
        <f>stayCont[[#This Row],[out]]-stayCont[[#This Row],[in]]</f>
        <v/>
      </c>
      <c r="AX11" s="1406">
        <f>IF(AR11&lt;&gt;"",AX10+1,AX10)</f>
        <v/>
      </c>
      <c r="AY11" s="1398" t="inlineStr">
        <is>
          <t>.</t>
        </is>
      </c>
      <c r="AZ11" s="1402">
        <f/>
        <v/>
      </c>
      <c r="BA11" s="1403">
        <f/>
        <v/>
      </c>
      <c r="BB11" s="1403">
        <f/>
        <v/>
      </c>
      <c r="BC11" s="1405">
        <f>AZ11</f>
        <v/>
      </c>
      <c r="BD11" s="1405">
        <f>BA11</f>
        <v/>
      </c>
      <c r="BE11" s="1405">
        <f>BB11</f>
        <v/>
      </c>
      <c r="BF11" s="1400">
        <f>stayWB[[#This Row],[out]]-stayWB[[#This Row],[in]]</f>
        <v/>
      </c>
      <c r="BG11" s="1400">
        <f>IF(BB11&lt;&gt;"",BG10+1,BG10)</f>
        <v/>
      </c>
      <c r="BH11" s="1398" t="inlineStr">
        <is>
          <t>.</t>
        </is>
      </c>
      <c r="BI11" s="1402" t="inlineStr">
        <is>
          <t>ITA</t>
        </is>
      </c>
      <c r="BJ11" s="1402" t="n">
        <v>1984</v>
      </c>
      <c r="BK11" s="1400">
        <f>BI11</f>
        <v/>
      </c>
      <c r="BL11" s="1409">
        <f>BJ11</f>
        <v/>
      </c>
      <c r="BM11" s="1378" t="inlineStr">
        <is>
          <t>.</t>
        </is>
      </c>
      <c r="BN11" s="1402" t="inlineStr">
        <is>
          <t>B</t>
        </is>
      </c>
      <c r="BO11" s="1400">
        <f>BN11</f>
        <v/>
      </c>
      <c r="BP11" s="1398" t="inlineStr">
        <is>
          <t>.</t>
        </is>
      </c>
      <c r="BQ11" s="1400">
        <f>IF(BR11&lt;&gt;"",BQ10+1,BQ10)</f>
        <v/>
      </c>
      <c r="BR11" s="1411" t="inlineStr">
        <is>
          <t>Mexico City</t>
        </is>
      </c>
      <c r="BS11" s="1411" t="inlineStr">
        <is>
          <t>New Orleans</t>
        </is>
      </c>
      <c r="BT11" s="1412" t="inlineStr">
        <is>
          <t>Mexico City-New Orleans</t>
        </is>
      </c>
      <c r="BU11" s="1412" t="n">
        <v>29967</v>
      </c>
      <c r="BV11" s="1398" t="inlineStr">
        <is>
          <t>.</t>
        </is>
      </c>
      <c r="BW11" s="1400">
        <f>IF(BX11&lt;&gt;"",BW10+1,BW10)</f>
        <v/>
      </c>
      <c r="BX11" s="1411">
        <f/>
        <v/>
      </c>
      <c r="BY11" s="1413">
        <f/>
        <v/>
      </c>
      <c r="BZ11" s="1413">
        <f/>
        <v/>
      </c>
      <c r="CA11" s="1414">
        <f>BZ11-BY11</f>
        <v/>
      </c>
      <c r="CB11" s="1398" t="inlineStr">
        <is>
          <t>.</t>
        </is>
      </c>
      <c r="CC11" s="1400">
        <f>IF(CD11&lt;&gt;"",CC10+1,CC10)</f>
        <v/>
      </c>
      <c r="CD11" s="1411" t="inlineStr">
        <is>
          <t>Greenfeld</t>
        </is>
      </c>
      <c r="CE11" s="1412" t="n">
        <v>33873</v>
      </c>
      <c r="CF11" s="1412" t="n">
        <v>33883</v>
      </c>
      <c r="CG11" s="1415">
        <f>CF11-CE11</f>
        <v/>
      </c>
      <c r="CH11" s="1398" t="inlineStr">
        <is>
          <t>.</t>
        </is>
      </c>
      <c r="CI11" s="1400">
        <f>IF(CJ11&lt;&gt;"",CI10+1,CI10)</f>
        <v/>
      </c>
      <c r="CJ11" s="1402" t="inlineStr">
        <is>
          <t>Thomas/Barnfield</t>
        </is>
      </c>
      <c r="CK11" s="1391" t="inlineStr">
        <is>
          <t>.</t>
        </is>
      </c>
      <c r="CL11" s="1392" t="n"/>
    </row>
    <row r="12">
      <c r="A12" s="5" t="inlineStr">
        <is>
          <t>.</t>
        </is>
      </c>
      <c r="B12" s="5" t="inlineStr">
        <is>
          <t>.</t>
        </is>
      </c>
      <c r="C12" s="1378">
        <f>IF(raw[[#This Row],[city]]="","-",IF(raw[[#This Row],[city]]="TODAY","-",C11+1))</f>
        <v/>
      </c>
      <c r="D12" s="1393" t="inlineStr">
        <is>
          <t>Guarapari</t>
        </is>
      </c>
      <c r="E12" s="1394" t="n">
        <v>27427</v>
      </c>
      <c r="F12" s="1394" t="n">
        <v>27428</v>
      </c>
      <c r="G12" s="1393" t="inlineStr">
        <is>
          <t>-</t>
        </is>
      </c>
      <c r="H12" s="1393">
        <f>H11</f>
        <v/>
      </c>
      <c r="I12" s="1393" t="inlineStr">
        <is>
          <t>-</t>
        </is>
      </c>
      <c r="J12" s="1393" t="inlineStr">
        <is>
          <t>-</t>
        </is>
      </c>
      <c r="K12" s="1395">
        <f>IF(raw[[#This Row],[city]]&lt;&gt;"",_xlfn.XLOOKUP($D12,ccc[city],ccc[prov],"-"),"-")</f>
        <v/>
      </c>
      <c r="L12" s="1395">
        <f>IF(raw[[#This Row],[city]]&lt;&gt;"",_xlfn.XLOOKUP($D12,ccc[city],ccc[ctry],"-"),"-")</f>
        <v/>
      </c>
      <c r="M12" s="1395">
        <f>IF(raw[[#This Row],[city]]&lt;&gt;"",_xlfn.XLOOKUP($D12,ccc[city],ccc[cont],"-"),"-")</f>
        <v/>
      </c>
      <c r="N12" s="1396">
        <f>IF(raw[[#This Row],[city]]="","-",IF(raw[[#This Row],[cont]]="B",raw[[#This Row],[cont]],"W"))</f>
        <v/>
      </c>
      <c r="O12" s="1397">
        <f>IF(raw[[#This Row],[out]]=0,0,IF(raw[[#This Row],[out]]=raw[[#This Row],[in]],0.01,raw[[#This Row],[out]]-raw[[#This Row],[in]]))</f>
        <v/>
      </c>
      <c r="P12" s="1397">
        <f>IF(raw[[#This Row],[in]]=0,0,MONTH(raw[[#This Row],[in]]))</f>
        <v/>
      </c>
      <c r="Q12" s="1397">
        <f>IF(raw[[#This Row],[in]]=0,0,YEAR(raw[[#This Row],[in]]))</f>
        <v/>
      </c>
      <c r="R12" s="1397">
        <f>INT(raw[[#This Row],[yr]]/10)*10</f>
        <v/>
      </c>
      <c r="S12" s="1395">
        <f>IF(raw[[#This Row],[city]]="","-",IF(raw[[#This Row],[city]]&lt;&gt;_xlfn.XLOOKUP(raw[[#This Row],[home]],homes[home],homes[city],"-"),1,0))</f>
        <v/>
      </c>
      <c r="T12" s="1398" t="inlineStr">
        <is>
          <t>.</t>
        </is>
      </c>
      <c r="U12" s="1399">
        <f>IF(raw[[#This Row],[wb]]="w",raw[[#This Row],[stay]]+U11,U11)</f>
        <v/>
      </c>
      <c r="V12" s="1400">
        <f>IF(raw[[#This Row],[out]]=0,V11,(raw[[#This Row],[out]]-E$5))</f>
        <v/>
      </c>
      <c r="W12" s="1401">
        <f>U12/V12</f>
        <v/>
      </c>
      <c r="X12" s="1378" t="inlineStr">
        <is>
          <t>.</t>
        </is>
      </c>
      <c r="Y12" s="1402">
        <f/>
        <v/>
      </c>
      <c r="Z12" s="1403">
        <f/>
        <v/>
      </c>
      <c r="AA12" s="1403">
        <f/>
        <v/>
      </c>
      <c r="AB12" s="1400">
        <f t="array" ref="AB12">_xlfn.LET(_xlpm.S,_xlfn.ANCHORARRAY($Y$4),_xlpm.r,ROWS(stayCity[[#Headers],[city]]:stayCity[[#This Row],[city]])-1,IF(_xlpm.r&lt;=ROWS(_xlpm.S),INDEX(_xlpm.S,_xlpm.r,1),""))</f>
        <v/>
      </c>
      <c r="AC12" s="1405">
        <f t="array" ref="AC12">_xlfn.LET(_xlpm.S,_xlfn.ANCHORARRAY($Y$4),_xlpm.r,ROWS(stayCity[[#Headers],[city]]:stayCity[[#This Row],[city]])-1,IF(_xlpm.r&lt;=ROWS(_xlpm.S),INDEX(_xlpm.S,_xlpm.r,2),""))</f>
        <v/>
      </c>
      <c r="AD12" s="1405">
        <f t="array" ref="AD12">_xlfn.LET(_xlpm.S,_xlfn.ANCHORARRAY($Y$4),_xlpm.r,ROWS(stayCity[[#Headers],[city]]:stayCity[[#This Row],[city]])-1,IF(_xlpm.r&lt;=ROWS(_xlpm.S),INDEX(_xlpm.S,_xlpm.r,3),""))</f>
        <v/>
      </c>
      <c r="AE12" s="1400">
        <f>IF(stayCity[[#This Row],[out]]&lt;&gt;"",stayCity[[#This Row],[out]]-stayCity[[#This Row],[in]],"-")</f>
        <v/>
      </c>
      <c r="AF12" s="1406">
        <f>IF(Y12="","-",YEAR(stayCity[[#This Row],[in]]))</f>
        <v/>
      </c>
      <c r="AG12" s="1398" t="inlineStr">
        <is>
          <t>.</t>
        </is>
      </c>
      <c r="AH12" s="1402">
        <f/>
        <v/>
      </c>
      <c r="AI12" s="1403">
        <f/>
        <v/>
      </c>
      <c r="AJ12" s="1403">
        <f/>
        <v/>
      </c>
      <c r="AK12" s="1400">
        <f>IF(AH12="","-",AH12)</f>
        <v/>
      </c>
      <c r="AL12" s="1405">
        <f>AI12</f>
        <v/>
      </c>
      <c r="AM12" s="1405">
        <f>AJ12</f>
        <v/>
      </c>
      <c r="AN12" s="1400">
        <f>stayCtry[[#This Row],[out]]-stayCtry[[#This Row],[in]]</f>
        <v/>
      </c>
      <c r="AO12" s="1406">
        <f>IF(AI12&lt;&gt;"",AO11+1,AO11)</f>
        <v/>
      </c>
      <c r="AP12" s="1398" t="inlineStr">
        <is>
          <t>.</t>
        </is>
      </c>
      <c r="AQ12" s="1402">
        <f/>
        <v/>
      </c>
      <c r="AR12" s="1403">
        <f/>
        <v/>
      </c>
      <c r="AS12" s="1403">
        <f/>
        <v/>
      </c>
      <c r="AT12" s="1400">
        <f>AQ12</f>
        <v/>
      </c>
      <c r="AU12" s="1405">
        <f>AR12</f>
        <v/>
      </c>
      <c r="AV12" s="1405">
        <f>AS12</f>
        <v/>
      </c>
      <c r="AW12" s="1400">
        <f>stayCont[[#This Row],[out]]-stayCont[[#This Row],[in]]</f>
        <v/>
      </c>
      <c r="AX12" s="1406">
        <f>IF(AR12&lt;&gt;"",AX11+1,AX11)</f>
        <v/>
      </c>
      <c r="AY12" s="1398" t="inlineStr">
        <is>
          <t>.</t>
        </is>
      </c>
      <c r="AZ12" s="1402">
        <f/>
        <v/>
      </c>
      <c r="BA12" s="1403">
        <f/>
        <v/>
      </c>
      <c r="BB12" s="1403">
        <f/>
        <v/>
      </c>
      <c r="BC12" s="1405">
        <f>AZ12</f>
        <v/>
      </c>
      <c r="BD12" s="1405">
        <f>BA12</f>
        <v/>
      </c>
      <c r="BE12" s="1405">
        <f>BB12</f>
        <v/>
      </c>
      <c r="BF12" s="1400">
        <f>stayWB[[#This Row],[out]]-stayWB[[#This Row],[in]]</f>
        <v/>
      </c>
      <c r="BG12" s="1400">
        <f>IF(BB12&lt;&gt;"",BG11+1,BG11)</f>
        <v/>
      </c>
      <c r="BH12" s="1398" t="inlineStr">
        <is>
          <t>.</t>
        </is>
      </c>
      <c r="BI12" s="1402" t="inlineStr">
        <is>
          <t>CHE</t>
        </is>
      </c>
      <c r="BJ12" s="1402" t="n">
        <v>1984</v>
      </c>
      <c r="BK12" s="1400">
        <f>BI12</f>
        <v/>
      </c>
      <c r="BL12" s="1409">
        <f>BJ12</f>
        <v/>
      </c>
      <c r="BM12" s="1378" t="inlineStr">
        <is>
          <t>.</t>
        </is>
      </c>
      <c r="BN12" s="1402" t="inlineStr">
        <is>
          <t>E</t>
        </is>
      </c>
      <c r="BO12" s="1400">
        <f>BN12</f>
        <v/>
      </c>
      <c r="BP12" s="1398" t="inlineStr">
        <is>
          <t>.</t>
        </is>
      </c>
      <c r="BQ12" s="1400">
        <f>IF(BR12&lt;&gt;"",BQ11+1,BQ11)</f>
        <v/>
      </c>
      <c r="BR12" s="1411" t="inlineStr">
        <is>
          <t>New Orleans</t>
        </is>
      </c>
      <c r="BS12" s="1411" t="inlineStr">
        <is>
          <t>Orlando</t>
        </is>
      </c>
      <c r="BT12" s="1412" t="inlineStr">
        <is>
          <t>New Orleans-Orlando</t>
        </is>
      </c>
      <c r="BU12" s="1412" t="n">
        <v>29969</v>
      </c>
      <c r="BV12" s="1398" t="inlineStr">
        <is>
          <t>.</t>
        </is>
      </c>
      <c r="BW12" s="1400">
        <f>IF(BX12&lt;&gt;"",BW11+1,BW11)</f>
        <v/>
      </c>
      <c r="BX12" s="1411">
        <f/>
        <v/>
      </c>
      <c r="BY12" s="1413">
        <f/>
        <v/>
      </c>
      <c r="BZ12" s="1413">
        <f/>
        <v/>
      </c>
      <c r="CA12" s="1414">
        <f>BZ12-BY12</f>
        <v/>
      </c>
      <c r="CB12" s="1398" t="inlineStr">
        <is>
          <t>.</t>
        </is>
      </c>
      <c r="CC12" s="1400">
        <f>IF(CD12&lt;&gt;"",CC11+1,CC11)</f>
        <v/>
      </c>
      <c r="CD12" s="1411" t="inlineStr">
        <is>
          <t>Meier</t>
        </is>
      </c>
      <c r="CE12" s="1412" t="n">
        <v>33909</v>
      </c>
      <c r="CF12" s="1412" t="n">
        <v>33916</v>
      </c>
      <c r="CG12" s="1415">
        <f>CF12-CE12</f>
        <v/>
      </c>
      <c r="CH12" s="1398" t="inlineStr">
        <is>
          <t>.</t>
        </is>
      </c>
      <c r="CI12" s="1400">
        <f>IF(CJ12&lt;&gt;"",CI11+1,CI11)</f>
        <v/>
      </c>
      <c r="CJ12" s="1402" t="inlineStr">
        <is>
          <t>David's</t>
        </is>
      </c>
      <c r="CK12" s="1391" t="inlineStr">
        <is>
          <t>.</t>
        </is>
      </c>
      <c r="CL12" s="1392" t="n"/>
    </row>
    <row r="13">
      <c r="A13" s="5" t="inlineStr">
        <is>
          <t>.</t>
        </is>
      </c>
      <c r="B13" s="5" t="inlineStr">
        <is>
          <t>.</t>
        </is>
      </c>
      <c r="C13" s="1378">
        <f>IF(raw[[#This Row],[city]]="","-",IF(raw[[#This Row],[city]]="TODAY","-",C12+1))</f>
        <v/>
      </c>
      <c r="D13" s="1393" t="inlineStr">
        <is>
          <t>Friburgo</t>
        </is>
      </c>
      <c r="E13" s="1394" t="n">
        <v>27428</v>
      </c>
      <c r="F13" s="1394" t="n">
        <v>27429</v>
      </c>
      <c r="G13" s="1393" t="inlineStr">
        <is>
          <t>-</t>
        </is>
      </c>
      <c r="H13" s="1393">
        <f>H12</f>
        <v/>
      </c>
      <c r="I13" s="1393" t="inlineStr">
        <is>
          <t>-</t>
        </is>
      </c>
      <c r="J13" s="1393" t="inlineStr">
        <is>
          <t>-</t>
        </is>
      </c>
      <c r="K13" s="1395">
        <f>IF(raw[[#This Row],[city]]&lt;&gt;"",_xlfn.XLOOKUP($D13,ccc[city],ccc[prov],"-"),"-")</f>
        <v/>
      </c>
      <c r="L13" s="1395">
        <f>IF(raw[[#This Row],[city]]&lt;&gt;"",_xlfn.XLOOKUP($D13,ccc[city],ccc[ctry],"-"),"-")</f>
        <v/>
      </c>
      <c r="M13" s="1395">
        <f>IF(raw[[#This Row],[city]]&lt;&gt;"",_xlfn.XLOOKUP($D13,ccc[city],ccc[cont],"-"),"-")</f>
        <v/>
      </c>
      <c r="N13" s="1396">
        <f>IF(raw[[#This Row],[city]]="","-",IF(raw[[#This Row],[cont]]="B",raw[[#This Row],[cont]],"W"))</f>
        <v/>
      </c>
      <c r="O13" s="1397">
        <f>IF(raw[[#This Row],[out]]=0,0,IF(raw[[#This Row],[out]]=raw[[#This Row],[in]],0.01,raw[[#This Row],[out]]-raw[[#This Row],[in]]))</f>
        <v/>
      </c>
      <c r="P13" s="1397">
        <f>IF(raw[[#This Row],[in]]=0,0,MONTH(raw[[#This Row],[in]]))</f>
        <v/>
      </c>
      <c r="Q13" s="1397">
        <f>IF(raw[[#This Row],[in]]=0,0,YEAR(raw[[#This Row],[in]]))</f>
        <v/>
      </c>
      <c r="R13" s="1397">
        <f>INT(raw[[#This Row],[yr]]/10)*10</f>
        <v/>
      </c>
      <c r="S13" s="1395">
        <f>IF(raw[[#This Row],[city]]="","-",IF(raw[[#This Row],[city]]&lt;&gt;_xlfn.XLOOKUP(raw[[#This Row],[home]],homes[home],homes[city],"-"),1,0))</f>
        <v/>
      </c>
      <c r="T13" s="1398" t="inlineStr">
        <is>
          <t>.</t>
        </is>
      </c>
      <c r="U13" s="1399">
        <f>IF(raw[[#This Row],[wb]]="w",raw[[#This Row],[stay]]+U12,U12)</f>
        <v/>
      </c>
      <c r="V13" s="1400">
        <f>IF(raw[[#This Row],[out]]=0,V12,(raw[[#This Row],[out]]-E$5))</f>
        <v/>
      </c>
      <c r="W13" s="1401">
        <f>U13/V13</f>
        <v/>
      </c>
      <c r="X13" s="1378" t="inlineStr">
        <is>
          <t>.</t>
        </is>
      </c>
      <c r="Y13" s="1402">
        <f/>
        <v/>
      </c>
      <c r="Z13" s="1403">
        <f/>
        <v/>
      </c>
      <c r="AA13" s="1403">
        <f/>
        <v/>
      </c>
      <c r="AB13" s="1400">
        <f t="array" ref="AB13">_xlfn.LET(_xlpm.S,_xlfn.ANCHORARRAY($Y$4),_xlpm.r,ROWS(stayCity[[#Headers],[city]]:stayCity[[#This Row],[city]])-1,IF(_xlpm.r&lt;=ROWS(_xlpm.S),INDEX(_xlpm.S,_xlpm.r,1),""))</f>
        <v/>
      </c>
      <c r="AC13" s="1405">
        <f t="array" ref="AC13">_xlfn.LET(_xlpm.S,_xlfn.ANCHORARRAY($Y$4),_xlpm.r,ROWS(stayCity[[#Headers],[city]]:stayCity[[#This Row],[city]])-1,IF(_xlpm.r&lt;=ROWS(_xlpm.S),INDEX(_xlpm.S,_xlpm.r,2),""))</f>
        <v/>
      </c>
      <c r="AD13" s="1405">
        <f t="array" ref="AD13">_xlfn.LET(_xlpm.S,_xlfn.ANCHORARRAY($Y$4),_xlpm.r,ROWS(stayCity[[#Headers],[city]]:stayCity[[#This Row],[city]])-1,IF(_xlpm.r&lt;=ROWS(_xlpm.S),INDEX(_xlpm.S,_xlpm.r,3),""))</f>
        <v/>
      </c>
      <c r="AE13" s="1400">
        <f>IF(stayCity[[#This Row],[out]]&lt;&gt;"",stayCity[[#This Row],[out]]-stayCity[[#This Row],[in]],"-")</f>
        <v/>
      </c>
      <c r="AF13" s="1406">
        <f>IF(Y13="","-",YEAR(stayCity[[#This Row],[in]]))</f>
        <v/>
      </c>
      <c r="AG13" s="1398" t="inlineStr">
        <is>
          <t>.</t>
        </is>
      </c>
      <c r="AH13" s="1402">
        <f/>
        <v/>
      </c>
      <c r="AI13" s="1403">
        <f/>
        <v/>
      </c>
      <c r="AJ13" s="1403">
        <f/>
        <v/>
      </c>
      <c r="AK13" s="1400">
        <f>IF(AH13="","-",AH13)</f>
        <v/>
      </c>
      <c r="AL13" s="1405">
        <f>AI13</f>
        <v/>
      </c>
      <c r="AM13" s="1405">
        <f>AJ13</f>
        <v/>
      </c>
      <c r="AN13" s="1400">
        <f>stayCtry[[#This Row],[out]]-stayCtry[[#This Row],[in]]</f>
        <v/>
      </c>
      <c r="AO13" s="1406">
        <f>IF(AI13&lt;&gt;"",AO12+1,AO12)</f>
        <v/>
      </c>
      <c r="AP13" s="1398" t="inlineStr">
        <is>
          <t>.</t>
        </is>
      </c>
      <c r="AQ13" s="1402">
        <f/>
        <v/>
      </c>
      <c r="AR13" s="1403">
        <f/>
        <v/>
      </c>
      <c r="AS13" s="1403">
        <f/>
        <v/>
      </c>
      <c r="AT13" s="1400">
        <f>AQ13</f>
        <v/>
      </c>
      <c r="AU13" s="1405">
        <f>AR13</f>
        <v/>
      </c>
      <c r="AV13" s="1405">
        <f>AS13</f>
        <v/>
      </c>
      <c r="AW13" s="1400">
        <f>stayCont[[#This Row],[out]]-stayCont[[#This Row],[in]]</f>
        <v/>
      </c>
      <c r="AX13" s="1406">
        <f>IF(AR13&lt;&gt;"",AX12+1,AX12)</f>
        <v/>
      </c>
      <c r="AY13" s="1398" t="inlineStr">
        <is>
          <t>.</t>
        </is>
      </c>
      <c r="AZ13" s="1402">
        <f/>
        <v/>
      </c>
      <c r="BA13" s="1403">
        <f/>
        <v/>
      </c>
      <c r="BB13" s="1403">
        <f/>
        <v/>
      </c>
      <c r="BC13" s="1405">
        <f>AZ13</f>
        <v/>
      </c>
      <c r="BD13" s="1405">
        <f>BA13</f>
        <v/>
      </c>
      <c r="BE13" s="1405">
        <f>BB13</f>
        <v/>
      </c>
      <c r="BF13" s="1400">
        <f>stayWB[[#This Row],[out]]-stayWB[[#This Row],[in]]</f>
        <v/>
      </c>
      <c r="BG13" s="1400">
        <f>IF(BB13&lt;&gt;"",BG12+1,BG12)</f>
        <v/>
      </c>
      <c r="BH13" s="1398" t="inlineStr">
        <is>
          <t>.</t>
        </is>
      </c>
      <c r="BI13" s="1402" t="inlineStr">
        <is>
          <t>DEU</t>
        </is>
      </c>
      <c r="BJ13" s="1402" t="n">
        <v>1984</v>
      </c>
      <c r="BK13" s="1400">
        <f>BI13</f>
        <v/>
      </c>
      <c r="BL13" s="1409">
        <f>BJ13</f>
        <v/>
      </c>
      <c r="BM13" s="1378" t="inlineStr">
        <is>
          <t>.</t>
        </is>
      </c>
      <c r="BN13" s="1402" t="inlineStr">
        <is>
          <t>Z</t>
        </is>
      </c>
      <c r="BO13" s="1400">
        <f>BN13</f>
        <v/>
      </c>
      <c r="BP13" s="1398" t="inlineStr">
        <is>
          <t>.</t>
        </is>
      </c>
      <c r="BQ13" s="1400">
        <f>IF(BR13&lt;&gt;"",BQ12+1,BQ12)</f>
        <v/>
      </c>
      <c r="BR13" s="1411" t="inlineStr">
        <is>
          <t>Miami</t>
        </is>
      </c>
      <c r="BS13" s="1411" t="inlineStr">
        <is>
          <t>Manaus</t>
        </is>
      </c>
      <c r="BT13" s="1412" t="inlineStr">
        <is>
          <t>Miami-Manaus</t>
        </is>
      </c>
      <c r="BU13" s="1412" t="n">
        <v>29977</v>
      </c>
      <c r="BV13" s="1398" t="inlineStr">
        <is>
          <t>.</t>
        </is>
      </c>
      <c r="BW13" s="1400">
        <f>IF(BX13&lt;&gt;"",BW12+1,BW12)</f>
        <v/>
      </c>
      <c r="BX13" s="1411">
        <f/>
        <v/>
      </c>
      <c r="BY13" s="1413">
        <f/>
        <v/>
      </c>
      <c r="BZ13" s="1413">
        <f/>
        <v/>
      </c>
      <c r="CA13" s="1414">
        <f>BZ13-BY13</f>
        <v/>
      </c>
      <c r="CB13" s="1398" t="inlineStr">
        <is>
          <t>.</t>
        </is>
      </c>
      <c r="CC13" s="1400">
        <f>IF(CD13&lt;&gt;"",CC12+1,CC12)</f>
        <v/>
      </c>
      <c r="CD13" s="1411" t="inlineStr">
        <is>
          <t>Meier</t>
        </is>
      </c>
      <c r="CE13" s="1412" t="n">
        <v>33928</v>
      </c>
      <c r="CF13" s="1412" t="n">
        <v>33936</v>
      </c>
      <c r="CG13" s="1415">
        <f>CF13-CE13</f>
        <v/>
      </c>
      <c r="CH13" s="1398" t="inlineStr">
        <is>
          <t>.</t>
        </is>
      </c>
      <c r="CI13" s="1400">
        <f>IF(CJ13&lt;&gt;"",CI12+1,CI12)</f>
        <v/>
      </c>
      <c r="CJ13" s="1402" t="inlineStr">
        <is>
          <t>Rato/Paulao</t>
        </is>
      </c>
      <c r="CK13" s="1391" t="inlineStr">
        <is>
          <t>.</t>
        </is>
      </c>
      <c r="CL13" s="1392" t="n"/>
    </row>
    <row r="14">
      <c r="A14" s="5" t="inlineStr">
        <is>
          <t>.</t>
        </is>
      </c>
      <c r="B14" s="5" t="inlineStr">
        <is>
          <t>.</t>
        </is>
      </c>
      <c r="C14" s="1378">
        <f>IF(raw[[#This Row],[city]]="","-",IF(raw[[#This Row],[city]]="TODAY","-",C13+1))</f>
        <v/>
      </c>
      <c r="D14" s="1393" t="inlineStr">
        <is>
          <t>Rio</t>
        </is>
      </c>
      <c r="E14" s="1394" t="n">
        <v>27429</v>
      </c>
      <c r="F14" s="1394" t="n">
        <v>27434</v>
      </c>
      <c r="G14" s="1393" t="inlineStr">
        <is>
          <t>-</t>
        </is>
      </c>
      <c r="H14" s="1393">
        <f>H13</f>
        <v/>
      </c>
      <c r="I14" s="1393" t="inlineStr">
        <is>
          <t>-</t>
        </is>
      </c>
      <c r="J14" s="1393" t="inlineStr">
        <is>
          <t>-</t>
        </is>
      </c>
      <c r="K14" s="1395">
        <f>IF(raw[[#This Row],[city]]&lt;&gt;"",_xlfn.XLOOKUP($D14,ccc[city],ccc[prov],"-"),"-")</f>
        <v/>
      </c>
      <c r="L14" s="1395">
        <f>IF(raw[[#This Row],[city]]&lt;&gt;"",_xlfn.XLOOKUP($D14,ccc[city],ccc[ctry],"-"),"-")</f>
        <v/>
      </c>
      <c r="M14" s="1395">
        <f>IF(raw[[#This Row],[city]]&lt;&gt;"",_xlfn.XLOOKUP($D14,ccc[city],ccc[cont],"-"),"-")</f>
        <v/>
      </c>
      <c r="N14" s="1396">
        <f>IF(raw[[#This Row],[city]]="","-",IF(raw[[#This Row],[cont]]="B",raw[[#This Row],[cont]],"W"))</f>
        <v/>
      </c>
      <c r="O14" s="1397">
        <f>IF(raw[[#This Row],[out]]=0,0,IF(raw[[#This Row],[out]]=raw[[#This Row],[in]],0.01,raw[[#This Row],[out]]-raw[[#This Row],[in]]))</f>
        <v/>
      </c>
      <c r="P14" s="1397">
        <f>IF(raw[[#This Row],[in]]=0,0,MONTH(raw[[#This Row],[in]]))</f>
        <v/>
      </c>
      <c r="Q14" s="1397">
        <f>IF(raw[[#This Row],[in]]=0,0,YEAR(raw[[#This Row],[in]]))</f>
        <v/>
      </c>
      <c r="R14" s="1397">
        <f>INT(raw[[#This Row],[yr]]/10)*10</f>
        <v/>
      </c>
      <c r="S14" s="1395">
        <f>IF(raw[[#This Row],[city]]="","-",IF(raw[[#This Row],[city]]&lt;&gt;_xlfn.XLOOKUP(raw[[#This Row],[home]],homes[home],homes[city],"-"),1,0))</f>
        <v/>
      </c>
      <c r="T14" s="1398" t="inlineStr">
        <is>
          <t>.</t>
        </is>
      </c>
      <c r="U14" s="1399">
        <f>IF(raw[[#This Row],[wb]]="w",raw[[#This Row],[stay]]+U13,U13)</f>
        <v/>
      </c>
      <c r="V14" s="1400">
        <f>IF(raw[[#This Row],[out]]=0,V13,(raw[[#This Row],[out]]-E$5))</f>
        <v/>
      </c>
      <c r="W14" s="1401">
        <f>U14/V14</f>
        <v/>
      </c>
      <c r="X14" s="1378" t="inlineStr">
        <is>
          <t>.</t>
        </is>
      </c>
      <c r="Y14" s="1402">
        <f/>
        <v/>
      </c>
      <c r="Z14" s="1403">
        <f/>
        <v/>
      </c>
      <c r="AA14" s="1403">
        <f/>
        <v/>
      </c>
      <c r="AB14" s="1400">
        <f t="array" ref="AB14">_xlfn.LET(_xlpm.S,_xlfn.ANCHORARRAY($Y$4),_xlpm.r,ROWS(stayCity[[#Headers],[city]]:stayCity[[#This Row],[city]])-1,IF(_xlpm.r&lt;=ROWS(_xlpm.S),INDEX(_xlpm.S,_xlpm.r,1),""))</f>
        <v/>
      </c>
      <c r="AC14" s="1405">
        <f t="array" ref="AC14">_xlfn.LET(_xlpm.S,_xlfn.ANCHORARRAY($Y$4),_xlpm.r,ROWS(stayCity[[#Headers],[city]]:stayCity[[#This Row],[city]])-1,IF(_xlpm.r&lt;=ROWS(_xlpm.S),INDEX(_xlpm.S,_xlpm.r,2),""))</f>
        <v/>
      </c>
      <c r="AD14" s="1405">
        <f t="array" ref="AD14">_xlfn.LET(_xlpm.S,_xlfn.ANCHORARRAY($Y$4),_xlpm.r,ROWS(stayCity[[#Headers],[city]]:stayCity[[#This Row],[city]])-1,IF(_xlpm.r&lt;=ROWS(_xlpm.S),INDEX(_xlpm.S,_xlpm.r,3),""))</f>
        <v/>
      </c>
      <c r="AE14" s="1400">
        <f>IF(stayCity[[#This Row],[out]]&lt;&gt;"",stayCity[[#This Row],[out]]-stayCity[[#This Row],[in]],"-")</f>
        <v/>
      </c>
      <c r="AF14" s="1406">
        <f>IF(Y14="","-",YEAR(stayCity[[#This Row],[in]]))</f>
        <v/>
      </c>
      <c r="AG14" s="1398" t="inlineStr">
        <is>
          <t>.</t>
        </is>
      </c>
      <c r="AH14" s="1402">
        <f/>
        <v/>
      </c>
      <c r="AI14" s="1403">
        <f/>
        <v/>
      </c>
      <c r="AJ14" s="1403">
        <f/>
        <v/>
      </c>
      <c r="AK14" s="1400">
        <f>IF(AH14="","-",AH14)</f>
        <v/>
      </c>
      <c r="AL14" s="1405">
        <f>AI14</f>
        <v/>
      </c>
      <c r="AM14" s="1405">
        <f>AJ14</f>
        <v/>
      </c>
      <c r="AN14" s="1400">
        <f>stayCtry[[#This Row],[out]]-stayCtry[[#This Row],[in]]</f>
        <v/>
      </c>
      <c r="AO14" s="1406">
        <f>IF(AI14&lt;&gt;"",AO13+1,AO13)</f>
        <v/>
      </c>
      <c r="AP14" s="1398" t="inlineStr">
        <is>
          <t>.</t>
        </is>
      </c>
      <c r="AQ14" s="1402">
        <f/>
        <v/>
      </c>
      <c r="AR14" s="1403">
        <f/>
        <v/>
      </c>
      <c r="AS14" s="1403">
        <f/>
        <v/>
      </c>
      <c r="AT14" s="1400">
        <f>AQ14</f>
        <v/>
      </c>
      <c r="AU14" s="1405">
        <f>AR14</f>
        <v/>
      </c>
      <c r="AV14" s="1405">
        <f>AS14</f>
        <v/>
      </c>
      <c r="AW14" s="1400">
        <f>stayCont[[#This Row],[out]]-stayCont[[#This Row],[in]]</f>
        <v/>
      </c>
      <c r="AX14" s="1406">
        <f>IF(AR14&lt;&gt;"",AX13+1,AX13)</f>
        <v/>
      </c>
      <c r="AY14" s="1398" t="inlineStr">
        <is>
          <t>.</t>
        </is>
      </c>
      <c r="AZ14" s="1402">
        <f/>
        <v/>
      </c>
      <c r="BA14" s="1403">
        <f/>
        <v/>
      </c>
      <c r="BB14" s="1403">
        <f/>
        <v/>
      </c>
      <c r="BC14" s="1405">
        <f>AZ14</f>
        <v/>
      </c>
      <c r="BD14" s="1405">
        <f>BA14</f>
        <v/>
      </c>
      <c r="BE14" s="1405">
        <f>BB14</f>
        <v/>
      </c>
      <c r="BF14" s="1400">
        <f>stayWB[[#This Row],[out]]-stayWB[[#This Row],[in]]</f>
        <v/>
      </c>
      <c r="BG14" s="1400">
        <f>IF(BB14&lt;&gt;"",BG13+1,BG13)</f>
        <v/>
      </c>
      <c r="BH14" s="1398" t="inlineStr">
        <is>
          <t>.</t>
        </is>
      </c>
      <c r="BI14" s="1402" t="inlineStr">
        <is>
          <t>NED</t>
        </is>
      </c>
      <c r="BJ14" s="1402" t="n">
        <v>1984</v>
      </c>
      <c r="BK14" s="1400">
        <f>BI14</f>
        <v/>
      </c>
      <c r="BL14" s="1409">
        <f>BJ14</f>
        <v/>
      </c>
      <c r="BM14" s="1378" t="inlineStr">
        <is>
          <t>.</t>
        </is>
      </c>
      <c r="BN14" s="1402" t="inlineStr">
        <is>
          <t>N</t>
        </is>
      </c>
      <c r="BO14" s="1400">
        <f>BN14</f>
        <v/>
      </c>
      <c r="BP14" s="1398" t="inlineStr">
        <is>
          <t>.</t>
        </is>
      </c>
      <c r="BQ14" s="1400">
        <f>IF(BR14&lt;&gt;"",BQ13+1,BQ13)</f>
        <v/>
      </c>
      <c r="BR14" s="1411" t="inlineStr">
        <is>
          <t>Manaus</t>
        </is>
      </c>
      <c r="BS14" s="1411" t="inlineStr">
        <is>
          <t>Brasilia</t>
        </is>
      </c>
      <c r="BT14" s="1412" t="inlineStr">
        <is>
          <t>Manaus-Brasilia</t>
        </is>
      </c>
      <c r="BU14" s="1412" t="n">
        <v>29981</v>
      </c>
      <c r="BV14" s="1398" t="inlineStr">
        <is>
          <t>.</t>
        </is>
      </c>
      <c r="BW14" s="1400">
        <f>IF(BX14&lt;&gt;"",BW13+1,BW13)</f>
        <v/>
      </c>
      <c r="BX14" s="1411">
        <f/>
        <v/>
      </c>
      <c r="BY14" s="1413">
        <f/>
        <v/>
      </c>
      <c r="BZ14" s="1413">
        <f/>
        <v/>
      </c>
      <c r="CA14" s="1414">
        <f>BZ14-BY14</f>
        <v/>
      </c>
      <c r="CB14" s="1398" t="inlineStr">
        <is>
          <t>.</t>
        </is>
      </c>
      <c r="CC14" s="1400">
        <f>IF(CD14&lt;&gt;"",CC13+1,CC13)</f>
        <v/>
      </c>
      <c r="CD14" s="1411" t="inlineStr">
        <is>
          <t>Greenfeld</t>
        </is>
      </c>
      <c r="CE14" s="1412" t="n">
        <v>33937</v>
      </c>
      <c r="CF14" s="1412" t="n">
        <v>34029</v>
      </c>
      <c r="CG14" s="1415">
        <f>CF14-CE14</f>
        <v/>
      </c>
      <c r="CH14" s="1398" t="inlineStr">
        <is>
          <t>.</t>
        </is>
      </c>
      <c r="CI14" s="1400">
        <f>IF(CJ14&lt;&gt;"",CI13+1,CI13)</f>
        <v/>
      </c>
      <c r="CJ14" s="1402" t="inlineStr">
        <is>
          <t>Rato/Republica</t>
        </is>
      </c>
      <c r="CK14" s="1391" t="inlineStr">
        <is>
          <t>.</t>
        </is>
      </c>
      <c r="CL14" s="1392" t="n"/>
    </row>
    <row r="15">
      <c r="A15" s="5" t="inlineStr">
        <is>
          <t>.</t>
        </is>
      </c>
      <c r="B15" s="5" t="inlineStr">
        <is>
          <t>.</t>
        </is>
      </c>
      <c r="C15" s="1378">
        <f>IF(raw[[#This Row],[city]]="","-",IF(raw[[#This Row],[city]]="TODAY","-",C14+1))</f>
        <v/>
      </c>
      <c r="D15" s="1393" t="inlineStr">
        <is>
          <t>Petropolis</t>
        </is>
      </c>
      <c r="E15" s="1394" t="n">
        <v>27434</v>
      </c>
      <c r="F15" s="1394" t="n">
        <v>27444</v>
      </c>
      <c r="G15" s="1393" t="inlineStr">
        <is>
          <t>-</t>
        </is>
      </c>
      <c r="H15" s="1393">
        <f>H14</f>
        <v/>
      </c>
      <c r="I15" s="1393" t="inlineStr">
        <is>
          <t>-</t>
        </is>
      </c>
      <c r="J15" s="1393" t="inlineStr">
        <is>
          <t>-</t>
        </is>
      </c>
      <c r="K15" s="1395">
        <f>IF(raw[[#This Row],[city]]&lt;&gt;"",_xlfn.XLOOKUP($D15,ccc[city],ccc[prov],"-"),"-")</f>
        <v/>
      </c>
      <c r="L15" s="1395">
        <f>IF(raw[[#This Row],[city]]&lt;&gt;"",_xlfn.XLOOKUP($D15,ccc[city],ccc[ctry],"-"),"-")</f>
        <v/>
      </c>
      <c r="M15" s="1395">
        <f>IF(raw[[#This Row],[city]]&lt;&gt;"",_xlfn.XLOOKUP($D15,ccc[city],ccc[cont],"-"),"-")</f>
        <v/>
      </c>
      <c r="N15" s="1396">
        <f>IF(raw[[#This Row],[city]]="","-",IF(raw[[#This Row],[cont]]="B",raw[[#This Row],[cont]],"W"))</f>
        <v/>
      </c>
      <c r="O15" s="1397">
        <f>IF(raw[[#This Row],[out]]=0,0,IF(raw[[#This Row],[out]]=raw[[#This Row],[in]],0.01,raw[[#This Row],[out]]-raw[[#This Row],[in]]))</f>
        <v/>
      </c>
      <c r="P15" s="1397">
        <f>IF(raw[[#This Row],[in]]=0,0,MONTH(raw[[#This Row],[in]]))</f>
        <v/>
      </c>
      <c r="Q15" s="1397">
        <f>IF(raw[[#This Row],[in]]=0,0,YEAR(raw[[#This Row],[in]]))</f>
        <v/>
      </c>
      <c r="R15" s="1397">
        <f>INT(raw[[#This Row],[yr]]/10)*10</f>
        <v/>
      </c>
      <c r="S15" s="1395">
        <f>IF(raw[[#This Row],[city]]="","-",IF(raw[[#This Row],[city]]&lt;&gt;_xlfn.XLOOKUP(raw[[#This Row],[home]],homes[home],homes[city],"-"),1,0))</f>
        <v/>
      </c>
      <c r="T15" s="1398" t="inlineStr">
        <is>
          <t>.</t>
        </is>
      </c>
      <c r="U15" s="1399">
        <f>IF(raw[[#This Row],[wb]]="w",raw[[#This Row],[stay]]+U14,U14)</f>
        <v/>
      </c>
      <c r="V15" s="1400">
        <f>IF(raw[[#This Row],[out]]=0,V14,(raw[[#This Row],[out]]-E$5))</f>
        <v/>
      </c>
      <c r="W15" s="1401">
        <f>U15/V15</f>
        <v/>
      </c>
      <c r="X15" s="1378" t="inlineStr">
        <is>
          <t>.</t>
        </is>
      </c>
      <c r="Y15" s="1402">
        <f/>
        <v/>
      </c>
      <c r="Z15" s="1403">
        <f/>
        <v/>
      </c>
      <c r="AA15" s="1403">
        <f/>
        <v/>
      </c>
      <c r="AB15" s="1400">
        <f t="array" ref="AB15">_xlfn.LET(_xlpm.S,_xlfn.ANCHORARRAY($Y$4),_xlpm.r,ROWS(stayCity[[#Headers],[city]]:stayCity[[#This Row],[city]])-1,IF(_xlpm.r&lt;=ROWS(_xlpm.S),INDEX(_xlpm.S,_xlpm.r,1),""))</f>
        <v/>
      </c>
      <c r="AC15" s="1405">
        <f t="array" ref="AC15">_xlfn.LET(_xlpm.S,_xlfn.ANCHORARRAY($Y$4),_xlpm.r,ROWS(stayCity[[#Headers],[city]]:stayCity[[#This Row],[city]])-1,IF(_xlpm.r&lt;=ROWS(_xlpm.S),INDEX(_xlpm.S,_xlpm.r,2),""))</f>
        <v/>
      </c>
      <c r="AD15" s="1405">
        <f t="array" ref="AD15">_xlfn.LET(_xlpm.S,_xlfn.ANCHORARRAY($Y$4),_xlpm.r,ROWS(stayCity[[#Headers],[city]]:stayCity[[#This Row],[city]])-1,IF(_xlpm.r&lt;=ROWS(_xlpm.S),INDEX(_xlpm.S,_xlpm.r,3),""))</f>
        <v/>
      </c>
      <c r="AE15" s="1400">
        <f>IF(stayCity[[#This Row],[out]]&lt;&gt;"",stayCity[[#This Row],[out]]-stayCity[[#This Row],[in]],"-")</f>
        <v/>
      </c>
      <c r="AF15" s="1406">
        <f>IF(Y15="","-",YEAR(stayCity[[#This Row],[in]]))</f>
        <v/>
      </c>
      <c r="AG15" s="1398" t="inlineStr">
        <is>
          <t>.</t>
        </is>
      </c>
      <c r="AH15" s="1402">
        <f/>
        <v/>
      </c>
      <c r="AI15" s="1403">
        <f/>
        <v/>
      </c>
      <c r="AJ15" s="1403">
        <f/>
        <v/>
      </c>
      <c r="AK15" s="1400">
        <f>IF(AH15="","-",AH15)</f>
        <v/>
      </c>
      <c r="AL15" s="1405">
        <f>AI15</f>
        <v/>
      </c>
      <c r="AM15" s="1405">
        <f>AJ15</f>
        <v/>
      </c>
      <c r="AN15" s="1400">
        <f>stayCtry[[#This Row],[out]]-stayCtry[[#This Row],[in]]</f>
        <v/>
      </c>
      <c r="AO15" s="1406">
        <f>IF(AI15&lt;&gt;"",AO14+1,AO14)</f>
        <v/>
      </c>
      <c r="AP15" s="1398" t="inlineStr">
        <is>
          <t>.</t>
        </is>
      </c>
      <c r="AQ15" s="1402">
        <f/>
        <v/>
      </c>
      <c r="AR15" s="1403">
        <f/>
        <v/>
      </c>
      <c r="AS15" s="1403">
        <f/>
        <v/>
      </c>
      <c r="AT15" s="1400">
        <f>AQ15</f>
        <v/>
      </c>
      <c r="AU15" s="1405">
        <f>AR15</f>
        <v/>
      </c>
      <c r="AV15" s="1405">
        <f>AS15</f>
        <v/>
      </c>
      <c r="AW15" s="1400">
        <f>stayCont[[#This Row],[out]]-stayCont[[#This Row],[in]]</f>
        <v/>
      </c>
      <c r="AX15" s="1406">
        <f>IF(AR15&lt;&gt;"",AX14+1,AX14)</f>
        <v/>
      </c>
      <c r="AY15" s="1398" t="inlineStr">
        <is>
          <t>.</t>
        </is>
      </c>
      <c r="AZ15" s="1402">
        <f/>
        <v/>
      </c>
      <c r="BA15" s="1403">
        <f/>
        <v/>
      </c>
      <c r="BB15" s="1403">
        <f/>
        <v/>
      </c>
      <c r="BC15" s="1405">
        <f>AZ15</f>
        <v/>
      </c>
      <c r="BD15" s="1405">
        <f>BA15</f>
        <v/>
      </c>
      <c r="BE15" s="1405">
        <f>BB15</f>
        <v/>
      </c>
      <c r="BF15" s="1400">
        <f>stayWB[[#This Row],[out]]-stayWB[[#This Row],[in]]</f>
        <v/>
      </c>
      <c r="BG15" s="1400">
        <f>IF(BB15&lt;&gt;"",BG14+1,BG14)</f>
        <v/>
      </c>
      <c r="BH15" s="1398" t="inlineStr">
        <is>
          <t>.</t>
        </is>
      </c>
      <c r="BI15" s="1402" t="inlineStr">
        <is>
          <t>FRA</t>
        </is>
      </c>
      <c r="BJ15" s="1402" t="n">
        <v>1984</v>
      </c>
      <c r="BK15" s="1400">
        <f>BI15</f>
        <v/>
      </c>
      <c r="BL15" s="1409">
        <f>BJ15</f>
        <v/>
      </c>
      <c r="BM15" s="1378" t="inlineStr">
        <is>
          <t>.</t>
        </is>
      </c>
      <c r="BN15" s="1402" t="inlineStr">
        <is>
          <t>Z</t>
        </is>
      </c>
      <c r="BO15" s="1400">
        <f>BN15</f>
        <v/>
      </c>
      <c r="BP15" s="1398" t="inlineStr">
        <is>
          <t>.</t>
        </is>
      </c>
      <c r="BQ15" s="1400">
        <f>IF(BR15&lt;&gt;"",BQ14+1,BQ14)</f>
        <v/>
      </c>
      <c r="BR15" s="1411" t="inlineStr">
        <is>
          <t>Brasilia</t>
        </is>
      </c>
      <c r="BS15" s="1411" t="inlineStr">
        <is>
          <t>SSA</t>
        </is>
      </c>
      <c r="BT15" s="1412" t="inlineStr">
        <is>
          <t>Brasilia-SSA</t>
        </is>
      </c>
      <c r="BU15" s="1412" t="n">
        <v>29982</v>
      </c>
      <c r="BV15" s="1398" t="inlineStr">
        <is>
          <t>.</t>
        </is>
      </c>
      <c r="BW15" s="1400">
        <f>IF(BX15&lt;&gt;"",BW14+1,BW14)</f>
        <v/>
      </c>
      <c r="BX15" s="1411">
        <f/>
        <v/>
      </c>
      <c r="BY15" s="1413">
        <f/>
        <v/>
      </c>
      <c r="BZ15" s="1413">
        <f/>
        <v/>
      </c>
      <c r="CA15" s="1414">
        <f>BZ15-BY15</f>
        <v/>
      </c>
      <c r="CB15" s="1398" t="inlineStr">
        <is>
          <t>.</t>
        </is>
      </c>
      <c r="CC15" s="1400">
        <f>IF(CD15&lt;&gt;"",CC14+1,CC14)</f>
        <v/>
      </c>
      <c r="CD15" s="1411" t="inlineStr">
        <is>
          <t>Meier</t>
        </is>
      </c>
      <c r="CE15" s="1412" t="n">
        <v>34123</v>
      </c>
      <c r="CF15" s="1412" t="n">
        <v>34126</v>
      </c>
      <c r="CG15" s="1415">
        <f>CF15-CE15</f>
        <v/>
      </c>
      <c r="CH15" s="1398" t="inlineStr">
        <is>
          <t>.</t>
        </is>
      </c>
      <c r="CI15" s="1400">
        <f>IF(CJ15&lt;&gt;"",CI14+1,CI14)</f>
        <v/>
      </c>
      <c r="CJ15" s="1402" t="inlineStr">
        <is>
          <t>CS</t>
        </is>
      </c>
      <c r="CK15" s="1391" t="inlineStr">
        <is>
          <t>.</t>
        </is>
      </c>
      <c r="CL15" s="1392" t="n"/>
    </row>
    <row r="16">
      <c r="A16" s="5" t="inlineStr">
        <is>
          <t>.</t>
        </is>
      </c>
      <c r="B16" s="5" t="inlineStr">
        <is>
          <t>.</t>
        </is>
      </c>
      <c r="C16" s="1378">
        <f>IF(raw[[#This Row],[city]]="","-",IF(raw[[#This Row],[city]]="TODAY","-",C15+1))</f>
        <v/>
      </c>
      <c r="D16" s="1393" t="inlineStr">
        <is>
          <t>Rio</t>
        </is>
      </c>
      <c r="E16" s="1394" t="n">
        <v>27444</v>
      </c>
      <c r="F16" s="1394" t="n">
        <v>27449</v>
      </c>
      <c r="G16" s="1393" t="inlineStr">
        <is>
          <t>-</t>
        </is>
      </c>
      <c r="H16" s="1393">
        <f>H15</f>
        <v/>
      </c>
      <c r="I16" s="1393" t="inlineStr">
        <is>
          <t>-</t>
        </is>
      </c>
      <c r="J16" s="1393" t="inlineStr">
        <is>
          <t>-</t>
        </is>
      </c>
      <c r="K16" s="1395">
        <f>IF(raw[[#This Row],[city]]&lt;&gt;"",_xlfn.XLOOKUP($D16,ccc[city],ccc[prov],"-"),"-")</f>
        <v/>
      </c>
      <c r="L16" s="1395">
        <f>IF(raw[[#This Row],[city]]&lt;&gt;"",_xlfn.XLOOKUP($D16,ccc[city],ccc[ctry],"-"),"-")</f>
        <v/>
      </c>
      <c r="M16" s="1395">
        <f>IF(raw[[#This Row],[city]]&lt;&gt;"",_xlfn.XLOOKUP($D16,ccc[city],ccc[cont],"-"),"-")</f>
        <v/>
      </c>
      <c r="N16" s="1396">
        <f>IF(raw[[#This Row],[city]]="","-",IF(raw[[#This Row],[cont]]="B",raw[[#This Row],[cont]],"W"))</f>
        <v/>
      </c>
      <c r="O16" s="1397">
        <f>IF(raw[[#This Row],[out]]=0,0,IF(raw[[#This Row],[out]]=raw[[#This Row],[in]],0.01,raw[[#This Row],[out]]-raw[[#This Row],[in]]))</f>
        <v/>
      </c>
      <c r="P16" s="1397">
        <f>IF(raw[[#This Row],[in]]=0,0,MONTH(raw[[#This Row],[in]]))</f>
        <v/>
      </c>
      <c r="Q16" s="1397">
        <f>IF(raw[[#This Row],[in]]=0,0,YEAR(raw[[#This Row],[in]]))</f>
        <v/>
      </c>
      <c r="R16" s="1397">
        <f>INT(raw[[#This Row],[yr]]/10)*10</f>
        <v/>
      </c>
      <c r="S16" s="1395">
        <f>IF(raw[[#This Row],[city]]="","-",IF(raw[[#This Row],[city]]&lt;&gt;_xlfn.XLOOKUP(raw[[#This Row],[home]],homes[home],homes[city],"-"),1,0))</f>
        <v/>
      </c>
      <c r="T16" s="1398" t="inlineStr">
        <is>
          <t>.</t>
        </is>
      </c>
      <c r="U16" s="1399">
        <f>IF(raw[[#This Row],[wb]]="w",raw[[#This Row],[stay]]+U15,U15)</f>
        <v/>
      </c>
      <c r="V16" s="1400">
        <f>IF(raw[[#This Row],[out]]=0,V15,(raw[[#This Row],[out]]-E$5))</f>
        <v/>
      </c>
      <c r="W16" s="1401">
        <f>U16/V16</f>
        <v/>
      </c>
      <c r="X16" s="1378" t="inlineStr">
        <is>
          <t>.</t>
        </is>
      </c>
      <c r="Y16" s="1402">
        <f/>
        <v/>
      </c>
      <c r="Z16" s="1403">
        <f/>
        <v/>
      </c>
      <c r="AA16" s="1403">
        <f/>
        <v/>
      </c>
      <c r="AB16" s="1400">
        <f t="array" ref="AB16">_xlfn.LET(_xlpm.S,_xlfn.ANCHORARRAY($Y$4),_xlpm.r,ROWS(stayCity[[#Headers],[city]]:stayCity[[#This Row],[city]])-1,IF(_xlpm.r&lt;=ROWS(_xlpm.S),INDEX(_xlpm.S,_xlpm.r,1),""))</f>
        <v/>
      </c>
      <c r="AC16" s="1405">
        <f t="array" ref="AC16">_xlfn.LET(_xlpm.S,_xlfn.ANCHORARRAY($Y$4),_xlpm.r,ROWS(stayCity[[#Headers],[city]]:stayCity[[#This Row],[city]])-1,IF(_xlpm.r&lt;=ROWS(_xlpm.S),INDEX(_xlpm.S,_xlpm.r,2),""))</f>
        <v/>
      </c>
      <c r="AD16" s="1405">
        <f t="array" ref="AD16">_xlfn.LET(_xlpm.S,_xlfn.ANCHORARRAY($Y$4),_xlpm.r,ROWS(stayCity[[#Headers],[city]]:stayCity[[#This Row],[city]])-1,IF(_xlpm.r&lt;=ROWS(_xlpm.S),INDEX(_xlpm.S,_xlpm.r,3),""))</f>
        <v/>
      </c>
      <c r="AE16" s="1400">
        <f>IF(stayCity[[#This Row],[out]]&lt;&gt;"",stayCity[[#This Row],[out]]-stayCity[[#This Row],[in]],"-")</f>
        <v/>
      </c>
      <c r="AF16" s="1406">
        <f>IF(Y16="","-",YEAR(stayCity[[#This Row],[in]]))</f>
        <v/>
      </c>
      <c r="AG16" s="1398" t="inlineStr">
        <is>
          <t>.</t>
        </is>
      </c>
      <c r="AH16" s="1402">
        <f/>
        <v/>
      </c>
      <c r="AI16" s="1403">
        <f/>
        <v/>
      </c>
      <c r="AJ16" s="1403">
        <f/>
        <v/>
      </c>
      <c r="AK16" s="1400">
        <f>IF(AH16="","-",AH16)</f>
        <v/>
      </c>
      <c r="AL16" s="1405">
        <f>AI16</f>
        <v/>
      </c>
      <c r="AM16" s="1405">
        <f>AJ16</f>
        <v/>
      </c>
      <c r="AN16" s="1400">
        <f>stayCtry[[#This Row],[out]]-stayCtry[[#This Row],[in]]</f>
        <v/>
      </c>
      <c r="AO16" s="1406">
        <f>IF(AI16&lt;&gt;"",AO15+1,AO15)</f>
        <v/>
      </c>
      <c r="AP16" s="1398" t="inlineStr">
        <is>
          <t>.</t>
        </is>
      </c>
      <c r="AQ16" s="1402">
        <f/>
        <v/>
      </c>
      <c r="AR16" s="1403">
        <f/>
        <v/>
      </c>
      <c r="AS16" s="1403">
        <f/>
        <v/>
      </c>
      <c r="AT16" s="1400">
        <f>AQ16</f>
        <v/>
      </c>
      <c r="AU16" s="1405">
        <f>AR16</f>
        <v/>
      </c>
      <c r="AV16" s="1405">
        <f>AS16</f>
        <v/>
      </c>
      <c r="AW16" s="1400">
        <f>stayCont[[#This Row],[out]]-stayCont[[#This Row],[in]]</f>
        <v/>
      </c>
      <c r="AX16" s="1406">
        <f>IF(AR16&lt;&gt;"",AX15+1,AX15)</f>
        <v/>
      </c>
      <c r="AY16" s="1398" t="inlineStr">
        <is>
          <t>.</t>
        </is>
      </c>
      <c r="AZ16" s="1402">
        <f/>
        <v/>
      </c>
      <c r="BA16" s="1403">
        <f/>
        <v/>
      </c>
      <c r="BB16" s="1403">
        <f/>
        <v/>
      </c>
      <c r="BC16" s="1405">
        <f>AZ16</f>
        <v/>
      </c>
      <c r="BD16" s="1405">
        <f>BA16</f>
        <v/>
      </c>
      <c r="BE16" s="1405">
        <f>BB16</f>
        <v/>
      </c>
      <c r="BF16" s="1400">
        <f>stayWB[[#This Row],[out]]-stayWB[[#This Row],[in]]</f>
        <v/>
      </c>
      <c r="BG16" s="1400">
        <f>IF(BB16&lt;&gt;"",BG15+1,BG15)</f>
        <v/>
      </c>
      <c r="BH16" s="1398" t="inlineStr">
        <is>
          <t>.</t>
        </is>
      </c>
      <c r="BI16" s="1402" t="inlineStr">
        <is>
          <t>UK</t>
        </is>
      </c>
      <c r="BJ16" s="1402" t="n">
        <v>1984</v>
      </c>
      <c r="BK16" s="1400">
        <f>BI16</f>
        <v/>
      </c>
      <c r="BL16" s="1409">
        <f>BJ16</f>
        <v/>
      </c>
      <c r="BM16" s="1378" t="inlineStr">
        <is>
          <t>.</t>
        </is>
      </c>
      <c r="BN16" s="1402" t="inlineStr">
        <is>
          <t>B</t>
        </is>
      </c>
      <c r="BO16" s="1400">
        <f>BN16</f>
        <v/>
      </c>
      <c r="BP16" s="1398" t="inlineStr">
        <is>
          <t>.</t>
        </is>
      </c>
      <c r="BQ16" s="1400">
        <f>IF(BR16&lt;&gt;"",BQ15+1,BQ15)</f>
        <v/>
      </c>
      <c r="BR16" s="1411" t="inlineStr">
        <is>
          <t>SSA</t>
        </is>
      </c>
      <c r="BS16" s="1411" t="inlineStr">
        <is>
          <t>Lisbon</t>
        </is>
      </c>
      <c r="BT16" s="1412" t="inlineStr">
        <is>
          <t>SSA-Lisbon</t>
        </is>
      </c>
      <c r="BU16" s="1412" t="n">
        <v>30713</v>
      </c>
      <c r="BV16" s="1398" t="inlineStr">
        <is>
          <t>.</t>
        </is>
      </c>
      <c r="BW16" s="1400">
        <f>IF(BX16&lt;&gt;"",BW15+1,BW15)</f>
        <v/>
      </c>
      <c r="BX16" s="1411">
        <f/>
        <v/>
      </c>
      <c r="BY16" s="1413">
        <f/>
        <v/>
      </c>
      <c r="BZ16" s="1413">
        <f/>
        <v/>
      </c>
      <c r="CA16" s="1414">
        <f>BZ16-BY16</f>
        <v/>
      </c>
      <c r="CB16" s="1398" t="inlineStr">
        <is>
          <t>.</t>
        </is>
      </c>
      <c r="CC16" s="1400">
        <f>IF(CD16&lt;&gt;"",CC15+1,CC15)</f>
        <v/>
      </c>
      <c r="CD16" s="1411" t="inlineStr">
        <is>
          <t>Meier</t>
        </is>
      </c>
      <c r="CE16" s="1412" t="n">
        <v>34131</v>
      </c>
      <c r="CF16" s="1412" t="n">
        <v>34135</v>
      </c>
      <c r="CG16" s="1415">
        <f>CF16-CE16</f>
        <v/>
      </c>
      <c r="CH16" s="1398" t="inlineStr">
        <is>
          <t>.</t>
        </is>
      </c>
      <c r="CI16" s="1400">
        <f>IF(CJ16&lt;&gt;"",CI15+1,CI15)</f>
        <v/>
      </c>
      <c r="CJ16" s="1402" t="inlineStr">
        <is>
          <t>Hampstead</t>
        </is>
      </c>
      <c r="CK16" s="1391" t="inlineStr">
        <is>
          <t>.</t>
        </is>
      </c>
      <c r="CL16" s="1392" t="n"/>
    </row>
    <row r="17">
      <c r="A17" s="5" t="inlineStr">
        <is>
          <t>.</t>
        </is>
      </c>
      <c r="B17" s="5" t="inlineStr">
        <is>
          <t>.</t>
        </is>
      </c>
      <c r="C17" s="1378">
        <f>IF(raw[[#This Row],[city]]="","-",IF(raw[[#This Row],[city]]="TODAY","-",C16+1))</f>
        <v/>
      </c>
      <c r="D17" s="1393" t="inlineStr">
        <is>
          <t>ROAD</t>
        </is>
      </c>
      <c r="E17" s="1394" t="n">
        <v>27449</v>
      </c>
      <c r="F17" s="1394" t="n">
        <v>27450</v>
      </c>
      <c r="G17" s="1393" t="inlineStr">
        <is>
          <t>-</t>
        </is>
      </c>
      <c r="H17" s="1393">
        <f>H16</f>
        <v/>
      </c>
      <c r="I17" s="1393" t="inlineStr">
        <is>
          <t>-</t>
        </is>
      </c>
      <c r="J17" s="1393" t="inlineStr">
        <is>
          <t>-</t>
        </is>
      </c>
      <c r="K17" s="1395">
        <f>IF(raw[[#This Row],[city]]&lt;&gt;"",_xlfn.XLOOKUP($D17,ccc[city],ccc[prov],"-"),"-")</f>
        <v/>
      </c>
      <c r="L17" s="1395">
        <f>IF(raw[[#This Row],[city]]&lt;&gt;"",_xlfn.XLOOKUP($D17,ccc[city],ccc[ctry],"-"),"-")</f>
        <v/>
      </c>
      <c r="M17" s="1395">
        <f>IF(raw[[#This Row],[city]]&lt;&gt;"",_xlfn.XLOOKUP($D17,ccc[city],ccc[cont],"-"),"-")</f>
        <v/>
      </c>
      <c r="N17" s="1396">
        <f>IF(raw[[#This Row],[city]]="","-",IF(raw[[#This Row],[cont]]="B",raw[[#This Row],[cont]],"W"))</f>
        <v/>
      </c>
      <c r="O17" s="1397">
        <f>IF(raw[[#This Row],[out]]=0,0,IF(raw[[#This Row],[out]]=raw[[#This Row],[in]],0.01,raw[[#This Row],[out]]-raw[[#This Row],[in]]))</f>
        <v/>
      </c>
      <c r="P17" s="1397">
        <f>IF(raw[[#This Row],[in]]=0,0,MONTH(raw[[#This Row],[in]]))</f>
        <v/>
      </c>
      <c r="Q17" s="1397">
        <f>IF(raw[[#This Row],[in]]=0,0,YEAR(raw[[#This Row],[in]]))</f>
        <v/>
      </c>
      <c r="R17" s="1397">
        <f>INT(raw[[#This Row],[yr]]/10)*10</f>
        <v/>
      </c>
      <c r="S17" s="1395">
        <f>IF(raw[[#This Row],[city]]="","-",IF(raw[[#This Row],[city]]&lt;&gt;_xlfn.XLOOKUP(raw[[#This Row],[home]],homes[home],homes[city],"-"),1,0))</f>
        <v/>
      </c>
      <c r="T17" s="1398" t="inlineStr">
        <is>
          <t>.</t>
        </is>
      </c>
      <c r="U17" s="1399">
        <f>IF(raw[[#This Row],[wb]]="w",raw[[#This Row],[stay]]+U16,U16)</f>
        <v/>
      </c>
      <c r="V17" s="1400">
        <f>IF(raw[[#This Row],[out]]=0,V16,(raw[[#This Row],[out]]-E$5))</f>
        <v/>
      </c>
      <c r="W17" s="1401">
        <f>U17/V17</f>
        <v/>
      </c>
      <c r="X17" s="1378" t="inlineStr">
        <is>
          <t>.</t>
        </is>
      </c>
      <c r="Y17" s="1402">
        <f/>
        <v/>
      </c>
      <c r="Z17" s="1403">
        <f/>
        <v/>
      </c>
      <c r="AA17" s="1403">
        <f/>
        <v/>
      </c>
      <c r="AB17" s="1400">
        <f t="array" ref="AB17">_xlfn.LET(_xlpm.S,_xlfn.ANCHORARRAY($Y$4),_xlpm.r,ROWS(stayCity[[#Headers],[city]]:stayCity[[#This Row],[city]])-1,IF(_xlpm.r&lt;=ROWS(_xlpm.S),INDEX(_xlpm.S,_xlpm.r,1),""))</f>
        <v/>
      </c>
      <c r="AC17" s="1405">
        <f t="array" ref="AC17">_xlfn.LET(_xlpm.S,_xlfn.ANCHORARRAY($Y$4),_xlpm.r,ROWS(stayCity[[#Headers],[city]]:stayCity[[#This Row],[city]])-1,IF(_xlpm.r&lt;=ROWS(_xlpm.S),INDEX(_xlpm.S,_xlpm.r,2),""))</f>
        <v/>
      </c>
      <c r="AD17" s="1405">
        <f t="array" ref="AD17">_xlfn.LET(_xlpm.S,_xlfn.ANCHORARRAY($Y$4),_xlpm.r,ROWS(stayCity[[#Headers],[city]]:stayCity[[#This Row],[city]])-1,IF(_xlpm.r&lt;=ROWS(_xlpm.S),INDEX(_xlpm.S,_xlpm.r,3),""))</f>
        <v/>
      </c>
      <c r="AE17" s="1400">
        <f>IF(stayCity[[#This Row],[out]]&lt;&gt;"",stayCity[[#This Row],[out]]-stayCity[[#This Row],[in]],"-")</f>
        <v/>
      </c>
      <c r="AF17" s="1406">
        <f>IF(Y17="","-",YEAR(stayCity[[#This Row],[in]]))</f>
        <v/>
      </c>
      <c r="AG17" s="1398" t="inlineStr">
        <is>
          <t>.</t>
        </is>
      </c>
      <c r="AH17" s="1402">
        <f/>
        <v/>
      </c>
      <c r="AI17" s="1403">
        <f/>
        <v/>
      </c>
      <c r="AJ17" s="1403">
        <f/>
        <v/>
      </c>
      <c r="AK17" s="1400">
        <f>IF(AH17="","-",AH17)</f>
        <v/>
      </c>
      <c r="AL17" s="1405">
        <f>AI17</f>
        <v/>
      </c>
      <c r="AM17" s="1405">
        <f>AJ17</f>
        <v/>
      </c>
      <c r="AN17" s="1400">
        <f>stayCtry[[#This Row],[out]]-stayCtry[[#This Row],[in]]</f>
        <v/>
      </c>
      <c r="AO17" s="1406">
        <f>IF(AI17&lt;&gt;"",AO16+1,AO16)</f>
        <v/>
      </c>
      <c r="AP17" s="1398" t="inlineStr">
        <is>
          <t>.</t>
        </is>
      </c>
      <c r="AQ17" s="1402">
        <f/>
        <v/>
      </c>
      <c r="AR17" s="1403">
        <f/>
        <v/>
      </c>
      <c r="AS17" s="1403">
        <f/>
        <v/>
      </c>
      <c r="AT17" s="1400">
        <f>AQ17</f>
        <v/>
      </c>
      <c r="AU17" s="1405">
        <f>AR17</f>
        <v/>
      </c>
      <c r="AV17" s="1405">
        <f>AS17</f>
        <v/>
      </c>
      <c r="AW17" s="1400">
        <f>stayCont[[#This Row],[out]]-stayCont[[#This Row],[in]]</f>
        <v/>
      </c>
      <c r="AX17" s="1406">
        <f>IF(AR17&lt;&gt;"",AX16+1,AX16)</f>
        <v/>
      </c>
      <c r="AY17" s="1398" t="inlineStr">
        <is>
          <t>.</t>
        </is>
      </c>
      <c r="AZ17" s="1402">
        <f/>
        <v/>
      </c>
      <c r="BA17" s="1403">
        <f/>
        <v/>
      </c>
      <c r="BB17" s="1403">
        <f/>
        <v/>
      </c>
      <c r="BC17" s="1405">
        <f>AZ17</f>
        <v/>
      </c>
      <c r="BD17" s="1405">
        <f>BA17</f>
        <v/>
      </c>
      <c r="BE17" s="1405">
        <f>BB17</f>
        <v/>
      </c>
      <c r="BF17" s="1400">
        <f>stayWB[[#This Row],[out]]-stayWB[[#This Row],[in]]</f>
        <v/>
      </c>
      <c r="BG17" s="1400">
        <f>IF(BB17&lt;&gt;"",BG16+1,BG16)</f>
        <v/>
      </c>
      <c r="BH17" s="1398" t="inlineStr">
        <is>
          <t>.</t>
        </is>
      </c>
      <c r="BI17" s="1402" t="inlineStr">
        <is>
          <t>USA</t>
        </is>
      </c>
      <c r="BJ17" s="1402" t="n">
        <v>1984</v>
      </c>
      <c r="BK17" s="1400">
        <f>BI17</f>
        <v/>
      </c>
      <c r="BL17" s="1409">
        <f>BJ17</f>
        <v/>
      </c>
      <c r="BM17" s="1378" t="inlineStr">
        <is>
          <t>.</t>
        </is>
      </c>
      <c r="BN17" s="1402" t="inlineStr">
        <is>
          <t>Z</t>
        </is>
      </c>
      <c r="BO17" s="1400">
        <f>BN17</f>
        <v/>
      </c>
      <c r="BP17" s="1398" t="inlineStr">
        <is>
          <t>.</t>
        </is>
      </c>
      <c r="BQ17" s="1400">
        <f>IF(BR17&lt;&gt;"",BQ16+1,BQ16)</f>
        <v/>
      </c>
      <c r="BR17" s="1411" t="inlineStr">
        <is>
          <t>Lisbon</t>
        </is>
      </c>
      <c r="BS17" s="1411" t="inlineStr">
        <is>
          <t>Rome</t>
        </is>
      </c>
      <c r="BT17" s="1412" t="inlineStr">
        <is>
          <t>Lisbon-Rome</t>
        </is>
      </c>
      <c r="BU17" s="1412" t="n">
        <v>30714</v>
      </c>
      <c r="BV17" s="1398" t="inlineStr">
        <is>
          <t>.</t>
        </is>
      </c>
      <c r="BW17" s="1400">
        <f>IF(BX17&lt;&gt;"",BW16+1,BW16)</f>
        <v/>
      </c>
      <c r="BX17" s="1411">
        <f/>
        <v/>
      </c>
      <c r="BY17" s="1413">
        <f/>
        <v/>
      </c>
      <c r="BZ17" s="1413">
        <f/>
        <v/>
      </c>
      <c r="CA17" s="1414">
        <f>BZ17-BY17</f>
        <v/>
      </c>
      <c r="CB17" s="1398" t="inlineStr">
        <is>
          <t>.</t>
        </is>
      </c>
      <c r="CC17" s="1400">
        <f>IF(CD17&lt;&gt;"",CC16+1,CC16)</f>
        <v/>
      </c>
      <c r="CD17" s="1411" t="inlineStr">
        <is>
          <t>Meier</t>
        </is>
      </c>
      <c r="CE17" s="1412" t="n">
        <v>34140</v>
      </c>
      <c r="CF17" s="1412" t="n">
        <v>34148</v>
      </c>
      <c r="CG17" s="1415">
        <f>CF17-CE17</f>
        <v/>
      </c>
      <c r="CH17" s="1398" t="inlineStr">
        <is>
          <t>.</t>
        </is>
      </c>
      <c r="CI17" s="1400">
        <f>IF(CJ17&lt;&gt;"",CI16+1,CI16)</f>
        <v/>
      </c>
      <c r="CJ17" s="1402" t="inlineStr">
        <is>
          <t>Mauricio</t>
        </is>
      </c>
      <c r="CK17" s="1391" t="inlineStr">
        <is>
          <t>.</t>
        </is>
      </c>
      <c r="CL17" s="1392" t="n"/>
    </row>
    <row r="18">
      <c r="A18" s="5" t="inlineStr">
        <is>
          <t>.</t>
        </is>
      </c>
      <c r="B18" s="5" t="inlineStr">
        <is>
          <t>.</t>
        </is>
      </c>
      <c r="C18" s="1378">
        <f>IF(raw[[#This Row],[city]]="","-",IF(raw[[#This Row],[city]]="TODAY","-",C17+1))</f>
        <v/>
      </c>
      <c r="D18" s="1393" t="inlineStr">
        <is>
          <t>SSA</t>
        </is>
      </c>
      <c r="E18" s="1394" t="n">
        <v>27450</v>
      </c>
      <c r="F18" s="1394" t="n">
        <v>27748</v>
      </c>
      <c r="G18" s="1393" t="inlineStr">
        <is>
          <t>-</t>
        </is>
      </c>
      <c r="H18" s="1393">
        <f>H17</f>
        <v/>
      </c>
      <c r="I18" s="1393" t="inlineStr">
        <is>
          <t>-</t>
        </is>
      </c>
      <c r="J18" s="1393" t="inlineStr">
        <is>
          <t>-</t>
        </is>
      </c>
      <c r="K18" s="1395">
        <f>IF(raw[[#This Row],[city]]&lt;&gt;"",_xlfn.XLOOKUP($D18,ccc[city],ccc[prov],"-"),"-")</f>
        <v/>
      </c>
      <c r="L18" s="1395">
        <f>IF(raw[[#This Row],[city]]&lt;&gt;"",_xlfn.XLOOKUP($D18,ccc[city],ccc[ctry],"-"),"-")</f>
        <v/>
      </c>
      <c r="M18" s="1395">
        <f>IF(raw[[#This Row],[city]]&lt;&gt;"",_xlfn.XLOOKUP($D18,ccc[city],ccc[cont],"-"),"-")</f>
        <v/>
      </c>
      <c r="N18" s="1396">
        <f>IF(raw[[#This Row],[city]]="","-",IF(raw[[#This Row],[cont]]="B",raw[[#This Row],[cont]],"W"))</f>
        <v/>
      </c>
      <c r="O18" s="1397">
        <f>IF(raw[[#This Row],[out]]=0,0,IF(raw[[#This Row],[out]]=raw[[#This Row],[in]],0.01,raw[[#This Row],[out]]-raw[[#This Row],[in]]))</f>
        <v/>
      </c>
      <c r="P18" s="1397">
        <f>IF(raw[[#This Row],[in]]=0,0,MONTH(raw[[#This Row],[in]]))</f>
        <v/>
      </c>
      <c r="Q18" s="1397">
        <f>IF(raw[[#This Row],[in]]=0,0,YEAR(raw[[#This Row],[in]]))</f>
        <v/>
      </c>
      <c r="R18" s="1397">
        <f>INT(raw[[#This Row],[yr]]/10)*10</f>
        <v/>
      </c>
      <c r="S18" s="1395">
        <f>IF(raw[[#This Row],[city]]="","-",IF(raw[[#This Row],[city]]&lt;&gt;_xlfn.XLOOKUP(raw[[#This Row],[home]],homes[home],homes[city],"-"),1,0))</f>
        <v/>
      </c>
      <c r="T18" s="1398" t="inlineStr">
        <is>
          <t>.</t>
        </is>
      </c>
      <c r="U18" s="1399">
        <f>IF(raw[[#This Row],[wb]]="w",raw[[#This Row],[stay]]+U17,U17)</f>
        <v/>
      </c>
      <c r="V18" s="1400">
        <f>IF(raw[[#This Row],[out]]=0,V17,(raw[[#This Row],[out]]-E$5))</f>
        <v/>
      </c>
      <c r="W18" s="1401">
        <f>U18/V18</f>
        <v/>
      </c>
      <c r="X18" s="1378" t="inlineStr">
        <is>
          <t>.</t>
        </is>
      </c>
      <c r="Y18" s="1402">
        <f/>
        <v/>
      </c>
      <c r="Z18" s="1403">
        <f/>
        <v/>
      </c>
      <c r="AA18" s="1403">
        <f/>
        <v/>
      </c>
      <c r="AB18" s="1400">
        <f t="array" ref="AB18">_xlfn.LET(_xlpm.S,_xlfn.ANCHORARRAY($Y$4),_xlpm.r,ROWS(stayCity[[#Headers],[city]]:stayCity[[#This Row],[city]])-1,IF(_xlpm.r&lt;=ROWS(_xlpm.S),INDEX(_xlpm.S,_xlpm.r,1),""))</f>
        <v/>
      </c>
      <c r="AC18" s="1405">
        <f t="array" ref="AC18">_xlfn.LET(_xlpm.S,_xlfn.ANCHORARRAY($Y$4),_xlpm.r,ROWS(stayCity[[#Headers],[city]]:stayCity[[#This Row],[city]])-1,IF(_xlpm.r&lt;=ROWS(_xlpm.S),INDEX(_xlpm.S,_xlpm.r,2),""))</f>
        <v/>
      </c>
      <c r="AD18" s="1405">
        <f t="array" ref="AD18">_xlfn.LET(_xlpm.S,_xlfn.ANCHORARRAY($Y$4),_xlpm.r,ROWS(stayCity[[#Headers],[city]]:stayCity[[#This Row],[city]])-1,IF(_xlpm.r&lt;=ROWS(_xlpm.S),INDEX(_xlpm.S,_xlpm.r,3),""))</f>
        <v/>
      </c>
      <c r="AE18" s="1400">
        <f>IF(stayCity[[#This Row],[out]]&lt;&gt;"",stayCity[[#This Row],[out]]-stayCity[[#This Row],[in]],"-")</f>
        <v/>
      </c>
      <c r="AF18" s="1406">
        <f>IF(Y18="","-",YEAR(stayCity[[#This Row],[in]]))</f>
        <v/>
      </c>
      <c r="AG18" s="1398" t="inlineStr">
        <is>
          <t>.</t>
        </is>
      </c>
      <c r="AH18" s="1402">
        <f/>
        <v/>
      </c>
      <c r="AI18" s="1403">
        <f/>
        <v/>
      </c>
      <c r="AJ18" s="1403">
        <f/>
        <v/>
      </c>
      <c r="AK18" s="1400">
        <f>IF(AH18="","-",AH18)</f>
        <v/>
      </c>
      <c r="AL18" s="1405">
        <f>AI18</f>
        <v/>
      </c>
      <c r="AM18" s="1405">
        <f>AJ18</f>
        <v/>
      </c>
      <c r="AN18" s="1400">
        <f>stayCtry[[#This Row],[out]]-stayCtry[[#This Row],[in]]</f>
        <v/>
      </c>
      <c r="AO18" s="1406">
        <f>IF(AI18&lt;&gt;"",AO17+1,AO17)</f>
        <v/>
      </c>
      <c r="AP18" s="1398" t="inlineStr">
        <is>
          <t>.</t>
        </is>
      </c>
      <c r="AQ18" s="1402">
        <f/>
        <v/>
      </c>
      <c r="AR18" s="1403">
        <f/>
        <v/>
      </c>
      <c r="AS18" s="1403">
        <f/>
        <v/>
      </c>
      <c r="AT18" s="1400">
        <f>AQ18</f>
        <v/>
      </c>
      <c r="AU18" s="1405">
        <f>AR18</f>
        <v/>
      </c>
      <c r="AV18" s="1405">
        <f>AS18</f>
        <v/>
      </c>
      <c r="AW18" s="1400">
        <f>stayCont[[#This Row],[out]]-stayCont[[#This Row],[in]]</f>
        <v/>
      </c>
      <c r="AX18" s="1406">
        <f>IF(AR18&lt;&gt;"",AX17+1,AX17)</f>
        <v/>
      </c>
      <c r="AY18" s="1398" t="inlineStr">
        <is>
          <t>.</t>
        </is>
      </c>
      <c r="AZ18" s="1402">
        <f/>
        <v/>
      </c>
      <c r="BA18" s="1403">
        <f/>
        <v/>
      </c>
      <c r="BB18" s="1403">
        <f/>
        <v/>
      </c>
      <c r="BC18" s="1405">
        <f>AZ18</f>
        <v/>
      </c>
      <c r="BD18" s="1405">
        <f>BA18</f>
        <v/>
      </c>
      <c r="BE18" s="1405">
        <f>BB18</f>
        <v/>
      </c>
      <c r="BF18" s="1400">
        <f>stayWB[[#This Row],[out]]-stayWB[[#This Row],[in]]</f>
        <v/>
      </c>
      <c r="BG18" s="1400">
        <f>IF(BB18&lt;&gt;"",BG17+1,BG17)</f>
        <v/>
      </c>
      <c r="BH18" s="1398" t="inlineStr">
        <is>
          <t>.</t>
        </is>
      </c>
      <c r="BI18" s="1402" t="inlineStr">
        <is>
          <t>BRA</t>
        </is>
      </c>
      <c r="BJ18" s="1402" t="n">
        <v>1984</v>
      </c>
      <c r="BK18" s="1400">
        <f>BI18</f>
        <v/>
      </c>
      <c r="BL18" s="1409">
        <f>BJ18</f>
        <v/>
      </c>
      <c r="BM18" s="1378" t="inlineStr">
        <is>
          <t>.</t>
        </is>
      </c>
      <c r="BN18" s="1402" t="inlineStr">
        <is>
          <t>E</t>
        </is>
      </c>
      <c r="BO18" s="1400">
        <f>BN18</f>
        <v/>
      </c>
      <c r="BP18" s="1398" t="inlineStr">
        <is>
          <t>.</t>
        </is>
      </c>
      <c r="BQ18" s="1400">
        <f>IF(BR18&lt;&gt;"",BQ17+1,BQ17)</f>
        <v/>
      </c>
      <c r="BR18" s="1411" t="inlineStr">
        <is>
          <t>London</t>
        </is>
      </c>
      <c r="BS18" s="1411" t="inlineStr">
        <is>
          <t>NYC</t>
        </is>
      </c>
      <c r="BT18" s="1412" t="inlineStr">
        <is>
          <t>London-NYC</t>
        </is>
      </c>
      <c r="BU18" s="1412" t="n">
        <v>30740</v>
      </c>
      <c r="BV18" s="1398" t="inlineStr">
        <is>
          <t>.</t>
        </is>
      </c>
      <c r="BW18" s="1400">
        <f>IF(BX18&lt;&gt;"",BW17+1,BW17)</f>
        <v/>
      </c>
      <c r="BX18" s="1411">
        <f/>
        <v/>
      </c>
      <c r="BY18" s="1413">
        <f/>
        <v/>
      </c>
      <c r="BZ18" s="1413">
        <f/>
        <v/>
      </c>
      <c r="CA18" s="1414">
        <f>BZ18-BY18</f>
        <v/>
      </c>
      <c r="CB18" s="1398" t="inlineStr">
        <is>
          <t>.</t>
        </is>
      </c>
      <c r="CC18" s="1400">
        <f>IF(CD18&lt;&gt;"",CC17+1,CC17)</f>
        <v/>
      </c>
      <c r="CD18" s="1411" t="inlineStr">
        <is>
          <t>Greenfeld</t>
        </is>
      </c>
      <c r="CE18" s="1412" t="n">
        <v>34151</v>
      </c>
      <c r="CF18" s="1412" t="n">
        <v>34186</v>
      </c>
      <c r="CG18" s="1415">
        <f>CF18-CE18</f>
        <v/>
      </c>
      <c r="CH18" s="1398" t="inlineStr">
        <is>
          <t>.</t>
        </is>
      </c>
      <c r="CI18" s="1400">
        <f>IF(CJ18&lt;&gt;"",CI17+1,CI17)</f>
        <v/>
      </c>
      <c r="CJ18" s="1402" t="inlineStr">
        <is>
          <t>Casa Branca</t>
        </is>
      </c>
      <c r="CK18" s="1391" t="inlineStr">
        <is>
          <t>.</t>
        </is>
      </c>
      <c r="CL18" s="1392" t="n"/>
    </row>
    <row r="19">
      <c r="A19" s="5" t="inlineStr">
        <is>
          <t>.</t>
        </is>
      </c>
      <c r="B19" s="5" t="inlineStr">
        <is>
          <t>.</t>
        </is>
      </c>
      <c r="C19" s="1378">
        <f>IF(raw[[#This Row],[city]]="","-",IF(raw[[#This Row],[city]]="TODAY","-",C18+1))</f>
        <v/>
      </c>
      <c r="D19" s="1393" t="inlineStr">
        <is>
          <t>ROAD</t>
        </is>
      </c>
      <c r="E19" s="1394" t="n">
        <v>27748</v>
      </c>
      <c r="F19" s="1394" t="n">
        <v>27749</v>
      </c>
      <c r="G19" s="1393" t="inlineStr">
        <is>
          <t>-</t>
        </is>
      </c>
      <c r="H19" s="1393">
        <f>H18</f>
        <v/>
      </c>
      <c r="I19" s="1393" t="inlineStr">
        <is>
          <t>-</t>
        </is>
      </c>
      <c r="J19" s="1393" t="inlineStr">
        <is>
          <t>-</t>
        </is>
      </c>
      <c r="K19" s="1395">
        <f>IF(raw[[#This Row],[city]]&lt;&gt;"",_xlfn.XLOOKUP($D19,ccc[city],ccc[prov],"-"),"-")</f>
        <v/>
      </c>
      <c r="L19" s="1395">
        <f>IF(raw[[#This Row],[city]]&lt;&gt;"",_xlfn.XLOOKUP($D19,ccc[city],ccc[ctry],"-"),"-")</f>
        <v/>
      </c>
      <c r="M19" s="1395">
        <f>IF(raw[[#This Row],[city]]&lt;&gt;"",_xlfn.XLOOKUP($D19,ccc[city],ccc[cont],"-"),"-")</f>
        <v/>
      </c>
      <c r="N19" s="1396">
        <f>IF(raw[[#This Row],[city]]="","-",IF(raw[[#This Row],[cont]]="B",raw[[#This Row],[cont]],"W"))</f>
        <v/>
      </c>
      <c r="O19" s="1397">
        <f>IF(raw[[#This Row],[out]]=0,0,IF(raw[[#This Row],[out]]=raw[[#This Row],[in]],0.01,raw[[#This Row],[out]]-raw[[#This Row],[in]]))</f>
        <v/>
      </c>
      <c r="P19" s="1397">
        <f>IF(raw[[#This Row],[in]]=0,0,MONTH(raw[[#This Row],[in]]))</f>
        <v/>
      </c>
      <c r="Q19" s="1397">
        <f>IF(raw[[#This Row],[in]]=0,0,YEAR(raw[[#This Row],[in]]))</f>
        <v/>
      </c>
      <c r="R19" s="1397">
        <f>INT(raw[[#This Row],[yr]]/10)*10</f>
        <v/>
      </c>
      <c r="S19" s="1395">
        <f>IF(raw[[#This Row],[city]]="","-",IF(raw[[#This Row],[city]]&lt;&gt;_xlfn.XLOOKUP(raw[[#This Row],[home]],homes[home],homes[city],"-"),1,0))</f>
        <v/>
      </c>
      <c r="T19" s="1398" t="inlineStr">
        <is>
          <t>.</t>
        </is>
      </c>
      <c r="U19" s="1399">
        <f>IF(raw[[#This Row],[wb]]="w",raw[[#This Row],[stay]]+U18,U18)</f>
        <v/>
      </c>
      <c r="V19" s="1400">
        <f>IF(raw[[#This Row],[out]]=0,V18,(raw[[#This Row],[out]]-E$5))</f>
        <v/>
      </c>
      <c r="W19" s="1401">
        <f>U19/V19</f>
        <v/>
      </c>
      <c r="X19" s="1378" t="inlineStr">
        <is>
          <t>.</t>
        </is>
      </c>
      <c r="Y19" s="1402">
        <f/>
        <v/>
      </c>
      <c r="Z19" s="1403">
        <f/>
        <v/>
      </c>
      <c r="AA19" s="1403">
        <f/>
        <v/>
      </c>
      <c r="AB19" s="1400">
        <f t="array" ref="AB19">_xlfn.LET(_xlpm.S,_xlfn.ANCHORARRAY($Y$4),_xlpm.r,ROWS(stayCity[[#Headers],[city]]:stayCity[[#This Row],[city]])-1,IF(_xlpm.r&lt;=ROWS(_xlpm.S),INDEX(_xlpm.S,_xlpm.r,1),""))</f>
        <v/>
      </c>
      <c r="AC19" s="1405">
        <f t="array" ref="AC19">_xlfn.LET(_xlpm.S,_xlfn.ANCHORARRAY($Y$4),_xlpm.r,ROWS(stayCity[[#Headers],[city]]:stayCity[[#This Row],[city]])-1,IF(_xlpm.r&lt;=ROWS(_xlpm.S),INDEX(_xlpm.S,_xlpm.r,2),""))</f>
        <v/>
      </c>
      <c r="AD19" s="1405">
        <f t="array" ref="AD19">_xlfn.LET(_xlpm.S,_xlfn.ANCHORARRAY($Y$4),_xlpm.r,ROWS(stayCity[[#Headers],[city]]:stayCity[[#This Row],[city]])-1,IF(_xlpm.r&lt;=ROWS(_xlpm.S),INDEX(_xlpm.S,_xlpm.r,3),""))</f>
        <v/>
      </c>
      <c r="AE19" s="1400">
        <f>IF(stayCity[[#This Row],[out]]&lt;&gt;"",stayCity[[#This Row],[out]]-stayCity[[#This Row],[in]],"-")</f>
        <v/>
      </c>
      <c r="AF19" s="1406">
        <f>IF(Y19="","-",YEAR(stayCity[[#This Row],[in]]))</f>
        <v/>
      </c>
      <c r="AG19" s="1398" t="inlineStr">
        <is>
          <t>.</t>
        </is>
      </c>
      <c r="AH19" s="1402">
        <f/>
        <v/>
      </c>
      <c r="AI19" s="1403">
        <f/>
        <v/>
      </c>
      <c r="AJ19" s="1403">
        <f/>
        <v/>
      </c>
      <c r="AK19" s="1400">
        <f>IF(AH19="","-",AH19)</f>
        <v/>
      </c>
      <c r="AL19" s="1405">
        <f>AI19</f>
        <v/>
      </c>
      <c r="AM19" s="1405">
        <f>AJ19</f>
        <v/>
      </c>
      <c r="AN19" s="1400">
        <f>stayCtry[[#This Row],[out]]-stayCtry[[#This Row],[in]]</f>
        <v/>
      </c>
      <c r="AO19" s="1406">
        <f>IF(AI19&lt;&gt;"",AO18+1,AO18)</f>
        <v/>
      </c>
      <c r="AP19" s="1398" t="inlineStr">
        <is>
          <t>.</t>
        </is>
      </c>
      <c r="AQ19" s="1402">
        <f/>
        <v/>
      </c>
      <c r="AR19" s="1403">
        <f/>
        <v/>
      </c>
      <c r="AS19" s="1403">
        <f/>
        <v/>
      </c>
      <c r="AT19" s="1400">
        <f>AQ19</f>
        <v/>
      </c>
      <c r="AU19" s="1405">
        <f>AR19</f>
        <v/>
      </c>
      <c r="AV19" s="1405">
        <f>AS19</f>
        <v/>
      </c>
      <c r="AW19" s="1400">
        <f>stayCont[[#This Row],[out]]-stayCont[[#This Row],[in]]</f>
        <v/>
      </c>
      <c r="AX19" s="1406">
        <f>IF(AR19&lt;&gt;"",AX18+1,AX18)</f>
        <v/>
      </c>
      <c r="AY19" s="1398" t="inlineStr">
        <is>
          <t>.</t>
        </is>
      </c>
      <c r="AZ19" s="1402">
        <f/>
        <v/>
      </c>
      <c r="BA19" s="1403">
        <f/>
        <v/>
      </c>
      <c r="BB19" s="1403">
        <f/>
        <v/>
      </c>
      <c r="BC19" s="1405">
        <f>AZ19</f>
        <v/>
      </c>
      <c r="BD19" s="1405">
        <f>BA19</f>
        <v/>
      </c>
      <c r="BE19" s="1405">
        <f>BB19</f>
        <v/>
      </c>
      <c r="BF19" s="1400">
        <f>stayWB[[#This Row],[out]]-stayWB[[#This Row],[in]]</f>
        <v/>
      </c>
      <c r="BG19" s="1400">
        <f>IF(BB19&lt;&gt;"",BG18+1,BG18)</f>
        <v/>
      </c>
      <c r="BH19" s="1398" t="inlineStr">
        <is>
          <t>.</t>
        </is>
      </c>
      <c r="BI19" s="1402" t="inlineStr">
        <is>
          <t>FRA</t>
        </is>
      </c>
      <c r="BJ19" s="1402" t="n">
        <v>1987</v>
      </c>
      <c r="BK19" s="1400">
        <f>BI19</f>
        <v/>
      </c>
      <c r="BL19" s="1409">
        <f>BJ19</f>
        <v/>
      </c>
      <c r="BM19" s="1378" t="inlineStr">
        <is>
          <t>.</t>
        </is>
      </c>
      <c r="BN19" s="1402" t="inlineStr">
        <is>
          <t>Z</t>
        </is>
      </c>
      <c r="BO19" s="1400">
        <f>BN19</f>
        <v/>
      </c>
      <c r="BP19" s="1398" t="inlineStr">
        <is>
          <t>.</t>
        </is>
      </c>
      <c r="BQ19" s="1400">
        <f>IF(BR19&lt;&gt;"",BQ18+1,BQ18)</f>
        <v/>
      </c>
      <c r="BR19" s="1411" t="inlineStr">
        <is>
          <t>NYC</t>
        </is>
      </c>
      <c r="BS19" s="1411" t="inlineStr">
        <is>
          <t>Washington</t>
        </is>
      </c>
      <c r="BT19" s="1412" t="inlineStr">
        <is>
          <t>NYC-Washington</t>
        </is>
      </c>
      <c r="BU19" s="1412" t="n">
        <v>30745</v>
      </c>
      <c r="BV19" s="1398" t="inlineStr">
        <is>
          <t>.</t>
        </is>
      </c>
      <c r="BW19" s="1400">
        <f>IF(BX19&lt;&gt;"",BW18+1,BW18)</f>
        <v/>
      </c>
      <c r="BX19" s="1411">
        <f/>
        <v/>
      </c>
      <c r="BY19" s="1413">
        <f/>
        <v/>
      </c>
      <c r="BZ19" s="1413">
        <f/>
        <v/>
      </c>
      <c r="CA19" s="1414">
        <f>BZ19-BY19</f>
        <v/>
      </c>
      <c r="CB19" s="1398" t="inlineStr">
        <is>
          <t>.</t>
        </is>
      </c>
      <c r="CC19" s="1400">
        <f>IF(CD19&lt;&gt;"",CC18+1,CC18)</f>
        <v/>
      </c>
      <c r="CD19" s="1411" t="inlineStr">
        <is>
          <t>Greenfeld</t>
        </is>
      </c>
      <c r="CE19" s="1412" t="n">
        <v>34200</v>
      </c>
      <c r="CF19" s="1412" t="n">
        <v>34213</v>
      </c>
      <c r="CG19" s="1415">
        <f>CF19-CE19</f>
        <v/>
      </c>
      <c r="CH19" s="1398" t="inlineStr">
        <is>
          <t>.</t>
        </is>
      </c>
      <c r="CI19" s="1400">
        <f>IF(CJ19&lt;&gt;"",CI18+1,CI18)</f>
        <v/>
      </c>
      <c r="CJ19" s="1402" t="inlineStr">
        <is>
          <t>Cunha/Guto</t>
        </is>
      </c>
      <c r="CK19" s="1391" t="inlineStr">
        <is>
          <t>.</t>
        </is>
      </c>
      <c r="CL19" s="1392" t="n"/>
    </row>
    <row r="20">
      <c r="A20" s="5" t="inlineStr">
        <is>
          <t>.</t>
        </is>
      </c>
      <c r="B20" s="5" t="inlineStr">
        <is>
          <t>.</t>
        </is>
      </c>
      <c r="C20" s="1378">
        <f>IF(raw[[#This Row],[city]]="","-",IF(raw[[#This Row],[city]]="TODAY","-",C19+1))</f>
        <v/>
      </c>
      <c r="D20" s="1393" t="inlineStr">
        <is>
          <t>Rio</t>
        </is>
      </c>
      <c r="E20" s="1394" t="n">
        <v>27749</v>
      </c>
      <c r="F20" s="1394" t="n">
        <v>27760</v>
      </c>
      <c r="G20" s="1393" t="inlineStr">
        <is>
          <t>-</t>
        </is>
      </c>
      <c r="H20" s="1393">
        <f>H19</f>
        <v/>
      </c>
      <c r="I20" s="1393" t="inlineStr">
        <is>
          <t>-</t>
        </is>
      </c>
      <c r="J20" s="1393" t="inlineStr">
        <is>
          <t>-</t>
        </is>
      </c>
      <c r="K20" s="1395">
        <f>IF(raw[[#This Row],[city]]&lt;&gt;"",_xlfn.XLOOKUP($D20,ccc[city],ccc[prov],"-"),"-")</f>
        <v/>
      </c>
      <c r="L20" s="1395">
        <f>IF(raw[[#This Row],[city]]&lt;&gt;"",_xlfn.XLOOKUP($D20,ccc[city],ccc[ctry],"-"),"-")</f>
        <v/>
      </c>
      <c r="M20" s="1395">
        <f>IF(raw[[#This Row],[city]]&lt;&gt;"",_xlfn.XLOOKUP($D20,ccc[city],ccc[cont],"-"),"-")</f>
        <v/>
      </c>
      <c r="N20" s="1396">
        <f>IF(raw[[#This Row],[city]]="","-",IF(raw[[#This Row],[cont]]="B",raw[[#This Row],[cont]],"W"))</f>
        <v/>
      </c>
      <c r="O20" s="1397">
        <f>IF(raw[[#This Row],[out]]=0,0,IF(raw[[#This Row],[out]]=raw[[#This Row],[in]],0.01,raw[[#This Row],[out]]-raw[[#This Row],[in]]))</f>
        <v/>
      </c>
      <c r="P20" s="1397">
        <f>IF(raw[[#This Row],[in]]=0,0,MONTH(raw[[#This Row],[in]]))</f>
        <v/>
      </c>
      <c r="Q20" s="1397">
        <f>IF(raw[[#This Row],[in]]=0,0,YEAR(raw[[#This Row],[in]]))</f>
        <v/>
      </c>
      <c r="R20" s="1397">
        <f>INT(raw[[#This Row],[yr]]/10)*10</f>
        <v/>
      </c>
      <c r="S20" s="1395">
        <f>IF(raw[[#This Row],[city]]="","-",IF(raw[[#This Row],[city]]&lt;&gt;_xlfn.XLOOKUP(raw[[#This Row],[home]],homes[home],homes[city],"-"),1,0))</f>
        <v/>
      </c>
      <c r="T20" s="1398" t="inlineStr">
        <is>
          <t>.</t>
        </is>
      </c>
      <c r="U20" s="1399">
        <f>IF(raw[[#This Row],[wb]]="w",raw[[#This Row],[stay]]+U19,U19)</f>
        <v/>
      </c>
      <c r="V20" s="1400">
        <f>IF(raw[[#This Row],[out]]=0,V19,(raw[[#This Row],[out]]-E$5))</f>
        <v/>
      </c>
      <c r="W20" s="1401">
        <f>U20/V20</f>
        <v/>
      </c>
      <c r="X20" s="1378" t="inlineStr">
        <is>
          <t>.</t>
        </is>
      </c>
      <c r="Y20" s="1402">
        <f/>
        <v/>
      </c>
      <c r="Z20" s="1403">
        <f/>
        <v/>
      </c>
      <c r="AA20" s="1403">
        <f/>
        <v/>
      </c>
      <c r="AB20" s="1400">
        <f t="array" ref="AB20">_xlfn.LET(_xlpm.S,_xlfn.ANCHORARRAY($Y$4),_xlpm.r,ROWS(stayCity[[#Headers],[city]]:stayCity[[#This Row],[city]])-1,IF(_xlpm.r&lt;=ROWS(_xlpm.S),INDEX(_xlpm.S,_xlpm.r,1),""))</f>
        <v/>
      </c>
      <c r="AC20" s="1405">
        <f t="array" ref="AC20">_xlfn.LET(_xlpm.S,_xlfn.ANCHORARRAY($Y$4),_xlpm.r,ROWS(stayCity[[#Headers],[city]]:stayCity[[#This Row],[city]])-1,IF(_xlpm.r&lt;=ROWS(_xlpm.S),INDEX(_xlpm.S,_xlpm.r,2),""))</f>
        <v/>
      </c>
      <c r="AD20" s="1405">
        <f t="array" ref="AD20">_xlfn.LET(_xlpm.S,_xlfn.ANCHORARRAY($Y$4),_xlpm.r,ROWS(stayCity[[#Headers],[city]]:stayCity[[#This Row],[city]])-1,IF(_xlpm.r&lt;=ROWS(_xlpm.S),INDEX(_xlpm.S,_xlpm.r,3),""))</f>
        <v/>
      </c>
      <c r="AE20" s="1400">
        <f>IF(stayCity[[#This Row],[out]]&lt;&gt;"",stayCity[[#This Row],[out]]-stayCity[[#This Row],[in]],"-")</f>
        <v/>
      </c>
      <c r="AF20" s="1406">
        <f>IF(Y20="","-",YEAR(stayCity[[#This Row],[in]]))</f>
        <v/>
      </c>
      <c r="AG20" s="1398" t="inlineStr">
        <is>
          <t>.</t>
        </is>
      </c>
      <c r="AH20" s="1402">
        <f/>
        <v/>
      </c>
      <c r="AI20" s="1403">
        <f/>
        <v/>
      </c>
      <c r="AJ20" s="1403">
        <f/>
        <v/>
      </c>
      <c r="AK20" s="1400">
        <f>IF(AH20="","-",AH20)</f>
        <v/>
      </c>
      <c r="AL20" s="1405">
        <f>AI20</f>
        <v/>
      </c>
      <c r="AM20" s="1405">
        <f>AJ20</f>
        <v/>
      </c>
      <c r="AN20" s="1400">
        <f>stayCtry[[#This Row],[out]]-stayCtry[[#This Row],[in]]</f>
        <v/>
      </c>
      <c r="AO20" s="1406">
        <f>IF(AI20&lt;&gt;"",AO19+1,AO19)</f>
        <v/>
      </c>
      <c r="AP20" s="1398" t="inlineStr">
        <is>
          <t>.</t>
        </is>
      </c>
      <c r="AQ20" s="1402">
        <f/>
        <v/>
      </c>
      <c r="AR20" s="1403">
        <f/>
        <v/>
      </c>
      <c r="AS20" s="1403">
        <f/>
        <v/>
      </c>
      <c r="AT20" s="1400">
        <f>AQ20</f>
        <v/>
      </c>
      <c r="AU20" s="1405">
        <f>AR20</f>
        <v/>
      </c>
      <c r="AV20" s="1405">
        <f>AS20</f>
        <v/>
      </c>
      <c r="AW20" s="1400">
        <f>stayCont[[#This Row],[out]]-stayCont[[#This Row],[in]]</f>
        <v/>
      </c>
      <c r="AX20" s="1406">
        <f>IF(AR20&lt;&gt;"",AX19+1,AX19)</f>
        <v/>
      </c>
      <c r="AY20" s="1398" t="inlineStr">
        <is>
          <t>.</t>
        </is>
      </c>
      <c r="AZ20" s="1402">
        <f/>
        <v/>
      </c>
      <c r="BA20" s="1403">
        <f/>
        <v/>
      </c>
      <c r="BB20" s="1403">
        <f/>
        <v/>
      </c>
      <c r="BC20" s="1405">
        <f>AZ20</f>
        <v/>
      </c>
      <c r="BD20" s="1405">
        <f>BA20</f>
        <v/>
      </c>
      <c r="BE20" s="1405">
        <f>BB20</f>
        <v/>
      </c>
      <c r="BF20" s="1400">
        <f>stayWB[[#This Row],[out]]-stayWB[[#This Row],[in]]</f>
        <v/>
      </c>
      <c r="BG20" s="1400">
        <f>IF(BB20&lt;&gt;"",BG19+1,BG19)</f>
        <v/>
      </c>
      <c r="BH20" s="1398" t="inlineStr">
        <is>
          <t>.</t>
        </is>
      </c>
      <c r="BI20" s="1402" t="inlineStr">
        <is>
          <t>CHE</t>
        </is>
      </c>
      <c r="BJ20" s="1402" t="n">
        <v>1987</v>
      </c>
      <c r="BK20" s="1400">
        <f>BI20</f>
        <v/>
      </c>
      <c r="BL20" s="1409">
        <f>BJ20</f>
        <v/>
      </c>
      <c r="BM20" s="1378" t="inlineStr">
        <is>
          <t>.</t>
        </is>
      </c>
      <c r="BN20" s="1402" t="inlineStr">
        <is>
          <t>B</t>
        </is>
      </c>
      <c r="BO20" s="1400">
        <f>BN20</f>
        <v/>
      </c>
      <c r="BP20" s="1398" t="inlineStr">
        <is>
          <t>.</t>
        </is>
      </c>
      <c r="BQ20" s="1400">
        <f>IF(BR20&lt;&gt;"",BQ19+1,BQ19)</f>
        <v/>
      </c>
      <c r="BR20" s="1411" t="inlineStr">
        <is>
          <t>Washington</t>
        </is>
      </c>
      <c r="BS20" s="1411" t="inlineStr">
        <is>
          <t>Orlando</t>
        </is>
      </c>
      <c r="BT20" s="1412" t="inlineStr">
        <is>
          <t>Washington-Orlando</t>
        </is>
      </c>
      <c r="BU20" s="1412" t="n">
        <v>30747</v>
      </c>
      <c r="BV20" s="1398" t="inlineStr">
        <is>
          <t>.</t>
        </is>
      </c>
      <c r="BW20" s="1400">
        <f>IF(BX20&lt;&gt;"",BW19+1,BW19)</f>
        <v/>
      </c>
      <c r="BX20" s="1411">
        <f/>
        <v/>
      </c>
      <c r="BY20" s="1413">
        <f/>
        <v/>
      </c>
      <c r="BZ20" s="1413">
        <f/>
        <v/>
      </c>
      <c r="CA20" s="1414">
        <f>BZ20-BY20</f>
        <v/>
      </c>
      <c r="CB20" s="1398" t="inlineStr">
        <is>
          <t>.</t>
        </is>
      </c>
      <c r="CC20" s="1400">
        <f>IF(CD20&lt;&gt;"",CC19+1,CC19)</f>
        <v/>
      </c>
      <c r="CD20" s="1411" t="inlineStr">
        <is>
          <t>Greenfeld</t>
        </is>
      </c>
      <c r="CE20" s="1412" t="n">
        <v>34289</v>
      </c>
      <c r="CF20" s="1412" t="n">
        <v>34332</v>
      </c>
      <c r="CG20" s="1415">
        <f>CF20-CE20</f>
        <v/>
      </c>
      <c r="CH20" s="1398" t="inlineStr">
        <is>
          <t>.</t>
        </is>
      </c>
      <c r="CI20" s="1400">
        <f>IF(CJ20&lt;&gt;"",CI19+1,CI19)</f>
        <v/>
      </c>
      <c r="CJ20" s="1402" t="inlineStr">
        <is>
          <t>Renê/Humaitá</t>
        </is>
      </c>
      <c r="CK20" s="1391" t="inlineStr">
        <is>
          <t>.</t>
        </is>
      </c>
      <c r="CL20" s="1392" t="n"/>
    </row>
    <row r="21">
      <c r="A21" s="5" t="inlineStr">
        <is>
          <t>.</t>
        </is>
      </c>
      <c r="B21" s="5" t="inlineStr">
        <is>
          <t>.</t>
        </is>
      </c>
      <c r="C21" s="1378">
        <f>IF(raw[[#This Row],[city]]="","-",IF(raw[[#This Row],[city]]="TODAY","-",C20+1))</f>
        <v/>
      </c>
      <c r="D21" s="1393" t="inlineStr">
        <is>
          <t>Rio</t>
        </is>
      </c>
      <c r="E21" s="1394" t="n">
        <v>27760</v>
      </c>
      <c r="F21" s="1394" t="n">
        <v>27762</v>
      </c>
      <c r="G21" s="1393" t="inlineStr">
        <is>
          <t>-</t>
        </is>
      </c>
      <c r="H21" s="1393">
        <f>H20</f>
        <v/>
      </c>
      <c r="I21" s="1393" t="inlineStr">
        <is>
          <t>-</t>
        </is>
      </c>
      <c r="J21" s="1393" t="inlineStr">
        <is>
          <t>REV</t>
        </is>
      </c>
      <c r="K21" s="1395">
        <f>IF(raw[[#This Row],[city]]&lt;&gt;"",_xlfn.XLOOKUP($D21,ccc[city],ccc[prov],"-"),"-")</f>
        <v/>
      </c>
      <c r="L21" s="1395">
        <f>IF(raw[[#This Row],[city]]&lt;&gt;"",_xlfn.XLOOKUP($D21,ccc[city],ccc[ctry],"-"),"-")</f>
        <v/>
      </c>
      <c r="M21" s="1395">
        <f>IF(raw[[#This Row],[city]]&lt;&gt;"",_xlfn.XLOOKUP($D21,ccc[city],ccc[cont],"-"),"-")</f>
        <v/>
      </c>
      <c r="N21" s="1396">
        <f>IF(raw[[#This Row],[city]]="","-",IF(raw[[#This Row],[cont]]="B",raw[[#This Row],[cont]],"W"))</f>
        <v/>
      </c>
      <c r="O21" s="1397">
        <f>IF(raw[[#This Row],[out]]=0,0,IF(raw[[#This Row],[out]]=raw[[#This Row],[in]],0.01,raw[[#This Row],[out]]-raw[[#This Row],[in]]))</f>
        <v/>
      </c>
      <c r="P21" s="1397">
        <f>IF(raw[[#This Row],[in]]=0,0,MONTH(raw[[#This Row],[in]]))</f>
        <v/>
      </c>
      <c r="Q21" s="1397">
        <f>IF(raw[[#This Row],[in]]=0,0,YEAR(raw[[#This Row],[in]]))</f>
        <v/>
      </c>
      <c r="R21" s="1397">
        <f>INT(raw[[#This Row],[yr]]/10)*10</f>
        <v/>
      </c>
      <c r="S21" s="1395">
        <f>IF(raw[[#This Row],[city]]="","-",IF(raw[[#This Row],[city]]&lt;&gt;_xlfn.XLOOKUP(raw[[#This Row],[home]],homes[home],homes[city],"-"),1,0))</f>
        <v/>
      </c>
      <c r="T21" s="1398" t="inlineStr">
        <is>
          <t>.</t>
        </is>
      </c>
      <c r="U21" s="1399">
        <f>IF(raw[[#This Row],[wb]]="w",raw[[#This Row],[stay]]+U20,U20)</f>
        <v/>
      </c>
      <c r="V21" s="1400">
        <f>IF(raw[[#This Row],[out]]=0,V20,(raw[[#This Row],[out]]-E$5))</f>
        <v/>
      </c>
      <c r="W21" s="1401">
        <f>U21/V21</f>
        <v/>
      </c>
      <c r="X21" s="1378" t="inlineStr">
        <is>
          <t>.</t>
        </is>
      </c>
      <c r="Y21" s="1402">
        <f/>
        <v/>
      </c>
      <c r="Z21" s="1403">
        <f/>
        <v/>
      </c>
      <c r="AA21" s="1403">
        <f/>
        <v/>
      </c>
      <c r="AB21" s="1400">
        <f t="array" ref="AB21">_xlfn.LET(_xlpm.S,_xlfn.ANCHORARRAY($Y$4),_xlpm.r,ROWS(stayCity[[#Headers],[city]]:stayCity[[#This Row],[city]])-1,IF(_xlpm.r&lt;=ROWS(_xlpm.S),INDEX(_xlpm.S,_xlpm.r,1),""))</f>
        <v/>
      </c>
      <c r="AC21" s="1405">
        <f t="array" ref="AC21">_xlfn.LET(_xlpm.S,_xlfn.ANCHORARRAY($Y$4),_xlpm.r,ROWS(stayCity[[#Headers],[city]]:stayCity[[#This Row],[city]])-1,IF(_xlpm.r&lt;=ROWS(_xlpm.S),INDEX(_xlpm.S,_xlpm.r,2),""))</f>
        <v/>
      </c>
      <c r="AD21" s="1405">
        <f t="array" ref="AD21">_xlfn.LET(_xlpm.S,_xlfn.ANCHORARRAY($Y$4),_xlpm.r,ROWS(stayCity[[#Headers],[city]]:stayCity[[#This Row],[city]])-1,IF(_xlpm.r&lt;=ROWS(_xlpm.S),INDEX(_xlpm.S,_xlpm.r,3),""))</f>
        <v/>
      </c>
      <c r="AE21" s="1400">
        <f>IF(stayCity[[#This Row],[out]]&lt;&gt;"",stayCity[[#This Row],[out]]-stayCity[[#This Row],[in]],"-")</f>
        <v/>
      </c>
      <c r="AF21" s="1406">
        <f>IF(Y21="","-",YEAR(stayCity[[#This Row],[in]]))</f>
        <v/>
      </c>
      <c r="AG21" s="1398" t="inlineStr">
        <is>
          <t>.</t>
        </is>
      </c>
      <c r="AH21" s="1402">
        <f/>
        <v/>
      </c>
      <c r="AI21" s="1403">
        <f/>
        <v/>
      </c>
      <c r="AJ21" s="1403">
        <f/>
        <v/>
      </c>
      <c r="AK21" s="1400">
        <f>IF(AH21="","-",AH21)</f>
        <v/>
      </c>
      <c r="AL21" s="1405">
        <f>AI21</f>
        <v/>
      </c>
      <c r="AM21" s="1405">
        <f>AJ21</f>
        <v/>
      </c>
      <c r="AN21" s="1400">
        <f>stayCtry[[#This Row],[out]]-stayCtry[[#This Row],[in]]</f>
        <v/>
      </c>
      <c r="AO21" s="1406">
        <f>IF(AI21&lt;&gt;"",AO20+1,AO20)</f>
        <v/>
      </c>
      <c r="AP21" s="1398" t="inlineStr">
        <is>
          <t>.</t>
        </is>
      </c>
      <c r="AQ21" s="1402">
        <f/>
        <v/>
      </c>
      <c r="AR21" s="1403">
        <f/>
        <v/>
      </c>
      <c r="AS21" s="1403">
        <f/>
        <v/>
      </c>
      <c r="AT21" s="1400">
        <f>AQ21</f>
        <v/>
      </c>
      <c r="AU21" s="1405">
        <f>AR21</f>
        <v/>
      </c>
      <c r="AV21" s="1405">
        <f>AS21</f>
        <v/>
      </c>
      <c r="AW21" s="1400">
        <f>stayCont[[#This Row],[out]]-stayCont[[#This Row],[in]]</f>
        <v/>
      </c>
      <c r="AX21" s="1406">
        <f>IF(AR21&lt;&gt;"",AX20+1,AX20)</f>
        <v/>
      </c>
      <c r="AY21" s="1398" t="inlineStr">
        <is>
          <t>.</t>
        </is>
      </c>
      <c r="AZ21" s="1402">
        <f/>
        <v/>
      </c>
      <c r="BA21" s="1403">
        <f/>
        <v/>
      </c>
      <c r="BB21" s="1403">
        <f/>
        <v/>
      </c>
      <c r="BC21" s="1405">
        <f>AZ21</f>
        <v/>
      </c>
      <c r="BD21" s="1405">
        <f>BA21</f>
        <v/>
      </c>
      <c r="BE21" s="1405">
        <f>BB21</f>
        <v/>
      </c>
      <c r="BF21" s="1400">
        <f>stayWB[[#This Row],[out]]-stayWB[[#This Row],[in]]</f>
        <v/>
      </c>
      <c r="BG21" s="1400">
        <f>IF(BB21&lt;&gt;"",BG20+1,BG20)</f>
        <v/>
      </c>
      <c r="BH21" s="1398" t="inlineStr">
        <is>
          <t>.</t>
        </is>
      </c>
      <c r="BI21" s="1402" t="inlineStr">
        <is>
          <t>FRA</t>
        </is>
      </c>
      <c r="BJ21" s="1402" t="n">
        <v>1987</v>
      </c>
      <c r="BK21" s="1400">
        <f>BI21</f>
        <v/>
      </c>
      <c r="BL21" s="1409">
        <f>BJ21</f>
        <v/>
      </c>
      <c r="BM21" s="1378" t="inlineStr">
        <is>
          <t>.</t>
        </is>
      </c>
      <c r="BN21" s="1402" t="inlineStr">
        <is>
          <t>F</t>
        </is>
      </c>
      <c r="BO21" s="1400">
        <f>BN21</f>
        <v/>
      </c>
      <c r="BP21" s="1398" t="inlineStr">
        <is>
          <t>.</t>
        </is>
      </c>
      <c r="BQ21" s="1400">
        <f>IF(BR21&lt;&gt;"",BQ20+1,BQ20)</f>
        <v/>
      </c>
      <c r="BR21" s="1411" t="inlineStr">
        <is>
          <t>Miami</t>
        </is>
      </c>
      <c r="BS21" s="1411" t="inlineStr">
        <is>
          <t>SSA</t>
        </is>
      </c>
      <c r="BT21" s="1412" t="inlineStr">
        <is>
          <t>Miami-SSA</t>
        </is>
      </c>
      <c r="BU21" s="1412" t="n">
        <v>30752</v>
      </c>
      <c r="BV21" s="1398" t="inlineStr">
        <is>
          <t>.</t>
        </is>
      </c>
      <c r="BW21" s="1400">
        <f>IF(BX21&lt;&gt;"",BW20+1,BW20)</f>
        <v/>
      </c>
      <c r="BX21" s="1411">
        <f/>
        <v/>
      </c>
      <c r="BY21" s="1413">
        <f/>
        <v/>
      </c>
      <c r="BZ21" s="1413">
        <f/>
        <v/>
      </c>
      <c r="CA21" s="1414">
        <f>BZ21-BY21</f>
        <v/>
      </c>
      <c r="CB21" s="1398" t="inlineStr">
        <is>
          <t>.</t>
        </is>
      </c>
      <c r="CC21" s="1400">
        <f>IF(CD21&lt;&gt;"",CC20+1,CC20)</f>
        <v/>
      </c>
      <c r="CD21" s="1411" t="inlineStr">
        <is>
          <t>Ondina</t>
        </is>
      </c>
      <c r="CE21" s="1412" t="n">
        <v>34336</v>
      </c>
      <c r="CF21" s="1412" t="n">
        <v>34394</v>
      </c>
      <c r="CG21" s="1415">
        <f>CF21-CE21</f>
        <v/>
      </c>
      <c r="CH21" s="1398" t="inlineStr">
        <is>
          <t>.</t>
        </is>
      </c>
      <c r="CI21" s="1400">
        <f>IF(CJ21&lt;&gt;"",CI20+1,CI20)</f>
        <v/>
      </c>
      <c r="CJ21" s="1402" t="inlineStr">
        <is>
          <t>Guaecá</t>
        </is>
      </c>
      <c r="CK21" s="1391" t="inlineStr">
        <is>
          <t>.</t>
        </is>
      </c>
      <c r="CL21" s="1392" t="n"/>
    </row>
    <row r="22">
      <c r="A22" s="5" t="inlineStr">
        <is>
          <t>.</t>
        </is>
      </c>
      <c r="B22" s="5" t="inlineStr">
        <is>
          <t>.</t>
        </is>
      </c>
      <c r="C22" s="1378">
        <f>IF(raw[[#This Row],[city]]="","-",IF(raw[[#This Row],[city]]="TODAY","-",C21+1))</f>
        <v/>
      </c>
      <c r="D22" s="1393" t="inlineStr">
        <is>
          <t>Sao Lourenço</t>
        </is>
      </c>
      <c r="E22" s="1394" t="n">
        <v>27762</v>
      </c>
      <c r="F22" s="1394" t="n">
        <v>27764</v>
      </c>
      <c r="G22" s="1393" t="inlineStr">
        <is>
          <t>-</t>
        </is>
      </c>
      <c r="H22" s="1393">
        <f>H21</f>
        <v/>
      </c>
      <c r="I22" s="1393" t="inlineStr">
        <is>
          <t>-</t>
        </is>
      </c>
      <c r="J22" s="1393" t="inlineStr">
        <is>
          <t>-</t>
        </is>
      </c>
      <c r="K22" s="1395">
        <f>IF(raw[[#This Row],[city]]&lt;&gt;"",_xlfn.XLOOKUP($D22,ccc[city],ccc[prov],"-"),"-")</f>
        <v/>
      </c>
      <c r="L22" s="1395">
        <f>IF(raw[[#This Row],[city]]&lt;&gt;"",_xlfn.XLOOKUP($D22,ccc[city],ccc[ctry],"-"),"-")</f>
        <v/>
      </c>
      <c r="M22" s="1395">
        <f>IF(raw[[#This Row],[city]]&lt;&gt;"",_xlfn.XLOOKUP($D22,ccc[city],ccc[cont],"-"),"-")</f>
        <v/>
      </c>
      <c r="N22" s="1396">
        <f>IF(raw[[#This Row],[city]]="","-",IF(raw[[#This Row],[cont]]="B",raw[[#This Row],[cont]],"W"))</f>
        <v/>
      </c>
      <c r="O22" s="1397">
        <f>IF(raw[[#This Row],[out]]=0,0,IF(raw[[#This Row],[out]]=raw[[#This Row],[in]],0.01,raw[[#This Row],[out]]-raw[[#This Row],[in]]))</f>
        <v/>
      </c>
      <c r="P22" s="1397">
        <f>IF(raw[[#This Row],[in]]=0,0,MONTH(raw[[#This Row],[in]]))</f>
        <v/>
      </c>
      <c r="Q22" s="1397">
        <f>IF(raw[[#This Row],[in]]=0,0,YEAR(raw[[#This Row],[in]]))</f>
        <v/>
      </c>
      <c r="R22" s="1397">
        <f>INT(raw[[#This Row],[yr]]/10)*10</f>
        <v/>
      </c>
      <c r="S22" s="1395">
        <f>IF(raw[[#This Row],[city]]="","-",IF(raw[[#This Row],[city]]&lt;&gt;_xlfn.XLOOKUP(raw[[#This Row],[home]],homes[home],homes[city],"-"),1,0))</f>
        <v/>
      </c>
      <c r="T22" s="1398" t="inlineStr">
        <is>
          <t>.</t>
        </is>
      </c>
      <c r="U22" s="1399">
        <f>IF(raw[[#This Row],[wb]]="w",raw[[#This Row],[stay]]+U21,U21)</f>
        <v/>
      </c>
      <c r="V22" s="1400">
        <f>IF(raw[[#This Row],[out]]=0,V21,(raw[[#This Row],[out]]-E$5))</f>
        <v/>
      </c>
      <c r="W22" s="1401">
        <f>U22/V22</f>
        <v/>
      </c>
      <c r="X22" s="1378" t="inlineStr">
        <is>
          <t>.</t>
        </is>
      </c>
      <c r="Y22" s="1402">
        <f/>
        <v/>
      </c>
      <c r="Z22" s="1403">
        <f/>
        <v/>
      </c>
      <c r="AA22" s="1403">
        <f/>
        <v/>
      </c>
      <c r="AB22" s="1400">
        <f t="array" ref="AB22">_xlfn.LET(_xlpm.S,_xlfn.ANCHORARRAY($Y$4),_xlpm.r,ROWS(stayCity[[#Headers],[city]]:stayCity[[#This Row],[city]])-1,IF(_xlpm.r&lt;=ROWS(_xlpm.S),INDEX(_xlpm.S,_xlpm.r,1),""))</f>
        <v/>
      </c>
      <c r="AC22" s="1405">
        <f t="array" ref="AC22">_xlfn.LET(_xlpm.S,_xlfn.ANCHORARRAY($Y$4),_xlpm.r,ROWS(stayCity[[#Headers],[city]]:stayCity[[#This Row],[city]])-1,IF(_xlpm.r&lt;=ROWS(_xlpm.S),INDEX(_xlpm.S,_xlpm.r,2),""))</f>
        <v/>
      </c>
      <c r="AD22" s="1405">
        <f t="array" ref="AD22">_xlfn.LET(_xlpm.S,_xlfn.ANCHORARRAY($Y$4),_xlpm.r,ROWS(stayCity[[#Headers],[city]]:stayCity[[#This Row],[city]])-1,IF(_xlpm.r&lt;=ROWS(_xlpm.S),INDEX(_xlpm.S,_xlpm.r,3),""))</f>
        <v/>
      </c>
      <c r="AE22" s="1400">
        <f>IF(stayCity[[#This Row],[out]]&lt;&gt;"",stayCity[[#This Row],[out]]-stayCity[[#This Row],[in]],"-")</f>
        <v/>
      </c>
      <c r="AF22" s="1406">
        <f>IF(Y22="","-",YEAR(stayCity[[#This Row],[in]]))</f>
        <v/>
      </c>
      <c r="AG22" s="1398" t="inlineStr">
        <is>
          <t>.</t>
        </is>
      </c>
      <c r="AH22" s="1402">
        <f/>
        <v/>
      </c>
      <c r="AI22" s="1403">
        <f/>
        <v/>
      </c>
      <c r="AJ22" s="1403">
        <f/>
        <v/>
      </c>
      <c r="AK22" s="1400">
        <f>IF(AH22="","-",AH22)</f>
        <v/>
      </c>
      <c r="AL22" s="1405">
        <f>AI22</f>
        <v/>
      </c>
      <c r="AM22" s="1405">
        <f>AJ22</f>
        <v/>
      </c>
      <c r="AN22" s="1400">
        <f>stayCtry[[#This Row],[out]]-stayCtry[[#This Row],[in]]</f>
        <v/>
      </c>
      <c r="AO22" s="1406">
        <f>IF(AI22&lt;&gt;"",AO21+1,AO21)</f>
        <v/>
      </c>
      <c r="AP22" s="1398" t="inlineStr">
        <is>
          <t>.</t>
        </is>
      </c>
      <c r="AQ22" s="1402">
        <f/>
        <v/>
      </c>
      <c r="AR22" s="1403">
        <f/>
        <v/>
      </c>
      <c r="AS22" s="1403">
        <f/>
        <v/>
      </c>
      <c r="AT22" s="1400">
        <f>AQ22</f>
        <v/>
      </c>
      <c r="AU22" s="1405">
        <f>AR22</f>
        <v/>
      </c>
      <c r="AV22" s="1405">
        <f>AS22</f>
        <v/>
      </c>
      <c r="AW22" s="1400">
        <f>stayCont[[#This Row],[out]]-stayCont[[#This Row],[in]]</f>
        <v/>
      </c>
      <c r="AX22" s="1406">
        <f>IF(AR22&lt;&gt;"",AX21+1,AX21)</f>
        <v/>
      </c>
      <c r="AY22" s="1398" t="inlineStr">
        <is>
          <t>.</t>
        </is>
      </c>
      <c r="AZ22" s="1402">
        <f/>
        <v/>
      </c>
      <c r="BA22" s="1403">
        <f/>
        <v/>
      </c>
      <c r="BB22" s="1403">
        <f/>
        <v/>
      </c>
      <c r="BC22" s="1405">
        <f>AZ22</f>
        <v/>
      </c>
      <c r="BD22" s="1405">
        <f>BA22</f>
        <v/>
      </c>
      <c r="BE22" s="1405">
        <f>BB22</f>
        <v/>
      </c>
      <c r="BF22" s="1400">
        <f>stayWB[[#This Row],[out]]-stayWB[[#This Row],[in]]</f>
        <v/>
      </c>
      <c r="BG22" s="1400">
        <f>IF(BB22&lt;&gt;"",BG21+1,BG21)</f>
        <v/>
      </c>
      <c r="BH22" s="1398" t="inlineStr">
        <is>
          <t>.</t>
        </is>
      </c>
      <c r="BI22" s="1402" t="inlineStr">
        <is>
          <t>DEU</t>
        </is>
      </c>
      <c r="BJ22" s="1402" t="n">
        <v>1987</v>
      </c>
      <c r="BK22" s="1400">
        <f>BI22</f>
        <v/>
      </c>
      <c r="BL22" s="1409">
        <f>BJ22</f>
        <v/>
      </c>
      <c r="BM22" s="1378" t="inlineStr">
        <is>
          <t>.</t>
        </is>
      </c>
      <c r="BN22" s="1402" t="inlineStr">
        <is>
          <t>E</t>
        </is>
      </c>
      <c r="BO22" s="1400">
        <f>BN22</f>
        <v/>
      </c>
      <c r="BP22" s="1398" t="inlineStr">
        <is>
          <t>.</t>
        </is>
      </c>
      <c r="BQ22" s="1400">
        <f>IF(BR22&lt;&gt;"",BQ21+1,BQ21)</f>
        <v/>
      </c>
      <c r="BR22" s="1411" t="inlineStr">
        <is>
          <t>SSA</t>
        </is>
      </c>
      <c r="BS22" s="1411" t="inlineStr">
        <is>
          <t>Recife</t>
        </is>
      </c>
      <c r="BT22" s="1412" t="inlineStr">
        <is>
          <t>SSA-Recife</t>
        </is>
      </c>
      <c r="BU22" s="1412" t="n">
        <v>32017</v>
      </c>
      <c r="BV22" s="1398" t="inlineStr">
        <is>
          <t>.</t>
        </is>
      </c>
      <c r="BW22" s="1400">
        <f>IF(BX22&lt;&gt;"",BW21+1,BW21)</f>
        <v/>
      </c>
      <c r="BX22" s="1411">
        <f/>
        <v/>
      </c>
      <c r="BY22" s="1413">
        <f/>
        <v/>
      </c>
      <c r="BZ22" s="1413">
        <f/>
        <v/>
      </c>
      <c r="CA22" s="1414">
        <f>BZ22-BY22</f>
        <v/>
      </c>
      <c r="CB22" s="1398" t="inlineStr">
        <is>
          <t>.</t>
        </is>
      </c>
      <c r="CC22" s="1400">
        <f>IF(CD22&lt;&gt;"",CC21+1,CC21)</f>
        <v/>
      </c>
      <c r="CD22" s="1411" t="inlineStr">
        <is>
          <t>Ondina</t>
        </is>
      </c>
      <c r="CE22" s="1412" t="n">
        <v>34478</v>
      </c>
      <c r="CF22" s="1412" t="n">
        <v>34486</v>
      </c>
      <c r="CG22" s="1415">
        <f>CF22-CE22</f>
        <v/>
      </c>
      <c r="CH22" s="1398" t="inlineStr">
        <is>
          <t>.</t>
        </is>
      </c>
      <c r="CI22" s="1400">
        <f>IF(CJ22&lt;&gt;"",CI21+1,CI21)</f>
        <v/>
      </c>
      <c r="CJ22" s="1402" t="inlineStr">
        <is>
          <t>Encontro</t>
        </is>
      </c>
      <c r="CK22" s="1391" t="inlineStr">
        <is>
          <t>.</t>
        </is>
      </c>
      <c r="CL22" s="1392" t="n"/>
    </row>
    <row r="23">
      <c r="A23" s="5" t="inlineStr">
        <is>
          <t>.</t>
        </is>
      </c>
      <c r="B23" s="5" t="inlineStr">
        <is>
          <t>.</t>
        </is>
      </c>
      <c r="C23" s="1378">
        <f>IF(raw[[#This Row],[city]]="","-",IF(raw[[#This Row],[city]]="TODAY","-",C22+1))</f>
        <v/>
      </c>
      <c r="D23" s="1393" t="inlineStr">
        <is>
          <t>Itatiaia</t>
        </is>
      </c>
      <c r="E23" s="1394" t="n">
        <v>27764</v>
      </c>
      <c r="F23" s="1394" t="n">
        <v>27766</v>
      </c>
      <c r="G23" s="1393" t="inlineStr">
        <is>
          <t>-</t>
        </is>
      </c>
      <c r="H23" s="1393">
        <f>H22</f>
        <v/>
      </c>
      <c r="I23" s="1393" t="inlineStr">
        <is>
          <t>-</t>
        </is>
      </c>
      <c r="J23" s="1393" t="inlineStr">
        <is>
          <t>-</t>
        </is>
      </c>
      <c r="K23" s="1395">
        <f>IF(raw[[#This Row],[city]]&lt;&gt;"",_xlfn.XLOOKUP($D23,ccc[city],ccc[prov],"-"),"-")</f>
        <v/>
      </c>
      <c r="L23" s="1395">
        <f>IF(raw[[#This Row],[city]]&lt;&gt;"",_xlfn.XLOOKUP($D23,ccc[city],ccc[ctry],"-"),"-")</f>
        <v/>
      </c>
      <c r="M23" s="1395">
        <f>IF(raw[[#This Row],[city]]&lt;&gt;"",_xlfn.XLOOKUP($D23,ccc[city],ccc[cont],"-"),"-")</f>
        <v/>
      </c>
      <c r="N23" s="1396">
        <f>IF(raw[[#This Row],[city]]="","-",IF(raw[[#This Row],[cont]]="B",raw[[#This Row],[cont]],"W"))</f>
        <v/>
      </c>
      <c r="O23" s="1397">
        <f>IF(raw[[#This Row],[out]]=0,0,IF(raw[[#This Row],[out]]=raw[[#This Row],[in]],0.01,raw[[#This Row],[out]]-raw[[#This Row],[in]]))</f>
        <v/>
      </c>
      <c r="P23" s="1397">
        <f>IF(raw[[#This Row],[in]]=0,0,MONTH(raw[[#This Row],[in]]))</f>
        <v/>
      </c>
      <c r="Q23" s="1397">
        <f>IF(raw[[#This Row],[in]]=0,0,YEAR(raw[[#This Row],[in]]))</f>
        <v/>
      </c>
      <c r="R23" s="1397">
        <f>INT(raw[[#This Row],[yr]]/10)*10</f>
        <v/>
      </c>
      <c r="S23" s="1395">
        <f>IF(raw[[#This Row],[city]]="","-",IF(raw[[#This Row],[city]]&lt;&gt;_xlfn.XLOOKUP(raw[[#This Row],[home]],homes[home],homes[city],"-"),1,0))</f>
        <v/>
      </c>
      <c r="T23" s="1398" t="inlineStr">
        <is>
          <t>.</t>
        </is>
      </c>
      <c r="U23" s="1399">
        <f>IF(raw[[#This Row],[wb]]="w",raw[[#This Row],[stay]]+U22,U22)</f>
        <v/>
      </c>
      <c r="V23" s="1400">
        <f>IF(raw[[#This Row],[out]]=0,V22,(raw[[#This Row],[out]]-E$5))</f>
        <v/>
      </c>
      <c r="W23" s="1401">
        <f>U23/V23</f>
        <v/>
      </c>
      <c r="X23" s="1378" t="inlineStr">
        <is>
          <t>.</t>
        </is>
      </c>
      <c r="Y23" s="1402">
        <f/>
        <v/>
      </c>
      <c r="Z23" s="1403">
        <f/>
        <v/>
      </c>
      <c r="AA23" s="1403">
        <f/>
        <v/>
      </c>
      <c r="AB23" s="1400">
        <f t="array" ref="AB23">_xlfn.LET(_xlpm.S,_xlfn.ANCHORARRAY($Y$4),_xlpm.r,ROWS(stayCity[[#Headers],[city]]:stayCity[[#This Row],[city]])-1,IF(_xlpm.r&lt;=ROWS(_xlpm.S),INDEX(_xlpm.S,_xlpm.r,1),""))</f>
        <v/>
      </c>
      <c r="AC23" s="1405">
        <f t="array" ref="AC23">_xlfn.LET(_xlpm.S,_xlfn.ANCHORARRAY($Y$4),_xlpm.r,ROWS(stayCity[[#Headers],[city]]:stayCity[[#This Row],[city]])-1,IF(_xlpm.r&lt;=ROWS(_xlpm.S),INDEX(_xlpm.S,_xlpm.r,2),""))</f>
        <v/>
      </c>
      <c r="AD23" s="1405">
        <f t="array" ref="AD23">_xlfn.LET(_xlpm.S,_xlfn.ANCHORARRAY($Y$4),_xlpm.r,ROWS(stayCity[[#Headers],[city]]:stayCity[[#This Row],[city]])-1,IF(_xlpm.r&lt;=ROWS(_xlpm.S),INDEX(_xlpm.S,_xlpm.r,3),""))</f>
        <v/>
      </c>
      <c r="AE23" s="1400">
        <f>IF(stayCity[[#This Row],[out]]&lt;&gt;"",stayCity[[#This Row],[out]]-stayCity[[#This Row],[in]],"-")</f>
        <v/>
      </c>
      <c r="AF23" s="1406">
        <f>IF(Y23="","-",YEAR(stayCity[[#This Row],[in]]))</f>
        <v/>
      </c>
      <c r="AG23" s="1398" t="inlineStr">
        <is>
          <t>.</t>
        </is>
      </c>
      <c r="AH23" s="1402">
        <f/>
        <v/>
      </c>
      <c r="AI23" s="1403">
        <f/>
        <v/>
      </c>
      <c r="AJ23" s="1403">
        <f/>
        <v/>
      </c>
      <c r="AK23" s="1400">
        <f>IF(AH23="","-",AH23)</f>
        <v/>
      </c>
      <c r="AL23" s="1405">
        <f>AI23</f>
        <v/>
      </c>
      <c r="AM23" s="1405">
        <f>AJ23</f>
        <v/>
      </c>
      <c r="AN23" s="1400">
        <f>stayCtry[[#This Row],[out]]-stayCtry[[#This Row],[in]]</f>
        <v/>
      </c>
      <c r="AO23" s="1406">
        <f>IF(AI23&lt;&gt;"",AO22+1,AO22)</f>
        <v/>
      </c>
      <c r="AP23" s="1398" t="inlineStr">
        <is>
          <t>.</t>
        </is>
      </c>
      <c r="AQ23" s="1402">
        <f/>
        <v/>
      </c>
      <c r="AR23" s="1403">
        <f/>
        <v/>
      </c>
      <c r="AS23" s="1403">
        <f/>
        <v/>
      </c>
      <c r="AT23" s="1400">
        <f>AQ23</f>
        <v/>
      </c>
      <c r="AU23" s="1405">
        <f>AR23</f>
        <v/>
      </c>
      <c r="AV23" s="1405">
        <f>AS23</f>
        <v/>
      </c>
      <c r="AW23" s="1400">
        <f>stayCont[[#This Row],[out]]-stayCont[[#This Row],[in]]</f>
        <v/>
      </c>
      <c r="AX23" s="1406">
        <f>IF(AR23&lt;&gt;"",AX22+1,AX22)</f>
        <v/>
      </c>
      <c r="AY23" s="1398" t="inlineStr">
        <is>
          <t>.</t>
        </is>
      </c>
      <c r="AZ23" s="1402">
        <f/>
        <v/>
      </c>
      <c r="BA23" s="1403">
        <f/>
        <v/>
      </c>
      <c r="BB23" s="1403">
        <f/>
        <v/>
      </c>
      <c r="BC23" s="1405">
        <f>AZ23</f>
        <v/>
      </c>
      <c r="BD23" s="1405">
        <f>BA23</f>
        <v/>
      </c>
      <c r="BE23" s="1405">
        <f>BB23</f>
        <v/>
      </c>
      <c r="BF23" s="1400">
        <f>stayWB[[#This Row],[out]]-stayWB[[#This Row],[in]]</f>
        <v/>
      </c>
      <c r="BG23" s="1400">
        <f>IF(BB23&lt;&gt;"",BG22+1,BG22)</f>
        <v/>
      </c>
      <c r="BH23" s="1398" t="inlineStr">
        <is>
          <t>.</t>
        </is>
      </c>
      <c r="BI23" s="1402" t="inlineStr">
        <is>
          <t>AUT</t>
        </is>
      </c>
      <c r="BJ23" s="1402" t="n">
        <v>1987</v>
      </c>
      <c r="BK23" s="1400">
        <f>BI23</f>
        <v/>
      </c>
      <c r="BL23" s="1409">
        <f>BJ23</f>
        <v/>
      </c>
      <c r="BM23" s="1378" t="inlineStr">
        <is>
          <t>.</t>
        </is>
      </c>
      <c r="BN23" s="1402" t="inlineStr">
        <is>
          <t>A</t>
        </is>
      </c>
      <c r="BO23" s="1400">
        <f>BN23</f>
        <v/>
      </c>
      <c r="BP23" s="1398" t="inlineStr">
        <is>
          <t>.</t>
        </is>
      </c>
      <c r="BQ23" s="1400">
        <f>IF(BR23&lt;&gt;"",BQ22+1,BQ22)</f>
        <v/>
      </c>
      <c r="BR23" s="1411" t="inlineStr">
        <is>
          <t>Recife</t>
        </is>
      </c>
      <c r="BS23" s="1411" t="inlineStr">
        <is>
          <t>Paris</t>
        </is>
      </c>
      <c r="BT23" s="1412" t="inlineStr">
        <is>
          <t>Recife-Paris</t>
        </is>
      </c>
      <c r="BU23" s="1412" t="n">
        <v>32017</v>
      </c>
      <c r="BV23" s="1398" t="inlineStr">
        <is>
          <t>.</t>
        </is>
      </c>
      <c r="BW23" s="1400">
        <f>IF(BX23&lt;&gt;"",BW22+1,BW22)</f>
        <v/>
      </c>
      <c r="BX23" s="1411">
        <f/>
        <v/>
      </c>
      <c r="BY23" s="1413">
        <f/>
        <v/>
      </c>
      <c r="BZ23" s="1413">
        <f/>
        <v/>
      </c>
      <c r="CA23" s="1414">
        <f>BZ23-BY23</f>
        <v/>
      </c>
      <c r="CB23" s="1398" t="inlineStr">
        <is>
          <t>.</t>
        </is>
      </c>
      <c r="CC23" s="1400">
        <f>IF(CD23&lt;&gt;"",CC22+1,CC22)</f>
        <v/>
      </c>
      <c r="CD23" s="1411" t="inlineStr">
        <is>
          <t>Ondina</t>
        </is>
      </c>
      <c r="CE23" s="1412" t="n">
        <v>34524</v>
      </c>
      <c r="CF23" s="1412" t="n">
        <v>34548</v>
      </c>
      <c r="CG23" s="1415">
        <f>CF23-CE23</f>
        <v/>
      </c>
      <c r="CH23" s="1398" t="inlineStr">
        <is>
          <t>.</t>
        </is>
      </c>
      <c r="CI23" s="1400">
        <f>IF(CJ23&lt;&gt;"",CI22+1,CI22)</f>
        <v/>
      </c>
      <c r="CJ23" s="1402" t="inlineStr">
        <is>
          <t>Fred/Long Island</t>
        </is>
      </c>
      <c r="CK23" s="1391" t="inlineStr">
        <is>
          <t>.</t>
        </is>
      </c>
      <c r="CL23" s="1392" t="n"/>
    </row>
    <row r="24">
      <c r="A24" s="5" t="inlineStr">
        <is>
          <t>.</t>
        </is>
      </c>
      <c r="B24" s="5" t="inlineStr">
        <is>
          <t>.</t>
        </is>
      </c>
      <c r="C24" s="1378">
        <f>IF(raw[[#This Row],[city]]="","-",IF(raw[[#This Row],[city]]="TODAY","-",C23+1))</f>
        <v/>
      </c>
      <c r="D24" s="1393" t="inlineStr">
        <is>
          <t>Vassouras</t>
        </is>
      </c>
      <c r="E24" s="1394" t="n">
        <v>27766</v>
      </c>
      <c r="F24" s="1394" t="n">
        <v>27769</v>
      </c>
      <c r="G24" s="1393" t="inlineStr">
        <is>
          <t>-</t>
        </is>
      </c>
      <c r="H24" s="1393">
        <f>H23</f>
        <v/>
      </c>
      <c r="I24" s="1393" t="inlineStr">
        <is>
          <t>-</t>
        </is>
      </c>
      <c r="J24" s="1393" t="inlineStr">
        <is>
          <t>-</t>
        </is>
      </c>
      <c r="K24" s="1395">
        <f>IF(raw[[#This Row],[city]]&lt;&gt;"",_xlfn.XLOOKUP($D24,ccc[city],ccc[prov],"-"),"-")</f>
        <v/>
      </c>
      <c r="L24" s="1395">
        <f>IF(raw[[#This Row],[city]]&lt;&gt;"",_xlfn.XLOOKUP($D24,ccc[city],ccc[ctry],"-"),"-")</f>
        <v/>
      </c>
      <c r="M24" s="1395">
        <f>IF(raw[[#This Row],[city]]&lt;&gt;"",_xlfn.XLOOKUP($D24,ccc[city],ccc[cont],"-"),"-")</f>
        <v/>
      </c>
      <c r="N24" s="1396">
        <f>IF(raw[[#This Row],[city]]="","-",IF(raw[[#This Row],[cont]]="B",raw[[#This Row],[cont]],"W"))</f>
        <v/>
      </c>
      <c r="O24" s="1397">
        <f>IF(raw[[#This Row],[out]]=0,0,IF(raw[[#This Row],[out]]=raw[[#This Row],[in]],0.01,raw[[#This Row],[out]]-raw[[#This Row],[in]]))</f>
        <v/>
      </c>
      <c r="P24" s="1397">
        <f>IF(raw[[#This Row],[in]]=0,0,MONTH(raw[[#This Row],[in]]))</f>
        <v/>
      </c>
      <c r="Q24" s="1397">
        <f>IF(raw[[#This Row],[in]]=0,0,YEAR(raw[[#This Row],[in]]))</f>
        <v/>
      </c>
      <c r="R24" s="1397">
        <f>INT(raw[[#This Row],[yr]]/10)*10</f>
        <v/>
      </c>
      <c r="S24" s="1395">
        <f>IF(raw[[#This Row],[city]]="","-",IF(raw[[#This Row],[city]]&lt;&gt;_xlfn.XLOOKUP(raw[[#This Row],[home]],homes[home],homes[city],"-"),1,0))</f>
        <v/>
      </c>
      <c r="T24" s="1398" t="inlineStr">
        <is>
          <t>.</t>
        </is>
      </c>
      <c r="U24" s="1399">
        <f>IF(raw[[#This Row],[wb]]="w",raw[[#This Row],[stay]]+U23,U23)</f>
        <v/>
      </c>
      <c r="V24" s="1400">
        <f>IF(raw[[#This Row],[out]]=0,V23,(raw[[#This Row],[out]]-E$5))</f>
        <v/>
      </c>
      <c r="W24" s="1401">
        <f>U24/V24</f>
        <v/>
      </c>
      <c r="X24" s="1378" t="inlineStr">
        <is>
          <t>.</t>
        </is>
      </c>
      <c r="Y24" s="1402">
        <f/>
        <v/>
      </c>
      <c r="Z24" s="1403">
        <f/>
        <v/>
      </c>
      <c r="AA24" s="1403">
        <f/>
        <v/>
      </c>
      <c r="AB24" s="1400">
        <f t="array" ref="AB24">_xlfn.LET(_xlpm.S,_xlfn.ANCHORARRAY($Y$4),_xlpm.r,ROWS(stayCity[[#Headers],[city]]:stayCity[[#This Row],[city]])-1,IF(_xlpm.r&lt;=ROWS(_xlpm.S),INDEX(_xlpm.S,_xlpm.r,1),""))</f>
        <v/>
      </c>
      <c r="AC24" s="1405">
        <f t="array" ref="AC24">_xlfn.LET(_xlpm.S,_xlfn.ANCHORARRAY($Y$4),_xlpm.r,ROWS(stayCity[[#Headers],[city]]:stayCity[[#This Row],[city]])-1,IF(_xlpm.r&lt;=ROWS(_xlpm.S),INDEX(_xlpm.S,_xlpm.r,2),""))</f>
        <v/>
      </c>
      <c r="AD24" s="1405">
        <f t="array" ref="AD24">_xlfn.LET(_xlpm.S,_xlfn.ANCHORARRAY($Y$4),_xlpm.r,ROWS(stayCity[[#Headers],[city]]:stayCity[[#This Row],[city]])-1,IF(_xlpm.r&lt;=ROWS(_xlpm.S),INDEX(_xlpm.S,_xlpm.r,3),""))</f>
        <v/>
      </c>
      <c r="AE24" s="1400">
        <f>IF(stayCity[[#This Row],[out]]&lt;&gt;"",stayCity[[#This Row],[out]]-stayCity[[#This Row],[in]],"-")</f>
        <v/>
      </c>
      <c r="AF24" s="1406">
        <f>IF(Y24="","-",YEAR(stayCity[[#This Row],[in]]))</f>
        <v/>
      </c>
      <c r="AG24" s="1398" t="inlineStr">
        <is>
          <t>.</t>
        </is>
      </c>
      <c r="AH24" s="1402">
        <f/>
        <v/>
      </c>
      <c r="AI24" s="1403">
        <f/>
        <v/>
      </c>
      <c r="AJ24" s="1403">
        <f/>
        <v/>
      </c>
      <c r="AK24" s="1400">
        <f>IF(AH24="","-",AH24)</f>
        <v/>
      </c>
      <c r="AL24" s="1405">
        <f>AI24</f>
        <v/>
      </c>
      <c r="AM24" s="1405">
        <f>AJ24</f>
        <v/>
      </c>
      <c r="AN24" s="1400">
        <f>stayCtry[[#This Row],[out]]-stayCtry[[#This Row],[in]]</f>
        <v/>
      </c>
      <c r="AO24" s="1406">
        <f>IF(AI24&lt;&gt;"",AO23+1,AO23)</f>
        <v/>
      </c>
      <c r="AP24" s="1398" t="inlineStr">
        <is>
          <t>.</t>
        </is>
      </c>
      <c r="AQ24" s="1402">
        <f/>
        <v/>
      </c>
      <c r="AR24" s="1403">
        <f/>
        <v/>
      </c>
      <c r="AS24" s="1403">
        <f/>
        <v/>
      </c>
      <c r="AT24" s="1400">
        <f>AQ24</f>
        <v/>
      </c>
      <c r="AU24" s="1405">
        <f>AR24</f>
        <v/>
      </c>
      <c r="AV24" s="1405">
        <f>AS24</f>
        <v/>
      </c>
      <c r="AW24" s="1400">
        <f>stayCont[[#This Row],[out]]-stayCont[[#This Row],[in]]</f>
        <v/>
      </c>
      <c r="AX24" s="1406">
        <f>IF(AR24&lt;&gt;"",AX23+1,AX23)</f>
        <v/>
      </c>
      <c r="AY24" s="1398" t="inlineStr">
        <is>
          <t>.</t>
        </is>
      </c>
      <c r="AZ24" s="1402">
        <f/>
        <v/>
      </c>
      <c r="BA24" s="1403">
        <f/>
        <v/>
      </c>
      <c r="BB24" s="1403">
        <f/>
        <v/>
      </c>
      <c r="BC24" s="1405">
        <f>AZ24</f>
        <v/>
      </c>
      <c r="BD24" s="1405">
        <f>BA24</f>
        <v/>
      </c>
      <c r="BE24" s="1405">
        <f>BB24</f>
        <v/>
      </c>
      <c r="BF24" s="1400">
        <f>stayWB[[#This Row],[out]]-stayWB[[#This Row],[in]]</f>
        <v/>
      </c>
      <c r="BG24" s="1400">
        <f>IF(BB24&lt;&gt;"",BG23+1,BG23)</f>
        <v/>
      </c>
      <c r="BH24" s="1398" t="inlineStr">
        <is>
          <t>.</t>
        </is>
      </c>
      <c r="BI24" s="1402" t="inlineStr">
        <is>
          <t>FRA</t>
        </is>
      </c>
      <c r="BJ24" s="1402" t="n">
        <v>1987</v>
      </c>
      <c r="BK24" s="1400">
        <f>BI24</f>
        <v/>
      </c>
      <c r="BL24" s="1409">
        <f>BJ24</f>
        <v/>
      </c>
      <c r="BM24" s="1378" t="inlineStr">
        <is>
          <t>.</t>
        </is>
      </c>
      <c r="BN24" s="1402" t="inlineStr">
        <is>
          <t>E</t>
        </is>
      </c>
      <c r="BO24" s="1400">
        <f>BN24</f>
        <v/>
      </c>
      <c r="BP24" s="1398" t="inlineStr">
        <is>
          <t>.</t>
        </is>
      </c>
      <c r="BQ24" s="1400">
        <f>IF(BR24&lt;&gt;"",BQ23+1,BQ23)</f>
        <v/>
      </c>
      <c r="BR24" s="1411" t="inlineStr">
        <is>
          <t>Paris</t>
        </is>
      </c>
      <c r="BS24" s="1411" t="inlineStr">
        <is>
          <t>Recife</t>
        </is>
      </c>
      <c r="BT24" s="1412" t="inlineStr">
        <is>
          <t>Paris-Recife</t>
        </is>
      </c>
      <c r="BU24" s="1412" t="n">
        <v>32049</v>
      </c>
      <c r="BV24" s="1398" t="inlineStr">
        <is>
          <t>.</t>
        </is>
      </c>
      <c r="BW24" s="1400">
        <f>IF(BX24&lt;&gt;"",BW23+1,BW23)</f>
        <v/>
      </c>
      <c r="BX24" s="1411">
        <f/>
        <v/>
      </c>
      <c r="BY24" s="1413">
        <f/>
        <v/>
      </c>
      <c r="BZ24" s="1413">
        <f/>
        <v/>
      </c>
      <c r="CA24" s="1414">
        <f>BZ24-BY24</f>
        <v/>
      </c>
      <c r="CB24" s="1398" t="inlineStr">
        <is>
          <t>.</t>
        </is>
      </c>
      <c r="CC24" s="1400">
        <f>IF(CD24&lt;&gt;"",CC23+1,CC23)</f>
        <v/>
      </c>
      <c r="CD24" s="1411" t="inlineStr">
        <is>
          <t>Ondina</t>
        </is>
      </c>
      <c r="CE24" s="1412" t="n">
        <v>34564</v>
      </c>
      <c r="CF24" s="1412" t="n">
        <v>34578</v>
      </c>
      <c r="CG24" s="1415">
        <f>CF24-CE24</f>
        <v/>
      </c>
      <c r="CH24" s="1398" t="inlineStr">
        <is>
          <t>.</t>
        </is>
      </c>
      <c r="CI24" s="1400">
        <f>IF(CJ24&lt;&gt;"",CI23+1,CI23)</f>
        <v/>
      </c>
      <c r="CJ24" s="1402" t="inlineStr">
        <is>
          <t>Alexandre/Brooklin</t>
        </is>
      </c>
      <c r="CK24" s="1391" t="inlineStr">
        <is>
          <t>.</t>
        </is>
      </c>
      <c r="CL24" s="1392" t="n"/>
    </row>
    <row r="25">
      <c r="A25" s="5" t="inlineStr">
        <is>
          <t>.</t>
        </is>
      </c>
      <c r="B25" s="5" t="inlineStr">
        <is>
          <t>.</t>
        </is>
      </c>
      <c r="C25" s="1378">
        <f>IF(raw[[#This Row],[city]]="","-",IF(raw[[#This Row],[city]]="TODAY","-",C24+1))</f>
        <v/>
      </c>
      <c r="D25" s="1393" t="inlineStr">
        <is>
          <t>Rio</t>
        </is>
      </c>
      <c r="E25" s="1394" t="n">
        <v>27769</v>
      </c>
      <c r="F25" s="1394" t="n">
        <v>27774</v>
      </c>
      <c r="G25" s="1393" t="inlineStr">
        <is>
          <t>-</t>
        </is>
      </c>
      <c r="H25" s="1393">
        <f>H24</f>
        <v/>
      </c>
      <c r="I25" s="1393" t="inlineStr">
        <is>
          <t>-</t>
        </is>
      </c>
      <c r="J25" s="1393" t="inlineStr">
        <is>
          <t>-</t>
        </is>
      </c>
      <c r="K25" s="1395">
        <f>IF(raw[[#This Row],[city]]&lt;&gt;"",_xlfn.XLOOKUP($D25,ccc[city],ccc[prov],"-"),"-")</f>
        <v/>
      </c>
      <c r="L25" s="1395">
        <f>IF(raw[[#This Row],[city]]&lt;&gt;"",_xlfn.XLOOKUP($D25,ccc[city],ccc[ctry],"-"),"-")</f>
        <v/>
      </c>
      <c r="M25" s="1395">
        <f>IF(raw[[#This Row],[city]]&lt;&gt;"",_xlfn.XLOOKUP($D25,ccc[city],ccc[cont],"-"),"-")</f>
        <v/>
      </c>
      <c r="N25" s="1396">
        <f>IF(raw[[#This Row],[city]]="","-",IF(raw[[#This Row],[cont]]="B",raw[[#This Row],[cont]],"W"))</f>
        <v/>
      </c>
      <c r="O25" s="1397">
        <f>IF(raw[[#This Row],[out]]=0,0,IF(raw[[#This Row],[out]]=raw[[#This Row],[in]],0.01,raw[[#This Row],[out]]-raw[[#This Row],[in]]))</f>
        <v/>
      </c>
      <c r="P25" s="1397">
        <f>IF(raw[[#This Row],[in]]=0,0,MONTH(raw[[#This Row],[in]]))</f>
        <v/>
      </c>
      <c r="Q25" s="1397">
        <f>IF(raw[[#This Row],[in]]=0,0,YEAR(raw[[#This Row],[in]]))</f>
        <v/>
      </c>
      <c r="R25" s="1397">
        <f>INT(raw[[#This Row],[yr]]/10)*10</f>
        <v/>
      </c>
      <c r="S25" s="1395">
        <f>IF(raw[[#This Row],[city]]="","-",IF(raw[[#This Row],[city]]&lt;&gt;_xlfn.XLOOKUP(raw[[#This Row],[home]],homes[home],homes[city],"-"),1,0))</f>
        <v/>
      </c>
      <c r="T25" s="1398" t="inlineStr">
        <is>
          <t>.</t>
        </is>
      </c>
      <c r="U25" s="1399">
        <f>IF(raw[[#This Row],[wb]]="w",raw[[#This Row],[stay]]+U24,U24)</f>
        <v/>
      </c>
      <c r="V25" s="1400">
        <f>IF(raw[[#This Row],[out]]=0,V24,(raw[[#This Row],[out]]-E$5))</f>
        <v/>
      </c>
      <c r="W25" s="1401">
        <f>U25/V25</f>
        <v/>
      </c>
      <c r="X25" s="1378" t="inlineStr">
        <is>
          <t>.</t>
        </is>
      </c>
      <c r="Y25" s="1402">
        <f/>
        <v/>
      </c>
      <c r="Z25" s="1403">
        <f/>
        <v/>
      </c>
      <c r="AA25" s="1403">
        <f/>
        <v/>
      </c>
      <c r="AB25" s="1400">
        <f t="array" ref="AB25">_xlfn.LET(_xlpm.S,_xlfn.ANCHORARRAY($Y$4),_xlpm.r,ROWS(stayCity[[#Headers],[city]]:stayCity[[#This Row],[city]])-1,IF(_xlpm.r&lt;=ROWS(_xlpm.S),INDEX(_xlpm.S,_xlpm.r,1),""))</f>
        <v/>
      </c>
      <c r="AC25" s="1405">
        <f t="array" ref="AC25">_xlfn.LET(_xlpm.S,_xlfn.ANCHORARRAY($Y$4),_xlpm.r,ROWS(stayCity[[#Headers],[city]]:stayCity[[#This Row],[city]])-1,IF(_xlpm.r&lt;=ROWS(_xlpm.S),INDEX(_xlpm.S,_xlpm.r,2),""))</f>
        <v/>
      </c>
      <c r="AD25" s="1405">
        <f t="array" ref="AD25">_xlfn.LET(_xlpm.S,_xlfn.ANCHORARRAY($Y$4),_xlpm.r,ROWS(stayCity[[#Headers],[city]]:stayCity[[#This Row],[city]])-1,IF(_xlpm.r&lt;=ROWS(_xlpm.S),INDEX(_xlpm.S,_xlpm.r,3),""))</f>
        <v/>
      </c>
      <c r="AE25" s="1400">
        <f>IF(stayCity[[#This Row],[out]]&lt;&gt;"",stayCity[[#This Row],[out]]-stayCity[[#This Row],[in]],"-")</f>
        <v/>
      </c>
      <c r="AF25" s="1406">
        <f>IF(Y25="","-",YEAR(stayCity[[#This Row],[in]]))</f>
        <v/>
      </c>
      <c r="AG25" s="1398" t="inlineStr">
        <is>
          <t>.</t>
        </is>
      </c>
      <c r="AH25" s="1402">
        <f/>
        <v/>
      </c>
      <c r="AI25" s="1403">
        <f/>
        <v/>
      </c>
      <c r="AJ25" s="1403">
        <f/>
        <v/>
      </c>
      <c r="AK25" s="1400">
        <f>IF(AH25="","-",AH25)</f>
        <v/>
      </c>
      <c r="AL25" s="1405">
        <f>AI25</f>
        <v/>
      </c>
      <c r="AM25" s="1405">
        <f>AJ25</f>
        <v/>
      </c>
      <c r="AN25" s="1400">
        <f>stayCtry[[#This Row],[out]]-stayCtry[[#This Row],[in]]</f>
        <v/>
      </c>
      <c r="AO25" s="1406">
        <f>IF(AI25&lt;&gt;"",AO24+1,AO24)</f>
        <v/>
      </c>
      <c r="AP25" s="1398" t="inlineStr">
        <is>
          <t>.</t>
        </is>
      </c>
      <c r="AQ25" s="1402">
        <f/>
        <v/>
      </c>
      <c r="AR25" s="1403">
        <f/>
        <v/>
      </c>
      <c r="AS25" s="1403">
        <f/>
        <v/>
      </c>
      <c r="AT25" s="1400">
        <f>AQ25</f>
        <v/>
      </c>
      <c r="AU25" s="1405">
        <f>AR25</f>
        <v/>
      </c>
      <c r="AV25" s="1405">
        <f>AS25</f>
        <v/>
      </c>
      <c r="AW25" s="1400">
        <f>stayCont[[#This Row],[out]]-stayCont[[#This Row],[in]]</f>
        <v/>
      </c>
      <c r="AX25" s="1406">
        <f>IF(AR25&lt;&gt;"",AX24+1,AX24)</f>
        <v/>
      </c>
      <c r="AY25" s="1398" t="inlineStr">
        <is>
          <t>.</t>
        </is>
      </c>
      <c r="AZ25" s="1402">
        <f/>
        <v/>
      </c>
      <c r="BA25" s="1403">
        <f/>
        <v/>
      </c>
      <c r="BB25" s="1403">
        <f/>
        <v/>
      </c>
      <c r="BC25" s="1405">
        <f>AZ25</f>
        <v/>
      </c>
      <c r="BD25" s="1405">
        <f>BA25</f>
        <v/>
      </c>
      <c r="BE25" s="1405">
        <f>BB25</f>
        <v/>
      </c>
      <c r="BF25" s="1400">
        <f>stayWB[[#This Row],[out]]-stayWB[[#This Row],[in]]</f>
        <v/>
      </c>
      <c r="BG25" s="1400">
        <f>IF(BB25&lt;&gt;"",BG24+1,BG24)</f>
        <v/>
      </c>
      <c r="BH25" s="1398" t="inlineStr">
        <is>
          <t>.</t>
        </is>
      </c>
      <c r="BI25" s="1402" t="inlineStr">
        <is>
          <t>AUT</t>
        </is>
      </c>
      <c r="BJ25" s="1402" t="n">
        <v>1987</v>
      </c>
      <c r="BK25" s="1400">
        <f>BI25</f>
        <v/>
      </c>
      <c r="BL25" s="1409">
        <f>BJ25</f>
        <v/>
      </c>
      <c r="BM25" s="1378" t="inlineStr">
        <is>
          <t>.</t>
        </is>
      </c>
      <c r="BN25" s="1402" t="inlineStr">
        <is>
          <t>A</t>
        </is>
      </c>
      <c r="BO25" s="1400">
        <f>BN25</f>
        <v/>
      </c>
      <c r="BP25" s="1398" t="inlineStr">
        <is>
          <t>.</t>
        </is>
      </c>
      <c r="BQ25" s="1400">
        <f>IF(BR25&lt;&gt;"",BQ24+1,BQ24)</f>
        <v/>
      </c>
      <c r="BR25" s="1411" t="inlineStr">
        <is>
          <t>Recife</t>
        </is>
      </c>
      <c r="BS25" s="1411" t="inlineStr">
        <is>
          <t>SSA</t>
        </is>
      </c>
      <c r="BT25" s="1412" t="inlineStr">
        <is>
          <t>Recife-SSA</t>
        </is>
      </c>
      <c r="BU25" s="1412" t="n">
        <v>32050</v>
      </c>
      <c r="BV25" s="1398" t="inlineStr">
        <is>
          <t>.</t>
        </is>
      </c>
      <c r="BW25" s="1400">
        <f>IF(BX25&lt;&gt;"",BW24+1,BW24)</f>
        <v/>
      </c>
      <c r="BX25" s="1411">
        <f/>
        <v/>
      </c>
      <c r="BY25" s="1413">
        <f/>
        <v/>
      </c>
      <c r="BZ25" s="1413">
        <f/>
        <v/>
      </c>
      <c r="CA25" s="1414">
        <f>BZ25-BY25</f>
        <v/>
      </c>
      <c r="CB25" s="1398" t="inlineStr">
        <is>
          <t>.</t>
        </is>
      </c>
      <c r="CC25" s="1400">
        <f>IF(CD25&lt;&gt;"",CC24+1,CC24)</f>
        <v/>
      </c>
      <c r="CD25" s="1411" t="inlineStr">
        <is>
          <t>Ondina</t>
        </is>
      </c>
      <c r="CE25" s="1412" t="n">
        <v>34669</v>
      </c>
      <c r="CF25" s="1412" t="n">
        <v>34727</v>
      </c>
      <c r="CG25" s="1415">
        <f>CF25-CE25</f>
        <v/>
      </c>
      <c r="CH25" s="1398" t="inlineStr">
        <is>
          <t>.</t>
        </is>
      </c>
      <c r="CI25" s="1400">
        <f>IF(CJ25&lt;&gt;"",CI24+1,CI24)</f>
        <v/>
      </c>
      <c r="CJ25" s="1402" t="inlineStr">
        <is>
          <t>Otavio</t>
        </is>
      </c>
      <c r="CK25" s="1391" t="inlineStr">
        <is>
          <t>.</t>
        </is>
      </c>
      <c r="CL25" s="1392" t="n"/>
    </row>
    <row r="26">
      <c r="A26" s="5" t="inlineStr">
        <is>
          <t>.</t>
        </is>
      </c>
      <c r="B26" s="5" t="inlineStr">
        <is>
          <t>.</t>
        </is>
      </c>
      <c r="C26" s="1378">
        <f>IF(raw[[#This Row],[city]]="","-",IF(raw[[#This Row],[city]]="TODAY","-",C25+1))</f>
        <v/>
      </c>
      <c r="D26" s="1393" t="inlineStr">
        <is>
          <t>ROAD</t>
        </is>
      </c>
      <c r="E26" s="1394" t="n">
        <v>27774</v>
      </c>
      <c r="F26" s="1394" t="n">
        <v>27775</v>
      </c>
      <c r="G26" s="1393" t="inlineStr">
        <is>
          <t>-</t>
        </is>
      </c>
      <c r="H26" s="1393">
        <f>H25</f>
        <v/>
      </c>
      <c r="I26" s="1393" t="inlineStr">
        <is>
          <t>-</t>
        </is>
      </c>
      <c r="J26" s="1393" t="inlineStr">
        <is>
          <t>-</t>
        </is>
      </c>
      <c r="K26" s="1395">
        <f>IF(raw[[#This Row],[city]]&lt;&gt;"",_xlfn.XLOOKUP($D26,ccc[city],ccc[prov],"-"),"-")</f>
        <v/>
      </c>
      <c r="L26" s="1395">
        <f>IF(raw[[#This Row],[city]]&lt;&gt;"",_xlfn.XLOOKUP($D26,ccc[city],ccc[ctry],"-"),"-")</f>
        <v/>
      </c>
      <c r="M26" s="1395">
        <f>IF(raw[[#This Row],[city]]&lt;&gt;"",_xlfn.XLOOKUP($D26,ccc[city],ccc[cont],"-"),"-")</f>
        <v/>
      </c>
      <c r="N26" s="1396">
        <f>IF(raw[[#This Row],[city]]="","-",IF(raw[[#This Row],[cont]]="B",raw[[#This Row],[cont]],"W"))</f>
        <v/>
      </c>
      <c r="O26" s="1397">
        <f>IF(raw[[#This Row],[out]]=0,0,IF(raw[[#This Row],[out]]=raw[[#This Row],[in]],0.01,raw[[#This Row],[out]]-raw[[#This Row],[in]]))</f>
        <v/>
      </c>
      <c r="P26" s="1397">
        <f>IF(raw[[#This Row],[in]]=0,0,MONTH(raw[[#This Row],[in]]))</f>
        <v/>
      </c>
      <c r="Q26" s="1397">
        <f>IF(raw[[#This Row],[in]]=0,0,YEAR(raw[[#This Row],[in]]))</f>
        <v/>
      </c>
      <c r="R26" s="1397">
        <f>INT(raw[[#This Row],[yr]]/10)*10</f>
        <v/>
      </c>
      <c r="S26" s="1395">
        <f>IF(raw[[#This Row],[city]]="","-",IF(raw[[#This Row],[city]]&lt;&gt;_xlfn.XLOOKUP(raw[[#This Row],[home]],homes[home],homes[city],"-"),1,0))</f>
        <v/>
      </c>
      <c r="T26" s="1398" t="inlineStr">
        <is>
          <t>.</t>
        </is>
      </c>
      <c r="U26" s="1399">
        <f>IF(raw[[#This Row],[wb]]="w",raw[[#This Row],[stay]]+U25,U25)</f>
        <v/>
      </c>
      <c r="V26" s="1400">
        <f>IF(raw[[#This Row],[out]]=0,V25,(raw[[#This Row],[out]]-E$5))</f>
        <v/>
      </c>
      <c r="W26" s="1401">
        <f>U26/V26</f>
        <v/>
      </c>
      <c r="X26" s="1378" t="inlineStr">
        <is>
          <t>.</t>
        </is>
      </c>
      <c r="Y26" s="1402">
        <f/>
        <v/>
      </c>
      <c r="Z26" s="1403">
        <f/>
        <v/>
      </c>
      <c r="AA26" s="1403">
        <f/>
        <v/>
      </c>
      <c r="AB26" s="1400">
        <f t="array" ref="AB26">_xlfn.LET(_xlpm.S,_xlfn.ANCHORARRAY($Y$4),_xlpm.r,ROWS(stayCity[[#Headers],[city]]:stayCity[[#This Row],[city]])-1,IF(_xlpm.r&lt;=ROWS(_xlpm.S),INDEX(_xlpm.S,_xlpm.r,1),""))</f>
        <v/>
      </c>
      <c r="AC26" s="1405">
        <f t="array" ref="AC26">_xlfn.LET(_xlpm.S,_xlfn.ANCHORARRAY($Y$4),_xlpm.r,ROWS(stayCity[[#Headers],[city]]:stayCity[[#This Row],[city]])-1,IF(_xlpm.r&lt;=ROWS(_xlpm.S),INDEX(_xlpm.S,_xlpm.r,2),""))</f>
        <v/>
      </c>
      <c r="AD26" s="1405">
        <f t="array" ref="AD26">_xlfn.LET(_xlpm.S,_xlfn.ANCHORARRAY($Y$4),_xlpm.r,ROWS(stayCity[[#Headers],[city]]:stayCity[[#This Row],[city]])-1,IF(_xlpm.r&lt;=ROWS(_xlpm.S),INDEX(_xlpm.S,_xlpm.r,3),""))</f>
        <v/>
      </c>
      <c r="AE26" s="1400">
        <f>IF(stayCity[[#This Row],[out]]&lt;&gt;"",stayCity[[#This Row],[out]]-stayCity[[#This Row],[in]],"-")</f>
        <v/>
      </c>
      <c r="AF26" s="1406">
        <f>IF(Y26="","-",YEAR(stayCity[[#This Row],[in]]))</f>
        <v/>
      </c>
      <c r="AG26" s="1398" t="inlineStr">
        <is>
          <t>.</t>
        </is>
      </c>
      <c r="AH26" s="1402">
        <f/>
        <v/>
      </c>
      <c r="AI26" s="1403">
        <f/>
        <v/>
      </c>
      <c r="AJ26" s="1403">
        <f/>
        <v/>
      </c>
      <c r="AK26" s="1400">
        <f>IF(AH26="","-",AH26)</f>
        <v/>
      </c>
      <c r="AL26" s="1405">
        <f>AI26</f>
        <v/>
      </c>
      <c r="AM26" s="1405">
        <f>AJ26</f>
        <v/>
      </c>
      <c r="AN26" s="1400">
        <f>stayCtry[[#This Row],[out]]-stayCtry[[#This Row],[in]]</f>
        <v/>
      </c>
      <c r="AO26" s="1406">
        <f>IF(AI26&lt;&gt;"",AO25+1,AO25)</f>
        <v/>
      </c>
      <c r="AP26" s="1398" t="inlineStr">
        <is>
          <t>.</t>
        </is>
      </c>
      <c r="AQ26" s="1402">
        <f/>
        <v/>
      </c>
      <c r="AR26" s="1403">
        <f/>
        <v/>
      </c>
      <c r="AS26" s="1403">
        <f/>
        <v/>
      </c>
      <c r="AT26" s="1400">
        <f>AQ26</f>
        <v/>
      </c>
      <c r="AU26" s="1405">
        <f>AR26</f>
        <v/>
      </c>
      <c r="AV26" s="1405">
        <f>AS26</f>
        <v/>
      </c>
      <c r="AW26" s="1400">
        <f>stayCont[[#This Row],[out]]-stayCont[[#This Row],[in]]</f>
        <v/>
      </c>
      <c r="AX26" s="1406">
        <f>IF(AR26&lt;&gt;"",AX25+1,AX25)</f>
        <v/>
      </c>
      <c r="AY26" s="1398" t="inlineStr">
        <is>
          <t>.</t>
        </is>
      </c>
      <c r="AZ26" s="1402">
        <f/>
        <v/>
      </c>
      <c r="BA26" s="1403">
        <f/>
        <v/>
      </c>
      <c r="BB26" s="1403">
        <f/>
        <v/>
      </c>
      <c r="BC26" s="1405">
        <f>AZ26</f>
        <v/>
      </c>
      <c r="BD26" s="1405">
        <f>BA26</f>
        <v/>
      </c>
      <c r="BE26" s="1405">
        <f>BB26</f>
        <v/>
      </c>
      <c r="BF26" s="1400">
        <f>stayWB[[#This Row],[out]]-stayWB[[#This Row],[in]]</f>
        <v/>
      </c>
      <c r="BG26" s="1400">
        <f>IF(BB26&lt;&gt;"",BG25+1,BG25)</f>
        <v/>
      </c>
      <c r="BH26" s="1398" t="inlineStr">
        <is>
          <t>.</t>
        </is>
      </c>
      <c r="BI26" s="1402" t="inlineStr">
        <is>
          <t>HUN</t>
        </is>
      </c>
      <c r="BJ26" s="1402" t="n">
        <v>1987</v>
      </c>
      <c r="BK26" s="1400">
        <f>BI26</f>
        <v/>
      </c>
      <c r="BL26" s="1409">
        <f>BJ26</f>
        <v/>
      </c>
      <c r="BM26" s="1378" t="inlineStr">
        <is>
          <t>.</t>
        </is>
      </c>
      <c r="BN26" s="1402" t="inlineStr">
        <is>
          <t>E</t>
        </is>
      </c>
      <c r="BO26" s="1400">
        <f>BN26</f>
        <v/>
      </c>
      <c r="BP26" s="1398" t="inlineStr">
        <is>
          <t>.</t>
        </is>
      </c>
      <c r="BQ26" s="1400">
        <f>IF(BR26&lt;&gt;"",BQ25+1,BQ25)</f>
        <v/>
      </c>
      <c r="BR26" s="1411" t="inlineStr">
        <is>
          <t>SSA</t>
        </is>
      </c>
      <c r="BS26" s="1411" t="inlineStr">
        <is>
          <t>Cairo</t>
        </is>
      </c>
      <c r="BT26" s="1412" t="inlineStr">
        <is>
          <t>SSA-Cairo</t>
        </is>
      </c>
      <c r="BU26" s="1412" t="n">
        <v>32781</v>
      </c>
      <c r="BV26" s="1398" t="inlineStr">
        <is>
          <t>.</t>
        </is>
      </c>
      <c r="BW26" s="1400">
        <f>IF(BX26&lt;&gt;"",BW25+1,BW25)</f>
        <v/>
      </c>
      <c r="BX26" s="1411">
        <f/>
        <v/>
      </c>
      <c r="BY26" s="1413">
        <f/>
        <v/>
      </c>
      <c r="BZ26" s="1413">
        <f/>
        <v/>
      </c>
      <c r="CA26" s="1414">
        <f>BZ26-BY26</f>
        <v/>
      </c>
      <c r="CB26" s="1398" t="inlineStr">
        <is>
          <t>.</t>
        </is>
      </c>
      <c r="CC26" s="1400">
        <f>IF(CD26&lt;&gt;"",CC25+1,CC25)</f>
        <v/>
      </c>
      <c r="CD26" s="1411" t="inlineStr">
        <is>
          <t>Ondina</t>
        </is>
      </c>
      <c r="CE26" s="1412" t="n">
        <v>34752</v>
      </c>
      <c r="CF26" s="1412" t="n">
        <v>34759</v>
      </c>
      <c r="CG26" s="1415">
        <f>CF26-CE26</f>
        <v/>
      </c>
      <c r="CH26" s="1398" t="inlineStr">
        <is>
          <t>.</t>
        </is>
      </c>
      <c r="CI26" s="1400">
        <f>IF(CJ26&lt;&gt;"",CI25+1,CI25)</f>
        <v/>
      </c>
      <c r="CJ26" s="1402" t="inlineStr">
        <is>
          <t>Thomas/Tufnell</t>
        </is>
      </c>
      <c r="CK26" s="1391" t="inlineStr">
        <is>
          <t>.</t>
        </is>
      </c>
      <c r="CL26" s="1392" t="n"/>
    </row>
    <row r="27">
      <c r="A27" s="5" t="inlineStr">
        <is>
          <t>.</t>
        </is>
      </c>
      <c r="B27" s="5" t="inlineStr">
        <is>
          <t>.</t>
        </is>
      </c>
      <c r="C27" s="1378">
        <f>IF(raw[[#This Row],[city]]="","-",IF(raw[[#This Row],[city]]="TODAY","-",C26+1))</f>
        <v/>
      </c>
      <c r="D27" s="1393" t="inlineStr">
        <is>
          <t>SSA</t>
        </is>
      </c>
      <c r="E27" s="1394" t="n">
        <v>27775</v>
      </c>
      <c r="F27" s="1394" t="n">
        <v>27851</v>
      </c>
      <c r="G27" s="1393" t="inlineStr">
        <is>
          <t>-</t>
        </is>
      </c>
      <c r="H27" s="1393">
        <f>H26</f>
        <v/>
      </c>
      <c r="I27" s="1393" t="inlineStr">
        <is>
          <t>-</t>
        </is>
      </c>
      <c r="J27" s="1393" t="inlineStr">
        <is>
          <t>-</t>
        </is>
      </c>
      <c r="K27" s="1395">
        <f>IF(raw[[#This Row],[city]]&lt;&gt;"",_xlfn.XLOOKUP($D27,ccc[city],ccc[prov],"-"),"-")</f>
        <v/>
      </c>
      <c r="L27" s="1395">
        <f>IF(raw[[#This Row],[city]]&lt;&gt;"",_xlfn.XLOOKUP($D27,ccc[city],ccc[ctry],"-"),"-")</f>
        <v/>
      </c>
      <c r="M27" s="1395">
        <f>IF(raw[[#This Row],[city]]&lt;&gt;"",_xlfn.XLOOKUP($D27,ccc[city],ccc[cont],"-"),"-")</f>
        <v/>
      </c>
      <c r="N27" s="1396">
        <f>IF(raw[[#This Row],[city]]="","-",IF(raw[[#This Row],[cont]]="B",raw[[#This Row],[cont]],"W"))</f>
        <v/>
      </c>
      <c r="O27" s="1397">
        <f>IF(raw[[#This Row],[out]]=0,0,IF(raw[[#This Row],[out]]=raw[[#This Row],[in]],0.01,raw[[#This Row],[out]]-raw[[#This Row],[in]]))</f>
        <v/>
      </c>
      <c r="P27" s="1397">
        <f>IF(raw[[#This Row],[in]]=0,0,MONTH(raw[[#This Row],[in]]))</f>
        <v/>
      </c>
      <c r="Q27" s="1397">
        <f>IF(raw[[#This Row],[in]]=0,0,YEAR(raw[[#This Row],[in]]))</f>
        <v/>
      </c>
      <c r="R27" s="1397">
        <f>INT(raw[[#This Row],[yr]]/10)*10</f>
        <v/>
      </c>
      <c r="S27" s="1395">
        <f>IF(raw[[#This Row],[city]]="","-",IF(raw[[#This Row],[city]]&lt;&gt;_xlfn.XLOOKUP(raw[[#This Row],[home]],homes[home],homes[city],"-"),1,0))</f>
        <v/>
      </c>
      <c r="T27" s="1398" t="inlineStr">
        <is>
          <t>.</t>
        </is>
      </c>
      <c r="U27" s="1399">
        <f>IF(raw[[#This Row],[wb]]="w",raw[[#This Row],[stay]]+U26,U26)</f>
        <v/>
      </c>
      <c r="V27" s="1400">
        <f>IF(raw[[#This Row],[out]]=0,V26,(raw[[#This Row],[out]]-E$5))</f>
        <v/>
      </c>
      <c r="W27" s="1401">
        <f>U27/V27</f>
        <v/>
      </c>
      <c r="X27" s="1378" t="inlineStr">
        <is>
          <t>.</t>
        </is>
      </c>
      <c r="Y27" s="1402">
        <f/>
        <v/>
      </c>
      <c r="Z27" s="1403">
        <f/>
        <v/>
      </c>
      <c r="AA27" s="1403">
        <f/>
        <v/>
      </c>
      <c r="AB27" s="1400">
        <f t="array" ref="AB27">_xlfn.LET(_xlpm.S,_xlfn.ANCHORARRAY($Y$4),_xlpm.r,ROWS(stayCity[[#Headers],[city]]:stayCity[[#This Row],[city]])-1,IF(_xlpm.r&lt;=ROWS(_xlpm.S),INDEX(_xlpm.S,_xlpm.r,1),""))</f>
        <v/>
      </c>
      <c r="AC27" s="1405">
        <f t="array" ref="AC27">_xlfn.LET(_xlpm.S,_xlfn.ANCHORARRAY($Y$4),_xlpm.r,ROWS(stayCity[[#Headers],[city]]:stayCity[[#This Row],[city]])-1,IF(_xlpm.r&lt;=ROWS(_xlpm.S),INDEX(_xlpm.S,_xlpm.r,2),""))</f>
        <v/>
      </c>
      <c r="AD27" s="1405">
        <f t="array" ref="AD27">_xlfn.LET(_xlpm.S,_xlfn.ANCHORARRAY($Y$4),_xlpm.r,ROWS(stayCity[[#Headers],[city]]:stayCity[[#This Row],[city]])-1,IF(_xlpm.r&lt;=ROWS(_xlpm.S),INDEX(_xlpm.S,_xlpm.r,3),""))</f>
        <v/>
      </c>
      <c r="AE27" s="1400">
        <f>IF(stayCity[[#This Row],[out]]&lt;&gt;"",stayCity[[#This Row],[out]]-stayCity[[#This Row],[in]],"-")</f>
        <v/>
      </c>
      <c r="AF27" s="1406">
        <f>IF(Y27="","-",YEAR(stayCity[[#This Row],[in]]))</f>
        <v/>
      </c>
      <c r="AG27" s="1398" t="inlineStr">
        <is>
          <t>.</t>
        </is>
      </c>
      <c r="AH27" s="1402">
        <f/>
        <v/>
      </c>
      <c r="AI27" s="1403">
        <f/>
        <v/>
      </c>
      <c r="AJ27" s="1403">
        <f/>
        <v/>
      </c>
      <c r="AK27" s="1400">
        <f>IF(AH27="","-",AH27)</f>
        <v/>
      </c>
      <c r="AL27" s="1405">
        <f>AI27</f>
        <v/>
      </c>
      <c r="AM27" s="1405">
        <f>AJ27</f>
        <v/>
      </c>
      <c r="AN27" s="1400">
        <f>stayCtry[[#This Row],[out]]-stayCtry[[#This Row],[in]]</f>
        <v/>
      </c>
      <c r="AO27" s="1406">
        <f>IF(AI27&lt;&gt;"",AO26+1,AO26)</f>
        <v/>
      </c>
      <c r="AP27" s="1398" t="inlineStr">
        <is>
          <t>.</t>
        </is>
      </c>
      <c r="AQ27" s="1402">
        <f/>
        <v/>
      </c>
      <c r="AR27" s="1403">
        <f/>
        <v/>
      </c>
      <c r="AS27" s="1403">
        <f/>
        <v/>
      </c>
      <c r="AT27" s="1400">
        <f>AQ27</f>
        <v/>
      </c>
      <c r="AU27" s="1405">
        <f>AR27</f>
        <v/>
      </c>
      <c r="AV27" s="1405">
        <f>AS27</f>
        <v/>
      </c>
      <c r="AW27" s="1400">
        <f>stayCont[[#This Row],[out]]-stayCont[[#This Row],[in]]</f>
        <v/>
      </c>
      <c r="AX27" s="1406">
        <f>IF(AR27&lt;&gt;"",AX26+1,AX26)</f>
        <v/>
      </c>
      <c r="AY27" s="1398" t="inlineStr">
        <is>
          <t>.</t>
        </is>
      </c>
      <c r="AZ27" s="1402">
        <f/>
        <v/>
      </c>
      <c r="BA27" s="1403">
        <f/>
        <v/>
      </c>
      <c r="BB27" s="1403">
        <f/>
        <v/>
      </c>
      <c r="BC27" s="1405">
        <f>AZ27</f>
        <v/>
      </c>
      <c r="BD27" s="1405">
        <f>BA27</f>
        <v/>
      </c>
      <c r="BE27" s="1405">
        <f>BB27</f>
        <v/>
      </c>
      <c r="BF27" s="1400">
        <f>stayWB[[#This Row],[out]]-stayWB[[#This Row],[in]]</f>
        <v/>
      </c>
      <c r="BG27" s="1400">
        <f>IF(BB27&lt;&gt;"",BG26+1,BG26)</f>
        <v/>
      </c>
      <c r="BH27" s="1398" t="inlineStr">
        <is>
          <t>.</t>
        </is>
      </c>
      <c r="BI27" s="1402" t="inlineStr">
        <is>
          <t>AUT</t>
        </is>
      </c>
      <c r="BJ27" s="1402" t="n">
        <v>1987</v>
      </c>
      <c r="BK27" s="1400">
        <f>BI27</f>
        <v/>
      </c>
      <c r="BL27" s="1409">
        <f>BJ27</f>
        <v/>
      </c>
      <c r="BM27" s="1378" t="inlineStr">
        <is>
          <t>.</t>
        </is>
      </c>
      <c r="BN27" s="1402" t="inlineStr">
        <is>
          <t>Z</t>
        </is>
      </c>
      <c r="BO27" s="1400">
        <f>BN27</f>
        <v/>
      </c>
      <c r="BP27" s="1398" t="inlineStr">
        <is>
          <t>.</t>
        </is>
      </c>
      <c r="BQ27" s="1400">
        <f>IF(BR27&lt;&gt;"",BQ26+1,BQ26)</f>
        <v/>
      </c>
      <c r="BR27" s="1411" t="inlineStr">
        <is>
          <t>Cairo</t>
        </is>
      </c>
      <c r="BS27" s="1411" t="inlineStr">
        <is>
          <t>Athens</t>
        </is>
      </c>
      <c r="BT27" s="1412" t="inlineStr">
        <is>
          <t>Cairo-Athens</t>
        </is>
      </c>
      <c r="BU27" s="1412" t="n">
        <v>32786</v>
      </c>
      <c r="BV27" s="1398" t="inlineStr">
        <is>
          <t>.</t>
        </is>
      </c>
      <c r="BW27" s="1400">
        <f>IF(BX27&lt;&gt;"",BW26+1,BW26)</f>
        <v/>
      </c>
      <c r="BX27" s="1411">
        <f/>
        <v/>
      </c>
      <c r="BY27" s="1413">
        <f/>
        <v/>
      </c>
      <c r="BZ27" s="1413">
        <f/>
        <v/>
      </c>
      <c r="CA27" s="1414">
        <f>BZ27-BY27</f>
        <v/>
      </c>
      <c r="CB27" s="1398" t="inlineStr">
        <is>
          <t>.</t>
        </is>
      </c>
      <c r="CC27" s="1400">
        <f>IF(CD27&lt;&gt;"",CC26+1,CC26)</f>
        <v/>
      </c>
      <c r="CD27" s="1411" t="inlineStr">
        <is>
          <t>Ondina</t>
        </is>
      </c>
      <c r="CE27" s="1412" t="n">
        <v>34872</v>
      </c>
      <c r="CF27" s="1412" t="n">
        <v>34873</v>
      </c>
      <c r="CG27" s="1415">
        <f>CF27-CE27</f>
        <v/>
      </c>
      <c r="CH27" s="1398" t="inlineStr">
        <is>
          <t>.</t>
        </is>
      </c>
      <c r="CI27" s="1400">
        <f>IF(CJ27&lt;&gt;"",CI26+1,CI26)</f>
        <v/>
      </c>
      <c r="CJ27" s="1402" t="inlineStr">
        <is>
          <t>René/Ipanema</t>
        </is>
      </c>
      <c r="CK27" s="1391" t="inlineStr">
        <is>
          <t>.</t>
        </is>
      </c>
      <c r="CL27" s="1392" t="n"/>
    </row>
    <row r="28">
      <c r="A28" s="5" t="inlineStr">
        <is>
          <t>.</t>
        </is>
      </c>
      <c r="B28" s="5" t="inlineStr">
        <is>
          <t>.</t>
        </is>
      </c>
      <c r="C28" s="1378">
        <f>IF(raw[[#This Row],[city]]="","-",IF(raw[[#This Row],[city]]="TODAY","-",C27+1))</f>
        <v/>
      </c>
      <c r="D28" s="1393" t="inlineStr">
        <is>
          <t>Recife</t>
        </is>
      </c>
      <c r="E28" s="1394" t="n">
        <v>27851</v>
      </c>
      <c r="F28" s="1394" t="n">
        <v>27855</v>
      </c>
      <c r="G28" s="1393" t="inlineStr">
        <is>
          <t>-</t>
        </is>
      </c>
      <c r="H28" s="1393">
        <f>H27</f>
        <v/>
      </c>
      <c r="I28" s="1393" t="inlineStr">
        <is>
          <t>-</t>
        </is>
      </c>
      <c r="J28" s="1393" t="inlineStr">
        <is>
          <t>-</t>
        </is>
      </c>
      <c r="K28" s="1395">
        <f>IF(raw[[#This Row],[city]]&lt;&gt;"",_xlfn.XLOOKUP($D28,ccc[city],ccc[prov],"-"),"-")</f>
        <v/>
      </c>
      <c r="L28" s="1395">
        <f>IF(raw[[#This Row],[city]]&lt;&gt;"",_xlfn.XLOOKUP($D28,ccc[city],ccc[ctry],"-"),"-")</f>
        <v/>
      </c>
      <c r="M28" s="1395">
        <f>IF(raw[[#This Row],[city]]&lt;&gt;"",_xlfn.XLOOKUP($D28,ccc[city],ccc[cont],"-"),"-")</f>
        <v/>
      </c>
      <c r="N28" s="1396">
        <f>IF(raw[[#This Row],[city]]="","-",IF(raw[[#This Row],[cont]]="B",raw[[#This Row],[cont]],"W"))</f>
        <v/>
      </c>
      <c r="O28" s="1397">
        <f>IF(raw[[#This Row],[out]]=0,0,IF(raw[[#This Row],[out]]=raw[[#This Row],[in]],0.01,raw[[#This Row],[out]]-raw[[#This Row],[in]]))</f>
        <v/>
      </c>
      <c r="P28" s="1397">
        <f>IF(raw[[#This Row],[in]]=0,0,MONTH(raw[[#This Row],[in]]))</f>
        <v/>
      </c>
      <c r="Q28" s="1397">
        <f>IF(raw[[#This Row],[in]]=0,0,YEAR(raw[[#This Row],[in]]))</f>
        <v/>
      </c>
      <c r="R28" s="1397">
        <f>INT(raw[[#This Row],[yr]]/10)*10</f>
        <v/>
      </c>
      <c r="S28" s="1395">
        <f>IF(raw[[#This Row],[city]]="","-",IF(raw[[#This Row],[city]]&lt;&gt;_xlfn.XLOOKUP(raw[[#This Row],[home]],homes[home],homes[city],"-"),1,0))</f>
        <v/>
      </c>
      <c r="T28" s="1398" t="inlineStr">
        <is>
          <t>.</t>
        </is>
      </c>
      <c r="U28" s="1399">
        <f>IF(raw[[#This Row],[wb]]="w",raw[[#This Row],[stay]]+U27,U27)</f>
        <v/>
      </c>
      <c r="V28" s="1400">
        <f>IF(raw[[#This Row],[out]]=0,V27,(raw[[#This Row],[out]]-E$5))</f>
        <v/>
      </c>
      <c r="W28" s="1401">
        <f>U28/V28</f>
        <v/>
      </c>
      <c r="X28" s="1378" t="inlineStr">
        <is>
          <t>.</t>
        </is>
      </c>
      <c r="Y28" s="1402">
        <f/>
        <v/>
      </c>
      <c r="Z28" s="1403">
        <f/>
        <v/>
      </c>
      <c r="AA28" s="1403">
        <f/>
        <v/>
      </c>
      <c r="AB28" s="1400">
        <f t="array" ref="AB28">_xlfn.LET(_xlpm.S,_xlfn.ANCHORARRAY($Y$4),_xlpm.r,ROWS(stayCity[[#Headers],[city]]:stayCity[[#This Row],[city]])-1,IF(_xlpm.r&lt;=ROWS(_xlpm.S),INDEX(_xlpm.S,_xlpm.r,1),""))</f>
        <v/>
      </c>
      <c r="AC28" s="1405">
        <f t="array" ref="AC28">_xlfn.LET(_xlpm.S,_xlfn.ANCHORARRAY($Y$4),_xlpm.r,ROWS(stayCity[[#Headers],[city]]:stayCity[[#This Row],[city]])-1,IF(_xlpm.r&lt;=ROWS(_xlpm.S),INDEX(_xlpm.S,_xlpm.r,2),""))</f>
        <v/>
      </c>
      <c r="AD28" s="1405">
        <f t="array" ref="AD28">_xlfn.LET(_xlpm.S,_xlfn.ANCHORARRAY($Y$4),_xlpm.r,ROWS(stayCity[[#Headers],[city]]:stayCity[[#This Row],[city]])-1,IF(_xlpm.r&lt;=ROWS(_xlpm.S),INDEX(_xlpm.S,_xlpm.r,3),""))</f>
        <v/>
      </c>
      <c r="AE28" s="1400">
        <f>IF(stayCity[[#This Row],[out]]&lt;&gt;"",stayCity[[#This Row],[out]]-stayCity[[#This Row],[in]],"-")</f>
        <v/>
      </c>
      <c r="AF28" s="1406">
        <f>IF(Y28="","-",YEAR(stayCity[[#This Row],[in]]))</f>
        <v/>
      </c>
      <c r="AG28" s="1398" t="inlineStr">
        <is>
          <t>.</t>
        </is>
      </c>
      <c r="AH28" s="1402">
        <f/>
        <v/>
      </c>
      <c r="AI28" s="1403">
        <f/>
        <v/>
      </c>
      <c r="AJ28" s="1403">
        <f/>
        <v/>
      </c>
      <c r="AK28" s="1400">
        <f>IF(AH28="","-",AH28)</f>
        <v/>
      </c>
      <c r="AL28" s="1405">
        <f>AI28</f>
        <v/>
      </c>
      <c r="AM28" s="1405">
        <f>AJ28</f>
        <v/>
      </c>
      <c r="AN28" s="1400">
        <f>stayCtry[[#This Row],[out]]-stayCtry[[#This Row],[in]]</f>
        <v/>
      </c>
      <c r="AO28" s="1406">
        <f>IF(AI28&lt;&gt;"",AO27+1,AO27)</f>
        <v/>
      </c>
      <c r="AP28" s="1398" t="inlineStr">
        <is>
          <t>.</t>
        </is>
      </c>
      <c r="AQ28" s="1402">
        <f/>
        <v/>
      </c>
      <c r="AR28" s="1403">
        <f/>
        <v/>
      </c>
      <c r="AS28" s="1403">
        <f/>
        <v/>
      </c>
      <c r="AT28" s="1400">
        <f>AQ28</f>
        <v/>
      </c>
      <c r="AU28" s="1405">
        <f>AR28</f>
        <v/>
      </c>
      <c r="AV28" s="1405">
        <f>AS28</f>
        <v/>
      </c>
      <c r="AW28" s="1400">
        <f>stayCont[[#This Row],[out]]-stayCont[[#This Row],[in]]</f>
        <v/>
      </c>
      <c r="AX28" s="1406">
        <f>IF(AR28&lt;&gt;"",AX27+1,AX27)</f>
        <v/>
      </c>
      <c r="AY28" s="1398" t="inlineStr">
        <is>
          <t>.</t>
        </is>
      </c>
      <c r="AZ28" s="1402">
        <f/>
        <v/>
      </c>
      <c r="BA28" s="1403">
        <f/>
        <v/>
      </c>
      <c r="BB28" s="1403">
        <f/>
        <v/>
      </c>
      <c r="BC28" s="1405">
        <f>AZ28</f>
        <v/>
      </c>
      <c r="BD28" s="1405">
        <f>BA28</f>
        <v/>
      </c>
      <c r="BE28" s="1405">
        <f>BB28</f>
        <v/>
      </c>
      <c r="BF28" s="1400">
        <f>stayWB[[#This Row],[out]]-stayWB[[#This Row],[in]]</f>
        <v/>
      </c>
      <c r="BG28" s="1400">
        <f>IF(BB28&lt;&gt;"",BG27+1,BG27)</f>
        <v/>
      </c>
      <c r="BH28" s="1398" t="inlineStr">
        <is>
          <t>.</t>
        </is>
      </c>
      <c r="BI28" s="1402" t="inlineStr">
        <is>
          <t>DEU</t>
        </is>
      </c>
      <c r="BJ28" s="1402" t="n">
        <v>1987</v>
      </c>
      <c r="BK28" s="1400">
        <f>BI28</f>
        <v/>
      </c>
      <c r="BL28" s="1409">
        <f>BJ28</f>
        <v/>
      </c>
      <c r="BM28" s="1378" t="inlineStr">
        <is>
          <t>.</t>
        </is>
      </c>
      <c r="BN28" s="1402" t="inlineStr">
        <is>
          <t>B</t>
        </is>
      </c>
      <c r="BO28" s="1400">
        <f>BN28</f>
        <v/>
      </c>
      <c r="BP28" s="1398" t="inlineStr">
        <is>
          <t>.</t>
        </is>
      </c>
      <c r="BQ28" s="1400">
        <f>IF(BR28&lt;&gt;"",BQ27+1,BQ27)</f>
        <v/>
      </c>
      <c r="BR28" s="1411" t="inlineStr">
        <is>
          <t>Athens</t>
        </is>
      </c>
      <c r="BS28" s="1411" t="inlineStr">
        <is>
          <t>Paris</t>
        </is>
      </c>
      <c r="BT28" s="1412" t="inlineStr">
        <is>
          <t>Athens-Paris</t>
        </is>
      </c>
      <c r="BU28" s="1412" t="n">
        <v>32796</v>
      </c>
      <c r="BV28" s="1398" t="inlineStr">
        <is>
          <t>.</t>
        </is>
      </c>
      <c r="BW28" s="1400">
        <f>IF(BX28&lt;&gt;"",BW27+1,BW27)</f>
        <v/>
      </c>
      <c r="BX28" s="1411">
        <f/>
        <v/>
      </c>
      <c r="BY28" s="1413">
        <f/>
        <v/>
      </c>
      <c r="BZ28" s="1413">
        <f/>
        <v/>
      </c>
      <c r="CA28" s="1414">
        <f>BZ28-BY28</f>
        <v/>
      </c>
      <c r="CB28" s="1398" t="inlineStr">
        <is>
          <t>.</t>
        </is>
      </c>
      <c r="CC28" s="1400">
        <f>IF(CD28&lt;&gt;"",CC27+1,CC27)</f>
        <v/>
      </c>
      <c r="CD28" s="1411" t="inlineStr">
        <is>
          <t>Ondina</t>
        </is>
      </c>
      <c r="CE28" s="1412" t="n">
        <v>34876</v>
      </c>
      <c r="CF28" s="1412" t="n">
        <v>34906</v>
      </c>
      <c r="CG28" s="1415">
        <f>CF28-CE28</f>
        <v/>
      </c>
      <c r="CH28" s="1398" t="inlineStr">
        <is>
          <t>.</t>
        </is>
      </c>
      <c r="CI28" s="1400">
        <f>IF(CJ28&lt;&gt;"",CI27+1,CI27)</f>
        <v/>
      </c>
      <c r="CJ28" s="1402" t="inlineStr">
        <is>
          <t>Tatá/Vitoria</t>
        </is>
      </c>
      <c r="CK28" s="1391" t="inlineStr">
        <is>
          <t>.</t>
        </is>
      </c>
      <c r="CL28" s="1392" t="n"/>
    </row>
    <row r="29">
      <c r="A29" s="5" t="inlineStr">
        <is>
          <t>.</t>
        </is>
      </c>
      <c r="B29" s="5" t="inlineStr">
        <is>
          <t>.</t>
        </is>
      </c>
      <c r="C29" s="1378">
        <f>IF(raw[[#This Row],[city]]="","-",IF(raw[[#This Row],[city]]="TODAY","-",C28+1))</f>
        <v/>
      </c>
      <c r="D29" s="1393" t="inlineStr">
        <is>
          <t>SSA</t>
        </is>
      </c>
      <c r="E29" s="1394" t="n">
        <v>27855</v>
      </c>
      <c r="F29" s="1394" t="n">
        <v>28126</v>
      </c>
      <c r="G29" s="1393" t="inlineStr">
        <is>
          <t>-</t>
        </is>
      </c>
      <c r="H29" s="1393">
        <f>H28</f>
        <v/>
      </c>
      <c r="I29" s="1393" t="inlineStr">
        <is>
          <t>-</t>
        </is>
      </c>
      <c r="J29" s="1393" t="inlineStr">
        <is>
          <t>-</t>
        </is>
      </c>
      <c r="K29" s="1395">
        <f>IF(raw[[#This Row],[city]]&lt;&gt;"",_xlfn.XLOOKUP($D29,ccc[city],ccc[prov],"-"),"-")</f>
        <v/>
      </c>
      <c r="L29" s="1395">
        <f>IF(raw[[#This Row],[city]]&lt;&gt;"",_xlfn.XLOOKUP($D29,ccc[city],ccc[ctry],"-"),"-")</f>
        <v/>
      </c>
      <c r="M29" s="1395">
        <f>IF(raw[[#This Row],[city]]&lt;&gt;"",_xlfn.XLOOKUP($D29,ccc[city],ccc[cont],"-"),"-")</f>
        <v/>
      </c>
      <c r="N29" s="1396">
        <f>IF(raw[[#This Row],[city]]="","-",IF(raw[[#This Row],[cont]]="B",raw[[#This Row],[cont]],"W"))</f>
        <v/>
      </c>
      <c r="O29" s="1397">
        <f>IF(raw[[#This Row],[out]]=0,0,IF(raw[[#This Row],[out]]=raw[[#This Row],[in]],0.01,raw[[#This Row],[out]]-raw[[#This Row],[in]]))</f>
        <v/>
      </c>
      <c r="P29" s="1397">
        <f>IF(raw[[#This Row],[in]]=0,0,MONTH(raw[[#This Row],[in]]))</f>
        <v/>
      </c>
      <c r="Q29" s="1397">
        <f>IF(raw[[#This Row],[in]]=0,0,YEAR(raw[[#This Row],[in]]))</f>
        <v/>
      </c>
      <c r="R29" s="1397">
        <f>INT(raw[[#This Row],[yr]]/10)*10</f>
        <v/>
      </c>
      <c r="S29" s="1395">
        <f>IF(raw[[#This Row],[city]]="","-",IF(raw[[#This Row],[city]]&lt;&gt;_xlfn.XLOOKUP(raw[[#This Row],[home]],homes[home],homes[city],"-"),1,0))</f>
        <v/>
      </c>
      <c r="T29" s="1398" t="inlineStr">
        <is>
          <t>.</t>
        </is>
      </c>
      <c r="U29" s="1399">
        <f>IF(raw[[#This Row],[wb]]="w",raw[[#This Row],[stay]]+U28,U28)</f>
        <v/>
      </c>
      <c r="V29" s="1400">
        <f>IF(raw[[#This Row],[out]]=0,V28,(raw[[#This Row],[out]]-E$5))</f>
        <v/>
      </c>
      <c r="W29" s="1401">
        <f>U29/V29</f>
        <v/>
      </c>
      <c r="X29" s="1378" t="inlineStr">
        <is>
          <t>.</t>
        </is>
      </c>
      <c r="Y29" s="1402">
        <f/>
        <v/>
      </c>
      <c r="Z29" s="1403">
        <f/>
        <v/>
      </c>
      <c r="AA29" s="1403">
        <f/>
        <v/>
      </c>
      <c r="AB29" s="1400">
        <f t="array" ref="AB29">_xlfn.LET(_xlpm.S,_xlfn.ANCHORARRAY($Y$4),_xlpm.r,ROWS(stayCity[[#Headers],[city]]:stayCity[[#This Row],[city]])-1,IF(_xlpm.r&lt;=ROWS(_xlpm.S),INDEX(_xlpm.S,_xlpm.r,1),""))</f>
        <v/>
      </c>
      <c r="AC29" s="1405">
        <f t="array" ref="AC29">_xlfn.LET(_xlpm.S,_xlfn.ANCHORARRAY($Y$4),_xlpm.r,ROWS(stayCity[[#Headers],[city]]:stayCity[[#This Row],[city]])-1,IF(_xlpm.r&lt;=ROWS(_xlpm.S),INDEX(_xlpm.S,_xlpm.r,2),""))</f>
        <v/>
      </c>
      <c r="AD29" s="1405">
        <f t="array" ref="AD29">_xlfn.LET(_xlpm.S,_xlfn.ANCHORARRAY($Y$4),_xlpm.r,ROWS(stayCity[[#Headers],[city]]:stayCity[[#This Row],[city]])-1,IF(_xlpm.r&lt;=ROWS(_xlpm.S),INDEX(_xlpm.S,_xlpm.r,3),""))</f>
        <v/>
      </c>
      <c r="AE29" s="1400">
        <f>IF(stayCity[[#This Row],[out]]&lt;&gt;"",stayCity[[#This Row],[out]]-stayCity[[#This Row],[in]],"-")</f>
        <v/>
      </c>
      <c r="AF29" s="1406">
        <f>IF(Y29="","-",YEAR(stayCity[[#This Row],[in]]))</f>
        <v/>
      </c>
      <c r="AG29" s="1398" t="inlineStr">
        <is>
          <t>.</t>
        </is>
      </c>
      <c r="AH29" s="1402">
        <f/>
        <v/>
      </c>
      <c r="AI29" s="1403">
        <f/>
        <v/>
      </c>
      <c r="AJ29" s="1403">
        <f/>
        <v/>
      </c>
      <c r="AK29" s="1400">
        <f>IF(AH29="","-",AH29)</f>
        <v/>
      </c>
      <c r="AL29" s="1405">
        <f>AI29</f>
        <v/>
      </c>
      <c r="AM29" s="1405">
        <f>AJ29</f>
        <v/>
      </c>
      <c r="AN29" s="1400">
        <f>stayCtry[[#This Row],[out]]-stayCtry[[#This Row],[in]]</f>
        <v/>
      </c>
      <c r="AO29" s="1406">
        <f>IF(AI29&lt;&gt;"",AO28+1,AO28)</f>
        <v/>
      </c>
      <c r="AP29" s="1398" t="inlineStr">
        <is>
          <t>.</t>
        </is>
      </c>
      <c r="AQ29" s="1402">
        <f/>
        <v/>
      </c>
      <c r="AR29" s="1403">
        <f/>
        <v/>
      </c>
      <c r="AS29" s="1403">
        <f/>
        <v/>
      </c>
      <c r="AT29" s="1400">
        <f>AQ29</f>
        <v/>
      </c>
      <c r="AU29" s="1405">
        <f>AR29</f>
        <v/>
      </c>
      <c r="AV29" s="1405">
        <f>AS29</f>
        <v/>
      </c>
      <c r="AW29" s="1400">
        <f>stayCont[[#This Row],[out]]-stayCont[[#This Row],[in]]</f>
        <v/>
      </c>
      <c r="AX29" s="1406">
        <f>IF(AR29&lt;&gt;"",AX28+1,AX28)</f>
        <v/>
      </c>
      <c r="AY29" s="1398" t="inlineStr">
        <is>
          <t>.</t>
        </is>
      </c>
      <c r="AZ29" s="1402">
        <f/>
        <v/>
      </c>
      <c r="BA29" s="1403">
        <f/>
        <v/>
      </c>
      <c r="BB29" s="1403">
        <f/>
        <v/>
      </c>
      <c r="BC29" s="1405">
        <f>AZ29</f>
        <v/>
      </c>
      <c r="BD29" s="1405">
        <f>BA29</f>
        <v/>
      </c>
      <c r="BE29" s="1405">
        <f>BB29</f>
        <v/>
      </c>
      <c r="BF29" s="1400">
        <f>stayWB[[#This Row],[out]]-stayWB[[#This Row],[in]]</f>
        <v/>
      </c>
      <c r="BG29" s="1400">
        <f>IF(BB29&lt;&gt;"",BG28+1,BG28)</f>
        <v/>
      </c>
      <c r="BH29" s="1398" t="inlineStr">
        <is>
          <t>.</t>
        </is>
      </c>
      <c r="BI29" s="1402" t="inlineStr">
        <is>
          <t>FRA</t>
        </is>
      </c>
      <c r="BJ29" s="1402" t="n">
        <v>1987</v>
      </c>
      <c r="BK29" s="1400">
        <f>BI29</f>
        <v/>
      </c>
      <c r="BL29" s="1409">
        <f>BJ29</f>
        <v/>
      </c>
      <c r="BM29" s="1378" t="inlineStr">
        <is>
          <t>.</t>
        </is>
      </c>
      <c r="BN29" s="1402" t="inlineStr">
        <is>
          <t>Z</t>
        </is>
      </c>
      <c r="BO29" s="1400">
        <f>BN29</f>
        <v/>
      </c>
      <c r="BP29" s="1398" t="inlineStr">
        <is>
          <t>.</t>
        </is>
      </c>
      <c r="BQ29" s="1400">
        <f>IF(BR29&lt;&gt;"",BQ28+1,BQ28)</f>
        <v/>
      </c>
      <c r="BR29" s="1411" t="inlineStr">
        <is>
          <t>Paris</t>
        </is>
      </c>
      <c r="BS29" s="1411" t="inlineStr">
        <is>
          <t>SSA</t>
        </is>
      </c>
      <c r="BT29" s="1412" t="inlineStr">
        <is>
          <t>Paris-SSA</t>
        </is>
      </c>
      <c r="BU29" s="1412" t="n">
        <v>32816</v>
      </c>
      <c r="BV29" s="1398" t="inlineStr">
        <is>
          <t>.</t>
        </is>
      </c>
      <c r="BW29" s="1400">
        <f>IF(BX29&lt;&gt;"",BW28+1,BW28)</f>
        <v/>
      </c>
      <c r="BX29" s="1411">
        <f/>
        <v/>
      </c>
      <c r="BY29" s="1413">
        <f/>
        <v/>
      </c>
      <c r="BZ29" s="1413">
        <f/>
        <v/>
      </c>
      <c r="CA29" s="1414">
        <f>BZ29-BY29</f>
        <v/>
      </c>
      <c r="CB29" s="1398" t="inlineStr">
        <is>
          <t>.</t>
        </is>
      </c>
      <c r="CC29" s="1400">
        <f>IF(CD29&lt;&gt;"",CC28+1,CC28)</f>
        <v/>
      </c>
      <c r="CD29" s="1411" t="inlineStr">
        <is>
          <t>Salto Grande</t>
        </is>
      </c>
      <c r="CE29" s="1412" t="n">
        <v>35121</v>
      </c>
      <c r="CF29" s="1412" t="n">
        <v>35150</v>
      </c>
      <c r="CG29" s="1415">
        <f>CF29-CE29</f>
        <v/>
      </c>
      <c r="CH29" s="1398" t="inlineStr">
        <is>
          <t>.</t>
        </is>
      </c>
      <c r="CI29" s="1400">
        <f>IF(CJ29&lt;&gt;"",CI28+1,CI28)</f>
        <v/>
      </c>
      <c r="CJ29" s="1402" t="inlineStr">
        <is>
          <t>VF</t>
        </is>
      </c>
      <c r="CK29" s="1391" t="inlineStr">
        <is>
          <t>.</t>
        </is>
      </c>
      <c r="CL29" s="1392" t="n"/>
    </row>
    <row r="30">
      <c r="A30" s="5" t="inlineStr">
        <is>
          <t>.</t>
        </is>
      </c>
      <c r="B30" s="5" t="inlineStr">
        <is>
          <t>.</t>
        </is>
      </c>
      <c r="C30" s="1378">
        <f>IF(raw[[#This Row],[city]]="","-",IF(raw[[#This Row],[city]]="TODAY","-",C29+1))</f>
        <v/>
      </c>
      <c r="D30" s="1393" t="inlineStr">
        <is>
          <t>SSA</t>
        </is>
      </c>
      <c r="E30" s="1394" t="n">
        <v>28126</v>
      </c>
      <c r="F30" s="1394" t="n">
        <v>28157</v>
      </c>
      <c r="G30" s="1393" t="inlineStr">
        <is>
          <t>-</t>
        </is>
      </c>
      <c r="H30" s="1393">
        <f>H29</f>
        <v/>
      </c>
      <c r="I30" s="1393" t="inlineStr">
        <is>
          <t>-</t>
        </is>
      </c>
      <c r="J30" s="1393" t="inlineStr">
        <is>
          <t>REV</t>
        </is>
      </c>
      <c r="K30" s="1395">
        <f>IF(raw[[#This Row],[city]]&lt;&gt;"",_xlfn.XLOOKUP($D30,ccc[city],ccc[prov],"-"),"-")</f>
        <v/>
      </c>
      <c r="L30" s="1395">
        <f>IF(raw[[#This Row],[city]]&lt;&gt;"",_xlfn.XLOOKUP($D30,ccc[city],ccc[ctry],"-"),"-")</f>
        <v/>
      </c>
      <c r="M30" s="1395">
        <f>IF(raw[[#This Row],[city]]&lt;&gt;"",_xlfn.XLOOKUP($D30,ccc[city],ccc[cont],"-"),"-")</f>
        <v/>
      </c>
      <c r="N30" s="1396">
        <f>IF(raw[[#This Row],[city]]="","-",IF(raw[[#This Row],[cont]]="B",raw[[#This Row],[cont]],"W"))</f>
        <v/>
      </c>
      <c r="O30" s="1397">
        <f>IF(raw[[#This Row],[out]]=0,0,IF(raw[[#This Row],[out]]=raw[[#This Row],[in]],0.01,raw[[#This Row],[out]]-raw[[#This Row],[in]]))</f>
        <v/>
      </c>
      <c r="P30" s="1397">
        <f>IF(raw[[#This Row],[in]]=0,0,MONTH(raw[[#This Row],[in]]))</f>
        <v/>
      </c>
      <c r="Q30" s="1397">
        <f>IF(raw[[#This Row],[in]]=0,0,YEAR(raw[[#This Row],[in]]))</f>
        <v/>
      </c>
      <c r="R30" s="1397">
        <f>INT(raw[[#This Row],[yr]]/10)*10</f>
        <v/>
      </c>
      <c r="S30" s="1395">
        <f>IF(raw[[#This Row],[city]]="","-",IF(raw[[#This Row],[city]]&lt;&gt;_xlfn.XLOOKUP(raw[[#This Row],[home]],homes[home],homes[city],"-"),1,0))</f>
        <v/>
      </c>
      <c r="T30" s="1398" t="inlineStr">
        <is>
          <t>.</t>
        </is>
      </c>
      <c r="U30" s="1399">
        <f>IF(raw[[#This Row],[wb]]="w",raw[[#This Row],[stay]]+U29,U29)</f>
        <v/>
      </c>
      <c r="V30" s="1400">
        <f>IF(raw[[#This Row],[out]]=0,V29,(raw[[#This Row],[out]]-E$5))</f>
        <v/>
      </c>
      <c r="W30" s="1401">
        <f>U30/V30</f>
        <v/>
      </c>
      <c r="X30" s="1378" t="inlineStr">
        <is>
          <t>.</t>
        </is>
      </c>
      <c r="Y30" s="1402">
        <f/>
        <v/>
      </c>
      <c r="Z30" s="1403">
        <f/>
        <v/>
      </c>
      <c r="AA30" s="1403">
        <f/>
        <v/>
      </c>
      <c r="AB30" s="1400">
        <f t="array" ref="AB30">_xlfn.LET(_xlpm.S,_xlfn.ANCHORARRAY($Y$4),_xlpm.r,ROWS(stayCity[[#Headers],[city]]:stayCity[[#This Row],[city]])-1,IF(_xlpm.r&lt;=ROWS(_xlpm.S),INDEX(_xlpm.S,_xlpm.r,1),""))</f>
        <v/>
      </c>
      <c r="AC30" s="1405">
        <f t="array" ref="AC30">_xlfn.LET(_xlpm.S,_xlfn.ANCHORARRAY($Y$4),_xlpm.r,ROWS(stayCity[[#Headers],[city]]:stayCity[[#This Row],[city]])-1,IF(_xlpm.r&lt;=ROWS(_xlpm.S),INDEX(_xlpm.S,_xlpm.r,2),""))</f>
        <v/>
      </c>
      <c r="AD30" s="1405">
        <f t="array" ref="AD30">_xlfn.LET(_xlpm.S,_xlfn.ANCHORARRAY($Y$4),_xlpm.r,ROWS(stayCity[[#Headers],[city]]:stayCity[[#This Row],[city]])-1,IF(_xlpm.r&lt;=ROWS(_xlpm.S),INDEX(_xlpm.S,_xlpm.r,3),""))</f>
        <v/>
      </c>
      <c r="AE30" s="1400">
        <f>IF(stayCity[[#This Row],[out]]&lt;&gt;"",stayCity[[#This Row],[out]]-stayCity[[#This Row],[in]],"-")</f>
        <v/>
      </c>
      <c r="AF30" s="1406">
        <f>IF(Y30="","-",YEAR(stayCity[[#This Row],[in]]))</f>
        <v/>
      </c>
      <c r="AG30" s="1398" t="inlineStr">
        <is>
          <t>.</t>
        </is>
      </c>
      <c r="AH30" s="1402">
        <f/>
        <v/>
      </c>
      <c r="AI30" s="1403">
        <f/>
        <v/>
      </c>
      <c r="AJ30" s="1403">
        <f/>
        <v/>
      </c>
      <c r="AK30" s="1400">
        <f>IF(AH30="","-",AH30)</f>
        <v/>
      </c>
      <c r="AL30" s="1405">
        <f>AI30</f>
        <v/>
      </c>
      <c r="AM30" s="1405">
        <f>AJ30</f>
        <v/>
      </c>
      <c r="AN30" s="1400">
        <f>stayCtry[[#This Row],[out]]-stayCtry[[#This Row],[in]]</f>
        <v/>
      </c>
      <c r="AO30" s="1406">
        <f>IF(AI30&lt;&gt;"",AO29+1,AO29)</f>
        <v/>
      </c>
      <c r="AP30" s="1398" t="inlineStr">
        <is>
          <t>.</t>
        </is>
      </c>
      <c r="AQ30" s="1402">
        <f/>
        <v/>
      </c>
      <c r="AR30" s="1403">
        <f/>
        <v/>
      </c>
      <c r="AS30" s="1403">
        <f/>
        <v/>
      </c>
      <c r="AT30" s="1400">
        <f>AQ30</f>
        <v/>
      </c>
      <c r="AU30" s="1405">
        <f>AR30</f>
        <v/>
      </c>
      <c r="AV30" s="1405">
        <f>AS30</f>
        <v/>
      </c>
      <c r="AW30" s="1400">
        <f>stayCont[[#This Row],[out]]-stayCont[[#This Row],[in]]</f>
        <v/>
      </c>
      <c r="AX30" s="1406">
        <f>IF(AR30&lt;&gt;"",AX29+1,AX29)</f>
        <v/>
      </c>
      <c r="AY30" s="1398" t="inlineStr">
        <is>
          <t>.</t>
        </is>
      </c>
      <c r="AZ30" s="1402">
        <f/>
        <v/>
      </c>
      <c r="BA30" s="1403">
        <f/>
        <v/>
      </c>
      <c r="BB30" s="1403">
        <f/>
        <v/>
      </c>
      <c r="BC30" s="1405">
        <f>AZ30</f>
        <v/>
      </c>
      <c r="BD30" s="1405">
        <f>BA30</f>
        <v/>
      </c>
      <c r="BE30" s="1405">
        <f>BB30</f>
        <v/>
      </c>
      <c r="BF30" s="1400">
        <f>stayWB[[#This Row],[out]]-stayWB[[#This Row],[in]]</f>
        <v/>
      </c>
      <c r="BG30" s="1400">
        <f>IF(BB30&lt;&gt;"",BG29+1,BG29)</f>
        <v/>
      </c>
      <c r="BH30" s="1398" t="inlineStr">
        <is>
          <t>.</t>
        </is>
      </c>
      <c r="BI30" s="1402" t="inlineStr">
        <is>
          <t>BRA</t>
        </is>
      </c>
      <c r="BJ30" s="1402" t="n">
        <v>1987</v>
      </c>
      <c r="BK30" s="1400">
        <f>BI30</f>
        <v/>
      </c>
      <c r="BL30" s="1409">
        <f>BJ30</f>
        <v/>
      </c>
      <c r="BM30" s="1378" t="inlineStr">
        <is>
          <t>.</t>
        </is>
      </c>
      <c r="BN30" s="1402" t="inlineStr">
        <is>
          <t>E</t>
        </is>
      </c>
      <c r="BO30" s="1400">
        <f>BN30</f>
        <v/>
      </c>
      <c r="BP30" s="1398" t="inlineStr">
        <is>
          <t>.</t>
        </is>
      </c>
      <c r="BQ30" s="1400">
        <f>IF(BR30&lt;&gt;"",BQ29+1,BQ29)</f>
        <v/>
      </c>
      <c r="BR30" s="1411" t="inlineStr">
        <is>
          <t>SSA</t>
        </is>
      </c>
      <c r="BS30" s="1411" t="inlineStr">
        <is>
          <t>Rio</t>
        </is>
      </c>
      <c r="BT30" s="1412" t="inlineStr">
        <is>
          <t>SSA-Rio</t>
        </is>
      </c>
      <c r="BU30" s="1412" t="n">
        <v>32888</v>
      </c>
      <c r="BV30" s="1398" t="inlineStr">
        <is>
          <t>.</t>
        </is>
      </c>
      <c r="BW30" s="1400">
        <f>IF(BX30&lt;&gt;"",BW29+1,BW29)</f>
        <v/>
      </c>
      <c r="BX30" s="1411">
        <f/>
        <v/>
      </c>
      <c r="BY30" s="1413">
        <f/>
        <v/>
      </c>
      <c r="BZ30" s="1413">
        <f/>
        <v/>
      </c>
      <c r="CA30" s="1414">
        <f>BZ30-BY30</f>
        <v/>
      </c>
      <c r="CB30" s="1398" t="inlineStr">
        <is>
          <t>.</t>
        </is>
      </c>
      <c r="CC30" s="1400">
        <f>IF(CD30&lt;&gt;"",CC29+1,CC29)</f>
        <v/>
      </c>
      <c r="CD30" s="1411" t="inlineStr">
        <is>
          <t>Meier</t>
        </is>
      </c>
      <c r="CE30" s="1412" t="n">
        <v>35150</v>
      </c>
      <c r="CF30" s="1412" t="n">
        <v>35151</v>
      </c>
      <c r="CG30" s="1415">
        <f>CF30-CE30</f>
        <v/>
      </c>
      <c r="CH30" s="1398" t="inlineStr">
        <is>
          <t>.</t>
        </is>
      </c>
      <c r="CI30" s="1400">
        <f>IF(CJ30&lt;&gt;"",CI29+1,CI29)</f>
        <v/>
      </c>
      <c r="CJ30" s="1402" t="inlineStr">
        <is>
          <t>Bado/Morumbi</t>
        </is>
      </c>
      <c r="CK30" s="1391" t="inlineStr">
        <is>
          <t>.</t>
        </is>
      </c>
      <c r="CL30" s="1392" t="n"/>
    </row>
    <row r="31">
      <c r="A31" s="5" t="inlineStr">
        <is>
          <t>.</t>
        </is>
      </c>
      <c r="B31" s="5" t="inlineStr">
        <is>
          <t>.</t>
        </is>
      </c>
      <c r="C31" s="1378">
        <f>IF(raw[[#This Row],[city]]="","-",IF(raw[[#This Row],[city]]="TODAY","-",C30+1))</f>
        <v/>
      </c>
      <c r="D31" s="1393" t="inlineStr">
        <is>
          <t>ROAD</t>
        </is>
      </c>
      <c r="E31" s="1394" t="n">
        <v>28157</v>
      </c>
      <c r="F31" s="1394" t="n">
        <v>28158</v>
      </c>
      <c r="G31" s="1393" t="inlineStr">
        <is>
          <t>-</t>
        </is>
      </c>
      <c r="H31" s="1393">
        <f>H30</f>
        <v/>
      </c>
      <c r="I31" s="1393" t="inlineStr">
        <is>
          <t>-</t>
        </is>
      </c>
      <c r="J31" s="1393" t="inlineStr">
        <is>
          <t>-</t>
        </is>
      </c>
      <c r="K31" s="1395">
        <f>IF(raw[[#This Row],[city]]&lt;&gt;"",_xlfn.XLOOKUP($D31,ccc[city],ccc[prov],"-"),"-")</f>
        <v/>
      </c>
      <c r="L31" s="1395">
        <f>IF(raw[[#This Row],[city]]&lt;&gt;"",_xlfn.XLOOKUP($D31,ccc[city],ccc[ctry],"-"),"-")</f>
        <v/>
      </c>
      <c r="M31" s="1395">
        <f>IF(raw[[#This Row],[city]]&lt;&gt;"",_xlfn.XLOOKUP($D31,ccc[city],ccc[cont],"-"),"-")</f>
        <v/>
      </c>
      <c r="N31" s="1396">
        <f>IF(raw[[#This Row],[city]]="","-",IF(raw[[#This Row],[cont]]="B",raw[[#This Row],[cont]],"W"))</f>
        <v/>
      </c>
      <c r="O31" s="1397">
        <f>IF(raw[[#This Row],[out]]=0,0,IF(raw[[#This Row],[out]]=raw[[#This Row],[in]],0.01,raw[[#This Row],[out]]-raw[[#This Row],[in]]))</f>
        <v/>
      </c>
      <c r="P31" s="1397">
        <f>IF(raw[[#This Row],[in]]=0,0,MONTH(raw[[#This Row],[in]]))</f>
        <v/>
      </c>
      <c r="Q31" s="1397">
        <f>IF(raw[[#This Row],[in]]=0,0,YEAR(raw[[#This Row],[in]]))</f>
        <v/>
      </c>
      <c r="R31" s="1397">
        <f>INT(raw[[#This Row],[yr]]/10)*10</f>
        <v/>
      </c>
      <c r="S31" s="1395">
        <f>IF(raw[[#This Row],[city]]="","-",IF(raw[[#This Row],[city]]&lt;&gt;_xlfn.XLOOKUP(raw[[#This Row],[home]],homes[home],homes[city],"-"),1,0))</f>
        <v/>
      </c>
      <c r="T31" s="1398" t="inlineStr">
        <is>
          <t>.</t>
        </is>
      </c>
      <c r="U31" s="1399">
        <f>IF(raw[[#This Row],[wb]]="w",raw[[#This Row],[stay]]+U30,U30)</f>
        <v/>
      </c>
      <c r="V31" s="1400">
        <f>IF(raw[[#This Row],[out]]=0,V30,(raw[[#This Row],[out]]-E$5))</f>
        <v/>
      </c>
      <c r="W31" s="1401">
        <f>U31/V31</f>
        <v/>
      </c>
      <c r="X31" s="1378" t="inlineStr">
        <is>
          <t>.</t>
        </is>
      </c>
      <c r="Y31" s="1402">
        <f/>
        <v/>
      </c>
      <c r="Z31" s="1403">
        <f/>
        <v/>
      </c>
      <c r="AA31" s="1403">
        <f/>
        <v/>
      </c>
      <c r="AB31" s="1400">
        <f t="array" ref="AB31">_xlfn.LET(_xlpm.S,_xlfn.ANCHORARRAY($Y$4),_xlpm.r,ROWS(stayCity[[#Headers],[city]]:stayCity[[#This Row],[city]])-1,IF(_xlpm.r&lt;=ROWS(_xlpm.S),INDEX(_xlpm.S,_xlpm.r,1),""))</f>
        <v/>
      </c>
      <c r="AC31" s="1405">
        <f t="array" ref="AC31">_xlfn.LET(_xlpm.S,_xlfn.ANCHORARRAY($Y$4),_xlpm.r,ROWS(stayCity[[#Headers],[city]]:stayCity[[#This Row],[city]])-1,IF(_xlpm.r&lt;=ROWS(_xlpm.S),INDEX(_xlpm.S,_xlpm.r,2),""))</f>
        <v/>
      </c>
      <c r="AD31" s="1405">
        <f t="array" ref="AD31">_xlfn.LET(_xlpm.S,_xlfn.ANCHORARRAY($Y$4),_xlpm.r,ROWS(stayCity[[#Headers],[city]]:stayCity[[#This Row],[city]])-1,IF(_xlpm.r&lt;=ROWS(_xlpm.S),INDEX(_xlpm.S,_xlpm.r,3),""))</f>
        <v/>
      </c>
      <c r="AE31" s="1400">
        <f>IF(stayCity[[#This Row],[out]]&lt;&gt;"",stayCity[[#This Row],[out]]-stayCity[[#This Row],[in]],"-")</f>
        <v/>
      </c>
      <c r="AF31" s="1406">
        <f>IF(Y31="","-",YEAR(stayCity[[#This Row],[in]]))</f>
        <v/>
      </c>
      <c r="AG31" s="1398" t="inlineStr">
        <is>
          <t>.</t>
        </is>
      </c>
      <c r="AH31" s="1402">
        <f/>
        <v/>
      </c>
      <c r="AI31" s="1403">
        <f/>
        <v/>
      </c>
      <c r="AJ31" s="1403">
        <f/>
        <v/>
      </c>
      <c r="AK31" s="1400">
        <f>IF(AH31="","-",AH31)</f>
        <v/>
      </c>
      <c r="AL31" s="1405">
        <f>AI31</f>
        <v/>
      </c>
      <c r="AM31" s="1405">
        <f>AJ31</f>
        <v/>
      </c>
      <c r="AN31" s="1400">
        <f>stayCtry[[#This Row],[out]]-stayCtry[[#This Row],[in]]</f>
        <v/>
      </c>
      <c r="AO31" s="1406">
        <f>IF(AI31&lt;&gt;"",AO30+1,AO30)</f>
        <v/>
      </c>
      <c r="AP31" s="1398" t="inlineStr">
        <is>
          <t>.</t>
        </is>
      </c>
      <c r="AQ31" s="1402">
        <f/>
        <v/>
      </c>
      <c r="AR31" s="1403">
        <f/>
        <v/>
      </c>
      <c r="AS31" s="1403">
        <f/>
        <v/>
      </c>
      <c r="AT31" s="1400">
        <f>AQ31</f>
        <v/>
      </c>
      <c r="AU31" s="1405">
        <f>AR31</f>
        <v/>
      </c>
      <c r="AV31" s="1405">
        <f>AS31</f>
        <v/>
      </c>
      <c r="AW31" s="1400">
        <f>stayCont[[#This Row],[out]]-stayCont[[#This Row],[in]]</f>
        <v/>
      </c>
      <c r="AX31" s="1406">
        <f>IF(AR31&lt;&gt;"",AX30+1,AX30)</f>
        <v/>
      </c>
      <c r="AY31" s="1398" t="inlineStr">
        <is>
          <t>.</t>
        </is>
      </c>
      <c r="AZ31" s="1402">
        <f/>
        <v/>
      </c>
      <c r="BA31" s="1403">
        <f/>
        <v/>
      </c>
      <c r="BB31" s="1403">
        <f/>
        <v/>
      </c>
      <c r="BC31" s="1405">
        <f>AZ31</f>
        <v/>
      </c>
      <c r="BD31" s="1405">
        <f>BA31</f>
        <v/>
      </c>
      <c r="BE31" s="1405">
        <f>BB31</f>
        <v/>
      </c>
      <c r="BF31" s="1400">
        <f>stayWB[[#This Row],[out]]-stayWB[[#This Row],[in]]</f>
        <v/>
      </c>
      <c r="BG31" s="1400">
        <f>IF(BB31&lt;&gt;"",BG30+1,BG30)</f>
        <v/>
      </c>
      <c r="BH31" s="1398" t="inlineStr">
        <is>
          <t>.</t>
        </is>
      </c>
      <c r="BI31" s="1402" t="inlineStr">
        <is>
          <t>EGY</t>
        </is>
      </c>
      <c r="BJ31" s="1402" t="n">
        <v>1989</v>
      </c>
      <c r="BK31" s="1400">
        <f>BI31</f>
        <v/>
      </c>
      <c r="BL31" s="1409">
        <f>BJ31</f>
        <v/>
      </c>
      <c r="BM31" s="1378" t="inlineStr">
        <is>
          <t>.</t>
        </is>
      </c>
      <c r="BN31" s="1402" t="inlineStr">
        <is>
          <t>F</t>
        </is>
      </c>
      <c r="BO31" s="1400">
        <f>BN31</f>
        <v/>
      </c>
      <c r="BP31" s="1398" t="inlineStr">
        <is>
          <t>.</t>
        </is>
      </c>
      <c r="BQ31" s="1400">
        <f>IF(BR31&lt;&gt;"",BQ30+1,BQ30)</f>
        <v/>
      </c>
      <c r="BR31" s="1411" t="inlineStr">
        <is>
          <t>Rio</t>
        </is>
      </c>
      <c r="BS31" s="1411" t="inlineStr">
        <is>
          <t>SSA</t>
        </is>
      </c>
      <c r="BT31" s="1412" t="inlineStr">
        <is>
          <t>Rio-SSA</t>
        </is>
      </c>
      <c r="BU31" s="1412" t="n">
        <v>32903</v>
      </c>
      <c r="BV31" s="1398" t="inlineStr">
        <is>
          <t>.</t>
        </is>
      </c>
      <c r="BW31" s="1400">
        <f>IF(BX31&lt;&gt;"",BW30+1,BW30)</f>
        <v/>
      </c>
      <c r="BX31" s="1411">
        <f/>
        <v/>
      </c>
      <c r="BY31" s="1413">
        <f/>
        <v/>
      </c>
      <c r="BZ31" s="1413">
        <f/>
        <v/>
      </c>
      <c r="CA31" s="1414">
        <f>BZ31-BY31</f>
        <v/>
      </c>
      <c r="CB31" s="1398" t="inlineStr">
        <is>
          <t>.</t>
        </is>
      </c>
      <c r="CC31" s="1400">
        <f>IF(CD31&lt;&gt;"",CC30+1,CC30)</f>
        <v/>
      </c>
      <c r="CD31" s="1411" t="inlineStr">
        <is>
          <t>Salto Grande</t>
        </is>
      </c>
      <c r="CE31" s="1412" t="n">
        <v>35151</v>
      </c>
      <c r="CF31" s="1412" t="n">
        <v>35152</v>
      </c>
      <c r="CG31" s="1415">
        <f>CF31-CE31</f>
        <v/>
      </c>
      <c r="CH31" s="1398" t="inlineStr">
        <is>
          <t>.</t>
        </is>
      </c>
      <c r="CI31" s="1400">
        <f>IF(CJ31&lt;&gt;"",CI30+1,CI30)</f>
        <v/>
      </c>
      <c r="CJ31" s="1402" t="inlineStr">
        <is>
          <t>Renê/Ipanema</t>
        </is>
      </c>
      <c r="CK31" s="1391" t="inlineStr">
        <is>
          <t>.</t>
        </is>
      </c>
      <c r="CL31" s="1392" t="n"/>
    </row>
    <row r="32">
      <c r="A32" s="5" t="inlineStr">
        <is>
          <t>.</t>
        </is>
      </c>
      <c r="B32" s="5" t="inlineStr">
        <is>
          <t>.</t>
        </is>
      </c>
      <c r="C32" s="1378">
        <f>IF(raw[[#This Row],[city]]="","-",IF(raw[[#This Row],[city]]="TODAY","-",C31+1))</f>
        <v/>
      </c>
      <c r="D32" s="1393" t="inlineStr">
        <is>
          <t>Petropolis</t>
        </is>
      </c>
      <c r="E32" s="1394" t="n">
        <v>28158</v>
      </c>
      <c r="F32" s="1394" t="n">
        <v>28178</v>
      </c>
      <c r="G32" s="1393" t="inlineStr">
        <is>
          <t>-</t>
        </is>
      </c>
      <c r="H32" s="1393">
        <f>H31</f>
        <v/>
      </c>
      <c r="I32" s="1393" t="inlineStr">
        <is>
          <t>-</t>
        </is>
      </c>
      <c r="J32" s="1393" t="inlineStr">
        <is>
          <t>-</t>
        </is>
      </c>
      <c r="K32" s="1395">
        <f>IF(raw[[#This Row],[city]]&lt;&gt;"",_xlfn.XLOOKUP($D32,ccc[city],ccc[prov],"-"),"-")</f>
        <v/>
      </c>
      <c r="L32" s="1395">
        <f>IF(raw[[#This Row],[city]]&lt;&gt;"",_xlfn.XLOOKUP($D32,ccc[city],ccc[ctry],"-"),"-")</f>
        <v/>
      </c>
      <c r="M32" s="1395">
        <f>IF(raw[[#This Row],[city]]&lt;&gt;"",_xlfn.XLOOKUP($D32,ccc[city],ccc[cont],"-"),"-")</f>
        <v/>
      </c>
      <c r="N32" s="1396">
        <f>IF(raw[[#This Row],[city]]="","-",IF(raw[[#This Row],[cont]]="B",raw[[#This Row],[cont]],"W"))</f>
        <v/>
      </c>
      <c r="O32" s="1397">
        <f>IF(raw[[#This Row],[out]]=0,0,IF(raw[[#This Row],[out]]=raw[[#This Row],[in]],0.01,raw[[#This Row],[out]]-raw[[#This Row],[in]]))</f>
        <v/>
      </c>
      <c r="P32" s="1397">
        <f>IF(raw[[#This Row],[in]]=0,0,MONTH(raw[[#This Row],[in]]))</f>
        <v/>
      </c>
      <c r="Q32" s="1397">
        <f>IF(raw[[#This Row],[in]]=0,0,YEAR(raw[[#This Row],[in]]))</f>
        <v/>
      </c>
      <c r="R32" s="1397">
        <f>INT(raw[[#This Row],[yr]]/10)*10</f>
        <v/>
      </c>
      <c r="S32" s="1395">
        <f>IF(raw[[#This Row],[city]]="","-",IF(raw[[#This Row],[city]]&lt;&gt;_xlfn.XLOOKUP(raw[[#This Row],[home]],homes[home],homes[city],"-"),1,0))</f>
        <v/>
      </c>
      <c r="T32" s="1398" t="inlineStr">
        <is>
          <t>.</t>
        </is>
      </c>
      <c r="U32" s="1399">
        <f>IF(raw[[#This Row],[wb]]="w",raw[[#This Row],[stay]]+U31,U31)</f>
        <v/>
      </c>
      <c r="V32" s="1400">
        <f>IF(raw[[#This Row],[out]]=0,V31,(raw[[#This Row],[out]]-E$5))</f>
        <v/>
      </c>
      <c r="W32" s="1401">
        <f>U32/V32</f>
        <v/>
      </c>
      <c r="X32" s="1378" t="inlineStr">
        <is>
          <t>.</t>
        </is>
      </c>
      <c r="Y32" s="1402">
        <f/>
        <v/>
      </c>
      <c r="Z32" s="1403">
        <f/>
        <v/>
      </c>
      <c r="AA32" s="1403">
        <f/>
        <v/>
      </c>
      <c r="AB32" s="1400">
        <f t="array" ref="AB32">_xlfn.LET(_xlpm.S,_xlfn.ANCHORARRAY($Y$4),_xlpm.r,ROWS(stayCity[[#Headers],[city]]:stayCity[[#This Row],[city]])-1,IF(_xlpm.r&lt;=ROWS(_xlpm.S),INDEX(_xlpm.S,_xlpm.r,1),""))</f>
        <v/>
      </c>
      <c r="AC32" s="1405">
        <f t="array" ref="AC32">_xlfn.LET(_xlpm.S,_xlfn.ANCHORARRAY($Y$4),_xlpm.r,ROWS(stayCity[[#Headers],[city]]:stayCity[[#This Row],[city]])-1,IF(_xlpm.r&lt;=ROWS(_xlpm.S),INDEX(_xlpm.S,_xlpm.r,2),""))</f>
        <v/>
      </c>
      <c r="AD32" s="1405">
        <f t="array" ref="AD32">_xlfn.LET(_xlpm.S,_xlfn.ANCHORARRAY($Y$4),_xlpm.r,ROWS(stayCity[[#Headers],[city]]:stayCity[[#This Row],[city]])-1,IF(_xlpm.r&lt;=ROWS(_xlpm.S),INDEX(_xlpm.S,_xlpm.r,3),""))</f>
        <v/>
      </c>
      <c r="AE32" s="1400">
        <f>IF(stayCity[[#This Row],[out]]&lt;&gt;"",stayCity[[#This Row],[out]]-stayCity[[#This Row],[in]],"-")</f>
        <v/>
      </c>
      <c r="AF32" s="1406">
        <f>IF(Y32="","-",YEAR(stayCity[[#This Row],[in]]))</f>
        <v/>
      </c>
      <c r="AG32" s="1398" t="inlineStr">
        <is>
          <t>.</t>
        </is>
      </c>
      <c r="AH32" s="1402">
        <f/>
        <v/>
      </c>
      <c r="AI32" s="1403">
        <f/>
        <v/>
      </c>
      <c r="AJ32" s="1403">
        <f/>
        <v/>
      </c>
      <c r="AK32" s="1400">
        <f>IF(AH32="","-",AH32)</f>
        <v/>
      </c>
      <c r="AL32" s="1405">
        <f>AI32</f>
        <v/>
      </c>
      <c r="AM32" s="1405">
        <f>AJ32</f>
        <v/>
      </c>
      <c r="AN32" s="1400">
        <f>stayCtry[[#This Row],[out]]-stayCtry[[#This Row],[in]]</f>
        <v/>
      </c>
      <c r="AO32" s="1406">
        <f>IF(AI32&lt;&gt;"",AO31+1,AO31)</f>
        <v/>
      </c>
      <c r="AP32" s="1398" t="inlineStr">
        <is>
          <t>.</t>
        </is>
      </c>
      <c r="AQ32" s="1402">
        <f/>
        <v/>
      </c>
      <c r="AR32" s="1403">
        <f/>
        <v/>
      </c>
      <c r="AS32" s="1403">
        <f/>
        <v/>
      </c>
      <c r="AT32" s="1400">
        <f>AQ32</f>
        <v/>
      </c>
      <c r="AU32" s="1405">
        <f>AR32</f>
        <v/>
      </c>
      <c r="AV32" s="1405">
        <f>AS32</f>
        <v/>
      </c>
      <c r="AW32" s="1400">
        <f>stayCont[[#This Row],[out]]-stayCont[[#This Row],[in]]</f>
        <v/>
      </c>
      <c r="AX32" s="1406">
        <f>IF(AR32&lt;&gt;"",AX31+1,AX31)</f>
        <v/>
      </c>
      <c r="AY32" s="1398" t="inlineStr">
        <is>
          <t>.</t>
        </is>
      </c>
      <c r="AZ32" s="1402">
        <f/>
        <v/>
      </c>
      <c r="BA32" s="1403">
        <f/>
        <v/>
      </c>
      <c r="BB32" s="1403">
        <f/>
        <v/>
      </c>
      <c r="BC32" s="1405">
        <f>AZ32</f>
        <v/>
      </c>
      <c r="BD32" s="1405">
        <f>BA32</f>
        <v/>
      </c>
      <c r="BE32" s="1405">
        <f>BB32</f>
        <v/>
      </c>
      <c r="BF32" s="1400">
        <f>stayWB[[#This Row],[out]]-stayWB[[#This Row],[in]]</f>
        <v/>
      </c>
      <c r="BG32" s="1400">
        <f>IF(BB32&lt;&gt;"",BG31+1,BG31)</f>
        <v/>
      </c>
      <c r="BH32" s="1398" t="inlineStr">
        <is>
          <t>.</t>
        </is>
      </c>
      <c r="BI32" s="1402" t="inlineStr">
        <is>
          <t>GRC</t>
        </is>
      </c>
      <c r="BJ32" s="1402" t="n">
        <v>1989</v>
      </c>
      <c r="BK32" s="1400">
        <f>BI32</f>
        <v/>
      </c>
      <c r="BL32" s="1409">
        <f>BJ32</f>
        <v/>
      </c>
      <c r="BM32" s="1378" t="inlineStr">
        <is>
          <t>.</t>
        </is>
      </c>
      <c r="BN32" s="1402" t="inlineStr">
        <is>
          <t>E</t>
        </is>
      </c>
      <c r="BO32" s="1400">
        <f>BN32</f>
        <v/>
      </c>
      <c r="BP32" s="1398" t="inlineStr">
        <is>
          <t>.</t>
        </is>
      </c>
      <c r="BQ32" s="1400">
        <f>IF(BR32&lt;&gt;"",BQ31+1,BQ31)</f>
        <v/>
      </c>
      <c r="BR32" s="1411" t="inlineStr">
        <is>
          <t>SSA</t>
        </is>
      </c>
      <c r="BS32" s="1411" t="inlineStr">
        <is>
          <t>SP</t>
        </is>
      </c>
      <c r="BT32" s="1412" t="inlineStr">
        <is>
          <t>SSA-SP</t>
        </is>
      </c>
      <c r="BU32" s="1412" t="n">
        <v>33587</v>
      </c>
      <c r="BV32" s="1398" t="inlineStr">
        <is>
          <t>.</t>
        </is>
      </c>
      <c r="BW32" s="1400">
        <f>IF(BX32&lt;&gt;"",BW31+1,BW31)</f>
        <v/>
      </c>
      <c r="BX32" s="1411">
        <f/>
        <v/>
      </c>
      <c r="BY32" s="1413">
        <f/>
        <v/>
      </c>
      <c r="BZ32" s="1413">
        <f/>
        <v/>
      </c>
      <c r="CA32" s="1414">
        <f>BZ32-BY32</f>
        <v/>
      </c>
      <c r="CB32" s="1398" t="inlineStr">
        <is>
          <t>.</t>
        </is>
      </c>
      <c r="CC32" s="1400">
        <f>IF(CD32&lt;&gt;"",CC31+1,CC31)</f>
        <v/>
      </c>
      <c r="CD32" s="1411" t="inlineStr">
        <is>
          <t>Thomas/Barnfield</t>
        </is>
      </c>
      <c r="CE32" s="1412" t="n">
        <v>35384</v>
      </c>
      <c r="CF32" s="1412" t="n">
        <v>35390</v>
      </c>
      <c r="CG32" s="1415">
        <f>CF32-CE32</f>
        <v/>
      </c>
      <c r="CH32" s="1398" t="inlineStr">
        <is>
          <t>.</t>
        </is>
      </c>
      <c r="CI32" s="1400">
        <f>IF(CJ32&lt;&gt;"",CI31+1,CI31)</f>
        <v/>
      </c>
      <c r="CJ32" s="1402" t="inlineStr">
        <is>
          <t>Thomas/Cornwall</t>
        </is>
      </c>
      <c r="CK32" s="1391" t="inlineStr">
        <is>
          <t>.</t>
        </is>
      </c>
      <c r="CL32" s="1392" t="n"/>
    </row>
    <row r="33">
      <c r="A33" s="5" t="inlineStr">
        <is>
          <t>.</t>
        </is>
      </c>
      <c r="B33" s="5" t="inlineStr">
        <is>
          <t>.</t>
        </is>
      </c>
      <c r="C33" s="1378">
        <f>IF(raw[[#This Row],[city]]="","-",IF(raw[[#This Row],[city]]="TODAY","-",C32+1))</f>
        <v/>
      </c>
      <c r="D33" s="1393" t="inlineStr">
        <is>
          <t>ROAD</t>
        </is>
      </c>
      <c r="E33" s="1394" t="n">
        <v>28178</v>
      </c>
      <c r="F33" s="1394" t="n">
        <v>28179</v>
      </c>
      <c r="G33" s="1393" t="inlineStr">
        <is>
          <t>-</t>
        </is>
      </c>
      <c r="H33" s="1393">
        <f>H32</f>
        <v/>
      </c>
      <c r="I33" s="1393" t="inlineStr">
        <is>
          <t>-</t>
        </is>
      </c>
      <c r="J33" s="1393" t="inlineStr">
        <is>
          <t>-</t>
        </is>
      </c>
      <c r="K33" s="1395">
        <f>IF(raw[[#This Row],[city]]&lt;&gt;"",_xlfn.XLOOKUP($D33,ccc[city],ccc[prov],"-"),"-")</f>
        <v/>
      </c>
      <c r="L33" s="1395">
        <f>IF(raw[[#This Row],[city]]&lt;&gt;"",_xlfn.XLOOKUP($D33,ccc[city],ccc[ctry],"-"),"-")</f>
        <v/>
      </c>
      <c r="M33" s="1395">
        <f>IF(raw[[#This Row],[city]]&lt;&gt;"",_xlfn.XLOOKUP($D33,ccc[city],ccc[cont],"-"),"-")</f>
        <v/>
      </c>
      <c r="N33" s="1396">
        <f>IF(raw[[#This Row],[city]]="","-",IF(raw[[#This Row],[cont]]="B",raw[[#This Row],[cont]],"W"))</f>
        <v/>
      </c>
      <c r="O33" s="1397">
        <f>IF(raw[[#This Row],[out]]=0,0,IF(raw[[#This Row],[out]]=raw[[#This Row],[in]],0.01,raw[[#This Row],[out]]-raw[[#This Row],[in]]))</f>
        <v/>
      </c>
      <c r="P33" s="1397">
        <f>IF(raw[[#This Row],[in]]=0,0,MONTH(raw[[#This Row],[in]]))</f>
        <v/>
      </c>
      <c r="Q33" s="1397">
        <f>IF(raw[[#This Row],[in]]=0,0,YEAR(raw[[#This Row],[in]]))</f>
        <v/>
      </c>
      <c r="R33" s="1397">
        <f>INT(raw[[#This Row],[yr]]/10)*10</f>
        <v/>
      </c>
      <c r="S33" s="1395">
        <f>IF(raw[[#This Row],[city]]="","-",IF(raw[[#This Row],[city]]&lt;&gt;_xlfn.XLOOKUP(raw[[#This Row],[home]],homes[home],homes[city],"-"),1,0))</f>
        <v/>
      </c>
      <c r="T33" s="1398" t="inlineStr">
        <is>
          <t>.</t>
        </is>
      </c>
      <c r="U33" s="1399">
        <f>IF(raw[[#This Row],[wb]]="w",raw[[#This Row],[stay]]+U32,U32)</f>
        <v/>
      </c>
      <c r="V33" s="1400">
        <f>IF(raw[[#This Row],[out]]=0,V32,(raw[[#This Row],[out]]-E$5))</f>
        <v/>
      </c>
      <c r="W33" s="1401">
        <f>U33/V33</f>
        <v/>
      </c>
      <c r="X33" s="1378" t="inlineStr">
        <is>
          <t>.</t>
        </is>
      </c>
      <c r="Y33" s="1402">
        <f/>
        <v/>
      </c>
      <c r="Z33" s="1403">
        <f/>
        <v/>
      </c>
      <c r="AA33" s="1403">
        <f/>
        <v/>
      </c>
      <c r="AB33" s="1400">
        <f t="array" ref="AB33">_xlfn.LET(_xlpm.S,_xlfn.ANCHORARRAY($Y$4),_xlpm.r,ROWS(stayCity[[#Headers],[city]]:stayCity[[#This Row],[city]])-1,IF(_xlpm.r&lt;=ROWS(_xlpm.S),INDEX(_xlpm.S,_xlpm.r,1),""))</f>
        <v/>
      </c>
      <c r="AC33" s="1405">
        <f t="array" ref="AC33">_xlfn.LET(_xlpm.S,_xlfn.ANCHORARRAY($Y$4),_xlpm.r,ROWS(stayCity[[#Headers],[city]]:stayCity[[#This Row],[city]])-1,IF(_xlpm.r&lt;=ROWS(_xlpm.S),INDEX(_xlpm.S,_xlpm.r,2),""))</f>
        <v/>
      </c>
      <c r="AD33" s="1405">
        <f t="array" ref="AD33">_xlfn.LET(_xlpm.S,_xlfn.ANCHORARRAY($Y$4),_xlpm.r,ROWS(stayCity[[#Headers],[city]]:stayCity[[#This Row],[city]])-1,IF(_xlpm.r&lt;=ROWS(_xlpm.S),INDEX(_xlpm.S,_xlpm.r,3),""))</f>
        <v/>
      </c>
      <c r="AE33" s="1400">
        <f>IF(stayCity[[#This Row],[out]]&lt;&gt;"",stayCity[[#This Row],[out]]-stayCity[[#This Row],[in]],"-")</f>
        <v/>
      </c>
      <c r="AF33" s="1406">
        <f>IF(Y33="","-",YEAR(stayCity[[#This Row],[in]]))</f>
        <v/>
      </c>
      <c r="AG33" s="1398" t="inlineStr">
        <is>
          <t>.</t>
        </is>
      </c>
      <c r="AH33" s="1402">
        <f/>
        <v/>
      </c>
      <c r="AI33" s="1403">
        <f/>
        <v/>
      </c>
      <c r="AJ33" s="1403">
        <f/>
        <v/>
      </c>
      <c r="AK33" s="1400">
        <f>IF(AH33="","-",AH33)</f>
        <v/>
      </c>
      <c r="AL33" s="1405">
        <f>AI33</f>
        <v/>
      </c>
      <c r="AM33" s="1405">
        <f>AJ33</f>
        <v/>
      </c>
      <c r="AN33" s="1400">
        <f>stayCtry[[#This Row],[out]]-stayCtry[[#This Row],[in]]</f>
        <v/>
      </c>
      <c r="AO33" s="1406">
        <f>IF(AI33&lt;&gt;"",AO32+1,AO32)</f>
        <v/>
      </c>
      <c r="AP33" s="1398" t="inlineStr">
        <is>
          <t>.</t>
        </is>
      </c>
      <c r="AQ33" s="1402">
        <f/>
        <v/>
      </c>
      <c r="AR33" s="1403">
        <f/>
        <v/>
      </c>
      <c r="AS33" s="1403">
        <f/>
        <v/>
      </c>
      <c r="AT33" s="1400">
        <f>AQ33</f>
        <v/>
      </c>
      <c r="AU33" s="1405">
        <f>AR33</f>
        <v/>
      </c>
      <c r="AV33" s="1405">
        <f>AS33</f>
        <v/>
      </c>
      <c r="AW33" s="1400">
        <f>stayCont[[#This Row],[out]]-stayCont[[#This Row],[in]]</f>
        <v/>
      </c>
      <c r="AX33" s="1406">
        <f>IF(AR33&lt;&gt;"",AX32+1,AX32)</f>
        <v/>
      </c>
      <c r="AY33" s="1398" t="inlineStr">
        <is>
          <t>.</t>
        </is>
      </c>
      <c r="AZ33" s="1402">
        <f/>
        <v/>
      </c>
      <c r="BA33" s="1403">
        <f/>
        <v/>
      </c>
      <c r="BB33" s="1403">
        <f/>
        <v/>
      </c>
      <c r="BC33" s="1405">
        <f>AZ33</f>
        <v/>
      </c>
      <c r="BD33" s="1405">
        <f>BA33</f>
        <v/>
      </c>
      <c r="BE33" s="1405">
        <f>BB33</f>
        <v/>
      </c>
      <c r="BF33" s="1400">
        <f>stayWB[[#This Row],[out]]-stayWB[[#This Row],[in]]</f>
        <v/>
      </c>
      <c r="BG33" s="1400">
        <f>IF(BB33&lt;&gt;"",BG32+1,BG32)</f>
        <v/>
      </c>
      <c r="BH33" s="1398" t="inlineStr">
        <is>
          <t>.</t>
        </is>
      </c>
      <c r="BI33" s="1402" t="inlineStr">
        <is>
          <t>TUR-A</t>
        </is>
      </c>
      <c r="BJ33" s="1402" t="n">
        <v>1989</v>
      </c>
      <c r="BK33" s="1400">
        <f>BI33</f>
        <v/>
      </c>
      <c r="BL33" s="1409">
        <f>BJ33</f>
        <v/>
      </c>
      <c r="BM33" s="1378" t="inlineStr">
        <is>
          <t>.</t>
        </is>
      </c>
      <c r="BN33" s="1402" t="inlineStr">
        <is>
          <t>Z</t>
        </is>
      </c>
      <c r="BO33" s="1400">
        <f>BN33</f>
        <v/>
      </c>
      <c r="BP33" s="1398" t="inlineStr">
        <is>
          <t>.</t>
        </is>
      </c>
      <c r="BQ33" s="1400">
        <f>IF(BR33&lt;&gt;"",BQ32+1,BQ32)</f>
        <v/>
      </c>
      <c r="BR33" s="1411" t="inlineStr">
        <is>
          <t>SP</t>
        </is>
      </c>
      <c r="BS33" s="1411" t="inlineStr">
        <is>
          <t>SSA</t>
        </is>
      </c>
      <c r="BT33" s="1412" t="inlineStr">
        <is>
          <t>SP-SSA</t>
        </is>
      </c>
      <c r="BU33" s="1412" t="n">
        <v>33594</v>
      </c>
      <c r="BV33" s="1398" t="inlineStr">
        <is>
          <t>.</t>
        </is>
      </c>
      <c r="BW33" s="1400">
        <f>IF(BX33&lt;&gt;"",BW32+1,BW32)</f>
        <v/>
      </c>
      <c r="BX33" s="1411">
        <f/>
        <v/>
      </c>
      <c r="BY33" s="1413">
        <f/>
        <v/>
      </c>
      <c r="BZ33" s="1413">
        <f/>
        <v/>
      </c>
      <c r="CA33" s="1414">
        <f>BZ33-BY33</f>
        <v/>
      </c>
      <c r="CB33" s="1398" t="inlineStr">
        <is>
          <t>.</t>
        </is>
      </c>
      <c r="CC33" s="1400">
        <f>IF(CD33&lt;&gt;"",CC32+1,CC32)</f>
        <v/>
      </c>
      <c r="CD33" s="1411" t="inlineStr">
        <is>
          <t>Salto Grande</t>
        </is>
      </c>
      <c r="CE33" s="1412" t="n">
        <v>35391</v>
      </c>
      <c r="CF33" s="1412" t="n">
        <v>35397</v>
      </c>
      <c r="CG33" s="1415">
        <f>CF33-CE33</f>
        <v/>
      </c>
      <c r="CH33" s="1398" t="inlineStr">
        <is>
          <t>.</t>
        </is>
      </c>
      <c r="CI33" s="1400">
        <f>IF(CJ33&lt;&gt;"",CI32+1,CI32)</f>
        <v/>
      </c>
      <c r="CJ33" s="1402" t="inlineStr">
        <is>
          <t>Porto do Sol</t>
        </is>
      </c>
      <c r="CK33" s="1391" t="inlineStr">
        <is>
          <t>.</t>
        </is>
      </c>
      <c r="CL33" s="1392" t="n"/>
    </row>
    <row r="34">
      <c r="A34" s="5" t="inlineStr">
        <is>
          <t>.</t>
        </is>
      </c>
      <c r="B34" s="5" t="inlineStr">
        <is>
          <t>.</t>
        </is>
      </c>
      <c r="C34" s="1378">
        <f>IF(raw[[#This Row],[city]]="","-",IF(raw[[#This Row],[city]]="TODAY","-",C33+1))</f>
        <v/>
      </c>
      <c r="D34" s="1393" t="inlineStr">
        <is>
          <t>SSA</t>
        </is>
      </c>
      <c r="E34" s="1394" t="n">
        <v>28179</v>
      </c>
      <c r="F34" s="1394" t="n">
        <v>28216</v>
      </c>
      <c r="G34" s="1393" t="inlineStr">
        <is>
          <t>-</t>
        </is>
      </c>
      <c r="H34" s="1393">
        <f>H33</f>
        <v/>
      </c>
      <c r="I34" s="1393" t="inlineStr">
        <is>
          <t>-</t>
        </is>
      </c>
      <c r="J34" s="1393" t="inlineStr">
        <is>
          <t>-</t>
        </is>
      </c>
      <c r="K34" s="1395">
        <f>IF(raw[[#This Row],[city]]&lt;&gt;"",_xlfn.XLOOKUP($D34,ccc[city],ccc[prov],"-"),"-")</f>
        <v/>
      </c>
      <c r="L34" s="1395">
        <f>IF(raw[[#This Row],[city]]&lt;&gt;"",_xlfn.XLOOKUP($D34,ccc[city],ccc[ctry],"-"),"-")</f>
        <v/>
      </c>
      <c r="M34" s="1395">
        <f>IF(raw[[#This Row],[city]]&lt;&gt;"",_xlfn.XLOOKUP($D34,ccc[city],ccc[cont],"-"),"-")</f>
        <v/>
      </c>
      <c r="N34" s="1396">
        <f>IF(raw[[#This Row],[city]]="","-",IF(raw[[#This Row],[cont]]="B",raw[[#This Row],[cont]],"W"))</f>
        <v/>
      </c>
      <c r="O34" s="1397">
        <f>IF(raw[[#This Row],[out]]=0,0,IF(raw[[#This Row],[out]]=raw[[#This Row],[in]],0.01,raw[[#This Row],[out]]-raw[[#This Row],[in]]))</f>
        <v/>
      </c>
      <c r="P34" s="1397">
        <f>IF(raw[[#This Row],[in]]=0,0,MONTH(raw[[#This Row],[in]]))</f>
        <v/>
      </c>
      <c r="Q34" s="1397">
        <f>IF(raw[[#This Row],[in]]=0,0,YEAR(raw[[#This Row],[in]]))</f>
        <v/>
      </c>
      <c r="R34" s="1397">
        <f>INT(raw[[#This Row],[yr]]/10)*10</f>
        <v/>
      </c>
      <c r="S34" s="1395">
        <f>IF(raw[[#This Row],[city]]="","-",IF(raw[[#This Row],[city]]&lt;&gt;_xlfn.XLOOKUP(raw[[#This Row],[home]],homes[home],homes[city],"-"),1,0))</f>
        <v/>
      </c>
      <c r="T34" s="1398" t="inlineStr">
        <is>
          <t>.</t>
        </is>
      </c>
      <c r="U34" s="1399">
        <f>IF(raw[[#This Row],[wb]]="w",raw[[#This Row],[stay]]+U33,U33)</f>
        <v/>
      </c>
      <c r="V34" s="1400">
        <f>IF(raw[[#This Row],[out]]=0,V33,(raw[[#This Row],[out]]-E$5))</f>
        <v/>
      </c>
      <c r="W34" s="1401">
        <f>U34/V34</f>
        <v/>
      </c>
      <c r="X34" s="1378" t="inlineStr">
        <is>
          <t>.</t>
        </is>
      </c>
      <c r="Y34" s="1402">
        <f/>
        <v/>
      </c>
      <c r="Z34" s="1403">
        <f/>
        <v/>
      </c>
      <c r="AA34" s="1403">
        <f/>
        <v/>
      </c>
      <c r="AB34" s="1400">
        <f t="array" ref="AB34">_xlfn.LET(_xlpm.S,_xlfn.ANCHORARRAY($Y$4),_xlpm.r,ROWS(stayCity[[#Headers],[city]]:stayCity[[#This Row],[city]])-1,IF(_xlpm.r&lt;=ROWS(_xlpm.S),INDEX(_xlpm.S,_xlpm.r,1),""))</f>
        <v/>
      </c>
      <c r="AC34" s="1405">
        <f t="array" ref="AC34">_xlfn.LET(_xlpm.S,_xlfn.ANCHORARRAY($Y$4),_xlpm.r,ROWS(stayCity[[#Headers],[city]]:stayCity[[#This Row],[city]])-1,IF(_xlpm.r&lt;=ROWS(_xlpm.S),INDEX(_xlpm.S,_xlpm.r,2),""))</f>
        <v/>
      </c>
      <c r="AD34" s="1405">
        <f t="array" ref="AD34">_xlfn.LET(_xlpm.S,_xlfn.ANCHORARRAY($Y$4),_xlpm.r,ROWS(stayCity[[#Headers],[city]]:stayCity[[#This Row],[city]])-1,IF(_xlpm.r&lt;=ROWS(_xlpm.S),INDEX(_xlpm.S,_xlpm.r,3),""))</f>
        <v/>
      </c>
      <c r="AE34" s="1400">
        <f>IF(stayCity[[#This Row],[out]]&lt;&gt;"",stayCity[[#This Row],[out]]-stayCity[[#This Row],[in]],"-")</f>
        <v/>
      </c>
      <c r="AF34" s="1406">
        <f>IF(Y34="","-",YEAR(stayCity[[#This Row],[in]]))</f>
        <v/>
      </c>
      <c r="AG34" s="1398" t="inlineStr">
        <is>
          <t>.</t>
        </is>
      </c>
      <c r="AH34" s="1402">
        <f/>
        <v/>
      </c>
      <c r="AI34" s="1403">
        <f/>
        <v/>
      </c>
      <c r="AJ34" s="1403">
        <f/>
        <v/>
      </c>
      <c r="AK34" s="1400">
        <f>IF(AH34="","-",AH34)</f>
        <v/>
      </c>
      <c r="AL34" s="1405">
        <f>AI34</f>
        <v/>
      </c>
      <c r="AM34" s="1405">
        <f>AJ34</f>
        <v/>
      </c>
      <c r="AN34" s="1400">
        <f>stayCtry[[#This Row],[out]]-stayCtry[[#This Row],[in]]</f>
        <v/>
      </c>
      <c r="AO34" s="1406">
        <f>IF(AI34&lt;&gt;"",AO33+1,AO33)</f>
        <v/>
      </c>
      <c r="AP34" s="1398" t="inlineStr">
        <is>
          <t>.</t>
        </is>
      </c>
      <c r="AQ34" s="1402">
        <f/>
        <v/>
      </c>
      <c r="AR34" s="1403">
        <f/>
        <v/>
      </c>
      <c r="AS34" s="1403">
        <f/>
        <v/>
      </c>
      <c r="AT34" s="1400">
        <f>AQ34</f>
        <v/>
      </c>
      <c r="AU34" s="1405">
        <f>AR34</f>
        <v/>
      </c>
      <c r="AV34" s="1405">
        <f>AS34</f>
        <v/>
      </c>
      <c r="AW34" s="1400">
        <f>stayCont[[#This Row],[out]]-stayCont[[#This Row],[in]]</f>
        <v/>
      </c>
      <c r="AX34" s="1406">
        <f>IF(AR34&lt;&gt;"",AX33+1,AX33)</f>
        <v/>
      </c>
      <c r="AY34" s="1398" t="inlineStr">
        <is>
          <t>.</t>
        </is>
      </c>
      <c r="AZ34" s="1402">
        <f/>
        <v/>
      </c>
      <c r="BA34" s="1403">
        <f/>
        <v/>
      </c>
      <c r="BB34" s="1403">
        <f/>
        <v/>
      </c>
      <c r="BC34" s="1405">
        <f>AZ34</f>
        <v/>
      </c>
      <c r="BD34" s="1405">
        <f>BA34</f>
        <v/>
      </c>
      <c r="BE34" s="1405">
        <f>BB34</f>
        <v/>
      </c>
      <c r="BF34" s="1400">
        <f>stayWB[[#This Row],[out]]-stayWB[[#This Row],[in]]</f>
        <v/>
      </c>
      <c r="BG34" s="1400">
        <f>IF(BB34&lt;&gt;"",BG33+1,BG33)</f>
        <v/>
      </c>
      <c r="BH34" s="1398" t="inlineStr">
        <is>
          <t>.</t>
        </is>
      </c>
      <c r="BI34" s="1402" t="inlineStr">
        <is>
          <t>TUR-E</t>
        </is>
      </c>
      <c r="BJ34" s="1402" t="n">
        <v>1989</v>
      </c>
      <c r="BK34" s="1400">
        <f>BI34</f>
        <v/>
      </c>
      <c r="BL34" s="1409">
        <f>BJ34</f>
        <v/>
      </c>
      <c r="BM34" s="1378" t="inlineStr">
        <is>
          <t>.</t>
        </is>
      </c>
      <c r="BN34" s="1402" t="inlineStr">
        <is>
          <t>B</t>
        </is>
      </c>
      <c r="BO34" s="1400">
        <f>BN34</f>
        <v/>
      </c>
      <c r="BP34" s="1398" t="inlineStr">
        <is>
          <t>.</t>
        </is>
      </c>
      <c r="BQ34" s="1400">
        <f>IF(BR34&lt;&gt;"",BQ33+1,BQ33)</f>
        <v/>
      </c>
      <c r="BR34" s="1411" t="inlineStr">
        <is>
          <t>SSA</t>
        </is>
      </c>
      <c r="BS34" s="1411" t="inlineStr">
        <is>
          <t>SP</t>
        </is>
      </c>
      <c r="BT34" s="1412" t="inlineStr">
        <is>
          <t>SSA-SP</t>
        </is>
      </c>
      <c r="BU34" s="1412" t="n">
        <v>33618</v>
      </c>
      <c r="BV34" s="1398" t="inlineStr">
        <is>
          <t>.</t>
        </is>
      </c>
      <c r="BW34" s="1400">
        <f>IF(BX34&lt;&gt;"",BW33+1,BW33)</f>
        <v/>
      </c>
      <c r="BX34" s="1411">
        <f/>
        <v/>
      </c>
      <c r="BY34" s="1413">
        <f/>
        <v/>
      </c>
      <c r="BZ34" s="1413">
        <f/>
        <v/>
      </c>
      <c r="CA34" s="1414">
        <f>BZ34-BY34</f>
        <v/>
      </c>
      <c r="CB34" s="1398" t="inlineStr">
        <is>
          <t>.</t>
        </is>
      </c>
      <c r="CC34" s="1400">
        <f>IF(CD34&lt;&gt;"",CC33+1,CC33)</f>
        <v/>
      </c>
      <c r="CD34" s="1411" t="inlineStr">
        <is>
          <t>Salto Grande</t>
        </is>
      </c>
      <c r="CE34" s="1412" t="n">
        <v>35656</v>
      </c>
      <c r="CF34" s="1412" t="n">
        <v>35660</v>
      </c>
      <c r="CG34" s="1415">
        <f>CF34-CE34</f>
        <v/>
      </c>
      <c r="CH34" s="1398" t="inlineStr">
        <is>
          <t>.</t>
        </is>
      </c>
      <c r="CI34" s="1400">
        <f>IF(CJ34&lt;&gt;"",CI33+1,CI33)</f>
        <v/>
      </c>
      <c r="CJ34" s="1402" t="inlineStr">
        <is>
          <t>Rato/Vila Mariana</t>
        </is>
      </c>
      <c r="CK34" s="1391" t="inlineStr">
        <is>
          <t>.</t>
        </is>
      </c>
      <c r="CL34" s="1392" t="n"/>
    </row>
    <row r="35">
      <c r="A35" s="5" t="inlineStr">
        <is>
          <t>.</t>
        </is>
      </c>
      <c r="B35" s="5" t="inlineStr">
        <is>
          <t>.</t>
        </is>
      </c>
      <c r="C35" s="1378">
        <f>IF(raw[[#This Row],[city]]="","-",IF(raw[[#This Row],[city]]="TODAY","-",C34+1))</f>
        <v/>
      </c>
      <c r="D35" s="1393" t="inlineStr">
        <is>
          <t>ROAD</t>
        </is>
      </c>
      <c r="E35" s="1394" t="n">
        <v>28216</v>
      </c>
      <c r="F35" s="1394" t="n">
        <v>28217</v>
      </c>
      <c r="G35" s="1393" t="inlineStr">
        <is>
          <t>-</t>
        </is>
      </c>
      <c r="H35" s="1393">
        <f>H34</f>
        <v/>
      </c>
      <c r="I35" s="1393" t="inlineStr">
        <is>
          <t>-</t>
        </is>
      </c>
      <c r="J35" s="1393" t="inlineStr">
        <is>
          <t>-</t>
        </is>
      </c>
      <c r="K35" s="1395">
        <f>IF(raw[[#This Row],[city]]&lt;&gt;"",_xlfn.XLOOKUP($D35,ccc[city],ccc[prov],"-"),"-")</f>
        <v/>
      </c>
      <c r="L35" s="1395">
        <f>IF(raw[[#This Row],[city]]&lt;&gt;"",_xlfn.XLOOKUP($D35,ccc[city],ccc[ctry],"-"),"-")</f>
        <v/>
      </c>
      <c r="M35" s="1395">
        <f>IF(raw[[#This Row],[city]]&lt;&gt;"",_xlfn.XLOOKUP($D35,ccc[city],ccc[cont],"-"),"-")</f>
        <v/>
      </c>
      <c r="N35" s="1396">
        <f>IF(raw[[#This Row],[city]]="","-",IF(raw[[#This Row],[cont]]="B",raw[[#This Row],[cont]],"W"))</f>
        <v/>
      </c>
      <c r="O35" s="1397">
        <f>IF(raw[[#This Row],[out]]=0,0,IF(raw[[#This Row],[out]]=raw[[#This Row],[in]],0.01,raw[[#This Row],[out]]-raw[[#This Row],[in]]))</f>
        <v/>
      </c>
      <c r="P35" s="1397">
        <f>IF(raw[[#This Row],[in]]=0,0,MONTH(raw[[#This Row],[in]]))</f>
        <v/>
      </c>
      <c r="Q35" s="1397">
        <f>IF(raw[[#This Row],[in]]=0,0,YEAR(raw[[#This Row],[in]]))</f>
        <v/>
      </c>
      <c r="R35" s="1397">
        <f>INT(raw[[#This Row],[yr]]/10)*10</f>
        <v/>
      </c>
      <c r="S35" s="1395">
        <f>IF(raw[[#This Row],[city]]="","-",IF(raw[[#This Row],[city]]&lt;&gt;_xlfn.XLOOKUP(raw[[#This Row],[home]],homes[home],homes[city],"-"),1,0))</f>
        <v/>
      </c>
      <c r="T35" s="1398" t="inlineStr">
        <is>
          <t>.</t>
        </is>
      </c>
      <c r="U35" s="1399">
        <f>IF(raw[[#This Row],[wb]]="w",raw[[#This Row],[stay]]+U34,U34)</f>
        <v/>
      </c>
      <c r="V35" s="1400">
        <f>IF(raw[[#This Row],[out]]=0,V34,(raw[[#This Row],[out]]-E$5))</f>
        <v/>
      </c>
      <c r="W35" s="1401">
        <f>U35/V35</f>
        <v/>
      </c>
      <c r="X35" s="1378" t="inlineStr">
        <is>
          <t>.</t>
        </is>
      </c>
      <c r="Y35" s="1402">
        <f/>
        <v/>
      </c>
      <c r="Z35" s="1403">
        <f/>
        <v/>
      </c>
      <c r="AA35" s="1403">
        <f/>
        <v/>
      </c>
      <c r="AB35" s="1400">
        <f t="array" ref="AB35">_xlfn.LET(_xlpm.S,_xlfn.ANCHORARRAY($Y$4),_xlpm.r,ROWS(stayCity[[#Headers],[city]]:stayCity[[#This Row],[city]])-1,IF(_xlpm.r&lt;=ROWS(_xlpm.S),INDEX(_xlpm.S,_xlpm.r,1),""))</f>
        <v/>
      </c>
      <c r="AC35" s="1405">
        <f t="array" ref="AC35">_xlfn.LET(_xlpm.S,_xlfn.ANCHORARRAY($Y$4),_xlpm.r,ROWS(stayCity[[#Headers],[city]]:stayCity[[#This Row],[city]])-1,IF(_xlpm.r&lt;=ROWS(_xlpm.S),INDEX(_xlpm.S,_xlpm.r,2),""))</f>
        <v/>
      </c>
      <c r="AD35" s="1405">
        <f t="array" ref="AD35">_xlfn.LET(_xlpm.S,_xlfn.ANCHORARRAY($Y$4),_xlpm.r,ROWS(stayCity[[#Headers],[city]]:stayCity[[#This Row],[city]])-1,IF(_xlpm.r&lt;=ROWS(_xlpm.S),INDEX(_xlpm.S,_xlpm.r,3),""))</f>
        <v/>
      </c>
      <c r="AE35" s="1400">
        <f>IF(stayCity[[#This Row],[out]]&lt;&gt;"",stayCity[[#This Row],[out]]-stayCity[[#This Row],[in]],"-")</f>
        <v/>
      </c>
      <c r="AF35" s="1406">
        <f>IF(Y35="","-",YEAR(stayCity[[#This Row],[in]]))</f>
        <v/>
      </c>
      <c r="AG35" s="1398" t="inlineStr">
        <is>
          <t>.</t>
        </is>
      </c>
      <c r="AH35" s="1402">
        <f/>
        <v/>
      </c>
      <c r="AI35" s="1403">
        <f/>
        <v/>
      </c>
      <c r="AJ35" s="1403">
        <f/>
        <v/>
      </c>
      <c r="AK35" s="1400">
        <f>IF(AH35="","-",AH35)</f>
        <v/>
      </c>
      <c r="AL35" s="1405">
        <f>AI35</f>
        <v/>
      </c>
      <c r="AM35" s="1405">
        <f>AJ35</f>
        <v/>
      </c>
      <c r="AN35" s="1400">
        <f>stayCtry[[#This Row],[out]]-stayCtry[[#This Row],[in]]</f>
        <v/>
      </c>
      <c r="AO35" s="1406">
        <f>IF(AI35&lt;&gt;"",AO34+1,AO34)</f>
        <v/>
      </c>
      <c r="AP35" s="1398" t="inlineStr">
        <is>
          <t>.</t>
        </is>
      </c>
      <c r="AQ35" s="1402">
        <f/>
        <v/>
      </c>
      <c r="AR35" s="1403">
        <f/>
        <v/>
      </c>
      <c r="AS35" s="1403">
        <f/>
        <v/>
      </c>
      <c r="AT35" s="1400">
        <f>AQ35</f>
        <v/>
      </c>
      <c r="AU35" s="1405">
        <f>AR35</f>
        <v/>
      </c>
      <c r="AV35" s="1405">
        <f>AS35</f>
        <v/>
      </c>
      <c r="AW35" s="1400">
        <f>stayCont[[#This Row],[out]]-stayCont[[#This Row],[in]]</f>
        <v/>
      </c>
      <c r="AX35" s="1406">
        <f>IF(AR35&lt;&gt;"",AX34+1,AX34)</f>
        <v/>
      </c>
      <c r="AY35" s="1398" t="inlineStr">
        <is>
          <t>.</t>
        </is>
      </c>
      <c r="AZ35" s="1402">
        <f/>
        <v/>
      </c>
      <c r="BA35" s="1403">
        <f/>
        <v/>
      </c>
      <c r="BB35" s="1403">
        <f/>
        <v/>
      </c>
      <c r="BC35" s="1405">
        <f>AZ35</f>
        <v/>
      </c>
      <c r="BD35" s="1405">
        <f>BA35</f>
        <v/>
      </c>
      <c r="BE35" s="1405">
        <f>BB35</f>
        <v/>
      </c>
      <c r="BF35" s="1400">
        <f>stayWB[[#This Row],[out]]-stayWB[[#This Row],[in]]</f>
        <v/>
      </c>
      <c r="BG35" s="1400">
        <f>IF(BB35&lt;&gt;"",BG34+1,BG34)</f>
        <v/>
      </c>
      <c r="BH35" s="1398" t="inlineStr">
        <is>
          <t>.</t>
        </is>
      </c>
      <c r="BI35" s="1402" t="inlineStr">
        <is>
          <t>TUR-A</t>
        </is>
      </c>
      <c r="BJ35" s="1402" t="n">
        <v>1989</v>
      </c>
      <c r="BK35" s="1400">
        <f>BI35</f>
        <v/>
      </c>
      <c r="BL35" s="1409">
        <f>BJ35</f>
        <v/>
      </c>
      <c r="BM35" s="1378" t="inlineStr">
        <is>
          <t>.</t>
        </is>
      </c>
      <c r="BN35" s="1402" t="inlineStr">
        <is>
          <t>Z</t>
        </is>
      </c>
      <c r="BO35" s="1400">
        <f>BN35</f>
        <v/>
      </c>
      <c r="BP35" s="1398" t="inlineStr">
        <is>
          <t>.</t>
        </is>
      </c>
      <c r="BQ35" s="1400">
        <f>IF(BR35&lt;&gt;"",BQ34+1,BQ34)</f>
        <v/>
      </c>
      <c r="BR35" s="1411" t="inlineStr">
        <is>
          <t>SP</t>
        </is>
      </c>
      <c r="BS35" s="1411" t="inlineStr">
        <is>
          <t>SSA</t>
        </is>
      </c>
      <c r="BT35" s="1412" t="inlineStr">
        <is>
          <t>SP-SSA</t>
        </is>
      </c>
      <c r="BU35" s="1412" t="n">
        <v>33625</v>
      </c>
      <c r="BV35" s="1398" t="inlineStr">
        <is>
          <t>.</t>
        </is>
      </c>
      <c r="BW35" s="1400">
        <f>IF(BX35&lt;&gt;"",BW34+1,BW34)</f>
        <v/>
      </c>
      <c r="BX35" s="1411">
        <f/>
        <v/>
      </c>
      <c r="BY35" s="1413">
        <f/>
        <v/>
      </c>
      <c r="BZ35" s="1413">
        <f/>
        <v/>
      </c>
      <c r="CA35" s="1414">
        <f>BZ35-BY35</f>
        <v/>
      </c>
      <c r="CB35" s="1398" t="inlineStr">
        <is>
          <t>.</t>
        </is>
      </c>
      <c r="CC35" s="1400">
        <f>IF(CD35&lt;&gt;"",CC34+1,CC34)</f>
        <v/>
      </c>
      <c r="CD35" s="1411" t="inlineStr">
        <is>
          <t>David's</t>
        </is>
      </c>
      <c r="CE35" s="1412" t="n">
        <v>35668</v>
      </c>
      <c r="CF35" s="1412" t="n">
        <v>35673</v>
      </c>
      <c r="CG35" s="1415">
        <f>CF35-CE35</f>
        <v/>
      </c>
      <c r="CH35" s="1398" t="inlineStr">
        <is>
          <t>.</t>
        </is>
      </c>
      <c r="CI35" s="1400">
        <f>IF(CJ35&lt;&gt;"",CI34+1,CI34)</f>
        <v/>
      </c>
      <c r="CJ35" s="1402" t="inlineStr">
        <is>
          <t>Monica Rio</t>
        </is>
      </c>
      <c r="CK35" s="1391" t="inlineStr">
        <is>
          <t>.</t>
        </is>
      </c>
      <c r="CL35" s="1392" t="n"/>
    </row>
    <row r="36">
      <c r="A36" s="5" t="inlineStr">
        <is>
          <t>.</t>
        </is>
      </c>
      <c r="B36" s="5" t="inlineStr">
        <is>
          <t>.</t>
        </is>
      </c>
      <c r="C36" s="1378">
        <f>IF(raw[[#This Row],[city]]="","-",IF(raw[[#This Row],[city]]="TODAY","-",C35+1))</f>
        <v/>
      </c>
      <c r="D36" s="1393" t="inlineStr">
        <is>
          <t>Rio</t>
        </is>
      </c>
      <c r="E36" s="1394" t="n">
        <v>28217</v>
      </c>
      <c r="F36" s="1394" t="n">
        <v>28218</v>
      </c>
      <c r="G36" s="1393" t="inlineStr">
        <is>
          <t>-</t>
        </is>
      </c>
      <c r="H36" s="1393">
        <f>H35</f>
        <v/>
      </c>
      <c r="I36" s="1393" t="inlineStr">
        <is>
          <t>-</t>
        </is>
      </c>
      <c r="J36" s="1393" t="inlineStr">
        <is>
          <t>-</t>
        </is>
      </c>
      <c r="K36" s="1395">
        <f>IF(raw[[#This Row],[city]]&lt;&gt;"",_xlfn.XLOOKUP($D36,ccc[city],ccc[prov],"-"),"-")</f>
        <v/>
      </c>
      <c r="L36" s="1395">
        <f>IF(raw[[#This Row],[city]]&lt;&gt;"",_xlfn.XLOOKUP($D36,ccc[city],ccc[ctry],"-"),"-")</f>
        <v/>
      </c>
      <c r="M36" s="1395">
        <f>IF(raw[[#This Row],[city]]&lt;&gt;"",_xlfn.XLOOKUP($D36,ccc[city],ccc[cont],"-"),"-")</f>
        <v/>
      </c>
      <c r="N36" s="1396">
        <f>IF(raw[[#This Row],[city]]="","-",IF(raw[[#This Row],[cont]]="B",raw[[#This Row],[cont]],"W"))</f>
        <v/>
      </c>
      <c r="O36" s="1397">
        <f>IF(raw[[#This Row],[out]]=0,0,IF(raw[[#This Row],[out]]=raw[[#This Row],[in]],0.01,raw[[#This Row],[out]]-raw[[#This Row],[in]]))</f>
        <v/>
      </c>
      <c r="P36" s="1397">
        <f>IF(raw[[#This Row],[in]]=0,0,MONTH(raw[[#This Row],[in]]))</f>
        <v/>
      </c>
      <c r="Q36" s="1397">
        <f>IF(raw[[#This Row],[in]]=0,0,YEAR(raw[[#This Row],[in]]))</f>
        <v/>
      </c>
      <c r="R36" s="1397">
        <f>INT(raw[[#This Row],[yr]]/10)*10</f>
        <v/>
      </c>
      <c r="S36" s="1395">
        <f>IF(raw[[#This Row],[city]]="","-",IF(raw[[#This Row],[city]]&lt;&gt;_xlfn.XLOOKUP(raw[[#This Row],[home]],homes[home],homes[city],"-"),1,0))</f>
        <v/>
      </c>
      <c r="T36" s="1398" t="inlineStr">
        <is>
          <t>.</t>
        </is>
      </c>
      <c r="U36" s="1399">
        <f>IF(raw[[#This Row],[wb]]="w",raw[[#This Row],[stay]]+U35,U35)</f>
        <v/>
      </c>
      <c r="V36" s="1400">
        <f>IF(raw[[#This Row],[out]]=0,V35,(raw[[#This Row],[out]]-E$5))</f>
        <v/>
      </c>
      <c r="W36" s="1401">
        <f>U36/V36</f>
        <v/>
      </c>
      <c r="X36" s="1378" t="inlineStr">
        <is>
          <t>.</t>
        </is>
      </c>
      <c r="Y36" s="1402">
        <f/>
        <v/>
      </c>
      <c r="Z36" s="1403">
        <f/>
        <v/>
      </c>
      <c r="AA36" s="1403">
        <f/>
        <v/>
      </c>
      <c r="AB36" s="1400">
        <f t="array" ref="AB36">_xlfn.LET(_xlpm.S,_xlfn.ANCHORARRAY($Y$4),_xlpm.r,ROWS(stayCity[[#Headers],[city]]:stayCity[[#This Row],[city]])-1,IF(_xlpm.r&lt;=ROWS(_xlpm.S),INDEX(_xlpm.S,_xlpm.r,1),""))</f>
        <v/>
      </c>
      <c r="AC36" s="1405">
        <f t="array" ref="AC36">_xlfn.LET(_xlpm.S,_xlfn.ANCHORARRAY($Y$4),_xlpm.r,ROWS(stayCity[[#Headers],[city]]:stayCity[[#This Row],[city]])-1,IF(_xlpm.r&lt;=ROWS(_xlpm.S),INDEX(_xlpm.S,_xlpm.r,2),""))</f>
        <v/>
      </c>
      <c r="AD36" s="1405">
        <f t="array" ref="AD36">_xlfn.LET(_xlpm.S,_xlfn.ANCHORARRAY($Y$4),_xlpm.r,ROWS(stayCity[[#Headers],[city]]:stayCity[[#This Row],[city]])-1,IF(_xlpm.r&lt;=ROWS(_xlpm.S),INDEX(_xlpm.S,_xlpm.r,3),""))</f>
        <v/>
      </c>
      <c r="AE36" s="1400">
        <f>IF(stayCity[[#This Row],[out]]&lt;&gt;"",stayCity[[#This Row],[out]]-stayCity[[#This Row],[in]],"-")</f>
        <v/>
      </c>
      <c r="AF36" s="1406">
        <f>IF(Y36="","-",YEAR(stayCity[[#This Row],[in]]))</f>
        <v/>
      </c>
      <c r="AG36" s="1398" t="inlineStr">
        <is>
          <t>.</t>
        </is>
      </c>
      <c r="AH36" s="1402">
        <f/>
        <v/>
      </c>
      <c r="AI36" s="1403">
        <f/>
        <v/>
      </c>
      <c r="AJ36" s="1403">
        <f/>
        <v/>
      </c>
      <c r="AK36" s="1400">
        <f>IF(AH36="","-",AH36)</f>
        <v/>
      </c>
      <c r="AL36" s="1405">
        <f>AI36</f>
        <v/>
      </c>
      <c r="AM36" s="1405">
        <f>AJ36</f>
        <v/>
      </c>
      <c r="AN36" s="1400">
        <f>stayCtry[[#This Row],[out]]-stayCtry[[#This Row],[in]]</f>
        <v/>
      </c>
      <c r="AO36" s="1406">
        <f>IF(AI36&lt;&gt;"",AO35+1,AO35)</f>
        <v/>
      </c>
      <c r="AP36" s="1398" t="inlineStr">
        <is>
          <t>.</t>
        </is>
      </c>
      <c r="AQ36" s="1402">
        <f/>
        <v/>
      </c>
      <c r="AR36" s="1403">
        <f/>
        <v/>
      </c>
      <c r="AS36" s="1403">
        <f/>
        <v/>
      </c>
      <c r="AT36" s="1400">
        <f>AQ36</f>
        <v/>
      </c>
      <c r="AU36" s="1405">
        <f>AR36</f>
        <v/>
      </c>
      <c r="AV36" s="1405">
        <f>AS36</f>
        <v/>
      </c>
      <c r="AW36" s="1400">
        <f>stayCont[[#This Row],[out]]-stayCont[[#This Row],[in]]</f>
        <v/>
      </c>
      <c r="AX36" s="1406">
        <f>IF(AR36&lt;&gt;"",AX35+1,AX35)</f>
        <v/>
      </c>
      <c r="AY36" s="1398" t="inlineStr">
        <is>
          <t>.</t>
        </is>
      </c>
      <c r="AZ36" s="1402">
        <f/>
        <v/>
      </c>
      <c r="BA36" s="1403">
        <f/>
        <v/>
      </c>
      <c r="BB36" s="1403">
        <f/>
        <v/>
      </c>
      <c r="BC36" s="1405">
        <f>AZ36</f>
        <v/>
      </c>
      <c r="BD36" s="1405">
        <f>BA36</f>
        <v/>
      </c>
      <c r="BE36" s="1405">
        <f>BB36</f>
        <v/>
      </c>
      <c r="BF36" s="1400">
        <f>stayWB[[#This Row],[out]]-stayWB[[#This Row],[in]]</f>
        <v/>
      </c>
      <c r="BG36" s="1400">
        <f>IF(BB36&lt;&gt;"",BG35+1,BG35)</f>
        <v/>
      </c>
      <c r="BH36" s="1398" t="inlineStr">
        <is>
          <t>.</t>
        </is>
      </c>
      <c r="BI36" s="1402" t="inlineStr">
        <is>
          <t>GRC</t>
        </is>
      </c>
      <c r="BJ36" s="1402" t="n">
        <v>1989</v>
      </c>
      <c r="BK36" s="1400">
        <f>BI36</f>
        <v/>
      </c>
      <c r="BL36" s="1409">
        <f>BJ36</f>
        <v/>
      </c>
      <c r="BM36" s="1378" t="inlineStr">
        <is>
          <t>.</t>
        </is>
      </c>
      <c r="BN36" s="1402" t="inlineStr">
        <is>
          <t>E</t>
        </is>
      </c>
      <c r="BO36" s="1400">
        <f>BN36</f>
        <v/>
      </c>
      <c r="BP36" s="1398" t="inlineStr">
        <is>
          <t>.</t>
        </is>
      </c>
      <c r="BQ36" s="1400">
        <f>IF(BR36&lt;&gt;"",BQ35+1,BQ35)</f>
        <v/>
      </c>
      <c r="BR36" s="1411" t="inlineStr">
        <is>
          <t>SSA</t>
        </is>
      </c>
      <c r="BS36" s="1411" t="inlineStr">
        <is>
          <t>SP</t>
        </is>
      </c>
      <c r="BT36" s="1412" t="inlineStr">
        <is>
          <t>SSA-SP</t>
        </is>
      </c>
      <c r="BU36" s="1412" t="n">
        <v>33676</v>
      </c>
      <c r="BV36" s="1398" t="inlineStr">
        <is>
          <t>.</t>
        </is>
      </c>
      <c r="BW36" s="1400">
        <f>IF(BX36&lt;&gt;"",BW35+1,BW35)</f>
        <v/>
      </c>
      <c r="BX36" s="1411">
        <f/>
        <v/>
      </c>
      <c r="BY36" s="1413">
        <f/>
        <v/>
      </c>
      <c r="BZ36" s="1413">
        <f/>
        <v/>
      </c>
      <c r="CA36" s="1414">
        <f>BZ36-BY36</f>
        <v/>
      </c>
      <c r="CB36" s="1398" t="inlineStr">
        <is>
          <t>.</t>
        </is>
      </c>
      <c r="CC36" s="1400">
        <f>IF(CD36&lt;&gt;"",CC35+1,CC35)</f>
        <v/>
      </c>
      <c r="CD36" s="1411" t="inlineStr">
        <is>
          <t>Ondina</t>
        </is>
      </c>
      <c r="CE36" s="1412" t="n">
        <v>35783</v>
      </c>
      <c r="CF36" s="1412" t="n">
        <v>35792</v>
      </c>
      <c r="CG36" s="1415">
        <f>CF36-CE36</f>
        <v/>
      </c>
      <c r="CH36" s="1398" t="inlineStr">
        <is>
          <t>.</t>
        </is>
      </c>
      <c r="CI36" s="1400">
        <f>IF(CJ36&lt;&gt;"",CI35+1,CI35)</f>
        <v/>
      </c>
      <c r="CJ36" s="1402" t="inlineStr">
        <is>
          <t>Cruise/Nina</t>
        </is>
      </c>
      <c r="CK36" s="1391" t="inlineStr">
        <is>
          <t>.</t>
        </is>
      </c>
      <c r="CL36" s="1392" t="n"/>
    </row>
    <row r="37">
      <c r="A37" s="5" t="inlineStr">
        <is>
          <t>.</t>
        </is>
      </c>
      <c r="B37" s="5" t="inlineStr">
        <is>
          <t>.</t>
        </is>
      </c>
      <c r="C37" s="1378">
        <f>IF(raw[[#This Row],[city]]="","-",IF(raw[[#This Row],[city]]="TODAY","-",C36+1))</f>
        <v/>
      </c>
      <c r="D37" s="1393" t="inlineStr">
        <is>
          <t>SP</t>
        </is>
      </c>
      <c r="E37" s="1394" t="n">
        <v>28218</v>
      </c>
      <c r="F37" s="1394" t="n">
        <v>28225</v>
      </c>
      <c r="G37" s="1393" t="inlineStr">
        <is>
          <t>-</t>
        </is>
      </c>
      <c r="H37" s="1393">
        <f>H36</f>
        <v/>
      </c>
      <c r="I37" s="1393" t="inlineStr">
        <is>
          <t>-</t>
        </is>
      </c>
      <c r="J37" s="1393" t="inlineStr">
        <is>
          <t>-</t>
        </is>
      </c>
      <c r="K37" s="1395">
        <f>IF(raw[[#This Row],[city]]&lt;&gt;"",_xlfn.XLOOKUP($D37,ccc[city],ccc[prov],"-"),"-")</f>
        <v/>
      </c>
      <c r="L37" s="1395">
        <f>IF(raw[[#This Row],[city]]&lt;&gt;"",_xlfn.XLOOKUP($D37,ccc[city],ccc[ctry],"-"),"-")</f>
        <v/>
      </c>
      <c r="M37" s="1395">
        <f>IF(raw[[#This Row],[city]]&lt;&gt;"",_xlfn.XLOOKUP($D37,ccc[city],ccc[cont],"-"),"-")</f>
        <v/>
      </c>
      <c r="N37" s="1396">
        <f>IF(raw[[#This Row],[city]]="","-",IF(raw[[#This Row],[cont]]="B",raw[[#This Row],[cont]],"W"))</f>
        <v/>
      </c>
      <c r="O37" s="1397">
        <f>IF(raw[[#This Row],[out]]=0,0,IF(raw[[#This Row],[out]]=raw[[#This Row],[in]],0.01,raw[[#This Row],[out]]-raw[[#This Row],[in]]))</f>
        <v/>
      </c>
      <c r="P37" s="1397">
        <f>IF(raw[[#This Row],[in]]=0,0,MONTH(raw[[#This Row],[in]]))</f>
        <v/>
      </c>
      <c r="Q37" s="1397">
        <f>IF(raw[[#This Row],[in]]=0,0,YEAR(raw[[#This Row],[in]]))</f>
        <v/>
      </c>
      <c r="R37" s="1397">
        <f>INT(raw[[#This Row],[yr]]/10)*10</f>
        <v/>
      </c>
      <c r="S37" s="1395">
        <f>IF(raw[[#This Row],[city]]="","-",IF(raw[[#This Row],[city]]&lt;&gt;_xlfn.XLOOKUP(raw[[#This Row],[home]],homes[home],homes[city],"-"),1,0))</f>
        <v/>
      </c>
      <c r="T37" s="1398" t="inlineStr">
        <is>
          <t>.</t>
        </is>
      </c>
      <c r="U37" s="1399">
        <f>IF(raw[[#This Row],[wb]]="w",raw[[#This Row],[stay]]+U36,U36)</f>
        <v/>
      </c>
      <c r="V37" s="1400">
        <f>IF(raw[[#This Row],[out]]=0,V36,(raw[[#This Row],[out]]-E$5))</f>
        <v/>
      </c>
      <c r="W37" s="1401">
        <f>U37/V37</f>
        <v/>
      </c>
      <c r="X37" s="1378" t="inlineStr">
        <is>
          <t>.</t>
        </is>
      </c>
      <c r="Y37" s="1402">
        <f/>
        <v/>
      </c>
      <c r="Z37" s="1403">
        <f/>
        <v/>
      </c>
      <c r="AA37" s="1403">
        <f/>
        <v/>
      </c>
      <c r="AB37" s="1400">
        <f t="array" ref="AB37">_xlfn.LET(_xlpm.S,_xlfn.ANCHORARRAY($Y$4),_xlpm.r,ROWS(stayCity[[#Headers],[city]]:stayCity[[#This Row],[city]])-1,IF(_xlpm.r&lt;=ROWS(_xlpm.S),INDEX(_xlpm.S,_xlpm.r,1),""))</f>
        <v/>
      </c>
      <c r="AC37" s="1405">
        <f t="array" ref="AC37">_xlfn.LET(_xlpm.S,_xlfn.ANCHORARRAY($Y$4),_xlpm.r,ROWS(stayCity[[#Headers],[city]]:stayCity[[#This Row],[city]])-1,IF(_xlpm.r&lt;=ROWS(_xlpm.S),INDEX(_xlpm.S,_xlpm.r,2),""))</f>
        <v/>
      </c>
      <c r="AD37" s="1405">
        <f t="array" ref="AD37">_xlfn.LET(_xlpm.S,_xlfn.ANCHORARRAY($Y$4),_xlpm.r,ROWS(stayCity[[#Headers],[city]]:stayCity[[#This Row],[city]])-1,IF(_xlpm.r&lt;=ROWS(_xlpm.S),INDEX(_xlpm.S,_xlpm.r,3),""))</f>
        <v/>
      </c>
      <c r="AE37" s="1400">
        <f>IF(stayCity[[#This Row],[out]]&lt;&gt;"",stayCity[[#This Row],[out]]-stayCity[[#This Row],[in]],"-")</f>
        <v/>
      </c>
      <c r="AF37" s="1406">
        <f>IF(Y37="","-",YEAR(stayCity[[#This Row],[in]]))</f>
        <v/>
      </c>
      <c r="AG37" s="1398" t="inlineStr">
        <is>
          <t>.</t>
        </is>
      </c>
      <c r="AH37" s="1402">
        <f/>
        <v/>
      </c>
      <c r="AI37" s="1403">
        <f/>
        <v/>
      </c>
      <c r="AJ37" s="1403">
        <f/>
        <v/>
      </c>
      <c r="AK37" s="1400">
        <f>IF(AH37="","-",AH37)</f>
        <v/>
      </c>
      <c r="AL37" s="1405">
        <f>AI37</f>
        <v/>
      </c>
      <c r="AM37" s="1405">
        <f>AJ37</f>
        <v/>
      </c>
      <c r="AN37" s="1400">
        <f>stayCtry[[#This Row],[out]]-stayCtry[[#This Row],[in]]</f>
        <v/>
      </c>
      <c r="AO37" s="1406">
        <f>IF(AI37&lt;&gt;"",AO36+1,AO36)</f>
        <v/>
      </c>
      <c r="AP37" s="1398" t="inlineStr">
        <is>
          <t>.</t>
        </is>
      </c>
      <c r="AQ37" s="1402">
        <f/>
        <v/>
      </c>
      <c r="AR37" s="1403">
        <f/>
        <v/>
      </c>
      <c r="AS37" s="1403">
        <f/>
        <v/>
      </c>
      <c r="AT37" s="1400">
        <f>AQ37</f>
        <v/>
      </c>
      <c r="AU37" s="1405">
        <f>AR37</f>
        <v/>
      </c>
      <c r="AV37" s="1405">
        <f>AS37</f>
        <v/>
      </c>
      <c r="AW37" s="1400">
        <f>stayCont[[#This Row],[out]]-stayCont[[#This Row],[in]]</f>
        <v/>
      </c>
      <c r="AX37" s="1406">
        <f>IF(AR37&lt;&gt;"",AX36+1,AX36)</f>
        <v/>
      </c>
      <c r="AY37" s="1398" t="inlineStr">
        <is>
          <t>.</t>
        </is>
      </c>
      <c r="AZ37" s="1402">
        <f/>
        <v/>
      </c>
      <c r="BA37" s="1403">
        <f/>
        <v/>
      </c>
      <c r="BB37" s="1403">
        <f/>
        <v/>
      </c>
      <c r="BC37" s="1405">
        <f>AZ37</f>
        <v/>
      </c>
      <c r="BD37" s="1405">
        <f>BA37</f>
        <v/>
      </c>
      <c r="BE37" s="1405">
        <f>BB37</f>
        <v/>
      </c>
      <c r="BF37" s="1400">
        <f>stayWB[[#This Row],[out]]-stayWB[[#This Row],[in]]</f>
        <v/>
      </c>
      <c r="BG37" s="1400">
        <f>IF(BB37&lt;&gt;"",BG36+1,BG36)</f>
        <v/>
      </c>
      <c r="BH37" s="1398" t="inlineStr">
        <is>
          <t>.</t>
        </is>
      </c>
      <c r="BI37" s="1402" t="inlineStr">
        <is>
          <t>FRA</t>
        </is>
      </c>
      <c r="BJ37" s="1402" t="n">
        <v>1989</v>
      </c>
      <c r="BK37" s="1400">
        <f>BI37</f>
        <v/>
      </c>
      <c r="BL37" s="1409">
        <f>BJ37</f>
        <v/>
      </c>
      <c r="BM37" s="1378" t="inlineStr">
        <is>
          <t>.</t>
        </is>
      </c>
      <c r="BN37" s="1402" t="inlineStr">
        <is>
          <t>Z</t>
        </is>
      </c>
      <c r="BO37" s="1400">
        <f>BN37</f>
        <v/>
      </c>
      <c r="BP37" s="1398" t="inlineStr">
        <is>
          <t>.</t>
        </is>
      </c>
      <c r="BQ37" s="1400">
        <f>IF(BR37&lt;&gt;"",BQ36+1,BQ36)</f>
        <v/>
      </c>
      <c r="BR37" s="1411" t="inlineStr">
        <is>
          <t>SSA</t>
        </is>
      </c>
      <c r="BS37" s="1411" t="inlineStr">
        <is>
          <t>SP</t>
        </is>
      </c>
      <c r="BT37" s="1412" t="inlineStr">
        <is>
          <t>SSA-SP</t>
        </is>
      </c>
      <c r="BU37" s="1412" t="n">
        <v>33713</v>
      </c>
      <c r="BV37" s="1398" t="inlineStr">
        <is>
          <t>.</t>
        </is>
      </c>
      <c r="BW37" s="1400">
        <f>IF(BX37&lt;&gt;"",BW36+1,BW36)</f>
        <v/>
      </c>
      <c r="BX37" s="1411">
        <f/>
        <v/>
      </c>
      <c r="BY37" s="1413">
        <f/>
        <v/>
      </c>
      <c r="BZ37" s="1413">
        <f/>
        <v/>
      </c>
      <c r="CA37" s="1414">
        <f>BZ37-BY37</f>
        <v/>
      </c>
      <c r="CB37" s="1398" t="inlineStr">
        <is>
          <t>.</t>
        </is>
      </c>
      <c r="CC37" s="1400">
        <f>IF(CD37&lt;&gt;"",CC36+1,CC36)</f>
        <v/>
      </c>
      <c r="CD37" s="1411" t="inlineStr">
        <is>
          <t>Ondina</t>
        </is>
      </c>
      <c r="CE37" s="1412" t="n">
        <v>35796</v>
      </c>
      <c r="CF37" s="1412" t="n">
        <v>35811</v>
      </c>
      <c r="CG37" s="1415">
        <f>CF37-CE37</f>
        <v/>
      </c>
      <c r="CH37" s="1398" t="inlineStr">
        <is>
          <t>.</t>
        </is>
      </c>
      <c r="CI37" s="1400">
        <f>IF(CJ37&lt;&gt;"",CI36+1,CI36)</f>
        <v/>
      </c>
      <c r="CJ37" s="1402" t="inlineStr">
        <is>
          <t>Angela/Bobigny</t>
        </is>
      </c>
      <c r="CK37" s="1391" t="inlineStr">
        <is>
          <t>.</t>
        </is>
      </c>
      <c r="CL37" s="1392" t="n"/>
    </row>
    <row r="38">
      <c r="A38" s="5" t="inlineStr">
        <is>
          <t>.</t>
        </is>
      </c>
      <c r="B38" s="5" t="inlineStr">
        <is>
          <t>.</t>
        </is>
      </c>
      <c r="C38" s="1378">
        <f>IF(raw[[#This Row],[city]]="","-",IF(raw[[#This Row],[city]]="TODAY","-",C37+1))</f>
        <v/>
      </c>
      <c r="D38" s="1393" t="inlineStr">
        <is>
          <t>ROAD</t>
        </is>
      </c>
      <c r="E38" s="1394" t="n">
        <v>28225</v>
      </c>
      <c r="F38" s="1394" t="n">
        <v>28227</v>
      </c>
      <c r="G38" s="1393" t="inlineStr">
        <is>
          <t>-</t>
        </is>
      </c>
      <c r="H38" s="1393">
        <f>H37</f>
        <v/>
      </c>
      <c r="I38" s="1393" t="inlineStr">
        <is>
          <t>-</t>
        </is>
      </c>
      <c r="J38" s="1393" t="inlineStr">
        <is>
          <t>-</t>
        </is>
      </c>
      <c r="K38" s="1395">
        <f>IF(raw[[#This Row],[city]]&lt;&gt;"",_xlfn.XLOOKUP($D38,ccc[city],ccc[prov],"-"),"-")</f>
        <v/>
      </c>
      <c r="L38" s="1395">
        <f>IF(raw[[#This Row],[city]]&lt;&gt;"",_xlfn.XLOOKUP($D38,ccc[city],ccc[ctry],"-"),"-")</f>
        <v/>
      </c>
      <c r="M38" s="1395">
        <f>IF(raw[[#This Row],[city]]&lt;&gt;"",_xlfn.XLOOKUP($D38,ccc[city],ccc[cont],"-"),"-")</f>
        <v/>
      </c>
      <c r="N38" s="1396">
        <f>IF(raw[[#This Row],[city]]="","-",IF(raw[[#This Row],[cont]]="B",raw[[#This Row],[cont]],"W"))</f>
        <v/>
      </c>
      <c r="O38" s="1397">
        <f>IF(raw[[#This Row],[out]]=0,0,IF(raw[[#This Row],[out]]=raw[[#This Row],[in]],0.01,raw[[#This Row],[out]]-raw[[#This Row],[in]]))</f>
        <v/>
      </c>
      <c r="P38" s="1397">
        <f>IF(raw[[#This Row],[in]]=0,0,MONTH(raw[[#This Row],[in]]))</f>
        <v/>
      </c>
      <c r="Q38" s="1397">
        <f>IF(raw[[#This Row],[in]]=0,0,YEAR(raw[[#This Row],[in]]))</f>
        <v/>
      </c>
      <c r="R38" s="1397">
        <f>INT(raw[[#This Row],[yr]]/10)*10</f>
        <v/>
      </c>
      <c r="S38" s="1395">
        <f>IF(raw[[#This Row],[city]]="","-",IF(raw[[#This Row],[city]]&lt;&gt;_xlfn.XLOOKUP(raw[[#This Row],[home]],homes[home],homes[city],"-"),1,0))</f>
        <v/>
      </c>
      <c r="T38" s="1398" t="inlineStr">
        <is>
          <t>.</t>
        </is>
      </c>
      <c r="U38" s="1399">
        <f>IF(raw[[#This Row],[wb]]="w",raw[[#This Row],[stay]]+U37,U37)</f>
        <v/>
      </c>
      <c r="V38" s="1400">
        <f>IF(raw[[#This Row],[out]]=0,V37,(raw[[#This Row],[out]]-E$5))</f>
        <v/>
      </c>
      <c r="W38" s="1401">
        <f>U38/V38</f>
        <v/>
      </c>
      <c r="X38" s="1378" t="inlineStr">
        <is>
          <t>.</t>
        </is>
      </c>
      <c r="Y38" s="1402">
        <f/>
        <v/>
      </c>
      <c r="Z38" s="1403">
        <f/>
        <v/>
      </c>
      <c r="AA38" s="1403">
        <f/>
        <v/>
      </c>
      <c r="AB38" s="1400">
        <f t="array" ref="AB38">_xlfn.LET(_xlpm.S,_xlfn.ANCHORARRAY($Y$4),_xlpm.r,ROWS(stayCity[[#Headers],[city]]:stayCity[[#This Row],[city]])-1,IF(_xlpm.r&lt;=ROWS(_xlpm.S),INDEX(_xlpm.S,_xlpm.r,1),""))</f>
        <v/>
      </c>
      <c r="AC38" s="1405">
        <f t="array" ref="AC38">_xlfn.LET(_xlpm.S,_xlfn.ANCHORARRAY($Y$4),_xlpm.r,ROWS(stayCity[[#Headers],[city]]:stayCity[[#This Row],[city]])-1,IF(_xlpm.r&lt;=ROWS(_xlpm.S),INDEX(_xlpm.S,_xlpm.r,2),""))</f>
        <v/>
      </c>
      <c r="AD38" s="1405">
        <f t="array" ref="AD38">_xlfn.LET(_xlpm.S,_xlfn.ANCHORARRAY($Y$4),_xlpm.r,ROWS(stayCity[[#Headers],[city]]:stayCity[[#This Row],[city]])-1,IF(_xlpm.r&lt;=ROWS(_xlpm.S),INDEX(_xlpm.S,_xlpm.r,3),""))</f>
        <v/>
      </c>
      <c r="AE38" s="1400">
        <f>IF(stayCity[[#This Row],[out]]&lt;&gt;"",stayCity[[#This Row],[out]]-stayCity[[#This Row],[in]],"-")</f>
        <v/>
      </c>
      <c r="AF38" s="1406">
        <f>IF(Y38="","-",YEAR(stayCity[[#This Row],[in]]))</f>
        <v/>
      </c>
      <c r="AG38" s="1398" t="inlineStr">
        <is>
          <t>.</t>
        </is>
      </c>
      <c r="AH38" s="1402">
        <f/>
        <v/>
      </c>
      <c r="AI38" s="1403">
        <f/>
        <v/>
      </c>
      <c r="AJ38" s="1403">
        <f/>
        <v/>
      </c>
      <c r="AK38" s="1400">
        <f>IF(AH38="","-",AH38)</f>
        <v/>
      </c>
      <c r="AL38" s="1405">
        <f>AI38</f>
        <v/>
      </c>
      <c r="AM38" s="1405">
        <f>AJ38</f>
        <v/>
      </c>
      <c r="AN38" s="1400">
        <f>stayCtry[[#This Row],[out]]-stayCtry[[#This Row],[in]]</f>
        <v/>
      </c>
      <c r="AO38" s="1406">
        <f>IF(AI38&lt;&gt;"",AO37+1,AO37)</f>
        <v/>
      </c>
      <c r="AP38" s="1398" t="inlineStr">
        <is>
          <t>.</t>
        </is>
      </c>
      <c r="AQ38" s="1402">
        <f/>
        <v/>
      </c>
      <c r="AR38" s="1403">
        <f/>
        <v/>
      </c>
      <c r="AS38" s="1403">
        <f/>
        <v/>
      </c>
      <c r="AT38" s="1400">
        <f>AQ38</f>
        <v/>
      </c>
      <c r="AU38" s="1405">
        <f>AR38</f>
        <v/>
      </c>
      <c r="AV38" s="1405">
        <f>AS38</f>
        <v/>
      </c>
      <c r="AW38" s="1400">
        <f>stayCont[[#This Row],[out]]-stayCont[[#This Row],[in]]</f>
        <v/>
      </c>
      <c r="AX38" s="1406">
        <f>IF(AR38&lt;&gt;"",AX37+1,AX37)</f>
        <v/>
      </c>
      <c r="AY38" s="1398" t="inlineStr">
        <is>
          <t>.</t>
        </is>
      </c>
      <c r="AZ38" s="1402" t="n"/>
      <c r="BA38" s="1403" t="n"/>
      <c r="BB38" s="1403" t="n"/>
      <c r="BC38" s="1405">
        <f>AZ38</f>
        <v/>
      </c>
      <c r="BD38" s="1405">
        <f>BA38</f>
        <v/>
      </c>
      <c r="BE38" s="1405">
        <f>BB38</f>
        <v/>
      </c>
      <c r="BF38" s="1400">
        <f>stayWB[[#This Row],[out]]-stayWB[[#This Row],[in]]</f>
        <v/>
      </c>
      <c r="BG38" s="1400">
        <f>IF(BB38&lt;&gt;"",BG37+1,BG37)</f>
        <v/>
      </c>
      <c r="BH38" s="1398" t="inlineStr">
        <is>
          <t>.</t>
        </is>
      </c>
      <c r="BI38" s="1402" t="inlineStr">
        <is>
          <t>BEL</t>
        </is>
      </c>
      <c r="BJ38" s="1402" t="n">
        <v>1989</v>
      </c>
      <c r="BK38" s="1400">
        <f>BI38</f>
        <v/>
      </c>
      <c r="BL38" s="1409">
        <f>BJ38</f>
        <v/>
      </c>
      <c r="BM38" s="1378" t="inlineStr">
        <is>
          <t>.</t>
        </is>
      </c>
      <c r="BN38" s="1402" t="inlineStr">
        <is>
          <t>B</t>
        </is>
      </c>
      <c r="BO38" s="1400">
        <f>BN38</f>
        <v/>
      </c>
      <c r="BP38" s="1398" t="inlineStr">
        <is>
          <t>.</t>
        </is>
      </c>
      <c r="BQ38" s="1400">
        <f>IF(BR38&lt;&gt;"",BQ37+1,BQ37)</f>
        <v/>
      </c>
      <c r="BR38" s="1411" t="inlineStr">
        <is>
          <t>SP</t>
        </is>
      </c>
      <c r="BS38" s="1411" t="inlineStr">
        <is>
          <t>SSA</t>
        </is>
      </c>
      <c r="BT38" s="1412" t="inlineStr">
        <is>
          <t>SP-SSA</t>
        </is>
      </c>
      <c r="BU38" s="1412" t="n">
        <v>33786</v>
      </c>
      <c r="BV38" s="1398" t="inlineStr">
        <is>
          <t>.</t>
        </is>
      </c>
      <c r="BW38" s="1400">
        <f>IF(BX38&lt;&gt;"",BW37+1,BW37)</f>
        <v/>
      </c>
      <c r="BX38" s="1411">
        <f/>
        <v/>
      </c>
      <c r="BY38" s="1413">
        <f/>
        <v/>
      </c>
      <c r="BZ38" s="1413">
        <f/>
        <v/>
      </c>
      <c r="CA38" s="1414">
        <f>BZ38-BY38</f>
        <v/>
      </c>
      <c r="CB38" s="1398" t="inlineStr">
        <is>
          <t>.</t>
        </is>
      </c>
      <c r="CC38" s="1400">
        <f>IF(CD38&lt;&gt;"",CC37+1,CC37)</f>
        <v/>
      </c>
      <c r="CD38" s="1411" t="inlineStr">
        <is>
          <t>Ondina</t>
        </is>
      </c>
      <c r="CE38" s="1412" t="n">
        <v>35831</v>
      </c>
      <c r="CF38" s="1412" t="n">
        <v>35864</v>
      </c>
      <c r="CG38" s="1415">
        <f>CF38-CE38</f>
        <v/>
      </c>
      <c r="CH38" s="1398" t="inlineStr">
        <is>
          <t>.</t>
        </is>
      </c>
      <c r="CI38" s="1400">
        <f>IF(CJ38&lt;&gt;"",CI37+1,CI37)</f>
        <v/>
      </c>
      <c r="CJ38" s="1402" t="inlineStr">
        <is>
          <t>Ivete/Ruislip</t>
        </is>
      </c>
      <c r="CK38" s="1391" t="inlineStr">
        <is>
          <t>.</t>
        </is>
      </c>
      <c r="CL38" s="1392" t="n"/>
    </row>
    <row r="39">
      <c r="A39" s="5" t="inlineStr">
        <is>
          <t>.</t>
        </is>
      </c>
      <c r="B39" s="5" t="inlineStr">
        <is>
          <t>.</t>
        </is>
      </c>
      <c r="C39" s="1378">
        <f>IF(raw[[#This Row],[city]]="","-",IF(raw[[#This Row],[city]]="TODAY","-",C38+1))</f>
        <v/>
      </c>
      <c r="D39" s="1393" t="inlineStr">
        <is>
          <t>SSA</t>
        </is>
      </c>
      <c r="E39" s="1394" t="n">
        <v>28227</v>
      </c>
      <c r="F39" s="1394" t="n">
        <v>28491</v>
      </c>
      <c r="G39" s="1393" t="inlineStr">
        <is>
          <t>-</t>
        </is>
      </c>
      <c r="H39" s="1393">
        <f>H38</f>
        <v/>
      </c>
      <c r="I39" s="1393" t="inlineStr">
        <is>
          <t>-</t>
        </is>
      </c>
      <c r="J39" s="1393" t="inlineStr">
        <is>
          <t>-</t>
        </is>
      </c>
      <c r="K39" s="1395">
        <f>IF(raw[[#This Row],[city]]&lt;&gt;"",_xlfn.XLOOKUP($D39,ccc[city],ccc[prov],"-"),"-")</f>
        <v/>
      </c>
      <c r="L39" s="1395">
        <f>IF(raw[[#This Row],[city]]&lt;&gt;"",_xlfn.XLOOKUP($D39,ccc[city],ccc[ctry],"-"),"-")</f>
        <v/>
      </c>
      <c r="M39" s="1395">
        <f>IF(raw[[#This Row],[city]]&lt;&gt;"",_xlfn.XLOOKUP($D39,ccc[city],ccc[cont],"-"),"-")</f>
        <v/>
      </c>
      <c r="N39" s="1396">
        <f>IF(raw[[#This Row],[city]]="","-",IF(raw[[#This Row],[cont]]="B",raw[[#This Row],[cont]],"W"))</f>
        <v/>
      </c>
      <c r="O39" s="1397">
        <f>IF(raw[[#This Row],[out]]=0,0,IF(raw[[#This Row],[out]]=raw[[#This Row],[in]],0.01,raw[[#This Row],[out]]-raw[[#This Row],[in]]))</f>
        <v/>
      </c>
      <c r="P39" s="1397">
        <f>IF(raw[[#This Row],[in]]=0,0,MONTH(raw[[#This Row],[in]]))</f>
        <v/>
      </c>
      <c r="Q39" s="1397">
        <f>IF(raw[[#This Row],[in]]=0,0,YEAR(raw[[#This Row],[in]]))</f>
        <v/>
      </c>
      <c r="R39" s="1397">
        <f>INT(raw[[#This Row],[yr]]/10)*10</f>
        <v/>
      </c>
      <c r="S39" s="1395">
        <f>IF(raw[[#This Row],[city]]="","-",IF(raw[[#This Row],[city]]&lt;&gt;_xlfn.XLOOKUP(raw[[#This Row],[home]],homes[home],homes[city],"-"),1,0))</f>
        <v/>
      </c>
      <c r="T39" s="1398" t="inlineStr">
        <is>
          <t>.</t>
        </is>
      </c>
      <c r="U39" s="1399">
        <f>IF(raw[[#This Row],[wb]]="w",raw[[#This Row],[stay]]+U38,U38)</f>
        <v/>
      </c>
      <c r="V39" s="1400">
        <f>IF(raw[[#This Row],[out]]=0,V38,(raw[[#This Row],[out]]-E$5))</f>
        <v/>
      </c>
      <c r="W39" s="1401">
        <f>U39/V39</f>
        <v/>
      </c>
      <c r="X39" s="1378" t="inlineStr">
        <is>
          <t>.</t>
        </is>
      </c>
      <c r="Y39" s="1402">
        <f/>
        <v/>
      </c>
      <c r="Z39" s="1403">
        <f/>
        <v/>
      </c>
      <c r="AA39" s="1403">
        <f/>
        <v/>
      </c>
      <c r="AB39" s="1400">
        <f t="array" ref="AB39">_xlfn.LET(_xlpm.S,_xlfn.ANCHORARRAY($Y$4),_xlpm.r,ROWS(stayCity[[#Headers],[city]]:stayCity[[#This Row],[city]])-1,IF(_xlpm.r&lt;=ROWS(_xlpm.S),INDEX(_xlpm.S,_xlpm.r,1),""))</f>
        <v/>
      </c>
      <c r="AC39" s="1405">
        <f t="array" ref="AC39">_xlfn.LET(_xlpm.S,_xlfn.ANCHORARRAY($Y$4),_xlpm.r,ROWS(stayCity[[#Headers],[city]]:stayCity[[#This Row],[city]])-1,IF(_xlpm.r&lt;=ROWS(_xlpm.S),INDEX(_xlpm.S,_xlpm.r,2),""))</f>
        <v/>
      </c>
      <c r="AD39" s="1405">
        <f t="array" ref="AD39">_xlfn.LET(_xlpm.S,_xlfn.ANCHORARRAY($Y$4),_xlpm.r,ROWS(stayCity[[#Headers],[city]]:stayCity[[#This Row],[city]])-1,IF(_xlpm.r&lt;=ROWS(_xlpm.S),INDEX(_xlpm.S,_xlpm.r,3),""))</f>
        <v/>
      </c>
      <c r="AE39" s="1400">
        <f>IF(stayCity[[#This Row],[out]]&lt;&gt;"",stayCity[[#This Row],[out]]-stayCity[[#This Row],[in]],"-")</f>
        <v/>
      </c>
      <c r="AF39" s="1406">
        <f>IF(Y39="","-",YEAR(stayCity[[#This Row],[in]]))</f>
        <v/>
      </c>
      <c r="AG39" s="1398" t="inlineStr">
        <is>
          <t>.</t>
        </is>
      </c>
      <c r="AH39" s="1402">
        <f/>
        <v/>
      </c>
      <c r="AI39" s="1403">
        <f/>
        <v/>
      </c>
      <c r="AJ39" s="1403">
        <f/>
        <v/>
      </c>
      <c r="AK39" s="1400">
        <f>IF(AH39="","-",AH39)</f>
        <v/>
      </c>
      <c r="AL39" s="1405">
        <f>AI39</f>
        <v/>
      </c>
      <c r="AM39" s="1405">
        <f>AJ39</f>
        <v/>
      </c>
      <c r="AN39" s="1400">
        <f>stayCtry[[#This Row],[out]]-stayCtry[[#This Row],[in]]</f>
        <v/>
      </c>
      <c r="AO39" s="1406">
        <f>IF(AI39&lt;&gt;"",AO38+1,AO38)</f>
        <v/>
      </c>
      <c r="AP39" s="1398" t="inlineStr">
        <is>
          <t>.</t>
        </is>
      </c>
      <c r="AQ39" s="1402">
        <f/>
        <v/>
      </c>
      <c r="AR39" s="1403">
        <f/>
        <v/>
      </c>
      <c r="AS39" s="1403">
        <f/>
        <v/>
      </c>
      <c r="AT39" s="1400">
        <f>AQ39</f>
        <v/>
      </c>
      <c r="AU39" s="1405">
        <f>AR39</f>
        <v/>
      </c>
      <c r="AV39" s="1405">
        <f>AS39</f>
        <v/>
      </c>
      <c r="AW39" s="1400">
        <f>stayCont[[#This Row],[out]]-stayCont[[#This Row],[in]]</f>
        <v/>
      </c>
      <c r="AX39" s="1406">
        <f>IF(AR39&lt;&gt;"",AX38+1,AX38)</f>
        <v/>
      </c>
      <c r="AY39" s="1398" t="inlineStr">
        <is>
          <t>.</t>
        </is>
      </c>
      <c r="AZ39" s="1402" t="n"/>
      <c r="BA39" s="1403" t="n"/>
      <c r="BB39" s="1403" t="n"/>
      <c r="BC39" s="1405">
        <f>AZ39</f>
        <v/>
      </c>
      <c r="BD39" s="1405">
        <f>BA39</f>
        <v/>
      </c>
      <c r="BE39" s="1405">
        <f>BB39</f>
        <v/>
      </c>
      <c r="BF39" s="1400">
        <f>stayWB[[#This Row],[out]]-stayWB[[#This Row],[in]]</f>
        <v/>
      </c>
      <c r="BG39" s="1400">
        <f>IF(BB39&lt;&gt;"",BG38+1,BG38)</f>
        <v/>
      </c>
      <c r="BH39" s="1398" t="inlineStr">
        <is>
          <t>.</t>
        </is>
      </c>
      <c r="BI39" s="1402" t="inlineStr">
        <is>
          <t>FRA</t>
        </is>
      </c>
      <c r="BJ39" s="1402" t="n">
        <v>1989</v>
      </c>
      <c r="BK39" s="1400">
        <f>BI39</f>
        <v/>
      </c>
      <c r="BL39" s="1409">
        <f>BJ39</f>
        <v/>
      </c>
      <c r="BM39" s="1378" t="inlineStr">
        <is>
          <t>.</t>
        </is>
      </c>
      <c r="BN39" s="1402" t="inlineStr">
        <is>
          <t>Z</t>
        </is>
      </c>
      <c r="BO39" s="1400">
        <f>BN39</f>
        <v/>
      </c>
      <c r="BP39" s="1398" t="inlineStr">
        <is>
          <t>.</t>
        </is>
      </c>
      <c r="BQ39" s="1400">
        <f>IF(BR39&lt;&gt;"",BQ38+1,BQ38)</f>
        <v/>
      </c>
      <c r="BR39" s="1411" t="inlineStr">
        <is>
          <t>SSA</t>
        </is>
      </c>
      <c r="BS39" s="1411" t="inlineStr">
        <is>
          <t>SP</t>
        </is>
      </c>
      <c r="BT39" s="1412" t="inlineStr">
        <is>
          <t>SSA-SP</t>
        </is>
      </c>
      <c r="BU39" s="1412" t="n">
        <v>33821</v>
      </c>
      <c r="BV39" s="1398" t="inlineStr">
        <is>
          <t>.</t>
        </is>
      </c>
      <c r="BW39" s="1400">
        <f>IF(BX39&lt;&gt;"",BW38+1,BW38)</f>
        <v/>
      </c>
      <c r="BX39" s="1411">
        <f/>
        <v/>
      </c>
      <c r="BY39" s="1413">
        <f/>
        <v/>
      </c>
      <c r="BZ39" s="1413">
        <f/>
        <v/>
      </c>
      <c r="CA39" s="1414">
        <f>BZ39-BY39</f>
        <v/>
      </c>
      <c r="CB39" s="1398" t="inlineStr">
        <is>
          <t>.</t>
        </is>
      </c>
      <c r="CC39" s="1400">
        <f>IF(CD39&lt;&gt;"",CC38+1,CC38)</f>
        <v/>
      </c>
      <c r="CD39" s="1411" t="inlineStr">
        <is>
          <t>Rato/Paulao</t>
        </is>
      </c>
      <c r="CE39" s="1412" t="n">
        <v>35941</v>
      </c>
      <c r="CF39" s="1412" t="n">
        <v>35948</v>
      </c>
      <c r="CG39" s="1415">
        <f>CF39-CE39</f>
        <v/>
      </c>
      <c r="CH39" s="1398" t="inlineStr">
        <is>
          <t>.</t>
        </is>
      </c>
      <c r="CI39" s="1400">
        <f>IF(CJ39&lt;&gt;"",CI38+1,CI38)</f>
        <v/>
      </c>
      <c r="CJ39" s="1402" t="inlineStr">
        <is>
          <t>Cele/Lincoln</t>
        </is>
      </c>
      <c r="CK39" s="1391" t="inlineStr">
        <is>
          <t>.</t>
        </is>
      </c>
      <c r="CL39" s="1392" t="n"/>
    </row>
    <row r="40">
      <c r="A40" s="5" t="inlineStr">
        <is>
          <t>.</t>
        </is>
      </c>
      <c r="B40" s="5" t="inlineStr">
        <is>
          <t>.</t>
        </is>
      </c>
      <c r="C40" s="1378">
        <f>IF(raw[[#This Row],[city]]="","-",IF(raw[[#This Row],[city]]="TODAY","-",C39+1))</f>
        <v/>
      </c>
      <c r="D40" s="1393" t="inlineStr">
        <is>
          <t>SSA</t>
        </is>
      </c>
      <c r="E40" s="1394" t="n">
        <v>28491</v>
      </c>
      <c r="F40" s="1394" t="n">
        <v>28522</v>
      </c>
      <c r="G40" s="1393" t="inlineStr">
        <is>
          <t>-</t>
        </is>
      </c>
      <c r="H40" s="1393">
        <f>H39</f>
        <v/>
      </c>
      <c r="I40" s="1393" t="inlineStr">
        <is>
          <t>-</t>
        </is>
      </c>
      <c r="J40" s="1393" t="inlineStr">
        <is>
          <t>REV</t>
        </is>
      </c>
      <c r="K40" s="1395">
        <f>IF(raw[[#This Row],[city]]&lt;&gt;"",_xlfn.XLOOKUP($D40,ccc[city],ccc[prov],"-"),"-")</f>
        <v/>
      </c>
      <c r="L40" s="1395">
        <f>IF(raw[[#This Row],[city]]&lt;&gt;"",_xlfn.XLOOKUP($D40,ccc[city],ccc[ctry],"-"),"-")</f>
        <v/>
      </c>
      <c r="M40" s="1395">
        <f>IF(raw[[#This Row],[city]]&lt;&gt;"",_xlfn.XLOOKUP($D40,ccc[city],ccc[cont],"-"),"-")</f>
        <v/>
      </c>
      <c r="N40" s="1396">
        <f>IF(raw[[#This Row],[city]]="","-",IF(raw[[#This Row],[cont]]="B",raw[[#This Row],[cont]],"W"))</f>
        <v/>
      </c>
      <c r="O40" s="1397">
        <f>IF(raw[[#This Row],[out]]=0,0,IF(raw[[#This Row],[out]]=raw[[#This Row],[in]],0.01,raw[[#This Row],[out]]-raw[[#This Row],[in]]))</f>
        <v/>
      </c>
      <c r="P40" s="1397">
        <f>IF(raw[[#This Row],[in]]=0,0,MONTH(raw[[#This Row],[in]]))</f>
        <v/>
      </c>
      <c r="Q40" s="1397">
        <f>IF(raw[[#This Row],[in]]=0,0,YEAR(raw[[#This Row],[in]]))</f>
        <v/>
      </c>
      <c r="R40" s="1397">
        <f>INT(raw[[#This Row],[yr]]/10)*10</f>
        <v/>
      </c>
      <c r="S40" s="1395">
        <f>IF(raw[[#This Row],[city]]="","-",IF(raw[[#This Row],[city]]&lt;&gt;_xlfn.XLOOKUP(raw[[#This Row],[home]],homes[home],homes[city],"-"),1,0))</f>
        <v/>
      </c>
      <c r="T40" s="1398" t="inlineStr">
        <is>
          <t>.</t>
        </is>
      </c>
      <c r="U40" s="1399">
        <f>IF(raw[[#This Row],[wb]]="w",raw[[#This Row],[stay]]+U39,U39)</f>
        <v/>
      </c>
      <c r="V40" s="1400">
        <f>IF(raw[[#This Row],[out]]=0,V39,(raw[[#This Row],[out]]-E$5))</f>
        <v/>
      </c>
      <c r="W40" s="1401">
        <f>U40/V40</f>
        <v/>
      </c>
      <c r="X40" s="1378" t="inlineStr">
        <is>
          <t>.</t>
        </is>
      </c>
      <c r="Y40" s="1402">
        <f/>
        <v/>
      </c>
      <c r="Z40" s="1403">
        <f/>
        <v/>
      </c>
      <c r="AA40" s="1403">
        <f/>
        <v/>
      </c>
      <c r="AB40" s="1400">
        <f t="array" ref="AB40">_xlfn.LET(_xlpm.S,_xlfn.ANCHORARRAY($Y$4),_xlpm.r,ROWS(stayCity[[#Headers],[city]]:stayCity[[#This Row],[city]])-1,IF(_xlpm.r&lt;=ROWS(_xlpm.S),INDEX(_xlpm.S,_xlpm.r,1),""))</f>
        <v/>
      </c>
      <c r="AC40" s="1405">
        <f t="array" ref="AC40">_xlfn.LET(_xlpm.S,_xlfn.ANCHORARRAY($Y$4),_xlpm.r,ROWS(stayCity[[#Headers],[city]]:stayCity[[#This Row],[city]])-1,IF(_xlpm.r&lt;=ROWS(_xlpm.S),INDEX(_xlpm.S,_xlpm.r,2),""))</f>
        <v/>
      </c>
      <c r="AD40" s="1405">
        <f t="array" ref="AD40">_xlfn.LET(_xlpm.S,_xlfn.ANCHORARRAY($Y$4),_xlpm.r,ROWS(stayCity[[#Headers],[city]]:stayCity[[#This Row],[city]])-1,IF(_xlpm.r&lt;=ROWS(_xlpm.S),INDEX(_xlpm.S,_xlpm.r,3),""))</f>
        <v/>
      </c>
      <c r="AE40" s="1400">
        <f>IF(stayCity[[#This Row],[out]]&lt;&gt;"",stayCity[[#This Row],[out]]-stayCity[[#This Row],[in]],"-")</f>
        <v/>
      </c>
      <c r="AF40" s="1406">
        <f>IF(Y40="","-",YEAR(stayCity[[#This Row],[in]]))</f>
        <v/>
      </c>
      <c r="AG40" s="1398" t="inlineStr">
        <is>
          <t>.</t>
        </is>
      </c>
      <c r="AH40" s="1402">
        <f/>
        <v/>
      </c>
      <c r="AI40" s="1403">
        <f/>
        <v/>
      </c>
      <c r="AJ40" s="1403">
        <f/>
        <v/>
      </c>
      <c r="AK40" s="1400">
        <f>IF(AH40="","-",AH40)</f>
        <v/>
      </c>
      <c r="AL40" s="1405">
        <f>AI40</f>
        <v/>
      </c>
      <c r="AM40" s="1405">
        <f>AJ40</f>
        <v/>
      </c>
      <c r="AN40" s="1400">
        <f>stayCtry[[#This Row],[out]]-stayCtry[[#This Row],[in]]</f>
        <v/>
      </c>
      <c r="AO40" s="1406">
        <f>IF(AI40&lt;&gt;"",AO39+1,AO39)</f>
        <v/>
      </c>
      <c r="AP40" s="1398" t="inlineStr">
        <is>
          <t>.</t>
        </is>
      </c>
      <c r="AQ40" s="1402">
        <f/>
        <v/>
      </c>
      <c r="AR40" s="1403">
        <f/>
        <v/>
      </c>
      <c r="AS40" s="1403">
        <f/>
        <v/>
      </c>
      <c r="AT40" s="1400">
        <f>AQ40</f>
        <v/>
      </c>
      <c r="AU40" s="1405">
        <f>AR40</f>
        <v/>
      </c>
      <c r="AV40" s="1405">
        <f>AS40</f>
        <v/>
      </c>
      <c r="AW40" s="1400">
        <f>stayCont[[#This Row],[out]]-stayCont[[#This Row],[in]]</f>
        <v/>
      </c>
      <c r="AX40" s="1406">
        <f>IF(AR40&lt;&gt;"",AX39+1,AX39)</f>
        <v/>
      </c>
      <c r="AY40" s="1398" t="inlineStr">
        <is>
          <t>.</t>
        </is>
      </c>
      <c r="AZ40" s="1402" t="n"/>
      <c r="BA40" s="1403" t="n"/>
      <c r="BB40" s="1403" t="n"/>
      <c r="BC40" s="1405">
        <f>AZ40</f>
        <v/>
      </c>
      <c r="BD40" s="1405">
        <f>BA40</f>
        <v/>
      </c>
      <c r="BE40" s="1405">
        <f>BB40</f>
        <v/>
      </c>
      <c r="BF40" s="1400">
        <f>stayWB[[#This Row],[out]]-stayWB[[#This Row],[in]]</f>
        <v/>
      </c>
      <c r="BG40" s="1400">
        <f>IF(BB40&lt;&gt;"",BG39+1,BG39)</f>
        <v/>
      </c>
      <c r="BH40" s="1398" t="inlineStr">
        <is>
          <t>.</t>
        </is>
      </c>
      <c r="BI40" s="1402" t="inlineStr">
        <is>
          <t>UK</t>
        </is>
      </c>
      <c r="BJ40" s="1402" t="n">
        <v>1989</v>
      </c>
      <c r="BK40" s="1400">
        <f>BI40</f>
        <v/>
      </c>
      <c r="BL40" s="1409">
        <f>BJ40</f>
        <v/>
      </c>
      <c r="BM40" s="1378" t="inlineStr">
        <is>
          <t>.</t>
        </is>
      </c>
      <c r="BN40" s="1402" t="inlineStr">
        <is>
          <t>E</t>
        </is>
      </c>
      <c r="BO40" s="1400">
        <f>BN40</f>
        <v/>
      </c>
      <c r="BP40" s="1398" t="inlineStr">
        <is>
          <t>.</t>
        </is>
      </c>
      <c r="BQ40" s="1400">
        <f>IF(BR40&lt;&gt;"",BQ39+1,BQ39)</f>
        <v/>
      </c>
      <c r="BR40" s="1411" t="inlineStr">
        <is>
          <t>SP</t>
        </is>
      </c>
      <c r="BS40" s="1411" t="inlineStr">
        <is>
          <t>SSA</t>
        </is>
      </c>
      <c r="BT40" s="1412" t="inlineStr">
        <is>
          <t>SP-SSA</t>
        </is>
      </c>
      <c r="BU40" s="1412" t="n">
        <v>33836</v>
      </c>
      <c r="BV40" s="1398" t="inlineStr">
        <is>
          <t>.</t>
        </is>
      </c>
      <c r="BW40" s="1400">
        <f>IF(BX40&lt;&gt;"",BW39+1,BW39)</f>
        <v/>
      </c>
      <c r="BX40" s="1411">
        <f/>
        <v/>
      </c>
      <c r="BY40" s="1413">
        <f/>
        <v/>
      </c>
      <c r="BZ40" s="1413">
        <f/>
        <v/>
      </c>
      <c r="CA40" s="1414">
        <f>BZ40-BY40</f>
        <v/>
      </c>
      <c r="CB40" s="1398" t="inlineStr">
        <is>
          <t>.</t>
        </is>
      </c>
      <c r="CC40" s="1400">
        <f>IF(CD40&lt;&gt;"",CC39+1,CC39)</f>
        <v/>
      </c>
      <c r="CD40" s="1411" t="inlineStr">
        <is>
          <t>Rato/Republica</t>
        </is>
      </c>
      <c r="CE40" s="1412" t="n">
        <v>36011</v>
      </c>
      <c r="CF40" s="1412" t="n">
        <v>36025</v>
      </c>
      <c r="CG40" s="1415">
        <f>CF40-CE40</f>
        <v/>
      </c>
      <c r="CH40" s="1398" t="inlineStr">
        <is>
          <t>.</t>
        </is>
      </c>
      <c r="CI40" s="1400">
        <f>IF(CJ40&lt;&gt;"",CI39+1,CI39)</f>
        <v/>
      </c>
      <c r="CJ40" s="1402" t="inlineStr">
        <is>
          <t>Ibis</t>
        </is>
      </c>
      <c r="CK40" s="1391" t="inlineStr">
        <is>
          <t>.</t>
        </is>
      </c>
      <c r="CL40" s="1392" t="n"/>
    </row>
    <row r="41">
      <c r="A41" s="5" t="inlineStr">
        <is>
          <t>.</t>
        </is>
      </c>
      <c r="B41" s="5" t="inlineStr">
        <is>
          <t>.</t>
        </is>
      </c>
      <c r="C41" s="1378">
        <f>IF(raw[[#This Row],[city]]="","-",IF(raw[[#This Row],[city]]="TODAY","-",C40+1))</f>
        <v/>
      </c>
      <c r="D41" s="1393" t="inlineStr">
        <is>
          <t>ROAD</t>
        </is>
      </c>
      <c r="E41" s="1394" t="n">
        <v>28522</v>
      </c>
      <c r="F41" s="1394" t="n">
        <v>28523</v>
      </c>
      <c r="G41" s="1393" t="inlineStr">
        <is>
          <t>-</t>
        </is>
      </c>
      <c r="H41" s="1393">
        <f>H40</f>
        <v/>
      </c>
      <c r="I41" s="1393" t="inlineStr">
        <is>
          <t>-</t>
        </is>
      </c>
      <c r="J41" s="1393" t="inlineStr">
        <is>
          <t>-</t>
        </is>
      </c>
      <c r="K41" s="1395">
        <f>IF(raw[[#This Row],[city]]&lt;&gt;"",_xlfn.XLOOKUP($D41,ccc[city],ccc[prov],"-"),"-")</f>
        <v/>
      </c>
      <c r="L41" s="1395">
        <f>IF(raw[[#This Row],[city]]&lt;&gt;"",_xlfn.XLOOKUP($D41,ccc[city],ccc[ctry],"-"),"-")</f>
        <v/>
      </c>
      <c r="M41" s="1395">
        <f>IF(raw[[#This Row],[city]]&lt;&gt;"",_xlfn.XLOOKUP($D41,ccc[city],ccc[cont],"-"),"-")</f>
        <v/>
      </c>
      <c r="N41" s="1396">
        <f>IF(raw[[#This Row],[city]]="","-",IF(raw[[#This Row],[cont]]="B",raw[[#This Row],[cont]],"W"))</f>
        <v/>
      </c>
      <c r="O41" s="1397">
        <f>IF(raw[[#This Row],[out]]=0,0,IF(raw[[#This Row],[out]]=raw[[#This Row],[in]],0.01,raw[[#This Row],[out]]-raw[[#This Row],[in]]))</f>
        <v/>
      </c>
      <c r="P41" s="1397">
        <f>IF(raw[[#This Row],[in]]=0,0,MONTH(raw[[#This Row],[in]]))</f>
        <v/>
      </c>
      <c r="Q41" s="1397">
        <f>IF(raw[[#This Row],[in]]=0,0,YEAR(raw[[#This Row],[in]]))</f>
        <v/>
      </c>
      <c r="R41" s="1397">
        <f>INT(raw[[#This Row],[yr]]/10)*10</f>
        <v/>
      </c>
      <c r="S41" s="1395">
        <f>IF(raw[[#This Row],[city]]="","-",IF(raw[[#This Row],[city]]&lt;&gt;_xlfn.XLOOKUP(raw[[#This Row],[home]],homes[home],homes[city],"-"),1,0))</f>
        <v/>
      </c>
      <c r="T41" s="1398" t="inlineStr">
        <is>
          <t>.</t>
        </is>
      </c>
      <c r="U41" s="1399">
        <f>IF(raw[[#This Row],[wb]]="w",raw[[#This Row],[stay]]+U40,U40)</f>
        <v/>
      </c>
      <c r="V41" s="1400">
        <f>IF(raw[[#This Row],[out]]=0,V40,(raw[[#This Row],[out]]-E$5))</f>
        <v/>
      </c>
      <c r="W41" s="1401">
        <f>U41/V41</f>
        <v/>
      </c>
      <c r="X41" s="1378" t="inlineStr">
        <is>
          <t>.</t>
        </is>
      </c>
      <c r="Y41" s="1402">
        <f/>
        <v/>
      </c>
      <c r="Z41" s="1403">
        <f/>
        <v/>
      </c>
      <c r="AA41" s="1403">
        <f/>
        <v/>
      </c>
      <c r="AB41" s="1400">
        <f t="array" ref="AB41">_xlfn.LET(_xlpm.S,_xlfn.ANCHORARRAY($Y$4),_xlpm.r,ROWS(stayCity[[#Headers],[city]]:stayCity[[#This Row],[city]])-1,IF(_xlpm.r&lt;=ROWS(_xlpm.S),INDEX(_xlpm.S,_xlpm.r,1),""))</f>
        <v/>
      </c>
      <c r="AC41" s="1405">
        <f t="array" ref="AC41">_xlfn.LET(_xlpm.S,_xlfn.ANCHORARRAY($Y$4),_xlpm.r,ROWS(stayCity[[#Headers],[city]]:stayCity[[#This Row],[city]])-1,IF(_xlpm.r&lt;=ROWS(_xlpm.S),INDEX(_xlpm.S,_xlpm.r,2),""))</f>
        <v/>
      </c>
      <c r="AD41" s="1405">
        <f t="array" ref="AD41">_xlfn.LET(_xlpm.S,_xlfn.ANCHORARRAY($Y$4),_xlpm.r,ROWS(stayCity[[#Headers],[city]]:stayCity[[#This Row],[city]])-1,IF(_xlpm.r&lt;=ROWS(_xlpm.S),INDEX(_xlpm.S,_xlpm.r,3),""))</f>
        <v/>
      </c>
      <c r="AE41" s="1400">
        <f>IF(stayCity[[#This Row],[out]]&lt;&gt;"",stayCity[[#This Row],[out]]-stayCity[[#This Row],[in]],"-")</f>
        <v/>
      </c>
      <c r="AF41" s="1406">
        <f>IF(Y41="","-",YEAR(stayCity[[#This Row],[in]]))</f>
        <v/>
      </c>
      <c r="AG41" s="1398" t="inlineStr">
        <is>
          <t>.</t>
        </is>
      </c>
      <c r="AH41" s="1402">
        <f/>
        <v/>
      </c>
      <c r="AI41" s="1403">
        <f/>
        <v/>
      </c>
      <c r="AJ41" s="1403">
        <f/>
        <v/>
      </c>
      <c r="AK41" s="1400">
        <f>IF(AH41="","-",AH41)</f>
        <v/>
      </c>
      <c r="AL41" s="1405">
        <f>AI41</f>
        <v/>
      </c>
      <c r="AM41" s="1405">
        <f>AJ41</f>
        <v/>
      </c>
      <c r="AN41" s="1400">
        <f>stayCtry[[#This Row],[out]]-stayCtry[[#This Row],[in]]</f>
        <v/>
      </c>
      <c r="AO41" s="1406">
        <f>IF(AI41&lt;&gt;"",AO40+1,AO40)</f>
        <v/>
      </c>
      <c r="AP41" s="1398" t="inlineStr">
        <is>
          <t>.</t>
        </is>
      </c>
      <c r="AQ41" s="1402">
        <f/>
        <v/>
      </c>
      <c r="AR41" s="1403">
        <f/>
        <v/>
      </c>
      <c r="AS41" s="1403">
        <f/>
        <v/>
      </c>
      <c r="AT41" s="1400">
        <f>AQ41</f>
        <v/>
      </c>
      <c r="AU41" s="1405">
        <f>AR41</f>
        <v/>
      </c>
      <c r="AV41" s="1405">
        <f>AS41</f>
        <v/>
      </c>
      <c r="AW41" s="1400">
        <f>stayCont[[#This Row],[out]]-stayCont[[#This Row],[in]]</f>
        <v/>
      </c>
      <c r="AX41" s="1406">
        <f>IF(AR41&lt;&gt;"",AX40+1,AX40)</f>
        <v/>
      </c>
      <c r="AY41" s="1398" t="inlineStr">
        <is>
          <t>.</t>
        </is>
      </c>
      <c r="AZ41" s="1402" t="n"/>
      <c r="BA41" s="1403" t="n"/>
      <c r="BB41" s="1403" t="n"/>
      <c r="BC41" s="1405">
        <f>AZ41</f>
        <v/>
      </c>
      <c r="BD41" s="1405">
        <f>BA41</f>
        <v/>
      </c>
      <c r="BE41" s="1405">
        <f>BB41</f>
        <v/>
      </c>
      <c r="BF41" s="1400">
        <f>stayWB[[#This Row],[out]]-stayWB[[#This Row],[in]]</f>
        <v/>
      </c>
      <c r="BG41" s="1400">
        <f>IF(BB41&lt;&gt;"",BG40+1,BG40)</f>
        <v/>
      </c>
      <c r="BH41" s="1398" t="inlineStr">
        <is>
          <t>.</t>
        </is>
      </c>
      <c r="BI41" s="1402" t="inlineStr">
        <is>
          <t>FRA</t>
        </is>
      </c>
      <c r="BJ41" s="1402" t="n">
        <v>1989</v>
      </c>
      <c r="BK41" s="1400">
        <f>BI41</f>
        <v/>
      </c>
      <c r="BL41" s="1409">
        <f>BJ41</f>
        <v/>
      </c>
      <c r="BM41" s="1378" t="inlineStr">
        <is>
          <t>.</t>
        </is>
      </c>
      <c r="BN41" s="1402" t="inlineStr">
        <is>
          <t>Z</t>
        </is>
      </c>
      <c r="BO41" s="1400">
        <f>BN41</f>
        <v/>
      </c>
      <c r="BP41" s="1398" t="inlineStr">
        <is>
          <t>.</t>
        </is>
      </c>
      <c r="BQ41" s="1400">
        <f>IF(BR41&lt;&gt;"",BQ40+1,BQ40)</f>
        <v/>
      </c>
      <c r="BR41" s="1411" t="inlineStr">
        <is>
          <t>SSA</t>
        </is>
      </c>
      <c r="BS41" s="1411" t="inlineStr">
        <is>
          <t>SP</t>
        </is>
      </c>
      <c r="BT41" s="1412" t="inlineStr">
        <is>
          <t>SSA-SP</t>
        </is>
      </c>
      <c r="BU41" s="1412" t="n">
        <v>33848</v>
      </c>
      <c r="BV41" s="1398" t="inlineStr">
        <is>
          <t>.</t>
        </is>
      </c>
      <c r="BW41" s="1400">
        <f>IF(BX41&lt;&gt;"",BW40+1,BW40)</f>
        <v/>
      </c>
      <c r="BX41" s="1411">
        <f/>
        <v/>
      </c>
      <c r="BY41" s="1413">
        <f/>
        <v/>
      </c>
      <c r="BZ41" s="1413">
        <f/>
        <v/>
      </c>
      <c r="CA41" s="1414">
        <f>BZ41-BY41</f>
        <v/>
      </c>
      <c r="CB41" s="1398" t="inlineStr">
        <is>
          <t>.</t>
        </is>
      </c>
      <c r="CC41" s="1400">
        <f>IF(CD41&lt;&gt;"",CC40+1,CC40)</f>
        <v/>
      </c>
      <c r="CD41" s="1411" t="inlineStr">
        <is>
          <t>David's</t>
        </is>
      </c>
      <c r="CE41" s="1412" t="n">
        <v>36040</v>
      </c>
      <c r="CF41" s="1412" t="n">
        <v>36051</v>
      </c>
      <c r="CG41" s="1415">
        <f>CF41-CE41</f>
        <v/>
      </c>
      <c r="CH41" s="1398" t="inlineStr">
        <is>
          <t>.</t>
        </is>
      </c>
      <c r="CI41" s="1400">
        <f>IF(CJ41&lt;&gt;"",CI40+1,CI40)</f>
        <v/>
      </c>
      <c r="CJ41" s="1402" t="inlineStr">
        <is>
          <t>Francele/Gordon</t>
        </is>
      </c>
      <c r="CK41" s="1391" t="inlineStr">
        <is>
          <t>.</t>
        </is>
      </c>
      <c r="CL41" s="1392" t="n"/>
    </row>
    <row r="42">
      <c r="A42" s="5" t="inlineStr">
        <is>
          <t>.</t>
        </is>
      </c>
      <c r="B42" s="5" t="inlineStr">
        <is>
          <t>.</t>
        </is>
      </c>
      <c r="C42" s="1378">
        <f>IF(raw[[#This Row],[city]]="","-",IF(raw[[#This Row],[city]]="TODAY","-",C41+1))</f>
        <v/>
      </c>
      <c r="D42" s="1393" t="inlineStr">
        <is>
          <t>Petropolis</t>
        </is>
      </c>
      <c r="E42" s="1394" t="n">
        <v>28523</v>
      </c>
      <c r="F42" s="1394" t="n">
        <v>28538</v>
      </c>
      <c r="G42" s="1393" t="inlineStr">
        <is>
          <t>-</t>
        </is>
      </c>
      <c r="H42" s="1393">
        <f>H41</f>
        <v/>
      </c>
      <c r="I42" s="1393" t="inlineStr">
        <is>
          <t>-</t>
        </is>
      </c>
      <c r="J42" s="1393" t="inlineStr">
        <is>
          <t>-</t>
        </is>
      </c>
      <c r="K42" s="1395">
        <f>IF(raw[[#This Row],[city]]&lt;&gt;"",_xlfn.XLOOKUP($D42,ccc[city],ccc[prov],"-"),"-")</f>
        <v/>
      </c>
      <c r="L42" s="1395">
        <f>IF(raw[[#This Row],[city]]&lt;&gt;"",_xlfn.XLOOKUP($D42,ccc[city],ccc[ctry],"-"),"-")</f>
        <v/>
      </c>
      <c r="M42" s="1395">
        <f>IF(raw[[#This Row],[city]]&lt;&gt;"",_xlfn.XLOOKUP($D42,ccc[city],ccc[cont],"-"),"-")</f>
        <v/>
      </c>
      <c r="N42" s="1396">
        <f>IF(raw[[#This Row],[city]]="","-",IF(raw[[#This Row],[cont]]="B",raw[[#This Row],[cont]],"W"))</f>
        <v/>
      </c>
      <c r="O42" s="1397">
        <f>IF(raw[[#This Row],[out]]=0,0,IF(raw[[#This Row],[out]]=raw[[#This Row],[in]],0.01,raw[[#This Row],[out]]-raw[[#This Row],[in]]))</f>
        <v/>
      </c>
      <c r="P42" s="1397">
        <f>IF(raw[[#This Row],[in]]=0,0,MONTH(raw[[#This Row],[in]]))</f>
        <v/>
      </c>
      <c r="Q42" s="1397">
        <f>IF(raw[[#This Row],[in]]=0,0,YEAR(raw[[#This Row],[in]]))</f>
        <v/>
      </c>
      <c r="R42" s="1397">
        <f>INT(raw[[#This Row],[yr]]/10)*10</f>
        <v/>
      </c>
      <c r="S42" s="1395">
        <f>IF(raw[[#This Row],[city]]="","-",IF(raw[[#This Row],[city]]&lt;&gt;_xlfn.XLOOKUP(raw[[#This Row],[home]],homes[home],homes[city],"-"),1,0))</f>
        <v/>
      </c>
      <c r="T42" s="1398" t="inlineStr">
        <is>
          <t>.</t>
        </is>
      </c>
      <c r="U42" s="1399">
        <f>IF(raw[[#This Row],[wb]]="w",raw[[#This Row],[stay]]+U41,U41)</f>
        <v/>
      </c>
      <c r="V42" s="1400">
        <f>IF(raw[[#This Row],[out]]=0,V41,(raw[[#This Row],[out]]-E$5))</f>
        <v/>
      </c>
      <c r="W42" s="1401">
        <f>U42/V42</f>
        <v/>
      </c>
      <c r="X42" s="1378" t="inlineStr">
        <is>
          <t>.</t>
        </is>
      </c>
      <c r="Y42" s="1402">
        <f/>
        <v/>
      </c>
      <c r="Z42" s="1403">
        <f/>
        <v/>
      </c>
      <c r="AA42" s="1403">
        <f/>
        <v/>
      </c>
      <c r="AB42" s="1400">
        <f t="array" ref="AB42">_xlfn.LET(_xlpm.S,_xlfn.ANCHORARRAY($Y$4),_xlpm.r,ROWS(stayCity[[#Headers],[city]]:stayCity[[#This Row],[city]])-1,IF(_xlpm.r&lt;=ROWS(_xlpm.S),INDEX(_xlpm.S,_xlpm.r,1),""))</f>
        <v/>
      </c>
      <c r="AC42" s="1405">
        <f t="array" ref="AC42">_xlfn.LET(_xlpm.S,_xlfn.ANCHORARRAY($Y$4),_xlpm.r,ROWS(stayCity[[#Headers],[city]]:stayCity[[#This Row],[city]])-1,IF(_xlpm.r&lt;=ROWS(_xlpm.S),INDEX(_xlpm.S,_xlpm.r,2),""))</f>
        <v/>
      </c>
      <c r="AD42" s="1405">
        <f t="array" ref="AD42">_xlfn.LET(_xlpm.S,_xlfn.ANCHORARRAY($Y$4),_xlpm.r,ROWS(stayCity[[#Headers],[city]]:stayCity[[#This Row],[city]])-1,IF(_xlpm.r&lt;=ROWS(_xlpm.S),INDEX(_xlpm.S,_xlpm.r,3),""))</f>
        <v/>
      </c>
      <c r="AE42" s="1400">
        <f>IF(stayCity[[#This Row],[out]]&lt;&gt;"",stayCity[[#This Row],[out]]-stayCity[[#This Row],[in]],"-")</f>
        <v/>
      </c>
      <c r="AF42" s="1406">
        <f>IF(Y42="","-",YEAR(stayCity[[#This Row],[in]]))</f>
        <v/>
      </c>
      <c r="AG42" s="1398" t="inlineStr">
        <is>
          <t>.</t>
        </is>
      </c>
      <c r="AH42" s="1402">
        <f/>
        <v/>
      </c>
      <c r="AI42" s="1403">
        <f/>
        <v/>
      </c>
      <c r="AJ42" s="1403">
        <f/>
        <v/>
      </c>
      <c r="AK42" s="1400">
        <f>IF(AH42="","-",AH42)</f>
        <v/>
      </c>
      <c r="AL42" s="1405">
        <f>AI42</f>
        <v/>
      </c>
      <c r="AM42" s="1405">
        <f>AJ42</f>
        <v/>
      </c>
      <c r="AN42" s="1400">
        <f>stayCtry[[#This Row],[out]]-stayCtry[[#This Row],[in]]</f>
        <v/>
      </c>
      <c r="AO42" s="1406">
        <f>IF(AI42&lt;&gt;"",AO41+1,AO41)</f>
        <v/>
      </c>
      <c r="AP42" s="1398" t="inlineStr">
        <is>
          <t>.</t>
        </is>
      </c>
      <c r="AQ42" s="1402">
        <f/>
        <v/>
      </c>
      <c r="AR42" s="1403">
        <f/>
        <v/>
      </c>
      <c r="AS42" s="1403">
        <f/>
        <v/>
      </c>
      <c r="AT42" s="1400">
        <f>AQ42</f>
        <v/>
      </c>
      <c r="AU42" s="1405">
        <f>AR42</f>
        <v/>
      </c>
      <c r="AV42" s="1405">
        <f>AS42</f>
        <v/>
      </c>
      <c r="AW42" s="1400">
        <f>stayCont[[#This Row],[out]]-stayCont[[#This Row],[in]]</f>
        <v/>
      </c>
      <c r="AX42" s="1406">
        <f>IF(AR42&lt;&gt;"",AX41+1,AX41)</f>
        <v/>
      </c>
      <c r="AY42" s="1398" t="inlineStr">
        <is>
          <t>.</t>
        </is>
      </c>
      <c r="AZ42" s="1402" t="n"/>
      <c r="BA42" s="1403" t="n"/>
      <c r="BB42" s="1403" t="n"/>
      <c r="BC42" s="1405">
        <f>AZ42</f>
        <v/>
      </c>
      <c r="BD42" s="1405">
        <f>BA42</f>
        <v/>
      </c>
      <c r="BE42" s="1405">
        <f>BB42</f>
        <v/>
      </c>
      <c r="BF42" s="1400">
        <f>stayWB[[#This Row],[out]]-stayWB[[#This Row],[in]]</f>
        <v/>
      </c>
      <c r="BG42" s="1400">
        <f>IF(BB42&lt;&gt;"",BG41+1,BG41)</f>
        <v/>
      </c>
      <c r="BH42" s="1398" t="inlineStr">
        <is>
          <t>.</t>
        </is>
      </c>
      <c r="BI42" s="1402" t="inlineStr">
        <is>
          <t>BRA</t>
        </is>
      </c>
      <c r="BJ42" s="1402" t="n">
        <v>1989</v>
      </c>
      <c r="BK42" s="1400">
        <f>BI42</f>
        <v/>
      </c>
      <c r="BL42" s="1409">
        <f>BJ42</f>
        <v/>
      </c>
      <c r="BM42" s="1378" t="inlineStr">
        <is>
          <t>.</t>
        </is>
      </c>
      <c r="BN42" s="1402" t="inlineStr">
        <is>
          <t>B</t>
        </is>
      </c>
      <c r="BO42" s="1400">
        <f>BN42</f>
        <v/>
      </c>
      <c r="BP42" s="1398" t="inlineStr">
        <is>
          <t>.</t>
        </is>
      </c>
      <c r="BQ42" s="1400">
        <f>IF(BR42&lt;&gt;"",BQ41+1,BQ41)</f>
        <v/>
      </c>
      <c r="BR42" s="1411" t="inlineStr">
        <is>
          <t>SP</t>
        </is>
      </c>
      <c r="BS42" s="1411" t="inlineStr">
        <is>
          <t>SSA</t>
        </is>
      </c>
      <c r="BT42" s="1412" t="inlineStr">
        <is>
          <t>SP-SSA</t>
        </is>
      </c>
      <c r="BU42" s="1412" t="n">
        <v>33873</v>
      </c>
      <c r="BV42" s="1398" t="inlineStr">
        <is>
          <t>.</t>
        </is>
      </c>
      <c r="BW42" s="1400">
        <f>IF(BX42&lt;&gt;"",BW41+1,BW41)</f>
        <v/>
      </c>
      <c r="BX42" s="1411">
        <f/>
        <v/>
      </c>
      <c r="BY42" s="1413">
        <f/>
        <v/>
      </c>
      <c r="BZ42" s="1413">
        <f/>
        <v/>
      </c>
      <c r="CA42" s="1414">
        <f>BZ42-BY42</f>
        <v/>
      </c>
      <c r="CB42" s="1398" t="inlineStr">
        <is>
          <t>.</t>
        </is>
      </c>
      <c r="CC42" s="1400">
        <f>IF(CD42&lt;&gt;"",CC41+1,CC41)</f>
        <v/>
      </c>
      <c r="CD42" s="1411" t="inlineStr">
        <is>
          <t>CS</t>
        </is>
      </c>
      <c r="CE42" s="1412" t="n">
        <v>36086</v>
      </c>
      <c r="CF42" s="1412" t="n">
        <v>36123</v>
      </c>
      <c r="CG42" s="1415">
        <f>CF42-CE42</f>
        <v/>
      </c>
      <c r="CH42" s="1398" t="inlineStr">
        <is>
          <t>.</t>
        </is>
      </c>
      <c r="CI42" s="1400">
        <f>IF(CJ42&lt;&gt;"",CI41+1,CI41)</f>
        <v/>
      </c>
      <c r="CJ42" s="1402" t="inlineStr">
        <is>
          <t>Sam</t>
        </is>
      </c>
      <c r="CK42" s="1391" t="inlineStr">
        <is>
          <t>.</t>
        </is>
      </c>
      <c r="CL42" s="1392" t="n"/>
    </row>
    <row r="43">
      <c r="A43" s="5" t="inlineStr">
        <is>
          <t>.</t>
        </is>
      </c>
      <c r="B43" s="5" t="inlineStr">
        <is>
          <t>.</t>
        </is>
      </c>
      <c r="C43" s="1378">
        <f>IF(raw[[#This Row],[city]]="","-",IF(raw[[#This Row],[city]]="TODAY","-",C42+1))</f>
        <v/>
      </c>
      <c r="D43" s="1393" t="inlineStr">
        <is>
          <t>Porto Seguro</t>
        </is>
      </c>
      <c r="E43" s="1394" t="n">
        <v>28538</v>
      </c>
      <c r="F43" s="1394" t="n">
        <v>28539</v>
      </c>
      <c r="G43" s="1393" t="inlineStr">
        <is>
          <t>-</t>
        </is>
      </c>
      <c r="H43" s="1393">
        <f>H42</f>
        <v/>
      </c>
      <c r="I43" s="1393" t="inlineStr">
        <is>
          <t>-</t>
        </is>
      </c>
      <c r="J43" s="1393" t="inlineStr">
        <is>
          <t>-</t>
        </is>
      </c>
      <c r="K43" s="1395">
        <f>IF(raw[[#This Row],[city]]&lt;&gt;"",_xlfn.XLOOKUP($D43,ccc[city],ccc[prov],"-"),"-")</f>
        <v/>
      </c>
      <c r="L43" s="1395">
        <f>IF(raw[[#This Row],[city]]&lt;&gt;"",_xlfn.XLOOKUP($D43,ccc[city],ccc[ctry],"-"),"-")</f>
        <v/>
      </c>
      <c r="M43" s="1395">
        <f>IF(raw[[#This Row],[city]]&lt;&gt;"",_xlfn.XLOOKUP($D43,ccc[city],ccc[cont],"-"),"-")</f>
        <v/>
      </c>
      <c r="N43" s="1396">
        <f>IF(raw[[#This Row],[city]]="","-",IF(raw[[#This Row],[cont]]="B",raw[[#This Row],[cont]],"W"))</f>
        <v/>
      </c>
      <c r="O43" s="1397">
        <f>IF(raw[[#This Row],[out]]=0,0,IF(raw[[#This Row],[out]]=raw[[#This Row],[in]],0.01,raw[[#This Row],[out]]-raw[[#This Row],[in]]))</f>
        <v/>
      </c>
      <c r="P43" s="1397">
        <f>IF(raw[[#This Row],[in]]=0,0,MONTH(raw[[#This Row],[in]]))</f>
        <v/>
      </c>
      <c r="Q43" s="1397">
        <f>IF(raw[[#This Row],[in]]=0,0,YEAR(raw[[#This Row],[in]]))</f>
        <v/>
      </c>
      <c r="R43" s="1397">
        <f>INT(raw[[#This Row],[yr]]/10)*10</f>
        <v/>
      </c>
      <c r="S43" s="1395">
        <f>IF(raw[[#This Row],[city]]="","-",IF(raw[[#This Row],[city]]&lt;&gt;_xlfn.XLOOKUP(raw[[#This Row],[home]],homes[home],homes[city],"-"),1,0))</f>
        <v/>
      </c>
      <c r="T43" s="1398" t="inlineStr">
        <is>
          <t>.</t>
        </is>
      </c>
      <c r="U43" s="1399">
        <f>IF(raw[[#This Row],[wb]]="w",raw[[#This Row],[stay]]+U42,U42)</f>
        <v/>
      </c>
      <c r="V43" s="1400">
        <f>IF(raw[[#This Row],[out]]=0,V42,(raw[[#This Row],[out]]-E$5))</f>
        <v/>
      </c>
      <c r="W43" s="1401">
        <f>U43/V43</f>
        <v/>
      </c>
      <c r="X43" s="1378" t="inlineStr">
        <is>
          <t>.</t>
        </is>
      </c>
      <c r="Y43" s="1402">
        <f/>
        <v/>
      </c>
      <c r="Z43" s="1403">
        <f/>
        <v/>
      </c>
      <c r="AA43" s="1403">
        <f/>
        <v/>
      </c>
      <c r="AB43" s="1400">
        <f t="array" ref="AB43">_xlfn.LET(_xlpm.S,_xlfn.ANCHORARRAY($Y$4),_xlpm.r,ROWS(stayCity[[#Headers],[city]]:stayCity[[#This Row],[city]])-1,IF(_xlpm.r&lt;=ROWS(_xlpm.S),INDEX(_xlpm.S,_xlpm.r,1),""))</f>
        <v/>
      </c>
      <c r="AC43" s="1405">
        <f t="array" ref="AC43">_xlfn.LET(_xlpm.S,_xlfn.ANCHORARRAY($Y$4),_xlpm.r,ROWS(stayCity[[#Headers],[city]]:stayCity[[#This Row],[city]])-1,IF(_xlpm.r&lt;=ROWS(_xlpm.S),INDEX(_xlpm.S,_xlpm.r,2),""))</f>
        <v/>
      </c>
      <c r="AD43" s="1405">
        <f t="array" ref="AD43">_xlfn.LET(_xlpm.S,_xlfn.ANCHORARRAY($Y$4),_xlpm.r,ROWS(stayCity[[#Headers],[city]]:stayCity[[#This Row],[city]])-1,IF(_xlpm.r&lt;=ROWS(_xlpm.S),INDEX(_xlpm.S,_xlpm.r,3),""))</f>
        <v/>
      </c>
      <c r="AE43" s="1400">
        <f>IF(stayCity[[#This Row],[out]]&lt;&gt;"",stayCity[[#This Row],[out]]-stayCity[[#This Row],[in]],"-")</f>
        <v/>
      </c>
      <c r="AF43" s="1406">
        <f>IF(Y43="","-",YEAR(stayCity[[#This Row],[in]]))</f>
        <v/>
      </c>
      <c r="AG43" s="1398" t="inlineStr">
        <is>
          <t>.</t>
        </is>
      </c>
      <c r="AH43" s="1402">
        <f/>
        <v/>
      </c>
      <c r="AI43" s="1403">
        <f/>
        <v/>
      </c>
      <c r="AJ43" s="1403">
        <f/>
        <v/>
      </c>
      <c r="AK43" s="1400">
        <f>IF(AH43="","-",AH43)</f>
        <v/>
      </c>
      <c r="AL43" s="1405">
        <f>AI43</f>
        <v/>
      </c>
      <c r="AM43" s="1405">
        <f>AJ43</f>
        <v/>
      </c>
      <c r="AN43" s="1400">
        <f>stayCtry[[#This Row],[out]]-stayCtry[[#This Row],[in]]</f>
        <v/>
      </c>
      <c r="AO43" s="1406">
        <f>IF(AI43&lt;&gt;"",AO42+1,AO42)</f>
        <v/>
      </c>
      <c r="AP43" s="1398" t="inlineStr">
        <is>
          <t>.</t>
        </is>
      </c>
      <c r="AQ43" s="1402">
        <f/>
        <v/>
      </c>
      <c r="AR43" s="1403">
        <f/>
        <v/>
      </c>
      <c r="AS43" s="1403">
        <f/>
        <v/>
      </c>
      <c r="AT43" s="1400">
        <f>AQ43</f>
        <v/>
      </c>
      <c r="AU43" s="1405">
        <f>AR43</f>
        <v/>
      </c>
      <c r="AV43" s="1405">
        <f>AS43</f>
        <v/>
      </c>
      <c r="AW43" s="1400">
        <f>stayCont[[#This Row],[out]]-stayCont[[#This Row],[in]]</f>
        <v/>
      </c>
      <c r="AX43" s="1406">
        <f>IF(AR43&lt;&gt;"",AX42+1,AX42)</f>
        <v/>
      </c>
      <c r="AY43" s="1398" t="inlineStr">
        <is>
          <t>.</t>
        </is>
      </c>
      <c r="AZ43" s="1402" t="n"/>
      <c r="BA43" s="1403" t="n"/>
      <c r="BB43" s="1403" t="n"/>
      <c r="BC43" s="1405">
        <f>AZ43</f>
        <v/>
      </c>
      <c r="BD43" s="1405">
        <f>BA43</f>
        <v/>
      </c>
      <c r="BE43" s="1405">
        <f>BB43</f>
        <v/>
      </c>
      <c r="BF43" s="1400">
        <f>stayWB[[#This Row],[out]]-stayWB[[#This Row],[in]]</f>
        <v/>
      </c>
      <c r="BG43" s="1400">
        <f>IF(BB43&lt;&gt;"",BG42+1,BG42)</f>
        <v/>
      </c>
      <c r="BH43" s="1398" t="inlineStr">
        <is>
          <t>.</t>
        </is>
      </c>
      <c r="BI43" s="1402" t="inlineStr">
        <is>
          <t>PRT</t>
        </is>
      </c>
      <c r="BJ43" s="1402" t="n">
        <v>1995</v>
      </c>
      <c r="BK43" s="1400">
        <f>BI43</f>
        <v/>
      </c>
      <c r="BL43" s="1409">
        <f>BJ43</f>
        <v/>
      </c>
      <c r="BM43" s="1378" t="inlineStr">
        <is>
          <t>.</t>
        </is>
      </c>
      <c r="BN43" s="1402" t="inlineStr">
        <is>
          <t>Z</t>
        </is>
      </c>
      <c r="BO43" s="1400">
        <f>BN43</f>
        <v/>
      </c>
      <c r="BP43" s="1398" t="inlineStr">
        <is>
          <t>.</t>
        </is>
      </c>
      <c r="BQ43" s="1400">
        <f>IF(BR43&lt;&gt;"",BQ42+1,BQ42)</f>
        <v/>
      </c>
      <c r="BR43" s="1411" t="inlineStr">
        <is>
          <t>SSA</t>
        </is>
      </c>
      <c r="BS43" s="1411" t="inlineStr">
        <is>
          <t>SP</t>
        </is>
      </c>
      <c r="BT43" s="1412" t="inlineStr">
        <is>
          <t>SSA-SP</t>
        </is>
      </c>
      <c r="BU43" s="1412" t="n">
        <v>33883</v>
      </c>
      <c r="BV43" s="1398" t="inlineStr">
        <is>
          <t>.</t>
        </is>
      </c>
      <c r="BW43" s="1400">
        <f>IF(BX43&lt;&gt;"",BW42+1,BW42)</f>
        <v/>
      </c>
      <c r="BX43" s="1411">
        <f/>
        <v/>
      </c>
      <c r="BY43" s="1413">
        <f/>
        <v/>
      </c>
      <c r="BZ43" s="1413">
        <f/>
        <v/>
      </c>
      <c r="CA43" s="1414">
        <f>BZ43-BY43</f>
        <v/>
      </c>
      <c r="CB43" s="1398" t="inlineStr">
        <is>
          <t>.</t>
        </is>
      </c>
      <c r="CC43" s="1400">
        <f>IF(CD43&lt;&gt;"",CC42+1,CC42)</f>
        <v/>
      </c>
      <c r="CD43" s="1411" t="inlineStr">
        <is>
          <t>Salto Grande</t>
        </is>
      </c>
      <c r="CE43" s="1412" t="n">
        <v>36138</v>
      </c>
      <c r="CF43" s="1412" t="n">
        <v>36150</v>
      </c>
      <c r="CG43" s="1415">
        <f>CF43-CE43</f>
        <v/>
      </c>
      <c r="CH43" s="1398" t="inlineStr">
        <is>
          <t>.</t>
        </is>
      </c>
      <c r="CI43" s="1400">
        <f>IF(CJ43&lt;&gt;"",CI42+1,CI42)</f>
        <v/>
      </c>
      <c r="CJ43" s="1402" t="inlineStr">
        <is>
          <t>Sam/Arnaldo</t>
        </is>
      </c>
      <c r="CK43" s="1391" t="inlineStr">
        <is>
          <t>.</t>
        </is>
      </c>
      <c r="CL43" s="1392" t="n"/>
    </row>
    <row r="44">
      <c r="A44" s="5" t="inlineStr">
        <is>
          <t>.</t>
        </is>
      </c>
      <c r="B44" s="5" t="inlineStr">
        <is>
          <t>.</t>
        </is>
      </c>
      <c r="C44" s="1378">
        <f>IF(raw[[#This Row],[city]]="","-",IF(raw[[#This Row],[city]]="TODAY","-",C43+1))</f>
        <v/>
      </c>
      <c r="D44" s="1393" t="inlineStr">
        <is>
          <t>SSA</t>
        </is>
      </c>
      <c r="E44" s="1394" t="n">
        <v>28539</v>
      </c>
      <c r="F44" s="1394" t="n">
        <v>28856</v>
      </c>
      <c r="G44" s="1393" t="inlineStr">
        <is>
          <t>-</t>
        </is>
      </c>
      <c r="H44" s="1393">
        <f>H43</f>
        <v/>
      </c>
      <c r="I44" s="1393" t="inlineStr">
        <is>
          <t>-</t>
        </is>
      </c>
      <c r="J44" s="1393" t="inlineStr">
        <is>
          <t>-</t>
        </is>
      </c>
      <c r="K44" s="1395">
        <f>IF(raw[[#This Row],[city]]&lt;&gt;"",_xlfn.XLOOKUP($D44,ccc[city],ccc[prov],"-"),"-")</f>
        <v/>
      </c>
      <c r="L44" s="1395">
        <f>IF(raw[[#This Row],[city]]&lt;&gt;"",_xlfn.XLOOKUP($D44,ccc[city],ccc[ctry],"-"),"-")</f>
        <v/>
      </c>
      <c r="M44" s="1395">
        <f>IF(raw[[#This Row],[city]]&lt;&gt;"",_xlfn.XLOOKUP($D44,ccc[city],ccc[cont],"-"),"-")</f>
        <v/>
      </c>
      <c r="N44" s="1396">
        <f>IF(raw[[#This Row],[city]]="","-",IF(raw[[#This Row],[cont]]="B",raw[[#This Row],[cont]],"W"))</f>
        <v/>
      </c>
      <c r="O44" s="1397">
        <f>IF(raw[[#This Row],[out]]=0,0,IF(raw[[#This Row],[out]]=raw[[#This Row],[in]],0.01,raw[[#This Row],[out]]-raw[[#This Row],[in]]))</f>
        <v/>
      </c>
      <c r="P44" s="1397">
        <f>IF(raw[[#This Row],[in]]=0,0,MONTH(raw[[#This Row],[in]]))</f>
        <v/>
      </c>
      <c r="Q44" s="1397">
        <f>IF(raw[[#This Row],[in]]=0,0,YEAR(raw[[#This Row],[in]]))</f>
        <v/>
      </c>
      <c r="R44" s="1397">
        <f>INT(raw[[#This Row],[yr]]/10)*10</f>
        <v/>
      </c>
      <c r="S44" s="1395">
        <f>IF(raw[[#This Row],[city]]="","-",IF(raw[[#This Row],[city]]&lt;&gt;_xlfn.XLOOKUP(raw[[#This Row],[home]],homes[home],homes[city],"-"),1,0))</f>
        <v/>
      </c>
      <c r="T44" s="1398" t="inlineStr">
        <is>
          <t>.</t>
        </is>
      </c>
      <c r="U44" s="1399">
        <f>IF(raw[[#This Row],[wb]]="w",raw[[#This Row],[stay]]+U43,U43)</f>
        <v/>
      </c>
      <c r="V44" s="1400">
        <f>IF(raw[[#This Row],[out]]=0,V43,(raw[[#This Row],[out]]-E$5))</f>
        <v/>
      </c>
      <c r="W44" s="1401">
        <f>U44/V44</f>
        <v/>
      </c>
      <c r="X44" s="1378" t="inlineStr">
        <is>
          <t>.</t>
        </is>
      </c>
      <c r="Y44" s="1402">
        <f/>
        <v/>
      </c>
      <c r="Z44" s="1403">
        <f/>
        <v/>
      </c>
      <c r="AA44" s="1403">
        <f/>
        <v/>
      </c>
      <c r="AB44" s="1400">
        <f t="array" ref="AB44">_xlfn.LET(_xlpm.S,_xlfn.ANCHORARRAY($Y$4),_xlpm.r,ROWS(stayCity[[#Headers],[city]]:stayCity[[#This Row],[city]])-1,IF(_xlpm.r&lt;=ROWS(_xlpm.S),INDEX(_xlpm.S,_xlpm.r,1),""))</f>
        <v/>
      </c>
      <c r="AC44" s="1405">
        <f t="array" ref="AC44">_xlfn.LET(_xlpm.S,_xlfn.ANCHORARRAY($Y$4),_xlpm.r,ROWS(stayCity[[#Headers],[city]]:stayCity[[#This Row],[city]])-1,IF(_xlpm.r&lt;=ROWS(_xlpm.S),INDEX(_xlpm.S,_xlpm.r,2),""))</f>
        <v/>
      </c>
      <c r="AD44" s="1405">
        <f t="array" ref="AD44">_xlfn.LET(_xlpm.S,_xlfn.ANCHORARRAY($Y$4),_xlpm.r,ROWS(stayCity[[#Headers],[city]]:stayCity[[#This Row],[city]])-1,IF(_xlpm.r&lt;=ROWS(_xlpm.S),INDEX(_xlpm.S,_xlpm.r,3),""))</f>
        <v/>
      </c>
      <c r="AE44" s="1400">
        <f>IF(stayCity[[#This Row],[out]]&lt;&gt;"",stayCity[[#This Row],[out]]-stayCity[[#This Row],[in]],"-")</f>
        <v/>
      </c>
      <c r="AF44" s="1406">
        <f>IF(Y44="","-",YEAR(stayCity[[#This Row],[in]]))</f>
        <v/>
      </c>
      <c r="AG44" s="1398" t="inlineStr">
        <is>
          <t>.</t>
        </is>
      </c>
      <c r="AH44" s="1402">
        <f/>
        <v/>
      </c>
      <c r="AI44" s="1403">
        <f/>
        <v/>
      </c>
      <c r="AJ44" s="1403">
        <f/>
        <v/>
      </c>
      <c r="AK44" s="1400">
        <f>IF(AH44="","-",AH44)</f>
        <v/>
      </c>
      <c r="AL44" s="1405">
        <f>AI44</f>
        <v/>
      </c>
      <c r="AM44" s="1405">
        <f>AJ44</f>
        <v/>
      </c>
      <c r="AN44" s="1400">
        <f>stayCtry[[#This Row],[out]]-stayCtry[[#This Row],[in]]</f>
        <v/>
      </c>
      <c r="AO44" s="1406">
        <f>IF(AI44&lt;&gt;"",AO43+1,AO43)</f>
        <v/>
      </c>
      <c r="AP44" s="1398" t="inlineStr">
        <is>
          <t>.</t>
        </is>
      </c>
      <c r="AQ44" s="1402">
        <f/>
        <v/>
      </c>
      <c r="AR44" s="1403">
        <f/>
        <v/>
      </c>
      <c r="AS44" s="1403">
        <f/>
        <v/>
      </c>
      <c r="AT44" s="1400">
        <f>AQ44</f>
        <v/>
      </c>
      <c r="AU44" s="1405">
        <f>AR44</f>
        <v/>
      </c>
      <c r="AV44" s="1405">
        <f>AS44</f>
        <v/>
      </c>
      <c r="AW44" s="1400">
        <f>stayCont[[#This Row],[out]]-stayCont[[#This Row],[in]]</f>
        <v/>
      </c>
      <c r="AX44" s="1406">
        <f>IF(AR44&lt;&gt;"",AX43+1,AX43)</f>
        <v/>
      </c>
      <c r="AY44" s="1398" t="inlineStr">
        <is>
          <t>.</t>
        </is>
      </c>
      <c r="AZ44" s="1402" t="n"/>
      <c r="BA44" s="1403" t="n"/>
      <c r="BB44" s="1403" t="n"/>
      <c r="BC44" s="1405">
        <f>AZ44</f>
        <v/>
      </c>
      <c r="BD44" s="1405">
        <f>BA44</f>
        <v/>
      </c>
      <c r="BE44" s="1405">
        <f>BB44</f>
        <v/>
      </c>
      <c r="BF44" s="1400">
        <f>stayWB[[#This Row],[out]]-stayWB[[#This Row],[in]]</f>
        <v/>
      </c>
      <c r="BG44" s="1400">
        <f>IF(BB44&lt;&gt;"",BG43+1,BG43)</f>
        <v/>
      </c>
      <c r="BH44" s="1398" t="inlineStr">
        <is>
          <t>.</t>
        </is>
      </c>
      <c r="BI44" s="1402" t="inlineStr">
        <is>
          <t>ESP</t>
        </is>
      </c>
      <c r="BJ44" s="1402" t="n">
        <v>1995</v>
      </c>
      <c r="BK44" s="1400">
        <f>BI44</f>
        <v/>
      </c>
      <c r="BL44" s="1409">
        <f>BJ44</f>
        <v/>
      </c>
      <c r="BM44" s="1378" t="inlineStr">
        <is>
          <t>.</t>
        </is>
      </c>
      <c r="BN44" s="1402" t="inlineStr">
        <is>
          <t>E</t>
        </is>
      </c>
      <c r="BO44" s="1400">
        <f>BN44</f>
        <v/>
      </c>
      <c r="BP44" s="1398" t="inlineStr">
        <is>
          <t>.</t>
        </is>
      </c>
      <c r="BQ44" s="1400">
        <f>IF(BR44&lt;&gt;"",BQ43+1,BQ43)</f>
        <v/>
      </c>
      <c r="BR44" s="1411" t="inlineStr">
        <is>
          <t>SP</t>
        </is>
      </c>
      <c r="BS44" s="1411" t="inlineStr">
        <is>
          <t>SSA</t>
        </is>
      </c>
      <c r="BT44" s="1412" t="inlineStr">
        <is>
          <t>SP-SSA</t>
        </is>
      </c>
      <c r="BU44" s="1412" t="n">
        <v>33937</v>
      </c>
      <c r="BV44" s="1398" t="inlineStr">
        <is>
          <t>.</t>
        </is>
      </c>
      <c r="BW44" s="1400">
        <f>IF(BX44&lt;&gt;"",BW43+1,BW43)</f>
        <v/>
      </c>
      <c r="BX44" s="1411">
        <f/>
        <v/>
      </c>
      <c r="BY44" s="1413">
        <f/>
        <v/>
      </c>
      <c r="BZ44" s="1413">
        <f/>
        <v/>
      </c>
      <c r="CA44" s="1414">
        <f>BZ44-BY44</f>
        <v/>
      </c>
      <c r="CB44" s="1398" t="inlineStr">
        <is>
          <t>.</t>
        </is>
      </c>
      <c r="CC44" s="1400">
        <f>IF(CD44&lt;&gt;"",CC43+1,CC43)</f>
        <v/>
      </c>
      <c r="CD44" s="1411" t="inlineStr">
        <is>
          <t>Hampstead</t>
        </is>
      </c>
      <c r="CE44" s="1412" t="n">
        <v>36304</v>
      </c>
      <c r="CF44" s="1412" t="n">
        <v>36313</v>
      </c>
      <c r="CG44" s="1415">
        <f>CF44-CE44</f>
        <v/>
      </c>
      <c r="CH44" s="1398" t="inlineStr">
        <is>
          <t>.</t>
        </is>
      </c>
      <c r="CI44" s="1400">
        <f>IF(CJ44&lt;&gt;"",CI43+1,CI43)</f>
        <v/>
      </c>
      <c r="CJ44" s="1402" t="inlineStr">
        <is>
          <t>Tatá/Venancio</t>
        </is>
      </c>
      <c r="CK44" s="1391" t="inlineStr">
        <is>
          <t>.</t>
        </is>
      </c>
      <c r="CL44" s="1392" t="n"/>
    </row>
    <row r="45">
      <c r="A45" s="5" t="inlineStr">
        <is>
          <t>.</t>
        </is>
      </c>
      <c r="B45" s="5" t="inlineStr">
        <is>
          <t>.</t>
        </is>
      </c>
      <c r="C45" s="1378">
        <f>IF(raw[[#This Row],[city]]="","-",IF(raw[[#This Row],[city]]="TODAY","-",C44+1))</f>
        <v/>
      </c>
      <c r="D45" s="1393" t="inlineStr">
        <is>
          <t>SSA</t>
        </is>
      </c>
      <c r="E45" s="1394" t="n">
        <v>28856</v>
      </c>
      <c r="F45" s="1394" t="n">
        <v>28887</v>
      </c>
      <c r="G45" s="1393" t="inlineStr">
        <is>
          <t>-</t>
        </is>
      </c>
      <c r="H45" s="1393">
        <f>H44</f>
        <v/>
      </c>
      <c r="I45" s="1393" t="inlineStr">
        <is>
          <t>-</t>
        </is>
      </c>
      <c r="J45" s="1393" t="inlineStr">
        <is>
          <t>REV</t>
        </is>
      </c>
      <c r="K45" s="1395">
        <f>IF(raw[[#This Row],[city]]&lt;&gt;"",_xlfn.XLOOKUP($D45,ccc[city],ccc[prov],"-"),"-")</f>
        <v/>
      </c>
      <c r="L45" s="1395">
        <f>IF(raw[[#This Row],[city]]&lt;&gt;"",_xlfn.XLOOKUP($D45,ccc[city],ccc[ctry],"-"),"-")</f>
        <v/>
      </c>
      <c r="M45" s="1395">
        <f>IF(raw[[#This Row],[city]]&lt;&gt;"",_xlfn.XLOOKUP($D45,ccc[city],ccc[cont],"-"),"-")</f>
        <v/>
      </c>
      <c r="N45" s="1396">
        <f>IF(raw[[#This Row],[city]]="","-",IF(raw[[#This Row],[cont]]="B",raw[[#This Row],[cont]],"W"))</f>
        <v/>
      </c>
      <c r="O45" s="1397">
        <f>IF(raw[[#This Row],[out]]=0,0,IF(raw[[#This Row],[out]]=raw[[#This Row],[in]],0.01,raw[[#This Row],[out]]-raw[[#This Row],[in]]))</f>
        <v/>
      </c>
      <c r="P45" s="1397">
        <f>IF(raw[[#This Row],[in]]=0,0,MONTH(raw[[#This Row],[in]]))</f>
        <v/>
      </c>
      <c r="Q45" s="1397">
        <f>IF(raw[[#This Row],[in]]=0,0,YEAR(raw[[#This Row],[in]]))</f>
        <v/>
      </c>
      <c r="R45" s="1397">
        <f>INT(raw[[#This Row],[yr]]/10)*10</f>
        <v/>
      </c>
      <c r="S45" s="1395">
        <f>IF(raw[[#This Row],[city]]="","-",IF(raw[[#This Row],[city]]&lt;&gt;_xlfn.XLOOKUP(raw[[#This Row],[home]],homes[home],homes[city],"-"),1,0))</f>
        <v/>
      </c>
      <c r="T45" s="1398" t="inlineStr">
        <is>
          <t>.</t>
        </is>
      </c>
      <c r="U45" s="1399">
        <f>IF(raw[[#This Row],[wb]]="w",raw[[#This Row],[stay]]+U44,U44)</f>
        <v/>
      </c>
      <c r="V45" s="1400">
        <f>IF(raw[[#This Row],[out]]=0,V44,(raw[[#This Row],[out]]-E$5))</f>
        <v/>
      </c>
      <c r="W45" s="1401">
        <f>U45/V45</f>
        <v/>
      </c>
      <c r="X45" s="1378" t="inlineStr">
        <is>
          <t>.</t>
        </is>
      </c>
      <c r="Y45" s="1402">
        <f/>
        <v/>
      </c>
      <c r="Z45" s="1403">
        <f/>
        <v/>
      </c>
      <c r="AA45" s="1403">
        <f/>
        <v/>
      </c>
      <c r="AB45" s="1400">
        <f t="array" ref="AB45">_xlfn.LET(_xlpm.S,_xlfn.ANCHORARRAY($Y$4),_xlpm.r,ROWS(stayCity[[#Headers],[city]]:stayCity[[#This Row],[city]])-1,IF(_xlpm.r&lt;=ROWS(_xlpm.S),INDEX(_xlpm.S,_xlpm.r,1),""))</f>
        <v/>
      </c>
      <c r="AC45" s="1405">
        <f t="array" ref="AC45">_xlfn.LET(_xlpm.S,_xlfn.ANCHORARRAY($Y$4),_xlpm.r,ROWS(stayCity[[#Headers],[city]]:stayCity[[#This Row],[city]])-1,IF(_xlpm.r&lt;=ROWS(_xlpm.S),INDEX(_xlpm.S,_xlpm.r,2),""))</f>
        <v/>
      </c>
      <c r="AD45" s="1405">
        <f t="array" ref="AD45">_xlfn.LET(_xlpm.S,_xlfn.ANCHORARRAY($Y$4),_xlpm.r,ROWS(stayCity[[#Headers],[city]]:stayCity[[#This Row],[city]])-1,IF(_xlpm.r&lt;=ROWS(_xlpm.S),INDEX(_xlpm.S,_xlpm.r,3),""))</f>
        <v/>
      </c>
      <c r="AE45" s="1400">
        <f>IF(stayCity[[#This Row],[out]]&lt;&gt;"",stayCity[[#This Row],[out]]-stayCity[[#This Row],[in]],"-")</f>
        <v/>
      </c>
      <c r="AF45" s="1406">
        <f>IF(Y45="","-",YEAR(stayCity[[#This Row],[in]]))</f>
        <v/>
      </c>
      <c r="AG45" s="1398" t="inlineStr">
        <is>
          <t>.</t>
        </is>
      </c>
      <c r="AH45" s="1402">
        <f/>
        <v/>
      </c>
      <c r="AI45" s="1403">
        <f/>
        <v/>
      </c>
      <c r="AJ45" s="1403">
        <f/>
        <v/>
      </c>
      <c r="AK45" s="1400">
        <f>IF(AH45="","-",AH45)</f>
        <v/>
      </c>
      <c r="AL45" s="1405">
        <f>AI45</f>
        <v/>
      </c>
      <c r="AM45" s="1405">
        <f>AJ45</f>
        <v/>
      </c>
      <c r="AN45" s="1400">
        <f>stayCtry[[#This Row],[out]]-stayCtry[[#This Row],[in]]</f>
        <v/>
      </c>
      <c r="AO45" s="1406">
        <f>IF(AI45&lt;&gt;"",AO44+1,AO44)</f>
        <v/>
      </c>
      <c r="AP45" s="1398" t="inlineStr">
        <is>
          <t>.</t>
        </is>
      </c>
      <c r="AQ45" s="1402">
        <f/>
        <v/>
      </c>
      <c r="AR45" s="1403">
        <f/>
        <v/>
      </c>
      <c r="AS45" s="1403">
        <f/>
        <v/>
      </c>
      <c r="AT45" s="1400">
        <f>AQ45</f>
        <v/>
      </c>
      <c r="AU45" s="1405">
        <f>AR45</f>
        <v/>
      </c>
      <c r="AV45" s="1405">
        <f>AS45</f>
        <v/>
      </c>
      <c r="AW45" s="1400">
        <f>stayCont[[#This Row],[out]]-stayCont[[#This Row],[in]]</f>
        <v/>
      </c>
      <c r="AX45" s="1406">
        <f>IF(AR45&lt;&gt;"",AX44+1,AX44)</f>
        <v/>
      </c>
      <c r="AY45" s="1398" t="inlineStr">
        <is>
          <t>.</t>
        </is>
      </c>
      <c r="AZ45" s="1402" t="n"/>
      <c r="BA45" s="1403" t="n"/>
      <c r="BB45" s="1403" t="n"/>
      <c r="BC45" s="1405">
        <f>AZ45</f>
        <v/>
      </c>
      <c r="BD45" s="1405">
        <f>BA45</f>
        <v/>
      </c>
      <c r="BE45" s="1405">
        <f>BB45</f>
        <v/>
      </c>
      <c r="BF45" s="1400">
        <f>stayWB[[#This Row],[out]]-stayWB[[#This Row],[in]]</f>
        <v/>
      </c>
      <c r="BG45" s="1400">
        <f>IF(BB45&lt;&gt;"",BG44+1,BG44)</f>
        <v/>
      </c>
      <c r="BH45" s="1398" t="inlineStr">
        <is>
          <t>.</t>
        </is>
      </c>
      <c r="BI45" s="1402" t="inlineStr">
        <is>
          <t>MAR</t>
        </is>
      </c>
      <c r="BJ45" s="1402" t="n">
        <v>1995</v>
      </c>
      <c r="BK45" s="1400">
        <f>BI45</f>
        <v/>
      </c>
      <c r="BL45" s="1409">
        <f>BJ45</f>
        <v/>
      </c>
      <c r="BM45" s="1378" t="inlineStr">
        <is>
          <t>.</t>
        </is>
      </c>
      <c r="BN45" s="1402" t="inlineStr">
        <is>
          <t>Z</t>
        </is>
      </c>
      <c r="BO45" s="1400">
        <f>BN45</f>
        <v/>
      </c>
      <c r="BP45" s="1398" t="inlineStr">
        <is>
          <t>.</t>
        </is>
      </c>
      <c r="BQ45" s="1400">
        <f>IF(BR45&lt;&gt;"",BQ44+1,BQ44)</f>
        <v/>
      </c>
      <c r="BR45" s="1411" t="inlineStr">
        <is>
          <t>SSA</t>
        </is>
      </c>
      <c r="BS45" s="1411" t="inlineStr">
        <is>
          <t>SP</t>
        </is>
      </c>
      <c r="BT45" s="1412" t="inlineStr">
        <is>
          <t>SSA-SP</t>
        </is>
      </c>
      <c r="BU45" s="1412" t="n">
        <v>34029</v>
      </c>
      <c r="BV45" s="1398" t="inlineStr">
        <is>
          <t>.</t>
        </is>
      </c>
      <c r="BW45" s="1400">
        <f>IF(BX45&lt;&gt;"",BW44+1,BW44)</f>
        <v/>
      </c>
      <c r="BX45" s="1411">
        <f/>
        <v/>
      </c>
      <c r="BY45" s="1413">
        <f/>
        <v/>
      </c>
      <c r="BZ45" s="1413">
        <f/>
        <v/>
      </c>
      <c r="CA45" s="1414">
        <f>BZ45-BY45</f>
        <v/>
      </c>
      <c r="CB45" s="1398" t="inlineStr">
        <is>
          <t>.</t>
        </is>
      </c>
      <c r="CC45" s="1400">
        <f>IF(CD45&lt;&gt;"",CC44+1,CC44)</f>
        <v/>
      </c>
      <c r="CD45" s="1411" t="inlineStr">
        <is>
          <t>Mauricio</t>
        </is>
      </c>
      <c r="CE45" s="1412" t="n">
        <v>36313</v>
      </c>
      <c r="CF45" s="1412" t="n">
        <v>36316</v>
      </c>
      <c r="CG45" s="1415">
        <f>CF45-CE45</f>
        <v/>
      </c>
      <c r="CH45" s="1398" t="inlineStr">
        <is>
          <t>.</t>
        </is>
      </c>
      <c r="CI45" s="1400">
        <f>IF(CJ45&lt;&gt;"",CI44+1,CI44)</f>
        <v/>
      </c>
      <c r="CJ45" s="1402" t="inlineStr">
        <is>
          <t>Royal Victoria</t>
        </is>
      </c>
      <c r="CK45" s="1391" t="inlineStr">
        <is>
          <t>.</t>
        </is>
      </c>
      <c r="CL45" s="1392" t="n"/>
    </row>
    <row r="46">
      <c r="A46" s="5" t="inlineStr">
        <is>
          <t>.</t>
        </is>
      </c>
      <c r="B46" s="5" t="inlineStr">
        <is>
          <t>.</t>
        </is>
      </c>
      <c r="C46" s="1378">
        <f>IF(raw[[#This Row],[city]]="","-",IF(raw[[#This Row],[city]]="TODAY","-",C45+1))</f>
        <v/>
      </c>
      <c r="D46" s="1393" t="inlineStr">
        <is>
          <t>ROAD</t>
        </is>
      </c>
      <c r="E46" s="1394" t="n">
        <v>28887</v>
      </c>
      <c r="F46" s="1394" t="n">
        <v>28889</v>
      </c>
      <c r="G46" s="1393" t="inlineStr">
        <is>
          <t>-</t>
        </is>
      </c>
      <c r="H46" s="1393">
        <f>H45</f>
        <v/>
      </c>
      <c r="I46" s="1393" t="inlineStr">
        <is>
          <t>-</t>
        </is>
      </c>
      <c r="J46" s="1393" t="inlineStr">
        <is>
          <t>-</t>
        </is>
      </c>
      <c r="K46" s="1395">
        <f>IF(raw[[#This Row],[city]]&lt;&gt;"",_xlfn.XLOOKUP($D46,ccc[city],ccc[prov],"-"),"-")</f>
        <v/>
      </c>
      <c r="L46" s="1395">
        <f>IF(raw[[#This Row],[city]]&lt;&gt;"",_xlfn.XLOOKUP($D46,ccc[city],ccc[ctry],"-"),"-")</f>
        <v/>
      </c>
      <c r="M46" s="1395">
        <f>IF(raw[[#This Row],[city]]&lt;&gt;"",_xlfn.XLOOKUP($D46,ccc[city],ccc[cont],"-"),"-")</f>
        <v/>
      </c>
      <c r="N46" s="1396">
        <f>IF(raw[[#This Row],[city]]="","-",IF(raw[[#This Row],[cont]]="B",raw[[#This Row],[cont]],"W"))</f>
        <v/>
      </c>
      <c r="O46" s="1397">
        <f>IF(raw[[#This Row],[out]]=0,0,IF(raw[[#This Row],[out]]=raw[[#This Row],[in]],0.01,raw[[#This Row],[out]]-raw[[#This Row],[in]]))</f>
        <v/>
      </c>
      <c r="P46" s="1397">
        <f>IF(raw[[#This Row],[in]]=0,0,MONTH(raw[[#This Row],[in]]))</f>
        <v/>
      </c>
      <c r="Q46" s="1397">
        <f>IF(raw[[#This Row],[in]]=0,0,YEAR(raw[[#This Row],[in]]))</f>
        <v/>
      </c>
      <c r="R46" s="1397">
        <f>INT(raw[[#This Row],[yr]]/10)*10</f>
        <v/>
      </c>
      <c r="S46" s="1395">
        <f>IF(raw[[#This Row],[city]]="","-",IF(raw[[#This Row],[city]]&lt;&gt;_xlfn.XLOOKUP(raw[[#This Row],[home]],homes[home],homes[city],"-"),1,0))</f>
        <v/>
      </c>
      <c r="T46" s="1398" t="inlineStr">
        <is>
          <t>.</t>
        </is>
      </c>
      <c r="U46" s="1399">
        <f>IF(raw[[#This Row],[wb]]="w",raw[[#This Row],[stay]]+U45,U45)</f>
        <v/>
      </c>
      <c r="V46" s="1400">
        <f>IF(raw[[#This Row],[out]]=0,V45,(raw[[#This Row],[out]]-E$5))</f>
        <v/>
      </c>
      <c r="W46" s="1401">
        <f>U46/V46</f>
        <v/>
      </c>
      <c r="X46" s="1378" t="inlineStr">
        <is>
          <t>.</t>
        </is>
      </c>
      <c r="Y46" s="1402">
        <f/>
        <v/>
      </c>
      <c r="Z46" s="1403">
        <f/>
        <v/>
      </c>
      <c r="AA46" s="1403">
        <f/>
        <v/>
      </c>
      <c r="AB46" s="1400">
        <f t="array" ref="AB46">_xlfn.LET(_xlpm.S,_xlfn.ANCHORARRAY($Y$4),_xlpm.r,ROWS(stayCity[[#Headers],[city]]:stayCity[[#This Row],[city]])-1,IF(_xlpm.r&lt;=ROWS(_xlpm.S),INDEX(_xlpm.S,_xlpm.r,1),""))</f>
        <v/>
      </c>
      <c r="AC46" s="1405">
        <f t="array" ref="AC46">_xlfn.LET(_xlpm.S,_xlfn.ANCHORARRAY($Y$4),_xlpm.r,ROWS(stayCity[[#Headers],[city]]:stayCity[[#This Row],[city]])-1,IF(_xlpm.r&lt;=ROWS(_xlpm.S),INDEX(_xlpm.S,_xlpm.r,2),""))</f>
        <v/>
      </c>
      <c r="AD46" s="1405">
        <f t="array" ref="AD46">_xlfn.LET(_xlpm.S,_xlfn.ANCHORARRAY($Y$4),_xlpm.r,ROWS(stayCity[[#Headers],[city]]:stayCity[[#This Row],[city]])-1,IF(_xlpm.r&lt;=ROWS(_xlpm.S),INDEX(_xlpm.S,_xlpm.r,3),""))</f>
        <v/>
      </c>
      <c r="AE46" s="1400">
        <f>IF(stayCity[[#This Row],[out]]&lt;&gt;"",stayCity[[#This Row],[out]]-stayCity[[#This Row],[in]],"-")</f>
        <v/>
      </c>
      <c r="AF46" s="1406">
        <f>IF(Y46="","-",YEAR(stayCity[[#This Row],[in]]))</f>
        <v/>
      </c>
      <c r="AG46" s="1398" t="inlineStr">
        <is>
          <t>.</t>
        </is>
      </c>
      <c r="AH46" s="1402">
        <f/>
        <v/>
      </c>
      <c r="AI46" s="1403">
        <f/>
        <v/>
      </c>
      <c r="AJ46" s="1403">
        <f/>
        <v/>
      </c>
      <c r="AK46" s="1400">
        <f>IF(AH46="","-",AH46)</f>
        <v/>
      </c>
      <c r="AL46" s="1405">
        <f>AI46</f>
        <v/>
      </c>
      <c r="AM46" s="1405">
        <f>AJ46</f>
        <v/>
      </c>
      <c r="AN46" s="1400">
        <f>stayCtry[[#This Row],[out]]-stayCtry[[#This Row],[in]]</f>
        <v/>
      </c>
      <c r="AO46" s="1406">
        <f>IF(AI46&lt;&gt;"",AO45+1,AO45)</f>
        <v/>
      </c>
      <c r="AP46" s="1398" t="inlineStr">
        <is>
          <t>.</t>
        </is>
      </c>
      <c r="AQ46" s="1402">
        <f/>
        <v/>
      </c>
      <c r="AR46" s="1403">
        <f/>
        <v/>
      </c>
      <c r="AS46" s="1403">
        <f/>
        <v/>
      </c>
      <c r="AT46" s="1400">
        <f>AQ46</f>
        <v/>
      </c>
      <c r="AU46" s="1405">
        <f>AR46</f>
        <v/>
      </c>
      <c r="AV46" s="1405">
        <f>AS46</f>
        <v/>
      </c>
      <c r="AW46" s="1400">
        <f>stayCont[[#This Row],[out]]-stayCont[[#This Row],[in]]</f>
        <v/>
      </c>
      <c r="AX46" s="1406">
        <f>IF(AR46&lt;&gt;"",AX45+1,AX45)</f>
        <v/>
      </c>
      <c r="AY46" s="1398" t="inlineStr">
        <is>
          <t>.</t>
        </is>
      </c>
      <c r="AZ46" s="1402" t="n"/>
      <c r="BA46" s="1403" t="n"/>
      <c r="BB46" s="1403" t="n"/>
      <c r="BC46" s="1405">
        <f>AZ46</f>
        <v/>
      </c>
      <c r="BD46" s="1405">
        <f>BA46</f>
        <v/>
      </c>
      <c r="BE46" s="1405">
        <f>BB46</f>
        <v/>
      </c>
      <c r="BF46" s="1400">
        <f>stayWB[[#This Row],[out]]-stayWB[[#This Row],[in]]</f>
        <v/>
      </c>
      <c r="BG46" s="1400">
        <f>IF(BB46&lt;&gt;"",BG45+1,BG45)</f>
        <v/>
      </c>
      <c r="BH46" s="1398" t="inlineStr">
        <is>
          <t>.</t>
        </is>
      </c>
      <c r="BI46" s="1402" t="inlineStr">
        <is>
          <t>ESP</t>
        </is>
      </c>
      <c r="BJ46" s="1402" t="n">
        <v>1995</v>
      </c>
      <c r="BK46" s="1400">
        <f>BI46</f>
        <v/>
      </c>
      <c r="BL46" s="1409">
        <f>BJ46</f>
        <v/>
      </c>
      <c r="BM46" s="1378" t="inlineStr">
        <is>
          <t>.</t>
        </is>
      </c>
      <c r="BN46" s="1402" t="inlineStr">
        <is>
          <t>B</t>
        </is>
      </c>
      <c r="BO46" s="1400">
        <f>BN46</f>
        <v/>
      </c>
      <c r="BP46" s="1398" t="inlineStr">
        <is>
          <t>.</t>
        </is>
      </c>
      <c r="BQ46" s="1400">
        <f>IF(BR46&lt;&gt;"",BQ45+1,BQ45)</f>
        <v/>
      </c>
      <c r="BR46" s="1411" t="inlineStr">
        <is>
          <t>SP</t>
        </is>
      </c>
      <c r="BS46" s="1411" t="inlineStr">
        <is>
          <t>SSA</t>
        </is>
      </c>
      <c r="BT46" s="1412" t="inlineStr">
        <is>
          <t>SP-SSA</t>
        </is>
      </c>
      <c r="BU46" s="1412" t="n">
        <v>34151</v>
      </c>
      <c r="BV46" s="1398" t="inlineStr">
        <is>
          <t>.</t>
        </is>
      </c>
      <c r="BW46" s="1400">
        <f>IF(BX46&lt;&gt;"",BW45+1,BW45)</f>
        <v/>
      </c>
      <c r="BX46" s="1411" t="n"/>
      <c r="BY46" s="1412" t="n"/>
      <c r="BZ46" s="1412" t="n"/>
      <c r="CA46" s="1414">
        <f>BZ46-BY46</f>
        <v/>
      </c>
      <c r="CB46" s="1398" t="inlineStr">
        <is>
          <t>.</t>
        </is>
      </c>
      <c r="CC46" s="1400">
        <f>IF(CD46&lt;&gt;"",CC45+1,CC45)</f>
        <v/>
      </c>
      <c r="CD46" s="1411" t="inlineStr">
        <is>
          <t>Hampstead</t>
        </is>
      </c>
      <c r="CE46" s="1412" t="n">
        <v>36316</v>
      </c>
      <c r="CF46" s="1412" t="n">
        <v>36320</v>
      </c>
      <c r="CG46" s="1415">
        <f>CF46-CE46</f>
        <v/>
      </c>
      <c r="CH46" s="1398" t="inlineStr">
        <is>
          <t>.</t>
        </is>
      </c>
      <c r="CI46" s="1400">
        <f>IF(CJ46&lt;&gt;"",CI45+1,CI45)</f>
        <v/>
      </c>
      <c r="CJ46" s="1402" t="inlineStr">
        <is>
          <t>Stu</t>
        </is>
      </c>
      <c r="CK46" s="1391" t="inlineStr">
        <is>
          <t>.</t>
        </is>
      </c>
      <c r="CL46" s="1392" t="n"/>
    </row>
    <row r="47">
      <c r="A47" s="5" t="inlineStr">
        <is>
          <t>.</t>
        </is>
      </c>
      <c r="B47" s="5" t="inlineStr">
        <is>
          <t>.</t>
        </is>
      </c>
      <c r="C47" s="1378">
        <f>IF(raw[[#This Row],[city]]="","-",IF(raw[[#This Row],[city]]="TODAY","-",C46+1))</f>
        <v/>
      </c>
      <c r="D47" s="1393" t="inlineStr">
        <is>
          <t>SP</t>
        </is>
      </c>
      <c r="E47" s="1394" t="n">
        <v>28889</v>
      </c>
      <c r="F47" s="1394" t="n">
        <v>28894</v>
      </c>
      <c r="G47" s="1393" t="inlineStr">
        <is>
          <t>-</t>
        </is>
      </c>
      <c r="H47" s="1393">
        <f>H46</f>
        <v/>
      </c>
      <c r="I47" s="1393" t="inlineStr">
        <is>
          <t>-</t>
        </is>
      </c>
      <c r="J47" s="1393" t="inlineStr">
        <is>
          <t>-</t>
        </is>
      </c>
      <c r="K47" s="1395">
        <f>IF(raw[[#This Row],[city]]&lt;&gt;"",_xlfn.XLOOKUP($D47,ccc[city],ccc[prov],"-"),"-")</f>
        <v/>
      </c>
      <c r="L47" s="1395">
        <f>IF(raw[[#This Row],[city]]&lt;&gt;"",_xlfn.XLOOKUP($D47,ccc[city],ccc[ctry],"-"),"-")</f>
        <v/>
      </c>
      <c r="M47" s="1395">
        <f>IF(raw[[#This Row],[city]]&lt;&gt;"",_xlfn.XLOOKUP($D47,ccc[city],ccc[cont],"-"),"-")</f>
        <v/>
      </c>
      <c r="N47" s="1396">
        <f>IF(raw[[#This Row],[city]]="","-",IF(raw[[#This Row],[cont]]="B",raw[[#This Row],[cont]],"W"))</f>
        <v/>
      </c>
      <c r="O47" s="1397">
        <f>IF(raw[[#This Row],[out]]=0,0,IF(raw[[#This Row],[out]]=raw[[#This Row],[in]],0.01,raw[[#This Row],[out]]-raw[[#This Row],[in]]))</f>
        <v/>
      </c>
      <c r="P47" s="1397">
        <f>IF(raw[[#This Row],[in]]=0,0,MONTH(raw[[#This Row],[in]]))</f>
        <v/>
      </c>
      <c r="Q47" s="1397">
        <f>IF(raw[[#This Row],[in]]=0,0,YEAR(raw[[#This Row],[in]]))</f>
        <v/>
      </c>
      <c r="R47" s="1397">
        <f>INT(raw[[#This Row],[yr]]/10)*10</f>
        <v/>
      </c>
      <c r="S47" s="1395">
        <f>IF(raw[[#This Row],[city]]="","-",IF(raw[[#This Row],[city]]&lt;&gt;_xlfn.XLOOKUP(raw[[#This Row],[home]],homes[home],homes[city],"-"),1,0))</f>
        <v/>
      </c>
      <c r="T47" s="1398" t="inlineStr">
        <is>
          <t>.</t>
        </is>
      </c>
      <c r="U47" s="1399">
        <f>IF(raw[[#This Row],[wb]]="w",raw[[#This Row],[stay]]+U46,U46)</f>
        <v/>
      </c>
      <c r="V47" s="1400">
        <f>IF(raw[[#This Row],[out]]=0,V46,(raw[[#This Row],[out]]-E$5))</f>
        <v/>
      </c>
      <c r="W47" s="1401">
        <f>U47/V47</f>
        <v/>
      </c>
      <c r="X47" s="1378" t="inlineStr">
        <is>
          <t>.</t>
        </is>
      </c>
      <c r="Y47" s="1402">
        <f/>
        <v/>
      </c>
      <c r="Z47" s="1403">
        <f/>
        <v/>
      </c>
      <c r="AA47" s="1403">
        <f/>
        <v/>
      </c>
      <c r="AB47" s="1400">
        <f t="array" ref="AB47">_xlfn.LET(_xlpm.S,_xlfn.ANCHORARRAY($Y$4),_xlpm.r,ROWS(stayCity[[#Headers],[city]]:stayCity[[#This Row],[city]])-1,IF(_xlpm.r&lt;=ROWS(_xlpm.S),INDEX(_xlpm.S,_xlpm.r,1),""))</f>
        <v/>
      </c>
      <c r="AC47" s="1405">
        <f t="array" ref="AC47">_xlfn.LET(_xlpm.S,_xlfn.ANCHORARRAY($Y$4),_xlpm.r,ROWS(stayCity[[#Headers],[city]]:stayCity[[#This Row],[city]])-1,IF(_xlpm.r&lt;=ROWS(_xlpm.S),INDEX(_xlpm.S,_xlpm.r,2),""))</f>
        <v/>
      </c>
      <c r="AD47" s="1405">
        <f t="array" ref="AD47">_xlfn.LET(_xlpm.S,_xlfn.ANCHORARRAY($Y$4),_xlpm.r,ROWS(stayCity[[#Headers],[city]]:stayCity[[#This Row],[city]])-1,IF(_xlpm.r&lt;=ROWS(_xlpm.S),INDEX(_xlpm.S,_xlpm.r,3),""))</f>
        <v/>
      </c>
      <c r="AE47" s="1400">
        <f>IF(stayCity[[#This Row],[out]]&lt;&gt;"",stayCity[[#This Row],[out]]-stayCity[[#This Row],[in]],"-")</f>
        <v/>
      </c>
      <c r="AF47" s="1406">
        <f>IF(Y47="","-",YEAR(stayCity[[#This Row],[in]]))</f>
        <v/>
      </c>
      <c r="AG47" s="1398" t="inlineStr">
        <is>
          <t>.</t>
        </is>
      </c>
      <c r="AH47" s="1402">
        <f/>
        <v/>
      </c>
      <c r="AI47" s="1403">
        <f/>
        <v/>
      </c>
      <c r="AJ47" s="1403">
        <f/>
        <v/>
      </c>
      <c r="AK47" s="1400">
        <f>IF(AH47="","-",AH47)</f>
        <v/>
      </c>
      <c r="AL47" s="1405">
        <f>AI47</f>
        <v/>
      </c>
      <c r="AM47" s="1405">
        <f>AJ47</f>
        <v/>
      </c>
      <c r="AN47" s="1400">
        <f>stayCtry[[#This Row],[out]]-stayCtry[[#This Row],[in]]</f>
        <v/>
      </c>
      <c r="AO47" s="1406">
        <f>IF(AI47&lt;&gt;"",AO46+1,AO46)</f>
        <v/>
      </c>
      <c r="AP47" s="1398" t="inlineStr">
        <is>
          <t>.</t>
        </is>
      </c>
      <c r="AQ47" s="1402">
        <f/>
        <v/>
      </c>
      <c r="AR47" s="1403">
        <f/>
        <v/>
      </c>
      <c r="AS47" s="1403">
        <f/>
        <v/>
      </c>
      <c r="AT47" s="1400">
        <f>AQ47</f>
        <v/>
      </c>
      <c r="AU47" s="1405">
        <f>AR47</f>
        <v/>
      </c>
      <c r="AV47" s="1405">
        <f>AS47</f>
        <v/>
      </c>
      <c r="AW47" s="1400">
        <f>stayCont[[#This Row],[out]]-stayCont[[#This Row],[in]]</f>
        <v/>
      </c>
      <c r="AX47" s="1406">
        <f>IF(AR47&lt;&gt;"",AX46+1,AX46)</f>
        <v/>
      </c>
      <c r="AY47" s="1398" t="inlineStr">
        <is>
          <t>.</t>
        </is>
      </c>
      <c r="AZ47" s="1402" t="n"/>
      <c r="BA47" s="1403" t="n"/>
      <c r="BB47" s="1403" t="n"/>
      <c r="BC47" s="1405">
        <f>AZ47</f>
        <v/>
      </c>
      <c r="BD47" s="1405">
        <f>BA47</f>
        <v/>
      </c>
      <c r="BE47" s="1405">
        <f>BB47</f>
        <v/>
      </c>
      <c r="BF47" s="1400">
        <f>stayWB[[#This Row],[out]]-stayWB[[#This Row],[in]]</f>
        <v/>
      </c>
      <c r="BG47" s="1400">
        <f>IF(BB47&lt;&gt;"",BG46+1,BG46)</f>
        <v/>
      </c>
      <c r="BH47" s="1398" t="inlineStr">
        <is>
          <t>.</t>
        </is>
      </c>
      <c r="BI47" s="1402" t="inlineStr">
        <is>
          <t>PRT</t>
        </is>
      </c>
      <c r="BJ47" s="1402" t="n">
        <v>1995</v>
      </c>
      <c r="BK47" s="1400">
        <f>BI47</f>
        <v/>
      </c>
      <c r="BL47" s="1409">
        <f>BJ47</f>
        <v/>
      </c>
      <c r="BM47" s="1378" t="inlineStr">
        <is>
          <t>.</t>
        </is>
      </c>
      <c r="BN47" s="1402" t="inlineStr">
        <is>
          <t>E</t>
        </is>
      </c>
      <c r="BO47" s="1400">
        <f>BN47</f>
        <v/>
      </c>
      <c r="BP47" s="1398" t="inlineStr">
        <is>
          <t>.</t>
        </is>
      </c>
      <c r="BQ47" s="1400">
        <f>IF(BR47&lt;&gt;"",BQ46+1,BQ46)</f>
        <v/>
      </c>
      <c r="BR47" s="1411" t="inlineStr">
        <is>
          <t>SSA</t>
        </is>
      </c>
      <c r="BS47" s="1411" t="inlineStr">
        <is>
          <t>SP</t>
        </is>
      </c>
      <c r="BT47" s="1412" t="inlineStr">
        <is>
          <t>SSA-SP</t>
        </is>
      </c>
      <c r="BU47" s="1412" t="n">
        <v>34186</v>
      </c>
      <c r="BV47" s="1398" t="inlineStr">
        <is>
          <t>.</t>
        </is>
      </c>
      <c r="BW47" s="1400">
        <f>IF(BX47&lt;&gt;"",BW46+1,BW46)</f>
        <v/>
      </c>
      <c r="BX47" s="1411" t="n"/>
      <c r="BY47" s="1412" t="n"/>
      <c r="BZ47" s="1412" t="n"/>
      <c r="CA47" s="1414">
        <f>BZ47-BY47</f>
        <v/>
      </c>
      <c r="CB47" s="1398" t="inlineStr">
        <is>
          <t>.</t>
        </is>
      </c>
      <c r="CC47" s="1400">
        <f>IF(CD47&lt;&gt;"",CC46+1,CC46)</f>
        <v/>
      </c>
      <c r="CD47" s="1411" t="inlineStr">
        <is>
          <t>Casa Branca</t>
        </is>
      </c>
      <c r="CE47" s="1412" t="n">
        <v>36561</v>
      </c>
      <c r="CF47" s="1412" t="n">
        <v>36586</v>
      </c>
      <c r="CG47" s="1415">
        <f>CF47-CE47</f>
        <v/>
      </c>
      <c r="CH47" s="1398" t="inlineStr">
        <is>
          <t>.</t>
        </is>
      </c>
      <c r="CI47" s="1400">
        <f>IF(CJ47&lt;&gt;"",CI46+1,CI46)</f>
        <v/>
      </c>
      <c r="CJ47" s="1402" t="inlineStr">
        <is>
          <t>Porciuncula/BCN</t>
        </is>
      </c>
      <c r="CK47" s="1391" t="inlineStr">
        <is>
          <t>.</t>
        </is>
      </c>
      <c r="CL47" s="1392" t="n"/>
    </row>
    <row r="48">
      <c r="A48" s="5" t="inlineStr">
        <is>
          <t>.</t>
        </is>
      </c>
      <c r="B48" s="5" t="inlineStr">
        <is>
          <t>.</t>
        </is>
      </c>
      <c r="C48" s="1378">
        <f>IF(raw[[#This Row],[city]]="","-",IF(raw[[#This Row],[city]]="TODAY","-",C47+1))</f>
        <v/>
      </c>
      <c r="D48" s="1393" t="inlineStr">
        <is>
          <t>Curitiba</t>
        </is>
      </c>
      <c r="E48" s="1394" t="n">
        <v>28894</v>
      </c>
      <c r="F48" s="1394" t="n">
        <v>28896</v>
      </c>
      <c r="G48" s="1393" t="inlineStr">
        <is>
          <t>-</t>
        </is>
      </c>
      <c r="H48" s="1393">
        <f>H47</f>
        <v/>
      </c>
      <c r="I48" s="1393" t="inlineStr">
        <is>
          <t>-</t>
        </is>
      </c>
      <c r="J48" s="1393" t="inlineStr">
        <is>
          <t>-</t>
        </is>
      </c>
      <c r="K48" s="1395">
        <f>IF(raw[[#This Row],[city]]&lt;&gt;"",_xlfn.XLOOKUP($D48,ccc[city],ccc[prov],"-"),"-")</f>
        <v/>
      </c>
      <c r="L48" s="1395">
        <f>IF(raw[[#This Row],[city]]&lt;&gt;"",_xlfn.XLOOKUP($D48,ccc[city],ccc[ctry],"-"),"-")</f>
        <v/>
      </c>
      <c r="M48" s="1395">
        <f>IF(raw[[#This Row],[city]]&lt;&gt;"",_xlfn.XLOOKUP($D48,ccc[city],ccc[cont],"-"),"-")</f>
        <v/>
      </c>
      <c r="N48" s="1396">
        <f>IF(raw[[#This Row],[city]]="","-",IF(raw[[#This Row],[cont]]="B",raw[[#This Row],[cont]],"W"))</f>
        <v/>
      </c>
      <c r="O48" s="1397">
        <f>IF(raw[[#This Row],[out]]=0,0,IF(raw[[#This Row],[out]]=raw[[#This Row],[in]],0.01,raw[[#This Row],[out]]-raw[[#This Row],[in]]))</f>
        <v/>
      </c>
      <c r="P48" s="1397">
        <f>IF(raw[[#This Row],[in]]=0,0,MONTH(raw[[#This Row],[in]]))</f>
        <v/>
      </c>
      <c r="Q48" s="1397">
        <f>IF(raw[[#This Row],[in]]=0,0,YEAR(raw[[#This Row],[in]]))</f>
        <v/>
      </c>
      <c r="R48" s="1397">
        <f>INT(raw[[#This Row],[yr]]/10)*10</f>
        <v/>
      </c>
      <c r="S48" s="1395">
        <f>IF(raw[[#This Row],[city]]="","-",IF(raw[[#This Row],[city]]&lt;&gt;_xlfn.XLOOKUP(raw[[#This Row],[home]],homes[home],homes[city],"-"),1,0))</f>
        <v/>
      </c>
      <c r="T48" s="1398" t="inlineStr">
        <is>
          <t>.</t>
        </is>
      </c>
      <c r="U48" s="1399">
        <f>IF(raw[[#This Row],[wb]]="w",raw[[#This Row],[stay]]+U47,U47)</f>
        <v/>
      </c>
      <c r="V48" s="1400">
        <f>IF(raw[[#This Row],[out]]=0,V47,(raw[[#This Row],[out]]-E$5))</f>
        <v/>
      </c>
      <c r="W48" s="1401">
        <f>U48/V48</f>
        <v/>
      </c>
      <c r="X48" s="1378" t="inlineStr">
        <is>
          <t>.</t>
        </is>
      </c>
      <c r="Y48" s="1402">
        <f/>
        <v/>
      </c>
      <c r="Z48" s="1403">
        <f/>
        <v/>
      </c>
      <c r="AA48" s="1403">
        <f/>
        <v/>
      </c>
      <c r="AB48" s="1400">
        <f t="array" ref="AB48">_xlfn.LET(_xlpm.S,_xlfn.ANCHORARRAY($Y$4),_xlpm.r,ROWS(stayCity[[#Headers],[city]]:stayCity[[#This Row],[city]])-1,IF(_xlpm.r&lt;=ROWS(_xlpm.S),INDEX(_xlpm.S,_xlpm.r,1),""))</f>
        <v/>
      </c>
      <c r="AC48" s="1405">
        <f t="array" ref="AC48">_xlfn.LET(_xlpm.S,_xlfn.ANCHORARRAY($Y$4),_xlpm.r,ROWS(stayCity[[#Headers],[city]]:stayCity[[#This Row],[city]])-1,IF(_xlpm.r&lt;=ROWS(_xlpm.S),INDEX(_xlpm.S,_xlpm.r,2),""))</f>
        <v/>
      </c>
      <c r="AD48" s="1405">
        <f t="array" ref="AD48">_xlfn.LET(_xlpm.S,_xlfn.ANCHORARRAY($Y$4),_xlpm.r,ROWS(stayCity[[#Headers],[city]]:stayCity[[#This Row],[city]])-1,IF(_xlpm.r&lt;=ROWS(_xlpm.S),INDEX(_xlpm.S,_xlpm.r,3),""))</f>
        <v/>
      </c>
      <c r="AE48" s="1400">
        <f>IF(stayCity[[#This Row],[out]]&lt;&gt;"",stayCity[[#This Row],[out]]-stayCity[[#This Row],[in]],"-")</f>
        <v/>
      </c>
      <c r="AF48" s="1406">
        <f>IF(Y48="","-",YEAR(stayCity[[#This Row],[in]]))</f>
        <v/>
      </c>
      <c r="AG48" s="1398" t="inlineStr">
        <is>
          <t>.</t>
        </is>
      </c>
      <c r="AH48" s="1402">
        <f/>
        <v/>
      </c>
      <c r="AI48" s="1403">
        <f/>
        <v/>
      </c>
      <c r="AJ48" s="1403">
        <f/>
        <v/>
      </c>
      <c r="AK48" s="1400">
        <f>IF(AH48="","-",AH48)</f>
        <v/>
      </c>
      <c r="AL48" s="1405">
        <f>AI48</f>
        <v/>
      </c>
      <c r="AM48" s="1405">
        <f>AJ48</f>
        <v/>
      </c>
      <c r="AN48" s="1400">
        <f>stayCtry[[#This Row],[out]]-stayCtry[[#This Row],[in]]</f>
        <v/>
      </c>
      <c r="AO48" s="1406">
        <f>IF(AI48&lt;&gt;"",AO47+1,AO47)</f>
        <v/>
      </c>
      <c r="AP48" s="1398" t="inlineStr">
        <is>
          <t>.</t>
        </is>
      </c>
      <c r="AQ48" s="1402">
        <f/>
        <v/>
      </c>
      <c r="AR48" s="1403">
        <f/>
        <v/>
      </c>
      <c r="AS48" s="1403">
        <f/>
        <v/>
      </c>
      <c r="AT48" s="1400">
        <f>AQ48</f>
        <v/>
      </c>
      <c r="AU48" s="1405">
        <f>AR48</f>
        <v/>
      </c>
      <c r="AV48" s="1405">
        <f>AS48</f>
        <v/>
      </c>
      <c r="AW48" s="1400">
        <f>stayCont[[#This Row],[out]]-stayCont[[#This Row],[in]]</f>
        <v/>
      </c>
      <c r="AX48" s="1406">
        <f>IF(AR48&lt;&gt;"",AX47+1,AX47)</f>
        <v/>
      </c>
      <c r="AY48" s="1398" t="inlineStr">
        <is>
          <t>.</t>
        </is>
      </c>
      <c r="AZ48" s="1402" t="n"/>
      <c r="BA48" s="1403" t="n"/>
      <c r="BB48" s="1403" t="n"/>
      <c r="BC48" s="1405">
        <f>AZ48</f>
        <v/>
      </c>
      <c r="BD48" s="1405">
        <f>BA48</f>
        <v/>
      </c>
      <c r="BE48" s="1405">
        <f>BB48</f>
        <v/>
      </c>
      <c r="BF48" s="1400">
        <f>stayWB[[#This Row],[out]]-stayWB[[#This Row],[in]]</f>
        <v/>
      </c>
      <c r="BG48" s="1400">
        <f>IF(BB48&lt;&gt;"",BG47+1,BG47)</f>
        <v/>
      </c>
      <c r="BH48" s="1398" t="inlineStr">
        <is>
          <t>.</t>
        </is>
      </c>
      <c r="BI48" s="1402" t="inlineStr">
        <is>
          <t>BRA</t>
        </is>
      </c>
      <c r="BJ48" s="1402" t="n">
        <v>1995</v>
      </c>
      <c r="BK48" s="1400">
        <f>BI48</f>
        <v/>
      </c>
      <c r="BL48" s="1409">
        <f>BJ48</f>
        <v/>
      </c>
      <c r="BM48" s="1378" t="inlineStr">
        <is>
          <t>.</t>
        </is>
      </c>
      <c r="BN48" s="1402" t="inlineStr">
        <is>
          <t>Z</t>
        </is>
      </c>
      <c r="BO48" s="1400">
        <f>BN48</f>
        <v/>
      </c>
      <c r="BP48" s="1398" t="inlineStr">
        <is>
          <t>.</t>
        </is>
      </c>
      <c r="BQ48" s="1400">
        <f>IF(BR48&lt;&gt;"",BQ47+1,BQ47)</f>
        <v/>
      </c>
      <c r="BR48" s="1411" t="inlineStr">
        <is>
          <t>SP</t>
        </is>
      </c>
      <c r="BS48" s="1411" t="inlineStr">
        <is>
          <t>SSA</t>
        </is>
      </c>
      <c r="BT48" s="1412" t="inlineStr">
        <is>
          <t>SP-SSA</t>
        </is>
      </c>
      <c r="BU48" s="1412" t="n">
        <v>34200</v>
      </c>
      <c r="BV48" s="1398" t="inlineStr">
        <is>
          <t>.</t>
        </is>
      </c>
      <c r="BW48" s="1400">
        <f>IF(BX48&lt;&gt;"",BW47+1,BW47)</f>
        <v/>
      </c>
      <c r="BX48" s="1411" t="n"/>
      <c r="BY48" s="1412" t="n"/>
      <c r="BZ48" s="1412" t="n"/>
      <c r="CA48" s="1414">
        <f>BZ48-BY48</f>
        <v/>
      </c>
      <c r="CB48" s="1398" t="inlineStr">
        <is>
          <t>.</t>
        </is>
      </c>
      <c r="CC48" s="1400">
        <f>IF(CD48&lt;&gt;"",CC47+1,CC47)</f>
        <v/>
      </c>
      <c r="CD48" s="1411" t="inlineStr">
        <is>
          <t>Ondina</t>
        </is>
      </c>
      <c r="CE48" s="1412" t="n">
        <v>36607</v>
      </c>
      <c r="CF48" s="1412" t="n">
        <v>36614</v>
      </c>
      <c r="CG48" s="1415">
        <f>CF48-CE48</f>
        <v/>
      </c>
      <c r="CH48" s="1398" t="inlineStr">
        <is>
          <t>.</t>
        </is>
      </c>
      <c r="CI48" s="1400">
        <f>IF(CJ48&lt;&gt;"",CI47+1,CI47)</f>
        <v/>
      </c>
      <c r="CJ48" s="1402" t="inlineStr">
        <is>
          <t>tia Vera/praia</t>
        </is>
      </c>
      <c r="CK48" s="1391" t="inlineStr">
        <is>
          <t>.</t>
        </is>
      </c>
      <c r="CL48" s="1392" t="n"/>
    </row>
    <row r="49">
      <c r="A49" s="5" t="inlineStr">
        <is>
          <t>.</t>
        </is>
      </c>
      <c r="B49" s="5" t="inlineStr">
        <is>
          <t>.</t>
        </is>
      </c>
      <c r="C49" s="1378">
        <f>IF(raw[[#This Row],[city]]="","-",IF(raw[[#This Row],[city]]="TODAY","-",C48+1))</f>
        <v/>
      </c>
      <c r="D49" s="1393" t="inlineStr">
        <is>
          <t>Florianopolis</t>
        </is>
      </c>
      <c r="E49" s="1394" t="n">
        <v>28896</v>
      </c>
      <c r="F49" s="1394" t="n">
        <v>28898</v>
      </c>
      <c r="G49" s="1393" t="inlineStr">
        <is>
          <t>-</t>
        </is>
      </c>
      <c r="H49" s="1393">
        <f>H48</f>
        <v/>
      </c>
      <c r="I49" s="1393" t="inlineStr">
        <is>
          <t>-</t>
        </is>
      </c>
      <c r="J49" s="1393" t="inlineStr">
        <is>
          <t>-</t>
        </is>
      </c>
      <c r="K49" s="1395">
        <f>IF(raw[[#This Row],[city]]&lt;&gt;"",_xlfn.XLOOKUP($D49,ccc[city],ccc[prov],"-"),"-")</f>
        <v/>
      </c>
      <c r="L49" s="1395">
        <f>IF(raw[[#This Row],[city]]&lt;&gt;"",_xlfn.XLOOKUP($D49,ccc[city],ccc[ctry],"-"),"-")</f>
        <v/>
      </c>
      <c r="M49" s="1395">
        <f>IF(raw[[#This Row],[city]]&lt;&gt;"",_xlfn.XLOOKUP($D49,ccc[city],ccc[cont],"-"),"-")</f>
        <v/>
      </c>
      <c r="N49" s="1396">
        <f>IF(raw[[#This Row],[city]]="","-",IF(raw[[#This Row],[cont]]="B",raw[[#This Row],[cont]],"W"))</f>
        <v/>
      </c>
      <c r="O49" s="1397">
        <f>IF(raw[[#This Row],[out]]=0,0,IF(raw[[#This Row],[out]]=raw[[#This Row],[in]],0.01,raw[[#This Row],[out]]-raw[[#This Row],[in]]))</f>
        <v/>
      </c>
      <c r="P49" s="1397">
        <f>IF(raw[[#This Row],[in]]=0,0,MONTH(raw[[#This Row],[in]]))</f>
        <v/>
      </c>
      <c r="Q49" s="1397">
        <f>IF(raw[[#This Row],[in]]=0,0,YEAR(raw[[#This Row],[in]]))</f>
        <v/>
      </c>
      <c r="R49" s="1397">
        <f>INT(raw[[#This Row],[yr]]/10)*10</f>
        <v/>
      </c>
      <c r="S49" s="1395">
        <f>IF(raw[[#This Row],[city]]="","-",IF(raw[[#This Row],[city]]&lt;&gt;_xlfn.XLOOKUP(raw[[#This Row],[home]],homes[home],homes[city],"-"),1,0))</f>
        <v/>
      </c>
      <c r="T49" s="1398" t="inlineStr">
        <is>
          <t>.</t>
        </is>
      </c>
      <c r="U49" s="1399">
        <f>IF(raw[[#This Row],[wb]]="w",raw[[#This Row],[stay]]+U48,U48)</f>
        <v/>
      </c>
      <c r="V49" s="1400">
        <f>IF(raw[[#This Row],[out]]=0,V48,(raw[[#This Row],[out]]-E$5))</f>
        <v/>
      </c>
      <c r="W49" s="1401">
        <f>U49/V49</f>
        <v/>
      </c>
      <c r="X49" s="1378" t="inlineStr">
        <is>
          <t>.</t>
        </is>
      </c>
      <c r="Y49" s="1402">
        <f/>
        <v/>
      </c>
      <c r="Z49" s="1403">
        <f/>
        <v/>
      </c>
      <c r="AA49" s="1403">
        <f/>
        <v/>
      </c>
      <c r="AB49" s="1400">
        <f t="array" ref="AB49">_xlfn.LET(_xlpm.S,_xlfn.ANCHORARRAY($Y$4),_xlpm.r,ROWS(stayCity[[#Headers],[city]]:stayCity[[#This Row],[city]])-1,IF(_xlpm.r&lt;=ROWS(_xlpm.S),INDEX(_xlpm.S,_xlpm.r,1),""))</f>
        <v/>
      </c>
      <c r="AC49" s="1405">
        <f t="array" ref="AC49">_xlfn.LET(_xlpm.S,_xlfn.ANCHORARRAY($Y$4),_xlpm.r,ROWS(stayCity[[#Headers],[city]]:stayCity[[#This Row],[city]])-1,IF(_xlpm.r&lt;=ROWS(_xlpm.S),INDEX(_xlpm.S,_xlpm.r,2),""))</f>
        <v/>
      </c>
      <c r="AD49" s="1405">
        <f t="array" ref="AD49">_xlfn.LET(_xlpm.S,_xlfn.ANCHORARRAY($Y$4),_xlpm.r,ROWS(stayCity[[#Headers],[city]]:stayCity[[#This Row],[city]])-1,IF(_xlpm.r&lt;=ROWS(_xlpm.S),INDEX(_xlpm.S,_xlpm.r,3),""))</f>
        <v/>
      </c>
      <c r="AE49" s="1400">
        <f>IF(stayCity[[#This Row],[out]]&lt;&gt;"",stayCity[[#This Row],[out]]-stayCity[[#This Row],[in]],"-")</f>
        <v/>
      </c>
      <c r="AF49" s="1406">
        <f>IF(Y49="","-",YEAR(stayCity[[#This Row],[in]]))</f>
        <v/>
      </c>
      <c r="AG49" s="1398" t="inlineStr">
        <is>
          <t>.</t>
        </is>
      </c>
      <c r="AH49" s="1402">
        <f/>
        <v/>
      </c>
      <c r="AI49" s="1403">
        <f/>
        <v/>
      </c>
      <c r="AJ49" s="1403">
        <f/>
        <v/>
      </c>
      <c r="AK49" s="1400">
        <f>IF(AH49="","-",AH49)</f>
        <v/>
      </c>
      <c r="AL49" s="1405">
        <f>AI49</f>
        <v/>
      </c>
      <c r="AM49" s="1405">
        <f>AJ49</f>
        <v/>
      </c>
      <c r="AN49" s="1400">
        <f>stayCtry[[#This Row],[out]]-stayCtry[[#This Row],[in]]</f>
        <v/>
      </c>
      <c r="AO49" s="1406">
        <f>IF(AI49&lt;&gt;"",AO48+1,AO48)</f>
        <v/>
      </c>
      <c r="AP49" s="1398" t="inlineStr">
        <is>
          <t>.</t>
        </is>
      </c>
      <c r="AQ49" s="1402">
        <f/>
        <v/>
      </c>
      <c r="AR49" s="1403">
        <f/>
        <v/>
      </c>
      <c r="AS49" s="1403">
        <f/>
        <v/>
      </c>
      <c r="AT49" s="1400">
        <f>AQ49</f>
        <v/>
      </c>
      <c r="AU49" s="1405">
        <f>AR49</f>
        <v/>
      </c>
      <c r="AV49" s="1405">
        <f>AS49</f>
        <v/>
      </c>
      <c r="AW49" s="1400">
        <f>stayCont[[#This Row],[out]]-stayCont[[#This Row],[in]]</f>
        <v/>
      </c>
      <c r="AX49" s="1406">
        <f>IF(AR49&lt;&gt;"",AX48+1,AX48)</f>
        <v/>
      </c>
      <c r="AY49" s="1398" t="inlineStr">
        <is>
          <t>.</t>
        </is>
      </c>
      <c r="AZ49" s="1402" t="n"/>
      <c r="BA49" s="1403" t="n"/>
      <c r="BB49" s="1403" t="n"/>
      <c r="BC49" s="1405">
        <f>AZ49</f>
        <v/>
      </c>
      <c r="BD49" s="1405">
        <f>BA49</f>
        <v/>
      </c>
      <c r="BE49" s="1405">
        <f>BB49</f>
        <v/>
      </c>
      <c r="BF49" s="1400">
        <f>stayWB[[#This Row],[out]]-stayWB[[#This Row],[in]]</f>
        <v/>
      </c>
      <c r="BG49" s="1400">
        <f>IF(BB49&lt;&gt;"",BG48+1,BG48)</f>
        <v/>
      </c>
      <c r="BH49" s="1398" t="inlineStr">
        <is>
          <t>.</t>
        </is>
      </c>
      <c r="BI49" s="1402" t="inlineStr">
        <is>
          <t>UK</t>
        </is>
      </c>
      <c r="BJ49" s="1402" t="n">
        <v>1996</v>
      </c>
      <c r="BK49" s="1400">
        <f>BI49</f>
        <v/>
      </c>
      <c r="BL49" s="1409">
        <f>BJ49</f>
        <v/>
      </c>
      <c r="BM49" s="1378" t="inlineStr">
        <is>
          <t>.</t>
        </is>
      </c>
      <c r="BN49" s="1402" t="inlineStr">
        <is>
          <t>B</t>
        </is>
      </c>
      <c r="BO49" s="1400">
        <f>BN49</f>
        <v/>
      </c>
      <c r="BP49" s="1398" t="inlineStr">
        <is>
          <t>.</t>
        </is>
      </c>
      <c r="BQ49" s="1400">
        <f>IF(BR49&lt;&gt;"",BQ48+1,BQ48)</f>
        <v/>
      </c>
      <c r="BR49" s="1411" t="inlineStr">
        <is>
          <t>SSA</t>
        </is>
      </c>
      <c r="BS49" s="1411" t="inlineStr">
        <is>
          <t>SP</t>
        </is>
      </c>
      <c r="BT49" s="1412" t="inlineStr">
        <is>
          <t>SSA-SP</t>
        </is>
      </c>
      <c r="BU49" s="1412" t="n">
        <v>34213</v>
      </c>
      <c r="BV49" s="1398" t="inlineStr">
        <is>
          <t>.</t>
        </is>
      </c>
      <c r="BW49" s="1400">
        <f>IF(BX49&lt;&gt;"",BW48+1,BW48)</f>
        <v/>
      </c>
      <c r="BX49" s="1411" t="n"/>
      <c r="BY49" s="1412" t="n"/>
      <c r="BZ49" s="1412" t="n"/>
      <c r="CA49" s="1414">
        <f>BZ49-BY49</f>
        <v/>
      </c>
      <c r="CB49" s="1398" t="inlineStr">
        <is>
          <t>.</t>
        </is>
      </c>
      <c r="CC49" s="1400">
        <f>IF(CD49&lt;&gt;"",CC48+1,CC48)</f>
        <v/>
      </c>
      <c r="CD49" s="1411" t="inlineStr">
        <is>
          <t>Cunha/Guto</t>
        </is>
      </c>
      <c r="CE49" s="1412" t="n">
        <v>36776</v>
      </c>
      <c r="CF49" s="1412" t="n">
        <v>36779</v>
      </c>
      <c r="CG49" s="1415">
        <f>CF49-CE49</f>
        <v/>
      </c>
      <c r="CH49" s="1398" t="inlineStr">
        <is>
          <t>.</t>
        </is>
      </c>
      <c r="CI49" s="1400">
        <f>IF(CJ49&lt;&gt;"",CI48+1,CI48)</f>
        <v/>
      </c>
      <c r="CJ49" s="1402" t="inlineStr">
        <is>
          <t>Thomas/Leslie</t>
        </is>
      </c>
      <c r="CK49" s="1391" t="inlineStr">
        <is>
          <t>.</t>
        </is>
      </c>
      <c r="CL49" s="1392" t="n"/>
    </row>
    <row r="50">
      <c r="A50" s="5" t="inlineStr">
        <is>
          <t>.</t>
        </is>
      </c>
      <c r="B50" s="5" t="inlineStr">
        <is>
          <t>.</t>
        </is>
      </c>
      <c r="C50" s="1378">
        <f>IF(raw[[#This Row],[city]]="","-",IF(raw[[#This Row],[city]]="TODAY","-",C49+1))</f>
        <v/>
      </c>
      <c r="D50" s="1393" t="inlineStr">
        <is>
          <t>Blumenau</t>
        </is>
      </c>
      <c r="E50" s="1394" t="n">
        <v>28898</v>
      </c>
      <c r="F50" s="1394" t="n">
        <v>28900</v>
      </c>
      <c r="G50" s="1393" t="inlineStr">
        <is>
          <t>-</t>
        </is>
      </c>
      <c r="H50" s="1393">
        <f>H49</f>
        <v/>
      </c>
      <c r="I50" s="1393" t="inlineStr">
        <is>
          <t>-</t>
        </is>
      </c>
      <c r="J50" s="1393" t="inlineStr">
        <is>
          <t>-</t>
        </is>
      </c>
      <c r="K50" s="1395">
        <f>IF(raw[[#This Row],[city]]&lt;&gt;"",_xlfn.XLOOKUP($D50,ccc[city],ccc[prov],"-"),"-")</f>
        <v/>
      </c>
      <c r="L50" s="1395">
        <f>IF(raw[[#This Row],[city]]&lt;&gt;"",_xlfn.XLOOKUP($D50,ccc[city],ccc[ctry],"-"),"-")</f>
        <v/>
      </c>
      <c r="M50" s="1395">
        <f>IF(raw[[#This Row],[city]]&lt;&gt;"",_xlfn.XLOOKUP($D50,ccc[city],ccc[cont],"-"),"-")</f>
        <v/>
      </c>
      <c r="N50" s="1396">
        <f>IF(raw[[#This Row],[city]]="","-",IF(raw[[#This Row],[cont]]="B",raw[[#This Row],[cont]],"W"))</f>
        <v/>
      </c>
      <c r="O50" s="1397">
        <f>IF(raw[[#This Row],[out]]=0,0,IF(raw[[#This Row],[out]]=raw[[#This Row],[in]],0.01,raw[[#This Row],[out]]-raw[[#This Row],[in]]))</f>
        <v/>
      </c>
      <c r="P50" s="1397">
        <f>IF(raw[[#This Row],[in]]=0,0,MONTH(raw[[#This Row],[in]]))</f>
        <v/>
      </c>
      <c r="Q50" s="1397">
        <f>IF(raw[[#This Row],[in]]=0,0,YEAR(raw[[#This Row],[in]]))</f>
        <v/>
      </c>
      <c r="R50" s="1397">
        <f>INT(raw[[#This Row],[yr]]/10)*10</f>
        <v/>
      </c>
      <c r="S50" s="1395">
        <f>IF(raw[[#This Row],[city]]="","-",IF(raw[[#This Row],[city]]&lt;&gt;_xlfn.XLOOKUP(raw[[#This Row],[home]],homes[home],homes[city],"-"),1,0))</f>
        <v/>
      </c>
      <c r="T50" s="1398" t="inlineStr">
        <is>
          <t>.</t>
        </is>
      </c>
      <c r="U50" s="1399">
        <f>IF(raw[[#This Row],[wb]]="w",raw[[#This Row],[stay]]+U49,U49)</f>
        <v/>
      </c>
      <c r="V50" s="1400">
        <f>IF(raw[[#This Row],[out]]=0,V49,(raw[[#This Row],[out]]-E$5))</f>
        <v/>
      </c>
      <c r="W50" s="1401">
        <f>U50/V50</f>
        <v/>
      </c>
      <c r="X50" s="1378" t="inlineStr">
        <is>
          <t>.</t>
        </is>
      </c>
      <c r="Y50" s="1402">
        <f/>
        <v/>
      </c>
      <c r="Z50" s="1403">
        <f/>
        <v/>
      </c>
      <c r="AA50" s="1403">
        <f/>
        <v/>
      </c>
      <c r="AB50" s="1400">
        <f t="array" ref="AB50">_xlfn.LET(_xlpm.S,_xlfn.ANCHORARRAY($Y$4),_xlpm.r,ROWS(stayCity[[#Headers],[city]]:stayCity[[#This Row],[city]])-1,IF(_xlpm.r&lt;=ROWS(_xlpm.S),INDEX(_xlpm.S,_xlpm.r,1),""))</f>
        <v/>
      </c>
      <c r="AC50" s="1405">
        <f t="array" ref="AC50">_xlfn.LET(_xlpm.S,_xlfn.ANCHORARRAY($Y$4),_xlpm.r,ROWS(stayCity[[#Headers],[city]]:stayCity[[#This Row],[city]])-1,IF(_xlpm.r&lt;=ROWS(_xlpm.S),INDEX(_xlpm.S,_xlpm.r,2),""))</f>
        <v/>
      </c>
      <c r="AD50" s="1405">
        <f t="array" ref="AD50">_xlfn.LET(_xlpm.S,_xlfn.ANCHORARRAY($Y$4),_xlpm.r,ROWS(stayCity[[#Headers],[city]]:stayCity[[#This Row],[city]])-1,IF(_xlpm.r&lt;=ROWS(_xlpm.S),INDEX(_xlpm.S,_xlpm.r,3),""))</f>
        <v/>
      </c>
      <c r="AE50" s="1400">
        <f>IF(stayCity[[#This Row],[out]]&lt;&gt;"",stayCity[[#This Row],[out]]-stayCity[[#This Row],[in]],"-")</f>
        <v/>
      </c>
      <c r="AF50" s="1406">
        <f>IF(Y50="","-",YEAR(stayCity[[#This Row],[in]]))</f>
        <v/>
      </c>
      <c r="AG50" s="1398" t="inlineStr">
        <is>
          <t>.</t>
        </is>
      </c>
      <c r="AH50" s="1402">
        <f/>
        <v/>
      </c>
      <c r="AI50" s="1403">
        <f/>
        <v/>
      </c>
      <c r="AJ50" s="1403">
        <f/>
        <v/>
      </c>
      <c r="AK50" s="1400">
        <f>IF(AH50="","-",AH50)</f>
        <v/>
      </c>
      <c r="AL50" s="1405">
        <f>AI50</f>
        <v/>
      </c>
      <c r="AM50" s="1405">
        <f>AJ50</f>
        <v/>
      </c>
      <c r="AN50" s="1400">
        <f>stayCtry[[#This Row],[out]]-stayCtry[[#This Row],[in]]</f>
        <v/>
      </c>
      <c r="AO50" s="1406">
        <f>IF(AI50&lt;&gt;"",AO49+1,AO49)</f>
        <v/>
      </c>
      <c r="AP50" s="1398" t="inlineStr">
        <is>
          <t>.</t>
        </is>
      </c>
      <c r="AQ50" s="1402">
        <f/>
        <v/>
      </c>
      <c r="AR50" s="1403">
        <f/>
        <v/>
      </c>
      <c r="AS50" s="1403">
        <f/>
        <v/>
      </c>
      <c r="AT50" s="1400">
        <f>AQ50</f>
        <v/>
      </c>
      <c r="AU50" s="1405">
        <f>AR50</f>
        <v/>
      </c>
      <c r="AV50" s="1405">
        <f>AS50</f>
        <v/>
      </c>
      <c r="AW50" s="1400">
        <f>stayCont[[#This Row],[out]]-stayCont[[#This Row],[in]]</f>
        <v/>
      </c>
      <c r="AX50" s="1406">
        <f>IF(AR50&lt;&gt;"",AX49+1,AX49)</f>
        <v/>
      </c>
      <c r="AY50" s="1398" t="inlineStr">
        <is>
          <t>.</t>
        </is>
      </c>
      <c r="AZ50" s="1402" t="n"/>
      <c r="BA50" s="1403" t="n"/>
      <c r="BB50" s="1403" t="n"/>
      <c r="BC50" s="1405">
        <f>AZ50</f>
        <v/>
      </c>
      <c r="BD50" s="1405">
        <f>BA50</f>
        <v/>
      </c>
      <c r="BE50" s="1405">
        <f>BB50</f>
        <v/>
      </c>
      <c r="BF50" s="1400">
        <f>stayWB[[#This Row],[out]]-stayWB[[#This Row],[in]]</f>
        <v/>
      </c>
      <c r="BG50" s="1400">
        <f>IF(BB50&lt;&gt;"",BG49+1,BG49)</f>
        <v/>
      </c>
      <c r="BH50" s="1398" t="inlineStr">
        <is>
          <t>.</t>
        </is>
      </c>
      <c r="BI50" s="1402" t="inlineStr">
        <is>
          <t>SWE</t>
        </is>
      </c>
      <c r="BJ50" s="1402" t="n">
        <v>1996</v>
      </c>
      <c r="BK50" s="1400">
        <f>BI50</f>
        <v/>
      </c>
      <c r="BL50" s="1409">
        <f>BJ50</f>
        <v/>
      </c>
      <c r="BM50" s="1378" t="inlineStr">
        <is>
          <t>.</t>
        </is>
      </c>
      <c r="BN50" s="1402" t="inlineStr">
        <is>
          <t>Z</t>
        </is>
      </c>
      <c r="BO50" s="1400">
        <f>BN50</f>
        <v/>
      </c>
      <c r="BP50" s="1398" t="inlineStr">
        <is>
          <t>.</t>
        </is>
      </c>
      <c r="BQ50" s="1400">
        <f>IF(BR50&lt;&gt;"",BQ49+1,BQ49)</f>
        <v/>
      </c>
      <c r="BR50" s="1411" t="inlineStr">
        <is>
          <t>SP</t>
        </is>
      </c>
      <c r="BS50" s="1411" t="inlineStr">
        <is>
          <t>SSA</t>
        </is>
      </c>
      <c r="BT50" s="1412" t="inlineStr">
        <is>
          <t>SP-SSA</t>
        </is>
      </c>
      <c r="BU50" s="1412" t="n">
        <v>34289</v>
      </c>
      <c r="BV50" s="1398" t="inlineStr">
        <is>
          <t>.</t>
        </is>
      </c>
      <c r="BW50" s="1400">
        <f>IF(BX50&lt;&gt;"",BW49+1,BW49)</f>
        <v/>
      </c>
      <c r="BX50" s="1411" t="n"/>
      <c r="BY50" s="1412" t="n"/>
      <c r="BZ50" s="1412" t="n"/>
      <c r="CA50" s="1414">
        <f>BZ50-BY50</f>
        <v/>
      </c>
      <c r="CB50" s="1398" t="inlineStr">
        <is>
          <t>.</t>
        </is>
      </c>
      <c r="CC50" s="1400">
        <f>IF(CD50&lt;&gt;"",CC49+1,CC49)</f>
        <v/>
      </c>
      <c r="CD50" s="1411" t="inlineStr">
        <is>
          <t>Ondina</t>
        </is>
      </c>
      <c r="CE50" s="1412" t="n">
        <v>36810</v>
      </c>
      <c r="CF50" s="1412" t="n">
        <v>36816</v>
      </c>
      <c r="CG50" s="1415">
        <f>CF50-CE50</f>
        <v/>
      </c>
      <c r="CH50" s="1398" t="inlineStr">
        <is>
          <t>.</t>
        </is>
      </c>
      <c r="CI50" s="1400">
        <f>IF(CJ50&lt;&gt;"",CI49+1,CI49)</f>
        <v/>
      </c>
      <c r="CJ50" s="1402" t="inlineStr">
        <is>
          <t>Clovis</t>
        </is>
      </c>
      <c r="CK50" s="1391" t="inlineStr">
        <is>
          <t>.</t>
        </is>
      </c>
      <c r="CL50" s="1392" t="n"/>
    </row>
    <row r="51">
      <c r="A51" s="5" t="inlineStr">
        <is>
          <t>.</t>
        </is>
      </c>
      <c r="B51" s="5" t="inlineStr">
        <is>
          <t>.</t>
        </is>
      </c>
      <c r="C51" s="1378">
        <f>IF(raw[[#This Row],[city]]="","-",IF(raw[[#This Row],[city]]="TODAY","-",C50+1))</f>
        <v/>
      </c>
      <c r="D51" s="1393" t="inlineStr">
        <is>
          <t>Joinvile</t>
        </is>
      </c>
      <c r="E51" s="1394" t="n">
        <v>28900</v>
      </c>
      <c r="F51" s="1394" t="n">
        <v>28901</v>
      </c>
      <c r="G51" s="1393" t="inlineStr">
        <is>
          <t>-</t>
        </is>
      </c>
      <c r="H51" s="1393">
        <f>H50</f>
        <v/>
      </c>
      <c r="I51" s="1393" t="inlineStr">
        <is>
          <t>-</t>
        </is>
      </c>
      <c r="J51" s="1393" t="inlineStr">
        <is>
          <t>-</t>
        </is>
      </c>
      <c r="K51" s="1395">
        <f>IF(raw[[#This Row],[city]]&lt;&gt;"",_xlfn.XLOOKUP($D51,ccc[city],ccc[prov],"-"),"-")</f>
        <v/>
      </c>
      <c r="L51" s="1395">
        <f>IF(raw[[#This Row],[city]]&lt;&gt;"",_xlfn.XLOOKUP($D51,ccc[city],ccc[ctry],"-"),"-")</f>
        <v/>
      </c>
      <c r="M51" s="1395">
        <f>IF(raw[[#This Row],[city]]&lt;&gt;"",_xlfn.XLOOKUP($D51,ccc[city],ccc[cont],"-"),"-")</f>
        <v/>
      </c>
      <c r="N51" s="1396">
        <f>IF(raw[[#This Row],[city]]="","-",IF(raw[[#This Row],[cont]]="B",raw[[#This Row],[cont]],"W"))</f>
        <v/>
      </c>
      <c r="O51" s="1397">
        <f>IF(raw[[#This Row],[out]]=0,0,IF(raw[[#This Row],[out]]=raw[[#This Row],[in]],0.01,raw[[#This Row],[out]]-raw[[#This Row],[in]]))</f>
        <v/>
      </c>
      <c r="P51" s="1397">
        <f>IF(raw[[#This Row],[in]]=0,0,MONTH(raw[[#This Row],[in]]))</f>
        <v/>
      </c>
      <c r="Q51" s="1397">
        <f>IF(raw[[#This Row],[in]]=0,0,YEAR(raw[[#This Row],[in]]))</f>
        <v/>
      </c>
      <c r="R51" s="1397">
        <f>INT(raw[[#This Row],[yr]]/10)*10</f>
        <v/>
      </c>
      <c r="S51" s="1395">
        <f>IF(raw[[#This Row],[city]]="","-",IF(raw[[#This Row],[city]]&lt;&gt;_xlfn.XLOOKUP(raw[[#This Row],[home]],homes[home],homes[city],"-"),1,0))</f>
        <v/>
      </c>
      <c r="T51" s="1398" t="inlineStr">
        <is>
          <t>.</t>
        </is>
      </c>
      <c r="U51" s="1399">
        <f>IF(raw[[#This Row],[wb]]="w",raw[[#This Row],[stay]]+U50,U50)</f>
        <v/>
      </c>
      <c r="V51" s="1400">
        <f>IF(raw[[#This Row],[out]]=0,V50,(raw[[#This Row],[out]]-E$5))</f>
        <v/>
      </c>
      <c r="W51" s="1401">
        <f>U51/V51</f>
        <v/>
      </c>
      <c r="X51" s="1378" t="inlineStr">
        <is>
          <t>.</t>
        </is>
      </c>
      <c r="Y51" s="1402">
        <f/>
        <v/>
      </c>
      <c r="Z51" s="1403">
        <f/>
        <v/>
      </c>
      <c r="AA51" s="1403">
        <f/>
        <v/>
      </c>
      <c r="AB51" s="1400">
        <f t="array" ref="AB51">_xlfn.LET(_xlpm.S,_xlfn.ANCHORARRAY($Y$4),_xlpm.r,ROWS(stayCity[[#Headers],[city]]:stayCity[[#This Row],[city]])-1,IF(_xlpm.r&lt;=ROWS(_xlpm.S),INDEX(_xlpm.S,_xlpm.r,1),""))</f>
        <v/>
      </c>
      <c r="AC51" s="1405">
        <f t="array" ref="AC51">_xlfn.LET(_xlpm.S,_xlfn.ANCHORARRAY($Y$4),_xlpm.r,ROWS(stayCity[[#Headers],[city]]:stayCity[[#This Row],[city]])-1,IF(_xlpm.r&lt;=ROWS(_xlpm.S),INDEX(_xlpm.S,_xlpm.r,2),""))</f>
        <v/>
      </c>
      <c r="AD51" s="1405">
        <f t="array" ref="AD51">_xlfn.LET(_xlpm.S,_xlfn.ANCHORARRAY($Y$4),_xlpm.r,ROWS(stayCity[[#Headers],[city]]:stayCity[[#This Row],[city]])-1,IF(_xlpm.r&lt;=ROWS(_xlpm.S),INDEX(_xlpm.S,_xlpm.r,3),""))</f>
        <v/>
      </c>
      <c r="AE51" s="1400">
        <f>IF(stayCity[[#This Row],[out]]&lt;&gt;"",stayCity[[#This Row],[out]]-stayCity[[#This Row],[in]],"-")</f>
        <v/>
      </c>
      <c r="AF51" s="1406">
        <f>IF(Y51="","-",YEAR(stayCity[[#This Row],[in]]))</f>
        <v/>
      </c>
      <c r="AG51" s="1398" t="inlineStr">
        <is>
          <t>.</t>
        </is>
      </c>
      <c r="AH51" s="1402">
        <f/>
        <v/>
      </c>
      <c r="AI51" s="1403">
        <f/>
        <v/>
      </c>
      <c r="AJ51" s="1403">
        <f/>
        <v/>
      </c>
      <c r="AK51" s="1400">
        <f>IF(AH51="","-",AH51)</f>
        <v/>
      </c>
      <c r="AL51" s="1405">
        <f>AI51</f>
        <v/>
      </c>
      <c r="AM51" s="1405">
        <f>AJ51</f>
        <v/>
      </c>
      <c r="AN51" s="1400">
        <f>stayCtry[[#This Row],[out]]-stayCtry[[#This Row],[in]]</f>
        <v/>
      </c>
      <c r="AO51" s="1406">
        <f>IF(AI51&lt;&gt;"",AO50+1,AO50)</f>
        <v/>
      </c>
      <c r="AP51" s="1398" t="inlineStr">
        <is>
          <t>.</t>
        </is>
      </c>
      <c r="AQ51" s="1402">
        <f/>
        <v/>
      </c>
      <c r="AR51" s="1403">
        <f/>
        <v/>
      </c>
      <c r="AS51" s="1403">
        <f/>
        <v/>
      </c>
      <c r="AT51" s="1400">
        <f>AQ51</f>
        <v/>
      </c>
      <c r="AU51" s="1405">
        <f>AR51</f>
        <v/>
      </c>
      <c r="AV51" s="1405">
        <f>AS51</f>
        <v/>
      </c>
      <c r="AW51" s="1400">
        <f>stayCont[[#This Row],[out]]-stayCont[[#This Row],[in]]</f>
        <v/>
      </c>
      <c r="AX51" s="1406">
        <f>IF(AR51&lt;&gt;"",AX50+1,AX50)</f>
        <v/>
      </c>
      <c r="AY51" s="1398" t="inlineStr">
        <is>
          <t>.</t>
        </is>
      </c>
      <c r="AZ51" s="1402" t="n"/>
      <c r="BA51" s="1403" t="n"/>
      <c r="BB51" s="1403" t="n"/>
      <c r="BC51" s="1405">
        <f>AZ51</f>
        <v/>
      </c>
      <c r="BD51" s="1405">
        <f>BA51</f>
        <v/>
      </c>
      <c r="BE51" s="1405">
        <f>BB51</f>
        <v/>
      </c>
      <c r="BF51" s="1400">
        <f>stayWB[[#This Row],[out]]-stayWB[[#This Row],[in]]</f>
        <v/>
      </c>
      <c r="BG51" s="1400">
        <f>IF(BB51&lt;&gt;"",BG50+1,BG50)</f>
        <v/>
      </c>
      <c r="BH51" s="1398" t="inlineStr">
        <is>
          <t>.</t>
        </is>
      </c>
      <c r="BI51" s="1402" t="inlineStr">
        <is>
          <t>FIN</t>
        </is>
      </c>
      <c r="BJ51" s="1402" t="n">
        <v>1996</v>
      </c>
      <c r="BK51" s="1400">
        <f>BI51</f>
        <v/>
      </c>
      <c r="BL51" s="1409">
        <f>BJ51</f>
        <v/>
      </c>
      <c r="BM51" s="1378" t="inlineStr">
        <is>
          <t>.</t>
        </is>
      </c>
      <c r="BN51" s="1402" t="inlineStr">
        <is>
          <t>E</t>
        </is>
      </c>
      <c r="BO51" s="1400">
        <f>BN51</f>
        <v/>
      </c>
      <c r="BP51" s="1398" t="inlineStr">
        <is>
          <t>.</t>
        </is>
      </c>
      <c r="BQ51" s="1400">
        <f>IF(BR51&lt;&gt;"",BQ50+1,BQ50)</f>
        <v/>
      </c>
      <c r="BR51" s="1411" t="inlineStr">
        <is>
          <t>SSA</t>
        </is>
      </c>
      <c r="BS51" s="1411" t="inlineStr">
        <is>
          <t>SP</t>
        </is>
      </c>
      <c r="BT51" s="1412" t="inlineStr">
        <is>
          <t>SSA-SP</t>
        </is>
      </c>
      <c r="BU51" s="1412" t="n">
        <v>34394</v>
      </c>
      <c r="BV51" s="1398" t="inlineStr">
        <is>
          <t>.</t>
        </is>
      </c>
      <c r="BW51" s="1400">
        <f>IF(BX51&lt;&gt;"",BW50+1,BW50)</f>
        <v/>
      </c>
      <c r="BX51" s="1411" t="n"/>
      <c r="BY51" s="1412" t="n"/>
      <c r="BZ51" s="1412" t="n"/>
      <c r="CA51" s="1414">
        <f>BZ51-BY51</f>
        <v/>
      </c>
      <c r="CB51" s="1398" t="inlineStr">
        <is>
          <t>.</t>
        </is>
      </c>
      <c r="CC51" s="1400">
        <f>IF(CD51&lt;&gt;"",CC50+1,CC50)</f>
        <v/>
      </c>
      <c r="CD51" s="1411" t="inlineStr">
        <is>
          <t>Cunha/Guto</t>
        </is>
      </c>
      <c r="CE51" s="1412" t="n">
        <v>36848</v>
      </c>
      <c r="CF51" s="1412" t="n">
        <v>36850</v>
      </c>
      <c r="CG51" s="1415">
        <f>CF51-CE51</f>
        <v/>
      </c>
      <c r="CH51" s="1398" t="inlineStr">
        <is>
          <t>.</t>
        </is>
      </c>
      <c r="CI51" s="1400">
        <f>IF(CJ51&lt;&gt;"",CI50+1,CI50)</f>
        <v/>
      </c>
      <c r="CJ51" s="1402" t="inlineStr">
        <is>
          <t>Marcelo/Carignan</t>
        </is>
      </c>
      <c r="CK51" s="1391" t="inlineStr">
        <is>
          <t>.</t>
        </is>
      </c>
      <c r="CL51" s="1392" t="n"/>
    </row>
    <row r="52">
      <c r="A52" s="5" t="inlineStr">
        <is>
          <t>.</t>
        </is>
      </c>
      <c r="B52" s="5" t="inlineStr">
        <is>
          <t>.</t>
        </is>
      </c>
      <c r="C52" s="1378">
        <f>IF(raw[[#This Row],[city]]="","-",IF(raw[[#This Row],[city]]="TODAY","-",C51+1))</f>
        <v/>
      </c>
      <c r="D52" s="1393" t="inlineStr">
        <is>
          <t>Porto Alegre</t>
        </is>
      </c>
      <c r="E52" s="1394" t="n">
        <v>28901</v>
      </c>
      <c r="F52" s="1394" t="n">
        <v>28905</v>
      </c>
      <c r="G52" s="1393" t="inlineStr">
        <is>
          <t>-</t>
        </is>
      </c>
      <c r="H52" s="1393">
        <f>H51</f>
        <v/>
      </c>
      <c r="I52" s="1393" t="inlineStr">
        <is>
          <t>-</t>
        </is>
      </c>
      <c r="J52" s="1393" t="inlineStr">
        <is>
          <t>-</t>
        </is>
      </c>
      <c r="K52" s="1395">
        <f>IF(raw[[#This Row],[city]]&lt;&gt;"",_xlfn.XLOOKUP($D52,ccc[city],ccc[prov],"-"),"-")</f>
        <v/>
      </c>
      <c r="L52" s="1395">
        <f>IF(raw[[#This Row],[city]]&lt;&gt;"",_xlfn.XLOOKUP($D52,ccc[city],ccc[ctry],"-"),"-")</f>
        <v/>
      </c>
      <c r="M52" s="1395">
        <f>IF(raw[[#This Row],[city]]&lt;&gt;"",_xlfn.XLOOKUP($D52,ccc[city],ccc[cont],"-"),"-")</f>
        <v/>
      </c>
      <c r="N52" s="1396">
        <f>IF(raw[[#This Row],[city]]="","-",IF(raw[[#This Row],[cont]]="B",raw[[#This Row],[cont]],"W"))</f>
        <v/>
      </c>
      <c r="O52" s="1397">
        <f>IF(raw[[#This Row],[out]]=0,0,IF(raw[[#This Row],[out]]=raw[[#This Row],[in]],0.01,raw[[#This Row],[out]]-raw[[#This Row],[in]]))</f>
        <v/>
      </c>
      <c r="P52" s="1397">
        <f>IF(raw[[#This Row],[in]]=0,0,MONTH(raw[[#This Row],[in]]))</f>
        <v/>
      </c>
      <c r="Q52" s="1397">
        <f>IF(raw[[#This Row],[in]]=0,0,YEAR(raw[[#This Row],[in]]))</f>
        <v/>
      </c>
      <c r="R52" s="1397">
        <f>INT(raw[[#This Row],[yr]]/10)*10</f>
        <v/>
      </c>
      <c r="S52" s="1395">
        <f>IF(raw[[#This Row],[city]]="","-",IF(raw[[#This Row],[city]]&lt;&gt;_xlfn.XLOOKUP(raw[[#This Row],[home]],homes[home],homes[city],"-"),1,0))</f>
        <v/>
      </c>
      <c r="T52" s="1398" t="inlineStr">
        <is>
          <t>.</t>
        </is>
      </c>
      <c r="U52" s="1399">
        <f>IF(raw[[#This Row],[wb]]="w",raw[[#This Row],[stay]]+U51,U51)</f>
        <v/>
      </c>
      <c r="V52" s="1400">
        <f>IF(raw[[#This Row],[out]]=0,V51,(raw[[#This Row],[out]]-E$5))</f>
        <v/>
      </c>
      <c r="W52" s="1401">
        <f>U52/V52</f>
        <v/>
      </c>
      <c r="X52" s="1378" t="inlineStr">
        <is>
          <t>.</t>
        </is>
      </c>
      <c r="Y52" s="1402">
        <f/>
        <v/>
      </c>
      <c r="Z52" s="1403">
        <f/>
        <v/>
      </c>
      <c r="AA52" s="1403">
        <f/>
        <v/>
      </c>
      <c r="AB52" s="1400">
        <f t="array" ref="AB52">_xlfn.LET(_xlpm.S,_xlfn.ANCHORARRAY($Y$4),_xlpm.r,ROWS(stayCity[[#Headers],[city]]:stayCity[[#This Row],[city]])-1,IF(_xlpm.r&lt;=ROWS(_xlpm.S),INDEX(_xlpm.S,_xlpm.r,1),""))</f>
        <v/>
      </c>
      <c r="AC52" s="1405">
        <f t="array" ref="AC52">_xlfn.LET(_xlpm.S,_xlfn.ANCHORARRAY($Y$4),_xlpm.r,ROWS(stayCity[[#Headers],[city]]:stayCity[[#This Row],[city]])-1,IF(_xlpm.r&lt;=ROWS(_xlpm.S),INDEX(_xlpm.S,_xlpm.r,2),""))</f>
        <v/>
      </c>
      <c r="AD52" s="1405">
        <f t="array" ref="AD52">_xlfn.LET(_xlpm.S,_xlfn.ANCHORARRAY($Y$4),_xlpm.r,ROWS(stayCity[[#Headers],[city]]:stayCity[[#This Row],[city]])-1,IF(_xlpm.r&lt;=ROWS(_xlpm.S),INDEX(_xlpm.S,_xlpm.r,3),""))</f>
        <v/>
      </c>
      <c r="AE52" s="1400">
        <f>IF(stayCity[[#This Row],[out]]&lt;&gt;"",stayCity[[#This Row],[out]]-stayCity[[#This Row],[in]],"-")</f>
        <v/>
      </c>
      <c r="AF52" s="1406">
        <f>IF(Y52="","-",YEAR(stayCity[[#This Row],[in]]))</f>
        <v/>
      </c>
      <c r="AG52" s="1398" t="inlineStr">
        <is>
          <t>.</t>
        </is>
      </c>
      <c r="AH52" s="1402">
        <f/>
        <v/>
      </c>
      <c r="AI52" s="1403">
        <f/>
        <v/>
      </c>
      <c r="AJ52" s="1403">
        <f/>
        <v/>
      </c>
      <c r="AK52" s="1400">
        <f>IF(AH52="","-",AH52)</f>
        <v/>
      </c>
      <c r="AL52" s="1405">
        <f>AI52</f>
        <v/>
      </c>
      <c r="AM52" s="1405">
        <f>AJ52</f>
        <v/>
      </c>
      <c r="AN52" s="1400">
        <f>stayCtry[[#This Row],[out]]-stayCtry[[#This Row],[in]]</f>
        <v/>
      </c>
      <c r="AO52" s="1406">
        <f>IF(AI52&lt;&gt;"",AO51+1,AO51)</f>
        <v/>
      </c>
      <c r="AP52" s="1398" t="inlineStr">
        <is>
          <t>.</t>
        </is>
      </c>
      <c r="AQ52" s="1402">
        <f/>
        <v/>
      </c>
      <c r="AR52" s="1403">
        <f/>
        <v/>
      </c>
      <c r="AS52" s="1403">
        <f/>
        <v/>
      </c>
      <c r="AT52" s="1400">
        <f>AQ52</f>
        <v/>
      </c>
      <c r="AU52" s="1405">
        <f>AR52</f>
        <v/>
      </c>
      <c r="AV52" s="1405">
        <f>AS52</f>
        <v/>
      </c>
      <c r="AW52" s="1400">
        <f>stayCont[[#This Row],[out]]-stayCont[[#This Row],[in]]</f>
        <v/>
      </c>
      <c r="AX52" s="1406">
        <f>IF(AR52&lt;&gt;"",AX51+1,AX51)</f>
        <v/>
      </c>
      <c r="AY52" s="1398" t="inlineStr">
        <is>
          <t>.</t>
        </is>
      </c>
      <c r="AZ52" s="1402" t="n"/>
      <c r="BA52" s="1403" t="n"/>
      <c r="BB52" s="1403" t="n"/>
      <c r="BC52" s="1405">
        <f>AZ52</f>
        <v/>
      </c>
      <c r="BD52" s="1405">
        <f>BA52</f>
        <v/>
      </c>
      <c r="BE52" s="1405">
        <f>BB52</f>
        <v/>
      </c>
      <c r="BF52" s="1400">
        <f>stayWB[[#This Row],[out]]-stayWB[[#This Row],[in]]</f>
        <v/>
      </c>
      <c r="BG52" s="1400">
        <f>IF(BB52&lt;&gt;"",BG51+1,BG51)</f>
        <v/>
      </c>
      <c r="BH52" s="1398" t="inlineStr">
        <is>
          <t>.</t>
        </is>
      </c>
      <c r="BI52" s="1402" t="inlineStr">
        <is>
          <t>SWE</t>
        </is>
      </c>
      <c r="BJ52" s="1402" t="n">
        <v>1996</v>
      </c>
      <c r="BK52" s="1400">
        <f>BI52</f>
        <v/>
      </c>
      <c r="BL52" s="1409">
        <f>BJ52</f>
        <v/>
      </c>
      <c r="BM52" s="1378" t="inlineStr">
        <is>
          <t>.</t>
        </is>
      </c>
      <c r="BN52" s="1402" t="inlineStr">
        <is>
          <t>B</t>
        </is>
      </c>
      <c r="BO52" s="1400">
        <f>BN52</f>
        <v/>
      </c>
      <c r="BP52" s="1398" t="inlineStr">
        <is>
          <t>.</t>
        </is>
      </c>
      <c r="BQ52" s="1400">
        <f>IF(BR52&lt;&gt;"",BQ51+1,BQ51)</f>
        <v/>
      </c>
      <c r="BR52" s="1411" t="inlineStr">
        <is>
          <t>SP</t>
        </is>
      </c>
      <c r="BS52" s="1411" t="inlineStr">
        <is>
          <t>SSA</t>
        </is>
      </c>
      <c r="BT52" s="1412" t="inlineStr">
        <is>
          <t>SP-SSA</t>
        </is>
      </c>
      <c r="BU52" s="1412" t="n">
        <v>34478</v>
      </c>
      <c r="BV52" s="1398" t="inlineStr">
        <is>
          <t>.</t>
        </is>
      </c>
      <c r="BW52" s="1400">
        <f>IF(BX52&lt;&gt;"",BW51+1,BW51)</f>
        <v/>
      </c>
      <c r="BX52" s="1411" t="n"/>
      <c r="BY52" s="1412" t="n"/>
      <c r="BZ52" s="1412" t="n"/>
      <c r="CA52" s="1414">
        <f>BZ52-BY52</f>
        <v/>
      </c>
      <c r="CB52" s="1398" t="inlineStr">
        <is>
          <t>.</t>
        </is>
      </c>
      <c r="CC52" s="1400">
        <f>IF(CD52&lt;&gt;"",CC51+1,CC51)</f>
        <v/>
      </c>
      <c r="CD52" s="1411" t="inlineStr">
        <is>
          <t>Cunha/Guto</t>
        </is>
      </c>
      <c r="CE52" s="1412" t="n">
        <v>36890</v>
      </c>
      <c r="CF52" s="1412" t="n">
        <v>36893</v>
      </c>
      <c r="CG52" s="1415">
        <f>CF52-CE52</f>
        <v/>
      </c>
      <c r="CH52" s="1398" t="inlineStr">
        <is>
          <t>.</t>
        </is>
      </c>
      <c r="CI52" s="1400">
        <f>IF(CJ52&lt;&gt;"",CI51+1,CI51)</f>
        <v/>
      </c>
      <c r="CJ52" s="1402" t="inlineStr">
        <is>
          <t>Gaspé</t>
        </is>
      </c>
      <c r="CK52" s="1391" t="inlineStr">
        <is>
          <t>.</t>
        </is>
      </c>
      <c r="CL52" s="1392" t="n"/>
    </row>
    <row r="53">
      <c r="A53" s="5" t="inlineStr">
        <is>
          <t>.</t>
        </is>
      </c>
      <c r="B53" s="5" t="inlineStr">
        <is>
          <t>.</t>
        </is>
      </c>
      <c r="C53" s="1378">
        <f>IF(raw[[#This Row],[city]]="","-",IF(raw[[#This Row],[city]]="TODAY","-",C52+1))</f>
        <v/>
      </c>
      <c r="D53" s="1393" t="inlineStr">
        <is>
          <t>Gramado</t>
        </is>
      </c>
      <c r="E53" s="1394" t="n">
        <v>28905</v>
      </c>
      <c r="F53" s="1394" t="n">
        <v>28908</v>
      </c>
      <c r="G53" s="1393" t="inlineStr">
        <is>
          <t>-</t>
        </is>
      </c>
      <c r="H53" s="1393">
        <f>H52</f>
        <v/>
      </c>
      <c r="I53" s="1393" t="inlineStr">
        <is>
          <t>-</t>
        </is>
      </c>
      <c r="J53" s="1393" t="inlineStr">
        <is>
          <t>-</t>
        </is>
      </c>
      <c r="K53" s="1395">
        <f>IF(raw[[#This Row],[city]]&lt;&gt;"",_xlfn.XLOOKUP($D53,ccc[city],ccc[prov],"-"),"-")</f>
        <v/>
      </c>
      <c r="L53" s="1395">
        <f>IF(raw[[#This Row],[city]]&lt;&gt;"",_xlfn.XLOOKUP($D53,ccc[city],ccc[ctry],"-"),"-")</f>
        <v/>
      </c>
      <c r="M53" s="1395">
        <f>IF(raw[[#This Row],[city]]&lt;&gt;"",_xlfn.XLOOKUP($D53,ccc[city],ccc[cont],"-"),"-")</f>
        <v/>
      </c>
      <c r="N53" s="1396">
        <f>IF(raw[[#This Row],[city]]="","-",IF(raw[[#This Row],[cont]]="B",raw[[#This Row],[cont]],"W"))</f>
        <v/>
      </c>
      <c r="O53" s="1397">
        <f>IF(raw[[#This Row],[out]]=0,0,IF(raw[[#This Row],[out]]=raw[[#This Row],[in]],0.01,raw[[#This Row],[out]]-raw[[#This Row],[in]]))</f>
        <v/>
      </c>
      <c r="P53" s="1397">
        <f>IF(raw[[#This Row],[in]]=0,0,MONTH(raw[[#This Row],[in]]))</f>
        <v/>
      </c>
      <c r="Q53" s="1397">
        <f>IF(raw[[#This Row],[in]]=0,0,YEAR(raw[[#This Row],[in]]))</f>
        <v/>
      </c>
      <c r="R53" s="1397">
        <f>INT(raw[[#This Row],[yr]]/10)*10</f>
        <v/>
      </c>
      <c r="S53" s="1395">
        <f>IF(raw[[#This Row],[city]]="","-",IF(raw[[#This Row],[city]]&lt;&gt;_xlfn.XLOOKUP(raw[[#This Row],[home]],homes[home],homes[city],"-"),1,0))</f>
        <v/>
      </c>
      <c r="T53" s="1398" t="inlineStr">
        <is>
          <t>.</t>
        </is>
      </c>
      <c r="U53" s="1399">
        <f>IF(raw[[#This Row],[wb]]="w",raw[[#This Row],[stay]]+U52,U52)</f>
        <v/>
      </c>
      <c r="V53" s="1400">
        <f>IF(raw[[#This Row],[out]]=0,V52,(raw[[#This Row],[out]]-E$5))</f>
        <v/>
      </c>
      <c r="W53" s="1401">
        <f>U53/V53</f>
        <v/>
      </c>
      <c r="X53" s="1378" t="inlineStr">
        <is>
          <t>.</t>
        </is>
      </c>
      <c r="Y53" s="1402">
        <f/>
        <v/>
      </c>
      <c r="Z53" s="1403">
        <f/>
        <v/>
      </c>
      <c r="AA53" s="1403">
        <f/>
        <v/>
      </c>
      <c r="AB53" s="1400">
        <f t="array" ref="AB53">_xlfn.LET(_xlpm.S,_xlfn.ANCHORARRAY($Y$4),_xlpm.r,ROWS(stayCity[[#Headers],[city]]:stayCity[[#This Row],[city]])-1,IF(_xlpm.r&lt;=ROWS(_xlpm.S),INDEX(_xlpm.S,_xlpm.r,1),""))</f>
        <v/>
      </c>
      <c r="AC53" s="1405">
        <f t="array" ref="AC53">_xlfn.LET(_xlpm.S,_xlfn.ANCHORARRAY($Y$4),_xlpm.r,ROWS(stayCity[[#Headers],[city]]:stayCity[[#This Row],[city]])-1,IF(_xlpm.r&lt;=ROWS(_xlpm.S),INDEX(_xlpm.S,_xlpm.r,2),""))</f>
        <v/>
      </c>
      <c r="AD53" s="1405">
        <f t="array" ref="AD53">_xlfn.LET(_xlpm.S,_xlfn.ANCHORARRAY($Y$4),_xlpm.r,ROWS(stayCity[[#Headers],[city]]:stayCity[[#This Row],[city]])-1,IF(_xlpm.r&lt;=ROWS(_xlpm.S),INDEX(_xlpm.S,_xlpm.r,3),""))</f>
        <v/>
      </c>
      <c r="AE53" s="1400">
        <f>IF(stayCity[[#This Row],[out]]&lt;&gt;"",stayCity[[#This Row],[out]]-stayCity[[#This Row],[in]],"-")</f>
        <v/>
      </c>
      <c r="AF53" s="1406">
        <f>IF(Y53="","-",YEAR(stayCity[[#This Row],[in]]))</f>
        <v/>
      </c>
      <c r="AG53" s="1398" t="inlineStr">
        <is>
          <t>.</t>
        </is>
      </c>
      <c r="AH53" s="1402">
        <f/>
        <v/>
      </c>
      <c r="AI53" s="1403">
        <f/>
        <v/>
      </c>
      <c r="AJ53" s="1403">
        <f/>
        <v/>
      </c>
      <c r="AK53" s="1400">
        <f>IF(AH53="","-",AH53)</f>
        <v/>
      </c>
      <c r="AL53" s="1405">
        <f>AI53</f>
        <v/>
      </c>
      <c r="AM53" s="1405">
        <f>AJ53</f>
        <v/>
      </c>
      <c r="AN53" s="1400">
        <f>stayCtry[[#This Row],[out]]-stayCtry[[#This Row],[in]]</f>
        <v/>
      </c>
      <c r="AO53" s="1406">
        <f>IF(AI53&lt;&gt;"",AO52+1,AO52)</f>
        <v/>
      </c>
      <c r="AP53" s="1398" t="inlineStr">
        <is>
          <t>.</t>
        </is>
      </c>
      <c r="AQ53" s="1402">
        <f/>
        <v/>
      </c>
      <c r="AR53" s="1403">
        <f/>
        <v/>
      </c>
      <c r="AS53" s="1403">
        <f/>
        <v/>
      </c>
      <c r="AT53" s="1400">
        <f>AQ53</f>
        <v/>
      </c>
      <c r="AU53" s="1405">
        <f>AR53</f>
        <v/>
      </c>
      <c r="AV53" s="1405">
        <f>AS53</f>
        <v/>
      </c>
      <c r="AW53" s="1400">
        <f>stayCont[[#This Row],[out]]-stayCont[[#This Row],[in]]</f>
        <v/>
      </c>
      <c r="AX53" s="1406">
        <f>IF(AR53&lt;&gt;"",AX52+1,AX52)</f>
        <v/>
      </c>
      <c r="AY53" s="1398" t="inlineStr">
        <is>
          <t>.</t>
        </is>
      </c>
      <c r="AZ53" s="1402" t="n"/>
      <c r="BA53" s="1403" t="n"/>
      <c r="BB53" s="1403" t="n"/>
      <c r="BC53" s="1405">
        <f>AZ53</f>
        <v/>
      </c>
      <c r="BD53" s="1405">
        <f>BA53</f>
        <v/>
      </c>
      <c r="BE53" s="1405">
        <f>BB53</f>
        <v/>
      </c>
      <c r="BF53" s="1400">
        <f>stayWB[[#This Row],[out]]-stayWB[[#This Row],[in]]</f>
        <v/>
      </c>
      <c r="BG53" s="1400">
        <f>IF(BB53&lt;&gt;"",BG52+1,BG52)</f>
        <v/>
      </c>
      <c r="BH53" s="1398" t="inlineStr">
        <is>
          <t>.</t>
        </is>
      </c>
      <c r="BI53" s="1402" t="inlineStr">
        <is>
          <t>UK</t>
        </is>
      </c>
      <c r="BJ53" s="1402" t="n">
        <v>1996</v>
      </c>
      <c r="BK53" s="1400">
        <f>BI53</f>
        <v/>
      </c>
      <c r="BL53" s="1409">
        <f>BJ53</f>
        <v/>
      </c>
      <c r="BM53" s="1378" t="inlineStr">
        <is>
          <t>.</t>
        </is>
      </c>
      <c r="BN53" s="1402" t="inlineStr">
        <is>
          <t>Z</t>
        </is>
      </c>
      <c r="BO53" s="1400">
        <f>BN53</f>
        <v/>
      </c>
      <c r="BP53" s="1398" t="inlineStr">
        <is>
          <t>.</t>
        </is>
      </c>
      <c r="BQ53" s="1400">
        <f>IF(BR53&lt;&gt;"",BQ52+1,BQ52)</f>
        <v/>
      </c>
      <c r="BR53" s="1411" t="inlineStr">
        <is>
          <t>SSA</t>
        </is>
      </c>
      <c r="BS53" s="1411" t="inlineStr">
        <is>
          <t>SP</t>
        </is>
      </c>
      <c r="BT53" s="1412" t="inlineStr">
        <is>
          <t>SSA-SP</t>
        </is>
      </c>
      <c r="BU53" s="1412" t="n">
        <v>34486</v>
      </c>
      <c r="BV53" s="1398" t="inlineStr">
        <is>
          <t>.</t>
        </is>
      </c>
      <c r="BW53" s="1400">
        <f>IF(BX53&lt;&gt;"",BW52+1,BW52)</f>
        <v/>
      </c>
      <c r="BX53" s="1411" t="n"/>
      <c r="BY53" s="1412" t="n"/>
      <c r="BZ53" s="1412" t="n"/>
      <c r="CA53" s="1414">
        <f>BZ53-BY53</f>
        <v/>
      </c>
      <c r="CB53" s="1398" t="inlineStr">
        <is>
          <t>.</t>
        </is>
      </c>
      <c r="CC53" s="1400">
        <f>IF(CD53&lt;&gt;"",CC52+1,CC52)</f>
        <v/>
      </c>
      <c r="CD53" s="1411" t="inlineStr">
        <is>
          <t>Ondina</t>
        </is>
      </c>
      <c r="CE53" s="1412" t="n">
        <v>36929</v>
      </c>
      <c r="CF53" s="1412" t="n">
        <v>36956</v>
      </c>
      <c r="CG53" s="1415">
        <f>CF53-CE53</f>
        <v/>
      </c>
      <c r="CH53" s="1398" t="inlineStr">
        <is>
          <t>.</t>
        </is>
      </c>
      <c r="CI53" s="1400">
        <f>IF(CJ53&lt;&gt;"",CI52+1,CI52)</f>
        <v/>
      </c>
      <c r="CJ53" s="1402" t="inlineStr">
        <is>
          <t>Thomas/Thomas/Leslie</t>
        </is>
      </c>
      <c r="CK53" s="1391" t="inlineStr">
        <is>
          <t>.</t>
        </is>
      </c>
      <c r="CL53" s="1392" t="n"/>
    </row>
    <row r="54">
      <c r="A54" s="5" t="inlineStr">
        <is>
          <t>.</t>
        </is>
      </c>
      <c r="B54" s="5" t="inlineStr">
        <is>
          <t>.</t>
        </is>
      </c>
      <c r="C54" s="1378">
        <f>IF(raw[[#This Row],[city]]="","-",IF(raw[[#This Row],[city]]="TODAY","-",C53+1))</f>
        <v/>
      </c>
      <c r="D54" s="1393" t="inlineStr">
        <is>
          <t>Rio</t>
        </is>
      </c>
      <c r="E54" s="1394" t="n">
        <v>28908</v>
      </c>
      <c r="F54" s="1394" t="n">
        <v>28917</v>
      </c>
      <c r="G54" s="1393" t="inlineStr">
        <is>
          <t>-</t>
        </is>
      </c>
      <c r="H54" s="1393">
        <f>H53</f>
        <v/>
      </c>
      <c r="I54" s="1393" t="inlineStr">
        <is>
          <t>-</t>
        </is>
      </c>
      <c r="J54" s="1393" t="inlineStr">
        <is>
          <t>-</t>
        </is>
      </c>
      <c r="K54" s="1395">
        <f>IF(raw[[#This Row],[city]]&lt;&gt;"",_xlfn.XLOOKUP($D54,ccc[city],ccc[prov],"-"),"-")</f>
        <v/>
      </c>
      <c r="L54" s="1395">
        <f>IF(raw[[#This Row],[city]]&lt;&gt;"",_xlfn.XLOOKUP($D54,ccc[city],ccc[ctry],"-"),"-")</f>
        <v/>
      </c>
      <c r="M54" s="1395">
        <f>IF(raw[[#This Row],[city]]&lt;&gt;"",_xlfn.XLOOKUP($D54,ccc[city],ccc[cont],"-"),"-")</f>
        <v/>
      </c>
      <c r="N54" s="1396">
        <f>IF(raw[[#This Row],[city]]="","-",IF(raw[[#This Row],[cont]]="B",raw[[#This Row],[cont]],"W"))</f>
        <v/>
      </c>
      <c r="O54" s="1397">
        <f>IF(raw[[#This Row],[out]]=0,0,IF(raw[[#This Row],[out]]=raw[[#This Row],[in]],0.01,raw[[#This Row],[out]]-raw[[#This Row],[in]]))</f>
        <v/>
      </c>
      <c r="P54" s="1397">
        <f>IF(raw[[#This Row],[in]]=0,0,MONTH(raw[[#This Row],[in]]))</f>
        <v/>
      </c>
      <c r="Q54" s="1397">
        <f>IF(raw[[#This Row],[in]]=0,0,YEAR(raw[[#This Row],[in]]))</f>
        <v/>
      </c>
      <c r="R54" s="1397">
        <f>INT(raw[[#This Row],[yr]]/10)*10</f>
        <v/>
      </c>
      <c r="S54" s="1395">
        <f>IF(raw[[#This Row],[city]]="","-",IF(raw[[#This Row],[city]]&lt;&gt;_xlfn.XLOOKUP(raw[[#This Row],[home]],homes[home],homes[city],"-"),1,0))</f>
        <v/>
      </c>
      <c r="T54" s="1398" t="inlineStr">
        <is>
          <t>.</t>
        </is>
      </c>
      <c r="U54" s="1399">
        <f>IF(raw[[#This Row],[wb]]="w",raw[[#This Row],[stay]]+U53,U53)</f>
        <v/>
      </c>
      <c r="V54" s="1400">
        <f>IF(raw[[#This Row],[out]]=0,V53,(raw[[#This Row],[out]]-E$5))</f>
        <v/>
      </c>
      <c r="W54" s="1401">
        <f>U54/V54</f>
        <v/>
      </c>
      <c r="X54" s="1378" t="inlineStr">
        <is>
          <t>.</t>
        </is>
      </c>
      <c r="Y54" s="1402">
        <f/>
        <v/>
      </c>
      <c r="Z54" s="1403">
        <f/>
        <v/>
      </c>
      <c r="AA54" s="1403">
        <f/>
        <v/>
      </c>
      <c r="AB54" s="1400">
        <f t="array" ref="AB54">_xlfn.LET(_xlpm.S,_xlfn.ANCHORARRAY($Y$4),_xlpm.r,ROWS(stayCity[[#Headers],[city]]:stayCity[[#This Row],[city]])-1,IF(_xlpm.r&lt;=ROWS(_xlpm.S),INDEX(_xlpm.S,_xlpm.r,1),""))</f>
        <v/>
      </c>
      <c r="AC54" s="1405">
        <f t="array" ref="AC54">_xlfn.LET(_xlpm.S,_xlfn.ANCHORARRAY($Y$4),_xlpm.r,ROWS(stayCity[[#Headers],[city]]:stayCity[[#This Row],[city]])-1,IF(_xlpm.r&lt;=ROWS(_xlpm.S),INDEX(_xlpm.S,_xlpm.r,2),""))</f>
        <v/>
      </c>
      <c r="AD54" s="1405">
        <f t="array" ref="AD54">_xlfn.LET(_xlpm.S,_xlfn.ANCHORARRAY($Y$4),_xlpm.r,ROWS(stayCity[[#Headers],[city]]:stayCity[[#This Row],[city]])-1,IF(_xlpm.r&lt;=ROWS(_xlpm.S),INDEX(_xlpm.S,_xlpm.r,3),""))</f>
        <v/>
      </c>
      <c r="AE54" s="1400">
        <f>IF(stayCity[[#This Row],[out]]&lt;&gt;"",stayCity[[#This Row],[out]]-stayCity[[#This Row],[in]],"-")</f>
        <v/>
      </c>
      <c r="AF54" s="1406">
        <f>IF(Y54="","-",YEAR(stayCity[[#This Row],[in]]))</f>
        <v/>
      </c>
      <c r="AG54" s="1398" t="inlineStr">
        <is>
          <t>.</t>
        </is>
      </c>
      <c r="AH54" s="1402">
        <f/>
        <v/>
      </c>
      <c r="AI54" s="1403">
        <f/>
        <v/>
      </c>
      <c r="AJ54" s="1403">
        <f/>
        <v/>
      </c>
      <c r="AK54" s="1400">
        <f>IF(AH54="","-",AH54)</f>
        <v/>
      </c>
      <c r="AL54" s="1405">
        <f>AI54</f>
        <v/>
      </c>
      <c r="AM54" s="1405">
        <f>AJ54</f>
        <v/>
      </c>
      <c r="AN54" s="1400">
        <f>stayCtry[[#This Row],[out]]-stayCtry[[#This Row],[in]]</f>
        <v/>
      </c>
      <c r="AO54" s="1406">
        <f>IF(AI54&lt;&gt;"",AO53+1,AO53)</f>
        <v/>
      </c>
      <c r="AP54" s="1398" t="inlineStr">
        <is>
          <t>.</t>
        </is>
      </c>
      <c r="AQ54" s="1402">
        <f/>
        <v/>
      </c>
      <c r="AR54" s="1403">
        <f/>
        <v/>
      </c>
      <c r="AS54" s="1403">
        <f/>
        <v/>
      </c>
      <c r="AT54" s="1400">
        <f>AQ54</f>
        <v/>
      </c>
      <c r="AU54" s="1405">
        <f>AR54</f>
        <v/>
      </c>
      <c r="AV54" s="1405">
        <f>AS54</f>
        <v/>
      </c>
      <c r="AW54" s="1400">
        <f>stayCont[[#This Row],[out]]-stayCont[[#This Row],[in]]</f>
        <v/>
      </c>
      <c r="AX54" s="1406">
        <f>IF(AR54&lt;&gt;"",AX53+1,AX53)</f>
        <v/>
      </c>
      <c r="AY54" s="1398" t="inlineStr">
        <is>
          <t>.</t>
        </is>
      </c>
      <c r="AZ54" s="1402" t="n"/>
      <c r="BA54" s="1403" t="n"/>
      <c r="BB54" s="1403" t="n"/>
      <c r="BC54" s="1405">
        <f>AZ54</f>
        <v/>
      </c>
      <c r="BD54" s="1405">
        <f>BA54</f>
        <v/>
      </c>
      <c r="BE54" s="1405">
        <f>BB54</f>
        <v/>
      </c>
      <c r="BF54" s="1400">
        <f>stayWB[[#This Row],[out]]-stayWB[[#This Row],[in]]</f>
        <v/>
      </c>
      <c r="BG54" s="1400">
        <f>IF(BB54&lt;&gt;"",BG53+1,BG53)</f>
        <v/>
      </c>
      <c r="BH54" s="1398" t="inlineStr">
        <is>
          <t>.</t>
        </is>
      </c>
      <c r="BI54" s="1402" t="inlineStr">
        <is>
          <t>FRA</t>
        </is>
      </c>
      <c r="BJ54" s="1402" t="n">
        <v>1996</v>
      </c>
      <c r="BK54" s="1400">
        <f>BI54</f>
        <v/>
      </c>
      <c r="BL54" s="1409">
        <f>BJ54</f>
        <v/>
      </c>
      <c r="BM54" s="1378" t="inlineStr">
        <is>
          <t>.</t>
        </is>
      </c>
      <c r="BN54" s="1402" t="inlineStr">
        <is>
          <t>N</t>
        </is>
      </c>
      <c r="BO54" s="1400">
        <f>BN54</f>
        <v/>
      </c>
      <c r="BP54" s="1398" t="inlineStr">
        <is>
          <t>.</t>
        </is>
      </c>
      <c r="BQ54" s="1400">
        <f>IF(BR54&lt;&gt;"",BQ53+1,BQ53)</f>
        <v/>
      </c>
      <c r="BR54" s="1411" t="inlineStr">
        <is>
          <t>SP</t>
        </is>
      </c>
      <c r="BS54" s="1411" t="inlineStr">
        <is>
          <t>SSA</t>
        </is>
      </c>
      <c r="BT54" s="1412" t="inlineStr">
        <is>
          <t>SP-SSA</t>
        </is>
      </c>
      <c r="BU54" s="1412" t="n">
        <v>34524</v>
      </c>
      <c r="BV54" s="1398" t="inlineStr">
        <is>
          <t>.</t>
        </is>
      </c>
      <c r="BW54" s="1400">
        <f>IF(BX54&lt;&gt;"",BW53+1,BW53)</f>
        <v/>
      </c>
      <c r="BX54" s="1411" t="n"/>
      <c r="BY54" s="1412" t="n"/>
      <c r="BZ54" s="1412" t="n"/>
      <c r="CA54" s="1414">
        <f>BZ54-BY54</f>
        <v/>
      </c>
      <c r="CB54" s="1398" t="inlineStr">
        <is>
          <t>.</t>
        </is>
      </c>
      <c r="CC54" s="1400">
        <f>IF(CD54&lt;&gt;"",CC53+1,CC53)</f>
        <v/>
      </c>
      <c r="CD54" s="1411" t="inlineStr">
        <is>
          <t>Ondina</t>
        </is>
      </c>
      <c r="CE54" s="1412" t="n">
        <v>37225</v>
      </c>
      <c r="CF54" s="1412" t="n">
        <v>37235</v>
      </c>
      <c r="CG54" s="1415">
        <f>CF54-CE54</f>
        <v/>
      </c>
      <c r="CH54" s="1398" t="inlineStr">
        <is>
          <t>.</t>
        </is>
      </c>
      <c r="CI54" s="1400">
        <f>IF(CJ54&lt;&gt;"",CI53+1,CI53)</f>
        <v/>
      </c>
      <c r="CJ54" s="1402" t="inlineStr">
        <is>
          <t>Francele/Chambly</t>
        </is>
      </c>
      <c r="CK54" s="1391" t="inlineStr">
        <is>
          <t>.</t>
        </is>
      </c>
      <c r="CL54" s="1392" t="n"/>
    </row>
    <row r="55">
      <c r="A55" s="5" t="inlineStr">
        <is>
          <t>.</t>
        </is>
      </c>
      <c r="B55" s="5" t="inlineStr">
        <is>
          <t>.</t>
        </is>
      </c>
      <c r="C55" s="1378">
        <f>IF(raw[[#This Row],[city]]="","-",IF(raw[[#This Row],[city]]="TODAY","-",C54+1))</f>
        <v/>
      </c>
      <c r="D55" s="1393" t="inlineStr">
        <is>
          <t>ROAD</t>
        </is>
      </c>
      <c r="E55" s="1394" t="n">
        <v>28917</v>
      </c>
      <c r="F55" s="1394" t="n">
        <v>28918</v>
      </c>
      <c r="G55" s="1393" t="inlineStr">
        <is>
          <t>-</t>
        </is>
      </c>
      <c r="H55" s="1393">
        <f>H54</f>
        <v/>
      </c>
      <c r="I55" s="1393" t="inlineStr">
        <is>
          <t>-</t>
        </is>
      </c>
      <c r="J55" s="1393" t="inlineStr">
        <is>
          <t>-</t>
        </is>
      </c>
      <c r="K55" s="1395">
        <f>IF(raw[[#This Row],[city]]&lt;&gt;"",_xlfn.XLOOKUP($D55,ccc[city],ccc[prov],"-"),"-")</f>
        <v/>
      </c>
      <c r="L55" s="1395">
        <f>IF(raw[[#This Row],[city]]&lt;&gt;"",_xlfn.XLOOKUP($D55,ccc[city],ccc[ctry],"-"),"-")</f>
        <v/>
      </c>
      <c r="M55" s="1395">
        <f>IF(raw[[#This Row],[city]]&lt;&gt;"",_xlfn.XLOOKUP($D55,ccc[city],ccc[cont],"-"),"-")</f>
        <v/>
      </c>
      <c r="N55" s="1396">
        <f>IF(raw[[#This Row],[city]]="","-",IF(raw[[#This Row],[cont]]="B",raw[[#This Row],[cont]],"W"))</f>
        <v/>
      </c>
      <c r="O55" s="1397">
        <f>IF(raw[[#This Row],[out]]=0,0,IF(raw[[#This Row],[out]]=raw[[#This Row],[in]],0.01,raw[[#This Row],[out]]-raw[[#This Row],[in]]))</f>
        <v/>
      </c>
      <c r="P55" s="1397">
        <f>IF(raw[[#This Row],[in]]=0,0,MONTH(raw[[#This Row],[in]]))</f>
        <v/>
      </c>
      <c r="Q55" s="1397">
        <f>IF(raw[[#This Row],[in]]=0,0,YEAR(raw[[#This Row],[in]]))</f>
        <v/>
      </c>
      <c r="R55" s="1397">
        <f>INT(raw[[#This Row],[yr]]/10)*10</f>
        <v/>
      </c>
      <c r="S55" s="1395">
        <f>IF(raw[[#This Row],[city]]="","-",IF(raw[[#This Row],[city]]&lt;&gt;_xlfn.XLOOKUP(raw[[#This Row],[home]],homes[home],homes[city],"-"),1,0))</f>
        <v/>
      </c>
      <c r="T55" s="1398" t="inlineStr">
        <is>
          <t>.</t>
        </is>
      </c>
      <c r="U55" s="1399">
        <f>IF(raw[[#This Row],[wb]]="w",raw[[#This Row],[stay]]+U54,U54)</f>
        <v/>
      </c>
      <c r="V55" s="1400">
        <f>IF(raw[[#This Row],[out]]=0,V54,(raw[[#This Row],[out]]-E$5))</f>
        <v/>
      </c>
      <c r="W55" s="1401">
        <f>U55/V55</f>
        <v/>
      </c>
      <c r="X55" s="1378" t="inlineStr">
        <is>
          <t>.</t>
        </is>
      </c>
      <c r="Y55" s="1402">
        <f/>
        <v/>
      </c>
      <c r="Z55" s="1403">
        <f/>
        <v/>
      </c>
      <c r="AA55" s="1403">
        <f/>
        <v/>
      </c>
      <c r="AB55" s="1400">
        <f t="array" ref="AB55">_xlfn.LET(_xlpm.S,_xlfn.ANCHORARRAY($Y$4),_xlpm.r,ROWS(stayCity[[#Headers],[city]]:stayCity[[#This Row],[city]])-1,IF(_xlpm.r&lt;=ROWS(_xlpm.S),INDEX(_xlpm.S,_xlpm.r,1),""))</f>
        <v/>
      </c>
      <c r="AC55" s="1405">
        <f t="array" ref="AC55">_xlfn.LET(_xlpm.S,_xlfn.ANCHORARRAY($Y$4),_xlpm.r,ROWS(stayCity[[#Headers],[city]]:stayCity[[#This Row],[city]])-1,IF(_xlpm.r&lt;=ROWS(_xlpm.S),INDEX(_xlpm.S,_xlpm.r,2),""))</f>
        <v/>
      </c>
      <c r="AD55" s="1405">
        <f t="array" ref="AD55">_xlfn.LET(_xlpm.S,_xlfn.ANCHORARRAY($Y$4),_xlpm.r,ROWS(stayCity[[#Headers],[city]]:stayCity[[#This Row],[city]])-1,IF(_xlpm.r&lt;=ROWS(_xlpm.S),INDEX(_xlpm.S,_xlpm.r,3),""))</f>
        <v/>
      </c>
      <c r="AE55" s="1400">
        <f>IF(stayCity[[#This Row],[out]]&lt;&gt;"",stayCity[[#This Row],[out]]-stayCity[[#This Row],[in]],"-")</f>
        <v/>
      </c>
      <c r="AF55" s="1406">
        <f>IF(Y55="","-",YEAR(stayCity[[#This Row],[in]]))</f>
        <v/>
      </c>
      <c r="AG55" s="1398" t="inlineStr">
        <is>
          <t>.</t>
        </is>
      </c>
      <c r="AH55" s="1402">
        <f/>
        <v/>
      </c>
      <c r="AI55" s="1403">
        <f/>
        <v/>
      </c>
      <c r="AJ55" s="1403">
        <f/>
        <v/>
      </c>
      <c r="AK55" s="1400">
        <f>IF(AH55="","-",AH55)</f>
        <v/>
      </c>
      <c r="AL55" s="1405">
        <f>AI55</f>
        <v/>
      </c>
      <c r="AM55" s="1405">
        <f>AJ55</f>
        <v/>
      </c>
      <c r="AN55" s="1400">
        <f>stayCtry[[#This Row],[out]]-stayCtry[[#This Row],[in]]</f>
        <v/>
      </c>
      <c r="AO55" s="1406">
        <f>IF(AI55&lt;&gt;"",AO54+1,AO54)</f>
        <v/>
      </c>
      <c r="AP55" s="1398" t="inlineStr">
        <is>
          <t>.</t>
        </is>
      </c>
      <c r="AQ55" s="1402">
        <f/>
        <v/>
      </c>
      <c r="AR55" s="1403">
        <f/>
        <v/>
      </c>
      <c r="AS55" s="1403">
        <f/>
        <v/>
      </c>
      <c r="AT55" s="1400">
        <f>AQ55</f>
        <v/>
      </c>
      <c r="AU55" s="1405">
        <f>AR55</f>
        <v/>
      </c>
      <c r="AV55" s="1405">
        <f>AS55</f>
        <v/>
      </c>
      <c r="AW55" s="1400">
        <f>stayCont[[#This Row],[out]]-stayCont[[#This Row],[in]]</f>
        <v/>
      </c>
      <c r="AX55" s="1406">
        <f>IF(AR55&lt;&gt;"",AX54+1,AX54)</f>
        <v/>
      </c>
      <c r="AY55" s="1398" t="inlineStr">
        <is>
          <t>.</t>
        </is>
      </c>
      <c r="AZ55" s="1402" t="n"/>
      <c r="BA55" s="1403" t="n"/>
      <c r="BB55" s="1403" t="n"/>
      <c r="BC55" s="1405">
        <f>AZ55</f>
        <v/>
      </c>
      <c r="BD55" s="1405">
        <f>BA55</f>
        <v/>
      </c>
      <c r="BE55" s="1405">
        <f>BB55</f>
        <v/>
      </c>
      <c r="BF55" s="1400">
        <f>stayWB[[#This Row],[out]]-stayWB[[#This Row],[in]]</f>
        <v/>
      </c>
      <c r="BG55" s="1400">
        <f>IF(BB55&lt;&gt;"",BG54+1,BG54)</f>
        <v/>
      </c>
      <c r="BH55" s="1398" t="inlineStr">
        <is>
          <t>.</t>
        </is>
      </c>
      <c r="BI55" s="1402" t="inlineStr">
        <is>
          <t>NED</t>
        </is>
      </c>
      <c r="BJ55" s="1402" t="n">
        <v>1996</v>
      </c>
      <c r="BK55" s="1400">
        <f>BI55</f>
        <v/>
      </c>
      <c r="BL55" s="1409">
        <f>BJ55</f>
        <v/>
      </c>
      <c r="BM55" s="1378" t="inlineStr">
        <is>
          <t>.</t>
        </is>
      </c>
      <c r="BN55" s="1402" t="inlineStr">
        <is>
          <t>Z</t>
        </is>
      </c>
      <c r="BO55" s="1400">
        <f>BN55</f>
        <v/>
      </c>
      <c r="BP55" s="1398" t="inlineStr">
        <is>
          <t>.</t>
        </is>
      </c>
      <c r="BQ55" s="1400">
        <f>IF(BR55&lt;&gt;"",BQ54+1,BQ54)</f>
        <v/>
      </c>
      <c r="BR55" s="1411" t="inlineStr">
        <is>
          <t>SSA</t>
        </is>
      </c>
      <c r="BS55" s="1411" t="inlineStr">
        <is>
          <t>SP</t>
        </is>
      </c>
      <c r="BT55" s="1412" t="inlineStr">
        <is>
          <t>SSA-SP</t>
        </is>
      </c>
      <c r="BU55" s="1412" t="n">
        <v>34548</v>
      </c>
      <c r="BV55" s="1398" t="inlineStr">
        <is>
          <t>.</t>
        </is>
      </c>
      <c r="BW55" s="1400">
        <f>IF(BX55&lt;&gt;"",BW54+1,BW54)</f>
        <v/>
      </c>
      <c r="BX55" s="1411" t="n"/>
      <c r="BY55" s="1412" t="n"/>
      <c r="BZ55" s="1412" t="n"/>
      <c r="CA55" s="1414">
        <f>BZ55-BY55</f>
        <v/>
      </c>
      <c r="CB55" s="1398" t="inlineStr">
        <is>
          <t>.</t>
        </is>
      </c>
      <c r="CC55" s="1400">
        <f>IF(CD55&lt;&gt;"",CC54+1,CC54)</f>
        <v/>
      </c>
      <c r="CD55" s="1411" t="inlineStr">
        <is>
          <t>Renê/Humaitá</t>
        </is>
      </c>
      <c r="CE55" s="1412" t="n">
        <v>37274</v>
      </c>
      <c r="CF55" s="1412" t="n">
        <v>37288</v>
      </c>
      <c r="CG55" s="1415">
        <f>CF55-CE55</f>
        <v/>
      </c>
      <c r="CH55" s="1398" t="inlineStr">
        <is>
          <t>.</t>
        </is>
      </c>
      <c r="CI55" s="1400">
        <f>IF(CJ55&lt;&gt;"",CI54+1,CI54)</f>
        <v/>
      </c>
      <c r="CJ55" s="1402" t="inlineStr">
        <is>
          <t>Bike Trip</t>
        </is>
      </c>
      <c r="CK55" s="1391" t="inlineStr">
        <is>
          <t>.</t>
        </is>
      </c>
      <c r="CL55" s="1392" t="n"/>
    </row>
    <row r="56">
      <c r="A56" s="5" t="inlineStr">
        <is>
          <t>.</t>
        </is>
      </c>
      <c r="B56" s="5" t="inlineStr">
        <is>
          <t>.</t>
        </is>
      </c>
      <c r="C56" s="1378">
        <f>IF(raw[[#This Row],[city]]="","-",IF(raw[[#This Row],[city]]="TODAY","-",C55+1))</f>
        <v/>
      </c>
      <c r="D56" s="1393" t="inlineStr">
        <is>
          <t>SSA</t>
        </is>
      </c>
      <c r="E56" s="1394" t="n">
        <v>28918</v>
      </c>
      <c r="F56" s="1394" t="n">
        <v>29221</v>
      </c>
      <c r="G56" s="1393" t="inlineStr">
        <is>
          <t>-</t>
        </is>
      </c>
      <c r="H56" s="1393">
        <f>H55</f>
        <v/>
      </c>
      <c r="I56" s="1393" t="inlineStr">
        <is>
          <t>-</t>
        </is>
      </c>
      <c r="J56" s="1393" t="inlineStr">
        <is>
          <t>-</t>
        </is>
      </c>
      <c r="K56" s="1395">
        <f>IF(raw[[#This Row],[city]]&lt;&gt;"",_xlfn.XLOOKUP($D56,ccc[city],ccc[prov],"-"),"-")</f>
        <v/>
      </c>
      <c r="L56" s="1395">
        <f>IF(raw[[#This Row],[city]]&lt;&gt;"",_xlfn.XLOOKUP($D56,ccc[city],ccc[ctry],"-"),"-")</f>
        <v/>
      </c>
      <c r="M56" s="1395">
        <f>IF(raw[[#This Row],[city]]&lt;&gt;"",_xlfn.XLOOKUP($D56,ccc[city],ccc[cont],"-"),"-")</f>
        <v/>
      </c>
      <c r="N56" s="1396">
        <f>IF(raw[[#This Row],[city]]="","-",IF(raw[[#This Row],[cont]]="B",raw[[#This Row],[cont]],"W"))</f>
        <v/>
      </c>
      <c r="O56" s="1397">
        <f>IF(raw[[#This Row],[out]]=0,0,IF(raw[[#This Row],[out]]=raw[[#This Row],[in]],0.01,raw[[#This Row],[out]]-raw[[#This Row],[in]]))</f>
        <v/>
      </c>
      <c r="P56" s="1397">
        <f>IF(raw[[#This Row],[in]]=0,0,MONTH(raw[[#This Row],[in]]))</f>
        <v/>
      </c>
      <c r="Q56" s="1397">
        <f>IF(raw[[#This Row],[in]]=0,0,YEAR(raw[[#This Row],[in]]))</f>
        <v/>
      </c>
      <c r="R56" s="1397">
        <f>INT(raw[[#This Row],[yr]]/10)*10</f>
        <v/>
      </c>
      <c r="S56" s="1395">
        <f>IF(raw[[#This Row],[city]]="","-",IF(raw[[#This Row],[city]]&lt;&gt;_xlfn.XLOOKUP(raw[[#This Row],[home]],homes[home],homes[city],"-"),1,0))</f>
        <v/>
      </c>
      <c r="T56" s="1398" t="inlineStr">
        <is>
          <t>.</t>
        </is>
      </c>
      <c r="U56" s="1399">
        <f>IF(raw[[#This Row],[wb]]="w",raw[[#This Row],[stay]]+U55,U55)</f>
        <v/>
      </c>
      <c r="V56" s="1400">
        <f>IF(raw[[#This Row],[out]]=0,V55,(raw[[#This Row],[out]]-E$5))</f>
        <v/>
      </c>
      <c r="W56" s="1401">
        <f>U56/V56</f>
        <v/>
      </c>
      <c r="X56" s="1378" t="inlineStr">
        <is>
          <t>.</t>
        </is>
      </c>
      <c r="Y56" s="1402">
        <f/>
        <v/>
      </c>
      <c r="Z56" s="1403">
        <f/>
        <v/>
      </c>
      <c r="AA56" s="1403">
        <f/>
        <v/>
      </c>
      <c r="AB56" s="1400">
        <f t="array" ref="AB56">_xlfn.LET(_xlpm.S,_xlfn.ANCHORARRAY($Y$4),_xlpm.r,ROWS(stayCity[[#Headers],[city]]:stayCity[[#This Row],[city]])-1,IF(_xlpm.r&lt;=ROWS(_xlpm.S),INDEX(_xlpm.S,_xlpm.r,1),""))</f>
        <v/>
      </c>
      <c r="AC56" s="1405">
        <f t="array" ref="AC56">_xlfn.LET(_xlpm.S,_xlfn.ANCHORARRAY($Y$4),_xlpm.r,ROWS(stayCity[[#Headers],[city]]:stayCity[[#This Row],[city]])-1,IF(_xlpm.r&lt;=ROWS(_xlpm.S),INDEX(_xlpm.S,_xlpm.r,2),""))</f>
        <v/>
      </c>
      <c r="AD56" s="1405">
        <f t="array" ref="AD56">_xlfn.LET(_xlpm.S,_xlfn.ANCHORARRAY($Y$4),_xlpm.r,ROWS(stayCity[[#Headers],[city]]:stayCity[[#This Row],[city]])-1,IF(_xlpm.r&lt;=ROWS(_xlpm.S),INDEX(_xlpm.S,_xlpm.r,3),""))</f>
        <v/>
      </c>
      <c r="AE56" s="1400">
        <f>IF(stayCity[[#This Row],[out]]&lt;&gt;"",stayCity[[#This Row],[out]]-stayCity[[#This Row],[in]],"-")</f>
        <v/>
      </c>
      <c r="AF56" s="1406">
        <f>IF(Y56="","-",YEAR(stayCity[[#This Row],[in]]))</f>
        <v/>
      </c>
      <c r="AG56" s="1398" t="inlineStr">
        <is>
          <t>.</t>
        </is>
      </c>
      <c r="AH56" s="1402">
        <f/>
        <v/>
      </c>
      <c r="AI56" s="1403">
        <f/>
        <v/>
      </c>
      <c r="AJ56" s="1403">
        <f/>
        <v/>
      </c>
      <c r="AK56" s="1400">
        <f>IF(AH56="","-",AH56)</f>
        <v/>
      </c>
      <c r="AL56" s="1405">
        <f>AI56</f>
        <v/>
      </c>
      <c r="AM56" s="1405">
        <f>AJ56</f>
        <v/>
      </c>
      <c r="AN56" s="1400">
        <f>stayCtry[[#This Row],[out]]-stayCtry[[#This Row],[in]]</f>
        <v/>
      </c>
      <c r="AO56" s="1406">
        <f>IF(AI56&lt;&gt;"",AO55+1,AO55)</f>
        <v/>
      </c>
      <c r="AP56" s="1398" t="inlineStr">
        <is>
          <t>.</t>
        </is>
      </c>
      <c r="AQ56" s="1402">
        <f/>
        <v/>
      </c>
      <c r="AR56" s="1403">
        <f/>
        <v/>
      </c>
      <c r="AS56" s="1403">
        <f/>
        <v/>
      </c>
      <c r="AT56" s="1400">
        <f>AQ56</f>
        <v/>
      </c>
      <c r="AU56" s="1405">
        <f>AR56</f>
        <v/>
      </c>
      <c r="AV56" s="1405">
        <f>AS56</f>
        <v/>
      </c>
      <c r="AW56" s="1400">
        <f>stayCont[[#This Row],[out]]-stayCont[[#This Row],[in]]</f>
        <v/>
      </c>
      <c r="AX56" s="1406">
        <f>IF(AR56&lt;&gt;"",AX55+1,AX55)</f>
        <v/>
      </c>
      <c r="AY56" s="1398" t="inlineStr">
        <is>
          <t>.</t>
        </is>
      </c>
      <c r="AZ56" s="1402" t="n"/>
      <c r="BA56" s="1403" t="n"/>
      <c r="BB56" s="1403" t="n"/>
      <c r="BC56" s="1405">
        <f>AZ56</f>
        <v/>
      </c>
      <c r="BD56" s="1405">
        <f>BA56</f>
        <v/>
      </c>
      <c r="BE56" s="1405">
        <f>BB56</f>
        <v/>
      </c>
      <c r="BF56" s="1400">
        <f>stayWB[[#This Row],[out]]-stayWB[[#This Row],[in]]</f>
        <v/>
      </c>
      <c r="BG56" s="1400">
        <f>IF(BB56&lt;&gt;"",BG55+1,BG55)</f>
        <v/>
      </c>
      <c r="BH56" s="1398" t="inlineStr">
        <is>
          <t>.</t>
        </is>
      </c>
      <c r="BI56" s="1402" t="inlineStr">
        <is>
          <t>FRA</t>
        </is>
      </c>
      <c r="BJ56" s="1402" t="n">
        <v>1996</v>
      </c>
      <c r="BK56" s="1400">
        <f>BI56</f>
        <v/>
      </c>
      <c r="BL56" s="1409">
        <f>BJ56</f>
        <v/>
      </c>
      <c r="BM56" s="1378" t="inlineStr">
        <is>
          <t>.</t>
        </is>
      </c>
      <c r="BN56" s="1402" t="inlineStr">
        <is>
          <t>E</t>
        </is>
      </c>
      <c r="BO56" s="1400">
        <f>BN56</f>
        <v/>
      </c>
      <c r="BP56" s="1398" t="inlineStr">
        <is>
          <t>.</t>
        </is>
      </c>
      <c r="BQ56" s="1400">
        <f>IF(BR56&lt;&gt;"",BQ55+1,BQ55)</f>
        <v/>
      </c>
      <c r="BR56" s="1411" t="inlineStr">
        <is>
          <t>SP</t>
        </is>
      </c>
      <c r="BS56" s="1411" t="inlineStr">
        <is>
          <t>SSA</t>
        </is>
      </c>
      <c r="BT56" s="1412" t="inlineStr">
        <is>
          <t>SP-SSA</t>
        </is>
      </c>
      <c r="BU56" s="1412" t="n">
        <v>34564</v>
      </c>
      <c r="BV56" s="1398" t="inlineStr">
        <is>
          <t>.</t>
        </is>
      </c>
      <c r="BW56" s="1400">
        <f>IF(BX56&lt;&gt;"",BW55+1,BW55)</f>
        <v/>
      </c>
      <c r="BX56" s="1411" t="n"/>
      <c r="BY56" s="1412" t="n"/>
      <c r="BZ56" s="1412" t="n"/>
      <c r="CA56" s="1414">
        <f>BZ56-BY56</f>
        <v/>
      </c>
      <c r="CB56" s="1398" t="inlineStr">
        <is>
          <t>.</t>
        </is>
      </c>
      <c r="CC56" s="1400">
        <f>IF(CD56&lt;&gt;"",CC55+1,CC55)</f>
        <v/>
      </c>
      <c r="CD56" s="1411" t="inlineStr">
        <is>
          <t>Ondina</t>
        </is>
      </c>
      <c r="CE56" s="1412" t="n">
        <v>37288</v>
      </c>
      <c r="CF56" s="1412" t="n">
        <v>37304</v>
      </c>
      <c r="CG56" s="1415">
        <f>CF56-CE56</f>
        <v/>
      </c>
      <c r="CH56" s="1398" t="inlineStr">
        <is>
          <t>.</t>
        </is>
      </c>
      <c r="CI56" s="1400">
        <f>IF(CJ56&lt;&gt;"",CI55+1,CI55)</f>
        <v/>
      </c>
      <c r="CJ56" s="1402" t="inlineStr">
        <is>
          <t>Tatá/Araras</t>
        </is>
      </c>
      <c r="CK56" s="1391" t="inlineStr">
        <is>
          <t>.</t>
        </is>
      </c>
      <c r="CL56" s="1392" t="n"/>
    </row>
    <row r="57">
      <c r="A57" s="5" t="inlineStr">
        <is>
          <t>.</t>
        </is>
      </c>
      <c r="B57" s="5" t="inlineStr">
        <is>
          <t>.</t>
        </is>
      </c>
      <c r="C57" s="1378">
        <f>IF(raw[[#This Row],[city]]="","-",IF(raw[[#This Row],[city]]="TODAY","-",C56+1))</f>
        <v/>
      </c>
      <c r="D57" s="1393" t="inlineStr">
        <is>
          <t>SSA</t>
        </is>
      </c>
      <c r="E57" s="1394" t="n">
        <v>29221</v>
      </c>
      <c r="F57" s="1394" t="n">
        <v>29252</v>
      </c>
      <c r="G57" s="1393" t="inlineStr">
        <is>
          <t>-</t>
        </is>
      </c>
      <c r="H57" s="1393">
        <f>H56</f>
        <v/>
      </c>
      <c r="I57" s="1393" t="inlineStr">
        <is>
          <t>-</t>
        </is>
      </c>
      <c r="J57" s="1393" t="inlineStr">
        <is>
          <t>REV</t>
        </is>
      </c>
      <c r="K57" s="1395">
        <f>IF(raw[[#This Row],[city]]&lt;&gt;"",_xlfn.XLOOKUP($D57,ccc[city],ccc[prov],"-"),"-")</f>
        <v/>
      </c>
      <c r="L57" s="1395">
        <f>IF(raw[[#This Row],[city]]&lt;&gt;"",_xlfn.XLOOKUP($D57,ccc[city],ccc[ctry],"-"),"-")</f>
        <v/>
      </c>
      <c r="M57" s="1395">
        <f>IF(raw[[#This Row],[city]]&lt;&gt;"",_xlfn.XLOOKUP($D57,ccc[city],ccc[cont],"-"),"-")</f>
        <v/>
      </c>
      <c r="N57" s="1396">
        <f>IF(raw[[#This Row],[city]]="","-",IF(raw[[#This Row],[cont]]="B",raw[[#This Row],[cont]],"W"))</f>
        <v/>
      </c>
      <c r="O57" s="1397">
        <f>IF(raw[[#This Row],[out]]=0,0,IF(raw[[#This Row],[out]]=raw[[#This Row],[in]],0.01,raw[[#This Row],[out]]-raw[[#This Row],[in]]))</f>
        <v/>
      </c>
      <c r="P57" s="1397">
        <f>IF(raw[[#This Row],[in]]=0,0,MONTH(raw[[#This Row],[in]]))</f>
        <v/>
      </c>
      <c r="Q57" s="1397">
        <f>IF(raw[[#This Row],[in]]=0,0,YEAR(raw[[#This Row],[in]]))</f>
        <v/>
      </c>
      <c r="R57" s="1397">
        <f>INT(raw[[#This Row],[yr]]/10)*10</f>
        <v/>
      </c>
      <c r="S57" s="1395">
        <f>IF(raw[[#This Row],[city]]="","-",IF(raw[[#This Row],[city]]&lt;&gt;_xlfn.XLOOKUP(raw[[#This Row],[home]],homes[home],homes[city],"-"),1,0))</f>
        <v/>
      </c>
      <c r="T57" s="1398" t="inlineStr">
        <is>
          <t>.</t>
        </is>
      </c>
      <c r="U57" s="1399">
        <f>IF(raw[[#This Row],[wb]]="w",raw[[#This Row],[stay]]+U56,U56)</f>
        <v/>
      </c>
      <c r="V57" s="1400">
        <f>IF(raw[[#This Row],[out]]=0,V56,(raw[[#This Row],[out]]-E$5))</f>
        <v/>
      </c>
      <c r="W57" s="1401">
        <f>U57/V57</f>
        <v/>
      </c>
      <c r="X57" s="1378" t="inlineStr">
        <is>
          <t>.</t>
        </is>
      </c>
      <c r="Y57" s="1402">
        <f/>
        <v/>
      </c>
      <c r="Z57" s="1403">
        <f/>
        <v/>
      </c>
      <c r="AA57" s="1403">
        <f/>
        <v/>
      </c>
      <c r="AB57" s="1400">
        <f t="array" ref="AB57">_xlfn.LET(_xlpm.S,_xlfn.ANCHORARRAY($Y$4),_xlpm.r,ROWS(stayCity[[#Headers],[city]]:stayCity[[#This Row],[city]])-1,IF(_xlpm.r&lt;=ROWS(_xlpm.S),INDEX(_xlpm.S,_xlpm.r,1),""))</f>
        <v/>
      </c>
      <c r="AC57" s="1405">
        <f t="array" ref="AC57">_xlfn.LET(_xlpm.S,_xlfn.ANCHORARRAY($Y$4),_xlpm.r,ROWS(stayCity[[#Headers],[city]]:stayCity[[#This Row],[city]])-1,IF(_xlpm.r&lt;=ROWS(_xlpm.S),INDEX(_xlpm.S,_xlpm.r,2),""))</f>
        <v/>
      </c>
      <c r="AD57" s="1405">
        <f t="array" ref="AD57">_xlfn.LET(_xlpm.S,_xlfn.ANCHORARRAY($Y$4),_xlpm.r,ROWS(stayCity[[#Headers],[city]]:stayCity[[#This Row],[city]])-1,IF(_xlpm.r&lt;=ROWS(_xlpm.S),INDEX(_xlpm.S,_xlpm.r,3),""))</f>
        <v/>
      </c>
      <c r="AE57" s="1400">
        <f>IF(stayCity[[#This Row],[out]]&lt;&gt;"",stayCity[[#This Row],[out]]-stayCity[[#This Row],[in]],"-")</f>
        <v/>
      </c>
      <c r="AF57" s="1406">
        <f>IF(Y57="","-",YEAR(stayCity[[#This Row],[in]]))</f>
        <v/>
      </c>
      <c r="AG57" s="1398" t="inlineStr">
        <is>
          <t>.</t>
        </is>
      </c>
      <c r="AH57" s="1402">
        <f/>
        <v/>
      </c>
      <c r="AI57" s="1403">
        <f/>
        <v/>
      </c>
      <c r="AJ57" s="1403">
        <f/>
        <v/>
      </c>
      <c r="AK57" s="1400">
        <f>IF(AH57="","-",AH57)</f>
        <v/>
      </c>
      <c r="AL57" s="1405">
        <f>AI57</f>
        <v/>
      </c>
      <c r="AM57" s="1405">
        <f>AJ57</f>
        <v/>
      </c>
      <c r="AN57" s="1400">
        <f>stayCtry[[#This Row],[out]]-stayCtry[[#This Row],[in]]</f>
        <v/>
      </c>
      <c r="AO57" s="1406">
        <f>IF(AI57&lt;&gt;"",AO56+1,AO56)</f>
        <v/>
      </c>
      <c r="AP57" s="1398" t="inlineStr">
        <is>
          <t>.</t>
        </is>
      </c>
      <c r="AQ57" s="1402">
        <f/>
        <v/>
      </c>
      <c r="AR57" s="1403">
        <f/>
        <v/>
      </c>
      <c r="AS57" s="1403">
        <f/>
        <v/>
      </c>
      <c r="AT57" s="1400">
        <f>AQ57</f>
        <v/>
      </c>
      <c r="AU57" s="1405">
        <f>AR57</f>
        <v/>
      </c>
      <c r="AV57" s="1405">
        <f>AS57</f>
        <v/>
      </c>
      <c r="AW57" s="1400">
        <f>stayCont[[#This Row],[out]]-stayCont[[#This Row],[in]]</f>
        <v/>
      </c>
      <c r="AX57" s="1406">
        <f>IF(AR57&lt;&gt;"",AX56+1,AX56)</f>
        <v/>
      </c>
      <c r="AY57" s="1398" t="inlineStr">
        <is>
          <t>.</t>
        </is>
      </c>
      <c r="AZ57" s="1402" t="n"/>
      <c r="BA57" s="1403" t="n"/>
      <c r="BB57" s="1403" t="n"/>
      <c r="BC57" s="1405">
        <f>AZ57</f>
        <v/>
      </c>
      <c r="BD57" s="1405">
        <f>BA57</f>
        <v/>
      </c>
      <c r="BE57" s="1405">
        <f>BB57</f>
        <v/>
      </c>
      <c r="BF57" s="1400">
        <f>stayWB[[#This Row],[out]]-stayWB[[#This Row],[in]]</f>
        <v/>
      </c>
      <c r="BG57" s="1400">
        <f>IF(BB57&lt;&gt;"",BG56+1,BG56)</f>
        <v/>
      </c>
      <c r="BH57" s="1398" t="inlineStr">
        <is>
          <t>.</t>
        </is>
      </c>
      <c r="BI57" s="1402" t="inlineStr">
        <is>
          <t>UK</t>
        </is>
      </c>
      <c r="BJ57" s="1402" t="n">
        <v>1996</v>
      </c>
      <c r="BK57" s="1400">
        <f>BI57</f>
        <v/>
      </c>
      <c r="BL57" s="1409">
        <f>BJ57</f>
        <v/>
      </c>
      <c r="BM57" s="1378" t="inlineStr">
        <is>
          <t>.</t>
        </is>
      </c>
      <c r="BN57" s="1402" t="inlineStr">
        <is>
          <t>N</t>
        </is>
      </c>
      <c r="BO57" s="1400">
        <f>BN57</f>
        <v/>
      </c>
      <c r="BP57" s="1398" t="inlineStr">
        <is>
          <t>.</t>
        </is>
      </c>
      <c r="BQ57" s="1400">
        <f>IF(BR57&lt;&gt;"",BQ56+1,BQ56)</f>
        <v/>
      </c>
      <c r="BR57" s="1411" t="inlineStr">
        <is>
          <t>SSA</t>
        </is>
      </c>
      <c r="BS57" s="1411" t="inlineStr">
        <is>
          <t>SP</t>
        </is>
      </c>
      <c r="BT57" s="1412" t="inlineStr">
        <is>
          <t>SSA-SP</t>
        </is>
      </c>
      <c r="BU57" s="1412" t="n">
        <v>34578</v>
      </c>
      <c r="BV57" s="1398" t="inlineStr">
        <is>
          <t>.</t>
        </is>
      </c>
      <c r="BW57" s="1400">
        <f>IF(BX57&lt;&gt;"",BW56+1,BW56)</f>
        <v/>
      </c>
      <c r="BX57" s="1411" t="n"/>
      <c r="BY57" s="1412" t="n"/>
      <c r="BZ57" s="1412" t="n"/>
      <c r="CA57" s="1414">
        <f>BZ57-BY57</f>
        <v/>
      </c>
      <c r="CB57" s="1398" t="inlineStr">
        <is>
          <t>.</t>
        </is>
      </c>
      <c r="CC57" s="1400">
        <f>IF(CD57&lt;&gt;"",CC56+1,CC56)</f>
        <v/>
      </c>
      <c r="CD57" s="1411" t="inlineStr">
        <is>
          <t>Guaecá</t>
        </is>
      </c>
      <c r="CE57" s="1412" t="n">
        <v>37312</v>
      </c>
      <c r="CF57" s="1412" t="n">
        <v>37315</v>
      </c>
      <c r="CG57" s="1415">
        <f>CF57-CE57</f>
        <v/>
      </c>
      <c r="CH57" s="1398" t="inlineStr">
        <is>
          <t>.</t>
        </is>
      </c>
      <c r="CI57" s="1400">
        <f>IF(CJ57&lt;&gt;"",CI56+1,CI56)</f>
        <v/>
      </c>
      <c r="CJ57" s="1402" t="inlineStr">
        <is>
          <t>Tia Vera/apt</t>
        </is>
      </c>
      <c r="CK57" s="1391" t="inlineStr">
        <is>
          <t>.</t>
        </is>
      </c>
      <c r="CL57" s="1392" t="n"/>
    </row>
    <row r="58">
      <c r="A58" s="5" t="inlineStr">
        <is>
          <t>.</t>
        </is>
      </c>
      <c r="B58" s="5" t="inlineStr">
        <is>
          <t>.</t>
        </is>
      </c>
      <c r="C58" s="1378">
        <f>IF(raw[[#This Row],[city]]="","-",IF(raw[[#This Row],[city]]="TODAY","-",C57+1))</f>
        <v/>
      </c>
      <c r="D58" s="1393" t="inlineStr">
        <is>
          <t>SSA</t>
        </is>
      </c>
      <c r="E58" s="1394" t="n">
        <v>29252</v>
      </c>
      <c r="F58" s="1394" t="n">
        <v>29253</v>
      </c>
      <c r="G58" s="1393" t="inlineStr">
        <is>
          <t>-</t>
        </is>
      </c>
      <c r="H58" s="1393">
        <f>H57</f>
        <v/>
      </c>
      <c r="I58" s="1393" t="inlineStr">
        <is>
          <t>-</t>
        </is>
      </c>
      <c r="J58" s="1393" t="inlineStr">
        <is>
          <t>-</t>
        </is>
      </c>
      <c r="K58" s="1395">
        <f>IF(raw[[#This Row],[city]]&lt;&gt;"",_xlfn.XLOOKUP($D58,ccc[city],ccc[prov],"-"),"-")</f>
        <v/>
      </c>
      <c r="L58" s="1395">
        <f>IF(raw[[#This Row],[city]]&lt;&gt;"",_xlfn.XLOOKUP($D58,ccc[city],ccc[ctry],"-"),"-")</f>
        <v/>
      </c>
      <c r="M58" s="1395">
        <f>IF(raw[[#This Row],[city]]&lt;&gt;"",_xlfn.XLOOKUP($D58,ccc[city],ccc[cont],"-"),"-")</f>
        <v/>
      </c>
      <c r="N58" s="1396">
        <f>IF(raw[[#This Row],[city]]="","-",IF(raw[[#This Row],[cont]]="B",raw[[#This Row],[cont]],"W"))</f>
        <v/>
      </c>
      <c r="O58" s="1397">
        <f>IF(raw[[#This Row],[out]]=0,0,IF(raw[[#This Row],[out]]=raw[[#This Row],[in]],0.01,raw[[#This Row],[out]]-raw[[#This Row],[in]]))</f>
        <v/>
      </c>
      <c r="P58" s="1397">
        <f>IF(raw[[#This Row],[in]]=0,0,MONTH(raw[[#This Row],[in]]))</f>
        <v/>
      </c>
      <c r="Q58" s="1397">
        <f>IF(raw[[#This Row],[in]]=0,0,YEAR(raw[[#This Row],[in]]))</f>
        <v/>
      </c>
      <c r="R58" s="1397">
        <f>INT(raw[[#This Row],[yr]]/10)*10</f>
        <v/>
      </c>
      <c r="S58" s="1395">
        <f>IF(raw[[#This Row],[city]]="","-",IF(raw[[#This Row],[city]]&lt;&gt;_xlfn.XLOOKUP(raw[[#This Row],[home]],homes[home],homes[city],"-"),1,0))</f>
        <v/>
      </c>
      <c r="T58" s="1398" t="inlineStr">
        <is>
          <t>.</t>
        </is>
      </c>
      <c r="U58" s="1399">
        <f>IF(raw[[#This Row],[wb]]="w",raw[[#This Row],[stay]]+U57,U57)</f>
        <v/>
      </c>
      <c r="V58" s="1400">
        <f>IF(raw[[#This Row],[out]]=0,V57,(raw[[#This Row],[out]]-E$5))</f>
        <v/>
      </c>
      <c r="W58" s="1401">
        <f>U58/V58</f>
        <v/>
      </c>
      <c r="X58" s="1378" t="inlineStr">
        <is>
          <t>.</t>
        </is>
      </c>
      <c r="Y58" s="1402">
        <f/>
        <v/>
      </c>
      <c r="Z58" s="1403">
        <f/>
        <v/>
      </c>
      <c r="AA58" s="1403">
        <f/>
        <v/>
      </c>
      <c r="AB58" s="1400">
        <f t="array" ref="AB58">_xlfn.LET(_xlpm.S,_xlfn.ANCHORARRAY($Y$4),_xlpm.r,ROWS(stayCity[[#Headers],[city]]:stayCity[[#This Row],[city]])-1,IF(_xlpm.r&lt;=ROWS(_xlpm.S),INDEX(_xlpm.S,_xlpm.r,1),""))</f>
        <v/>
      </c>
      <c r="AC58" s="1405">
        <f t="array" ref="AC58">_xlfn.LET(_xlpm.S,_xlfn.ANCHORARRAY($Y$4),_xlpm.r,ROWS(stayCity[[#Headers],[city]]:stayCity[[#This Row],[city]])-1,IF(_xlpm.r&lt;=ROWS(_xlpm.S),INDEX(_xlpm.S,_xlpm.r,2),""))</f>
        <v/>
      </c>
      <c r="AD58" s="1405">
        <f t="array" ref="AD58">_xlfn.LET(_xlpm.S,_xlfn.ANCHORARRAY($Y$4),_xlpm.r,ROWS(stayCity[[#Headers],[city]]:stayCity[[#This Row],[city]])-1,IF(_xlpm.r&lt;=ROWS(_xlpm.S),INDEX(_xlpm.S,_xlpm.r,3),""))</f>
        <v/>
      </c>
      <c r="AE58" s="1400">
        <f>IF(stayCity[[#This Row],[out]]&lt;&gt;"",stayCity[[#This Row],[out]]-stayCity[[#This Row],[in]],"-")</f>
        <v/>
      </c>
      <c r="AF58" s="1406">
        <f>IF(Y58="","-",YEAR(stayCity[[#This Row],[in]]))</f>
        <v/>
      </c>
      <c r="AG58" s="1398" t="inlineStr">
        <is>
          <t>.</t>
        </is>
      </c>
      <c r="AH58" s="1402">
        <f/>
        <v/>
      </c>
      <c r="AI58" s="1403">
        <f/>
        <v/>
      </c>
      <c r="AJ58" s="1403">
        <f/>
        <v/>
      </c>
      <c r="AK58" s="1400">
        <f>IF(AH58="","-",AH58)</f>
        <v/>
      </c>
      <c r="AL58" s="1405">
        <f>AI58</f>
        <v/>
      </c>
      <c r="AM58" s="1405">
        <f>AJ58</f>
        <v/>
      </c>
      <c r="AN58" s="1400">
        <f>stayCtry[[#This Row],[out]]-stayCtry[[#This Row],[in]]</f>
        <v/>
      </c>
      <c r="AO58" s="1406">
        <f>IF(AI58&lt;&gt;"",AO57+1,AO57)</f>
        <v/>
      </c>
      <c r="AP58" s="1398" t="inlineStr">
        <is>
          <t>.</t>
        </is>
      </c>
      <c r="AQ58" s="1402">
        <f/>
        <v/>
      </c>
      <c r="AR58" s="1403">
        <f/>
        <v/>
      </c>
      <c r="AS58" s="1403">
        <f/>
        <v/>
      </c>
      <c r="AT58" s="1400">
        <f>AQ58</f>
        <v/>
      </c>
      <c r="AU58" s="1405">
        <f>AR58</f>
        <v/>
      </c>
      <c r="AV58" s="1405">
        <f>AS58</f>
        <v/>
      </c>
      <c r="AW58" s="1400">
        <f>stayCont[[#This Row],[out]]-stayCont[[#This Row],[in]]</f>
        <v/>
      </c>
      <c r="AX58" s="1406">
        <f>IF(AR58&lt;&gt;"",AX57+1,AX57)</f>
        <v/>
      </c>
      <c r="AY58" s="1398" t="inlineStr">
        <is>
          <t>.</t>
        </is>
      </c>
      <c r="AZ58" s="1402" t="n"/>
      <c r="BA58" s="1403" t="n"/>
      <c r="BB58" s="1403" t="n"/>
      <c r="BC58" s="1405">
        <f>AZ58</f>
        <v/>
      </c>
      <c r="BD58" s="1405">
        <f>BA58</f>
        <v/>
      </c>
      <c r="BE58" s="1405">
        <f>BB58</f>
        <v/>
      </c>
      <c r="BF58" s="1400">
        <f>stayWB[[#This Row],[out]]-stayWB[[#This Row],[in]]</f>
        <v/>
      </c>
      <c r="BG58" s="1400">
        <f>IF(BB58&lt;&gt;"",BG57+1,BG57)</f>
        <v/>
      </c>
      <c r="BH58" s="1398" t="inlineStr">
        <is>
          <t>.</t>
        </is>
      </c>
      <c r="BI58" s="1402" t="inlineStr">
        <is>
          <t>BRA</t>
        </is>
      </c>
      <c r="BJ58" s="1402" t="n">
        <v>1996</v>
      </c>
      <c r="BK58" s="1400">
        <f>BI58</f>
        <v/>
      </c>
      <c r="BL58" s="1409">
        <f>BJ58</f>
        <v/>
      </c>
      <c r="BM58" s="1378" t="inlineStr">
        <is>
          <t>.</t>
        </is>
      </c>
      <c r="BN58" s="1402" t="inlineStr">
        <is>
          <t>E</t>
        </is>
      </c>
      <c r="BO58" s="1400">
        <f>BN58</f>
        <v/>
      </c>
      <c r="BP58" s="1398" t="inlineStr">
        <is>
          <t>.</t>
        </is>
      </c>
      <c r="BQ58" s="1400">
        <f>IF(BR58&lt;&gt;"",BQ57+1,BQ57)</f>
        <v/>
      </c>
      <c r="BR58" s="1411" t="inlineStr">
        <is>
          <t>SP</t>
        </is>
      </c>
      <c r="BS58" s="1411" t="inlineStr">
        <is>
          <t>SSA</t>
        </is>
      </c>
      <c r="BT58" s="1412" t="inlineStr">
        <is>
          <t>SP-SSA</t>
        </is>
      </c>
      <c r="BU58" s="1412" t="n">
        <v>34669</v>
      </c>
      <c r="BV58" s="1398" t="inlineStr">
        <is>
          <t>.</t>
        </is>
      </c>
      <c r="BW58" s="1400">
        <f>IF(BX58&lt;&gt;"",BW57+1,BW57)</f>
        <v/>
      </c>
      <c r="BX58" s="1411" t="n"/>
      <c r="BY58" s="1412" t="n"/>
      <c r="BZ58" s="1412" t="n"/>
      <c r="CA58" s="1414">
        <f>BZ58-BY58</f>
        <v/>
      </c>
      <c r="CB58" s="1398" t="inlineStr">
        <is>
          <t>.</t>
        </is>
      </c>
      <c r="CC58" s="1400">
        <f>IF(CD58&lt;&gt;"",CC57+1,CC57)</f>
        <v/>
      </c>
      <c r="CD58" s="1411" t="inlineStr">
        <is>
          <t>Guaecá</t>
        </is>
      </c>
      <c r="CE58" s="1412" t="n">
        <v>37344</v>
      </c>
      <c r="CF58" s="1412" t="n">
        <v>37347</v>
      </c>
      <c r="CG58" s="1415">
        <f>CF58-CE58</f>
        <v/>
      </c>
      <c r="CH58" s="1398" t="inlineStr">
        <is>
          <t>.</t>
        </is>
      </c>
      <c r="CI58" s="1400">
        <f>IF(CJ58&lt;&gt;"",CI57+1,CI57)</f>
        <v/>
      </c>
      <c r="CJ58" s="1402" t="inlineStr">
        <is>
          <t>Mike</t>
        </is>
      </c>
      <c r="CK58" s="1391" t="inlineStr">
        <is>
          <t>.</t>
        </is>
      </c>
      <c r="CL58" s="1392" t="n"/>
    </row>
    <row r="59">
      <c r="A59" s="5" t="inlineStr">
        <is>
          <t>.</t>
        </is>
      </c>
      <c r="B59" s="5" t="inlineStr">
        <is>
          <t>.</t>
        </is>
      </c>
      <c r="C59" s="1378">
        <f>IF(raw[[#This Row],[city]]="","-",IF(raw[[#This Row],[city]]="TODAY","-",C58+1))</f>
        <v/>
      </c>
      <c r="D59" s="1393" t="inlineStr">
        <is>
          <t>Aracaju</t>
        </is>
      </c>
      <c r="E59" s="1394" t="n">
        <v>29253</v>
      </c>
      <c r="F59" s="1394" t="n">
        <v>29254</v>
      </c>
      <c r="G59" s="1393" t="n">
        <v>1</v>
      </c>
      <c r="H59" s="1393">
        <f>H58</f>
        <v/>
      </c>
      <c r="I59" s="1393" t="inlineStr">
        <is>
          <t>-</t>
        </is>
      </c>
      <c r="J59" s="1393" t="inlineStr">
        <is>
          <t>-</t>
        </is>
      </c>
      <c r="K59" s="1395">
        <f>IF(raw[[#This Row],[city]]&lt;&gt;"",_xlfn.XLOOKUP($D59,ccc[city],ccc[prov],"-"),"-")</f>
        <v/>
      </c>
      <c r="L59" s="1395">
        <f>IF(raw[[#This Row],[city]]&lt;&gt;"",_xlfn.XLOOKUP($D59,ccc[city],ccc[ctry],"-"),"-")</f>
        <v/>
      </c>
      <c r="M59" s="1395">
        <f>IF(raw[[#This Row],[city]]&lt;&gt;"",_xlfn.XLOOKUP($D59,ccc[city],ccc[cont],"-"),"-")</f>
        <v/>
      </c>
      <c r="N59" s="1396">
        <f>IF(raw[[#This Row],[city]]="","-",IF(raw[[#This Row],[cont]]="B",raw[[#This Row],[cont]],"W"))</f>
        <v/>
      </c>
      <c r="O59" s="1397">
        <f>IF(raw[[#This Row],[out]]=0,0,IF(raw[[#This Row],[out]]=raw[[#This Row],[in]],0.01,raw[[#This Row],[out]]-raw[[#This Row],[in]]))</f>
        <v/>
      </c>
      <c r="P59" s="1397">
        <f>IF(raw[[#This Row],[in]]=0,0,MONTH(raw[[#This Row],[in]]))</f>
        <v/>
      </c>
      <c r="Q59" s="1397">
        <f>IF(raw[[#This Row],[in]]=0,0,YEAR(raw[[#This Row],[in]]))</f>
        <v/>
      </c>
      <c r="R59" s="1397">
        <f>INT(raw[[#This Row],[yr]]/10)*10</f>
        <v/>
      </c>
      <c r="S59" s="1395">
        <f>IF(raw[[#This Row],[city]]="","-",IF(raw[[#This Row],[city]]&lt;&gt;_xlfn.XLOOKUP(raw[[#This Row],[home]],homes[home],homes[city],"-"),1,0))</f>
        <v/>
      </c>
      <c r="T59" s="1398" t="inlineStr">
        <is>
          <t>.</t>
        </is>
      </c>
      <c r="U59" s="1399">
        <f>IF(raw[[#This Row],[wb]]="w",raw[[#This Row],[stay]]+U58,U58)</f>
        <v/>
      </c>
      <c r="V59" s="1400">
        <f>IF(raw[[#This Row],[out]]=0,V58,(raw[[#This Row],[out]]-E$5))</f>
        <v/>
      </c>
      <c r="W59" s="1401">
        <f>U59/V59</f>
        <v/>
      </c>
      <c r="X59" s="1378" t="inlineStr">
        <is>
          <t>.</t>
        </is>
      </c>
      <c r="Y59" s="1402">
        <f/>
        <v/>
      </c>
      <c r="Z59" s="1403">
        <f/>
        <v/>
      </c>
      <c r="AA59" s="1403">
        <f/>
        <v/>
      </c>
      <c r="AB59" s="1400">
        <f t="array" ref="AB59">_xlfn.LET(_xlpm.S,_xlfn.ANCHORARRAY($Y$4),_xlpm.r,ROWS(stayCity[[#Headers],[city]]:stayCity[[#This Row],[city]])-1,IF(_xlpm.r&lt;=ROWS(_xlpm.S),INDEX(_xlpm.S,_xlpm.r,1),""))</f>
        <v/>
      </c>
      <c r="AC59" s="1405">
        <f t="array" ref="AC59">_xlfn.LET(_xlpm.S,_xlfn.ANCHORARRAY($Y$4),_xlpm.r,ROWS(stayCity[[#Headers],[city]]:stayCity[[#This Row],[city]])-1,IF(_xlpm.r&lt;=ROWS(_xlpm.S),INDEX(_xlpm.S,_xlpm.r,2),""))</f>
        <v/>
      </c>
      <c r="AD59" s="1405">
        <f t="array" ref="AD59">_xlfn.LET(_xlpm.S,_xlfn.ANCHORARRAY($Y$4),_xlpm.r,ROWS(stayCity[[#Headers],[city]]:stayCity[[#This Row],[city]])-1,IF(_xlpm.r&lt;=ROWS(_xlpm.S),INDEX(_xlpm.S,_xlpm.r,3),""))</f>
        <v/>
      </c>
      <c r="AE59" s="1400">
        <f>IF(stayCity[[#This Row],[out]]&lt;&gt;"",stayCity[[#This Row],[out]]-stayCity[[#This Row],[in]],"-")</f>
        <v/>
      </c>
      <c r="AF59" s="1406">
        <f>IF(Y59="","-",YEAR(stayCity[[#This Row],[in]]))</f>
        <v/>
      </c>
      <c r="AG59" s="1398" t="inlineStr">
        <is>
          <t>.</t>
        </is>
      </c>
      <c r="AH59" s="1402">
        <f/>
        <v/>
      </c>
      <c r="AI59" s="1403">
        <f/>
        <v/>
      </c>
      <c r="AJ59" s="1403">
        <f/>
        <v/>
      </c>
      <c r="AK59" s="1400">
        <f>IF(AH59="","-",AH59)</f>
        <v/>
      </c>
      <c r="AL59" s="1405">
        <f>AI59</f>
        <v/>
      </c>
      <c r="AM59" s="1405">
        <f>AJ59</f>
        <v/>
      </c>
      <c r="AN59" s="1400">
        <f>stayCtry[[#This Row],[out]]-stayCtry[[#This Row],[in]]</f>
        <v/>
      </c>
      <c r="AO59" s="1406">
        <f>IF(AI59&lt;&gt;"",AO58+1,AO58)</f>
        <v/>
      </c>
      <c r="AP59" s="1398" t="inlineStr">
        <is>
          <t>.</t>
        </is>
      </c>
      <c r="AQ59" s="1402">
        <f/>
        <v/>
      </c>
      <c r="AR59" s="1403">
        <f/>
        <v/>
      </c>
      <c r="AS59" s="1403">
        <f/>
        <v/>
      </c>
      <c r="AT59" s="1400">
        <f>AQ59</f>
        <v/>
      </c>
      <c r="AU59" s="1405">
        <f>AR59</f>
        <v/>
      </c>
      <c r="AV59" s="1405">
        <f>AS59</f>
        <v/>
      </c>
      <c r="AW59" s="1400">
        <f>stayCont[[#This Row],[out]]-stayCont[[#This Row],[in]]</f>
        <v/>
      </c>
      <c r="AX59" s="1406">
        <f>IF(AR59&lt;&gt;"",AX58+1,AX58)</f>
        <v/>
      </c>
      <c r="AY59" s="1398" t="inlineStr">
        <is>
          <t>.</t>
        </is>
      </c>
      <c r="AZ59" s="1402" t="n"/>
      <c r="BA59" s="1403" t="n"/>
      <c r="BB59" s="1403" t="n"/>
      <c r="BC59" s="1405">
        <f>AZ59</f>
        <v/>
      </c>
      <c r="BD59" s="1405">
        <f>BA59</f>
        <v/>
      </c>
      <c r="BE59" s="1405">
        <f>BB59</f>
        <v/>
      </c>
      <c r="BF59" s="1400">
        <f>stayWB[[#This Row],[out]]-stayWB[[#This Row],[in]]</f>
        <v/>
      </c>
      <c r="BG59" s="1400">
        <f>IF(BB59&lt;&gt;"",BG58+1,BG58)</f>
        <v/>
      </c>
      <c r="BH59" s="1398" t="inlineStr">
        <is>
          <t>.</t>
        </is>
      </c>
      <c r="BI59" s="1402" t="inlineStr">
        <is>
          <t>DEU</t>
        </is>
      </c>
      <c r="BJ59" s="1402" t="n">
        <v>1997</v>
      </c>
      <c r="BK59" s="1400">
        <f>BI59</f>
        <v/>
      </c>
      <c r="BL59" s="1409">
        <f>BJ59</f>
        <v/>
      </c>
      <c r="BM59" s="1378" t="inlineStr">
        <is>
          <t>.</t>
        </is>
      </c>
      <c r="BN59" s="1402" t="inlineStr">
        <is>
          <t>N</t>
        </is>
      </c>
      <c r="BO59" s="1400">
        <f>BN59</f>
        <v/>
      </c>
      <c r="BP59" s="1398" t="inlineStr">
        <is>
          <t>.</t>
        </is>
      </c>
      <c r="BQ59" s="1400">
        <f>IF(BR59&lt;&gt;"",BQ58+1,BQ58)</f>
        <v/>
      </c>
      <c r="BR59" s="1411" t="inlineStr">
        <is>
          <t>SSA</t>
        </is>
      </c>
      <c r="BS59" s="1411" t="inlineStr">
        <is>
          <t>Lisbon</t>
        </is>
      </c>
      <c r="BT59" s="1412" t="inlineStr">
        <is>
          <t>SSA-Lisbon</t>
        </is>
      </c>
      <c r="BU59" s="1412" t="n">
        <v>34727</v>
      </c>
      <c r="BV59" s="1398" t="inlineStr">
        <is>
          <t>.</t>
        </is>
      </c>
      <c r="BW59" s="1400">
        <f>IF(BX59&lt;&gt;"",BW58+1,BW58)</f>
        <v/>
      </c>
      <c r="BX59" s="1411" t="n"/>
      <c r="BY59" s="1412" t="n"/>
      <c r="BZ59" s="1412" t="n"/>
      <c r="CA59" s="1414">
        <f>BZ59-BY59</f>
        <v/>
      </c>
      <c r="CB59" s="1398" t="inlineStr">
        <is>
          <t>.</t>
        </is>
      </c>
      <c r="CC59" s="1400">
        <f>IF(CD59&lt;&gt;"",CC58+1,CC58)</f>
        <v/>
      </c>
      <c r="CD59" s="1411" t="inlineStr">
        <is>
          <t>Ondina</t>
        </is>
      </c>
      <c r="CE59" s="1412" t="n">
        <v>37423</v>
      </c>
      <c r="CF59" s="1412" t="n">
        <v>37427</v>
      </c>
      <c r="CG59" s="1415">
        <f>CF59-CE59</f>
        <v/>
      </c>
      <c r="CH59" s="1398" t="inlineStr">
        <is>
          <t>.</t>
        </is>
      </c>
      <c r="CI59" s="1400">
        <f>IF(CJ59&lt;&gt;"",CI58+1,CI58)</f>
        <v/>
      </c>
      <c r="CJ59" s="1402" t="inlineStr">
        <is>
          <t>Holiday Inn/Airbnb</t>
        </is>
      </c>
      <c r="CK59" s="1391" t="inlineStr">
        <is>
          <t>.</t>
        </is>
      </c>
      <c r="CL59" s="1392" t="n"/>
    </row>
    <row r="60">
      <c r="A60" s="5" t="inlineStr">
        <is>
          <t>.</t>
        </is>
      </c>
      <c r="B60" s="5" t="inlineStr">
        <is>
          <t>.</t>
        </is>
      </c>
      <c r="C60" s="1378">
        <f>IF(raw[[#This Row],[city]]="","-",IF(raw[[#This Row],[city]]="TODAY","-",C59+1))</f>
        <v/>
      </c>
      <c r="D60" s="1393" t="inlineStr">
        <is>
          <t>SSA</t>
        </is>
      </c>
      <c r="E60" s="1394" t="n">
        <v>29254</v>
      </c>
      <c r="F60" s="1394" t="n">
        <v>29587</v>
      </c>
      <c r="G60" s="1393" t="inlineStr">
        <is>
          <t>-</t>
        </is>
      </c>
      <c r="H60" s="1393">
        <f>H59</f>
        <v/>
      </c>
      <c r="I60" s="1393" t="inlineStr">
        <is>
          <t>-</t>
        </is>
      </c>
      <c r="J60" s="1393" t="inlineStr">
        <is>
          <t>-</t>
        </is>
      </c>
      <c r="K60" s="1395">
        <f>IF(raw[[#This Row],[city]]&lt;&gt;"",_xlfn.XLOOKUP($D60,ccc[city],ccc[prov],"-"),"-")</f>
        <v/>
      </c>
      <c r="L60" s="1395">
        <f>IF(raw[[#This Row],[city]]&lt;&gt;"",_xlfn.XLOOKUP($D60,ccc[city],ccc[ctry],"-"),"-")</f>
        <v/>
      </c>
      <c r="M60" s="1395">
        <f>IF(raw[[#This Row],[city]]&lt;&gt;"",_xlfn.XLOOKUP($D60,ccc[city],ccc[cont],"-"),"-")</f>
        <v/>
      </c>
      <c r="N60" s="1396">
        <f>IF(raw[[#This Row],[city]]="","-",IF(raw[[#This Row],[cont]]="B",raw[[#This Row],[cont]],"W"))</f>
        <v/>
      </c>
      <c r="O60" s="1397">
        <f>IF(raw[[#This Row],[out]]=0,0,IF(raw[[#This Row],[out]]=raw[[#This Row],[in]],0.01,raw[[#This Row],[out]]-raw[[#This Row],[in]]))</f>
        <v/>
      </c>
      <c r="P60" s="1397">
        <f>IF(raw[[#This Row],[in]]=0,0,MONTH(raw[[#This Row],[in]]))</f>
        <v/>
      </c>
      <c r="Q60" s="1397">
        <f>IF(raw[[#This Row],[in]]=0,0,YEAR(raw[[#This Row],[in]]))</f>
        <v/>
      </c>
      <c r="R60" s="1397">
        <f>INT(raw[[#This Row],[yr]]/10)*10</f>
        <v/>
      </c>
      <c r="S60" s="1395">
        <f>IF(raw[[#This Row],[city]]="","-",IF(raw[[#This Row],[city]]&lt;&gt;_xlfn.XLOOKUP(raw[[#This Row],[home]],homes[home],homes[city],"-"),1,0))</f>
        <v/>
      </c>
      <c r="T60" s="1398" t="inlineStr">
        <is>
          <t>.</t>
        </is>
      </c>
      <c r="U60" s="1399">
        <f>IF(raw[[#This Row],[wb]]="w",raw[[#This Row],[stay]]+U59,U59)</f>
        <v/>
      </c>
      <c r="V60" s="1400">
        <f>IF(raw[[#This Row],[out]]=0,V59,(raw[[#This Row],[out]]-E$5))</f>
        <v/>
      </c>
      <c r="W60" s="1401">
        <f>U60/V60</f>
        <v/>
      </c>
      <c r="X60" s="1378" t="inlineStr">
        <is>
          <t>.</t>
        </is>
      </c>
      <c r="Y60" s="1402">
        <f/>
        <v/>
      </c>
      <c r="Z60" s="1403">
        <f/>
        <v/>
      </c>
      <c r="AA60" s="1403">
        <f/>
        <v/>
      </c>
      <c r="AB60" s="1400">
        <f t="array" ref="AB60">_xlfn.LET(_xlpm.S,_xlfn.ANCHORARRAY($Y$4),_xlpm.r,ROWS(stayCity[[#Headers],[city]]:stayCity[[#This Row],[city]])-1,IF(_xlpm.r&lt;=ROWS(_xlpm.S),INDEX(_xlpm.S,_xlpm.r,1),""))</f>
        <v/>
      </c>
      <c r="AC60" s="1405">
        <f t="array" ref="AC60">_xlfn.LET(_xlpm.S,_xlfn.ANCHORARRAY($Y$4),_xlpm.r,ROWS(stayCity[[#Headers],[city]]:stayCity[[#This Row],[city]])-1,IF(_xlpm.r&lt;=ROWS(_xlpm.S),INDEX(_xlpm.S,_xlpm.r,2),""))</f>
        <v/>
      </c>
      <c r="AD60" s="1405">
        <f t="array" ref="AD60">_xlfn.LET(_xlpm.S,_xlfn.ANCHORARRAY($Y$4),_xlpm.r,ROWS(stayCity[[#Headers],[city]]:stayCity[[#This Row],[city]])-1,IF(_xlpm.r&lt;=ROWS(_xlpm.S),INDEX(_xlpm.S,_xlpm.r,3),""))</f>
        <v/>
      </c>
      <c r="AE60" s="1400">
        <f>IF(stayCity[[#This Row],[out]]&lt;&gt;"",stayCity[[#This Row],[out]]-stayCity[[#This Row],[in]],"-")</f>
        <v/>
      </c>
      <c r="AF60" s="1406">
        <f>IF(Y60="","-",YEAR(stayCity[[#This Row],[in]]))</f>
        <v/>
      </c>
      <c r="AG60" s="1398" t="inlineStr">
        <is>
          <t>.</t>
        </is>
      </c>
      <c r="AH60" s="1402">
        <f/>
        <v/>
      </c>
      <c r="AI60" s="1403">
        <f/>
        <v/>
      </c>
      <c r="AJ60" s="1403">
        <f/>
        <v/>
      </c>
      <c r="AK60" s="1400">
        <f>IF(AH60="","-",AH60)</f>
        <v/>
      </c>
      <c r="AL60" s="1405">
        <f>AI60</f>
        <v/>
      </c>
      <c r="AM60" s="1405">
        <f>AJ60</f>
        <v/>
      </c>
      <c r="AN60" s="1400">
        <f>stayCtry[[#This Row],[out]]-stayCtry[[#This Row],[in]]</f>
        <v/>
      </c>
      <c r="AO60" s="1406">
        <f>IF(AI60&lt;&gt;"",AO59+1,AO59)</f>
        <v/>
      </c>
      <c r="AP60" s="1398" t="inlineStr">
        <is>
          <t>.</t>
        </is>
      </c>
      <c r="AQ60" s="1402">
        <f/>
        <v/>
      </c>
      <c r="AR60" s="1403">
        <f/>
        <v/>
      </c>
      <c r="AS60" s="1403">
        <f/>
        <v/>
      </c>
      <c r="AT60" s="1400">
        <f>AQ60</f>
        <v/>
      </c>
      <c r="AU60" s="1405">
        <f>AR60</f>
        <v/>
      </c>
      <c r="AV60" s="1405">
        <f>AS60</f>
        <v/>
      </c>
      <c r="AW60" s="1400">
        <f>stayCont[[#This Row],[out]]-stayCont[[#This Row],[in]]</f>
        <v/>
      </c>
      <c r="AX60" s="1406">
        <f>IF(AR60&lt;&gt;"",AX59+1,AX59)</f>
        <v/>
      </c>
      <c r="AY60" s="1398" t="inlineStr">
        <is>
          <t>.</t>
        </is>
      </c>
      <c r="AZ60" s="1402" t="n"/>
      <c r="BA60" s="1403" t="n"/>
      <c r="BB60" s="1403" t="n"/>
      <c r="BC60" s="1405">
        <f>AZ60</f>
        <v/>
      </c>
      <c r="BD60" s="1405">
        <f>BA60</f>
        <v/>
      </c>
      <c r="BE60" s="1405">
        <f>BB60</f>
        <v/>
      </c>
      <c r="BF60" s="1400">
        <f>stayWB[[#This Row],[out]]-stayWB[[#This Row],[in]]</f>
        <v/>
      </c>
      <c r="BG60" s="1400">
        <f>IF(BB60&lt;&gt;"",BG59+1,BG59)</f>
        <v/>
      </c>
      <c r="BH60" s="1398" t="inlineStr">
        <is>
          <t>.</t>
        </is>
      </c>
      <c r="BI60" s="1402" t="inlineStr">
        <is>
          <t>FRA</t>
        </is>
      </c>
      <c r="BJ60" s="1402" t="n">
        <v>1997</v>
      </c>
      <c r="BK60" s="1400">
        <f>BI60</f>
        <v/>
      </c>
      <c r="BL60" s="1409">
        <f>BJ60</f>
        <v/>
      </c>
      <c r="BM60" s="1378" t="inlineStr">
        <is>
          <t>.</t>
        </is>
      </c>
      <c r="BN60" s="1402" t="inlineStr">
        <is>
          <t>Z</t>
        </is>
      </c>
      <c r="BO60" s="1400">
        <f>BN60</f>
        <v/>
      </c>
      <c r="BP60" s="1398" t="inlineStr">
        <is>
          <t>.</t>
        </is>
      </c>
      <c r="BQ60" s="1400">
        <f>IF(BR60&lt;&gt;"",BQ59+1,BQ59)</f>
        <v/>
      </c>
      <c r="BR60" s="1411" t="inlineStr">
        <is>
          <t>Lisbon</t>
        </is>
      </c>
      <c r="BS60" s="1411" t="inlineStr">
        <is>
          <t>SSA</t>
        </is>
      </c>
      <c r="BT60" s="1412" t="inlineStr">
        <is>
          <t>Lisbon-SSA</t>
        </is>
      </c>
      <c r="BU60" s="1412" t="n">
        <v>34751</v>
      </c>
      <c r="BV60" s="1398" t="inlineStr">
        <is>
          <t>.</t>
        </is>
      </c>
      <c r="BW60" s="1400">
        <f>IF(BX60&lt;&gt;"",BW59+1,BW59)</f>
        <v/>
      </c>
      <c r="BX60" s="1411" t="n"/>
      <c r="BY60" s="1412" t="n"/>
      <c r="BZ60" s="1412" t="n"/>
      <c r="CA60" s="1414">
        <f>BZ60-BY60</f>
        <v/>
      </c>
      <c r="CB60" s="1398" t="inlineStr">
        <is>
          <t>.</t>
        </is>
      </c>
      <c r="CC60" s="1400">
        <f>IF(CD60&lt;&gt;"",CC59+1,CC59)</f>
        <v/>
      </c>
      <c r="CD60" s="1411" t="inlineStr">
        <is>
          <t>Salto Grande</t>
        </is>
      </c>
      <c r="CE60" s="1412" t="n">
        <v>37441</v>
      </c>
      <c r="CF60" s="1412" t="n">
        <v>37445</v>
      </c>
      <c r="CG60" s="1415">
        <f>CF60-CE60</f>
        <v/>
      </c>
      <c r="CH60" s="1398" t="inlineStr">
        <is>
          <t>.</t>
        </is>
      </c>
      <c r="CI60" s="1400">
        <f>IF(CJ60&lt;&gt;"",CI59+1,CI59)</f>
        <v/>
      </c>
      <c r="CJ60" s="1402" t="n">
        <v>0</v>
      </c>
      <c r="CK60" s="1391" t="inlineStr">
        <is>
          <t>.</t>
        </is>
      </c>
      <c r="CL60" s="1392" t="n"/>
    </row>
    <row r="61">
      <c r="A61" s="5" t="inlineStr">
        <is>
          <t>.</t>
        </is>
      </c>
      <c r="B61" s="5" t="inlineStr">
        <is>
          <t>.</t>
        </is>
      </c>
      <c r="C61" s="1378">
        <f>IF(raw[[#This Row],[city]]="","-",IF(raw[[#This Row],[city]]="TODAY","-",C60+1))</f>
        <v/>
      </c>
      <c r="D61" s="1393" t="inlineStr">
        <is>
          <t>SSA</t>
        </is>
      </c>
      <c r="E61" s="1394" t="n">
        <v>29587</v>
      </c>
      <c r="F61" s="1394" t="n">
        <v>29768</v>
      </c>
      <c r="G61" s="1393" t="inlineStr">
        <is>
          <t>-</t>
        </is>
      </c>
      <c r="H61" s="1393">
        <f>H60</f>
        <v/>
      </c>
      <c r="I61" s="1393" t="inlineStr">
        <is>
          <t>-</t>
        </is>
      </c>
      <c r="J61" s="1393" t="inlineStr">
        <is>
          <t>REV</t>
        </is>
      </c>
      <c r="K61" s="1395">
        <f>IF(raw[[#This Row],[city]]&lt;&gt;"",_xlfn.XLOOKUP($D61,ccc[city],ccc[prov],"-"),"-")</f>
        <v/>
      </c>
      <c r="L61" s="1395">
        <f>IF(raw[[#This Row],[city]]&lt;&gt;"",_xlfn.XLOOKUP($D61,ccc[city],ccc[ctry],"-"),"-")</f>
        <v/>
      </c>
      <c r="M61" s="1395">
        <f>IF(raw[[#This Row],[city]]&lt;&gt;"",_xlfn.XLOOKUP($D61,ccc[city],ccc[cont],"-"),"-")</f>
        <v/>
      </c>
      <c r="N61" s="1396">
        <f>IF(raw[[#This Row],[city]]="","-",IF(raw[[#This Row],[cont]]="B",raw[[#This Row],[cont]],"W"))</f>
        <v/>
      </c>
      <c r="O61" s="1397">
        <f>IF(raw[[#This Row],[out]]=0,0,IF(raw[[#This Row],[out]]=raw[[#This Row],[in]],0.01,raw[[#This Row],[out]]-raw[[#This Row],[in]]))</f>
        <v/>
      </c>
      <c r="P61" s="1397">
        <f>IF(raw[[#This Row],[in]]=0,0,MONTH(raw[[#This Row],[in]]))</f>
        <v/>
      </c>
      <c r="Q61" s="1397">
        <f>IF(raw[[#This Row],[in]]=0,0,YEAR(raw[[#This Row],[in]]))</f>
        <v/>
      </c>
      <c r="R61" s="1397">
        <f>INT(raw[[#This Row],[yr]]/10)*10</f>
        <v/>
      </c>
      <c r="S61" s="1395">
        <f>IF(raw[[#This Row],[city]]="","-",IF(raw[[#This Row],[city]]&lt;&gt;_xlfn.XLOOKUP(raw[[#This Row],[home]],homes[home],homes[city],"-"),1,0))</f>
        <v/>
      </c>
      <c r="T61" s="1398" t="inlineStr">
        <is>
          <t>.</t>
        </is>
      </c>
      <c r="U61" s="1399">
        <f>IF(raw[[#This Row],[wb]]="w",raw[[#This Row],[stay]]+U60,U60)</f>
        <v/>
      </c>
      <c r="V61" s="1400">
        <f>IF(raw[[#This Row],[out]]=0,V60,(raw[[#This Row],[out]]-E$5))</f>
        <v/>
      </c>
      <c r="W61" s="1401">
        <f>U61/V61</f>
        <v/>
      </c>
      <c r="X61" s="1378" t="inlineStr">
        <is>
          <t>.</t>
        </is>
      </c>
      <c r="Y61" s="1402">
        <f/>
        <v/>
      </c>
      <c r="Z61" s="1403">
        <f/>
        <v/>
      </c>
      <c r="AA61" s="1403">
        <f/>
        <v/>
      </c>
      <c r="AB61" s="1400">
        <f t="array" ref="AB61">_xlfn.LET(_xlpm.S,_xlfn.ANCHORARRAY($Y$4),_xlpm.r,ROWS(stayCity[[#Headers],[city]]:stayCity[[#This Row],[city]])-1,IF(_xlpm.r&lt;=ROWS(_xlpm.S),INDEX(_xlpm.S,_xlpm.r,1),""))</f>
        <v/>
      </c>
      <c r="AC61" s="1405">
        <f t="array" ref="AC61">_xlfn.LET(_xlpm.S,_xlfn.ANCHORARRAY($Y$4),_xlpm.r,ROWS(stayCity[[#Headers],[city]]:stayCity[[#This Row],[city]])-1,IF(_xlpm.r&lt;=ROWS(_xlpm.S),INDEX(_xlpm.S,_xlpm.r,2),""))</f>
        <v/>
      </c>
      <c r="AD61" s="1405">
        <f t="array" ref="AD61">_xlfn.LET(_xlpm.S,_xlfn.ANCHORARRAY($Y$4),_xlpm.r,ROWS(stayCity[[#Headers],[city]]:stayCity[[#This Row],[city]])-1,IF(_xlpm.r&lt;=ROWS(_xlpm.S),INDEX(_xlpm.S,_xlpm.r,3),""))</f>
        <v/>
      </c>
      <c r="AE61" s="1400">
        <f>IF(stayCity[[#This Row],[out]]&lt;&gt;"",stayCity[[#This Row],[out]]-stayCity[[#This Row],[in]],"-")</f>
        <v/>
      </c>
      <c r="AF61" s="1406">
        <f>IF(Y61="","-",YEAR(stayCity[[#This Row],[in]]))</f>
        <v/>
      </c>
      <c r="AG61" s="1398" t="inlineStr">
        <is>
          <t>.</t>
        </is>
      </c>
      <c r="AH61" s="1402">
        <f/>
        <v/>
      </c>
      <c r="AI61" s="1403">
        <f/>
        <v/>
      </c>
      <c r="AJ61" s="1403">
        <f/>
        <v/>
      </c>
      <c r="AK61" s="1400">
        <f>IF(AH61="","-",AH61)</f>
        <v/>
      </c>
      <c r="AL61" s="1405">
        <f>AI61</f>
        <v/>
      </c>
      <c r="AM61" s="1405">
        <f>AJ61</f>
        <v/>
      </c>
      <c r="AN61" s="1400">
        <f>stayCtry[[#This Row],[out]]-stayCtry[[#This Row],[in]]</f>
        <v/>
      </c>
      <c r="AO61" s="1406">
        <f>IF(AI61&lt;&gt;"",AO60+1,AO60)</f>
        <v/>
      </c>
      <c r="AP61" s="1398" t="inlineStr">
        <is>
          <t>.</t>
        </is>
      </c>
      <c r="AQ61" s="1402">
        <f/>
        <v/>
      </c>
      <c r="AR61" s="1403">
        <f/>
        <v/>
      </c>
      <c r="AS61" s="1403">
        <f/>
        <v/>
      </c>
      <c r="AT61" s="1400">
        <f>AQ61</f>
        <v/>
      </c>
      <c r="AU61" s="1405">
        <f>AR61</f>
        <v/>
      </c>
      <c r="AV61" s="1405">
        <f>AS61</f>
        <v/>
      </c>
      <c r="AW61" s="1400">
        <f>stayCont[[#This Row],[out]]-stayCont[[#This Row],[in]]</f>
        <v/>
      </c>
      <c r="AX61" s="1406">
        <f>IF(AR61&lt;&gt;"",AX60+1,AX60)</f>
        <v/>
      </c>
      <c r="AY61" s="1398" t="inlineStr">
        <is>
          <t>.</t>
        </is>
      </c>
      <c r="AZ61" s="1402" t="n"/>
      <c r="BA61" s="1403" t="n"/>
      <c r="BB61" s="1403" t="n"/>
      <c r="BC61" s="1405">
        <f>AZ61</f>
        <v/>
      </c>
      <c r="BD61" s="1405">
        <f>BA61</f>
        <v/>
      </c>
      <c r="BE61" s="1405">
        <f>BB61</f>
        <v/>
      </c>
      <c r="BF61" s="1400">
        <f>stayWB[[#This Row],[out]]-stayWB[[#This Row],[in]]</f>
        <v/>
      </c>
      <c r="BG61" s="1400">
        <f>IF(BB61&lt;&gt;"",BG60+1,BG60)</f>
        <v/>
      </c>
      <c r="BH61" s="1398" t="inlineStr">
        <is>
          <t>.</t>
        </is>
      </c>
      <c r="BI61" s="1402" t="inlineStr">
        <is>
          <t>UK</t>
        </is>
      </c>
      <c r="BJ61" s="1402" t="n">
        <v>1997</v>
      </c>
      <c r="BK61" s="1400">
        <f>BI61</f>
        <v/>
      </c>
      <c r="BL61" s="1409">
        <f>BJ61</f>
        <v/>
      </c>
      <c r="BM61" s="1378" t="inlineStr">
        <is>
          <t>.</t>
        </is>
      </c>
      <c r="BN61" s="1402" t="inlineStr">
        <is>
          <t>B</t>
        </is>
      </c>
      <c r="BO61" s="1400">
        <f>BN61</f>
        <v/>
      </c>
      <c r="BP61" s="1398" t="inlineStr">
        <is>
          <t>.</t>
        </is>
      </c>
      <c r="BQ61" s="1400">
        <f>IF(BR61&lt;&gt;"",BQ60+1,BQ60)</f>
        <v/>
      </c>
      <c r="BR61" s="1411" t="inlineStr">
        <is>
          <t>SSA</t>
        </is>
      </c>
      <c r="BS61" s="1411" t="inlineStr">
        <is>
          <t>SP</t>
        </is>
      </c>
      <c r="BT61" s="1412" t="inlineStr">
        <is>
          <t>SSA-SP</t>
        </is>
      </c>
      <c r="BU61" s="1412" t="n">
        <v>34759</v>
      </c>
      <c r="BV61" s="1398" t="inlineStr">
        <is>
          <t>.</t>
        </is>
      </c>
      <c r="BW61" s="1400">
        <f>IF(BX61&lt;&gt;"",BW60+1,BW60)</f>
        <v/>
      </c>
      <c r="BX61" s="1411" t="n"/>
      <c r="BY61" s="1412" t="n"/>
      <c r="BZ61" s="1412" t="n"/>
      <c r="CA61" s="1414">
        <f>BZ61-BY61</f>
        <v/>
      </c>
      <c r="CB61" s="1398" t="inlineStr">
        <is>
          <t>.</t>
        </is>
      </c>
      <c r="CC61" s="1400">
        <f>IF(CD61&lt;&gt;"",CC60+1,CC60)</f>
        <v/>
      </c>
      <c r="CD61" s="1411" t="inlineStr">
        <is>
          <t>Salto Grande</t>
        </is>
      </c>
      <c r="CE61" s="1412" t="n">
        <v>37469</v>
      </c>
      <c r="CF61" s="1412" t="n">
        <v>37473</v>
      </c>
      <c r="CG61" s="1415">
        <f>CF61-CE61</f>
        <v/>
      </c>
      <c r="CH61" s="1398" t="inlineStr">
        <is>
          <t>.</t>
        </is>
      </c>
      <c r="CI61" s="1400">
        <f>IF(CJ61&lt;&gt;"",CI60+1,CI60)</f>
        <v/>
      </c>
      <c r="CJ61" s="1400" t="n"/>
      <c r="CK61" s="1391" t="inlineStr">
        <is>
          <t>.</t>
        </is>
      </c>
      <c r="CL61" s="1392" t="n"/>
    </row>
    <row r="62">
      <c r="A62" s="5" t="inlineStr">
        <is>
          <t>.</t>
        </is>
      </c>
      <c r="B62" s="5" t="inlineStr">
        <is>
          <t>.</t>
        </is>
      </c>
      <c r="C62" s="1378">
        <f>IF(raw[[#This Row],[city]]="","-",IF(raw[[#This Row],[city]]="TODAY","-",C61+1))</f>
        <v/>
      </c>
      <c r="D62" s="1393" t="inlineStr">
        <is>
          <t>ROAD</t>
        </is>
      </c>
      <c r="E62" s="1394" t="n">
        <v>29768</v>
      </c>
      <c r="F62" s="1394" t="n">
        <v>29769</v>
      </c>
      <c r="G62" s="1393" t="inlineStr">
        <is>
          <t>-</t>
        </is>
      </c>
      <c r="H62" s="1393">
        <f>H61</f>
        <v/>
      </c>
      <c r="I62" s="1393" t="inlineStr">
        <is>
          <t>-</t>
        </is>
      </c>
      <c r="J62" s="1393" t="inlineStr">
        <is>
          <t>-</t>
        </is>
      </c>
      <c r="K62" s="1395">
        <f>IF(raw[[#This Row],[city]]&lt;&gt;"",_xlfn.XLOOKUP($D62,ccc[city],ccc[prov],"-"),"-")</f>
        <v/>
      </c>
      <c r="L62" s="1395">
        <f>IF(raw[[#This Row],[city]]&lt;&gt;"",_xlfn.XLOOKUP($D62,ccc[city],ccc[ctry],"-"),"-")</f>
        <v/>
      </c>
      <c r="M62" s="1395">
        <f>IF(raw[[#This Row],[city]]&lt;&gt;"",_xlfn.XLOOKUP($D62,ccc[city],ccc[cont],"-"),"-")</f>
        <v/>
      </c>
      <c r="N62" s="1396">
        <f>IF(raw[[#This Row],[city]]="","-",IF(raw[[#This Row],[cont]]="B",raw[[#This Row],[cont]],"W"))</f>
        <v/>
      </c>
      <c r="O62" s="1397">
        <f>IF(raw[[#This Row],[out]]=0,0,IF(raw[[#This Row],[out]]=raw[[#This Row],[in]],0.01,raw[[#This Row],[out]]-raw[[#This Row],[in]]))</f>
        <v/>
      </c>
      <c r="P62" s="1397">
        <f>IF(raw[[#This Row],[in]]=0,0,MONTH(raw[[#This Row],[in]]))</f>
        <v/>
      </c>
      <c r="Q62" s="1397">
        <f>IF(raw[[#This Row],[in]]=0,0,YEAR(raw[[#This Row],[in]]))</f>
        <v/>
      </c>
      <c r="R62" s="1397">
        <f>INT(raw[[#This Row],[yr]]/10)*10</f>
        <v/>
      </c>
      <c r="S62" s="1395">
        <f>IF(raw[[#This Row],[city]]="","-",IF(raw[[#This Row],[city]]&lt;&gt;_xlfn.XLOOKUP(raw[[#This Row],[home]],homes[home],homes[city],"-"),1,0))</f>
        <v/>
      </c>
      <c r="T62" s="1398" t="inlineStr">
        <is>
          <t>.</t>
        </is>
      </c>
      <c r="U62" s="1399">
        <f>IF(raw[[#This Row],[wb]]="w",raw[[#This Row],[stay]]+U61,U61)</f>
        <v/>
      </c>
      <c r="V62" s="1400">
        <f>IF(raw[[#This Row],[out]]=0,V61,(raw[[#This Row],[out]]-E$5))</f>
        <v/>
      </c>
      <c r="W62" s="1401">
        <f>U62/V62</f>
        <v/>
      </c>
      <c r="X62" s="1378" t="inlineStr">
        <is>
          <t>.</t>
        </is>
      </c>
      <c r="Y62" s="1402">
        <f/>
        <v/>
      </c>
      <c r="Z62" s="1403">
        <f/>
        <v/>
      </c>
      <c r="AA62" s="1403">
        <f/>
        <v/>
      </c>
      <c r="AB62" s="1400">
        <f t="array" ref="AB62">_xlfn.LET(_xlpm.S,_xlfn.ANCHORARRAY($Y$4),_xlpm.r,ROWS(stayCity[[#Headers],[city]]:stayCity[[#This Row],[city]])-1,IF(_xlpm.r&lt;=ROWS(_xlpm.S),INDEX(_xlpm.S,_xlpm.r,1),""))</f>
        <v/>
      </c>
      <c r="AC62" s="1405">
        <f t="array" ref="AC62">_xlfn.LET(_xlpm.S,_xlfn.ANCHORARRAY($Y$4),_xlpm.r,ROWS(stayCity[[#Headers],[city]]:stayCity[[#This Row],[city]])-1,IF(_xlpm.r&lt;=ROWS(_xlpm.S),INDEX(_xlpm.S,_xlpm.r,2),""))</f>
        <v/>
      </c>
      <c r="AD62" s="1405">
        <f t="array" ref="AD62">_xlfn.LET(_xlpm.S,_xlfn.ANCHORARRAY($Y$4),_xlpm.r,ROWS(stayCity[[#Headers],[city]]:stayCity[[#This Row],[city]])-1,IF(_xlpm.r&lt;=ROWS(_xlpm.S),INDEX(_xlpm.S,_xlpm.r,3),""))</f>
        <v/>
      </c>
      <c r="AE62" s="1400">
        <f>IF(stayCity[[#This Row],[out]]&lt;&gt;"",stayCity[[#This Row],[out]]-stayCity[[#This Row],[in]],"-")</f>
        <v/>
      </c>
      <c r="AF62" s="1406">
        <f>IF(Y62="","-",YEAR(stayCity[[#This Row],[in]]))</f>
        <v/>
      </c>
      <c r="AG62" s="1398" t="inlineStr">
        <is>
          <t>.</t>
        </is>
      </c>
      <c r="AH62" s="1402">
        <f/>
        <v/>
      </c>
      <c r="AI62" s="1403">
        <f/>
        <v/>
      </c>
      <c r="AJ62" s="1403">
        <f/>
        <v/>
      </c>
      <c r="AK62" s="1400">
        <f>IF(AH62="","-",AH62)</f>
        <v/>
      </c>
      <c r="AL62" s="1405">
        <f>AI62</f>
        <v/>
      </c>
      <c r="AM62" s="1405">
        <f>AJ62</f>
        <v/>
      </c>
      <c r="AN62" s="1400">
        <f>stayCtry[[#This Row],[out]]-stayCtry[[#This Row],[in]]</f>
        <v/>
      </c>
      <c r="AO62" s="1406">
        <f>IF(AI62&lt;&gt;"",AO61+1,AO61)</f>
        <v/>
      </c>
      <c r="AP62" s="1398" t="inlineStr">
        <is>
          <t>.</t>
        </is>
      </c>
      <c r="AQ62" s="1402">
        <f/>
        <v/>
      </c>
      <c r="AR62" s="1403">
        <f/>
        <v/>
      </c>
      <c r="AS62" s="1403">
        <f/>
        <v/>
      </c>
      <c r="AT62" s="1400">
        <f>AQ62</f>
        <v/>
      </c>
      <c r="AU62" s="1405">
        <f>AR62</f>
        <v/>
      </c>
      <c r="AV62" s="1405">
        <f>AS62</f>
        <v/>
      </c>
      <c r="AW62" s="1400">
        <f>stayCont[[#This Row],[out]]-stayCont[[#This Row],[in]]</f>
        <v/>
      </c>
      <c r="AX62" s="1406">
        <f>IF(AR62&lt;&gt;"",AX61+1,AX61)</f>
        <v/>
      </c>
      <c r="AY62" s="1398" t="inlineStr">
        <is>
          <t>.</t>
        </is>
      </c>
      <c r="AZ62" s="1402" t="n"/>
      <c r="BA62" s="1403" t="n"/>
      <c r="BB62" s="1403" t="n"/>
      <c r="BC62" s="1405">
        <f>AZ62</f>
        <v/>
      </c>
      <c r="BD62" s="1405">
        <f>BA62</f>
        <v/>
      </c>
      <c r="BE62" s="1405">
        <f>BB62</f>
        <v/>
      </c>
      <c r="BF62" s="1400">
        <f>stayWB[[#This Row],[out]]-stayWB[[#This Row],[in]]</f>
        <v/>
      </c>
      <c r="BG62" s="1400">
        <f>IF(BB62&lt;&gt;"",BG61+1,BG61)</f>
        <v/>
      </c>
      <c r="BH62" s="1398" t="inlineStr">
        <is>
          <t>.</t>
        </is>
      </c>
      <c r="BI62" s="1402" t="inlineStr">
        <is>
          <t>FRA</t>
        </is>
      </c>
      <c r="BJ62" s="1402" t="n">
        <v>1997</v>
      </c>
      <c r="BK62" s="1400">
        <f>BI62</f>
        <v/>
      </c>
      <c r="BL62" s="1409">
        <f>BJ62</f>
        <v/>
      </c>
      <c r="BM62" s="1378" t="inlineStr">
        <is>
          <t>.</t>
        </is>
      </c>
      <c r="BN62" s="1402" t="inlineStr">
        <is>
          <t>Z</t>
        </is>
      </c>
      <c r="BO62" s="1400">
        <f>BN62</f>
        <v/>
      </c>
      <c r="BP62" s="1398" t="inlineStr">
        <is>
          <t>.</t>
        </is>
      </c>
      <c r="BQ62" s="1400">
        <f>IF(BR62&lt;&gt;"",BQ61+1,BQ61)</f>
        <v/>
      </c>
      <c r="BR62" s="1411" t="inlineStr">
        <is>
          <t>SP</t>
        </is>
      </c>
      <c r="BS62" s="1411" t="inlineStr">
        <is>
          <t>SSA</t>
        </is>
      </c>
      <c r="BT62" s="1412" t="inlineStr">
        <is>
          <t>SP-SSA</t>
        </is>
      </c>
      <c r="BU62" s="1412" t="n">
        <v>34872</v>
      </c>
      <c r="BV62" s="1398" t="inlineStr">
        <is>
          <t>.</t>
        </is>
      </c>
      <c r="BW62" s="1400">
        <f>IF(BX62&lt;&gt;"",BW61+1,BW61)</f>
        <v/>
      </c>
      <c r="BX62" s="1411" t="n"/>
      <c r="BY62" s="1412" t="n"/>
      <c r="BZ62" s="1412" t="n"/>
      <c r="CA62" s="1414">
        <f>BZ62-BY62</f>
        <v/>
      </c>
      <c r="CB62" s="1398" t="inlineStr">
        <is>
          <t>.</t>
        </is>
      </c>
      <c r="CC62" s="1400">
        <f>IF(CD62&lt;&gt;"",CC61+1,CC61)</f>
        <v/>
      </c>
      <c r="CD62" s="1411" t="inlineStr">
        <is>
          <t>Salto Grande</t>
        </is>
      </c>
      <c r="CE62" s="1412" t="n">
        <v>37478</v>
      </c>
      <c r="CF62" s="1412" t="n">
        <v>37486</v>
      </c>
      <c r="CG62" s="1415">
        <f>CF62-CE62</f>
        <v/>
      </c>
      <c r="CH62" s="1398" t="inlineStr">
        <is>
          <t>.</t>
        </is>
      </c>
      <c r="CI62" s="1400">
        <f>IF(CJ62&lt;&gt;"",CI61+1,CI61)</f>
        <v/>
      </c>
      <c r="CJ62" s="1400" t="n"/>
      <c r="CK62" s="1391" t="inlineStr">
        <is>
          <t>.</t>
        </is>
      </c>
      <c r="CL62" s="1392" t="n"/>
    </row>
    <row r="63">
      <c r="A63" s="5" t="inlineStr">
        <is>
          <t>.</t>
        </is>
      </c>
      <c r="B63" s="5" t="inlineStr">
        <is>
          <t>.</t>
        </is>
      </c>
      <c r="C63" s="1378">
        <f>IF(raw[[#This Row],[city]]="","-",IF(raw[[#This Row],[city]]="TODAY","-",C62+1))</f>
        <v/>
      </c>
      <c r="D63" s="1393" t="inlineStr">
        <is>
          <t>Friburgo</t>
        </is>
      </c>
      <c r="E63" s="1394" t="n">
        <v>29769</v>
      </c>
      <c r="F63" s="1394" t="n">
        <v>29772</v>
      </c>
      <c r="G63" s="1393" t="inlineStr">
        <is>
          <t>-</t>
        </is>
      </c>
      <c r="H63" s="1393">
        <f>H62</f>
        <v/>
      </c>
      <c r="I63" s="1393" t="inlineStr">
        <is>
          <t>-</t>
        </is>
      </c>
      <c r="J63" s="1393" t="inlineStr">
        <is>
          <t>-</t>
        </is>
      </c>
      <c r="K63" s="1395">
        <f>IF(raw[[#This Row],[city]]&lt;&gt;"",_xlfn.XLOOKUP($D63,ccc[city],ccc[prov],"-"),"-")</f>
        <v/>
      </c>
      <c r="L63" s="1395">
        <f>IF(raw[[#This Row],[city]]&lt;&gt;"",_xlfn.XLOOKUP($D63,ccc[city],ccc[ctry],"-"),"-")</f>
        <v/>
      </c>
      <c r="M63" s="1395">
        <f>IF(raw[[#This Row],[city]]&lt;&gt;"",_xlfn.XLOOKUP($D63,ccc[city],ccc[cont],"-"),"-")</f>
        <v/>
      </c>
      <c r="N63" s="1396">
        <f>IF(raw[[#This Row],[city]]="","-",IF(raw[[#This Row],[cont]]="B",raw[[#This Row],[cont]],"W"))</f>
        <v/>
      </c>
      <c r="O63" s="1397">
        <f>IF(raw[[#This Row],[out]]=0,0,IF(raw[[#This Row],[out]]=raw[[#This Row],[in]],0.01,raw[[#This Row],[out]]-raw[[#This Row],[in]]))</f>
        <v/>
      </c>
      <c r="P63" s="1397">
        <f>IF(raw[[#This Row],[in]]=0,0,MONTH(raw[[#This Row],[in]]))</f>
        <v/>
      </c>
      <c r="Q63" s="1397">
        <f>IF(raw[[#This Row],[in]]=0,0,YEAR(raw[[#This Row],[in]]))</f>
        <v/>
      </c>
      <c r="R63" s="1397">
        <f>INT(raw[[#This Row],[yr]]/10)*10</f>
        <v/>
      </c>
      <c r="S63" s="1395">
        <f>IF(raw[[#This Row],[city]]="","-",IF(raw[[#This Row],[city]]&lt;&gt;_xlfn.XLOOKUP(raw[[#This Row],[home]],homes[home],homes[city],"-"),1,0))</f>
        <v/>
      </c>
      <c r="T63" s="1398" t="inlineStr">
        <is>
          <t>.</t>
        </is>
      </c>
      <c r="U63" s="1399">
        <f>IF(raw[[#This Row],[wb]]="w",raw[[#This Row],[stay]]+U62,U62)</f>
        <v/>
      </c>
      <c r="V63" s="1400">
        <f>IF(raw[[#This Row],[out]]=0,V62,(raw[[#This Row],[out]]-E$5))</f>
        <v/>
      </c>
      <c r="W63" s="1401">
        <f>U63/V63</f>
        <v/>
      </c>
      <c r="X63" s="1378" t="inlineStr">
        <is>
          <t>.</t>
        </is>
      </c>
      <c r="Y63" s="1402">
        <f/>
        <v/>
      </c>
      <c r="Z63" s="1403">
        <f/>
        <v/>
      </c>
      <c r="AA63" s="1403">
        <f/>
        <v/>
      </c>
      <c r="AB63" s="1400">
        <f t="array" ref="AB63">_xlfn.LET(_xlpm.S,_xlfn.ANCHORARRAY($Y$4),_xlpm.r,ROWS(stayCity[[#Headers],[city]]:stayCity[[#This Row],[city]])-1,IF(_xlpm.r&lt;=ROWS(_xlpm.S),INDEX(_xlpm.S,_xlpm.r,1),""))</f>
        <v/>
      </c>
      <c r="AC63" s="1405">
        <f t="array" ref="AC63">_xlfn.LET(_xlpm.S,_xlfn.ANCHORARRAY($Y$4),_xlpm.r,ROWS(stayCity[[#Headers],[city]]:stayCity[[#This Row],[city]])-1,IF(_xlpm.r&lt;=ROWS(_xlpm.S),INDEX(_xlpm.S,_xlpm.r,2),""))</f>
        <v/>
      </c>
      <c r="AD63" s="1405">
        <f t="array" ref="AD63">_xlfn.LET(_xlpm.S,_xlfn.ANCHORARRAY($Y$4),_xlpm.r,ROWS(stayCity[[#Headers],[city]]:stayCity[[#This Row],[city]])-1,IF(_xlpm.r&lt;=ROWS(_xlpm.S),INDEX(_xlpm.S,_xlpm.r,3),""))</f>
        <v/>
      </c>
      <c r="AE63" s="1400">
        <f>IF(stayCity[[#This Row],[out]]&lt;&gt;"",stayCity[[#This Row],[out]]-stayCity[[#This Row],[in]],"-")</f>
        <v/>
      </c>
      <c r="AF63" s="1406">
        <f>IF(Y63="","-",YEAR(stayCity[[#This Row],[in]]))</f>
        <v/>
      </c>
      <c r="AG63" s="1398" t="inlineStr">
        <is>
          <t>.</t>
        </is>
      </c>
      <c r="AH63" s="1402">
        <f/>
        <v/>
      </c>
      <c r="AI63" s="1403">
        <f/>
        <v/>
      </c>
      <c r="AJ63" s="1403">
        <f/>
        <v/>
      </c>
      <c r="AK63" s="1400">
        <f>IF(AH63="","-",AH63)</f>
        <v/>
      </c>
      <c r="AL63" s="1405">
        <f>AI63</f>
        <v/>
      </c>
      <c r="AM63" s="1405">
        <f>AJ63</f>
        <v/>
      </c>
      <c r="AN63" s="1400">
        <f>stayCtry[[#This Row],[out]]-stayCtry[[#This Row],[in]]</f>
        <v/>
      </c>
      <c r="AO63" s="1406">
        <f>IF(AI63&lt;&gt;"",AO62+1,AO62)</f>
        <v/>
      </c>
      <c r="AP63" s="1398" t="inlineStr">
        <is>
          <t>.</t>
        </is>
      </c>
      <c r="AQ63" s="1402">
        <f/>
        <v/>
      </c>
      <c r="AR63" s="1403">
        <f/>
        <v/>
      </c>
      <c r="AS63" s="1403">
        <f/>
        <v/>
      </c>
      <c r="AT63" s="1400">
        <f>AQ63</f>
        <v/>
      </c>
      <c r="AU63" s="1405">
        <f>AR63</f>
        <v/>
      </c>
      <c r="AV63" s="1405">
        <f>AS63</f>
        <v/>
      </c>
      <c r="AW63" s="1400">
        <f>stayCont[[#This Row],[out]]-stayCont[[#This Row],[in]]</f>
        <v/>
      </c>
      <c r="AX63" s="1406">
        <f>IF(AR63&lt;&gt;"",AX62+1,AX62)</f>
        <v/>
      </c>
      <c r="AY63" s="1398" t="inlineStr">
        <is>
          <t>.</t>
        </is>
      </c>
      <c r="AZ63" s="1402" t="n"/>
      <c r="BA63" s="1403" t="n"/>
      <c r="BB63" s="1403" t="n"/>
      <c r="BC63" s="1405">
        <f>AZ63</f>
        <v/>
      </c>
      <c r="BD63" s="1405">
        <f>BA63</f>
        <v/>
      </c>
      <c r="BE63" s="1405">
        <f>BB63</f>
        <v/>
      </c>
      <c r="BF63" s="1400">
        <f>stayWB[[#This Row],[out]]-stayWB[[#This Row],[in]]</f>
        <v/>
      </c>
      <c r="BG63" s="1400">
        <f>IF(BB63&lt;&gt;"",BG62+1,BG62)</f>
        <v/>
      </c>
      <c r="BH63" s="1398" t="inlineStr">
        <is>
          <t>.</t>
        </is>
      </c>
      <c r="BI63" s="1402" t="inlineStr">
        <is>
          <t>NED</t>
        </is>
      </c>
      <c r="BJ63" s="1402" t="n">
        <v>1997</v>
      </c>
      <c r="BK63" s="1400">
        <f>BI63</f>
        <v/>
      </c>
      <c r="BL63" s="1409">
        <f>BJ63</f>
        <v/>
      </c>
      <c r="BM63" s="1378" t="inlineStr">
        <is>
          <t>.</t>
        </is>
      </c>
      <c r="BN63" s="1402" t="inlineStr">
        <is>
          <t>E</t>
        </is>
      </c>
      <c r="BO63" s="1400">
        <f>BN63</f>
        <v/>
      </c>
      <c r="BP63" s="1398" t="inlineStr">
        <is>
          <t>.</t>
        </is>
      </c>
      <c r="BQ63" s="1400">
        <f>IF(BR63&lt;&gt;"",BQ62+1,BQ62)</f>
        <v/>
      </c>
      <c r="BR63" s="1411" t="inlineStr">
        <is>
          <t>SSA</t>
        </is>
      </c>
      <c r="BS63" s="1411" t="inlineStr">
        <is>
          <t>SP</t>
        </is>
      </c>
      <c r="BT63" s="1412" t="inlineStr">
        <is>
          <t>SSA-SP</t>
        </is>
      </c>
      <c r="BU63" s="1412" t="n">
        <v>34906</v>
      </c>
      <c r="BV63" s="1398" t="inlineStr">
        <is>
          <t>.</t>
        </is>
      </c>
      <c r="BW63" s="1400">
        <f>IF(BX63&lt;&gt;"",BW62+1,BW62)</f>
        <v/>
      </c>
      <c r="BX63" s="1411" t="n"/>
      <c r="BY63" s="1412" t="n"/>
      <c r="BZ63" s="1412" t="n"/>
      <c r="CA63" s="1414">
        <f>BZ63-BY63</f>
        <v/>
      </c>
      <c r="CB63" s="1398" t="inlineStr">
        <is>
          <t>.</t>
        </is>
      </c>
      <c r="CC63" s="1400">
        <f>IF(CD63&lt;&gt;"",CC62+1,CC62)</f>
        <v/>
      </c>
      <c r="CD63" s="1411" t="inlineStr">
        <is>
          <t>Salto Grande</t>
        </is>
      </c>
      <c r="CE63" s="1412" t="n">
        <v>37497</v>
      </c>
      <c r="CF63" s="1412" t="n">
        <v>37501</v>
      </c>
      <c r="CG63" s="1415">
        <f>CF63-CE63</f>
        <v/>
      </c>
      <c r="CH63" s="1398" t="inlineStr">
        <is>
          <t>.</t>
        </is>
      </c>
      <c r="CI63" s="1400">
        <f>IF(CJ63&lt;&gt;"",CI62+1,CI62)</f>
        <v/>
      </c>
      <c r="CJ63" s="1400" t="n"/>
      <c r="CK63" s="1391" t="inlineStr">
        <is>
          <t>.</t>
        </is>
      </c>
      <c r="CL63" s="1392" t="n"/>
    </row>
    <row r="64">
      <c r="A64" s="5" t="inlineStr">
        <is>
          <t>.</t>
        </is>
      </c>
      <c r="B64" s="5" t="inlineStr">
        <is>
          <t>.</t>
        </is>
      </c>
      <c r="C64" s="1378">
        <f>IF(raw[[#This Row],[city]]="","-",IF(raw[[#This Row],[city]]="TODAY","-",C63+1))</f>
        <v/>
      </c>
      <c r="D64" s="1393" t="inlineStr">
        <is>
          <t>Petropolis</t>
        </is>
      </c>
      <c r="E64" s="1394" t="n">
        <v>29772</v>
      </c>
      <c r="F64" s="1394" t="n">
        <v>29787</v>
      </c>
      <c r="G64" s="1393" t="inlineStr">
        <is>
          <t>-</t>
        </is>
      </c>
      <c r="H64" s="1393">
        <f>H63</f>
        <v/>
      </c>
      <c r="I64" s="1393" t="inlineStr">
        <is>
          <t>-</t>
        </is>
      </c>
      <c r="J64" s="1393" t="inlineStr">
        <is>
          <t>-</t>
        </is>
      </c>
      <c r="K64" s="1395">
        <f>IF(raw[[#This Row],[city]]&lt;&gt;"",_xlfn.XLOOKUP($D64,ccc[city],ccc[prov],"-"),"-")</f>
        <v/>
      </c>
      <c r="L64" s="1395">
        <f>IF(raw[[#This Row],[city]]&lt;&gt;"",_xlfn.XLOOKUP($D64,ccc[city],ccc[ctry],"-"),"-")</f>
        <v/>
      </c>
      <c r="M64" s="1395">
        <f>IF(raw[[#This Row],[city]]&lt;&gt;"",_xlfn.XLOOKUP($D64,ccc[city],ccc[cont],"-"),"-")</f>
        <v/>
      </c>
      <c r="N64" s="1396">
        <f>IF(raw[[#This Row],[city]]="","-",IF(raw[[#This Row],[cont]]="B",raw[[#This Row],[cont]],"W"))</f>
        <v/>
      </c>
      <c r="O64" s="1397">
        <f>IF(raw[[#This Row],[out]]=0,0,IF(raw[[#This Row],[out]]=raw[[#This Row],[in]],0.01,raw[[#This Row],[out]]-raw[[#This Row],[in]]))</f>
        <v/>
      </c>
      <c r="P64" s="1397">
        <f>IF(raw[[#This Row],[in]]=0,0,MONTH(raw[[#This Row],[in]]))</f>
        <v/>
      </c>
      <c r="Q64" s="1397">
        <f>IF(raw[[#This Row],[in]]=0,0,YEAR(raw[[#This Row],[in]]))</f>
        <v/>
      </c>
      <c r="R64" s="1397">
        <f>INT(raw[[#This Row],[yr]]/10)*10</f>
        <v/>
      </c>
      <c r="S64" s="1395">
        <f>IF(raw[[#This Row],[city]]="","-",IF(raw[[#This Row],[city]]&lt;&gt;_xlfn.XLOOKUP(raw[[#This Row],[home]],homes[home],homes[city],"-"),1,0))</f>
        <v/>
      </c>
      <c r="T64" s="1398" t="inlineStr">
        <is>
          <t>.</t>
        </is>
      </c>
      <c r="U64" s="1399">
        <f>IF(raw[[#This Row],[wb]]="w",raw[[#This Row],[stay]]+U63,U63)</f>
        <v/>
      </c>
      <c r="V64" s="1400">
        <f>IF(raw[[#This Row],[out]]=0,V63,(raw[[#This Row],[out]]-E$5))</f>
        <v/>
      </c>
      <c r="W64" s="1401">
        <f>U64/V64</f>
        <v/>
      </c>
      <c r="X64" s="1378" t="inlineStr">
        <is>
          <t>.</t>
        </is>
      </c>
      <c r="Y64" s="1402">
        <f/>
        <v/>
      </c>
      <c r="Z64" s="1403">
        <f/>
        <v/>
      </c>
      <c r="AA64" s="1403">
        <f/>
        <v/>
      </c>
      <c r="AB64" s="1400">
        <f t="array" ref="AB64">_xlfn.LET(_xlpm.S,_xlfn.ANCHORARRAY($Y$4),_xlpm.r,ROWS(stayCity[[#Headers],[city]]:stayCity[[#This Row],[city]])-1,IF(_xlpm.r&lt;=ROWS(_xlpm.S),INDEX(_xlpm.S,_xlpm.r,1),""))</f>
        <v/>
      </c>
      <c r="AC64" s="1405">
        <f t="array" ref="AC64">_xlfn.LET(_xlpm.S,_xlfn.ANCHORARRAY($Y$4),_xlpm.r,ROWS(stayCity[[#Headers],[city]]:stayCity[[#This Row],[city]])-1,IF(_xlpm.r&lt;=ROWS(_xlpm.S),INDEX(_xlpm.S,_xlpm.r,2),""))</f>
        <v/>
      </c>
      <c r="AD64" s="1405">
        <f t="array" ref="AD64">_xlfn.LET(_xlpm.S,_xlfn.ANCHORARRAY($Y$4),_xlpm.r,ROWS(stayCity[[#Headers],[city]]:stayCity[[#This Row],[city]])-1,IF(_xlpm.r&lt;=ROWS(_xlpm.S),INDEX(_xlpm.S,_xlpm.r,3),""))</f>
        <v/>
      </c>
      <c r="AE64" s="1400">
        <f>IF(stayCity[[#This Row],[out]]&lt;&gt;"",stayCity[[#This Row],[out]]-stayCity[[#This Row],[in]],"-")</f>
        <v/>
      </c>
      <c r="AF64" s="1406">
        <f>IF(Y64="","-",YEAR(stayCity[[#This Row],[in]]))</f>
        <v/>
      </c>
      <c r="AG64" s="1398" t="inlineStr">
        <is>
          <t>.</t>
        </is>
      </c>
      <c r="AH64" s="1402">
        <f/>
        <v/>
      </c>
      <c r="AI64" s="1403">
        <f/>
        <v/>
      </c>
      <c r="AJ64" s="1403">
        <f/>
        <v/>
      </c>
      <c r="AK64" s="1400">
        <f>IF(AH64="","-",AH64)</f>
        <v/>
      </c>
      <c r="AL64" s="1405">
        <f>AI64</f>
        <v/>
      </c>
      <c r="AM64" s="1405">
        <f>AJ64</f>
        <v/>
      </c>
      <c r="AN64" s="1400">
        <f>stayCtry[[#This Row],[out]]-stayCtry[[#This Row],[in]]</f>
        <v/>
      </c>
      <c r="AO64" s="1406">
        <f>IF(AI64&lt;&gt;"",AO63+1,AO63)</f>
        <v/>
      </c>
      <c r="AP64" s="1398" t="inlineStr">
        <is>
          <t>.</t>
        </is>
      </c>
      <c r="AQ64" s="1402">
        <f/>
        <v/>
      </c>
      <c r="AR64" s="1403">
        <f/>
        <v/>
      </c>
      <c r="AS64" s="1403">
        <f/>
        <v/>
      </c>
      <c r="AT64" s="1400">
        <f>AQ64</f>
        <v/>
      </c>
      <c r="AU64" s="1405">
        <f>AR64</f>
        <v/>
      </c>
      <c r="AV64" s="1405">
        <f>AS64</f>
        <v/>
      </c>
      <c r="AW64" s="1400">
        <f>stayCont[[#This Row],[out]]-stayCont[[#This Row],[in]]</f>
        <v/>
      </c>
      <c r="AX64" s="1406">
        <f>IF(AR64&lt;&gt;"",AX63+1,AX63)</f>
        <v/>
      </c>
      <c r="AY64" s="1398" t="inlineStr">
        <is>
          <t>.</t>
        </is>
      </c>
      <c r="AZ64" s="1402" t="n"/>
      <c r="BA64" s="1403" t="n"/>
      <c r="BB64" s="1403" t="n"/>
      <c r="BC64" s="1405">
        <f>AZ64</f>
        <v/>
      </c>
      <c r="BD64" s="1405">
        <f>BA64</f>
        <v/>
      </c>
      <c r="BE64" s="1405">
        <f>BB64</f>
        <v/>
      </c>
      <c r="BF64" s="1400">
        <f>stayWB[[#This Row],[out]]-stayWB[[#This Row],[in]]</f>
        <v/>
      </c>
      <c r="BG64" s="1400">
        <f>IF(BB64&lt;&gt;"",BG63+1,BG63)</f>
        <v/>
      </c>
      <c r="BH64" s="1398" t="inlineStr">
        <is>
          <t>.</t>
        </is>
      </c>
      <c r="BI64" s="1402" t="inlineStr">
        <is>
          <t>FRA</t>
        </is>
      </c>
      <c r="BJ64" s="1402" t="n">
        <v>1997</v>
      </c>
      <c r="BK64" s="1400">
        <f>BI64</f>
        <v/>
      </c>
      <c r="BL64" s="1409">
        <f>BJ64</f>
        <v/>
      </c>
      <c r="BM64" s="1378" t="inlineStr">
        <is>
          <t>.</t>
        </is>
      </c>
      <c r="BN64" s="1402" t="inlineStr">
        <is>
          <t>B</t>
        </is>
      </c>
      <c r="BO64" s="1400">
        <f>BN64</f>
        <v/>
      </c>
      <c r="BP64" s="1398" t="inlineStr">
        <is>
          <t>.</t>
        </is>
      </c>
      <c r="BQ64" s="1400">
        <f>IF(BR64&lt;&gt;"",BQ63+1,BQ63)</f>
        <v/>
      </c>
      <c r="BR64" s="1411" t="inlineStr">
        <is>
          <t>SP</t>
        </is>
      </c>
      <c r="BS64" s="1411" t="inlineStr">
        <is>
          <t>SSA</t>
        </is>
      </c>
      <c r="BT64" s="1412" t="inlineStr">
        <is>
          <t>SP-SSA</t>
        </is>
      </c>
      <c r="BU64" s="1412" t="n">
        <v>35046</v>
      </c>
      <c r="BV64" s="1398" t="inlineStr">
        <is>
          <t>.</t>
        </is>
      </c>
      <c r="BW64" s="1400">
        <f>IF(BX64&lt;&gt;"",BW63+1,BW63)</f>
        <v/>
      </c>
      <c r="BX64" s="1411" t="n"/>
      <c r="BY64" s="1412" t="n"/>
      <c r="BZ64" s="1412" t="n"/>
      <c r="CA64" s="1414">
        <f>BZ64-BY64</f>
        <v/>
      </c>
      <c r="CB64" s="1398" t="inlineStr">
        <is>
          <t>.</t>
        </is>
      </c>
      <c r="CC64" s="1400">
        <f>IF(CD64&lt;&gt;"",CC63+1,CC63)</f>
        <v/>
      </c>
      <c r="CD64" s="1411" t="inlineStr">
        <is>
          <t>Salto Grande</t>
        </is>
      </c>
      <c r="CE64" s="1412" t="n">
        <v>37504</v>
      </c>
      <c r="CF64" s="1412" t="n">
        <v>37506</v>
      </c>
      <c r="CG64" s="1415">
        <f>CF64-CE64</f>
        <v/>
      </c>
      <c r="CH64" s="1398" t="inlineStr">
        <is>
          <t>.</t>
        </is>
      </c>
      <c r="CI64" s="1400">
        <f>IF(CJ64&lt;&gt;"",CI63+1,CI63)</f>
        <v/>
      </c>
      <c r="CJ64" s="1400" t="n"/>
      <c r="CK64" s="1391" t="inlineStr">
        <is>
          <t>.</t>
        </is>
      </c>
      <c r="CL64" s="1392" t="n"/>
    </row>
    <row r="65">
      <c r="A65" s="5" t="inlineStr">
        <is>
          <t>.</t>
        </is>
      </c>
      <c r="B65" s="5" t="inlineStr">
        <is>
          <t>.</t>
        </is>
      </c>
      <c r="C65" s="1378">
        <f>IF(raw[[#This Row],[city]]="","-",IF(raw[[#This Row],[city]]="TODAY","-",C64+1))</f>
        <v/>
      </c>
      <c r="D65" s="1393" t="inlineStr">
        <is>
          <t>ROAD</t>
        </is>
      </c>
      <c r="E65" s="1394" t="n">
        <v>29787</v>
      </c>
      <c r="F65" s="1394" t="n">
        <v>29788</v>
      </c>
      <c r="G65" s="1393" t="inlineStr">
        <is>
          <t>-</t>
        </is>
      </c>
      <c r="H65" s="1393">
        <f>H64</f>
        <v/>
      </c>
      <c r="I65" s="1393" t="inlineStr">
        <is>
          <t>-</t>
        </is>
      </c>
      <c r="J65" s="1393" t="inlineStr">
        <is>
          <t>-</t>
        </is>
      </c>
      <c r="K65" s="1395">
        <f>IF(raw[[#This Row],[city]]&lt;&gt;"",_xlfn.XLOOKUP($D65,ccc[city],ccc[prov],"-"),"-")</f>
        <v/>
      </c>
      <c r="L65" s="1395">
        <f>IF(raw[[#This Row],[city]]&lt;&gt;"",_xlfn.XLOOKUP($D65,ccc[city],ccc[ctry],"-"),"-")</f>
        <v/>
      </c>
      <c r="M65" s="1395">
        <f>IF(raw[[#This Row],[city]]&lt;&gt;"",_xlfn.XLOOKUP($D65,ccc[city],ccc[cont],"-"),"-")</f>
        <v/>
      </c>
      <c r="N65" s="1396">
        <f>IF(raw[[#This Row],[city]]="","-",IF(raw[[#This Row],[cont]]="B",raw[[#This Row],[cont]],"W"))</f>
        <v/>
      </c>
      <c r="O65" s="1397">
        <f>IF(raw[[#This Row],[out]]=0,0,IF(raw[[#This Row],[out]]=raw[[#This Row],[in]],0.01,raw[[#This Row],[out]]-raw[[#This Row],[in]]))</f>
        <v/>
      </c>
      <c r="P65" s="1397">
        <f>IF(raw[[#This Row],[in]]=0,0,MONTH(raw[[#This Row],[in]]))</f>
        <v/>
      </c>
      <c r="Q65" s="1397">
        <f>IF(raw[[#This Row],[in]]=0,0,YEAR(raw[[#This Row],[in]]))</f>
        <v/>
      </c>
      <c r="R65" s="1397">
        <f>INT(raw[[#This Row],[yr]]/10)*10</f>
        <v/>
      </c>
      <c r="S65" s="1395">
        <f>IF(raw[[#This Row],[city]]="","-",IF(raw[[#This Row],[city]]&lt;&gt;_xlfn.XLOOKUP(raw[[#This Row],[home]],homes[home],homes[city],"-"),1,0))</f>
        <v/>
      </c>
      <c r="T65" s="1398" t="inlineStr">
        <is>
          <t>.</t>
        </is>
      </c>
      <c r="U65" s="1399">
        <f>IF(raw[[#This Row],[wb]]="w",raw[[#This Row],[stay]]+U64,U64)</f>
        <v/>
      </c>
      <c r="V65" s="1400">
        <f>IF(raw[[#This Row],[out]]=0,V64,(raw[[#This Row],[out]]-E$5))</f>
        <v/>
      </c>
      <c r="W65" s="1401">
        <f>U65/V65</f>
        <v/>
      </c>
      <c r="X65" s="1378" t="inlineStr">
        <is>
          <t>.</t>
        </is>
      </c>
      <c r="Y65" s="1402">
        <f/>
        <v/>
      </c>
      <c r="Z65" s="1403">
        <f/>
        <v/>
      </c>
      <c r="AA65" s="1403">
        <f/>
        <v/>
      </c>
      <c r="AB65" s="1400">
        <f t="array" ref="AB65">_xlfn.LET(_xlpm.S,_xlfn.ANCHORARRAY($Y$4),_xlpm.r,ROWS(stayCity[[#Headers],[city]]:stayCity[[#This Row],[city]])-1,IF(_xlpm.r&lt;=ROWS(_xlpm.S),INDEX(_xlpm.S,_xlpm.r,1),""))</f>
        <v/>
      </c>
      <c r="AC65" s="1405">
        <f t="array" ref="AC65">_xlfn.LET(_xlpm.S,_xlfn.ANCHORARRAY($Y$4),_xlpm.r,ROWS(stayCity[[#Headers],[city]]:stayCity[[#This Row],[city]])-1,IF(_xlpm.r&lt;=ROWS(_xlpm.S),INDEX(_xlpm.S,_xlpm.r,2),""))</f>
        <v/>
      </c>
      <c r="AD65" s="1405">
        <f t="array" ref="AD65">_xlfn.LET(_xlpm.S,_xlfn.ANCHORARRAY($Y$4),_xlpm.r,ROWS(stayCity[[#Headers],[city]]:stayCity[[#This Row],[city]])-1,IF(_xlpm.r&lt;=ROWS(_xlpm.S),INDEX(_xlpm.S,_xlpm.r,3),""))</f>
        <v/>
      </c>
      <c r="AE65" s="1400">
        <f>IF(stayCity[[#This Row],[out]]&lt;&gt;"",stayCity[[#This Row],[out]]-stayCity[[#This Row],[in]],"-")</f>
        <v/>
      </c>
      <c r="AF65" s="1406">
        <f>IF(Y65="","-",YEAR(stayCity[[#This Row],[in]]))</f>
        <v/>
      </c>
      <c r="AG65" s="1398" t="inlineStr">
        <is>
          <t>.</t>
        </is>
      </c>
      <c r="AH65" s="1402">
        <f/>
        <v/>
      </c>
      <c r="AI65" s="1403">
        <f/>
        <v/>
      </c>
      <c r="AJ65" s="1403">
        <f/>
        <v/>
      </c>
      <c r="AK65" s="1400">
        <f>IF(AH65="","-",AH65)</f>
        <v/>
      </c>
      <c r="AL65" s="1405">
        <f>AI65</f>
        <v/>
      </c>
      <c r="AM65" s="1405">
        <f>AJ65</f>
        <v/>
      </c>
      <c r="AN65" s="1400">
        <f>stayCtry[[#This Row],[out]]-stayCtry[[#This Row],[in]]</f>
        <v/>
      </c>
      <c r="AO65" s="1406">
        <f>IF(AI65&lt;&gt;"",AO64+1,AO64)</f>
        <v/>
      </c>
      <c r="AP65" s="1398" t="inlineStr">
        <is>
          <t>.</t>
        </is>
      </c>
      <c r="AQ65" s="1402">
        <f/>
        <v/>
      </c>
      <c r="AR65" s="1403">
        <f/>
        <v/>
      </c>
      <c r="AS65" s="1403">
        <f/>
        <v/>
      </c>
      <c r="AT65" s="1400">
        <f>AQ65</f>
        <v/>
      </c>
      <c r="AU65" s="1405">
        <f>AR65</f>
        <v/>
      </c>
      <c r="AV65" s="1405">
        <f>AS65</f>
        <v/>
      </c>
      <c r="AW65" s="1400">
        <f>stayCont[[#This Row],[out]]-stayCont[[#This Row],[in]]</f>
        <v/>
      </c>
      <c r="AX65" s="1406">
        <f>IF(AR65&lt;&gt;"",AX64+1,AX64)</f>
        <v/>
      </c>
      <c r="AY65" s="1398" t="inlineStr">
        <is>
          <t>.</t>
        </is>
      </c>
      <c r="AZ65" s="1402" t="n"/>
      <c r="BA65" s="1403" t="n"/>
      <c r="BB65" s="1403" t="n"/>
      <c r="BC65" s="1405">
        <f>AZ65</f>
        <v/>
      </c>
      <c r="BD65" s="1405">
        <f>BA65</f>
        <v/>
      </c>
      <c r="BE65" s="1405">
        <f>BB65</f>
        <v/>
      </c>
      <c r="BF65" s="1400">
        <f>stayWB[[#This Row],[out]]-stayWB[[#This Row],[in]]</f>
        <v/>
      </c>
      <c r="BG65" s="1400">
        <f>IF(BB65&lt;&gt;"",BG64+1,BG64)</f>
        <v/>
      </c>
      <c r="BH65" s="1398" t="inlineStr">
        <is>
          <t>.</t>
        </is>
      </c>
      <c r="BI65" s="1402" t="inlineStr">
        <is>
          <t>CHE</t>
        </is>
      </c>
      <c r="BJ65" s="1402" t="n">
        <v>1997</v>
      </c>
      <c r="BK65" s="1400">
        <f>BI65</f>
        <v/>
      </c>
      <c r="BL65" s="1409">
        <f>BJ65</f>
        <v/>
      </c>
      <c r="BM65" s="1378" t="inlineStr">
        <is>
          <t>.</t>
        </is>
      </c>
      <c r="BN65" s="1402" t="inlineStr">
        <is>
          <t>N</t>
        </is>
      </c>
      <c r="BO65" s="1400">
        <f>BN65</f>
        <v/>
      </c>
      <c r="BP65" s="1398" t="inlineStr">
        <is>
          <t>.</t>
        </is>
      </c>
      <c r="BQ65" s="1400">
        <f>IF(BR65&lt;&gt;"",BQ64+1,BQ64)</f>
        <v/>
      </c>
      <c r="BR65" s="1411" t="inlineStr">
        <is>
          <t>SSA</t>
        </is>
      </c>
      <c r="BS65" s="1411" t="inlineStr">
        <is>
          <t>SP</t>
        </is>
      </c>
      <c r="BT65" s="1412" t="inlineStr">
        <is>
          <t>SSA-SP</t>
        </is>
      </c>
      <c r="BU65" s="1412" t="n">
        <v>35121</v>
      </c>
      <c r="BV65" s="1398" t="inlineStr">
        <is>
          <t>.</t>
        </is>
      </c>
      <c r="BW65" s="1400">
        <f>IF(BX65&lt;&gt;"",BW64+1,BW64)</f>
        <v/>
      </c>
      <c r="BX65" s="1411" t="n"/>
      <c r="BY65" s="1412" t="n"/>
      <c r="BZ65" s="1412" t="n"/>
      <c r="CA65" s="1414">
        <f>BZ65-BY65</f>
        <v/>
      </c>
      <c r="CB65" s="1398" t="inlineStr">
        <is>
          <t>.</t>
        </is>
      </c>
      <c r="CC65" s="1400">
        <f>IF(CD65&lt;&gt;"",CC64+1,CC64)</f>
        <v/>
      </c>
      <c r="CD65" s="1411" t="inlineStr">
        <is>
          <t>Salto Grande</t>
        </is>
      </c>
      <c r="CE65" s="1412" t="n">
        <v>37510</v>
      </c>
      <c r="CF65" s="1412" t="n">
        <v>37512</v>
      </c>
      <c r="CG65" s="1415">
        <f>CF65-CE65</f>
        <v/>
      </c>
      <c r="CH65" s="1398" t="inlineStr">
        <is>
          <t>.</t>
        </is>
      </c>
      <c r="CI65" s="1392" t="n"/>
      <c r="CJ65" s="1392" t="n"/>
      <c r="CK65" s="1392" t="n"/>
      <c r="CL65" s="1392" t="n"/>
    </row>
    <row r="66">
      <c r="A66" s="5" t="inlineStr">
        <is>
          <t>.</t>
        </is>
      </c>
      <c r="B66" s="5" t="inlineStr">
        <is>
          <t>.</t>
        </is>
      </c>
      <c r="C66" s="1378">
        <f>IF(raw[[#This Row],[city]]="","-",IF(raw[[#This Row],[city]]="TODAY","-",C65+1))</f>
        <v/>
      </c>
      <c r="D66" s="1393" t="inlineStr">
        <is>
          <t>SSA</t>
        </is>
      </c>
      <c r="E66" s="1394" t="n">
        <v>29788</v>
      </c>
      <c r="F66" s="1394" t="n">
        <v>29952</v>
      </c>
      <c r="G66" s="1393" t="inlineStr">
        <is>
          <t>-</t>
        </is>
      </c>
      <c r="H66" s="1393">
        <f>H65</f>
        <v/>
      </c>
      <c r="I66" s="1393" t="inlineStr">
        <is>
          <t>-</t>
        </is>
      </c>
      <c r="J66" s="1393" t="inlineStr">
        <is>
          <t>-</t>
        </is>
      </c>
      <c r="K66" s="1395">
        <f>IF(raw[[#This Row],[city]]&lt;&gt;"",_xlfn.XLOOKUP($D66,ccc[city],ccc[prov],"-"),"-")</f>
        <v/>
      </c>
      <c r="L66" s="1395">
        <f>IF(raw[[#This Row],[city]]&lt;&gt;"",_xlfn.XLOOKUP($D66,ccc[city],ccc[ctry],"-"),"-")</f>
        <v/>
      </c>
      <c r="M66" s="1395">
        <f>IF(raw[[#This Row],[city]]&lt;&gt;"",_xlfn.XLOOKUP($D66,ccc[city],ccc[cont],"-"),"-")</f>
        <v/>
      </c>
      <c r="N66" s="1396">
        <f>IF(raw[[#This Row],[city]]="","-",IF(raw[[#This Row],[cont]]="B",raw[[#This Row],[cont]],"W"))</f>
        <v/>
      </c>
      <c r="O66" s="1397">
        <f>IF(raw[[#This Row],[out]]=0,0,IF(raw[[#This Row],[out]]=raw[[#This Row],[in]],0.01,raw[[#This Row],[out]]-raw[[#This Row],[in]]))</f>
        <v/>
      </c>
      <c r="P66" s="1397">
        <f>IF(raw[[#This Row],[in]]=0,0,MONTH(raw[[#This Row],[in]]))</f>
        <v/>
      </c>
      <c r="Q66" s="1397">
        <f>IF(raw[[#This Row],[in]]=0,0,YEAR(raw[[#This Row],[in]]))</f>
        <v/>
      </c>
      <c r="R66" s="1397">
        <f>INT(raw[[#This Row],[yr]]/10)*10</f>
        <v/>
      </c>
      <c r="S66" s="1395">
        <f>IF(raw[[#This Row],[city]]="","-",IF(raw[[#This Row],[city]]&lt;&gt;_xlfn.XLOOKUP(raw[[#This Row],[home]],homes[home],homes[city],"-"),1,0))</f>
        <v/>
      </c>
      <c r="T66" s="1398" t="inlineStr">
        <is>
          <t>.</t>
        </is>
      </c>
      <c r="U66" s="1399">
        <f>IF(raw[[#This Row],[wb]]="w",raw[[#This Row],[stay]]+U65,U65)</f>
        <v/>
      </c>
      <c r="V66" s="1400">
        <f>IF(raw[[#This Row],[out]]=0,V65,(raw[[#This Row],[out]]-E$5))</f>
        <v/>
      </c>
      <c r="W66" s="1401">
        <f>U66/V66</f>
        <v/>
      </c>
      <c r="X66" s="1378" t="inlineStr">
        <is>
          <t>.</t>
        </is>
      </c>
      <c r="Y66" s="1402">
        <f/>
        <v/>
      </c>
      <c r="Z66" s="1403">
        <f/>
        <v/>
      </c>
      <c r="AA66" s="1403">
        <f/>
        <v/>
      </c>
      <c r="AB66" s="1400">
        <f t="array" ref="AB66">_xlfn.LET(_xlpm.S,_xlfn.ANCHORARRAY($Y$4),_xlpm.r,ROWS(stayCity[[#Headers],[city]]:stayCity[[#This Row],[city]])-1,IF(_xlpm.r&lt;=ROWS(_xlpm.S),INDEX(_xlpm.S,_xlpm.r,1),""))</f>
        <v/>
      </c>
      <c r="AC66" s="1405">
        <f t="array" ref="AC66">_xlfn.LET(_xlpm.S,_xlfn.ANCHORARRAY($Y$4),_xlpm.r,ROWS(stayCity[[#Headers],[city]]:stayCity[[#This Row],[city]])-1,IF(_xlpm.r&lt;=ROWS(_xlpm.S),INDEX(_xlpm.S,_xlpm.r,2),""))</f>
        <v/>
      </c>
      <c r="AD66" s="1405">
        <f t="array" ref="AD66">_xlfn.LET(_xlpm.S,_xlfn.ANCHORARRAY($Y$4),_xlpm.r,ROWS(stayCity[[#Headers],[city]]:stayCity[[#This Row],[city]])-1,IF(_xlpm.r&lt;=ROWS(_xlpm.S),INDEX(_xlpm.S,_xlpm.r,3),""))</f>
        <v/>
      </c>
      <c r="AE66" s="1400">
        <f>IF(stayCity[[#This Row],[out]]&lt;&gt;"",stayCity[[#This Row],[out]]-stayCity[[#This Row],[in]],"-")</f>
        <v/>
      </c>
      <c r="AF66" s="1406">
        <f>IF(Y66="","-",YEAR(stayCity[[#This Row],[in]]))</f>
        <v/>
      </c>
      <c r="AG66" s="1398" t="inlineStr">
        <is>
          <t>.</t>
        </is>
      </c>
      <c r="AH66" s="1402">
        <f/>
        <v/>
      </c>
      <c r="AI66" s="1403">
        <f/>
        <v/>
      </c>
      <c r="AJ66" s="1403">
        <f/>
        <v/>
      </c>
      <c r="AK66" s="1400">
        <f>IF(AH66="","-",AH66)</f>
        <v/>
      </c>
      <c r="AL66" s="1405">
        <f>AI66</f>
        <v/>
      </c>
      <c r="AM66" s="1405">
        <f>AJ66</f>
        <v/>
      </c>
      <c r="AN66" s="1400">
        <f>stayCtry[[#This Row],[out]]-stayCtry[[#This Row],[in]]</f>
        <v/>
      </c>
      <c r="AO66" s="1406">
        <f>IF(AI66&lt;&gt;"",AO65+1,AO65)</f>
        <v/>
      </c>
      <c r="AP66" s="1398" t="inlineStr">
        <is>
          <t>.</t>
        </is>
      </c>
      <c r="AQ66" s="1402">
        <f/>
        <v/>
      </c>
      <c r="AR66" s="1403">
        <f/>
        <v/>
      </c>
      <c r="AS66" s="1403">
        <f/>
        <v/>
      </c>
      <c r="AT66" s="1400">
        <f>AQ66</f>
        <v/>
      </c>
      <c r="AU66" s="1405">
        <f>AR66</f>
        <v/>
      </c>
      <c r="AV66" s="1405">
        <f>AS66</f>
        <v/>
      </c>
      <c r="AW66" s="1400">
        <f>stayCont[[#This Row],[out]]-stayCont[[#This Row],[in]]</f>
        <v/>
      </c>
      <c r="AX66" s="1406">
        <f>IF(AR66&lt;&gt;"",AX65+1,AX65)</f>
        <v/>
      </c>
      <c r="AY66" s="1398" t="inlineStr">
        <is>
          <t>.</t>
        </is>
      </c>
      <c r="AZ66" s="1402" t="n"/>
      <c r="BA66" s="1403" t="n"/>
      <c r="BB66" s="1403" t="n"/>
      <c r="BC66" s="1405">
        <f>AZ66</f>
        <v/>
      </c>
      <c r="BD66" s="1405">
        <f>BA66</f>
        <v/>
      </c>
      <c r="BE66" s="1405">
        <f>BB66</f>
        <v/>
      </c>
      <c r="BF66" s="1400">
        <f>stayWB[[#This Row],[out]]-stayWB[[#This Row],[in]]</f>
        <v/>
      </c>
      <c r="BG66" s="1400">
        <f>IF(BB66&lt;&gt;"",BG65+1,BG65)</f>
        <v/>
      </c>
      <c r="BH66" s="1398" t="inlineStr">
        <is>
          <t>.</t>
        </is>
      </c>
      <c r="BI66" s="1402" t="inlineStr">
        <is>
          <t>FRA</t>
        </is>
      </c>
      <c r="BJ66" s="1402" t="n">
        <v>1997</v>
      </c>
      <c r="BK66" s="1400">
        <f>BI66</f>
        <v/>
      </c>
      <c r="BL66" s="1409">
        <f>BJ66</f>
        <v/>
      </c>
      <c r="BM66" s="1378" t="inlineStr">
        <is>
          <t>.</t>
        </is>
      </c>
      <c r="BN66" s="1402" t="inlineStr">
        <is>
          <t>B</t>
        </is>
      </c>
      <c r="BO66" s="1400">
        <f>BN66</f>
        <v/>
      </c>
      <c r="BP66" s="1398" t="inlineStr">
        <is>
          <t>.</t>
        </is>
      </c>
      <c r="BQ66" s="1400">
        <f>IF(BR66&lt;&gt;"",BQ65+1,BQ65)</f>
        <v/>
      </c>
      <c r="BR66" s="1411" t="inlineStr">
        <is>
          <t>Rio</t>
        </is>
      </c>
      <c r="BS66" s="1411" t="inlineStr">
        <is>
          <t>SP</t>
        </is>
      </c>
      <c r="BT66" s="1412" t="inlineStr">
        <is>
          <t>Rio-SP</t>
        </is>
      </c>
      <c r="BU66" s="1412" t="n">
        <v>35151</v>
      </c>
      <c r="BV66" s="1398" t="inlineStr">
        <is>
          <t>.</t>
        </is>
      </c>
      <c r="BW66" s="1400">
        <f>IF(BX66&lt;&gt;"",BW65+1,BW65)</f>
        <v/>
      </c>
      <c r="BX66" s="1411" t="n"/>
      <c r="BY66" s="1412" t="n"/>
      <c r="BZ66" s="1412" t="n"/>
      <c r="CA66" s="1414">
        <f>BZ66-BY66</f>
        <v/>
      </c>
      <c r="CB66" s="1398" t="inlineStr">
        <is>
          <t>.</t>
        </is>
      </c>
      <c r="CC66" s="1400">
        <f>IF(CD66&lt;&gt;"",CC65+1,CC65)</f>
        <v/>
      </c>
      <c r="CD66" s="1411" t="inlineStr">
        <is>
          <t>Salto Grande</t>
        </is>
      </c>
      <c r="CE66" s="1412" t="n">
        <v>37516</v>
      </c>
      <c r="CF66" s="1412" t="n">
        <v>37519</v>
      </c>
      <c r="CG66" s="1415">
        <f>CF66-CE66</f>
        <v/>
      </c>
      <c r="CH66" s="1398" t="inlineStr">
        <is>
          <t>.</t>
        </is>
      </c>
      <c r="CI66" s="1392" t="n"/>
      <c r="CJ66" s="1392" t="n"/>
      <c r="CK66" s="1392" t="n"/>
      <c r="CL66" s="1392" t="n"/>
    </row>
    <row r="67">
      <c r="A67" s="5" t="inlineStr">
        <is>
          <t>.</t>
        </is>
      </c>
      <c r="B67" s="5" t="inlineStr">
        <is>
          <t>.</t>
        </is>
      </c>
      <c r="C67" s="1378">
        <f>IF(raw[[#This Row],[city]]="","-",IF(raw[[#This Row],[city]]="TODAY","-",C66+1))</f>
        <v/>
      </c>
      <c r="D67" s="1393" t="inlineStr">
        <is>
          <t>SSA</t>
        </is>
      </c>
      <c r="E67" s="1394" t="n">
        <v>29952</v>
      </c>
      <c r="F67" s="1394" t="n">
        <v>29957</v>
      </c>
      <c r="G67" s="1393" t="n">
        <v>1</v>
      </c>
      <c r="H67" s="1393">
        <f>H66</f>
        <v/>
      </c>
      <c r="I67" s="1393" t="inlineStr">
        <is>
          <t>-</t>
        </is>
      </c>
      <c r="J67" s="1393" t="inlineStr">
        <is>
          <t>REV</t>
        </is>
      </c>
      <c r="K67" s="1395">
        <f>IF(raw[[#This Row],[city]]&lt;&gt;"",_xlfn.XLOOKUP($D67,ccc[city],ccc[prov],"-"),"-")</f>
        <v/>
      </c>
      <c r="L67" s="1395">
        <f>IF(raw[[#This Row],[city]]&lt;&gt;"",_xlfn.XLOOKUP($D67,ccc[city],ccc[ctry],"-"),"-")</f>
        <v/>
      </c>
      <c r="M67" s="1395">
        <f>IF(raw[[#This Row],[city]]&lt;&gt;"",_xlfn.XLOOKUP($D67,ccc[city],ccc[cont],"-"),"-")</f>
        <v/>
      </c>
      <c r="N67" s="1396">
        <f>IF(raw[[#This Row],[city]]="","-",IF(raw[[#This Row],[cont]]="B",raw[[#This Row],[cont]],"W"))</f>
        <v/>
      </c>
      <c r="O67" s="1397">
        <f>IF(raw[[#This Row],[out]]=0,0,IF(raw[[#This Row],[out]]=raw[[#This Row],[in]],0.01,raw[[#This Row],[out]]-raw[[#This Row],[in]]))</f>
        <v/>
      </c>
      <c r="P67" s="1397">
        <f>IF(raw[[#This Row],[in]]=0,0,MONTH(raw[[#This Row],[in]]))</f>
        <v/>
      </c>
      <c r="Q67" s="1397">
        <f>IF(raw[[#This Row],[in]]=0,0,YEAR(raw[[#This Row],[in]]))</f>
        <v/>
      </c>
      <c r="R67" s="1397">
        <f>INT(raw[[#This Row],[yr]]/10)*10</f>
        <v/>
      </c>
      <c r="S67" s="1395">
        <f>IF(raw[[#This Row],[city]]="","-",IF(raw[[#This Row],[city]]&lt;&gt;_xlfn.XLOOKUP(raw[[#This Row],[home]],homes[home],homes[city],"-"),1,0))</f>
        <v/>
      </c>
      <c r="T67" s="1398" t="inlineStr">
        <is>
          <t>.</t>
        </is>
      </c>
      <c r="U67" s="1399">
        <f>IF(raw[[#This Row],[wb]]="w",raw[[#This Row],[stay]]+U66,U66)</f>
        <v/>
      </c>
      <c r="V67" s="1400">
        <f>IF(raw[[#This Row],[out]]=0,V66,(raw[[#This Row],[out]]-E$5))</f>
        <v/>
      </c>
      <c r="W67" s="1401">
        <f>U67/V67</f>
        <v/>
      </c>
      <c r="X67" s="1378" t="inlineStr">
        <is>
          <t>.</t>
        </is>
      </c>
      <c r="Y67" s="1402">
        <f/>
        <v/>
      </c>
      <c r="Z67" s="1403">
        <f/>
        <v/>
      </c>
      <c r="AA67" s="1403">
        <f/>
        <v/>
      </c>
      <c r="AB67" s="1400">
        <f t="array" ref="AB67">_xlfn.LET(_xlpm.S,_xlfn.ANCHORARRAY($Y$4),_xlpm.r,ROWS(stayCity[[#Headers],[city]]:stayCity[[#This Row],[city]])-1,IF(_xlpm.r&lt;=ROWS(_xlpm.S),INDEX(_xlpm.S,_xlpm.r,1),""))</f>
        <v/>
      </c>
      <c r="AC67" s="1405">
        <f t="array" ref="AC67">_xlfn.LET(_xlpm.S,_xlfn.ANCHORARRAY($Y$4),_xlpm.r,ROWS(stayCity[[#Headers],[city]]:stayCity[[#This Row],[city]])-1,IF(_xlpm.r&lt;=ROWS(_xlpm.S),INDEX(_xlpm.S,_xlpm.r,2),""))</f>
        <v/>
      </c>
      <c r="AD67" s="1405">
        <f t="array" ref="AD67">_xlfn.LET(_xlpm.S,_xlfn.ANCHORARRAY($Y$4),_xlpm.r,ROWS(stayCity[[#Headers],[city]]:stayCity[[#This Row],[city]])-1,IF(_xlpm.r&lt;=ROWS(_xlpm.S),INDEX(_xlpm.S,_xlpm.r,3),""))</f>
        <v/>
      </c>
      <c r="AE67" s="1400">
        <f>IF(stayCity[[#This Row],[out]]&lt;&gt;"",stayCity[[#This Row],[out]]-stayCity[[#This Row],[in]],"-")</f>
        <v/>
      </c>
      <c r="AF67" s="1406">
        <f>IF(Y67="","-",YEAR(stayCity[[#This Row],[in]]))</f>
        <v/>
      </c>
      <c r="AG67" s="1398" t="inlineStr">
        <is>
          <t>.</t>
        </is>
      </c>
      <c r="AH67" s="1402">
        <f/>
        <v/>
      </c>
      <c r="AI67" s="1403">
        <f/>
        <v/>
      </c>
      <c r="AJ67" s="1403">
        <f/>
        <v/>
      </c>
      <c r="AK67" s="1400">
        <f>IF(AH67="","-",AH67)</f>
        <v/>
      </c>
      <c r="AL67" s="1405">
        <f>AI67</f>
        <v/>
      </c>
      <c r="AM67" s="1405">
        <f>AJ67</f>
        <v/>
      </c>
      <c r="AN67" s="1400">
        <f>stayCtry[[#This Row],[out]]-stayCtry[[#This Row],[in]]</f>
        <v/>
      </c>
      <c r="AO67" s="1406">
        <f>IF(AI67&lt;&gt;"",AO66+1,AO66)</f>
        <v/>
      </c>
      <c r="AP67" s="1398" t="inlineStr">
        <is>
          <t>.</t>
        </is>
      </c>
      <c r="AQ67" s="1402">
        <f/>
        <v/>
      </c>
      <c r="AR67" s="1403">
        <f/>
        <v/>
      </c>
      <c r="AS67" s="1403">
        <f/>
        <v/>
      </c>
      <c r="AT67" s="1400">
        <f>AQ67</f>
        <v/>
      </c>
      <c r="AU67" s="1405">
        <f>AR67</f>
        <v/>
      </c>
      <c r="AV67" s="1405">
        <f>AS67</f>
        <v/>
      </c>
      <c r="AW67" s="1400">
        <f>stayCont[[#This Row],[out]]-stayCont[[#This Row],[in]]</f>
        <v/>
      </c>
      <c r="AX67" s="1406">
        <f>IF(AR67&lt;&gt;"",AX66+1,AX66)</f>
        <v/>
      </c>
      <c r="AY67" s="1398" t="inlineStr">
        <is>
          <t>.</t>
        </is>
      </c>
      <c r="AZ67" s="1402" t="n"/>
      <c r="BA67" s="1403" t="n"/>
      <c r="BB67" s="1403" t="n"/>
      <c r="BC67" s="1405">
        <f>AZ67</f>
        <v/>
      </c>
      <c r="BD67" s="1405">
        <f>BA67</f>
        <v/>
      </c>
      <c r="BE67" s="1405">
        <f>BB67</f>
        <v/>
      </c>
      <c r="BF67" s="1400">
        <f>stayWB[[#This Row],[out]]-stayWB[[#This Row],[in]]</f>
        <v/>
      </c>
      <c r="BG67" s="1400">
        <f>IF(BB67&lt;&gt;"",BG66+1,BG66)</f>
        <v/>
      </c>
      <c r="BH67" s="1398" t="inlineStr">
        <is>
          <t>.</t>
        </is>
      </c>
      <c r="BI67" s="1402" t="inlineStr">
        <is>
          <t>DEU</t>
        </is>
      </c>
      <c r="BJ67" s="1402" t="n">
        <v>1997</v>
      </c>
      <c r="BK67" s="1400">
        <f>BI67</f>
        <v/>
      </c>
      <c r="BL67" s="1409">
        <f>BJ67</f>
        <v/>
      </c>
      <c r="BM67" s="1378" t="inlineStr">
        <is>
          <t>.</t>
        </is>
      </c>
      <c r="BN67" s="1402" t="inlineStr">
        <is>
          <t>Z</t>
        </is>
      </c>
      <c r="BO67" s="1400">
        <f>BN67</f>
        <v/>
      </c>
      <c r="BP67" s="1398" t="inlineStr">
        <is>
          <t>.</t>
        </is>
      </c>
      <c r="BQ67" s="1400">
        <f>IF(BR67&lt;&gt;"",BQ66+1,BQ66)</f>
        <v/>
      </c>
      <c r="BR67" s="1411" t="inlineStr">
        <is>
          <t>SP</t>
        </is>
      </c>
      <c r="BS67" s="1411" t="inlineStr">
        <is>
          <t>London</t>
        </is>
      </c>
      <c r="BT67" s="1412" t="inlineStr">
        <is>
          <t>SP-London</t>
        </is>
      </c>
      <c r="BU67" s="1412" t="n">
        <v>35152</v>
      </c>
      <c r="BV67" s="1398" t="inlineStr">
        <is>
          <t>.</t>
        </is>
      </c>
      <c r="BW67" s="1400">
        <f>IF(BX67&lt;&gt;"",BW66+1,BW66)</f>
        <v/>
      </c>
      <c r="BX67" s="1411" t="n"/>
      <c r="BY67" s="1412" t="n"/>
      <c r="BZ67" s="1412" t="n"/>
      <c r="CA67" s="1414" t="n"/>
      <c r="CB67" s="1398" t="inlineStr">
        <is>
          <t>.</t>
        </is>
      </c>
      <c r="CC67" s="1400">
        <f>IF(CD67&lt;&gt;"",CC66+1,CC66)</f>
        <v/>
      </c>
      <c r="CD67" s="1411" t="inlineStr">
        <is>
          <t>Salto Grande</t>
        </is>
      </c>
      <c r="CE67" s="1412" t="n">
        <v>37523</v>
      </c>
      <c r="CF67" s="1412" t="n">
        <v>37525</v>
      </c>
      <c r="CG67" s="1415">
        <f>CF67-CE67</f>
        <v/>
      </c>
      <c r="CH67" s="1398" t="inlineStr">
        <is>
          <t>.</t>
        </is>
      </c>
      <c r="CI67" s="1392" t="n"/>
      <c r="CJ67" s="1392" t="n"/>
      <c r="CK67" s="1392" t="n"/>
      <c r="CL67" s="1392" t="n"/>
    </row>
    <row r="68">
      <c r="A68" s="5" t="inlineStr">
        <is>
          <t>.</t>
        </is>
      </c>
      <c r="B68" s="5" t="inlineStr">
        <is>
          <t>.</t>
        </is>
      </c>
      <c r="C68" s="1378">
        <f>IF(raw[[#This Row],[city]]="","-",IF(raw[[#This Row],[city]]="TODAY","-",C67+1))</f>
        <v/>
      </c>
      <c r="D68" s="1393" t="inlineStr">
        <is>
          <t>Rio</t>
        </is>
      </c>
      <c r="E68" s="1394" t="n">
        <v>29957</v>
      </c>
      <c r="F68" s="1394" t="n">
        <v>29957</v>
      </c>
      <c r="G68" s="1393" t="n">
        <v>0.01</v>
      </c>
      <c r="H68" s="1393">
        <f>H67</f>
        <v/>
      </c>
      <c r="I68" s="1393" t="inlineStr">
        <is>
          <t>-</t>
        </is>
      </c>
      <c r="J68" s="1393" t="inlineStr">
        <is>
          <t>-</t>
        </is>
      </c>
      <c r="K68" s="1395">
        <f>IF(raw[[#This Row],[city]]&lt;&gt;"",_xlfn.XLOOKUP($D68,ccc[city],ccc[prov],"-"),"-")</f>
        <v/>
      </c>
      <c r="L68" s="1395">
        <f>IF(raw[[#This Row],[city]]&lt;&gt;"",_xlfn.XLOOKUP($D68,ccc[city],ccc[ctry],"-"),"-")</f>
        <v/>
      </c>
      <c r="M68" s="1395">
        <f>IF(raw[[#This Row],[city]]&lt;&gt;"",_xlfn.XLOOKUP($D68,ccc[city],ccc[cont],"-"),"-")</f>
        <v/>
      </c>
      <c r="N68" s="1396">
        <f>IF(raw[[#This Row],[city]]="","-",IF(raw[[#This Row],[cont]]="B",raw[[#This Row],[cont]],"W"))</f>
        <v/>
      </c>
      <c r="O68" s="1397">
        <f>IF(raw[[#This Row],[out]]=0,0,IF(raw[[#This Row],[out]]=raw[[#This Row],[in]],0.01,raw[[#This Row],[out]]-raw[[#This Row],[in]]))</f>
        <v/>
      </c>
      <c r="P68" s="1397">
        <f>IF(raw[[#This Row],[in]]=0,0,MONTH(raw[[#This Row],[in]]))</f>
        <v/>
      </c>
      <c r="Q68" s="1397">
        <f>IF(raw[[#This Row],[in]]=0,0,YEAR(raw[[#This Row],[in]]))</f>
        <v/>
      </c>
      <c r="R68" s="1397">
        <f>INT(raw[[#This Row],[yr]]/10)*10</f>
        <v/>
      </c>
      <c r="S68" s="1395">
        <f>IF(raw[[#This Row],[city]]="","-",IF(raw[[#This Row],[city]]&lt;&gt;_xlfn.XLOOKUP(raw[[#This Row],[home]],homes[home],homes[city],"-"),1,0))</f>
        <v/>
      </c>
      <c r="T68" s="1398" t="inlineStr">
        <is>
          <t>.</t>
        </is>
      </c>
      <c r="U68" s="1399">
        <f>IF(raw[[#This Row],[wb]]="w",raw[[#This Row],[stay]]+U67,U67)</f>
        <v/>
      </c>
      <c r="V68" s="1400">
        <f>IF(raw[[#This Row],[out]]=0,V67,(raw[[#This Row],[out]]-E$5))</f>
        <v/>
      </c>
      <c r="W68" s="1401">
        <f>U68/V68</f>
        <v/>
      </c>
      <c r="X68" s="1378" t="inlineStr">
        <is>
          <t>.</t>
        </is>
      </c>
      <c r="Y68" s="1402">
        <f/>
        <v/>
      </c>
      <c r="Z68" s="1403">
        <f/>
        <v/>
      </c>
      <c r="AA68" s="1403">
        <f/>
        <v/>
      </c>
      <c r="AB68" s="1400">
        <f t="array" ref="AB68">_xlfn.LET(_xlpm.S,_xlfn.ANCHORARRAY($Y$4),_xlpm.r,ROWS(stayCity[[#Headers],[city]]:stayCity[[#This Row],[city]])-1,IF(_xlpm.r&lt;=ROWS(_xlpm.S),INDEX(_xlpm.S,_xlpm.r,1),""))</f>
        <v/>
      </c>
      <c r="AC68" s="1405">
        <f t="array" ref="AC68">_xlfn.LET(_xlpm.S,_xlfn.ANCHORARRAY($Y$4),_xlpm.r,ROWS(stayCity[[#Headers],[city]]:stayCity[[#This Row],[city]])-1,IF(_xlpm.r&lt;=ROWS(_xlpm.S),INDEX(_xlpm.S,_xlpm.r,2),""))</f>
        <v/>
      </c>
      <c r="AD68" s="1405">
        <f t="array" ref="AD68">_xlfn.LET(_xlpm.S,_xlfn.ANCHORARRAY($Y$4),_xlpm.r,ROWS(stayCity[[#Headers],[city]]:stayCity[[#This Row],[city]])-1,IF(_xlpm.r&lt;=ROWS(_xlpm.S),INDEX(_xlpm.S,_xlpm.r,3),""))</f>
        <v/>
      </c>
      <c r="AE68" s="1400">
        <f>IF(stayCity[[#This Row],[out]]&lt;&gt;"",stayCity[[#This Row],[out]]-stayCity[[#This Row],[in]],"-")</f>
        <v/>
      </c>
      <c r="AF68" s="1406">
        <f>IF(Y68="","-",YEAR(stayCity[[#This Row],[in]]))</f>
        <v/>
      </c>
      <c r="AG68" s="1398" t="inlineStr">
        <is>
          <t>.</t>
        </is>
      </c>
      <c r="AH68" s="1402">
        <f/>
        <v/>
      </c>
      <c r="AI68" s="1403">
        <f/>
        <v/>
      </c>
      <c r="AJ68" s="1403">
        <f/>
        <v/>
      </c>
      <c r="AK68" s="1400">
        <f>IF(AH68="","-",AH68)</f>
        <v/>
      </c>
      <c r="AL68" s="1405">
        <f>AI68</f>
        <v/>
      </c>
      <c r="AM68" s="1405">
        <f>AJ68</f>
        <v/>
      </c>
      <c r="AN68" s="1400">
        <f>stayCtry[[#This Row],[out]]-stayCtry[[#This Row],[in]]</f>
        <v/>
      </c>
      <c r="AO68" s="1406">
        <f>IF(AI68&lt;&gt;"",AO67+1,AO67)</f>
        <v/>
      </c>
      <c r="AP68" s="1398" t="inlineStr">
        <is>
          <t>.</t>
        </is>
      </c>
      <c r="AQ68" s="1402">
        <f/>
        <v/>
      </c>
      <c r="AR68" s="1403">
        <f/>
        <v/>
      </c>
      <c r="AS68" s="1403">
        <f/>
        <v/>
      </c>
      <c r="AT68" s="1400">
        <f>AQ68</f>
        <v/>
      </c>
      <c r="AU68" s="1405">
        <f>AR68</f>
        <v/>
      </c>
      <c r="AV68" s="1405">
        <f>AS68</f>
        <v/>
      </c>
      <c r="AW68" s="1400">
        <f>stayCont[[#This Row],[out]]-stayCont[[#This Row],[in]]</f>
        <v/>
      </c>
      <c r="AX68" s="1406">
        <f>IF(AR68&lt;&gt;"",AX67+1,AX67)</f>
        <v/>
      </c>
      <c r="AY68" s="1398" t="inlineStr">
        <is>
          <t>.</t>
        </is>
      </c>
      <c r="AZ68" s="1402" t="n"/>
      <c r="BA68" s="1403" t="n"/>
      <c r="BB68" s="1403" t="n"/>
      <c r="BC68" s="1405">
        <f>AZ68</f>
        <v/>
      </c>
      <c r="BD68" s="1405">
        <f>BA68</f>
        <v/>
      </c>
      <c r="BE68" s="1405">
        <f>BB68</f>
        <v/>
      </c>
      <c r="BF68" s="1400">
        <f>stayWB[[#This Row],[out]]-stayWB[[#This Row],[in]]</f>
        <v/>
      </c>
      <c r="BG68" s="1400">
        <f>IF(BB68&lt;&gt;"",BG67+1,BG67)</f>
        <v/>
      </c>
      <c r="BH68" s="1398" t="inlineStr">
        <is>
          <t>.</t>
        </is>
      </c>
      <c r="BI68" s="1402" t="inlineStr">
        <is>
          <t>BRA</t>
        </is>
      </c>
      <c r="BJ68" s="1402" t="n">
        <v>1997</v>
      </c>
      <c r="BK68" s="1400">
        <f>BI68</f>
        <v/>
      </c>
      <c r="BL68" s="1409">
        <f>BJ68</f>
        <v/>
      </c>
      <c r="BM68" s="1378" t="inlineStr">
        <is>
          <t>.</t>
        </is>
      </c>
      <c r="BN68" s="1402" t="inlineStr">
        <is>
          <t>E</t>
        </is>
      </c>
      <c r="BO68" s="1400">
        <f>BN68</f>
        <v/>
      </c>
      <c r="BP68" s="1398" t="inlineStr">
        <is>
          <t>.</t>
        </is>
      </c>
      <c r="BQ68" s="1400">
        <f>IF(BR68&lt;&gt;"",BQ67+1,BQ67)</f>
        <v/>
      </c>
      <c r="BR68" s="1411" t="inlineStr">
        <is>
          <t>London</t>
        </is>
      </c>
      <c r="BS68" s="1411" t="inlineStr">
        <is>
          <t>Stockholm</t>
        </is>
      </c>
      <c r="BT68" s="1412" t="inlineStr">
        <is>
          <t>London-Stockholm</t>
        </is>
      </c>
      <c r="BU68" s="1412" t="n">
        <v>35236</v>
      </c>
      <c r="BV68" s="1398" t="inlineStr">
        <is>
          <t>.</t>
        </is>
      </c>
      <c r="BW68" s="1392" t="n"/>
      <c r="BX68" s="1392" t="n"/>
      <c r="BY68" s="1392" t="n"/>
      <c r="BZ68" s="1416" t="n"/>
      <c r="CA68" s="1392" t="n"/>
      <c r="CB68" s="1398" t="inlineStr">
        <is>
          <t>.</t>
        </is>
      </c>
      <c r="CC68" s="1400">
        <f>IF(CD68&lt;&gt;"",CC67+1,CC67)</f>
        <v/>
      </c>
      <c r="CD68" s="1411" t="inlineStr">
        <is>
          <t>Ondina</t>
        </is>
      </c>
      <c r="CE68" s="1412" t="n">
        <v>37525</v>
      </c>
      <c r="CF68" s="1412" t="n">
        <v>37530</v>
      </c>
      <c r="CG68" s="1415">
        <f>CF68-CE68</f>
        <v/>
      </c>
      <c r="CH68" s="1398" t="inlineStr">
        <is>
          <t>.</t>
        </is>
      </c>
      <c r="CI68" s="1392" t="n"/>
      <c r="CJ68" s="1392" t="n"/>
      <c r="CK68" s="1392" t="n"/>
      <c r="CL68" s="1392" t="n"/>
    </row>
    <row r="69">
      <c r="A69" s="5" t="inlineStr">
        <is>
          <t>.</t>
        </is>
      </c>
      <c r="B69" s="5" t="inlineStr">
        <is>
          <t>.</t>
        </is>
      </c>
      <c r="C69" s="1378">
        <f>IF(raw[[#This Row],[city]]="","-",IF(raw[[#This Row],[city]]="TODAY","-",C68+1))</f>
        <v/>
      </c>
      <c r="D69" s="1393" t="inlineStr">
        <is>
          <t>AIR</t>
        </is>
      </c>
      <c r="E69" s="1394" t="n">
        <v>29957</v>
      </c>
      <c r="F69" s="1394" t="n">
        <v>29958</v>
      </c>
      <c r="G69" s="1393" t="inlineStr">
        <is>
          <t>x</t>
        </is>
      </c>
      <c r="H69" s="1393">
        <f>H68</f>
        <v/>
      </c>
      <c r="I69" s="1393" t="inlineStr">
        <is>
          <t>-</t>
        </is>
      </c>
      <c r="J69" s="1393" t="inlineStr">
        <is>
          <t>-</t>
        </is>
      </c>
      <c r="K69" s="1395">
        <f>IF(raw[[#This Row],[city]]&lt;&gt;"",_xlfn.XLOOKUP($D69,ccc[city],ccc[prov],"-"),"-")</f>
        <v/>
      </c>
      <c r="L69" s="1395">
        <f>IF(raw[[#This Row],[city]]&lt;&gt;"",_xlfn.XLOOKUP($D69,ccc[city],ccc[ctry],"-"),"-")</f>
        <v/>
      </c>
      <c r="M69" s="1395">
        <f>IF(raw[[#This Row],[city]]&lt;&gt;"",_xlfn.XLOOKUP($D69,ccc[city],ccc[cont],"-"),"-")</f>
        <v/>
      </c>
      <c r="N69" s="1396">
        <f>IF(raw[[#This Row],[city]]="","-",IF(raw[[#This Row],[cont]]="B",raw[[#This Row],[cont]],"W"))</f>
        <v/>
      </c>
      <c r="O69" s="1397">
        <f>IF(raw[[#This Row],[out]]=0,0,IF(raw[[#This Row],[out]]=raw[[#This Row],[in]],0.01,raw[[#This Row],[out]]-raw[[#This Row],[in]]))</f>
        <v/>
      </c>
      <c r="P69" s="1397">
        <f>IF(raw[[#This Row],[in]]=0,0,MONTH(raw[[#This Row],[in]]))</f>
        <v/>
      </c>
      <c r="Q69" s="1397">
        <f>IF(raw[[#This Row],[in]]=0,0,YEAR(raw[[#This Row],[in]]))</f>
        <v/>
      </c>
      <c r="R69" s="1397">
        <f>INT(raw[[#This Row],[yr]]/10)*10</f>
        <v/>
      </c>
      <c r="S69" s="1395">
        <f>IF(raw[[#This Row],[city]]="","-",IF(raw[[#This Row],[city]]&lt;&gt;_xlfn.XLOOKUP(raw[[#This Row],[home]],homes[home],homes[city],"-"),1,0))</f>
        <v/>
      </c>
      <c r="T69" s="1398" t="inlineStr">
        <is>
          <t>.</t>
        </is>
      </c>
      <c r="U69" s="1399">
        <f>IF(raw[[#This Row],[wb]]="w",raw[[#This Row],[stay]]+U68,U68)</f>
        <v/>
      </c>
      <c r="V69" s="1400">
        <f>IF(raw[[#This Row],[out]]=0,V68,(raw[[#This Row],[out]]-E$5))</f>
        <v/>
      </c>
      <c r="W69" s="1401">
        <f>U69/V69</f>
        <v/>
      </c>
      <c r="X69" s="1378" t="inlineStr">
        <is>
          <t>.</t>
        </is>
      </c>
      <c r="Y69" s="1402">
        <f/>
        <v/>
      </c>
      <c r="Z69" s="1403">
        <f/>
        <v/>
      </c>
      <c r="AA69" s="1403">
        <f/>
        <v/>
      </c>
      <c r="AB69" s="1400">
        <f t="array" ref="AB69">_xlfn.LET(_xlpm.S,_xlfn.ANCHORARRAY($Y$4),_xlpm.r,ROWS(stayCity[[#Headers],[city]]:stayCity[[#This Row],[city]])-1,IF(_xlpm.r&lt;=ROWS(_xlpm.S),INDEX(_xlpm.S,_xlpm.r,1),""))</f>
        <v/>
      </c>
      <c r="AC69" s="1405">
        <f t="array" ref="AC69">_xlfn.LET(_xlpm.S,_xlfn.ANCHORARRAY($Y$4),_xlpm.r,ROWS(stayCity[[#Headers],[city]]:stayCity[[#This Row],[city]])-1,IF(_xlpm.r&lt;=ROWS(_xlpm.S),INDEX(_xlpm.S,_xlpm.r,2),""))</f>
        <v/>
      </c>
      <c r="AD69" s="1405">
        <f t="array" ref="AD69">_xlfn.LET(_xlpm.S,_xlfn.ANCHORARRAY($Y$4),_xlpm.r,ROWS(stayCity[[#Headers],[city]]:stayCity[[#This Row],[city]])-1,IF(_xlpm.r&lt;=ROWS(_xlpm.S),INDEX(_xlpm.S,_xlpm.r,3),""))</f>
        <v/>
      </c>
      <c r="AE69" s="1400">
        <f>IF(stayCity[[#This Row],[out]]&lt;&gt;"",stayCity[[#This Row],[out]]-stayCity[[#This Row],[in]],"-")</f>
        <v/>
      </c>
      <c r="AF69" s="1406">
        <f>IF(Y69="","-",YEAR(stayCity[[#This Row],[in]]))</f>
        <v/>
      </c>
      <c r="AG69" s="1398" t="inlineStr">
        <is>
          <t>.</t>
        </is>
      </c>
      <c r="AH69" s="1402">
        <f/>
        <v/>
      </c>
      <c r="AI69" s="1403">
        <f/>
        <v/>
      </c>
      <c r="AJ69" s="1403">
        <f/>
        <v/>
      </c>
      <c r="AK69" s="1400">
        <f>IF(AH69="","-",AH69)</f>
        <v/>
      </c>
      <c r="AL69" s="1405">
        <f>AI69</f>
        <v/>
      </c>
      <c r="AM69" s="1405">
        <f>AJ69</f>
        <v/>
      </c>
      <c r="AN69" s="1400">
        <f>stayCtry[[#This Row],[out]]-stayCtry[[#This Row],[in]]</f>
        <v/>
      </c>
      <c r="AO69" s="1406">
        <f>IF(AI69&lt;&gt;"",AO68+1,AO68)</f>
        <v/>
      </c>
      <c r="AP69" s="1398" t="inlineStr">
        <is>
          <t>.</t>
        </is>
      </c>
      <c r="AQ69" s="1402">
        <f/>
        <v/>
      </c>
      <c r="AR69" s="1403">
        <f/>
        <v/>
      </c>
      <c r="AS69" s="1403">
        <f/>
        <v/>
      </c>
      <c r="AT69" s="1400">
        <f>AQ69</f>
        <v/>
      </c>
      <c r="AU69" s="1405">
        <f>AR69</f>
        <v/>
      </c>
      <c r="AV69" s="1405">
        <f>AS69</f>
        <v/>
      </c>
      <c r="AW69" s="1400">
        <f>stayCont[[#This Row],[out]]-stayCont[[#This Row],[in]]</f>
        <v/>
      </c>
      <c r="AX69" s="1406">
        <f>IF(AR69&lt;&gt;"",AX68+1,AX68)</f>
        <v/>
      </c>
      <c r="AY69" s="1398" t="inlineStr">
        <is>
          <t>.</t>
        </is>
      </c>
      <c r="AZ69" s="1402" t="n"/>
      <c r="BA69" s="1403" t="n"/>
      <c r="BB69" s="1403" t="n"/>
      <c r="BC69" s="1405">
        <f>AZ69</f>
        <v/>
      </c>
      <c r="BD69" s="1405">
        <f>BA69</f>
        <v/>
      </c>
      <c r="BE69" s="1405">
        <f>BB69</f>
        <v/>
      </c>
      <c r="BF69" s="1400">
        <f>stayWB[[#This Row],[out]]-stayWB[[#This Row],[in]]</f>
        <v/>
      </c>
      <c r="BG69" s="1400">
        <f>IF(BB69&lt;&gt;"",BG68+1,BG68)</f>
        <v/>
      </c>
      <c r="BH69" s="1398" t="inlineStr">
        <is>
          <t>.</t>
        </is>
      </c>
      <c r="BI69" s="1402" t="inlineStr">
        <is>
          <t>DEU</t>
        </is>
      </c>
      <c r="BJ69" s="1402" t="n">
        <v>1998</v>
      </c>
      <c r="BK69" s="1400">
        <f>BI69</f>
        <v/>
      </c>
      <c r="BL69" s="1409">
        <f>BJ69</f>
        <v/>
      </c>
      <c r="BM69" s="1378" t="inlineStr">
        <is>
          <t>.</t>
        </is>
      </c>
      <c r="BN69" s="1402" t="inlineStr">
        <is>
          <t>B</t>
        </is>
      </c>
      <c r="BO69" s="1400">
        <f>BN69</f>
        <v/>
      </c>
      <c r="BP69" s="1398" t="inlineStr">
        <is>
          <t>.</t>
        </is>
      </c>
      <c r="BQ69" s="1400">
        <f>IF(BR69&lt;&gt;"",BQ68+1,BQ68)</f>
        <v/>
      </c>
      <c r="BR69" s="1411" t="inlineStr">
        <is>
          <t>Stockholm</t>
        </is>
      </c>
      <c r="BS69" s="1411" t="inlineStr">
        <is>
          <t>London</t>
        </is>
      </c>
      <c r="BT69" s="1412" t="inlineStr">
        <is>
          <t>Stockholm-London</t>
        </is>
      </c>
      <c r="BU69" s="1412" t="n">
        <v>35243</v>
      </c>
      <c r="BV69" s="1398" t="inlineStr">
        <is>
          <t>.</t>
        </is>
      </c>
      <c r="BW69" s="1392" t="n"/>
      <c r="BX69" s="1392" t="n"/>
      <c r="BY69" s="1392" t="n"/>
      <c r="BZ69" s="1416" t="n"/>
      <c r="CA69" s="1392" t="n"/>
      <c r="CB69" s="1398" t="inlineStr">
        <is>
          <t>.</t>
        </is>
      </c>
      <c r="CC69" s="1400">
        <f>IF(CD69&lt;&gt;"",CC68+1,CC68)</f>
        <v/>
      </c>
      <c r="CD69" s="1411" t="inlineStr">
        <is>
          <t>Salto Grande</t>
        </is>
      </c>
      <c r="CE69" s="1412" t="n">
        <v>37530</v>
      </c>
      <c r="CF69" s="1412" t="n">
        <v>37533</v>
      </c>
      <c r="CG69" s="1415">
        <f>CF69-CE69</f>
        <v/>
      </c>
      <c r="CH69" s="1398" t="inlineStr">
        <is>
          <t>.</t>
        </is>
      </c>
      <c r="CI69" s="1392" t="n"/>
      <c r="CJ69" s="1392" t="n"/>
      <c r="CK69" s="1392" t="n"/>
      <c r="CL69" s="1392" t="n"/>
    </row>
    <row r="70">
      <c r="A70" s="5" t="inlineStr">
        <is>
          <t>.</t>
        </is>
      </c>
      <c r="B70" s="5" t="inlineStr">
        <is>
          <t>.</t>
        </is>
      </c>
      <c r="C70" s="1378">
        <f>IF(raw[[#This Row],[city]]="","-",IF(raw[[#This Row],[city]]="TODAY","-",C69+1))</f>
        <v/>
      </c>
      <c r="D70" s="1393" t="inlineStr">
        <is>
          <t>Lima</t>
        </is>
      </c>
      <c r="E70" s="1394" t="n">
        <v>29958</v>
      </c>
      <c r="F70" s="1394" t="n">
        <v>29959</v>
      </c>
      <c r="G70" s="1393" t="n">
        <v>1</v>
      </c>
      <c r="H70" s="1393">
        <f>H69</f>
        <v/>
      </c>
      <c r="I70" s="1393" t="inlineStr">
        <is>
          <t>-</t>
        </is>
      </c>
      <c r="J70" s="1393" t="inlineStr">
        <is>
          <t>-</t>
        </is>
      </c>
      <c r="K70" s="1395">
        <f>IF(raw[[#This Row],[city]]&lt;&gt;"",_xlfn.XLOOKUP($D70,ccc[city],ccc[prov],"-"),"-")</f>
        <v/>
      </c>
      <c r="L70" s="1395">
        <f>IF(raw[[#This Row],[city]]&lt;&gt;"",_xlfn.XLOOKUP($D70,ccc[city],ccc[ctry],"-"),"-")</f>
        <v/>
      </c>
      <c r="M70" s="1395">
        <f>IF(raw[[#This Row],[city]]&lt;&gt;"",_xlfn.XLOOKUP($D70,ccc[city],ccc[cont],"-"),"-")</f>
        <v/>
      </c>
      <c r="N70" s="1396">
        <f>IF(raw[[#This Row],[city]]="","-",IF(raw[[#This Row],[cont]]="B",raw[[#This Row],[cont]],"W"))</f>
        <v/>
      </c>
      <c r="O70" s="1397">
        <f>IF(raw[[#This Row],[out]]=0,0,IF(raw[[#This Row],[out]]=raw[[#This Row],[in]],0.01,raw[[#This Row],[out]]-raw[[#This Row],[in]]))</f>
        <v/>
      </c>
      <c r="P70" s="1397">
        <f>IF(raw[[#This Row],[in]]=0,0,MONTH(raw[[#This Row],[in]]))</f>
        <v/>
      </c>
      <c r="Q70" s="1397">
        <f>IF(raw[[#This Row],[in]]=0,0,YEAR(raw[[#This Row],[in]]))</f>
        <v/>
      </c>
      <c r="R70" s="1397">
        <f>INT(raw[[#This Row],[yr]]/10)*10</f>
        <v/>
      </c>
      <c r="S70" s="1395">
        <f>IF(raw[[#This Row],[city]]="","-",IF(raw[[#This Row],[city]]&lt;&gt;_xlfn.XLOOKUP(raw[[#This Row],[home]],homes[home],homes[city],"-"),1,0))</f>
        <v/>
      </c>
      <c r="T70" s="1398" t="inlineStr">
        <is>
          <t>.</t>
        </is>
      </c>
      <c r="U70" s="1399">
        <f>IF(raw[[#This Row],[wb]]="w",raw[[#This Row],[stay]]+U69,U69)</f>
        <v/>
      </c>
      <c r="V70" s="1400">
        <f>IF(raw[[#This Row],[out]]=0,V69,(raw[[#This Row],[out]]-E$5))</f>
        <v/>
      </c>
      <c r="W70" s="1401">
        <f>U70/V70</f>
        <v/>
      </c>
      <c r="X70" s="1378" t="inlineStr">
        <is>
          <t>.</t>
        </is>
      </c>
      <c r="Y70" s="1402">
        <f/>
        <v/>
      </c>
      <c r="Z70" s="1403">
        <f/>
        <v/>
      </c>
      <c r="AA70" s="1403">
        <f/>
        <v/>
      </c>
      <c r="AB70" s="1400">
        <f t="array" ref="AB70">_xlfn.LET(_xlpm.S,_xlfn.ANCHORARRAY($Y$4),_xlpm.r,ROWS(stayCity[[#Headers],[city]]:stayCity[[#This Row],[city]])-1,IF(_xlpm.r&lt;=ROWS(_xlpm.S),INDEX(_xlpm.S,_xlpm.r,1),""))</f>
        <v/>
      </c>
      <c r="AC70" s="1405">
        <f t="array" ref="AC70">_xlfn.LET(_xlpm.S,_xlfn.ANCHORARRAY($Y$4),_xlpm.r,ROWS(stayCity[[#Headers],[city]]:stayCity[[#This Row],[city]])-1,IF(_xlpm.r&lt;=ROWS(_xlpm.S),INDEX(_xlpm.S,_xlpm.r,2),""))</f>
        <v/>
      </c>
      <c r="AD70" s="1405">
        <f t="array" ref="AD70">_xlfn.LET(_xlpm.S,_xlfn.ANCHORARRAY($Y$4),_xlpm.r,ROWS(stayCity[[#Headers],[city]]:stayCity[[#This Row],[city]])-1,IF(_xlpm.r&lt;=ROWS(_xlpm.S),INDEX(_xlpm.S,_xlpm.r,3),""))</f>
        <v/>
      </c>
      <c r="AE70" s="1400">
        <f>IF(stayCity[[#This Row],[out]]&lt;&gt;"",stayCity[[#This Row],[out]]-stayCity[[#This Row],[in]],"-")</f>
        <v/>
      </c>
      <c r="AF70" s="1406">
        <f>IF(Y70="","-",YEAR(stayCity[[#This Row],[in]]))</f>
        <v/>
      </c>
      <c r="AG70" s="1398" t="inlineStr">
        <is>
          <t>.</t>
        </is>
      </c>
      <c r="AH70" s="1402">
        <f/>
        <v/>
      </c>
      <c r="AI70" s="1403">
        <f/>
        <v/>
      </c>
      <c r="AJ70" s="1403">
        <f/>
        <v/>
      </c>
      <c r="AK70" s="1400">
        <f>IF(AH70="","-",AH70)</f>
        <v/>
      </c>
      <c r="AL70" s="1405">
        <f>AI70</f>
        <v/>
      </c>
      <c r="AM70" s="1405">
        <f>AJ70</f>
        <v/>
      </c>
      <c r="AN70" s="1400">
        <f>stayCtry[[#This Row],[out]]-stayCtry[[#This Row],[in]]</f>
        <v/>
      </c>
      <c r="AO70" s="1406">
        <f>IF(AI70&lt;&gt;"",AO69+1,AO69)</f>
        <v/>
      </c>
      <c r="AP70" s="1398" t="inlineStr">
        <is>
          <t>.</t>
        </is>
      </c>
      <c r="AQ70" s="1402">
        <f/>
        <v/>
      </c>
      <c r="AR70" s="1403">
        <f/>
        <v/>
      </c>
      <c r="AS70" s="1403">
        <f/>
        <v/>
      </c>
      <c r="AT70" s="1400">
        <f>AQ70</f>
        <v/>
      </c>
      <c r="AU70" s="1405">
        <f>AR70</f>
        <v/>
      </c>
      <c r="AV70" s="1405">
        <f>AS70</f>
        <v/>
      </c>
      <c r="AW70" s="1400">
        <f>stayCont[[#This Row],[out]]-stayCont[[#This Row],[in]]</f>
        <v/>
      </c>
      <c r="AX70" s="1406">
        <f>IF(AR70&lt;&gt;"",AX69+1,AX69)</f>
        <v/>
      </c>
      <c r="AY70" s="1398" t="inlineStr">
        <is>
          <t>.</t>
        </is>
      </c>
      <c r="AZ70" s="1402" t="n"/>
      <c r="BA70" s="1403" t="n"/>
      <c r="BB70" s="1403" t="n"/>
      <c r="BC70" s="1405">
        <f>AZ70</f>
        <v/>
      </c>
      <c r="BD70" s="1405">
        <f>BA70</f>
        <v/>
      </c>
      <c r="BE70" s="1405">
        <f>BB70</f>
        <v/>
      </c>
      <c r="BF70" s="1400">
        <f>stayWB[[#This Row],[out]]-stayWB[[#This Row],[in]]</f>
        <v/>
      </c>
      <c r="BG70" s="1400">
        <f>IF(BB70&lt;&gt;"",BG69+1,BG69)</f>
        <v/>
      </c>
      <c r="BH70" s="1398" t="inlineStr">
        <is>
          <t>.</t>
        </is>
      </c>
      <c r="BI70" s="1402" t="inlineStr">
        <is>
          <t>FRA</t>
        </is>
      </c>
      <c r="BJ70" s="1402" t="n">
        <v>1998</v>
      </c>
      <c r="BK70" s="1400">
        <f>BI70</f>
        <v/>
      </c>
      <c r="BL70" s="1409">
        <f>BJ70</f>
        <v/>
      </c>
      <c r="BM70" s="1378" t="inlineStr">
        <is>
          <t>.</t>
        </is>
      </c>
      <c r="BN70" s="1402" t="inlineStr">
        <is>
          <t>S</t>
        </is>
      </c>
      <c r="BO70" s="1400">
        <f>BN70</f>
        <v/>
      </c>
      <c r="BP70" s="1398" t="inlineStr">
        <is>
          <t>.</t>
        </is>
      </c>
      <c r="BQ70" s="1400">
        <f>IF(BR70&lt;&gt;"",BQ69+1,BQ69)</f>
        <v/>
      </c>
      <c r="BR70" s="1411" t="inlineStr">
        <is>
          <t>London</t>
        </is>
      </c>
      <c r="BS70" s="1411" t="inlineStr">
        <is>
          <t>SP</t>
        </is>
      </c>
      <c r="BT70" s="1412" t="inlineStr">
        <is>
          <t>London-SP</t>
        </is>
      </c>
      <c r="BU70" s="1412" t="n">
        <v>35390</v>
      </c>
      <c r="BV70" s="1398" t="inlineStr">
        <is>
          <t>.</t>
        </is>
      </c>
      <c r="BW70" s="1392" t="n"/>
      <c r="BX70" s="1392" t="n"/>
      <c r="BY70" s="1392" t="n"/>
      <c r="BZ70" s="1416" t="n"/>
      <c r="CA70" s="1392" t="n"/>
      <c r="CB70" s="1398" t="inlineStr">
        <is>
          <t>.</t>
        </is>
      </c>
      <c r="CC70" s="1400">
        <f>IF(CD70&lt;&gt;"",CC69+1,CC69)</f>
        <v/>
      </c>
      <c r="CD70" s="1411" t="inlineStr">
        <is>
          <t>Salto Grande</t>
        </is>
      </c>
      <c r="CE70" s="1412" t="n">
        <v>37537</v>
      </c>
      <c r="CF70" s="1412" t="n">
        <v>37540</v>
      </c>
      <c r="CG70" s="1415">
        <f>CF70-CE70</f>
        <v/>
      </c>
      <c r="CH70" s="1398" t="inlineStr">
        <is>
          <t>.</t>
        </is>
      </c>
      <c r="CI70" s="1392" t="n"/>
      <c r="CJ70" s="1392" t="n"/>
      <c r="CK70" s="1392" t="n"/>
      <c r="CL70" s="1392" t="n"/>
    </row>
    <row r="71">
      <c r="A71" s="5" t="inlineStr">
        <is>
          <t>.</t>
        </is>
      </c>
      <c r="B71" s="5" t="inlineStr">
        <is>
          <t>.</t>
        </is>
      </c>
      <c r="C71" s="1378">
        <f>IF(raw[[#This Row],[city]]="","-",IF(raw[[#This Row],[city]]="TODAY","-",C70+1))</f>
        <v/>
      </c>
      <c r="D71" s="1393" t="inlineStr">
        <is>
          <t>Cuzco</t>
        </is>
      </c>
      <c r="E71" s="1394" t="n">
        <v>29959</v>
      </c>
      <c r="F71" s="1394" t="n">
        <v>29961</v>
      </c>
      <c r="G71" s="1393" t="inlineStr">
        <is>
          <t>-</t>
        </is>
      </c>
      <c r="H71" s="1393">
        <f>H70</f>
        <v/>
      </c>
      <c r="I71" s="1393" t="inlineStr">
        <is>
          <t>-</t>
        </is>
      </c>
      <c r="J71" s="1393" t="inlineStr">
        <is>
          <t>-</t>
        </is>
      </c>
      <c r="K71" s="1395">
        <f>IF(raw[[#This Row],[city]]&lt;&gt;"",_xlfn.XLOOKUP($D71,ccc[city],ccc[prov],"-"),"-")</f>
        <v/>
      </c>
      <c r="L71" s="1395">
        <f>IF(raw[[#This Row],[city]]&lt;&gt;"",_xlfn.XLOOKUP($D71,ccc[city],ccc[ctry],"-"),"-")</f>
        <v/>
      </c>
      <c r="M71" s="1395">
        <f>IF(raw[[#This Row],[city]]&lt;&gt;"",_xlfn.XLOOKUP($D71,ccc[city],ccc[cont],"-"),"-")</f>
        <v/>
      </c>
      <c r="N71" s="1396">
        <f>IF(raw[[#This Row],[city]]="","-",IF(raw[[#This Row],[cont]]="B",raw[[#This Row],[cont]],"W"))</f>
        <v/>
      </c>
      <c r="O71" s="1397">
        <f>IF(raw[[#This Row],[out]]=0,0,IF(raw[[#This Row],[out]]=raw[[#This Row],[in]],0.01,raw[[#This Row],[out]]-raw[[#This Row],[in]]))</f>
        <v/>
      </c>
      <c r="P71" s="1397">
        <f>IF(raw[[#This Row],[in]]=0,0,MONTH(raw[[#This Row],[in]]))</f>
        <v/>
      </c>
      <c r="Q71" s="1397">
        <f>IF(raw[[#This Row],[in]]=0,0,YEAR(raw[[#This Row],[in]]))</f>
        <v/>
      </c>
      <c r="R71" s="1397">
        <f>INT(raw[[#This Row],[yr]]/10)*10</f>
        <v/>
      </c>
      <c r="S71" s="1395">
        <f>IF(raw[[#This Row],[city]]="","-",IF(raw[[#This Row],[city]]&lt;&gt;_xlfn.XLOOKUP(raw[[#This Row],[home]],homes[home],homes[city],"-"),1,0))</f>
        <v/>
      </c>
      <c r="T71" s="1398" t="inlineStr">
        <is>
          <t>.</t>
        </is>
      </c>
      <c r="U71" s="1399">
        <f>IF(raw[[#This Row],[wb]]="w",raw[[#This Row],[stay]]+U70,U70)</f>
        <v/>
      </c>
      <c r="V71" s="1400">
        <f>IF(raw[[#This Row],[out]]=0,V70,(raw[[#This Row],[out]]-E$5))</f>
        <v/>
      </c>
      <c r="W71" s="1401">
        <f>U71/V71</f>
        <v/>
      </c>
      <c r="X71" s="1378" t="inlineStr">
        <is>
          <t>.</t>
        </is>
      </c>
      <c r="Y71" s="1402">
        <f/>
        <v/>
      </c>
      <c r="Z71" s="1403">
        <f/>
        <v/>
      </c>
      <c r="AA71" s="1403">
        <f/>
        <v/>
      </c>
      <c r="AB71" s="1400">
        <f t="array" ref="AB71">_xlfn.LET(_xlpm.S,_xlfn.ANCHORARRAY($Y$4),_xlpm.r,ROWS(stayCity[[#Headers],[city]]:stayCity[[#This Row],[city]])-1,IF(_xlpm.r&lt;=ROWS(_xlpm.S),INDEX(_xlpm.S,_xlpm.r,1),""))</f>
        <v/>
      </c>
      <c r="AC71" s="1405">
        <f t="array" ref="AC71">_xlfn.LET(_xlpm.S,_xlfn.ANCHORARRAY($Y$4),_xlpm.r,ROWS(stayCity[[#Headers],[city]]:stayCity[[#This Row],[city]])-1,IF(_xlpm.r&lt;=ROWS(_xlpm.S),INDEX(_xlpm.S,_xlpm.r,2),""))</f>
        <v/>
      </c>
      <c r="AD71" s="1405">
        <f t="array" ref="AD71">_xlfn.LET(_xlpm.S,_xlfn.ANCHORARRAY($Y$4),_xlpm.r,ROWS(stayCity[[#Headers],[city]]:stayCity[[#This Row],[city]])-1,IF(_xlpm.r&lt;=ROWS(_xlpm.S),INDEX(_xlpm.S,_xlpm.r,3),""))</f>
        <v/>
      </c>
      <c r="AE71" s="1400">
        <f>IF(stayCity[[#This Row],[out]]&lt;&gt;"",stayCity[[#This Row],[out]]-stayCity[[#This Row],[in]],"-")</f>
        <v/>
      </c>
      <c r="AF71" s="1406">
        <f>IF(Y71="","-",YEAR(stayCity[[#This Row],[in]]))</f>
        <v/>
      </c>
      <c r="AG71" s="1398" t="inlineStr">
        <is>
          <t>.</t>
        </is>
      </c>
      <c r="AH71" s="1402">
        <f/>
        <v/>
      </c>
      <c r="AI71" s="1403">
        <f/>
        <v/>
      </c>
      <c r="AJ71" s="1403">
        <f/>
        <v/>
      </c>
      <c r="AK71" s="1400">
        <f>IF(AH71="","-",AH71)</f>
        <v/>
      </c>
      <c r="AL71" s="1405">
        <f>AI71</f>
        <v/>
      </c>
      <c r="AM71" s="1405">
        <f>AJ71</f>
        <v/>
      </c>
      <c r="AN71" s="1400">
        <f>stayCtry[[#This Row],[out]]-stayCtry[[#This Row],[in]]</f>
        <v/>
      </c>
      <c r="AO71" s="1406">
        <f>IF(AI71&lt;&gt;"",AO70+1,AO70)</f>
        <v/>
      </c>
      <c r="AP71" s="1398" t="inlineStr">
        <is>
          <t>.</t>
        </is>
      </c>
      <c r="AQ71" s="1402">
        <f/>
        <v/>
      </c>
      <c r="AR71" s="1403">
        <f/>
        <v/>
      </c>
      <c r="AS71" s="1403">
        <f/>
        <v/>
      </c>
      <c r="AT71" s="1400">
        <f>AQ71</f>
        <v/>
      </c>
      <c r="AU71" s="1405">
        <f>AR71</f>
        <v/>
      </c>
      <c r="AV71" s="1405">
        <f>AS71</f>
        <v/>
      </c>
      <c r="AW71" s="1400">
        <f>stayCont[[#This Row],[out]]-stayCont[[#This Row],[in]]</f>
        <v/>
      </c>
      <c r="AX71" s="1406">
        <f>IF(AR71&lt;&gt;"",AX70+1,AX70)</f>
        <v/>
      </c>
      <c r="AY71" s="1398" t="inlineStr">
        <is>
          <t>.</t>
        </is>
      </c>
      <c r="AZ71" s="1402" t="n"/>
      <c r="BA71" s="1403" t="n"/>
      <c r="BB71" s="1403" t="n"/>
      <c r="BC71" s="1405">
        <f>AZ71</f>
        <v/>
      </c>
      <c r="BD71" s="1405">
        <f>BA71</f>
        <v/>
      </c>
      <c r="BE71" s="1405">
        <f>BB71</f>
        <v/>
      </c>
      <c r="BF71" s="1400">
        <f>stayWB[[#This Row],[out]]-stayWB[[#This Row],[in]]</f>
        <v/>
      </c>
      <c r="BG71" s="1400">
        <f>IF(BB71&lt;&gt;"",BG70+1,BG70)</f>
        <v/>
      </c>
      <c r="BH71" s="1398" t="inlineStr">
        <is>
          <t>.</t>
        </is>
      </c>
      <c r="BI71" s="1402" t="inlineStr">
        <is>
          <t>BEL</t>
        </is>
      </c>
      <c r="BJ71" s="1402" t="n">
        <v>1998</v>
      </c>
      <c r="BK71" s="1400">
        <f>BI71</f>
        <v/>
      </c>
      <c r="BL71" s="1409">
        <f>BJ71</f>
        <v/>
      </c>
      <c r="BM71" s="1378" t="inlineStr">
        <is>
          <t>.</t>
        </is>
      </c>
      <c r="BN71" s="1402" t="inlineStr">
        <is>
          <t>B</t>
        </is>
      </c>
      <c r="BO71" s="1400">
        <f>BN71</f>
        <v/>
      </c>
      <c r="BP71" s="1398" t="inlineStr">
        <is>
          <t>.</t>
        </is>
      </c>
      <c r="BQ71" s="1400">
        <f>IF(BR71&lt;&gt;"",BQ70+1,BQ70)</f>
        <v/>
      </c>
      <c r="BR71" s="1411" t="inlineStr">
        <is>
          <t>SP</t>
        </is>
      </c>
      <c r="BS71" s="1411" t="inlineStr">
        <is>
          <t>SSA</t>
        </is>
      </c>
      <c r="BT71" s="1412" t="inlineStr">
        <is>
          <t>SP-SSA</t>
        </is>
      </c>
      <c r="BU71" s="1412" t="n">
        <v>35397</v>
      </c>
      <c r="BV71" s="1398" t="inlineStr">
        <is>
          <t>.</t>
        </is>
      </c>
      <c r="BW71" s="1392" t="n"/>
      <c r="BX71" s="1392" t="n"/>
      <c r="BY71" s="1392" t="n"/>
      <c r="BZ71" s="1416" t="n"/>
      <c r="CA71" s="1392" t="n"/>
      <c r="CB71" s="1398" t="inlineStr">
        <is>
          <t>.</t>
        </is>
      </c>
      <c r="CC71" s="1400">
        <f>IF(CD71&lt;&gt;"",CC70+1,CC70)</f>
        <v/>
      </c>
      <c r="CD71" s="1411" t="inlineStr">
        <is>
          <t>Guaecá</t>
        </is>
      </c>
      <c r="CE71" s="1412" t="n">
        <v>37547</v>
      </c>
      <c r="CF71" s="1412" t="n">
        <v>37551</v>
      </c>
      <c r="CG71" s="1415">
        <f>CF71-CE71</f>
        <v/>
      </c>
      <c r="CH71" s="1398" t="inlineStr">
        <is>
          <t>.</t>
        </is>
      </c>
      <c r="CI71" s="1392" t="n"/>
      <c r="CJ71" s="1392" t="n"/>
      <c r="CK71" s="1392" t="n"/>
      <c r="CL71" s="1392" t="n"/>
    </row>
    <row r="72">
      <c r="A72" s="5" t="inlineStr">
        <is>
          <t>.</t>
        </is>
      </c>
      <c r="B72" s="5" t="inlineStr">
        <is>
          <t>.</t>
        </is>
      </c>
      <c r="C72" s="1378">
        <f>IF(raw[[#This Row],[city]]="","-",IF(raw[[#This Row],[city]]="TODAY","-",C71+1))</f>
        <v/>
      </c>
      <c r="D72" s="1393" t="inlineStr">
        <is>
          <t>Macchu-Picchu</t>
        </is>
      </c>
      <c r="E72" s="1394" t="n">
        <v>29960</v>
      </c>
      <c r="F72" s="1394" t="n">
        <v>29960</v>
      </c>
      <c r="G72" s="1393" t="inlineStr">
        <is>
          <t>-</t>
        </is>
      </c>
      <c r="H72" s="1393">
        <f>H71</f>
        <v/>
      </c>
      <c r="I72" s="1393" t="inlineStr">
        <is>
          <t>-</t>
        </is>
      </c>
      <c r="J72" s="1393" t="inlineStr">
        <is>
          <t>-</t>
        </is>
      </c>
      <c r="K72" s="1395">
        <f>IF(raw[[#This Row],[city]]&lt;&gt;"",_xlfn.XLOOKUP($D72,ccc[city],ccc[prov],"-"),"-")</f>
        <v/>
      </c>
      <c r="L72" s="1395">
        <f>IF(raw[[#This Row],[city]]&lt;&gt;"",_xlfn.XLOOKUP($D72,ccc[city],ccc[ctry],"-"),"-")</f>
        <v/>
      </c>
      <c r="M72" s="1395">
        <f>IF(raw[[#This Row],[city]]&lt;&gt;"",_xlfn.XLOOKUP($D72,ccc[city],ccc[cont],"-"),"-")</f>
        <v/>
      </c>
      <c r="N72" s="1396">
        <f>IF(raw[[#This Row],[city]]="","-",IF(raw[[#This Row],[cont]]="B",raw[[#This Row],[cont]],"W"))</f>
        <v/>
      </c>
      <c r="O72" s="1397">
        <f>IF(raw[[#This Row],[out]]=0,0,IF(raw[[#This Row],[out]]=raw[[#This Row],[in]],0.01,raw[[#This Row],[out]]-raw[[#This Row],[in]]))</f>
        <v/>
      </c>
      <c r="P72" s="1397">
        <f>IF(raw[[#This Row],[in]]=0,0,MONTH(raw[[#This Row],[in]]))</f>
        <v/>
      </c>
      <c r="Q72" s="1397">
        <f>IF(raw[[#This Row],[in]]=0,0,YEAR(raw[[#This Row],[in]]))</f>
        <v/>
      </c>
      <c r="R72" s="1397">
        <f>INT(raw[[#This Row],[yr]]/10)*10</f>
        <v/>
      </c>
      <c r="S72" s="1395">
        <f>IF(raw[[#This Row],[city]]="","-",IF(raw[[#This Row],[city]]&lt;&gt;_xlfn.XLOOKUP(raw[[#This Row],[home]],homes[home],homes[city],"-"),1,0))</f>
        <v/>
      </c>
      <c r="T72" s="1398" t="inlineStr">
        <is>
          <t>.</t>
        </is>
      </c>
      <c r="U72" s="1399">
        <f>IF(raw[[#This Row],[wb]]="w",raw[[#This Row],[stay]]+U71,U71)</f>
        <v/>
      </c>
      <c r="V72" s="1400">
        <f>IF(raw[[#This Row],[out]]=0,V71,(raw[[#This Row],[out]]-E$5))</f>
        <v/>
      </c>
      <c r="W72" s="1401">
        <f>U72/V72</f>
        <v/>
      </c>
      <c r="X72" s="1378" t="inlineStr">
        <is>
          <t>.</t>
        </is>
      </c>
      <c r="Y72" s="1402">
        <f/>
        <v/>
      </c>
      <c r="Z72" s="1403">
        <f/>
        <v/>
      </c>
      <c r="AA72" s="1403">
        <f/>
        <v/>
      </c>
      <c r="AB72" s="1400">
        <f t="array" ref="AB72">_xlfn.LET(_xlpm.S,_xlfn.ANCHORARRAY($Y$4),_xlpm.r,ROWS(stayCity[[#Headers],[city]]:stayCity[[#This Row],[city]])-1,IF(_xlpm.r&lt;=ROWS(_xlpm.S),INDEX(_xlpm.S,_xlpm.r,1),""))</f>
        <v/>
      </c>
      <c r="AC72" s="1405">
        <f t="array" ref="AC72">_xlfn.LET(_xlpm.S,_xlfn.ANCHORARRAY($Y$4),_xlpm.r,ROWS(stayCity[[#Headers],[city]]:stayCity[[#This Row],[city]])-1,IF(_xlpm.r&lt;=ROWS(_xlpm.S),INDEX(_xlpm.S,_xlpm.r,2),""))</f>
        <v/>
      </c>
      <c r="AD72" s="1405">
        <f t="array" ref="AD72">_xlfn.LET(_xlpm.S,_xlfn.ANCHORARRAY($Y$4),_xlpm.r,ROWS(stayCity[[#Headers],[city]]:stayCity[[#This Row],[city]])-1,IF(_xlpm.r&lt;=ROWS(_xlpm.S),INDEX(_xlpm.S,_xlpm.r,3),""))</f>
        <v/>
      </c>
      <c r="AE72" s="1400">
        <f>IF(stayCity[[#This Row],[out]]&lt;&gt;"",stayCity[[#This Row],[out]]-stayCity[[#This Row],[in]],"-")</f>
        <v/>
      </c>
      <c r="AF72" s="1406">
        <f>IF(Y72="","-",YEAR(stayCity[[#This Row],[in]]))</f>
        <v/>
      </c>
      <c r="AG72" s="1398" t="inlineStr">
        <is>
          <t>.</t>
        </is>
      </c>
      <c r="AH72" s="1402">
        <f/>
        <v/>
      </c>
      <c r="AI72" s="1403">
        <f/>
        <v/>
      </c>
      <c r="AJ72" s="1403">
        <f/>
        <v/>
      </c>
      <c r="AK72" s="1400">
        <f>IF(AH72="","-",AH72)</f>
        <v/>
      </c>
      <c r="AL72" s="1405">
        <f>AI72</f>
        <v/>
      </c>
      <c r="AM72" s="1405">
        <f>AJ72</f>
        <v/>
      </c>
      <c r="AN72" s="1400">
        <f>stayCtry[[#This Row],[out]]-stayCtry[[#This Row],[in]]</f>
        <v/>
      </c>
      <c r="AO72" s="1406">
        <f>IF(AI72&lt;&gt;"",AO71+1,AO71)</f>
        <v/>
      </c>
      <c r="AP72" s="1398" t="inlineStr">
        <is>
          <t>.</t>
        </is>
      </c>
      <c r="AQ72" s="1402">
        <f/>
        <v/>
      </c>
      <c r="AR72" s="1403">
        <f/>
        <v/>
      </c>
      <c r="AS72" s="1403">
        <f/>
        <v/>
      </c>
      <c r="AT72" s="1400">
        <f>AQ72</f>
        <v/>
      </c>
      <c r="AU72" s="1405">
        <f>AR72</f>
        <v/>
      </c>
      <c r="AV72" s="1405">
        <f>AS72</f>
        <v/>
      </c>
      <c r="AW72" s="1400">
        <f>stayCont[[#This Row],[out]]-stayCont[[#This Row],[in]]</f>
        <v/>
      </c>
      <c r="AX72" s="1406">
        <f>IF(AR72&lt;&gt;"",AX71+1,AX71)</f>
        <v/>
      </c>
      <c r="AY72" s="1398" t="inlineStr">
        <is>
          <t>.</t>
        </is>
      </c>
      <c r="AZ72" s="1402" t="n"/>
      <c r="BA72" s="1403" t="n"/>
      <c r="BB72" s="1403" t="n"/>
      <c r="BC72" s="1405">
        <f>AZ72</f>
        <v/>
      </c>
      <c r="BD72" s="1405">
        <f>BA72</f>
        <v/>
      </c>
      <c r="BE72" s="1405">
        <f>BB72</f>
        <v/>
      </c>
      <c r="BF72" s="1400">
        <f>stayWB[[#This Row],[out]]-stayWB[[#This Row],[in]]</f>
        <v/>
      </c>
      <c r="BG72" s="1400">
        <f>IF(BB72&lt;&gt;"",BG71+1,BG71)</f>
        <v/>
      </c>
      <c r="BH72" s="1398" t="inlineStr">
        <is>
          <t>.</t>
        </is>
      </c>
      <c r="BI72" s="1402" t="inlineStr">
        <is>
          <t>BRA</t>
        </is>
      </c>
      <c r="BJ72" s="1402" t="n">
        <v>1998</v>
      </c>
      <c r="BK72" s="1400">
        <f>BI72</f>
        <v/>
      </c>
      <c r="BL72" s="1409">
        <f>BJ72</f>
        <v/>
      </c>
      <c r="BM72" s="1378" t="inlineStr">
        <is>
          <t>.</t>
        </is>
      </c>
      <c r="BN72" s="1402" t="inlineStr">
        <is>
          <t>Z</t>
        </is>
      </c>
      <c r="BO72" s="1400">
        <f>BN72</f>
        <v/>
      </c>
      <c r="BP72" s="1398" t="inlineStr">
        <is>
          <t>.</t>
        </is>
      </c>
      <c r="BQ72" s="1400">
        <f>IF(BR72&lt;&gt;"",BQ71+1,BQ71)</f>
        <v/>
      </c>
      <c r="BR72" s="1411" t="inlineStr">
        <is>
          <t>SSA</t>
        </is>
      </c>
      <c r="BS72" s="1411" t="inlineStr">
        <is>
          <t>SP</t>
        </is>
      </c>
      <c r="BT72" s="1412" t="inlineStr">
        <is>
          <t>SSA-SP</t>
        </is>
      </c>
      <c r="BU72" s="1412" t="n">
        <v>35656</v>
      </c>
      <c r="BV72" s="1398" t="inlineStr">
        <is>
          <t>.</t>
        </is>
      </c>
      <c r="BW72" s="1392" t="n"/>
      <c r="BX72" s="1392" t="n"/>
      <c r="BY72" s="1392" t="n"/>
      <c r="BZ72" s="1416" t="n"/>
      <c r="CA72" s="1392" t="n"/>
      <c r="CB72" s="1398" t="inlineStr">
        <is>
          <t>.</t>
        </is>
      </c>
      <c r="CC72" s="1400">
        <f>IF(CD72&lt;&gt;"",CC71+1,CC71)</f>
        <v/>
      </c>
      <c r="CD72" s="1411" t="inlineStr">
        <is>
          <t>Salto Grande</t>
        </is>
      </c>
      <c r="CE72" s="1412" t="n">
        <v>37553</v>
      </c>
      <c r="CF72" s="1412" t="n">
        <v>37555</v>
      </c>
      <c r="CG72" s="1415">
        <f>CF72-CE72</f>
        <v/>
      </c>
      <c r="CH72" s="1398" t="inlineStr">
        <is>
          <t>.</t>
        </is>
      </c>
      <c r="CI72" s="1392" t="n"/>
      <c r="CJ72" s="1392" t="n"/>
      <c r="CK72" s="1392" t="n"/>
      <c r="CL72" s="1392" t="n"/>
    </row>
    <row r="73">
      <c r="A73" s="5" t="inlineStr">
        <is>
          <t>.</t>
        </is>
      </c>
      <c r="B73" s="5" t="inlineStr">
        <is>
          <t>.</t>
        </is>
      </c>
      <c r="C73" s="1378">
        <f>IF(raw[[#This Row],[city]]="","-",IF(raw[[#This Row],[city]]="TODAY","-",C72+1))</f>
        <v/>
      </c>
      <c r="D73" s="1393" t="inlineStr">
        <is>
          <t>Cuzco</t>
        </is>
      </c>
      <c r="E73" s="1394" t="n">
        <v>29961</v>
      </c>
      <c r="F73" s="1394" t="n">
        <v>29961</v>
      </c>
      <c r="G73" s="1393" t="n">
        <v>1</v>
      </c>
      <c r="H73" s="1393">
        <f>H72</f>
        <v/>
      </c>
      <c r="I73" s="1393" t="inlineStr">
        <is>
          <t>-</t>
        </is>
      </c>
      <c r="J73" s="1393" t="inlineStr">
        <is>
          <t>-</t>
        </is>
      </c>
      <c r="K73" s="1395">
        <f>IF(raw[[#This Row],[city]]&lt;&gt;"",_xlfn.XLOOKUP($D73,ccc[city],ccc[prov],"-"),"-")</f>
        <v/>
      </c>
      <c r="L73" s="1395">
        <f>IF(raw[[#This Row],[city]]&lt;&gt;"",_xlfn.XLOOKUP($D73,ccc[city],ccc[ctry],"-"),"-")</f>
        <v/>
      </c>
      <c r="M73" s="1395">
        <f>IF(raw[[#This Row],[city]]&lt;&gt;"",_xlfn.XLOOKUP($D73,ccc[city],ccc[cont],"-"),"-")</f>
        <v/>
      </c>
      <c r="N73" s="1396">
        <f>IF(raw[[#This Row],[city]]="","-",IF(raw[[#This Row],[cont]]="B",raw[[#This Row],[cont]],"W"))</f>
        <v/>
      </c>
      <c r="O73" s="1397">
        <f>IF(raw[[#This Row],[out]]=0,0,IF(raw[[#This Row],[out]]=raw[[#This Row],[in]],0.01,raw[[#This Row],[out]]-raw[[#This Row],[in]]))</f>
        <v/>
      </c>
      <c r="P73" s="1397">
        <f>IF(raw[[#This Row],[in]]=0,0,MONTH(raw[[#This Row],[in]]))</f>
        <v/>
      </c>
      <c r="Q73" s="1397">
        <f>IF(raw[[#This Row],[in]]=0,0,YEAR(raw[[#This Row],[in]]))</f>
        <v/>
      </c>
      <c r="R73" s="1397">
        <f>INT(raw[[#This Row],[yr]]/10)*10</f>
        <v/>
      </c>
      <c r="S73" s="1395">
        <f>IF(raw[[#This Row],[city]]="","-",IF(raw[[#This Row],[city]]&lt;&gt;_xlfn.XLOOKUP(raw[[#This Row],[home]],homes[home],homes[city],"-"),1,0))</f>
        <v/>
      </c>
      <c r="T73" s="1398" t="inlineStr">
        <is>
          <t>.</t>
        </is>
      </c>
      <c r="U73" s="1399">
        <f>IF(raw[[#This Row],[wb]]="w",raw[[#This Row],[stay]]+U72,U72)</f>
        <v/>
      </c>
      <c r="V73" s="1400">
        <f>IF(raw[[#This Row],[out]]=0,V72,(raw[[#This Row],[out]]-E$5))</f>
        <v/>
      </c>
      <c r="W73" s="1401">
        <f>U73/V73</f>
        <v/>
      </c>
      <c r="X73" s="1378" t="inlineStr">
        <is>
          <t>.</t>
        </is>
      </c>
      <c r="Y73" s="1402">
        <f/>
        <v/>
      </c>
      <c r="Z73" s="1403">
        <f/>
        <v/>
      </c>
      <c r="AA73" s="1403">
        <f/>
        <v/>
      </c>
      <c r="AB73" s="1400">
        <f t="array" ref="AB73">_xlfn.LET(_xlpm.S,_xlfn.ANCHORARRAY($Y$4),_xlpm.r,ROWS(stayCity[[#Headers],[city]]:stayCity[[#This Row],[city]])-1,IF(_xlpm.r&lt;=ROWS(_xlpm.S),INDEX(_xlpm.S,_xlpm.r,1),""))</f>
        <v/>
      </c>
      <c r="AC73" s="1405">
        <f t="array" ref="AC73">_xlfn.LET(_xlpm.S,_xlfn.ANCHORARRAY($Y$4),_xlpm.r,ROWS(stayCity[[#Headers],[city]]:stayCity[[#This Row],[city]])-1,IF(_xlpm.r&lt;=ROWS(_xlpm.S),INDEX(_xlpm.S,_xlpm.r,2),""))</f>
        <v/>
      </c>
      <c r="AD73" s="1405">
        <f t="array" ref="AD73">_xlfn.LET(_xlpm.S,_xlfn.ANCHORARRAY($Y$4),_xlpm.r,ROWS(stayCity[[#Headers],[city]]:stayCity[[#This Row],[city]])-1,IF(_xlpm.r&lt;=ROWS(_xlpm.S),INDEX(_xlpm.S,_xlpm.r,3),""))</f>
        <v/>
      </c>
      <c r="AE73" s="1400">
        <f>IF(stayCity[[#This Row],[out]]&lt;&gt;"",stayCity[[#This Row],[out]]-stayCity[[#This Row],[in]],"-")</f>
        <v/>
      </c>
      <c r="AF73" s="1406">
        <f>IF(Y73="","-",YEAR(stayCity[[#This Row],[in]]))</f>
        <v/>
      </c>
      <c r="AG73" s="1398" t="inlineStr">
        <is>
          <t>.</t>
        </is>
      </c>
      <c r="AH73" s="1402">
        <f/>
        <v/>
      </c>
      <c r="AI73" s="1403">
        <f/>
        <v/>
      </c>
      <c r="AJ73" s="1403">
        <f/>
        <v/>
      </c>
      <c r="AK73" s="1400">
        <f>IF(AH73="","-",AH73)</f>
        <v/>
      </c>
      <c r="AL73" s="1405">
        <f>AI73</f>
        <v/>
      </c>
      <c r="AM73" s="1405">
        <f>AJ73</f>
        <v/>
      </c>
      <c r="AN73" s="1400">
        <f>stayCtry[[#This Row],[out]]-stayCtry[[#This Row],[in]]</f>
        <v/>
      </c>
      <c r="AO73" s="1406">
        <f>IF(AI73&lt;&gt;"",AO72+1,AO72)</f>
        <v/>
      </c>
      <c r="AP73" s="1398" t="inlineStr">
        <is>
          <t>.</t>
        </is>
      </c>
      <c r="AQ73" s="1402">
        <f/>
        <v/>
      </c>
      <c r="AR73" s="1403">
        <f/>
        <v/>
      </c>
      <c r="AS73" s="1403">
        <f/>
        <v/>
      </c>
      <c r="AT73" s="1400">
        <f>AQ73</f>
        <v/>
      </c>
      <c r="AU73" s="1405">
        <f>AR73</f>
        <v/>
      </c>
      <c r="AV73" s="1405">
        <f>AS73</f>
        <v/>
      </c>
      <c r="AW73" s="1400">
        <f>stayCont[[#This Row],[out]]-stayCont[[#This Row],[in]]</f>
        <v/>
      </c>
      <c r="AX73" s="1406">
        <f>IF(AR73&lt;&gt;"",AX72+1,AX72)</f>
        <v/>
      </c>
      <c r="AY73" s="1398" t="inlineStr">
        <is>
          <t>.</t>
        </is>
      </c>
      <c r="AZ73" s="1402" t="n"/>
      <c r="BA73" s="1403" t="n"/>
      <c r="BB73" s="1403" t="n"/>
      <c r="BC73" s="1405">
        <f>AZ73</f>
        <v/>
      </c>
      <c r="BD73" s="1405">
        <f>BA73</f>
        <v/>
      </c>
      <c r="BE73" s="1405">
        <f>BB73</f>
        <v/>
      </c>
      <c r="BF73" s="1400">
        <f>stayWB[[#This Row],[out]]-stayWB[[#This Row],[in]]</f>
        <v/>
      </c>
      <c r="BG73" s="1400">
        <f>IF(BB73&lt;&gt;"",BG72+1,BG72)</f>
        <v/>
      </c>
      <c r="BH73" s="1398" t="inlineStr">
        <is>
          <t>.</t>
        </is>
      </c>
      <c r="BI73" s="1402" t="inlineStr">
        <is>
          <t>BEL</t>
        </is>
      </c>
      <c r="BJ73" s="1402" t="n">
        <v>1998</v>
      </c>
      <c r="BK73" s="1400">
        <f>BI73</f>
        <v/>
      </c>
      <c r="BL73" s="1409">
        <f>BJ73</f>
        <v/>
      </c>
      <c r="BM73" s="1378" t="inlineStr">
        <is>
          <t>.</t>
        </is>
      </c>
      <c r="BN73" s="1402" t="inlineStr">
        <is>
          <t>S</t>
        </is>
      </c>
      <c r="BO73" s="1400">
        <f>BN73</f>
        <v/>
      </c>
      <c r="BP73" s="1398" t="inlineStr">
        <is>
          <t>.</t>
        </is>
      </c>
      <c r="BQ73" s="1400">
        <f>IF(BR73&lt;&gt;"",BQ72+1,BQ72)</f>
        <v/>
      </c>
      <c r="BR73" s="1411" t="inlineStr">
        <is>
          <t>SP</t>
        </is>
      </c>
      <c r="BS73" s="1411" t="inlineStr">
        <is>
          <t>Frankfurt</t>
        </is>
      </c>
      <c r="BT73" s="1412" t="inlineStr">
        <is>
          <t>SP-Frankfurt</t>
        </is>
      </c>
      <c r="BU73" s="1412" t="n">
        <v>35660</v>
      </c>
      <c r="BV73" s="1398" t="inlineStr">
        <is>
          <t>.</t>
        </is>
      </c>
      <c r="BW73" s="1392" t="n"/>
      <c r="BX73" s="1392" t="n"/>
      <c r="BY73" s="1392" t="n"/>
      <c r="BZ73" s="1416" t="n"/>
      <c r="CA73" s="1392" t="n"/>
      <c r="CB73" s="1398" t="inlineStr">
        <is>
          <t>.</t>
        </is>
      </c>
      <c r="CC73" s="1400">
        <f>IF(CD73&lt;&gt;"",CC72+1,CC72)</f>
        <v/>
      </c>
      <c r="CD73" s="1411" t="inlineStr">
        <is>
          <t>Ondina</t>
        </is>
      </c>
      <c r="CE73" s="1412" t="n">
        <v>37555</v>
      </c>
      <c r="CF73" s="1412" t="n">
        <v>37564</v>
      </c>
      <c r="CG73" s="1415">
        <f>CF73-CE73</f>
        <v/>
      </c>
      <c r="CH73" s="1398" t="inlineStr">
        <is>
          <t>.</t>
        </is>
      </c>
      <c r="CI73" s="1392" t="n"/>
      <c r="CJ73" s="1392" t="n"/>
      <c r="CK73" s="1392" t="n"/>
      <c r="CL73" s="1392" t="n"/>
    </row>
    <row r="74">
      <c r="A74" s="5" t="inlineStr">
        <is>
          <t>.</t>
        </is>
      </c>
      <c r="B74" s="5" t="inlineStr">
        <is>
          <t>.</t>
        </is>
      </c>
      <c r="C74" s="1378">
        <f>IF(raw[[#This Row],[city]]="","-",IF(raw[[#This Row],[city]]="TODAY","-",C73+1))</f>
        <v/>
      </c>
      <c r="D74" s="1393" t="inlineStr">
        <is>
          <t>Lima</t>
        </is>
      </c>
      <c r="E74" s="1394" t="n">
        <v>29961</v>
      </c>
      <c r="F74" s="1394" t="n">
        <v>29961</v>
      </c>
      <c r="G74" s="1417" t="n">
        <v>0.01</v>
      </c>
      <c r="H74" s="1393">
        <f>H73</f>
        <v/>
      </c>
      <c r="I74" s="1393" t="inlineStr">
        <is>
          <t>-</t>
        </is>
      </c>
      <c r="J74" s="1393" t="inlineStr">
        <is>
          <t>-</t>
        </is>
      </c>
      <c r="K74" s="1395">
        <f>IF(raw[[#This Row],[city]]&lt;&gt;"",_xlfn.XLOOKUP($D74,ccc[city],ccc[prov],"-"),"-")</f>
        <v/>
      </c>
      <c r="L74" s="1395">
        <f>IF(raw[[#This Row],[city]]&lt;&gt;"",_xlfn.XLOOKUP($D74,ccc[city],ccc[ctry],"-"),"-")</f>
        <v/>
      </c>
      <c r="M74" s="1395">
        <f>IF(raw[[#This Row],[city]]&lt;&gt;"",_xlfn.XLOOKUP($D74,ccc[city],ccc[cont],"-"),"-")</f>
        <v/>
      </c>
      <c r="N74" s="1396">
        <f>IF(raw[[#This Row],[city]]="","-",IF(raw[[#This Row],[cont]]="B",raw[[#This Row],[cont]],"W"))</f>
        <v/>
      </c>
      <c r="O74" s="1397">
        <f>IF(raw[[#This Row],[out]]=0,0,IF(raw[[#This Row],[out]]=raw[[#This Row],[in]],0.01,raw[[#This Row],[out]]-raw[[#This Row],[in]]))</f>
        <v/>
      </c>
      <c r="P74" s="1397">
        <f>IF(raw[[#This Row],[in]]=0,0,MONTH(raw[[#This Row],[in]]))</f>
        <v/>
      </c>
      <c r="Q74" s="1397">
        <f>IF(raw[[#This Row],[in]]=0,0,YEAR(raw[[#This Row],[in]]))</f>
        <v/>
      </c>
      <c r="R74" s="1397">
        <f>INT(raw[[#This Row],[yr]]/10)*10</f>
        <v/>
      </c>
      <c r="S74" s="1395">
        <f>IF(raw[[#This Row],[city]]="","-",IF(raw[[#This Row],[city]]&lt;&gt;_xlfn.XLOOKUP(raw[[#This Row],[home]],homes[home],homes[city],"-"),1,0))</f>
        <v/>
      </c>
      <c r="T74" s="1398" t="inlineStr">
        <is>
          <t>.</t>
        </is>
      </c>
      <c r="U74" s="1399">
        <f>IF(raw[[#This Row],[wb]]="w",raw[[#This Row],[stay]]+U73,U73)</f>
        <v/>
      </c>
      <c r="V74" s="1400">
        <f>IF(raw[[#This Row],[out]]=0,V73,(raw[[#This Row],[out]]-E$5))</f>
        <v/>
      </c>
      <c r="W74" s="1401">
        <f>U74/V74</f>
        <v/>
      </c>
      <c r="X74" s="1378" t="inlineStr">
        <is>
          <t>.</t>
        </is>
      </c>
      <c r="Y74" s="1402">
        <f/>
        <v/>
      </c>
      <c r="Z74" s="1403">
        <f/>
        <v/>
      </c>
      <c r="AA74" s="1403">
        <f/>
        <v/>
      </c>
      <c r="AB74" s="1400">
        <f t="array" ref="AB74">_xlfn.LET(_xlpm.S,_xlfn.ANCHORARRAY($Y$4),_xlpm.r,ROWS(stayCity[[#Headers],[city]]:stayCity[[#This Row],[city]])-1,IF(_xlpm.r&lt;=ROWS(_xlpm.S),INDEX(_xlpm.S,_xlpm.r,1),""))</f>
        <v/>
      </c>
      <c r="AC74" s="1405">
        <f t="array" ref="AC74">_xlfn.LET(_xlpm.S,_xlfn.ANCHORARRAY($Y$4),_xlpm.r,ROWS(stayCity[[#Headers],[city]]:stayCity[[#This Row],[city]])-1,IF(_xlpm.r&lt;=ROWS(_xlpm.S),INDEX(_xlpm.S,_xlpm.r,2),""))</f>
        <v/>
      </c>
      <c r="AD74" s="1405">
        <f t="array" ref="AD74">_xlfn.LET(_xlpm.S,_xlfn.ANCHORARRAY($Y$4),_xlpm.r,ROWS(stayCity[[#Headers],[city]]:stayCity[[#This Row],[city]])-1,IF(_xlpm.r&lt;=ROWS(_xlpm.S),INDEX(_xlpm.S,_xlpm.r,3),""))</f>
        <v/>
      </c>
      <c r="AE74" s="1400">
        <f>IF(stayCity[[#This Row],[out]]&lt;&gt;"",stayCity[[#This Row],[out]]-stayCity[[#This Row],[in]],"-")</f>
        <v/>
      </c>
      <c r="AF74" s="1406">
        <f>IF(Y74="","-",YEAR(stayCity[[#This Row],[in]]))</f>
        <v/>
      </c>
      <c r="AG74" s="1398" t="inlineStr">
        <is>
          <t>.</t>
        </is>
      </c>
      <c r="AH74" s="1402">
        <f/>
        <v/>
      </c>
      <c r="AI74" s="1403">
        <f/>
        <v/>
      </c>
      <c r="AJ74" s="1403">
        <f/>
        <v/>
      </c>
      <c r="AK74" s="1400">
        <f>IF(AH74="","-",AH74)</f>
        <v/>
      </c>
      <c r="AL74" s="1405">
        <f>AI74</f>
        <v/>
      </c>
      <c r="AM74" s="1405">
        <f>AJ74</f>
        <v/>
      </c>
      <c r="AN74" s="1400">
        <f>stayCtry[[#This Row],[out]]-stayCtry[[#This Row],[in]]</f>
        <v/>
      </c>
      <c r="AO74" s="1406">
        <f>IF(AI74&lt;&gt;"",AO73+1,AO73)</f>
        <v/>
      </c>
      <c r="AP74" s="1398" t="inlineStr">
        <is>
          <t>.</t>
        </is>
      </c>
      <c r="AQ74" s="1402">
        <f/>
        <v/>
      </c>
      <c r="AR74" s="1403">
        <f/>
        <v/>
      </c>
      <c r="AS74" s="1403">
        <f/>
        <v/>
      </c>
      <c r="AT74" s="1400">
        <f>AQ74</f>
        <v/>
      </c>
      <c r="AU74" s="1405">
        <f>AR74</f>
        <v/>
      </c>
      <c r="AV74" s="1405">
        <f>AS74</f>
        <v/>
      </c>
      <c r="AW74" s="1400">
        <f>stayCont[[#This Row],[out]]-stayCont[[#This Row],[in]]</f>
        <v/>
      </c>
      <c r="AX74" s="1406">
        <f>IF(AR74&lt;&gt;"",AX73+1,AX73)</f>
        <v/>
      </c>
      <c r="AY74" s="1398" t="inlineStr">
        <is>
          <t>.</t>
        </is>
      </c>
      <c r="AZ74" s="1402" t="n"/>
      <c r="BA74" s="1403" t="n"/>
      <c r="BB74" s="1403" t="n"/>
      <c r="BC74" s="1405">
        <f>AZ74</f>
        <v/>
      </c>
      <c r="BD74" s="1405">
        <f>BA74</f>
        <v/>
      </c>
      <c r="BE74" s="1405">
        <f>BB74</f>
        <v/>
      </c>
      <c r="BF74" s="1400">
        <f>stayWB[[#This Row],[out]]-stayWB[[#This Row],[in]]</f>
        <v/>
      </c>
      <c r="BG74" s="1400">
        <f>IF(BB74&lt;&gt;"",BG73+1,BG73)</f>
        <v/>
      </c>
      <c r="BH74" s="1398" t="inlineStr">
        <is>
          <t>.</t>
        </is>
      </c>
      <c r="BI74" s="1402" t="inlineStr">
        <is>
          <t>FRA</t>
        </is>
      </c>
      <c r="BJ74" s="1402" t="n">
        <v>1998</v>
      </c>
      <c r="BK74" s="1400">
        <f>BI74</f>
        <v/>
      </c>
      <c r="BL74" s="1409">
        <f>BJ74</f>
        <v/>
      </c>
      <c r="BM74" s="1378" t="inlineStr">
        <is>
          <t>.</t>
        </is>
      </c>
      <c r="BN74" s="1402" t="inlineStr">
        <is>
          <t>B</t>
        </is>
      </c>
      <c r="BO74" s="1400">
        <f>BN74</f>
        <v/>
      </c>
      <c r="BP74" s="1398" t="inlineStr">
        <is>
          <t>.</t>
        </is>
      </c>
      <c r="BQ74" s="1400">
        <f>IF(BR74&lt;&gt;"",BQ73+1,BQ73)</f>
        <v/>
      </c>
      <c r="BR74" s="1411" t="inlineStr">
        <is>
          <t>Frankfurt</t>
        </is>
      </c>
      <c r="BS74" s="1411" t="inlineStr">
        <is>
          <t>Paris</t>
        </is>
      </c>
      <c r="BT74" s="1412" t="inlineStr">
        <is>
          <t>Frankfurt-Paris</t>
        </is>
      </c>
      <c r="BU74" s="1412" t="n">
        <v>35661</v>
      </c>
      <c r="BV74" s="1398" t="inlineStr">
        <is>
          <t>.</t>
        </is>
      </c>
      <c r="BW74" s="1392" t="n"/>
      <c r="BX74" s="1392" t="n"/>
      <c r="BY74" s="1392" t="n"/>
      <c r="BZ74" s="1416" t="n"/>
      <c r="CA74" s="1392" t="n"/>
      <c r="CB74" s="1398" t="inlineStr">
        <is>
          <t>.</t>
        </is>
      </c>
      <c r="CC74" s="1400">
        <f>IF(CD74&lt;&gt;"",CC73+1,CC73)</f>
        <v/>
      </c>
      <c r="CD74" s="1411" t="inlineStr">
        <is>
          <t>Salto Grande</t>
        </is>
      </c>
      <c r="CE74" s="1412" t="n">
        <v>37564</v>
      </c>
      <c r="CF74" s="1412" t="n">
        <v>37569</v>
      </c>
      <c r="CG74" s="1415">
        <f>CF74-CE74</f>
        <v/>
      </c>
      <c r="CH74" s="1398" t="inlineStr">
        <is>
          <t>.</t>
        </is>
      </c>
      <c r="CI74" s="1392" t="n"/>
      <c r="CJ74" s="1392" t="n"/>
      <c r="CK74" s="1392" t="n"/>
      <c r="CL74" s="1392" t="n"/>
    </row>
    <row r="75">
      <c r="A75" s="5" t="inlineStr">
        <is>
          <t>.</t>
        </is>
      </c>
      <c r="B75" s="5" t="inlineStr">
        <is>
          <t>.</t>
        </is>
      </c>
      <c r="C75" s="1378">
        <f>IF(raw[[#This Row],[city]]="","-",IF(raw[[#This Row],[city]]="TODAY","-",C74+1))</f>
        <v/>
      </c>
      <c r="D75" s="1393" t="inlineStr">
        <is>
          <t>AIR</t>
        </is>
      </c>
      <c r="E75" s="1394" t="n">
        <v>29961</v>
      </c>
      <c r="F75" s="1394" t="n">
        <v>29962</v>
      </c>
      <c r="G75" s="1393" t="inlineStr">
        <is>
          <t>x</t>
        </is>
      </c>
      <c r="H75" s="1393">
        <f>H74</f>
        <v/>
      </c>
      <c r="I75" s="1393" t="inlineStr">
        <is>
          <t>-</t>
        </is>
      </c>
      <c r="J75" s="1393" t="inlineStr">
        <is>
          <t>-</t>
        </is>
      </c>
      <c r="K75" s="1395">
        <f>IF(raw[[#This Row],[city]]&lt;&gt;"",_xlfn.XLOOKUP($D75,ccc[city],ccc[prov],"-"),"-")</f>
        <v/>
      </c>
      <c r="L75" s="1395">
        <f>IF(raw[[#This Row],[city]]&lt;&gt;"",_xlfn.XLOOKUP($D75,ccc[city],ccc[ctry],"-"),"-")</f>
        <v/>
      </c>
      <c r="M75" s="1395">
        <f>IF(raw[[#This Row],[city]]&lt;&gt;"",_xlfn.XLOOKUP($D75,ccc[city],ccc[cont],"-"),"-")</f>
        <v/>
      </c>
      <c r="N75" s="1396">
        <f>IF(raw[[#This Row],[city]]="","-",IF(raw[[#This Row],[cont]]="B",raw[[#This Row],[cont]],"W"))</f>
        <v/>
      </c>
      <c r="O75" s="1397">
        <f>IF(raw[[#This Row],[out]]=0,0,IF(raw[[#This Row],[out]]=raw[[#This Row],[in]],0.01,raw[[#This Row],[out]]-raw[[#This Row],[in]]))</f>
        <v/>
      </c>
      <c r="P75" s="1397">
        <f>IF(raw[[#This Row],[in]]=0,0,MONTH(raw[[#This Row],[in]]))</f>
        <v/>
      </c>
      <c r="Q75" s="1397">
        <f>IF(raw[[#This Row],[in]]=0,0,YEAR(raw[[#This Row],[in]]))</f>
        <v/>
      </c>
      <c r="R75" s="1397">
        <f>INT(raw[[#This Row],[yr]]/10)*10</f>
        <v/>
      </c>
      <c r="S75" s="1395">
        <f>IF(raw[[#This Row],[city]]="","-",IF(raw[[#This Row],[city]]&lt;&gt;_xlfn.XLOOKUP(raw[[#This Row],[home]],homes[home],homes[city],"-"),1,0))</f>
        <v/>
      </c>
      <c r="T75" s="1398" t="inlineStr">
        <is>
          <t>.</t>
        </is>
      </c>
      <c r="U75" s="1399">
        <f>IF(raw[[#This Row],[wb]]="w",raw[[#This Row],[stay]]+U74,U74)</f>
        <v/>
      </c>
      <c r="V75" s="1400">
        <f>IF(raw[[#This Row],[out]]=0,V74,(raw[[#This Row],[out]]-E$5))</f>
        <v/>
      </c>
      <c r="W75" s="1401">
        <f>U75/V75</f>
        <v/>
      </c>
      <c r="X75" s="1378" t="inlineStr">
        <is>
          <t>.</t>
        </is>
      </c>
      <c r="Y75" s="1402">
        <f/>
        <v/>
      </c>
      <c r="Z75" s="1403">
        <f/>
        <v/>
      </c>
      <c r="AA75" s="1403">
        <f/>
        <v/>
      </c>
      <c r="AB75" s="1400">
        <f t="array" ref="AB75">_xlfn.LET(_xlpm.S,_xlfn.ANCHORARRAY($Y$4),_xlpm.r,ROWS(stayCity[[#Headers],[city]]:stayCity[[#This Row],[city]])-1,IF(_xlpm.r&lt;=ROWS(_xlpm.S),INDEX(_xlpm.S,_xlpm.r,1),""))</f>
        <v/>
      </c>
      <c r="AC75" s="1405">
        <f t="array" ref="AC75">_xlfn.LET(_xlpm.S,_xlfn.ANCHORARRAY($Y$4),_xlpm.r,ROWS(stayCity[[#Headers],[city]]:stayCity[[#This Row],[city]])-1,IF(_xlpm.r&lt;=ROWS(_xlpm.S),INDEX(_xlpm.S,_xlpm.r,2),""))</f>
        <v/>
      </c>
      <c r="AD75" s="1405">
        <f t="array" ref="AD75">_xlfn.LET(_xlpm.S,_xlfn.ANCHORARRAY($Y$4),_xlpm.r,ROWS(stayCity[[#Headers],[city]]:stayCity[[#This Row],[city]])-1,IF(_xlpm.r&lt;=ROWS(_xlpm.S),INDEX(_xlpm.S,_xlpm.r,3),""))</f>
        <v/>
      </c>
      <c r="AE75" s="1400">
        <f>IF(stayCity[[#This Row],[out]]&lt;&gt;"",stayCity[[#This Row],[out]]-stayCity[[#This Row],[in]],"-")</f>
        <v/>
      </c>
      <c r="AF75" s="1406">
        <f>IF(Y75="","-",YEAR(stayCity[[#This Row],[in]]))</f>
        <v/>
      </c>
      <c r="AG75" s="1398" t="inlineStr">
        <is>
          <t>.</t>
        </is>
      </c>
      <c r="AH75" s="1402">
        <f/>
        <v/>
      </c>
      <c r="AI75" s="1403">
        <f/>
        <v/>
      </c>
      <c r="AJ75" s="1403">
        <f/>
        <v/>
      </c>
      <c r="AK75" s="1400">
        <f>IF(AH75="","-",AH75)</f>
        <v/>
      </c>
      <c r="AL75" s="1405">
        <f>AI75</f>
        <v/>
      </c>
      <c r="AM75" s="1405">
        <f>AJ75</f>
        <v/>
      </c>
      <c r="AN75" s="1400">
        <f>stayCtry[[#This Row],[out]]-stayCtry[[#This Row],[in]]</f>
        <v/>
      </c>
      <c r="AO75" s="1406">
        <f>IF(AI75&lt;&gt;"",AO74+1,AO74)</f>
        <v/>
      </c>
      <c r="AP75" s="1398" t="inlineStr">
        <is>
          <t>.</t>
        </is>
      </c>
      <c r="AQ75" s="1402">
        <f/>
        <v/>
      </c>
      <c r="AR75" s="1403">
        <f/>
        <v/>
      </c>
      <c r="AS75" s="1403">
        <f/>
        <v/>
      </c>
      <c r="AT75" s="1400">
        <f>AQ75</f>
        <v/>
      </c>
      <c r="AU75" s="1405">
        <f>AR75</f>
        <v/>
      </c>
      <c r="AV75" s="1405">
        <f>AS75</f>
        <v/>
      </c>
      <c r="AW75" s="1400">
        <f>stayCont[[#This Row],[out]]-stayCont[[#This Row],[in]]</f>
        <v/>
      </c>
      <c r="AX75" s="1406">
        <f>IF(AR75&lt;&gt;"",AX74+1,AX74)</f>
        <v/>
      </c>
      <c r="AY75" s="1398" t="inlineStr">
        <is>
          <t>.</t>
        </is>
      </c>
      <c r="AZ75" s="1402" t="n"/>
      <c r="BA75" s="1403" t="n"/>
      <c r="BB75" s="1403" t="n"/>
      <c r="BC75" s="1405">
        <f>AZ75</f>
        <v/>
      </c>
      <c r="BD75" s="1405">
        <f>BA75</f>
        <v/>
      </c>
      <c r="BE75" s="1405">
        <f>BB75</f>
        <v/>
      </c>
      <c r="BF75" s="1400">
        <f>stayWB[[#This Row],[out]]-stayWB[[#This Row],[in]]</f>
        <v/>
      </c>
      <c r="BG75" s="1400">
        <f>IF(BB75&lt;&gt;"",BG74+1,BG74)</f>
        <v/>
      </c>
      <c r="BH75" s="1398" t="inlineStr">
        <is>
          <t>.</t>
        </is>
      </c>
      <c r="BI75" s="1402" t="inlineStr">
        <is>
          <t>UK</t>
        </is>
      </c>
      <c r="BJ75" s="1402" t="n">
        <v>1998</v>
      </c>
      <c r="BK75" s="1400">
        <f>BI75</f>
        <v/>
      </c>
      <c r="BL75" s="1409">
        <f>BJ75</f>
        <v/>
      </c>
      <c r="BM75" s="1378" t="inlineStr">
        <is>
          <t>.</t>
        </is>
      </c>
      <c r="BN75" s="1402" t="inlineStr">
        <is>
          <t>Z</t>
        </is>
      </c>
      <c r="BO75" s="1400">
        <f>BN75</f>
        <v/>
      </c>
      <c r="BP75" s="1398" t="inlineStr">
        <is>
          <t>.</t>
        </is>
      </c>
      <c r="BQ75" s="1400">
        <f>IF(BR75&lt;&gt;"",BQ74+1,BQ74)</f>
        <v/>
      </c>
      <c r="BR75" s="1411" t="inlineStr">
        <is>
          <t>Paris</t>
        </is>
      </c>
      <c r="BS75" s="1411" t="inlineStr">
        <is>
          <t>Frankfurt</t>
        </is>
      </c>
      <c r="BT75" s="1412" t="inlineStr">
        <is>
          <t>Paris-Frankfurt</t>
        </is>
      </c>
      <c r="BU75" s="1412" t="n">
        <v>35782</v>
      </c>
      <c r="BV75" s="1398" t="inlineStr">
        <is>
          <t>.</t>
        </is>
      </c>
      <c r="BW75" s="1392" t="n"/>
      <c r="BX75" s="1392" t="n"/>
      <c r="BY75" s="1392" t="n"/>
      <c r="BZ75" s="1416" t="n"/>
      <c r="CA75" s="1392" t="n"/>
      <c r="CB75" s="1398" t="inlineStr">
        <is>
          <t>.</t>
        </is>
      </c>
      <c r="CC75" s="1400">
        <f>IF(CD75&lt;&gt;"",CC74+1,CC74)</f>
        <v/>
      </c>
      <c r="CD75" s="1411" t="inlineStr">
        <is>
          <t>Salto Grande</t>
        </is>
      </c>
      <c r="CE75" s="1412" t="n">
        <v>37580</v>
      </c>
      <c r="CF75" s="1412" t="n">
        <v>37582</v>
      </c>
      <c r="CG75" s="1415">
        <f>CF75-CE75</f>
        <v/>
      </c>
      <c r="CH75" s="1398" t="inlineStr">
        <is>
          <t>.</t>
        </is>
      </c>
      <c r="CI75" s="1392" t="n"/>
      <c r="CJ75" s="1392" t="n"/>
      <c r="CK75" s="1392" t="n"/>
      <c r="CL75" s="1392" t="n"/>
    </row>
    <row r="76">
      <c r="A76" s="5" t="inlineStr">
        <is>
          <t>.</t>
        </is>
      </c>
      <c r="B76" s="5" t="inlineStr">
        <is>
          <t>.</t>
        </is>
      </c>
      <c r="C76" s="1378">
        <f>IF(raw[[#This Row],[city]]="","-",IF(raw[[#This Row],[city]]="TODAY","-",C75+1))</f>
        <v/>
      </c>
      <c r="D76" s="1393" t="inlineStr">
        <is>
          <t>Mexico City</t>
        </is>
      </c>
      <c r="E76" s="1394" t="n">
        <v>29962</v>
      </c>
      <c r="F76" s="1394" t="n">
        <v>29964</v>
      </c>
      <c r="G76" s="1393" t="inlineStr">
        <is>
          <t>-</t>
        </is>
      </c>
      <c r="H76" s="1393">
        <f>H75</f>
        <v/>
      </c>
      <c r="I76" s="1393" t="inlineStr">
        <is>
          <t>-</t>
        </is>
      </c>
      <c r="J76" s="1393" t="inlineStr">
        <is>
          <t>-</t>
        </is>
      </c>
      <c r="K76" s="1395">
        <f>IF(raw[[#This Row],[city]]&lt;&gt;"",_xlfn.XLOOKUP($D76,ccc[city],ccc[prov],"-"),"-")</f>
        <v/>
      </c>
      <c r="L76" s="1395">
        <f>IF(raw[[#This Row],[city]]&lt;&gt;"",_xlfn.XLOOKUP($D76,ccc[city],ccc[ctry],"-"),"-")</f>
        <v/>
      </c>
      <c r="M76" s="1395">
        <f>IF(raw[[#This Row],[city]]&lt;&gt;"",_xlfn.XLOOKUP($D76,ccc[city],ccc[cont],"-"),"-")</f>
        <v/>
      </c>
      <c r="N76" s="1396">
        <f>IF(raw[[#This Row],[city]]="","-",IF(raw[[#This Row],[cont]]="B",raw[[#This Row],[cont]],"W"))</f>
        <v/>
      </c>
      <c r="O76" s="1397">
        <f>IF(raw[[#This Row],[out]]=0,0,IF(raw[[#This Row],[out]]=raw[[#This Row],[in]],0.01,raw[[#This Row],[out]]-raw[[#This Row],[in]]))</f>
        <v/>
      </c>
      <c r="P76" s="1397">
        <f>IF(raw[[#This Row],[in]]=0,0,MONTH(raw[[#This Row],[in]]))</f>
        <v/>
      </c>
      <c r="Q76" s="1397">
        <f>IF(raw[[#This Row],[in]]=0,0,YEAR(raw[[#This Row],[in]]))</f>
        <v/>
      </c>
      <c r="R76" s="1397">
        <f>INT(raw[[#This Row],[yr]]/10)*10</f>
        <v/>
      </c>
      <c r="S76" s="1395">
        <f>IF(raw[[#This Row],[city]]="","-",IF(raw[[#This Row],[city]]&lt;&gt;_xlfn.XLOOKUP(raw[[#This Row],[home]],homes[home],homes[city],"-"),1,0))</f>
        <v/>
      </c>
      <c r="T76" s="1398" t="inlineStr">
        <is>
          <t>.</t>
        </is>
      </c>
      <c r="U76" s="1399">
        <f>IF(raw[[#This Row],[wb]]="w",raw[[#This Row],[stay]]+U75,U75)</f>
        <v/>
      </c>
      <c r="V76" s="1400">
        <f>IF(raw[[#This Row],[out]]=0,V75,(raw[[#This Row],[out]]-E$5))</f>
        <v/>
      </c>
      <c r="W76" s="1401">
        <f>U76/V76</f>
        <v/>
      </c>
      <c r="X76" s="1378" t="inlineStr">
        <is>
          <t>.</t>
        </is>
      </c>
      <c r="Y76" s="1402">
        <f/>
        <v/>
      </c>
      <c r="Z76" s="1403">
        <f/>
        <v/>
      </c>
      <c r="AA76" s="1403">
        <f/>
        <v/>
      </c>
      <c r="AB76" s="1400">
        <f t="array" ref="AB76">_xlfn.LET(_xlpm.S,_xlfn.ANCHORARRAY($Y$4),_xlpm.r,ROWS(stayCity[[#Headers],[city]]:stayCity[[#This Row],[city]])-1,IF(_xlpm.r&lt;=ROWS(_xlpm.S),INDEX(_xlpm.S,_xlpm.r,1),""))</f>
        <v/>
      </c>
      <c r="AC76" s="1405">
        <f t="array" ref="AC76">_xlfn.LET(_xlpm.S,_xlfn.ANCHORARRAY($Y$4),_xlpm.r,ROWS(stayCity[[#Headers],[city]]:stayCity[[#This Row],[city]])-1,IF(_xlpm.r&lt;=ROWS(_xlpm.S),INDEX(_xlpm.S,_xlpm.r,2),""))</f>
        <v/>
      </c>
      <c r="AD76" s="1405">
        <f t="array" ref="AD76">_xlfn.LET(_xlpm.S,_xlfn.ANCHORARRAY($Y$4),_xlpm.r,ROWS(stayCity[[#Headers],[city]]:stayCity[[#This Row],[city]])-1,IF(_xlpm.r&lt;=ROWS(_xlpm.S),INDEX(_xlpm.S,_xlpm.r,3),""))</f>
        <v/>
      </c>
      <c r="AE76" s="1400">
        <f>IF(stayCity[[#This Row],[out]]&lt;&gt;"",stayCity[[#This Row],[out]]-stayCity[[#This Row],[in]],"-")</f>
        <v/>
      </c>
      <c r="AF76" s="1406">
        <f>IF(Y76="","-",YEAR(stayCity[[#This Row],[in]]))</f>
        <v/>
      </c>
      <c r="AG76" s="1398" t="inlineStr">
        <is>
          <t>.</t>
        </is>
      </c>
      <c r="AH76" s="1402">
        <f/>
        <v/>
      </c>
      <c r="AI76" s="1403">
        <f/>
        <v/>
      </c>
      <c r="AJ76" s="1403">
        <f/>
        <v/>
      </c>
      <c r="AK76" s="1400">
        <f>IF(AH76="","-",AH76)</f>
        <v/>
      </c>
      <c r="AL76" s="1405">
        <f>AI76</f>
        <v/>
      </c>
      <c r="AM76" s="1405">
        <f>AJ76</f>
        <v/>
      </c>
      <c r="AN76" s="1400">
        <f>stayCtry[[#This Row],[out]]-stayCtry[[#This Row],[in]]</f>
        <v/>
      </c>
      <c r="AO76" s="1406">
        <f>IF(AI76&lt;&gt;"",AO75+1,AO75)</f>
        <v/>
      </c>
      <c r="AP76" s="1398" t="inlineStr">
        <is>
          <t>.</t>
        </is>
      </c>
      <c r="AQ76" s="1402">
        <f/>
        <v/>
      </c>
      <c r="AR76" s="1403">
        <f/>
        <v/>
      </c>
      <c r="AS76" s="1403">
        <f/>
        <v/>
      </c>
      <c r="AT76" s="1400">
        <f>AQ76</f>
        <v/>
      </c>
      <c r="AU76" s="1405">
        <f>AR76</f>
        <v/>
      </c>
      <c r="AV76" s="1405">
        <f>AS76</f>
        <v/>
      </c>
      <c r="AW76" s="1400">
        <f>stayCont[[#This Row],[out]]-stayCont[[#This Row],[in]]</f>
        <v/>
      </c>
      <c r="AX76" s="1406">
        <f>IF(AR76&lt;&gt;"",AX75+1,AX75)</f>
        <v/>
      </c>
      <c r="AY76" s="1398" t="inlineStr">
        <is>
          <t>.</t>
        </is>
      </c>
      <c r="AZ76" s="1402" t="n"/>
      <c r="BA76" s="1403" t="n"/>
      <c r="BB76" s="1403" t="n"/>
      <c r="BC76" s="1405">
        <f>AZ76</f>
        <v/>
      </c>
      <c r="BD76" s="1405">
        <f>BA76</f>
        <v/>
      </c>
      <c r="BE76" s="1405">
        <f>BB76</f>
        <v/>
      </c>
      <c r="BF76" s="1400">
        <f>stayWB[[#This Row],[out]]-stayWB[[#This Row],[in]]</f>
        <v/>
      </c>
      <c r="BG76" s="1400">
        <f>IF(BB76&lt;&gt;"",BG75+1,BG75)</f>
        <v/>
      </c>
      <c r="BH76" s="1398" t="inlineStr">
        <is>
          <t>.</t>
        </is>
      </c>
      <c r="BI76" s="1402" t="inlineStr">
        <is>
          <t>FRA</t>
        </is>
      </c>
      <c r="BJ76" s="1402" t="n">
        <v>1998</v>
      </c>
      <c r="BK76" s="1400">
        <f>BI76</f>
        <v/>
      </c>
      <c r="BL76" s="1409">
        <f>BJ76</f>
        <v/>
      </c>
      <c r="BM76" s="1378" t="inlineStr">
        <is>
          <t>.</t>
        </is>
      </c>
      <c r="BN76" s="1402" t="inlineStr">
        <is>
          <t>E</t>
        </is>
      </c>
      <c r="BO76" s="1400">
        <f>BN76</f>
        <v/>
      </c>
      <c r="BP76" s="1398" t="inlineStr">
        <is>
          <t>.</t>
        </is>
      </c>
      <c r="BQ76" s="1400">
        <f>IF(BR76&lt;&gt;"",BQ75+1,BQ75)</f>
        <v/>
      </c>
      <c r="BR76" s="1411" t="inlineStr">
        <is>
          <t>Frankfurt</t>
        </is>
      </c>
      <c r="BS76" s="1411" t="inlineStr">
        <is>
          <t>SSA</t>
        </is>
      </c>
      <c r="BT76" s="1412" t="inlineStr">
        <is>
          <t>Frankfurt-SSA</t>
        </is>
      </c>
      <c r="BU76" s="1412" t="n">
        <v>35782</v>
      </c>
      <c r="BV76" s="1398" t="inlineStr">
        <is>
          <t>.</t>
        </is>
      </c>
      <c r="BW76" s="1392" t="n"/>
      <c r="BX76" s="1392" t="n"/>
      <c r="BY76" s="1392" t="n"/>
      <c r="BZ76" s="1416" t="n"/>
      <c r="CA76" s="1392" t="n"/>
      <c r="CB76" s="1398" t="inlineStr">
        <is>
          <t>.</t>
        </is>
      </c>
      <c r="CC76" s="1400">
        <f>IF(CD76&lt;&gt;"",CC75+1,CC75)</f>
        <v/>
      </c>
      <c r="CD76" s="1411" t="inlineStr">
        <is>
          <t>Guaecá</t>
        </is>
      </c>
      <c r="CE76" s="1412" t="n">
        <v>37591</v>
      </c>
      <c r="CF76" s="1412" t="n">
        <v>37592</v>
      </c>
      <c r="CG76" s="1415">
        <f>CF76-CE76</f>
        <v/>
      </c>
      <c r="CH76" s="1398" t="inlineStr">
        <is>
          <t>.</t>
        </is>
      </c>
      <c r="CI76" s="1392" t="n"/>
      <c r="CJ76" s="1392" t="n"/>
      <c r="CK76" s="1392" t="n"/>
      <c r="CL76" s="1392" t="n"/>
    </row>
    <row r="77">
      <c r="A77" s="5" t="inlineStr">
        <is>
          <t>.</t>
        </is>
      </c>
      <c r="B77" s="5" t="inlineStr">
        <is>
          <t>.</t>
        </is>
      </c>
      <c r="C77" s="1378">
        <f>IF(raw[[#This Row],[city]]="","-",IF(raw[[#This Row],[city]]="TODAY","-",C76+1))</f>
        <v/>
      </c>
      <c r="D77" s="1393" t="inlineStr">
        <is>
          <t>Taxco</t>
        </is>
      </c>
      <c r="E77" s="1394" t="n">
        <v>29964</v>
      </c>
      <c r="F77" s="1394" t="n">
        <v>29964</v>
      </c>
      <c r="G77" s="1393" t="inlineStr">
        <is>
          <t>-</t>
        </is>
      </c>
      <c r="H77" s="1393">
        <f>H76</f>
        <v/>
      </c>
      <c r="I77" s="1393" t="inlineStr">
        <is>
          <t>-</t>
        </is>
      </c>
      <c r="J77" s="1393" t="inlineStr">
        <is>
          <t>-</t>
        </is>
      </c>
      <c r="K77" s="1395">
        <f>IF(raw[[#This Row],[city]]&lt;&gt;"",_xlfn.XLOOKUP($D77,ccc[city],ccc[prov],"-"),"-")</f>
        <v/>
      </c>
      <c r="L77" s="1395">
        <f>IF(raw[[#This Row],[city]]&lt;&gt;"",_xlfn.XLOOKUP($D77,ccc[city],ccc[ctry],"-"),"-")</f>
        <v/>
      </c>
      <c r="M77" s="1395">
        <f>IF(raw[[#This Row],[city]]&lt;&gt;"",_xlfn.XLOOKUP($D77,ccc[city],ccc[cont],"-"),"-")</f>
        <v/>
      </c>
      <c r="N77" s="1396">
        <f>IF(raw[[#This Row],[city]]="","-",IF(raw[[#This Row],[cont]]="B",raw[[#This Row],[cont]],"W"))</f>
        <v/>
      </c>
      <c r="O77" s="1397">
        <f>IF(raw[[#This Row],[out]]=0,0,IF(raw[[#This Row],[out]]=raw[[#This Row],[in]],0.01,raw[[#This Row],[out]]-raw[[#This Row],[in]]))</f>
        <v/>
      </c>
      <c r="P77" s="1397">
        <f>IF(raw[[#This Row],[in]]=0,0,MONTH(raw[[#This Row],[in]]))</f>
        <v/>
      </c>
      <c r="Q77" s="1397">
        <f>IF(raw[[#This Row],[in]]=0,0,YEAR(raw[[#This Row],[in]]))</f>
        <v/>
      </c>
      <c r="R77" s="1397">
        <f>INT(raw[[#This Row],[yr]]/10)*10</f>
        <v/>
      </c>
      <c r="S77" s="1395">
        <f>IF(raw[[#This Row],[city]]="","-",IF(raw[[#This Row],[city]]&lt;&gt;_xlfn.XLOOKUP(raw[[#This Row],[home]],homes[home],homes[city],"-"),1,0))</f>
        <v/>
      </c>
      <c r="T77" s="1398" t="inlineStr">
        <is>
          <t>.</t>
        </is>
      </c>
      <c r="U77" s="1399">
        <f>IF(raw[[#This Row],[wb]]="w",raw[[#This Row],[stay]]+U76,U76)</f>
        <v/>
      </c>
      <c r="V77" s="1400">
        <f>IF(raw[[#This Row],[out]]=0,V76,(raw[[#This Row],[out]]-E$5))</f>
        <v/>
      </c>
      <c r="W77" s="1401">
        <f>U77/V77</f>
        <v/>
      </c>
      <c r="X77" s="1378" t="inlineStr">
        <is>
          <t>.</t>
        </is>
      </c>
      <c r="Y77" s="1402">
        <f/>
        <v/>
      </c>
      <c r="Z77" s="1403">
        <f/>
        <v/>
      </c>
      <c r="AA77" s="1403">
        <f/>
        <v/>
      </c>
      <c r="AB77" s="1400">
        <f t="array" ref="AB77">_xlfn.LET(_xlpm.S,_xlfn.ANCHORARRAY($Y$4),_xlpm.r,ROWS(stayCity[[#Headers],[city]]:stayCity[[#This Row],[city]])-1,IF(_xlpm.r&lt;=ROWS(_xlpm.S),INDEX(_xlpm.S,_xlpm.r,1),""))</f>
        <v/>
      </c>
      <c r="AC77" s="1405">
        <f t="array" ref="AC77">_xlfn.LET(_xlpm.S,_xlfn.ANCHORARRAY($Y$4),_xlpm.r,ROWS(stayCity[[#Headers],[city]]:stayCity[[#This Row],[city]])-1,IF(_xlpm.r&lt;=ROWS(_xlpm.S),INDEX(_xlpm.S,_xlpm.r,2),""))</f>
        <v/>
      </c>
      <c r="AD77" s="1405">
        <f t="array" ref="AD77">_xlfn.LET(_xlpm.S,_xlfn.ANCHORARRAY($Y$4),_xlpm.r,ROWS(stayCity[[#Headers],[city]]:stayCity[[#This Row],[city]])-1,IF(_xlpm.r&lt;=ROWS(_xlpm.S),INDEX(_xlpm.S,_xlpm.r,3),""))</f>
        <v/>
      </c>
      <c r="AE77" s="1400">
        <f>IF(stayCity[[#This Row],[out]]&lt;&gt;"",stayCity[[#This Row],[out]]-stayCity[[#This Row],[in]],"-")</f>
        <v/>
      </c>
      <c r="AF77" s="1406">
        <f>IF(Y77="","-",YEAR(stayCity[[#This Row],[in]]))</f>
        <v/>
      </c>
      <c r="AG77" s="1398" t="inlineStr">
        <is>
          <t>.</t>
        </is>
      </c>
      <c r="AH77" s="1402">
        <f/>
        <v/>
      </c>
      <c r="AI77" s="1403">
        <f/>
        <v/>
      </c>
      <c r="AJ77" s="1403">
        <f/>
        <v/>
      </c>
      <c r="AK77" s="1400">
        <f>IF(AH77="","-",AH77)</f>
        <v/>
      </c>
      <c r="AL77" s="1405">
        <f>AI77</f>
        <v/>
      </c>
      <c r="AM77" s="1405">
        <f>AJ77</f>
        <v/>
      </c>
      <c r="AN77" s="1400">
        <f>stayCtry[[#This Row],[out]]-stayCtry[[#This Row],[in]]</f>
        <v/>
      </c>
      <c r="AO77" s="1406">
        <f>IF(AI77&lt;&gt;"",AO76+1,AO76)</f>
        <v/>
      </c>
      <c r="AP77" s="1398" t="inlineStr">
        <is>
          <t>.</t>
        </is>
      </c>
      <c r="AQ77" s="1402">
        <f/>
        <v/>
      </c>
      <c r="AR77" s="1403">
        <f/>
        <v/>
      </c>
      <c r="AS77" s="1403">
        <f/>
        <v/>
      </c>
      <c r="AT77" s="1400">
        <f>AQ77</f>
        <v/>
      </c>
      <c r="AU77" s="1405">
        <f>AR77</f>
        <v/>
      </c>
      <c r="AV77" s="1405">
        <f>AS77</f>
        <v/>
      </c>
      <c r="AW77" s="1400">
        <f>stayCont[[#This Row],[out]]-stayCont[[#This Row],[in]]</f>
        <v/>
      </c>
      <c r="AX77" s="1406">
        <f>IF(AR77&lt;&gt;"",AX76+1,AX76)</f>
        <v/>
      </c>
      <c r="AY77" s="1398" t="inlineStr">
        <is>
          <t>.</t>
        </is>
      </c>
      <c r="AZ77" s="1402" t="n"/>
      <c r="BA77" s="1403" t="n"/>
      <c r="BB77" s="1403" t="n"/>
      <c r="BC77" s="1405">
        <f>AZ77</f>
        <v/>
      </c>
      <c r="BD77" s="1405">
        <f>BA77</f>
        <v/>
      </c>
      <c r="BE77" s="1405">
        <f>BB77</f>
        <v/>
      </c>
      <c r="BF77" s="1400">
        <f>stayWB[[#This Row],[out]]-stayWB[[#This Row],[in]]</f>
        <v/>
      </c>
      <c r="BG77" s="1400">
        <f>IF(BB77&lt;&gt;"",BG76+1,BG76)</f>
        <v/>
      </c>
      <c r="BH77" s="1398" t="inlineStr">
        <is>
          <t>.</t>
        </is>
      </c>
      <c r="BI77" s="1402" t="inlineStr">
        <is>
          <t>BEL</t>
        </is>
      </c>
      <c r="BJ77" s="1402" t="n">
        <v>1998</v>
      </c>
      <c r="BK77" s="1400">
        <f>BI77</f>
        <v/>
      </c>
      <c r="BL77" s="1409">
        <f>BJ77</f>
        <v/>
      </c>
      <c r="BM77" s="1378" t="inlineStr">
        <is>
          <t>.</t>
        </is>
      </c>
      <c r="BN77" s="1402" t="inlineStr">
        <is>
          <t>F</t>
        </is>
      </c>
      <c r="BO77" s="1400">
        <f>BN77</f>
        <v/>
      </c>
      <c r="BP77" s="1398" t="inlineStr">
        <is>
          <t>.</t>
        </is>
      </c>
      <c r="BQ77" s="1400">
        <f>IF(BR77&lt;&gt;"",BQ76+1,BQ76)</f>
        <v/>
      </c>
      <c r="BR77" s="1411" t="inlineStr">
        <is>
          <t>SSA</t>
        </is>
      </c>
      <c r="BS77" s="1411" t="inlineStr">
        <is>
          <t>Frankfurt</t>
        </is>
      </c>
      <c r="BT77" s="1412" t="inlineStr">
        <is>
          <t>SSA-Frankfurt</t>
        </is>
      </c>
      <c r="BU77" s="1412" t="n">
        <v>35811</v>
      </c>
      <c r="BV77" s="1398" t="inlineStr">
        <is>
          <t>.</t>
        </is>
      </c>
      <c r="BW77" s="1392" t="n"/>
      <c r="BX77" s="1392" t="n"/>
      <c r="BY77" s="1392" t="n"/>
      <c r="BZ77" s="1416" t="n"/>
      <c r="CA77" s="1392" t="n"/>
      <c r="CB77" s="1398" t="inlineStr">
        <is>
          <t>.</t>
        </is>
      </c>
      <c r="CC77" s="1400">
        <f>IF(CD77&lt;&gt;"",CC76+1,CC76)</f>
        <v/>
      </c>
      <c r="CD77" s="1411" t="inlineStr">
        <is>
          <t>Guaecá</t>
        </is>
      </c>
      <c r="CE77" s="1412" t="n">
        <v>37598</v>
      </c>
      <c r="CF77" s="1412" t="n">
        <v>37602</v>
      </c>
      <c r="CG77" s="1415">
        <f>CF77-CE77</f>
        <v/>
      </c>
      <c r="CH77" s="1398" t="inlineStr">
        <is>
          <t>.</t>
        </is>
      </c>
      <c r="CI77" s="1392" t="n"/>
      <c r="CJ77" s="1392" t="n"/>
      <c r="CK77" s="1392" t="n"/>
      <c r="CL77" s="1392" t="n"/>
    </row>
    <row r="78">
      <c r="A78" s="5" t="inlineStr">
        <is>
          <t>.</t>
        </is>
      </c>
      <c r="B78" s="5" t="inlineStr">
        <is>
          <t>.</t>
        </is>
      </c>
      <c r="C78" s="1378">
        <f>IF(raw[[#This Row],[city]]="","-",IF(raw[[#This Row],[city]]="TODAY","-",C77+1))</f>
        <v/>
      </c>
      <c r="D78" s="1393" t="inlineStr">
        <is>
          <t>Cavaglia</t>
        </is>
      </c>
      <c r="E78" s="1394" t="n">
        <v>29964</v>
      </c>
      <c r="F78" s="1394" t="n">
        <v>29964</v>
      </c>
      <c r="G78" s="1393" t="inlineStr">
        <is>
          <t>-</t>
        </is>
      </c>
      <c r="H78" s="1393">
        <f>H77</f>
        <v/>
      </c>
      <c r="I78" s="1393" t="inlineStr">
        <is>
          <t>-</t>
        </is>
      </c>
      <c r="J78" s="1393" t="inlineStr">
        <is>
          <t>-</t>
        </is>
      </c>
      <c r="K78" s="1395">
        <f>IF(raw[[#This Row],[city]]&lt;&gt;"",_xlfn.XLOOKUP($D78,ccc[city],ccc[prov],"-"),"-")</f>
        <v/>
      </c>
      <c r="L78" s="1395">
        <f>IF(raw[[#This Row],[city]]&lt;&gt;"",_xlfn.XLOOKUP($D78,ccc[city],ccc[ctry],"-"),"-")</f>
        <v/>
      </c>
      <c r="M78" s="1395">
        <f>IF(raw[[#This Row],[city]]&lt;&gt;"",_xlfn.XLOOKUP($D78,ccc[city],ccc[cont],"-"),"-")</f>
        <v/>
      </c>
      <c r="N78" s="1396">
        <f>IF(raw[[#This Row],[city]]="","-",IF(raw[[#This Row],[cont]]="B",raw[[#This Row],[cont]],"W"))</f>
        <v/>
      </c>
      <c r="O78" s="1397">
        <f>IF(raw[[#This Row],[out]]=0,0,IF(raw[[#This Row],[out]]=raw[[#This Row],[in]],0.01,raw[[#This Row],[out]]-raw[[#This Row],[in]]))</f>
        <v/>
      </c>
      <c r="P78" s="1397">
        <f>IF(raw[[#This Row],[in]]=0,0,MONTH(raw[[#This Row],[in]]))</f>
        <v/>
      </c>
      <c r="Q78" s="1397">
        <f>IF(raw[[#This Row],[in]]=0,0,YEAR(raw[[#This Row],[in]]))</f>
        <v/>
      </c>
      <c r="R78" s="1397">
        <f>INT(raw[[#This Row],[yr]]/10)*10</f>
        <v/>
      </c>
      <c r="S78" s="1395">
        <f>IF(raw[[#This Row],[city]]="","-",IF(raw[[#This Row],[city]]&lt;&gt;_xlfn.XLOOKUP(raw[[#This Row],[home]],homes[home],homes[city],"-"),1,0))</f>
        <v/>
      </c>
      <c r="T78" s="1398" t="inlineStr">
        <is>
          <t>.</t>
        </is>
      </c>
      <c r="U78" s="1399">
        <f>IF(raw[[#This Row],[wb]]="w",raw[[#This Row],[stay]]+U77,U77)</f>
        <v/>
      </c>
      <c r="V78" s="1400">
        <f>IF(raw[[#This Row],[out]]=0,V77,(raw[[#This Row],[out]]-E$5))</f>
        <v/>
      </c>
      <c r="W78" s="1401">
        <f>U78/V78</f>
        <v/>
      </c>
      <c r="X78" s="1378" t="inlineStr">
        <is>
          <t>.</t>
        </is>
      </c>
      <c r="Y78" s="1402">
        <f/>
        <v/>
      </c>
      <c r="Z78" s="1403">
        <f/>
        <v/>
      </c>
      <c r="AA78" s="1403">
        <f/>
        <v/>
      </c>
      <c r="AB78" s="1400">
        <f t="array" ref="AB78">_xlfn.LET(_xlpm.S,_xlfn.ANCHORARRAY($Y$4),_xlpm.r,ROWS(stayCity[[#Headers],[city]]:stayCity[[#This Row],[city]])-1,IF(_xlpm.r&lt;=ROWS(_xlpm.S),INDEX(_xlpm.S,_xlpm.r,1),""))</f>
        <v/>
      </c>
      <c r="AC78" s="1405">
        <f t="array" ref="AC78">_xlfn.LET(_xlpm.S,_xlfn.ANCHORARRAY($Y$4),_xlpm.r,ROWS(stayCity[[#Headers],[city]]:stayCity[[#This Row],[city]])-1,IF(_xlpm.r&lt;=ROWS(_xlpm.S),INDEX(_xlpm.S,_xlpm.r,2),""))</f>
        <v/>
      </c>
      <c r="AD78" s="1405">
        <f t="array" ref="AD78">_xlfn.LET(_xlpm.S,_xlfn.ANCHORARRAY($Y$4),_xlpm.r,ROWS(stayCity[[#Headers],[city]]:stayCity[[#This Row],[city]])-1,IF(_xlpm.r&lt;=ROWS(_xlpm.S),INDEX(_xlpm.S,_xlpm.r,3),""))</f>
        <v/>
      </c>
      <c r="AE78" s="1400">
        <f>IF(stayCity[[#This Row],[out]]&lt;&gt;"",stayCity[[#This Row],[out]]-stayCity[[#This Row],[in]],"-")</f>
        <v/>
      </c>
      <c r="AF78" s="1406">
        <f>IF(Y78="","-",YEAR(stayCity[[#This Row],[in]]))</f>
        <v/>
      </c>
      <c r="AG78" s="1398" t="inlineStr">
        <is>
          <t>.</t>
        </is>
      </c>
      <c r="AH78" s="1402">
        <f/>
        <v/>
      </c>
      <c r="AI78" s="1403">
        <f/>
        <v/>
      </c>
      <c r="AJ78" s="1403">
        <f/>
        <v/>
      </c>
      <c r="AK78" s="1400">
        <f>IF(AH78="","-",AH78)</f>
        <v/>
      </c>
      <c r="AL78" s="1405">
        <f>AI78</f>
        <v/>
      </c>
      <c r="AM78" s="1405">
        <f>AJ78</f>
        <v/>
      </c>
      <c r="AN78" s="1400">
        <f>stayCtry[[#This Row],[out]]-stayCtry[[#This Row],[in]]</f>
        <v/>
      </c>
      <c r="AO78" s="1406">
        <f>IF(AI78&lt;&gt;"",AO77+1,AO77)</f>
        <v/>
      </c>
      <c r="AP78" s="1398" t="inlineStr">
        <is>
          <t>.</t>
        </is>
      </c>
      <c r="AQ78" s="1402">
        <f/>
        <v/>
      </c>
      <c r="AR78" s="1403">
        <f/>
        <v/>
      </c>
      <c r="AS78" s="1403">
        <f/>
        <v/>
      </c>
      <c r="AT78" s="1400">
        <f>AQ78</f>
        <v/>
      </c>
      <c r="AU78" s="1405">
        <f>AR78</f>
        <v/>
      </c>
      <c r="AV78" s="1405">
        <f>AS78</f>
        <v/>
      </c>
      <c r="AW78" s="1400">
        <f>stayCont[[#This Row],[out]]-stayCont[[#This Row],[in]]</f>
        <v/>
      </c>
      <c r="AX78" s="1406">
        <f>IF(AR78&lt;&gt;"",AX77+1,AX77)</f>
        <v/>
      </c>
      <c r="AY78" s="1398" t="inlineStr">
        <is>
          <t>.</t>
        </is>
      </c>
      <c r="AZ78" s="1402" t="n"/>
      <c r="BA78" s="1403" t="n"/>
      <c r="BB78" s="1403" t="n"/>
      <c r="BC78" s="1405">
        <f>AZ78</f>
        <v/>
      </c>
      <c r="BD78" s="1405">
        <f>BA78</f>
        <v/>
      </c>
      <c r="BE78" s="1405">
        <f>BB78</f>
        <v/>
      </c>
      <c r="BF78" s="1400">
        <f>stayWB[[#This Row],[out]]-stayWB[[#This Row],[in]]</f>
        <v/>
      </c>
      <c r="BG78" s="1400">
        <f>IF(BB78&lt;&gt;"",BG77+1,BG77)</f>
        <v/>
      </c>
      <c r="BH78" s="1398" t="inlineStr">
        <is>
          <t>.</t>
        </is>
      </c>
      <c r="BI78" s="1402" t="inlineStr">
        <is>
          <t>FRA</t>
        </is>
      </c>
      <c r="BJ78" s="1402" t="n">
        <v>1998</v>
      </c>
      <c r="BK78" s="1400">
        <f>BI78</f>
        <v/>
      </c>
      <c r="BL78" s="1409">
        <f>BJ78</f>
        <v/>
      </c>
      <c r="BM78" s="1378" t="inlineStr">
        <is>
          <t>.</t>
        </is>
      </c>
      <c r="BN78" s="1402" t="inlineStr">
        <is>
          <t>E</t>
        </is>
      </c>
      <c r="BO78" s="1400">
        <f>BN78</f>
        <v/>
      </c>
      <c r="BP78" s="1398" t="inlineStr">
        <is>
          <t>.</t>
        </is>
      </c>
      <c r="BQ78" s="1400">
        <f>IF(BR78&lt;&gt;"",BQ77+1,BQ77)</f>
        <v/>
      </c>
      <c r="BR78" s="1411" t="inlineStr">
        <is>
          <t>Frankfurt</t>
        </is>
      </c>
      <c r="BS78" s="1411" t="inlineStr">
        <is>
          <t>Paris</t>
        </is>
      </c>
      <c r="BT78" s="1412" t="inlineStr">
        <is>
          <t>Frankfurt-Paris</t>
        </is>
      </c>
      <c r="BU78" s="1412" t="n">
        <v>35812</v>
      </c>
      <c r="BV78" s="1398" t="inlineStr">
        <is>
          <t>.</t>
        </is>
      </c>
      <c r="BW78" s="1392" t="n"/>
      <c r="BX78" s="1392" t="n"/>
      <c r="BY78" s="1392" t="n"/>
      <c r="BZ78" s="1416" t="n"/>
      <c r="CA78" s="1392" t="n"/>
      <c r="CB78" s="1398" t="inlineStr">
        <is>
          <t>.</t>
        </is>
      </c>
      <c r="CC78" s="1400">
        <f>IF(CD78&lt;&gt;"",CC77+1,CC77)</f>
        <v/>
      </c>
      <c r="CD78" s="1411" t="inlineStr">
        <is>
          <t>Salto Grande</t>
        </is>
      </c>
      <c r="CE78" s="1412" t="n">
        <v>37602</v>
      </c>
      <c r="CF78" s="1412" t="n">
        <v>37605</v>
      </c>
      <c r="CG78" s="1415">
        <f>CF78-CE78</f>
        <v/>
      </c>
      <c r="CH78" s="1398" t="inlineStr">
        <is>
          <t>.</t>
        </is>
      </c>
      <c r="CI78" s="1392" t="n"/>
      <c r="CJ78" s="1392" t="n"/>
      <c r="CK78" s="1392" t="n"/>
      <c r="CL78" s="1392" t="n"/>
    </row>
    <row r="79">
      <c r="A79" s="5" t="inlineStr">
        <is>
          <t>.</t>
        </is>
      </c>
      <c r="B79" s="5" t="inlineStr">
        <is>
          <t>.</t>
        </is>
      </c>
      <c r="C79" s="1378">
        <f>IF(raw[[#This Row],[city]]="","-",IF(raw[[#This Row],[city]]="TODAY","-",C78+1))</f>
        <v/>
      </c>
      <c r="D79" s="1393" t="inlineStr">
        <is>
          <t>Acapulco</t>
        </is>
      </c>
      <c r="E79" s="1394" t="n">
        <v>29964</v>
      </c>
      <c r="F79" s="1394" t="n">
        <v>29966</v>
      </c>
      <c r="G79" s="1393" t="inlineStr">
        <is>
          <t>-</t>
        </is>
      </c>
      <c r="H79" s="1393">
        <f>H78</f>
        <v/>
      </c>
      <c r="I79" s="1393" t="inlineStr">
        <is>
          <t>-</t>
        </is>
      </c>
      <c r="J79" s="1393" t="inlineStr">
        <is>
          <t>-</t>
        </is>
      </c>
      <c r="K79" s="1395">
        <f>IF(raw[[#This Row],[city]]&lt;&gt;"",_xlfn.XLOOKUP($D79,ccc[city],ccc[prov],"-"),"-")</f>
        <v/>
      </c>
      <c r="L79" s="1395">
        <f>IF(raw[[#This Row],[city]]&lt;&gt;"",_xlfn.XLOOKUP($D79,ccc[city],ccc[ctry],"-"),"-")</f>
        <v/>
      </c>
      <c r="M79" s="1395">
        <f>IF(raw[[#This Row],[city]]&lt;&gt;"",_xlfn.XLOOKUP($D79,ccc[city],ccc[cont],"-"),"-")</f>
        <v/>
      </c>
      <c r="N79" s="1396">
        <f>IF(raw[[#This Row],[city]]="","-",IF(raw[[#This Row],[cont]]="B",raw[[#This Row],[cont]],"W"))</f>
        <v/>
      </c>
      <c r="O79" s="1397">
        <f>IF(raw[[#This Row],[out]]=0,0,IF(raw[[#This Row],[out]]=raw[[#This Row],[in]],0.01,raw[[#This Row],[out]]-raw[[#This Row],[in]]))</f>
        <v/>
      </c>
      <c r="P79" s="1397">
        <f>IF(raw[[#This Row],[in]]=0,0,MONTH(raw[[#This Row],[in]]))</f>
        <v/>
      </c>
      <c r="Q79" s="1397">
        <f>IF(raw[[#This Row],[in]]=0,0,YEAR(raw[[#This Row],[in]]))</f>
        <v/>
      </c>
      <c r="R79" s="1397">
        <f>INT(raw[[#This Row],[yr]]/10)*10</f>
        <v/>
      </c>
      <c r="S79" s="1395">
        <f>IF(raw[[#This Row],[city]]="","-",IF(raw[[#This Row],[city]]&lt;&gt;_xlfn.XLOOKUP(raw[[#This Row],[home]],homes[home],homes[city],"-"),1,0))</f>
        <v/>
      </c>
      <c r="T79" s="1398" t="inlineStr">
        <is>
          <t>.</t>
        </is>
      </c>
      <c r="U79" s="1399">
        <f>IF(raw[[#This Row],[wb]]="w",raw[[#This Row],[stay]]+U78,U78)</f>
        <v/>
      </c>
      <c r="V79" s="1400">
        <f>IF(raw[[#This Row],[out]]=0,V78,(raw[[#This Row],[out]]-E$5))</f>
        <v/>
      </c>
      <c r="W79" s="1401">
        <f>U79/V79</f>
        <v/>
      </c>
      <c r="X79" s="1378" t="inlineStr">
        <is>
          <t>.</t>
        </is>
      </c>
      <c r="Y79" s="1402">
        <f/>
        <v/>
      </c>
      <c r="Z79" s="1403">
        <f/>
        <v/>
      </c>
      <c r="AA79" s="1403">
        <f/>
        <v/>
      </c>
      <c r="AB79" s="1400">
        <f t="array" ref="AB79">_xlfn.LET(_xlpm.S,_xlfn.ANCHORARRAY($Y$4),_xlpm.r,ROWS(stayCity[[#Headers],[city]]:stayCity[[#This Row],[city]])-1,IF(_xlpm.r&lt;=ROWS(_xlpm.S),INDEX(_xlpm.S,_xlpm.r,1),""))</f>
        <v/>
      </c>
      <c r="AC79" s="1405">
        <f t="array" ref="AC79">_xlfn.LET(_xlpm.S,_xlfn.ANCHORARRAY($Y$4),_xlpm.r,ROWS(stayCity[[#Headers],[city]]:stayCity[[#This Row],[city]])-1,IF(_xlpm.r&lt;=ROWS(_xlpm.S),INDEX(_xlpm.S,_xlpm.r,2),""))</f>
        <v/>
      </c>
      <c r="AD79" s="1405">
        <f t="array" ref="AD79">_xlfn.LET(_xlpm.S,_xlfn.ANCHORARRAY($Y$4),_xlpm.r,ROWS(stayCity[[#Headers],[city]]:stayCity[[#This Row],[city]])-1,IF(_xlpm.r&lt;=ROWS(_xlpm.S),INDEX(_xlpm.S,_xlpm.r,3),""))</f>
        <v/>
      </c>
      <c r="AE79" s="1400">
        <f>IF(stayCity[[#This Row],[out]]&lt;&gt;"",stayCity[[#This Row],[out]]-stayCity[[#This Row],[in]],"-")</f>
        <v/>
      </c>
      <c r="AF79" s="1406">
        <f>IF(Y79="","-",YEAR(stayCity[[#This Row],[in]]))</f>
        <v/>
      </c>
      <c r="AG79" s="1398" t="inlineStr">
        <is>
          <t>.</t>
        </is>
      </c>
      <c r="AH79" s="1402">
        <f/>
        <v/>
      </c>
      <c r="AI79" s="1403">
        <f/>
        <v/>
      </c>
      <c r="AJ79" s="1403">
        <f/>
        <v/>
      </c>
      <c r="AK79" s="1400">
        <f>IF(AH79="","-",AH79)</f>
        <v/>
      </c>
      <c r="AL79" s="1405">
        <f>AI79</f>
        <v/>
      </c>
      <c r="AM79" s="1405">
        <f>AJ79</f>
        <v/>
      </c>
      <c r="AN79" s="1400">
        <f>stayCtry[[#This Row],[out]]-stayCtry[[#This Row],[in]]</f>
        <v/>
      </c>
      <c r="AO79" s="1406">
        <f>IF(AI79&lt;&gt;"",AO78+1,AO78)</f>
        <v/>
      </c>
      <c r="AP79" s="1398" t="inlineStr">
        <is>
          <t>.</t>
        </is>
      </c>
      <c r="AQ79" s="1402">
        <f/>
        <v/>
      </c>
      <c r="AR79" s="1403">
        <f/>
        <v/>
      </c>
      <c r="AS79" s="1403">
        <f/>
        <v/>
      </c>
      <c r="AT79" s="1400">
        <f>AQ79</f>
        <v/>
      </c>
      <c r="AU79" s="1405">
        <f>AR79</f>
        <v/>
      </c>
      <c r="AV79" s="1405">
        <f>AS79</f>
        <v/>
      </c>
      <c r="AW79" s="1400">
        <f>stayCont[[#This Row],[out]]-stayCont[[#This Row],[in]]</f>
        <v/>
      </c>
      <c r="AX79" s="1406">
        <f>IF(AR79&lt;&gt;"",AX78+1,AX78)</f>
        <v/>
      </c>
      <c r="AY79" s="1398" t="inlineStr">
        <is>
          <t>.</t>
        </is>
      </c>
      <c r="AZ79" s="1402" t="n"/>
      <c r="BA79" s="1403" t="n"/>
      <c r="BB79" s="1403" t="n"/>
      <c r="BC79" s="1405">
        <f>AZ79</f>
        <v/>
      </c>
      <c r="BD79" s="1405">
        <f>BA79</f>
        <v/>
      </c>
      <c r="BE79" s="1405">
        <f>BB79</f>
        <v/>
      </c>
      <c r="BF79" s="1400">
        <f>stayWB[[#This Row],[out]]-stayWB[[#This Row],[in]]</f>
        <v/>
      </c>
      <c r="BG79" s="1400">
        <f>IF(BB79&lt;&gt;"",BG78+1,BG78)</f>
        <v/>
      </c>
      <c r="BH79" s="1398" t="inlineStr">
        <is>
          <t>.</t>
        </is>
      </c>
      <c r="BI79" s="1402" t="inlineStr">
        <is>
          <t>UK</t>
        </is>
      </c>
      <c r="BJ79" s="1402" t="n">
        <v>1998</v>
      </c>
      <c r="BK79" s="1400">
        <f>BI79</f>
        <v/>
      </c>
      <c r="BL79" s="1409">
        <f>BJ79</f>
        <v/>
      </c>
      <c r="BM79" s="1378" t="inlineStr">
        <is>
          <t>.</t>
        </is>
      </c>
      <c r="BN79" s="1402" t="inlineStr">
        <is>
          <t>Z</t>
        </is>
      </c>
      <c r="BO79" s="1400">
        <f>BN79</f>
        <v/>
      </c>
      <c r="BP79" s="1398" t="inlineStr">
        <is>
          <t>.</t>
        </is>
      </c>
      <c r="BQ79" s="1400">
        <f>IF(BR79&lt;&gt;"",BQ78+1,BQ78)</f>
        <v/>
      </c>
      <c r="BR79" s="1411" t="inlineStr">
        <is>
          <t>Paris</t>
        </is>
      </c>
      <c r="BS79" s="1411" t="inlineStr">
        <is>
          <t>Bruxelas</t>
        </is>
      </c>
      <c r="BT79" s="1412" t="inlineStr">
        <is>
          <t>Paris-Bruxelas</t>
        </is>
      </c>
      <c r="BU79" s="1412" t="n">
        <v>35830</v>
      </c>
      <c r="BV79" s="1398" t="inlineStr">
        <is>
          <t>.</t>
        </is>
      </c>
      <c r="BW79" s="1392" t="n"/>
      <c r="BX79" s="1392" t="n"/>
      <c r="BY79" s="1392" t="n"/>
      <c r="BZ79" s="1416" t="n"/>
      <c r="CA79" s="1392" t="n"/>
      <c r="CB79" s="1398" t="inlineStr">
        <is>
          <t>.</t>
        </is>
      </c>
      <c r="CC79" s="1400">
        <f>IF(CD79&lt;&gt;"",CC78+1,CC78)</f>
        <v/>
      </c>
      <c r="CD79" s="1411" t="inlineStr">
        <is>
          <t>Guaecá</t>
        </is>
      </c>
      <c r="CE79" s="1412" t="n">
        <v>37605</v>
      </c>
      <c r="CF79" s="1412" t="n">
        <v>37608</v>
      </c>
      <c r="CG79" s="1415">
        <f>CF79-CE79</f>
        <v/>
      </c>
      <c r="CH79" s="1398" t="inlineStr">
        <is>
          <t>.</t>
        </is>
      </c>
      <c r="CI79" s="1392" t="n"/>
      <c r="CJ79" s="1392" t="n"/>
      <c r="CK79" s="1392" t="n"/>
      <c r="CL79" s="1392" t="n"/>
    </row>
    <row r="80">
      <c r="A80" s="5" t="inlineStr">
        <is>
          <t>.</t>
        </is>
      </c>
      <c r="B80" s="5" t="inlineStr">
        <is>
          <t>.</t>
        </is>
      </c>
      <c r="C80" s="1378">
        <f>IF(raw[[#This Row],[city]]="","-",IF(raw[[#This Row],[city]]="TODAY","-",C79+1))</f>
        <v/>
      </c>
      <c r="D80" s="1393" t="inlineStr">
        <is>
          <t>Mexico City</t>
        </is>
      </c>
      <c r="E80" s="1394" t="n">
        <v>29966</v>
      </c>
      <c r="F80" s="1394" t="n">
        <v>29967</v>
      </c>
      <c r="G80" s="1393" t="n">
        <v>1</v>
      </c>
      <c r="H80" s="1393">
        <f>H79</f>
        <v/>
      </c>
      <c r="I80" s="1393" t="inlineStr">
        <is>
          <t>-</t>
        </is>
      </c>
      <c r="J80" s="1393" t="inlineStr">
        <is>
          <t>-</t>
        </is>
      </c>
      <c r="K80" s="1395">
        <f>IF(raw[[#This Row],[city]]&lt;&gt;"",_xlfn.XLOOKUP($D80,ccc[city],ccc[prov],"-"),"-")</f>
        <v/>
      </c>
      <c r="L80" s="1395">
        <f>IF(raw[[#This Row],[city]]&lt;&gt;"",_xlfn.XLOOKUP($D80,ccc[city],ccc[ctry],"-"),"-")</f>
        <v/>
      </c>
      <c r="M80" s="1395">
        <f>IF(raw[[#This Row],[city]]&lt;&gt;"",_xlfn.XLOOKUP($D80,ccc[city],ccc[cont],"-"),"-")</f>
        <v/>
      </c>
      <c r="N80" s="1396">
        <f>IF(raw[[#This Row],[city]]="","-",IF(raw[[#This Row],[cont]]="B",raw[[#This Row],[cont]],"W"))</f>
        <v/>
      </c>
      <c r="O80" s="1397">
        <f>IF(raw[[#This Row],[out]]=0,0,IF(raw[[#This Row],[out]]=raw[[#This Row],[in]],0.01,raw[[#This Row],[out]]-raw[[#This Row],[in]]))</f>
        <v/>
      </c>
      <c r="P80" s="1397">
        <f>IF(raw[[#This Row],[in]]=0,0,MONTH(raw[[#This Row],[in]]))</f>
        <v/>
      </c>
      <c r="Q80" s="1397">
        <f>IF(raw[[#This Row],[in]]=0,0,YEAR(raw[[#This Row],[in]]))</f>
        <v/>
      </c>
      <c r="R80" s="1397">
        <f>INT(raw[[#This Row],[yr]]/10)*10</f>
        <v/>
      </c>
      <c r="S80" s="1395">
        <f>IF(raw[[#This Row],[city]]="","-",IF(raw[[#This Row],[city]]&lt;&gt;_xlfn.XLOOKUP(raw[[#This Row],[home]],homes[home],homes[city],"-"),1,0))</f>
        <v/>
      </c>
      <c r="T80" s="1398" t="inlineStr">
        <is>
          <t>.</t>
        </is>
      </c>
      <c r="U80" s="1399">
        <f>IF(raw[[#This Row],[wb]]="w",raw[[#This Row],[stay]]+U79,U79)</f>
        <v/>
      </c>
      <c r="V80" s="1400">
        <f>IF(raw[[#This Row],[out]]=0,V79,(raw[[#This Row],[out]]-E$5))</f>
        <v/>
      </c>
      <c r="W80" s="1401">
        <f>U80/V80</f>
        <v/>
      </c>
      <c r="X80" s="1378" t="inlineStr">
        <is>
          <t>.</t>
        </is>
      </c>
      <c r="Y80" s="1402">
        <f/>
        <v/>
      </c>
      <c r="Z80" s="1403">
        <f/>
        <v/>
      </c>
      <c r="AA80" s="1403">
        <f/>
        <v/>
      </c>
      <c r="AB80" s="1400">
        <f t="array" ref="AB80">_xlfn.LET(_xlpm.S,_xlfn.ANCHORARRAY($Y$4),_xlpm.r,ROWS(stayCity[[#Headers],[city]]:stayCity[[#This Row],[city]])-1,IF(_xlpm.r&lt;=ROWS(_xlpm.S),INDEX(_xlpm.S,_xlpm.r,1),""))</f>
        <v/>
      </c>
      <c r="AC80" s="1405">
        <f t="array" ref="AC80">_xlfn.LET(_xlpm.S,_xlfn.ANCHORARRAY($Y$4),_xlpm.r,ROWS(stayCity[[#Headers],[city]]:stayCity[[#This Row],[city]])-1,IF(_xlpm.r&lt;=ROWS(_xlpm.S),INDEX(_xlpm.S,_xlpm.r,2),""))</f>
        <v/>
      </c>
      <c r="AD80" s="1405">
        <f t="array" ref="AD80">_xlfn.LET(_xlpm.S,_xlfn.ANCHORARRAY($Y$4),_xlpm.r,ROWS(stayCity[[#Headers],[city]]:stayCity[[#This Row],[city]])-1,IF(_xlpm.r&lt;=ROWS(_xlpm.S),INDEX(_xlpm.S,_xlpm.r,3),""))</f>
        <v/>
      </c>
      <c r="AE80" s="1400">
        <f>IF(stayCity[[#This Row],[out]]&lt;&gt;"",stayCity[[#This Row],[out]]-stayCity[[#This Row],[in]],"-")</f>
        <v/>
      </c>
      <c r="AF80" s="1406">
        <f>IF(Y80="","-",YEAR(stayCity[[#This Row],[in]]))</f>
        <v/>
      </c>
      <c r="AG80" s="1398" t="inlineStr">
        <is>
          <t>.</t>
        </is>
      </c>
      <c r="AH80" s="1402">
        <f/>
        <v/>
      </c>
      <c r="AI80" s="1403">
        <f/>
        <v/>
      </c>
      <c r="AJ80" s="1403">
        <f/>
        <v/>
      </c>
      <c r="AK80" s="1400">
        <f>IF(AH80="","-",AH80)</f>
        <v/>
      </c>
      <c r="AL80" s="1405">
        <f>AI80</f>
        <v/>
      </c>
      <c r="AM80" s="1405">
        <f>AJ80</f>
        <v/>
      </c>
      <c r="AN80" s="1400">
        <f>stayCtry[[#This Row],[out]]-stayCtry[[#This Row],[in]]</f>
        <v/>
      </c>
      <c r="AO80" s="1406">
        <f>IF(AI80&lt;&gt;"",AO79+1,AO79)</f>
        <v/>
      </c>
      <c r="AP80" s="1398" t="inlineStr">
        <is>
          <t>.</t>
        </is>
      </c>
      <c r="AQ80" s="1402">
        <f/>
        <v/>
      </c>
      <c r="AR80" s="1403">
        <f/>
        <v/>
      </c>
      <c r="AS80" s="1403">
        <f/>
        <v/>
      </c>
      <c r="AT80" s="1400">
        <f>AQ80</f>
        <v/>
      </c>
      <c r="AU80" s="1405">
        <f>AR80</f>
        <v/>
      </c>
      <c r="AV80" s="1405">
        <f>AS80</f>
        <v/>
      </c>
      <c r="AW80" s="1400">
        <f>stayCont[[#This Row],[out]]-stayCont[[#This Row],[in]]</f>
        <v/>
      </c>
      <c r="AX80" s="1406">
        <f>IF(AR80&lt;&gt;"",AX79+1,AX79)</f>
        <v/>
      </c>
      <c r="AY80" s="1398" t="inlineStr">
        <is>
          <t>.</t>
        </is>
      </c>
      <c r="AZ80" s="1402" t="n"/>
      <c r="BA80" s="1403" t="n"/>
      <c r="BB80" s="1403" t="n"/>
      <c r="BC80" s="1405">
        <f>AZ80</f>
        <v/>
      </c>
      <c r="BD80" s="1405">
        <f>BA80</f>
        <v/>
      </c>
      <c r="BE80" s="1405">
        <f>BB80</f>
        <v/>
      </c>
      <c r="BF80" s="1400">
        <f>stayWB[[#This Row],[out]]-stayWB[[#This Row],[in]]</f>
        <v/>
      </c>
      <c r="BG80" s="1400">
        <f>IF(BB80&lt;&gt;"",BG79+1,BG79)</f>
        <v/>
      </c>
      <c r="BH80" s="1398" t="inlineStr">
        <is>
          <t>.</t>
        </is>
      </c>
      <c r="BI80" s="1402" t="inlineStr">
        <is>
          <t>FRA</t>
        </is>
      </c>
      <c r="BJ80" s="1402" t="n">
        <v>1998</v>
      </c>
      <c r="BK80" s="1400">
        <f>BI80</f>
        <v/>
      </c>
      <c r="BL80" s="1409">
        <f>BJ80</f>
        <v/>
      </c>
      <c r="BM80" s="1378" t="inlineStr">
        <is>
          <t>.</t>
        </is>
      </c>
      <c r="BN80" s="1402" t="inlineStr">
        <is>
          <t>B</t>
        </is>
      </c>
      <c r="BO80" s="1400">
        <f>BN80</f>
        <v/>
      </c>
      <c r="BP80" s="1398" t="inlineStr">
        <is>
          <t>.</t>
        </is>
      </c>
      <c r="BQ80" s="1400">
        <f>IF(BR80&lt;&gt;"",BQ79+1,BQ79)</f>
        <v/>
      </c>
      <c r="BR80" s="1411" t="inlineStr">
        <is>
          <t>Bruxelas</t>
        </is>
      </c>
      <c r="BS80" s="1411" t="inlineStr">
        <is>
          <t>SSA</t>
        </is>
      </c>
      <c r="BT80" s="1412" t="inlineStr">
        <is>
          <t>Bruxelas-SSA</t>
        </is>
      </c>
      <c r="BU80" s="1412" t="n">
        <v>35830</v>
      </c>
      <c r="BV80" s="1398" t="inlineStr">
        <is>
          <t>.</t>
        </is>
      </c>
      <c r="BW80" s="1392" t="n"/>
      <c r="BX80" s="1392" t="n"/>
      <c r="BY80" s="1392" t="n"/>
      <c r="BZ80" s="1416" t="n"/>
      <c r="CA80" s="1392" t="n"/>
      <c r="CB80" s="1398" t="inlineStr">
        <is>
          <t>.</t>
        </is>
      </c>
      <c r="CC80" s="1400">
        <f>IF(CD80&lt;&gt;"",CC79+1,CC79)</f>
        <v/>
      </c>
      <c r="CD80" s="1411" t="inlineStr">
        <is>
          <t>Salto Grande</t>
        </is>
      </c>
      <c r="CE80" s="1412" t="n">
        <v>37608</v>
      </c>
      <c r="CF80" s="1412" t="n">
        <v>37609</v>
      </c>
      <c r="CG80" s="1415">
        <f>CF80-CE80</f>
        <v/>
      </c>
      <c r="CH80" s="1398" t="inlineStr">
        <is>
          <t>.</t>
        </is>
      </c>
      <c r="CI80" s="1392" t="n"/>
      <c r="CJ80" s="1392" t="n"/>
      <c r="CK80" s="1392" t="n"/>
      <c r="CL80" s="1392" t="n"/>
    </row>
    <row r="81">
      <c r="A81" s="5" t="inlineStr">
        <is>
          <t>.</t>
        </is>
      </c>
      <c r="B81" s="5" t="inlineStr">
        <is>
          <t>.</t>
        </is>
      </c>
      <c r="C81" s="1378">
        <f>IF(raw[[#This Row],[city]]="","-",IF(raw[[#This Row],[city]]="TODAY","-",C80+1))</f>
        <v/>
      </c>
      <c r="D81" s="1393" t="inlineStr">
        <is>
          <t>New Orleans</t>
        </is>
      </c>
      <c r="E81" s="1394" t="n">
        <v>29967</v>
      </c>
      <c r="F81" s="1394" t="n">
        <v>29969</v>
      </c>
      <c r="G81" s="1393" t="n">
        <v>1</v>
      </c>
      <c r="H81" s="1393">
        <f>H80</f>
        <v/>
      </c>
      <c r="I81" s="1393" t="inlineStr">
        <is>
          <t>-</t>
        </is>
      </c>
      <c r="J81" s="1393" t="inlineStr">
        <is>
          <t>-</t>
        </is>
      </c>
      <c r="K81" s="1395">
        <f>IF(raw[[#This Row],[city]]&lt;&gt;"",_xlfn.XLOOKUP($D81,ccc[city],ccc[prov],"-"),"-")</f>
        <v/>
      </c>
      <c r="L81" s="1395">
        <f>IF(raw[[#This Row],[city]]&lt;&gt;"",_xlfn.XLOOKUP($D81,ccc[city],ccc[ctry],"-"),"-")</f>
        <v/>
      </c>
      <c r="M81" s="1395">
        <f>IF(raw[[#This Row],[city]]&lt;&gt;"",_xlfn.XLOOKUP($D81,ccc[city],ccc[cont],"-"),"-")</f>
        <v/>
      </c>
      <c r="N81" s="1396">
        <f>IF(raw[[#This Row],[city]]="","-",IF(raw[[#This Row],[cont]]="B",raw[[#This Row],[cont]],"W"))</f>
        <v/>
      </c>
      <c r="O81" s="1397">
        <f>IF(raw[[#This Row],[out]]=0,0,IF(raw[[#This Row],[out]]=raw[[#This Row],[in]],0.01,raw[[#This Row],[out]]-raw[[#This Row],[in]]))</f>
        <v/>
      </c>
      <c r="P81" s="1397">
        <f>IF(raw[[#This Row],[in]]=0,0,MONTH(raw[[#This Row],[in]]))</f>
        <v/>
      </c>
      <c r="Q81" s="1397">
        <f>IF(raw[[#This Row],[in]]=0,0,YEAR(raw[[#This Row],[in]]))</f>
        <v/>
      </c>
      <c r="R81" s="1397">
        <f>INT(raw[[#This Row],[yr]]/10)*10</f>
        <v/>
      </c>
      <c r="S81" s="1395">
        <f>IF(raw[[#This Row],[city]]="","-",IF(raw[[#This Row],[city]]&lt;&gt;_xlfn.XLOOKUP(raw[[#This Row],[home]],homes[home],homes[city],"-"),1,0))</f>
        <v/>
      </c>
      <c r="T81" s="1398" t="inlineStr">
        <is>
          <t>.</t>
        </is>
      </c>
      <c r="U81" s="1399">
        <f>IF(raw[[#This Row],[wb]]="w",raw[[#This Row],[stay]]+U80,U80)</f>
        <v/>
      </c>
      <c r="V81" s="1400">
        <f>IF(raw[[#This Row],[out]]=0,V80,(raw[[#This Row],[out]]-E$5))</f>
        <v/>
      </c>
      <c r="W81" s="1401">
        <f>U81/V81</f>
        <v/>
      </c>
      <c r="X81" s="1378" t="inlineStr">
        <is>
          <t>.</t>
        </is>
      </c>
      <c r="Y81" s="1402">
        <f/>
        <v/>
      </c>
      <c r="Z81" s="1403">
        <f/>
        <v/>
      </c>
      <c r="AA81" s="1403">
        <f/>
        <v/>
      </c>
      <c r="AB81" s="1400">
        <f t="array" ref="AB81">_xlfn.LET(_xlpm.S,_xlfn.ANCHORARRAY($Y$4),_xlpm.r,ROWS(stayCity[[#Headers],[city]]:stayCity[[#This Row],[city]])-1,IF(_xlpm.r&lt;=ROWS(_xlpm.S),INDEX(_xlpm.S,_xlpm.r,1),""))</f>
        <v/>
      </c>
      <c r="AC81" s="1405">
        <f t="array" ref="AC81">_xlfn.LET(_xlpm.S,_xlfn.ANCHORARRAY($Y$4),_xlpm.r,ROWS(stayCity[[#Headers],[city]]:stayCity[[#This Row],[city]])-1,IF(_xlpm.r&lt;=ROWS(_xlpm.S),INDEX(_xlpm.S,_xlpm.r,2),""))</f>
        <v/>
      </c>
      <c r="AD81" s="1405">
        <f t="array" ref="AD81">_xlfn.LET(_xlpm.S,_xlfn.ANCHORARRAY($Y$4),_xlpm.r,ROWS(stayCity[[#Headers],[city]]:stayCity[[#This Row],[city]])-1,IF(_xlpm.r&lt;=ROWS(_xlpm.S),INDEX(_xlpm.S,_xlpm.r,3),""))</f>
        <v/>
      </c>
      <c r="AE81" s="1400">
        <f>IF(stayCity[[#This Row],[out]]&lt;&gt;"",stayCity[[#This Row],[out]]-stayCity[[#This Row],[in]],"-")</f>
        <v/>
      </c>
      <c r="AF81" s="1406">
        <f>IF(Y81="","-",YEAR(stayCity[[#This Row],[in]]))</f>
        <v/>
      </c>
      <c r="AG81" s="1398" t="inlineStr">
        <is>
          <t>.</t>
        </is>
      </c>
      <c r="AH81" s="1402">
        <f/>
        <v/>
      </c>
      <c r="AI81" s="1403">
        <f/>
        <v/>
      </c>
      <c r="AJ81" s="1403">
        <f/>
        <v/>
      </c>
      <c r="AK81" s="1400">
        <f>IF(AH81="","-",AH81)</f>
        <v/>
      </c>
      <c r="AL81" s="1405">
        <f>AI81</f>
        <v/>
      </c>
      <c r="AM81" s="1405">
        <f>AJ81</f>
        <v/>
      </c>
      <c r="AN81" s="1400">
        <f>stayCtry[[#This Row],[out]]-stayCtry[[#This Row],[in]]</f>
        <v/>
      </c>
      <c r="AO81" s="1406">
        <f>IF(AI81&lt;&gt;"",AO80+1,AO80)</f>
        <v/>
      </c>
      <c r="AP81" s="1398" t="inlineStr">
        <is>
          <t>.</t>
        </is>
      </c>
      <c r="AQ81" s="1402">
        <f/>
        <v/>
      </c>
      <c r="AR81" s="1403">
        <f/>
        <v/>
      </c>
      <c r="AS81" s="1403">
        <f/>
        <v/>
      </c>
      <c r="AT81" s="1400">
        <f>AQ81</f>
        <v/>
      </c>
      <c r="AU81" s="1405">
        <f>AR81</f>
        <v/>
      </c>
      <c r="AV81" s="1405">
        <f>AS81</f>
        <v/>
      </c>
      <c r="AW81" s="1400">
        <f>stayCont[[#This Row],[out]]-stayCont[[#This Row],[in]]</f>
        <v/>
      </c>
      <c r="AX81" s="1406">
        <f>IF(AR81&lt;&gt;"",AX80+1,AX80)</f>
        <v/>
      </c>
      <c r="AY81" s="1398" t="inlineStr">
        <is>
          <t>.</t>
        </is>
      </c>
      <c r="AZ81" s="1402" t="n"/>
      <c r="BA81" s="1403" t="n"/>
      <c r="BB81" s="1403" t="n"/>
      <c r="BC81" s="1405">
        <f>AZ81</f>
        <v/>
      </c>
      <c r="BD81" s="1405">
        <f>BA81</f>
        <v/>
      </c>
      <c r="BE81" s="1405">
        <f>BB81</f>
        <v/>
      </c>
      <c r="BF81" s="1400">
        <f>stayWB[[#This Row],[out]]-stayWB[[#This Row],[in]]</f>
        <v/>
      </c>
      <c r="BG81" s="1400">
        <f>IF(BB81&lt;&gt;"",BG80+1,BG80)</f>
        <v/>
      </c>
      <c r="BH81" s="1398" t="inlineStr">
        <is>
          <t>.</t>
        </is>
      </c>
      <c r="BI81" s="1402" t="inlineStr">
        <is>
          <t>UK</t>
        </is>
      </c>
      <c r="BJ81" s="1402" t="n">
        <v>1998</v>
      </c>
      <c r="BK81" s="1400">
        <f>BI81</f>
        <v/>
      </c>
      <c r="BL81" s="1409">
        <f>BJ81</f>
        <v/>
      </c>
      <c r="BM81" s="1378" t="inlineStr">
        <is>
          <t>.</t>
        </is>
      </c>
      <c r="BN81" s="1402" t="inlineStr">
        <is>
          <t>Z</t>
        </is>
      </c>
      <c r="BO81" s="1400">
        <f>BN81</f>
        <v/>
      </c>
      <c r="BP81" s="1398" t="inlineStr">
        <is>
          <t>.</t>
        </is>
      </c>
      <c r="BQ81" s="1400">
        <f>IF(BR81&lt;&gt;"",BQ80+1,BQ80)</f>
        <v/>
      </c>
      <c r="BR81" s="1411" t="inlineStr">
        <is>
          <t>SSA</t>
        </is>
      </c>
      <c r="BS81" s="1411" t="inlineStr">
        <is>
          <t>Bruxelas</t>
        </is>
      </c>
      <c r="BT81" s="1412" t="inlineStr">
        <is>
          <t>SSA-Bruxelas</t>
        </is>
      </c>
      <c r="BU81" s="1412" t="n">
        <v>35864</v>
      </c>
      <c r="BV81" s="1398" t="inlineStr">
        <is>
          <t>.</t>
        </is>
      </c>
      <c r="BW81" s="1392" t="n"/>
      <c r="BX81" s="1392" t="n"/>
      <c r="BY81" s="1392" t="n"/>
      <c r="BZ81" s="1416" t="n"/>
      <c r="CA81" s="1392" t="n"/>
      <c r="CB81" s="1398" t="inlineStr">
        <is>
          <t>.</t>
        </is>
      </c>
      <c r="CC81" s="1400">
        <f>IF(CD81&lt;&gt;"",CC80+1,CC80)</f>
        <v/>
      </c>
      <c r="CD81" s="1411" t="inlineStr">
        <is>
          <t>Salto Grande</t>
        </is>
      </c>
      <c r="CE81" s="1412" t="n">
        <v>37632</v>
      </c>
      <c r="CF81" s="1412" t="n">
        <v>37637</v>
      </c>
      <c r="CG81" s="1415">
        <f>CF81-CE81</f>
        <v/>
      </c>
      <c r="CH81" s="1398" t="inlineStr">
        <is>
          <t>.</t>
        </is>
      </c>
      <c r="CI81" s="1392" t="n"/>
      <c r="CJ81" s="1392" t="n"/>
      <c r="CK81" s="1392" t="n"/>
      <c r="CL81" s="1392" t="n"/>
    </row>
    <row r="82">
      <c r="A82" s="5" t="inlineStr">
        <is>
          <t>.</t>
        </is>
      </c>
      <c r="B82" s="5" t="inlineStr">
        <is>
          <t>.</t>
        </is>
      </c>
      <c r="C82" s="1378">
        <f>IF(raw[[#This Row],[city]]="","-",IF(raw[[#This Row],[city]]="TODAY","-",C81+1))</f>
        <v/>
      </c>
      <c r="D82" s="1393" t="inlineStr">
        <is>
          <t>Orlando</t>
        </is>
      </c>
      <c r="E82" s="1394" t="n">
        <v>29969</v>
      </c>
      <c r="F82" s="1394" t="n">
        <v>29975</v>
      </c>
      <c r="G82" s="1393" t="inlineStr">
        <is>
          <t>-</t>
        </is>
      </c>
      <c r="H82" s="1393">
        <f>H81</f>
        <v/>
      </c>
      <c r="I82" s="1393" t="inlineStr">
        <is>
          <t>-</t>
        </is>
      </c>
      <c r="J82" s="1393" t="inlineStr">
        <is>
          <t>-</t>
        </is>
      </c>
      <c r="K82" s="1395">
        <f>IF(raw[[#This Row],[city]]&lt;&gt;"",_xlfn.XLOOKUP($D82,ccc[city],ccc[prov],"-"),"-")</f>
        <v/>
      </c>
      <c r="L82" s="1395">
        <f>IF(raw[[#This Row],[city]]&lt;&gt;"",_xlfn.XLOOKUP($D82,ccc[city],ccc[ctry],"-"),"-")</f>
        <v/>
      </c>
      <c r="M82" s="1395">
        <f>IF(raw[[#This Row],[city]]&lt;&gt;"",_xlfn.XLOOKUP($D82,ccc[city],ccc[cont],"-"),"-")</f>
        <v/>
      </c>
      <c r="N82" s="1396">
        <f>IF(raw[[#This Row],[city]]="","-",IF(raw[[#This Row],[cont]]="B",raw[[#This Row],[cont]],"W"))</f>
        <v/>
      </c>
      <c r="O82" s="1397">
        <f>IF(raw[[#This Row],[out]]=0,0,IF(raw[[#This Row],[out]]=raw[[#This Row],[in]],0.01,raw[[#This Row],[out]]-raw[[#This Row],[in]]))</f>
        <v/>
      </c>
      <c r="P82" s="1397">
        <f>IF(raw[[#This Row],[in]]=0,0,MONTH(raw[[#This Row],[in]]))</f>
        <v/>
      </c>
      <c r="Q82" s="1397">
        <f>IF(raw[[#This Row],[in]]=0,0,YEAR(raw[[#This Row],[in]]))</f>
        <v/>
      </c>
      <c r="R82" s="1397">
        <f>INT(raw[[#This Row],[yr]]/10)*10</f>
        <v/>
      </c>
      <c r="S82" s="1395">
        <f>IF(raw[[#This Row],[city]]="","-",IF(raw[[#This Row],[city]]&lt;&gt;_xlfn.XLOOKUP(raw[[#This Row],[home]],homes[home],homes[city],"-"),1,0))</f>
        <v/>
      </c>
      <c r="T82" s="1398" t="inlineStr">
        <is>
          <t>.</t>
        </is>
      </c>
      <c r="U82" s="1399">
        <f>IF(raw[[#This Row],[wb]]="w",raw[[#This Row],[stay]]+U81,U81)</f>
        <v/>
      </c>
      <c r="V82" s="1400">
        <f>IF(raw[[#This Row],[out]]=0,V81,(raw[[#This Row],[out]]-E$5))</f>
        <v/>
      </c>
      <c r="W82" s="1401">
        <f>U82/V82</f>
        <v/>
      </c>
      <c r="X82" s="1378" t="inlineStr">
        <is>
          <t>.</t>
        </is>
      </c>
      <c r="Y82" s="1402">
        <f/>
        <v/>
      </c>
      <c r="Z82" s="1403">
        <f/>
        <v/>
      </c>
      <c r="AA82" s="1403">
        <f/>
        <v/>
      </c>
      <c r="AB82" s="1400">
        <f t="array" ref="AB82">_xlfn.LET(_xlpm.S,_xlfn.ANCHORARRAY($Y$4),_xlpm.r,ROWS(stayCity[[#Headers],[city]]:stayCity[[#This Row],[city]])-1,IF(_xlpm.r&lt;=ROWS(_xlpm.S),INDEX(_xlpm.S,_xlpm.r,1),""))</f>
        <v/>
      </c>
      <c r="AC82" s="1405">
        <f t="array" ref="AC82">_xlfn.LET(_xlpm.S,_xlfn.ANCHORARRAY($Y$4),_xlpm.r,ROWS(stayCity[[#Headers],[city]]:stayCity[[#This Row],[city]])-1,IF(_xlpm.r&lt;=ROWS(_xlpm.S),INDEX(_xlpm.S,_xlpm.r,2),""))</f>
        <v/>
      </c>
      <c r="AD82" s="1405">
        <f t="array" ref="AD82">_xlfn.LET(_xlpm.S,_xlfn.ANCHORARRAY($Y$4),_xlpm.r,ROWS(stayCity[[#Headers],[city]]:stayCity[[#This Row],[city]])-1,IF(_xlpm.r&lt;=ROWS(_xlpm.S),INDEX(_xlpm.S,_xlpm.r,3),""))</f>
        <v/>
      </c>
      <c r="AE82" s="1400">
        <f>IF(stayCity[[#This Row],[out]]&lt;&gt;"",stayCity[[#This Row],[out]]-stayCity[[#This Row],[in]],"-")</f>
        <v/>
      </c>
      <c r="AF82" s="1406">
        <f>IF(Y82="","-",YEAR(stayCity[[#This Row],[in]]))</f>
        <v/>
      </c>
      <c r="AG82" s="1398" t="inlineStr">
        <is>
          <t>.</t>
        </is>
      </c>
      <c r="AH82" s="1402">
        <f/>
        <v/>
      </c>
      <c r="AI82" s="1403">
        <f/>
        <v/>
      </c>
      <c r="AJ82" s="1403">
        <f/>
        <v/>
      </c>
      <c r="AK82" s="1400">
        <f>IF(AH82="","-",AH82)</f>
        <v/>
      </c>
      <c r="AL82" s="1405">
        <f>AI82</f>
        <v/>
      </c>
      <c r="AM82" s="1405">
        <f>AJ82</f>
        <v/>
      </c>
      <c r="AN82" s="1400">
        <f>stayCtry[[#This Row],[out]]-stayCtry[[#This Row],[in]]</f>
        <v/>
      </c>
      <c r="AO82" s="1406">
        <f>IF(AI82&lt;&gt;"",AO81+1,AO81)</f>
        <v/>
      </c>
      <c r="AP82" s="1398" t="inlineStr">
        <is>
          <t>.</t>
        </is>
      </c>
      <c r="AQ82" s="1402">
        <f/>
        <v/>
      </c>
      <c r="AR82" s="1403">
        <f/>
        <v/>
      </c>
      <c r="AS82" s="1403">
        <f/>
        <v/>
      </c>
      <c r="AT82" s="1400">
        <f>AQ82</f>
        <v/>
      </c>
      <c r="AU82" s="1405">
        <f>AR82</f>
        <v/>
      </c>
      <c r="AV82" s="1405">
        <f>AS82</f>
        <v/>
      </c>
      <c r="AW82" s="1400">
        <f>stayCont[[#This Row],[out]]-stayCont[[#This Row],[in]]</f>
        <v/>
      </c>
      <c r="AX82" s="1406">
        <f>IF(AR82&lt;&gt;"",AX81+1,AX81)</f>
        <v/>
      </c>
      <c r="AY82" s="1398" t="inlineStr">
        <is>
          <t>.</t>
        </is>
      </c>
      <c r="AZ82" s="1402" t="n"/>
      <c r="BA82" s="1403" t="n"/>
      <c r="BB82" s="1403" t="n"/>
      <c r="BC82" s="1405">
        <f>AZ82</f>
        <v/>
      </c>
      <c r="BD82" s="1405">
        <f>BA82</f>
        <v/>
      </c>
      <c r="BE82" s="1405">
        <f>BB82</f>
        <v/>
      </c>
      <c r="BF82" s="1400">
        <f>stayWB[[#This Row],[out]]-stayWB[[#This Row],[in]]</f>
        <v/>
      </c>
      <c r="BG82" s="1400">
        <f>IF(BB82&lt;&gt;"",BG81+1,BG81)</f>
        <v/>
      </c>
      <c r="BH82" s="1398" t="inlineStr">
        <is>
          <t>.</t>
        </is>
      </c>
      <c r="BI82" s="1402" t="inlineStr">
        <is>
          <t>FRA</t>
        </is>
      </c>
      <c r="BJ82" s="1402" t="n">
        <v>1998</v>
      </c>
      <c r="BK82" s="1400">
        <f>BI82</f>
        <v/>
      </c>
      <c r="BL82" s="1409">
        <f>BJ82</f>
        <v/>
      </c>
      <c r="BM82" s="1378" t="inlineStr">
        <is>
          <t>.</t>
        </is>
      </c>
      <c r="BN82" s="1402" t="inlineStr">
        <is>
          <t>N</t>
        </is>
      </c>
      <c r="BO82" s="1400">
        <f>BN82</f>
        <v/>
      </c>
      <c r="BP82" s="1398" t="inlineStr">
        <is>
          <t>.</t>
        </is>
      </c>
      <c r="BQ82" s="1400">
        <f>IF(BR82&lt;&gt;"",BQ81+1,BQ81)</f>
        <v/>
      </c>
      <c r="BR82" s="1411" t="inlineStr">
        <is>
          <t>Bruxelas</t>
        </is>
      </c>
      <c r="BS82" s="1411" t="inlineStr">
        <is>
          <t>Paris</t>
        </is>
      </c>
      <c r="BT82" s="1412" t="inlineStr">
        <is>
          <t>Bruxelas-Paris</t>
        </is>
      </c>
      <c r="BU82" s="1412" t="n">
        <v>35864</v>
      </c>
      <c r="BV82" s="1398" t="inlineStr">
        <is>
          <t>.</t>
        </is>
      </c>
      <c r="BW82" s="1392" t="n"/>
      <c r="BX82" s="1392" t="n"/>
      <c r="BY82" s="1392" t="n"/>
      <c r="BZ82" s="1416" t="n"/>
      <c r="CA82" s="1392" t="n"/>
      <c r="CB82" s="1398" t="inlineStr">
        <is>
          <t>.</t>
        </is>
      </c>
      <c r="CC82" s="1400">
        <f>IF(CD82&lt;&gt;"",CC81+1,CC81)</f>
        <v/>
      </c>
      <c r="CD82" s="1411" t="inlineStr">
        <is>
          <t>Encontro</t>
        </is>
      </c>
      <c r="CE82" s="1412" t="n">
        <v>37646</v>
      </c>
      <c r="CF82" s="1412" t="n">
        <v>37668</v>
      </c>
      <c r="CG82" s="1415">
        <f>CF82-CE82</f>
        <v/>
      </c>
      <c r="CH82" s="1398" t="inlineStr">
        <is>
          <t>.</t>
        </is>
      </c>
      <c r="CI82" s="1392" t="n"/>
      <c r="CJ82" s="1392" t="n"/>
      <c r="CK82" s="1392" t="n"/>
      <c r="CL82" s="1392" t="n"/>
    </row>
    <row r="83">
      <c r="A83" s="5" t="inlineStr">
        <is>
          <t>.</t>
        </is>
      </c>
      <c r="B83" s="5" t="inlineStr">
        <is>
          <t>.</t>
        </is>
      </c>
      <c r="C83" s="1378">
        <f>IF(raw[[#This Row],[city]]="","-",IF(raw[[#This Row],[city]]="TODAY","-",C82+1))</f>
        <v/>
      </c>
      <c r="D83" s="1393" t="inlineStr">
        <is>
          <t>Tampa</t>
        </is>
      </c>
      <c r="E83" s="1394" t="n">
        <v>29974</v>
      </c>
      <c r="F83" s="1394" t="n">
        <v>29974</v>
      </c>
      <c r="G83" s="1393" t="inlineStr">
        <is>
          <t>-</t>
        </is>
      </c>
      <c r="H83" s="1393">
        <f>H82</f>
        <v/>
      </c>
      <c r="I83" s="1393" t="inlineStr">
        <is>
          <t>-</t>
        </is>
      </c>
      <c r="J83" s="1393" t="inlineStr">
        <is>
          <t>-</t>
        </is>
      </c>
      <c r="K83" s="1395">
        <f>IF(raw[[#This Row],[city]]&lt;&gt;"",_xlfn.XLOOKUP($D83,ccc[city],ccc[prov],"-"),"-")</f>
        <v/>
      </c>
      <c r="L83" s="1395">
        <f>IF(raw[[#This Row],[city]]&lt;&gt;"",_xlfn.XLOOKUP($D83,ccc[city],ccc[ctry],"-"),"-")</f>
        <v/>
      </c>
      <c r="M83" s="1395">
        <f>IF(raw[[#This Row],[city]]&lt;&gt;"",_xlfn.XLOOKUP($D83,ccc[city],ccc[cont],"-"),"-")</f>
        <v/>
      </c>
      <c r="N83" s="1396">
        <f>IF(raw[[#This Row],[city]]="","-",IF(raw[[#This Row],[cont]]="B",raw[[#This Row],[cont]],"W"))</f>
        <v/>
      </c>
      <c r="O83" s="1397">
        <f>IF(raw[[#This Row],[out]]=0,0,IF(raw[[#This Row],[out]]=raw[[#This Row],[in]],0.01,raw[[#This Row],[out]]-raw[[#This Row],[in]]))</f>
        <v/>
      </c>
      <c r="P83" s="1397">
        <f>IF(raw[[#This Row],[in]]=0,0,MONTH(raw[[#This Row],[in]]))</f>
        <v/>
      </c>
      <c r="Q83" s="1397">
        <f>IF(raw[[#This Row],[in]]=0,0,YEAR(raw[[#This Row],[in]]))</f>
        <v/>
      </c>
      <c r="R83" s="1397">
        <f>INT(raw[[#This Row],[yr]]/10)*10</f>
        <v/>
      </c>
      <c r="S83" s="1395">
        <f>IF(raw[[#This Row],[city]]="","-",IF(raw[[#This Row],[city]]&lt;&gt;_xlfn.XLOOKUP(raw[[#This Row],[home]],homes[home],homes[city],"-"),1,0))</f>
        <v/>
      </c>
      <c r="T83" s="1398" t="inlineStr">
        <is>
          <t>.</t>
        </is>
      </c>
      <c r="U83" s="1399">
        <f>IF(raw[[#This Row],[wb]]="w",raw[[#This Row],[stay]]+U82,U82)</f>
        <v/>
      </c>
      <c r="V83" s="1400">
        <f>IF(raw[[#This Row],[out]]=0,V82,(raw[[#This Row],[out]]-E$5))</f>
        <v/>
      </c>
      <c r="W83" s="1401">
        <f>U83/V83</f>
        <v/>
      </c>
      <c r="X83" s="1378" t="inlineStr">
        <is>
          <t>.</t>
        </is>
      </c>
      <c r="Y83" s="1402">
        <f/>
        <v/>
      </c>
      <c r="Z83" s="1403">
        <f/>
        <v/>
      </c>
      <c r="AA83" s="1403">
        <f/>
        <v/>
      </c>
      <c r="AB83" s="1400">
        <f t="array" ref="AB83">_xlfn.LET(_xlpm.S,_xlfn.ANCHORARRAY($Y$4),_xlpm.r,ROWS(stayCity[[#Headers],[city]]:stayCity[[#This Row],[city]])-1,IF(_xlpm.r&lt;=ROWS(_xlpm.S),INDEX(_xlpm.S,_xlpm.r,1),""))</f>
        <v/>
      </c>
      <c r="AC83" s="1405">
        <f t="array" ref="AC83">_xlfn.LET(_xlpm.S,_xlfn.ANCHORARRAY($Y$4),_xlpm.r,ROWS(stayCity[[#Headers],[city]]:stayCity[[#This Row],[city]])-1,IF(_xlpm.r&lt;=ROWS(_xlpm.S),INDEX(_xlpm.S,_xlpm.r,2),""))</f>
        <v/>
      </c>
      <c r="AD83" s="1405">
        <f t="array" ref="AD83">_xlfn.LET(_xlpm.S,_xlfn.ANCHORARRAY($Y$4),_xlpm.r,ROWS(stayCity[[#Headers],[city]]:stayCity[[#This Row],[city]])-1,IF(_xlpm.r&lt;=ROWS(_xlpm.S),INDEX(_xlpm.S,_xlpm.r,3),""))</f>
        <v/>
      </c>
      <c r="AE83" s="1400">
        <f>IF(stayCity[[#This Row],[out]]&lt;&gt;"",stayCity[[#This Row],[out]]-stayCity[[#This Row],[in]],"-")</f>
        <v/>
      </c>
      <c r="AF83" s="1406">
        <f>IF(Y83="","-",YEAR(stayCity[[#This Row],[in]]))</f>
        <v/>
      </c>
      <c r="AG83" s="1398" t="inlineStr">
        <is>
          <t>.</t>
        </is>
      </c>
      <c r="AH83" s="1402">
        <f/>
        <v/>
      </c>
      <c r="AI83" s="1403">
        <f/>
        <v/>
      </c>
      <c r="AJ83" s="1403">
        <f/>
        <v/>
      </c>
      <c r="AK83" s="1400">
        <f>IF(AH83="","-",AH83)</f>
        <v/>
      </c>
      <c r="AL83" s="1405">
        <f>AI83</f>
        <v/>
      </c>
      <c r="AM83" s="1405">
        <f>AJ83</f>
        <v/>
      </c>
      <c r="AN83" s="1400">
        <f>stayCtry[[#This Row],[out]]-stayCtry[[#This Row],[in]]</f>
        <v/>
      </c>
      <c r="AO83" s="1406">
        <f>IF(AI83&lt;&gt;"",AO82+1,AO82)</f>
        <v/>
      </c>
      <c r="AP83" s="1398" t="inlineStr">
        <is>
          <t>.</t>
        </is>
      </c>
      <c r="AQ83" s="1402">
        <f/>
        <v/>
      </c>
      <c r="AR83" s="1403">
        <f/>
        <v/>
      </c>
      <c r="AS83" s="1403">
        <f/>
        <v/>
      </c>
      <c r="AT83" s="1400">
        <f>AQ83</f>
        <v/>
      </c>
      <c r="AU83" s="1405">
        <f>AR83</f>
        <v/>
      </c>
      <c r="AV83" s="1405">
        <f>AS83</f>
        <v/>
      </c>
      <c r="AW83" s="1400">
        <f>stayCont[[#This Row],[out]]-stayCont[[#This Row],[in]]</f>
        <v/>
      </c>
      <c r="AX83" s="1406">
        <f>IF(AR83&lt;&gt;"",AX82+1,AX82)</f>
        <v/>
      </c>
      <c r="AY83" s="1398" t="inlineStr">
        <is>
          <t>.</t>
        </is>
      </c>
      <c r="AZ83" s="1402" t="n"/>
      <c r="BA83" s="1403" t="n"/>
      <c r="BB83" s="1403" t="n"/>
      <c r="BC83" s="1405">
        <f>AZ83</f>
        <v/>
      </c>
      <c r="BD83" s="1405">
        <f>BA83</f>
        <v/>
      </c>
      <c r="BE83" s="1405">
        <f>BB83</f>
        <v/>
      </c>
      <c r="BF83" s="1400">
        <f>stayWB[[#This Row],[out]]-stayWB[[#This Row],[in]]</f>
        <v/>
      </c>
      <c r="BG83" s="1400">
        <f>IF(BB83&lt;&gt;"",BG82+1,BG82)</f>
        <v/>
      </c>
      <c r="BH83" s="1398" t="inlineStr">
        <is>
          <t>.</t>
        </is>
      </c>
      <c r="BI83" s="1402" t="inlineStr">
        <is>
          <t>BEL</t>
        </is>
      </c>
      <c r="BJ83" s="1402" t="n">
        <v>1998</v>
      </c>
      <c r="BK83" s="1400">
        <f>BI83</f>
        <v/>
      </c>
      <c r="BL83" s="1409">
        <f>BJ83</f>
        <v/>
      </c>
      <c r="BM83" s="1378" t="inlineStr">
        <is>
          <t>.</t>
        </is>
      </c>
      <c r="BN83" s="1402" t="inlineStr">
        <is>
          <t>Z</t>
        </is>
      </c>
      <c r="BO83" s="1400">
        <f>BN83</f>
        <v/>
      </c>
      <c r="BP83" s="1398" t="inlineStr">
        <is>
          <t>.</t>
        </is>
      </c>
      <c r="BQ83" s="1400">
        <f>IF(BR83&lt;&gt;"",BQ82+1,BQ82)</f>
        <v/>
      </c>
      <c r="BR83" s="1411" t="inlineStr">
        <is>
          <t>Paris</t>
        </is>
      </c>
      <c r="BS83" s="1411" t="inlineStr">
        <is>
          <t>Frankfurt</t>
        </is>
      </c>
      <c r="BT83" s="1412" t="inlineStr">
        <is>
          <t>Paris-Frankfurt</t>
        </is>
      </c>
      <c r="BU83" s="1412" t="n">
        <v>36137</v>
      </c>
      <c r="BV83" s="1398" t="inlineStr">
        <is>
          <t>.</t>
        </is>
      </c>
      <c r="BW83" s="1392" t="n"/>
      <c r="BX83" s="1392" t="n"/>
      <c r="BY83" s="1392" t="n"/>
      <c r="BZ83" s="1416" t="n"/>
      <c r="CA83" s="1392" t="n"/>
      <c r="CB83" s="1398" t="inlineStr">
        <is>
          <t>.</t>
        </is>
      </c>
      <c r="CC83" s="1400">
        <f>IF(CD83&lt;&gt;"",CC82+1,CC82)</f>
        <v/>
      </c>
      <c r="CD83" s="1411" t="inlineStr">
        <is>
          <t>Salto Grande</t>
        </is>
      </c>
      <c r="CE83" s="1412" t="n">
        <v>37692</v>
      </c>
      <c r="CF83" s="1412" t="n">
        <v>37712</v>
      </c>
      <c r="CG83" s="1415">
        <f>CF83-CE83</f>
        <v/>
      </c>
      <c r="CH83" s="1398" t="inlineStr">
        <is>
          <t>.</t>
        </is>
      </c>
      <c r="CI83" s="1392" t="n"/>
      <c r="CJ83" s="1392" t="n"/>
      <c r="CK83" s="1392" t="n"/>
      <c r="CL83" s="1392" t="n"/>
    </row>
    <row r="84">
      <c r="A84" s="5" t="inlineStr">
        <is>
          <t>.</t>
        </is>
      </c>
      <c r="B84" s="5" t="inlineStr">
        <is>
          <t>.</t>
        </is>
      </c>
      <c r="C84" s="1378">
        <f>IF(raw[[#This Row],[city]]="","-",IF(raw[[#This Row],[city]]="TODAY","-",C83+1))</f>
        <v/>
      </c>
      <c r="D84" s="1393" t="inlineStr">
        <is>
          <t>Miami</t>
        </is>
      </c>
      <c r="E84" s="1394" t="n">
        <v>29975</v>
      </c>
      <c r="F84" s="1394" t="n">
        <v>29977</v>
      </c>
      <c r="G84" s="1393" t="n">
        <v>1</v>
      </c>
      <c r="H84" s="1393">
        <f>H83</f>
        <v/>
      </c>
      <c r="I84" s="1393" t="inlineStr">
        <is>
          <t>-</t>
        </is>
      </c>
      <c r="J84" s="1393" t="inlineStr">
        <is>
          <t>-</t>
        </is>
      </c>
      <c r="K84" s="1395">
        <f>IF(raw[[#This Row],[city]]&lt;&gt;"",_xlfn.XLOOKUP($D84,ccc[city],ccc[prov],"-"),"-")</f>
        <v/>
      </c>
      <c r="L84" s="1395">
        <f>IF(raw[[#This Row],[city]]&lt;&gt;"",_xlfn.XLOOKUP($D84,ccc[city],ccc[ctry],"-"),"-")</f>
        <v/>
      </c>
      <c r="M84" s="1395">
        <f>IF(raw[[#This Row],[city]]&lt;&gt;"",_xlfn.XLOOKUP($D84,ccc[city],ccc[cont],"-"),"-")</f>
        <v/>
      </c>
      <c r="N84" s="1396">
        <f>IF(raw[[#This Row],[city]]="","-",IF(raw[[#This Row],[cont]]="B",raw[[#This Row],[cont]],"W"))</f>
        <v/>
      </c>
      <c r="O84" s="1397">
        <f>IF(raw[[#This Row],[out]]=0,0,IF(raw[[#This Row],[out]]=raw[[#This Row],[in]],0.01,raw[[#This Row],[out]]-raw[[#This Row],[in]]))</f>
        <v/>
      </c>
      <c r="P84" s="1397">
        <f>IF(raw[[#This Row],[in]]=0,0,MONTH(raw[[#This Row],[in]]))</f>
        <v/>
      </c>
      <c r="Q84" s="1397">
        <f>IF(raw[[#This Row],[in]]=0,0,YEAR(raw[[#This Row],[in]]))</f>
        <v/>
      </c>
      <c r="R84" s="1397">
        <f>INT(raw[[#This Row],[yr]]/10)*10</f>
        <v/>
      </c>
      <c r="S84" s="1395">
        <f>IF(raw[[#This Row],[city]]="","-",IF(raw[[#This Row],[city]]&lt;&gt;_xlfn.XLOOKUP(raw[[#This Row],[home]],homes[home],homes[city],"-"),1,0))</f>
        <v/>
      </c>
      <c r="T84" s="1398" t="inlineStr">
        <is>
          <t>.</t>
        </is>
      </c>
      <c r="U84" s="1399">
        <f>IF(raw[[#This Row],[wb]]="w",raw[[#This Row],[stay]]+U83,U83)</f>
        <v/>
      </c>
      <c r="V84" s="1400">
        <f>IF(raw[[#This Row],[out]]=0,V83,(raw[[#This Row],[out]]-E$5))</f>
        <v/>
      </c>
      <c r="W84" s="1401">
        <f>U84/V84</f>
        <v/>
      </c>
      <c r="X84" s="1378" t="inlineStr">
        <is>
          <t>.</t>
        </is>
      </c>
      <c r="Y84" s="1402">
        <f/>
        <v/>
      </c>
      <c r="Z84" s="1403">
        <f/>
        <v/>
      </c>
      <c r="AA84" s="1403">
        <f/>
        <v/>
      </c>
      <c r="AB84" s="1400">
        <f t="array" ref="AB84">_xlfn.LET(_xlpm.S,_xlfn.ANCHORARRAY($Y$4),_xlpm.r,ROWS(stayCity[[#Headers],[city]]:stayCity[[#This Row],[city]])-1,IF(_xlpm.r&lt;=ROWS(_xlpm.S),INDEX(_xlpm.S,_xlpm.r,1),""))</f>
        <v/>
      </c>
      <c r="AC84" s="1405">
        <f t="array" ref="AC84">_xlfn.LET(_xlpm.S,_xlfn.ANCHORARRAY($Y$4),_xlpm.r,ROWS(stayCity[[#Headers],[city]]:stayCity[[#This Row],[city]])-1,IF(_xlpm.r&lt;=ROWS(_xlpm.S),INDEX(_xlpm.S,_xlpm.r,2),""))</f>
        <v/>
      </c>
      <c r="AD84" s="1405">
        <f t="array" ref="AD84">_xlfn.LET(_xlpm.S,_xlfn.ANCHORARRAY($Y$4),_xlpm.r,ROWS(stayCity[[#Headers],[city]]:stayCity[[#This Row],[city]])-1,IF(_xlpm.r&lt;=ROWS(_xlpm.S),INDEX(_xlpm.S,_xlpm.r,3),""))</f>
        <v/>
      </c>
      <c r="AE84" s="1400">
        <f>IF(stayCity[[#This Row],[out]]&lt;&gt;"",stayCity[[#This Row],[out]]-stayCity[[#This Row],[in]],"-")</f>
        <v/>
      </c>
      <c r="AF84" s="1406">
        <f>IF(Y84="","-",YEAR(stayCity[[#This Row],[in]]))</f>
        <v/>
      </c>
      <c r="AG84" s="1398" t="inlineStr">
        <is>
          <t>.</t>
        </is>
      </c>
      <c r="AH84" s="1402">
        <f/>
        <v/>
      </c>
      <c r="AI84" s="1403">
        <f/>
        <v/>
      </c>
      <c r="AJ84" s="1403">
        <f/>
        <v/>
      </c>
      <c r="AK84" s="1400">
        <f>IF(AH84="","-",AH84)</f>
        <v/>
      </c>
      <c r="AL84" s="1405">
        <f>AI84</f>
        <v/>
      </c>
      <c r="AM84" s="1405">
        <f>AJ84</f>
        <v/>
      </c>
      <c r="AN84" s="1400">
        <f>stayCtry[[#This Row],[out]]-stayCtry[[#This Row],[in]]</f>
        <v/>
      </c>
      <c r="AO84" s="1406">
        <f>IF(AI84&lt;&gt;"",AO83+1,AO83)</f>
        <v/>
      </c>
      <c r="AP84" s="1398" t="inlineStr">
        <is>
          <t>.</t>
        </is>
      </c>
      <c r="AQ84" s="1402">
        <f/>
        <v/>
      </c>
      <c r="AR84" s="1403">
        <f/>
        <v/>
      </c>
      <c r="AS84" s="1403">
        <f/>
        <v/>
      </c>
      <c r="AT84" s="1400">
        <f>AQ84</f>
        <v/>
      </c>
      <c r="AU84" s="1405">
        <f>AR84</f>
        <v/>
      </c>
      <c r="AV84" s="1405">
        <f>AS84</f>
        <v/>
      </c>
      <c r="AW84" s="1400">
        <f>stayCont[[#This Row],[out]]-stayCont[[#This Row],[in]]</f>
        <v/>
      </c>
      <c r="AX84" s="1406">
        <f>IF(AR84&lt;&gt;"",AX83+1,AX83)</f>
        <v/>
      </c>
      <c r="AY84" s="1398" t="inlineStr">
        <is>
          <t>.</t>
        </is>
      </c>
      <c r="AZ84" s="1402" t="n"/>
      <c r="BA84" s="1403" t="n"/>
      <c r="BB84" s="1403" t="n"/>
      <c r="BC84" s="1405">
        <f>AZ84</f>
        <v/>
      </c>
      <c r="BD84" s="1405">
        <f>BA84</f>
        <v/>
      </c>
      <c r="BE84" s="1405">
        <f>BB84</f>
        <v/>
      </c>
      <c r="BF84" s="1400">
        <f>stayWB[[#This Row],[out]]-stayWB[[#This Row],[in]]</f>
        <v/>
      </c>
      <c r="BG84" s="1400">
        <f>IF(BB84&lt;&gt;"",BG83+1,BG83)</f>
        <v/>
      </c>
      <c r="BH84" s="1398" t="inlineStr">
        <is>
          <t>.</t>
        </is>
      </c>
      <c r="BI84" s="1402" t="inlineStr">
        <is>
          <t>NED</t>
        </is>
      </c>
      <c r="BJ84" s="1402" t="n">
        <v>1998</v>
      </c>
      <c r="BK84" s="1400">
        <f>BI84</f>
        <v/>
      </c>
      <c r="BL84" s="1409">
        <f>BJ84</f>
        <v/>
      </c>
      <c r="BM84" s="1378" t="inlineStr">
        <is>
          <t>.</t>
        </is>
      </c>
      <c r="BN84" s="1402" t="inlineStr">
        <is>
          <t>B</t>
        </is>
      </c>
      <c r="BO84" s="1400">
        <f>BN84</f>
        <v/>
      </c>
      <c r="BP84" s="1398" t="inlineStr">
        <is>
          <t>.</t>
        </is>
      </c>
      <c r="BQ84" s="1400">
        <f>IF(BR84&lt;&gt;"",BQ83+1,BQ83)</f>
        <v/>
      </c>
      <c r="BR84" s="1411" t="inlineStr">
        <is>
          <t>Frankfurt</t>
        </is>
      </c>
      <c r="BS84" s="1411" t="inlineStr">
        <is>
          <t>SP</t>
        </is>
      </c>
      <c r="BT84" s="1412" t="inlineStr">
        <is>
          <t>Frankfurt-SP</t>
        </is>
      </c>
      <c r="BU84" s="1412" t="n">
        <v>36137</v>
      </c>
      <c r="BV84" s="1398" t="inlineStr">
        <is>
          <t>.</t>
        </is>
      </c>
      <c r="BW84" s="1392" t="n"/>
      <c r="BX84" s="1392" t="n"/>
      <c r="BY84" s="1392" t="n"/>
      <c r="BZ84" s="1416" t="n"/>
      <c r="CA84" s="1392" t="n"/>
      <c r="CB84" s="1398" t="inlineStr">
        <is>
          <t>.</t>
        </is>
      </c>
      <c r="CC84" s="1400">
        <f>IF(CD84&lt;&gt;"",CC83+1,CC83)</f>
        <v/>
      </c>
      <c r="CD84" s="1411" t="inlineStr">
        <is>
          <t>Fred/Long Island</t>
        </is>
      </c>
      <c r="CE84" s="1412" t="n">
        <v>37817</v>
      </c>
      <c r="CF84" s="1412" t="n">
        <v>37824</v>
      </c>
      <c r="CG84" s="1415">
        <f>CF84-CE84</f>
        <v/>
      </c>
      <c r="CH84" s="1398" t="inlineStr">
        <is>
          <t>.</t>
        </is>
      </c>
      <c r="CI84" s="1392" t="n"/>
      <c r="CJ84" s="1392" t="n"/>
      <c r="CK84" s="1392" t="n"/>
      <c r="CL84" s="1392" t="n"/>
    </row>
    <row r="85">
      <c r="A85" s="5" t="inlineStr">
        <is>
          <t>.</t>
        </is>
      </c>
      <c r="B85" s="5" t="inlineStr">
        <is>
          <t>.</t>
        </is>
      </c>
      <c r="C85" s="1378">
        <f>IF(raw[[#This Row],[city]]="","-",IF(raw[[#This Row],[city]]="TODAY","-",C84+1))</f>
        <v/>
      </c>
      <c r="D85" s="1393" t="inlineStr">
        <is>
          <t>AIR</t>
        </is>
      </c>
      <c r="E85" s="1394" t="n">
        <v>29977</v>
      </c>
      <c r="F85" s="1394" t="n">
        <v>29978</v>
      </c>
      <c r="G85" s="1393" t="inlineStr">
        <is>
          <t>x</t>
        </is>
      </c>
      <c r="H85" s="1393">
        <f>H84</f>
        <v/>
      </c>
      <c r="I85" s="1393" t="inlineStr">
        <is>
          <t>-</t>
        </is>
      </c>
      <c r="J85" s="1393" t="inlineStr">
        <is>
          <t>-</t>
        </is>
      </c>
      <c r="K85" s="1395">
        <f>IF(raw[[#This Row],[city]]&lt;&gt;"",_xlfn.XLOOKUP($D85,ccc[city],ccc[prov],"-"),"-")</f>
        <v/>
      </c>
      <c r="L85" s="1395">
        <f>IF(raw[[#This Row],[city]]&lt;&gt;"",_xlfn.XLOOKUP($D85,ccc[city],ccc[ctry],"-"),"-")</f>
        <v/>
      </c>
      <c r="M85" s="1395">
        <f>IF(raw[[#This Row],[city]]&lt;&gt;"",_xlfn.XLOOKUP($D85,ccc[city],ccc[cont],"-"),"-")</f>
        <v/>
      </c>
      <c r="N85" s="1396">
        <f>IF(raw[[#This Row],[city]]="","-",IF(raw[[#This Row],[cont]]="B",raw[[#This Row],[cont]],"W"))</f>
        <v/>
      </c>
      <c r="O85" s="1397">
        <f>IF(raw[[#This Row],[out]]=0,0,IF(raw[[#This Row],[out]]=raw[[#This Row],[in]],0.01,raw[[#This Row],[out]]-raw[[#This Row],[in]]))</f>
        <v/>
      </c>
      <c r="P85" s="1397">
        <f>IF(raw[[#This Row],[in]]=0,0,MONTH(raw[[#This Row],[in]]))</f>
        <v/>
      </c>
      <c r="Q85" s="1397">
        <f>IF(raw[[#This Row],[in]]=0,0,YEAR(raw[[#This Row],[in]]))</f>
        <v/>
      </c>
      <c r="R85" s="1397">
        <f>INT(raw[[#This Row],[yr]]/10)*10</f>
        <v/>
      </c>
      <c r="S85" s="1395">
        <f>IF(raw[[#This Row],[city]]="","-",IF(raw[[#This Row],[city]]&lt;&gt;_xlfn.XLOOKUP(raw[[#This Row],[home]],homes[home],homes[city],"-"),1,0))</f>
        <v/>
      </c>
      <c r="T85" s="1398" t="inlineStr">
        <is>
          <t>.</t>
        </is>
      </c>
      <c r="U85" s="1399">
        <f>IF(raw[[#This Row],[wb]]="w",raw[[#This Row],[stay]]+U84,U84)</f>
        <v/>
      </c>
      <c r="V85" s="1400">
        <f>IF(raw[[#This Row],[out]]=0,V84,(raw[[#This Row],[out]]-E$5))</f>
        <v/>
      </c>
      <c r="W85" s="1401">
        <f>U85/V85</f>
        <v/>
      </c>
      <c r="X85" s="1378" t="inlineStr">
        <is>
          <t>.</t>
        </is>
      </c>
      <c r="Y85" s="1402">
        <f/>
        <v/>
      </c>
      <c r="Z85" s="1403">
        <f/>
        <v/>
      </c>
      <c r="AA85" s="1403">
        <f/>
        <v/>
      </c>
      <c r="AB85" s="1400">
        <f t="array" ref="AB85">_xlfn.LET(_xlpm.S,_xlfn.ANCHORARRAY($Y$4),_xlpm.r,ROWS(stayCity[[#Headers],[city]]:stayCity[[#This Row],[city]])-1,IF(_xlpm.r&lt;=ROWS(_xlpm.S),INDEX(_xlpm.S,_xlpm.r,1),""))</f>
        <v/>
      </c>
      <c r="AC85" s="1405">
        <f t="array" ref="AC85">_xlfn.LET(_xlpm.S,_xlfn.ANCHORARRAY($Y$4),_xlpm.r,ROWS(stayCity[[#Headers],[city]]:stayCity[[#This Row],[city]])-1,IF(_xlpm.r&lt;=ROWS(_xlpm.S),INDEX(_xlpm.S,_xlpm.r,2),""))</f>
        <v/>
      </c>
      <c r="AD85" s="1405">
        <f t="array" ref="AD85">_xlfn.LET(_xlpm.S,_xlfn.ANCHORARRAY($Y$4),_xlpm.r,ROWS(stayCity[[#Headers],[city]]:stayCity[[#This Row],[city]])-1,IF(_xlpm.r&lt;=ROWS(_xlpm.S),INDEX(_xlpm.S,_xlpm.r,3),""))</f>
        <v/>
      </c>
      <c r="AE85" s="1400">
        <f>IF(stayCity[[#This Row],[out]]&lt;&gt;"",stayCity[[#This Row],[out]]-stayCity[[#This Row],[in]],"-")</f>
        <v/>
      </c>
      <c r="AF85" s="1406">
        <f>IF(Y85="","-",YEAR(stayCity[[#This Row],[in]]))</f>
        <v/>
      </c>
      <c r="AG85" s="1398" t="inlineStr">
        <is>
          <t>.</t>
        </is>
      </c>
      <c r="AH85" s="1402">
        <f/>
        <v/>
      </c>
      <c r="AI85" s="1403">
        <f/>
        <v/>
      </c>
      <c r="AJ85" s="1403">
        <f/>
        <v/>
      </c>
      <c r="AK85" s="1400">
        <f>IF(AH85="","-",AH85)</f>
        <v/>
      </c>
      <c r="AL85" s="1405">
        <f>AI85</f>
        <v/>
      </c>
      <c r="AM85" s="1405">
        <f>AJ85</f>
        <v/>
      </c>
      <c r="AN85" s="1400">
        <f>stayCtry[[#This Row],[out]]-stayCtry[[#This Row],[in]]</f>
        <v/>
      </c>
      <c r="AO85" s="1406">
        <f>IF(AI85&lt;&gt;"",AO84+1,AO84)</f>
        <v/>
      </c>
      <c r="AP85" s="1398" t="inlineStr">
        <is>
          <t>.</t>
        </is>
      </c>
      <c r="AQ85" s="1402">
        <f/>
        <v/>
      </c>
      <c r="AR85" s="1403">
        <f/>
        <v/>
      </c>
      <c r="AS85" s="1403">
        <f/>
        <v/>
      </c>
      <c r="AT85" s="1400">
        <f>AQ85</f>
        <v/>
      </c>
      <c r="AU85" s="1405">
        <f>AR85</f>
        <v/>
      </c>
      <c r="AV85" s="1405">
        <f>AS85</f>
        <v/>
      </c>
      <c r="AW85" s="1400">
        <f>stayCont[[#This Row],[out]]-stayCont[[#This Row],[in]]</f>
        <v/>
      </c>
      <c r="AX85" s="1406">
        <f>IF(AR85&lt;&gt;"",AX84+1,AX84)</f>
        <v/>
      </c>
      <c r="AY85" s="1398" t="inlineStr">
        <is>
          <t>.</t>
        </is>
      </c>
      <c r="AZ85" s="1402" t="n"/>
      <c r="BA85" s="1403" t="n"/>
      <c r="BB85" s="1403" t="n"/>
      <c r="BC85" s="1405">
        <f>AZ85</f>
        <v/>
      </c>
      <c r="BD85" s="1405">
        <f>BA85</f>
        <v/>
      </c>
      <c r="BE85" s="1405">
        <f>BB85</f>
        <v/>
      </c>
      <c r="BF85" s="1400">
        <f>stayWB[[#This Row],[out]]-stayWB[[#This Row],[in]]</f>
        <v/>
      </c>
      <c r="BG85" s="1400">
        <f>IF(BB85&lt;&gt;"",BG84+1,BG84)</f>
        <v/>
      </c>
      <c r="BH85" s="1398" t="inlineStr">
        <is>
          <t>.</t>
        </is>
      </c>
      <c r="BI85" s="1402" t="inlineStr">
        <is>
          <t>DEU</t>
        </is>
      </c>
      <c r="BJ85" s="1402" t="n">
        <v>1998</v>
      </c>
      <c r="BK85" s="1400">
        <f>BI85</f>
        <v/>
      </c>
      <c r="BL85" s="1409">
        <f>BJ85</f>
        <v/>
      </c>
      <c r="BM85" s="1378" t="inlineStr">
        <is>
          <t>.</t>
        </is>
      </c>
      <c r="BN85" s="1402" t="inlineStr">
        <is>
          <t>S</t>
        </is>
      </c>
      <c r="BO85" s="1400">
        <f>BN85</f>
        <v/>
      </c>
      <c r="BP85" s="1398" t="inlineStr">
        <is>
          <t>.</t>
        </is>
      </c>
      <c r="BQ85" s="1400">
        <f>IF(BR85&lt;&gt;"",BQ84+1,BQ84)</f>
        <v/>
      </c>
      <c r="BR85" s="1411" t="inlineStr">
        <is>
          <t>SP</t>
        </is>
      </c>
      <c r="BS85" s="1411" t="inlineStr">
        <is>
          <t>SSA</t>
        </is>
      </c>
      <c r="BT85" s="1412" t="inlineStr">
        <is>
          <t>SP-SSA</t>
        </is>
      </c>
      <c r="BU85" s="1412" t="n">
        <v>36150</v>
      </c>
      <c r="BV85" s="1398" t="inlineStr">
        <is>
          <t>.</t>
        </is>
      </c>
      <c r="BW85" s="1392" t="n"/>
      <c r="BX85" s="1392" t="n"/>
      <c r="BY85" s="1392" t="n"/>
      <c r="BZ85" s="1416" t="n"/>
      <c r="CA85" s="1392" t="n"/>
      <c r="CB85" s="1398" t="inlineStr">
        <is>
          <t>.</t>
        </is>
      </c>
      <c r="CC85" s="1400">
        <f>IF(CD85&lt;&gt;"",CC84+1,CC84)</f>
        <v/>
      </c>
      <c r="CD85" s="1411" t="inlineStr">
        <is>
          <t>Alexandre/Brooklin</t>
        </is>
      </c>
      <c r="CE85" s="1412" t="n">
        <v>37880</v>
      </c>
      <c r="CF85" s="1412" t="n">
        <v>37882</v>
      </c>
      <c r="CG85" s="1415">
        <f>CF85-CE85</f>
        <v/>
      </c>
      <c r="CH85" s="1398" t="inlineStr">
        <is>
          <t>.</t>
        </is>
      </c>
      <c r="CI85" s="1392" t="n"/>
      <c r="CJ85" s="1392" t="n"/>
      <c r="CK85" s="1392" t="n"/>
      <c r="CL85" s="1392" t="n"/>
    </row>
    <row r="86">
      <c r="A86" s="5" t="inlineStr">
        <is>
          <t>.</t>
        </is>
      </c>
      <c r="B86" s="5" t="inlineStr">
        <is>
          <t>.</t>
        </is>
      </c>
      <c r="C86" s="1378">
        <f>IF(raw[[#This Row],[city]]="","-",IF(raw[[#This Row],[city]]="TODAY","-",C85+1))</f>
        <v/>
      </c>
      <c r="D86" s="1393" t="inlineStr">
        <is>
          <t>Manaus</t>
        </is>
      </c>
      <c r="E86" s="1394" t="n">
        <v>29978</v>
      </c>
      <c r="F86" s="1394" t="n">
        <v>29981</v>
      </c>
      <c r="G86" s="1393" t="n">
        <v>1</v>
      </c>
      <c r="H86" s="1393">
        <f>H85</f>
        <v/>
      </c>
      <c r="I86" s="1393" t="inlineStr">
        <is>
          <t>-</t>
        </is>
      </c>
      <c r="J86" s="1393" t="inlineStr">
        <is>
          <t>-</t>
        </is>
      </c>
      <c r="K86" s="1395">
        <f>IF(raw[[#This Row],[city]]&lt;&gt;"",_xlfn.XLOOKUP($D86,ccc[city],ccc[prov],"-"),"-")</f>
        <v/>
      </c>
      <c r="L86" s="1395">
        <f>IF(raw[[#This Row],[city]]&lt;&gt;"",_xlfn.XLOOKUP($D86,ccc[city],ccc[ctry],"-"),"-")</f>
        <v/>
      </c>
      <c r="M86" s="1395">
        <f>IF(raw[[#This Row],[city]]&lt;&gt;"",_xlfn.XLOOKUP($D86,ccc[city],ccc[cont],"-"),"-")</f>
        <v/>
      </c>
      <c r="N86" s="1396">
        <f>IF(raw[[#This Row],[city]]="","-",IF(raw[[#This Row],[cont]]="B",raw[[#This Row],[cont]],"W"))</f>
        <v/>
      </c>
      <c r="O86" s="1397">
        <f>IF(raw[[#This Row],[out]]=0,0,IF(raw[[#This Row],[out]]=raw[[#This Row],[in]],0.01,raw[[#This Row],[out]]-raw[[#This Row],[in]]))</f>
        <v/>
      </c>
      <c r="P86" s="1397">
        <f>IF(raw[[#This Row],[in]]=0,0,MONTH(raw[[#This Row],[in]]))</f>
        <v/>
      </c>
      <c r="Q86" s="1397">
        <f>IF(raw[[#This Row],[in]]=0,0,YEAR(raw[[#This Row],[in]]))</f>
        <v/>
      </c>
      <c r="R86" s="1397">
        <f>INT(raw[[#This Row],[yr]]/10)*10</f>
        <v/>
      </c>
      <c r="S86" s="1395">
        <f>IF(raw[[#This Row],[city]]="","-",IF(raw[[#This Row],[city]]&lt;&gt;_xlfn.XLOOKUP(raw[[#This Row],[home]],homes[home],homes[city],"-"),1,0))</f>
        <v/>
      </c>
      <c r="T86" s="1398" t="inlineStr">
        <is>
          <t>.</t>
        </is>
      </c>
      <c r="U86" s="1399">
        <f>IF(raw[[#This Row],[wb]]="w",raw[[#This Row],[stay]]+U85,U85)</f>
        <v/>
      </c>
      <c r="V86" s="1400">
        <f>IF(raw[[#This Row],[out]]=0,V85,(raw[[#This Row],[out]]-E$5))</f>
        <v/>
      </c>
      <c r="W86" s="1401">
        <f>U86/V86</f>
        <v/>
      </c>
      <c r="X86" s="1378" t="inlineStr">
        <is>
          <t>.</t>
        </is>
      </c>
      <c r="Y86" s="1402">
        <f/>
        <v/>
      </c>
      <c r="Z86" s="1403">
        <f/>
        <v/>
      </c>
      <c r="AA86" s="1403">
        <f/>
        <v/>
      </c>
      <c r="AB86" s="1400">
        <f t="array" ref="AB86">_xlfn.LET(_xlpm.S,_xlfn.ANCHORARRAY($Y$4),_xlpm.r,ROWS(stayCity[[#Headers],[city]]:stayCity[[#This Row],[city]])-1,IF(_xlpm.r&lt;=ROWS(_xlpm.S),INDEX(_xlpm.S,_xlpm.r,1),""))</f>
        <v/>
      </c>
      <c r="AC86" s="1405">
        <f t="array" ref="AC86">_xlfn.LET(_xlpm.S,_xlfn.ANCHORARRAY($Y$4),_xlpm.r,ROWS(stayCity[[#Headers],[city]]:stayCity[[#This Row],[city]])-1,IF(_xlpm.r&lt;=ROWS(_xlpm.S),INDEX(_xlpm.S,_xlpm.r,2),""))</f>
        <v/>
      </c>
      <c r="AD86" s="1405">
        <f t="array" ref="AD86">_xlfn.LET(_xlpm.S,_xlfn.ANCHORARRAY($Y$4),_xlpm.r,ROWS(stayCity[[#Headers],[city]]:stayCity[[#This Row],[city]])-1,IF(_xlpm.r&lt;=ROWS(_xlpm.S),INDEX(_xlpm.S,_xlpm.r,3),""))</f>
        <v/>
      </c>
      <c r="AE86" s="1400">
        <f>IF(stayCity[[#This Row],[out]]&lt;&gt;"",stayCity[[#This Row],[out]]-stayCity[[#This Row],[in]],"-")</f>
        <v/>
      </c>
      <c r="AF86" s="1406">
        <f>IF(Y86="","-",YEAR(stayCity[[#This Row],[in]]))</f>
        <v/>
      </c>
      <c r="AG86" s="1398" t="inlineStr">
        <is>
          <t>.</t>
        </is>
      </c>
      <c r="AH86" s="1402">
        <f/>
        <v/>
      </c>
      <c r="AI86" s="1403">
        <f/>
        <v/>
      </c>
      <c r="AJ86" s="1403">
        <f/>
        <v/>
      </c>
      <c r="AK86" s="1400">
        <f>IF(AH86="","-",AH86)</f>
        <v/>
      </c>
      <c r="AL86" s="1405">
        <f>AI86</f>
        <v/>
      </c>
      <c r="AM86" s="1405">
        <f>AJ86</f>
        <v/>
      </c>
      <c r="AN86" s="1400">
        <f>stayCtry[[#This Row],[out]]-stayCtry[[#This Row],[in]]</f>
        <v/>
      </c>
      <c r="AO86" s="1406">
        <f>IF(AI86&lt;&gt;"",AO85+1,AO85)</f>
        <v/>
      </c>
      <c r="AP86" s="1398" t="inlineStr">
        <is>
          <t>.</t>
        </is>
      </c>
      <c r="AQ86" s="1402">
        <f/>
        <v/>
      </c>
      <c r="AR86" s="1403">
        <f/>
        <v/>
      </c>
      <c r="AS86" s="1403">
        <f/>
        <v/>
      </c>
      <c r="AT86" s="1400">
        <f>AQ86</f>
        <v/>
      </c>
      <c r="AU86" s="1405">
        <f>AR86</f>
        <v/>
      </c>
      <c r="AV86" s="1405">
        <f>AS86</f>
        <v/>
      </c>
      <c r="AW86" s="1400">
        <f>stayCont[[#This Row],[out]]-stayCont[[#This Row],[in]]</f>
        <v/>
      </c>
      <c r="AX86" s="1406">
        <f>IF(AR86&lt;&gt;"",AX85+1,AX85)</f>
        <v/>
      </c>
      <c r="AY86" s="1398" t="inlineStr">
        <is>
          <t>.</t>
        </is>
      </c>
      <c r="AZ86" s="1402" t="n"/>
      <c r="BA86" s="1403" t="n"/>
      <c r="BB86" s="1403" t="n"/>
      <c r="BC86" s="1405">
        <f>AZ86</f>
        <v/>
      </c>
      <c r="BD86" s="1405">
        <f>BA86</f>
        <v/>
      </c>
      <c r="BE86" s="1405">
        <f>BB86</f>
        <v/>
      </c>
      <c r="BF86" s="1400">
        <f>stayWB[[#This Row],[out]]-stayWB[[#This Row],[in]]</f>
        <v/>
      </c>
      <c r="BG86" s="1400">
        <f>IF(BB86&lt;&gt;"",BG85+1,BG85)</f>
        <v/>
      </c>
      <c r="BH86" s="1398" t="inlineStr">
        <is>
          <t>.</t>
        </is>
      </c>
      <c r="BI86" s="1402" t="inlineStr">
        <is>
          <t>CHE</t>
        </is>
      </c>
      <c r="BJ86" s="1402" t="n">
        <v>1998</v>
      </c>
      <c r="BK86" s="1400">
        <f>BI86</f>
        <v/>
      </c>
      <c r="BL86" s="1409">
        <f>BJ86</f>
        <v/>
      </c>
      <c r="BM86" s="1378" t="inlineStr">
        <is>
          <t>.</t>
        </is>
      </c>
      <c r="BN86" s="1402" t="inlineStr">
        <is>
          <t>B</t>
        </is>
      </c>
      <c r="BO86" s="1400">
        <f>BN86</f>
        <v/>
      </c>
      <c r="BP86" s="1398" t="inlineStr">
        <is>
          <t>.</t>
        </is>
      </c>
      <c r="BQ86" s="1400">
        <f>IF(BR86&lt;&gt;"",BQ85+1,BQ85)</f>
        <v/>
      </c>
      <c r="BR86" s="1411" t="inlineStr">
        <is>
          <t>SSA</t>
        </is>
      </c>
      <c r="BS86" s="1411" t="inlineStr">
        <is>
          <t>Lisbon</t>
        </is>
      </c>
      <c r="BT86" s="1412" t="inlineStr">
        <is>
          <t>SSA-Lisbon</t>
        </is>
      </c>
      <c r="BU86" s="1412" t="n">
        <v>36303</v>
      </c>
      <c r="BV86" s="1398" t="inlineStr">
        <is>
          <t>.</t>
        </is>
      </c>
      <c r="BW86" s="1392" t="n"/>
      <c r="BX86" s="1392" t="n"/>
      <c r="BY86" s="1392" t="n"/>
      <c r="BZ86" s="1416" t="n"/>
      <c r="CA86" s="1392" t="n"/>
      <c r="CB86" s="1398" t="inlineStr">
        <is>
          <t>.</t>
        </is>
      </c>
      <c r="CC86" s="1400">
        <f>IF(CD86&lt;&gt;"",CC85+1,CC85)</f>
        <v/>
      </c>
      <c r="CD86" s="1411" t="inlineStr">
        <is>
          <t>Otavio</t>
        </is>
      </c>
      <c r="CE86" s="1412" t="n">
        <v>37882</v>
      </c>
      <c r="CF86" s="1412" t="n">
        <v>37895</v>
      </c>
      <c r="CG86" s="1415">
        <f>CF86-CE86</f>
        <v/>
      </c>
      <c r="CH86" s="1398" t="inlineStr">
        <is>
          <t>.</t>
        </is>
      </c>
      <c r="CI86" s="1392" t="n"/>
      <c r="CJ86" s="1392" t="n"/>
      <c r="CK86" s="1392" t="n"/>
      <c r="CL86" s="1392" t="n"/>
    </row>
    <row r="87">
      <c r="A87" s="5" t="inlineStr">
        <is>
          <t>.</t>
        </is>
      </c>
      <c r="B87" s="5" t="inlineStr">
        <is>
          <t>.</t>
        </is>
      </c>
      <c r="C87" s="1378">
        <f>IF(raw[[#This Row],[city]]="","-",IF(raw[[#This Row],[city]]="TODAY","-",C86+1))</f>
        <v/>
      </c>
      <c r="D87" s="1393" t="inlineStr">
        <is>
          <t>Brasilia</t>
        </is>
      </c>
      <c r="E87" s="1394" t="n">
        <v>29981</v>
      </c>
      <c r="F87" s="1394" t="n">
        <v>29982</v>
      </c>
      <c r="G87" s="1393" t="n">
        <v>0.01</v>
      </c>
      <c r="H87" s="1393">
        <f>H86</f>
        <v/>
      </c>
      <c r="I87" s="1393" t="inlineStr">
        <is>
          <t>-</t>
        </is>
      </c>
      <c r="J87" s="1393" t="inlineStr">
        <is>
          <t>-</t>
        </is>
      </c>
      <c r="K87" s="1395">
        <f>IF(raw[[#This Row],[city]]&lt;&gt;"",_xlfn.XLOOKUP($D87,ccc[city],ccc[prov],"-"),"-")</f>
        <v/>
      </c>
      <c r="L87" s="1395">
        <f>IF(raw[[#This Row],[city]]&lt;&gt;"",_xlfn.XLOOKUP($D87,ccc[city],ccc[ctry],"-"),"-")</f>
        <v/>
      </c>
      <c r="M87" s="1395">
        <f>IF(raw[[#This Row],[city]]&lt;&gt;"",_xlfn.XLOOKUP($D87,ccc[city],ccc[cont],"-"),"-")</f>
        <v/>
      </c>
      <c r="N87" s="1396">
        <f>IF(raw[[#This Row],[city]]="","-",IF(raw[[#This Row],[cont]]="B",raw[[#This Row],[cont]],"W"))</f>
        <v/>
      </c>
      <c r="O87" s="1397">
        <f>IF(raw[[#This Row],[out]]=0,0,IF(raw[[#This Row],[out]]=raw[[#This Row],[in]],0.01,raw[[#This Row],[out]]-raw[[#This Row],[in]]))</f>
        <v/>
      </c>
      <c r="P87" s="1397">
        <f>IF(raw[[#This Row],[in]]=0,0,MONTH(raw[[#This Row],[in]]))</f>
        <v/>
      </c>
      <c r="Q87" s="1397">
        <f>IF(raw[[#This Row],[in]]=0,0,YEAR(raw[[#This Row],[in]]))</f>
        <v/>
      </c>
      <c r="R87" s="1397">
        <f>INT(raw[[#This Row],[yr]]/10)*10</f>
        <v/>
      </c>
      <c r="S87" s="1395">
        <f>IF(raw[[#This Row],[city]]="","-",IF(raw[[#This Row],[city]]&lt;&gt;_xlfn.XLOOKUP(raw[[#This Row],[home]],homes[home],homes[city],"-"),1,0))</f>
        <v/>
      </c>
      <c r="T87" s="1398" t="inlineStr">
        <is>
          <t>.</t>
        </is>
      </c>
      <c r="U87" s="1399">
        <f>IF(raw[[#This Row],[wb]]="w",raw[[#This Row],[stay]]+U86,U86)</f>
        <v/>
      </c>
      <c r="V87" s="1400">
        <f>IF(raw[[#This Row],[out]]=0,V86,(raw[[#This Row],[out]]-E$5))</f>
        <v/>
      </c>
      <c r="W87" s="1401">
        <f>U87/V87</f>
        <v/>
      </c>
      <c r="X87" s="1378" t="inlineStr">
        <is>
          <t>.</t>
        </is>
      </c>
      <c r="Y87" s="1402">
        <f/>
        <v/>
      </c>
      <c r="Z87" s="1403">
        <f/>
        <v/>
      </c>
      <c r="AA87" s="1403">
        <f/>
        <v/>
      </c>
      <c r="AB87" s="1400">
        <f t="array" ref="AB87">_xlfn.LET(_xlpm.S,_xlfn.ANCHORARRAY($Y$4),_xlpm.r,ROWS(stayCity[[#Headers],[city]]:stayCity[[#This Row],[city]])-1,IF(_xlpm.r&lt;=ROWS(_xlpm.S),INDEX(_xlpm.S,_xlpm.r,1),""))</f>
        <v/>
      </c>
      <c r="AC87" s="1405">
        <f t="array" ref="AC87">_xlfn.LET(_xlpm.S,_xlfn.ANCHORARRAY($Y$4),_xlpm.r,ROWS(stayCity[[#Headers],[city]]:stayCity[[#This Row],[city]])-1,IF(_xlpm.r&lt;=ROWS(_xlpm.S),INDEX(_xlpm.S,_xlpm.r,2),""))</f>
        <v/>
      </c>
      <c r="AD87" s="1405">
        <f t="array" ref="AD87">_xlfn.LET(_xlpm.S,_xlfn.ANCHORARRAY($Y$4),_xlpm.r,ROWS(stayCity[[#Headers],[city]]:stayCity[[#This Row],[city]])-1,IF(_xlpm.r&lt;=ROWS(_xlpm.S),INDEX(_xlpm.S,_xlpm.r,3),""))</f>
        <v/>
      </c>
      <c r="AE87" s="1400">
        <f>IF(stayCity[[#This Row],[out]]&lt;&gt;"",stayCity[[#This Row],[out]]-stayCity[[#This Row],[in]],"-")</f>
        <v/>
      </c>
      <c r="AF87" s="1406">
        <f>IF(Y87="","-",YEAR(stayCity[[#This Row],[in]]))</f>
        <v/>
      </c>
      <c r="AG87" s="1398" t="inlineStr">
        <is>
          <t>.</t>
        </is>
      </c>
      <c r="AH87" s="1402">
        <f/>
        <v/>
      </c>
      <c r="AI87" s="1403">
        <f/>
        <v/>
      </c>
      <c r="AJ87" s="1403">
        <f/>
        <v/>
      </c>
      <c r="AK87" s="1400">
        <f>IF(AH87="","-",AH87)</f>
        <v/>
      </c>
      <c r="AL87" s="1405">
        <f>AI87</f>
        <v/>
      </c>
      <c r="AM87" s="1405">
        <f>AJ87</f>
        <v/>
      </c>
      <c r="AN87" s="1400">
        <f>stayCtry[[#This Row],[out]]-stayCtry[[#This Row],[in]]</f>
        <v/>
      </c>
      <c r="AO87" s="1406">
        <f>IF(AI87&lt;&gt;"",AO86+1,AO86)</f>
        <v/>
      </c>
      <c r="AP87" s="1398" t="inlineStr">
        <is>
          <t>.</t>
        </is>
      </c>
      <c r="AQ87" s="1402">
        <f/>
        <v/>
      </c>
      <c r="AR87" s="1403">
        <f/>
        <v/>
      </c>
      <c r="AS87" s="1403">
        <f/>
        <v/>
      </c>
      <c r="AT87" s="1400">
        <f>AQ87</f>
        <v/>
      </c>
      <c r="AU87" s="1405">
        <f>AR87</f>
        <v/>
      </c>
      <c r="AV87" s="1405">
        <f>AS87</f>
        <v/>
      </c>
      <c r="AW87" s="1400">
        <f>stayCont[[#This Row],[out]]-stayCont[[#This Row],[in]]</f>
        <v/>
      </c>
      <c r="AX87" s="1406">
        <f>IF(AR87&lt;&gt;"",AX86+1,AX86)</f>
        <v/>
      </c>
      <c r="AY87" s="1398" t="inlineStr">
        <is>
          <t>.</t>
        </is>
      </c>
      <c r="AZ87" s="1402" t="n"/>
      <c r="BA87" s="1403" t="n"/>
      <c r="BB87" s="1403" t="n"/>
      <c r="BC87" s="1405">
        <f>AZ87</f>
        <v/>
      </c>
      <c r="BD87" s="1405">
        <f>BA87</f>
        <v/>
      </c>
      <c r="BE87" s="1405">
        <f>BB87</f>
        <v/>
      </c>
      <c r="BF87" s="1400">
        <f>stayWB[[#This Row],[out]]-stayWB[[#This Row],[in]]</f>
        <v/>
      </c>
      <c r="BG87" s="1400">
        <f>IF(BB87&lt;&gt;"",BG86+1,BG86)</f>
        <v/>
      </c>
      <c r="BH87" s="1398" t="inlineStr">
        <is>
          <t>.</t>
        </is>
      </c>
      <c r="BI87" s="1402" t="inlineStr">
        <is>
          <t>ITA</t>
        </is>
      </c>
      <c r="BJ87" s="1402" t="n">
        <v>1998</v>
      </c>
      <c r="BK87" s="1400">
        <f>BI87</f>
        <v/>
      </c>
      <c r="BL87" s="1409">
        <f>BJ87</f>
        <v/>
      </c>
      <c r="BM87" s="1378" t="inlineStr">
        <is>
          <t>.</t>
        </is>
      </c>
      <c r="BN87" s="1402" t="inlineStr">
        <is>
          <t>Z</t>
        </is>
      </c>
      <c r="BO87" s="1400">
        <f>BN87</f>
        <v/>
      </c>
      <c r="BP87" s="1398" t="inlineStr">
        <is>
          <t>.</t>
        </is>
      </c>
      <c r="BQ87" s="1400">
        <f>IF(BR87&lt;&gt;"",BQ86+1,BQ86)</f>
        <v/>
      </c>
      <c r="BR87" s="1411" t="inlineStr">
        <is>
          <t>Lisbon</t>
        </is>
      </c>
      <c r="BS87" s="1411" t="inlineStr">
        <is>
          <t>London</t>
        </is>
      </c>
      <c r="BT87" s="1412" t="inlineStr">
        <is>
          <t>Lisbon-London</t>
        </is>
      </c>
      <c r="BU87" s="1412" t="n">
        <v>36304</v>
      </c>
      <c r="BV87" s="1398" t="inlineStr">
        <is>
          <t>.</t>
        </is>
      </c>
      <c r="BW87" s="1392" t="n"/>
      <c r="BX87" s="1392" t="n"/>
      <c r="BY87" s="1392" t="n"/>
      <c r="BZ87" s="1416" t="n"/>
      <c r="CA87" s="1392" t="n"/>
      <c r="CB87" s="1398" t="inlineStr">
        <is>
          <t>.</t>
        </is>
      </c>
      <c r="CC87" s="1400">
        <f>IF(CD87&lt;&gt;"",CC86+1,CC86)</f>
        <v/>
      </c>
      <c r="CD87" s="1411" t="inlineStr">
        <is>
          <t>David's</t>
        </is>
      </c>
      <c r="CE87" s="1412" t="n">
        <v>37970</v>
      </c>
      <c r="CF87" s="1412" t="n">
        <v>37978</v>
      </c>
      <c r="CG87" s="1415">
        <f>CF87-CE87</f>
        <v/>
      </c>
      <c r="CH87" s="1398" t="inlineStr">
        <is>
          <t>.</t>
        </is>
      </c>
      <c r="CI87" s="1392" t="n"/>
      <c r="CJ87" s="1392" t="n"/>
      <c r="CK87" s="1392" t="n"/>
      <c r="CL87" s="1392" t="n"/>
    </row>
    <row r="88">
      <c r="A88" s="5" t="inlineStr">
        <is>
          <t>.</t>
        </is>
      </c>
      <c r="B88" s="5" t="inlineStr">
        <is>
          <t>.</t>
        </is>
      </c>
      <c r="C88" s="1378">
        <f>IF(raw[[#This Row],[city]]="","-",IF(raw[[#This Row],[city]]="TODAY","-",C87+1))</f>
        <v/>
      </c>
      <c r="D88" s="1393" t="inlineStr">
        <is>
          <t>SSA</t>
        </is>
      </c>
      <c r="E88" s="1394" t="n">
        <v>29982</v>
      </c>
      <c r="F88" s="1394" t="n">
        <v>30317</v>
      </c>
      <c r="G88" s="1393" t="inlineStr">
        <is>
          <t>-</t>
        </is>
      </c>
      <c r="H88" s="1393">
        <f>H87</f>
        <v/>
      </c>
      <c r="I88" s="1393" t="inlineStr">
        <is>
          <t>-</t>
        </is>
      </c>
      <c r="J88" s="1393" t="inlineStr">
        <is>
          <t>-</t>
        </is>
      </c>
      <c r="K88" s="1395">
        <f>IF(raw[[#This Row],[city]]&lt;&gt;"",_xlfn.XLOOKUP($D88,ccc[city],ccc[prov],"-"),"-")</f>
        <v/>
      </c>
      <c r="L88" s="1395">
        <f>IF(raw[[#This Row],[city]]&lt;&gt;"",_xlfn.XLOOKUP($D88,ccc[city],ccc[ctry],"-"),"-")</f>
        <v/>
      </c>
      <c r="M88" s="1395">
        <f>IF(raw[[#This Row],[city]]&lt;&gt;"",_xlfn.XLOOKUP($D88,ccc[city],ccc[cont],"-"),"-")</f>
        <v/>
      </c>
      <c r="N88" s="1396">
        <f>IF(raw[[#This Row],[city]]="","-",IF(raw[[#This Row],[cont]]="B",raw[[#This Row],[cont]],"W"))</f>
        <v/>
      </c>
      <c r="O88" s="1397">
        <f>IF(raw[[#This Row],[out]]=0,0,IF(raw[[#This Row],[out]]=raw[[#This Row],[in]],0.01,raw[[#This Row],[out]]-raw[[#This Row],[in]]))</f>
        <v/>
      </c>
      <c r="P88" s="1397">
        <f>IF(raw[[#This Row],[in]]=0,0,MONTH(raw[[#This Row],[in]]))</f>
        <v/>
      </c>
      <c r="Q88" s="1397">
        <f>IF(raw[[#This Row],[in]]=0,0,YEAR(raw[[#This Row],[in]]))</f>
        <v/>
      </c>
      <c r="R88" s="1397">
        <f>INT(raw[[#This Row],[yr]]/10)*10</f>
        <v/>
      </c>
      <c r="S88" s="1395">
        <f>IF(raw[[#This Row],[city]]="","-",IF(raw[[#This Row],[city]]&lt;&gt;_xlfn.XLOOKUP(raw[[#This Row],[home]],homes[home],homes[city],"-"),1,0))</f>
        <v/>
      </c>
      <c r="T88" s="1398" t="inlineStr">
        <is>
          <t>.</t>
        </is>
      </c>
      <c r="U88" s="1399">
        <f>IF(raw[[#This Row],[wb]]="w",raw[[#This Row],[stay]]+U87,U87)</f>
        <v/>
      </c>
      <c r="V88" s="1400">
        <f>IF(raw[[#This Row],[out]]=0,V87,(raw[[#This Row],[out]]-E$5))</f>
        <v/>
      </c>
      <c r="W88" s="1401">
        <f>U88/V88</f>
        <v/>
      </c>
      <c r="X88" s="1378" t="inlineStr">
        <is>
          <t>.</t>
        </is>
      </c>
      <c r="Y88" s="1402">
        <f/>
        <v/>
      </c>
      <c r="Z88" s="1403">
        <f/>
        <v/>
      </c>
      <c r="AA88" s="1403">
        <f/>
        <v/>
      </c>
      <c r="AB88" s="1400">
        <f t="array" ref="AB88">_xlfn.LET(_xlpm.S,_xlfn.ANCHORARRAY($Y$4),_xlpm.r,ROWS(stayCity[[#Headers],[city]]:stayCity[[#This Row],[city]])-1,IF(_xlpm.r&lt;=ROWS(_xlpm.S),INDEX(_xlpm.S,_xlpm.r,1),""))</f>
        <v/>
      </c>
      <c r="AC88" s="1405">
        <f t="array" ref="AC88">_xlfn.LET(_xlpm.S,_xlfn.ANCHORARRAY($Y$4),_xlpm.r,ROWS(stayCity[[#Headers],[city]]:stayCity[[#This Row],[city]])-1,IF(_xlpm.r&lt;=ROWS(_xlpm.S),INDEX(_xlpm.S,_xlpm.r,2),""))</f>
        <v/>
      </c>
      <c r="AD88" s="1405">
        <f t="array" ref="AD88">_xlfn.LET(_xlpm.S,_xlfn.ANCHORARRAY($Y$4),_xlpm.r,ROWS(stayCity[[#Headers],[city]]:stayCity[[#This Row],[city]])-1,IF(_xlpm.r&lt;=ROWS(_xlpm.S),INDEX(_xlpm.S,_xlpm.r,3),""))</f>
        <v/>
      </c>
      <c r="AE88" s="1400">
        <f>IF(stayCity[[#This Row],[out]]&lt;&gt;"",stayCity[[#This Row],[out]]-stayCity[[#This Row],[in]],"-")</f>
        <v/>
      </c>
      <c r="AF88" s="1406">
        <f>IF(Y88="","-",YEAR(stayCity[[#This Row],[in]]))</f>
        <v/>
      </c>
      <c r="AG88" s="1398" t="inlineStr">
        <is>
          <t>.</t>
        </is>
      </c>
      <c r="AH88" s="1402">
        <f/>
        <v/>
      </c>
      <c r="AI88" s="1403">
        <f/>
        <v/>
      </c>
      <c r="AJ88" s="1403">
        <f/>
        <v/>
      </c>
      <c r="AK88" s="1400">
        <f>IF(AH88="","-",AH88)</f>
        <v/>
      </c>
      <c r="AL88" s="1405">
        <f>AI88</f>
        <v/>
      </c>
      <c r="AM88" s="1405">
        <f>AJ88</f>
        <v/>
      </c>
      <c r="AN88" s="1400">
        <f>stayCtry[[#This Row],[out]]-stayCtry[[#This Row],[in]]</f>
        <v/>
      </c>
      <c r="AO88" s="1406">
        <f>IF(AI88&lt;&gt;"",AO87+1,AO87)</f>
        <v/>
      </c>
      <c r="AP88" s="1398" t="inlineStr">
        <is>
          <t>.</t>
        </is>
      </c>
      <c r="AQ88" s="1402">
        <f/>
        <v/>
      </c>
      <c r="AR88" s="1403">
        <f/>
        <v/>
      </c>
      <c r="AS88" s="1403">
        <f/>
        <v/>
      </c>
      <c r="AT88" s="1400">
        <f>AQ88</f>
        <v/>
      </c>
      <c r="AU88" s="1405">
        <f>AR88</f>
        <v/>
      </c>
      <c r="AV88" s="1405">
        <f>AS88</f>
        <v/>
      </c>
      <c r="AW88" s="1400">
        <f>stayCont[[#This Row],[out]]-stayCont[[#This Row],[in]]</f>
        <v/>
      </c>
      <c r="AX88" s="1406">
        <f>IF(AR88&lt;&gt;"",AX87+1,AX87)</f>
        <v/>
      </c>
      <c r="AY88" s="1398" t="inlineStr">
        <is>
          <t>.</t>
        </is>
      </c>
      <c r="AZ88" s="1402" t="n"/>
      <c r="BA88" s="1403" t="n"/>
      <c r="BB88" s="1403" t="n"/>
      <c r="BC88" s="1405">
        <f>AZ88</f>
        <v/>
      </c>
      <c r="BD88" s="1405">
        <f>BA88</f>
        <v/>
      </c>
      <c r="BE88" s="1405">
        <f>BB88</f>
        <v/>
      </c>
      <c r="BF88" s="1400">
        <f>stayWB[[#This Row],[out]]-stayWB[[#This Row],[in]]</f>
        <v/>
      </c>
      <c r="BG88" s="1400">
        <f>IF(BB88&lt;&gt;"",BG87+1,BG87)</f>
        <v/>
      </c>
      <c r="BH88" s="1398" t="inlineStr">
        <is>
          <t>.</t>
        </is>
      </c>
      <c r="BI88" s="1402" t="inlineStr">
        <is>
          <t>FRA</t>
        </is>
      </c>
      <c r="BJ88" s="1402" t="n">
        <v>1998</v>
      </c>
      <c r="BK88" s="1400">
        <f>BI88</f>
        <v/>
      </c>
      <c r="BL88" s="1409">
        <f>BJ88</f>
        <v/>
      </c>
      <c r="BM88" s="1378" t="inlineStr">
        <is>
          <t>.</t>
        </is>
      </c>
      <c r="BN88" s="1402" t="inlineStr">
        <is>
          <t>N</t>
        </is>
      </c>
      <c r="BO88" s="1400">
        <f>BN88</f>
        <v/>
      </c>
      <c r="BP88" s="1398" t="inlineStr">
        <is>
          <t>.</t>
        </is>
      </c>
      <c r="BQ88" s="1400">
        <f>IF(BR88&lt;&gt;"",BQ87+1,BQ87)</f>
        <v/>
      </c>
      <c r="BR88" s="1411" t="inlineStr">
        <is>
          <t>London</t>
        </is>
      </c>
      <c r="BS88" s="1411" t="inlineStr">
        <is>
          <t>Lisbon</t>
        </is>
      </c>
      <c r="BT88" s="1412" t="inlineStr">
        <is>
          <t>London-Lisbon</t>
        </is>
      </c>
      <c r="BU88" s="1412" t="n">
        <v>36320</v>
      </c>
      <c r="BV88" s="1398" t="inlineStr">
        <is>
          <t>.</t>
        </is>
      </c>
      <c r="BW88" s="1392" t="n"/>
      <c r="BX88" s="1392" t="n"/>
      <c r="BY88" s="1392" t="n"/>
      <c r="BZ88" s="1416" t="n"/>
      <c r="CA88" s="1392" t="n"/>
      <c r="CB88" s="1398" t="inlineStr">
        <is>
          <t>.</t>
        </is>
      </c>
      <c r="CC88" s="1400">
        <f>IF(CD88&lt;&gt;"",CC87+1,CC87)</f>
        <v/>
      </c>
      <c r="CD88" s="1411" t="inlineStr">
        <is>
          <t>Thomas/Tufnell</t>
        </is>
      </c>
      <c r="CE88" s="1412" t="n">
        <v>37978</v>
      </c>
      <c r="CF88" s="1412" t="n">
        <v>37989</v>
      </c>
      <c r="CG88" s="1415">
        <f>CF88-CE88</f>
        <v/>
      </c>
      <c r="CH88" s="1398" t="inlineStr">
        <is>
          <t>.</t>
        </is>
      </c>
      <c r="CI88" s="1392" t="n"/>
      <c r="CJ88" s="1392" t="n"/>
      <c r="CK88" s="1392" t="n"/>
      <c r="CL88" s="1392" t="n"/>
    </row>
    <row r="89">
      <c r="A89" s="5" t="inlineStr">
        <is>
          <t>.</t>
        </is>
      </c>
      <c r="B89" s="5" t="inlineStr">
        <is>
          <t>.</t>
        </is>
      </c>
      <c r="C89" s="1378">
        <f>IF(raw[[#This Row],[city]]="","-",IF(raw[[#This Row],[city]]="TODAY","-",C88+1))</f>
        <v/>
      </c>
      <c r="D89" s="1393" t="inlineStr">
        <is>
          <t>SSA</t>
        </is>
      </c>
      <c r="E89" s="1394" t="n">
        <v>30317</v>
      </c>
      <c r="F89" s="1394" t="n">
        <v>30682</v>
      </c>
      <c r="G89" s="1393" t="inlineStr">
        <is>
          <t>-</t>
        </is>
      </c>
      <c r="H89" s="1393">
        <f>H88</f>
        <v/>
      </c>
      <c r="I89" s="1393" t="inlineStr">
        <is>
          <t>-</t>
        </is>
      </c>
      <c r="J89" s="1393" t="inlineStr">
        <is>
          <t>REV</t>
        </is>
      </c>
      <c r="K89" s="1395">
        <f>IF(raw[[#This Row],[city]]&lt;&gt;"",_xlfn.XLOOKUP($D89,ccc[city],ccc[prov],"-"),"-")</f>
        <v/>
      </c>
      <c r="L89" s="1395">
        <f>IF(raw[[#This Row],[city]]&lt;&gt;"",_xlfn.XLOOKUP($D89,ccc[city],ccc[ctry],"-"),"-")</f>
        <v/>
      </c>
      <c r="M89" s="1395">
        <f>IF(raw[[#This Row],[city]]&lt;&gt;"",_xlfn.XLOOKUP($D89,ccc[city],ccc[cont],"-"),"-")</f>
        <v/>
      </c>
      <c r="N89" s="1396">
        <f>IF(raw[[#This Row],[city]]="","-",IF(raw[[#This Row],[cont]]="B",raw[[#This Row],[cont]],"W"))</f>
        <v/>
      </c>
      <c r="O89" s="1397">
        <f>IF(raw[[#This Row],[out]]=0,0,IF(raw[[#This Row],[out]]=raw[[#This Row],[in]],0.01,raw[[#This Row],[out]]-raw[[#This Row],[in]]))</f>
        <v/>
      </c>
      <c r="P89" s="1397">
        <f>IF(raw[[#This Row],[in]]=0,0,MONTH(raw[[#This Row],[in]]))</f>
        <v/>
      </c>
      <c r="Q89" s="1397">
        <f>IF(raw[[#This Row],[in]]=0,0,YEAR(raw[[#This Row],[in]]))</f>
        <v/>
      </c>
      <c r="R89" s="1397">
        <f>INT(raw[[#This Row],[yr]]/10)*10</f>
        <v/>
      </c>
      <c r="S89" s="1395">
        <f>IF(raw[[#This Row],[city]]="","-",IF(raw[[#This Row],[city]]&lt;&gt;_xlfn.XLOOKUP(raw[[#This Row],[home]],homes[home],homes[city],"-"),1,0))</f>
        <v/>
      </c>
      <c r="T89" s="1398" t="inlineStr">
        <is>
          <t>.</t>
        </is>
      </c>
      <c r="U89" s="1399">
        <f>IF(raw[[#This Row],[wb]]="w",raw[[#This Row],[stay]]+U88,U88)</f>
        <v/>
      </c>
      <c r="V89" s="1400">
        <f>IF(raw[[#This Row],[out]]=0,V88,(raw[[#This Row],[out]]-E$5))</f>
        <v/>
      </c>
      <c r="W89" s="1401">
        <f>U89/V89</f>
        <v/>
      </c>
      <c r="X89" s="1378" t="inlineStr">
        <is>
          <t>.</t>
        </is>
      </c>
      <c r="Y89" s="1402">
        <f/>
        <v/>
      </c>
      <c r="Z89" s="1403">
        <f/>
        <v/>
      </c>
      <c r="AA89" s="1403">
        <f/>
        <v/>
      </c>
      <c r="AB89" s="1400">
        <f t="array" ref="AB89">_xlfn.LET(_xlpm.S,_xlfn.ANCHORARRAY($Y$4),_xlpm.r,ROWS(stayCity[[#Headers],[city]]:stayCity[[#This Row],[city]])-1,IF(_xlpm.r&lt;=ROWS(_xlpm.S),INDEX(_xlpm.S,_xlpm.r,1),""))</f>
        <v/>
      </c>
      <c r="AC89" s="1405">
        <f t="array" ref="AC89">_xlfn.LET(_xlpm.S,_xlfn.ANCHORARRAY($Y$4),_xlpm.r,ROWS(stayCity[[#Headers],[city]]:stayCity[[#This Row],[city]])-1,IF(_xlpm.r&lt;=ROWS(_xlpm.S),INDEX(_xlpm.S,_xlpm.r,2),""))</f>
        <v/>
      </c>
      <c r="AD89" s="1405">
        <f t="array" ref="AD89">_xlfn.LET(_xlpm.S,_xlfn.ANCHORARRAY($Y$4),_xlpm.r,ROWS(stayCity[[#Headers],[city]]:stayCity[[#This Row],[city]])-1,IF(_xlpm.r&lt;=ROWS(_xlpm.S),INDEX(_xlpm.S,_xlpm.r,3),""))</f>
        <v/>
      </c>
      <c r="AE89" s="1400">
        <f>IF(stayCity[[#This Row],[out]]&lt;&gt;"",stayCity[[#This Row],[out]]-stayCity[[#This Row],[in]],"-")</f>
        <v/>
      </c>
      <c r="AF89" s="1406">
        <f>IF(Y89="","-",YEAR(stayCity[[#This Row],[in]]))</f>
        <v/>
      </c>
      <c r="AG89" s="1398" t="inlineStr">
        <is>
          <t>.</t>
        </is>
      </c>
      <c r="AH89" s="1402">
        <f/>
        <v/>
      </c>
      <c r="AI89" s="1403">
        <f/>
        <v/>
      </c>
      <c r="AJ89" s="1403">
        <f/>
        <v/>
      </c>
      <c r="AK89" s="1400">
        <f>IF(AH89="","-",AH89)</f>
        <v/>
      </c>
      <c r="AL89" s="1405">
        <f>AI89</f>
        <v/>
      </c>
      <c r="AM89" s="1405">
        <f>AJ89</f>
        <v/>
      </c>
      <c r="AN89" s="1400">
        <f>stayCtry[[#This Row],[out]]-stayCtry[[#This Row],[in]]</f>
        <v/>
      </c>
      <c r="AO89" s="1406">
        <f>IF(AI89&lt;&gt;"",AO88+1,AO88)</f>
        <v/>
      </c>
      <c r="AP89" s="1398" t="inlineStr">
        <is>
          <t>.</t>
        </is>
      </c>
      <c r="AQ89" s="1402">
        <f/>
        <v/>
      </c>
      <c r="AR89" s="1403">
        <f/>
        <v/>
      </c>
      <c r="AS89" s="1403">
        <f/>
        <v/>
      </c>
      <c r="AT89" s="1400">
        <f>AQ89</f>
        <v/>
      </c>
      <c r="AU89" s="1405">
        <f>AR89</f>
        <v/>
      </c>
      <c r="AV89" s="1405">
        <f>AS89</f>
        <v/>
      </c>
      <c r="AW89" s="1400">
        <f>stayCont[[#This Row],[out]]-stayCont[[#This Row],[in]]</f>
        <v/>
      </c>
      <c r="AX89" s="1406">
        <f>IF(AR89&lt;&gt;"",AX88+1,AX88)</f>
        <v/>
      </c>
      <c r="AY89" s="1398" t="inlineStr">
        <is>
          <t>.</t>
        </is>
      </c>
      <c r="AZ89" s="1402" t="n"/>
      <c r="BA89" s="1403" t="n"/>
      <c r="BB89" s="1403" t="n"/>
      <c r="BC89" s="1405">
        <f>AZ89</f>
        <v/>
      </c>
      <c r="BD89" s="1405">
        <f>BA89</f>
        <v/>
      </c>
      <c r="BE89" s="1405">
        <f>BB89</f>
        <v/>
      </c>
      <c r="BF89" s="1400">
        <f>stayWB[[#This Row],[out]]-stayWB[[#This Row],[in]]</f>
        <v/>
      </c>
      <c r="BG89" s="1400">
        <f>IF(BB89&lt;&gt;"",BG88+1,BG88)</f>
        <v/>
      </c>
      <c r="BH89" s="1398" t="inlineStr">
        <is>
          <t>.</t>
        </is>
      </c>
      <c r="BI89" s="1402" t="inlineStr">
        <is>
          <t>UK</t>
        </is>
      </c>
      <c r="BJ89" s="1402" t="n">
        <v>1998</v>
      </c>
      <c r="BK89" s="1400">
        <f>BI89</f>
        <v/>
      </c>
      <c r="BL89" s="1409">
        <f>BJ89</f>
        <v/>
      </c>
      <c r="BM89" s="1378" t="inlineStr">
        <is>
          <t>.</t>
        </is>
      </c>
      <c r="BN89" s="1402" t="inlineStr">
        <is>
          <t>Z</t>
        </is>
      </c>
      <c r="BO89" s="1400">
        <f>BN89</f>
        <v/>
      </c>
      <c r="BP89" s="1398" t="inlineStr">
        <is>
          <t>.</t>
        </is>
      </c>
      <c r="BQ89" s="1400">
        <f>IF(BR89&lt;&gt;"",BQ88+1,BQ88)</f>
        <v/>
      </c>
      <c r="BR89" s="1411" t="inlineStr">
        <is>
          <t>Lisbon</t>
        </is>
      </c>
      <c r="BS89" s="1411" t="inlineStr">
        <is>
          <t>SSA</t>
        </is>
      </c>
      <c r="BT89" s="1412" t="inlineStr">
        <is>
          <t>Lisbon-SSA</t>
        </is>
      </c>
      <c r="BU89" s="1412" t="n">
        <v>36320</v>
      </c>
      <c r="BV89" s="1398" t="inlineStr">
        <is>
          <t>.</t>
        </is>
      </c>
      <c r="BW89" s="1392" t="n"/>
      <c r="BX89" s="1392" t="n"/>
      <c r="BY89" s="1392" t="n"/>
      <c r="BZ89" s="1416" t="n"/>
      <c r="CA89" s="1392" t="n"/>
      <c r="CB89" s="1398" t="inlineStr">
        <is>
          <t>.</t>
        </is>
      </c>
      <c r="CC89" s="1400">
        <f>IF(CD89&lt;&gt;"",CC88+1,CC88)</f>
        <v/>
      </c>
      <c r="CD89" s="1411" t="inlineStr">
        <is>
          <t>David's</t>
        </is>
      </c>
      <c r="CE89" s="1412" t="n">
        <v>37997</v>
      </c>
      <c r="CF89" s="1412" t="n">
        <v>37998</v>
      </c>
      <c r="CG89" s="1415">
        <f>CF89-CE89</f>
        <v/>
      </c>
      <c r="CH89" s="1398" t="inlineStr">
        <is>
          <t>.</t>
        </is>
      </c>
      <c r="CI89" s="1392" t="n"/>
      <c r="CJ89" s="1392" t="n"/>
      <c r="CK89" s="1392" t="n"/>
      <c r="CL89" s="1392" t="n"/>
    </row>
    <row r="90">
      <c r="A90" s="5" t="inlineStr">
        <is>
          <t>.</t>
        </is>
      </c>
      <c r="B90" s="5" t="inlineStr">
        <is>
          <t>.</t>
        </is>
      </c>
      <c r="C90" s="1378">
        <f>IF(raw[[#This Row],[city]]="","-",IF(raw[[#This Row],[city]]="TODAY","-",C89+1))</f>
        <v/>
      </c>
      <c r="D90" s="1393" t="inlineStr">
        <is>
          <t>SSA</t>
        </is>
      </c>
      <c r="E90" s="1394" t="n">
        <v>30682</v>
      </c>
      <c r="F90" s="1394" t="n">
        <v>30713</v>
      </c>
      <c r="G90" s="1393" t="n">
        <v>1</v>
      </c>
      <c r="H90" s="1393">
        <f>H89</f>
        <v/>
      </c>
      <c r="I90" s="1393" t="inlineStr">
        <is>
          <t>-</t>
        </is>
      </c>
      <c r="J90" s="1393" t="inlineStr">
        <is>
          <t>REV</t>
        </is>
      </c>
      <c r="K90" s="1395">
        <f>IF(raw[[#This Row],[city]]&lt;&gt;"",_xlfn.XLOOKUP($D90,ccc[city],ccc[prov],"-"),"-")</f>
        <v/>
      </c>
      <c r="L90" s="1395">
        <f>IF(raw[[#This Row],[city]]&lt;&gt;"",_xlfn.XLOOKUP($D90,ccc[city],ccc[ctry],"-"),"-")</f>
        <v/>
      </c>
      <c r="M90" s="1395">
        <f>IF(raw[[#This Row],[city]]&lt;&gt;"",_xlfn.XLOOKUP($D90,ccc[city],ccc[cont],"-"),"-")</f>
        <v/>
      </c>
      <c r="N90" s="1396">
        <f>IF(raw[[#This Row],[city]]="","-",IF(raw[[#This Row],[cont]]="B",raw[[#This Row],[cont]],"W"))</f>
        <v/>
      </c>
      <c r="O90" s="1397">
        <f>IF(raw[[#This Row],[out]]=0,0,IF(raw[[#This Row],[out]]=raw[[#This Row],[in]],0.01,raw[[#This Row],[out]]-raw[[#This Row],[in]]))</f>
        <v/>
      </c>
      <c r="P90" s="1397">
        <f>IF(raw[[#This Row],[in]]=0,0,MONTH(raw[[#This Row],[in]]))</f>
        <v/>
      </c>
      <c r="Q90" s="1397">
        <f>IF(raw[[#This Row],[in]]=0,0,YEAR(raw[[#This Row],[in]]))</f>
        <v/>
      </c>
      <c r="R90" s="1397">
        <f>INT(raw[[#This Row],[yr]]/10)*10</f>
        <v/>
      </c>
      <c r="S90" s="1395">
        <f>IF(raw[[#This Row],[city]]="","-",IF(raw[[#This Row],[city]]&lt;&gt;_xlfn.XLOOKUP(raw[[#This Row],[home]],homes[home],homes[city],"-"),1,0))</f>
        <v/>
      </c>
      <c r="T90" s="1398" t="inlineStr">
        <is>
          <t>.</t>
        </is>
      </c>
      <c r="U90" s="1399">
        <f>IF(raw[[#This Row],[wb]]="w",raw[[#This Row],[stay]]+U89,U89)</f>
        <v/>
      </c>
      <c r="V90" s="1400">
        <f>IF(raw[[#This Row],[out]]=0,V89,(raw[[#This Row],[out]]-E$5))</f>
        <v/>
      </c>
      <c r="W90" s="1401">
        <f>U90/V90</f>
        <v/>
      </c>
      <c r="X90" s="1378" t="inlineStr">
        <is>
          <t>.</t>
        </is>
      </c>
      <c r="Y90" s="1402">
        <f/>
        <v/>
      </c>
      <c r="Z90" s="1403">
        <f/>
        <v/>
      </c>
      <c r="AA90" s="1403">
        <f/>
        <v/>
      </c>
      <c r="AB90" s="1400">
        <f t="array" ref="AB90">_xlfn.LET(_xlpm.S,_xlfn.ANCHORARRAY($Y$4),_xlpm.r,ROWS(stayCity[[#Headers],[city]]:stayCity[[#This Row],[city]])-1,IF(_xlpm.r&lt;=ROWS(_xlpm.S),INDEX(_xlpm.S,_xlpm.r,1),""))</f>
        <v/>
      </c>
      <c r="AC90" s="1405">
        <f t="array" ref="AC90">_xlfn.LET(_xlpm.S,_xlfn.ANCHORARRAY($Y$4),_xlpm.r,ROWS(stayCity[[#Headers],[city]]:stayCity[[#This Row],[city]])-1,IF(_xlpm.r&lt;=ROWS(_xlpm.S),INDEX(_xlpm.S,_xlpm.r,2),""))</f>
        <v/>
      </c>
      <c r="AD90" s="1405">
        <f t="array" ref="AD90">_xlfn.LET(_xlpm.S,_xlfn.ANCHORARRAY($Y$4),_xlpm.r,ROWS(stayCity[[#Headers],[city]]:stayCity[[#This Row],[city]])-1,IF(_xlpm.r&lt;=ROWS(_xlpm.S),INDEX(_xlpm.S,_xlpm.r,3),""))</f>
        <v/>
      </c>
      <c r="AE90" s="1400">
        <f>IF(stayCity[[#This Row],[out]]&lt;&gt;"",stayCity[[#This Row],[out]]-stayCity[[#This Row],[in]],"-")</f>
        <v/>
      </c>
      <c r="AF90" s="1406">
        <f>IF(Y90="","-",YEAR(stayCity[[#This Row],[in]]))</f>
        <v/>
      </c>
      <c r="AG90" s="1398" t="inlineStr">
        <is>
          <t>.</t>
        </is>
      </c>
      <c r="AH90" s="1402">
        <f/>
        <v/>
      </c>
      <c r="AI90" s="1403">
        <f/>
        <v/>
      </c>
      <c r="AJ90" s="1403">
        <f/>
        <v/>
      </c>
      <c r="AK90" s="1400">
        <f>IF(AH90="","-",AH90)</f>
        <v/>
      </c>
      <c r="AL90" s="1405">
        <f>AI90</f>
        <v/>
      </c>
      <c r="AM90" s="1405">
        <f>AJ90</f>
        <v/>
      </c>
      <c r="AN90" s="1400">
        <f>stayCtry[[#This Row],[out]]-stayCtry[[#This Row],[in]]</f>
        <v/>
      </c>
      <c r="AO90" s="1406">
        <f>IF(AI90&lt;&gt;"",AO89+1,AO89)</f>
        <v/>
      </c>
      <c r="AP90" s="1398" t="inlineStr">
        <is>
          <t>.</t>
        </is>
      </c>
      <c r="AQ90" s="1402">
        <f/>
        <v/>
      </c>
      <c r="AR90" s="1403">
        <f/>
        <v/>
      </c>
      <c r="AS90" s="1403">
        <f/>
        <v/>
      </c>
      <c r="AT90" s="1400">
        <f>AQ90</f>
        <v/>
      </c>
      <c r="AU90" s="1405">
        <f>AR90</f>
        <v/>
      </c>
      <c r="AV90" s="1405">
        <f>AS90</f>
        <v/>
      </c>
      <c r="AW90" s="1400">
        <f>stayCont[[#This Row],[out]]-stayCont[[#This Row],[in]]</f>
        <v/>
      </c>
      <c r="AX90" s="1406">
        <f>IF(AR90&lt;&gt;"",AX89+1,AX89)</f>
        <v/>
      </c>
      <c r="AY90" s="1398" t="inlineStr">
        <is>
          <t>.</t>
        </is>
      </c>
      <c r="AZ90" s="1402" t="n"/>
      <c r="BA90" s="1403" t="n"/>
      <c r="BB90" s="1403" t="n"/>
      <c r="BC90" s="1405">
        <f>AZ90</f>
        <v/>
      </c>
      <c r="BD90" s="1405">
        <f>BA90</f>
        <v/>
      </c>
      <c r="BE90" s="1405">
        <f>BB90</f>
        <v/>
      </c>
      <c r="BF90" s="1400">
        <f>stayWB[[#This Row],[out]]-stayWB[[#This Row],[in]]</f>
        <v/>
      </c>
      <c r="BG90" s="1400">
        <f>IF(BB90&lt;&gt;"",BG89+1,BG89)</f>
        <v/>
      </c>
      <c r="BH90" s="1398" t="inlineStr">
        <is>
          <t>.</t>
        </is>
      </c>
      <c r="BI90" s="1402" t="inlineStr">
        <is>
          <t>FRA</t>
        </is>
      </c>
      <c r="BJ90" s="1402" t="n">
        <v>1998</v>
      </c>
      <c r="BK90" s="1400">
        <f>BI90</f>
        <v/>
      </c>
      <c r="BL90" s="1409">
        <f>BJ90</f>
        <v/>
      </c>
      <c r="BM90" s="1378" t="inlineStr">
        <is>
          <t>.</t>
        </is>
      </c>
      <c r="BN90" s="1402" t="inlineStr">
        <is>
          <t>N</t>
        </is>
      </c>
      <c r="BO90" s="1400">
        <f>BN90</f>
        <v/>
      </c>
      <c r="BP90" s="1398" t="inlineStr">
        <is>
          <t>.</t>
        </is>
      </c>
      <c r="BQ90" s="1400">
        <f>IF(BR90&lt;&gt;"",BQ89+1,BQ89)</f>
        <v/>
      </c>
      <c r="BR90" s="1411" t="inlineStr">
        <is>
          <t>SSA</t>
        </is>
      </c>
      <c r="BS90" s="1411" t="inlineStr">
        <is>
          <t>SP</t>
        </is>
      </c>
      <c r="BT90" s="1412" t="inlineStr">
        <is>
          <t>SSA-SP</t>
        </is>
      </c>
      <c r="BU90" s="1412" t="n">
        <v>36420</v>
      </c>
      <c r="BV90" s="1398" t="inlineStr">
        <is>
          <t>.</t>
        </is>
      </c>
      <c r="BW90" s="1392" t="n"/>
      <c r="BX90" s="1392" t="n"/>
      <c r="BY90" s="1392" t="n"/>
      <c r="BZ90" s="1416" t="n"/>
      <c r="CA90" s="1392" t="n"/>
      <c r="CB90" s="1398" t="inlineStr">
        <is>
          <t>.</t>
        </is>
      </c>
      <c r="CC90" s="1400">
        <f>IF(CD90&lt;&gt;"",CC89+1,CC89)</f>
        <v/>
      </c>
      <c r="CD90" s="1411" t="inlineStr">
        <is>
          <t>Alexandre/Brooklin</t>
        </is>
      </c>
      <c r="CE90" s="1412" t="n">
        <v>38015</v>
      </c>
      <c r="CF90" s="1412" t="n">
        <v>38018</v>
      </c>
      <c r="CG90" s="1415">
        <f>CF90-CE90</f>
        <v/>
      </c>
      <c r="CH90" s="1398" t="inlineStr">
        <is>
          <t>.</t>
        </is>
      </c>
      <c r="CI90" s="1392" t="n"/>
      <c r="CJ90" s="1392" t="n"/>
      <c r="CK90" s="1392" t="n"/>
      <c r="CL90" s="1392" t="n"/>
    </row>
    <row r="91">
      <c r="A91" s="5" t="inlineStr">
        <is>
          <t>.</t>
        </is>
      </c>
      <c r="B91" s="5" t="inlineStr">
        <is>
          <t>.</t>
        </is>
      </c>
      <c r="C91" s="1378">
        <f>IF(raw[[#This Row],[city]]="","-",IF(raw[[#This Row],[city]]="TODAY","-",C90+1))</f>
        <v/>
      </c>
      <c r="D91" s="1393" t="inlineStr">
        <is>
          <t>Lisbon</t>
        </is>
      </c>
      <c r="E91" s="1394" t="n">
        <v>30713</v>
      </c>
      <c r="F91" s="1394" t="n">
        <v>30714</v>
      </c>
      <c r="G91" s="1393" t="n">
        <v>1</v>
      </c>
      <c r="H91" s="1393">
        <f>H90</f>
        <v/>
      </c>
      <c r="I91" s="1393" t="inlineStr">
        <is>
          <t>-</t>
        </is>
      </c>
      <c r="J91" s="1393" t="inlineStr">
        <is>
          <t>-</t>
        </is>
      </c>
      <c r="K91" s="1395">
        <f>IF(raw[[#This Row],[city]]&lt;&gt;"",_xlfn.XLOOKUP($D91,ccc[city],ccc[prov],"-"),"-")</f>
        <v/>
      </c>
      <c r="L91" s="1395">
        <f>IF(raw[[#This Row],[city]]&lt;&gt;"",_xlfn.XLOOKUP($D91,ccc[city],ccc[ctry],"-"),"-")</f>
        <v/>
      </c>
      <c r="M91" s="1395">
        <f>IF(raw[[#This Row],[city]]&lt;&gt;"",_xlfn.XLOOKUP($D91,ccc[city],ccc[cont],"-"),"-")</f>
        <v/>
      </c>
      <c r="N91" s="1396">
        <f>IF(raw[[#This Row],[city]]="","-",IF(raw[[#This Row],[cont]]="B",raw[[#This Row],[cont]],"W"))</f>
        <v/>
      </c>
      <c r="O91" s="1397">
        <f>IF(raw[[#This Row],[out]]=0,0,IF(raw[[#This Row],[out]]=raw[[#This Row],[in]],0.01,raw[[#This Row],[out]]-raw[[#This Row],[in]]))</f>
        <v/>
      </c>
      <c r="P91" s="1397">
        <f>IF(raw[[#This Row],[in]]=0,0,MONTH(raw[[#This Row],[in]]))</f>
        <v/>
      </c>
      <c r="Q91" s="1397">
        <f>IF(raw[[#This Row],[in]]=0,0,YEAR(raw[[#This Row],[in]]))</f>
        <v/>
      </c>
      <c r="R91" s="1397">
        <f>INT(raw[[#This Row],[yr]]/10)*10</f>
        <v/>
      </c>
      <c r="S91" s="1395">
        <f>IF(raw[[#This Row],[city]]="","-",IF(raw[[#This Row],[city]]&lt;&gt;_xlfn.XLOOKUP(raw[[#This Row],[home]],homes[home],homes[city],"-"),1,0))</f>
        <v/>
      </c>
      <c r="T91" s="1398" t="inlineStr">
        <is>
          <t>.</t>
        </is>
      </c>
      <c r="U91" s="1399">
        <f>IF(raw[[#This Row],[wb]]="w",raw[[#This Row],[stay]]+U90,U90)</f>
        <v/>
      </c>
      <c r="V91" s="1400">
        <f>IF(raw[[#This Row],[out]]=0,V90,(raw[[#This Row],[out]]-E$5))</f>
        <v/>
      </c>
      <c r="W91" s="1401">
        <f>U91/V91</f>
        <v/>
      </c>
      <c r="X91" s="1378" t="inlineStr">
        <is>
          <t>.</t>
        </is>
      </c>
      <c r="Y91" s="1402">
        <f/>
        <v/>
      </c>
      <c r="Z91" s="1403">
        <f/>
        <v/>
      </c>
      <c r="AA91" s="1403">
        <f/>
        <v/>
      </c>
      <c r="AB91" s="1400">
        <f t="array" ref="AB91">_xlfn.LET(_xlpm.S,_xlfn.ANCHORARRAY($Y$4),_xlpm.r,ROWS(stayCity[[#Headers],[city]]:stayCity[[#This Row],[city]])-1,IF(_xlpm.r&lt;=ROWS(_xlpm.S),INDEX(_xlpm.S,_xlpm.r,1),""))</f>
        <v/>
      </c>
      <c r="AC91" s="1405">
        <f t="array" ref="AC91">_xlfn.LET(_xlpm.S,_xlfn.ANCHORARRAY($Y$4),_xlpm.r,ROWS(stayCity[[#Headers],[city]]:stayCity[[#This Row],[city]])-1,IF(_xlpm.r&lt;=ROWS(_xlpm.S),INDEX(_xlpm.S,_xlpm.r,2),""))</f>
        <v/>
      </c>
      <c r="AD91" s="1405">
        <f t="array" ref="AD91">_xlfn.LET(_xlpm.S,_xlfn.ANCHORARRAY($Y$4),_xlpm.r,ROWS(stayCity[[#Headers],[city]]:stayCity[[#This Row],[city]])-1,IF(_xlpm.r&lt;=ROWS(_xlpm.S),INDEX(_xlpm.S,_xlpm.r,3),""))</f>
        <v/>
      </c>
      <c r="AE91" s="1400">
        <f>IF(stayCity[[#This Row],[out]]&lt;&gt;"",stayCity[[#This Row],[out]]-stayCity[[#This Row],[in]],"-")</f>
        <v/>
      </c>
      <c r="AF91" s="1406">
        <f>IF(Y91="","-",YEAR(stayCity[[#This Row],[in]]))</f>
        <v/>
      </c>
      <c r="AG91" s="1398" t="inlineStr">
        <is>
          <t>.</t>
        </is>
      </c>
      <c r="AH91" s="1402">
        <f/>
        <v/>
      </c>
      <c r="AI91" s="1403">
        <f/>
        <v/>
      </c>
      <c r="AJ91" s="1403">
        <f/>
        <v/>
      </c>
      <c r="AK91" s="1400">
        <f>IF(AH91="","-",AH91)</f>
        <v/>
      </c>
      <c r="AL91" s="1405">
        <f>AI91</f>
        <v/>
      </c>
      <c r="AM91" s="1405">
        <f>AJ91</f>
        <v/>
      </c>
      <c r="AN91" s="1400">
        <f>stayCtry[[#This Row],[out]]-stayCtry[[#This Row],[in]]</f>
        <v/>
      </c>
      <c r="AO91" s="1406">
        <f>IF(AI91&lt;&gt;"",AO90+1,AO90)</f>
        <v/>
      </c>
      <c r="AP91" s="1398" t="inlineStr">
        <is>
          <t>.</t>
        </is>
      </c>
      <c r="AQ91" s="1402">
        <f/>
        <v/>
      </c>
      <c r="AR91" s="1403">
        <f/>
        <v/>
      </c>
      <c r="AS91" s="1403">
        <f/>
        <v/>
      </c>
      <c r="AT91" s="1400">
        <f>AQ91</f>
        <v/>
      </c>
      <c r="AU91" s="1405">
        <f>AR91</f>
        <v/>
      </c>
      <c r="AV91" s="1405">
        <f>AS91</f>
        <v/>
      </c>
      <c r="AW91" s="1400">
        <f>stayCont[[#This Row],[out]]-stayCont[[#This Row],[in]]</f>
        <v/>
      </c>
      <c r="AX91" s="1406">
        <f>IF(AR91&lt;&gt;"",AX90+1,AX90)</f>
        <v/>
      </c>
      <c r="AY91" s="1398" t="inlineStr">
        <is>
          <t>.</t>
        </is>
      </c>
      <c r="AZ91" s="1402" t="n"/>
      <c r="BA91" s="1403" t="n"/>
      <c r="BB91" s="1403" t="n"/>
      <c r="BC91" s="1405">
        <f>AZ91</f>
        <v/>
      </c>
      <c r="BD91" s="1405">
        <f>BA91</f>
        <v/>
      </c>
      <c r="BE91" s="1405">
        <f>BB91</f>
        <v/>
      </c>
      <c r="BF91" s="1400">
        <f>stayWB[[#This Row],[out]]-stayWB[[#This Row],[in]]</f>
        <v/>
      </c>
      <c r="BG91" s="1400">
        <f>IF(BB91&lt;&gt;"",BG90+1,BG90)</f>
        <v/>
      </c>
      <c r="BH91" s="1398" t="inlineStr">
        <is>
          <t>.</t>
        </is>
      </c>
      <c r="BI91" s="1402" t="inlineStr">
        <is>
          <t>LUX</t>
        </is>
      </c>
      <c r="BJ91" s="1402" t="n">
        <v>1998</v>
      </c>
      <c r="BK91" s="1400">
        <f>BI91</f>
        <v/>
      </c>
      <c r="BL91" s="1409">
        <f>BJ91</f>
        <v/>
      </c>
      <c r="BM91" s="1378" t="inlineStr">
        <is>
          <t>.</t>
        </is>
      </c>
      <c r="BN91" s="1402" t="inlineStr">
        <is>
          <t>Z</t>
        </is>
      </c>
      <c r="BO91" s="1400">
        <f>BN91</f>
        <v/>
      </c>
      <c r="BP91" s="1398" t="inlineStr">
        <is>
          <t>.</t>
        </is>
      </c>
      <c r="BQ91" s="1400">
        <f>IF(BR91&lt;&gt;"",BQ90+1,BQ90)</f>
        <v/>
      </c>
      <c r="BR91" s="1411" t="inlineStr">
        <is>
          <t>SP</t>
        </is>
      </c>
      <c r="BS91" s="1411" t="inlineStr">
        <is>
          <t>SSA</t>
        </is>
      </c>
      <c r="BT91" s="1412" t="inlineStr">
        <is>
          <t>SP-SSA</t>
        </is>
      </c>
      <c r="BU91" s="1412" t="n">
        <v>36435</v>
      </c>
      <c r="BV91" s="1398" t="inlineStr">
        <is>
          <t>.</t>
        </is>
      </c>
      <c r="BW91" s="1392" t="n"/>
      <c r="BX91" s="1392" t="n"/>
      <c r="BY91" s="1392" t="n"/>
      <c r="BZ91" s="1416" t="n"/>
      <c r="CA91" s="1392" t="n"/>
      <c r="CB91" s="1398" t="inlineStr">
        <is>
          <t>.</t>
        </is>
      </c>
      <c r="CC91" s="1400">
        <f>IF(CD91&lt;&gt;"",CC90+1,CC90)</f>
        <v/>
      </c>
      <c r="CD91" s="1411" t="inlineStr">
        <is>
          <t>Salto Grande</t>
        </is>
      </c>
      <c r="CE91" s="1412" t="n">
        <v>38019</v>
      </c>
      <c r="CF91" s="1412" t="n">
        <v>38022</v>
      </c>
      <c r="CG91" s="1415">
        <f>CF91-CE91</f>
        <v/>
      </c>
      <c r="CH91" s="1398" t="inlineStr">
        <is>
          <t>.</t>
        </is>
      </c>
      <c r="CI91" s="1392" t="n"/>
      <c r="CJ91" s="1392" t="n"/>
      <c r="CK91" s="1392" t="n"/>
      <c r="CL91" s="1392" t="n"/>
    </row>
    <row r="92">
      <c r="A92" s="5" t="inlineStr">
        <is>
          <t>.</t>
        </is>
      </c>
      <c r="B92" s="5" t="inlineStr">
        <is>
          <t>.</t>
        </is>
      </c>
      <c r="C92" s="1378">
        <f>IF(raw[[#This Row],[city]]="","-",IF(raw[[#This Row],[city]]="TODAY","-",C91+1))</f>
        <v/>
      </c>
      <c r="D92" s="1393" t="inlineStr">
        <is>
          <t>Rome</t>
        </is>
      </c>
      <c r="E92" s="1394" t="n">
        <v>30714</v>
      </c>
      <c r="F92" s="1394" t="n">
        <v>30718</v>
      </c>
      <c r="G92" s="1393" t="inlineStr">
        <is>
          <t>-</t>
        </is>
      </c>
      <c r="H92" s="1393">
        <f>H91</f>
        <v/>
      </c>
      <c r="I92" s="1393" t="inlineStr">
        <is>
          <t>-</t>
        </is>
      </c>
      <c r="J92" s="1393" t="inlineStr">
        <is>
          <t>-</t>
        </is>
      </c>
      <c r="K92" s="1395">
        <f>IF(raw[[#This Row],[city]]&lt;&gt;"",_xlfn.XLOOKUP($D92,ccc[city],ccc[prov],"-"),"-")</f>
        <v/>
      </c>
      <c r="L92" s="1395">
        <f>IF(raw[[#This Row],[city]]&lt;&gt;"",_xlfn.XLOOKUP($D92,ccc[city],ccc[ctry],"-"),"-")</f>
        <v/>
      </c>
      <c r="M92" s="1395">
        <f>IF(raw[[#This Row],[city]]&lt;&gt;"",_xlfn.XLOOKUP($D92,ccc[city],ccc[cont],"-"),"-")</f>
        <v/>
      </c>
      <c r="N92" s="1396">
        <f>IF(raw[[#This Row],[city]]="","-",IF(raw[[#This Row],[cont]]="B",raw[[#This Row],[cont]],"W"))</f>
        <v/>
      </c>
      <c r="O92" s="1397">
        <f>IF(raw[[#This Row],[out]]=0,0,IF(raw[[#This Row],[out]]=raw[[#This Row],[in]],0.01,raw[[#This Row],[out]]-raw[[#This Row],[in]]))</f>
        <v/>
      </c>
      <c r="P92" s="1397">
        <f>IF(raw[[#This Row],[in]]=0,0,MONTH(raw[[#This Row],[in]]))</f>
        <v/>
      </c>
      <c r="Q92" s="1397">
        <f>IF(raw[[#This Row],[in]]=0,0,YEAR(raw[[#This Row],[in]]))</f>
        <v/>
      </c>
      <c r="R92" s="1397">
        <f>INT(raw[[#This Row],[yr]]/10)*10</f>
        <v/>
      </c>
      <c r="S92" s="1395">
        <f>IF(raw[[#This Row],[city]]="","-",IF(raw[[#This Row],[city]]&lt;&gt;_xlfn.XLOOKUP(raw[[#This Row],[home]],homes[home],homes[city],"-"),1,0))</f>
        <v/>
      </c>
      <c r="T92" s="1398" t="inlineStr">
        <is>
          <t>.</t>
        </is>
      </c>
      <c r="U92" s="1399">
        <f>IF(raw[[#This Row],[wb]]="w",raw[[#This Row],[stay]]+U91,U91)</f>
        <v/>
      </c>
      <c r="V92" s="1400">
        <f>IF(raw[[#This Row],[out]]=0,V91,(raw[[#This Row],[out]]-E$5))</f>
        <v/>
      </c>
      <c r="W92" s="1401">
        <f>U92/V92</f>
        <v/>
      </c>
      <c r="X92" s="1378" t="inlineStr">
        <is>
          <t>.</t>
        </is>
      </c>
      <c r="Y92" s="1402">
        <f/>
        <v/>
      </c>
      <c r="Z92" s="1403">
        <f/>
        <v/>
      </c>
      <c r="AA92" s="1403">
        <f/>
        <v/>
      </c>
      <c r="AB92" s="1400">
        <f t="array" ref="AB92">_xlfn.LET(_xlpm.S,_xlfn.ANCHORARRAY($Y$4),_xlpm.r,ROWS(stayCity[[#Headers],[city]]:stayCity[[#This Row],[city]])-1,IF(_xlpm.r&lt;=ROWS(_xlpm.S),INDEX(_xlpm.S,_xlpm.r,1),""))</f>
        <v/>
      </c>
      <c r="AC92" s="1405">
        <f t="array" ref="AC92">_xlfn.LET(_xlpm.S,_xlfn.ANCHORARRAY($Y$4),_xlpm.r,ROWS(stayCity[[#Headers],[city]]:stayCity[[#This Row],[city]])-1,IF(_xlpm.r&lt;=ROWS(_xlpm.S),INDEX(_xlpm.S,_xlpm.r,2),""))</f>
        <v/>
      </c>
      <c r="AD92" s="1405">
        <f t="array" ref="AD92">_xlfn.LET(_xlpm.S,_xlfn.ANCHORARRAY($Y$4),_xlpm.r,ROWS(stayCity[[#Headers],[city]]:stayCity[[#This Row],[city]])-1,IF(_xlpm.r&lt;=ROWS(_xlpm.S),INDEX(_xlpm.S,_xlpm.r,3),""))</f>
        <v/>
      </c>
      <c r="AE92" s="1400">
        <f>IF(stayCity[[#This Row],[out]]&lt;&gt;"",stayCity[[#This Row],[out]]-stayCity[[#This Row],[in]],"-")</f>
        <v/>
      </c>
      <c r="AF92" s="1406">
        <f>IF(Y92="","-",YEAR(stayCity[[#This Row],[in]]))</f>
        <v/>
      </c>
      <c r="AG92" s="1398" t="inlineStr">
        <is>
          <t>.</t>
        </is>
      </c>
      <c r="AH92" s="1402">
        <f/>
        <v/>
      </c>
      <c r="AI92" s="1403">
        <f/>
        <v/>
      </c>
      <c r="AJ92" s="1403">
        <f/>
        <v/>
      </c>
      <c r="AK92" s="1400">
        <f>IF(AH92="","-",AH92)</f>
        <v/>
      </c>
      <c r="AL92" s="1405">
        <f>AI92</f>
        <v/>
      </c>
      <c r="AM92" s="1405">
        <f>AJ92</f>
        <v/>
      </c>
      <c r="AN92" s="1400">
        <f>stayCtry[[#This Row],[out]]-stayCtry[[#This Row],[in]]</f>
        <v/>
      </c>
      <c r="AO92" s="1406">
        <f>IF(AI92&lt;&gt;"",AO91+1,AO91)</f>
        <v/>
      </c>
      <c r="AP92" s="1398" t="inlineStr">
        <is>
          <t>.</t>
        </is>
      </c>
      <c r="AQ92" s="1402">
        <f/>
        <v/>
      </c>
      <c r="AR92" s="1403">
        <f/>
        <v/>
      </c>
      <c r="AS92" s="1403">
        <f/>
        <v/>
      </c>
      <c r="AT92" s="1400">
        <f>AQ92</f>
        <v/>
      </c>
      <c r="AU92" s="1405">
        <f>AR92</f>
        <v/>
      </c>
      <c r="AV92" s="1405">
        <f>AS92</f>
        <v/>
      </c>
      <c r="AW92" s="1400">
        <f>stayCont[[#This Row],[out]]-stayCont[[#This Row],[in]]</f>
        <v/>
      </c>
      <c r="AX92" s="1406">
        <f>IF(AR92&lt;&gt;"",AX91+1,AX91)</f>
        <v/>
      </c>
      <c r="AY92" s="1398" t="inlineStr">
        <is>
          <t>.</t>
        </is>
      </c>
      <c r="AZ92" s="1402" t="n"/>
      <c r="BA92" s="1403" t="n"/>
      <c r="BB92" s="1403" t="n"/>
      <c r="BC92" s="1405">
        <f>AZ92</f>
        <v/>
      </c>
      <c r="BD92" s="1405">
        <f>BA92</f>
        <v/>
      </c>
      <c r="BE92" s="1405">
        <f>BB92</f>
        <v/>
      </c>
      <c r="BF92" s="1400">
        <f>stayWB[[#This Row],[out]]-stayWB[[#This Row],[in]]</f>
        <v/>
      </c>
      <c r="BG92" s="1400">
        <f>IF(BB92&lt;&gt;"",BG91+1,BG91)</f>
        <v/>
      </c>
      <c r="BH92" s="1398" t="inlineStr">
        <is>
          <t>.</t>
        </is>
      </c>
      <c r="BI92" s="1402" t="inlineStr">
        <is>
          <t>FRA</t>
        </is>
      </c>
      <c r="BJ92" s="1402" t="n">
        <v>1998</v>
      </c>
      <c r="BK92" s="1400">
        <f>BI92</f>
        <v/>
      </c>
      <c r="BL92" s="1409">
        <f>BJ92</f>
        <v/>
      </c>
      <c r="BM92" s="1378" t="inlineStr">
        <is>
          <t>.</t>
        </is>
      </c>
      <c r="BN92" s="1402" t="inlineStr">
        <is>
          <t>B</t>
        </is>
      </c>
      <c r="BO92" s="1400">
        <f>BN92</f>
        <v/>
      </c>
      <c r="BP92" s="1398" t="inlineStr">
        <is>
          <t>.</t>
        </is>
      </c>
      <c r="BQ92" s="1400">
        <f>IF(BR92&lt;&gt;"",BQ91+1,BQ91)</f>
        <v/>
      </c>
      <c r="BR92" s="1411" t="inlineStr">
        <is>
          <t>SSA</t>
        </is>
      </c>
      <c r="BS92" s="1411" t="inlineStr">
        <is>
          <t>SP</t>
        </is>
      </c>
      <c r="BT92" s="1412" t="inlineStr">
        <is>
          <t>SSA-SP</t>
        </is>
      </c>
      <c r="BU92" s="1412" t="n">
        <v>36561</v>
      </c>
      <c r="BV92" s="1398" t="inlineStr">
        <is>
          <t>.</t>
        </is>
      </c>
      <c r="BW92" s="1392" t="n"/>
      <c r="BX92" s="1392" t="n"/>
      <c r="BY92" s="1392" t="n"/>
      <c r="BZ92" s="1416" t="n"/>
      <c r="CA92" s="1392" t="n"/>
      <c r="CB92" s="1398" t="inlineStr">
        <is>
          <t>.</t>
        </is>
      </c>
      <c r="CC92" s="1400">
        <f>IF(CD92&lt;&gt;"",CC91+1,CC91)</f>
        <v/>
      </c>
      <c r="CD92" s="1411" t="inlineStr">
        <is>
          <t>Salto Grande</t>
        </is>
      </c>
      <c r="CE92" s="1412" t="n">
        <v>38045</v>
      </c>
      <c r="CF92" s="1412" t="n">
        <v>38059</v>
      </c>
      <c r="CG92" s="1415">
        <f>CF92-CE92</f>
        <v/>
      </c>
      <c r="CH92" s="1398" t="inlineStr">
        <is>
          <t>.</t>
        </is>
      </c>
      <c r="CI92" s="1392" t="n"/>
      <c r="CJ92" s="1392" t="n"/>
      <c r="CK92" s="1392" t="n"/>
      <c r="CL92" s="1392" t="n"/>
    </row>
    <row r="93">
      <c r="A93" s="5" t="inlineStr">
        <is>
          <t>.</t>
        </is>
      </c>
      <c r="B93" s="5" t="inlineStr">
        <is>
          <t>.</t>
        </is>
      </c>
      <c r="C93" s="1378">
        <f>IF(raw[[#This Row],[city]]="","-",IF(raw[[#This Row],[city]]="TODAY","-",C92+1))</f>
        <v/>
      </c>
      <c r="D93" s="1393" t="inlineStr">
        <is>
          <t>Venice</t>
        </is>
      </c>
      <c r="E93" s="1394" t="n">
        <v>30718</v>
      </c>
      <c r="F93" s="1394" t="n">
        <v>30719</v>
      </c>
      <c r="G93" s="1393" t="inlineStr">
        <is>
          <t>-</t>
        </is>
      </c>
      <c r="H93" s="1393">
        <f>H92</f>
        <v/>
      </c>
      <c r="I93" s="1393" t="inlineStr">
        <is>
          <t>-</t>
        </is>
      </c>
      <c r="J93" s="1393" t="inlineStr">
        <is>
          <t>-</t>
        </is>
      </c>
      <c r="K93" s="1395">
        <f>IF(raw[[#This Row],[city]]&lt;&gt;"",_xlfn.XLOOKUP($D93,ccc[city],ccc[prov],"-"),"-")</f>
        <v/>
      </c>
      <c r="L93" s="1395">
        <f>IF(raw[[#This Row],[city]]&lt;&gt;"",_xlfn.XLOOKUP($D93,ccc[city],ccc[ctry],"-"),"-")</f>
        <v/>
      </c>
      <c r="M93" s="1395">
        <f>IF(raw[[#This Row],[city]]&lt;&gt;"",_xlfn.XLOOKUP($D93,ccc[city],ccc[cont],"-"),"-")</f>
        <v/>
      </c>
      <c r="N93" s="1396">
        <f>IF(raw[[#This Row],[city]]="","-",IF(raw[[#This Row],[cont]]="B",raw[[#This Row],[cont]],"W"))</f>
        <v/>
      </c>
      <c r="O93" s="1397">
        <f>IF(raw[[#This Row],[out]]=0,0,IF(raw[[#This Row],[out]]=raw[[#This Row],[in]],0.01,raw[[#This Row],[out]]-raw[[#This Row],[in]]))</f>
        <v/>
      </c>
      <c r="P93" s="1397">
        <f>IF(raw[[#This Row],[in]]=0,0,MONTH(raw[[#This Row],[in]]))</f>
        <v/>
      </c>
      <c r="Q93" s="1397">
        <f>IF(raw[[#This Row],[in]]=0,0,YEAR(raw[[#This Row],[in]]))</f>
        <v/>
      </c>
      <c r="R93" s="1397">
        <f>INT(raw[[#This Row],[yr]]/10)*10</f>
        <v/>
      </c>
      <c r="S93" s="1395">
        <f>IF(raw[[#This Row],[city]]="","-",IF(raw[[#This Row],[city]]&lt;&gt;_xlfn.XLOOKUP(raw[[#This Row],[home]],homes[home],homes[city],"-"),1,0))</f>
        <v/>
      </c>
      <c r="T93" s="1398" t="inlineStr">
        <is>
          <t>.</t>
        </is>
      </c>
      <c r="U93" s="1399">
        <f>IF(raw[[#This Row],[wb]]="w",raw[[#This Row],[stay]]+U92,U92)</f>
        <v/>
      </c>
      <c r="V93" s="1400">
        <f>IF(raw[[#This Row],[out]]=0,V92,(raw[[#This Row],[out]]-E$5))</f>
        <v/>
      </c>
      <c r="W93" s="1401">
        <f>U93/V93</f>
        <v/>
      </c>
      <c r="X93" s="1378" t="inlineStr">
        <is>
          <t>.</t>
        </is>
      </c>
      <c r="Y93" s="1402">
        <f/>
        <v/>
      </c>
      <c r="Z93" s="1403">
        <f/>
        <v/>
      </c>
      <c r="AA93" s="1403">
        <f/>
        <v/>
      </c>
      <c r="AB93" s="1400">
        <f t="array" ref="AB93">_xlfn.LET(_xlpm.S,_xlfn.ANCHORARRAY($Y$4),_xlpm.r,ROWS(stayCity[[#Headers],[city]]:stayCity[[#This Row],[city]])-1,IF(_xlpm.r&lt;=ROWS(_xlpm.S),INDEX(_xlpm.S,_xlpm.r,1),""))</f>
        <v/>
      </c>
      <c r="AC93" s="1405">
        <f t="array" ref="AC93">_xlfn.LET(_xlpm.S,_xlfn.ANCHORARRAY($Y$4),_xlpm.r,ROWS(stayCity[[#Headers],[city]]:stayCity[[#This Row],[city]])-1,IF(_xlpm.r&lt;=ROWS(_xlpm.S),INDEX(_xlpm.S,_xlpm.r,2),""))</f>
        <v/>
      </c>
      <c r="AD93" s="1405">
        <f t="array" ref="AD93">_xlfn.LET(_xlpm.S,_xlfn.ANCHORARRAY($Y$4),_xlpm.r,ROWS(stayCity[[#Headers],[city]]:stayCity[[#This Row],[city]])-1,IF(_xlpm.r&lt;=ROWS(_xlpm.S),INDEX(_xlpm.S,_xlpm.r,3),""))</f>
        <v/>
      </c>
      <c r="AE93" s="1400">
        <f>IF(stayCity[[#This Row],[out]]&lt;&gt;"",stayCity[[#This Row],[out]]-stayCity[[#This Row],[in]],"-")</f>
        <v/>
      </c>
      <c r="AF93" s="1406">
        <f>IF(Y93="","-",YEAR(stayCity[[#This Row],[in]]))</f>
        <v/>
      </c>
      <c r="AG93" s="1398" t="inlineStr">
        <is>
          <t>.</t>
        </is>
      </c>
      <c r="AH93" s="1402">
        <f/>
        <v/>
      </c>
      <c r="AI93" s="1403">
        <f/>
        <v/>
      </c>
      <c r="AJ93" s="1403">
        <f/>
        <v/>
      </c>
      <c r="AK93" s="1400">
        <f>IF(AH93="","-",AH93)</f>
        <v/>
      </c>
      <c r="AL93" s="1405">
        <f>AI93</f>
        <v/>
      </c>
      <c r="AM93" s="1405">
        <f>AJ93</f>
        <v/>
      </c>
      <c r="AN93" s="1400">
        <f>stayCtry[[#This Row],[out]]-stayCtry[[#This Row],[in]]</f>
        <v/>
      </c>
      <c r="AO93" s="1406">
        <f>IF(AI93&lt;&gt;"",AO92+1,AO92)</f>
        <v/>
      </c>
      <c r="AP93" s="1398" t="inlineStr">
        <is>
          <t>.</t>
        </is>
      </c>
      <c r="AQ93" s="1402">
        <f/>
        <v/>
      </c>
      <c r="AR93" s="1403">
        <f/>
        <v/>
      </c>
      <c r="AS93" s="1403">
        <f/>
        <v/>
      </c>
      <c r="AT93" s="1400">
        <f>AQ93</f>
        <v/>
      </c>
      <c r="AU93" s="1405">
        <f>AR93</f>
        <v/>
      </c>
      <c r="AV93" s="1405">
        <f>AS93</f>
        <v/>
      </c>
      <c r="AW93" s="1400">
        <f>stayCont[[#This Row],[out]]-stayCont[[#This Row],[in]]</f>
        <v/>
      </c>
      <c r="AX93" s="1406">
        <f>IF(AR93&lt;&gt;"",AX92+1,AX92)</f>
        <v/>
      </c>
      <c r="AY93" s="1398" t="inlineStr">
        <is>
          <t>.</t>
        </is>
      </c>
      <c r="AZ93" s="1402" t="n"/>
      <c r="BA93" s="1403" t="n"/>
      <c r="BB93" s="1403" t="n"/>
      <c r="BC93" s="1405">
        <f>AZ93</f>
        <v/>
      </c>
      <c r="BD93" s="1405">
        <f>BA93</f>
        <v/>
      </c>
      <c r="BE93" s="1405">
        <f>BB93</f>
        <v/>
      </c>
      <c r="BF93" s="1400">
        <f>stayWB[[#This Row],[out]]-stayWB[[#This Row],[in]]</f>
        <v/>
      </c>
      <c r="BG93" s="1400">
        <f>IF(BB93&lt;&gt;"",BG92+1,BG92)</f>
        <v/>
      </c>
      <c r="BH93" s="1398" t="inlineStr">
        <is>
          <t>.</t>
        </is>
      </c>
      <c r="BI93" s="1402" t="inlineStr">
        <is>
          <t>ESP</t>
        </is>
      </c>
      <c r="BJ93" s="1402" t="n">
        <v>1998</v>
      </c>
      <c r="BK93" s="1400">
        <f>BI93</f>
        <v/>
      </c>
      <c r="BL93" s="1409">
        <f>BJ93</f>
        <v/>
      </c>
      <c r="BM93" s="1378" t="inlineStr">
        <is>
          <t>.</t>
        </is>
      </c>
      <c r="BN93" s="1402" t="inlineStr">
        <is>
          <t>Z</t>
        </is>
      </c>
      <c r="BO93" s="1400">
        <f>BN93</f>
        <v/>
      </c>
      <c r="BP93" s="1398" t="inlineStr">
        <is>
          <t>.</t>
        </is>
      </c>
      <c r="BQ93" s="1400">
        <f>IF(BR93&lt;&gt;"",BQ92+1,BQ92)</f>
        <v/>
      </c>
      <c r="BR93" s="1411" t="inlineStr">
        <is>
          <t>SP</t>
        </is>
      </c>
      <c r="BS93" s="1411" t="inlineStr">
        <is>
          <t>SSA</t>
        </is>
      </c>
      <c r="BT93" s="1412" t="inlineStr">
        <is>
          <t>SP-SSA</t>
        </is>
      </c>
      <c r="BU93" s="1412" t="n">
        <v>36607</v>
      </c>
      <c r="BV93" s="1398" t="inlineStr">
        <is>
          <t>.</t>
        </is>
      </c>
      <c r="BW93" s="1392" t="n"/>
      <c r="BX93" s="1392" t="n"/>
      <c r="BY93" s="1392" t="n"/>
      <c r="BZ93" s="1416" t="n"/>
      <c r="CA93" s="1392" t="n"/>
      <c r="CB93" s="1398" t="inlineStr">
        <is>
          <t>.</t>
        </is>
      </c>
      <c r="CC93" s="1400">
        <f>IF(CD93&lt;&gt;"",CC92+1,CC92)</f>
        <v/>
      </c>
      <c r="CD93" s="1411" t="inlineStr">
        <is>
          <t>Ondina</t>
        </is>
      </c>
      <c r="CE93" s="1412" t="n">
        <v>38323</v>
      </c>
      <c r="CF93" s="1412" t="n">
        <v>38330</v>
      </c>
      <c r="CG93" s="1415">
        <f>CF93-CE93</f>
        <v/>
      </c>
      <c r="CH93" s="1398" t="inlineStr">
        <is>
          <t>.</t>
        </is>
      </c>
      <c r="CI93" s="1392" t="n"/>
      <c r="CJ93" s="1392" t="n"/>
      <c r="CK93" s="1392" t="n"/>
      <c r="CL93" s="1392" t="n"/>
    </row>
    <row r="94">
      <c r="A94" s="5" t="inlineStr">
        <is>
          <t>.</t>
        </is>
      </c>
      <c r="B94" s="5" t="inlineStr">
        <is>
          <t>.</t>
        </is>
      </c>
      <c r="C94" s="1378">
        <f>IF(raw[[#This Row],[city]]="","-",IF(raw[[#This Row],[city]]="TODAY","-",C93+1))</f>
        <v/>
      </c>
      <c r="D94" s="1393" t="inlineStr">
        <is>
          <t>Verona</t>
        </is>
      </c>
      <c r="E94" s="1394" t="n">
        <v>30719</v>
      </c>
      <c r="F94" s="1394" t="n">
        <v>30719</v>
      </c>
      <c r="G94" s="1393" t="inlineStr">
        <is>
          <t>-</t>
        </is>
      </c>
      <c r="H94" s="1393">
        <f>H93</f>
        <v/>
      </c>
      <c r="I94" s="1393" t="n"/>
      <c r="J94" s="1393" t="inlineStr">
        <is>
          <t>-</t>
        </is>
      </c>
      <c r="K94" s="1395">
        <f>IF(raw[[#This Row],[city]]&lt;&gt;"",_xlfn.XLOOKUP($D94,ccc[city],ccc[prov],"-"),"-")</f>
        <v/>
      </c>
      <c r="L94" s="1395">
        <f>IF(raw[[#This Row],[city]]&lt;&gt;"",_xlfn.XLOOKUP($D94,ccc[city],ccc[ctry],"-"),"-")</f>
        <v/>
      </c>
      <c r="M94" s="1395">
        <f>IF(raw[[#This Row],[city]]&lt;&gt;"",_xlfn.XLOOKUP($D94,ccc[city],ccc[cont],"-"),"-")</f>
        <v/>
      </c>
      <c r="N94" s="1396">
        <f>IF(raw[[#This Row],[city]]="","-",IF(raw[[#This Row],[cont]]="B",raw[[#This Row],[cont]],"W"))</f>
        <v/>
      </c>
      <c r="O94" s="1397">
        <f>IF(raw[[#This Row],[out]]=0,0,IF(raw[[#This Row],[out]]=raw[[#This Row],[in]],0.01,raw[[#This Row],[out]]-raw[[#This Row],[in]]))</f>
        <v/>
      </c>
      <c r="P94" s="1397">
        <f>IF(raw[[#This Row],[in]]=0,0,MONTH(raw[[#This Row],[in]]))</f>
        <v/>
      </c>
      <c r="Q94" s="1397">
        <f>IF(raw[[#This Row],[in]]=0,0,YEAR(raw[[#This Row],[in]]))</f>
        <v/>
      </c>
      <c r="R94" s="1397">
        <f>INT(raw[[#This Row],[yr]]/10)*10</f>
        <v/>
      </c>
      <c r="S94" s="1395">
        <f>IF(raw[[#This Row],[city]]="","-",IF(raw[[#This Row],[city]]&lt;&gt;_xlfn.XLOOKUP(raw[[#This Row],[home]],homes[home],homes[city],"-"),1,0))</f>
        <v/>
      </c>
      <c r="T94" s="1398" t="inlineStr">
        <is>
          <t>.</t>
        </is>
      </c>
      <c r="U94" s="1399">
        <f>IF(raw[[#This Row],[wb]]="w",raw[[#This Row],[stay]]+U93,U93)</f>
        <v/>
      </c>
      <c r="V94" s="1400">
        <f>IF(raw[[#This Row],[out]]=0,V93,(raw[[#This Row],[out]]-E$5))</f>
        <v/>
      </c>
      <c r="W94" s="1401">
        <f>U94/V94</f>
        <v/>
      </c>
      <c r="X94" s="1378" t="inlineStr">
        <is>
          <t>.</t>
        </is>
      </c>
      <c r="Y94" s="1402">
        <f/>
        <v/>
      </c>
      <c r="Z94" s="1403">
        <f/>
        <v/>
      </c>
      <c r="AA94" s="1403">
        <f/>
        <v/>
      </c>
      <c r="AB94" s="1400">
        <f t="array" ref="AB94">_xlfn.LET(_xlpm.S,_xlfn.ANCHORARRAY($Y$4),_xlpm.r,ROWS(stayCity[[#Headers],[city]]:stayCity[[#This Row],[city]])-1,IF(_xlpm.r&lt;=ROWS(_xlpm.S),INDEX(_xlpm.S,_xlpm.r,1),""))</f>
        <v/>
      </c>
      <c r="AC94" s="1405">
        <f t="array" ref="AC94">_xlfn.LET(_xlpm.S,_xlfn.ANCHORARRAY($Y$4),_xlpm.r,ROWS(stayCity[[#Headers],[city]]:stayCity[[#This Row],[city]])-1,IF(_xlpm.r&lt;=ROWS(_xlpm.S),INDEX(_xlpm.S,_xlpm.r,2),""))</f>
        <v/>
      </c>
      <c r="AD94" s="1405">
        <f t="array" ref="AD94">_xlfn.LET(_xlpm.S,_xlfn.ANCHORARRAY($Y$4),_xlpm.r,ROWS(stayCity[[#Headers],[city]]:stayCity[[#This Row],[city]])-1,IF(_xlpm.r&lt;=ROWS(_xlpm.S),INDEX(_xlpm.S,_xlpm.r,3),""))</f>
        <v/>
      </c>
      <c r="AE94" s="1400">
        <f>IF(stayCity[[#This Row],[out]]&lt;&gt;"",stayCity[[#This Row],[out]]-stayCity[[#This Row],[in]],"-")</f>
        <v/>
      </c>
      <c r="AF94" s="1406">
        <f>IF(Y94="","-",YEAR(stayCity[[#This Row],[in]]))</f>
        <v/>
      </c>
      <c r="AG94" s="1398" t="inlineStr">
        <is>
          <t>.</t>
        </is>
      </c>
      <c r="AH94" s="1402">
        <f/>
        <v/>
      </c>
      <c r="AI94" s="1403">
        <f/>
        <v/>
      </c>
      <c r="AJ94" s="1403">
        <f/>
        <v/>
      </c>
      <c r="AK94" s="1400">
        <f>IF(AH94="","-",AH94)</f>
        <v/>
      </c>
      <c r="AL94" s="1405">
        <f>AI94</f>
        <v/>
      </c>
      <c r="AM94" s="1405">
        <f>AJ94</f>
        <v/>
      </c>
      <c r="AN94" s="1400">
        <f>stayCtry[[#This Row],[out]]-stayCtry[[#This Row],[in]]</f>
        <v/>
      </c>
      <c r="AO94" s="1406">
        <f>IF(AI94&lt;&gt;"",AO93+1,AO93)</f>
        <v/>
      </c>
      <c r="AP94" s="1398" t="inlineStr">
        <is>
          <t>.</t>
        </is>
      </c>
      <c r="AQ94" s="1402">
        <f/>
        <v/>
      </c>
      <c r="AR94" s="1403">
        <f/>
        <v/>
      </c>
      <c r="AS94" s="1403">
        <f/>
        <v/>
      </c>
      <c r="AT94" s="1400">
        <f>AQ94</f>
        <v/>
      </c>
      <c r="AU94" s="1405">
        <f>AR94</f>
        <v/>
      </c>
      <c r="AV94" s="1405">
        <f>AS94</f>
        <v/>
      </c>
      <c r="AW94" s="1400">
        <f>stayCont[[#This Row],[out]]-stayCont[[#This Row],[in]]</f>
        <v/>
      </c>
      <c r="AX94" s="1406">
        <f>IF(AR94&lt;&gt;"",AX93+1,AX93)</f>
        <v/>
      </c>
      <c r="AY94" s="1398" t="inlineStr">
        <is>
          <t>.</t>
        </is>
      </c>
      <c r="AZ94" s="1402" t="n"/>
      <c r="BA94" s="1403" t="n"/>
      <c r="BB94" s="1403" t="n"/>
      <c r="BC94" s="1405">
        <f>AZ94</f>
        <v/>
      </c>
      <c r="BD94" s="1405">
        <f>BA94</f>
        <v/>
      </c>
      <c r="BE94" s="1405">
        <f>BB94</f>
        <v/>
      </c>
      <c r="BF94" s="1400">
        <f>stayWB[[#This Row],[out]]-stayWB[[#This Row],[in]]</f>
        <v/>
      </c>
      <c r="BG94" s="1400">
        <f>IF(BB94&lt;&gt;"",BG93+1,BG93)</f>
        <v/>
      </c>
      <c r="BH94" s="1398" t="inlineStr">
        <is>
          <t>.</t>
        </is>
      </c>
      <c r="BI94" s="1402" t="inlineStr">
        <is>
          <t>FRA</t>
        </is>
      </c>
      <c r="BJ94" s="1402" t="n">
        <v>1998</v>
      </c>
      <c r="BK94" s="1400">
        <f>BI94</f>
        <v/>
      </c>
      <c r="BL94" s="1409">
        <f>BJ94</f>
        <v/>
      </c>
      <c r="BM94" s="1378" t="inlineStr">
        <is>
          <t>.</t>
        </is>
      </c>
      <c r="BN94" s="1402" t="inlineStr">
        <is>
          <t>N</t>
        </is>
      </c>
      <c r="BO94" s="1400">
        <f>BN94</f>
        <v/>
      </c>
      <c r="BP94" s="1398" t="inlineStr">
        <is>
          <t>.</t>
        </is>
      </c>
      <c r="BQ94" s="1400">
        <f>IF(BR94&lt;&gt;"",BQ93+1,BQ93)</f>
        <v/>
      </c>
      <c r="BR94" s="1411" t="inlineStr">
        <is>
          <t>SSA</t>
        </is>
      </c>
      <c r="BS94" s="1411" t="inlineStr">
        <is>
          <t>SP</t>
        </is>
      </c>
      <c r="BT94" s="1412" t="inlineStr">
        <is>
          <t>SSA-SP</t>
        </is>
      </c>
      <c r="BU94" s="1412" t="n">
        <v>36614</v>
      </c>
      <c r="BV94" s="1398" t="inlineStr">
        <is>
          <t>.</t>
        </is>
      </c>
      <c r="BW94" s="1392" t="n"/>
      <c r="BX94" s="1392" t="n"/>
      <c r="BY94" s="1392" t="n"/>
      <c r="BZ94" s="1416" t="n"/>
      <c r="CA94" s="1392" t="n"/>
      <c r="CB94" s="1398" t="inlineStr">
        <is>
          <t>.</t>
        </is>
      </c>
      <c r="CC94" s="1400">
        <f>IF(CD94&lt;&gt;"",CC93+1,CC93)</f>
        <v/>
      </c>
      <c r="CD94" s="1411" t="inlineStr">
        <is>
          <t>Guaecá</t>
        </is>
      </c>
      <c r="CE94" s="1412" t="n">
        <v>38337</v>
      </c>
      <c r="CF94" s="1412" t="n">
        <v>38347</v>
      </c>
      <c r="CG94" s="1415">
        <f>CF94-CE94</f>
        <v/>
      </c>
      <c r="CH94" s="1398" t="inlineStr">
        <is>
          <t>.</t>
        </is>
      </c>
      <c r="CI94" s="1392" t="n"/>
      <c r="CJ94" s="1392" t="n"/>
      <c r="CK94" s="1392" t="n"/>
      <c r="CL94" s="1392" t="n"/>
    </row>
    <row r="95">
      <c r="A95" s="5" t="inlineStr">
        <is>
          <t>.</t>
        </is>
      </c>
      <c r="B95" s="5" t="inlineStr">
        <is>
          <t>.</t>
        </is>
      </c>
      <c r="C95" s="1378">
        <f>IF(raw[[#This Row],[city]]="","-",IF(raw[[#This Row],[city]]="TODAY","-",C94+1))</f>
        <v/>
      </c>
      <c r="D95" s="1393" t="inlineStr">
        <is>
          <t>Milan</t>
        </is>
      </c>
      <c r="E95" s="1394" t="n">
        <v>30719</v>
      </c>
      <c r="F95" s="1394" t="n">
        <v>30719</v>
      </c>
      <c r="G95" s="1393" t="inlineStr">
        <is>
          <t>-</t>
        </is>
      </c>
      <c r="H95" s="1393">
        <f>H94</f>
        <v/>
      </c>
      <c r="I95" s="1393" t="n"/>
      <c r="J95" s="1393" t="inlineStr">
        <is>
          <t>-</t>
        </is>
      </c>
      <c r="K95" s="1395">
        <f>IF(raw[[#This Row],[city]]&lt;&gt;"",_xlfn.XLOOKUP($D95,ccc[city],ccc[prov],"-"),"-")</f>
        <v/>
      </c>
      <c r="L95" s="1395">
        <f>IF(raw[[#This Row],[city]]&lt;&gt;"",_xlfn.XLOOKUP($D95,ccc[city],ccc[ctry],"-"),"-")</f>
        <v/>
      </c>
      <c r="M95" s="1395">
        <f>IF(raw[[#This Row],[city]]&lt;&gt;"",_xlfn.XLOOKUP($D95,ccc[city],ccc[cont],"-"),"-")</f>
        <v/>
      </c>
      <c r="N95" s="1396">
        <f>IF(raw[[#This Row],[city]]="","-",IF(raw[[#This Row],[cont]]="B",raw[[#This Row],[cont]],"W"))</f>
        <v/>
      </c>
      <c r="O95" s="1397">
        <f>IF(raw[[#This Row],[out]]=0,0,IF(raw[[#This Row],[out]]=raw[[#This Row],[in]],0.01,raw[[#This Row],[out]]-raw[[#This Row],[in]]))</f>
        <v/>
      </c>
      <c r="P95" s="1397">
        <f>IF(raw[[#This Row],[in]]=0,0,MONTH(raw[[#This Row],[in]]))</f>
        <v/>
      </c>
      <c r="Q95" s="1397">
        <f>IF(raw[[#This Row],[in]]=0,0,YEAR(raw[[#This Row],[in]]))</f>
        <v/>
      </c>
      <c r="R95" s="1397">
        <f>INT(raw[[#This Row],[yr]]/10)*10</f>
        <v/>
      </c>
      <c r="S95" s="1395">
        <f>IF(raw[[#This Row],[city]]="","-",IF(raw[[#This Row],[city]]&lt;&gt;_xlfn.XLOOKUP(raw[[#This Row],[home]],homes[home],homes[city],"-"),1,0))</f>
        <v/>
      </c>
      <c r="T95" s="1398" t="inlineStr">
        <is>
          <t>.</t>
        </is>
      </c>
      <c r="U95" s="1399">
        <f>IF(raw[[#This Row],[wb]]="w",raw[[#This Row],[stay]]+U94,U94)</f>
        <v/>
      </c>
      <c r="V95" s="1400">
        <f>IF(raw[[#This Row],[out]]=0,V94,(raw[[#This Row],[out]]-E$5))</f>
        <v/>
      </c>
      <c r="W95" s="1401">
        <f>U95/V95</f>
        <v/>
      </c>
      <c r="X95" s="1378" t="inlineStr">
        <is>
          <t>.</t>
        </is>
      </c>
      <c r="Y95" s="1402">
        <f/>
        <v/>
      </c>
      <c r="Z95" s="1403">
        <f/>
        <v/>
      </c>
      <c r="AA95" s="1403">
        <f/>
        <v/>
      </c>
      <c r="AB95" s="1400">
        <f t="array" ref="AB95">_xlfn.LET(_xlpm.S,_xlfn.ANCHORARRAY($Y$4),_xlpm.r,ROWS(stayCity[[#Headers],[city]]:stayCity[[#This Row],[city]])-1,IF(_xlpm.r&lt;=ROWS(_xlpm.S),INDEX(_xlpm.S,_xlpm.r,1),""))</f>
        <v/>
      </c>
      <c r="AC95" s="1405">
        <f t="array" ref="AC95">_xlfn.LET(_xlpm.S,_xlfn.ANCHORARRAY($Y$4),_xlpm.r,ROWS(stayCity[[#Headers],[city]]:stayCity[[#This Row],[city]])-1,IF(_xlpm.r&lt;=ROWS(_xlpm.S),INDEX(_xlpm.S,_xlpm.r,2),""))</f>
        <v/>
      </c>
      <c r="AD95" s="1405">
        <f t="array" ref="AD95">_xlfn.LET(_xlpm.S,_xlfn.ANCHORARRAY($Y$4),_xlpm.r,ROWS(stayCity[[#Headers],[city]]:stayCity[[#This Row],[city]])-1,IF(_xlpm.r&lt;=ROWS(_xlpm.S),INDEX(_xlpm.S,_xlpm.r,3),""))</f>
        <v/>
      </c>
      <c r="AE95" s="1400">
        <f>IF(stayCity[[#This Row],[out]]&lt;&gt;"",stayCity[[#This Row],[out]]-stayCity[[#This Row],[in]],"-")</f>
        <v/>
      </c>
      <c r="AF95" s="1406">
        <f>IF(Y95="","-",YEAR(stayCity[[#This Row],[in]]))</f>
        <v/>
      </c>
      <c r="AG95" s="1398" t="inlineStr">
        <is>
          <t>.</t>
        </is>
      </c>
      <c r="AH95" s="1402">
        <f/>
        <v/>
      </c>
      <c r="AI95" s="1403">
        <f/>
        <v/>
      </c>
      <c r="AJ95" s="1403">
        <f/>
        <v/>
      </c>
      <c r="AK95" s="1400">
        <f>IF(AH95="","-",AH95)</f>
        <v/>
      </c>
      <c r="AL95" s="1405">
        <f>AI95</f>
        <v/>
      </c>
      <c r="AM95" s="1405">
        <f>AJ95</f>
        <v/>
      </c>
      <c r="AN95" s="1400">
        <f>stayCtry[[#This Row],[out]]-stayCtry[[#This Row],[in]]</f>
        <v/>
      </c>
      <c r="AO95" s="1406">
        <f>IF(AI95&lt;&gt;"",AO94+1,AO94)</f>
        <v/>
      </c>
      <c r="AP95" s="1398" t="inlineStr">
        <is>
          <t>.</t>
        </is>
      </c>
      <c r="AQ95" s="1402">
        <f/>
        <v/>
      </c>
      <c r="AR95" s="1403">
        <f/>
        <v/>
      </c>
      <c r="AS95" s="1403">
        <f/>
        <v/>
      </c>
      <c r="AT95" s="1400">
        <f>AQ95</f>
        <v/>
      </c>
      <c r="AU95" s="1405">
        <f>AR95</f>
        <v/>
      </c>
      <c r="AV95" s="1405">
        <f>AS95</f>
        <v/>
      </c>
      <c r="AW95" s="1400">
        <f>stayCont[[#This Row],[out]]-stayCont[[#This Row],[in]]</f>
        <v/>
      </c>
      <c r="AX95" s="1406">
        <f>IF(AR95&lt;&gt;"",AX94+1,AX94)</f>
        <v/>
      </c>
      <c r="AY95" s="1398" t="inlineStr">
        <is>
          <t>.</t>
        </is>
      </c>
      <c r="AZ95" s="1402" t="n"/>
      <c r="BA95" s="1403" t="n"/>
      <c r="BB95" s="1403" t="n"/>
      <c r="BC95" s="1405">
        <f>AZ95</f>
        <v/>
      </c>
      <c r="BD95" s="1405">
        <f>BA95</f>
        <v/>
      </c>
      <c r="BE95" s="1405">
        <f>BB95</f>
        <v/>
      </c>
      <c r="BF95" s="1400">
        <f>stayWB[[#This Row],[out]]-stayWB[[#This Row],[in]]</f>
        <v/>
      </c>
      <c r="BG95" s="1400">
        <f>IF(BB95&lt;&gt;"",BG94+1,BG94)</f>
        <v/>
      </c>
      <c r="BH95" s="1398" t="inlineStr">
        <is>
          <t>.</t>
        </is>
      </c>
      <c r="BI95" s="1402" t="inlineStr">
        <is>
          <t>DEU</t>
        </is>
      </c>
      <c r="BJ95" s="1402" t="n">
        <v>1998</v>
      </c>
      <c r="BK95" s="1400">
        <f>BI95</f>
        <v/>
      </c>
      <c r="BL95" s="1409">
        <f>BJ95</f>
        <v/>
      </c>
      <c r="BM95" s="1378" t="inlineStr">
        <is>
          <t>.</t>
        </is>
      </c>
      <c r="BN95" s="1402" t="inlineStr">
        <is>
          <t>Z</t>
        </is>
      </c>
      <c r="BO95" s="1400">
        <f>BN95</f>
        <v/>
      </c>
      <c r="BP95" s="1398" t="inlineStr">
        <is>
          <t>.</t>
        </is>
      </c>
      <c r="BQ95" s="1400">
        <f>IF(BR95&lt;&gt;"",BQ94+1,BQ94)</f>
        <v/>
      </c>
      <c r="BR95" s="1411" t="inlineStr">
        <is>
          <t>SP</t>
        </is>
      </c>
      <c r="BS95" s="1411" t="inlineStr">
        <is>
          <t>SSA</t>
        </is>
      </c>
      <c r="BT95" s="1412" t="inlineStr">
        <is>
          <t>SP-SSA</t>
        </is>
      </c>
      <c r="BU95" s="1412" t="n">
        <v>36810</v>
      </c>
      <c r="BV95" s="1398" t="inlineStr">
        <is>
          <t>.</t>
        </is>
      </c>
      <c r="BW95" s="1392" t="n"/>
      <c r="BX95" s="1392" t="n"/>
      <c r="BY95" s="1392" t="n"/>
      <c r="BZ95" s="1416" t="n"/>
      <c r="CA95" s="1392" t="n"/>
      <c r="CB95" s="1398" t="inlineStr">
        <is>
          <t>.</t>
        </is>
      </c>
      <c r="CC95" s="1400">
        <f>IF(CD95&lt;&gt;"",CC94+1,CC94)</f>
        <v/>
      </c>
      <c r="CD95" s="1411" t="inlineStr">
        <is>
          <t>René/Ipanema</t>
        </is>
      </c>
      <c r="CE95" s="1412" t="n">
        <v>38352</v>
      </c>
      <c r="CF95" s="1412" t="n">
        <v>38356</v>
      </c>
      <c r="CG95" s="1415">
        <f>CF95-CE95</f>
        <v/>
      </c>
      <c r="CH95" s="1398" t="inlineStr">
        <is>
          <t>.</t>
        </is>
      </c>
      <c r="CI95" s="1392" t="n"/>
      <c r="CJ95" s="1392" t="n"/>
      <c r="CK95" s="1392" t="n"/>
      <c r="CL95" s="1392" t="n"/>
    </row>
    <row r="96">
      <c r="A96" s="5" t="inlineStr">
        <is>
          <t>.</t>
        </is>
      </c>
      <c r="B96" s="5" t="inlineStr">
        <is>
          <t>.</t>
        </is>
      </c>
      <c r="C96" s="1378">
        <f>IF(raw[[#This Row],[city]]="","-",IF(raw[[#This Row],[city]]="TODAY","-",C95+1))</f>
        <v/>
      </c>
      <c r="D96" s="1393" t="inlineStr">
        <is>
          <t>Bern</t>
        </is>
      </c>
      <c r="E96" s="1394" t="n">
        <v>30719</v>
      </c>
      <c r="F96" s="1394" t="n">
        <v>30721</v>
      </c>
      <c r="G96" s="1393" t="inlineStr">
        <is>
          <t>-</t>
        </is>
      </c>
      <c r="H96" s="1393">
        <f>H95</f>
        <v/>
      </c>
      <c r="I96" s="1393" t="inlineStr">
        <is>
          <t>-</t>
        </is>
      </c>
      <c r="J96" s="1393" t="inlineStr">
        <is>
          <t>-</t>
        </is>
      </c>
      <c r="K96" s="1395">
        <f>IF(raw[[#This Row],[city]]&lt;&gt;"",_xlfn.XLOOKUP($D96,ccc[city],ccc[prov],"-"),"-")</f>
        <v/>
      </c>
      <c r="L96" s="1395">
        <f>IF(raw[[#This Row],[city]]&lt;&gt;"",_xlfn.XLOOKUP($D96,ccc[city],ccc[ctry],"-"),"-")</f>
        <v/>
      </c>
      <c r="M96" s="1395">
        <f>IF(raw[[#This Row],[city]]&lt;&gt;"",_xlfn.XLOOKUP($D96,ccc[city],ccc[cont],"-"),"-")</f>
        <v/>
      </c>
      <c r="N96" s="1396">
        <f>IF(raw[[#This Row],[city]]="","-",IF(raw[[#This Row],[cont]]="B",raw[[#This Row],[cont]],"W"))</f>
        <v/>
      </c>
      <c r="O96" s="1397">
        <f>IF(raw[[#This Row],[out]]=0,0,IF(raw[[#This Row],[out]]=raw[[#This Row],[in]],0.01,raw[[#This Row],[out]]-raw[[#This Row],[in]]))</f>
        <v/>
      </c>
      <c r="P96" s="1397">
        <f>IF(raw[[#This Row],[in]]=0,0,MONTH(raw[[#This Row],[in]]))</f>
        <v/>
      </c>
      <c r="Q96" s="1397">
        <f>IF(raw[[#This Row],[in]]=0,0,YEAR(raw[[#This Row],[in]]))</f>
        <v/>
      </c>
      <c r="R96" s="1397">
        <f>INT(raw[[#This Row],[yr]]/10)*10</f>
        <v/>
      </c>
      <c r="S96" s="1395">
        <f>IF(raw[[#This Row],[city]]="","-",IF(raw[[#This Row],[city]]&lt;&gt;_xlfn.XLOOKUP(raw[[#This Row],[home]],homes[home],homes[city],"-"),1,0))</f>
        <v/>
      </c>
      <c r="T96" s="1398" t="inlineStr">
        <is>
          <t>.</t>
        </is>
      </c>
      <c r="U96" s="1399">
        <f>IF(raw[[#This Row],[wb]]="w",raw[[#This Row],[stay]]+U95,U95)</f>
        <v/>
      </c>
      <c r="V96" s="1400">
        <f>IF(raw[[#This Row],[out]]=0,V95,(raw[[#This Row],[out]]-E$5))</f>
        <v/>
      </c>
      <c r="W96" s="1401">
        <f>U96/V96</f>
        <v/>
      </c>
      <c r="X96" s="1378" t="inlineStr">
        <is>
          <t>.</t>
        </is>
      </c>
      <c r="Y96" s="1402">
        <f/>
        <v/>
      </c>
      <c r="Z96" s="1403">
        <f/>
        <v/>
      </c>
      <c r="AA96" s="1403">
        <f/>
        <v/>
      </c>
      <c r="AB96" s="1400">
        <f t="array" ref="AB96">_xlfn.LET(_xlpm.S,_xlfn.ANCHORARRAY($Y$4),_xlpm.r,ROWS(stayCity[[#Headers],[city]]:stayCity[[#This Row],[city]])-1,IF(_xlpm.r&lt;=ROWS(_xlpm.S),INDEX(_xlpm.S,_xlpm.r,1),""))</f>
        <v/>
      </c>
      <c r="AC96" s="1405">
        <f t="array" ref="AC96">_xlfn.LET(_xlpm.S,_xlfn.ANCHORARRAY($Y$4),_xlpm.r,ROWS(stayCity[[#Headers],[city]]:stayCity[[#This Row],[city]])-1,IF(_xlpm.r&lt;=ROWS(_xlpm.S),INDEX(_xlpm.S,_xlpm.r,2),""))</f>
        <v/>
      </c>
      <c r="AD96" s="1405">
        <f t="array" ref="AD96">_xlfn.LET(_xlpm.S,_xlfn.ANCHORARRAY($Y$4),_xlpm.r,ROWS(stayCity[[#Headers],[city]]:stayCity[[#This Row],[city]])-1,IF(_xlpm.r&lt;=ROWS(_xlpm.S),INDEX(_xlpm.S,_xlpm.r,3),""))</f>
        <v/>
      </c>
      <c r="AE96" s="1400">
        <f>IF(stayCity[[#This Row],[out]]&lt;&gt;"",stayCity[[#This Row],[out]]-stayCity[[#This Row],[in]],"-")</f>
        <v/>
      </c>
      <c r="AF96" s="1406">
        <f>IF(Y96="","-",YEAR(stayCity[[#This Row],[in]]))</f>
        <v/>
      </c>
      <c r="AG96" s="1398" t="inlineStr">
        <is>
          <t>.</t>
        </is>
      </c>
      <c r="AH96" s="1402">
        <f/>
        <v/>
      </c>
      <c r="AI96" s="1403">
        <f/>
        <v/>
      </c>
      <c r="AJ96" s="1403">
        <f/>
        <v/>
      </c>
      <c r="AK96" s="1400">
        <f>IF(AH96="","-",AH96)</f>
        <v/>
      </c>
      <c r="AL96" s="1405">
        <f>AI96</f>
        <v/>
      </c>
      <c r="AM96" s="1405">
        <f>AJ96</f>
        <v/>
      </c>
      <c r="AN96" s="1400">
        <f>stayCtry[[#This Row],[out]]-stayCtry[[#This Row],[in]]</f>
        <v/>
      </c>
      <c r="AO96" s="1406">
        <f>IF(AI96&lt;&gt;"",AO95+1,AO95)</f>
        <v/>
      </c>
      <c r="AP96" s="1398" t="inlineStr">
        <is>
          <t>.</t>
        </is>
      </c>
      <c r="AQ96" s="1402">
        <f/>
        <v/>
      </c>
      <c r="AR96" s="1403">
        <f/>
        <v/>
      </c>
      <c r="AS96" s="1403">
        <f/>
        <v/>
      </c>
      <c r="AT96" s="1400">
        <f>AQ96</f>
        <v/>
      </c>
      <c r="AU96" s="1405">
        <f>AR96</f>
        <v/>
      </c>
      <c r="AV96" s="1405">
        <f>AS96</f>
        <v/>
      </c>
      <c r="AW96" s="1400">
        <f>stayCont[[#This Row],[out]]-stayCont[[#This Row],[in]]</f>
        <v/>
      </c>
      <c r="AX96" s="1406">
        <f>IF(AR96&lt;&gt;"",AX95+1,AX95)</f>
        <v/>
      </c>
      <c r="AY96" s="1398" t="inlineStr">
        <is>
          <t>.</t>
        </is>
      </c>
      <c r="AZ96" s="1402" t="n"/>
      <c r="BA96" s="1403" t="n"/>
      <c r="BB96" s="1403" t="n"/>
      <c r="BC96" s="1405">
        <f>AZ96</f>
        <v/>
      </c>
      <c r="BD96" s="1405">
        <f>BA96</f>
        <v/>
      </c>
      <c r="BE96" s="1405">
        <f>BB96</f>
        <v/>
      </c>
      <c r="BF96" s="1400">
        <f>stayWB[[#This Row],[out]]-stayWB[[#This Row],[in]]</f>
        <v/>
      </c>
      <c r="BG96" s="1400">
        <f>IF(BB96&lt;&gt;"",BG95+1,BG95)</f>
        <v/>
      </c>
      <c r="BH96" s="1398" t="inlineStr">
        <is>
          <t>.</t>
        </is>
      </c>
      <c r="BI96" s="1402" t="inlineStr">
        <is>
          <t>BRA</t>
        </is>
      </c>
      <c r="BJ96" s="1402" t="n">
        <v>1998</v>
      </c>
      <c r="BK96" s="1400">
        <f>BI96</f>
        <v/>
      </c>
      <c r="BL96" s="1409">
        <f>BJ96</f>
        <v/>
      </c>
      <c r="BM96" s="1378" t="inlineStr">
        <is>
          <t>.</t>
        </is>
      </c>
      <c r="BN96" s="1402" t="inlineStr">
        <is>
          <t>B</t>
        </is>
      </c>
      <c r="BO96" s="1400">
        <f>BN96</f>
        <v/>
      </c>
      <c r="BP96" s="1398" t="inlineStr">
        <is>
          <t>.</t>
        </is>
      </c>
      <c r="BQ96" s="1400">
        <f>IF(BR96&lt;&gt;"",BQ95+1,BQ95)</f>
        <v/>
      </c>
      <c r="BR96" s="1411" t="inlineStr">
        <is>
          <t>SSA</t>
        </is>
      </c>
      <c r="BS96" s="1411" t="inlineStr">
        <is>
          <t>SP</t>
        </is>
      </c>
      <c r="BT96" s="1412" t="inlineStr">
        <is>
          <t>SSA-SP</t>
        </is>
      </c>
      <c r="BU96" s="1412" t="n">
        <v>36816</v>
      </c>
      <c r="BV96" s="1398" t="inlineStr">
        <is>
          <t>.</t>
        </is>
      </c>
      <c r="BW96" s="1392" t="n"/>
      <c r="BX96" s="1392" t="n"/>
      <c r="BY96" s="1392" t="n"/>
      <c r="BZ96" s="1416" t="n"/>
      <c r="CA96" s="1392" t="n"/>
      <c r="CB96" s="1398" t="inlineStr">
        <is>
          <t>.</t>
        </is>
      </c>
      <c r="CC96" s="1400">
        <f>IF(CD96&lt;&gt;"",CC95+1,CC95)</f>
        <v/>
      </c>
      <c r="CD96" s="1411" t="inlineStr">
        <is>
          <t>Tatá/Vitoria</t>
        </is>
      </c>
      <c r="CE96" s="1412" t="n">
        <v>38443</v>
      </c>
      <c r="CF96" s="1412" t="n">
        <v>38453</v>
      </c>
      <c r="CG96" s="1415">
        <f>CF96-CE96</f>
        <v/>
      </c>
      <c r="CH96" s="1398" t="inlineStr">
        <is>
          <t>.</t>
        </is>
      </c>
      <c r="CI96" s="1392" t="n"/>
      <c r="CJ96" s="1392" t="n"/>
      <c r="CK96" s="1392" t="n"/>
      <c r="CL96" s="1392" t="n"/>
    </row>
    <row r="97">
      <c r="A97" s="5" t="inlineStr">
        <is>
          <t>.</t>
        </is>
      </c>
      <c r="B97" s="5" t="inlineStr">
        <is>
          <t>.</t>
        </is>
      </c>
      <c r="C97" s="1378">
        <f>IF(raw[[#This Row],[city]]="","-",IF(raw[[#This Row],[city]]="TODAY","-",C96+1))</f>
        <v/>
      </c>
      <c r="D97" s="1393" t="inlineStr">
        <is>
          <t>Interlaken</t>
        </is>
      </c>
      <c r="E97" s="1394" t="n">
        <v>30721</v>
      </c>
      <c r="F97" s="1394" t="n">
        <v>30721</v>
      </c>
      <c r="G97" s="1393" t="inlineStr">
        <is>
          <t>-</t>
        </is>
      </c>
      <c r="H97" s="1393">
        <f>H96</f>
        <v/>
      </c>
      <c r="I97" s="1393" t="n"/>
      <c r="J97" s="1393" t="inlineStr">
        <is>
          <t>-</t>
        </is>
      </c>
      <c r="K97" s="1395">
        <f>IF(raw[[#This Row],[city]]&lt;&gt;"",_xlfn.XLOOKUP($D97,ccc[city],ccc[prov],"-"),"-")</f>
        <v/>
      </c>
      <c r="L97" s="1395">
        <f>IF(raw[[#This Row],[city]]&lt;&gt;"",_xlfn.XLOOKUP($D97,ccc[city],ccc[ctry],"-"),"-")</f>
        <v/>
      </c>
      <c r="M97" s="1395">
        <f>IF(raw[[#This Row],[city]]&lt;&gt;"",_xlfn.XLOOKUP($D97,ccc[city],ccc[cont],"-"),"-")</f>
        <v/>
      </c>
      <c r="N97" s="1396">
        <f>IF(raw[[#This Row],[city]]="","-",IF(raw[[#This Row],[cont]]="B",raw[[#This Row],[cont]],"W"))</f>
        <v/>
      </c>
      <c r="O97" s="1397">
        <f>IF(raw[[#This Row],[out]]=0,0,IF(raw[[#This Row],[out]]=raw[[#This Row],[in]],0.01,raw[[#This Row],[out]]-raw[[#This Row],[in]]))</f>
        <v/>
      </c>
      <c r="P97" s="1397">
        <f>IF(raw[[#This Row],[in]]=0,0,MONTH(raw[[#This Row],[in]]))</f>
        <v/>
      </c>
      <c r="Q97" s="1397">
        <f>IF(raw[[#This Row],[in]]=0,0,YEAR(raw[[#This Row],[in]]))</f>
        <v/>
      </c>
      <c r="R97" s="1397">
        <f>INT(raw[[#This Row],[yr]]/10)*10</f>
        <v/>
      </c>
      <c r="S97" s="1395">
        <f>IF(raw[[#This Row],[city]]="","-",IF(raw[[#This Row],[city]]&lt;&gt;_xlfn.XLOOKUP(raw[[#This Row],[home]],homes[home],homes[city],"-"),1,0))</f>
        <v/>
      </c>
      <c r="T97" s="1398" t="inlineStr">
        <is>
          <t>.</t>
        </is>
      </c>
      <c r="U97" s="1399">
        <f>IF(raw[[#This Row],[wb]]="w",raw[[#This Row],[stay]]+U96,U96)</f>
        <v/>
      </c>
      <c r="V97" s="1400">
        <f>IF(raw[[#This Row],[out]]=0,V96,(raw[[#This Row],[out]]-E$5))</f>
        <v/>
      </c>
      <c r="W97" s="1401">
        <f>U97/V97</f>
        <v/>
      </c>
      <c r="X97" s="1378" t="inlineStr">
        <is>
          <t>.</t>
        </is>
      </c>
      <c r="Y97" s="1402">
        <f/>
        <v/>
      </c>
      <c r="Z97" s="1403">
        <f/>
        <v/>
      </c>
      <c r="AA97" s="1403">
        <f/>
        <v/>
      </c>
      <c r="AB97" s="1400">
        <f t="array" ref="AB97">_xlfn.LET(_xlpm.S,_xlfn.ANCHORARRAY($Y$4),_xlpm.r,ROWS(stayCity[[#Headers],[city]]:stayCity[[#This Row],[city]])-1,IF(_xlpm.r&lt;=ROWS(_xlpm.S),INDEX(_xlpm.S,_xlpm.r,1),""))</f>
        <v/>
      </c>
      <c r="AC97" s="1405">
        <f t="array" ref="AC97">_xlfn.LET(_xlpm.S,_xlfn.ANCHORARRAY($Y$4),_xlpm.r,ROWS(stayCity[[#Headers],[city]]:stayCity[[#This Row],[city]])-1,IF(_xlpm.r&lt;=ROWS(_xlpm.S),INDEX(_xlpm.S,_xlpm.r,2),""))</f>
        <v/>
      </c>
      <c r="AD97" s="1405">
        <f t="array" ref="AD97">_xlfn.LET(_xlpm.S,_xlfn.ANCHORARRAY($Y$4),_xlpm.r,ROWS(stayCity[[#Headers],[city]]:stayCity[[#This Row],[city]])-1,IF(_xlpm.r&lt;=ROWS(_xlpm.S),INDEX(_xlpm.S,_xlpm.r,3),""))</f>
        <v/>
      </c>
      <c r="AE97" s="1400">
        <f>IF(stayCity[[#This Row],[out]]&lt;&gt;"",stayCity[[#This Row],[out]]-stayCity[[#This Row],[in]],"-")</f>
        <v/>
      </c>
      <c r="AF97" s="1406">
        <f>IF(Y97="","-",YEAR(stayCity[[#This Row],[in]]))</f>
        <v/>
      </c>
      <c r="AG97" s="1398" t="inlineStr">
        <is>
          <t>.</t>
        </is>
      </c>
      <c r="AH97" s="1402">
        <f/>
        <v/>
      </c>
      <c r="AI97" s="1403">
        <f/>
        <v/>
      </c>
      <c r="AJ97" s="1403">
        <f/>
        <v/>
      </c>
      <c r="AK97" s="1400">
        <f>IF(AH97="","-",AH97)</f>
        <v/>
      </c>
      <c r="AL97" s="1405">
        <f>AI97</f>
        <v/>
      </c>
      <c r="AM97" s="1405">
        <f>AJ97</f>
        <v/>
      </c>
      <c r="AN97" s="1400">
        <f>stayCtry[[#This Row],[out]]-stayCtry[[#This Row],[in]]</f>
        <v/>
      </c>
      <c r="AO97" s="1406">
        <f>IF(AI97&lt;&gt;"",AO96+1,AO96)</f>
        <v/>
      </c>
      <c r="AP97" s="1398" t="inlineStr">
        <is>
          <t>.</t>
        </is>
      </c>
      <c r="AQ97" s="1402">
        <f/>
        <v/>
      </c>
      <c r="AR97" s="1403">
        <f/>
        <v/>
      </c>
      <c r="AS97" s="1403">
        <f/>
        <v/>
      </c>
      <c r="AT97" s="1400">
        <f>AQ97</f>
        <v/>
      </c>
      <c r="AU97" s="1405">
        <f>AR97</f>
        <v/>
      </c>
      <c r="AV97" s="1405">
        <f>AS97</f>
        <v/>
      </c>
      <c r="AW97" s="1400">
        <f>stayCont[[#This Row],[out]]-stayCont[[#This Row],[in]]</f>
        <v/>
      </c>
      <c r="AX97" s="1406">
        <f>IF(AR97&lt;&gt;"",AX96+1,AX96)</f>
        <v/>
      </c>
      <c r="AY97" s="1398" t="inlineStr">
        <is>
          <t>.</t>
        </is>
      </c>
      <c r="AZ97" s="1402" t="n"/>
      <c r="BA97" s="1403" t="n"/>
      <c r="BB97" s="1403" t="n"/>
      <c r="BC97" s="1405">
        <f>AZ97</f>
        <v/>
      </c>
      <c r="BD97" s="1405">
        <f>BA97</f>
        <v/>
      </c>
      <c r="BE97" s="1405">
        <f>BB97</f>
        <v/>
      </c>
      <c r="BF97" s="1400">
        <f>stayWB[[#This Row],[out]]-stayWB[[#This Row],[in]]</f>
        <v/>
      </c>
      <c r="BG97" s="1400">
        <f>IF(BB97&lt;&gt;"",BG96+1,BG96)</f>
        <v/>
      </c>
      <c r="BH97" s="1398" t="inlineStr">
        <is>
          <t>.</t>
        </is>
      </c>
      <c r="BI97" s="1402" t="inlineStr">
        <is>
          <t>PRT</t>
        </is>
      </c>
      <c r="BJ97" s="1402" t="n">
        <v>1999</v>
      </c>
      <c r="BK97" s="1400">
        <f>BI97</f>
        <v/>
      </c>
      <c r="BL97" s="1409">
        <f>BJ97</f>
        <v/>
      </c>
      <c r="BM97" s="1378" t="inlineStr">
        <is>
          <t>.</t>
        </is>
      </c>
      <c r="BN97" s="1402" t="inlineStr">
        <is>
          <t>Z</t>
        </is>
      </c>
      <c r="BO97" s="1400">
        <f>BN97</f>
        <v/>
      </c>
      <c r="BP97" s="1398" t="inlineStr">
        <is>
          <t>.</t>
        </is>
      </c>
      <c r="BQ97" s="1400">
        <f>IF(BR97&lt;&gt;"",BQ96+1,BQ96)</f>
        <v/>
      </c>
      <c r="BR97" s="1411" t="inlineStr">
        <is>
          <t>SP</t>
        </is>
      </c>
      <c r="BS97" s="1411" t="inlineStr">
        <is>
          <t>SSA</t>
        </is>
      </c>
      <c r="BT97" s="1412" t="inlineStr">
        <is>
          <t>SP-SSA</t>
        </is>
      </c>
      <c r="BU97" s="1412" t="n">
        <v>36929</v>
      </c>
      <c r="BV97" s="1398" t="inlineStr">
        <is>
          <t>.</t>
        </is>
      </c>
      <c r="BW97" s="1392" t="n"/>
      <c r="BX97" s="1392" t="n"/>
      <c r="BY97" s="1392" t="n"/>
      <c r="BZ97" s="1416" t="n"/>
      <c r="CA97" s="1392" t="n"/>
      <c r="CB97" s="1398" t="inlineStr">
        <is>
          <t>.</t>
        </is>
      </c>
      <c r="CC97" s="1400">
        <f>IF(CD97&lt;&gt;"",CC96+1,CC96)</f>
        <v/>
      </c>
      <c r="CD97" s="1411" t="inlineStr">
        <is>
          <t>Salto Grande</t>
        </is>
      </c>
      <c r="CE97" s="1412" t="n">
        <v>38453</v>
      </c>
      <c r="CF97" s="1412" t="n">
        <v>38477</v>
      </c>
      <c r="CG97" s="1415">
        <f>CF97-CE97</f>
        <v/>
      </c>
      <c r="CH97" s="1398" t="inlineStr">
        <is>
          <t>.</t>
        </is>
      </c>
      <c r="CI97" s="1392" t="n"/>
      <c r="CJ97" s="1392" t="n"/>
      <c r="CK97" s="1392" t="n"/>
      <c r="CL97" s="1392" t="n"/>
    </row>
    <row r="98">
      <c r="A98" s="5" t="inlineStr">
        <is>
          <t>.</t>
        </is>
      </c>
      <c r="B98" s="5" t="inlineStr">
        <is>
          <t>.</t>
        </is>
      </c>
      <c r="C98" s="1378">
        <f>IF(raw[[#This Row],[city]]="","-",IF(raw[[#This Row],[city]]="TODAY","-",C97+1))</f>
        <v/>
      </c>
      <c r="D98" s="1393" t="inlineStr">
        <is>
          <t>Grindenwald</t>
        </is>
      </c>
      <c r="E98" s="1394" t="n">
        <v>30721</v>
      </c>
      <c r="F98" s="1394" t="n">
        <v>30722</v>
      </c>
      <c r="G98" s="1393" t="inlineStr">
        <is>
          <t>-</t>
        </is>
      </c>
      <c r="H98" s="1393">
        <f>H97</f>
        <v/>
      </c>
      <c r="I98" s="1393" t="inlineStr">
        <is>
          <t>-</t>
        </is>
      </c>
      <c r="J98" s="1393" t="inlineStr">
        <is>
          <t>-</t>
        </is>
      </c>
      <c r="K98" s="1395">
        <f>IF(raw[[#This Row],[city]]&lt;&gt;"",_xlfn.XLOOKUP($D98,ccc[city],ccc[prov],"-"),"-")</f>
        <v/>
      </c>
      <c r="L98" s="1395">
        <f>IF(raw[[#This Row],[city]]&lt;&gt;"",_xlfn.XLOOKUP($D98,ccc[city],ccc[ctry],"-"),"-")</f>
        <v/>
      </c>
      <c r="M98" s="1395">
        <f>IF(raw[[#This Row],[city]]&lt;&gt;"",_xlfn.XLOOKUP($D98,ccc[city],ccc[cont],"-"),"-")</f>
        <v/>
      </c>
      <c r="N98" s="1396">
        <f>IF(raw[[#This Row],[city]]="","-",IF(raw[[#This Row],[cont]]="B",raw[[#This Row],[cont]],"W"))</f>
        <v/>
      </c>
      <c r="O98" s="1397">
        <f>IF(raw[[#This Row],[out]]=0,0,IF(raw[[#This Row],[out]]=raw[[#This Row],[in]],0.01,raw[[#This Row],[out]]-raw[[#This Row],[in]]))</f>
        <v/>
      </c>
      <c r="P98" s="1397">
        <f>IF(raw[[#This Row],[in]]=0,0,MONTH(raw[[#This Row],[in]]))</f>
        <v/>
      </c>
      <c r="Q98" s="1397">
        <f>IF(raw[[#This Row],[in]]=0,0,YEAR(raw[[#This Row],[in]]))</f>
        <v/>
      </c>
      <c r="R98" s="1397">
        <f>INT(raw[[#This Row],[yr]]/10)*10</f>
        <v/>
      </c>
      <c r="S98" s="1395">
        <f>IF(raw[[#This Row],[city]]="","-",IF(raw[[#This Row],[city]]&lt;&gt;_xlfn.XLOOKUP(raw[[#This Row],[home]],homes[home],homes[city],"-"),1,0))</f>
        <v/>
      </c>
      <c r="T98" s="1398" t="inlineStr">
        <is>
          <t>.</t>
        </is>
      </c>
      <c r="U98" s="1399">
        <f>IF(raw[[#This Row],[wb]]="w",raw[[#This Row],[stay]]+U97,U97)</f>
        <v/>
      </c>
      <c r="V98" s="1400">
        <f>IF(raw[[#This Row],[out]]=0,V97,(raw[[#This Row],[out]]-E$5))</f>
        <v/>
      </c>
      <c r="W98" s="1401">
        <f>U98/V98</f>
        <v/>
      </c>
      <c r="X98" s="1378" t="inlineStr">
        <is>
          <t>.</t>
        </is>
      </c>
      <c r="Y98" s="1402">
        <f/>
        <v/>
      </c>
      <c r="Z98" s="1403">
        <f/>
        <v/>
      </c>
      <c r="AA98" s="1403">
        <f/>
        <v/>
      </c>
      <c r="AB98" s="1400">
        <f t="array" ref="AB98">_xlfn.LET(_xlpm.S,_xlfn.ANCHORARRAY($Y$4),_xlpm.r,ROWS(stayCity[[#Headers],[city]]:stayCity[[#This Row],[city]])-1,IF(_xlpm.r&lt;=ROWS(_xlpm.S),INDEX(_xlpm.S,_xlpm.r,1),""))</f>
        <v/>
      </c>
      <c r="AC98" s="1405">
        <f t="array" ref="AC98">_xlfn.LET(_xlpm.S,_xlfn.ANCHORARRAY($Y$4),_xlpm.r,ROWS(stayCity[[#Headers],[city]]:stayCity[[#This Row],[city]])-1,IF(_xlpm.r&lt;=ROWS(_xlpm.S),INDEX(_xlpm.S,_xlpm.r,2),""))</f>
        <v/>
      </c>
      <c r="AD98" s="1405">
        <f t="array" ref="AD98">_xlfn.LET(_xlpm.S,_xlfn.ANCHORARRAY($Y$4),_xlpm.r,ROWS(stayCity[[#Headers],[city]]:stayCity[[#This Row],[city]])-1,IF(_xlpm.r&lt;=ROWS(_xlpm.S),INDEX(_xlpm.S,_xlpm.r,3),""))</f>
        <v/>
      </c>
      <c r="AE98" s="1400">
        <f>IF(stayCity[[#This Row],[out]]&lt;&gt;"",stayCity[[#This Row],[out]]-stayCity[[#This Row],[in]],"-")</f>
        <v/>
      </c>
      <c r="AF98" s="1406">
        <f>IF(Y98="","-",YEAR(stayCity[[#This Row],[in]]))</f>
        <v/>
      </c>
      <c r="AG98" s="1398" t="inlineStr">
        <is>
          <t>.</t>
        </is>
      </c>
      <c r="AH98" s="1402">
        <f/>
        <v/>
      </c>
      <c r="AI98" s="1403">
        <f/>
        <v/>
      </c>
      <c r="AJ98" s="1403">
        <f/>
        <v/>
      </c>
      <c r="AK98" s="1400">
        <f>IF(AH98="","-",AH98)</f>
        <v/>
      </c>
      <c r="AL98" s="1405">
        <f>AI98</f>
        <v/>
      </c>
      <c r="AM98" s="1405">
        <f>AJ98</f>
        <v/>
      </c>
      <c r="AN98" s="1400">
        <f>stayCtry[[#This Row],[out]]-stayCtry[[#This Row],[in]]</f>
        <v/>
      </c>
      <c r="AO98" s="1406">
        <f>IF(AI98&lt;&gt;"",AO97+1,AO97)</f>
        <v/>
      </c>
      <c r="AP98" s="1398" t="inlineStr">
        <is>
          <t>.</t>
        </is>
      </c>
      <c r="AQ98" s="1402">
        <f/>
        <v/>
      </c>
      <c r="AR98" s="1403">
        <f/>
        <v/>
      </c>
      <c r="AS98" s="1403">
        <f/>
        <v/>
      </c>
      <c r="AT98" s="1400">
        <f>AQ98</f>
        <v/>
      </c>
      <c r="AU98" s="1405">
        <f>AR98</f>
        <v/>
      </c>
      <c r="AV98" s="1405">
        <f>AS98</f>
        <v/>
      </c>
      <c r="AW98" s="1400">
        <f>stayCont[[#This Row],[out]]-stayCont[[#This Row],[in]]</f>
        <v/>
      </c>
      <c r="AX98" s="1406">
        <f>IF(AR98&lt;&gt;"",AX97+1,AX97)</f>
        <v/>
      </c>
      <c r="AY98" s="1398" t="inlineStr">
        <is>
          <t>.</t>
        </is>
      </c>
      <c r="AZ98" s="1402" t="n"/>
      <c r="BA98" s="1403" t="n"/>
      <c r="BB98" s="1403" t="n"/>
      <c r="BC98" s="1405">
        <f>AZ98</f>
        <v/>
      </c>
      <c r="BD98" s="1405">
        <f>BA98</f>
        <v/>
      </c>
      <c r="BE98" s="1405">
        <f>BB98</f>
        <v/>
      </c>
      <c r="BF98" s="1400">
        <f>stayWB[[#This Row],[out]]-stayWB[[#This Row],[in]]</f>
        <v/>
      </c>
      <c r="BG98" s="1400">
        <f>IF(BB98&lt;&gt;"",BG97+1,BG97)</f>
        <v/>
      </c>
      <c r="BH98" s="1398" t="inlineStr">
        <is>
          <t>.</t>
        </is>
      </c>
      <c r="BI98" s="1402" t="inlineStr">
        <is>
          <t>UK</t>
        </is>
      </c>
      <c r="BJ98" s="1402" t="n">
        <v>1999</v>
      </c>
      <c r="BK98" s="1400">
        <f>BI98</f>
        <v/>
      </c>
      <c r="BL98" s="1409">
        <f>BJ98</f>
        <v/>
      </c>
      <c r="BM98" s="1378" t="inlineStr">
        <is>
          <t>.</t>
        </is>
      </c>
      <c r="BN98" s="1402" t="inlineStr">
        <is>
          <t>N</t>
        </is>
      </c>
      <c r="BO98" s="1400">
        <f>BN98</f>
        <v/>
      </c>
      <c r="BP98" s="1398" t="inlineStr">
        <is>
          <t>.</t>
        </is>
      </c>
      <c r="BQ98" s="1400">
        <f>IF(BR98&lt;&gt;"",BQ97+1,BQ97)</f>
        <v/>
      </c>
      <c r="BR98" s="1411" t="inlineStr">
        <is>
          <t>SSA</t>
        </is>
      </c>
      <c r="BS98" s="1411" t="inlineStr">
        <is>
          <t>SP</t>
        </is>
      </c>
      <c r="BT98" s="1412" t="inlineStr">
        <is>
          <t>SSA-SP</t>
        </is>
      </c>
      <c r="BU98" s="1412" t="n">
        <v>36956</v>
      </c>
      <c r="BV98" s="1398" t="inlineStr">
        <is>
          <t>.</t>
        </is>
      </c>
      <c r="BW98" s="1392" t="n"/>
      <c r="BX98" s="1392" t="n"/>
      <c r="BY98" s="1392" t="n"/>
      <c r="BZ98" s="1416" t="n"/>
      <c r="CA98" s="1392" t="n"/>
      <c r="CB98" s="1398" t="inlineStr">
        <is>
          <t>.</t>
        </is>
      </c>
      <c r="CC98" s="1400">
        <f>IF(CD98&lt;&gt;"",CC97+1,CC97)</f>
        <v/>
      </c>
      <c r="CD98" s="1411" t="inlineStr">
        <is>
          <t>David's</t>
        </is>
      </c>
      <c r="CE98" s="1412" t="n">
        <v>38497</v>
      </c>
      <c r="CF98" s="1412" t="n">
        <v>38507</v>
      </c>
      <c r="CG98" s="1415">
        <f>CF98-CE98</f>
        <v/>
      </c>
      <c r="CH98" s="1398" t="inlineStr">
        <is>
          <t>.</t>
        </is>
      </c>
      <c r="CI98" s="1392" t="n"/>
      <c r="CJ98" s="1392" t="n"/>
      <c r="CK98" s="1392" t="n"/>
      <c r="CL98" s="1392" t="n"/>
    </row>
    <row r="99">
      <c r="A99" s="5" t="inlineStr">
        <is>
          <t>.</t>
        </is>
      </c>
      <c r="B99" s="5" t="inlineStr">
        <is>
          <t>.</t>
        </is>
      </c>
      <c r="C99" s="1378">
        <f>IF(raw[[#This Row],[city]]="","-",IF(raw[[#This Row],[city]]="TODAY","-",C98+1))</f>
        <v/>
      </c>
      <c r="D99" s="1393" t="inlineStr">
        <is>
          <t>Freiburg</t>
        </is>
      </c>
      <c r="E99" s="1394" t="n">
        <v>30722</v>
      </c>
      <c r="F99" s="1394" t="n">
        <v>30722</v>
      </c>
      <c r="G99" s="1393" t="inlineStr">
        <is>
          <t>-</t>
        </is>
      </c>
      <c r="H99" s="1393">
        <f>H98</f>
        <v/>
      </c>
      <c r="I99" s="1393" t="inlineStr">
        <is>
          <t>-</t>
        </is>
      </c>
      <c r="J99" s="1393" t="inlineStr">
        <is>
          <t>-</t>
        </is>
      </c>
      <c r="K99" s="1395">
        <f>IF(raw[[#This Row],[city]]&lt;&gt;"",_xlfn.XLOOKUP($D99,ccc[city],ccc[prov],"-"),"-")</f>
        <v/>
      </c>
      <c r="L99" s="1395">
        <f>IF(raw[[#This Row],[city]]&lt;&gt;"",_xlfn.XLOOKUP($D99,ccc[city],ccc[ctry],"-"),"-")</f>
        <v/>
      </c>
      <c r="M99" s="1395">
        <f>IF(raw[[#This Row],[city]]&lt;&gt;"",_xlfn.XLOOKUP($D99,ccc[city],ccc[cont],"-"),"-")</f>
        <v/>
      </c>
      <c r="N99" s="1396">
        <f>IF(raw[[#This Row],[city]]="","-",IF(raw[[#This Row],[cont]]="B",raw[[#This Row],[cont]],"W"))</f>
        <v/>
      </c>
      <c r="O99" s="1397">
        <f>IF(raw[[#This Row],[out]]=0,0,IF(raw[[#This Row],[out]]=raw[[#This Row],[in]],0.01,raw[[#This Row],[out]]-raw[[#This Row],[in]]))</f>
        <v/>
      </c>
      <c r="P99" s="1397">
        <f>IF(raw[[#This Row],[in]]=0,0,MONTH(raw[[#This Row],[in]]))</f>
        <v/>
      </c>
      <c r="Q99" s="1397">
        <f>IF(raw[[#This Row],[in]]=0,0,YEAR(raw[[#This Row],[in]]))</f>
        <v/>
      </c>
      <c r="R99" s="1397">
        <f>INT(raw[[#This Row],[yr]]/10)*10</f>
        <v/>
      </c>
      <c r="S99" s="1395">
        <f>IF(raw[[#This Row],[city]]="","-",IF(raw[[#This Row],[city]]&lt;&gt;_xlfn.XLOOKUP(raw[[#This Row],[home]],homes[home],homes[city],"-"),1,0))</f>
        <v/>
      </c>
      <c r="T99" s="1398" t="inlineStr">
        <is>
          <t>.</t>
        </is>
      </c>
      <c r="U99" s="1399">
        <f>IF(raw[[#This Row],[wb]]="w",raw[[#This Row],[stay]]+U98,U98)</f>
        <v/>
      </c>
      <c r="V99" s="1400">
        <f>IF(raw[[#This Row],[out]]=0,V98,(raw[[#This Row],[out]]-E$5))</f>
        <v/>
      </c>
      <c r="W99" s="1401">
        <f>U99/V99</f>
        <v/>
      </c>
      <c r="X99" s="1378" t="inlineStr">
        <is>
          <t>.</t>
        </is>
      </c>
      <c r="Y99" s="1402">
        <f/>
        <v/>
      </c>
      <c r="Z99" s="1403">
        <f/>
        <v/>
      </c>
      <c r="AA99" s="1403">
        <f/>
        <v/>
      </c>
      <c r="AB99" s="1400">
        <f t="array" ref="AB99">_xlfn.LET(_xlpm.S,_xlfn.ANCHORARRAY($Y$4),_xlpm.r,ROWS(stayCity[[#Headers],[city]]:stayCity[[#This Row],[city]])-1,IF(_xlpm.r&lt;=ROWS(_xlpm.S),INDEX(_xlpm.S,_xlpm.r,1),""))</f>
        <v/>
      </c>
      <c r="AC99" s="1405">
        <f t="array" ref="AC99">_xlfn.LET(_xlpm.S,_xlfn.ANCHORARRAY($Y$4),_xlpm.r,ROWS(stayCity[[#Headers],[city]]:stayCity[[#This Row],[city]])-1,IF(_xlpm.r&lt;=ROWS(_xlpm.S),INDEX(_xlpm.S,_xlpm.r,2),""))</f>
        <v/>
      </c>
      <c r="AD99" s="1405">
        <f t="array" ref="AD99">_xlfn.LET(_xlpm.S,_xlfn.ANCHORARRAY($Y$4),_xlpm.r,ROWS(stayCity[[#Headers],[city]]:stayCity[[#This Row],[city]])-1,IF(_xlpm.r&lt;=ROWS(_xlpm.S),INDEX(_xlpm.S,_xlpm.r,3),""))</f>
        <v/>
      </c>
      <c r="AE99" s="1400">
        <f>IF(stayCity[[#This Row],[out]]&lt;&gt;"",stayCity[[#This Row],[out]]-stayCity[[#This Row],[in]],"-")</f>
        <v/>
      </c>
      <c r="AF99" s="1406">
        <f>IF(Y99="","-",YEAR(stayCity[[#This Row],[in]]))</f>
        <v/>
      </c>
      <c r="AG99" s="1398" t="inlineStr">
        <is>
          <t>.</t>
        </is>
      </c>
      <c r="AH99" s="1402">
        <f/>
        <v/>
      </c>
      <c r="AI99" s="1403">
        <f/>
        <v/>
      </c>
      <c r="AJ99" s="1403">
        <f/>
        <v/>
      </c>
      <c r="AK99" s="1400">
        <f>IF(AH99="","-",AH99)</f>
        <v/>
      </c>
      <c r="AL99" s="1405">
        <f>AI99</f>
        <v/>
      </c>
      <c r="AM99" s="1405">
        <f>AJ99</f>
        <v/>
      </c>
      <c r="AN99" s="1400">
        <f>stayCtry[[#This Row],[out]]-stayCtry[[#This Row],[in]]</f>
        <v/>
      </c>
      <c r="AO99" s="1406">
        <f>IF(AI99&lt;&gt;"",AO98+1,AO98)</f>
        <v/>
      </c>
      <c r="AP99" s="1398" t="inlineStr">
        <is>
          <t>.</t>
        </is>
      </c>
      <c r="AQ99" s="1402">
        <f/>
        <v/>
      </c>
      <c r="AR99" s="1403">
        <f/>
        <v/>
      </c>
      <c r="AS99" s="1403">
        <f/>
        <v/>
      </c>
      <c r="AT99" s="1400">
        <f>AQ99</f>
        <v/>
      </c>
      <c r="AU99" s="1405">
        <f>AR99</f>
        <v/>
      </c>
      <c r="AV99" s="1405">
        <f>AS99</f>
        <v/>
      </c>
      <c r="AW99" s="1400">
        <f>stayCont[[#This Row],[out]]-stayCont[[#This Row],[in]]</f>
        <v/>
      </c>
      <c r="AX99" s="1406">
        <f>IF(AR99&lt;&gt;"",AX98+1,AX98)</f>
        <v/>
      </c>
      <c r="AY99" s="1398" t="inlineStr">
        <is>
          <t>.</t>
        </is>
      </c>
      <c r="AZ99" s="1402" t="n"/>
      <c r="BA99" s="1403" t="n"/>
      <c r="BB99" s="1403" t="n"/>
      <c r="BC99" s="1405">
        <f>AZ99</f>
        <v/>
      </c>
      <c r="BD99" s="1405">
        <f>BA99</f>
        <v/>
      </c>
      <c r="BE99" s="1405">
        <f>BB99</f>
        <v/>
      </c>
      <c r="BF99" s="1400">
        <f>stayWB[[#This Row],[out]]-stayWB[[#This Row],[in]]</f>
        <v/>
      </c>
      <c r="BG99" s="1400">
        <f>IF(BB99&lt;&gt;"",BG98+1,BG98)</f>
        <v/>
      </c>
      <c r="BH99" s="1398" t="inlineStr">
        <is>
          <t>.</t>
        </is>
      </c>
      <c r="BI99" s="1402" t="inlineStr">
        <is>
          <t>FRA</t>
        </is>
      </c>
      <c r="BJ99" s="1402" t="n">
        <v>1999</v>
      </c>
      <c r="BK99" s="1400">
        <f>BI99</f>
        <v/>
      </c>
      <c r="BL99" s="1409">
        <f>BJ99</f>
        <v/>
      </c>
      <c r="BM99" s="1378" t="inlineStr">
        <is>
          <t>.</t>
        </is>
      </c>
      <c r="BN99" s="1402" t="inlineStr">
        <is>
          <t>Z</t>
        </is>
      </c>
      <c r="BO99" s="1400">
        <f>BN99</f>
        <v/>
      </c>
      <c r="BP99" s="1398" t="inlineStr">
        <is>
          <t>.</t>
        </is>
      </c>
      <c r="BQ99" s="1400">
        <f>IF(BR99&lt;&gt;"",BQ98+1,BQ98)</f>
        <v/>
      </c>
      <c r="BR99" s="1411" t="inlineStr">
        <is>
          <t>SP</t>
        </is>
      </c>
      <c r="BS99" s="1411" t="inlineStr">
        <is>
          <t>SSA</t>
        </is>
      </c>
      <c r="BT99" s="1412" t="inlineStr">
        <is>
          <t>SP-SSA</t>
        </is>
      </c>
      <c r="BU99" s="1412" t="n">
        <v>37225</v>
      </c>
      <c r="BV99" s="1398" t="inlineStr">
        <is>
          <t>.</t>
        </is>
      </c>
      <c r="BW99" s="1392" t="n"/>
      <c r="BX99" s="1392" t="n"/>
      <c r="BY99" s="1392" t="n"/>
      <c r="BZ99" s="1416" t="n"/>
      <c r="CA99" s="1392" t="n"/>
      <c r="CB99" s="1398" t="inlineStr">
        <is>
          <t>.</t>
        </is>
      </c>
      <c r="CC99" s="1400">
        <f>IF(CD99&lt;&gt;"",CC98+1,CC98)</f>
        <v/>
      </c>
      <c r="CD99" s="1411" t="inlineStr">
        <is>
          <t>VF</t>
        </is>
      </c>
      <c r="CE99" s="1412" t="n">
        <v>38509</v>
      </c>
      <c r="CF99" s="1412" t="n">
        <v>38595</v>
      </c>
      <c r="CG99" s="1415">
        <f>CF99-CE99</f>
        <v/>
      </c>
      <c r="CH99" s="1398" t="inlineStr">
        <is>
          <t>.</t>
        </is>
      </c>
      <c r="CI99" s="1392" t="n"/>
      <c r="CJ99" s="1392" t="n"/>
      <c r="CK99" s="1392" t="n"/>
      <c r="CL99" s="1392" t="n"/>
    </row>
    <row r="100">
      <c r="A100" s="5" t="inlineStr">
        <is>
          <t>.</t>
        </is>
      </c>
      <c r="B100" s="5" t="inlineStr">
        <is>
          <t>.</t>
        </is>
      </c>
      <c r="C100" s="1378">
        <f>IF(raw[[#This Row],[city]]="","-",IF(raw[[#This Row],[city]]="TODAY","-",C99+1))</f>
        <v/>
      </c>
      <c r="D100" s="1393" t="inlineStr">
        <is>
          <t>Offenburg</t>
        </is>
      </c>
      <c r="E100" s="1394" t="n">
        <v>30722</v>
      </c>
      <c r="F100" s="1394" t="n">
        <v>30722</v>
      </c>
      <c r="G100" s="1393" t="inlineStr">
        <is>
          <t>-</t>
        </is>
      </c>
      <c r="H100" s="1393">
        <f>H99</f>
        <v/>
      </c>
      <c r="I100" s="1393" t="n"/>
      <c r="J100" s="1393" t="inlineStr">
        <is>
          <t>-</t>
        </is>
      </c>
      <c r="K100" s="1395">
        <f>IF(raw[[#This Row],[city]]&lt;&gt;"",_xlfn.XLOOKUP($D100,ccc[city],ccc[prov],"-"),"-")</f>
        <v/>
      </c>
      <c r="L100" s="1395">
        <f>IF(raw[[#This Row],[city]]&lt;&gt;"",_xlfn.XLOOKUP($D100,ccc[city],ccc[ctry],"-"),"-")</f>
        <v/>
      </c>
      <c r="M100" s="1395">
        <f>IF(raw[[#This Row],[city]]&lt;&gt;"",_xlfn.XLOOKUP($D100,ccc[city],ccc[cont],"-"),"-")</f>
        <v/>
      </c>
      <c r="N100" s="1396">
        <f>IF(raw[[#This Row],[city]]="","-",IF(raw[[#This Row],[cont]]="B",raw[[#This Row],[cont]],"W"))</f>
        <v/>
      </c>
      <c r="O100" s="1397">
        <f>IF(raw[[#This Row],[out]]=0,0,IF(raw[[#This Row],[out]]=raw[[#This Row],[in]],0.01,raw[[#This Row],[out]]-raw[[#This Row],[in]]))</f>
        <v/>
      </c>
      <c r="P100" s="1397">
        <f>IF(raw[[#This Row],[in]]=0,0,MONTH(raw[[#This Row],[in]]))</f>
        <v/>
      </c>
      <c r="Q100" s="1397">
        <f>IF(raw[[#This Row],[in]]=0,0,YEAR(raw[[#This Row],[in]]))</f>
        <v/>
      </c>
      <c r="R100" s="1397">
        <f>INT(raw[[#This Row],[yr]]/10)*10</f>
        <v/>
      </c>
      <c r="S100" s="1395">
        <f>IF(raw[[#This Row],[city]]="","-",IF(raw[[#This Row],[city]]&lt;&gt;_xlfn.XLOOKUP(raw[[#This Row],[home]],homes[home],homes[city],"-"),1,0))</f>
        <v/>
      </c>
      <c r="T100" s="1398" t="inlineStr">
        <is>
          <t>.</t>
        </is>
      </c>
      <c r="U100" s="1399">
        <f>IF(raw[[#This Row],[wb]]="w",raw[[#This Row],[stay]]+U99,U99)</f>
        <v/>
      </c>
      <c r="V100" s="1400">
        <f>IF(raw[[#This Row],[out]]=0,V99,(raw[[#This Row],[out]]-E$5))</f>
        <v/>
      </c>
      <c r="W100" s="1401">
        <f>U100/V100</f>
        <v/>
      </c>
      <c r="X100" s="1378" t="inlineStr">
        <is>
          <t>.</t>
        </is>
      </c>
      <c r="Y100" s="1402">
        <f/>
        <v/>
      </c>
      <c r="Z100" s="1403">
        <f/>
        <v/>
      </c>
      <c r="AA100" s="1403">
        <f/>
        <v/>
      </c>
      <c r="AB100" s="1400">
        <f t="array" ref="AB100">_xlfn.LET(_xlpm.S,_xlfn.ANCHORARRAY($Y$4),_xlpm.r,ROWS(stayCity[[#Headers],[city]]:stayCity[[#This Row],[city]])-1,IF(_xlpm.r&lt;=ROWS(_xlpm.S),INDEX(_xlpm.S,_xlpm.r,1),""))</f>
        <v/>
      </c>
      <c r="AC100" s="1405">
        <f t="array" ref="AC100">_xlfn.LET(_xlpm.S,_xlfn.ANCHORARRAY($Y$4),_xlpm.r,ROWS(stayCity[[#Headers],[city]]:stayCity[[#This Row],[city]])-1,IF(_xlpm.r&lt;=ROWS(_xlpm.S),INDEX(_xlpm.S,_xlpm.r,2),""))</f>
        <v/>
      </c>
      <c r="AD100" s="1405">
        <f t="array" ref="AD100">_xlfn.LET(_xlpm.S,_xlfn.ANCHORARRAY($Y$4),_xlpm.r,ROWS(stayCity[[#Headers],[city]]:stayCity[[#This Row],[city]])-1,IF(_xlpm.r&lt;=ROWS(_xlpm.S),INDEX(_xlpm.S,_xlpm.r,3),""))</f>
        <v/>
      </c>
      <c r="AE100" s="1400">
        <f>IF(stayCity[[#This Row],[out]]&lt;&gt;"",stayCity[[#This Row],[out]]-stayCity[[#This Row],[in]],"-")</f>
        <v/>
      </c>
      <c r="AF100" s="1406">
        <f>IF(Y100="","-",YEAR(stayCity[[#This Row],[in]]))</f>
        <v/>
      </c>
      <c r="AG100" s="1398" t="inlineStr">
        <is>
          <t>.</t>
        </is>
      </c>
      <c r="AH100" s="1402">
        <f/>
        <v/>
      </c>
      <c r="AI100" s="1403">
        <f/>
        <v/>
      </c>
      <c r="AJ100" s="1403">
        <f/>
        <v/>
      </c>
      <c r="AK100" s="1400">
        <f>IF(AH100="","-",AH100)</f>
        <v/>
      </c>
      <c r="AL100" s="1405">
        <f>AI100</f>
        <v/>
      </c>
      <c r="AM100" s="1405">
        <f>AJ100</f>
        <v/>
      </c>
      <c r="AN100" s="1400">
        <f>stayCtry[[#This Row],[out]]-stayCtry[[#This Row],[in]]</f>
        <v/>
      </c>
      <c r="AO100" s="1406">
        <f>IF(AI100&lt;&gt;"",AO99+1,AO99)</f>
        <v/>
      </c>
      <c r="AP100" s="1398" t="inlineStr">
        <is>
          <t>.</t>
        </is>
      </c>
      <c r="AQ100" s="1402">
        <f/>
        <v/>
      </c>
      <c r="AR100" s="1403">
        <f/>
        <v/>
      </c>
      <c r="AS100" s="1403">
        <f/>
        <v/>
      </c>
      <c r="AT100" s="1400">
        <f>AQ100</f>
        <v/>
      </c>
      <c r="AU100" s="1405">
        <f>AR100</f>
        <v/>
      </c>
      <c r="AV100" s="1405">
        <f>AS100</f>
        <v/>
      </c>
      <c r="AW100" s="1400">
        <f>stayCont[[#This Row],[out]]-stayCont[[#This Row],[in]]</f>
        <v/>
      </c>
      <c r="AX100" s="1406">
        <f>IF(AR100&lt;&gt;"",AX99+1,AX99)</f>
        <v/>
      </c>
      <c r="AY100" s="1398" t="inlineStr">
        <is>
          <t>.</t>
        </is>
      </c>
      <c r="AZ100" s="1402" t="n"/>
      <c r="BA100" s="1403" t="n"/>
      <c r="BB100" s="1403" t="n"/>
      <c r="BC100" s="1405">
        <f>AZ100</f>
        <v/>
      </c>
      <c r="BD100" s="1405">
        <f>BA100</f>
        <v/>
      </c>
      <c r="BE100" s="1405">
        <f>BB100</f>
        <v/>
      </c>
      <c r="BF100" s="1400">
        <f>stayWB[[#This Row],[out]]-stayWB[[#This Row],[in]]</f>
        <v/>
      </c>
      <c r="BG100" s="1400">
        <f>IF(BB100&lt;&gt;"",BG99+1,BG99)</f>
        <v/>
      </c>
      <c r="BH100" s="1398" t="inlineStr">
        <is>
          <t>.</t>
        </is>
      </c>
      <c r="BI100" s="1402" t="inlineStr">
        <is>
          <t>UK</t>
        </is>
      </c>
      <c r="BJ100" s="1402" t="n">
        <v>1999</v>
      </c>
      <c r="BK100" s="1400">
        <f>BI100</f>
        <v/>
      </c>
      <c r="BL100" s="1409">
        <f>BJ100</f>
        <v/>
      </c>
      <c r="BM100" s="1378" t="inlineStr">
        <is>
          <t>.</t>
        </is>
      </c>
      <c r="BN100" s="1402" t="inlineStr">
        <is>
          <t>B</t>
        </is>
      </c>
      <c r="BO100" s="1400">
        <f>BN100</f>
        <v/>
      </c>
      <c r="BP100" s="1398" t="inlineStr">
        <is>
          <t>.</t>
        </is>
      </c>
      <c r="BQ100" s="1400">
        <f>IF(BR100&lt;&gt;"",BQ99+1,BQ99)</f>
        <v/>
      </c>
      <c r="BR100" s="1411" t="inlineStr">
        <is>
          <t>SSA</t>
        </is>
      </c>
      <c r="BS100" s="1411" t="inlineStr">
        <is>
          <t>SP</t>
        </is>
      </c>
      <c r="BT100" s="1412" t="inlineStr">
        <is>
          <t>SSA-SP</t>
        </is>
      </c>
      <c r="BU100" s="1412" t="n">
        <v>37235</v>
      </c>
      <c r="BV100" s="1398" t="inlineStr">
        <is>
          <t>.</t>
        </is>
      </c>
      <c r="BW100" s="1392" t="n"/>
      <c r="BX100" s="1392" t="n"/>
      <c r="BY100" s="1392" t="n"/>
      <c r="BZ100" s="1416" t="n"/>
      <c r="CA100" s="1392" t="n"/>
      <c r="CB100" s="1398" t="inlineStr">
        <is>
          <t>.</t>
        </is>
      </c>
      <c r="CC100" s="1400">
        <f>IF(CD100&lt;&gt;"",CC99+1,CC99)</f>
        <v/>
      </c>
      <c r="CD100" s="1411" t="inlineStr">
        <is>
          <t>David's</t>
        </is>
      </c>
      <c r="CE100" s="1412" t="n">
        <v>38633</v>
      </c>
      <c r="CF100" s="1412" t="n">
        <v>38638</v>
      </c>
      <c r="CG100" s="1415">
        <f>CF100-CE100</f>
        <v/>
      </c>
      <c r="CH100" s="1398" t="inlineStr">
        <is>
          <t>.</t>
        </is>
      </c>
      <c r="CI100" s="1392" t="n"/>
      <c r="CJ100" s="1392" t="n"/>
      <c r="CK100" s="1392" t="n"/>
      <c r="CL100" s="1392" t="n"/>
    </row>
    <row r="101">
      <c r="A101" s="5" t="inlineStr">
        <is>
          <t>.</t>
        </is>
      </c>
      <c r="B101" s="5" t="inlineStr">
        <is>
          <t>.</t>
        </is>
      </c>
      <c r="C101" s="1378">
        <f>IF(raw[[#This Row],[city]]="","-",IF(raw[[#This Row],[city]]="TODAY","-",C100+1))</f>
        <v/>
      </c>
      <c r="D101" s="1393" t="inlineStr">
        <is>
          <t>Baden-Baden</t>
        </is>
      </c>
      <c r="E101" s="1394" t="n">
        <v>30722</v>
      </c>
      <c r="F101" s="1394" t="n">
        <v>30724</v>
      </c>
      <c r="G101" s="1393" t="inlineStr">
        <is>
          <t>-</t>
        </is>
      </c>
      <c r="H101" s="1393">
        <f>H100</f>
        <v/>
      </c>
      <c r="I101" s="1393" t="n"/>
      <c r="J101" s="1393" t="inlineStr">
        <is>
          <t>-</t>
        </is>
      </c>
      <c r="K101" s="1395">
        <f>IF(raw[[#This Row],[city]]&lt;&gt;"",_xlfn.XLOOKUP($D101,ccc[city],ccc[prov],"-"),"-")</f>
        <v/>
      </c>
      <c r="L101" s="1395">
        <f>IF(raw[[#This Row],[city]]&lt;&gt;"",_xlfn.XLOOKUP($D101,ccc[city],ccc[ctry],"-"),"-")</f>
        <v/>
      </c>
      <c r="M101" s="1395">
        <f>IF(raw[[#This Row],[city]]&lt;&gt;"",_xlfn.XLOOKUP($D101,ccc[city],ccc[cont],"-"),"-")</f>
        <v/>
      </c>
      <c r="N101" s="1396">
        <f>IF(raw[[#This Row],[city]]="","-",IF(raw[[#This Row],[cont]]="B",raw[[#This Row],[cont]],"W"))</f>
        <v/>
      </c>
      <c r="O101" s="1397">
        <f>IF(raw[[#This Row],[out]]=0,0,IF(raw[[#This Row],[out]]=raw[[#This Row],[in]],0.01,raw[[#This Row],[out]]-raw[[#This Row],[in]]))</f>
        <v/>
      </c>
      <c r="P101" s="1397">
        <f>IF(raw[[#This Row],[in]]=0,0,MONTH(raw[[#This Row],[in]]))</f>
        <v/>
      </c>
      <c r="Q101" s="1397">
        <f>IF(raw[[#This Row],[in]]=0,0,YEAR(raw[[#This Row],[in]]))</f>
        <v/>
      </c>
      <c r="R101" s="1397">
        <f>INT(raw[[#This Row],[yr]]/10)*10</f>
        <v/>
      </c>
      <c r="S101" s="1395">
        <f>IF(raw[[#This Row],[city]]="","-",IF(raw[[#This Row],[city]]&lt;&gt;_xlfn.XLOOKUP(raw[[#This Row],[home]],homes[home],homes[city],"-"),1,0))</f>
        <v/>
      </c>
      <c r="T101" s="1398" t="inlineStr">
        <is>
          <t>.</t>
        </is>
      </c>
      <c r="U101" s="1399">
        <f>IF(raw[[#This Row],[wb]]="w",raw[[#This Row],[stay]]+U100,U100)</f>
        <v/>
      </c>
      <c r="V101" s="1400">
        <f>IF(raw[[#This Row],[out]]=0,V100,(raw[[#This Row],[out]]-E$5))</f>
        <v/>
      </c>
      <c r="W101" s="1401">
        <f>U101/V101</f>
        <v/>
      </c>
      <c r="X101" s="1378" t="inlineStr">
        <is>
          <t>.</t>
        </is>
      </c>
      <c r="Y101" s="1402">
        <f/>
        <v/>
      </c>
      <c r="Z101" s="1403">
        <f/>
        <v/>
      </c>
      <c r="AA101" s="1403">
        <f/>
        <v/>
      </c>
      <c r="AB101" s="1400">
        <f t="array" ref="AB101">_xlfn.LET(_xlpm.S,_xlfn.ANCHORARRAY($Y$4),_xlpm.r,ROWS(stayCity[[#Headers],[city]]:stayCity[[#This Row],[city]])-1,IF(_xlpm.r&lt;=ROWS(_xlpm.S),INDEX(_xlpm.S,_xlpm.r,1),""))</f>
        <v/>
      </c>
      <c r="AC101" s="1405">
        <f t="array" ref="AC101">_xlfn.LET(_xlpm.S,_xlfn.ANCHORARRAY($Y$4),_xlpm.r,ROWS(stayCity[[#Headers],[city]]:stayCity[[#This Row],[city]])-1,IF(_xlpm.r&lt;=ROWS(_xlpm.S),INDEX(_xlpm.S,_xlpm.r,2),""))</f>
        <v/>
      </c>
      <c r="AD101" s="1405">
        <f t="array" ref="AD101">_xlfn.LET(_xlpm.S,_xlfn.ANCHORARRAY($Y$4),_xlpm.r,ROWS(stayCity[[#Headers],[city]]:stayCity[[#This Row],[city]])-1,IF(_xlpm.r&lt;=ROWS(_xlpm.S),INDEX(_xlpm.S,_xlpm.r,3),""))</f>
        <v/>
      </c>
      <c r="AE101" s="1400">
        <f>IF(stayCity[[#This Row],[out]]&lt;&gt;"",stayCity[[#This Row],[out]]-stayCity[[#This Row],[in]],"-")</f>
        <v/>
      </c>
      <c r="AF101" s="1406">
        <f>IF(Y101="","-",YEAR(stayCity[[#This Row],[in]]))</f>
        <v/>
      </c>
      <c r="AG101" s="1398" t="inlineStr">
        <is>
          <t>.</t>
        </is>
      </c>
      <c r="AH101" s="1402">
        <f/>
        <v/>
      </c>
      <c r="AI101" s="1403">
        <f/>
        <v/>
      </c>
      <c r="AJ101" s="1403">
        <f/>
        <v/>
      </c>
      <c r="AK101" s="1400">
        <f>IF(AH101="","-",AH101)</f>
        <v/>
      </c>
      <c r="AL101" s="1405">
        <f>AI101</f>
        <v/>
      </c>
      <c r="AM101" s="1405">
        <f>AJ101</f>
        <v/>
      </c>
      <c r="AN101" s="1400">
        <f>stayCtry[[#This Row],[out]]-stayCtry[[#This Row],[in]]</f>
        <v/>
      </c>
      <c r="AO101" s="1406">
        <f>IF(AI101&lt;&gt;"",AO100+1,AO100)</f>
        <v/>
      </c>
      <c r="AP101" s="1398" t="inlineStr">
        <is>
          <t>.</t>
        </is>
      </c>
      <c r="AQ101" s="1402">
        <f/>
        <v/>
      </c>
      <c r="AR101" s="1403">
        <f/>
        <v/>
      </c>
      <c r="AS101" s="1403">
        <f/>
        <v/>
      </c>
      <c r="AT101" s="1400">
        <f>AQ101</f>
        <v/>
      </c>
      <c r="AU101" s="1405">
        <f>AR101</f>
        <v/>
      </c>
      <c r="AV101" s="1405">
        <f>AS101</f>
        <v/>
      </c>
      <c r="AW101" s="1400">
        <f>stayCont[[#This Row],[out]]-stayCont[[#This Row],[in]]</f>
        <v/>
      </c>
      <c r="AX101" s="1406">
        <f>IF(AR101&lt;&gt;"",AX100+1,AX100)</f>
        <v/>
      </c>
      <c r="AY101" s="1398" t="inlineStr">
        <is>
          <t>.</t>
        </is>
      </c>
      <c r="AZ101" s="1402" t="n"/>
      <c r="BA101" s="1403" t="n"/>
      <c r="BB101" s="1403" t="n"/>
      <c r="BC101" s="1405">
        <f>AZ101</f>
        <v/>
      </c>
      <c r="BD101" s="1405">
        <f>BA101</f>
        <v/>
      </c>
      <c r="BE101" s="1405">
        <f>BB101</f>
        <v/>
      </c>
      <c r="BF101" s="1400">
        <f>stayWB[[#This Row],[out]]-stayWB[[#This Row],[in]]</f>
        <v/>
      </c>
      <c r="BG101" s="1400">
        <f>IF(BB101&lt;&gt;"",BG100+1,BG100)</f>
        <v/>
      </c>
      <c r="BH101" s="1398" t="inlineStr">
        <is>
          <t>.</t>
        </is>
      </c>
      <c r="BI101" s="1402" t="inlineStr">
        <is>
          <t>PRT</t>
        </is>
      </c>
      <c r="BJ101" s="1402" t="n">
        <v>1999</v>
      </c>
      <c r="BK101" s="1400">
        <f>BI101</f>
        <v/>
      </c>
      <c r="BL101" s="1409">
        <f>BJ101</f>
        <v/>
      </c>
      <c r="BM101" s="1378" t="inlineStr">
        <is>
          <t>.</t>
        </is>
      </c>
      <c r="BN101" s="1402" t="inlineStr">
        <is>
          <t>N</t>
        </is>
      </c>
      <c r="BO101" s="1400">
        <f>BN101</f>
        <v/>
      </c>
      <c r="BP101" s="1398" t="inlineStr">
        <is>
          <t>.</t>
        </is>
      </c>
      <c r="BQ101" s="1400">
        <f>IF(BR101&lt;&gt;"",BQ100+1,BQ100)</f>
        <v/>
      </c>
      <c r="BR101" s="1411" t="inlineStr">
        <is>
          <t>Rio</t>
        </is>
      </c>
      <c r="BS101" s="1411" t="inlineStr">
        <is>
          <t>SSA</t>
        </is>
      </c>
      <c r="BT101" s="1412" t="inlineStr">
        <is>
          <t>Rio-SSA</t>
        </is>
      </c>
      <c r="BU101" s="1412" t="n">
        <v>37288</v>
      </c>
      <c r="BV101" s="1398" t="inlineStr">
        <is>
          <t>.</t>
        </is>
      </c>
      <c r="BW101" s="1392" t="n"/>
      <c r="BX101" s="1392" t="n"/>
      <c r="BY101" s="1392" t="n"/>
      <c r="BZ101" s="1416" t="n"/>
      <c r="CA101" s="1392" t="n"/>
      <c r="CB101" s="1398" t="inlineStr">
        <is>
          <t>.</t>
        </is>
      </c>
      <c r="CC101" s="1400">
        <f>IF(CD101&lt;&gt;"",CC100+1,CC100)</f>
        <v/>
      </c>
      <c r="CD101" s="1411" t="inlineStr">
        <is>
          <t>Bado/Morumbi</t>
        </is>
      </c>
      <c r="CE101" s="1412" t="n">
        <v>38664</v>
      </c>
      <c r="CF101" s="1412" t="n">
        <v>38691</v>
      </c>
      <c r="CG101" s="1415">
        <f>CF101-CE101</f>
        <v/>
      </c>
      <c r="CH101" s="1398" t="inlineStr">
        <is>
          <t>.</t>
        </is>
      </c>
      <c r="CI101" s="1392" t="n"/>
      <c r="CJ101" s="1392" t="n"/>
      <c r="CK101" s="1392" t="n"/>
      <c r="CL101" s="1392" t="n"/>
    </row>
    <row r="102">
      <c r="A102" s="5" t="inlineStr">
        <is>
          <t>.</t>
        </is>
      </c>
      <c r="B102" s="5" t="inlineStr">
        <is>
          <t>.</t>
        </is>
      </c>
      <c r="C102" s="1378">
        <f>IF(raw[[#This Row],[city]]="","-",IF(raw[[#This Row],[city]]="TODAY","-",C101+1))</f>
        <v/>
      </c>
      <c r="D102" s="1393" t="inlineStr">
        <is>
          <t>Freudenstadt</t>
        </is>
      </c>
      <c r="E102" s="1394" t="n">
        <v>30724</v>
      </c>
      <c r="F102" s="1394" t="n">
        <v>30726</v>
      </c>
      <c r="G102" s="1393" t="inlineStr">
        <is>
          <t>-</t>
        </is>
      </c>
      <c r="H102" s="1393">
        <f>H101</f>
        <v/>
      </c>
      <c r="I102" s="1393" t="n"/>
      <c r="J102" s="1393" t="inlineStr">
        <is>
          <t>-</t>
        </is>
      </c>
      <c r="K102" s="1395">
        <f>IF(raw[[#This Row],[city]]&lt;&gt;"",_xlfn.XLOOKUP($D102,ccc[city],ccc[prov],"-"),"-")</f>
        <v/>
      </c>
      <c r="L102" s="1395">
        <f>IF(raw[[#This Row],[city]]&lt;&gt;"",_xlfn.XLOOKUP($D102,ccc[city],ccc[ctry],"-"),"-")</f>
        <v/>
      </c>
      <c r="M102" s="1395">
        <f>IF(raw[[#This Row],[city]]&lt;&gt;"",_xlfn.XLOOKUP($D102,ccc[city],ccc[cont],"-"),"-")</f>
        <v/>
      </c>
      <c r="N102" s="1396">
        <f>IF(raw[[#This Row],[city]]="","-",IF(raw[[#This Row],[cont]]="B",raw[[#This Row],[cont]],"W"))</f>
        <v/>
      </c>
      <c r="O102" s="1397">
        <f>IF(raw[[#This Row],[out]]=0,0,IF(raw[[#This Row],[out]]=raw[[#This Row],[in]],0.01,raw[[#This Row],[out]]-raw[[#This Row],[in]]))</f>
        <v/>
      </c>
      <c r="P102" s="1397">
        <f>IF(raw[[#This Row],[in]]=0,0,MONTH(raw[[#This Row],[in]]))</f>
        <v/>
      </c>
      <c r="Q102" s="1397">
        <f>IF(raw[[#This Row],[in]]=0,0,YEAR(raw[[#This Row],[in]]))</f>
        <v/>
      </c>
      <c r="R102" s="1397">
        <f>INT(raw[[#This Row],[yr]]/10)*10</f>
        <v/>
      </c>
      <c r="S102" s="1395">
        <f>IF(raw[[#This Row],[city]]="","-",IF(raw[[#This Row],[city]]&lt;&gt;_xlfn.XLOOKUP(raw[[#This Row],[home]],homes[home],homes[city],"-"),1,0))</f>
        <v/>
      </c>
      <c r="T102" s="1398" t="inlineStr">
        <is>
          <t>.</t>
        </is>
      </c>
      <c r="U102" s="1399">
        <f>IF(raw[[#This Row],[wb]]="w",raw[[#This Row],[stay]]+U101,U101)</f>
        <v/>
      </c>
      <c r="V102" s="1400">
        <f>IF(raw[[#This Row],[out]]=0,V101,(raw[[#This Row],[out]]-E$5))</f>
        <v/>
      </c>
      <c r="W102" s="1401">
        <f>U102/V102</f>
        <v/>
      </c>
      <c r="X102" s="1378" t="inlineStr">
        <is>
          <t>.</t>
        </is>
      </c>
      <c r="Y102" s="1402">
        <f/>
        <v/>
      </c>
      <c r="Z102" s="1403">
        <f/>
        <v/>
      </c>
      <c r="AA102" s="1403">
        <f/>
        <v/>
      </c>
      <c r="AB102" s="1400">
        <f t="array" ref="AB102">_xlfn.LET(_xlpm.S,_xlfn.ANCHORARRAY($Y$4),_xlpm.r,ROWS(stayCity[[#Headers],[city]]:stayCity[[#This Row],[city]])-1,IF(_xlpm.r&lt;=ROWS(_xlpm.S),INDEX(_xlpm.S,_xlpm.r,1),""))</f>
        <v/>
      </c>
      <c r="AC102" s="1405">
        <f t="array" ref="AC102">_xlfn.LET(_xlpm.S,_xlfn.ANCHORARRAY($Y$4),_xlpm.r,ROWS(stayCity[[#Headers],[city]]:stayCity[[#This Row],[city]])-1,IF(_xlpm.r&lt;=ROWS(_xlpm.S),INDEX(_xlpm.S,_xlpm.r,2),""))</f>
        <v/>
      </c>
      <c r="AD102" s="1405">
        <f t="array" ref="AD102">_xlfn.LET(_xlpm.S,_xlfn.ANCHORARRAY($Y$4),_xlpm.r,ROWS(stayCity[[#Headers],[city]]:stayCity[[#This Row],[city]])-1,IF(_xlpm.r&lt;=ROWS(_xlpm.S),INDEX(_xlpm.S,_xlpm.r,3),""))</f>
        <v/>
      </c>
      <c r="AE102" s="1400">
        <f>IF(stayCity[[#This Row],[out]]&lt;&gt;"",stayCity[[#This Row],[out]]-stayCity[[#This Row],[in]],"-")</f>
        <v/>
      </c>
      <c r="AF102" s="1406">
        <f>IF(Y102="","-",YEAR(stayCity[[#This Row],[in]]))</f>
        <v/>
      </c>
      <c r="AG102" s="1398" t="inlineStr">
        <is>
          <t>.</t>
        </is>
      </c>
      <c r="AH102" s="1402">
        <f/>
        <v/>
      </c>
      <c r="AI102" s="1403">
        <f/>
        <v/>
      </c>
      <c r="AJ102" s="1403">
        <f/>
        <v/>
      </c>
      <c r="AK102" s="1400">
        <f>IF(AH102="","-",AH102)</f>
        <v/>
      </c>
      <c r="AL102" s="1405">
        <f>AI102</f>
        <v/>
      </c>
      <c r="AM102" s="1405">
        <f>AJ102</f>
        <v/>
      </c>
      <c r="AN102" s="1400">
        <f>stayCtry[[#This Row],[out]]-stayCtry[[#This Row],[in]]</f>
        <v/>
      </c>
      <c r="AO102" s="1406">
        <f>IF(AI102&lt;&gt;"",AO101+1,AO101)</f>
        <v/>
      </c>
      <c r="AP102" s="1398" t="inlineStr">
        <is>
          <t>.</t>
        </is>
      </c>
      <c r="AQ102" s="1402">
        <f/>
        <v/>
      </c>
      <c r="AR102" s="1403">
        <f/>
        <v/>
      </c>
      <c r="AS102" s="1403">
        <f/>
        <v/>
      </c>
      <c r="AT102" s="1400">
        <f>AQ102</f>
        <v/>
      </c>
      <c r="AU102" s="1405">
        <f>AR102</f>
        <v/>
      </c>
      <c r="AV102" s="1405">
        <f>AS102</f>
        <v/>
      </c>
      <c r="AW102" s="1400">
        <f>stayCont[[#This Row],[out]]-stayCont[[#This Row],[in]]</f>
        <v/>
      </c>
      <c r="AX102" s="1406">
        <f>IF(AR102&lt;&gt;"",AX101+1,AX101)</f>
        <v/>
      </c>
      <c r="AY102" s="1398" t="inlineStr">
        <is>
          <t>.</t>
        </is>
      </c>
      <c r="AZ102" s="1402" t="n"/>
      <c r="BA102" s="1403" t="n"/>
      <c r="BB102" s="1403" t="n"/>
      <c r="BC102" s="1405">
        <f>AZ102</f>
        <v/>
      </c>
      <c r="BD102" s="1405">
        <f>BA102</f>
        <v/>
      </c>
      <c r="BE102" s="1405">
        <f>BB102</f>
        <v/>
      </c>
      <c r="BF102" s="1400">
        <f>stayWB[[#This Row],[out]]-stayWB[[#This Row],[in]]</f>
        <v/>
      </c>
      <c r="BG102" s="1400">
        <f>IF(BB102&lt;&gt;"",BG101+1,BG101)</f>
        <v/>
      </c>
      <c r="BH102" s="1398" t="inlineStr">
        <is>
          <t>.</t>
        </is>
      </c>
      <c r="BI102" s="1402" t="inlineStr">
        <is>
          <t>BRA</t>
        </is>
      </c>
      <c r="BJ102" s="1402" t="n">
        <v>1999</v>
      </c>
      <c r="BK102" s="1400">
        <f>BI102</f>
        <v/>
      </c>
      <c r="BL102" s="1409">
        <f>BJ102</f>
        <v/>
      </c>
      <c r="BM102" s="1378" t="inlineStr">
        <is>
          <t>.</t>
        </is>
      </c>
      <c r="BN102" s="1402" t="inlineStr">
        <is>
          <t>Z</t>
        </is>
      </c>
      <c r="BO102" s="1400">
        <f>BN102</f>
        <v/>
      </c>
      <c r="BP102" s="1398" t="inlineStr">
        <is>
          <t>.</t>
        </is>
      </c>
      <c r="BQ102" s="1400">
        <f>IF(BR102&lt;&gt;"",BQ101+1,BQ101)</f>
        <v/>
      </c>
      <c r="BR102" s="1411" t="inlineStr">
        <is>
          <t>SSA</t>
        </is>
      </c>
      <c r="BS102" s="1411" t="inlineStr">
        <is>
          <t>SP</t>
        </is>
      </c>
      <c r="BT102" s="1412" t="inlineStr">
        <is>
          <t>SSA-SP</t>
        </is>
      </c>
      <c r="BU102" s="1412" t="n">
        <v>37304</v>
      </c>
      <c r="BV102" s="1398" t="inlineStr">
        <is>
          <t>.</t>
        </is>
      </c>
      <c r="BW102" s="1392" t="n"/>
      <c r="BX102" s="1392" t="n"/>
      <c r="BY102" s="1392" t="n"/>
      <c r="BZ102" s="1416" t="n"/>
      <c r="CA102" s="1392" t="n"/>
      <c r="CB102" s="1398" t="inlineStr">
        <is>
          <t>.</t>
        </is>
      </c>
      <c r="CC102" s="1400">
        <f>IF(CD102&lt;&gt;"",CC101+1,CC101)</f>
        <v/>
      </c>
      <c r="CD102" s="1411" t="inlineStr">
        <is>
          <t>Salto Grande</t>
        </is>
      </c>
      <c r="CE102" s="1412" t="n">
        <v>38826</v>
      </c>
      <c r="CF102" s="1412" t="n">
        <v>38841</v>
      </c>
      <c r="CG102" s="1415">
        <f>CF102-CE102</f>
        <v/>
      </c>
      <c r="CH102" s="1398" t="inlineStr">
        <is>
          <t>.</t>
        </is>
      </c>
      <c r="CI102" s="1392" t="n"/>
      <c r="CJ102" s="1392" t="n"/>
      <c r="CK102" s="1392" t="n"/>
      <c r="CL102" s="1392" t="n"/>
    </row>
    <row r="103">
      <c r="A103" s="5" t="inlineStr">
        <is>
          <t>.</t>
        </is>
      </c>
      <c r="B103" s="5" t="inlineStr">
        <is>
          <t>.</t>
        </is>
      </c>
      <c r="C103" s="1378">
        <f>IF(raw[[#This Row],[city]]="","-",IF(raw[[#This Row],[city]]="TODAY","-",C102+1))</f>
        <v/>
      </c>
      <c r="D103" s="1393" t="inlineStr">
        <is>
          <t>Wiesbaden</t>
        </is>
      </c>
      <c r="E103" s="1394" t="n">
        <v>30726</v>
      </c>
      <c r="F103" s="1394" t="n">
        <v>30726</v>
      </c>
      <c r="G103" s="1393" t="inlineStr">
        <is>
          <t>-</t>
        </is>
      </c>
      <c r="H103" s="1393">
        <f>H102</f>
        <v/>
      </c>
      <c r="I103" s="1393" t="inlineStr">
        <is>
          <t>-</t>
        </is>
      </c>
      <c r="J103" s="1393" t="inlineStr">
        <is>
          <t>-</t>
        </is>
      </c>
      <c r="K103" s="1395">
        <f>IF(raw[[#This Row],[city]]&lt;&gt;"",_xlfn.XLOOKUP($D103,ccc[city],ccc[prov],"-"),"-")</f>
        <v/>
      </c>
      <c r="L103" s="1395">
        <f>IF(raw[[#This Row],[city]]&lt;&gt;"",_xlfn.XLOOKUP($D103,ccc[city],ccc[ctry],"-"),"-")</f>
        <v/>
      </c>
      <c r="M103" s="1395">
        <f>IF(raw[[#This Row],[city]]&lt;&gt;"",_xlfn.XLOOKUP($D103,ccc[city],ccc[cont],"-"),"-")</f>
        <v/>
      </c>
      <c r="N103" s="1396">
        <f>IF(raw[[#This Row],[city]]="","-",IF(raw[[#This Row],[cont]]="B",raw[[#This Row],[cont]],"W"))</f>
        <v/>
      </c>
      <c r="O103" s="1397">
        <f>IF(raw[[#This Row],[out]]=0,0,IF(raw[[#This Row],[out]]=raw[[#This Row],[in]],0.01,raw[[#This Row],[out]]-raw[[#This Row],[in]]))</f>
        <v/>
      </c>
      <c r="P103" s="1397">
        <f>IF(raw[[#This Row],[in]]=0,0,MONTH(raw[[#This Row],[in]]))</f>
        <v/>
      </c>
      <c r="Q103" s="1397">
        <f>IF(raw[[#This Row],[in]]=0,0,YEAR(raw[[#This Row],[in]]))</f>
        <v/>
      </c>
      <c r="R103" s="1397">
        <f>INT(raw[[#This Row],[yr]]/10)*10</f>
        <v/>
      </c>
      <c r="S103" s="1395">
        <f>IF(raw[[#This Row],[city]]="","-",IF(raw[[#This Row],[city]]&lt;&gt;_xlfn.XLOOKUP(raw[[#This Row],[home]],homes[home],homes[city],"-"),1,0))</f>
        <v/>
      </c>
      <c r="T103" s="1398" t="inlineStr">
        <is>
          <t>.</t>
        </is>
      </c>
      <c r="U103" s="1399">
        <f>IF(raw[[#This Row],[wb]]="w",raw[[#This Row],[stay]]+U102,U102)</f>
        <v/>
      </c>
      <c r="V103" s="1400">
        <f>IF(raw[[#This Row],[out]]=0,V102,(raw[[#This Row],[out]]-E$5))</f>
        <v/>
      </c>
      <c r="W103" s="1401">
        <f>U103/V103</f>
        <v/>
      </c>
      <c r="X103" s="1378" t="inlineStr">
        <is>
          <t>.</t>
        </is>
      </c>
      <c r="Y103" s="1402">
        <f/>
        <v/>
      </c>
      <c r="Z103" s="1403">
        <f/>
        <v/>
      </c>
      <c r="AA103" s="1403">
        <f/>
        <v/>
      </c>
      <c r="AB103" s="1400">
        <f t="array" ref="AB103">_xlfn.LET(_xlpm.S,_xlfn.ANCHORARRAY($Y$4),_xlpm.r,ROWS(stayCity[[#Headers],[city]]:stayCity[[#This Row],[city]])-1,IF(_xlpm.r&lt;=ROWS(_xlpm.S),INDEX(_xlpm.S,_xlpm.r,1),""))</f>
        <v/>
      </c>
      <c r="AC103" s="1405">
        <f t="array" ref="AC103">_xlfn.LET(_xlpm.S,_xlfn.ANCHORARRAY($Y$4),_xlpm.r,ROWS(stayCity[[#Headers],[city]]:stayCity[[#This Row],[city]])-1,IF(_xlpm.r&lt;=ROWS(_xlpm.S),INDEX(_xlpm.S,_xlpm.r,2),""))</f>
        <v/>
      </c>
      <c r="AD103" s="1405">
        <f t="array" ref="AD103">_xlfn.LET(_xlpm.S,_xlfn.ANCHORARRAY($Y$4),_xlpm.r,ROWS(stayCity[[#Headers],[city]]:stayCity[[#This Row],[city]])-1,IF(_xlpm.r&lt;=ROWS(_xlpm.S),INDEX(_xlpm.S,_xlpm.r,3),""))</f>
        <v/>
      </c>
      <c r="AE103" s="1400">
        <f>IF(stayCity[[#This Row],[out]]&lt;&gt;"",stayCity[[#This Row],[out]]-stayCity[[#This Row],[in]],"-")</f>
        <v/>
      </c>
      <c r="AF103" s="1406">
        <f>IF(Y103="","-",YEAR(stayCity[[#This Row],[in]]))</f>
        <v/>
      </c>
      <c r="AG103" s="1398" t="inlineStr">
        <is>
          <t>.</t>
        </is>
      </c>
      <c r="AH103" s="1402">
        <f/>
        <v/>
      </c>
      <c r="AI103" s="1403">
        <f/>
        <v/>
      </c>
      <c r="AJ103" s="1403">
        <f/>
        <v/>
      </c>
      <c r="AK103" s="1400">
        <f>IF(AH103="","-",AH103)</f>
        <v/>
      </c>
      <c r="AL103" s="1405">
        <f>AI103</f>
        <v/>
      </c>
      <c r="AM103" s="1405">
        <f>AJ103</f>
        <v/>
      </c>
      <c r="AN103" s="1400">
        <f>stayCtry[[#This Row],[out]]-stayCtry[[#This Row],[in]]</f>
        <v/>
      </c>
      <c r="AO103" s="1406">
        <f>IF(AI103&lt;&gt;"",AO102+1,AO102)</f>
        <v/>
      </c>
      <c r="AP103" s="1398" t="inlineStr">
        <is>
          <t>.</t>
        </is>
      </c>
      <c r="AQ103" s="1402">
        <f/>
        <v/>
      </c>
      <c r="AR103" s="1403">
        <f/>
        <v/>
      </c>
      <c r="AS103" s="1403">
        <f/>
        <v/>
      </c>
      <c r="AT103" s="1400">
        <f>AQ103</f>
        <v/>
      </c>
      <c r="AU103" s="1405">
        <f>AR103</f>
        <v/>
      </c>
      <c r="AV103" s="1405">
        <f>AS103</f>
        <v/>
      </c>
      <c r="AW103" s="1400">
        <f>stayCont[[#This Row],[out]]-stayCont[[#This Row],[in]]</f>
        <v/>
      </c>
      <c r="AX103" s="1406">
        <f>IF(AR103&lt;&gt;"",AX102+1,AX102)</f>
        <v/>
      </c>
      <c r="AY103" s="1398" t="inlineStr">
        <is>
          <t>.</t>
        </is>
      </c>
      <c r="AZ103" s="1402" t="n"/>
      <c r="BA103" s="1403" t="n"/>
      <c r="BB103" s="1403" t="n"/>
      <c r="BC103" s="1405">
        <f>AZ103</f>
        <v/>
      </c>
      <c r="BD103" s="1405">
        <f>BA103</f>
        <v/>
      </c>
      <c r="BE103" s="1405">
        <f>BB103</f>
        <v/>
      </c>
      <c r="BF103" s="1400">
        <f>stayWB[[#This Row],[out]]-stayWB[[#This Row],[in]]</f>
        <v/>
      </c>
      <c r="BG103" s="1400">
        <f>IF(BB103&lt;&gt;"",BG102+1,BG102)</f>
        <v/>
      </c>
      <c r="BH103" s="1398" t="inlineStr">
        <is>
          <t>.</t>
        </is>
      </c>
      <c r="BI103" s="1402" t="inlineStr">
        <is>
          <t>USA</t>
        </is>
      </c>
      <c r="BJ103" s="1402" t="n">
        <v>2003</v>
      </c>
      <c r="BK103" s="1400">
        <f>BI103</f>
        <v/>
      </c>
      <c r="BL103" s="1409">
        <f>BJ103</f>
        <v/>
      </c>
      <c r="BM103" s="1378" t="inlineStr">
        <is>
          <t>.</t>
        </is>
      </c>
      <c r="BN103" s="1402" t="inlineStr">
        <is>
          <t>B</t>
        </is>
      </c>
      <c r="BO103" s="1400">
        <f>BN103</f>
        <v/>
      </c>
      <c r="BP103" s="1398" t="inlineStr">
        <is>
          <t>.</t>
        </is>
      </c>
      <c r="BQ103" s="1400">
        <f>IF(BR103&lt;&gt;"",BQ102+1,BQ102)</f>
        <v/>
      </c>
      <c r="BR103" s="1411" t="inlineStr">
        <is>
          <t>SP</t>
        </is>
      </c>
      <c r="BS103" s="1411" t="inlineStr">
        <is>
          <t>SSA</t>
        </is>
      </c>
      <c r="BT103" s="1412" t="inlineStr">
        <is>
          <t>SP-SSA</t>
        </is>
      </c>
      <c r="BU103" s="1412" t="n">
        <v>37423</v>
      </c>
      <c r="BV103" s="1398" t="inlineStr">
        <is>
          <t>.</t>
        </is>
      </c>
      <c r="BW103" s="1392" t="n"/>
      <c r="BX103" s="1392" t="n"/>
      <c r="BY103" s="1392" t="n"/>
      <c r="BZ103" s="1416" t="n"/>
      <c r="CA103" s="1392" t="n"/>
      <c r="CB103" s="1398" t="inlineStr">
        <is>
          <t>.</t>
        </is>
      </c>
      <c r="CC103" s="1400">
        <f>IF(CD103&lt;&gt;"",CC102+1,CC102)</f>
        <v/>
      </c>
      <c r="CD103" s="1411" t="inlineStr">
        <is>
          <t>Salto Grande</t>
        </is>
      </c>
      <c r="CE103" s="1412" t="n">
        <v>38869</v>
      </c>
      <c r="CF103" s="1412" t="n">
        <v>38897</v>
      </c>
      <c r="CG103" s="1415">
        <f>CF103-CE103</f>
        <v/>
      </c>
      <c r="CH103" s="1398" t="inlineStr">
        <is>
          <t>.</t>
        </is>
      </c>
      <c r="CI103" s="1392" t="n"/>
      <c r="CJ103" s="1392" t="n"/>
      <c r="CK103" s="1392" t="n"/>
      <c r="CL103" s="1392" t="n"/>
    </row>
    <row r="104">
      <c r="A104" s="5" t="inlineStr">
        <is>
          <t>.</t>
        </is>
      </c>
      <c r="B104" s="5" t="inlineStr">
        <is>
          <t>.</t>
        </is>
      </c>
      <c r="C104" s="1378">
        <f>IF(raw[[#This Row],[city]]="","-",IF(raw[[#This Row],[city]]="TODAY","-",C103+1))</f>
        <v/>
      </c>
      <c r="D104" s="1393" t="inlineStr">
        <is>
          <t>Rudesheim</t>
        </is>
      </c>
      <c r="E104" s="1394" t="n">
        <v>30726</v>
      </c>
      <c r="F104" s="1394" t="n">
        <v>30726</v>
      </c>
      <c r="G104" s="1393" t="inlineStr">
        <is>
          <t>-</t>
        </is>
      </c>
      <c r="H104" s="1393">
        <f>H103</f>
        <v/>
      </c>
      <c r="I104" s="1393" t="n"/>
      <c r="J104" s="1393" t="inlineStr">
        <is>
          <t>-</t>
        </is>
      </c>
      <c r="K104" s="1395">
        <f>IF(raw[[#This Row],[city]]&lt;&gt;"",_xlfn.XLOOKUP($D104,ccc[city],ccc[prov],"-"),"-")</f>
        <v/>
      </c>
      <c r="L104" s="1395">
        <f>IF(raw[[#This Row],[city]]&lt;&gt;"",_xlfn.XLOOKUP($D104,ccc[city],ccc[ctry],"-"),"-")</f>
        <v/>
      </c>
      <c r="M104" s="1395">
        <f>IF(raw[[#This Row],[city]]&lt;&gt;"",_xlfn.XLOOKUP($D104,ccc[city],ccc[cont],"-"),"-")</f>
        <v/>
      </c>
      <c r="N104" s="1396">
        <f>IF(raw[[#This Row],[city]]="","-",IF(raw[[#This Row],[cont]]="B",raw[[#This Row],[cont]],"W"))</f>
        <v/>
      </c>
      <c r="O104" s="1397">
        <f>IF(raw[[#This Row],[out]]=0,0,IF(raw[[#This Row],[out]]=raw[[#This Row],[in]],0.01,raw[[#This Row],[out]]-raw[[#This Row],[in]]))</f>
        <v/>
      </c>
      <c r="P104" s="1397">
        <f>IF(raw[[#This Row],[in]]=0,0,MONTH(raw[[#This Row],[in]]))</f>
        <v/>
      </c>
      <c r="Q104" s="1397">
        <f>IF(raw[[#This Row],[in]]=0,0,YEAR(raw[[#This Row],[in]]))</f>
        <v/>
      </c>
      <c r="R104" s="1397">
        <f>INT(raw[[#This Row],[yr]]/10)*10</f>
        <v/>
      </c>
      <c r="S104" s="1395">
        <f>IF(raw[[#This Row],[city]]="","-",IF(raw[[#This Row],[city]]&lt;&gt;_xlfn.XLOOKUP(raw[[#This Row],[home]],homes[home],homes[city],"-"),1,0))</f>
        <v/>
      </c>
      <c r="T104" s="1398" t="inlineStr">
        <is>
          <t>.</t>
        </is>
      </c>
      <c r="U104" s="1399">
        <f>IF(raw[[#This Row],[wb]]="w",raw[[#This Row],[stay]]+U103,U103)</f>
        <v/>
      </c>
      <c r="V104" s="1400">
        <f>IF(raw[[#This Row],[out]]=0,V103,(raw[[#This Row],[out]]-E$5))</f>
        <v/>
      </c>
      <c r="W104" s="1401">
        <f>U104/V104</f>
        <v/>
      </c>
      <c r="X104" s="1378" t="inlineStr">
        <is>
          <t>.</t>
        </is>
      </c>
      <c r="Y104" s="1402">
        <f/>
        <v/>
      </c>
      <c r="Z104" s="1403">
        <f/>
        <v/>
      </c>
      <c r="AA104" s="1403">
        <f/>
        <v/>
      </c>
      <c r="AB104" s="1400">
        <f t="array" ref="AB104">_xlfn.LET(_xlpm.S,_xlfn.ANCHORARRAY($Y$4),_xlpm.r,ROWS(stayCity[[#Headers],[city]]:stayCity[[#This Row],[city]])-1,IF(_xlpm.r&lt;=ROWS(_xlpm.S),INDEX(_xlpm.S,_xlpm.r,1),""))</f>
        <v/>
      </c>
      <c r="AC104" s="1405">
        <f t="array" ref="AC104">_xlfn.LET(_xlpm.S,_xlfn.ANCHORARRAY($Y$4),_xlpm.r,ROWS(stayCity[[#Headers],[city]]:stayCity[[#This Row],[city]])-1,IF(_xlpm.r&lt;=ROWS(_xlpm.S),INDEX(_xlpm.S,_xlpm.r,2),""))</f>
        <v/>
      </c>
      <c r="AD104" s="1405">
        <f t="array" ref="AD104">_xlfn.LET(_xlpm.S,_xlfn.ANCHORARRAY($Y$4),_xlpm.r,ROWS(stayCity[[#Headers],[city]]:stayCity[[#This Row],[city]])-1,IF(_xlpm.r&lt;=ROWS(_xlpm.S),INDEX(_xlpm.S,_xlpm.r,3),""))</f>
        <v/>
      </c>
      <c r="AE104" s="1400">
        <f>IF(stayCity[[#This Row],[out]]&lt;&gt;"",stayCity[[#This Row],[out]]-stayCity[[#This Row],[in]],"-")</f>
        <v/>
      </c>
      <c r="AF104" s="1406">
        <f>IF(Y104="","-",YEAR(stayCity[[#This Row],[in]]))</f>
        <v/>
      </c>
      <c r="AG104" s="1398" t="inlineStr">
        <is>
          <t>.</t>
        </is>
      </c>
      <c r="AH104" s="1402">
        <f/>
        <v/>
      </c>
      <c r="AI104" s="1403">
        <f/>
        <v/>
      </c>
      <c r="AJ104" s="1403">
        <f/>
        <v/>
      </c>
      <c r="AK104" s="1400">
        <f>IF(AH104="","-",AH104)</f>
        <v/>
      </c>
      <c r="AL104" s="1405">
        <f>AI104</f>
        <v/>
      </c>
      <c r="AM104" s="1405">
        <f>AJ104</f>
        <v/>
      </c>
      <c r="AN104" s="1400">
        <f>stayCtry[[#This Row],[out]]-stayCtry[[#This Row],[in]]</f>
        <v/>
      </c>
      <c r="AO104" s="1406">
        <f>IF(AI104&lt;&gt;"",AO103+1,AO103)</f>
        <v/>
      </c>
      <c r="AP104" s="1398" t="inlineStr">
        <is>
          <t>.</t>
        </is>
      </c>
      <c r="AQ104" s="1402">
        <f/>
        <v/>
      </c>
      <c r="AR104" s="1403">
        <f/>
        <v/>
      </c>
      <c r="AS104" s="1403">
        <f/>
        <v/>
      </c>
      <c r="AT104" s="1400">
        <f>AQ104</f>
        <v/>
      </c>
      <c r="AU104" s="1405">
        <f>AR104</f>
        <v/>
      </c>
      <c r="AV104" s="1405">
        <f>AS104</f>
        <v/>
      </c>
      <c r="AW104" s="1400">
        <f>stayCont[[#This Row],[out]]-stayCont[[#This Row],[in]]</f>
        <v/>
      </c>
      <c r="AX104" s="1406">
        <f>IF(AR104&lt;&gt;"",AX103+1,AX103)</f>
        <v/>
      </c>
      <c r="AY104" s="1398" t="inlineStr">
        <is>
          <t>.</t>
        </is>
      </c>
      <c r="AZ104" s="1402" t="n"/>
      <c r="BA104" s="1403" t="n"/>
      <c r="BB104" s="1403" t="n"/>
      <c r="BC104" s="1405">
        <f>AZ104</f>
        <v/>
      </c>
      <c r="BD104" s="1405">
        <f>BA104</f>
        <v/>
      </c>
      <c r="BE104" s="1405">
        <f>BB104</f>
        <v/>
      </c>
      <c r="BF104" s="1400">
        <f>stayWB[[#This Row],[out]]-stayWB[[#This Row],[in]]</f>
        <v/>
      </c>
      <c r="BG104" s="1400">
        <f>IF(BB104&lt;&gt;"",BG103+1,BG103)</f>
        <v/>
      </c>
      <c r="BH104" s="1398" t="inlineStr">
        <is>
          <t>.</t>
        </is>
      </c>
      <c r="BI104" s="1402" t="inlineStr">
        <is>
          <t>UK</t>
        </is>
      </c>
      <c r="BJ104" s="1402" t="n">
        <v>2003</v>
      </c>
      <c r="BK104" s="1400">
        <f>BI104</f>
        <v/>
      </c>
      <c r="BL104" s="1409">
        <f>BJ104</f>
        <v/>
      </c>
      <c r="BM104" s="1378" t="inlineStr">
        <is>
          <t>.</t>
        </is>
      </c>
      <c r="BN104" s="1402" t="inlineStr">
        <is>
          <t>Z</t>
        </is>
      </c>
      <c r="BO104" s="1400">
        <f>BN104</f>
        <v/>
      </c>
      <c r="BP104" s="1398" t="inlineStr">
        <is>
          <t>.</t>
        </is>
      </c>
      <c r="BQ104" s="1400">
        <f>IF(BR104&lt;&gt;"",BQ103+1,BQ103)</f>
        <v/>
      </c>
      <c r="BR104" s="1411" t="inlineStr">
        <is>
          <t>SSA</t>
        </is>
      </c>
      <c r="BS104" s="1411" t="inlineStr">
        <is>
          <t>SP</t>
        </is>
      </c>
      <c r="BT104" s="1412" t="inlineStr">
        <is>
          <t>SSA-SP</t>
        </is>
      </c>
      <c r="BU104" s="1412" t="n">
        <v>37427</v>
      </c>
      <c r="BV104" s="1398" t="inlineStr">
        <is>
          <t>.</t>
        </is>
      </c>
      <c r="BW104" s="1392" t="n"/>
      <c r="BX104" s="1392" t="n"/>
      <c r="BY104" s="1392" t="n"/>
      <c r="BZ104" s="1416" t="n"/>
      <c r="CA104" s="1392" t="n"/>
      <c r="CB104" s="1398" t="inlineStr">
        <is>
          <t>.</t>
        </is>
      </c>
      <c r="CC104" s="1400">
        <f>IF(CD104&lt;&gt;"",CC103+1,CC103)</f>
        <v/>
      </c>
      <c r="CD104" s="1411" t="inlineStr">
        <is>
          <t>Bado/Morumbi</t>
        </is>
      </c>
      <c r="CE104" s="1412" t="n">
        <v>39219</v>
      </c>
      <c r="CF104" s="1412" t="n">
        <v>39222</v>
      </c>
      <c r="CG104" s="1415">
        <f>CF104-CE104</f>
        <v/>
      </c>
      <c r="CH104" s="1398" t="inlineStr">
        <is>
          <t>.</t>
        </is>
      </c>
      <c r="CI104" s="1392" t="n"/>
      <c r="CJ104" s="1392" t="n"/>
      <c r="CK104" s="1392" t="n"/>
      <c r="CL104" s="1392" t="n"/>
    </row>
    <row r="105">
      <c r="A105" s="5" t="inlineStr">
        <is>
          <t>.</t>
        </is>
      </c>
      <c r="B105" s="5" t="inlineStr">
        <is>
          <t>.</t>
        </is>
      </c>
      <c r="C105" s="1378">
        <f>IF(raw[[#This Row],[city]]="","-",IF(raw[[#This Row],[city]]="TODAY","-",C104+1))</f>
        <v/>
      </c>
      <c r="D105" s="1393" t="inlineStr">
        <is>
          <t>Assmannshausen</t>
        </is>
      </c>
      <c r="E105" s="1394" t="n">
        <v>30726</v>
      </c>
      <c r="F105" s="1394" t="n">
        <v>30726</v>
      </c>
      <c r="G105" s="1393" t="inlineStr">
        <is>
          <t>-</t>
        </is>
      </c>
      <c r="H105" s="1393">
        <f>H104</f>
        <v/>
      </c>
      <c r="I105" s="1393" t="n"/>
      <c r="J105" s="1393" t="inlineStr">
        <is>
          <t>-</t>
        </is>
      </c>
      <c r="K105" s="1395">
        <f>IF(raw[[#This Row],[city]]&lt;&gt;"",_xlfn.XLOOKUP($D105,ccc[city],ccc[prov],"-"),"-")</f>
        <v/>
      </c>
      <c r="L105" s="1395">
        <f>IF(raw[[#This Row],[city]]&lt;&gt;"",_xlfn.XLOOKUP($D105,ccc[city],ccc[ctry],"-"),"-")</f>
        <v/>
      </c>
      <c r="M105" s="1395">
        <f>IF(raw[[#This Row],[city]]&lt;&gt;"",_xlfn.XLOOKUP($D105,ccc[city],ccc[cont],"-"),"-")</f>
        <v/>
      </c>
      <c r="N105" s="1396">
        <f>IF(raw[[#This Row],[city]]="","-",IF(raw[[#This Row],[cont]]="B",raw[[#This Row],[cont]],"W"))</f>
        <v/>
      </c>
      <c r="O105" s="1397">
        <f>IF(raw[[#This Row],[out]]=0,0,IF(raw[[#This Row],[out]]=raw[[#This Row],[in]],0.01,raw[[#This Row],[out]]-raw[[#This Row],[in]]))</f>
        <v/>
      </c>
      <c r="P105" s="1397">
        <f>IF(raw[[#This Row],[in]]=0,0,MONTH(raw[[#This Row],[in]]))</f>
        <v/>
      </c>
      <c r="Q105" s="1397">
        <f>IF(raw[[#This Row],[in]]=0,0,YEAR(raw[[#This Row],[in]]))</f>
        <v/>
      </c>
      <c r="R105" s="1397">
        <f>INT(raw[[#This Row],[yr]]/10)*10</f>
        <v/>
      </c>
      <c r="S105" s="1395">
        <f>IF(raw[[#This Row],[city]]="","-",IF(raw[[#This Row],[city]]&lt;&gt;_xlfn.XLOOKUP(raw[[#This Row],[home]],homes[home],homes[city],"-"),1,0))</f>
        <v/>
      </c>
      <c r="T105" s="1398" t="inlineStr">
        <is>
          <t>.</t>
        </is>
      </c>
      <c r="U105" s="1399">
        <f>IF(raw[[#This Row],[wb]]="w",raw[[#This Row],[stay]]+U104,U104)</f>
        <v/>
      </c>
      <c r="V105" s="1400">
        <f>IF(raw[[#This Row],[out]]=0,V104,(raw[[#This Row],[out]]-E$5))</f>
        <v/>
      </c>
      <c r="W105" s="1401">
        <f>U105/V105</f>
        <v/>
      </c>
      <c r="X105" s="1378" t="inlineStr">
        <is>
          <t>.</t>
        </is>
      </c>
      <c r="Y105" s="1402">
        <f/>
        <v/>
      </c>
      <c r="Z105" s="1403">
        <f/>
        <v/>
      </c>
      <c r="AA105" s="1403">
        <f/>
        <v/>
      </c>
      <c r="AB105" s="1400">
        <f t="array" ref="AB105">_xlfn.LET(_xlpm.S,_xlfn.ANCHORARRAY($Y$4),_xlpm.r,ROWS(stayCity[[#Headers],[city]]:stayCity[[#This Row],[city]])-1,IF(_xlpm.r&lt;=ROWS(_xlpm.S),INDEX(_xlpm.S,_xlpm.r,1),""))</f>
        <v/>
      </c>
      <c r="AC105" s="1405">
        <f t="array" ref="AC105">_xlfn.LET(_xlpm.S,_xlfn.ANCHORARRAY($Y$4),_xlpm.r,ROWS(stayCity[[#Headers],[city]]:stayCity[[#This Row],[city]])-1,IF(_xlpm.r&lt;=ROWS(_xlpm.S),INDEX(_xlpm.S,_xlpm.r,2),""))</f>
        <v/>
      </c>
      <c r="AD105" s="1405">
        <f t="array" ref="AD105">_xlfn.LET(_xlpm.S,_xlfn.ANCHORARRAY($Y$4),_xlpm.r,ROWS(stayCity[[#Headers],[city]]:stayCity[[#This Row],[city]])-1,IF(_xlpm.r&lt;=ROWS(_xlpm.S),INDEX(_xlpm.S,_xlpm.r,3),""))</f>
        <v/>
      </c>
      <c r="AE105" s="1400">
        <f>IF(stayCity[[#This Row],[out]]&lt;&gt;"",stayCity[[#This Row],[out]]-stayCity[[#This Row],[in]],"-")</f>
        <v/>
      </c>
      <c r="AF105" s="1406">
        <f>IF(Y105="","-",YEAR(stayCity[[#This Row],[in]]))</f>
        <v/>
      </c>
      <c r="AG105" s="1398" t="inlineStr">
        <is>
          <t>.</t>
        </is>
      </c>
      <c r="AH105" s="1402">
        <f/>
        <v/>
      </c>
      <c r="AI105" s="1403">
        <f/>
        <v/>
      </c>
      <c r="AJ105" s="1403">
        <f/>
        <v/>
      </c>
      <c r="AK105" s="1400">
        <f>IF(AH105="","-",AH105)</f>
        <v/>
      </c>
      <c r="AL105" s="1405">
        <f>AI105</f>
        <v/>
      </c>
      <c r="AM105" s="1405">
        <f>AJ105</f>
        <v/>
      </c>
      <c r="AN105" s="1400">
        <f>stayCtry[[#This Row],[out]]-stayCtry[[#This Row],[in]]</f>
        <v/>
      </c>
      <c r="AO105" s="1406">
        <f>IF(AI105&lt;&gt;"",AO104+1,AO104)</f>
        <v/>
      </c>
      <c r="AP105" s="1398" t="inlineStr">
        <is>
          <t>.</t>
        </is>
      </c>
      <c r="AQ105" s="1402">
        <f/>
        <v/>
      </c>
      <c r="AR105" s="1403">
        <f/>
        <v/>
      </c>
      <c r="AS105" s="1403">
        <f/>
        <v/>
      </c>
      <c r="AT105" s="1400">
        <f>AQ105</f>
        <v/>
      </c>
      <c r="AU105" s="1405">
        <f>AR105</f>
        <v/>
      </c>
      <c r="AV105" s="1405">
        <f>AS105</f>
        <v/>
      </c>
      <c r="AW105" s="1400">
        <f>stayCont[[#This Row],[out]]-stayCont[[#This Row],[in]]</f>
        <v/>
      </c>
      <c r="AX105" s="1406">
        <f>IF(AR105&lt;&gt;"",AX104+1,AX104)</f>
        <v/>
      </c>
      <c r="AY105" s="1398" t="inlineStr">
        <is>
          <t>.</t>
        </is>
      </c>
      <c r="AZ105" s="1402" t="n"/>
      <c r="BA105" s="1403" t="n"/>
      <c r="BB105" s="1403" t="n"/>
      <c r="BC105" s="1405">
        <f>AZ105</f>
        <v/>
      </c>
      <c r="BD105" s="1405">
        <f>BA105</f>
        <v/>
      </c>
      <c r="BE105" s="1405">
        <f>BB105</f>
        <v/>
      </c>
      <c r="BF105" s="1400">
        <f>stayWB[[#This Row],[out]]-stayWB[[#This Row],[in]]</f>
        <v/>
      </c>
      <c r="BG105" s="1400">
        <f>IF(BB105&lt;&gt;"",BG104+1,BG104)</f>
        <v/>
      </c>
      <c r="BH105" s="1398" t="inlineStr">
        <is>
          <t>.</t>
        </is>
      </c>
      <c r="BI105" s="1402" t="inlineStr">
        <is>
          <t>ISL</t>
        </is>
      </c>
      <c r="BJ105" s="1402" t="n">
        <v>2003</v>
      </c>
      <c r="BK105" s="1400">
        <f>BI105</f>
        <v/>
      </c>
      <c r="BL105" s="1409">
        <f>BJ105</f>
        <v/>
      </c>
      <c r="BM105" s="1378" t="inlineStr">
        <is>
          <t>.</t>
        </is>
      </c>
      <c r="BN105" s="1402" t="inlineStr">
        <is>
          <t>N</t>
        </is>
      </c>
      <c r="BO105" s="1400">
        <f>BN105</f>
        <v/>
      </c>
      <c r="BP105" s="1398" t="inlineStr">
        <is>
          <t>.</t>
        </is>
      </c>
      <c r="BQ105" s="1400">
        <f>IF(BR105&lt;&gt;"",BQ104+1,BQ104)</f>
        <v/>
      </c>
      <c r="BR105" s="1411" t="inlineStr">
        <is>
          <t>SP</t>
        </is>
      </c>
      <c r="BS105" s="1411" t="inlineStr">
        <is>
          <t>SSA</t>
        </is>
      </c>
      <c r="BT105" s="1412" t="inlineStr">
        <is>
          <t>SP-SSA</t>
        </is>
      </c>
      <c r="BU105" s="1412" t="n">
        <v>37525</v>
      </c>
      <c r="BV105" s="1398" t="inlineStr">
        <is>
          <t>.</t>
        </is>
      </c>
      <c r="BW105" s="1392" t="n"/>
      <c r="BX105" s="1392" t="n"/>
      <c r="BY105" s="1392" t="n"/>
      <c r="BZ105" s="1416" t="n"/>
      <c r="CA105" s="1392" t="n"/>
      <c r="CB105" s="1398" t="inlineStr">
        <is>
          <t>.</t>
        </is>
      </c>
      <c r="CC105" s="1400">
        <f>IF(CD105&lt;&gt;"",CC104+1,CC104)</f>
        <v/>
      </c>
      <c r="CD105" s="1411" t="inlineStr">
        <is>
          <t>Salto Grande</t>
        </is>
      </c>
      <c r="CE105" s="1412" t="n">
        <v>39226</v>
      </c>
      <c r="CF105" s="1412" t="n">
        <v>39233</v>
      </c>
      <c r="CG105" s="1415">
        <f>CF105-CE105</f>
        <v/>
      </c>
      <c r="CH105" s="1398" t="inlineStr">
        <is>
          <t>.</t>
        </is>
      </c>
      <c r="CI105" s="1392" t="n"/>
      <c r="CJ105" s="1392" t="n"/>
      <c r="CK105" s="1392" t="n"/>
      <c r="CL105" s="1392" t="n"/>
    </row>
    <row r="106">
      <c r="A106" s="5" t="inlineStr">
        <is>
          <t>.</t>
        </is>
      </c>
      <c r="B106" s="5" t="inlineStr">
        <is>
          <t>.</t>
        </is>
      </c>
      <c r="C106" s="1378">
        <f>IF(raw[[#This Row],[city]]="","-",IF(raw[[#This Row],[city]]="TODAY","-",C105+1))</f>
        <v/>
      </c>
      <c r="D106" s="1393" t="inlineStr">
        <is>
          <t>Bacharach</t>
        </is>
      </c>
      <c r="E106" s="1394" t="n">
        <v>30726</v>
      </c>
      <c r="F106" s="1394" t="n">
        <v>30726</v>
      </c>
      <c r="G106" s="1393" t="inlineStr">
        <is>
          <t>-</t>
        </is>
      </c>
      <c r="H106" s="1393">
        <f>H105</f>
        <v/>
      </c>
      <c r="I106" s="1393" t="n"/>
      <c r="J106" s="1393" t="inlineStr">
        <is>
          <t>-</t>
        </is>
      </c>
      <c r="K106" s="1395">
        <f>IF(raw[[#This Row],[city]]&lt;&gt;"",_xlfn.XLOOKUP($D106,ccc[city],ccc[prov],"-"),"-")</f>
        <v/>
      </c>
      <c r="L106" s="1395">
        <f>IF(raw[[#This Row],[city]]&lt;&gt;"",_xlfn.XLOOKUP($D106,ccc[city],ccc[ctry],"-"),"-")</f>
        <v/>
      </c>
      <c r="M106" s="1395">
        <f>IF(raw[[#This Row],[city]]&lt;&gt;"",_xlfn.XLOOKUP($D106,ccc[city],ccc[cont],"-"),"-")</f>
        <v/>
      </c>
      <c r="N106" s="1396">
        <f>IF(raw[[#This Row],[city]]="","-",IF(raw[[#This Row],[cont]]="B",raw[[#This Row],[cont]],"W"))</f>
        <v/>
      </c>
      <c r="O106" s="1397">
        <f>IF(raw[[#This Row],[out]]=0,0,IF(raw[[#This Row],[out]]=raw[[#This Row],[in]],0.01,raw[[#This Row],[out]]-raw[[#This Row],[in]]))</f>
        <v/>
      </c>
      <c r="P106" s="1397">
        <f>IF(raw[[#This Row],[in]]=0,0,MONTH(raw[[#This Row],[in]]))</f>
        <v/>
      </c>
      <c r="Q106" s="1397">
        <f>IF(raw[[#This Row],[in]]=0,0,YEAR(raw[[#This Row],[in]]))</f>
        <v/>
      </c>
      <c r="R106" s="1397">
        <f>INT(raw[[#This Row],[yr]]/10)*10</f>
        <v/>
      </c>
      <c r="S106" s="1395">
        <f>IF(raw[[#This Row],[city]]="","-",IF(raw[[#This Row],[city]]&lt;&gt;_xlfn.XLOOKUP(raw[[#This Row],[home]],homes[home],homes[city],"-"),1,0))</f>
        <v/>
      </c>
      <c r="T106" s="1398" t="inlineStr">
        <is>
          <t>.</t>
        </is>
      </c>
      <c r="U106" s="1399">
        <f>IF(raw[[#This Row],[wb]]="w",raw[[#This Row],[stay]]+U105,U105)</f>
        <v/>
      </c>
      <c r="V106" s="1400">
        <f>IF(raw[[#This Row],[out]]=0,V105,(raw[[#This Row],[out]]-E$5))</f>
        <v/>
      </c>
      <c r="W106" s="1401">
        <f>U106/V106</f>
        <v/>
      </c>
      <c r="X106" s="1378" t="inlineStr">
        <is>
          <t>.</t>
        </is>
      </c>
      <c r="Y106" s="1402">
        <f/>
        <v/>
      </c>
      <c r="Z106" s="1403">
        <f/>
        <v/>
      </c>
      <c r="AA106" s="1403">
        <f/>
        <v/>
      </c>
      <c r="AB106" s="1400">
        <f t="array" ref="AB106">_xlfn.LET(_xlpm.S,_xlfn.ANCHORARRAY($Y$4),_xlpm.r,ROWS(stayCity[[#Headers],[city]]:stayCity[[#This Row],[city]])-1,IF(_xlpm.r&lt;=ROWS(_xlpm.S),INDEX(_xlpm.S,_xlpm.r,1),""))</f>
        <v/>
      </c>
      <c r="AC106" s="1405">
        <f t="array" ref="AC106">_xlfn.LET(_xlpm.S,_xlfn.ANCHORARRAY($Y$4),_xlpm.r,ROWS(stayCity[[#Headers],[city]]:stayCity[[#This Row],[city]])-1,IF(_xlpm.r&lt;=ROWS(_xlpm.S),INDEX(_xlpm.S,_xlpm.r,2),""))</f>
        <v/>
      </c>
      <c r="AD106" s="1405">
        <f t="array" ref="AD106">_xlfn.LET(_xlpm.S,_xlfn.ANCHORARRAY($Y$4),_xlpm.r,ROWS(stayCity[[#Headers],[city]]:stayCity[[#This Row],[city]])-1,IF(_xlpm.r&lt;=ROWS(_xlpm.S),INDEX(_xlpm.S,_xlpm.r,3),""))</f>
        <v/>
      </c>
      <c r="AE106" s="1400">
        <f>IF(stayCity[[#This Row],[out]]&lt;&gt;"",stayCity[[#This Row],[out]]-stayCity[[#This Row],[in]],"-")</f>
        <v/>
      </c>
      <c r="AF106" s="1406">
        <f>IF(Y106="","-",YEAR(stayCity[[#This Row],[in]]))</f>
        <v/>
      </c>
      <c r="AG106" s="1398" t="inlineStr">
        <is>
          <t>.</t>
        </is>
      </c>
      <c r="AH106" s="1402">
        <f/>
        <v/>
      </c>
      <c r="AI106" s="1403">
        <f/>
        <v/>
      </c>
      <c r="AJ106" s="1403">
        <f/>
        <v/>
      </c>
      <c r="AK106" s="1400">
        <f>IF(AH106="","-",AH106)</f>
        <v/>
      </c>
      <c r="AL106" s="1405">
        <f>AI106</f>
        <v/>
      </c>
      <c r="AM106" s="1405">
        <f>AJ106</f>
        <v/>
      </c>
      <c r="AN106" s="1400">
        <f>stayCtry[[#This Row],[out]]-stayCtry[[#This Row],[in]]</f>
        <v/>
      </c>
      <c r="AO106" s="1406">
        <f>IF(AI106&lt;&gt;"",AO105+1,AO105)</f>
        <v/>
      </c>
      <c r="AP106" s="1398" t="inlineStr">
        <is>
          <t>.</t>
        </is>
      </c>
      <c r="AQ106" s="1402">
        <f/>
        <v/>
      </c>
      <c r="AR106" s="1403">
        <f/>
        <v/>
      </c>
      <c r="AS106" s="1403">
        <f/>
        <v/>
      </c>
      <c r="AT106" s="1400">
        <f>AQ106</f>
        <v/>
      </c>
      <c r="AU106" s="1405">
        <f>AR106</f>
        <v/>
      </c>
      <c r="AV106" s="1405">
        <f>AS106</f>
        <v/>
      </c>
      <c r="AW106" s="1400">
        <f>stayCont[[#This Row],[out]]-stayCont[[#This Row],[in]]</f>
        <v/>
      </c>
      <c r="AX106" s="1406">
        <f>IF(AR106&lt;&gt;"",AX105+1,AX105)</f>
        <v/>
      </c>
      <c r="AY106" s="1398" t="inlineStr">
        <is>
          <t>.</t>
        </is>
      </c>
      <c r="AZ106" s="1402" t="n"/>
      <c r="BA106" s="1403" t="n"/>
      <c r="BB106" s="1403" t="n"/>
      <c r="BC106" s="1405">
        <f>AZ106</f>
        <v/>
      </c>
      <c r="BD106" s="1405">
        <f>BA106</f>
        <v/>
      </c>
      <c r="BE106" s="1405">
        <f>BB106</f>
        <v/>
      </c>
      <c r="BF106" s="1400">
        <f>stayWB[[#This Row],[out]]-stayWB[[#This Row],[in]]</f>
        <v/>
      </c>
      <c r="BG106" s="1400">
        <f>IF(BB106&lt;&gt;"",BG105+1,BG105)</f>
        <v/>
      </c>
      <c r="BH106" s="1398" t="inlineStr">
        <is>
          <t>.</t>
        </is>
      </c>
      <c r="BI106" s="1402" t="inlineStr">
        <is>
          <t>USA</t>
        </is>
      </c>
      <c r="BJ106" s="1402" t="n">
        <v>2003</v>
      </c>
      <c r="BK106" s="1400">
        <f>BI106</f>
        <v/>
      </c>
      <c r="BL106" s="1409">
        <f>BJ106</f>
        <v/>
      </c>
      <c r="BM106" s="1378" t="inlineStr">
        <is>
          <t>.</t>
        </is>
      </c>
      <c r="BN106" s="1402" t="inlineStr">
        <is>
          <t>Z</t>
        </is>
      </c>
      <c r="BO106" s="1400">
        <f>BN106</f>
        <v/>
      </c>
      <c r="BP106" s="1398" t="inlineStr">
        <is>
          <t>.</t>
        </is>
      </c>
      <c r="BQ106" s="1400">
        <f>IF(BR106&lt;&gt;"",BQ105+1,BQ105)</f>
        <v/>
      </c>
      <c r="BR106" s="1411" t="inlineStr">
        <is>
          <t>SSA</t>
        </is>
      </c>
      <c r="BS106" s="1411" t="inlineStr">
        <is>
          <t>SP</t>
        </is>
      </c>
      <c r="BT106" s="1412" t="inlineStr">
        <is>
          <t>SSA-SP</t>
        </is>
      </c>
      <c r="BU106" s="1412" t="n">
        <v>37530</v>
      </c>
      <c r="BV106" s="1398" t="inlineStr">
        <is>
          <t>.</t>
        </is>
      </c>
      <c r="BW106" s="1392" t="n"/>
      <c r="BX106" s="1392" t="n"/>
      <c r="BY106" s="1392" t="n"/>
      <c r="BZ106" s="1416" t="n"/>
      <c r="CA106" s="1392" t="n"/>
      <c r="CB106" s="1398" t="inlineStr">
        <is>
          <t>.</t>
        </is>
      </c>
      <c r="CC106" s="1400">
        <f>IF(CD106&lt;&gt;"",CC105+1,CC105)</f>
        <v/>
      </c>
      <c r="CD106" s="1411" t="inlineStr">
        <is>
          <t>Renê/Ipanema</t>
        </is>
      </c>
      <c r="CE106" s="1412" t="n">
        <v>39233</v>
      </c>
      <c r="CF106" s="1412" t="n">
        <v>39241</v>
      </c>
      <c r="CG106" s="1415">
        <f>CF106-CE106</f>
        <v/>
      </c>
      <c r="CH106" s="1398" t="inlineStr">
        <is>
          <t>.</t>
        </is>
      </c>
      <c r="CI106" s="1392" t="n"/>
      <c r="CJ106" s="1392" t="n"/>
      <c r="CK106" s="1392" t="n"/>
      <c r="CL106" s="1392" t="n"/>
    </row>
    <row r="107">
      <c r="A107" s="5" t="inlineStr">
        <is>
          <t>.</t>
        </is>
      </c>
      <c r="B107" s="5" t="inlineStr">
        <is>
          <t>.</t>
        </is>
      </c>
      <c r="C107" s="1378">
        <f>IF(raw[[#This Row],[city]]="","-",IF(raw[[#This Row],[city]]="TODAY","-",C106+1))</f>
        <v/>
      </c>
      <c r="D107" s="1393" t="inlineStr">
        <is>
          <t>St. Goarshausen</t>
        </is>
      </c>
      <c r="E107" s="1394" t="n">
        <v>30726</v>
      </c>
      <c r="F107" s="1394" t="n">
        <v>30726</v>
      </c>
      <c r="G107" s="1393" t="inlineStr">
        <is>
          <t>-</t>
        </is>
      </c>
      <c r="H107" s="1393">
        <f>H106</f>
        <v/>
      </c>
      <c r="I107" s="1393" t="n"/>
      <c r="J107" s="1393" t="inlineStr">
        <is>
          <t>-</t>
        </is>
      </c>
      <c r="K107" s="1395">
        <f>IF(raw[[#This Row],[city]]&lt;&gt;"",_xlfn.XLOOKUP($D107,ccc[city],ccc[prov],"-"),"-")</f>
        <v/>
      </c>
      <c r="L107" s="1395">
        <f>IF(raw[[#This Row],[city]]&lt;&gt;"",_xlfn.XLOOKUP($D107,ccc[city],ccc[ctry],"-"),"-")</f>
        <v/>
      </c>
      <c r="M107" s="1395">
        <f>IF(raw[[#This Row],[city]]&lt;&gt;"",_xlfn.XLOOKUP($D107,ccc[city],ccc[cont],"-"),"-")</f>
        <v/>
      </c>
      <c r="N107" s="1396">
        <f>IF(raw[[#This Row],[city]]="","-",IF(raw[[#This Row],[cont]]="B",raw[[#This Row],[cont]],"W"))</f>
        <v/>
      </c>
      <c r="O107" s="1397">
        <f>IF(raw[[#This Row],[out]]=0,0,IF(raw[[#This Row],[out]]=raw[[#This Row],[in]],0.01,raw[[#This Row],[out]]-raw[[#This Row],[in]]))</f>
        <v/>
      </c>
      <c r="P107" s="1397">
        <f>IF(raw[[#This Row],[in]]=0,0,MONTH(raw[[#This Row],[in]]))</f>
        <v/>
      </c>
      <c r="Q107" s="1397">
        <f>IF(raw[[#This Row],[in]]=0,0,YEAR(raw[[#This Row],[in]]))</f>
        <v/>
      </c>
      <c r="R107" s="1397">
        <f>INT(raw[[#This Row],[yr]]/10)*10</f>
        <v/>
      </c>
      <c r="S107" s="1395">
        <f>IF(raw[[#This Row],[city]]="","-",IF(raw[[#This Row],[city]]&lt;&gt;_xlfn.XLOOKUP(raw[[#This Row],[home]],homes[home],homes[city],"-"),1,0))</f>
        <v/>
      </c>
      <c r="T107" s="1398" t="inlineStr">
        <is>
          <t>.</t>
        </is>
      </c>
      <c r="U107" s="1399">
        <f>IF(raw[[#This Row],[wb]]="w",raw[[#This Row],[stay]]+U106,U106)</f>
        <v/>
      </c>
      <c r="V107" s="1400">
        <f>IF(raw[[#This Row],[out]]=0,V106,(raw[[#This Row],[out]]-E$5))</f>
        <v/>
      </c>
      <c r="W107" s="1401">
        <f>U107/V107</f>
        <v/>
      </c>
      <c r="X107" s="1378" t="inlineStr">
        <is>
          <t>.</t>
        </is>
      </c>
      <c r="Y107" s="1402">
        <f/>
        <v/>
      </c>
      <c r="Z107" s="1403">
        <f/>
        <v/>
      </c>
      <c r="AA107" s="1403">
        <f/>
        <v/>
      </c>
      <c r="AB107" s="1400">
        <f t="array" ref="AB107">_xlfn.LET(_xlpm.S,_xlfn.ANCHORARRAY($Y$4),_xlpm.r,ROWS(stayCity[[#Headers],[city]]:stayCity[[#This Row],[city]])-1,IF(_xlpm.r&lt;=ROWS(_xlpm.S),INDEX(_xlpm.S,_xlpm.r,1),""))</f>
        <v/>
      </c>
      <c r="AC107" s="1405">
        <f t="array" ref="AC107">_xlfn.LET(_xlpm.S,_xlfn.ANCHORARRAY($Y$4),_xlpm.r,ROWS(stayCity[[#Headers],[city]]:stayCity[[#This Row],[city]])-1,IF(_xlpm.r&lt;=ROWS(_xlpm.S),INDEX(_xlpm.S,_xlpm.r,2),""))</f>
        <v/>
      </c>
      <c r="AD107" s="1405">
        <f t="array" ref="AD107">_xlfn.LET(_xlpm.S,_xlfn.ANCHORARRAY($Y$4),_xlpm.r,ROWS(stayCity[[#Headers],[city]]:stayCity[[#This Row],[city]])-1,IF(_xlpm.r&lt;=ROWS(_xlpm.S),INDEX(_xlpm.S,_xlpm.r,3),""))</f>
        <v/>
      </c>
      <c r="AE107" s="1400">
        <f>IF(stayCity[[#This Row],[out]]&lt;&gt;"",stayCity[[#This Row],[out]]-stayCity[[#This Row],[in]],"-")</f>
        <v/>
      </c>
      <c r="AF107" s="1406">
        <f>IF(Y107="","-",YEAR(stayCity[[#This Row],[in]]))</f>
        <v/>
      </c>
      <c r="AG107" s="1398" t="inlineStr">
        <is>
          <t>.</t>
        </is>
      </c>
      <c r="AH107" s="1402">
        <f/>
        <v/>
      </c>
      <c r="AI107" s="1403">
        <f/>
        <v/>
      </c>
      <c r="AJ107" s="1403">
        <f/>
        <v/>
      </c>
      <c r="AK107" s="1400">
        <f>IF(AH107="","-",AH107)</f>
        <v/>
      </c>
      <c r="AL107" s="1405">
        <f>AI107</f>
        <v/>
      </c>
      <c r="AM107" s="1405">
        <f>AJ107</f>
        <v/>
      </c>
      <c r="AN107" s="1400">
        <f>stayCtry[[#This Row],[out]]-stayCtry[[#This Row],[in]]</f>
        <v/>
      </c>
      <c r="AO107" s="1406">
        <f>IF(AI107&lt;&gt;"",AO106+1,AO106)</f>
        <v/>
      </c>
      <c r="AP107" s="1398" t="inlineStr">
        <is>
          <t>.</t>
        </is>
      </c>
      <c r="AQ107" s="1402">
        <f/>
        <v/>
      </c>
      <c r="AR107" s="1403">
        <f/>
        <v/>
      </c>
      <c r="AS107" s="1403">
        <f/>
        <v/>
      </c>
      <c r="AT107" s="1400">
        <f>AQ107</f>
        <v/>
      </c>
      <c r="AU107" s="1405">
        <f>AR107</f>
        <v/>
      </c>
      <c r="AV107" s="1405">
        <f>AS107</f>
        <v/>
      </c>
      <c r="AW107" s="1400">
        <f>stayCont[[#This Row],[out]]-stayCont[[#This Row],[in]]</f>
        <v/>
      </c>
      <c r="AX107" s="1406">
        <f>IF(AR107&lt;&gt;"",AX106+1,AX106)</f>
        <v/>
      </c>
      <c r="AY107" s="1398" t="inlineStr">
        <is>
          <t>.</t>
        </is>
      </c>
      <c r="AZ107" s="1402" t="n"/>
      <c r="BA107" s="1403" t="n"/>
      <c r="BB107" s="1403" t="n"/>
      <c r="BC107" s="1405">
        <f>AZ107</f>
        <v/>
      </c>
      <c r="BD107" s="1405">
        <f>BA107</f>
        <v/>
      </c>
      <c r="BE107" s="1405">
        <f>BB107</f>
        <v/>
      </c>
      <c r="BF107" s="1400">
        <f>stayWB[[#This Row],[out]]-stayWB[[#This Row],[in]]</f>
        <v/>
      </c>
      <c r="BG107" s="1400">
        <f>IF(BB107&lt;&gt;"",BG106+1,BG106)</f>
        <v/>
      </c>
      <c r="BH107" s="1398" t="inlineStr">
        <is>
          <t>.</t>
        </is>
      </c>
      <c r="BI107" s="1402" t="inlineStr">
        <is>
          <t>UK</t>
        </is>
      </c>
      <c r="BJ107" s="1402" t="n">
        <v>2003</v>
      </c>
      <c r="BK107" s="1400">
        <f>BI107</f>
        <v/>
      </c>
      <c r="BL107" s="1409">
        <f>BJ107</f>
        <v/>
      </c>
      <c r="BM107" s="1378" t="inlineStr">
        <is>
          <t>.</t>
        </is>
      </c>
      <c r="BN107" s="1411" t="inlineStr">
        <is>
          <t>A</t>
        </is>
      </c>
      <c r="BO107" s="1400">
        <f>BN107</f>
        <v/>
      </c>
      <c r="BP107" s="1398" t="inlineStr">
        <is>
          <t>.</t>
        </is>
      </c>
      <c r="BQ107" s="1400">
        <f>IF(BR107&lt;&gt;"",BQ106+1,BQ106)</f>
        <v/>
      </c>
      <c r="BR107" s="1411" t="inlineStr">
        <is>
          <t>SP</t>
        </is>
      </c>
      <c r="BS107" s="1411" t="inlineStr">
        <is>
          <t>SSA</t>
        </is>
      </c>
      <c r="BT107" s="1412" t="inlineStr">
        <is>
          <t>SP-SSA</t>
        </is>
      </c>
      <c r="BU107" s="1412" t="n">
        <v>37555</v>
      </c>
      <c r="BV107" s="1398" t="inlineStr">
        <is>
          <t>.</t>
        </is>
      </c>
      <c r="BW107" s="1392" t="n"/>
      <c r="BX107" s="1392" t="n"/>
      <c r="BY107" s="1392" t="n"/>
      <c r="BZ107" s="1416" t="n"/>
      <c r="CA107" s="1392" t="n"/>
      <c r="CB107" s="1398" t="inlineStr">
        <is>
          <t>.</t>
        </is>
      </c>
      <c r="CC107" s="1400">
        <f>IF(CD107&lt;&gt;"",CC106+1,CC106)</f>
        <v/>
      </c>
      <c r="CD107" s="1411" t="inlineStr">
        <is>
          <t>Thomas/Cornwall</t>
        </is>
      </c>
      <c r="CE107" s="1412" t="n">
        <v>39257</v>
      </c>
      <c r="CF107" s="1412" t="n">
        <v>39262</v>
      </c>
      <c r="CG107" s="1415">
        <f>CF107-CE107</f>
        <v/>
      </c>
      <c r="CH107" s="1398" t="inlineStr">
        <is>
          <t>.</t>
        </is>
      </c>
      <c r="CI107" s="1392" t="n"/>
      <c r="CJ107" s="1392" t="n"/>
      <c r="CK107" s="1392" t="n"/>
      <c r="CL107" s="1392" t="n"/>
    </row>
    <row r="108">
      <c r="A108" s="5" t="inlineStr">
        <is>
          <t>.</t>
        </is>
      </c>
      <c r="B108" s="5" t="inlineStr">
        <is>
          <t>.</t>
        </is>
      </c>
      <c r="C108" s="1378">
        <f>IF(raw[[#This Row],[city]]="","-",IF(raw[[#This Row],[city]]="TODAY","-",C107+1))</f>
        <v/>
      </c>
      <c r="D108" s="1393" t="inlineStr">
        <is>
          <t>Oberwesel</t>
        </is>
      </c>
      <c r="E108" s="1394" t="n">
        <v>30726</v>
      </c>
      <c r="F108" s="1394" t="n">
        <v>30726</v>
      </c>
      <c r="G108" s="1393" t="inlineStr">
        <is>
          <t>-</t>
        </is>
      </c>
      <c r="H108" s="1393">
        <f>H107</f>
        <v/>
      </c>
      <c r="I108" s="1393" t="n"/>
      <c r="J108" s="1393" t="inlineStr">
        <is>
          <t>-</t>
        </is>
      </c>
      <c r="K108" s="1395">
        <f>IF(raw[[#This Row],[city]]&lt;&gt;"",_xlfn.XLOOKUP($D108,ccc[city],ccc[prov],"-"),"-")</f>
        <v/>
      </c>
      <c r="L108" s="1395">
        <f>IF(raw[[#This Row],[city]]&lt;&gt;"",_xlfn.XLOOKUP($D108,ccc[city],ccc[ctry],"-"),"-")</f>
        <v/>
      </c>
      <c r="M108" s="1395">
        <f>IF(raw[[#This Row],[city]]&lt;&gt;"",_xlfn.XLOOKUP($D108,ccc[city],ccc[cont],"-"),"-")</f>
        <v/>
      </c>
      <c r="N108" s="1396">
        <f>IF(raw[[#This Row],[city]]="","-",IF(raw[[#This Row],[cont]]="B",raw[[#This Row],[cont]],"W"))</f>
        <v/>
      </c>
      <c r="O108" s="1397">
        <f>IF(raw[[#This Row],[out]]=0,0,IF(raw[[#This Row],[out]]=raw[[#This Row],[in]],0.01,raw[[#This Row],[out]]-raw[[#This Row],[in]]))</f>
        <v/>
      </c>
      <c r="P108" s="1397">
        <f>IF(raw[[#This Row],[in]]=0,0,MONTH(raw[[#This Row],[in]]))</f>
        <v/>
      </c>
      <c r="Q108" s="1397">
        <f>IF(raw[[#This Row],[in]]=0,0,YEAR(raw[[#This Row],[in]]))</f>
        <v/>
      </c>
      <c r="R108" s="1397">
        <f>INT(raw[[#This Row],[yr]]/10)*10</f>
        <v/>
      </c>
      <c r="S108" s="1395">
        <f>IF(raw[[#This Row],[city]]="","-",IF(raw[[#This Row],[city]]&lt;&gt;_xlfn.XLOOKUP(raw[[#This Row],[home]],homes[home],homes[city],"-"),1,0))</f>
        <v/>
      </c>
      <c r="T108" s="1398" t="inlineStr">
        <is>
          <t>.</t>
        </is>
      </c>
      <c r="U108" s="1399">
        <f>IF(raw[[#This Row],[wb]]="w",raw[[#This Row],[stay]]+U107,U107)</f>
        <v/>
      </c>
      <c r="V108" s="1400">
        <f>IF(raw[[#This Row],[out]]=0,V107,(raw[[#This Row],[out]]-E$5))</f>
        <v/>
      </c>
      <c r="W108" s="1401">
        <f>U108/V108</f>
        <v/>
      </c>
      <c r="X108" s="1378" t="inlineStr">
        <is>
          <t>.</t>
        </is>
      </c>
      <c r="Y108" s="1402">
        <f/>
        <v/>
      </c>
      <c r="Z108" s="1403">
        <f/>
        <v/>
      </c>
      <c r="AA108" s="1403">
        <f/>
        <v/>
      </c>
      <c r="AB108" s="1400">
        <f t="array" ref="AB108">_xlfn.LET(_xlpm.S,_xlfn.ANCHORARRAY($Y$4),_xlpm.r,ROWS(stayCity[[#Headers],[city]]:stayCity[[#This Row],[city]])-1,IF(_xlpm.r&lt;=ROWS(_xlpm.S),INDEX(_xlpm.S,_xlpm.r,1),""))</f>
        <v/>
      </c>
      <c r="AC108" s="1405">
        <f t="array" ref="AC108">_xlfn.LET(_xlpm.S,_xlfn.ANCHORARRAY($Y$4),_xlpm.r,ROWS(stayCity[[#Headers],[city]]:stayCity[[#This Row],[city]])-1,IF(_xlpm.r&lt;=ROWS(_xlpm.S),INDEX(_xlpm.S,_xlpm.r,2),""))</f>
        <v/>
      </c>
      <c r="AD108" s="1405">
        <f t="array" ref="AD108">_xlfn.LET(_xlpm.S,_xlfn.ANCHORARRAY($Y$4),_xlpm.r,ROWS(stayCity[[#Headers],[city]]:stayCity[[#This Row],[city]])-1,IF(_xlpm.r&lt;=ROWS(_xlpm.S),INDEX(_xlpm.S,_xlpm.r,3),""))</f>
        <v/>
      </c>
      <c r="AE108" s="1400">
        <f>IF(stayCity[[#This Row],[out]]&lt;&gt;"",stayCity[[#This Row],[out]]-stayCity[[#This Row],[in]],"-")</f>
        <v/>
      </c>
      <c r="AF108" s="1406">
        <f>IF(Y108="","-",YEAR(stayCity[[#This Row],[in]]))</f>
        <v/>
      </c>
      <c r="AG108" s="1398" t="inlineStr">
        <is>
          <t>.</t>
        </is>
      </c>
      <c r="AH108" s="1402">
        <f/>
        <v/>
      </c>
      <c r="AI108" s="1403">
        <f/>
        <v/>
      </c>
      <c r="AJ108" s="1403">
        <f/>
        <v/>
      </c>
      <c r="AK108" s="1400">
        <f>IF(AH108="","-",AH108)</f>
        <v/>
      </c>
      <c r="AL108" s="1405">
        <f>AI108</f>
        <v/>
      </c>
      <c r="AM108" s="1405">
        <f>AJ108</f>
        <v/>
      </c>
      <c r="AN108" s="1400">
        <f>stayCtry[[#This Row],[out]]-stayCtry[[#This Row],[in]]</f>
        <v/>
      </c>
      <c r="AO108" s="1406">
        <f>IF(AI108&lt;&gt;"",AO107+1,AO107)</f>
        <v/>
      </c>
      <c r="AP108" s="1398" t="inlineStr">
        <is>
          <t>.</t>
        </is>
      </c>
      <c r="AQ108" s="1402">
        <f/>
        <v/>
      </c>
      <c r="AR108" s="1403">
        <f/>
        <v/>
      </c>
      <c r="AS108" s="1403">
        <f/>
        <v/>
      </c>
      <c r="AT108" s="1400">
        <f>AQ108</f>
        <v/>
      </c>
      <c r="AU108" s="1405">
        <f>AR108</f>
        <v/>
      </c>
      <c r="AV108" s="1405">
        <f>AS108</f>
        <v/>
      </c>
      <c r="AW108" s="1400">
        <f>stayCont[[#This Row],[out]]-stayCont[[#This Row],[in]]</f>
        <v/>
      </c>
      <c r="AX108" s="1406">
        <f>IF(AR108&lt;&gt;"",AX107+1,AX107)</f>
        <v/>
      </c>
      <c r="AY108" s="1398" t="inlineStr">
        <is>
          <t>.</t>
        </is>
      </c>
      <c r="AZ108" s="1402" t="n"/>
      <c r="BA108" s="1403" t="n"/>
      <c r="BB108" s="1403" t="n"/>
      <c r="BC108" s="1405">
        <f>AZ108</f>
        <v/>
      </c>
      <c r="BD108" s="1405">
        <f>BA108</f>
        <v/>
      </c>
      <c r="BE108" s="1405">
        <f>BB108</f>
        <v/>
      </c>
      <c r="BF108" s="1400">
        <f>stayWB[[#This Row],[out]]-stayWB[[#This Row],[in]]</f>
        <v/>
      </c>
      <c r="BG108" s="1400">
        <f>IF(BB108&lt;&gt;"",BG107+1,BG107)</f>
        <v/>
      </c>
      <c r="BH108" s="1398" t="inlineStr">
        <is>
          <t>.</t>
        </is>
      </c>
      <c r="BI108" s="1402" t="inlineStr">
        <is>
          <t>CHE</t>
        </is>
      </c>
      <c r="BJ108" s="1402" t="n">
        <v>2004</v>
      </c>
      <c r="BK108" s="1400">
        <f>BI108</f>
        <v/>
      </c>
      <c r="BL108" s="1409">
        <f>BJ108</f>
        <v/>
      </c>
      <c r="BM108" s="1378" t="inlineStr">
        <is>
          <t>.</t>
        </is>
      </c>
      <c r="BN108" s="1411" t="inlineStr">
        <is>
          <t>N</t>
        </is>
      </c>
      <c r="BO108" s="1400">
        <f>BN108</f>
        <v/>
      </c>
      <c r="BP108" s="1398" t="inlineStr">
        <is>
          <t>.</t>
        </is>
      </c>
      <c r="BQ108" s="1400">
        <f>IF(BR108&lt;&gt;"",BQ107+1,BQ107)</f>
        <v/>
      </c>
      <c r="BR108" s="1411" t="inlineStr">
        <is>
          <t>SSA</t>
        </is>
      </c>
      <c r="BS108" s="1411" t="inlineStr">
        <is>
          <t>SP</t>
        </is>
      </c>
      <c r="BT108" s="1412" t="inlineStr">
        <is>
          <t>SSA-SP</t>
        </is>
      </c>
      <c r="BU108" s="1412" t="n">
        <v>37564</v>
      </c>
      <c r="BV108" s="1398" t="inlineStr">
        <is>
          <t>.</t>
        </is>
      </c>
      <c r="BW108" s="1392" t="n"/>
      <c r="BX108" s="1392" t="n"/>
      <c r="BY108" s="1392" t="n"/>
      <c r="BZ108" s="1416" t="n"/>
      <c r="CA108" s="1392" t="n"/>
      <c r="CB108" s="1398" t="inlineStr">
        <is>
          <t>.</t>
        </is>
      </c>
      <c r="CC108" s="1400">
        <f>IF(CD108&lt;&gt;"",CC107+1,CC107)</f>
        <v/>
      </c>
      <c r="CD108" s="1411" t="inlineStr">
        <is>
          <t>Mauricio</t>
        </is>
      </c>
      <c r="CE108" s="1412" t="n">
        <v>39291</v>
      </c>
      <c r="CF108" s="1412" t="n">
        <v>39298</v>
      </c>
      <c r="CG108" s="1415">
        <f>CF108-CE108</f>
        <v/>
      </c>
      <c r="CH108" s="1398" t="inlineStr">
        <is>
          <t>.</t>
        </is>
      </c>
      <c r="CI108" s="1392" t="n"/>
      <c r="CJ108" s="1392" t="n"/>
      <c r="CK108" s="1392" t="n"/>
      <c r="CL108" s="1392" t="n"/>
    </row>
    <row r="109">
      <c r="A109" s="5" t="inlineStr">
        <is>
          <t>.</t>
        </is>
      </c>
      <c r="B109" s="5" t="inlineStr">
        <is>
          <t>.</t>
        </is>
      </c>
      <c r="C109" s="1378">
        <f>IF(raw[[#This Row],[city]]="","-",IF(raw[[#This Row],[city]]="TODAY","-",C108+1))</f>
        <v/>
      </c>
      <c r="D109" s="1393" t="inlineStr">
        <is>
          <t>Bonn</t>
        </is>
      </c>
      <c r="E109" s="1394" t="n">
        <v>30726</v>
      </c>
      <c r="F109" s="1394" t="n">
        <v>30726</v>
      </c>
      <c r="G109" s="1393" t="inlineStr">
        <is>
          <t>-</t>
        </is>
      </c>
      <c r="H109" s="1393">
        <f>H108</f>
        <v/>
      </c>
      <c r="I109" s="1393" t="inlineStr">
        <is>
          <t>-</t>
        </is>
      </c>
      <c r="J109" s="1393" t="inlineStr">
        <is>
          <t>-</t>
        </is>
      </c>
      <c r="K109" s="1395">
        <f>IF(raw[[#This Row],[city]]&lt;&gt;"",_xlfn.XLOOKUP($D109,ccc[city],ccc[prov],"-"),"-")</f>
        <v/>
      </c>
      <c r="L109" s="1395">
        <f>IF(raw[[#This Row],[city]]&lt;&gt;"",_xlfn.XLOOKUP($D109,ccc[city],ccc[ctry],"-"),"-")</f>
        <v/>
      </c>
      <c r="M109" s="1395">
        <f>IF(raw[[#This Row],[city]]&lt;&gt;"",_xlfn.XLOOKUP($D109,ccc[city],ccc[cont],"-"),"-")</f>
        <v/>
      </c>
      <c r="N109" s="1396">
        <f>IF(raw[[#This Row],[city]]="","-",IF(raw[[#This Row],[cont]]="B",raw[[#This Row],[cont]],"W"))</f>
        <v/>
      </c>
      <c r="O109" s="1397">
        <f>IF(raw[[#This Row],[out]]=0,0,IF(raw[[#This Row],[out]]=raw[[#This Row],[in]],0.01,raw[[#This Row],[out]]-raw[[#This Row],[in]]))</f>
        <v/>
      </c>
      <c r="P109" s="1397">
        <f>IF(raw[[#This Row],[in]]=0,0,MONTH(raw[[#This Row],[in]]))</f>
        <v/>
      </c>
      <c r="Q109" s="1397">
        <f>IF(raw[[#This Row],[in]]=0,0,YEAR(raw[[#This Row],[in]]))</f>
        <v/>
      </c>
      <c r="R109" s="1397">
        <f>INT(raw[[#This Row],[yr]]/10)*10</f>
        <v/>
      </c>
      <c r="S109" s="1395">
        <f>IF(raw[[#This Row],[city]]="","-",IF(raw[[#This Row],[city]]&lt;&gt;_xlfn.XLOOKUP(raw[[#This Row],[home]],homes[home],homes[city],"-"),1,0))</f>
        <v/>
      </c>
      <c r="T109" s="1398" t="inlineStr">
        <is>
          <t>.</t>
        </is>
      </c>
      <c r="U109" s="1399">
        <f>IF(raw[[#This Row],[wb]]="w",raw[[#This Row],[stay]]+U108,U108)</f>
        <v/>
      </c>
      <c r="V109" s="1400">
        <f>IF(raw[[#This Row],[out]]=0,V108,(raw[[#This Row],[out]]-E$5))</f>
        <v/>
      </c>
      <c r="W109" s="1401">
        <f>U109/V109</f>
        <v/>
      </c>
      <c r="X109" s="1378" t="inlineStr">
        <is>
          <t>.</t>
        </is>
      </c>
      <c r="Y109" s="1402">
        <f/>
        <v/>
      </c>
      <c r="Z109" s="1403">
        <f/>
        <v/>
      </c>
      <c r="AA109" s="1403">
        <f/>
        <v/>
      </c>
      <c r="AB109" s="1400">
        <f t="array" ref="AB109">_xlfn.LET(_xlpm.S,_xlfn.ANCHORARRAY($Y$4),_xlpm.r,ROWS(stayCity[[#Headers],[city]]:stayCity[[#This Row],[city]])-1,IF(_xlpm.r&lt;=ROWS(_xlpm.S),INDEX(_xlpm.S,_xlpm.r,1),""))</f>
        <v/>
      </c>
      <c r="AC109" s="1405">
        <f t="array" ref="AC109">_xlfn.LET(_xlpm.S,_xlfn.ANCHORARRAY($Y$4),_xlpm.r,ROWS(stayCity[[#Headers],[city]]:stayCity[[#This Row],[city]])-1,IF(_xlpm.r&lt;=ROWS(_xlpm.S),INDEX(_xlpm.S,_xlpm.r,2),""))</f>
        <v/>
      </c>
      <c r="AD109" s="1405">
        <f t="array" ref="AD109">_xlfn.LET(_xlpm.S,_xlfn.ANCHORARRAY($Y$4),_xlpm.r,ROWS(stayCity[[#Headers],[city]]:stayCity[[#This Row],[city]])-1,IF(_xlpm.r&lt;=ROWS(_xlpm.S),INDEX(_xlpm.S,_xlpm.r,3),""))</f>
        <v/>
      </c>
      <c r="AE109" s="1400">
        <f>IF(stayCity[[#This Row],[out]]&lt;&gt;"",stayCity[[#This Row],[out]]-stayCity[[#This Row],[in]],"-")</f>
        <v/>
      </c>
      <c r="AF109" s="1406">
        <f>IF(Y109="","-",YEAR(stayCity[[#This Row],[in]]))</f>
        <v/>
      </c>
      <c r="AG109" s="1398" t="inlineStr">
        <is>
          <t>.</t>
        </is>
      </c>
      <c r="AH109" s="1402">
        <f/>
        <v/>
      </c>
      <c r="AI109" s="1403">
        <f/>
        <v/>
      </c>
      <c r="AJ109" s="1403">
        <f/>
        <v/>
      </c>
      <c r="AK109" s="1400">
        <f>IF(AH109="","-",AH109)</f>
        <v/>
      </c>
      <c r="AL109" s="1405">
        <f>AI109</f>
        <v/>
      </c>
      <c r="AM109" s="1405">
        <f>AJ109</f>
        <v/>
      </c>
      <c r="AN109" s="1400">
        <f>stayCtry[[#This Row],[out]]-stayCtry[[#This Row],[in]]</f>
        <v/>
      </c>
      <c r="AO109" s="1406">
        <f>IF(AI109&lt;&gt;"",AO108+1,AO108)</f>
        <v/>
      </c>
      <c r="AP109" s="1398" t="inlineStr">
        <is>
          <t>.</t>
        </is>
      </c>
      <c r="AQ109" s="1402">
        <f/>
        <v/>
      </c>
      <c r="AR109" s="1403">
        <f/>
        <v/>
      </c>
      <c r="AS109" s="1403">
        <f/>
        <v/>
      </c>
      <c r="AT109" s="1400">
        <f>AQ109</f>
        <v/>
      </c>
      <c r="AU109" s="1405">
        <f>AR109</f>
        <v/>
      </c>
      <c r="AV109" s="1405">
        <f>AS109</f>
        <v/>
      </c>
      <c r="AW109" s="1400">
        <f>stayCont[[#This Row],[out]]-stayCont[[#This Row],[in]]</f>
        <v/>
      </c>
      <c r="AX109" s="1406">
        <f>IF(AR109&lt;&gt;"",AX108+1,AX108)</f>
        <v/>
      </c>
      <c r="AY109" s="1398" t="inlineStr">
        <is>
          <t>.</t>
        </is>
      </c>
      <c r="AZ109" s="1402" t="n"/>
      <c r="BA109" s="1403" t="n"/>
      <c r="BB109" s="1403" t="n"/>
      <c r="BC109" s="1405">
        <f>AZ109</f>
        <v/>
      </c>
      <c r="BD109" s="1405">
        <f>BA109</f>
        <v/>
      </c>
      <c r="BE109" s="1405">
        <f>BB109</f>
        <v/>
      </c>
      <c r="BF109" s="1400">
        <f>stayWB[[#This Row],[out]]-stayWB[[#This Row],[in]]</f>
        <v/>
      </c>
      <c r="BG109" s="1400">
        <f>IF(BB109&lt;&gt;"",BG108+1,BG108)</f>
        <v/>
      </c>
      <c r="BH109" s="1398" t="inlineStr">
        <is>
          <t>.</t>
        </is>
      </c>
      <c r="BI109" s="1402" t="inlineStr">
        <is>
          <t>FRA</t>
        </is>
      </c>
      <c r="BJ109" s="1402" t="n">
        <v>2004</v>
      </c>
      <c r="BK109" s="1400">
        <f>BI109</f>
        <v/>
      </c>
      <c r="BL109" s="1409">
        <f>BJ109</f>
        <v/>
      </c>
      <c r="BM109" s="1378" t="inlineStr">
        <is>
          <t>.</t>
        </is>
      </c>
      <c r="BN109" s="1411" t="inlineStr">
        <is>
          <t>Z</t>
        </is>
      </c>
      <c r="BO109" s="1400">
        <f>BN109</f>
        <v/>
      </c>
      <c r="BP109" s="1398" t="inlineStr">
        <is>
          <t>.</t>
        </is>
      </c>
      <c r="BQ109" s="1400">
        <f>IF(BR109&lt;&gt;"",BQ108+1,BQ108)</f>
        <v/>
      </c>
      <c r="BR109" s="1411" t="inlineStr">
        <is>
          <t>SP</t>
        </is>
      </c>
      <c r="BS109" s="1411" t="inlineStr">
        <is>
          <t>BH</t>
        </is>
      </c>
      <c r="BT109" s="1412" t="inlineStr">
        <is>
          <t>SP-BH</t>
        </is>
      </c>
      <c r="BU109" s="1412" t="n">
        <v>37573</v>
      </c>
      <c r="BV109" s="1398" t="inlineStr">
        <is>
          <t>.</t>
        </is>
      </c>
      <c r="BW109" s="1392" t="n"/>
      <c r="BX109" s="1392" t="n"/>
      <c r="BY109" s="1392" t="n"/>
      <c r="BZ109" s="1416" t="n"/>
      <c r="CA109" s="1392" t="n"/>
      <c r="CB109" s="1398" t="inlineStr">
        <is>
          <t>.</t>
        </is>
      </c>
      <c r="CC109" s="1400">
        <f>IF(CD109&lt;&gt;"",CC108+1,CC108)</f>
        <v/>
      </c>
      <c r="CD109" s="1411" t="inlineStr">
        <is>
          <t>David's</t>
        </is>
      </c>
      <c r="CE109" s="1412" t="n">
        <v>39347</v>
      </c>
      <c r="CF109" s="1412" t="n">
        <v>39354</v>
      </c>
      <c r="CG109" s="1415">
        <f>CF109-CE109</f>
        <v/>
      </c>
      <c r="CH109" s="1398" t="inlineStr">
        <is>
          <t>.</t>
        </is>
      </c>
      <c r="CI109" s="1392" t="n"/>
      <c r="CJ109" s="1392" t="n"/>
      <c r="CK109" s="1392" t="n"/>
      <c r="CL109" s="1392" t="n"/>
    </row>
    <row r="110">
      <c r="A110" s="5" t="inlineStr">
        <is>
          <t>.</t>
        </is>
      </c>
      <c r="B110" s="5" t="inlineStr">
        <is>
          <t>.</t>
        </is>
      </c>
      <c r="C110" s="1378">
        <f>IF(raw[[#This Row],[city]]="","-",IF(raw[[#This Row],[city]]="TODAY","-",C109+1))</f>
        <v/>
      </c>
      <c r="D110" s="1393" t="inlineStr">
        <is>
          <t>Koln</t>
        </is>
      </c>
      <c r="E110" s="1394" t="n">
        <v>30726</v>
      </c>
      <c r="F110" s="1394" t="n">
        <v>30729</v>
      </c>
      <c r="G110" s="1393" t="inlineStr">
        <is>
          <t>-</t>
        </is>
      </c>
      <c r="H110" s="1393">
        <f>H109</f>
        <v/>
      </c>
      <c r="I110" s="1393" t="inlineStr">
        <is>
          <t>-</t>
        </is>
      </c>
      <c r="J110" s="1393" t="inlineStr">
        <is>
          <t>-</t>
        </is>
      </c>
      <c r="K110" s="1395">
        <f>IF(raw[[#This Row],[city]]&lt;&gt;"",_xlfn.XLOOKUP($D110,ccc[city],ccc[prov],"-"),"-")</f>
        <v/>
      </c>
      <c r="L110" s="1395">
        <f>IF(raw[[#This Row],[city]]&lt;&gt;"",_xlfn.XLOOKUP($D110,ccc[city],ccc[ctry],"-"),"-")</f>
        <v/>
      </c>
      <c r="M110" s="1395">
        <f>IF(raw[[#This Row],[city]]&lt;&gt;"",_xlfn.XLOOKUP($D110,ccc[city],ccc[cont],"-"),"-")</f>
        <v/>
      </c>
      <c r="N110" s="1396">
        <f>IF(raw[[#This Row],[city]]="","-",IF(raw[[#This Row],[cont]]="B",raw[[#This Row],[cont]],"W"))</f>
        <v/>
      </c>
      <c r="O110" s="1397">
        <f>IF(raw[[#This Row],[out]]=0,0,IF(raw[[#This Row],[out]]=raw[[#This Row],[in]],0.01,raw[[#This Row],[out]]-raw[[#This Row],[in]]))</f>
        <v/>
      </c>
      <c r="P110" s="1397">
        <f>IF(raw[[#This Row],[in]]=0,0,MONTH(raw[[#This Row],[in]]))</f>
        <v/>
      </c>
      <c r="Q110" s="1397">
        <f>IF(raw[[#This Row],[in]]=0,0,YEAR(raw[[#This Row],[in]]))</f>
        <v/>
      </c>
      <c r="R110" s="1397">
        <f>INT(raw[[#This Row],[yr]]/10)*10</f>
        <v/>
      </c>
      <c r="S110" s="1395">
        <f>IF(raw[[#This Row],[city]]="","-",IF(raw[[#This Row],[city]]&lt;&gt;_xlfn.XLOOKUP(raw[[#This Row],[home]],homes[home],homes[city],"-"),1,0))</f>
        <v/>
      </c>
      <c r="T110" s="1398" t="inlineStr">
        <is>
          <t>.</t>
        </is>
      </c>
      <c r="U110" s="1399">
        <f>IF(raw[[#This Row],[wb]]="w",raw[[#This Row],[stay]]+U109,U109)</f>
        <v/>
      </c>
      <c r="V110" s="1400">
        <f>IF(raw[[#This Row],[out]]=0,V109,(raw[[#This Row],[out]]-E$5))</f>
        <v/>
      </c>
      <c r="W110" s="1401">
        <f>U110/V110</f>
        <v/>
      </c>
      <c r="X110" s="1378" t="inlineStr">
        <is>
          <t>.</t>
        </is>
      </c>
      <c r="Y110" s="1402">
        <f/>
        <v/>
      </c>
      <c r="Z110" s="1403">
        <f/>
        <v/>
      </c>
      <c r="AA110" s="1403">
        <f/>
        <v/>
      </c>
      <c r="AB110" s="1400">
        <f t="array" ref="AB110">_xlfn.LET(_xlpm.S,_xlfn.ANCHORARRAY($Y$4),_xlpm.r,ROWS(stayCity[[#Headers],[city]]:stayCity[[#This Row],[city]])-1,IF(_xlpm.r&lt;=ROWS(_xlpm.S),INDEX(_xlpm.S,_xlpm.r,1),""))</f>
        <v/>
      </c>
      <c r="AC110" s="1405">
        <f t="array" ref="AC110">_xlfn.LET(_xlpm.S,_xlfn.ANCHORARRAY($Y$4),_xlpm.r,ROWS(stayCity[[#Headers],[city]]:stayCity[[#This Row],[city]])-1,IF(_xlpm.r&lt;=ROWS(_xlpm.S),INDEX(_xlpm.S,_xlpm.r,2),""))</f>
        <v/>
      </c>
      <c r="AD110" s="1405">
        <f t="array" ref="AD110">_xlfn.LET(_xlpm.S,_xlfn.ANCHORARRAY($Y$4),_xlpm.r,ROWS(stayCity[[#Headers],[city]]:stayCity[[#This Row],[city]])-1,IF(_xlpm.r&lt;=ROWS(_xlpm.S),INDEX(_xlpm.S,_xlpm.r,3),""))</f>
        <v/>
      </c>
      <c r="AE110" s="1400">
        <f>IF(stayCity[[#This Row],[out]]&lt;&gt;"",stayCity[[#This Row],[out]]-stayCity[[#This Row],[in]],"-")</f>
        <v/>
      </c>
      <c r="AF110" s="1406">
        <f>IF(Y110="","-",YEAR(stayCity[[#This Row],[in]]))</f>
        <v/>
      </c>
      <c r="AG110" s="1398" t="inlineStr">
        <is>
          <t>.</t>
        </is>
      </c>
      <c r="AH110" s="1402">
        <f/>
        <v/>
      </c>
      <c r="AI110" s="1403">
        <f/>
        <v/>
      </c>
      <c r="AJ110" s="1403">
        <f/>
        <v/>
      </c>
      <c r="AK110" s="1400">
        <f>IF(AH110="","-",AH110)</f>
        <v/>
      </c>
      <c r="AL110" s="1405">
        <f>AI110</f>
        <v/>
      </c>
      <c r="AM110" s="1405">
        <f>AJ110</f>
        <v/>
      </c>
      <c r="AN110" s="1400">
        <f>stayCtry[[#This Row],[out]]-stayCtry[[#This Row],[in]]</f>
        <v/>
      </c>
      <c r="AO110" s="1406">
        <f>IF(AI110&lt;&gt;"",AO109+1,AO109)</f>
        <v/>
      </c>
      <c r="AP110" s="1398" t="inlineStr">
        <is>
          <t>.</t>
        </is>
      </c>
      <c r="AQ110" s="1402">
        <f/>
        <v/>
      </c>
      <c r="AR110" s="1403">
        <f/>
        <v/>
      </c>
      <c r="AS110" s="1403">
        <f/>
        <v/>
      </c>
      <c r="AT110" s="1400">
        <f>AQ110</f>
        <v/>
      </c>
      <c r="AU110" s="1405">
        <f>AR110</f>
        <v/>
      </c>
      <c r="AV110" s="1405">
        <f>AS110</f>
        <v/>
      </c>
      <c r="AW110" s="1400">
        <f>stayCont[[#This Row],[out]]-stayCont[[#This Row],[in]]</f>
        <v/>
      </c>
      <c r="AX110" s="1406">
        <f>IF(AR110&lt;&gt;"",AX109+1,AX109)</f>
        <v/>
      </c>
      <c r="AY110" s="1398" t="inlineStr">
        <is>
          <t>.</t>
        </is>
      </c>
      <c r="AZ110" s="1402" t="n"/>
      <c r="BA110" s="1403" t="n"/>
      <c r="BB110" s="1403" t="n"/>
      <c r="BC110" s="1405">
        <f>AZ110</f>
        <v/>
      </c>
      <c r="BD110" s="1405">
        <f>BA110</f>
        <v/>
      </c>
      <c r="BE110" s="1405">
        <f>BB110</f>
        <v/>
      </c>
      <c r="BF110" s="1400">
        <f>stayWB[[#This Row],[out]]-stayWB[[#This Row],[in]]</f>
        <v/>
      </c>
      <c r="BG110" s="1400">
        <f>IF(BB110&lt;&gt;"",BG109+1,BG109)</f>
        <v/>
      </c>
      <c r="BH110" s="1398" t="inlineStr">
        <is>
          <t>.</t>
        </is>
      </c>
      <c r="BI110" s="1402" t="inlineStr">
        <is>
          <t>CHE</t>
        </is>
      </c>
      <c r="BJ110" s="1402" t="n">
        <v>2004</v>
      </c>
      <c r="BK110" s="1400">
        <f>BI110</f>
        <v/>
      </c>
      <c r="BL110" s="1409">
        <f>BJ110</f>
        <v/>
      </c>
      <c r="BM110" s="1378" t="inlineStr">
        <is>
          <t>.</t>
        </is>
      </c>
      <c r="BN110" s="1411" t="inlineStr">
        <is>
          <t>E</t>
        </is>
      </c>
      <c r="BO110" s="1400">
        <f>BN110</f>
        <v/>
      </c>
      <c r="BP110" s="1398" t="inlineStr">
        <is>
          <t>.</t>
        </is>
      </c>
      <c r="BQ110" s="1400">
        <f>IF(BR110&lt;&gt;"",BQ109+1,BQ109)</f>
        <v/>
      </c>
      <c r="BR110" s="1411" t="inlineStr">
        <is>
          <t>SP</t>
        </is>
      </c>
      <c r="BS110" s="1411" t="inlineStr">
        <is>
          <t>Rio</t>
        </is>
      </c>
      <c r="BT110" s="1412" t="inlineStr">
        <is>
          <t>SP-Rio</t>
        </is>
      </c>
      <c r="BU110" s="1412" t="n">
        <v>37609</v>
      </c>
      <c r="BV110" s="1398" t="inlineStr">
        <is>
          <t>.</t>
        </is>
      </c>
      <c r="BW110" s="1392" t="n"/>
      <c r="BX110" s="1392" t="n"/>
      <c r="BY110" s="1392" t="n"/>
      <c r="BZ110" s="1416" t="n"/>
      <c r="CA110" s="1392" t="n"/>
      <c r="CB110" s="1398" t="inlineStr">
        <is>
          <t>.</t>
        </is>
      </c>
      <c r="CC110" s="1400">
        <f>IF(CD110&lt;&gt;"",CC109+1,CC109)</f>
        <v/>
      </c>
      <c r="CD110" s="1411" t="inlineStr">
        <is>
          <t>Salto Grande</t>
        </is>
      </c>
      <c r="CE110" s="1412" t="n">
        <v>39368</v>
      </c>
      <c r="CF110" s="1412" t="n">
        <v>39375</v>
      </c>
      <c r="CG110" s="1415">
        <f>CF110-CE110</f>
        <v/>
      </c>
      <c r="CH110" s="1398" t="inlineStr">
        <is>
          <t>.</t>
        </is>
      </c>
      <c r="CI110" s="1392" t="n"/>
      <c r="CJ110" s="1392" t="n"/>
      <c r="CK110" s="1392" t="n"/>
      <c r="CL110" s="1392" t="n"/>
    </row>
    <row r="111">
      <c r="A111" s="5" t="inlineStr">
        <is>
          <t>.</t>
        </is>
      </c>
      <c r="B111" s="5" t="inlineStr">
        <is>
          <t>.</t>
        </is>
      </c>
      <c r="C111" s="1378">
        <f>IF(raw[[#This Row],[city]]="","-",IF(raw[[#This Row],[city]]="TODAY","-",C110+1))</f>
        <v/>
      </c>
      <c r="D111" s="1393" t="inlineStr">
        <is>
          <t>Amsterdam</t>
        </is>
      </c>
      <c r="E111" s="1394" t="n">
        <v>30729</v>
      </c>
      <c r="F111" s="1394" t="n">
        <v>30731</v>
      </c>
      <c r="G111" s="1393" t="inlineStr">
        <is>
          <t>-</t>
        </is>
      </c>
      <c r="H111" s="1393">
        <f>H110</f>
        <v/>
      </c>
      <c r="I111" s="1393" t="inlineStr">
        <is>
          <t>-</t>
        </is>
      </c>
      <c r="J111" s="1393" t="inlineStr">
        <is>
          <t>-</t>
        </is>
      </c>
      <c r="K111" s="1395">
        <f>IF(raw[[#This Row],[city]]&lt;&gt;"",_xlfn.XLOOKUP($D111,ccc[city],ccc[prov],"-"),"-")</f>
        <v/>
      </c>
      <c r="L111" s="1395">
        <f>IF(raw[[#This Row],[city]]&lt;&gt;"",_xlfn.XLOOKUP($D111,ccc[city],ccc[ctry],"-"),"-")</f>
        <v/>
      </c>
      <c r="M111" s="1395">
        <f>IF(raw[[#This Row],[city]]&lt;&gt;"",_xlfn.XLOOKUP($D111,ccc[city],ccc[cont],"-"),"-")</f>
        <v/>
      </c>
      <c r="N111" s="1396">
        <f>IF(raw[[#This Row],[city]]="","-",IF(raw[[#This Row],[cont]]="B",raw[[#This Row],[cont]],"W"))</f>
        <v/>
      </c>
      <c r="O111" s="1397">
        <f>IF(raw[[#This Row],[out]]=0,0,IF(raw[[#This Row],[out]]=raw[[#This Row],[in]],0.01,raw[[#This Row],[out]]-raw[[#This Row],[in]]))</f>
        <v/>
      </c>
      <c r="P111" s="1397">
        <f>IF(raw[[#This Row],[in]]=0,0,MONTH(raw[[#This Row],[in]]))</f>
        <v/>
      </c>
      <c r="Q111" s="1397">
        <f>IF(raw[[#This Row],[in]]=0,0,YEAR(raw[[#This Row],[in]]))</f>
        <v/>
      </c>
      <c r="R111" s="1397">
        <f>INT(raw[[#This Row],[yr]]/10)*10</f>
        <v/>
      </c>
      <c r="S111" s="1395">
        <f>IF(raw[[#This Row],[city]]="","-",IF(raw[[#This Row],[city]]&lt;&gt;_xlfn.XLOOKUP(raw[[#This Row],[home]],homes[home],homes[city],"-"),1,0))</f>
        <v/>
      </c>
      <c r="T111" s="1398" t="inlineStr">
        <is>
          <t>.</t>
        </is>
      </c>
      <c r="U111" s="1399">
        <f>IF(raw[[#This Row],[wb]]="w",raw[[#This Row],[stay]]+U110,U110)</f>
        <v/>
      </c>
      <c r="V111" s="1400">
        <f>IF(raw[[#This Row],[out]]=0,V110,(raw[[#This Row],[out]]-E$5))</f>
        <v/>
      </c>
      <c r="W111" s="1401">
        <f>U111/V111</f>
        <v/>
      </c>
      <c r="X111" s="1378" t="inlineStr">
        <is>
          <t>.</t>
        </is>
      </c>
      <c r="Y111" s="1402">
        <f/>
        <v/>
      </c>
      <c r="Z111" s="1403">
        <f/>
        <v/>
      </c>
      <c r="AA111" s="1403">
        <f/>
        <v/>
      </c>
      <c r="AB111" s="1400">
        <f t="array" ref="AB111">_xlfn.LET(_xlpm.S,_xlfn.ANCHORARRAY($Y$4),_xlpm.r,ROWS(stayCity[[#Headers],[city]]:stayCity[[#This Row],[city]])-1,IF(_xlpm.r&lt;=ROWS(_xlpm.S),INDEX(_xlpm.S,_xlpm.r,1),""))</f>
        <v/>
      </c>
      <c r="AC111" s="1405">
        <f t="array" ref="AC111">_xlfn.LET(_xlpm.S,_xlfn.ANCHORARRAY($Y$4),_xlpm.r,ROWS(stayCity[[#Headers],[city]]:stayCity[[#This Row],[city]])-1,IF(_xlpm.r&lt;=ROWS(_xlpm.S),INDEX(_xlpm.S,_xlpm.r,2),""))</f>
        <v/>
      </c>
      <c r="AD111" s="1405">
        <f t="array" ref="AD111">_xlfn.LET(_xlpm.S,_xlfn.ANCHORARRAY($Y$4),_xlpm.r,ROWS(stayCity[[#Headers],[city]]:stayCity[[#This Row],[city]])-1,IF(_xlpm.r&lt;=ROWS(_xlpm.S),INDEX(_xlpm.S,_xlpm.r,3),""))</f>
        <v/>
      </c>
      <c r="AE111" s="1400">
        <f>IF(stayCity[[#This Row],[out]]&lt;&gt;"",stayCity[[#This Row],[out]]-stayCity[[#This Row],[in]],"-")</f>
        <v/>
      </c>
      <c r="AF111" s="1406">
        <f>IF(Y111="","-",YEAR(stayCity[[#This Row],[in]]))</f>
        <v/>
      </c>
      <c r="AG111" s="1398" t="inlineStr">
        <is>
          <t>.</t>
        </is>
      </c>
      <c r="AH111" s="1402">
        <f/>
        <v/>
      </c>
      <c r="AI111" s="1403">
        <f/>
        <v/>
      </c>
      <c r="AJ111" s="1403">
        <f/>
        <v/>
      </c>
      <c r="AK111" s="1400">
        <f>IF(AH111="","-",AH111)</f>
        <v/>
      </c>
      <c r="AL111" s="1405">
        <f>AI111</f>
        <v/>
      </c>
      <c r="AM111" s="1405">
        <f>AJ111</f>
        <v/>
      </c>
      <c r="AN111" s="1400">
        <f>stayCtry[[#This Row],[out]]-stayCtry[[#This Row],[in]]</f>
        <v/>
      </c>
      <c r="AO111" s="1406">
        <f>IF(AI111&lt;&gt;"",AO110+1,AO110)</f>
        <v/>
      </c>
      <c r="AP111" s="1398" t="inlineStr">
        <is>
          <t>.</t>
        </is>
      </c>
      <c r="AQ111" s="1402">
        <f/>
        <v/>
      </c>
      <c r="AR111" s="1403">
        <f/>
        <v/>
      </c>
      <c r="AS111" s="1403">
        <f/>
        <v/>
      </c>
      <c r="AT111" s="1400">
        <f>AQ111</f>
        <v/>
      </c>
      <c r="AU111" s="1405">
        <f>AR111</f>
        <v/>
      </c>
      <c r="AV111" s="1405">
        <f>AS111</f>
        <v/>
      </c>
      <c r="AW111" s="1400">
        <f>stayCont[[#This Row],[out]]-stayCont[[#This Row],[in]]</f>
        <v/>
      </c>
      <c r="AX111" s="1406">
        <f>IF(AR111&lt;&gt;"",AX110+1,AX110)</f>
        <v/>
      </c>
      <c r="AY111" s="1398" t="inlineStr">
        <is>
          <t>.</t>
        </is>
      </c>
      <c r="AZ111" s="1402" t="n"/>
      <c r="BA111" s="1403" t="n"/>
      <c r="BB111" s="1403" t="n"/>
      <c r="BC111" s="1405">
        <f>AZ111</f>
        <v/>
      </c>
      <c r="BD111" s="1405">
        <f>BA111</f>
        <v/>
      </c>
      <c r="BE111" s="1405">
        <f>BB111</f>
        <v/>
      </c>
      <c r="BF111" s="1400">
        <f>stayWB[[#This Row],[out]]-stayWB[[#This Row],[in]]</f>
        <v/>
      </c>
      <c r="BG111" s="1400">
        <f>IF(BB111&lt;&gt;"",BG110+1,BG110)</f>
        <v/>
      </c>
      <c r="BH111" s="1398" t="inlineStr">
        <is>
          <t>.</t>
        </is>
      </c>
      <c r="BI111" s="1402" t="inlineStr">
        <is>
          <t>UK</t>
        </is>
      </c>
      <c r="BJ111" s="1402" t="n">
        <v>2004</v>
      </c>
      <c r="BK111" s="1400">
        <f>BI111</f>
        <v/>
      </c>
      <c r="BL111" s="1409">
        <f>BJ111</f>
        <v/>
      </c>
      <c r="BM111" s="1378" t="inlineStr">
        <is>
          <t>.</t>
        </is>
      </c>
      <c r="BN111" s="1411" t="inlineStr">
        <is>
          <t>N</t>
        </is>
      </c>
      <c r="BO111" s="1400">
        <f>BN111</f>
        <v/>
      </c>
      <c r="BP111" s="1398" t="inlineStr">
        <is>
          <t>.</t>
        </is>
      </c>
      <c r="BQ111" s="1400">
        <f>IF(BR111&lt;&gt;"",BQ110+1,BQ110)</f>
        <v/>
      </c>
      <c r="BR111" s="1411" t="inlineStr">
        <is>
          <t>SSA</t>
        </is>
      </c>
      <c r="BS111" s="1411" t="inlineStr">
        <is>
          <t>SP</t>
        </is>
      </c>
      <c r="BT111" s="1412" t="inlineStr">
        <is>
          <t>SSA-SP</t>
        </is>
      </c>
      <c r="BU111" s="1412" t="n">
        <v>37632</v>
      </c>
      <c r="BV111" s="1398" t="inlineStr">
        <is>
          <t>.</t>
        </is>
      </c>
      <c r="BW111" s="1392" t="n"/>
      <c r="BX111" s="1392" t="n"/>
      <c r="BY111" s="1392" t="n"/>
      <c r="BZ111" s="1416" t="n"/>
      <c r="CA111" s="1392" t="n"/>
      <c r="CB111" s="1398" t="inlineStr">
        <is>
          <t>.</t>
        </is>
      </c>
      <c r="CC111" s="1400">
        <f>IF(CD111&lt;&gt;"",CC110+1,CC110)</f>
        <v/>
      </c>
      <c r="CD111" s="1411" t="inlineStr">
        <is>
          <t>Porto do Sol</t>
        </is>
      </c>
      <c r="CE111" s="1412" t="n">
        <v>39453</v>
      </c>
      <c r="CF111" s="1412" t="n">
        <v>39456</v>
      </c>
      <c r="CG111" s="1415">
        <f>CF111-CE111</f>
        <v/>
      </c>
      <c r="CH111" s="1398" t="inlineStr">
        <is>
          <t>.</t>
        </is>
      </c>
      <c r="CI111" s="1392" t="n"/>
      <c r="CJ111" s="1392" t="n"/>
      <c r="CK111" s="1392" t="n"/>
      <c r="CL111" s="1392" t="n"/>
    </row>
    <row r="112">
      <c r="A112" s="5" t="inlineStr">
        <is>
          <t>.</t>
        </is>
      </c>
      <c r="B112" s="5" t="inlineStr">
        <is>
          <t>.</t>
        </is>
      </c>
      <c r="C112" s="1378">
        <f>IF(raw[[#This Row],[city]]="","-",IF(raw[[#This Row],[city]]="TODAY","-",C111+1))</f>
        <v/>
      </c>
      <c r="D112" s="1393" t="inlineStr">
        <is>
          <t>Paris</t>
        </is>
      </c>
      <c r="E112" s="1394" t="n">
        <v>30731</v>
      </c>
      <c r="F112" s="1394" t="n">
        <v>30736</v>
      </c>
      <c r="G112" s="1393" t="inlineStr">
        <is>
          <t>-</t>
        </is>
      </c>
      <c r="H112" s="1393">
        <f>H111</f>
        <v/>
      </c>
      <c r="I112" s="1393" t="inlineStr">
        <is>
          <t>-</t>
        </is>
      </c>
      <c r="J112" s="1393" t="inlineStr">
        <is>
          <t>-</t>
        </is>
      </c>
      <c r="K112" s="1395">
        <f>IF(raw[[#This Row],[city]]&lt;&gt;"",_xlfn.XLOOKUP($D112,ccc[city],ccc[prov],"-"),"-")</f>
        <v/>
      </c>
      <c r="L112" s="1395">
        <f>IF(raw[[#This Row],[city]]&lt;&gt;"",_xlfn.XLOOKUP($D112,ccc[city],ccc[ctry],"-"),"-")</f>
        <v/>
      </c>
      <c r="M112" s="1395">
        <f>IF(raw[[#This Row],[city]]&lt;&gt;"",_xlfn.XLOOKUP($D112,ccc[city],ccc[cont],"-"),"-")</f>
        <v/>
      </c>
      <c r="N112" s="1396">
        <f>IF(raw[[#This Row],[city]]="","-",IF(raw[[#This Row],[cont]]="B",raw[[#This Row],[cont]],"W"))</f>
        <v/>
      </c>
      <c r="O112" s="1397">
        <f>IF(raw[[#This Row],[out]]=0,0,IF(raw[[#This Row],[out]]=raw[[#This Row],[in]],0.01,raw[[#This Row],[out]]-raw[[#This Row],[in]]))</f>
        <v/>
      </c>
      <c r="P112" s="1397">
        <f>IF(raw[[#This Row],[in]]=0,0,MONTH(raw[[#This Row],[in]]))</f>
        <v/>
      </c>
      <c r="Q112" s="1397">
        <f>IF(raw[[#This Row],[in]]=0,0,YEAR(raw[[#This Row],[in]]))</f>
        <v/>
      </c>
      <c r="R112" s="1397">
        <f>INT(raw[[#This Row],[yr]]/10)*10</f>
        <v/>
      </c>
      <c r="S112" s="1395">
        <f>IF(raw[[#This Row],[city]]="","-",IF(raw[[#This Row],[city]]&lt;&gt;_xlfn.XLOOKUP(raw[[#This Row],[home]],homes[home],homes[city],"-"),1,0))</f>
        <v/>
      </c>
      <c r="T112" s="1398" t="inlineStr">
        <is>
          <t>.</t>
        </is>
      </c>
      <c r="U112" s="1399">
        <f>IF(raw[[#This Row],[wb]]="w",raw[[#This Row],[stay]]+U111,U111)</f>
        <v/>
      </c>
      <c r="V112" s="1400">
        <f>IF(raw[[#This Row],[out]]=0,V111,(raw[[#This Row],[out]]-E$5))</f>
        <v/>
      </c>
      <c r="W112" s="1401">
        <f>U112/V112</f>
        <v/>
      </c>
      <c r="X112" s="1378" t="inlineStr">
        <is>
          <t>.</t>
        </is>
      </c>
      <c r="Y112" s="1402">
        <f/>
        <v/>
      </c>
      <c r="Z112" s="1403">
        <f/>
        <v/>
      </c>
      <c r="AA112" s="1403">
        <f/>
        <v/>
      </c>
      <c r="AB112" s="1400">
        <f t="array" ref="AB112">_xlfn.LET(_xlpm.S,_xlfn.ANCHORARRAY($Y$4),_xlpm.r,ROWS(stayCity[[#Headers],[city]]:stayCity[[#This Row],[city]])-1,IF(_xlpm.r&lt;=ROWS(_xlpm.S),INDEX(_xlpm.S,_xlpm.r,1),""))</f>
        <v/>
      </c>
      <c r="AC112" s="1405">
        <f t="array" ref="AC112">_xlfn.LET(_xlpm.S,_xlfn.ANCHORARRAY($Y$4),_xlpm.r,ROWS(stayCity[[#Headers],[city]]:stayCity[[#This Row],[city]])-1,IF(_xlpm.r&lt;=ROWS(_xlpm.S),INDEX(_xlpm.S,_xlpm.r,2),""))</f>
        <v/>
      </c>
      <c r="AD112" s="1405">
        <f t="array" ref="AD112">_xlfn.LET(_xlpm.S,_xlfn.ANCHORARRAY($Y$4),_xlpm.r,ROWS(stayCity[[#Headers],[city]]:stayCity[[#This Row],[city]])-1,IF(_xlpm.r&lt;=ROWS(_xlpm.S),INDEX(_xlpm.S,_xlpm.r,3),""))</f>
        <v/>
      </c>
      <c r="AE112" s="1400">
        <f>IF(stayCity[[#This Row],[out]]&lt;&gt;"",stayCity[[#This Row],[out]]-stayCity[[#This Row],[in]],"-")</f>
        <v/>
      </c>
      <c r="AF112" s="1406">
        <f>IF(Y112="","-",YEAR(stayCity[[#This Row],[in]]))</f>
        <v/>
      </c>
      <c r="AG112" s="1398" t="inlineStr">
        <is>
          <t>.</t>
        </is>
      </c>
      <c r="AH112" s="1402">
        <f/>
        <v/>
      </c>
      <c r="AI112" s="1403">
        <f/>
        <v/>
      </c>
      <c r="AJ112" s="1403">
        <f/>
        <v/>
      </c>
      <c r="AK112" s="1400">
        <f>IF(AH112="","-",AH112)</f>
        <v/>
      </c>
      <c r="AL112" s="1405">
        <f>AI112</f>
        <v/>
      </c>
      <c r="AM112" s="1405">
        <f>AJ112</f>
        <v/>
      </c>
      <c r="AN112" s="1400">
        <f>stayCtry[[#This Row],[out]]-stayCtry[[#This Row],[in]]</f>
        <v/>
      </c>
      <c r="AO112" s="1406">
        <f>IF(AI112&lt;&gt;"",AO111+1,AO111)</f>
        <v/>
      </c>
      <c r="AP112" s="1398" t="inlineStr">
        <is>
          <t>.</t>
        </is>
      </c>
      <c r="AQ112" s="1402">
        <f/>
        <v/>
      </c>
      <c r="AR112" s="1403">
        <f/>
        <v/>
      </c>
      <c r="AS112" s="1403">
        <f/>
        <v/>
      </c>
      <c r="AT112" s="1400">
        <f>AQ112</f>
        <v/>
      </c>
      <c r="AU112" s="1405">
        <f>AR112</f>
        <v/>
      </c>
      <c r="AV112" s="1405">
        <f>AS112</f>
        <v/>
      </c>
      <c r="AW112" s="1400">
        <f>stayCont[[#This Row],[out]]-stayCont[[#This Row],[in]]</f>
        <v/>
      </c>
      <c r="AX112" s="1406">
        <f>IF(AR112&lt;&gt;"",AX111+1,AX111)</f>
        <v/>
      </c>
      <c r="AY112" s="1398" t="inlineStr">
        <is>
          <t>.</t>
        </is>
      </c>
      <c r="AZ112" s="1402" t="n"/>
      <c r="BA112" s="1403" t="n"/>
      <c r="BB112" s="1403" t="n"/>
      <c r="BC112" s="1405">
        <f>AZ112</f>
        <v/>
      </c>
      <c r="BD112" s="1405">
        <f>BA112</f>
        <v/>
      </c>
      <c r="BE112" s="1405">
        <f>BB112</f>
        <v/>
      </c>
      <c r="BF112" s="1400">
        <f>stayWB[[#This Row],[out]]-stayWB[[#This Row],[in]]</f>
        <v/>
      </c>
      <c r="BG112" s="1400">
        <f>IF(BB112&lt;&gt;"",BG111+1,BG111)</f>
        <v/>
      </c>
      <c r="BH112" s="1398" t="inlineStr">
        <is>
          <t>.</t>
        </is>
      </c>
      <c r="BI112" s="1402" t="inlineStr">
        <is>
          <t>USA</t>
        </is>
      </c>
      <c r="BJ112" s="1402" t="n">
        <v>2004</v>
      </c>
      <c r="BK112" s="1400">
        <f>BI112</f>
        <v/>
      </c>
      <c r="BL112" s="1409">
        <f>BJ112</f>
        <v/>
      </c>
      <c r="BM112" s="1378" t="inlineStr">
        <is>
          <t>.</t>
        </is>
      </c>
      <c r="BN112" s="1411" t="inlineStr">
        <is>
          <t>Z</t>
        </is>
      </c>
      <c r="BO112" s="1400">
        <f>BN112</f>
        <v/>
      </c>
      <c r="BP112" s="1398" t="inlineStr">
        <is>
          <t>.</t>
        </is>
      </c>
      <c r="BQ112" s="1400">
        <f>IF(BR112&lt;&gt;"",BQ111+1,BQ111)</f>
        <v/>
      </c>
      <c r="BR112" s="1411" t="inlineStr">
        <is>
          <t>SP</t>
        </is>
      </c>
      <c r="BS112" s="1411" t="inlineStr">
        <is>
          <t>SSA</t>
        </is>
      </c>
      <c r="BT112" s="1412" t="inlineStr">
        <is>
          <t>SP-SSA</t>
        </is>
      </c>
      <c r="BU112" s="1412" t="n">
        <v>37637</v>
      </c>
      <c r="BV112" s="1398" t="inlineStr">
        <is>
          <t>.</t>
        </is>
      </c>
      <c r="BW112" s="1392" t="n"/>
      <c r="BX112" s="1392" t="n"/>
      <c r="BY112" s="1392" t="n"/>
      <c r="BZ112" s="1416" t="n"/>
      <c r="CA112" s="1392" t="n"/>
      <c r="CB112" s="1398" t="inlineStr">
        <is>
          <t>.</t>
        </is>
      </c>
      <c r="CC112" s="1400">
        <f>IF(CD112&lt;&gt;"",CC111+1,CC111)</f>
        <v/>
      </c>
      <c r="CD112" s="1411" t="inlineStr">
        <is>
          <t>Rato/Vila Mariana</t>
        </is>
      </c>
      <c r="CE112" s="1412" t="n">
        <v>39534</v>
      </c>
      <c r="CF112" s="1412" t="n">
        <v>39539</v>
      </c>
      <c r="CG112" s="1415">
        <f>CF112-CE112</f>
        <v/>
      </c>
      <c r="CH112" s="1398" t="inlineStr">
        <is>
          <t>.</t>
        </is>
      </c>
      <c r="CI112" s="1392" t="n"/>
      <c r="CJ112" s="1392" t="n"/>
      <c r="CK112" s="1392" t="n"/>
      <c r="CL112" s="1392" t="n"/>
    </row>
    <row r="113">
      <c r="A113" s="5" t="inlineStr">
        <is>
          <t>.</t>
        </is>
      </c>
      <c r="B113" s="5" t="inlineStr">
        <is>
          <t>.</t>
        </is>
      </c>
      <c r="C113" s="1378">
        <f>IF(raw[[#This Row],[city]]="","-",IF(raw[[#This Row],[city]]="TODAY","-",C112+1))</f>
        <v/>
      </c>
      <c r="D113" s="1393" t="inlineStr">
        <is>
          <t>London</t>
        </is>
      </c>
      <c r="E113" s="1394" t="n">
        <v>30736</v>
      </c>
      <c r="F113" s="1394" t="n">
        <v>30740</v>
      </c>
      <c r="G113" s="1393" t="n">
        <v>1</v>
      </c>
      <c r="H113" s="1393">
        <f>H112</f>
        <v/>
      </c>
      <c r="I113" s="1393" t="inlineStr">
        <is>
          <t>-</t>
        </is>
      </c>
      <c r="J113" s="1393" t="inlineStr">
        <is>
          <t>-</t>
        </is>
      </c>
      <c r="K113" s="1395">
        <f>IF(raw[[#This Row],[city]]&lt;&gt;"",_xlfn.XLOOKUP($D113,ccc[city],ccc[prov],"-"),"-")</f>
        <v/>
      </c>
      <c r="L113" s="1395">
        <f>IF(raw[[#This Row],[city]]&lt;&gt;"",_xlfn.XLOOKUP($D113,ccc[city],ccc[ctry],"-"),"-")</f>
        <v/>
      </c>
      <c r="M113" s="1395">
        <f>IF(raw[[#This Row],[city]]&lt;&gt;"",_xlfn.XLOOKUP($D113,ccc[city],ccc[cont],"-"),"-")</f>
        <v/>
      </c>
      <c r="N113" s="1396">
        <f>IF(raw[[#This Row],[city]]="","-",IF(raw[[#This Row],[cont]]="B",raw[[#This Row],[cont]],"W"))</f>
        <v/>
      </c>
      <c r="O113" s="1397">
        <f>IF(raw[[#This Row],[out]]=0,0,IF(raw[[#This Row],[out]]=raw[[#This Row],[in]],0.01,raw[[#This Row],[out]]-raw[[#This Row],[in]]))</f>
        <v/>
      </c>
      <c r="P113" s="1397">
        <f>IF(raw[[#This Row],[in]]=0,0,MONTH(raw[[#This Row],[in]]))</f>
        <v/>
      </c>
      <c r="Q113" s="1397">
        <f>IF(raw[[#This Row],[in]]=0,0,YEAR(raw[[#This Row],[in]]))</f>
        <v/>
      </c>
      <c r="R113" s="1397">
        <f>INT(raw[[#This Row],[yr]]/10)*10</f>
        <v/>
      </c>
      <c r="S113" s="1395">
        <f>IF(raw[[#This Row],[city]]="","-",IF(raw[[#This Row],[city]]&lt;&gt;_xlfn.XLOOKUP(raw[[#This Row],[home]],homes[home],homes[city],"-"),1,0))</f>
        <v/>
      </c>
      <c r="T113" s="1398" t="inlineStr">
        <is>
          <t>.</t>
        </is>
      </c>
      <c r="U113" s="1399">
        <f>IF(raw[[#This Row],[wb]]="w",raw[[#This Row],[stay]]+U112,U112)</f>
        <v/>
      </c>
      <c r="V113" s="1400">
        <f>IF(raw[[#This Row],[out]]=0,V112,(raw[[#This Row],[out]]-E$5))</f>
        <v/>
      </c>
      <c r="W113" s="1401">
        <f>U113/V113</f>
        <v/>
      </c>
      <c r="X113" s="1378" t="inlineStr">
        <is>
          <t>.</t>
        </is>
      </c>
      <c r="Y113" s="1402">
        <f/>
        <v/>
      </c>
      <c r="Z113" s="1403">
        <f/>
        <v/>
      </c>
      <c r="AA113" s="1403">
        <f/>
        <v/>
      </c>
      <c r="AB113" s="1400">
        <f t="array" ref="AB113">_xlfn.LET(_xlpm.S,_xlfn.ANCHORARRAY($Y$4),_xlpm.r,ROWS(stayCity[[#Headers],[city]]:stayCity[[#This Row],[city]])-1,IF(_xlpm.r&lt;=ROWS(_xlpm.S),INDEX(_xlpm.S,_xlpm.r,1),""))</f>
        <v/>
      </c>
      <c r="AC113" s="1405">
        <f t="array" ref="AC113">_xlfn.LET(_xlpm.S,_xlfn.ANCHORARRAY($Y$4),_xlpm.r,ROWS(stayCity[[#Headers],[city]]:stayCity[[#This Row],[city]])-1,IF(_xlpm.r&lt;=ROWS(_xlpm.S),INDEX(_xlpm.S,_xlpm.r,2),""))</f>
        <v/>
      </c>
      <c r="AD113" s="1405">
        <f t="array" ref="AD113">_xlfn.LET(_xlpm.S,_xlfn.ANCHORARRAY($Y$4),_xlpm.r,ROWS(stayCity[[#Headers],[city]]:stayCity[[#This Row],[city]])-1,IF(_xlpm.r&lt;=ROWS(_xlpm.S),INDEX(_xlpm.S,_xlpm.r,3),""))</f>
        <v/>
      </c>
      <c r="AE113" s="1400">
        <f>IF(stayCity[[#This Row],[out]]&lt;&gt;"",stayCity[[#This Row],[out]]-stayCity[[#This Row],[in]],"-")</f>
        <v/>
      </c>
      <c r="AF113" s="1406">
        <f>IF(Y113="","-",YEAR(stayCity[[#This Row],[in]]))</f>
        <v/>
      </c>
      <c r="AG113" s="1398" t="inlineStr">
        <is>
          <t>.</t>
        </is>
      </c>
      <c r="AH113" s="1402">
        <f/>
        <v/>
      </c>
      <c r="AI113" s="1403">
        <f/>
        <v/>
      </c>
      <c r="AJ113" s="1403">
        <f/>
        <v/>
      </c>
      <c r="AK113" s="1400">
        <f>IF(AH113="","-",AH113)</f>
        <v/>
      </c>
      <c r="AL113" s="1405">
        <f>AI113</f>
        <v/>
      </c>
      <c r="AM113" s="1405">
        <f>AJ113</f>
        <v/>
      </c>
      <c r="AN113" s="1400">
        <f>stayCtry[[#This Row],[out]]-stayCtry[[#This Row],[in]]</f>
        <v/>
      </c>
      <c r="AO113" s="1406">
        <f>IF(AI113&lt;&gt;"",AO112+1,AO112)</f>
        <v/>
      </c>
      <c r="AP113" s="1398" t="inlineStr">
        <is>
          <t>.</t>
        </is>
      </c>
      <c r="AQ113" s="1402">
        <f/>
        <v/>
      </c>
      <c r="AR113" s="1403">
        <f/>
        <v/>
      </c>
      <c r="AS113" s="1403">
        <f/>
        <v/>
      </c>
      <c r="AT113" s="1400">
        <f>AQ113</f>
        <v/>
      </c>
      <c r="AU113" s="1405">
        <f>AR113</f>
        <v/>
      </c>
      <c r="AV113" s="1405">
        <f>AS113</f>
        <v/>
      </c>
      <c r="AW113" s="1400">
        <f>stayCont[[#This Row],[out]]-stayCont[[#This Row],[in]]</f>
        <v/>
      </c>
      <c r="AX113" s="1406">
        <f>IF(AR113&lt;&gt;"",AX112+1,AX112)</f>
        <v/>
      </c>
      <c r="AY113" s="1398" t="inlineStr">
        <is>
          <t>.</t>
        </is>
      </c>
      <c r="AZ113" s="1402" t="n"/>
      <c r="BA113" s="1403" t="n"/>
      <c r="BB113" s="1403" t="n"/>
      <c r="BC113" s="1405">
        <f>AZ113</f>
        <v/>
      </c>
      <c r="BD113" s="1405">
        <f>BA113</f>
        <v/>
      </c>
      <c r="BE113" s="1405">
        <f>BB113</f>
        <v/>
      </c>
      <c r="BF113" s="1400">
        <f>stayWB[[#This Row],[out]]-stayWB[[#This Row],[in]]</f>
        <v/>
      </c>
      <c r="BG113" s="1400">
        <f>IF(BB113&lt;&gt;"",BG112+1,BG112)</f>
        <v/>
      </c>
      <c r="BH113" s="1398" t="inlineStr">
        <is>
          <t>.</t>
        </is>
      </c>
      <c r="BI113" s="1402" t="inlineStr">
        <is>
          <t>BRA</t>
        </is>
      </c>
      <c r="BJ113" s="1402" t="n">
        <v>2004</v>
      </c>
      <c r="BK113" s="1400">
        <f>BI113</f>
        <v/>
      </c>
      <c r="BL113" s="1409">
        <f>BJ113</f>
        <v/>
      </c>
      <c r="BM113" s="1378" t="inlineStr">
        <is>
          <t>.</t>
        </is>
      </c>
      <c r="BN113" s="1411" t="inlineStr">
        <is>
          <t>E</t>
        </is>
      </c>
      <c r="BO113" s="1400">
        <f>BN113</f>
        <v/>
      </c>
      <c r="BP113" s="1398" t="inlineStr">
        <is>
          <t>.</t>
        </is>
      </c>
      <c r="BQ113" s="1400">
        <f>IF(BR113&lt;&gt;"",BQ112+1,BQ112)</f>
        <v/>
      </c>
      <c r="BR113" s="1411" t="inlineStr">
        <is>
          <t>SSA</t>
        </is>
      </c>
      <c r="BS113" s="1411" t="inlineStr">
        <is>
          <t>SP</t>
        </is>
      </c>
      <c r="BT113" s="1412" t="inlineStr">
        <is>
          <t>SSA-SP</t>
        </is>
      </c>
      <c r="BU113" s="1412" t="n">
        <v>37692</v>
      </c>
      <c r="BV113" s="1398" t="inlineStr">
        <is>
          <t>.</t>
        </is>
      </c>
      <c r="BW113" s="1392" t="n"/>
      <c r="BX113" s="1392" t="n"/>
      <c r="BY113" s="1392" t="n"/>
      <c r="BZ113" s="1416" t="n"/>
      <c r="CA113" s="1392" t="n"/>
      <c r="CB113" s="1398" t="inlineStr">
        <is>
          <t>.</t>
        </is>
      </c>
      <c r="CC113" s="1400">
        <f>IF(CD113&lt;&gt;"",CC112+1,CC112)</f>
        <v/>
      </c>
      <c r="CD113" s="1411" t="inlineStr">
        <is>
          <t>Salto Grande</t>
        </is>
      </c>
      <c r="CE113" s="1412" t="n">
        <v>39539</v>
      </c>
      <c r="CF113" s="1412" t="n">
        <v>39540</v>
      </c>
      <c r="CG113" s="1415">
        <f>CF113-CE113</f>
        <v/>
      </c>
      <c r="CH113" s="1398" t="inlineStr">
        <is>
          <t>.</t>
        </is>
      </c>
      <c r="CI113" s="1392" t="n"/>
      <c r="CJ113" s="1392" t="n"/>
      <c r="CK113" s="1392" t="n"/>
      <c r="CL113" s="1392" t="n"/>
    </row>
    <row r="114">
      <c r="A114" s="5" t="inlineStr">
        <is>
          <t>.</t>
        </is>
      </c>
      <c r="B114" s="5" t="inlineStr">
        <is>
          <t>.</t>
        </is>
      </c>
      <c r="C114" s="1378">
        <f>IF(raw[[#This Row],[city]]="","-",IF(raw[[#This Row],[city]]="TODAY","-",C113+1))</f>
        <v/>
      </c>
      <c r="D114" s="1393" t="inlineStr">
        <is>
          <t>AIR</t>
        </is>
      </c>
      <c r="E114" s="1394" t="n">
        <v>30740</v>
      </c>
      <c r="F114" s="1394" t="n">
        <v>30741</v>
      </c>
      <c r="G114" s="1393" t="inlineStr">
        <is>
          <t>x</t>
        </is>
      </c>
      <c r="H114" s="1393">
        <f>H113</f>
        <v/>
      </c>
      <c r="I114" s="1393" t="inlineStr">
        <is>
          <t>-</t>
        </is>
      </c>
      <c r="J114" s="1393" t="inlineStr">
        <is>
          <t>-</t>
        </is>
      </c>
      <c r="K114" s="1395">
        <f>IF(raw[[#This Row],[city]]&lt;&gt;"",_xlfn.XLOOKUP($D114,ccc[city],ccc[prov],"-"),"-")</f>
        <v/>
      </c>
      <c r="L114" s="1395">
        <f>IF(raw[[#This Row],[city]]&lt;&gt;"",_xlfn.XLOOKUP($D114,ccc[city],ccc[ctry],"-"),"-")</f>
        <v/>
      </c>
      <c r="M114" s="1395">
        <f>IF(raw[[#This Row],[city]]&lt;&gt;"",_xlfn.XLOOKUP($D114,ccc[city],ccc[cont],"-"),"-")</f>
        <v/>
      </c>
      <c r="N114" s="1396">
        <f>IF(raw[[#This Row],[city]]="","-",IF(raw[[#This Row],[cont]]="B",raw[[#This Row],[cont]],"W"))</f>
        <v/>
      </c>
      <c r="O114" s="1397">
        <f>IF(raw[[#This Row],[out]]=0,0,IF(raw[[#This Row],[out]]=raw[[#This Row],[in]],0.01,raw[[#This Row],[out]]-raw[[#This Row],[in]]))</f>
        <v/>
      </c>
      <c r="P114" s="1397">
        <f>IF(raw[[#This Row],[in]]=0,0,MONTH(raw[[#This Row],[in]]))</f>
        <v/>
      </c>
      <c r="Q114" s="1397">
        <f>IF(raw[[#This Row],[in]]=0,0,YEAR(raw[[#This Row],[in]]))</f>
        <v/>
      </c>
      <c r="R114" s="1397">
        <f>INT(raw[[#This Row],[yr]]/10)*10</f>
        <v/>
      </c>
      <c r="S114" s="1395">
        <f>IF(raw[[#This Row],[city]]="","-",IF(raw[[#This Row],[city]]&lt;&gt;_xlfn.XLOOKUP(raw[[#This Row],[home]],homes[home],homes[city],"-"),1,0))</f>
        <v/>
      </c>
      <c r="T114" s="1398" t="inlineStr">
        <is>
          <t>.</t>
        </is>
      </c>
      <c r="U114" s="1399">
        <f>IF(raw[[#This Row],[wb]]="w",raw[[#This Row],[stay]]+U113,U113)</f>
        <v/>
      </c>
      <c r="V114" s="1400">
        <f>IF(raw[[#This Row],[out]]=0,V113,(raw[[#This Row],[out]]-E$5))</f>
        <v/>
      </c>
      <c r="W114" s="1401">
        <f>U114/V114</f>
        <v/>
      </c>
      <c r="X114" s="1378" t="inlineStr">
        <is>
          <t>.</t>
        </is>
      </c>
      <c r="Y114" s="1402">
        <f/>
        <v/>
      </c>
      <c r="Z114" s="1403">
        <f/>
        <v/>
      </c>
      <c r="AA114" s="1403">
        <f/>
        <v/>
      </c>
      <c r="AB114" s="1400">
        <f t="array" ref="AB114">_xlfn.LET(_xlpm.S,_xlfn.ANCHORARRAY($Y$4),_xlpm.r,ROWS(stayCity[[#Headers],[city]]:stayCity[[#This Row],[city]])-1,IF(_xlpm.r&lt;=ROWS(_xlpm.S),INDEX(_xlpm.S,_xlpm.r,1),""))</f>
        <v/>
      </c>
      <c r="AC114" s="1405">
        <f t="array" ref="AC114">_xlfn.LET(_xlpm.S,_xlfn.ANCHORARRAY($Y$4),_xlpm.r,ROWS(stayCity[[#Headers],[city]]:stayCity[[#This Row],[city]])-1,IF(_xlpm.r&lt;=ROWS(_xlpm.S),INDEX(_xlpm.S,_xlpm.r,2),""))</f>
        <v/>
      </c>
      <c r="AD114" s="1405">
        <f t="array" ref="AD114">_xlfn.LET(_xlpm.S,_xlfn.ANCHORARRAY($Y$4),_xlpm.r,ROWS(stayCity[[#Headers],[city]]:stayCity[[#This Row],[city]])-1,IF(_xlpm.r&lt;=ROWS(_xlpm.S),INDEX(_xlpm.S,_xlpm.r,3),""))</f>
        <v/>
      </c>
      <c r="AE114" s="1400">
        <f>IF(stayCity[[#This Row],[out]]&lt;&gt;"",stayCity[[#This Row],[out]]-stayCity[[#This Row],[in]],"-")</f>
        <v/>
      </c>
      <c r="AF114" s="1406">
        <f>IF(Y114="","-",YEAR(stayCity[[#This Row],[in]]))</f>
        <v/>
      </c>
      <c r="AG114" s="1398" t="inlineStr">
        <is>
          <t>.</t>
        </is>
      </c>
      <c r="AH114" s="1402">
        <f/>
        <v/>
      </c>
      <c r="AI114" s="1403">
        <f/>
        <v/>
      </c>
      <c r="AJ114" s="1403">
        <f/>
        <v/>
      </c>
      <c r="AK114" s="1400">
        <f>IF(AH114="","-",AH114)</f>
        <v/>
      </c>
      <c r="AL114" s="1405">
        <f>AI114</f>
        <v/>
      </c>
      <c r="AM114" s="1405">
        <f>AJ114</f>
        <v/>
      </c>
      <c r="AN114" s="1400">
        <f>stayCtry[[#This Row],[out]]-stayCtry[[#This Row],[in]]</f>
        <v/>
      </c>
      <c r="AO114" s="1406">
        <f>IF(AI114&lt;&gt;"",AO113+1,AO113)</f>
        <v/>
      </c>
      <c r="AP114" s="1398" t="inlineStr">
        <is>
          <t>.</t>
        </is>
      </c>
      <c r="AQ114" s="1402">
        <f/>
        <v/>
      </c>
      <c r="AR114" s="1403">
        <f/>
        <v/>
      </c>
      <c r="AS114" s="1403">
        <f/>
        <v/>
      </c>
      <c r="AT114" s="1400">
        <f>AQ114</f>
        <v/>
      </c>
      <c r="AU114" s="1405">
        <f>AR114</f>
        <v/>
      </c>
      <c r="AV114" s="1405">
        <f>AS114</f>
        <v/>
      </c>
      <c r="AW114" s="1400">
        <f>stayCont[[#This Row],[out]]-stayCont[[#This Row],[in]]</f>
        <v/>
      </c>
      <c r="AX114" s="1406">
        <f>IF(AR114&lt;&gt;"",AX113+1,AX113)</f>
        <v/>
      </c>
      <c r="AY114" s="1398" t="inlineStr">
        <is>
          <t>.</t>
        </is>
      </c>
      <c r="AZ114" s="1402" t="n"/>
      <c r="BA114" s="1403" t="n"/>
      <c r="BB114" s="1403" t="n"/>
      <c r="BC114" s="1405">
        <f>AZ114</f>
        <v/>
      </c>
      <c r="BD114" s="1405">
        <f>BA114</f>
        <v/>
      </c>
      <c r="BE114" s="1405">
        <f>BB114</f>
        <v/>
      </c>
      <c r="BF114" s="1400">
        <f>stayWB[[#This Row],[out]]-stayWB[[#This Row],[in]]</f>
        <v/>
      </c>
      <c r="BG114" s="1400">
        <f>IF(BB114&lt;&gt;"",BG113+1,BG113)</f>
        <v/>
      </c>
      <c r="BH114" s="1398" t="inlineStr">
        <is>
          <t>.</t>
        </is>
      </c>
      <c r="BI114" s="1402" t="inlineStr">
        <is>
          <t>PRT</t>
        </is>
      </c>
      <c r="BJ114" s="1402" t="n">
        <v>2005</v>
      </c>
      <c r="BK114" s="1400">
        <f>BI114</f>
        <v/>
      </c>
      <c r="BL114" s="1409">
        <f>BJ114</f>
        <v/>
      </c>
      <c r="BM114" s="1378" t="inlineStr">
        <is>
          <t>.</t>
        </is>
      </c>
      <c r="BN114" s="1411" t="inlineStr">
        <is>
          <t>N</t>
        </is>
      </c>
      <c r="BO114" s="1400">
        <f>BN114</f>
        <v/>
      </c>
      <c r="BP114" s="1398" t="inlineStr">
        <is>
          <t>.</t>
        </is>
      </c>
      <c r="BQ114" s="1400">
        <f>IF(BR114&lt;&gt;"",BQ113+1,BQ113)</f>
        <v/>
      </c>
      <c r="BR114" s="1411" t="inlineStr">
        <is>
          <t>SP</t>
        </is>
      </c>
      <c r="BS114" s="1411" t="inlineStr">
        <is>
          <t>NYC</t>
        </is>
      </c>
      <c r="BT114" s="1412" t="inlineStr">
        <is>
          <t>SP-NYC</t>
        </is>
      </c>
      <c r="BU114" s="1412" t="n">
        <v>37816</v>
      </c>
      <c r="BV114" s="1398" t="inlineStr">
        <is>
          <t>.</t>
        </is>
      </c>
      <c r="BW114" s="1392" t="n"/>
      <c r="BX114" s="1392" t="n"/>
      <c r="BY114" s="1392" t="n"/>
      <c r="BZ114" s="1416" t="n"/>
      <c r="CA114" s="1392" t="n"/>
      <c r="CB114" s="1398" t="inlineStr">
        <is>
          <t>.</t>
        </is>
      </c>
      <c r="CC114" s="1400">
        <f>IF(CD114&lt;&gt;"",CC113+1,CC113)</f>
        <v/>
      </c>
      <c r="CD114" s="1411" t="inlineStr">
        <is>
          <t>Monica Rio</t>
        </is>
      </c>
      <c r="CE114" s="1412" t="n">
        <v>39557</v>
      </c>
      <c r="CF114" s="1412" t="n">
        <v>39563</v>
      </c>
      <c r="CG114" s="1415">
        <f>CF114-CE114</f>
        <v/>
      </c>
      <c r="CH114" s="1398" t="inlineStr">
        <is>
          <t>.</t>
        </is>
      </c>
      <c r="CI114" s="1392" t="n"/>
      <c r="CJ114" s="1392" t="n"/>
      <c r="CK114" s="1392" t="n"/>
      <c r="CL114" s="1392" t="n"/>
    </row>
    <row r="115">
      <c r="A115" s="5" t="inlineStr">
        <is>
          <t>.</t>
        </is>
      </c>
      <c r="B115" s="5" t="inlineStr">
        <is>
          <t>.</t>
        </is>
      </c>
      <c r="C115" s="1378">
        <f>IF(raw[[#This Row],[city]]="","-",IF(raw[[#This Row],[city]]="TODAY","-",C114+1))</f>
        <v/>
      </c>
      <c r="D115" s="1393" t="inlineStr">
        <is>
          <t>NYC</t>
        </is>
      </c>
      <c r="E115" s="1394" t="n">
        <v>30741</v>
      </c>
      <c r="F115" s="1394" t="n">
        <v>30742</v>
      </c>
      <c r="G115" s="1393" t="inlineStr">
        <is>
          <t>-</t>
        </is>
      </c>
      <c r="H115" s="1393">
        <f>H114</f>
        <v/>
      </c>
      <c r="I115" s="1393" t="inlineStr">
        <is>
          <t>-</t>
        </is>
      </c>
      <c r="J115" s="1393" t="inlineStr">
        <is>
          <t>-</t>
        </is>
      </c>
      <c r="K115" s="1395">
        <f>IF(raw[[#This Row],[city]]&lt;&gt;"",_xlfn.XLOOKUP($D115,ccc[city],ccc[prov],"-"),"-")</f>
        <v/>
      </c>
      <c r="L115" s="1395">
        <f>IF(raw[[#This Row],[city]]&lt;&gt;"",_xlfn.XLOOKUP($D115,ccc[city],ccc[ctry],"-"),"-")</f>
        <v/>
      </c>
      <c r="M115" s="1395">
        <f>IF(raw[[#This Row],[city]]&lt;&gt;"",_xlfn.XLOOKUP($D115,ccc[city],ccc[cont],"-"),"-")</f>
        <v/>
      </c>
      <c r="N115" s="1396">
        <f>IF(raw[[#This Row],[city]]="","-",IF(raw[[#This Row],[cont]]="B",raw[[#This Row],[cont]],"W"))</f>
        <v/>
      </c>
      <c r="O115" s="1397">
        <f>IF(raw[[#This Row],[out]]=0,0,IF(raw[[#This Row],[out]]=raw[[#This Row],[in]],0.01,raw[[#This Row],[out]]-raw[[#This Row],[in]]))</f>
        <v/>
      </c>
      <c r="P115" s="1397">
        <f>IF(raw[[#This Row],[in]]=0,0,MONTH(raw[[#This Row],[in]]))</f>
        <v/>
      </c>
      <c r="Q115" s="1397">
        <f>IF(raw[[#This Row],[in]]=0,0,YEAR(raw[[#This Row],[in]]))</f>
        <v/>
      </c>
      <c r="R115" s="1397">
        <f>INT(raw[[#This Row],[yr]]/10)*10</f>
        <v/>
      </c>
      <c r="S115" s="1395">
        <f>IF(raw[[#This Row],[city]]="","-",IF(raw[[#This Row],[city]]&lt;&gt;_xlfn.XLOOKUP(raw[[#This Row],[home]],homes[home],homes[city],"-"),1,0))</f>
        <v/>
      </c>
      <c r="T115" s="1398" t="inlineStr">
        <is>
          <t>.</t>
        </is>
      </c>
      <c r="U115" s="1399">
        <f>IF(raw[[#This Row],[wb]]="w",raw[[#This Row],[stay]]+U114,U114)</f>
        <v/>
      </c>
      <c r="V115" s="1400">
        <f>IF(raw[[#This Row],[out]]=0,V114,(raw[[#This Row],[out]]-E$5))</f>
        <v/>
      </c>
      <c r="W115" s="1401">
        <f>U115/V115</f>
        <v/>
      </c>
      <c r="X115" s="1378" t="inlineStr">
        <is>
          <t>.</t>
        </is>
      </c>
      <c r="Y115" s="1402">
        <f/>
        <v/>
      </c>
      <c r="Z115" s="1403">
        <f/>
        <v/>
      </c>
      <c r="AA115" s="1403">
        <f/>
        <v/>
      </c>
      <c r="AB115" s="1400">
        <f t="array" ref="AB115">_xlfn.LET(_xlpm.S,_xlfn.ANCHORARRAY($Y$4),_xlpm.r,ROWS(stayCity[[#Headers],[city]]:stayCity[[#This Row],[city]])-1,IF(_xlpm.r&lt;=ROWS(_xlpm.S),INDEX(_xlpm.S,_xlpm.r,1),""))</f>
        <v/>
      </c>
      <c r="AC115" s="1405">
        <f t="array" ref="AC115">_xlfn.LET(_xlpm.S,_xlfn.ANCHORARRAY($Y$4),_xlpm.r,ROWS(stayCity[[#Headers],[city]]:stayCity[[#This Row],[city]])-1,IF(_xlpm.r&lt;=ROWS(_xlpm.S),INDEX(_xlpm.S,_xlpm.r,2),""))</f>
        <v/>
      </c>
      <c r="AD115" s="1405">
        <f t="array" ref="AD115">_xlfn.LET(_xlpm.S,_xlfn.ANCHORARRAY($Y$4),_xlpm.r,ROWS(stayCity[[#Headers],[city]]:stayCity[[#This Row],[city]])-1,IF(_xlpm.r&lt;=ROWS(_xlpm.S),INDEX(_xlpm.S,_xlpm.r,3),""))</f>
        <v/>
      </c>
      <c r="AE115" s="1400">
        <f>IF(stayCity[[#This Row],[out]]&lt;&gt;"",stayCity[[#This Row],[out]]-stayCity[[#This Row],[in]],"-")</f>
        <v/>
      </c>
      <c r="AF115" s="1406">
        <f>IF(Y115="","-",YEAR(stayCity[[#This Row],[in]]))</f>
        <v/>
      </c>
      <c r="AG115" s="1398" t="inlineStr">
        <is>
          <t>.</t>
        </is>
      </c>
      <c r="AH115" s="1402">
        <f/>
        <v/>
      </c>
      <c r="AI115" s="1403">
        <f/>
        <v/>
      </c>
      <c r="AJ115" s="1403">
        <f/>
        <v/>
      </c>
      <c r="AK115" s="1400">
        <f>IF(AH115="","-",AH115)</f>
        <v/>
      </c>
      <c r="AL115" s="1405">
        <f>AI115</f>
        <v/>
      </c>
      <c r="AM115" s="1405">
        <f>AJ115</f>
        <v/>
      </c>
      <c r="AN115" s="1400">
        <f>stayCtry[[#This Row],[out]]-stayCtry[[#This Row],[in]]</f>
        <v/>
      </c>
      <c r="AO115" s="1406">
        <f>IF(AI115&lt;&gt;"",AO114+1,AO114)</f>
        <v/>
      </c>
      <c r="AP115" s="1398" t="inlineStr">
        <is>
          <t>.</t>
        </is>
      </c>
      <c r="AQ115" s="1402">
        <f/>
        <v/>
      </c>
      <c r="AR115" s="1403">
        <f/>
        <v/>
      </c>
      <c r="AS115" s="1403">
        <f/>
        <v/>
      </c>
      <c r="AT115" s="1400">
        <f>AQ115</f>
        <v/>
      </c>
      <c r="AU115" s="1405">
        <f>AR115</f>
        <v/>
      </c>
      <c r="AV115" s="1405">
        <f>AS115</f>
        <v/>
      </c>
      <c r="AW115" s="1400">
        <f>stayCont[[#This Row],[out]]-stayCont[[#This Row],[in]]</f>
        <v/>
      </c>
      <c r="AX115" s="1406">
        <f>IF(AR115&lt;&gt;"",AX114+1,AX114)</f>
        <v/>
      </c>
      <c r="AY115" s="1398" t="inlineStr">
        <is>
          <t>.</t>
        </is>
      </c>
      <c r="AZ115" s="1402" t="n"/>
      <c r="BA115" s="1403" t="n"/>
      <c r="BB115" s="1403" t="n"/>
      <c r="BC115" s="1405">
        <f>AZ115</f>
        <v/>
      </c>
      <c r="BD115" s="1405">
        <f>BA115</f>
        <v/>
      </c>
      <c r="BE115" s="1405">
        <f>BB115</f>
        <v/>
      </c>
      <c r="BF115" s="1400">
        <f>stayWB[[#This Row],[out]]-stayWB[[#This Row],[in]]</f>
        <v/>
      </c>
      <c r="BG115" s="1400">
        <f>IF(BB115&lt;&gt;"",BG114+1,BG114)</f>
        <v/>
      </c>
      <c r="BH115" s="1398" t="inlineStr">
        <is>
          <t>.</t>
        </is>
      </c>
      <c r="BI115" s="1402" t="inlineStr">
        <is>
          <t>UK</t>
        </is>
      </c>
      <c r="BJ115" s="1402" t="n">
        <v>2005</v>
      </c>
      <c r="BK115" s="1400">
        <f>BI115</f>
        <v/>
      </c>
      <c r="BL115" s="1409">
        <f>BJ115</f>
        <v/>
      </c>
      <c r="BM115" s="1378" t="inlineStr">
        <is>
          <t>.</t>
        </is>
      </c>
      <c r="BN115" s="1411" t="inlineStr">
        <is>
          <t>C</t>
        </is>
      </c>
      <c r="BO115" s="1400">
        <f>BN115</f>
        <v/>
      </c>
      <c r="BP115" s="1398" t="inlineStr">
        <is>
          <t>.</t>
        </is>
      </c>
      <c r="BQ115" s="1400">
        <f>IF(BR115&lt;&gt;"",BQ114+1,BQ114)</f>
        <v/>
      </c>
      <c r="BR115" s="1411" t="inlineStr">
        <is>
          <t>NYC</t>
        </is>
      </c>
      <c r="BS115" s="1411" t="inlineStr">
        <is>
          <t>London</t>
        </is>
      </c>
      <c r="BT115" s="1412" t="inlineStr">
        <is>
          <t>NYC-London</t>
        </is>
      </c>
      <c r="BU115" s="1412" t="n">
        <v>37824</v>
      </c>
      <c r="BV115" s="1398" t="inlineStr">
        <is>
          <t>.</t>
        </is>
      </c>
      <c r="BW115" s="1392" t="n"/>
      <c r="BX115" s="1392" t="n"/>
      <c r="BY115" s="1392" t="n"/>
      <c r="BZ115" s="1416" t="n"/>
      <c r="CA115" s="1392" t="n"/>
      <c r="CB115" s="1398" t="inlineStr">
        <is>
          <t>.</t>
        </is>
      </c>
      <c r="CC115" s="1400">
        <f>IF(CD115&lt;&gt;"",CC114+1,CC114)</f>
        <v/>
      </c>
      <c r="CD115" s="1411" t="inlineStr">
        <is>
          <t>Salto Grande</t>
        </is>
      </c>
      <c r="CE115" s="1412" t="n">
        <v>39581</v>
      </c>
      <c r="CF115" s="1412" t="n">
        <v>39584</v>
      </c>
      <c r="CG115" s="1415">
        <f>CF115-CE115</f>
        <v/>
      </c>
      <c r="CH115" s="1398" t="inlineStr">
        <is>
          <t>.</t>
        </is>
      </c>
      <c r="CI115" s="1392" t="n"/>
      <c r="CJ115" s="1392" t="n"/>
      <c r="CK115" s="1392" t="n"/>
      <c r="CL115" s="1392" t="n"/>
    </row>
    <row r="116">
      <c r="A116" s="5" t="inlineStr">
        <is>
          <t>.</t>
        </is>
      </c>
      <c r="B116" s="5" t="inlineStr">
        <is>
          <t>.</t>
        </is>
      </c>
      <c r="C116" s="1378">
        <f>IF(raw[[#This Row],[city]]="","-",IF(raw[[#This Row],[city]]="TODAY","-",C115+1))</f>
        <v/>
      </c>
      <c r="D116" s="1393" t="inlineStr">
        <is>
          <t>NYC</t>
        </is>
      </c>
      <c r="E116" s="1394" t="n">
        <v>30742</v>
      </c>
      <c r="F116" s="1394" t="n">
        <v>30745</v>
      </c>
      <c r="G116" s="1393" t="n">
        <v>1</v>
      </c>
      <c r="H116" s="1393">
        <f>H115</f>
        <v/>
      </c>
      <c r="I116" s="1393" t="inlineStr">
        <is>
          <t>-</t>
        </is>
      </c>
      <c r="J116" s="1393" t="inlineStr">
        <is>
          <t>-</t>
        </is>
      </c>
      <c r="K116" s="1395">
        <f>IF(raw[[#This Row],[city]]&lt;&gt;"",_xlfn.XLOOKUP($D116,ccc[city],ccc[prov],"-"),"-")</f>
        <v/>
      </c>
      <c r="L116" s="1395">
        <f>IF(raw[[#This Row],[city]]&lt;&gt;"",_xlfn.XLOOKUP($D116,ccc[city],ccc[ctry],"-"),"-")</f>
        <v/>
      </c>
      <c r="M116" s="1395">
        <f>IF(raw[[#This Row],[city]]&lt;&gt;"",_xlfn.XLOOKUP($D116,ccc[city],ccc[cont],"-"),"-")</f>
        <v/>
      </c>
      <c r="N116" s="1396">
        <f>IF(raw[[#This Row],[city]]="","-",IF(raw[[#This Row],[cont]]="B",raw[[#This Row],[cont]],"W"))</f>
        <v/>
      </c>
      <c r="O116" s="1397">
        <f>IF(raw[[#This Row],[out]]=0,0,IF(raw[[#This Row],[out]]=raw[[#This Row],[in]],0.01,raw[[#This Row],[out]]-raw[[#This Row],[in]]))</f>
        <v/>
      </c>
      <c r="P116" s="1397">
        <f>IF(raw[[#This Row],[in]]=0,0,MONTH(raw[[#This Row],[in]]))</f>
        <v/>
      </c>
      <c r="Q116" s="1397">
        <f>IF(raw[[#This Row],[in]]=0,0,YEAR(raw[[#This Row],[in]]))</f>
        <v/>
      </c>
      <c r="R116" s="1397">
        <f>INT(raw[[#This Row],[yr]]/10)*10</f>
        <v/>
      </c>
      <c r="S116" s="1395">
        <f>IF(raw[[#This Row],[city]]="","-",IF(raw[[#This Row],[city]]&lt;&gt;_xlfn.XLOOKUP(raw[[#This Row],[home]],homes[home],homes[city],"-"),1,0))</f>
        <v/>
      </c>
      <c r="T116" s="1398" t="inlineStr">
        <is>
          <t>.</t>
        </is>
      </c>
      <c r="U116" s="1399">
        <f>IF(raw[[#This Row],[wb]]="w",raw[[#This Row],[stay]]+U115,U115)</f>
        <v/>
      </c>
      <c r="V116" s="1400">
        <f>IF(raw[[#This Row],[out]]=0,V115,(raw[[#This Row],[out]]-E$5))</f>
        <v/>
      </c>
      <c r="W116" s="1401">
        <f>U116/V116</f>
        <v/>
      </c>
      <c r="X116" s="1378" t="inlineStr">
        <is>
          <t>.</t>
        </is>
      </c>
      <c r="Y116" s="1402">
        <f/>
        <v/>
      </c>
      <c r="Z116" s="1403">
        <f/>
        <v/>
      </c>
      <c r="AA116" s="1403">
        <f/>
        <v/>
      </c>
      <c r="AB116" s="1400">
        <f t="array" ref="AB116">_xlfn.LET(_xlpm.S,_xlfn.ANCHORARRAY($Y$4),_xlpm.r,ROWS(stayCity[[#Headers],[city]]:stayCity[[#This Row],[city]])-1,IF(_xlpm.r&lt;=ROWS(_xlpm.S),INDEX(_xlpm.S,_xlpm.r,1),""))</f>
        <v/>
      </c>
      <c r="AC116" s="1405">
        <f t="array" ref="AC116">_xlfn.LET(_xlpm.S,_xlfn.ANCHORARRAY($Y$4),_xlpm.r,ROWS(stayCity[[#Headers],[city]]:stayCity[[#This Row],[city]])-1,IF(_xlpm.r&lt;=ROWS(_xlpm.S),INDEX(_xlpm.S,_xlpm.r,2),""))</f>
        <v/>
      </c>
      <c r="AD116" s="1405">
        <f t="array" ref="AD116">_xlfn.LET(_xlpm.S,_xlfn.ANCHORARRAY($Y$4),_xlpm.r,ROWS(stayCity[[#Headers],[city]]:stayCity[[#This Row],[city]])-1,IF(_xlpm.r&lt;=ROWS(_xlpm.S),INDEX(_xlpm.S,_xlpm.r,3),""))</f>
        <v/>
      </c>
      <c r="AE116" s="1400">
        <f>IF(stayCity[[#This Row],[out]]&lt;&gt;"",stayCity[[#This Row],[out]]-stayCity[[#This Row],[in]],"-")</f>
        <v/>
      </c>
      <c r="AF116" s="1406">
        <f>IF(Y116="","-",YEAR(stayCity[[#This Row],[in]]))</f>
        <v/>
      </c>
      <c r="AG116" s="1398" t="inlineStr">
        <is>
          <t>.</t>
        </is>
      </c>
      <c r="AH116" s="1402">
        <f/>
        <v/>
      </c>
      <c r="AI116" s="1403">
        <f/>
        <v/>
      </c>
      <c r="AJ116" s="1403">
        <f/>
        <v/>
      </c>
      <c r="AK116" s="1400">
        <f>IF(AH116="","-",AH116)</f>
        <v/>
      </c>
      <c r="AL116" s="1405">
        <f>AI116</f>
        <v/>
      </c>
      <c r="AM116" s="1405">
        <f>AJ116</f>
        <v/>
      </c>
      <c r="AN116" s="1400">
        <f>stayCtry[[#This Row],[out]]-stayCtry[[#This Row],[in]]</f>
        <v/>
      </c>
      <c r="AO116" s="1406">
        <f>IF(AI116&lt;&gt;"",AO115+1,AO115)</f>
        <v/>
      </c>
      <c r="AP116" s="1398" t="inlineStr">
        <is>
          <t>.</t>
        </is>
      </c>
      <c r="AQ116" s="1402">
        <f/>
        <v/>
      </c>
      <c r="AR116" s="1403">
        <f/>
        <v/>
      </c>
      <c r="AS116" s="1403">
        <f/>
        <v/>
      </c>
      <c r="AT116" s="1400">
        <f>AQ116</f>
        <v/>
      </c>
      <c r="AU116" s="1405">
        <f>AR116</f>
        <v/>
      </c>
      <c r="AV116" s="1405">
        <f>AS116</f>
        <v/>
      </c>
      <c r="AW116" s="1400">
        <f>stayCont[[#This Row],[out]]-stayCont[[#This Row],[in]]</f>
        <v/>
      </c>
      <c r="AX116" s="1406">
        <f>IF(AR116&lt;&gt;"",AX115+1,AX115)</f>
        <v/>
      </c>
      <c r="AY116" s="1398" t="inlineStr">
        <is>
          <t>.</t>
        </is>
      </c>
      <c r="AZ116" s="1402" t="n"/>
      <c r="BA116" s="1403" t="n"/>
      <c r="BB116" s="1403" t="n"/>
      <c r="BC116" s="1405">
        <f>AZ116</f>
        <v/>
      </c>
      <c r="BD116" s="1405">
        <f>BA116</f>
        <v/>
      </c>
      <c r="BE116" s="1405">
        <f>BB116</f>
        <v/>
      </c>
      <c r="BF116" s="1400">
        <f>stayWB[[#This Row],[out]]-stayWB[[#This Row],[in]]</f>
        <v/>
      </c>
      <c r="BG116" s="1400">
        <f>IF(BB116&lt;&gt;"",BG115+1,BG115)</f>
        <v/>
      </c>
      <c r="BH116" s="1398" t="inlineStr">
        <is>
          <t>.</t>
        </is>
      </c>
      <c r="BI116" s="1402" t="inlineStr">
        <is>
          <t>FRA</t>
        </is>
      </c>
      <c r="BJ116" s="1402" t="n">
        <v>2005</v>
      </c>
      <c r="BK116" s="1400">
        <f>BI116</f>
        <v/>
      </c>
      <c r="BL116" s="1409">
        <f>BJ116</f>
        <v/>
      </c>
      <c r="BM116" s="1378" t="inlineStr">
        <is>
          <t>.</t>
        </is>
      </c>
      <c r="BN116" s="1411" t="inlineStr">
        <is>
          <t>Z</t>
        </is>
      </c>
      <c r="BO116" s="1400">
        <f>BN116</f>
        <v/>
      </c>
      <c r="BP116" s="1398" t="inlineStr">
        <is>
          <t>.</t>
        </is>
      </c>
      <c r="BQ116" s="1400">
        <f>IF(BR116&lt;&gt;"",BQ115+1,BQ115)</f>
        <v/>
      </c>
      <c r="BR116" s="1411" t="inlineStr">
        <is>
          <t>London</t>
        </is>
      </c>
      <c r="BS116" s="1411" t="inlineStr">
        <is>
          <t>Reykjavik</t>
        </is>
      </c>
      <c r="BT116" s="1412" t="inlineStr">
        <is>
          <t>London-Reykjavik</t>
        </is>
      </c>
      <c r="BU116" s="1412" t="n">
        <v>37880</v>
      </c>
      <c r="BV116" s="1398" t="inlineStr">
        <is>
          <t>.</t>
        </is>
      </c>
      <c r="BW116" s="1392" t="n"/>
      <c r="BX116" s="1392" t="n"/>
      <c r="BY116" s="1392" t="n"/>
      <c r="BZ116" s="1416" t="n"/>
      <c r="CA116" s="1392" t="n"/>
      <c r="CB116" s="1398" t="inlineStr">
        <is>
          <t>.</t>
        </is>
      </c>
      <c r="CC116" s="1400">
        <f>IF(CD116&lt;&gt;"",CC115+1,CC115)</f>
        <v/>
      </c>
      <c r="CD116" s="1411" t="inlineStr">
        <is>
          <t>Rato/Vila Mariana</t>
        </is>
      </c>
      <c r="CE116" s="1412" t="n">
        <v>39597</v>
      </c>
      <c r="CF116" s="1412" t="n">
        <v>39601</v>
      </c>
      <c r="CG116" s="1415">
        <f>CF116-CE116</f>
        <v/>
      </c>
      <c r="CH116" s="1398" t="inlineStr">
        <is>
          <t>.</t>
        </is>
      </c>
      <c r="CI116" s="1392" t="n"/>
      <c r="CJ116" s="1392" t="n"/>
      <c r="CK116" s="1392" t="n"/>
      <c r="CL116" s="1392" t="n"/>
    </row>
    <row r="117">
      <c r="A117" s="5" t="inlineStr">
        <is>
          <t>.</t>
        </is>
      </c>
      <c r="B117" s="5" t="inlineStr">
        <is>
          <t>.</t>
        </is>
      </c>
      <c r="C117" s="1378">
        <f>IF(raw[[#This Row],[city]]="","-",IF(raw[[#This Row],[city]]="TODAY","-",C116+1))</f>
        <v/>
      </c>
      <c r="D117" s="1393" t="inlineStr">
        <is>
          <t>Washington</t>
        </is>
      </c>
      <c r="E117" s="1394" t="n">
        <v>30745</v>
      </c>
      <c r="F117" s="1394" t="n">
        <v>30747</v>
      </c>
      <c r="G117" s="1393" t="n">
        <v>1</v>
      </c>
      <c r="H117" s="1393">
        <f>H116</f>
        <v/>
      </c>
      <c r="I117" s="1393" t="inlineStr">
        <is>
          <t>-</t>
        </is>
      </c>
      <c r="J117" s="1393" t="inlineStr">
        <is>
          <t>-</t>
        </is>
      </c>
      <c r="K117" s="1395">
        <f>IF(raw[[#This Row],[city]]&lt;&gt;"",_xlfn.XLOOKUP($D117,ccc[city],ccc[prov],"-"),"-")</f>
        <v/>
      </c>
      <c r="L117" s="1395">
        <f>IF(raw[[#This Row],[city]]&lt;&gt;"",_xlfn.XLOOKUP($D117,ccc[city],ccc[ctry],"-"),"-")</f>
        <v/>
      </c>
      <c r="M117" s="1395">
        <f>IF(raw[[#This Row],[city]]&lt;&gt;"",_xlfn.XLOOKUP($D117,ccc[city],ccc[cont],"-"),"-")</f>
        <v/>
      </c>
      <c r="N117" s="1396">
        <f>IF(raw[[#This Row],[city]]="","-",IF(raw[[#This Row],[cont]]="B",raw[[#This Row],[cont]],"W"))</f>
        <v/>
      </c>
      <c r="O117" s="1397">
        <f>IF(raw[[#This Row],[out]]=0,0,IF(raw[[#This Row],[out]]=raw[[#This Row],[in]],0.01,raw[[#This Row],[out]]-raw[[#This Row],[in]]))</f>
        <v/>
      </c>
      <c r="P117" s="1397">
        <f>IF(raw[[#This Row],[in]]=0,0,MONTH(raw[[#This Row],[in]]))</f>
        <v/>
      </c>
      <c r="Q117" s="1397">
        <f>IF(raw[[#This Row],[in]]=0,0,YEAR(raw[[#This Row],[in]]))</f>
        <v/>
      </c>
      <c r="R117" s="1397">
        <f>INT(raw[[#This Row],[yr]]/10)*10</f>
        <v/>
      </c>
      <c r="S117" s="1395">
        <f>IF(raw[[#This Row],[city]]="","-",IF(raw[[#This Row],[city]]&lt;&gt;_xlfn.XLOOKUP(raw[[#This Row],[home]],homes[home],homes[city],"-"),1,0))</f>
        <v/>
      </c>
      <c r="T117" s="1398" t="inlineStr">
        <is>
          <t>.</t>
        </is>
      </c>
      <c r="U117" s="1399">
        <f>IF(raw[[#This Row],[wb]]="w",raw[[#This Row],[stay]]+U116,U116)</f>
        <v/>
      </c>
      <c r="V117" s="1400">
        <f>IF(raw[[#This Row],[out]]=0,V116,(raw[[#This Row],[out]]-E$5))</f>
        <v/>
      </c>
      <c r="W117" s="1401">
        <f>U117/V117</f>
        <v/>
      </c>
      <c r="X117" s="1378" t="inlineStr">
        <is>
          <t>.</t>
        </is>
      </c>
      <c r="Y117" s="1402">
        <f/>
        <v/>
      </c>
      <c r="Z117" s="1403">
        <f/>
        <v/>
      </c>
      <c r="AA117" s="1403">
        <f/>
        <v/>
      </c>
      <c r="AB117" s="1400">
        <f t="array" ref="AB117">_xlfn.LET(_xlpm.S,_xlfn.ANCHORARRAY($Y$4),_xlpm.r,ROWS(stayCity[[#Headers],[city]]:stayCity[[#This Row],[city]])-1,IF(_xlpm.r&lt;=ROWS(_xlpm.S),INDEX(_xlpm.S,_xlpm.r,1),""))</f>
        <v/>
      </c>
      <c r="AC117" s="1405">
        <f t="array" ref="AC117">_xlfn.LET(_xlpm.S,_xlfn.ANCHORARRAY($Y$4),_xlpm.r,ROWS(stayCity[[#Headers],[city]]:stayCity[[#This Row],[city]])-1,IF(_xlpm.r&lt;=ROWS(_xlpm.S),INDEX(_xlpm.S,_xlpm.r,2),""))</f>
        <v/>
      </c>
      <c r="AD117" s="1405">
        <f t="array" ref="AD117">_xlfn.LET(_xlpm.S,_xlfn.ANCHORARRAY($Y$4),_xlpm.r,ROWS(stayCity[[#Headers],[city]]:stayCity[[#This Row],[city]])-1,IF(_xlpm.r&lt;=ROWS(_xlpm.S),INDEX(_xlpm.S,_xlpm.r,3),""))</f>
        <v/>
      </c>
      <c r="AE117" s="1400">
        <f>IF(stayCity[[#This Row],[out]]&lt;&gt;"",stayCity[[#This Row],[out]]-stayCity[[#This Row],[in]],"-")</f>
        <v/>
      </c>
      <c r="AF117" s="1406">
        <f>IF(Y117="","-",YEAR(stayCity[[#This Row],[in]]))</f>
        <v/>
      </c>
      <c r="AG117" s="1398" t="inlineStr">
        <is>
          <t>.</t>
        </is>
      </c>
      <c r="AH117" s="1402">
        <f/>
        <v/>
      </c>
      <c r="AI117" s="1403">
        <f/>
        <v/>
      </c>
      <c r="AJ117" s="1403">
        <f/>
        <v/>
      </c>
      <c r="AK117" s="1400">
        <f>IF(AH117="","-",AH117)</f>
        <v/>
      </c>
      <c r="AL117" s="1405">
        <f>AI117</f>
        <v/>
      </c>
      <c r="AM117" s="1405">
        <f>AJ117</f>
        <v/>
      </c>
      <c r="AN117" s="1400">
        <f>stayCtry[[#This Row],[out]]-stayCtry[[#This Row],[in]]</f>
        <v/>
      </c>
      <c r="AO117" s="1406">
        <f>IF(AI117&lt;&gt;"",AO116+1,AO116)</f>
        <v/>
      </c>
      <c r="AP117" s="1398" t="inlineStr">
        <is>
          <t>.</t>
        </is>
      </c>
      <c r="AQ117" s="1402">
        <f/>
        <v/>
      </c>
      <c r="AR117" s="1403">
        <f/>
        <v/>
      </c>
      <c r="AS117" s="1403">
        <f/>
        <v/>
      </c>
      <c r="AT117" s="1400">
        <f>AQ117</f>
        <v/>
      </c>
      <c r="AU117" s="1405">
        <f>AR117</f>
        <v/>
      </c>
      <c r="AV117" s="1405">
        <f>AS117</f>
        <v/>
      </c>
      <c r="AW117" s="1400">
        <f>stayCont[[#This Row],[out]]-stayCont[[#This Row],[in]]</f>
        <v/>
      </c>
      <c r="AX117" s="1406">
        <f>IF(AR117&lt;&gt;"",AX116+1,AX116)</f>
        <v/>
      </c>
      <c r="AY117" s="1398" t="inlineStr">
        <is>
          <t>.</t>
        </is>
      </c>
      <c r="AZ117" s="1402" t="n"/>
      <c r="BA117" s="1403" t="n"/>
      <c r="BB117" s="1403" t="n"/>
      <c r="BC117" s="1405">
        <f>AZ117</f>
        <v/>
      </c>
      <c r="BD117" s="1405">
        <f>BA117</f>
        <v/>
      </c>
      <c r="BE117" s="1405">
        <f>BB117</f>
        <v/>
      </c>
      <c r="BF117" s="1400">
        <f>stayWB[[#This Row],[out]]-stayWB[[#This Row],[in]]</f>
        <v/>
      </c>
      <c r="BG117" s="1400">
        <f>IF(BB117&lt;&gt;"",BG116+1,BG116)</f>
        <v/>
      </c>
      <c r="BH117" s="1398" t="inlineStr">
        <is>
          <t>.</t>
        </is>
      </c>
      <c r="BI117" s="1402" t="inlineStr">
        <is>
          <t>CHE</t>
        </is>
      </c>
      <c r="BJ117" s="1402" t="n">
        <v>2005</v>
      </c>
      <c r="BK117" s="1400">
        <f>BI117</f>
        <v/>
      </c>
      <c r="BL117" s="1409">
        <f>BJ117</f>
        <v/>
      </c>
      <c r="BM117" s="1378" t="inlineStr">
        <is>
          <t>.</t>
        </is>
      </c>
      <c r="BN117" s="1411" t="inlineStr">
        <is>
          <t>B</t>
        </is>
      </c>
      <c r="BO117" s="1400">
        <f>BN117</f>
        <v/>
      </c>
      <c r="BP117" s="1398" t="inlineStr">
        <is>
          <t>.</t>
        </is>
      </c>
      <c r="BQ117" s="1400">
        <f>IF(BR117&lt;&gt;"",BQ116+1,BQ116)</f>
        <v/>
      </c>
      <c r="BR117" s="1411" t="inlineStr">
        <is>
          <t>Reykjavik</t>
        </is>
      </c>
      <c r="BS117" s="1411" t="inlineStr">
        <is>
          <t>NYC</t>
        </is>
      </c>
      <c r="BT117" s="1412" t="inlineStr">
        <is>
          <t>Reykjavik-NYC</t>
        </is>
      </c>
      <c r="BU117" s="1412" t="n">
        <v>37880</v>
      </c>
      <c r="BV117" s="1398" t="inlineStr">
        <is>
          <t>.</t>
        </is>
      </c>
      <c r="BW117" s="1392" t="n"/>
      <c r="BX117" s="1392" t="n"/>
      <c r="BY117" s="1392" t="n"/>
      <c r="BZ117" s="1416" t="n"/>
      <c r="CA117" s="1392" t="n"/>
      <c r="CB117" s="1398" t="inlineStr">
        <is>
          <t>.</t>
        </is>
      </c>
      <c r="CC117" s="1400">
        <f>IF(CD117&lt;&gt;"",CC116+1,CC116)</f>
        <v/>
      </c>
      <c r="CD117" s="1411" t="inlineStr">
        <is>
          <t>Rato/Vila Mariana</t>
        </is>
      </c>
      <c r="CE117" s="1412" t="n">
        <v>39624</v>
      </c>
      <c r="CF117" s="1412" t="n">
        <v>39625</v>
      </c>
      <c r="CG117" s="1415">
        <f>CF117-CE117</f>
        <v/>
      </c>
      <c r="CH117" s="1398" t="inlineStr">
        <is>
          <t>.</t>
        </is>
      </c>
      <c r="CI117" s="1392" t="n"/>
      <c r="CJ117" s="1392" t="n"/>
      <c r="CK117" s="1392" t="n"/>
      <c r="CL117" s="1392" t="n"/>
    </row>
    <row r="118">
      <c r="A118" s="5" t="inlineStr">
        <is>
          <t>.</t>
        </is>
      </c>
      <c r="B118" s="5" t="inlineStr">
        <is>
          <t>.</t>
        </is>
      </c>
      <c r="C118" s="1378">
        <f>IF(raw[[#This Row],[city]]="","-",IF(raw[[#This Row],[city]]="TODAY","-",C117+1))</f>
        <v/>
      </c>
      <c r="D118" s="1393" t="inlineStr">
        <is>
          <t>Orlando</t>
        </is>
      </c>
      <c r="E118" s="1394" t="n">
        <v>30747</v>
      </c>
      <c r="F118" s="1394" t="n">
        <v>30752</v>
      </c>
      <c r="G118" s="1393" t="inlineStr">
        <is>
          <t>-</t>
        </is>
      </c>
      <c r="H118" s="1393">
        <f>H117</f>
        <v/>
      </c>
      <c r="I118" s="1393" t="inlineStr">
        <is>
          <t>-</t>
        </is>
      </c>
      <c r="J118" s="1393" t="inlineStr">
        <is>
          <t>-</t>
        </is>
      </c>
      <c r="K118" s="1395">
        <f>IF(raw[[#This Row],[city]]&lt;&gt;"",_xlfn.XLOOKUP($D118,ccc[city],ccc[prov],"-"),"-")</f>
        <v/>
      </c>
      <c r="L118" s="1395">
        <f>IF(raw[[#This Row],[city]]&lt;&gt;"",_xlfn.XLOOKUP($D118,ccc[city],ccc[ctry],"-"),"-")</f>
        <v/>
      </c>
      <c r="M118" s="1395">
        <f>IF(raw[[#This Row],[city]]&lt;&gt;"",_xlfn.XLOOKUP($D118,ccc[city],ccc[cont],"-"),"-")</f>
        <v/>
      </c>
      <c r="N118" s="1396">
        <f>IF(raw[[#This Row],[city]]="","-",IF(raw[[#This Row],[cont]]="B",raw[[#This Row],[cont]],"W"))</f>
        <v/>
      </c>
      <c r="O118" s="1397">
        <f>IF(raw[[#This Row],[out]]=0,0,IF(raw[[#This Row],[out]]=raw[[#This Row],[in]],0.01,raw[[#This Row],[out]]-raw[[#This Row],[in]]))</f>
        <v/>
      </c>
      <c r="P118" s="1397">
        <f>IF(raw[[#This Row],[in]]=0,0,MONTH(raw[[#This Row],[in]]))</f>
        <v/>
      </c>
      <c r="Q118" s="1397">
        <f>IF(raw[[#This Row],[in]]=0,0,YEAR(raw[[#This Row],[in]]))</f>
        <v/>
      </c>
      <c r="R118" s="1397">
        <f>INT(raw[[#This Row],[yr]]/10)*10</f>
        <v/>
      </c>
      <c r="S118" s="1395">
        <f>IF(raw[[#This Row],[city]]="","-",IF(raw[[#This Row],[city]]&lt;&gt;_xlfn.XLOOKUP(raw[[#This Row],[home]],homes[home],homes[city],"-"),1,0))</f>
        <v/>
      </c>
      <c r="T118" s="1398" t="inlineStr">
        <is>
          <t>.</t>
        </is>
      </c>
      <c r="U118" s="1399">
        <f>IF(raw[[#This Row],[wb]]="w",raw[[#This Row],[stay]]+U117,U117)</f>
        <v/>
      </c>
      <c r="V118" s="1400">
        <f>IF(raw[[#This Row],[out]]=0,V117,(raw[[#This Row],[out]]-E$5))</f>
        <v/>
      </c>
      <c r="W118" s="1401">
        <f>U118/V118</f>
        <v/>
      </c>
      <c r="X118" s="1378" t="inlineStr">
        <is>
          <t>.</t>
        </is>
      </c>
      <c r="Y118" s="1402">
        <f/>
        <v/>
      </c>
      <c r="Z118" s="1403">
        <f/>
        <v/>
      </c>
      <c r="AA118" s="1403">
        <f/>
        <v/>
      </c>
      <c r="AB118" s="1400">
        <f t="array" ref="AB118">_xlfn.LET(_xlpm.S,_xlfn.ANCHORARRAY($Y$4),_xlpm.r,ROWS(stayCity[[#Headers],[city]]:stayCity[[#This Row],[city]])-1,IF(_xlpm.r&lt;=ROWS(_xlpm.S),INDEX(_xlpm.S,_xlpm.r,1),""))</f>
        <v/>
      </c>
      <c r="AC118" s="1405">
        <f t="array" ref="AC118">_xlfn.LET(_xlpm.S,_xlfn.ANCHORARRAY($Y$4),_xlpm.r,ROWS(stayCity[[#Headers],[city]]:stayCity[[#This Row],[city]])-1,IF(_xlpm.r&lt;=ROWS(_xlpm.S),INDEX(_xlpm.S,_xlpm.r,2),""))</f>
        <v/>
      </c>
      <c r="AD118" s="1405">
        <f t="array" ref="AD118">_xlfn.LET(_xlpm.S,_xlfn.ANCHORARRAY($Y$4),_xlpm.r,ROWS(stayCity[[#Headers],[city]]:stayCity[[#This Row],[city]])-1,IF(_xlpm.r&lt;=ROWS(_xlpm.S),INDEX(_xlpm.S,_xlpm.r,3),""))</f>
        <v/>
      </c>
      <c r="AE118" s="1400">
        <f>IF(stayCity[[#This Row],[out]]&lt;&gt;"",stayCity[[#This Row],[out]]-stayCity[[#This Row],[in]],"-")</f>
        <v/>
      </c>
      <c r="AF118" s="1406">
        <f>IF(Y118="","-",YEAR(stayCity[[#This Row],[in]]))</f>
        <v/>
      </c>
      <c r="AG118" s="1398" t="inlineStr">
        <is>
          <t>.</t>
        </is>
      </c>
      <c r="AH118" s="1402">
        <f/>
        <v/>
      </c>
      <c r="AI118" s="1403">
        <f/>
        <v/>
      </c>
      <c r="AJ118" s="1403">
        <f/>
        <v/>
      </c>
      <c r="AK118" s="1400">
        <f>IF(AH118="","-",AH118)</f>
        <v/>
      </c>
      <c r="AL118" s="1405">
        <f>AI118</f>
        <v/>
      </c>
      <c r="AM118" s="1405">
        <f>AJ118</f>
        <v/>
      </c>
      <c r="AN118" s="1400">
        <f>stayCtry[[#This Row],[out]]-stayCtry[[#This Row],[in]]</f>
        <v/>
      </c>
      <c r="AO118" s="1406">
        <f>IF(AI118&lt;&gt;"",AO117+1,AO117)</f>
        <v/>
      </c>
      <c r="AP118" s="1398" t="inlineStr">
        <is>
          <t>.</t>
        </is>
      </c>
      <c r="AQ118" s="1402">
        <f/>
        <v/>
      </c>
      <c r="AR118" s="1403">
        <f/>
        <v/>
      </c>
      <c r="AS118" s="1403">
        <f/>
        <v/>
      </c>
      <c r="AT118" s="1400">
        <f>AQ118</f>
        <v/>
      </c>
      <c r="AU118" s="1405">
        <f>AR118</f>
        <v/>
      </c>
      <c r="AV118" s="1405">
        <f>AS118</f>
        <v/>
      </c>
      <c r="AW118" s="1400">
        <f>stayCont[[#This Row],[out]]-stayCont[[#This Row],[in]]</f>
        <v/>
      </c>
      <c r="AX118" s="1406">
        <f>IF(AR118&lt;&gt;"",AX117+1,AX117)</f>
        <v/>
      </c>
      <c r="AY118" s="1398" t="inlineStr">
        <is>
          <t>.</t>
        </is>
      </c>
      <c r="AZ118" s="1402" t="n"/>
      <c r="BA118" s="1403" t="n"/>
      <c r="BB118" s="1403" t="n"/>
      <c r="BC118" s="1405">
        <f>AZ118</f>
        <v/>
      </c>
      <c r="BD118" s="1405">
        <f>BA118</f>
        <v/>
      </c>
      <c r="BE118" s="1405">
        <f>BB118</f>
        <v/>
      </c>
      <c r="BF118" s="1400">
        <f>stayWB[[#This Row],[out]]-stayWB[[#This Row],[in]]</f>
        <v/>
      </c>
      <c r="BG118" s="1400">
        <f>IF(BB118&lt;&gt;"",BG117+1,BG117)</f>
        <v/>
      </c>
      <c r="BH118" s="1398" t="inlineStr">
        <is>
          <t>.</t>
        </is>
      </c>
      <c r="BI118" s="1402" t="inlineStr">
        <is>
          <t>FRA</t>
        </is>
      </c>
      <c r="BJ118" s="1402" t="n">
        <v>2005</v>
      </c>
      <c r="BK118" s="1400">
        <f>BI118</f>
        <v/>
      </c>
      <c r="BL118" s="1409">
        <f>BJ118</f>
        <v/>
      </c>
      <c r="BM118" s="1378" t="inlineStr">
        <is>
          <t>.</t>
        </is>
      </c>
      <c r="BN118" s="1411" t="inlineStr">
        <is>
          <t>Z</t>
        </is>
      </c>
      <c r="BO118" s="1400">
        <f>BN118</f>
        <v/>
      </c>
      <c r="BP118" s="1398" t="inlineStr">
        <is>
          <t>.</t>
        </is>
      </c>
      <c r="BQ118" s="1400">
        <f>IF(BR118&lt;&gt;"",BQ117+1,BQ117)</f>
        <v/>
      </c>
      <c r="BR118" s="1411" t="inlineStr">
        <is>
          <t>NYC</t>
        </is>
      </c>
      <c r="BS118" s="1411" t="inlineStr">
        <is>
          <t>Washington</t>
        </is>
      </c>
      <c r="BT118" s="1412" t="inlineStr">
        <is>
          <t>NYC-Washington</t>
        </is>
      </c>
      <c r="BU118" s="1412" t="n">
        <v>37882</v>
      </c>
      <c r="BV118" s="1398" t="inlineStr">
        <is>
          <t>.</t>
        </is>
      </c>
      <c r="BW118" s="1392" t="n"/>
      <c r="BX118" s="1392" t="n"/>
      <c r="BY118" s="1392" t="n"/>
      <c r="BZ118" s="1416" t="n"/>
      <c r="CA118" s="1392" t="n"/>
      <c r="CB118" s="1398" t="inlineStr">
        <is>
          <t>.</t>
        </is>
      </c>
      <c r="CC118" s="1400">
        <f>IF(CD118&lt;&gt;"",CC117+1,CC117)</f>
        <v/>
      </c>
      <c r="CD118" s="1411" t="inlineStr">
        <is>
          <t>Salto Grande</t>
        </is>
      </c>
      <c r="CE118" s="1412" t="n">
        <v>39671</v>
      </c>
      <c r="CF118" s="1412" t="n">
        <v>39675</v>
      </c>
      <c r="CG118" s="1415">
        <f>CF118-CE118</f>
        <v/>
      </c>
      <c r="CH118" s="1398" t="inlineStr">
        <is>
          <t>.</t>
        </is>
      </c>
      <c r="CI118" s="1392" t="n"/>
      <c r="CJ118" s="1392" t="n"/>
      <c r="CK118" s="1392" t="n"/>
      <c r="CL118" s="1392" t="n"/>
    </row>
    <row r="119">
      <c r="A119" s="5" t="inlineStr">
        <is>
          <t>.</t>
        </is>
      </c>
      <c r="B119" s="5" t="inlineStr">
        <is>
          <t>.</t>
        </is>
      </c>
      <c r="C119" s="1378">
        <f>IF(raw[[#This Row],[city]]="","-",IF(raw[[#This Row],[city]]="TODAY","-",C118+1))</f>
        <v/>
      </c>
      <c r="D119" s="1393" t="inlineStr">
        <is>
          <t>Miami</t>
        </is>
      </c>
      <c r="E119" s="1394" t="n">
        <v>30752</v>
      </c>
      <c r="F119" s="1394" t="n">
        <v>30752</v>
      </c>
      <c r="G119" s="1393" t="n">
        <v>1</v>
      </c>
      <c r="H119" s="1393">
        <f>H118</f>
        <v/>
      </c>
      <c r="I119" s="1393" t="inlineStr">
        <is>
          <t>-</t>
        </is>
      </c>
      <c r="J119" s="1393" t="inlineStr">
        <is>
          <t>-</t>
        </is>
      </c>
      <c r="K119" s="1395">
        <f>IF(raw[[#This Row],[city]]&lt;&gt;"",_xlfn.XLOOKUP($D119,ccc[city],ccc[prov],"-"),"-")</f>
        <v/>
      </c>
      <c r="L119" s="1395">
        <f>IF(raw[[#This Row],[city]]&lt;&gt;"",_xlfn.XLOOKUP($D119,ccc[city],ccc[ctry],"-"),"-")</f>
        <v/>
      </c>
      <c r="M119" s="1395">
        <f>IF(raw[[#This Row],[city]]&lt;&gt;"",_xlfn.XLOOKUP($D119,ccc[city],ccc[cont],"-"),"-")</f>
        <v/>
      </c>
      <c r="N119" s="1396">
        <f>IF(raw[[#This Row],[city]]="","-",IF(raw[[#This Row],[cont]]="B",raw[[#This Row],[cont]],"W"))</f>
        <v/>
      </c>
      <c r="O119" s="1397">
        <f>IF(raw[[#This Row],[out]]=0,0,IF(raw[[#This Row],[out]]=raw[[#This Row],[in]],0.01,raw[[#This Row],[out]]-raw[[#This Row],[in]]))</f>
        <v/>
      </c>
      <c r="P119" s="1397">
        <f>IF(raw[[#This Row],[in]]=0,0,MONTH(raw[[#This Row],[in]]))</f>
        <v/>
      </c>
      <c r="Q119" s="1397">
        <f>IF(raw[[#This Row],[in]]=0,0,YEAR(raw[[#This Row],[in]]))</f>
        <v/>
      </c>
      <c r="R119" s="1397">
        <f>INT(raw[[#This Row],[yr]]/10)*10</f>
        <v/>
      </c>
      <c r="S119" s="1395">
        <f>IF(raw[[#This Row],[city]]="","-",IF(raw[[#This Row],[city]]&lt;&gt;_xlfn.XLOOKUP(raw[[#This Row],[home]],homes[home],homes[city],"-"),1,0))</f>
        <v/>
      </c>
      <c r="T119" s="1398" t="inlineStr">
        <is>
          <t>.</t>
        </is>
      </c>
      <c r="U119" s="1399">
        <f>IF(raw[[#This Row],[wb]]="w",raw[[#This Row],[stay]]+U118,U118)</f>
        <v/>
      </c>
      <c r="V119" s="1400">
        <f>IF(raw[[#This Row],[out]]=0,V118,(raw[[#This Row],[out]]-E$5))</f>
        <v/>
      </c>
      <c r="W119" s="1401">
        <f>U119/V119</f>
        <v/>
      </c>
      <c r="X119" s="1378" t="inlineStr">
        <is>
          <t>.</t>
        </is>
      </c>
      <c r="Y119" s="1402">
        <f/>
        <v/>
      </c>
      <c r="Z119" s="1403">
        <f/>
        <v/>
      </c>
      <c r="AA119" s="1403">
        <f/>
        <v/>
      </c>
      <c r="AB119" s="1400">
        <f t="array" ref="AB119">_xlfn.LET(_xlpm.S,_xlfn.ANCHORARRAY($Y$4),_xlpm.r,ROWS(stayCity[[#Headers],[city]]:stayCity[[#This Row],[city]])-1,IF(_xlpm.r&lt;=ROWS(_xlpm.S),INDEX(_xlpm.S,_xlpm.r,1),""))</f>
        <v/>
      </c>
      <c r="AC119" s="1405">
        <f t="array" ref="AC119">_xlfn.LET(_xlpm.S,_xlfn.ANCHORARRAY($Y$4),_xlpm.r,ROWS(stayCity[[#Headers],[city]]:stayCity[[#This Row],[city]])-1,IF(_xlpm.r&lt;=ROWS(_xlpm.S),INDEX(_xlpm.S,_xlpm.r,2),""))</f>
        <v/>
      </c>
      <c r="AD119" s="1405">
        <f t="array" ref="AD119">_xlfn.LET(_xlpm.S,_xlfn.ANCHORARRAY($Y$4),_xlpm.r,ROWS(stayCity[[#Headers],[city]]:stayCity[[#This Row],[city]])-1,IF(_xlpm.r&lt;=ROWS(_xlpm.S),INDEX(_xlpm.S,_xlpm.r,3),""))</f>
        <v/>
      </c>
      <c r="AE119" s="1400">
        <f>IF(stayCity[[#This Row],[out]]&lt;&gt;"",stayCity[[#This Row],[out]]-stayCity[[#This Row],[in]],"-")</f>
        <v/>
      </c>
      <c r="AF119" s="1406">
        <f>IF(Y119="","-",YEAR(stayCity[[#This Row],[in]]))</f>
        <v/>
      </c>
      <c r="AG119" s="1398" t="inlineStr">
        <is>
          <t>.</t>
        </is>
      </c>
      <c r="AH119" s="1402">
        <f/>
        <v/>
      </c>
      <c r="AI119" s="1403">
        <f/>
        <v/>
      </c>
      <c r="AJ119" s="1403">
        <f/>
        <v/>
      </c>
      <c r="AK119" s="1400">
        <f>IF(AH119="","-",AH119)</f>
        <v/>
      </c>
      <c r="AL119" s="1405">
        <f>AI119</f>
        <v/>
      </c>
      <c r="AM119" s="1405">
        <f>AJ119</f>
        <v/>
      </c>
      <c r="AN119" s="1400">
        <f>stayCtry[[#This Row],[out]]-stayCtry[[#This Row],[in]]</f>
        <v/>
      </c>
      <c r="AO119" s="1406">
        <f>IF(AI119&lt;&gt;"",AO118+1,AO118)</f>
        <v/>
      </c>
      <c r="AP119" s="1398" t="inlineStr">
        <is>
          <t>.</t>
        </is>
      </c>
      <c r="AQ119" s="1402">
        <f/>
        <v/>
      </c>
      <c r="AR119" s="1403">
        <f/>
        <v/>
      </c>
      <c r="AS119" s="1403">
        <f/>
        <v/>
      </c>
      <c r="AT119" s="1400">
        <f>AQ119</f>
        <v/>
      </c>
      <c r="AU119" s="1405">
        <f>AR119</f>
        <v/>
      </c>
      <c r="AV119" s="1405">
        <f>AS119</f>
        <v/>
      </c>
      <c r="AW119" s="1400">
        <f>stayCont[[#This Row],[out]]-stayCont[[#This Row],[in]]</f>
        <v/>
      </c>
      <c r="AX119" s="1406">
        <f>IF(AR119&lt;&gt;"",AX118+1,AX118)</f>
        <v/>
      </c>
      <c r="AY119" s="1398" t="inlineStr">
        <is>
          <t>.</t>
        </is>
      </c>
      <c r="AZ119" s="1402" t="n"/>
      <c r="BA119" s="1403" t="n"/>
      <c r="BB119" s="1403" t="n"/>
      <c r="BC119" s="1405">
        <f>AZ119</f>
        <v/>
      </c>
      <c r="BD119" s="1405">
        <f>BA119</f>
        <v/>
      </c>
      <c r="BE119" s="1405">
        <f>BB119</f>
        <v/>
      </c>
      <c r="BF119" s="1400">
        <f>stayWB[[#This Row],[out]]-stayWB[[#This Row],[in]]</f>
        <v/>
      </c>
      <c r="BG119" s="1400">
        <f>IF(BB119&lt;&gt;"",BG118+1,BG118)</f>
        <v/>
      </c>
      <c r="BH119" s="1398" t="inlineStr">
        <is>
          <t>.</t>
        </is>
      </c>
      <c r="BI119" s="1402" t="inlineStr">
        <is>
          <t>CHE</t>
        </is>
      </c>
      <c r="BJ119" s="1402" t="n">
        <v>2005</v>
      </c>
      <c r="BK119" s="1400">
        <f>BI119</f>
        <v/>
      </c>
      <c r="BL119" s="1409">
        <f>BJ119</f>
        <v/>
      </c>
      <c r="BM119" s="1378" t="inlineStr">
        <is>
          <t>.</t>
        </is>
      </c>
      <c r="BN119" s="1411" t="inlineStr">
        <is>
          <t>N</t>
        </is>
      </c>
      <c r="BO119" s="1400">
        <f>BN119</f>
        <v/>
      </c>
      <c r="BP119" s="1398" t="inlineStr">
        <is>
          <t>.</t>
        </is>
      </c>
      <c r="BQ119" s="1400">
        <f>IF(BR119&lt;&gt;"",BQ118+1,BQ118)</f>
        <v/>
      </c>
      <c r="BR119" s="1411" t="inlineStr">
        <is>
          <t>Washington</t>
        </is>
      </c>
      <c r="BS119" s="1411" t="inlineStr">
        <is>
          <t>Columbia</t>
        </is>
      </c>
      <c r="BT119" s="1412" t="inlineStr">
        <is>
          <t>Washington-Columbia</t>
        </is>
      </c>
      <c r="BU119" s="1412" t="n">
        <v>37882</v>
      </c>
      <c r="BV119" s="1398" t="inlineStr">
        <is>
          <t>.</t>
        </is>
      </c>
      <c r="BW119" s="1392" t="n"/>
      <c r="BX119" s="1392" t="n"/>
      <c r="BY119" s="1392" t="n"/>
      <c r="BZ119" s="1416" t="n"/>
      <c r="CA119" s="1392" t="n"/>
      <c r="CB119" s="1398" t="inlineStr">
        <is>
          <t>.</t>
        </is>
      </c>
      <c r="CC119" s="1400">
        <f>IF(CD119&lt;&gt;"",CC118+1,CC118)</f>
        <v/>
      </c>
      <c r="CD119" s="1411" t="inlineStr">
        <is>
          <t>Monica Rio</t>
        </is>
      </c>
      <c r="CE119" s="1412" t="n">
        <v>39730</v>
      </c>
      <c r="CF119" s="1412" t="n">
        <v>39734</v>
      </c>
      <c r="CG119" s="1415">
        <f>CF119-CE119</f>
        <v/>
      </c>
      <c r="CH119" s="1398" t="inlineStr">
        <is>
          <t>.</t>
        </is>
      </c>
      <c r="CI119" s="1392" t="n"/>
      <c r="CJ119" s="1392" t="n"/>
      <c r="CK119" s="1392" t="n"/>
      <c r="CL119" s="1392" t="n"/>
    </row>
    <row r="120">
      <c r="A120" s="5" t="inlineStr">
        <is>
          <t>.</t>
        </is>
      </c>
      <c r="B120" s="5" t="inlineStr">
        <is>
          <t>.</t>
        </is>
      </c>
      <c r="C120" s="1378">
        <f>IF(raw[[#This Row],[city]]="","-",IF(raw[[#This Row],[city]]="TODAY","-",C119+1))</f>
        <v/>
      </c>
      <c r="D120" s="1393" t="inlineStr">
        <is>
          <t>AIR</t>
        </is>
      </c>
      <c r="E120" s="1394" t="n">
        <v>30752</v>
      </c>
      <c r="F120" s="1394" t="n">
        <v>30753</v>
      </c>
      <c r="G120" s="1393" t="inlineStr">
        <is>
          <t>x</t>
        </is>
      </c>
      <c r="H120" s="1393">
        <f>H119</f>
        <v/>
      </c>
      <c r="I120" s="1393" t="inlineStr">
        <is>
          <t>-</t>
        </is>
      </c>
      <c r="J120" s="1393" t="inlineStr">
        <is>
          <t>-</t>
        </is>
      </c>
      <c r="K120" s="1395">
        <f>IF(raw[[#This Row],[city]]&lt;&gt;"",_xlfn.XLOOKUP($D120,ccc[city],ccc[prov],"-"),"-")</f>
        <v/>
      </c>
      <c r="L120" s="1395">
        <f>IF(raw[[#This Row],[city]]&lt;&gt;"",_xlfn.XLOOKUP($D120,ccc[city],ccc[ctry],"-"),"-")</f>
        <v/>
      </c>
      <c r="M120" s="1395">
        <f>IF(raw[[#This Row],[city]]&lt;&gt;"",_xlfn.XLOOKUP($D120,ccc[city],ccc[cont],"-"),"-")</f>
        <v/>
      </c>
      <c r="N120" s="1396">
        <f>IF(raw[[#This Row],[city]]="","-",IF(raw[[#This Row],[cont]]="B",raw[[#This Row],[cont]],"W"))</f>
        <v/>
      </c>
      <c r="O120" s="1397">
        <f>IF(raw[[#This Row],[out]]=0,0,IF(raw[[#This Row],[out]]=raw[[#This Row],[in]],0.01,raw[[#This Row],[out]]-raw[[#This Row],[in]]))</f>
        <v/>
      </c>
      <c r="P120" s="1397">
        <f>IF(raw[[#This Row],[in]]=0,0,MONTH(raw[[#This Row],[in]]))</f>
        <v/>
      </c>
      <c r="Q120" s="1397">
        <f>IF(raw[[#This Row],[in]]=0,0,YEAR(raw[[#This Row],[in]]))</f>
        <v/>
      </c>
      <c r="R120" s="1397">
        <f>INT(raw[[#This Row],[yr]]/10)*10</f>
        <v/>
      </c>
      <c r="S120" s="1395">
        <f>IF(raw[[#This Row],[city]]="","-",IF(raw[[#This Row],[city]]&lt;&gt;_xlfn.XLOOKUP(raw[[#This Row],[home]],homes[home],homes[city],"-"),1,0))</f>
        <v/>
      </c>
      <c r="T120" s="1398" t="inlineStr">
        <is>
          <t>.</t>
        </is>
      </c>
      <c r="U120" s="1399">
        <f>IF(raw[[#This Row],[wb]]="w",raw[[#This Row],[stay]]+U119,U119)</f>
        <v/>
      </c>
      <c r="V120" s="1400">
        <f>IF(raw[[#This Row],[out]]=0,V119,(raw[[#This Row],[out]]-E$5))</f>
        <v/>
      </c>
      <c r="W120" s="1401">
        <f>U120/V120</f>
        <v/>
      </c>
      <c r="X120" s="1378" t="inlineStr">
        <is>
          <t>.</t>
        </is>
      </c>
      <c r="Y120" s="1402">
        <f/>
        <v/>
      </c>
      <c r="Z120" s="1403">
        <f/>
        <v/>
      </c>
      <c r="AA120" s="1403">
        <f/>
        <v/>
      </c>
      <c r="AB120" s="1400">
        <f t="array" ref="AB120">_xlfn.LET(_xlpm.S,_xlfn.ANCHORARRAY($Y$4),_xlpm.r,ROWS(stayCity[[#Headers],[city]]:stayCity[[#This Row],[city]])-1,IF(_xlpm.r&lt;=ROWS(_xlpm.S),INDEX(_xlpm.S,_xlpm.r,1),""))</f>
        <v/>
      </c>
      <c r="AC120" s="1405">
        <f t="array" ref="AC120">_xlfn.LET(_xlpm.S,_xlfn.ANCHORARRAY($Y$4),_xlpm.r,ROWS(stayCity[[#Headers],[city]]:stayCity[[#This Row],[city]])-1,IF(_xlpm.r&lt;=ROWS(_xlpm.S),INDEX(_xlpm.S,_xlpm.r,2),""))</f>
        <v/>
      </c>
      <c r="AD120" s="1405">
        <f t="array" ref="AD120">_xlfn.LET(_xlpm.S,_xlfn.ANCHORARRAY($Y$4),_xlpm.r,ROWS(stayCity[[#Headers],[city]]:stayCity[[#This Row],[city]])-1,IF(_xlpm.r&lt;=ROWS(_xlpm.S),INDEX(_xlpm.S,_xlpm.r,3),""))</f>
        <v/>
      </c>
      <c r="AE120" s="1400">
        <f>IF(stayCity[[#This Row],[out]]&lt;&gt;"",stayCity[[#This Row],[out]]-stayCity[[#This Row],[in]],"-")</f>
        <v/>
      </c>
      <c r="AF120" s="1406">
        <f>IF(Y120="","-",YEAR(stayCity[[#This Row],[in]]))</f>
        <v/>
      </c>
      <c r="AG120" s="1398" t="inlineStr">
        <is>
          <t>.</t>
        </is>
      </c>
      <c r="AH120" s="1402">
        <f/>
        <v/>
      </c>
      <c r="AI120" s="1403">
        <f/>
        <v/>
      </c>
      <c r="AJ120" s="1403">
        <f/>
        <v/>
      </c>
      <c r="AK120" s="1400">
        <f>IF(AH120="","-",AH120)</f>
        <v/>
      </c>
      <c r="AL120" s="1405">
        <f>AI120</f>
        <v/>
      </c>
      <c r="AM120" s="1405">
        <f>AJ120</f>
        <v/>
      </c>
      <c r="AN120" s="1400">
        <f>stayCtry[[#This Row],[out]]-stayCtry[[#This Row],[in]]</f>
        <v/>
      </c>
      <c r="AO120" s="1406">
        <f>IF(AI120&lt;&gt;"",AO119+1,AO119)</f>
        <v/>
      </c>
      <c r="AP120" s="1398" t="inlineStr">
        <is>
          <t>.</t>
        </is>
      </c>
      <c r="AQ120" s="1402">
        <f/>
        <v/>
      </c>
      <c r="AR120" s="1403">
        <f/>
        <v/>
      </c>
      <c r="AS120" s="1403">
        <f/>
        <v/>
      </c>
      <c r="AT120" s="1400">
        <f>AQ120</f>
        <v/>
      </c>
      <c r="AU120" s="1405">
        <f>AR120</f>
        <v/>
      </c>
      <c r="AV120" s="1405">
        <f>AS120</f>
        <v/>
      </c>
      <c r="AW120" s="1400">
        <f>stayCont[[#This Row],[out]]-stayCont[[#This Row],[in]]</f>
        <v/>
      </c>
      <c r="AX120" s="1406">
        <f>IF(AR120&lt;&gt;"",AX119+1,AX119)</f>
        <v/>
      </c>
      <c r="AY120" s="1398" t="inlineStr">
        <is>
          <t>.</t>
        </is>
      </c>
      <c r="AZ120" s="1402" t="n"/>
      <c r="BA120" s="1403" t="n"/>
      <c r="BB120" s="1403" t="n"/>
      <c r="BC120" s="1405">
        <f>AZ120</f>
        <v/>
      </c>
      <c r="BD120" s="1405">
        <f>BA120</f>
        <v/>
      </c>
      <c r="BE120" s="1405">
        <f>BB120</f>
        <v/>
      </c>
      <c r="BF120" s="1400">
        <f>stayWB[[#This Row],[out]]-stayWB[[#This Row],[in]]</f>
        <v/>
      </c>
      <c r="BG120" s="1400">
        <f>IF(BB120&lt;&gt;"",BG119+1,BG119)</f>
        <v/>
      </c>
      <c r="BH120" s="1398" t="inlineStr">
        <is>
          <t>.</t>
        </is>
      </c>
      <c r="BI120" s="1402" t="inlineStr">
        <is>
          <t>ITA</t>
        </is>
      </c>
      <c r="BJ120" s="1402" t="n">
        <v>2005</v>
      </c>
      <c r="BK120" s="1400">
        <f>BI120</f>
        <v/>
      </c>
      <c r="BL120" s="1409">
        <f>BJ120</f>
        <v/>
      </c>
      <c r="BM120" s="1378" t="inlineStr">
        <is>
          <t>.</t>
        </is>
      </c>
      <c r="BN120" s="1411" t="inlineStr">
        <is>
          <t>C</t>
        </is>
      </c>
      <c r="BO120" s="1400">
        <f>BN120</f>
        <v/>
      </c>
      <c r="BP120" s="1398" t="inlineStr">
        <is>
          <t>.</t>
        </is>
      </c>
      <c r="BQ120" s="1400">
        <f>IF(BR120&lt;&gt;"",BQ119+1,BQ119)</f>
        <v/>
      </c>
      <c r="BR120" s="1411" t="inlineStr">
        <is>
          <t>Columbia</t>
        </is>
      </c>
      <c r="BS120" s="1411" t="inlineStr">
        <is>
          <t>Washington</t>
        </is>
      </c>
      <c r="BT120" s="1412" t="inlineStr">
        <is>
          <t>Columbia-Washington</t>
        </is>
      </c>
      <c r="BU120" s="1412" t="n">
        <v>37970</v>
      </c>
      <c r="BV120" s="1398" t="inlineStr">
        <is>
          <t>.</t>
        </is>
      </c>
      <c r="BW120" s="1392" t="n"/>
      <c r="BX120" s="1392" t="n"/>
      <c r="BY120" s="1392" t="n"/>
      <c r="BZ120" s="1416" t="n"/>
      <c r="CA120" s="1392" t="n"/>
      <c r="CB120" s="1398" t="inlineStr">
        <is>
          <t>.</t>
        </is>
      </c>
      <c r="CC120" s="1400">
        <f>IF(CD120&lt;&gt;"",CC119+1,CC119)</f>
        <v/>
      </c>
      <c r="CD120" s="1411" t="inlineStr">
        <is>
          <t>Monica Rio</t>
        </is>
      </c>
      <c r="CE120" s="1412" t="n">
        <v>39795</v>
      </c>
      <c r="CF120" s="1412" t="n">
        <v>39798</v>
      </c>
      <c r="CG120" s="1415">
        <f>CF120-CE120</f>
        <v/>
      </c>
      <c r="CH120" s="1398" t="inlineStr">
        <is>
          <t>.</t>
        </is>
      </c>
      <c r="CI120" s="1392" t="n"/>
      <c r="CJ120" s="1392" t="n"/>
      <c r="CK120" s="1392" t="n"/>
      <c r="CL120" s="1392" t="n"/>
    </row>
    <row r="121">
      <c r="A121" s="5" t="inlineStr">
        <is>
          <t>.</t>
        </is>
      </c>
      <c r="B121" s="5" t="inlineStr">
        <is>
          <t>.</t>
        </is>
      </c>
      <c r="C121" s="1378">
        <f>IF(raw[[#This Row],[city]]="","-",IF(raw[[#This Row],[city]]="TODAY","-",C120+1))</f>
        <v/>
      </c>
      <c r="D121" s="1393" t="inlineStr">
        <is>
          <t>SSA</t>
        </is>
      </c>
      <c r="E121" s="1394" t="n">
        <v>30753</v>
      </c>
      <c r="F121" s="1394" t="n">
        <v>31048</v>
      </c>
      <c r="G121" s="1393" t="inlineStr">
        <is>
          <t>-</t>
        </is>
      </c>
      <c r="H121" s="1393">
        <f>H120</f>
        <v/>
      </c>
      <c r="I121" s="1393" t="inlineStr">
        <is>
          <t>-</t>
        </is>
      </c>
      <c r="J121" s="1393" t="inlineStr">
        <is>
          <t>-</t>
        </is>
      </c>
      <c r="K121" s="1395">
        <f>IF(raw[[#This Row],[city]]&lt;&gt;"",_xlfn.XLOOKUP($D121,ccc[city],ccc[prov],"-"),"-")</f>
        <v/>
      </c>
      <c r="L121" s="1395">
        <f>IF(raw[[#This Row],[city]]&lt;&gt;"",_xlfn.XLOOKUP($D121,ccc[city],ccc[ctry],"-"),"-")</f>
        <v/>
      </c>
      <c r="M121" s="1395">
        <f>IF(raw[[#This Row],[city]]&lt;&gt;"",_xlfn.XLOOKUP($D121,ccc[city],ccc[cont],"-"),"-")</f>
        <v/>
      </c>
      <c r="N121" s="1396">
        <f>IF(raw[[#This Row],[city]]="","-",IF(raw[[#This Row],[cont]]="B",raw[[#This Row],[cont]],"W"))</f>
        <v/>
      </c>
      <c r="O121" s="1397">
        <f>IF(raw[[#This Row],[out]]=0,0,IF(raw[[#This Row],[out]]=raw[[#This Row],[in]],0.01,raw[[#This Row],[out]]-raw[[#This Row],[in]]))</f>
        <v/>
      </c>
      <c r="P121" s="1397">
        <f>IF(raw[[#This Row],[in]]=0,0,MONTH(raw[[#This Row],[in]]))</f>
        <v/>
      </c>
      <c r="Q121" s="1397">
        <f>IF(raw[[#This Row],[in]]=0,0,YEAR(raw[[#This Row],[in]]))</f>
        <v/>
      </c>
      <c r="R121" s="1397">
        <f>INT(raw[[#This Row],[yr]]/10)*10</f>
        <v/>
      </c>
      <c r="S121" s="1395">
        <f>IF(raw[[#This Row],[city]]="","-",IF(raw[[#This Row],[city]]&lt;&gt;_xlfn.XLOOKUP(raw[[#This Row],[home]],homes[home],homes[city],"-"),1,0))</f>
        <v/>
      </c>
      <c r="T121" s="1398" t="inlineStr">
        <is>
          <t>.</t>
        </is>
      </c>
      <c r="U121" s="1399">
        <f>IF(raw[[#This Row],[wb]]="w",raw[[#This Row],[stay]]+U120,U120)</f>
        <v/>
      </c>
      <c r="V121" s="1400">
        <f>IF(raw[[#This Row],[out]]=0,V120,(raw[[#This Row],[out]]-E$5))</f>
        <v/>
      </c>
      <c r="W121" s="1401">
        <f>U121/V121</f>
        <v/>
      </c>
      <c r="X121" s="1378" t="inlineStr">
        <is>
          <t>.</t>
        </is>
      </c>
      <c r="Y121" s="1402">
        <f/>
        <v/>
      </c>
      <c r="Z121" s="1403">
        <f/>
        <v/>
      </c>
      <c r="AA121" s="1403">
        <f/>
        <v/>
      </c>
      <c r="AB121" s="1400">
        <f t="array" ref="AB121">_xlfn.LET(_xlpm.S,_xlfn.ANCHORARRAY($Y$4),_xlpm.r,ROWS(stayCity[[#Headers],[city]]:stayCity[[#This Row],[city]])-1,IF(_xlpm.r&lt;=ROWS(_xlpm.S),INDEX(_xlpm.S,_xlpm.r,1),""))</f>
        <v/>
      </c>
      <c r="AC121" s="1405">
        <f t="array" ref="AC121">_xlfn.LET(_xlpm.S,_xlfn.ANCHORARRAY($Y$4),_xlpm.r,ROWS(stayCity[[#Headers],[city]]:stayCity[[#This Row],[city]])-1,IF(_xlpm.r&lt;=ROWS(_xlpm.S),INDEX(_xlpm.S,_xlpm.r,2),""))</f>
        <v/>
      </c>
      <c r="AD121" s="1405">
        <f t="array" ref="AD121">_xlfn.LET(_xlpm.S,_xlfn.ANCHORARRAY($Y$4),_xlpm.r,ROWS(stayCity[[#Headers],[city]]:stayCity[[#This Row],[city]])-1,IF(_xlpm.r&lt;=ROWS(_xlpm.S),INDEX(_xlpm.S,_xlpm.r,3),""))</f>
        <v/>
      </c>
      <c r="AE121" s="1400">
        <f>IF(stayCity[[#This Row],[out]]&lt;&gt;"",stayCity[[#This Row],[out]]-stayCity[[#This Row],[in]],"-")</f>
        <v/>
      </c>
      <c r="AF121" s="1406">
        <f>IF(Y121="","-",YEAR(stayCity[[#This Row],[in]]))</f>
        <v/>
      </c>
      <c r="AG121" s="1398" t="inlineStr">
        <is>
          <t>.</t>
        </is>
      </c>
      <c r="AH121" s="1402">
        <f/>
        <v/>
      </c>
      <c r="AI121" s="1403">
        <f/>
        <v/>
      </c>
      <c r="AJ121" s="1403">
        <f/>
        <v/>
      </c>
      <c r="AK121" s="1400">
        <f>IF(AH121="","-",AH121)</f>
        <v/>
      </c>
      <c r="AL121" s="1405">
        <f>AI121</f>
        <v/>
      </c>
      <c r="AM121" s="1405">
        <f>AJ121</f>
        <v/>
      </c>
      <c r="AN121" s="1400">
        <f>stayCtry[[#This Row],[out]]-stayCtry[[#This Row],[in]]</f>
        <v/>
      </c>
      <c r="AO121" s="1406">
        <f>IF(AI121&lt;&gt;"",AO120+1,AO120)</f>
        <v/>
      </c>
      <c r="AP121" s="1398" t="inlineStr">
        <is>
          <t>.</t>
        </is>
      </c>
      <c r="AQ121" s="1402">
        <f/>
        <v/>
      </c>
      <c r="AR121" s="1403">
        <f/>
        <v/>
      </c>
      <c r="AS121" s="1403">
        <f/>
        <v/>
      </c>
      <c r="AT121" s="1400">
        <f>AQ121</f>
        <v/>
      </c>
      <c r="AU121" s="1405">
        <f>AR121</f>
        <v/>
      </c>
      <c r="AV121" s="1405">
        <f>AS121</f>
        <v/>
      </c>
      <c r="AW121" s="1400">
        <f>stayCont[[#This Row],[out]]-stayCont[[#This Row],[in]]</f>
        <v/>
      </c>
      <c r="AX121" s="1406">
        <f>IF(AR121&lt;&gt;"",AX120+1,AX120)</f>
        <v/>
      </c>
      <c r="AY121" s="1398" t="inlineStr">
        <is>
          <t>.</t>
        </is>
      </c>
      <c r="AZ121" s="1402" t="n"/>
      <c r="BA121" s="1403" t="n"/>
      <c r="BB121" s="1403" t="n"/>
      <c r="BC121" s="1405">
        <f>AZ121</f>
        <v/>
      </c>
      <c r="BD121" s="1405">
        <f>BA121</f>
        <v/>
      </c>
      <c r="BE121" s="1405">
        <f>BB121</f>
        <v/>
      </c>
      <c r="BF121" s="1400">
        <f>stayWB[[#This Row],[out]]-stayWB[[#This Row],[in]]</f>
        <v/>
      </c>
      <c r="BG121" s="1400">
        <f>IF(BB121&lt;&gt;"",BG120+1,BG120)</f>
        <v/>
      </c>
      <c r="BH121" s="1398" t="inlineStr">
        <is>
          <t>.</t>
        </is>
      </c>
      <c r="BI121" s="1402" t="inlineStr">
        <is>
          <t>UK</t>
        </is>
      </c>
      <c r="BJ121" s="1402" t="n">
        <v>2005</v>
      </c>
      <c r="BK121" s="1400">
        <f>BI121</f>
        <v/>
      </c>
      <c r="BL121" s="1409">
        <f>BJ121</f>
        <v/>
      </c>
      <c r="BM121" s="1378" t="inlineStr">
        <is>
          <t>.</t>
        </is>
      </c>
      <c r="BN121" s="1411" t="inlineStr">
        <is>
          <t>B</t>
        </is>
      </c>
      <c r="BO121" s="1400">
        <f>BN121</f>
        <v/>
      </c>
      <c r="BP121" s="1398" t="inlineStr">
        <is>
          <t>.</t>
        </is>
      </c>
      <c r="BQ121" s="1400">
        <f>IF(BR121&lt;&gt;"",BQ120+1,BQ120)</f>
        <v/>
      </c>
      <c r="BR121" s="1411" t="inlineStr">
        <is>
          <t>Washington</t>
        </is>
      </c>
      <c r="BS121" s="1411" t="inlineStr">
        <is>
          <t>London</t>
        </is>
      </c>
      <c r="BT121" s="1412" t="inlineStr">
        <is>
          <t>Washington-London</t>
        </is>
      </c>
      <c r="BU121" s="1412" t="n">
        <v>37970</v>
      </c>
      <c r="BV121" s="1398" t="inlineStr">
        <is>
          <t>.</t>
        </is>
      </c>
      <c r="BW121" s="1392" t="n"/>
      <c r="BX121" s="1392" t="n"/>
      <c r="BY121" s="1392" t="n"/>
      <c r="BZ121" s="1416" t="n"/>
      <c r="CA121" s="1392" t="n"/>
      <c r="CB121" s="1398" t="inlineStr">
        <is>
          <t>.</t>
        </is>
      </c>
      <c r="CC121" s="1400">
        <f>IF(CD121&lt;&gt;"",CC120+1,CC120)</f>
        <v/>
      </c>
      <c r="CD121" s="1411" t="inlineStr">
        <is>
          <t>Salto Grande</t>
        </is>
      </c>
      <c r="CE121" s="1412" t="n">
        <v>39798</v>
      </c>
      <c r="CF121" s="1412" t="n">
        <v>39804</v>
      </c>
      <c r="CG121" s="1415">
        <f>CF121-CE121</f>
        <v/>
      </c>
      <c r="CH121" s="1398" t="inlineStr">
        <is>
          <t>.</t>
        </is>
      </c>
      <c r="CI121" s="1392" t="n"/>
      <c r="CJ121" s="1392" t="n"/>
      <c r="CK121" s="1392" t="n"/>
      <c r="CL121" s="1392" t="n"/>
    </row>
    <row r="122">
      <c r="A122" s="5" t="inlineStr">
        <is>
          <t>.</t>
        </is>
      </c>
      <c r="B122" s="5" t="inlineStr">
        <is>
          <t>.</t>
        </is>
      </c>
      <c r="C122" s="1378">
        <f>IF(raw[[#This Row],[city]]="","-",IF(raw[[#This Row],[city]]="TODAY","-",C121+1))</f>
        <v/>
      </c>
      <c r="D122" s="1393" t="inlineStr">
        <is>
          <t>SSA</t>
        </is>
      </c>
      <c r="E122" s="1394" t="n">
        <v>31048</v>
      </c>
      <c r="F122" s="1394" t="n">
        <v>31413</v>
      </c>
      <c r="G122" s="1393" t="inlineStr">
        <is>
          <t>-</t>
        </is>
      </c>
      <c r="H122" s="1393">
        <f>H121</f>
        <v/>
      </c>
      <c r="I122" s="1393" t="inlineStr">
        <is>
          <t>-</t>
        </is>
      </c>
      <c r="J122" s="1393" t="inlineStr">
        <is>
          <t>REV</t>
        </is>
      </c>
      <c r="K122" s="1395">
        <f>IF(raw[[#This Row],[city]]&lt;&gt;"",_xlfn.XLOOKUP($D122,ccc[city],ccc[prov],"-"),"-")</f>
        <v/>
      </c>
      <c r="L122" s="1395">
        <f>IF(raw[[#This Row],[city]]&lt;&gt;"",_xlfn.XLOOKUP($D122,ccc[city],ccc[ctry],"-"),"-")</f>
        <v/>
      </c>
      <c r="M122" s="1395">
        <f>IF(raw[[#This Row],[city]]&lt;&gt;"",_xlfn.XLOOKUP($D122,ccc[city],ccc[cont],"-"),"-")</f>
        <v/>
      </c>
      <c r="N122" s="1396">
        <f>IF(raw[[#This Row],[city]]="","-",IF(raw[[#This Row],[cont]]="B",raw[[#This Row],[cont]],"W"))</f>
        <v/>
      </c>
      <c r="O122" s="1397">
        <f>IF(raw[[#This Row],[out]]=0,0,IF(raw[[#This Row],[out]]=raw[[#This Row],[in]],0.01,raw[[#This Row],[out]]-raw[[#This Row],[in]]))</f>
        <v/>
      </c>
      <c r="P122" s="1397">
        <f>IF(raw[[#This Row],[in]]=0,0,MONTH(raw[[#This Row],[in]]))</f>
        <v/>
      </c>
      <c r="Q122" s="1397">
        <f>IF(raw[[#This Row],[in]]=0,0,YEAR(raw[[#This Row],[in]]))</f>
        <v/>
      </c>
      <c r="R122" s="1397">
        <f>INT(raw[[#This Row],[yr]]/10)*10</f>
        <v/>
      </c>
      <c r="S122" s="1395">
        <f>IF(raw[[#This Row],[city]]="","-",IF(raw[[#This Row],[city]]&lt;&gt;_xlfn.XLOOKUP(raw[[#This Row],[home]],homes[home],homes[city],"-"),1,0))</f>
        <v/>
      </c>
      <c r="T122" s="1398" t="inlineStr">
        <is>
          <t>.</t>
        </is>
      </c>
      <c r="U122" s="1399">
        <f>IF(raw[[#This Row],[wb]]="w",raw[[#This Row],[stay]]+U121,U121)</f>
        <v/>
      </c>
      <c r="V122" s="1400">
        <f>IF(raw[[#This Row],[out]]=0,V121,(raw[[#This Row],[out]]-E$5))</f>
        <v/>
      </c>
      <c r="W122" s="1401">
        <f>U122/V122</f>
        <v/>
      </c>
      <c r="X122" s="1378" t="inlineStr">
        <is>
          <t>.</t>
        </is>
      </c>
      <c r="Y122" s="1402">
        <f/>
        <v/>
      </c>
      <c r="Z122" s="1403">
        <f/>
        <v/>
      </c>
      <c r="AA122" s="1403">
        <f/>
        <v/>
      </c>
      <c r="AB122" s="1400">
        <f t="array" ref="AB122">_xlfn.LET(_xlpm.S,_xlfn.ANCHORARRAY($Y$4),_xlpm.r,ROWS(stayCity[[#Headers],[city]]:stayCity[[#This Row],[city]])-1,IF(_xlpm.r&lt;=ROWS(_xlpm.S),INDEX(_xlpm.S,_xlpm.r,1),""))</f>
        <v/>
      </c>
      <c r="AC122" s="1405">
        <f t="array" ref="AC122">_xlfn.LET(_xlpm.S,_xlfn.ANCHORARRAY($Y$4),_xlpm.r,ROWS(stayCity[[#Headers],[city]]:stayCity[[#This Row],[city]])-1,IF(_xlpm.r&lt;=ROWS(_xlpm.S),INDEX(_xlpm.S,_xlpm.r,2),""))</f>
        <v/>
      </c>
      <c r="AD122" s="1405">
        <f t="array" ref="AD122">_xlfn.LET(_xlpm.S,_xlfn.ANCHORARRAY($Y$4),_xlpm.r,ROWS(stayCity[[#Headers],[city]]:stayCity[[#This Row],[city]])-1,IF(_xlpm.r&lt;=ROWS(_xlpm.S),INDEX(_xlpm.S,_xlpm.r,3),""))</f>
        <v/>
      </c>
      <c r="AE122" s="1400">
        <f>IF(stayCity[[#This Row],[out]]&lt;&gt;"",stayCity[[#This Row],[out]]-stayCity[[#This Row],[in]],"-")</f>
        <v/>
      </c>
      <c r="AF122" s="1406">
        <f>IF(Y122="","-",YEAR(stayCity[[#This Row],[in]]))</f>
        <v/>
      </c>
      <c r="AG122" s="1398" t="inlineStr">
        <is>
          <t>.</t>
        </is>
      </c>
      <c r="AH122" s="1402">
        <f/>
        <v/>
      </c>
      <c r="AI122" s="1403">
        <f/>
        <v/>
      </c>
      <c r="AJ122" s="1403">
        <f/>
        <v/>
      </c>
      <c r="AK122" s="1400">
        <f>IF(AH122="","-",AH122)</f>
        <v/>
      </c>
      <c r="AL122" s="1405">
        <f>AI122</f>
        <v/>
      </c>
      <c r="AM122" s="1405">
        <f>AJ122</f>
        <v/>
      </c>
      <c r="AN122" s="1400">
        <f>stayCtry[[#This Row],[out]]-stayCtry[[#This Row],[in]]</f>
        <v/>
      </c>
      <c r="AO122" s="1406">
        <f>IF(AI122&lt;&gt;"",AO121+1,AO121)</f>
        <v/>
      </c>
      <c r="AP122" s="1398" t="inlineStr">
        <is>
          <t>.</t>
        </is>
      </c>
      <c r="AQ122" s="1402">
        <f/>
        <v/>
      </c>
      <c r="AR122" s="1403">
        <f/>
        <v/>
      </c>
      <c r="AS122" s="1403">
        <f/>
        <v/>
      </c>
      <c r="AT122" s="1400">
        <f>AQ122</f>
        <v/>
      </c>
      <c r="AU122" s="1405">
        <f>AR122</f>
        <v/>
      </c>
      <c r="AV122" s="1405">
        <f>AS122</f>
        <v/>
      </c>
      <c r="AW122" s="1400">
        <f>stayCont[[#This Row],[out]]-stayCont[[#This Row],[in]]</f>
        <v/>
      </c>
      <c r="AX122" s="1406">
        <f>IF(AR122&lt;&gt;"",AX121+1,AX121)</f>
        <v/>
      </c>
      <c r="AY122" s="1398" t="inlineStr">
        <is>
          <t>.</t>
        </is>
      </c>
      <c r="AZ122" s="1402" t="n"/>
      <c r="BA122" s="1403" t="n"/>
      <c r="BB122" s="1403" t="n"/>
      <c r="BC122" s="1405">
        <f>AZ122</f>
        <v/>
      </c>
      <c r="BD122" s="1405">
        <f>BA122</f>
        <v/>
      </c>
      <c r="BE122" s="1405">
        <f>BB122</f>
        <v/>
      </c>
      <c r="BF122" s="1400">
        <f>stayWB[[#This Row],[out]]-stayWB[[#This Row],[in]]</f>
        <v/>
      </c>
      <c r="BG122" s="1400">
        <f>IF(BB122&lt;&gt;"",BG121+1,BG121)</f>
        <v/>
      </c>
      <c r="BH122" s="1398" t="inlineStr">
        <is>
          <t>.</t>
        </is>
      </c>
      <c r="BI122" s="1402" t="inlineStr">
        <is>
          <t>PRT</t>
        </is>
      </c>
      <c r="BJ122" s="1402" t="n">
        <v>2005</v>
      </c>
      <c r="BK122" s="1400">
        <f>BI122</f>
        <v/>
      </c>
      <c r="BL122" s="1409">
        <f>BJ122</f>
        <v/>
      </c>
      <c r="BM122" s="1378" t="inlineStr">
        <is>
          <t>.</t>
        </is>
      </c>
      <c r="BN122" s="1411" t="inlineStr">
        <is>
          <t>C</t>
        </is>
      </c>
      <c r="BO122" s="1400">
        <f>BN122</f>
        <v/>
      </c>
      <c r="BP122" s="1398" t="inlineStr">
        <is>
          <t>.</t>
        </is>
      </c>
      <c r="BQ122" s="1400">
        <f>IF(BR122&lt;&gt;"",BQ121+1,BQ121)</f>
        <v/>
      </c>
      <c r="BR122" s="1411" t="inlineStr">
        <is>
          <t>London</t>
        </is>
      </c>
      <c r="BS122" s="1411" t="inlineStr">
        <is>
          <t>Geneve</t>
        </is>
      </c>
      <c r="BT122" s="1412" t="inlineStr">
        <is>
          <t>London-Geneve</t>
        </is>
      </c>
      <c r="BU122" s="1412" t="n">
        <v>37989</v>
      </c>
      <c r="BV122" s="1398" t="inlineStr">
        <is>
          <t>.</t>
        </is>
      </c>
      <c r="BW122" s="1392" t="n"/>
      <c r="BX122" s="1392" t="n"/>
      <c r="BY122" s="1392" t="n"/>
      <c r="BZ122" s="1416" t="n"/>
      <c r="CA122" s="1392" t="n"/>
      <c r="CB122" s="1398" t="inlineStr">
        <is>
          <t>.</t>
        </is>
      </c>
      <c r="CC122" s="1400">
        <f>IF(CD122&lt;&gt;"",CC121+1,CC121)</f>
        <v/>
      </c>
      <c r="CD122" s="1411" t="inlineStr">
        <is>
          <t>Salto Grande</t>
        </is>
      </c>
      <c r="CE122" s="1412" t="n">
        <v>39889</v>
      </c>
      <c r="CF122" s="1412" t="n">
        <v>39910</v>
      </c>
      <c r="CG122" s="1415">
        <f>CF122-CE122</f>
        <v/>
      </c>
      <c r="CH122" s="1398" t="inlineStr">
        <is>
          <t>.</t>
        </is>
      </c>
      <c r="CI122" s="1392" t="n"/>
      <c r="CJ122" s="1392" t="n"/>
      <c r="CK122" s="1392" t="n"/>
      <c r="CL122" s="1392" t="n"/>
    </row>
    <row r="123">
      <c r="A123" s="5" t="inlineStr">
        <is>
          <t>.</t>
        </is>
      </c>
      <c r="B123" s="5" t="inlineStr">
        <is>
          <t>.</t>
        </is>
      </c>
      <c r="C123" s="1378">
        <f>IF(raw[[#This Row],[city]]="","-",IF(raw[[#This Row],[city]]="TODAY","-",C122+1))</f>
        <v/>
      </c>
      <c r="D123" s="1393" t="inlineStr">
        <is>
          <t>SSA</t>
        </is>
      </c>
      <c r="E123" s="1394" t="n">
        <v>31413</v>
      </c>
      <c r="F123" s="1394" t="n">
        <v>31778</v>
      </c>
      <c r="G123" s="1393" t="inlineStr">
        <is>
          <t>-</t>
        </is>
      </c>
      <c r="H123" s="1393">
        <f>H122</f>
        <v/>
      </c>
      <c r="I123" s="1393" t="inlineStr">
        <is>
          <t>-</t>
        </is>
      </c>
      <c r="J123" s="1393" t="inlineStr">
        <is>
          <t>REV</t>
        </is>
      </c>
      <c r="K123" s="1395">
        <f>IF(raw[[#This Row],[city]]&lt;&gt;"",_xlfn.XLOOKUP($D123,ccc[city],ccc[prov],"-"),"-")</f>
        <v/>
      </c>
      <c r="L123" s="1395">
        <f>IF(raw[[#This Row],[city]]&lt;&gt;"",_xlfn.XLOOKUP($D123,ccc[city],ccc[ctry],"-"),"-")</f>
        <v/>
      </c>
      <c r="M123" s="1395">
        <f>IF(raw[[#This Row],[city]]&lt;&gt;"",_xlfn.XLOOKUP($D123,ccc[city],ccc[cont],"-"),"-")</f>
        <v/>
      </c>
      <c r="N123" s="1396">
        <f>IF(raw[[#This Row],[city]]="","-",IF(raw[[#This Row],[cont]]="B",raw[[#This Row],[cont]],"W"))</f>
        <v/>
      </c>
      <c r="O123" s="1397">
        <f>IF(raw[[#This Row],[out]]=0,0,IF(raw[[#This Row],[out]]=raw[[#This Row],[in]],0.01,raw[[#This Row],[out]]-raw[[#This Row],[in]]))</f>
        <v/>
      </c>
      <c r="P123" s="1397">
        <f>IF(raw[[#This Row],[in]]=0,0,MONTH(raw[[#This Row],[in]]))</f>
        <v/>
      </c>
      <c r="Q123" s="1397">
        <f>IF(raw[[#This Row],[in]]=0,0,YEAR(raw[[#This Row],[in]]))</f>
        <v/>
      </c>
      <c r="R123" s="1397">
        <f>INT(raw[[#This Row],[yr]]/10)*10</f>
        <v/>
      </c>
      <c r="S123" s="1395">
        <f>IF(raw[[#This Row],[city]]="","-",IF(raw[[#This Row],[city]]&lt;&gt;_xlfn.XLOOKUP(raw[[#This Row],[home]],homes[home],homes[city],"-"),1,0))</f>
        <v/>
      </c>
      <c r="T123" s="1398" t="inlineStr">
        <is>
          <t>.</t>
        </is>
      </c>
      <c r="U123" s="1399">
        <f>IF(raw[[#This Row],[wb]]="w",raw[[#This Row],[stay]]+U122,U122)</f>
        <v/>
      </c>
      <c r="V123" s="1400">
        <f>IF(raw[[#This Row],[out]]=0,V122,(raw[[#This Row],[out]]-E$5))</f>
        <v/>
      </c>
      <c r="W123" s="1401">
        <f>U123/V123</f>
        <v/>
      </c>
      <c r="X123" s="1378" t="inlineStr">
        <is>
          <t>.</t>
        </is>
      </c>
      <c r="Y123" s="1402">
        <f/>
        <v/>
      </c>
      <c r="Z123" s="1403">
        <f/>
        <v/>
      </c>
      <c r="AA123" s="1403">
        <f/>
        <v/>
      </c>
      <c r="AB123" s="1400">
        <f t="array" ref="AB123">_xlfn.LET(_xlpm.S,_xlfn.ANCHORARRAY($Y$4),_xlpm.r,ROWS(stayCity[[#Headers],[city]]:stayCity[[#This Row],[city]])-1,IF(_xlpm.r&lt;=ROWS(_xlpm.S),INDEX(_xlpm.S,_xlpm.r,1),""))</f>
        <v/>
      </c>
      <c r="AC123" s="1405">
        <f t="array" ref="AC123">_xlfn.LET(_xlpm.S,_xlfn.ANCHORARRAY($Y$4),_xlpm.r,ROWS(stayCity[[#Headers],[city]]:stayCity[[#This Row],[city]])-1,IF(_xlpm.r&lt;=ROWS(_xlpm.S),INDEX(_xlpm.S,_xlpm.r,2),""))</f>
        <v/>
      </c>
      <c r="AD123" s="1405">
        <f t="array" ref="AD123">_xlfn.LET(_xlpm.S,_xlfn.ANCHORARRAY($Y$4),_xlpm.r,ROWS(stayCity[[#Headers],[city]]:stayCity[[#This Row],[city]])-1,IF(_xlpm.r&lt;=ROWS(_xlpm.S),INDEX(_xlpm.S,_xlpm.r,3),""))</f>
        <v/>
      </c>
      <c r="AE123" s="1400">
        <f>IF(stayCity[[#This Row],[out]]&lt;&gt;"",stayCity[[#This Row],[out]]-stayCity[[#This Row],[in]],"-")</f>
        <v/>
      </c>
      <c r="AF123" s="1406">
        <f>IF(Y123="","-",YEAR(stayCity[[#This Row],[in]]))</f>
        <v/>
      </c>
      <c r="AG123" s="1398" t="inlineStr">
        <is>
          <t>.</t>
        </is>
      </c>
      <c r="AH123" s="1402">
        <f/>
        <v/>
      </c>
      <c r="AI123" s="1403">
        <f/>
        <v/>
      </c>
      <c r="AJ123" s="1403">
        <f/>
        <v/>
      </c>
      <c r="AK123" s="1400">
        <f>IF(AH123="","-",AH123)</f>
        <v/>
      </c>
      <c r="AL123" s="1405">
        <f>AI123</f>
        <v/>
      </c>
      <c r="AM123" s="1405">
        <f>AJ123</f>
        <v/>
      </c>
      <c r="AN123" s="1400">
        <f>stayCtry[[#This Row],[out]]-stayCtry[[#This Row],[in]]</f>
        <v/>
      </c>
      <c r="AO123" s="1406">
        <f>IF(AI123&lt;&gt;"",AO122+1,AO122)</f>
        <v/>
      </c>
      <c r="AP123" s="1398" t="inlineStr">
        <is>
          <t>.</t>
        </is>
      </c>
      <c r="AQ123" s="1402">
        <f/>
        <v/>
      </c>
      <c r="AR123" s="1403">
        <f/>
        <v/>
      </c>
      <c r="AS123" s="1403">
        <f/>
        <v/>
      </c>
      <c r="AT123" s="1400">
        <f>AQ123</f>
        <v/>
      </c>
      <c r="AU123" s="1405">
        <f>AR123</f>
        <v/>
      </c>
      <c r="AV123" s="1405">
        <f>AS123</f>
        <v/>
      </c>
      <c r="AW123" s="1400">
        <f>stayCont[[#This Row],[out]]-stayCont[[#This Row],[in]]</f>
        <v/>
      </c>
      <c r="AX123" s="1406">
        <f>IF(AR123&lt;&gt;"",AX122+1,AX122)</f>
        <v/>
      </c>
      <c r="AY123" s="1398" t="inlineStr">
        <is>
          <t>.</t>
        </is>
      </c>
      <c r="AZ123" s="1402" t="n"/>
      <c r="BA123" s="1403" t="n"/>
      <c r="BB123" s="1403" t="n"/>
      <c r="BC123" s="1405">
        <f>AZ123</f>
        <v/>
      </c>
      <c r="BD123" s="1405">
        <f>BA123</f>
        <v/>
      </c>
      <c r="BE123" s="1405">
        <f>BB123</f>
        <v/>
      </c>
      <c r="BF123" s="1400">
        <f>stayWB[[#This Row],[out]]-stayWB[[#This Row],[in]]</f>
        <v/>
      </c>
      <c r="BG123" s="1400">
        <f>IF(BB123&lt;&gt;"",BG122+1,BG122)</f>
        <v/>
      </c>
      <c r="BH123" s="1398" t="inlineStr">
        <is>
          <t>.</t>
        </is>
      </c>
      <c r="BI123" s="1402" t="inlineStr">
        <is>
          <t>BRA</t>
        </is>
      </c>
      <c r="BJ123" s="1402" t="n">
        <v>2005</v>
      </c>
      <c r="BK123" s="1400">
        <f>BI123</f>
        <v/>
      </c>
      <c r="BL123" s="1409">
        <f>BJ123</f>
        <v/>
      </c>
      <c r="BM123" s="1378" t="inlineStr">
        <is>
          <t>.</t>
        </is>
      </c>
      <c r="BN123" s="1411" t="inlineStr">
        <is>
          <t>N</t>
        </is>
      </c>
      <c r="BO123" s="1400">
        <f>BN123</f>
        <v/>
      </c>
      <c r="BP123" s="1398" t="inlineStr">
        <is>
          <t>.</t>
        </is>
      </c>
      <c r="BQ123" s="1400">
        <f>IF(BR123&lt;&gt;"",BQ122+1,BQ122)</f>
        <v/>
      </c>
      <c r="BR123" s="1411" t="inlineStr">
        <is>
          <t>Geneve</t>
        </is>
      </c>
      <c r="BS123" s="1411" t="inlineStr">
        <is>
          <t>London</t>
        </is>
      </c>
      <c r="BT123" s="1412" t="inlineStr">
        <is>
          <t>Geneve-London</t>
        </is>
      </c>
      <c r="BU123" s="1412" t="n">
        <v>37997</v>
      </c>
      <c r="BV123" s="1398" t="inlineStr">
        <is>
          <t>.</t>
        </is>
      </c>
      <c r="BW123" s="1392" t="n"/>
      <c r="BX123" s="1392" t="n"/>
      <c r="BY123" s="1392" t="n"/>
      <c r="BZ123" s="1416" t="n"/>
      <c r="CA123" s="1392" t="n"/>
      <c r="CB123" s="1398" t="inlineStr">
        <is>
          <t>.</t>
        </is>
      </c>
      <c r="CC123" s="1400">
        <f>IF(CD123&lt;&gt;"",CC122+1,CC122)</f>
        <v/>
      </c>
      <c r="CD123" s="1411" t="inlineStr">
        <is>
          <t>Cruise/Nina</t>
        </is>
      </c>
      <c r="CE123" s="1412" t="n">
        <v>40060</v>
      </c>
      <c r="CF123" s="1412" t="n">
        <v>40072</v>
      </c>
      <c r="CG123" s="1415">
        <f>CF123-CE123</f>
        <v/>
      </c>
      <c r="CH123" s="1398" t="inlineStr">
        <is>
          <t>.</t>
        </is>
      </c>
      <c r="CI123" s="1392" t="n"/>
      <c r="CJ123" s="1392" t="n"/>
      <c r="CK123" s="1392" t="n"/>
      <c r="CL123" s="1392" t="n"/>
    </row>
    <row r="124">
      <c r="A124" s="5" t="inlineStr">
        <is>
          <t>.</t>
        </is>
      </c>
      <c r="B124" s="5" t="inlineStr">
        <is>
          <t>.</t>
        </is>
      </c>
      <c r="C124" s="1378">
        <f>IF(raw[[#This Row],[city]]="","-",IF(raw[[#This Row],[city]]="TODAY","-",C123+1))</f>
        <v/>
      </c>
      <c r="D124" s="1393" t="inlineStr">
        <is>
          <t>SSA</t>
        </is>
      </c>
      <c r="E124" s="1394" t="n">
        <v>31778</v>
      </c>
      <c r="F124" s="1394" t="n">
        <v>32017</v>
      </c>
      <c r="G124" s="1393" t="n">
        <v>1</v>
      </c>
      <c r="H124" s="1393">
        <f>H123</f>
        <v/>
      </c>
      <c r="I124" s="1393" t="inlineStr">
        <is>
          <t>-</t>
        </is>
      </c>
      <c r="J124" s="1393" t="inlineStr">
        <is>
          <t>REV</t>
        </is>
      </c>
      <c r="K124" s="1395">
        <f>IF(raw[[#This Row],[city]]&lt;&gt;"",_xlfn.XLOOKUP($D124,ccc[city],ccc[prov],"-"),"-")</f>
        <v/>
      </c>
      <c r="L124" s="1395">
        <f>IF(raw[[#This Row],[city]]&lt;&gt;"",_xlfn.XLOOKUP($D124,ccc[city],ccc[ctry],"-"),"-")</f>
        <v/>
      </c>
      <c r="M124" s="1395">
        <f>IF(raw[[#This Row],[city]]&lt;&gt;"",_xlfn.XLOOKUP($D124,ccc[city],ccc[cont],"-"),"-")</f>
        <v/>
      </c>
      <c r="N124" s="1396">
        <f>IF(raw[[#This Row],[city]]="","-",IF(raw[[#This Row],[cont]]="B",raw[[#This Row],[cont]],"W"))</f>
        <v/>
      </c>
      <c r="O124" s="1397">
        <f>IF(raw[[#This Row],[out]]=0,0,IF(raw[[#This Row],[out]]=raw[[#This Row],[in]],0.01,raw[[#This Row],[out]]-raw[[#This Row],[in]]))</f>
        <v/>
      </c>
      <c r="P124" s="1397">
        <f>IF(raw[[#This Row],[in]]=0,0,MONTH(raw[[#This Row],[in]]))</f>
        <v/>
      </c>
      <c r="Q124" s="1397">
        <f>IF(raw[[#This Row],[in]]=0,0,YEAR(raw[[#This Row],[in]]))</f>
        <v/>
      </c>
      <c r="R124" s="1397">
        <f>INT(raw[[#This Row],[yr]]/10)*10</f>
        <v/>
      </c>
      <c r="S124" s="1395">
        <f>IF(raw[[#This Row],[city]]="","-",IF(raw[[#This Row],[city]]&lt;&gt;_xlfn.XLOOKUP(raw[[#This Row],[home]],homes[home],homes[city],"-"),1,0))</f>
        <v/>
      </c>
      <c r="T124" s="1398" t="inlineStr">
        <is>
          <t>.</t>
        </is>
      </c>
      <c r="U124" s="1399">
        <f>IF(raw[[#This Row],[wb]]="w",raw[[#This Row],[stay]]+U123,U123)</f>
        <v/>
      </c>
      <c r="V124" s="1400">
        <f>IF(raw[[#This Row],[out]]=0,V123,(raw[[#This Row],[out]]-E$5))</f>
        <v/>
      </c>
      <c r="W124" s="1401">
        <f>U124/V124</f>
        <v/>
      </c>
      <c r="X124" s="1378" t="inlineStr">
        <is>
          <t>.</t>
        </is>
      </c>
      <c r="Y124" s="1402">
        <f/>
        <v/>
      </c>
      <c r="Z124" s="1403">
        <f/>
        <v/>
      </c>
      <c r="AA124" s="1403">
        <f/>
        <v/>
      </c>
      <c r="AB124" s="1400">
        <f t="array" ref="AB124">_xlfn.LET(_xlpm.S,_xlfn.ANCHORARRAY($Y$4),_xlpm.r,ROWS(stayCity[[#Headers],[city]]:stayCity[[#This Row],[city]])-1,IF(_xlpm.r&lt;=ROWS(_xlpm.S),INDEX(_xlpm.S,_xlpm.r,1),""))</f>
        <v/>
      </c>
      <c r="AC124" s="1405">
        <f t="array" ref="AC124">_xlfn.LET(_xlpm.S,_xlfn.ANCHORARRAY($Y$4),_xlpm.r,ROWS(stayCity[[#Headers],[city]]:stayCity[[#This Row],[city]])-1,IF(_xlpm.r&lt;=ROWS(_xlpm.S),INDEX(_xlpm.S,_xlpm.r,2),""))</f>
        <v/>
      </c>
      <c r="AD124" s="1405">
        <f t="array" ref="AD124">_xlfn.LET(_xlpm.S,_xlfn.ANCHORARRAY($Y$4),_xlpm.r,ROWS(stayCity[[#Headers],[city]]:stayCity[[#This Row],[city]])-1,IF(_xlpm.r&lt;=ROWS(_xlpm.S),INDEX(_xlpm.S,_xlpm.r,3),""))</f>
        <v/>
      </c>
      <c r="AE124" s="1400">
        <f>IF(stayCity[[#This Row],[out]]&lt;&gt;"",stayCity[[#This Row],[out]]-stayCity[[#This Row],[in]],"-")</f>
        <v/>
      </c>
      <c r="AF124" s="1406">
        <f>IF(Y124="","-",YEAR(stayCity[[#This Row],[in]]))</f>
        <v/>
      </c>
      <c r="AG124" s="1398" t="inlineStr">
        <is>
          <t>.</t>
        </is>
      </c>
      <c r="AH124" s="1402">
        <f/>
        <v/>
      </c>
      <c r="AI124" s="1403">
        <f/>
        <v/>
      </c>
      <c r="AJ124" s="1403">
        <f/>
        <v/>
      </c>
      <c r="AK124" s="1400">
        <f>IF(AH124="","-",AH124)</f>
        <v/>
      </c>
      <c r="AL124" s="1405">
        <f>AI124</f>
        <v/>
      </c>
      <c r="AM124" s="1405">
        <f>AJ124</f>
        <v/>
      </c>
      <c r="AN124" s="1400">
        <f>stayCtry[[#This Row],[out]]-stayCtry[[#This Row],[in]]</f>
        <v/>
      </c>
      <c r="AO124" s="1406">
        <f>IF(AI124&lt;&gt;"",AO123+1,AO123)</f>
        <v/>
      </c>
      <c r="AP124" s="1398" t="inlineStr">
        <is>
          <t>.</t>
        </is>
      </c>
      <c r="AQ124" s="1402">
        <f/>
        <v/>
      </c>
      <c r="AR124" s="1403">
        <f/>
        <v/>
      </c>
      <c r="AS124" s="1403">
        <f/>
        <v/>
      </c>
      <c r="AT124" s="1400">
        <f>AQ124</f>
        <v/>
      </c>
      <c r="AU124" s="1405">
        <f>AR124</f>
        <v/>
      </c>
      <c r="AV124" s="1405">
        <f>AS124</f>
        <v/>
      </c>
      <c r="AW124" s="1400">
        <f>stayCont[[#This Row],[out]]-stayCont[[#This Row],[in]]</f>
        <v/>
      </c>
      <c r="AX124" s="1406">
        <f>IF(AR124&lt;&gt;"",AX123+1,AX123)</f>
        <v/>
      </c>
      <c r="AY124" s="1398" t="inlineStr">
        <is>
          <t>.</t>
        </is>
      </c>
      <c r="AZ124" s="1402" t="n"/>
      <c r="BA124" s="1403" t="n"/>
      <c r="BB124" s="1403" t="n"/>
      <c r="BC124" s="1405">
        <f>AZ124</f>
        <v/>
      </c>
      <c r="BD124" s="1405">
        <f>BA124</f>
        <v/>
      </c>
      <c r="BE124" s="1405">
        <f>BB124</f>
        <v/>
      </c>
      <c r="BF124" s="1400">
        <f>stayWB[[#This Row],[out]]-stayWB[[#This Row],[in]]</f>
        <v/>
      </c>
      <c r="BG124" s="1400">
        <f>IF(BB124&lt;&gt;"",BG123+1,BG123)</f>
        <v/>
      </c>
      <c r="BH124" s="1398" t="inlineStr">
        <is>
          <t>.</t>
        </is>
      </c>
      <c r="BI124" s="1402" t="inlineStr">
        <is>
          <t>USA</t>
        </is>
      </c>
      <c r="BJ124" s="1402" t="n">
        <v>2006</v>
      </c>
      <c r="BK124" s="1400">
        <f>BI124</f>
        <v/>
      </c>
      <c r="BL124" s="1409">
        <f>BJ124</f>
        <v/>
      </c>
      <c r="BM124" s="1378" t="inlineStr">
        <is>
          <t>.</t>
        </is>
      </c>
      <c r="BN124" s="1411" t="inlineStr">
        <is>
          <t>Z</t>
        </is>
      </c>
      <c r="BO124" s="1400">
        <f>BN124</f>
        <v/>
      </c>
      <c r="BP124" s="1398" t="inlineStr">
        <is>
          <t>.</t>
        </is>
      </c>
      <c r="BQ124" s="1400">
        <f>IF(BR124&lt;&gt;"",BQ123+1,BQ123)</f>
        <v/>
      </c>
      <c r="BR124" s="1411" t="inlineStr">
        <is>
          <t>London</t>
        </is>
      </c>
      <c r="BS124" s="1411" t="inlineStr">
        <is>
          <t>Washington</t>
        </is>
      </c>
      <c r="BT124" s="1412" t="inlineStr">
        <is>
          <t>London-Washington</t>
        </is>
      </c>
      <c r="BU124" s="1412" t="n">
        <v>37998</v>
      </c>
      <c r="BV124" s="1398" t="inlineStr">
        <is>
          <t>.</t>
        </is>
      </c>
      <c r="BW124" s="1392" t="n"/>
      <c r="BX124" s="1392" t="n"/>
      <c r="BY124" s="1392" t="n"/>
      <c r="BZ124" s="1416" t="n"/>
      <c r="CA124" s="1392" t="n"/>
      <c r="CB124" s="1398" t="inlineStr">
        <is>
          <t>.</t>
        </is>
      </c>
      <c r="CC124" s="1400">
        <f>IF(CD124&lt;&gt;"",CC123+1,CC123)</f>
        <v/>
      </c>
      <c r="CD124" s="1411" t="inlineStr">
        <is>
          <t>Angela/Bobigny</t>
        </is>
      </c>
      <c r="CE124" s="1412" t="n">
        <v>40096</v>
      </c>
      <c r="CF124" s="1412" t="n">
        <v>40118</v>
      </c>
      <c r="CG124" s="1415">
        <f>CF124-CE124</f>
        <v/>
      </c>
      <c r="CH124" s="1398" t="inlineStr">
        <is>
          <t>.</t>
        </is>
      </c>
      <c r="CI124" s="1392" t="n"/>
      <c r="CJ124" s="1392" t="n"/>
      <c r="CK124" s="1392" t="n"/>
      <c r="CL124" s="1392" t="n"/>
    </row>
    <row r="125">
      <c r="A125" s="5" t="inlineStr">
        <is>
          <t>.</t>
        </is>
      </c>
      <c r="B125" s="5" t="inlineStr">
        <is>
          <t>.</t>
        </is>
      </c>
      <c r="C125" s="1378">
        <f>IF(raw[[#This Row],[city]]="","-",IF(raw[[#This Row],[city]]="TODAY","-",C124+1))</f>
        <v/>
      </c>
      <c r="D125" s="1393" t="inlineStr">
        <is>
          <t>Recife</t>
        </is>
      </c>
      <c r="E125" s="1394" t="n">
        <v>32017</v>
      </c>
      <c r="F125" s="1394" t="n">
        <v>32017</v>
      </c>
      <c r="G125" s="1393" t="inlineStr">
        <is>
          <t>-</t>
        </is>
      </c>
      <c r="H125" s="1393">
        <f>H124</f>
        <v/>
      </c>
      <c r="I125" s="1393" t="inlineStr">
        <is>
          <t>-</t>
        </is>
      </c>
      <c r="J125" s="1393" t="inlineStr">
        <is>
          <t>-</t>
        </is>
      </c>
      <c r="K125" s="1395">
        <f>IF(raw[[#This Row],[city]]&lt;&gt;"",_xlfn.XLOOKUP($D125,ccc[city],ccc[prov],"-"),"-")</f>
        <v/>
      </c>
      <c r="L125" s="1395">
        <f>IF(raw[[#This Row],[city]]&lt;&gt;"",_xlfn.XLOOKUP($D125,ccc[city],ccc[ctry],"-"),"-")</f>
        <v/>
      </c>
      <c r="M125" s="1395">
        <f>IF(raw[[#This Row],[city]]&lt;&gt;"",_xlfn.XLOOKUP($D125,ccc[city],ccc[cont],"-"),"-")</f>
        <v/>
      </c>
      <c r="N125" s="1396">
        <f>IF(raw[[#This Row],[city]]="","-",IF(raw[[#This Row],[cont]]="B",raw[[#This Row],[cont]],"W"))</f>
        <v/>
      </c>
      <c r="O125" s="1397">
        <f>IF(raw[[#This Row],[out]]=0,0,IF(raw[[#This Row],[out]]=raw[[#This Row],[in]],0.01,raw[[#This Row],[out]]-raw[[#This Row],[in]]))</f>
        <v/>
      </c>
      <c r="P125" s="1397">
        <f>IF(raw[[#This Row],[in]]=0,0,MONTH(raw[[#This Row],[in]]))</f>
        <v/>
      </c>
      <c r="Q125" s="1397">
        <f>IF(raw[[#This Row],[in]]=0,0,YEAR(raw[[#This Row],[in]]))</f>
        <v/>
      </c>
      <c r="R125" s="1397">
        <f>INT(raw[[#This Row],[yr]]/10)*10</f>
        <v/>
      </c>
      <c r="S125" s="1395">
        <f>IF(raw[[#This Row],[city]]="","-",IF(raw[[#This Row],[city]]&lt;&gt;_xlfn.XLOOKUP(raw[[#This Row],[home]],homes[home],homes[city],"-"),1,0))</f>
        <v/>
      </c>
      <c r="T125" s="1398" t="inlineStr">
        <is>
          <t>.</t>
        </is>
      </c>
      <c r="U125" s="1399">
        <f>IF(raw[[#This Row],[wb]]="w",raw[[#This Row],[stay]]+U124,U124)</f>
        <v/>
      </c>
      <c r="V125" s="1400">
        <f>IF(raw[[#This Row],[out]]=0,V124,(raw[[#This Row],[out]]-E$5))</f>
        <v/>
      </c>
      <c r="W125" s="1401">
        <f>U125/V125</f>
        <v/>
      </c>
      <c r="X125" s="1378" t="inlineStr">
        <is>
          <t>.</t>
        </is>
      </c>
      <c r="Y125" s="1402">
        <f/>
        <v/>
      </c>
      <c r="Z125" s="1403">
        <f/>
        <v/>
      </c>
      <c r="AA125" s="1403">
        <f/>
        <v/>
      </c>
      <c r="AB125" s="1400">
        <f t="array" ref="AB125">_xlfn.LET(_xlpm.S,_xlfn.ANCHORARRAY($Y$4),_xlpm.r,ROWS(stayCity[[#Headers],[city]]:stayCity[[#This Row],[city]])-1,IF(_xlpm.r&lt;=ROWS(_xlpm.S),INDEX(_xlpm.S,_xlpm.r,1),""))</f>
        <v/>
      </c>
      <c r="AC125" s="1405">
        <f t="array" ref="AC125">_xlfn.LET(_xlpm.S,_xlfn.ANCHORARRAY($Y$4),_xlpm.r,ROWS(stayCity[[#Headers],[city]]:stayCity[[#This Row],[city]])-1,IF(_xlpm.r&lt;=ROWS(_xlpm.S),INDEX(_xlpm.S,_xlpm.r,2),""))</f>
        <v/>
      </c>
      <c r="AD125" s="1405">
        <f t="array" ref="AD125">_xlfn.LET(_xlpm.S,_xlfn.ANCHORARRAY($Y$4),_xlpm.r,ROWS(stayCity[[#Headers],[city]]:stayCity[[#This Row],[city]])-1,IF(_xlpm.r&lt;=ROWS(_xlpm.S),INDEX(_xlpm.S,_xlpm.r,3),""))</f>
        <v/>
      </c>
      <c r="AE125" s="1400">
        <f>IF(stayCity[[#This Row],[out]]&lt;&gt;"",stayCity[[#This Row],[out]]-stayCity[[#This Row],[in]],"-")</f>
        <v/>
      </c>
      <c r="AF125" s="1406">
        <f>IF(Y125="","-",YEAR(stayCity[[#This Row],[in]]))</f>
        <v/>
      </c>
      <c r="AG125" s="1398" t="inlineStr">
        <is>
          <t>.</t>
        </is>
      </c>
      <c r="AH125" s="1402">
        <f/>
        <v/>
      </c>
      <c r="AI125" s="1403">
        <f/>
        <v/>
      </c>
      <c r="AJ125" s="1403">
        <f/>
        <v/>
      </c>
      <c r="AK125" s="1400">
        <f>IF(AH125="","-",AH125)</f>
        <v/>
      </c>
      <c r="AL125" s="1405">
        <f>AI125</f>
        <v/>
      </c>
      <c r="AM125" s="1405">
        <f>AJ125</f>
        <v/>
      </c>
      <c r="AN125" s="1400">
        <f>stayCtry[[#This Row],[out]]-stayCtry[[#This Row],[in]]</f>
        <v/>
      </c>
      <c r="AO125" s="1406">
        <f>IF(AI125&lt;&gt;"",AO124+1,AO124)</f>
        <v/>
      </c>
      <c r="AP125" s="1398" t="inlineStr">
        <is>
          <t>.</t>
        </is>
      </c>
      <c r="AQ125" s="1402">
        <f/>
        <v/>
      </c>
      <c r="AR125" s="1403">
        <f/>
        <v/>
      </c>
      <c r="AS125" s="1403">
        <f/>
        <v/>
      </c>
      <c r="AT125" s="1400">
        <f>AQ125</f>
        <v/>
      </c>
      <c r="AU125" s="1405">
        <f>AR125</f>
        <v/>
      </c>
      <c r="AV125" s="1405">
        <f>AS125</f>
        <v/>
      </c>
      <c r="AW125" s="1400">
        <f>stayCont[[#This Row],[out]]-stayCont[[#This Row],[in]]</f>
        <v/>
      </c>
      <c r="AX125" s="1406">
        <f>IF(AR125&lt;&gt;"",AX124+1,AX124)</f>
        <v/>
      </c>
      <c r="AY125" s="1398" t="inlineStr">
        <is>
          <t>.</t>
        </is>
      </c>
      <c r="AZ125" s="1402" t="n"/>
      <c r="BA125" s="1403" t="n"/>
      <c r="BB125" s="1403" t="n"/>
      <c r="BC125" s="1405">
        <f>AZ125</f>
        <v/>
      </c>
      <c r="BD125" s="1405">
        <f>BA125</f>
        <v/>
      </c>
      <c r="BE125" s="1405">
        <f>BB125</f>
        <v/>
      </c>
      <c r="BF125" s="1400">
        <f>stayWB[[#This Row],[out]]-stayWB[[#This Row],[in]]</f>
        <v/>
      </c>
      <c r="BG125" s="1400">
        <f>IF(BB125&lt;&gt;"",BG124+1,BG124)</f>
        <v/>
      </c>
      <c r="BH125" s="1398" t="inlineStr">
        <is>
          <t>.</t>
        </is>
      </c>
      <c r="BI125" s="1402" t="inlineStr">
        <is>
          <t>BRA</t>
        </is>
      </c>
      <c r="BJ125" s="1402" t="n">
        <v>2006</v>
      </c>
      <c r="BK125" s="1400">
        <f>BI125</f>
        <v/>
      </c>
      <c r="BL125" s="1409">
        <f>BJ125</f>
        <v/>
      </c>
      <c r="BM125" s="1378" t="inlineStr">
        <is>
          <t>.</t>
        </is>
      </c>
      <c r="BN125" s="1411" t="inlineStr">
        <is>
          <t>E</t>
        </is>
      </c>
      <c r="BO125" s="1400">
        <f>BN125</f>
        <v/>
      </c>
      <c r="BP125" s="1398" t="inlineStr">
        <is>
          <t>.</t>
        </is>
      </c>
      <c r="BQ125" s="1400">
        <f>IF(BR125&lt;&gt;"",BQ124+1,BQ124)</f>
        <v/>
      </c>
      <c r="BR125" s="1411" t="inlineStr">
        <is>
          <t>Washington</t>
        </is>
      </c>
      <c r="BS125" s="1411" t="inlineStr">
        <is>
          <t>Columbia</t>
        </is>
      </c>
      <c r="BT125" s="1412" t="inlineStr">
        <is>
          <t>Washington-Columbia</t>
        </is>
      </c>
      <c r="BU125" s="1412" t="n">
        <v>37998</v>
      </c>
      <c r="BV125" s="1398" t="inlineStr">
        <is>
          <t>.</t>
        </is>
      </c>
      <c r="BW125" s="1392" t="n"/>
      <c r="BX125" s="1392" t="n"/>
      <c r="BY125" s="1392" t="n"/>
      <c r="BZ125" s="1416" t="n"/>
      <c r="CA125" s="1392" t="n"/>
      <c r="CB125" s="1398" t="inlineStr">
        <is>
          <t>.</t>
        </is>
      </c>
      <c r="CC125" s="1400">
        <f>IF(CD125&lt;&gt;"",CC124+1,CC124)</f>
        <v/>
      </c>
      <c r="CD125" s="1411" t="inlineStr">
        <is>
          <t>Ivete/Ruislip</t>
        </is>
      </c>
      <c r="CE125" s="1412" t="n">
        <v>40157</v>
      </c>
      <c r="CF125" s="1412" t="n">
        <v>40162</v>
      </c>
      <c r="CG125" s="1415">
        <f>CF125-CE125</f>
        <v/>
      </c>
      <c r="CH125" s="1398" t="inlineStr">
        <is>
          <t>.</t>
        </is>
      </c>
      <c r="CI125" s="1392" t="n"/>
      <c r="CJ125" s="1392" t="n"/>
      <c r="CK125" s="1392" t="n"/>
      <c r="CL125" s="1392" t="n"/>
    </row>
    <row r="126">
      <c r="A126" s="5" t="inlineStr">
        <is>
          <t>.</t>
        </is>
      </c>
      <c r="B126" s="5" t="inlineStr">
        <is>
          <t>.</t>
        </is>
      </c>
      <c r="C126" s="1378">
        <f>IF(raw[[#This Row],[city]]="","-",IF(raw[[#This Row],[city]]="TODAY","-",C125+1))</f>
        <v/>
      </c>
      <c r="D126" s="1393" t="inlineStr">
        <is>
          <t>Olinda</t>
        </is>
      </c>
      <c r="E126" s="1394" t="n">
        <v>32017</v>
      </c>
      <c r="F126" s="1394" t="n">
        <v>32017</v>
      </c>
      <c r="G126" s="1393" t="inlineStr">
        <is>
          <t>-</t>
        </is>
      </c>
      <c r="H126" s="1393">
        <f>H125</f>
        <v/>
      </c>
      <c r="I126" s="1393" t="inlineStr">
        <is>
          <t>-</t>
        </is>
      </c>
      <c r="J126" s="1393" t="inlineStr">
        <is>
          <t>-</t>
        </is>
      </c>
      <c r="K126" s="1395">
        <f>IF(raw[[#This Row],[city]]&lt;&gt;"",_xlfn.XLOOKUP($D126,ccc[city],ccc[prov],"-"),"-")</f>
        <v/>
      </c>
      <c r="L126" s="1395">
        <f>IF(raw[[#This Row],[city]]&lt;&gt;"",_xlfn.XLOOKUP($D126,ccc[city],ccc[ctry],"-"),"-")</f>
        <v/>
      </c>
      <c r="M126" s="1395">
        <f>IF(raw[[#This Row],[city]]&lt;&gt;"",_xlfn.XLOOKUP($D126,ccc[city],ccc[cont],"-"),"-")</f>
        <v/>
      </c>
      <c r="N126" s="1396">
        <f>IF(raw[[#This Row],[city]]="","-",IF(raw[[#This Row],[cont]]="B",raw[[#This Row],[cont]],"W"))</f>
        <v/>
      </c>
      <c r="O126" s="1397">
        <f>IF(raw[[#This Row],[out]]=0,0,IF(raw[[#This Row],[out]]=raw[[#This Row],[in]],0.01,raw[[#This Row],[out]]-raw[[#This Row],[in]]))</f>
        <v/>
      </c>
      <c r="P126" s="1397">
        <f>IF(raw[[#This Row],[in]]=0,0,MONTH(raw[[#This Row],[in]]))</f>
        <v/>
      </c>
      <c r="Q126" s="1397">
        <f>IF(raw[[#This Row],[in]]=0,0,YEAR(raw[[#This Row],[in]]))</f>
        <v/>
      </c>
      <c r="R126" s="1397">
        <f>INT(raw[[#This Row],[yr]]/10)*10</f>
        <v/>
      </c>
      <c r="S126" s="1395">
        <f>IF(raw[[#This Row],[city]]="","-",IF(raw[[#This Row],[city]]&lt;&gt;_xlfn.XLOOKUP(raw[[#This Row],[home]],homes[home],homes[city],"-"),1,0))</f>
        <v/>
      </c>
      <c r="T126" s="1398" t="inlineStr">
        <is>
          <t>.</t>
        </is>
      </c>
      <c r="U126" s="1399">
        <f>IF(raw[[#This Row],[wb]]="w",raw[[#This Row],[stay]]+U125,U125)</f>
        <v/>
      </c>
      <c r="V126" s="1400">
        <f>IF(raw[[#This Row],[out]]=0,V125,(raw[[#This Row],[out]]-E$5))</f>
        <v/>
      </c>
      <c r="W126" s="1401">
        <f>U126/V126</f>
        <v/>
      </c>
      <c r="X126" s="1378" t="inlineStr">
        <is>
          <t>.</t>
        </is>
      </c>
      <c r="Y126" s="1402">
        <f/>
        <v/>
      </c>
      <c r="Z126" s="1403">
        <f/>
        <v/>
      </c>
      <c r="AA126" s="1403">
        <f/>
        <v/>
      </c>
      <c r="AB126" s="1400">
        <f t="array" ref="AB126">_xlfn.LET(_xlpm.S,_xlfn.ANCHORARRAY($Y$4),_xlpm.r,ROWS(stayCity[[#Headers],[city]]:stayCity[[#This Row],[city]])-1,IF(_xlpm.r&lt;=ROWS(_xlpm.S),INDEX(_xlpm.S,_xlpm.r,1),""))</f>
        <v/>
      </c>
      <c r="AC126" s="1405">
        <f t="array" ref="AC126">_xlfn.LET(_xlpm.S,_xlfn.ANCHORARRAY($Y$4),_xlpm.r,ROWS(stayCity[[#Headers],[city]]:stayCity[[#This Row],[city]])-1,IF(_xlpm.r&lt;=ROWS(_xlpm.S),INDEX(_xlpm.S,_xlpm.r,2),""))</f>
        <v/>
      </c>
      <c r="AD126" s="1405">
        <f t="array" ref="AD126">_xlfn.LET(_xlpm.S,_xlfn.ANCHORARRAY($Y$4),_xlpm.r,ROWS(stayCity[[#Headers],[city]]:stayCity[[#This Row],[city]])-1,IF(_xlpm.r&lt;=ROWS(_xlpm.S),INDEX(_xlpm.S,_xlpm.r,3),""))</f>
        <v/>
      </c>
      <c r="AE126" s="1400">
        <f>IF(stayCity[[#This Row],[out]]&lt;&gt;"",stayCity[[#This Row],[out]]-stayCity[[#This Row],[in]],"-")</f>
        <v/>
      </c>
      <c r="AF126" s="1406">
        <f>IF(Y126="","-",YEAR(stayCity[[#This Row],[in]]))</f>
        <v/>
      </c>
      <c r="AG126" s="1398" t="inlineStr">
        <is>
          <t>.</t>
        </is>
      </c>
      <c r="AH126" s="1402">
        <f/>
        <v/>
      </c>
      <c r="AI126" s="1403">
        <f/>
        <v/>
      </c>
      <c r="AJ126" s="1403">
        <f/>
        <v/>
      </c>
      <c r="AK126" s="1400">
        <f>IF(AH126="","-",AH126)</f>
        <v/>
      </c>
      <c r="AL126" s="1405">
        <f>AI126</f>
        <v/>
      </c>
      <c r="AM126" s="1405">
        <f>AJ126</f>
        <v/>
      </c>
      <c r="AN126" s="1400">
        <f>stayCtry[[#This Row],[out]]-stayCtry[[#This Row],[in]]</f>
        <v/>
      </c>
      <c r="AO126" s="1406">
        <f>IF(AI126&lt;&gt;"",AO125+1,AO125)</f>
        <v/>
      </c>
      <c r="AP126" s="1398" t="inlineStr">
        <is>
          <t>.</t>
        </is>
      </c>
      <c r="AQ126" s="1402">
        <f/>
        <v/>
      </c>
      <c r="AR126" s="1403">
        <f/>
        <v/>
      </c>
      <c r="AS126" s="1403">
        <f/>
        <v/>
      </c>
      <c r="AT126" s="1400">
        <f>AQ126</f>
        <v/>
      </c>
      <c r="AU126" s="1405">
        <f>AR126</f>
        <v/>
      </c>
      <c r="AV126" s="1405">
        <f>AS126</f>
        <v/>
      </c>
      <c r="AW126" s="1400">
        <f>stayCont[[#This Row],[out]]-stayCont[[#This Row],[in]]</f>
        <v/>
      </c>
      <c r="AX126" s="1406">
        <f>IF(AR126&lt;&gt;"",AX125+1,AX125)</f>
        <v/>
      </c>
      <c r="AY126" s="1398" t="inlineStr">
        <is>
          <t>.</t>
        </is>
      </c>
      <c r="AZ126" s="1402" t="n"/>
      <c r="BA126" s="1403" t="n"/>
      <c r="BB126" s="1403" t="n"/>
      <c r="BC126" s="1405">
        <f>AZ126</f>
        <v/>
      </c>
      <c r="BD126" s="1405">
        <f>BA126</f>
        <v/>
      </c>
      <c r="BE126" s="1405">
        <f>BB126</f>
        <v/>
      </c>
      <c r="BF126" s="1400">
        <f>stayWB[[#This Row],[out]]-stayWB[[#This Row],[in]]</f>
        <v/>
      </c>
      <c r="BG126" s="1400">
        <f>IF(BB126&lt;&gt;"",BG125+1,BG125)</f>
        <v/>
      </c>
      <c r="BH126" s="1398" t="inlineStr">
        <is>
          <t>.</t>
        </is>
      </c>
      <c r="BI126" s="1402" t="inlineStr">
        <is>
          <t>ESP</t>
        </is>
      </c>
      <c r="BJ126" s="1402" t="n">
        <v>2007</v>
      </c>
      <c r="BK126" s="1400">
        <f>BI126</f>
        <v/>
      </c>
      <c r="BL126" s="1409">
        <f>BJ126</f>
        <v/>
      </c>
      <c r="BM126" s="1378" t="inlineStr">
        <is>
          <t>.</t>
        </is>
      </c>
      <c r="BN126" s="1411" t="inlineStr">
        <is>
          <t>N</t>
        </is>
      </c>
      <c r="BO126" s="1400">
        <f>BN126</f>
        <v/>
      </c>
      <c r="BP126" s="1398" t="inlineStr">
        <is>
          <t>.</t>
        </is>
      </c>
      <c r="BQ126" s="1400">
        <f>IF(BR126&lt;&gt;"",BQ125+1,BQ125)</f>
        <v/>
      </c>
      <c r="BR126" s="1411" t="inlineStr">
        <is>
          <t>Columbia</t>
        </is>
      </c>
      <c r="BS126" s="1411" t="inlineStr">
        <is>
          <t>Washington</t>
        </is>
      </c>
      <c r="BT126" s="1412" t="inlineStr">
        <is>
          <t>Columbia-Washington</t>
        </is>
      </c>
      <c r="BU126" s="1412" t="n">
        <v>38015</v>
      </c>
      <c r="BV126" s="1398" t="inlineStr">
        <is>
          <t>.</t>
        </is>
      </c>
      <c r="BW126" s="1392" t="n"/>
      <c r="BX126" s="1392" t="n"/>
      <c r="BY126" s="1392" t="n"/>
      <c r="BZ126" s="1416" t="n"/>
      <c r="CA126" s="1392" t="n"/>
      <c r="CB126" s="1398" t="inlineStr">
        <is>
          <t>.</t>
        </is>
      </c>
      <c r="CC126" s="1400">
        <f>IF(CD126&lt;&gt;"",CC125+1,CC125)</f>
        <v/>
      </c>
      <c r="CD126" s="1411" t="inlineStr">
        <is>
          <t>Ivete/Ruislip</t>
        </is>
      </c>
      <c r="CE126" s="1412" t="n">
        <v>40249</v>
      </c>
      <c r="CF126" s="1412" t="n">
        <v>40257</v>
      </c>
      <c r="CG126" s="1415">
        <f>CF126-CE126</f>
        <v/>
      </c>
      <c r="CH126" s="1398" t="inlineStr">
        <is>
          <t>.</t>
        </is>
      </c>
      <c r="CI126" s="1392" t="n"/>
      <c r="CJ126" s="1392" t="n"/>
      <c r="CK126" s="1392" t="n"/>
      <c r="CL126" s="1392" t="n"/>
    </row>
    <row r="127">
      <c r="A127" s="5" t="inlineStr">
        <is>
          <t>.</t>
        </is>
      </c>
      <c r="B127" s="5" t="inlineStr">
        <is>
          <t>.</t>
        </is>
      </c>
      <c r="C127" s="1378">
        <f>IF(raw[[#This Row],[city]]="","-",IF(raw[[#This Row],[city]]="TODAY","-",C126+1))</f>
        <v/>
      </c>
      <c r="D127" s="1393" t="inlineStr">
        <is>
          <t>Recife</t>
        </is>
      </c>
      <c r="E127" s="1394" t="n">
        <v>32017</v>
      </c>
      <c r="F127" s="1394" t="n">
        <v>32017</v>
      </c>
      <c r="G127" s="1393" t="n">
        <v>1</v>
      </c>
      <c r="H127" s="1393">
        <f>H126</f>
        <v/>
      </c>
      <c r="I127" s="1393" t="inlineStr">
        <is>
          <t>-</t>
        </is>
      </c>
      <c r="J127" s="1393" t="inlineStr">
        <is>
          <t>-</t>
        </is>
      </c>
      <c r="K127" s="1395">
        <f>IF(raw[[#This Row],[city]]&lt;&gt;"",_xlfn.XLOOKUP($D127,ccc[city],ccc[prov],"-"),"-")</f>
        <v/>
      </c>
      <c r="L127" s="1395">
        <f>IF(raw[[#This Row],[city]]&lt;&gt;"",_xlfn.XLOOKUP($D127,ccc[city],ccc[ctry],"-"),"-")</f>
        <v/>
      </c>
      <c r="M127" s="1395">
        <f>IF(raw[[#This Row],[city]]&lt;&gt;"",_xlfn.XLOOKUP($D127,ccc[city],ccc[cont],"-"),"-")</f>
        <v/>
      </c>
      <c r="N127" s="1396">
        <f>IF(raw[[#This Row],[city]]="","-",IF(raw[[#This Row],[cont]]="B",raw[[#This Row],[cont]],"W"))</f>
        <v/>
      </c>
      <c r="O127" s="1397">
        <f>IF(raw[[#This Row],[out]]=0,0,IF(raw[[#This Row],[out]]=raw[[#This Row],[in]],0.01,raw[[#This Row],[out]]-raw[[#This Row],[in]]))</f>
        <v/>
      </c>
      <c r="P127" s="1397">
        <f>IF(raw[[#This Row],[in]]=0,0,MONTH(raw[[#This Row],[in]]))</f>
        <v/>
      </c>
      <c r="Q127" s="1397">
        <f>IF(raw[[#This Row],[in]]=0,0,YEAR(raw[[#This Row],[in]]))</f>
        <v/>
      </c>
      <c r="R127" s="1397">
        <f>INT(raw[[#This Row],[yr]]/10)*10</f>
        <v/>
      </c>
      <c r="S127" s="1395">
        <f>IF(raw[[#This Row],[city]]="","-",IF(raw[[#This Row],[city]]&lt;&gt;_xlfn.XLOOKUP(raw[[#This Row],[home]],homes[home],homes[city],"-"),1,0))</f>
        <v/>
      </c>
      <c r="T127" s="1398" t="inlineStr">
        <is>
          <t>.</t>
        </is>
      </c>
      <c r="U127" s="1399">
        <f>IF(raw[[#This Row],[wb]]="w",raw[[#This Row],[stay]]+U126,U126)</f>
        <v/>
      </c>
      <c r="V127" s="1400">
        <f>IF(raw[[#This Row],[out]]=0,V126,(raw[[#This Row],[out]]-E$5))</f>
        <v/>
      </c>
      <c r="W127" s="1401">
        <f>U127/V127</f>
        <v/>
      </c>
      <c r="X127" s="1378" t="inlineStr">
        <is>
          <t>.</t>
        </is>
      </c>
      <c r="Y127" s="1402">
        <f/>
        <v/>
      </c>
      <c r="Z127" s="1403">
        <f/>
        <v/>
      </c>
      <c r="AA127" s="1403">
        <f/>
        <v/>
      </c>
      <c r="AB127" s="1400">
        <f t="array" ref="AB127">_xlfn.LET(_xlpm.S,_xlfn.ANCHORARRAY($Y$4),_xlpm.r,ROWS(stayCity[[#Headers],[city]]:stayCity[[#This Row],[city]])-1,IF(_xlpm.r&lt;=ROWS(_xlpm.S),INDEX(_xlpm.S,_xlpm.r,1),""))</f>
        <v/>
      </c>
      <c r="AC127" s="1405">
        <f t="array" ref="AC127">_xlfn.LET(_xlpm.S,_xlfn.ANCHORARRAY($Y$4),_xlpm.r,ROWS(stayCity[[#Headers],[city]]:stayCity[[#This Row],[city]])-1,IF(_xlpm.r&lt;=ROWS(_xlpm.S),INDEX(_xlpm.S,_xlpm.r,2),""))</f>
        <v/>
      </c>
      <c r="AD127" s="1405">
        <f t="array" ref="AD127">_xlfn.LET(_xlpm.S,_xlfn.ANCHORARRAY($Y$4),_xlpm.r,ROWS(stayCity[[#Headers],[city]]:stayCity[[#This Row],[city]])-1,IF(_xlpm.r&lt;=ROWS(_xlpm.S),INDEX(_xlpm.S,_xlpm.r,3),""))</f>
        <v/>
      </c>
      <c r="AE127" s="1400">
        <f>IF(stayCity[[#This Row],[out]]&lt;&gt;"",stayCity[[#This Row],[out]]-stayCity[[#This Row],[in]],"-")</f>
        <v/>
      </c>
      <c r="AF127" s="1406">
        <f>IF(Y127="","-",YEAR(stayCity[[#This Row],[in]]))</f>
        <v/>
      </c>
      <c r="AG127" s="1398" t="inlineStr">
        <is>
          <t>.</t>
        </is>
      </c>
      <c r="AH127" s="1402">
        <f/>
        <v/>
      </c>
      <c r="AI127" s="1403">
        <f/>
        <v/>
      </c>
      <c r="AJ127" s="1403">
        <f/>
        <v/>
      </c>
      <c r="AK127" s="1400">
        <f>IF(AH127="","-",AH127)</f>
        <v/>
      </c>
      <c r="AL127" s="1405">
        <f>AI127</f>
        <v/>
      </c>
      <c r="AM127" s="1405">
        <f>AJ127</f>
        <v/>
      </c>
      <c r="AN127" s="1400">
        <f>stayCtry[[#This Row],[out]]-stayCtry[[#This Row],[in]]</f>
        <v/>
      </c>
      <c r="AO127" s="1406">
        <f>IF(AI127&lt;&gt;"",AO126+1,AO126)</f>
        <v/>
      </c>
      <c r="AP127" s="1398" t="inlineStr">
        <is>
          <t>.</t>
        </is>
      </c>
      <c r="AQ127" s="1402">
        <f/>
        <v/>
      </c>
      <c r="AR127" s="1403">
        <f/>
        <v/>
      </c>
      <c r="AS127" s="1403">
        <f/>
        <v/>
      </c>
      <c r="AT127" s="1400">
        <f>AQ127</f>
        <v/>
      </c>
      <c r="AU127" s="1405">
        <f>AR127</f>
        <v/>
      </c>
      <c r="AV127" s="1405">
        <f>AS127</f>
        <v/>
      </c>
      <c r="AW127" s="1400">
        <f>stayCont[[#This Row],[out]]-stayCont[[#This Row],[in]]</f>
        <v/>
      </c>
      <c r="AX127" s="1406">
        <f>IF(AR127&lt;&gt;"",AX126+1,AX126)</f>
        <v/>
      </c>
      <c r="AY127" s="1398" t="inlineStr">
        <is>
          <t>.</t>
        </is>
      </c>
      <c r="AZ127" s="1402" t="n"/>
      <c r="BA127" s="1403" t="n"/>
      <c r="BB127" s="1403" t="n"/>
      <c r="BC127" s="1405">
        <f>AZ127</f>
        <v/>
      </c>
      <c r="BD127" s="1405">
        <f>BA127</f>
        <v/>
      </c>
      <c r="BE127" s="1405">
        <f>BB127</f>
        <v/>
      </c>
      <c r="BF127" s="1400">
        <f>stayWB[[#This Row],[out]]-stayWB[[#This Row],[in]]</f>
        <v/>
      </c>
      <c r="BG127" s="1400">
        <f>IF(BB127&lt;&gt;"",BG126+1,BG126)</f>
        <v/>
      </c>
      <c r="BH127" s="1398" t="inlineStr">
        <is>
          <t>.</t>
        </is>
      </c>
      <c r="BI127" s="1402" t="inlineStr">
        <is>
          <t>UK</t>
        </is>
      </c>
      <c r="BJ127" s="1402" t="n">
        <v>2007</v>
      </c>
      <c r="BK127" s="1400">
        <f>BI127</f>
        <v/>
      </c>
      <c r="BL127" s="1409">
        <f>BJ127</f>
        <v/>
      </c>
      <c r="BM127" s="1378" t="inlineStr">
        <is>
          <t>.</t>
        </is>
      </c>
      <c r="BN127" s="1411" t="inlineStr">
        <is>
          <t>Z</t>
        </is>
      </c>
      <c r="BO127" s="1400">
        <f>BN127</f>
        <v/>
      </c>
      <c r="BP127" s="1398" t="inlineStr">
        <is>
          <t>.</t>
        </is>
      </c>
      <c r="BQ127" s="1400">
        <f>IF(BR127&lt;&gt;"",BQ126+1,BQ126)</f>
        <v/>
      </c>
      <c r="BR127" s="1411" t="inlineStr">
        <is>
          <t>Washington</t>
        </is>
      </c>
      <c r="BS127" s="1411" t="inlineStr">
        <is>
          <t>NYC</t>
        </is>
      </c>
      <c r="BT127" s="1412" t="inlineStr">
        <is>
          <t>Washington-NYC</t>
        </is>
      </c>
      <c r="BU127" s="1412" t="n">
        <v>38015</v>
      </c>
      <c r="BV127" s="1398" t="inlineStr">
        <is>
          <t>.</t>
        </is>
      </c>
      <c r="BW127" s="1392" t="n"/>
      <c r="BX127" s="1392" t="n"/>
      <c r="BY127" s="1392" t="n"/>
      <c r="BZ127" s="1416" t="n"/>
      <c r="CA127" s="1392" t="n"/>
      <c r="CB127" s="1398" t="inlineStr">
        <is>
          <t>.</t>
        </is>
      </c>
      <c r="CC127" s="1400">
        <f>IF(CD127&lt;&gt;"",CC126+1,CC126)</f>
        <v/>
      </c>
      <c r="CD127" s="1411" t="inlineStr">
        <is>
          <t>Salto Grande</t>
        </is>
      </c>
      <c r="CE127" s="1412" t="n">
        <v>40271</v>
      </c>
      <c r="CF127" s="1412" t="n">
        <v>40281</v>
      </c>
      <c r="CG127" s="1415">
        <f>CF127-CE127</f>
        <v/>
      </c>
      <c r="CH127" s="1398" t="inlineStr">
        <is>
          <t>.</t>
        </is>
      </c>
      <c r="CI127" s="1392" t="n"/>
      <c r="CJ127" s="1392" t="n"/>
      <c r="CK127" s="1392" t="n"/>
      <c r="CL127" s="1392" t="n"/>
    </row>
    <row r="128">
      <c r="A128" s="5" t="inlineStr">
        <is>
          <t>.</t>
        </is>
      </c>
      <c r="B128" s="5" t="inlineStr">
        <is>
          <t>.</t>
        </is>
      </c>
      <c r="C128" s="1378">
        <f>IF(raw[[#This Row],[city]]="","-",IF(raw[[#This Row],[city]]="TODAY","-",C127+1))</f>
        <v/>
      </c>
      <c r="D128" s="1393" t="inlineStr">
        <is>
          <t>AIR</t>
        </is>
      </c>
      <c r="E128" s="1394" t="n">
        <v>32017</v>
      </c>
      <c r="F128" s="1394" t="n">
        <v>32018</v>
      </c>
      <c r="G128" s="1393" t="inlineStr">
        <is>
          <t>X</t>
        </is>
      </c>
      <c r="H128" s="1393">
        <f>H127</f>
        <v/>
      </c>
      <c r="I128" s="1393" t="inlineStr">
        <is>
          <t>-</t>
        </is>
      </c>
      <c r="J128" s="1393" t="inlineStr">
        <is>
          <t>-</t>
        </is>
      </c>
      <c r="K128" s="1395">
        <f>IF(raw[[#This Row],[city]]&lt;&gt;"",_xlfn.XLOOKUP($D128,ccc[city],ccc[prov],"-"),"-")</f>
        <v/>
      </c>
      <c r="L128" s="1395">
        <f>IF(raw[[#This Row],[city]]&lt;&gt;"",_xlfn.XLOOKUP($D128,ccc[city],ccc[ctry],"-"),"-")</f>
        <v/>
      </c>
      <c r="M128" s="1395">
        <f>IF(raw[[#This Row],[city]]&lt;&gt;"",_xlfn.XLOOKUP($D128,ccc[city],ccc[cont],"-"),"-")</f>
        <v/>
      </c>
      <c r="N128" s="1396">
        <f>IF(raw[[#This Row],[city]]="","-",IF(raw[[#This Row],[cont]]="B",raw[[#This Row],[cont]],"W"))</f>
        <v/>
      </c>
      <c r="O128" s="1397">
        <f>IF(raw[[#This Row],[out]]=0,0,IF(raw[[#This Row],[out]]=raw[[#This Row],[in]],0.01,raw[[#This Row],[out]]-raw[[#This Row],[in]]))</f>
        <v/>
      </c>
      <c r="P128" s="1397">
        <f>IF(raw[[#This Row],[in]]=0,0,MONTH(raw[[#This Row],[in]]))</f>
        <v/>
      </c>
      <c r="Q128" s="1397">
        <f>IF(raw[[#This Row],[in]]=0,0,YEAR(raw[[#This Row],[in]]))</f>
        <v/>
      </c>
      <c r="R128" s="1397">
        <f>INT(raw[[#This Row],[yr]]/10)*10</f>
        <v/>
      </c>
      <c r="S128" s="1395">
        <f>IF(raw[[#This Row],[city]]="","-",IF(raw[[#This Row],[city]]&lt;&gt;_xlfn.XLOOKUP(raw[[#This Row],[home]],homes[home],homes[city],"-"),1,0))</f>
        <v/>
      </c>
      <c r="T128" s="1398" t="inlineStr">
        <is>
          <t>.</t>
        </is>
      </c>
      <c r="U128" s="1399">
        <f>IF(raw[[#This Row],[wb]]="w",raw[[#This Row],[stay]]+U127,U127)</f>
        <v/>
      </c>
      <c r="V128" s="1400">
        <f>IF(raw[[#This Row],[out]]=0,V127,(raw[[#This Row],[out]]-E$5))</f>
        <v/>
      </c>
      <c r="W128" s="1401">
        <f>U128/V128</f>
        <v/>
      </c>
      <c r="X128" s="1378" t="inlineStr">
        <is>
          <t>.</t>
        </is>
      </c>
      <c r="Y128" s="1402">
        <f/>
        <v/>
      </c>
      <c r="Z128" s="1403">
        <f/>
        <v/>
      </c>
      <c r="AA128" s="1403">
        <f/>
        <v/>
      </c>
      <c r="AB128" s="1400">
        <f t="array" ref="AB128">_xlfn.LET(_xlpm.S,_xlfn.ANCHORARRAY($Y$4),_xlpm.r,ROWS(stayCity[[#Headers],[city]]:stayCity[[#This Row],[city]])-1,IF(_xlpm.r&lt;=ROWS(_xlpm.S),INDEX(_xlpm.S,_xlpm.r,1),""))</f>
        <v/>
      </c>
      <c r="AC128" s="1405">
        <f t="array" ref="AC128">_xlfn.LET(_xlpm.S,_xlfn.ANCHORARRAY($Y$4),_xlpm.r,ROWS(stayCity[[#Headers],[city]]:stayCity[[#This Row],[city]])-1,IF(_xlpm.r&lt;=ROWS(_xlpm.S),INDEX(_xlpm.S,_xlpm.r,2),""))</f>
        <v/>
      </c>
      <c r="AD128" s="1405">
        <f t="array" ref="AD128">_xlfn.LET(_xlpm.S,_xlfn.ANCHORARRAY($Y$4),_xlpm.r,ROWS(stayCity[[#Headers],[city]]:stayCity[[#This Row],[city]])-1,IF(_xlpm.r&lt;=ROWS(_xlpm.S),INDEX(_xlpm.S,_xlpm.r,3),""))</f>
        <v/>
      </c>
      <c r="AE128" s="1400">
        <f>IF(stayCity[[#This Row],[out]]&lt;&gt;"",stayCity[[#This Row],[out]]-stayCity[[#This Row],[in]],"-")</f>
        <v/>
      </c>
      <c r="AF128" s="1406">
        <f>IF(Y128="","-",YEAR(stayCity[[#This Row],[in]]))</f>
        <v/>
      </c>
      <c r="AG128" s="1398" t="inlineStr">
        <is>
          <t>.</t>
        </is>
      </c>
      <c r="AH128" s="1402">
        <f/>
        <v/>
      </c>
      <c r="AI128" s="1403">
        <f/>
        <v/>
      </c>
      <c r="AJ128" s="1403">
        <f/>
        <v/>
      </c>
      <c r="AK128" s="1400">
        <f>IF(AH128="","-",AH128)</f>
        <v/>
      </c>
      <c r="AL128" s="1405">
        <f>AI128</f>
        <v/>
      </c>
      <c r="AM128" s="1405">
        <f>AJ128</f>
        <v/>
      </c>
      <c r="AN128" s="1400">
        <f>stayCtry[[#This Row],[out]]-stayCtry[[#This Row],[in]]</f>
        <v/>
      </c>
      <c r="AO128" s="1406">
        <f>IF(AI128&lt;&gt;"",AO127+1,AO127)</f>
        <v/>
      </c>
      <c r="AP128" s="1398" t="inlineStr">
        <is>
          <t>.</t>
        </is>
      </c>
      <c r="AQ128" s="1402">
        <f/>
        <v/>
      </c>
      <c r="AR128" s="1403">
        <f/>
        <v/>
      </c>
      <c r="AS128" s="1403">
        <f/>
        <v/>
      </c>
      <c r="AT128" s="1400">
        <f>AQ128</f>
        <v/>
      </c>
      <c r="AU128" s="1405">
        <f>AR128</f>
        <v/>
      </c>
      <c r="AV128" s="1405">
        <f>AS128</f>
        <v/>
      </c>
      <c r="AW128" s="1400">
        <f>stayCont[[#This Row],[out]]-stayCont[[#This Row],[in]]</f>
        <v/>
      </c>
      <c r="AX128" s="1406">
        <f>IF(AR128&lt;&gt;"",AX127+1,AX127)</f>
        <v/>
      </c>
      <c r="AY128" s="1398" t="inlineStr">
        <is>
          <t>.</t>
        </is>
      </c>
      <c r="AZ128" s="1402" t="n"/>
      <c r="BA128" s="1403" t="n"/>
      <c r="BB128" s="1403" t="n"/>
      <c r="BC128" s="1405">
        <f>AZ128</f>
        <v/>
      </c>
      <c r="BD128" s="1405">
        <f>BA128</f>
        <v/>
      </c>
      <c r="BE128" s="1405">
        <f>BB128</f>
        <v/>
      </c>
      <c r="BF128" s="1400">
        <f>stayWB[[#This Row],[out]]-stayWB[[#This Row],[in]]</f>
        <v/>
      </c>
      <c r="BG128" s="1400">
        <f>IF(BB128&lt;&gt;"",BG127+1,BG127)</f>
        <v/>
      </c>
      <c r="BH128" s="1398" t="inlineStr">
        <is>
          <t>.</t>
        </is>
      </c>
      <c r="BI128" s="1402" t="inlineStr">
        <is>
          <t>FRA</t>
        </is>
      </c>
      <c r="BJ128" s="1402" t="n">
        <v>2007</v>
      </c>
      <c r="BK128" s="1400">
        <f>BI128</f>
        <v/>
      </c>
      <c r="BL128" s="1409">
        <f>BJ128</f>
        <v/>
      </c>
      <c r="BM128" s="1378" t="inlineStr">
        <is>
          <t>.</t>
        </is>
      </c>
      <c r="BN128" s="1411" t="inlineStr">
        <is>
          <t>B</t>
        </is>
      </c>
      <c r="BO128" s="1400">
        <f>BN128</f>
        <v/>
      </c>
      <c r="BP128" s="1398" t="inlineStr">
        <is>
          <t>.</t>
        </is>
      </c>
      <c r="BQ128" s="1400">
        <f>IF(BR128&lt;&gt;"",BQ127+1,BQ127)</f>
        <v/>
      </c>
      <c r="BR128" s="1411" t="inlineStr">
        <is>
          <t>NYC</t>
        </is>
      </c>
      <c r="BS128" s="1411" t="inlineStr">
        <is>
          <t>SP</t>
        </is>
      </c>
      <c r="BT128" s="1412" t="inlineStr">
        <is>
          <t>NYC-SP</t>
        </is>
      </c>
      <c r="BU128" s="1412" t="n">
        <v>38018</v>
      </c>
      <c r="BV128" s="1398" t="inlineStr">
        <is>
          <t>.</t>
        </is>
      </c>
      <c r="BW128" s="1392" t="n"/>
      <c r="BX128" s="1392" t="n"/>
      <c r="BY128" s="1392" t="n"/>
      <c r="BZ128" s="1416" t="n"/>
      <c r="CA128" s="1392" t="n"/>
      <c r="CB128" s="1398" t="inlineStr">
        <is>
          <t>.</t>
        </is>
      </c>
      <c r="CC128" s="1400">
        <f>IF(CD128&lt;&gt;"",CC127+1,CC127)</f>
        <v/>
      </c>
      <c r="CD128" s="1411" t="inlineStr">
        <is>
          <t>Monica Rio</t>
        </is>
      </c>
      <c r="CE128" s="1412" t="n">
        <v>40281</v>
      </c>
      <c r="CF128" s="1412" t="n">
        <v>40285</v>
      </c>
      <c r="CG128" s="1415">
        <f>CF128-CE128</f>
        <v/>
      </c>
      <c r="CH128" s="1398" t="inlineStr">
        <is>
          <t>.</t>
        </is>
      </c>
      <c r="CI128" s="1392" t="n"/>
      <c r="CJ128" s="1392" t="n"/>
      <c r="CK128" s="1392" t="n"/>
      <c r="CL128" s="1392" t="n"/>
    </row>
    <row r="129">
      <c r="A129" s="5" t="inlineStr">
        <is>
          <t>.</t>
        </is>
      </c>
      <c r="B129" s="5" t="inlineStr">
        <is>
          <t>.</t>
        </is>
      </c>
      <c r="C129" s="1378">
        <f>IF(raw[[#This Row],[city]]="","-",IF(raw[[#This Row],[city]]="TODAY","-",C128+1))</f>
        <v/>
      </c>
      <c r="D129" s="1393" t="inlineStr">
        <is>
          <t>Paris</t>
        </is>
      </c>
      <c r="E129" s="1394" t="n">
        <v>32018</v>
      </c>
      <c r="F129" s="1394" t="n">
        <v>32021</v>
      </c>
      <c r="G129" s="1393" t="inlineStr">
        <is>
          <t>-</t>
        </is>
      </c>
      <c r="H129" s="1393">
        <f>H128</f>
        <v/>
      </c>
      <c r="I129" s="1393" t="inlineStr">
        <is>
          <t>-</t>
        </is>
      </c>
      <c r="J129" s="1393" t="inlineStr">
        <is>
          <t>-</t>
        </is>
      </c>
      <c r="K129" s="1395">
        <f>IF(raw[[#This Row],[city]]&lt;&gt;"",_xlfn.XLOOKUP($D129,ccc[city],ccc[prov],"-"),"-")</f>
        <v/>
      </c>
      <c r="L129" s="1395">
        <f>IF(raw[[#This Row],[city]]&lt;&gt;"",_xlfn.XLOOKUP($D129,ccc[city],ccc[ctry],"-"),"-")</f>
        <v/>
      </c>
      <c r="M129" s="1395">
        <f>IF(raw[[#This Row],[city]]&lt;&gt;"",_xlfn.XLOOKUP($D129,ccc[city],ccc[cont],"-"),"-")</f>
        <v/>
      </c>
      <c r="N129" s="1396">
        <f>IF(raw[[#This Row],[city]]="","-",IF(raw[[#This Row],[cont]]="B",raw[[#This Row],[cont]],"W"))</f>
        <v/>
      </c>
      <c r="O129" s="1397">
        <f>IF(raw[[#This Row],[out]]=0,0,IF(raw[[#This Row],[out]]=raw[[#This Row],[in]],0.01,raw[[#This Row],[out]]-raw[[#This Row],[in]]))</f>
        <v/>
      </c>
      <c r="P129" s="1397">
        <f>IF(raw[[#This Row],[in]]=0,0,MONTH(raw[[#This Row],[in]]))</f>
        <v/>
      </c>
      <c r="Q129" s="1397">
        <f>IF(raw[[#This Row],[in]]=0,0,YEAR(raw[[#This Row],[in]]))</f>
        <v/>
      </c>
      <c r="R129" s="1397">
        <f>INT(raw[[#This Row],[yr]]/10)*10</f>
        <v/>
      </c>
      <c r="S129" s="1395">
        <f>IF(raw[[#This Row],[city]]="","-",IF(raw[[#This Row],[city]]&lt;&gt;_xlfn.XLOOKUP(raw[[#This Row],[home]],homes[home],homes[city],"-"),1,0))</f>
        <v/>
      </c>
      <c r="T129" s="1398" t="inlineStr">
        <is>
          <t>.</t>
        </is>
      </c>
      <c r="U129" s="1399">
        <f>IF(raw[[#This Row],[wb]]="w",raw[[#This Row],[stay]]+U128,U128)</f>
        <v/>
      </c>
      <c r="V129" s="1400">
        <f>IF(raw[[#This Row],[out]]=0,V128,(raw[[#This Row],[out]]-E$5))</f>
        <v/>
      </c>
      <c r="W129" s="1401">
        <f>U129/V129</f>
        <v/>
      </c>
      <c r="X129" s="1378" t="inlineStr">
        <is>
          <t>.</t>
        </is>
      </c>
      <c r="Y129" s="1402">
        <f/>
        <v/>
      </c>
      <c r="Z129" s="1403">
        <f/>
        <v/>
      </c>
      <c r="AA129" s="1403">
        <f/>
        <v/>
      </c>
      <c r="AB129" s="1400">
        <f t="array" ref="AB129">_xlfn.LET(_xlpm.S,_xlfn.ANCHORARRAY($Y$4),_xlpm.r,ROWS(stayCity[[#Headers],[city]]:stayCity[[#This Row],[city]])-1,IF(_xlpm.r&lt;=ROWS(_xlpm.S),INDEX(_xlpm.S,_xlpm.r,1),""))</f>
        <v/>
      </c>
      <c r="AC129" s="1405">
        <f t="array" ref="AC129">_xlfn.LET(_xlpm.S,_xlfn.ANCHORARRAY($Y$4),_xlpm.r,ROWS(stayCity[[#Headers],[city]]:stayCity[[#This Row],[city]])-1,IF(_xlpm.r&lt;=ROWS(_xlpm.S),INDEX(_xlpm.S,_xlpm.r,2),""))</f>
        <v/>
      </c>
      <c r="AD129" s="1405">
        <f t="array" ref="AD129">_xlfn.LET(_xlpm.S,_xlfn.ANCHORARRAY($Y$4),_xlpm.r,ROWS(stayCity[[#Headers],[city]]:stayCity[[#This Row],[city]])-1,IF(_xlpm.r&lt;=ROWS(_xlpm.S),INDEX(_xlpm.S,_xlpm.r,3),""))</f>
        <v/>
      </c>
      <c r="AE129" s="1400">
        <f>IF(stayCity[[#This Row],[out]]&lt;&gt;"",stayCity[[#This Row],[out]]-stayCity[[#This Row],[in]],"-")</f>
        <v/>
      </c>
      <c r="AF129" s="1406">
        <f>IF(Y129="","-",YEAR(stayCity[[#This Row],[in]]))</f>
        <v/>
      </c>
      <c r="AG129" s="1398" t="inlineStr">
        <is>
          <t>.</t>
        </is>
      </c>
      <c r="AH129" s="1402">
        <f/>
        <v/>
      </c>
      <c r="AI129" s="1403">
        <f/>
        <v/>
      </c>
      <c r="AJ129" s="1403">
        <f/>
        <v/>
      </c>
      <c r="AK129" s="1400">
        <f>IF(AH129="","-",AH129)</f>
        <v/>
      </c>
      <c r="AL129" s="1405">
        <f>AI129</f>
        <v/>
      </c>
      <c r="AM129" s="1405">
        <f>AJ129</f>
        <v/>
      </c>
      <c r="AN129" s="1400">
        <f>stayCtry[[#This Row],[out]]-stayCtry[[#This Row],[in]]</f>
        <v/>
      </c>
      <c r="AO129" s="1406">
        <f>IF(AI129&lt;&gt;"",AO128+1,AO128)</f>
        <v/>
      </c>
      <c r="AP129" s="1398" t="inlineStr">
        <is>
          <t>.</t>
        </is>
      </c>
      <c r="AQ129" s="1402">
        <f/>
        <v/>
      </c>
      <c r="AR129" s="1403">
        <f/>
        <v/>
      </c>
      <c r="AS129" s="1403">
        <f/>
        <v/>
      </c>
      <c r="AT129" s="1400">
        <f>AQ129</f>
        <v/>
      </c>
      <c r="AU129" s="1405">
        <f>AR129</f>
        <v/>
      </c>
      <c r="AV129" s="1405">
        <f>AS129</f>
        <v/>
      </c>
      <c r="AW129" s="1400">
        <f>stayCont[[#This Row],[out]]-stayCont[[#This Row],[in]]</f>
        <v/>
      </c>
      <c r="AX129" s="1406">
        <f>IF(AR129&lt;&gt;"",AX128+1,AX128)</f>
        <v/>
      </c>
      <c r="AY129" s="1398" t="inlineStr">
        <is>
          <t>.</t>
        </is>
      </c>
      <c r="AZ129" s="1402" t="n"/>
      <c r="BA129" s="1403" t="n"/>
      <c r="BB129" s="1403" t="n"/>
      <c r="BC129" s="1405">
        <f>AZ129</f>
        <v/>
      </c>
      <c r="BD129" s="1405">
        <f>BA129</f>
        <v/>
      </c>
      <c r="BE129" s="1405">
        <f>BB129</f>
        <v/>
      </c>
      <c r="BF129" s="1400">
        <f>stayWB[[#This Row],[out]]-stayWB[[#This Row],[in]]</f>
        <v/>
      </c>
      <c r="BG129" s="1400">
        <f>IF(BB129&lt;&gt;"",BG128+1,BG128)</f>
        <v/>
      </c>
      <c r="BH129" s="1398" t="inlineStr">
        <is>
          <t>.</t>
        </is>
      </c>
      <c r="BI129" s="1402" t="inlineStr">
        <is>
          <t>ESP</t>
        </is>
      </c>
      <c r="BJ129" s="1402" t="n">
        <v>2007</v>
      </c>
      <c r="BK129" s="1400">
        <f>BI129</f>
        <v/>
      </c>
      <c r="BL129" s="1409">
        <f>BJ129</f>
        <v/>
      </c>
      <c r="BM129" s="1378" t="inlineStr">
        <is>
          <t>.</t>
        </is>
      </c>
      <c r="BN129" s="1411" t="inlineStr">
        <is>
          <t>Z</t>
        </is>
      </c>
      <c r="BO129" s="1400">
        <f>BN129</f>
        <v/>
      </c>
      <c r="BP129" s="1398" t="inlineStr">
        <is>
          <t>.</t>
        </is>
      </c>
      <c r="BQ129" s="1400">
        <f>IF(BR129&lt;&gt;"",BQ128+1,BQ128)</f>
        <v/>
      </c>
      <c r="BR129" s="1411" t="inlineStr">
        <is>
          <t>SP</t>
        </is>
      </c>
      <c r="BS129" s="1411" t="inlineStr">
        <is>
          <t>SSA</t>
        </is>
      </c>
      <c r="BT129" s="1412" t="inlineStr">
        <is>
          <t>SP-SSA</t>
        </is>
      </c>
      <c r="BU129" s="1412" t="n">
        <v>38022</v>
      </c>
      <c r="BV129" s="1398" t="inlineStr">
        <is>
          <t>.</t>
        </is>
      </c>
      <c r="BW129" s="1392" t="n"/>
      <c r="BX129" s="1392" t="n"/>
      <c r="BY129" s="1392" t="n"/>
      <c r="BZ129" s="1416" t="n"/>
      <c r="CA129" s="1392" t="n"/>
      <c r="CB129" s="1398" t="inlineStr">
        <is>
          <t>.</t>
        </is>
      </c>
      <c r="CC129" s="1400">
        <f>IF(CD129&lt;&gt;"",CC128+1,CC128)</f>
        <v/>
      </c>
      <c r="CD129" s="1411" t="inlineStr">
        <is>
          <t>Ondina</t>
        </is>
      </c>
      <c r="CE129" s="1412" t="n">
        <v>40285</v>
      </c>
      <c r="CF129" s="1412" t="n">
        <v>40308</v>
      </c>
      <c r="CG129" s="1415">
        <f>CF129-CE129</f>
        <v/>
      </c>
      <c r="CH129" s="1398" t="inlineStr">
        <is>
          <t>.</t>
        </is>
      </c>
      <c r="CI129" s="1392" t="n"/>
      <c r="CJ129" s="1392" t="n"/>
      <c r="CK129" s="1392" t="n"/>
      <c r="CL129" s="1392" t="n"/>
    </row>
    <row r="130">
      <c r="A130" s="5" t="inlineStr">
        <is>
          <t>.</t>
        </is>
      </c>
      <c r="B130" s="5" t="inlineStr">
        <is>
          <t>.</t>
        </is>
      </c>
      <c r="C130" s="1378">
        <f>IF(raw[[#This Row],[city]]="","-",IF(raw[[#This Row],[city]]="TODAY","-",C129+1))</f>
        <v/>
      </c>
      <c r="D130" s="1393" t="inlineStr">
        <is>
          <t>Vernon</t>
        </is>
      </c>
      <c r="E130" s="1394" t="n">
        <v>32021</v>
      </c>
      <c r="F130" s="1394" t="n">
        <v>32021</v>
      </c>
      <c r="G130" s="1393" t="inlineStr">
        <is>
          <t>-</t>
        </is>
      </c>
      <c r="H130" s="1393">
        <f>H129</f>
        <v/>
      </c>
      <c r="I130" s="1393" t="n"/>
      <c r="J130" s="1393" t="inlineStr">
        <is>
          <t>-</t>
        </is>
      </c>
      <c r="K130" s="1395">
        <f>IF(raw[[#This Row],[city]]&lt;&gt;"",_xlfn.XLOOKUP($D130,ccc[city],ccc[prov],"-"),"-")</f>
        <v/>
      </c>
      <c r="L130" s="1395">
        <f>IF(raw[[#This Row],[city]]&lt;&gt;"",_xlfn.XLOOKUP($D130,ccc[city],ccc[ctry],"-"),"-")</f>
        <v/>
      </c>
      <c r="M130" s="1395">
        <f>IF(raw[[#This Row],[city]]&lt;&gt;"",_xlfn.XLOOKUP($D130,ccc[city],ccc[cont],"-"),"-")</f>
        <v/>
      </c>
      <c r="N130" s="1396">
        <f>IF(raw[[#This Row],[city]]="","-",IF(raw[[#This Row],[cont]]="B",raw[[#This Row],[cont]],"W"))</f>
        <v/>
      </c>
      <c r="O130" s="1397">
        <f>IF(raw[[#This Row],[out]]=0,0,IF(raw[[#This Row],[out]]=raw[[#This Row],[in]],0.01,raw[[#This Row],[out]]-raw[[#This Row],[in]]))</f>
        <v/>
      </c>
      <c r="P130" s="1397">
        <f>IF(raw[[#This Row],[in]]=0,0,MONTH(raw[[#This Row],[in]]))</f>
        <v/>
      </c>
      <c r="Q130" s="1397">
        <f>IF(raw[[#This Row],[in]]=0,0,YEAR(raw[[#This Row],[in]]))</f>
        <v/>
      </c>
      <c r="R130" s="1397">
        <f>INT(raw[[#This Row],[yr]]/10)*10</f>
        <v/>
      </c>
      <c r="S130" s="1395">
        <f>IF(raw[[#This Row],[city]]="","-",IF(raw[[#This Row],[city]]&lt;&gt;_xlfn.XLOOKUP(raw[[#This Row],[home]],homes[home],homes[city],"-"),1,0))</f>
        <v/>
      </c>
      <c r="T130" s="1398" t="inlineStr">
        <is>
          <t>.</t>
        </is>
      </c>
      <c r="U130" s="1399">
        <f>IF(raw[[#This Row],[wb]]="w",raw[[#This Row],[stay]]+U129,U129)</f>
        <v/>
      </c>
      <c r="V130" s="1400">
        <f>IF(raw[[#This Row],[out]]=0,V129,(raw[[#This Row],[out]]-E$5))</f>
        <v/>
      </c>
      <c r="W130" s="1401">
        <f>U130/V130</f>
        <v/>
      </c>
      <c r="X130" s="1378" t="inlineStr">
        <is>
          <t>.</t>
        </is>
      </c>
      <c r="Y130" s="1402">
        <f/>
        <v/>
      </c>
      <c r="Z130" s="1403">
        <f/>
        <v/>
      </c>
      <c r="AA130" s="1403">
        <f/>
        <v/>
      </c>
      <c r="AB130" s="1400">
        <f t="array" ref="AB130">_xlfn.LET(_xlpm.S,_xlfn.ANCHORARRAY($Y$4),_xlpm.r,ROWS(stayCity[[#Headers],[city]]:stayCity[[#This Row],[city]])-1,IF(_xlpm.r&lt;=ROWS(_xlpm.S),INDEX(_xlpm.S,_xlpm.r,1),""))</f>
        <v/>
      </c>
      <c r="AC130" s="1405">
        <f t="array" ref="AC130">_xlfn.LET(_xlpm.S,_xlfn.ANCHORARRAY($Y$4),_xlpm.r,ROWS(stayCity[[#Headers],[city]]:stayCity[[#This Row],[city]])-1,IF(_xlpm.r&lt;=ROWS(_xlpm.S),INDEX(_xlpm.S,_xlpm.r,2),""))</f>
        <v/>
      </c>
      <c r="AD130" s="1405">
        <f t="array" ref="AD130">_xlfn.LET(_xlpm.S,_xlfn.ANCHORARRAY($Y$4),_xlpm.r,ROWS(stayCity[[#Headers],[city]]:stayCity[[#This Row],[city]])-1,IF(_xlpm.r&lt;=ROWS(_xlpm.S),INDEX(_xlpm.S,_xlpm.r,3),""))</f>
        <v/>
      </c>
      <c r="AE130" s="1400">
        <f>IF(stayCity[[#This Row],[out]]&lt;&gt;"",stayCity[[#This Row],[out]]-stayCity[[#This Row],[in]],"-")</f>
        <v/>
      </c>
      <c r="AF130" s="1406">
        <f>IF(Y130="","-",YEAR(stayCity[[#This Row],[in]]))</f>
        <v/>
      </c>
      <c r="AG130" s="1398" t="inlineStr">
        <is>
          <t>.</t>
        </is>
      </c>
      <c r="AH130" s="1402">
        <f/>
        <v/>
      </c>
      <c r="AI130" s="1403">
        <f/>
        <v/>
      </c>
      <c r="AJ130" s="1403">
        <f/>
        <v/>
      </c>
      <c r="AK130" s="1400">
        <f>IF(AH130="","-",AH130)</f>
        <v/>
      </c>
      <c r="AL130" s="1405">
        <f>AI130</f>
        <v/>
      </c>
      <c r="AM130" s="1405">
        <f>AJ130</f>
        <v/>
      </c>
      <c r="AN130" s="1400">
        <f>stayCtry[[#This Row],[out]]-stayCtry[[#This Row],[in]]</f>
        <v/>
      </c>
      <c r="AO130" s="1406">
        <f>IF(AI130&lt;&gt;"",AO129+1,AO129)</f>
        <v/>
      </c>
      <c r="AP130" s="1398" t="inlineStr">
        <is>
          <t>.</t>
        </is>
      </c>
      <c r="AQ130" s="1402">
        <f/>
        <v/>
      </c>
      <c r="AR130" s="1403">
        <f/>
        <v/>
      </c>
      <c r="AS130" s="1403">
        <f/>
        <v/>
      </c>
      <c r="AT130" s="1400">
        <f>AQ130</f>
        <v/>
      </c>
      <c r="AU130" s="1405">
        <f>AR130</f>
        <v/>
      </c>
      <c r="AV130" s="1405">
        <f>AS130</f>
        <v/>
      </c>
      <c r="AW130" s="1400">
        <f>stayCont[[#This Row],[out]]-stayCont[[#This Row],[in]]</f>
        <v/>
      </c>
      <c r="AX130" s="1406">
        <f>IF(AR130&lt;&gt;"",AX129+1,AX129)</f>
        <v/>
      </c>
      <c r="AY130" s="1398" t="inlineStr">
        <is>
          <t>.</t>
        </is>
      </c>
      <c r="AZ130" s="1402" t="n"/>
      <c r="BA130" s="1403" t="n"/>
      <c r="BB130" s="1403" t="n"/>
      <c r="BC130" s="1405">
        <f>AZ130</f>
        <v/>
      </c>
      <c r="BD130" s="1405">
        <f>BA130</f>
        <v/>
      </c>
      <c r="BE130" s="1405">
        <f>BB130</f>
        <v/>
      </c>
      <c r="BF130" s="1400">
        <f>stayWB[[#This Row],[out]]-stayWB[[#This Row],[in]]</f>
        <v/>
      </c>
      <c r="BG130" s="1400">
        <f>IF(BB130&lt;&gt;"",BG129+1,BG129)</f>
        <v/>
      </c>
      <c r="BH130" s="1398" t="inlineStr">
        <is>
          <t>.</t>
        </is>
      </c>
      <c r="BI130" s="1402" t="inlineStr">
        <is>
          <t>DEU</t>
        </is>
      </c>
      <c r="BJ130" s="1402" t="n">
        <v>2007</v>
      </c>
      <c r="BK130" s="1400">
        <f>BI130</f>
        <v/>
      </c>
      <c r="BL130" s="1409">
        <f>BJ130</f>
        <v/>
      </c>
      <c r="BM130" s="1378" t="inlineStr">
        <is>
          <t>.</t>
        </is>
      </c>
      <c r="BN130" s="1411" t="inlineStr">
        <is>
          <t>N</t>
        </is>
      </c>
      <c r="BO130" s="1400">
        <f>BN130</f>
        <v/>
      </c>
      <c r="BP130" s="1398" t="inlineStr">
        <is>
          <t>.</t>
        </is>
      </c>
      <c r="BQ130" s="1400">
        <f>IF(BR130&lt;&gt;"",BQ129+1,BQ129)</f>
        <v/>
      </c>
      <c r="BR130" s="1411" t="inlineStr">
        <is>
          <t>SSA</t>
        </is>
      </c>
      <c r="BS130" s="1411" t="inlineStr">
        <is>
          <t>SP</t>
        </is>
      </c>
      <c r="BT130" s="1412" t="inlineStr">
        <is>
          <t>SSA-SP</t>
        </is>
      </c>
      <c r="BU130" s="1412" t="n">
        <v>38045</v>
      </c>
      <c r="BV130" s="1398" t="inlineStr">
        <is>
          <t>.</t>
        </is>
      </c>
      <c r="BW130" s="1392" t="n"/>
      <c r="BX130" s="1392" t="n"/>
      <c r="BY130" s="1392" t="n"/>
      <c r="BZ130" s="1416" t="n"/>
      <c r="CA130" s="1392" t="n"/>
      <c r="CB130" s="1398" t="inlineStr">
        <is>
          <t>.</t>
        </is>
      </c>
      <c r="CC130" s="1400">
        <f>IF(CD130&lt;&gt;"",CC129+1,CC129)</f>
        <v/>
      </c>
      <c r="CD130" s="1411" t="inlineStr">
        <is>
          <t>Porto do Sol</t>
        </is>
      </c>
      <c r="CE130" s="1412" t="n">
        <v>40339</v>
      </c>
      <c r="CF130" s="1412" t="n">
        <v>40342</v>
      </c>
      <c r="CG130" s="1415">
        <f>CF130-CE130</f>
        <v/>
      </c>
      <c r="CH130" s="1398" t="inlineStr">
        <is>
          <t>.</t>
        </is>
      </c>
      <c r="CI130" s="1392" t="n"/>
      <c r="CJ130" s="1392" t="n"/>
      <c r="CK130" s="1392" t="n"/>
      <c r="CL130" s="1392" t="n"/>
    </row>
    <row r="131">
      <c r="A131" s="5" t="inlineStr">
        <is>
          <t>.</t>
        </is>
      </c>
      <c r="B131" s="5" t="inlineStr">
        <is>
          <t>.</t>
        </is>
      </c>
      <c r="C131" s="1378">
        <f>IF(raw[[#This Row],[city]]="","-",IF(raw[[#This Row],[city]]="TODAY","-",C130+1))</f>
        <v/>
      </c>
      <c r="D131" s="1393" t="inlineStr">
        <is>
          <t>Les Andalys</t>
        </is>
      </c>
      <c r="E131" s="1394" t="n">
        <v>32021</v>
      </c>
      <c r="F131" s="1394" t="n">
        <v>32021</v>
      </c>
      <c r="G131" s="1393" t="inlineStr">
        <is>
          <t>-</t>
        </is>
      </c>
      <c r="H131" s="1393">
        <f>H130</f>
        <v/>
      </c>
      <c r="I131" s="1393" t="n"/>
      <c r="J131" s="1393" t="inlineStr">
        <is>
          <t>-</t>
        </is>
      </c>
      <c r="K131" s="1395">
        <f>IF(raw[[#This Row],[city]]&lt;&gt;"",_xlfn.XLOOKUP($D131,ccc[city],ccc[prov],"-"),"-")</f>
        <v/>
      </c>
      <c r="L131" s="1395">
        <f>IF(raw[[#This Row],[city]]&lt;&gt;"",_xlfn.XLOOKUP($D131,ccc[city],ccc[ctry],"-"),"-")</f>
        <v/>
      </c>
      <c r="M131" s="1395">
        <f>IF(raw[[#This Row],[city]]&lt;&gt;"",_xlfn.XLOOKUP($D131,ccc[city],ccc[cont],"-"),"-")</f>
        <v/>
      </c>
      <c r="N131" s="1396">
        <f>IF(raw[[#This Row],[city]]="","-",IF(raw[[#This Row],[cont]]="B",raw[[#This Row],[cont]],"W"))</f>
        <v/>
      </c>
      <c r="O131" s="1397">
        <f>IF(raw[[#This Row],[out]]=0,0,IF(raw[[#This Row],[out]]=raw[[#This Row],[in]],0.01,raw[[#This Row],[out]]-raw[[#This Row],[in]]))</f>
        <v/>
      </c>
      <c r="P131" s="1397">
        <f>IF(raw[[#This Row],[in]]=0,0,MONTH(raw[[#This Row],[in]]))</f>
        <v/>
      </c>
      <c r="Q131" s="1397">
        <f>IF(raw[[#This Row],[in]]=0,0,YEAR(raw[[#This Row],[in]]))</f>
        <v/>
      </c>
      <c r="R131" s="1397">
        <f>INT(raw[[#This Row],[yr]]/10)*10</f>
        <v/>
      </c>
      <c r="S131" s="1395">
        <f>IF(raw[[#This Row],[city]]="","-",IF(raw[[#This Row],[city]]&lt;&gt;_xlfn.XLOOKUP(raw[[#This Row],[home]],homes[home],homes[city],"-"),1,0))</f>
        <v/>
      </c>
      <c r="T131" s="1398" t="inlineStr">
        <is>
          <t>.</t>
        </is>
      </c>
      <c r="U131" s="1399">
        <f>IF(raw[[#This Row],[wb]]="w",raw[[#This Row],[stay]]+U130,U130)</f>
        <v/>
      </c>
      <c r="V131" s="1400">
        <f>IF(raw[[#This Row],[out]]=0,V130,(raw[[#This Row],[out]]-E$5))</f>
        <v/>
      </c>
      <c r="W131" s="1401">
        <f>U131/V131</f>
        <v/>
      </c>
      <c r="X131" s="1378" t="inlineStr">
        <is>
          <t>.</t>
        </is>
      </c>
      <c r="Y131" s="1402">
        <f/>
        <v/>
      </c>
      <c r="Z131" s="1403">
        <f/>
        <v/>
      </c>
      <c r="AA131" s="1403">
        <f/>
        <v/>
      </c>
      <c r="AB131" s="1400">
        <f t="array" ref="AB131">_xlfn.LET(_xlpm.S,_xlfn.ANCHORARRAY($Y$4),_xlpm.r,ROWS(stayCity[[#Headers],[city]]:stayCity[[#This Row],[city]])-1,IF(_xlpm.r&lt;=ROWS(_xlpm.S),INDEX(_xlpm.S,_xlpm.r,1),""))</f>
        <v/>
      </c>
      <c r="AC131" s="1405">
        <f t="array" ref="AC131">_xlfn.LET(_xlpm.S,_xlfn.ANCHORARRAY($Y$4),_xlpm.r,ROWS(stayCity[[#Headers],[city]]:stayCity[[#This Row],[city]])-1,IF(_xlpm.r&lt;=ROWS(_xlpm.S),INDEX(_xlpm.S,_xlpm.r,2),""))</f>
        <v/>
      </c>
      <c r="AD131" s="1405">
        <f t="array" ref="AD131">_xlfn.LET(_xlpm.S,_xlfn.ANCHORARRAY($Y$4),_xlpm.r,ROWS(stayCity[[#Headers],[city]]:stayCity[[#This Row],[city]])-1,IF(_xlpm.r&lt;=ROWS(_xlpm.S),INDEX(_xlpm.S,_xlpm.r,3),""))</f>
        <v/>
      </c>
      <c r="AE131" s="1400">
        <f>IF(stayCity[[#This Row],[out]]&lt;&gt;"",stayCity[[#This Row],[out]]-stayCity[[#This Row],[in]],"-")</f>
        <v/>
      </c>
      <c r="AF131" s="1406">
        <f>IF(Y131="","-",YEAR(stayCity[[#This Row],[in]]))</f>
        <v/>
      </c>
      <c r="AG131" s="1398" t="inlineStr">
        <is>
          <t>.</t>
        </is>
      </c>
      <c r="AH131" s="1402">
        <f/>
        <v/>
      </c>
      <c r="AI131" s="1403">
        <f/>
        <v/>
      </c>
      <c r="AJ131" s="1403">
        <f/>
        <v/>
      </c>
      <c r="AK131" s="1400">
        <f>IF(AH131="","-",AH131)</f>
        <v/>
      </c>
      <c r="AL131" s="1405">
        <f>AI131</f>
        <v/>
      </c>
      <c r="AM131" s="1405">
        <f>AJ131</f>
        <v/>
      </c>
      <c r="AN131" s="1400">
        <f>stayCtry[[#This Row],[out]]-stayCtry[[#This Row],[in]]</f>
        <v/>
      </c>
      <c r="AO131" s="1406">
        <f>IF(AI131&lt;&gt;"",AO130+1,AO130)</f>
        <v/>
      </c>
      <c r="AP131" s="1398" t="inlineStr">
        <is>
          <t>.</t>
        </is>
      </c>
      <c r="AQ131" s="1402">
        <f/>
        <v/>
      </c>
      <c r="AR131" s="1403">
        <f/>
        <v/>
      </c>
      <c r="AS131" s="1403">
        <f/>
        <v/>
      </c>
      <c r="AT131" s="1400">
        <f>AQ131</f>
        <v/>
      </c>
      <c r="AU131" s="1405">
        <f>AR131</f>
        <v/>
      </c>
      <c r="AV131" s="1405">
        <f>AS131</f>
        <v/>
      </c>
      <c r="AW131" s="1400">
        <f>stayCont[[#This Row],[out]]-stayCont[[#This Row],[in]]</f>
        <v/>
      </c>
      <c r="AX131" s="1406">
        <f>IF(AR131&lt;&gt;"",AX130+1,AX130)</f>
        <v/>
      </c>
      <c r="AY131" s="1398" t="inlineStr">
        <is>
          <t>.</t>
        </is>
      </c>
      <c r="AZ131" s="1402" t="n"/>
      <c r="BA131" s="1403" t="n"/>
      <c r="BB131" s="1403" t="n"/>
      <c r="BC131" s="1405">
        <f>AZ131</f>
        <v/>
      </c>
      <c r="BD131" s="1405">
        <f>BA131</f>
        <v/>
      </c>
      <c r="BE131" s="1405">
        <f>BB131</f>
        <v/>
      </c>
      <c r="BF131" s="1400">
        <f>stayWB[[#This Row],[out]]-stayWB[[#This Row],[in]]</f>
        <v/>
      </c>
      <c r="BG131" s="1400">
        <f>IF(BB131&lt;&gt;"",BG130+1,BG130)</f>
        <v/>
      </c>
      <c r="BH131" s="1398" t="inlineStr">
        <is>
          <t>.</t>
        </is>
      </c>
      <c r="BI131" s="1402" t="inlineStr">
        <is>
          <t>UK</t>
        </is>
      </c>
      <c r="BJ131" s="1402" t="n">
        <v>2007</v>
      </c>
      <c r="BK131" s="1400">
        <f>BI131</f>
        <v/>
      </c>
      <c r="BL131" s="1409">
        <f>BJ131</f>
        <v/>
      </c>
      <c r="BM131" s="1378" t="inlineStr">
        <is>
          <t>.</t>
        </is>
      </c>
      <c r="BN131" s="1411" t="inlineStr">
        <is>
          <t>Z</t>
        </is>
      </c>
      <c r="BO131" s="1400">
        <f>BN131</f>
        <v/>
      </c>
      <c r="BP131" s="1398" t="inlineStr">
        <is>
          <t>.</t>
        </is>
      </c>
      <c r="BQ131" s="1400">
        <f>IF(BR131&lt;&gt;"",BQ130+1,BQ130)</f>
        <v/>
      </c>
      <c r="BR131" s="1411" t="inlineStr">
        <is>
          <t>SP</t>
        </is>
      </c>
      <c r="BS131" s="1411" t="inlineStr">
        <is>
          <t>SSA</t>
        </is>
      </c>
      <c r="BT131" s="1412" t="inlineStr">
        <is>
          <t>SP-SSA</t>
        </is>
      </c>
      <c r="BU131" s="1412" t="n">
        <v>38059</v>
      </c>
      <c r="BV131" s="1398" t="inlineStr">
        <is>
          <t>.</t>
        </is>
      </c>
      <c r="BW131" s="1392" t="n"/>
      <c r="BX131" s="1392" t="n"/>
      <c r="BY131" s="1392" t="n"/>
      <c r="BZ131" s="1416" t="n"/>
      <c r="CA131" s="1392" t="n"/>
      <c r="CB131" s="1398" t="inlineStr">
        <is>
          <t>.</t>
        </is>
      </c>
      <c r="CC131" s="1400">
        <f>IF(CD131&lt;&gt;"",CC130+1,CC130)</f>
        <v/>
      </c>
      <c r="CD131" s="1411" t="inlineStr">
        <is>
          <t>Cele/Lincoln</t>
        </is>
      </c>
      <c r="CE131" s="1412" t="n">
        <v>40358</v>
      </c>
      <c r="CF131" s="1412" t="n">
        <v>40395</v>
      </c>
      <c r="CG131" s="1415">
        <f>CF131-CE131</f>
        <v/>
      </c>
      <c r="CH131" s="1398" t="inlineStr">
        <is>
          <t>.</t>
        </is>
      </c>
      <c r="CI131" s="1392" t="n"/>
      <c r="CJ131" s="1392" t="n"/>
      <c r="CK131" s="1392" t="n"/>
      <c r="CL131" s="1392" t="n"/>
    </row>
    <row r="132">
      <c r="A132" s="5" t="inlineStr">
        <is>
          <t>.</t>
        </is>
      </c>
      <c r="B132" s="5" t="inlineStr">
        <is>
          <t>.</t>
        </is>
      </c>
      <c r="C132" s="1378">
        <f>IF(raw[[#This Row],[city]]="","-",IF(raw[[#This Row],[city]]="TODAY","-",C131+1))</f>
        <v/>
      </c>
      <c r="D132" s="1393" t="inlineStr">
        <is>
          <t>Rouen</t>
        </is>
      </c>
      <c r="E132" s="1394" t="n">
        <v>32021</v>
      </c>
      <c r="F132" s="1394" t="n">
        <v>32021</v>
      </c>
      <c r="G132" s="1393" t="inlineStr">
        <is>
          <t>-</t>
        </is>
      </c>
      <c r="H132" s="1393">
        <f>H131</f>
        <v/>
      </c>
      <c r="I132" s="1393" t="inlineStr">
        <is>
          <t>-</t>
        </is>
      </c>
      <c r="J132" s="1393" t="inlineStr">
        <is>
          <t>-</t>
        </is>
      </c>
      <c r="K132" s="1395">
        <f>IF(raw[[#This Row],[city]]&lt;&gt;"",_xlfn.XLOOKUP($D132,ccc[city],ccc[prov],"-"),"-")</f>
        <v/>
      </c>
      <c r="L132" s="1395">
        <f>IF(raw[[#This Row],[city]]&lt;&gt;"",_xlfn.XLOOKUP($D132,ccc[city],ccc[ctry],"-"),"-")</f>
        <v/>
      </c>
      <c r="M132" s="1395">
        <f>IF(raw[[#This Row],[city]]&lt;&gt;"",_xlfn.XLOOKUP($D132,ccc[city],ccc[cont],"-"),"-")</f>
        <v/>
      </c>
      <c r="N132" s="1396">
        <f>IF(raw[[#This Row],[city]]="","-",IF(raw[[#This Row],[cont]]="B",raw[[#This Row],[cont]],"W"))</f>
        <v/>
      </c>
      <c r="O132" s="1397">
        <f>IF(raw[[#This Row],[out]]=0,0,IF(raw[[#This Row],[out]]=raw[[#This Row],[in]],0.01,raw[[#This Row],[out]]-raw[[#This Row],[in]]))</f>
        <v/>
      </c>
      <c r="P132" s="1397">
        <f>IF(raw[[#This Row],[in]]=0,0,MONTH(raw[[#This Row],[in]]))</f>
        <v/>
      </c>
      <c r="Q132" s="1397">
        <f>IF(raw[[#This Row],[in]]=0,0,YEAR(raw[[#This Row],[in]]))</f>
        <v/>
      </c>
      <c r="R132" s="1397">
        <f>INT(raw[[#This Row],[yr]]/10)*10</f>
        <v/>
      </c>
      <c r="S132" s="1395">
        <f>IF(raw[[#This Row],[city]]="","-",IF(raw[[#This Row],[city]]&lt;&gt;_xlfn.XLOOKUP(raw[[#This Row],[home]],homes[home],homes[city],"-"),1,0))</f>
        <v/>
      </c>
      <c r="T132" s="1398" t="inlineStr">
        <is>
          <t>.</t>
        </is>
      </c>
      <c r="U132" s="1399">
        <f>IF(raw[[#This Row],[wb]]="w",raw[[#This Row],[stay]]+U131,U131)</f>
        <v/>
      </c>
      <c r="V132" s="1400">
        <f>IF(raw[[#This Row],[out]]=0,V131,(raw[[#This Row],[out]]-E$5))</f>
        <v/>
      </c>
      <c r="W132" s="1401">
        <f>U132/V132</f>
        <v/>
      </c>
      <c r="X132" s="1378" t="inlineStr">
        <is>
          <t>.</t>
        </is>
      </c>
      <c r="Y132" s="1402">
        <f/>
        <v/>
      </c>
      <c r="Z132" s="1403">
        <f/>
        <v/>
      </c>
      <c r="AA132" s="1403">
        <f/>
        <v/>
      </c>
      <c r="AB132" s="1400">
        <f t="array" ref="AB132">_xlfn.LET(_xlpm.S,_xlfn.ANCHORARRAY($Y$4),_xlpm.r,ROWS(stayCity[[#Headers],[city]]:stayCity[[#This Row],[city]])-1,IF(_xlpm.r&lt;=ROWS(_xlpm.S),INDEX(_xlpm.S,_xlpm.r,1),""))</f>
        <v/>
      </c>
      <c r="AC132" s="1405">
        <f t="array" ref="AC132">_xlfn.LET(_xlpm.S,_xlfn.ANCHORARRAY($Y$4),_xlpm.r,ROWS(stayCity[[#Headers],[city]]:stayCity[[#This Row],[city]])-1,IF(_xlpm.r&lt;=ROWS(_xlpm.S),INDEX(_xlpm.S,_xlpm.r,2),""))</f>
        <v/>
      </c>
      <c r="AD132" s="1405">
        <f t="array" ref="AD132">_xlfn.LET(_xlpm.S,_xlfn.ANCHORARRAY($Y$4),_xlpm.r,ROWS(stayCity[[#Headers],[city]]:stayCity[[#This Row],[city]])-1,IF(_xlpm.r&lt;=ROWS(_xlpm.S),INDEX(_xlpm.S,_xlpm.r,3),""))</f>
        <v/>
      </c>
      <c r="AE132" s="1400">
        <f>IF(stayCity[[#This Row],[out]]&lt;&gt;"",stayCity[[#This Row],[out]]-stayCity[[#This Row],[in]],"-")</f>
        <v/>
      </c>
      <c r="AF132" s="1406">
        <f>IF(Y132="","-",YEAR(stayCity[[#This Row],[in]]))</f>
        <v/>
      </c>
      <c r="AG132" s="1398" t="inlineStr">
        <is>
          <t>.</t>
        </is>
      </c>
      <c r="AH132" s="1402">
        <f/>
        <v/>
      </c>
      <c r="AI132" s="1403">
        <f/>
        <v/>
      </c>
      <c r="AJ132" s="1403">
        <f/>
        <v/>
      </c>
      <c r="AK132" s="1400">
        <f>IF(AH132="","-",AH132)</f>
        <v/>
      </c>
      <c r="AL132" s="1405">
        <f>AI132</f>
        <v/>
      </c>
      <c r="AM132" s="1405">
        <f>AJ132</f>
        <v/>
      </c>
      <c r="AN132" s="1400">
        <f>stayCtry[[#This Row],[out]]-stayCtry[[#This Row],[in]]</f>
        <v/>
      </c>
      <c r="AO132" s="1406">
        <f>IF(AI132&lt;&gt;"",AO131+1,AO131)</f>
        <v/>
      </c>
      <c r="AP132" s="1398" t="inlineStr">
        <is>
          <t>.</t>
        </is>
      </c>
      <c r="AQ132" s="1402">
        <f/>
        <v/>
      </c>
      <c r="AR132" s="1403">
        <f/>
        <v/>
      </c>
      <c r="AS132" s="1403">
        <f/>
        <v/>
      </c>
      <c r="AT132" s="1400">
        <f>AQ132</f>
        <v/>
      </c>
      <c r="AU132" s="1405">
        <f>AR132</f>
        <v/>
      </c>
      <c r="AV132" s="1405">
        <f>AS132</f>
        <v/>
      </c>
      <c r="AW132" s="1400">
        <f>stayCont[[#This Row],[out]]-stayCont[[#This Row],[in]]</f>
        <v/>
      </c>
      <c r="AX132" s="1406">
        <f>IF(AR132&lt;&gt;"",AX131+1,AX131)</f>
        <v/>
      </c>
      <c r="AY132" s="1398" t="inlineStr">
        <is>
          <t>.</t>
        </is>
      </c>
      <c r="AZ132" s="1402" t="n"/>
      <c r="BA132" s="1403" t="n"/>
      <c r="BB132" s="1403" t="n"/>
      <c r="BC132" s="1405">
        <f>AZ132</f>
        <v/>
      </c>
      <c r="BD132" s="1405">
        <f>BA132</f>
        <v/>
      </c>
      <c r="BE132" s="1405">
        <f>BB132</f>
        <v/>
      </c>
      <c r="BF132" s="1400">
        <f>stayWB[[#This Row],[out]]-stayWB[[#This Row],[in]]</f>
        <v/>
      </c>
      <c r="BG132" s="1400">
        <f>IF(BB132&lt;&gt;"",BG131+1,BG131)</f>
        <v/>
      </c>
      <c r="BH132" s="1398" t="inlineStr">
        <is>
          <t>.</t>
        </is>
      </c>
      <c r="BI132" s="1402" t="inlineStr">
        <is>
          <t>ESP</t>
        </is>
      </c>
      <c r="BJ132" s="1402" t="n">
        <v>2007</v>
      </c>
      <c r="BK132" s="1400">
        <f>BI132</f>
        <v/>
      </c>
      <c r="BL132" s="1409">
        <f>BJ132</f>
        <v/>
      </c>
      <c r="BM132" s="1378" t="inlineStr">
        <is>
          <t>.</t>
        </is>
      </c>
      <c r="BN132" s="1411" t="inlineStr">
        <is>
          <t>E</t>
        </is>
      </c>
      <c r="BO132" s="1400">
        <f>BN132</f>
        <v/>
      </c>
      <c r="BP132" s="1398" t="inlineStr">
        <is>
          <t>.</t>
        </is>
      </c>
      <c r="BQ132" s="1400">
        <f>IF(BR132&lt;&gt;"",BQ131+1,BQ131)</f>
        <v/>
      </c>
      <c r="BR132" s="1411" t="inlineStr">
        <is>
          <t>SSA</t>
        </is>
      </c>
      <c r="BS132" s="1411" t="inlineStr">
        <is>
          <t>SP</t>
        </is>
      </c>
      <c r="BT132" s="1412" t="inlineStr">
        <is>
          <t>SSA-SP</t>
        </is>
      </c>
      <c r="BU132" s="1412" t="n">
        <v>38169</v>
      </c>
      <c r="BV132" s="1398" t="inlineStr">
        <is>
          <t>.</t>
        </is>
      </c>
      <c r="BW132" s="1392" t="n"/>
      <c r="BX132" s="1392" t="n"/>
      <c r="BY132" s="1392" t="n"/>
      <c r="BZ132" s="1416" t="n"/>
      <c r="CA132" s="1392" t="n"/>
      <c r="CB132" s="1398" t="inlineStr">
        <is>
          <t>.</t>
        </is>
      </c>
      <c r="CC132" s="1400">
        <f>IF(CD132&lt;&gt;"",CC131+1,CC131)</f>
        <v/>
      </c>
      <c r="CD132" s="1411" t="inlineStr">
        <is>
          <t>Salto Grande</t>
        </is>
      </c>
      <c r="CE132" s="1412" t="n">
        <v>40396</v>
      </c>
      <c r="CF132" s="1412" t="n">
        <v>40399</v>
      </c>
      <c r="CG132" s="1415">
        <f>CF132-CE132</f>
        <v/>
      </c>
      <c r="CH132" s="1398" t="inlineStr">
        <is>
          <t>.</t>
        </is>
      </c>
      <c r="CI132" s="1392" t="n"/>
      <c r="CJ132" s="1392" t="n"/>
      <c r="CK132" s="1392" t="n"/>
      <c r="CL132" s="1392" t="n"/>
    </row>
    <row r="133">
      <c r="A133" s="5" t="inlineStr">
        <is>
          <t>.</t>
        </is>
      </c>
      <c r="B133" s="5" t="inlineStr">
        <is>
          <t>.</t>
        </is>
      </c>
      <c r="C133" s="1378">
        <f>IF(raw[[#This Row],[city]]="","-",IF(raw[[#This Row],[city]]="TODAY","-",C132+1))</f>
        <v/>
      </c>
      <c r="D133" s="1393" t="inlineStr">
        <is>
          <t>Honfleur</t>
        </is>
      </c>
      <c r="E133" s="1394" t="n">
        <v>32021</v>
      </c>
      <c r="F133" s="1394" t="n">
        <v>32022</v>
      </c>
      <c r="G133" s="1393" t="inlineStr">
        <is>
          <t>-</t>
        </is>
      </c>
      <c r="H133" s="1393">
        <f>H132</f>
        <v/>
      </c>
      <c r="I133" s="1393" t="inlineStr">
        <is>
          <t>-</t>
        </is>
      </c>
      <c r="J133" s="1393" t="inlineStr">
        <is>
          <t>-</t>
        </is>
      </c>
      <c r="K133" s="1395">
        <f>IF(raw[[#This Row],[city]]&lt;&gt;"",_xlfn.XLOOKUP($D133,ccc[city],ccc[prov],"-"),"-")</f>
        <v/>
      </c>
      <c r="L133" s="1395">
        <f>IF(raw[[#This Row],[city]]&lt;&gt;"",_xlfn.XLOOKUP($D133,ccc[city],ccc[ctry],"-"),"-")</f>
        <v/>
      </c>
      <c r="M133" s="1395">
        <f>IF(raw[[#This Row],[city]]&lt;&gt;"",_xlfn.XLOOKUP($D133,ccc[city],ccc[cont],"-"),"-")</f>
        <v/>
      </c>
      <c r="N133" s="1396">
        <f>IF(raw[[#This Row],[city]]="","-",IF(raw[[#This Row],[cont]]="B",raw[[#This Row],[cont]],"W"))</f>
        <v/>
      </c>
      <c r="O133" s="1397">
        <f>IF(raw[[#This Row],[out]]=0,0,IF(raw[[#This Row],[out]]=raw[[#This Row],[in]],0.01,raw[[#This Row],[out]]-raw[[#This Row],[in]]))</f>
        <v/>
      </c>
      <c r="P133" s="1397">
        <f>IF(raw[[#This Row],[in]]=0,0,MONTH(raw[[#This Row],[in]]))</f>
        <v/>
      </c>
      <c r="Q133" s="1397">
        <f>IF(raw[[#This Row],[in]]=0,0,YEAR(raw[[#This Row],[in]]))</f>
        <v/>
      </c>
      <c r="R133" s="1397">
        <f>INT(raw[[#This Row],[yr]]/10)*10</f>
        <v/>
      </c>
      <c r="S133" s="1395">
        <f>IF(raw[[#This Row],[city]]="","-",IF(raw[[#This Row],[city]]&lt;&gt;_xlfn.XLOOKUP(raw[[#This Row],[home]],homes[home],homes[city],"-"),1,0))</f>
        <v/>
      </c>
      <c r="T133" s="1398" t="inlineStr">
        <is>
          <t>.</t>
        </is>
      </c>
      <c r="U133" s="1399">
        <f>IF(raw[[#This Row],[wb]]="w",raw[[#This Row],[stay]]+U132,U132)</f>
        <v/>
      </c>
      <c r="V133" s="1400">
        <f>IF(raw[[#This Row],[out]]=0,V132,(raw[[#This Row],[out]]-E$5))</f>
        <v/>
      </c>
      <c r="W133" s="1401">
        <f>U133/V133</f>
        <v/>
      </c>
      <c r="X133" s="1378" t="inlineStr">
        <is>
          <t>.</t>
        </is>
      </c>
      <c r="Y133" s="1402">
        <f/>
        <v/>
      </c>
      <c r="Z133" s="1403">
        <f/>
        <v/>
      </c>
      <c r="AA133" s="1403">
        <f/>
        <v/>
      </c>
      <c r="AB133" s="1400">
        <f t="array" ref="AB133">_xlfn.LET(_xlpm.S,_xlfn.ANCHORARRAY($Y$4),_xlpm.r,ROWS(stayCity[[#Headers],[city]]:stayCity[[#This Row],[city]])-1,IF(_xlpm.r&lt;=ROWS(_xlpm.S),INDEX(_xlpm.S,_xlpm.r,1),""))</f>
        <v/>
      </c>
      <c r="AC133" s="1405">
        <f t="array" ref="AC133">_xlfn.LET(_xlpm.S,_xlfn.ANCHORARRAY($Y$4),_xlpm.r,ROWS(stayCity[[#Headers],[city]]:stayCity[[#This Row],[city]])-1,IF(_xlpm.r&lt;=ROWS(_xlpm.S),INDEX(_xlpm.S,_xlpm.r,2),""))</f>
        <v/>
      </c>
      <c r="AD133" s="1405">
        <f t="array" ref="AD133">_xlfn.LET(_xlpm.S,_xlfn.ANCHORARRAY($Y$4),_xlpm.r,ROWS(stayCity[[#Headers],[city]]:stayCity[[#This Row],[city]])-1,IF(_xlpm.r&lt;=ROWS(_xlpm.S),INDEX(_xlpm.S,_xlpm.r,3),""))</f>
        <v/>
      </c>
      <c r="AE133" s="1400">
        <f>IF(stayCity[[#This Row],[out]]&lt;&gt;"",stayCity[[#This Row],[out]]-stayCity[[#This Row],[in]],"-")</f>
        <v/>
      </c>
      <c r="AF133" s="1406">
        <f>IF(Y133="","-",YEAR(stayCity[[#This Row],[in]]))</f>
        <v/>
      </c>
      <c r="AG133" s="1398" t="inlineStr">
        <is>
          <t>.</t>
        </is>
      </c>
      <c r="AH133" s="1402">
        <f/>
        <v/>
      </c>
      <c r="AI133" s="1403">
        <f/>
        <v/>
      </c>
      <c r="AJ133" s="1403">
        <f/>
        <v/>
      </c>
      <c r="AK133" s="1400">
        <f>IF(AH133="","-",AH133)</f>
        <v/>
      </c>
      <c r="AL133" s="1405">
        <f>AI133</f>
        <v/>
      </c>
      <c r="AM133" s="1405">
        <f>AJ133</f>
        <v/>
      </c>
      <c r="AN133" s="1400">
        <f>stayCtry[[#This Row],[out]]-stayCtry[[#This Row],[in]]</f>
        <v/>
      </c>
      <c r="AO133" s="1406">
        <f>IF(AI133&lt;&gt;"",AO132+1,AO132)</f>
        <v/>
      </c>
      <c r="AP133" s="1398" t="inlineStr">
        <is>
          <t>.</t>
        </is>
      </c>
      <c r="AQ133" s="1402">
        <f/>
        <v/>
      </c>
      <c r="AR133" s="1403">
        <f/>
        <v/>
      </c>
      <c r="AS133" s="1403">
        <f/>
        <v/>
      </c>
      <c r="AT133" s="1400">
        <f>AQ133</f>
        <v/>
      </c>
      <c r="AU133" s="1405">
        <f>AR133</f>
        <v/>
      </c>
      <c r="AV133" s="1405">
        <f>AS133</f>
        <v/>
      </c>
      <c r="AW133" s="1400">
        <f>stayCont[[#This Row],[out]]-stayCont[[#This Row],[in]]</f>
        <v/>
      </c>
      <c r="AX133" s="1406">
        <f>IF(AR133&lt;&gt;"",AX132+1,AX132)</f>
        <v/>
      </c>
      <c r="AY133" s="1398" t="inlineStr">
        <is>
          <t>.</t>
        </is>
      </c>
      <c r="AZ133" s="1402" t="n"/>
      <c r="BA133" s="1403" t="n"/>
      <c r="BB133" s="1403" t="n"/>
      <c r="BC133" s="1405">
        <f>AZ133</f>
        <v/>
      </c>
      <c r="BD133" s="1405">
        <f>BA133</f>
        <v/>
      </c>
      <c r="BE133" s="1405">
        <f>BB133</f>
        <v/>
      </c>
      <c r="BF133" s="1400">
        <f>stayWB[[#This Row],[out]]-stayWB[[#This Row],[in]]</f>
        <v/>
      </c>
      <c r="BG133" s="1400">
        <f>IF(BB133&lt;&gt;"",BG132+1,BG132)</f>
        <v/>
      </c>
      <c r="BH133" s="1398" t="inlineStr">
        <is>
          <t>.</t>
        </is>
      </c>
      <c r="BI133" s="1402" t="inlineStr">
        <is>
          <t>PRT</t>
        </is>
      </c>
      <c r="BJ133" s="1402" t="n">
        <v>2007</v>
      </c>
      <c r="BK133" s="1400">
        <f>BI133</f>
        <v/>
      </c>
      <c r="BL133" s="1409">
        <f>BJ133</f>
        <v/>
      </c>
      <c r="BM133" s="1378" t="inlineStr">
        <is>
          <t>.</t>
        </is>
      </c>
      <c r="BN133" s="1411" t="inlineStr">
        <is>
          <t>N</t>
        </is>
      </c>
      <c r="BO133" s="1400">
        <f>BN133</f>
        <v/>
      </c>
      <c r="BP133" s="1398" t="inlineStr">
        <is>
          <t>.</t>
        </is>
      </c>
      <c r="BQ133" s="1400">
        <f>IF(BR133&lt;&gt;"",BQ132+1,BQ132)</f>
        <v/>
      </c>
      <c r="BR133" s="1411" t="inlineStr">
        <is>
          <t>SP</t>
        </is>
      </c>
      <c r="BS133" s="1411" t="inlineStr">
        <is>
          <t>SSA</t>
        </is>
      </c>
      <c r="BT133" s="1412" t="inlineStr">
        <is>
          <t>SP-SSA</t>
        </is>
      </c>
      <c r="BU133" s="1412" t="n">
        <v>38323</v>
      </c>
      <c r="BV133" s="1398" t="inlineStr">
        <is>
          <t>.</t>
        </is>
      </c>
      <c r="BW133" s="1392" t="n"/>
      <c r="BX133" s="1392" t="n"/>
      <c r="BY133" s="1392" t="n"/>
      <c r="BZ133" s="1416" t="n"/>
      <c r="CA133" s="1392" t="n"/>
      <c r="CB133" s="1398" t="inlineStr">
        <is>
          <t>.</t>
        </is>
      </c>
      <c r="CC133" s="1400">
        <f>IF(CD133&lt;&gt;"",CC132+1,CC132)</f>
        <v/>
      </c>
      <c r="CD133" s="1411" t="inlineStr">
        <is>
          <t>Salto Grande</t>
        </is>
      </c>
      <c r="CE133" s="1412" t="n">
        <v>40466</v>
      </c>
      <c r="CF133" s="1412" t="n">
        <v>40478</v>
      </c>
      <c r="CG133" s="1415">
        <f>CF133-CE133</f>
        <v/>
      </c>
      <c r="CH133" s="1398" t="inlineStr">
        <is>
          <t>.</t>
        </is>
      </c>
      <c r="CI133" s="1392" t="n"/>
      <c r="CJ133" s="1392" t="n"/>
      <c r="CK133" s="1392" t="n"/>
      <c r="CL133" s="1392" t="n"/>
    </row>
    <row r="134">
      <c r="A134" s="5" t="inlineStr">
        <is>
          <t>.</t>
        </is>
      </c>
      <c r="B134" s="5" t="inlineStr">
        <is>
          <t>.</t>
        </is>
      </c>
      <c r="C134" s="1378">
        <f>IF(raw[[#This Row],[city]]="","-",IF(raw[[#This Row],[city]]="TODAY","-",C133+1))</f>
        <v/>
      </c>
      <c r="D134" s="1393" t="inlineStr">
        <is>
          <t>Caen</t>
        </is>
      </c>
      <c r="E134" s="1394" t="n">
        <v>32022</v>
      </c>
      <c r="F134" s="1394" t="n">
        <v>32022</v>
      </c>
      <c r="G134" s="1393" t="inlineStr">
        <is>
          <t>-</t>
        </is>
      </c>
      <c r="H134" s="1393">
        <f>H133</f>
        <v/>
      </c>
      <c r="I134" s="1393" t="n"/>
      <c r="J134" s="1393" t="inlineStr">
        <is>
          <t>-</t>
        </is>
      </c>
      <c r="K134" s="1395">
        <f>IF(raw[[#This Row],[city]]&lt;&gt;"",_xlfn.XLOOKUP($D134,ccc[city],ccc[prov],"-"),"-")</f>
        <v/>
      </c>
      <c r="L134" s="1395">
        <f>IF(raw[[#This Row],[city]]&lt;&gt;"",_xlfn.XLOOKUP($D134,ccc[city],ccc[ctry],"-"),"-")</f>
        <v/>
      </c>
      <c r="M134" s="1395">
        <f>IF(raw[[#This Row],[city]]&lt;&gt;"",_xlfn.XLOOKUP($D134,ccc[city],ccc[cont],"-"),"-")</f>
        <v/>
      </c>
      <c r="N134" s="1396">
        <f>IF(raw[[#This Row],[city]]="","-",IF(raw[[#This Row],[cont]]="B",raw[[#This Row],[cont]],"W"))</f>
        <v/>
      </c>
      <c r="O134" s="1397">
        <f>IF(raw[[#This Row],[out]]=0,0,IF(raw[[#This Row],[out]]=raw[[#This Row],[in]],0.01,raw[[#This Row],[out]]-raw[[#This Row],[in]]))</f>
        <v/>
      </c>
      <c r="P134" s="1397">
        <f>IF(raw[[#This Row],[in]]=0,0,MONTH(raw[[#This Row],[in]]))</f>
        <v/>
      </c>
      <c r="Q134" s="1397">
        <f>IF(raw[[#This Row],[in]]=0,0,YEAR(raw[[#This Row],[in]]))</f>
        <v/>
      </c>
      <c r="R134" s="1397">
        <f>INT(raw[[#This Row],[yr]]/10)*10</f>
        <v/>
      </c>
      <c r="S134" s="1395">
        <f>IF(raw[[#This Row],[city]]="","-",IF(raw[[#This Row],[city]]&lt;&gt;_xlfn.XLOOKUP(raw[[#This Row],[home]],homes[home],homes[city],"-"),1,0))</f>
        <v/>
      </c>
      <c r="T134" s="1398" t="inlineStr">
        <is>
          <t>.</t>
        </is>
      </c>
      <c r="U134" s="1399">
        <f>IF(raw[[#This Row],[wb]]="w",raw[[#This Row],[stay]]+U133,U133)</f>
        <v/>
      </c>
      <c r="V134" s="1400">
        <f>IF(raw[[#This Row],[out]]=0,V133,(raw[[#This Row],[out]]-E$5))</f>
        <v/>
      </c>
      <c r="W134" s="1401">
        <f>U134/V134</f>
        <v/>
      </c>
      <c r="X134" s="1378" t="inlineStr">
        <is>
          <t>.</t>
        </is>
      </c>
      <c r="Y134" s="1402">
        <f/>
        <v/>
      </c>
      <c r="Z134" s="1403">
        <f/>
        <v/>
      </c>
      <c r="AA134" s="1403">
        <f/>
        <v/>
      </c>
      <c r="AB134" s="1400">
        <f t="array" ref="AB134">_xlfn.LET(_xlpm.S,_xlfn.ANCHORARRAY($Y$4),_xlpm.r,ROWS(stayCity[[#Headers],[city]]:stayCity[[#This Row],[city]])-1,IF(_xlpm.r&lt;=ROWS(_xlpm.S),INDEX(_xlpm.S,_xlpm.r,1),""))</f>
        <v/>
      </c>
      <c r="AC134" s="1405">
        <f t="array" ref="AC134">_xlfn.LET(_xlpm.S,_xlfn.ANCHORARRAY($Y$4),_xlpm.r,ROWS(stayCity[[#Headers],[city]]:stayCity[[#This Row],[city]])-1,IF(_xlpm.r&lt;=ROWS(_xlpm.S),INDEX(_xlpm.S,_xlpm.r,2),""))</f>
        <v/>
      </c>
      <c r="AD134" s="1405">
        <f t="array" ref="AD134">_xlfn.LET(_xlpm.S,_xlfn.ANCHORARRAY($Y$4),_xlpm.r,ROWS(stayCity[[#Headers],[city]]:stayCity[[#This Row],[city]])-1,IF(_xlpm.r&lt;=ROWS(_xlpm.S),INDEX(_xlpm.S,_xlpm.r,3),""))</f>
        <v/>
      </c>
      <c r="AE134" s="1400">
        <f>IF(stayCity[[#This Row],[out]]&lt;&gt;"",stayCity[[#This Row],[out]]-stayCity[[#This Row],[in]],"-")</f>
        <v/>
      </c>
      <c r="AF134" s="1406">
        <f>IF(Y134="","-",YEAR(stayCity[[#This Row],[in]]))</f>
        <v/>
      </c>
      <c r="AG134" s="1398" t="inlineStr">
        <is>
          <t>.</t>
        </is>
      </c>
      <c r="AH134" s="1402">
        <f/>
        <v/>
      </c>
      <c r="AI134" s="1403">
        <f/>
        <v/>
      </c>
      <c r="AJ134" s="1403">
        <f/>
        <v/>
      </c>
      <c r="AK134" s="1400">
        <f>IF(AH134="","-",AH134)</f>
        <v/>
      </c>
      <c r="AL134" s="1405">
        <f>AI134</f>
        <v/>
      </c>
      <c r="AM134" s="1405">
        <f>AJ134</f>
        <v/>
      </c>
      <c r="AN134" s="1400">
        <f>stayCtry[[#This Row],[out]]-stayCtry[[#This Row],[in]]</f>
        <v/>
      </c>
      <c r="AO134" s="1406">
        <f>IF(AI134&lt;&gt;"",AO133+1,AO133)</f>
        <v/>
      </c>
      <c r="AP134" s="1398" t="inlineStr">
        <is>
          <t>.</t>
        </is>
      </c>
      <c r="AQ134" s="1402">
        <f/>
        <v/>
      </c>
      <c r="AR134" s="1403">
        <f/>
        <v/>
      </c>
      <c r="AS134" s="1403">
        <f/>
        <v/>
      </c>
      <c r="AT134" s="1400">
        <f>AQ134</f>
        <v/>
      </c>
      <c r="AU134" s="1405">
        <f>AR134</f>
        <v/>
      </c>
      <c r="AV134" s="1405">
        <f>AS134</f>
        <v/>
      </c>
      <c r="AW134" s="1400">
        <f>stayCont[[#This Row],[out]]-stayCont[[#This Row],[in]]</f>
        <v/>
      </c>
      <c r="AX134" s="1406">
        <f>IF(AR134&lt;&gt;"",AX133+1,AX133)</f>
        <v/>
      </c>
      <c r="AY134" s="1398" t="inlineStr">
        <is>
          <t>.</t>
        </is>
      </c>
      <c r="AZ134" s="1402" t="n"/>
      <c r="BA134" s="1403" t="n"/>
      <c r="BB134" s="1403" t="n"/>
      <c r="BC134" s="1405">
        <f>AZ134</f>
        <v/>
      </c>
      <c r="BD134" s="1405">
        <f>BA134</f>
        <v/>
      </c>
      <c r="BE134" s="1405">
        <f>BB134</f>
        <v/>
      </c>
      <c r="BF134" s="1400">
        <f>stayWB[[#This Row],[out]]-stayWB[[#This Row],[in]]</f>
        <v/>
      </c>
      <c r="BG134" s="1400">
        <f>IF(BB134&lt;&gt;"",BG133+1,BG133)</f>
        <v/>
      </c>
      <c r="BH134" s="1398" t="inlineStr">
        <is>
          <t>.</t>
        </is>
      </c>
      <c r="BI134" s="1402" t="inlineStr">
        <is>
          <t>BRA</t>
        </is>
      </c>
      <c r="BJ134" s="1402" t="n">
        <v>2007</v>
      </c>
      <c r="BK134" s="1400">
        <f>BI134</f>
        <v/>
      </c>
      <c r="BL134" s="1409">
        <f>BJ134</f>
        <v/>
      </c>
      <c r="BM134" s="1378" t="inlineStr">
        <is>
          <t>.</t>
        </is>
      </c>
      <c r="BN134" s="1411" t="inlineStr">
        <is>
          <t>Z</t>
        </is>
      </c>
      <c r="BO134" s="1400">
        <f>BN134</f>
        <v/>
      </c>
      <c r="BP134" s="1398" t="inlineStr">
        <is>
          <t>.</t>
        </is>
      </c>
      <c r="BQ134" s="1400">
        <f>IF(BR134&lt;&gt;"",BQ133+1,BQ133)</f>
        <v/>
      </c>
      <c r="BR134" s="1411" t="inlineStr">
        <is>
          <t>SSA</t>
        </is>
      </c>
      <c r="BS134" s="1411" t="inlineStr">
        <is>
          <t>SP</t>
        </is>
      </c>
      <c r="BT134" s="1412" t="inlineStr">
        <is>
          <t>SSA-SP</t>
        </is>
      </c>
      <c r="BU134" s="1412" t="n">
        <v>38330</v>
      </c>
      <c r="BV134" s="1398" t="inlineStr">
        <is>
          <t>.</t>
        </is>
      </c>
      <c r="BW134" s="1392" t="n"/>
      <c r="BX134" s="1392" t="n"/>
      <c r="BY134" s="1392" t="n"/>
      <c r="BZ134" s="1416" t="n"/>
      <c r="CA134" s="1392" t="n"/>
      <c r="CB134" s="1398" t="inlineStr">
        <is>
          <t>.</t>
        </is>
      </c>
      <c r="CC134" s="1400">
        <f>IF(CD134&lt;&gt;"",CC133+1,CC133)</f>
        <v/>
      </c>
      <c r="CD134" s="1411" t="inlineStr">
        <is>
          <t>Salto Grande</t>
        </is>
      </c>
      <c r="CE134" s="1412" t="n">
        <v>40525</v>
      </c>
      <c r="CF134" s="1412" t="n">
        <v>40526</v>
      </c>
      <c r="CG134" s="1415">
        <f>CF134-CE134</f>
        <v/>
      </c>
      <c r="CH134" s="1398" t="inlineStr">
        <is>
          <t>.</t>
        </is>
      </c>
      <c r="CI134" s="1392" t="n"/>
      <c r="CJ134" s="1392" t="n"/>
      <c r="CK134" s="1392" t="n"/>
      <c r="CL134" s="1392" t="n"/>
    </row>
    <row r="135">
      <c r="A135" s="5" t="inlineStr">
        <is>
          <t>.</t>
        </is>
      </c>
      <c r="B135" s="5" t="inlineStr">
        <is>
          <t>.</t>
        </is>
      </c>
      <c r="C135" s="1378">
        <f>IF(raw[[#This Row],[city]]="","-",IF(raw[[#This Row],[city]]="TODAY","-",C134+1))</f>
        <v/>
      </c>
      <c r="D135" s="1393" t="inlineStr">
        <is>
          <t>Deauville</t>
        </is>
      </c>
      <c r="E135" s="1394" t="n">
        <v>32022</v>
      </c>
      <c r="F135" s="1394" t="n">
        <v>32022</v>
      </c>
      <c r="G135" s="1393" t="inlineStr">
        <is>
          <t>-</t>
        </is>
      </c>
      <c r="H135" s="1393">
        <f>H134</f>
        <v/>
      </c>
      <c r="I135" s="1393" t="n"/>
      <c r="J135" s="1393" t="inlineStr">
        <is>
          <t>-</t>
        </is>
      </c>
      <c r="K135" s="1395">
        <f>IF(raw[[#This Row],[city]]&lt;&gt;"",_xlfn.XLOOKUP($D135,ccc[city],ccc[prov],"-"),"-")</f>
        <v/>
      </c>
      <c r="L135" s="1395">
        <f>IF(raw[[#This Row],[city]]&lt;&gt;"",_xlfn.XLOOKUP($D135,ccc[city],ccc[ctry],"-"),"-")</f>
        <v/>
      </c>
      <c r="M135" s="1395">
        <f>IF(raw[[#This Row],[city]]&lt;&gt;"",_xlfn.XLOOKUP($D135,ccc[city],ccc[cont],"-"),"-")</f>
        <v/>
      </c>
      <c r="N135" s="1396">
        <f>IF(raw[[#This Row],[city]]="","-",IF(raw[[#This Row],[cont]]="B",raw[[#This Row],[cont]],"W"))</f>
        <v/>
      </c>
      <c r="O135" s="1397">
        <f>IF(raw[[#This Row],[out]]=0,0,IF(raw[[#This Row],[out]]=raw[[#This Row],[in]],0.01,raw[[#This Row],[out]]-raw[[#This Row],[in]]))</f>
        <v/>
      </c>
      <c r="P135" s="1397">
        <f>IF(raw[[#This Row],[in]]=0,0,MONTH(raw[[#This Row],[in]]))</f>
        <v/>
      </c>
      <c r="Q135" s="1397">
        <f>IF(raw[[#This Row],[in]]=0,0,YEAR(raw[[#This Row],[in]]))</f>
        <v/>
      </c>
      <c r="R135" s="1397">
        <f>INT(raw[[#This Row],[yr]]/10)*10</f>
        <v/>
      </c>
      <c r="S135" s="1395">
        <f>IF(raw[[#This Row],[city]]="","-",IF(raw[[#This Row],[city]]&lt;&gt;_xlfn.XLOOKUP(raw[[#This Row],[home]],homes[home],homes[city],"-"),1,0))</f>
        <v/>
      </c>
      <c r="T135" s="1398" t="inlineStr">
        <is>
          <t>.</t>
        </is>
      </c>
      <c r="U135" s="1399">
        <f>IF(raw[[#This Row],[wb]]="w",raw[[#This Row],[stay]]+U134,U134)</f>
        <v/>
      </c>
      <c r="V135" s="1400">
        <f>IF(raw[[#This Row],[out]]=0,V134,(raw[[#This Row],[out]]-E$5))</f>
        <v/>
      </c>
      <c r="W135" s="1401">
        <f>U135/V135</f>
        <v/>
      </c>
      <c r="X135" s="1378" t="inlineStr">
        <is>
          <t>.</t>
        </is>
      </c>
      <c r="Y135" s="1402">
        <f/>
        <v/>
      </c>
      <c r="Z135" s="1403">
        <f/>
        <v/>
      </c>
      <c r="AA135" s="1403">
        <f/>
        <v/>
      </c>
      <c r="AB135" s="1400">
        <f t="array" ref="AB135">_xlfn.LET(_xlpm.S,_xlfn.ANCHORARRAY($Y$4),_xlpm.r,ROWS(stayCity[[#Headers],[city]]:stayCity[[#This Row],[city]])-1,IF(_xlpm.r&lt;=ROWS(_xlpm.S),INDEX(_xlpm.S,_xlpm.r,1),""))</f>
        <v/>
      </c>
      <c r="AC135" s="1405">
        <f t="array" ref="AC135">_xlfn.LET(_xlpm.S,_xlfn.ANCHORARRAY($Y$4),_xlpm.r,ROWS(stayCity[[#Headers],[city]]:stayCity[[#This Row],[city]])-1,IF(_xlpm.r&lt;=ROWS(_xlpm.S),INDEX(_xlpm.S,_xlpm.r,2),""))</f>
        <v/>
      </c>
      <c r="AD135" s="1405">
        <f t="array" ref="AD135">_xlfn.LET(_xlpm.S,_xlfn.ANCHORARRAY($Y$4),_xlpm.r,ROWS(stayCity[[#Headers],[city]]:stayCity[[#This Row],[city]])-1,IF(_xlpm.r&lt;=ROWS(_xlpm.S),INDEX(_xlpm.S,_xlpm.r,3),""))</f>
        <v/>
      </c>
      <c r="AE135" s="1400">
        <f>IF(stayCity[[#This Row],[out]]&lt;&gt;"",stayCity[[#This Row],[out]]-stayCity[[#This Row],[in]],"-")</f>
        <v/>
      </c>
      <c r="AF135" s="1406">
        <f>IF(Y135="","-",YEAR(stayCity[[#This Row],[in]]))</f>
        <v/>
      </c>
      <c r="AG135" s="1398" t="inlineStr">
        <is>
          <t>.</t>
        </is>
      </c>
      <c r="AH135" s="1402">
        <f/>
        <v/>
      </c>
      <c r="AI135" s="1403">
        <f/>
        <v/>
      </c>
      <c r="AJ135" s="1403">
        <f/>
        <v/>
      </c>
      <c r="AK135" s="1400">
        <f>IF(AH135="","-",AH135)</f>
        <v/>
      </c>
      <c r="AL135" s="1405">
        <f>AI135</f>
        <v/>
      </c>
      <c r="AM135" s="1405">
        <f>AJ135</f>
        <v/>
      </c>
      <c r="AN135" s="1400">
        <f>stayCtry[[#This Row],[out]]-stayCtry[[#This Row],[in]]</f>
        <v/>
      </c>
      <c r="AO135" s="1406">
        <f>IF(AI135&lt;&gt;"",AO134+1,AO134)</f>
        <v/>
      </c>
      <c r="AP135" s="1398" t="inlineStr">
        <is>
          <t>.</t>
        </is>
      </c>
      <c r="AQ135" s="1402">
        <f/>
        <v/>
      </c>
      <c r="AR135" s="1403">
        <f/>
        <v/>
      </c>
      <c r="AS135" s="1403">
        <f/>
        <v/>
      </c>
      <c r="AT135" s="1400">
        <f>AQ135</f>
        <v/>
      </c>
      <c r="AU135" s="1405">
        <f>AR135</f>
        <v/>
      </c>
      <c r="AV135" s="1405">
        <f>AS135</f>
        <v/>
      </c>
      <c r="AW135" s="1400">
        <f>stayCont[[#This Row],[out]]-stayCont[[#This Row],[in]]</f>
        <v/>
      </c>
      <c r="AX135" s="1406">
        <f>IF(AR135&lt;&gt;"",AX134+1,AX134)</f>
        <v/>
      </c>
      <c r="AY135" s="1398" t="inlineStr">
        <is>
          <t>.</t>
        </is>
      </c>
      <c r="AZ135" s="1402" t="n"/>
      <c r="BA135" s="1403" t="n"/>
      <c r="BB135" s="1403" t="n"/>
      <c r="BC135" s="1405">
        <f>AZ135</f>
        <v/>
      </c>
      <c r="BD135" s="1405">
        <f>BA135</f>
        <v/>
      </c>
      <c r="BE135" s="1405">
        <f>BB135</f>
        <v/>
      </c>
      <c r="BF135" s="1400">
        <f>stayWB[[#This Row],[out]]-stayWB[[#This Row],[in]]</f>
        <v/>
      </c>
      <c r="BG135" s="1400">
        <f>IF(BB135&lt;&gt;"",BG134+1,BG134)</f>
        <v/>
      </c>
      <c r="BH135" s="1398" t="inlineStr">
        <is>
          <t>.</t>
        </is>
      </c>
      <c r="BI135" s="1402" t="inlineStr">
        <is>
          <t>ARG</t>
        </is>
      </c>
      <c r="BJ135" s="1402" t="n">
        <v>2008</v>
      </c>
      <c r="BK135" s="1400">
        <f>BI135</f>
        <v/>
      </c>
      <c r="BL135" s="1409">
        <f>BJ135</f>
        <v/>
      </c>
      <c r="BM135" s="1378" t="inlineStr">
        <is>
          <t>.</t>
        </is>
      </c>
      <c r="BN135" s="1411" t="inlineStr">
        <is>
          <t>B</t>
        </is>
      </c>
      <c r="BO135" s="1400">
        <f>BN135</f>
        <v/>
      </c>
      <c r="BP135" s="1398" t="inlineStr">
        <is>
          <t>.</t>
        </is>
      </c>
      <c r="BQ135" s="1400">
        <f>IF(BR135&lt;&gt;"",BQ134+1,BQ134)</f>
        <v/>
      </c>
      <c r="BR135" s="1411" t="inlineStr">
        <is>
          <t>SP</t>
        </is>
      </c>
      <c r="BS135" s="1411" t="inlineStr">
        <is>
          <t>Rio</t>
        </is>
      </c>
      <c r="BT135" s="1412" t="inlineStr">
        <is>
          <t>SP-Rio</t>
        </is>
      </c>
      <c r="BU135" s="1412" t="n">
        <v>38352</v>
      </c>
      <c r="BV135" s="1398" t="inlineStr">
        <is>
          <t>.</t>
        </is>
      </c>
      <c r="BW135" s="1392" t="n"/>
      <c r="BX135" s="1392" t="n"/>
      <c r="BY135" s="1392" t="n"/>
      <c r="BZ135" s="1416" t="n"/>
      <c r="CA135" s="1392" t="n"/>
      <c r="CB135" s="1398" t="inlineStr">
        <is>
          <t>.</t>
        </is>
      </c>
      <c r="CC135" s="1400">
        <f>IF(CD135&lt;&gt;"",CC134+1,CC134)</f>
        <v/>
      </c>
      <c r="CD135" s="1411" t="inlineStr">
        <is>
          <t>Salto Grande</t>
        </is>
      </c>
      <c r="CE135" s="1412" t="n">
        <v>40565</v>
      </c>
      <c r="CF135" s="1412" t="n">
        <v>40570</v>
      </c>
      <c r="CG135" s="1415">
        <f>CF135-CE135</f>
        <v/>
      </c>
      <c r="CH135" s="1398" t="inlineStr">
        <is>
          <t>.</t>
        </is>
      </c>
      <c r="CI135" s="1392" t="n"/>
      <c r="CJ135" s="1392" t="n"/>
      <c r="CK135" s="1392" t="n"/>
      <c r="CL135" s="1392" t="n"/>
    </row>
    <row r="136">
      <c r="A136" s="5" t="inlineStr">
        <is>
          <t>.</t>
        </is>
      </c>
      <c r="B136" s="5" t="inlineStr">
        <is>
          <t>.</t>
        </is>
      </c>
      <c r="C136" s="1378">
        <f>IF(raw[[#This Row],[city]]="","-",IF(raw[[#This Row],[city]]="TODAY","-",C135+1))</f>
        <v/>
      </c>
      <c r="D136" s="1393" t="inlineStr">
        <is>
          <t>Ville-sur-Mer</t>
        </is>
      </c>
      <c r="E136" s="1394" t="n">
        <v>32022</v>
      </c>
      <c r="F136" s="1394" t="n">
        <v>32022</v>
      </c>
      <c r="G136" s="1393" t="inlineStr">
        <is>
          <t>-</t>
        </is>
      </c>
      <c r="H136" s="1393">
        <f>H135</f>
        <v/>
      </c>
      <c r="I136" s="1393" t="n"/>
      <c r="J136" s="1393" t="inlineStr">
        <is>
          <t>-</t>
        </is>
      </c>
      <c r="K136" s="1395">
        <f>IF(raw[[#This Row],[city]]&lt;&gt;"",_xlfn.XLOOKUP($D136,ccc[city],ccc[prov],"-"),"-")</f>
        <v/>
      </c>
      <c r="L136" s="1395">
        <f>IF(raw[[#This Row],[city]]&lt;&gt;"",_xlfn.XLOOKUP($D136,ccc[city],ccc[ctry],"-"),"-")</f>
        <v/>
      </c>
      <c r="M136" s="1395">
        <f>IF(raw[[#This Row],[city]]&lt;&gt;"",_xlfn.XLOOKUP($D136,ccc[city],ccc[cont],"-"),"-")</f>
        <v/>
      </c>
      <c r="N136" s="1396">
        <f>IF(raw[[#This Row],[city]]="","-",IF(raw[[#This Row],[cont]]="B",raw[[#This Row],[cont]],"W"))</f>
        <v/>
      </c>
      <c r="O136" s="1397">
        <f>IF(raw[[#This Row],[out]]=0,0,IF(raw[[#This Row],[out]]=raw[[#This Row],[in]],0.01,raw[[#This Row],[out]]-raw[[#This Row],[in]]))</f>
        <v/>
      </c>
      <c r="P136" s="1397">
        <f>IF(raw[[#This Row],[in]]=0,0,MONTH(raw[[#This Row],[in]]))</f>
        <v/>
      </c>
      <c r="Q136" s="1397">
        <f>IF(raw[[#This Row],[in]]=0,0,YEAR(raw[[#This Row],[in]]))</f>
        <v/>
      </c>
      <c r="R136" s="1397">
        <f>INT(raw[[#This Row],[yr]]/10)*10</f>
        <v/>
      </c>
      <c r="S136" s="1395">
        <f>IF(raw[[#This Row],[city]]="","-",IF(raw[[#This Row],[city]]&lt;&gt;_xlfn.XLOOKUP(raw[[#This Row],[home]],homes[home],homes[city],"-"),1,0))</f>
        <v/>
      </c>
      <c r="T136" s="1398" t="inlineStr">
        <is>
          <t>.</t>
        </is>
      </c>
      <c r="U136" s="1399">
        <f>IF(raw[[#This Row],[wb]]="w",raw[[#This Row],[stay]]+U135,U135)</f>
        <v/>
      </c>
      <c r="V136" s="1400">
        <f>IF(raw[[#This Row],[out]]=0,V135,(raw[[#This Row],[out]]-E$5))</f>
        <v/>
      </c>
      <c r="W136" s="1401">
        <f>U136/V136</f>
        <v/>
      </c>
      <c r="X136" s="1378" t="inlineStr">
        <is>
          <t>.</t>
        </is>
      </c>
      <c r="Y136" s="1402">
        <f/>
        <v/>
      </c>
      <c r="Z136" s="1403">
        <f/>
        <v/>
      </c>
      <c r="AA136" s="1403">
        <f/>
        <v/>
      </c>
      <c r="AB136" s="1400">
        <f t="array" ref="AB136">_xlfn.LET(_xlpm.S,_xlfn.ANCHORARRAY($Y$4),_xlpm.r,ROWS(stayCity[[#Headers],[city]]:stayCity[[#This Row],[city]])-1,IF(_xlpm.r&lt;=ROWS(_xlpm.S),INDEX(_xlpm.S,_xlpm.r,1),""))</f>
        <v/>
      </c>
      <c r="AC136" s="1405">
        <f t="array" ref="AC136">_xlfn.LET(_xlpm.S,_xlfn.ANCHORARRAY($Y$4),_xlpm.r,ROWS(stayCity[[#Headers],[city]]:stayCity[[#This Row],[city]])-1,IF(_xlpm.r&lt;=ROWS(_xlpm.S),INDEX(_xlpm.S,_xlpm.r,2),""))</f>
        <v/>
      </c>
      <c r="AD136" s="1405">
        <f t="array" ref="AD136">_xlfn.LET(_xlpm.S,_xlfn.ANCHORARRAY($Y$4),_xlpm.r,ROWS(stayCity[[#Headers],[city]]:stayCity[[#This Row],[city]])-1,IF(_xlpm.r&lt;=ROWS(_xlpm.S),INDEX(_xlpm.S,_xlpm.r,3),""))</f>
        <v/>
      </c>
      <c r="AE136" s="1400">
        <f>IF(stayCity[[#This Row],[out]]&lt;&gt;"",stayCity[[#This Row],[out]]-stayCity[[#This Row],[in]],"-")</f>
        <v/>
      </c>
      <c r="AF136" s="1406">
        <f>IF(Y136="","-",YEAR(stayCity[[#This Row],[in]]))</f>
        <v/>
      </c>
      <c r="AG136" s="1398" t="inlineStr">
        <is>
          <t>.</t>
        </is>
      </c>
      <c r="AH136" s="1402">
        <f/>
        <v/>
      </c>
      <c r="AI136" s="1403">
        <f/>
        <v/>
      </c>
      <c r="AJ136" s="1403">
        <f/>
        <v/>
      </c>
      <c r="AK136" s="1400">
        <f>IF(AH136="","-",AH136)</f>
        <v/>
      </c>
      <c r="AL136" s="1405">
        <f>AI136</f>
        <v/>
      </c>
      <c r="AM136" s="1405">
        <f>AJ136</f>
        <v/>
      </c>
      <c r="AN136" s="1400">
        <f>stayCtry[[#This Row],[out]]-stayCtry[[#This Row],[in]]</f>
        <v/>
      </c>
      <c r="AO136" s="1406">
        <f>IF(AI136&lt;&gt;"",AO135+1,AO135)</f>
        <v/>
      </c>
      <c r="AP136" s="1398" t="inlineStr">
        <is>
          <t>.</t>
        </is>
      </c>
      <c r="AQ136" s="1402">
        <f/>
        <v/>
      </c>
      <c r="AR136" s="1403">
        <f/>
        <v/>
      </c>
      <c r="AS136" s="1403">
        <f/>
        <v/>
      </c>
      <c r="AT136" s="1400">
        <f>AQ136</f>
        <v/>
      </c>
      <c r="AU136" s="1405">
        <f>AR136</f>
        <v/>
      </c>
      <c r="AV136" s="1405">
        <f>AS136</f>
        <v/>
      </c>
      <c r="AW136" s="1400">
        <f>stayCont[[#This Row],[out]]-stayCont[[#This Row],[in]]</f>
        <v/>
      </c>
      <c r="AX136" s="1406">
        <f>IF(AR136&lt;&gt;"",AX135+1,AX135)</f>
        <v/>
      </c>
      <c r="AY136" s="1398" t="inlineStr">
        <is>
          <t>.</t>
        </is>
      </c>
      <c r="AZ136" s="1402" t="n"/>
      <c r="BA136" s="1403" t="n"/>
      <c r="BB136" s="1403" t="n"/>
      <c r="BC136" s="1405">
        <f>AZ136</f>
        <v/>
      </c>
      <c r="BD136" s="1405">
        <f>BA136</f>
        <v/>
      </c>
      <c r="BE136" s="1405">
        <f>BB136</f>
        <v/>
      </c>
      <c r="BF136" s="1400">
        <f>stayWB[[#This Row],[out]]-stayWB[[#This Row],[in]]</f>
        <v/>
      </c>
      <c r="BG136" s="1400">
        <f>IF(BB136&lt;&gt;"",BG135+1,BG135)</f>
        <v/>
      </c>
      <c r="BH136" s="1398" t="inlineStr">
        <is>
          <t>.</t>
        </is>
      </c>
      <c r="BI136" s="1402" t="inlineStr">
        <is>
          <t>URY</t>
        </is>
      </c>
      <c r="BJ136" s="1402" t="n">
        <v>2008</v>
      </c>
      <c r="BK136" s="1400">
        <f>BI136</f>
        <v/>
      </c>
      <c r="BL136" s="1409">
        <f>BJ136</f>
        <v/>
      </c>
      <c r="BM136" s="1378" t="inlineStr">
        <is>
          <t>.</t>
        </is>
      </c>
      <c r="BN136" s="1411" t="inlineStr">
        <is>
          <t>Z</t>
        </is>
      </c>
      <c r="BO136" s="1400">
        <f>BN136</f>
        <v/>
      </c>
      <c r="BP136" s="1398" t="inlineStr">
        <is>
          <t>.</t>
        </is>
      </c>
      <c r="BQ136" s="1400">
        <f>IF(BR136&lt;&gt;"",BQ135+1,BQ135)</f>
        <v/>
      </c>
      <c r="BR136" s="1411" t="inlineStr">
        <is>
          <t>Rio</t>
        </is>
      </c>
      <c r="BS136" s="1411" t="inlineStr">
        <is>
          <t>SSA</t>
        </is>
      </c>
      <c r="BT136" s="1412" t="inlineStr">
        <is>
          <t>Rio-SSA</t>
        </is>
      </c>
      <c r="BU136" s="1412" t="n">
        <v>38356</v>
      </c>
      <c r="BV136" s="1398" t="inlineStr">
        <is>
          <t>.</t>
        </is>
      </c>
      <c r="BW136" s="1392" t="n"/>
      <c r="BX136" s="1392" t="n"/>
      <c r="BY136" s="1392" t="n"/>
      <c r="BZ136" s="1416" t="n"/>
      <c r="CA136" s="1392" t="n"/>
      <c r="CB136" s="1398" t="inlineStr">
        <is>
          <t>.</t>
        </is>
      </c>
      <c r="CC136" s="1400">
        <f>IF(CD136&lt;&gt;"",CC135+1,CC135)</f>
        <v/>
      </c>
      <c r="CD136" s="1411" t="inlineStr">
        <is>
          <t>Monica Rio</t>
        </is>
      </c>
      <c r="CE136" s="1412" t="n">
        <v>40570</v>
      </c>
      <c r="CF136" s="1412" t="n">
        <v>40577</v>
      </c>
      <c r="CG136" s="1415">
        <f>CF136-CE136</f>
        <v/>
      </c>
      <c r="CH136" s="1398" t="inlineStr">
        <is>
          <t>.</t>
        </is>
      </c>
      <c r="CI136" s="1392" t="n"/>
      <c r="CJ136" s="1392" t="n"/>
      <c r="CK136" s="1392" t="n"/>
      <c r="CL136" s="1392" t="n"/>
    </row>
    <row r="137">
      <c r="A137" s="5" t="inlineStr">
        <is>
          <t>.</t>
        </is>
      </c>
      <c r="B137" s="5" t="inlineStr">
        <is>
          <t>.</t>
        </is>
      </c>
      <c r="C137" s="1378">
        <f>IF(raw[[#This Row],[city]]="","-",IF(raw[[#This Row],[city]]="TODAY","-",C136+1))</f>
        <v/>
      </c>
      <c r="D137" s="1393" t="inlineStr">
        <is>
          <t>Mont St Michel</t>
        </is>
      </c>
      <c r="E137" s="1394" t="n">
        <v>32022</v>
      </c>
      <c r="F137" s="1394" t="n">
        <v>32022</v>
      </c>
      <c r="G137" s="1393" t="inlineStr">
        <is>
          <t>-</t>
        </is>
      </c>
      <c r="H137" s="1393">
        <f>H136</f>
        <v/>
      </c>
      <c r="I137" s="1393" t="inlineStr">
        <is>
          <t>-</t>
        </is>
      </c>
      <c r="J137" s="1393" t="inlineStr">
        <is>
          <t>-</t>
        </is>
      </c>
      <c r="K137" s="1395">
        <f>IF(raw[[#This Row],[city]]&lt;&gt;"",_xlfn.XLOOKUP($D137,ccc[city],ccc[prov],"-"),"-")</f>
        <v/>
      </c>
      <c r="L137" s="1395">
        <f>IF(raw[[#This Row],[city]]&lt;&gt;"",_xlfn.XLOOKUP($D137,ccc[city],ccc[ctry],"-"),"-")</f>
        <v/>
      </c>
      <c r="M137" s="1395">
        <f>IF(raw[[#This Row],[city]]&lt;&gt;"",_xlfn.XLOOKUP($D137,ccc[city],ccc[cont],"-"),"-")</f>
        <v/>
      </c>
      <c r="N137" s="1396">
        <f>IF(raw[[#This Row],[city]]="","-",IF(raw[[#This Row],[cont]]="B",raw[[#This Row],[cont]],"W"))</f>
        <v/>
      </c>
      <c r="O137" s="1397">
        <f>IF(raw[[#This Row],[out]]=0,0,IF(raw[[#This Row],[out]]=raw[[#This Row],[in]],0.01,raw[[#This Row],[out]]-raw[[#This Row],[in]]))</f>
        <v/>
      </c>
      <c r="P137" s="1397">
        <f>IF(raw[[#This Row],[in]]=0,0,MONTH(raw[[#This Row],[in]]))</f>
        <v/>
      </c>
      <c r="Q137" s="1397">
        <f>IF(raw[[#This Row],[in]]=0,0,YEAR(raw[[#This Row],[in]]))</f>
        <v/>
      </c>
      <c r="R137" s="1397">
        <f>INT(raw[[#This Row],[yr]]/10)*10</f>
        <v/>
      </c>
      <c r="S137" s="1395">
        <f>IF(raw[[#This Row],[city]]="","-",IF(raw[[#This Row],[city]]&lt;&gt;_xlfn.XLOOKUP(raw[[#This Row],[home]],homes[home],homes[city],"-"),1,0))</f>
        <v/>
      </c>
      <c r="T137" s="1398" t="inlineStr">
        <is>
          <t>.</t>
        </is>
      </c>
      <c r="U137" s="1399">
        <f>IF(raw[[#This Row],[wb]]="w",raw[[#This Row],[stay]]+U136,U136)</f>
        <v/>
      </c>
      <c r="V137" s="1400">
        <f>IF(raw[[#This Row],[out]]=0,V136,(raw[[#This Row],[out]]-E$5))</f>
        <v/>
      </c>
      <c r="W137" s="1401">
        <f>U137/V137</f>
        <v/>
      </c>
      <c r="X137" s="1378" t="inlineStr">
        <is>
          <t>.</t>
        </is>
      </c>
      <c r="Y137" s="1402">
        <f/>
        <v/>
      </c>
      <c r="Z137" s="1403">
        <f/>
        <v/>
      </c>
      <c r="AA137" s="1403">
        <f/>
        <v/>
      </c>
      <c r="AB137" s="1400">
        <f t="array" ref="AB137">_xlfn.LET(_xlpm.S,_xlfn.ANCHORARRAY($Y$4),_xlpm.r,ROWS(stayCity[[#Headers],[city]]:stayCity[[#This Row],[city]])-1,IF(_xlpm.r&lt;=ROWS(_xlpm.S),INDEX(_xlpm.S,_xlpm.r,1),""))</f>
        <v/>
      </c>
      <c r="AC137" s="1405">
        <f t="array" ref="AC137">_xlfn.LET(_xlpm.S,_xlfn.ANCHORARRAY($Y$4),_xlpm.r,ROWS(stayCity[[#Headers],[city]]:stayCity[[#This Row],[city]])-1,IF(_xlpm.r&lt;=ROWS(_xlpm.S),INDEX(_xlpm.S,_xlpm.r,2),""))</f>
        <v/>
      </c>
      <c r="AD137" s="1405">
        <f t="array" ref="AD137">_xlfn.LET(_xlpm.S,_xlfn.ANCHORARRAY($Y$4),_xlpm.r,ROWS(stayCity[[#Headers],[city]]:stayCity[[#This Row],[city]])-1,IF(_xlpm.r&lt;=ROWS(_xlpm.S),INDEX(_xlpm.S,_xlpm.r,3),""))</f>
        <v/>
      </c>
      <c r="AE137" s="1400">
        <f>IF(stayCity[[#This Row],[out]]&lt;&gt;"",stayCity[[#This Row],[out]]-stayCity[[#This Row],[in]],"-")</f>
        <v/>
      </c>
      <c r="AF137" s="1406">
        <f>IF(Y137="","-",YEAR(stayCity[[#This Row],[in]]))</f>
        <v/>
      </c>
      <c r="AG137" s="1398" t="inlineStr">
        <is>
          <t>.</t>
        </is>
      </c>
      <c r="AH137" s="1402">
        <f/>
        <v/>
      </c>
      <c r="AI137" s="1403">
        <f/>
        <v/>
      </c>
      <c r="AJ137" s="1403">
        <f/>
        <v/>
      </c>
      <c r="AK137" s="1400">
        <f>IF(AH137="","-",AH137)</f>
        <v/>
      </c>
      <c r="AL137" s="1405">
        <f>AI137</f>
        <v/>
      </c>
      <c r="AM137" s="1405">
        <f>AJ137</f>
        <v/>
      </c>
      <c r="AN137" s="1400">
        <f>stayCtry[[#This Row],[out]]-stayCtry[[#This Row],[in]]</f>
        <v/>
      </c>
      <c r="AO137" s="1406">
        <f>IF(AI137&lt;&gt;"",AO136+1,AO136)</f>
        <v/>
      </c>
      <c r="AP137" s="1398" t="inlineStr">
        <is>
          <t>.</t>
        </is>
      </c>
      <c r="AQ137" s="1402">
        <f/>
        <v/>
      </c>
      <c r="AR137" s="1403">
        <f/>
        <v/>
      </c>
      <c r="AS137" s="1403">
        <f/>
        <v/>
      </c>
      <c r="AT137" s="1400">
        <f>AQ137</f>
        <v/>
      </c>
      <c r="AU137" s="1405">
        <f>AR137</f>
        <v/>
      </c>
      <c r="AV137" s="1405">
        <f>AS137</f>
        <v/>
      </c>
      <c r="AW137" s="1400">
        <f>stayCont[[#This Row],[out]]-stayCont[[#This Row],[in]]</f>
        <v/>
      </c>
      <c r="AX137" s="1406">
        <f>IF(AR137&lt;&gt;"",AX136+1,AX136)</f>
        <v/>
      </c>
      <c r="AY137" s="1398" t="inlineStr">
        <is>
          <t>.</t>
        </is>
      </c>
      <c r="AZ137" s="1402" t="n"/>
      <c r="BA137" s="1403" t="n"/>
      <c r="BB137" s="1403" t="n"/>
      <c r="BC137" s="1405">
        <f>AZ137</f>
        <v/>
      </c>
      <c r="BD137" s="1405">
        <f>BA137</f>
        <v/>
      </c>
      <c r="BE137" s="1405">
        <f>BB137</f>
        <v/>
      </c>
      <c r="BF137" s="1400">
        <f>stayWB[[#This Row],[out]]-stayWB[[#This Row],[in]]</f>
        <v/>
      </c>
      <c r="BG137" s="1400">
        <f>IF(BB137&lt;&gt;"",BG136+1,BG136)</f>
        <v/>
      </c>
      <c r="BH137" s="1398" t="inlineStr">
        <is>
          <t>.</t>
        </is>
      </c>
      <c r="BI137" s="1402" t="inlineStr">
        <is>
          <t>ARG</t>
        </is>
      </c>
      <c r="BJ137" s="1402" t="n">
        <v>2008</v>
      </c>
      <c r="BK137" s="1400">
        <f>BI137</f>
        <v/>
      </c>
      <c r="BL137" s="1409">
        <f>BJ137</f>
        <v/>
      </c>
      <c r="BM137" s="1378" t="inlineStr">
        <is>
          <t>.</t>
        </is>
      </c>
      <c r="BN137" s="1411" t="inlineStr">
        <is>
          <t>N</t>
        </is>
      </c>
      <c r="BO137" s="1400">
        <f>BN137</f>
        <v/>
      </c>
      <c r="BP137" s="1398" t="inlineStr">
        <is>
          <t>.</t>
        </is>
      </c>
      <c r="BQ137" s="1400">
        <f>IF(BR137&lt;&gt;"",BQ136+1,BQ136)</f>
        <v/>
      </c>
      <c r="BR137" s="1411" t="inlineStr">
        <is>
          <t>SSA</t>
        </is>
      </c>
      <c r="BS137" s="1411" t="inlineStr">
        <is>
          <t>SP</t>
        </is>
      </c>
      <c r="BT137" s="1412" t="inlineStr">
        <is>
          <t>SSA-SP</t>
        </is>
      </c>
      <c r="BU137" s="1412" t="n">
        <v>38453</v>
      </c>
      <c r="BV137" s="1398" t="inlineStr">
        <is>
          <t>.</t>
        </is>
      </c>
      <c r="BW137" s="1392" t="n"/>
      <c r="BX137" s="1392" t="n"/>
      <c r="BY137" s="1392" t="n"/>
      <c r="BZ137" s="1416" t="n"/>
      <c r="CA137" s="1392" t="n"/>
      <c r="CB137" s="1398" t="inlineStr">
        <is>
          <t>.</t>
        </is>
      </c>
      <c r="CC137" s="1400">
        <f>IF(CD137&lt;&gt;"",CC136+1,CC136)</f>
        <v/>
      </c>
      <c r="CD137" s="1411" t="inlineStr">
        <is>
          <t>Salto Grande</t>
        </is>
      </c>
      <c r="CE137" s="1412" t="n">
        <v>40645</v>
      </c>
      <c r="CF137" s="1412" t="n">
        <v>40651</v>
      </c>
      <c r="CG137" s="1415">
        <f>CF137-CE137</f>
        <v/>
      </c>
      <c r="CH137" s="1398" t="inlineStr">
        <is>
          <t>.</t>
        </is>
      </c>
      <c r="CI137" s="1392" t="n"/>
      <c r="CJ137" s="1392" t="n"/>
      <c r="CK137" s="1392" t="n"/>
      <c r="CL137" s="1392" t="n"/>
    </row>
    <row r="138">
      <c r="A138" s="5" t="inlineStr">
        <is>
          <t>.</t>
        </is>
      </c>
      <c r="B138" s="5" t="inlineStr">
        <is>
          <t>.</t>
        </is>
      </c>
      <c r="C138" s="1378">
        <f>IF(raw[[#This Row],[city]]="","-",IF(raw[[#This Row],[city]]="TODAY","-",C137+1))</f>
        <v/>
      </c>
      <c r="D138" s="1393" t="inlineStr">
        <is>
          <t>Dinan</t>
        </is>
      </c>
      <c r="E138" s="1394" t="n">
        <v>32022</v>
      </c>
      <c r="F138" s="1394" t="n">
        <v>32022</v>
      </c>
      <c r="G138" s="1393" t="inlineStr">
        <is>
          <t>-</t>
        </is>
      </c>
      <c r="H138" s="1393">
        <f>H137</f>
        <v/>
      </c>
      <c r="I138" s="1393" t="n"/>
      <c r="J138" s="1393" t="inlineStr">
        <is>
          <t>-</t>
        </is>
      </c>
      <c r="K138" s="1395">
        <f>IF(raw[[#This Row],[city]]&lt;&gt;"",_xlfn.XLOOKUP($D138,ccc[city],ccc[prov],"-"),"-")</f>
        <v/>
      </c>
      <c r="L138" s="1395">
        <f>IF(raw[[#This Row],[city]]&lt;&gt;"",_xlfn.XLOOKUP($D138,ccc[city],ccc[ctry],"-"),"-")</f>
        <v/>
      </c>
      <c r="M138" s="1395">
        <f>IF(raw[[#This Row],[city]]&lt;&gt;"",_xlfn.XLOOKUP($D138,ccc[city],ccc[cont],"-"),"-")</f>
        <v/>
      </c>
      <c r="N138" s="1396">
        <f>IF(raw[[#This Row],[city]]="","-",IF(raw[[#This Row],[cont]]="B",raw[[#This Row],[cont]],"W"))</f>
        <v/>
      </c>
      <c r="O138" s="1397">
        <f>IF(raw[[#This Row],[out]]=0,0,IF(raw[[#This Row],[out]]=raw[[#This Row],[in]],0.01,raw[[#This Row],[out]]-raw[[#This Row],[in]]))</f>
        <v/>
      </c>
      <c r="P138" s="1397">
        <f>IF(raw[[#This Row],[in]]=0,0,MONTH(raw[[#This Row],[in]]))</f>
        <v/>
      </c>
      <c r="Q138" s="1397">
        <f>IF(raw[[#This Row],[in]]=0,0,YEAR(raw[[#This Row],[in]]))</f>
        <v/>
      </c>
      <c r="R138" s="1397">
        <f>INT(raw[[#This Row],[yr]]/10)*10</f>
        <v/>
      </c>
      <c r="S138" s="1395">
        <f>IF(raw[[#This Row],[city]]="","-",IF(raw[[#This Row],[city]]&lt;&gt;_xlfn.XLOOKUP(raw[[#This Row],[home]],homes[home],homes[city],"-"),1,0))</f>
        <v/>
      </c>
      <c r="T138" s="1398" t="inlineStr">
        <is>
          <t>.</t>
        </is>
      </c>
      <c r="U138" s="1399">
        <f>IF(raw[[#This Row],[wb]]="w",raw[[#This Row],[stay]]+U137,U137)</f>
        <v/>
      </c>
      <c r="V138" s="1400">
        <f>IF(raw[[#This Row],[out]]=0,V137,(raw[[#This Row],[out]]-E$5))</f>
        <v/>
      </c>
      <c r="W138" s="1401">
        <f>U138/V138</f>
        <v/>
      </c>
      <c r="X138" s="1378" t="inlineStr">
        <is>
          <t>.</t>
        </is>
      </c>
      <c r="Y138" s="1402">
        <f/>
        <v/>
      </c>
      <c r="Z138" s="1403">
        <f/>
        <v/>
      </c>
      <c r="AA138" s="1403">
        <f/>
        <v/>
      </c>
      <c r="AB138" s="1400">
        <f t="array" ref="AB138">_xlfn.LET(_xlpm.S,_xlfn.ANCHORARRAY($Y$4),_xlpm.r,ROWS(stayCity[[#Headers],[city]]:stayCity[[#This Row],[city]])-1,IF(_xlpm.r&lt;=ROWS(_xlpm.S),INDEX(_xlpm.S,_xlpm.r,1),""))</f>
        <v/>
      </c>
      <c r="AC138" s="1405">
        <f t="array" ref="AC138">_xlfn.LET(_xlpm.S,_xlfn.ANCHORARRAY($Y$4),_xlpm.r,ROWS(stayCity[[#Headers],[city]]:stayCity[[#This Row],[city]])-1,IF(_xlpm.r&lt;=ROWS(_xlpm.S),INDEX(_xlpm.S,_xlpm.r,2),""))</f>
        <v/>
      </c>
      <c r="AD138" s="1405">
        <f t="array" ref="AD138">_xlfn.LET(_xlpm.S,_xlfn.ANCHORARRAY($Y$4),_xlpm.r,ROWS(stayCity[[#Headers],[city]]:stayCity[[#This Row],[city]])-1,IF(_xlpm.r&lt;=ROWS(_xlpm.S),INDEX(_xlpm.S,_xlpm.r,3),""))</f>
        <v/>
      </c>
      <c r="AE138" s="1400">
        <f>IF(stayCity[[#This Row],[out]]&lt;&gt;"",stayCity[[#This Row],[out]]-stayCity[[#This Row],[in]],"-")</f>
        <v/>
      </c>
      <c r="AF138" s="1406">
        <f>IF(Y138="","-",YEAR(stayCity[[#This Row],[in]]))</f>
        <v/>
      </c>
      <c r="AG138" s="1398" t="inlineStr">
        <is>
          <t>.</t>
        </is>
      </c>
      <c r="AH138" s="1402">
        <f/>
        <v/>
      </c>
      <c r="AI138" s="1403">
        <f/>
        <v/>
      </c>
      <c r="AJ138" s="1403">
        <f/>
        <v/>
      </c>
      <c r="AK138" s="1400">
        <f>IF(AH138="","-",AH138)</f>
        <v/>
      </c>
      <c r="AL138" s="1405">
        <f>AI138</f>
        <v/>
      </c>
      <c r="AM138" s="1405">
        <f>AJ138</f>
        <v/>
      </c>
      <c r="AN138" s="1400">
        <f>stayCtry[[#This Row],[out]]-stayCtry[[#This Row],[in]]</f>
        <v/>
      </c>
      <c r="AO138" s="1406">
        <f>IF(AI138&lt;&gt;"",AO137+1,AO137)</f>
        <v/>
      </c>
      <c r="AP138" s="1398" t="inlineStr">
        <is>
          <t>.</t>
        </is>
      </c>
      <c r="AQ138" s="1402">
        <f/>
        <v/>
      </c>
      <c r="AR138" s="1403">
        <f/>
        <v/>
      </c>
      <c r="AS138" s="1403">
        <f/>
        <v/>
      </c>
      <c r="AT138" s="1400">
        <f>AQ138</f>
        <v/>
      </c>
      <c r="AU138" s="1405">
        <f>AR138</f>
        <v/>
      </c>
      <c r="AV138" s="1405">
        <f>AS138</f>
        <v/>
      </c>
      <c r="AW138" s="1400">
        <f>stayCont[[#This Row],[out]]-stayCont[[#This Row],[in]]</f>
        <v/>
      </c>
      <c r="AX138" s="1406">
        <f>IF(AR138&lt;&gt;"",AX137+1,AX137)</f>
        <v/>
      </c>
      <c r="AY138" s="1398" t="inlineStr">
        <is>
          <t>.</t>
        </is>
      </c>
      <c r="AZ138" s="1402" t="n"/>
      <c r="BA138" s="1403" t="n"/>
      <c r="BB138" s="1403" t="n"/>
      <c r="BC138" s="1405">
        <f>AZ138</f>
        <v/>
      </c>
      <c r="BD138" s="1405">
        <f>BA138</f>
        <v/>
      </c>
      <c r="BE138" s="1405">
        <f>BB138</f>
        <v/>
      </c>
      <c r="BF138" s="1400">
        <f>stayWB[[#This Row],[out]]-stayWB[[#This Row],[in]]</f>
        <v/>
      </c>
      <c r="BG138" s="1400">
        <f>IF(BB138&lt;&gt;"",BG137+1,BG137)</f>
        <v/>
      </c>
      <c r="BH138" s="1398" t="inlineStr">
        <is>
          <t>.</t>
        </is>
      </c>
      <c r="BI138" s="1402" t="inlineStr">
        <is>
          <t>BRA</t>
        </is>
      </c>
      <c r="BJ138" s="1402" t="n">
        <v>2008</v>
      </c>
      <c r="BK138" s="1400">
        <f>BI138</f>
        <v/>
      </c>
      <c r="BL138" s="1409">
        <f>BJ138</f>
        <v/>
      </c>
      <c r="BM138" s="1378" t="inlineStr">
        <is>
          <t>.</t>
        </is>
      </c>
      <c r="BN138" s="1411" t="inlineStr">
        <is>
          <t>Z</t>
        </is>
      </c>
      <c r="BO138" s="1400">
        <f>BN138</f>
        <v/>
      </c>
      <c r="BP138" s="1398" t="inlineStr">
        <is>
          <t>.</t>
        </is>
      </c>
      <c r="BQ138" s="1400">
        <f>IF(BR138&lt;&gt;"",BQ137+1,BQ137)</f>
        <v/>
      </c>
      <c r="BR138" s="1411" t="inlineStr">
        <is>
          <t>SP</t>
        </is>
      </c>
      <c r="BS138" s="1411" t="inlineStr">
        <is>
          <t>SSA</t>
        </is>
      </c>
      <c r="BT138" s="1412" t="inlineStr">
        <is>
          <t>SP-SSA</t>
        </is>
      </c>
      <c r="BU138" s="1412" t="n">
        <v>38477</v>
      </c>
      <c r="BV138" s="1398" t="inlineStr">
        <is>
          <t>.</t>
        </is>
      </c>
      <c r="BW138" s="1392" t="n"/>
      <c r="BX138" s="1392" t="n"/>
      <c r="BY138" s="1392" t="n"/>
      <c r="BZ138" s="1416" t="n"/>
      <c r="CA138" s="1392" t="n"/>
      <c r="CB138" s="1398" t="inlineStr">
        <is>
          <t>.</t>
        </is>
      </c>
      <c r="CC138" s="1400">
        <f>IF(CD138&lt;&gt;"",CC137+1,CC137)</f>
        <v/>
      </c>
      <c r="CD138" s="1411" t="inlineStr">
        <is>
          <t>Ibis</t>
        </is>
      </c>
      <c r="CE138" s="1412" t="n">
        <v>40672</v>
      </c>
      <c r="CF138" s="1412" t="n">
        <v>40673</v>
      </c>
      <c r="CG138" s="1415">
        <f>CF138-CE138</f>
        <v/>
      </c>
      <c r="CH138" s="1398" t="inlineStr">
        <is>
          <t>.</t>
        </is>
      </c>
      <c r="CI138" s="1392" t="n"/>
      <c r="CJ138" s="1392" t="n"/>
      <c r="CK138" s="1392" t="n"/>
      <c r="CL138" s="1392" t="n"/>
    </row>
    <row r="139">
      <c r="A139" s="5" t="inlineStr">
        <is>
          <t>.</t>
        </is>
      </c>
      <c r="B139" s="5" t="inlineStr">
        <is>
          <t>.</t>
        </is>
      </c>
      <c r="C139" s="1378">
        <f>IF(raw[[#This Row],[city]]="","-",IF(raw[[#This Row],[city]]="TODAY","-",C138+1))</f>
        <v/>
      </c>
      <c r="D139" s="1393" t="inlineStr">
        <is>
          <t>Dinard</t>
        </is>
      </c>
      <c r="E139" s="1394" t="n">
        <v>32022</v>
      </c>
      <c r="F139" s="1394" t="n">
        <v>32022</v>
      </c>
      <c r="G139" s="1393" t="inlineStr">
        <is>
          <t>-</t>
        </is>
      </c>
      <c r="H139" s="1393">
        <f>H138</f>
        <v/>
      </c>
      <c r="I139" s="1393" t="n"/>
      <c r="J139" s="1393" t="inlineStr">
        <is>
          <t>-</t>
        </is>
      </c>
      <c r="K139" s="1395">
        <f>IF(raw[[#This Row],[city]]&lt;&gt;"",_xlfn.XLOOKUP($D139,ccc[city],ccc[prov],"-"),"-")</f>
        <v/>
      </c>
      <c r="L139" s="1395">
        <f>IF(raw[[#This Row],[city]]&lt;&gt;"",_xlfn.XLOOKUP($D139,ccc[city],ccc[ctry],"-"),"-")</f>
        <v/>
      </c>
      <c r="M139" s="1395">
        <f>IF(raw[[#This Row],[city]]&lt;&gt;"",_xlfn.XLOOKUP($D139,ccc[city],ccc[cont],"-"),"-")</f>
        <v/>
      </c>
      <c r="N139" s="1396">
        <f>IF(raw[[#This Row],[city]]="","-",IF(raw[[#This Row],[cont]]="B",raw[[#This Row],[cont]],"W"))</f>
        <v/>
      </c>
      <c r="O139" s="1397">
        <f>IF(raw[[#This Row],[out]]=0,0,IF(raw[[#This Row],[out]]=raw[[#This Row],[in]],0.01,raw[[#This Row],[out]]-raw[[#This Row],[in]]))</f>
        <v/>
      </c>
      <c r="P139" s="1397">
        <f>IF(raw[[#This Row],[in]]=0,0,MONTH(raw[[#This Row],[in]]))</f>
        <v/>
      </c>
      <c r="Q139" s="1397">
        <f>IF(raw[[#This Row],[in]]=0,0,YEAR(raw[[#This Row],[in]]))</f>
        <v/>
      </c>
      <c r="R139" s="1397">
        <f>INT(raw[[#This Row],[yr]]/10)*10</f>
        <v/>
      </c>
      <c r="S139" s="1395">
        <f>IF(raw[[#This Row],[city]]="","-",IF(raw[[#This Row],[city]]&lt;&gt;_xlfn.XLOOKUP(raw[[#This Row],[home]],homes[home],homes[city],"-"),1,0))</f>
        <v/>
      </c>
      <c r="T139" s="1398" t="inlineStr">
        <is>
          <t>.</t>
        </is>
      </c>
      <c r="U139" s="1399">
        <f>IF(raw[[#This Row],[wb]]="w",raw[[#This Row],[stay]]+U138,U138)</f>
        <v/>
      </c>
      <c r="V139" s="1400">
        <f>IF(raw[[#This Row],[out]]=0,V138,(raw[[#This Row],[out]]-E$5))</f>
        <v/>
      </c>
      <c r="W139" s="1401">
        <f>U139/V139</f>
        <v/>
      </c>
      <c r="X139" s="1378" t="inlineStr">
        <is>
          <t>.</t>
        </is>
      </c>
      <c r="Y139" s="1402">
        <f/>
        <v/>
      </c>
      <c r="Z139" s="1403">
        <f/>
        <v/>
      </c>
      <c r="AA139" s="1403">
        <f/>
        <v/>
      </c>
      <c r="AB139" s="1400">
        <f t="array" ref="AB139">_xlfn.LET(_xlpm.S,_xlfn.ANCHORARRAY($Y$4),_xlpm.r,ROWS(stayCity[[#Headers],[city]]:stayCity[[#This Row],[city]])-1,IF(_xlpm.r&lt;=ROWS(_xlpm.S),INDEX(_xlpm.S,_xlpm.r,1),""))</f>
        <v/>
      </c>
      <c r="AC139" s="1405">
        <f t="array" ref="AC139">_xlfn.LET(_xlpm.S,_xlfn.ANCHORARRAY($Y$4),_xlpm.r,ROWS(stayCity[[#Headers],[city]]:stayCity[[#This Row],[city]])-1,IF(_xlpm.r&lt;=ROWS(_xlpm.S),INDEX(_xlpm.S,_xlpm.r,2),""))</f>
        <v/>
      </c>
      <c r="AD139" s="1405">
        <f t="array" ref="AD139">_xlfn.LET(_xlpm.S,_xlfn.ANCHORARRAY($Y$4),_xlpm.r,ROWS(stayCity[[#Headers],[city]]:stayCity[[#This Row],[city]])-1,IF(_xlpm.r&lt;=ROWS(_xlpm.S),INDEX(_xlpm.S,_xlpm.r,3),""))</f>
        <v/>
      </c>
      <c r="AE139" s="1400">
        <f>IF(stayCity[[#This Row],[out]]&lt;&gt;"",stayCity[[#This Row],[out]]-stayCity[[#This Row],[in]],"-")</f>
        <v/>
      </c>
      <c r="AF139" s="1406">
        <f>IF(Y139="","-",YEAR(stayCity[[#This Row],[in]]))</f>
        <v/>
      </c>
      <c r="AG139" s="1398" t="inlineStr">
        <is>
          <t>.</t>
        </is>
      </c>
      <c r="AH139" s="1402">
        <f/>
        <v/>
      </c>
      <c r="AI139" s="1403">
        <f/>
        <v/>
      </c>
      <c r="AJ139" s="1403">
        <f/>
        <v/>
      </c>
      <c r="AK139" s="1400">
        <f>IF(AH139="","-",AH139)</f>
        <v/>
      </c>
      <c r="AL139" s="1405">
        <f>AI139</f>
        <v/>
      </c>
      <c r="AM139" s="1405">
        <f>AJ139</f>
        <v/>
      </c>
      <c r="AN139" s="1400">
        <f>stayCtry[[#This Row],[out]]-stayCtry[[#This Row],[in]]</f>
        <v/>
      </c>
      <c r="AO139" s="1406">
        <f>IF(AI139&lt;&gt;"",AO138+1,AO138)</f>
        <v/>
      </c>
      <c r="AP139" s="1398" t="inlineStr">
        <is>
          <t>.</t>
        </is>
      </c>
      <c r="AQ139" s="1402">
        <f/>
        <v/>
      </c>
      <c r="AR139" s="1403">
        <f/>
        <v/>
      </c>
      <c r="AS139" s="1403">
        <f/>
        <v/>
      </c>
      <c r="AT139" s="1400">
        <f>AQ139</f>
        <v/>
      </c>
      <c r="AU139" s="1405">
        <f>AR139</f>
        <v/>
      </c>
      <c r="AV139" s="1405">
        <f>AS139</f>
        <v/>
      </c>
      <c r="AW139" s="1400">
        <f>stayCont[[#This Row],[out]]-stayCont[[#This Row],[in]]</f>
        <v/>
      </c>
      <c r="AX139" s="1406">
        <f>IF(AR139&lt;&gt;"",AX138+1,AX138)</f>
        <v/>
      </c>
      <c r="AY139" s="1398" t="inlineStr">
        <is>
          <t>.</t>
        </is>
      </c>
      <c r="AZ139" s="1402" t="n"/>
      <c r="BA139" s="1403" t="n"/>
      <c r="BB139" s="1403" t="n"/>
      <c r="BC139" s="1405">
        <f>AZ139</f>
        <v/>
      </c>
      <c r="BD139" s="1405">
        <f>BA139</f>
        <v/>
      </c>
      <c r="BE139" s="1405">
        <f>BB139</f>
        <v/>
      </c>
      <c r="BF139" s="1400">
        <f>stayWB[[#This Row],[out]]-stayWB[[#This Row],[in]]</f>
        <v/>
      </c>
      <c r="BG139" s="1400">
        <f>IF(BB139&lt;&gt;"",BG138+1,BG138)</f>
        <v/>
      </c>
      <c r="BH139" s="1398" t="inlineStr">
        <is>
          <t>.</t>
        </is>
      </c>
      <c r="BI139" s="1402" t="inlineStr">
        <is>
          <t>ARG</t>
        </is>
      </c>
      <c r="BJ139" s="1402" t="n">
        <v>2008</v>
      </c>
      <c r="BK139" s="1400">
        <f>BI139</f>
        <v/>
      </c>
      <c r="BL139" s="1409">
        <f>BJ139</f>
        <v/>
      </c>
      <c r="BM139" s="1378" t="inlineStr">
        <is>
          <t>.</t>
        </is>
      </c>
      <c r="BN139" s="1411" t="inlineStr">
        <is>
          <t>E</t>
        </is>
      </c>
      <c r="BO139" s="1400">
        <f>BN139</f>
        <v/>
      </c>
      <c r="BP139" s="1398" t="inlineStr">
        <is>
          <t>.</t>
        </is>
      </c>
      <c r="BQ139" s="1400">
        <f>IF(BR139&lt;&gt;"",BQ138+1,BQ138)</f>
        <v/>
      </c>
      <c r="BR139" s="1411" t="inlineStr">
        <is>
          <t>SSA</t>
        </is>
      </c>
      <c r="BS139" s="1411" t="inlineStr">
        <is>
          <t>Lisbon</t>
        </is>
      </c>
      <c r="BT139" s="1412" t="inlineStr">
        <is>
          <t>SSA-Lisbon</t>
        </is>
      </c>
      <c r="BU139" s="1412" t="n">
        <v>38496</v>
      </c>
      <c r="BV139" s="1398" t="inlineStr">
        <is>
          <t>.</t>
        </is>
      </c>
      <c r="BW139" s="1392" t="n"/>
      <c r="BX139" s="1392" t="n"/>
      <c r="BY139" s="1392" t="n"/>
      <c r="BZ139" s="1416" t="n"/>
      <c r="CA139" s="1392" t="n"/>
      <c r="CB139" s="1398" t="inlineStr">
        <is>
          <t>.</t>
        </is>
      </c>
      <c r="CC139" s="1400">
        <f>IF(CD139&lt;&gt;"",CC138+1,CC138)</f>
        <v/>
      </c>
      <c r="CD139" s="1411" t="inlineStr">
        <is>
          <t>Salto Grande</t>
        </is>
      </c>
      <c r="CE139" s="1412" t="n">
        <v>40673</v>
      </c>
      <c r="CF139" s="1412" t="n">
        <v>40677</v>
      </c>
      <c r="CG139" s="1415">
        <f>CF139-CE139</f>
        <v/>
      </c>
      <c r="CH139" s="1398" t="inlineStr">
        <is>
          <t>.</t>
        </is>
      </c>
      <c r="CI139" s="1392" t="n"/>
      <c r="CJ139" s="1392" t="n"/>
      <c r="CK139" s="1392" t="n"/>
      <c r="CL139" s="1392" t="n"/>
    </row>
    <row r="140">
      <c r="A140" s="5" t="inlineStr">
        <is>
          <t>.</t>
        </is>
      </c>
      <c r="B140" s="5" t="inlineStr">
        <is>
          <t>.</t>
        </is>
      </c>
      <c r="C140" s="1378">
        <f>IF(raw[[#This Row],[city]]="","-",IF(raw[[#This Row],[city]]="TODAY","-",C139+1))</f>
        <v/>
      </c>
      <c r="D140" s="1393" t="inlineStr">
        <is>
          <t>Rennes</t>
        </is>
      </c>
      <c r="E140" s="1394" t="n">
        <v>32022</v>
      </c>
      <c r="F140" s="1394" t="n">
        <v>32022</v>
      </c>
      <c r="G140" s="1393" t="inlineStr">
        <is>
          <t>-</t>
        </is>
      </c>
      <c r="H140" s="1393">
        <f>H139</f>
        <v/>
      </c>
      <c r="I140" s="1393" t="n"/>
      <c r="J140" s="1393" t="inlineStr">
        <is>
          <t>-</t>
        </is>
      </c>
      <c r="K140" s="1395">
        <f>IF(raw[[#This Row],[city]]&lt;&gt;"",_xlfn.XLOOKUP($D140,ccc[city],ccc[prov],"-"),"-")</f>
        <v/>
      </c>
      <c r="L140" s="1395">
        <f>IF(raw[[#This Row],[city]]&lt;&gt;"",_xlfn.XLOOKUP($D140,ccc[city],ccc[ctry],"-"),"-")</f>
        <v/>
      </c>
      <c r="M140" s="1395">
        <f>IF(raw[[#This Row],[city]]&lt;&gt;"",_xlfn.XLOOKUP($D140,ccc[city],ccc[cont],"-"),"-")</f>
        <v/>
      </c>
      <c r="N140" s="1396">
        <f>IF(raw[[#This Row],[city]]="","-",IF(raw[[#This Row],[cont]]="B",raw[[#This Row],[cont]],"W"))</f>
        <v/>
      </c>
      <c r="O140" s="1397">
        <f>IF(raw[[#This Row],[out]]=0,0,IF(raw[[#This Row],[out]]=raw[[#This Row],[in]],0.01,raw[[#This Row],[out]]-raw[[#This Row],[in]]))</f>
        <v/>
      </c>
      <c r="P140" s="1397">
        <f>IF(raw[[#This Row],[in]]=0,0,MONTH(raw[[#This Row],[in]]))</f>
        <v/>
      </c>
      <c r="Q140" s="1397">
        <f>IF(raw[[#This Row],[in]]=0,0,YEAR(raw[[#This Row],[in]]))</f>
        <v/>
      </c>
      <c r="R140" s="1397">
        <f>INT(raw[[#This Row],[yr]]/10)*10</f>
        <v/>
      </c>
      <c r="S140" s="1395">
        <f>IF(raw[[#This Row],[city]]="","-",IF(raw[[#This Row],[city]]&lt;&gt;_xlfn.XLOOKUP(raw[[#This Row],[home]],homes[home],homes[city],"-"),1,0))</f>
        <v/>
      </c>
      <c r="T140" s="1398" t="inlineStr">
        <is>
          <t>.</t>
        </is>
      </c>
      <c r="U140" s="1399">
        <f>IF(raw[[#This Row],[wb]]="w",raw[[#This Row],[stay]]+U139,U139)</f>
        <v/>
      </c>
      <c r="V140" s="1400">
        <f>IF(raw[[#This Row],[out]]=0,V139,(raw[[#This Row],[out]]-E$5))</f>
        <v/>
      </c>
      <c r="W140" s="1401">
        <f>U140/V140</f>
        <v/>
      </c>
      <c r="X140" s="1378" t="inlineStr">
        <is>
          <t>.</t>
        </is>
      </c>
      <c r="Y140" s="1402">
        <f/>
        <v/>
      </c>
      <c r="Z140" s="1403">
        <f/>
        <v/>
      </c>
      <c r="AA140" s="1403">
        <f/>
        <v/>
      </c>
      <c r="AB140" s="1400">
        <f t="array" ref="AB140">_xlfn.LET(_xlpm.S,_xlfn.ANCHORARRAY($Y$4),_xlpm.r,ROWS(stayCity[[#Headers],[city]]:stayCity[[#This Row],[city]])-1,IF(_xlpm.r&lt;=ROWS(_xlpm.S),INDEX(_xlpm.S,_xlpm.r,1),""))</f>
        <v/>
      </c>
      <c r="AC140" s="1405">
        <f t="array" ref="AC140">_xlfn.LET(_xlpm.S,_xlfn.ANCHORARRAY($Y$4),_xlpm.r,ROWS(stayCity[[#Headers],[city]]:stayCity[[#This Row],[city]])-1,IF(_xlpm.r&lt;=ROWS(_xlpm.S),INDEX(_xlpm.S,_xlpm.r,2),""))</f>
        <v/>
      </c>
      <c r="AD140" s="1405">
        <f t="array" ref="AD140">_xlfn.LET(_xlpm.S,_xlfn.ANCHORARRAY($Y$4),_xlpm.r,ROWS(stayCity[[#Headers],[city]]:stayCity[[#This Row],[city]])-1,IF(_xlpm.r&lt;=ROWS(_xlpm.S),INDEX(_xlpm.S,_xlpm.r,3),""))</f>
        <v/>
      </c>
      <c r="AE140" s="1400">
        <f>IF(stayCity[[#This Row],[out]]&lt;&gt;"",stayCity[[#This Row],[out]]-stayCity[[#This Row],[in]],"-")</f>
        <v/>
      </c>
      <c r="AF140" s="1406">
        <f>IF(Y140="","-",YEAR(stayCity[[#This Row],[in]]))</f>
        <v/>
      </c>
      <c r="AG140" s="1398" t="inlineStr">
        <is>
          <t>.</t>
        </is>
      </c>
      <c r="AH140" s="1402">
        <f/>
        <v/>
      </c>
      <c r="AI140" s="1403">
        <f/>
        <v/>
      </c>
      <c r="AJ140" s="1403">
        <f/>
        <v/>
      </c>
      <c r="AK140" s="1400">
        <f>IF(AH140="","-",AH140)</f>
        <v/>
      </c>
      <c r="AL140" s="1405">
        <f>AI140</f>
        <v/>
      </c>
      <c r="AM140" s="1405">
        <f>AJ140</f>
        <v/>
      </c>
      <c r="AN140" s="1400">
        <f>stayCtry[[#This Row],[out]]-stayCtry[[#This Row],[in]]</f>
        <v/>
      </c>
      <c r="AO140" s="1406">
        <f>IF(AI140&lt;&gt;"",AO139+1,AO139)</f>
        <v/>
      </c>
      <c r="AP140" s="1398" t="inlineStr">
        <is>
          <t>.</t>
        </is>
      </c>
      <c r="AQ140" s="1402">
        <f/>
        <v/>
      </c>
      <c r="AR140" s="1403">
        <f/>
        <v/>
      </c>
      <c r="AS140" s="1403">
        <f/>
        <v/>
      </c>
      <c r="AT140" s="1400">
        <f>AQ140</f>
        <v/>
      </c>
      <c r="AU140" s="1405">
        <f>AR140</f>
        <v/>
      </c>
      <c r="AV140" s="1405">
        <f>AS140</f>
        <v/>
      </c>
      <c r="AW140" s="1400">
        <f>stayCont[[#This Row],[out]]-stayCont[[#This Row],[in]]</f>
        <v/>
      </c>
      <c r="AX140" s="1406">
        <f>IF(AR140&lt;&gt;"",AX139+1,AX139)</f>
        <v/>
      </c>
      <c r="AY140" s="1398" t="inlineStr">
        <is>
          <t>.</t>
        </is>
      </c>
      <c r="AZ140" s="1402" t="n"/>
      <c r="BA140" s="1403" t="n"/>
      <c r="BB140" s="1403" t="n"/>
      <c r="BC140" s="1405">
        <f>AZ140</f>
        <v/>
      </c>
      <c r="BD140" s="1405">
        <f>BA140</f>
        <v/>
      </c>
      <c r="BE140" s="1405">
        <f>BB140</f>
        <v/>
      </c>
      <c r="BF140" s="1400">
        <f>stayWB[[#This Row],[out]]-stayWB[[#This Row],[in]]</f>
        <v/>
      </c>
      <c r="BG140" s="1400">
        <f>IF(BB140&lt;&gt;"",BG139+1,BG139)</f>
        <v/>
      </c>
      <c r="BH140" s="1398" t="inlineStr">
        <is>
          <t>.</t>
        </is>
      </c>
      <c r="BI140" s="1402" t="inlineStr">
        <is>
          <t>BRA</t>
        </is>
      </c>
      <c r="BJ140" s="1402" t="n">
        <v>2008</v>
      </c>
      <c r="BK140" s="1400">
        <f>BI140</f>
        <v/>
      </c>
      <c r="BL140" s="1409">
        <f>BJ140</f>
        <v/>
      </c>
      <c r="BM140" s="1378" t="inlineStr">
        <is>
          <t>.</t>
        </is>
      </c>
      <c r="BN140" s="1411" t="inlineStr">
        <is>
          <t>N</t>
        </is>
      </c>
      <c r="BO140" s="1400">
        <f>BN140</f>
        <v/>
      </c>
      <c r="BP140" s="1398" t="inlineStr">
        <is>
          <t>.</t>
        </is>
      </c>
      <c r="BQ140" s="1400">
        <f>IF(BR140&lt;&gt;"",BQ139+1,BQ139)</f>
        <v/>
      </c>
      <c r="BR140" s="1411" t="inlineStr">
        <is>
          <t>Lisbon</t>
        </is>
      </c>
      <c r="BS140" s="1411" t="inlineStr">
        <is>
          <t>London</t>
        </is>
      </c>
      <c r="BT140" s="1412" t="inlineStr">
        <is>
          <t>Lisbon-London</t>
        </is>
      </c>
      <c r="BU140" s="1412" t="n">
        <v>38497</v>
      </c>
      <c r="BV140" s="1398" t="inlineStr">
        <is>
          <t>.</t>
        </is>
      </c>
      <c r="BW140" s="1392" t="n"/>
      <c r="BX140" s="1392" t="n"/>
      <c r="BY140" s="1392" t="n"/>
      <c r="BZ140" s="1416" t="n"/>
      <c r="CA140" s="1392" t="n"/>
      <c r="CB140" s="1398" t="inlineStr">
        <is>
          <t>.</t>
        </is>
      </c>
      <c r="CC140" s="1400">
        <f>IF(CD140&lt;&gt;"",CC139+1,CC139)</f>
        <v/>
      </c>
      <c r="CD140" s="1411" t="inlineStr">
        <is>
          <t>Salto Grande</t>
        </is>
      </c>
      <c r="CE140" s="1412" t="n">
        <v>40688</v>
      </c>
      <c r="CF140" s="1412" t="n">
        <v>40692</v>
      </c>
      <c r="CG140" s="1415">
        <f>CF140-CE140</f>
        <v/>
      </c>
      <c r="CH140" s="1398" t="inlineStr">
        <is>
          <t>.</t>
        </is>
      </c>
      <c r="CI140" s="1392" t="n"/>
      <c r="CJ140" s="1392" t="n"/>
      <c r="CK140" s="1392" t="n"/>
      <c r="CL140" s="1392" t="n"/>
    </row>
    <row r="141">
      <c r="A141" s="5" t="inlineStr">
        <is>
          <t>.</t>
        </is>
      </c>
      <c r="B141" s="5" t="inlineStr">
        <is>
          <t>.</t>
        </is>
      </c>
      <c r="C141" s="1378">
        <f>IF(raw[[#This Row],[city]]="","-",IF(raw[[#This Row],[city]]="TODAY","-",C140+1))</f>
        <v/>
      </c>
      <c r="D141" s="1393" t="inlineStr">
        <is>
          <t>Poitiens</t>
        </is>
      </c>
      <c r="E141" s="1394" t="n">
        <v>32022</v>
      </c>
      <c r="F141" s="1394" t="n">
        <v>32022</v>
      </c>
      <c r="G141" s="1393" t="inlineStr">
        <is>
          <t>-</t>
        </is>
      </c>
      <c r="H141" s="1393">
        <f>H140</f>
        <v/>
      </c>
      <c r="I141" s="1393" t="n"/>
      <c r="J141" s="1393" t="inlineStr">
        <is>
          <t>-</t>
        </is>
      </c>
      <c r="K141" s="1395">
        <f>IF(raw[[#This Row],[city]]&lt;&gt;"",_xlfn.XLOOKUP($D141,ccc[city],ccc[prov],"-"),"-")</f>
        <v/>
      </c>
      <c r="L141" s="1395">
        <f>IF(raw[[#This Row],[city]]&lt;&gt;"",_xlfn.XLOOKUP($D141,ccc[city],ccc[ctry],"-"),"-")</f>
        <v/>
      </c>
      <c r="M141" s="1395">
        <f>IF(raw[[#This Row],[city]]&lt;&gt;"",_xlfn.XLOOKUP($D141,ccc[city],ccc[cont],"-"),"-")</f>
        <v/>
      </c>
      <c r="N141" s="1396">
        <f>IF(raw[[#This Row],[city]]="","-",IF(raw[[#This Row],[cont]]="B",raw[[#This Row],[cont]],"W"))</f>
        <v/>
      </c>
      <c r="O141" s="1397">
        <f>IF(raw[[#This Row],[out]]=0,0,IF(raw[[#This Row],[out]]=raw[[#This Row],[in]],0.01,raw[[#This Row],[out]]-raw[[#This Row],[in]]))</f>
        <v/>
      </c>
      <c r="P141" s="1397">
        <f>IF(raw[[#This Row],[in]]=0,0,MONTH(raw[[#This Row],[in]]))</f>
        <v/>
      </c>
      <c r="Q141" s="1397">
        <f>IF(raw[[#This Row],[in]]=0,0,YEAR(raw[[#This Row],[in]]))</f>
        <v/>
      </c>
      <c r="R141" s="1397">
        <f>INT(raw[[#This Row],[yr]]/10)*10</f>
        <v/>
      </c>
      <c r="S141" s="1395">
        <f>IF(raw[[#This Row],[city]]="","-",IF(raw[[#This Row],[city]]&lt;&gt;_xlfn.XLOOKUP(raw[[#This Row],[home]],homes[home],homes[city],"-"),1,0))</f>
        <v/>
      </c>
      <c r="T141" s="1398" t="inlineStr">
        <is>
          <t>.</t>
        </is>
      </c>
      <c r="U141" s="1399">
        <f>IF(raw[[#This Row],[wb]]="w",raw[[#This Row],[stay]]+U140,U140)</f>
        <v/>
      </c>
      <c r="V141" s="1400">
        <f>IF(raw[[#This Row],[out]]=0,V140,(raw[[#This Row],[out]]-E$5))</f>
        <v/>
      </c>
      <c r="W141" s="1401">
        <f>U141/V141</f>
        <v/>
      </c>
      <c r="X141" s="1378" t="inlineStr">
        <is>
          <t>.</t>
        </is>
      </c>
      <c r="Y141" s="1402">
        <f/>
        <v/>
      </c>
      <c r="Z141" s="1403">
        <f/>
        <v/>
      </c>
      <c r="AA141" s="1403">
        <f/>
        <v/>
      </c>
      <c r="AB141" s="1400">
        <f t="array" ref="AB141">_xlfn.LET(_xlpm.S,_xlfn.ANCHORARRAY($Y$4),_xlpm.r,ROWS(stayCity[[#Headers],[city]]:stayCity[[#This Row],[city]])-1,IF(_xlpm.r&lt;=ROWS(_xlpm.S),INDEX(_xlpm.S,_xlpm.r,1),""))</f>
        <v/>
      </c>
      <c r="AC141" s="1405">
        <f t="array" ref="AC141">_xlfn.LET(_xlpm.S,_xlfn.ANCHORARRAY($Y$4),_xlpm.r,ROWS(stayCity[[#Headers],[city]]:stayCity[[#This Row],[city]])-1,IF(_xlpm.r&lt;=ROWS(_xlpm.S),INDEX(_xlpm.S,_xlpm.r,2),""))</f>
        <v/>
      </c>
      <c r="AD141" s="1405">
        <f t="array" ref="AD141">_xlfn.LET(_xlpm.S,_xlfn.ANCHORARRAY($Y$4),_xlpm.r,ROWS(stayCity[[#Headers],[city]]:stayCity[[#This Row],[city]])-1,IF(_xlpm.r&lt;=ROWS(_xlpm.S),INDEX(_xlpm.S,_xlpm.r,3),""))</f>
        <v/>
      </c>
      <c r="AE141" s="1400">
        <f>IF(stayCity[[#This Row],[out]]&lt;&gt;"",stayCity[[#This Row],[out]]-stayCity[[#This Row],[in]],"-")</f>
        <v/>
      </c>
      <c r="AF141" s="1406">
        <f>IF(Y141="","-",YEAR(stayCity[[#This Row],[in]]))</f>
        <v/>
      </c>
      <c r="AG141" s="1398" t="inlineStr">
        <is>
          <t>.</t>
        </is>
      </c>
      <c r="AH141" s="1402">
        <f/>
        <v/>
      </c>
      <c r="AI141" s="1403">
        <f/>
        <v/>
      </c>
      <c r="AJ141" s="1403">
        <f/>
        <v/>
      </c>
      <c r="AK141" s="1400">
        <f>IF(AH141="","-",AH141)</f>
        <v/>
      </c>
      <c r="AL141" s="1405">
        <f>AI141</f>
        <v/>
      </c>
      <c r="AM141" s="1405">
        <f>AJ141</f>
        <v/>
      </c>
      <c r="AN141" s="1400">
        <f>stayCtry[[#This Row],[out]]-stayCtry[[#This Row],[in]]</f>
        <v/>
      </c>
      <c r="AO141" s="1406">
        <f>IF(AI141&lt;&gt;"",AO140+1,AO140)</f>
        <v/>
      </c>
      <c r="AP141" s="1398" t="inlineStr">
        <is>
          <t>.</t>
        </is>
      </c>
      <c r="AQ141" s="1402">
        <f/>
        <v/>
      </c>
      <c r="AR141" s="1403">
        <f/>
        <v/>
      </c>
      <c r="AS141" s="1403">
        <f/>
        <v/>
      </c>
      <c r="AT141" s="1400">
        <f>AQ141</f>
        <v/>
      </c>
      <c r="AU141" s="1405">
        <f>AR141</f>
        <v/>
      </c>
      <c r="AV141" s="1405">
        <f>AS141</f>
        <v/>
      </c>
      <c r="AW141" s="1400">
        <f>stayCont[[#This Row],[out]]-stayCont[[#This Row],[in]]</f>
        <v/>
      </c>
      <c r="AX141" s="1406">
        <f>IF(AR141&lt;&gt;"",AX140+1,AX140)</f>
        <v/>
      </c>
      <c r="AY141" s="1398" t="inlineStr">
        <is>
          <t>.</t>
        </is>
      </c>
      <c r="AZ141" s="1402" t="n"/>
      <c r="BA141" s="1403" t="n"/>
      <c r="BB141" s="1403" t="n"/>
      <c r="BC141" s="1405">
        <f>AZ141</f>
        <v/>
      </c>
      <c r="BD141" s="1405">
        <f>BA141</f>
        <v/>
      </c>
      <c r="BE141" s="1405">
        <f>BB141</f>
        <v/>
      </c>
      <c r="BF141" s="1400">
        <f>stayWB[[#This Row],[out]]-stayWB[[#This Row],[in]]</f>
        <v/>
      </c>
      <c r="BG141" s="1400">
        <f>IF(BB141&lt;&gt;"",BG140+1,BG140)</f>
        <v/>
      </c>
      <c r="BH141" s="1398" t="inlineStr">
        <is>
          <t>.</t>
        </is>
      </c>
      <c r="BI141" s="1402" t="inlineStr">
        <is>
          <t>CHE</t>
        </is>
      </c>
      <c r="BJ141" s="1402" t="n">
        <v>2009</v>
      </c>
      <c r="BK141" s="1400">
        <f>BI141</f>
        <v/>
      </c>
      <c r="BL141" s="1409">
        <f>BJ141</f>
        <v/>
      </c>
      <c r="BM141" s="1378" t="inlineStr">
        <is>
          <t>.</t>
        </is>
      </c>
      <c r="BN141" s="1411" t="inlineStr">
        <is>
          <t>Z</t>
        </is>
      </c>
      <c r="BO141" s="1400">
        <f>BN141</f>
        <v/>
      </c>
      <c r="BP141" s="1398" t="inlineStr">
        <is>
          <t>.</t>
        </is>
      </c>
      <c r="BQ141" s="1400">
        <f>IF(BR141&lt;&gt;"",BQ140+1,BQ140)</f>
        <v/>
      </c>
      <c r="BR141" s="1411" t="inlineStr">
        <is>
          <t>Rome</t>
        </is>
      </c>
      <c r="BS141" s="1411" t="inlineStr">
        <is>
          <t>London</t>
        </is>
      </c>
      <c r="BT141" s="1412" t="inlineStr">
        <is>
          <t>Rome-London</t>
        </is>
      </c>
      <c r="BU141" s="1412" t="n">
        <v>38633</v>
      </c>
      <c r="BV141" s="1398" t="inlineStr">
        <is>
          <t>.</t>
        </is>
      </c>
      <c r="BW141" s="1392" t="n"/>
      <c r="BX141" s="1392" t="n"/>
      <c r="BY141" s="1392" t="n"/>
      <c r="BZ141" s="1416" t="n"/>
      <c r="CA141" s="1392" t="n"/>
      <c r="CB141" s="1398" t="inlineStr">
        <is>
          <t>.</t>
        </is>
      </c>
      <c r="CC141" s="1400">
        <f>IF(CD141&lt;&gt;"",CC140+1,CC140)</f>
        <v/>
      </c>
      <c r="CD141" s="1411" t="inlineStr">
        <is>
          <t>Francele/Gordon</t>
        </is>
      </c>
      <c r="CE141" s="1412" t="n">
        <v>40700</v>
      </c>
      <c r="CF141" s="1412" t="n">
        <v>40704</v>
      </c>
      <c r="CG141" s="1415">
        <f>CF141-CE141</f>
        <v/>
      </c>
      <c r="CH141" s="1398" t="inlineStr">
        <is>
          <t>.</t>
        </is>
      </c>
      <c r="CI141" s="1392" t="n"/>
      <c r="CJ141" s="1392" t="n"/>
      <c r="CK141" s="1392" t="n"/>
      <c r="CL141" s="1392" t="n"/>
    </row>
    <row r="142">
      <c r="A142" s="5" t="inlineStr">
        <is>
          <t>.</t>
        </is>
      </c>
      <c r="B142" s="5" t="inlineStr">
        <is>
          <t>.</t>
        </is>
      </c>
      <c r="C142" s="1378">
        <f>IF(raw[[#This Row],[city]]="","-",IF(raw[[#This Row],[city]]="TODAY","-",C141+1))</f>
        <v/>
      </c>
      <c r="D142" s="1393" t="inlineStr">
        <is>
          <t>Angouleme</t>
        </is>
      </c>
      <c r="E142" s="1394" t="n">
        <v>32022</v>
      </c>
      <c r="F142" s="1394" t="n">
        <v>32022</v>
      </c>
      <c r="G142" s="1393" t="inlineStr">
        <is>
          <t>-</t>
        </is>
      </c>
      <c r="H142" s="1393">
        <f>H141</f>
        <v/>
      </c>
      <c r="I142" s="1393" t="n"/>
      <c r="J142" s="1393" t="inlineStr">
        <is>
          <t>-</t>
        </is>
      </c>
      <c r="K142" s="1395">
        <f>IF(raw[[#This Row],[city]]&lt;&gt;"",_xlfn.XLOOKUP($D142,ccc[city],ccc[prov],"-"),"-")</f>
        <v/>
      </c>
      <c r="L142" s="1395">
        <f>IF(raw[[#This Row],[city]]&lt;&gt;"",_xlfn.XLOOKUP($D142,ccc[city],ccc[ctry],"-"),"-")</f>
        <v/>
      </c>
      <c r="M142" s="1395">
        <f>IF(raw[[#This Row],[city]]&lt;&gt;"",_xlfn.XLOOKUP($D142,ccc[city],ccc[cont],"-"),"-")</f>
        <v/>
      </c>
      <c r="N142" s="1396">
        <f>IF(raw[[#This Row],[city]]="","-",IF(raw[[#This Row],[cont]]="B",raw[[#This Row],[cont]],"W"))</f>
        <v/>
      </c>
      <c r="O142" s="1397">
        <f>IF(raw[[#This Row],[out]]=0,0,IF(raw[[#This Row],[out]]=raw[[#This Row],[in]],0.01,raw[[#This Row],[out]]-raw[[#This Row],[in]]))</f>
        <v/>
      </c>
      <c r="P142" s="1397">
        <f>IF(raw[[#This Row],[in]]=0,0,MONTH(raw[[#This Row],[in]]))</f>
        <v/>
      </c>
      <c r="Q142" s="1397">
        <f>IF(raw[[#This Row],[in]]=0,0,YEAR(raw[[#This Row],[in]]))</f>
        <v/>
      </c>
      <c r="R142" s="1397">
        <f>INT(raw[[#This Row],[yr]]/10)*10</f>
        <v/>
      </c>
      <c r="S142" s="1395">
        <f>IF(raw[[#This Row],[city]]="","-",IF(raw[[#This Row],[city]]&lt;&gt;_xlfn.XLOOKUP(raw[[#This Row],[home]],homes[home],homes[city],"-"),1,0))</f>
        <v/>
      </c>
      <c r="T142" s="1398" t="inlineStr">
        <is>
          <t>.</t>
        </is>
      </c>
      <c r="U142" s="1399">
        <f>IF(raw[[#This Row],[wb]]="w",raw[[#This Row],[stay]]+U141,U141)</f>
        <v/>
      </c>
      <c r="V142" s="1400">
        <f>IF(raw[[#This Row],[out]]=0,V141,(raw[[#This Row],[out]]-E$5))</f>
        <v/>
      </c>
      <c r="W142" s="1401">
        <f>U142/V142</f>
        <v/>
      </c>
      <c r="X142" s="1378" t="inlineStr">
        <is>
          <t>.</t>
        </is>
      </c>
      <c r="Y142" s="1402">
        <f/>
        <v/>
      </c>
      <c r="Z142" s="1403">
        <f/>
        <v/>
      </c>
      <c r="AA142" s="1403">
        <f/>
        <v/>
      </c>
      <c r="AB142" s="1400">
        <f t="array" ref="AB142">_xlfn.LET(_xlpm.S,_xlfn.ANCHORARRAY($Y$4),_xlpm.r,ROWS(stayCity[[#Headers],[city]]:stayCity[[#This Row],[city]])-1,IF(_xlpm.r&lt;=ROWS(_xlpm.S),INDEX(_xlpm.S,_xlpm.r,1),""))</f>
        <v/>
      </c>
      <c r="AC142" s="1405">
        <f t="array" ref="AC142">_xlfn.LET(_xlpm.S,_xlfn.ANCHORARRAY($Y$4),_xlpm.r,ROWS(stayCity[[#Headers],[city]]:stayCity[[#This Row],[city]])-1,IF(_xlpm.r&lt;=ROWS(_xlpm.S),INDEX(_xlpm.S,_xlpm.r,2),""))</f>
        <v/>
      </c>
      <c r="AD142" s="1405">
        <f t="array" ref="AD142">_xlfn.LET(_xlpm.S,_xlfn.ANCHORARRAY($Y$4),_xlpm.r,ROWS(stayCity[[#Headers],[city]]:stayCity[[#This Row],[city]])-1,IF(_xlpm.r&lt;=ROWS(_xlpm.S),INDEX(_xlpm.S,_xlpm.r,3),""))</f>
        <v/>
      </c>
      <c r="AE142" s="1400">
        <f>IF(stayCity[[#This Row],[out]]&lt;&gt;"",stayCity[[#This Row],[out]]-stayCity[[#This Row],[in]],"-")</f>
        <v/>
      </c>
      <c r="AF142" s="1406">
        <f>IF(Y142="","-",YEAR(stayCity[[#This Row],[in]]))</f>
        <v/>
      </c>
      <c r="AG142" s="1398" t="inlineStr">
        <is>
          <t>.</t>
        </is>
      </c>
      <c r="AH142" s="1402">
        <f/>
        <v/>
      </c>
      <c r="AI142" s="1403">
        <f/>
        <v/>
      </c>
      <c r="AJ142" s="1403">
        <f/>
        <v/>
      </c>
      <c r="AK142" s="1400">
        <f>IF(AH142="","-",AH142)</f>
        <v/>
      </c>
      <c r="AL142" s="1405">
        <f>AI142</f>
        <v/>
      </c>
      <c r="AM142" s="1405">
        <f>AJ142</f>
        <v/>
      </c>
      <c r="AN142" s="1400">
        <f>stayCtry[[#This Row],[out]]-stayCtry[[#This Row],[in]]</f>
        <v/>
      </c>
      <c r="AO142" s="1406">
        <f>IF(AI142&lt;&gt;"",AO141+1,AO141)</f>
        <v/>
      </c>
      <c r="AP142" s="1398" t="inlineStr">
        <is>
          <t>.</t>
        </is>
      </c>
      <c r="AQ142" s="1402">
        <f/>
        <v/>
      </c>
      <c r="AR142" s="1403">
        <f/>
        <v/>
      </c>
      <c r="AS142" s="1403">
        <f/>
        <v/>
      </c>
      <c r="AT142" s="1400">
        <f>AQ142</f>
        <v/>
      </c>
      <c r="AU142" s="1405">
        <f>AR142</f>
        <v/>
      </c>
      <c r="AV142" s="1405">
        <f>AS142</f>
        <v/>
      </c>
      <c r="AW142" s="1400">
        <f>stayCont[[#This Row],[out]]-stayCont[[#This Row],[in]]</f>
        <v/>
      </c>
      <c r="AX142" s="1406">
        <f>IF(AR142&lt;&gt;"",AX141+1,AX141)</f>
        <v/>
      </c>
      <c r="AY142" s="1398" t="inlineStr">
        <is>
          <t>.</t>
        </is>
      </c>
      <c r="AZ142" s="1402" t="n"/>
      <c r="BA142" s="1403" t="n"/>
      <c r="BB142" s="1403" t="n"/>
      <c r="BC142" s="1405">
        <f>AZ142</f>
        <v/>
      </c>
      <c r="BD142" s="1405">
        <f>BA142</f>
        <v/>
      </c>
      <c r="BE142" s="1405">
        <f>BB142</f>
        <v/>
      </c>
      <c r="BF142" s="1400">
        <f>stayWB[[#This Row],[out]]-stayWB[[#This Row],[in]]</f>
        <v/>
      </c>
      <c r="BG142" s="1400">
        <f>IF(BB142&lt;&gt;"",BG141+1,BG141)</f>
        <v/>
      </c>
      <c r="BH142" s="1398" t="inlineStr">
        <is>
          <t>.</t>
        </is>
      </c>
      <c r="BI142" s="1402" t="inlineStr">
        <is>
          <t>FRA</t>
        </is>
      </c>
      <c r="BJ142" s="1402" t="n">
        <v>2009</v>
      </c>
      <c r="BK142" s="1400">
        <f>BI142</f>
        <v/>
      </c>
      <c r="BL142" s="1409">
        <f>BJ142</f>
        <v/>
      </c>
      <c r="BM142" s="1378" t="inlineStr">
        <is>
          <t>.</t>
        </is>
      </c>
      <c r="BN142" s="1411" t="inlineStr">
        <is>
          <t>B</t>
        </is>
      </c>
      <c r="BO142" s="1400">
        <f>BN142</f>
        <v/>
      </c>
      <c r="BP142" s="1398" t="inlineStr">
        <is>
          <t>.</t>
        </is>
      </c>
      <c r="BQ142" s="1400">
        <f>IF(BR142&lt;&gt;"",BQ141+1,BQ141)</f>
        <v/>
      </c>
      <c r="BR142" s="1411" t="inlineStr">
        <is>
          <t>London</t>
        </is>
      </c>
      <c r="BS142" s="1411" t="inlineStr">
        <is>
          <t>Lisbon</t>
        </is>
      </c>
      <c r="BT142" s="1412" t="inlineStr">
        <is>
          <t>London-Lisbon</t>
        </is>
      </c>
      <c r="BU142" s="1412" t="n">
        <v>38638</v>
      </c>
      <c r="BV142" s="1398" t="inlineStr">
        <is>
          <t>.</t>
        </is>
      </c>
      <c r="BW142" s="1392" t="n"/>
      <c r="BX142" s="1392" t="n"/>
      <c r="BY142" s="1392" t="n"/>
      <c r="BZ142" s="1416" t="n"/>
      <c r="CA142" s="1392" t="n"/>
      <c r="CB142" s="1398" t="inlineStr">
        <is>
          <t>.</t>
        </is>
      </c>
      <c r="CC142" s="1400">
        <f>IF(CD142&lt;&gt;"",CC141+1,CC141)</f>
        <v/>
      </c>
      <c r="CD142" s="1411" t="inlineStr">
        <is>
          <t>Ondina</t>
        </is>
      </c>
      <c r="CE142" s="1412" t="n">
        <v>41179</v>
      </c>
      <c r="CF142" s="1412" t="n">
        <v>41180</v>
      </c>
      <c r="CG142" s="1415">
        <f>CF142-CE142</f>
        <v/>
      </c>
      <c r="CH142" s="1398" t="inlineStr">
        <is>
          <t>.</t>
        </is>
      </c>
      <c r="CI142" s="1392" t="n"/>
      <c r="CJ142" s="1392" t="n"/>
      <c r="CK142" s="1392" t="n"/>
      <c r="CL142" s="1392" t="n"/>
    </row>
    <row r="143">
      <c r="A143" s="5" t="inlineStr">
        <is>
          <t>.</t>
        </is>
      </c>
      <c r="B143" s="5" t="inlineStr">
        <is>
          <t>.</t>
        </is>
      </c>
      <c r="C143" s="1378">
        <f>IF(raw[[#This Row],[city]]="","-",IF(raw[[#This Row],[city]]="TODAY","-",C142+1))</f>
        <v/>
      </c>
      <c r="D143" s="1393" t="inlineStr">
        <is>
          <t>Saint Malo</t>
        </is>
      </c>
      <c r="E143" s="1394" t="n">
        <v>32022</v>
      </c>
      <c r="F143" s="1394" t="n">
        <v>32023</v>
      </c>
      <c r="G143" s="1393" t="inlineStr">
        <is>
          <t>-</t>
        </is>
      </c>
      <c r="H143" s="1393">
        <f>H142</f>
        <v/>
      </c>
      <c r="I143" s="1393" t="inlineStr">
        <is>
          <t>-</t>
        </is>
      </c>
      <c r="J143" s="1393" t="inlineStr">
        <is>
          <t>-</t>
        </is>
      </c>
      <c r="K143" s="1395">
        <f>IF(raw[[#This Row],[city]]&lt;&gt;"",_xlfn.XLOOKUP($D143,ccc[city],ccc[prov],"-"),"-")</f>
        <v/>
      </c>
      <c r="L143" s="1395">
        <f>IF(raw[[#This Row],[city]]&lt;&gt;"",_xlfn.XLOOKUP($D143,ccc[city],ccc[ctry],"-"),"-")</f>
        <v/>
      </c>
      <c r="M143" s="1395">
        <f>IF(raw[[#This Row],[city]]&lt;&gt;"",_xlfn.XLOOKUP($D143,ccc[city],ccc[cont],"-"),"-")</f>
        <v/>
      </c>
      <c r="N143" s="1396">
        <f>IF(raw[[#This Row],[city]]="","-",IF(raw[[#This Row],[cont]]="B",raw[[#This Row],[cont]],"W"))</f>
        <v/>
      </c>
      <c r="O143" s="1397">
        <f>IF(raw[[#This Row],[out]]=0,0,IF(raw[[#This Row],[out]]=raw[[#This Row],[in]],0.01,raw[[#This Row],[out]]-raw[[#This Row],[in]]))</f>
        <v/>
      </c>
      <c r="P143" s="1397">
        <f>IF(raw[[#This Row],[in]]=0,0,MONTH(raw[[#This Row],[in]]))</f>
        <v/>
      </c>
      <c r="Q143" s="1397">
        <f>IF(raw[[#This Row],[in]]=0,0,YEAR(raw[[#This Row],[in]]))</f>
        <v/>
      </c>
      <c r="R143" s="1397">
        <f>INT(raw[[#This Row],[yr]]/10)*10</f>
        <v/>
      </c>
      <c r="S143" s="1395">
        <f>IF(raw[[#This Row],[city]]="","-",IF(raw[[#This Row],[city]]&lt;&gt;_xlfn.XLOOKUP(raw[[#This Row],[home]],homes[home],homes[city],"-"),1,0))</f>
        <v/>
      </c>
      <c r="T143" s="1398" t="inlineStr">
        <is>
          <t>.</t>
        </is>
      </c>
      <c r="U143" s="1399">
        <f>IF(raw[[#This Row],[wb]]="w",raw[[#This Row],[stay]]+U142,U142)</f>
        <v/>
      </c>
      <c r="V143" s="1400">
        <f>IF(raw[[#This Row],[out]]=0,V142,(raw[[#This Row],[out]]-E$5))</f>
        <v/>
      </c>
      <c r="W143" s="1401">
        <f>U143/V143</f>
        <v/>
      </c>
      <c r="X143" s="1378" t="inlineStr">
        <is>
          <t>.</t>
        </is>
      </c>
      <c r="Y143" s="1402">
        <f/>
        <v/>
      </c>
      <c r="Z143" s="1403">
        <f/>
        <v/>
      </c>
      <c r="AA143" s="1403">
        <f/>
        <v/>
      </c>
      <c r="AB143" s="1400">
        <f t="array" ref="AB143">_xlfn.LET(_xlpm.S,_xlfn.ANCHORARRAY($Y$4),_xlpm.r,ROWS(stayCity[[#Headers],[city]]:stayCity[[#This Row],[city]])-1,IF(_xlpm.r&lt;=ROWS(_xlpm.S),INDEX(_xlpm.S,_xlpm.r,1),""))</f>
        <v/>
      </c>
      <c r="AC143" s="1405">
        <f t="array" ref="AC143">_xlfn.LET(_xlpm.S,_xlfn.ANCHORARRAY($Y$4),_xlpm.r,ROWS(stayCity[[#Headers],[city]]:stayCity[[#This Row],[city]])-1,IF(_xlpm.r&lt;=ROWS(_xlpm.S),INDEX(_xlpm.S,_xlpm.r,2),""))</f>
        <v/>
      </c>
      <c r="AD143" s="1405">
        <f t="array" ref="AD143">_xlfn.LET(_xlpm.S,_xlfn.ANCHORARRAY($Y$4),_xlpm.r,ROWS(stayCity[[#Headers],[city]]:stayCity[[#This Row],[city]])-1,IF(_xlpm.r&lt;=ROWS(_xlpm.S),INDEX(_xlpm.S,_xlpm.r,3),""))</f>
        <v/>
      </c>
      <c r="AE143" s="1400">
        <f>IF(stayCity[[#This Row],[out]]&lt;&gt;"",stayCity[[#This Row],[out]]-stayCity[[#This Row],[in]],"-")</f>
        <v/>
      </c>
      <c r="AF143" s="1406">
        <f>IF(Y143="","-",YEAR(stayCity[[#This Row],[in]]))</f>
        <v/>
      </c>
      <c r="AG143" s="1398" t="inlineStr">
        <is>
          <t>.</t>
        </is>
      </c>
      <c r="AH143" s="1402">
        <f/>
        <v/>
      </c>
      <c r="AI143" s="1403">
        <f/>
        <v/>
      </c>
      <c r="AJ143" s="1403">
        <f/>
        <v/>
      </c>
      <c r="AK143" s="1400">
        <f>IF(AH143="","-",AH143)</f>
        <v/>
      </c>
      <c r="AL143" s="1405">
        <f>AI143</f>
        <v/>
      </c>
      <c r="AM143" s="1405">
        <f>AJ143</f>
        <v/>
      </c>
      <c r="AN143" s="1400">
        <f>stayCtry[[#This Row],[out]]-stayCtry[[#This Row],[in]]</f>
        <v/>
      </c>
      <c r="AO143" s="1406">
        <f>IF(AI143&lt;&gt;"",AO142+1,AO142)</f>
        <v/>
      </c>
      <c r="AP143" s="1398" t="inlineStr">
        <is>
          <t>.</t>
        </is>
      </c>
      <c r="AQ143" s="1402">
        <f/>
        <v/>
      </c>
      <c r="AR143" s="1403">
        <f/>
        <v/>
      </c>
      <c r="AS143" s="1403">
        <f/>
        <v/>
      </c>
      <c r="AT143" s="1400">
        <f>AQ143</f>
        <v/>
      </c>
      <c r="AU143" s="1405">
        <f>AR143</f>
        <v/>
      </c>
      <c r="AV143" s="1405">
        <f>AS143</f>
        <v/>
      </c>
      <c r="AW143" s="1400">
        <f>stayCont[[#This Row],[out]]-stayCont[[#This Row],[in]]</f>
        <v/>
      </c>
      <c r="AX143" s="1406">
        <f>IF(AR143&lt;&gt;"",AX142+1,AX142)</f>
        <v/>
      </c>
      <c r="AY143" s="1398" t="inlineStr">
        <is>
          <t>.</t>
        </is>
      </c>
      <c r="AZ143" s="1402" t="n"/>
      <c r="BA143" s="1403" t="n"/>
      <c r="BB143" s="1403" t="n"/>
      <c r="BC143" s="1405">
        <f>AZ143</f>
        <v/>
      </c>
      <c r="BD143" s="1405">
        <f>BA143</f>
        <v/>
      </c>
      <c r="BE143" s="1405">
        <f>BB143</f>
        <v/>
      </c>
      <c r="BF143" s="1400">
        <f>stayWB[[#This Row],[out]]-stayWB[[#This Row],[in]]</f>
        <v/>
      </c>
      <c r="BG143" s="1400">
        <f>IF(BB143&lt;&gt;"",BG142+1,BG142)</f>
        <v/>
      </c>
      <c r="BH143" s="1398" t="inlineStr">
        <is>
          <t>.</t>
        </is>
      </c>
      <c r="BI143" s="1402" t="inlineStr">
        <is>
          <t>UK</t>
        </is>
      </c>
      <c r="BJ143" s="1402" t="n">
        <v>2009</v>
      </c>
      <c r="BK143" s="1400">
        <f>BI143</f>
        <v/>
      </c>
      <c r="BL143" s="1409">
        <f>BJ143</f>
        <v/>
      </c>
      <c r="BM143" s="1378" t="inlineStr">
        <is>
          <t>.</t>
        </is>
      </c>
      <c r="BN143" s="1411" t="inlineStr">
        <is>
          <t>Z</t>
        </is>
      </c>
      <c r="BO143" s="1400">
        <f>BN143</f>
        <v/>
      </c>
      <c r="BP143" s="1398" t="inlineStr">
        <is>
          <t>.</t>
        </is>
      </c>
      <c r="BQ143" s="1400">
        <f>IF(BR143&lt;&gt;"",BQ142+1,BQ142)</f>
        <v/>
      </c>
      <c r="BR143" s="1411" t="inlineStr">
        <is>
          <t>Lisbon</t>
        </is>
      </c>
      <c r="BS143" s="1411" t="inlineStr">
        <is>
          <t>SSA</t>
        </is>
      </c>
      <c r="BT143" s="1412" t="inlineStr">
        <is>
          <t>Lisbon-SSA</t>
        </is>
      </c>
      <c r="BU143" s="1412" t="n">
        <v>38638</v>
      </c>
      <c r="BV143" s="1398" t="inlineStr">
        <is>
          <t>.</t>
        </is>
      </c>
      <c r="BW143" s="1392" t="n"/>
      <c r="BX143" s="1392" t="n"/>
      <c r="BY143" s="1392" t="n"/>
      <c r="BZ143" s="1416" t="n"/>
      <c r="CA143" s="1392" t="n"/>
      <c r="CB143" s="1398" t="inlineStr">
        <is>
          <t>.</t>
        </is>
      </c>
      <c r="CC143" s="1400">
        <f>IF(CD143&lt;&gt;"",CC142+1,CC142)</f>
        <v/>
      </c>
      <c r="CD143" s="1411" t="inlineStr">
        <is>
          <t>Ondina</t>
        </is>
      </c>
      <c r="CE143" s="1412" t="n">
        <v>41182</v>
      </c>
      <c r="CF143" s="1412" t="n">
        <v>41192</v>
      </c>
      <c r="CG143" s="1415">
        <f>CF143-CE143</f>
        <v/>
      </c>
      <c r="CH143" s="1398" t="inlineStr">
        <is>
          <t>.</t>
        </is>
      </c>
      <c r="CI143" s="1392" t="n"/>
      <c r="CJ143" s="1392" t="n"/>
      <c r="CK143" s="1392" t="n"/>
      <c r="CL143" s="1392" t="n"/>
    </row>
    <row r="144">
      <c r="A144" s="5" t="inlineStr">
        <is>
          <t>.</t>
        </is>
      </c>
      <c r="B144" s="5" t="inlineStr">
        <is>
          <t>.</t>
        </is>
      </c>
      <c r="C144" s="1378">
        <f>IF(raw[[#This Row],[city]]="","-",IF(raw[[#This Row],[city]]="TODAY","-",C143+1))</f>
        <v/>
      </c>
      <c r="D144" s="1393" t="inlineStr">
        <is>
          <t>Les Eyzies</t>
        </is>
      </c>
      <c r="E144" s="1394" t="n">
        <v>32023</v>
      </c>
      <c r="F144" s="1394" t="n">
        <v>32023</v>
      </c>
      <c r="G144" s="1393" t="inlineStr">
        <is>
          <t>-</t>
        </is>
      </c>
      <c r="H144" s="1393">
        <f>H143</f>
        <v/>
      </c>
      <c r="I144" s="1393" t="inlineStr">
        <is>
          <t>-</t>
        </is>
      </c>
      <c r="J144" s="1393" t="inlineStr">
        <is>
          <t>-</t>
        </is>
      </c>
      <c r="K144" s="1395">
        <f>IF(raw[[#This Row],[city]]&lt;&gt;"",_xlfn.XLOOKUP($D144,ccc[city],ccc[prov],"-"),"-")</f>
        <v/>
      </c>
      <c r="L144" s="1395">
        <f>IF(raw[[#This Row],[city]]&lt;&gt;"",_xlfn.XLOOKUP($D144,ccc[city],ccc[ctry],"-"),"-")</f>
        <v/>
      </c>
      <c r="M144" s="1395">
        <f>IF(raw[[#This Row],[city]]&lt;&gt;"",_xlfn.XLOOKUP($D144,ccc[city],ccc[cont],"-"),"-")</f>
        <v/>
      </c>
      <c r="N144" s="1396">
        <f>IF(raw[[#This Row],[city]]="","-",IF(raw[[#This Row],[cont]]="B",raw[[#This Row],[cont]],"W"))</f>
        <v/>
      </c>
      <c r="O144" s="1397">
        <f>IF(raw[[#This Row],[out]]=0,0,IF(raw[[#This Row],[out]]=raw[[#This Row],[in]],0.01,raw[[#This Row],[out]]-raw[[#This Row],[in]]))</f>
        <v/>
      </c>
      <c r="P144" s="1397">
        <f>IF(raw[[#This Row],[in]]=0,0,MONTH(raw[[#This Row],[in]]))</f>
        <v/>
      </c>
      <c r="Q144" s="1397">
        <f>IF(raw[[#This Row],[in]]=0,0,YEAR(raw[[#This Row],[in]]))</f>
        <v/>
      </c>
      <c r="R144" s="1397">
        <f>INT(raw[[#This Row],[yr]]/10)*10</f>
        <v/>
      </c>
      <c r="S144" s="1395">
        <f>IF(raw[[#This Row],[city]]="","-",IF(raw[[#This Row],[city]]&lt;&gt;_xlfn.XLOOKUP(raw[[#This Row],[home]],homes[home],homes[city],"-"),1,0))</f>
        <v/>
      </c>
      <c r="T144" s="1398" t="inlineStr">
        <is>
          <t>.</t>
        </is>
      </c>
      <c r="U144" s="1399">
        <f>IF(raw[[#This Row],[wb]]="w",raw[[#This Row],[stay]]+U143,U143)</f>
        <v/>
      </c>
      <c r="V144" s="1400">
        <f>IF(raw[[#This Row],[out]]=0,V143,(raw[[#This Row],[out]]-E$5))</f>
        <v/>
      </c>
      <c r="W144" s="1401">
        <f>U144/V144</f>
        <v/>
      </c>
      <c r="X144" s="1378" t="inlineStr">
        <is>
          <t>.</t>
        </is>
      </c>
      <c r="Y144" s="1402">
        <f/>
        <v/>
      </c>
      <c r="Z144" s="1403">
        <f/>
        <v/>
      </c>
      <c r="AA144" s="1403">
        <f/>
        <v/>
      </c>
      <c r="AB144" s="1400">
        <f t="array" ref="AB144">_xlfn.LET(_xlpm.S,_xlfn.ANCHORARRAY($Y$4),_xlpm.r,ROWS(stayCity[[#Headers],[city]]:stayCity[[#This Row],[city]])-1,IF(_xlpm.r&lt;=ROWS(_xlpm.S),INDEX(_xlpm.S,_xlpm.r,1),""))</f>
        <v/>
      </c>
      <c r="AC144" s="1405">
        <f t="array" ref="AC144">_xlfn.LET(_xlpm.S,_xlfn.ANCHORARRAY($Y$4),_xlpm.r,ROWS(stayCity[[#Headers],[city]]:stayCity[[#This Row],[city]])-1,IF(_xlpm.r&lt;=ROWS(_xlpm.S),INDEX(_xlpm.S,_xlpm.r,2),""))</f>
        <v/>
      </c>
      <c r="AD144" s="1405">
        <f t="array" ref="AD144">_xlfn.LET(_xlpm.S,_xlfn.ANCHORARRAY($Y$4),_xlpm.r,ROWS(stayCity[[#Headers],[city]]:stayCity[[#This Row],[city]])-1,IF(_xlpm.r&lt;=ROWS(_xlpm.S),INDEX(_xlpm.S,_xlpm.r,3),""))</f>
        <v/>
      </c>
      <c r="AE144" s="1400">
        <f>IF(stayCity[[#This Row],[out]]&lt;&gt;"",stayCity[[#This Row],[out]]-stayCity[[#This Row],[in]],"-")</f>
        <v/>
      </c>
      <c r="AF144" s="1406">
        <f>IF(Y144="","-",YEAR(stayCity[[#This Row],[in]]))</f>
        <v/>
      </c>
      <c r="AG144" s="1398" t="inlineStr">
        <is>
          <t>.</t>
        </is>
      </c>
      <c r="AH144" s="1402">
        <f/>
        <v/>
      </c>
      <c r="AI144" s="1403">
        <f/>
        <v/>
      </c>
      <c r="AJ144" s="1403">
        <f/>
        <v/>
      </c>
      <c r="AK144" s="1400">
        <f>IF(AH144="","-",AH144)</f>
        <v/>
      </c>
      <c r="AL144" s="1405">
        <f>AI144</f>
        <v/>
      </c>
      <c r="AM144" s="1405">
        <f>AJ144</f>
        <v/>
      </c>
      <c r="AN144" s="1400">
        <f>stayCtry[[#This Row],[out]]-stayCtry[[#This Row],[in]]</f>
        <v/>
      </c>
      <c r="AO144" s="1406">
        <f>IF(AI144&lt;&gt;"",AO143+1,AO143)</f>
        <v/>
      </c>
      <c r="AP144" s="1398" t="inlineStr">
        <is>
          <t>.</t>
        </is>
      </c>
      <c r="AQ144" s="1402">
        <f/>
        <v/>
      </c>
      <c r="AR144" s="1403">
        <f/>
        <v/>
      </c>
      <c r="AS144" s="1403">
        <f/>
        <v/>
      </c>
      <c r="AT144" s="1400">
        <f>AQ144</f>
        <v/>
      </c>
      <c r="AU144" s="1405">
        <f>AR144</f>
        <v/>
      </c>
      <c r="AV144" s="1405">
        <f>AS144</f>
        <v/>
      </c>
      <c r="AW144" s="1400">
        <f>stayCont[[#This Row],[out]]-stayCont[[#This Row],[in]]</f>
        <v/>
      </c>
      <c r="AX144" s="1406">
        <f>IF(AR144&lt;&gt;"",AX143+1,AX143)</f>
        <v/>
      </c>
      <c r="AY144" s="1398" t="inlineStr">
        <is>
          <t>.</t>
        </is>
      </c>
      <c r="AZ144" s="1402" t="n"/>
      <c r="BA144" s="1403" t="n"/>
      <c r="BB144" s="1403" t="n"/>
      <c r="BC144" s="1405">
        <f>AZ144</f>
        <v/>
      </c>
      <c r="BD144" s="1405">
        <f>BA144</f>
        <v/>
      </c>
      <c r="BE144" s="1405">
        <f>BB144</f>
        <v/>
      </c>
      <c r="BF144" s="1400">
        <f>stayWB[[#This Row],[out]]-stayWB[[#This Row],[in]]</f>
        <v/>
      </c>
      <c r="BG144" s="1400">
        <f>IF(BB144&lt;&gt;"",BG143+1,BG143)</f>
        <v/>
      </c>
      <c r="BH144" s="1398" t="inlineStr">
        <is>
          <t>.</t>
        </is>
      </c>
      <c r="BI144" s="1402" t="inlineStr">
        <is>
          <t>IRL</t>
        </is>
      </c>
      <c r="BJ144" s="1402" t="n">
        <v>2009</v>
      </c>
      <c r="BK144" s="1400">
        <f>BI144</f>
        <v/>
      </c>
      <c r="BL144" s="1409">
        <f>BJ144</f>
        <v/>
      </c>
      <c r="BM144" s="1378" t="inlineStr">
        <is>
          <t>.</t>
        </is>
      </c>
      <c r="BN144" s="1411" t="inlineStr">
        <is>
          <t>N</t>
        </is>
      </c>
      <c r="BO144" s="1400">
        <f>BN144</f>
        <v/>
      </c>
      <c r="BP144" s="1398" t="inlineStr">
        <is>
          <t>.</t>
        </is>
      </c>
      <c r="BQ144" s="1400">
        <f>IF(BR144&lt;&gt;"",BQ143+1,BQ143)</f>
        <v/>
      </c>
      <c r="BR144" s="1411" t="inlineStr">
        <is>
          <t>SSA</t>
        </is>
      </c>
      <c r="BS144" s="1411" t="inlineStr">
        <is>
          <t>SP</t>
        </is>
      </c>
      <c r="BT144" s="1412" t="inlineStr">
        <is>
          <t>SSA-SP</t>
        </is>
      </c>
      <c r="BU144" s="1412" t="n">
        <v>38664</v>
      </c>
      <c r="BV144" s="1398" t="inlineStr">
        <is>
          <t>.</t>
        </is>
      </c>
      <c r="BW144" s="1392" t="n"/>
      <c r="BX144" s="1392" t="n"/>
      <c r="BY144" s="1392" t="n"/>
      <c r="BZ144" s="1416" t="n"/>
      <c r="CA144" s="1392" t="n"/>
      <c r="CB144" s="1398" t="inlineStr">
        <is>
          <t>.</t>
        </is>
      </c>
      <c r="CC144" s="1400">
        <f>IF(CD144&lt;&gt;"",CC143+1,CC143)</f>
        <v/>
      </c>
      <c r="CD144" s="1411" t="inlineStr">
        <is>
          <t>Sam</t>
        </is>
      </c>
      <c r="CE144" s="1412" t="n">
        <v>41192</v>
      </c>
      <c r="CF144" s="1412" t="n">
        <v>41195</v>
      </c>
      <c r="CG144" s="1415">
        <f>CF144-CE144</f>
        <v/>
      </c>
      <c r="CH144" s="1398" t="inlineStr">
        <is>
          <t>.</t>
        </is>
      </c>
      <c r="CI144" s="1392" t="n"/>
      <c r="CJ144" s="1392" t="n"/>
      <c r="CK144" s="1392" t="n"/>
      <c r="CL144" s="1392" t="n"/>
    </row>
    <row r="145">
      <c r="A145" s="5" t="inlineStr">
        <is>
          <t>.</t>
        </is>
      </c>
      <c r="B145" s="5" t="inlineStr">
        <is>
          <t>.</t>
        </is>
      </c>
      <c r="C145" s="1378">
        <f>IF(raw[[#This Row],[city]]="","-",IF(raw[[#This Row],[city]]="TODAY","-",C144+1))</f>
        <v/>
      </c>
      <c r="D145" s="1393" t="inlineStr">
        <is>
          <t>Lascaux</t>
        </is>
      </c>
      <c r="E145" s="1394" t="n">
        <v>32023</v>
      </c>
      <c r="F145" s="1394" t="n">
        <v>32023</v>
      </c>
      <c r="G145" s="1393" t="inlineStr">
        <is>
          <t>-</t>
        </is>
      </c>
      <c r="H145" s="1393">
        <f>H144</f>
        <v/>
      </c>
      <c r="I145" s="1393" t="n"/>
      <c r="J145" s="1393" t="inlineStr">
        <is>
          <t>-</t>
        </is>
      </c>
      <c r="K145" s="1395">
        <f>IF(raw[[#This Row],[city]]&lt;&gt;"",_xlfn.XLOOKUP($D145,ccc[city],ccc[prov],"-"),"-")</f>
        <v/>
      </c>
      <c r="L145" s="1395">
        <f>IF(raw[[#This Row],[city]]&lt;&gt;"",_xlfn.XLOOKUP($D145,ccc[city],ccc[ctry],"-"),"-")</f>
        <v/>
      </c>
      <c r="M145" s="1395">
        <f>IF(raw[[#This Row],[city]]&lt;&gt;"",_xlfn.XLOOKUP($D145,ccc[city],ccc[cont],"-"),"-")</f>
        <v/>
      </c>
      <c r="N145" s="1396">
        <f>IF(raw[[#This Row],[city]]="","-",IF(raw[[#This Row],[cont]]="B",raw[[#This Row],[cont]],"W"))</f>
        <v/>
      </c>
      <c r="O145" s="1397">
        <f>IF(raw[[#This Row],[out]]=0,0,IF(raw[[#This Row],[out]]=raw[[#This Row],[in]],0.01,raw[[#This Row],[out]]-raw[[#This Row],[in]]))</f>
        <v/>
      </c>
      <c r="P145" s="1397">
        <f>IF(raw[[#This Row],[in]]=0,0,MONTH(raw[[#This Row],[in]]))</f>
        <v/>
      </c>
      <c r="Q145" s="1397">
        <f>IF(raw[[#This Row],[in]]=0,0,YEAR(raw[[#This Row],[in]]))</f>
        <v/>
      </c>
      <c r="R145" s="1397">
        <f>INT(raw[[#This Row],[yr]]/10)*10</f>
        <v/>
      </c>
      <c r="S145" s="1395">
        <f>IF(raw[[#This Row],[city]]="","-",IF(raw[[#This Row],[city]]&lt;&gt;_xlfn.XLOOKUP(raw[[#This Row],[home]],homes[home],homes[city],"-"),1,0))</f>
        <v/>
      </c>
      <c r="T145" s="1398" t="inlineStr">
        <is>
          <t>.</t>
        </is>
      </c>
      <c r="U145" s="1399">
        <f>IF(raw[[#This Row],[wb]]="w",raw[[#This Row],[stay]]+U144,U144)</f>
        <v/>
      </c>
      <c r="V145" s="1400">
        <f>IF(raw[[#This Row],[out]]=0,V144,(raw[[#This Row],[out]]-E$5))</f>
        <v/>
      </c>
      <c r="W145" s="1401">
        <f>U145/V145</f>
        <v/>
      </c>
      <c r="X145" s="1378" t="inlineStr">
        <is>
          <t>.</t>
        </is>
      </c>
      <c r="Y145" s="1402">
        <f/>
        <v/>
      </c>
      <c r="Z145" s="1403">
        <f/>
        <v/>
      </c>
      <c r="AA145" s="1403">
        <f/>
        <v/>
      </c>
      <c r="AB145" s="1400">
        <f t="array" ref="AB145">_xlfn.LET(_xlpm.S,_xlfn.ANCHORARRAY($Y$4),_xlpm.r,ROWS(stayCity[[#Headers],[city]]:stayCity[[#This Row],[city]])-1,IF(_xlpm.r&lt;=ROWS(_xlpm.S),INDEX(_xlpm.S,_xlpm.r,1),""))</f>
        <v/>
      </c>
      <c r="AC145" s="1405">
        <f t="array" ref="AC145">_xlfn.LET(_xlpm.S,_xlfn.ANCHORARRAY($Y$4),_xlpm.r,ROWS(stayCity[[#Headers],[city]]:stayCity[[#This Row],[city]])-1,IF(_xlpm.r&lt;=ROWS(_xlpm.S),INDEX(_xlpm.S,_xlpm.r,2),""))</f>
        <v/>
      </c>
      <c r="AD145" s="1405">
        <f t="array" ref="AD145">_xlfn.LET(_xlpm.S,_xlfn.ANCHORARRAY($Y$4),_xlpm.r,ROWS(stayCity[[#Headers],[city]]:stayCity[[#This Row],[city]])-1,IF(_xlpm.r&lt;=ROWS(_xlpm.S),INDEX(_xlpm.S,_xlpm.r,3),""))</f>
        <v/>
      </c>
      <c r="AE145" s="1400">
        <f>IF(stayCity[[#This Row],[out]]&lt;&gt;"",stayCity[[#This Row],[out]]-stayCity[[#This Row],[in]],"-")</f>
        <v/>
      </c>
      <c r="AF145" s="1406">
        <f>IF(Y145="","-",YEAR(stayCity[[#This Row],[in]]))</f>
        <v/>
      </c>
      <c r="AG145" s="1398" t="inlineStr">
        <is>
          <t>.</t>
        </is>
      </c>
      <c r="AH145" s="1402">
        <f/>
        <v/>
      </c>
      <c r="AI145" s="1403">
        <f/>
        <v/>
      </c>
      <c r="AJ145" s="1403">
        <f/>
        <v/>
      </c>
      <c r="AK145" s="1400">
        <f>IF(AH145="","-",AH145)</f>
        <v/>
      </c>
      <c r="AL145" s="1405">
        <f>AI145</f>
        <v/>
      </c>
      <c r="AM145" s="1405">
        <f>AJ145</f>
        <v/>
      </c>
      <c r="AN145" s="1400">
        <f>stayCtry[[#This Row],[out]]-stayCtry[[#This Row],[in]]</f>
        <v/>
      </c>
      <c r="AO145" s="1406">
        <f>IF(AI145&lt;&gt;"",AO144+1,AO144)</f>
        <v/>
      </c>
      <c r="AP145" s="1398" t="inlineStr">
        <is>
          <t>.</t>
        </is>
      </c>
      <c r="AQ145" s="1402">
        <f/>
        <v/>
      </c>
      <c r="AR145" s="1403">
        <f/>
        <v/>
      </c>
      <c r="AS145" s="1403">
        <f/>
        <v/>
      </c>
      <c r="AT145" s="1400">
        <f>AQ145</f>
        <v/>
      </c>
      <c r="AU145" s="1405">
        <f>AR145</f>
        <v/>
      </c>
      <c r="AV145" s="1405">
        <f>AS145</f>
        <v/>
      </c>
      <c r="AW145" s="1400">
        <f>stayCont[[#This Row],[out]]-stayCont[[#This Row],[in]]</f>
        <v/>
      </c>
      <c r="AX145" s="1406">
        <f>IF(AR145&lt;&gt;"",AX144+1,AX144)</f>
        <v/>
      </c>
      <c r="AY145" s="1398" t="inlineStr">
        <is>
          <t>.</t>
        </is>
      </c>
      <c r="AZ145" s="1402" t="n"/>
      <c r="BA145" s="1403" t="n"/>
      <c r="BB145" s="1403" t="n"/>
      <c r="BC145" s="1405">
        <f>AZ145</f>
        <v/>
      </c>
      <c r="BD145" s="1405">
        <f>BA145</f>
        <v/>
      </c>
      <c r="BE145" s="1405">
        <f>BB145</f>
        <v/>
      </c>
      <c r="BF145" s="1400">
        <f>stayWB[[#This Row],[out]]-stayWB[[#This Row],[in]]</f>
        <v/>
      </c>
      <c r="BG145" s="1400">
        <f>IF(BB145&lt;&gt;"",BG144+1,BG144)</f>
        <v/>
      </c>
      <c r="BH145" s="1398" t="inlineStr">
        <is>
          <t>.</t>
        </is>
      </c>
      <c r="BI145" s="1402" t="inlineStr">
        <is>
          <t>UK</t>
        </is>
      </c>
      <c r="BJ145" s="1402" t="n">
        <v>2009</v>
      </c>
      <c r="BK145" s="1400">
        <f>BI145</f>
        <v/>
      </c>
      <c r="BL145" s="1409">
        <f>BJ145</f>
        <v/>
      </c>
      <c r="BM145" s="1378" t="inlineStr">
        <is>
          <t>.</t>
        </is>
      </c>
      <c r="BN145" s="1411" t="inlineStr">
        <is>
          <t>Z</t>
        </is>
      </c>
      <c r="BO145" s="1400">
        <f>BN145</f>
        <v/>
      </c>
      <c r="BP145" s="1398" t="inlineStr">
        <is>
          <t>.</t>
        </is>
      </c>
      <c r="BQ145" s="1400">
        <f>IF(BR145&lt;&gt;"",BQ144+1,BQ144)</f>
        <v/>
      </c>
      <c r="BR145" s="1411" t="inlineStr">
        <is>
          <t>SP</t>
        </is>
      </c>
      <c r="BS145" s="1411" t="inlineStr">
        <is>
          <t>SSA</t>
        </is>
      </c>
      <c r="BT145" s="1412" t="inlineStr">
        <is>
          <t>SP-SSA</t>
        </is>
      </c>
      <c r="BU145" s="1412" t="n">
        <v>38691</v>
      </c>
      <c r="BV145" s="1398" t="inlineStr">
        <is>
          <t>.</t>
        </is>
      </c>
      <c r="BW145" s="1392" t="n"/>
      <c r="BX145" s="1392" t="n"/>
      <c r="BY145" s="1392" t="n"/>
      <c r="BZ145" s="1416" t="n"/>
      <c r="CA145" s="1392" t="n"/>
      <c r="CB145" s="1398" t="inlineStr">
        <is>
          <t>.</t>
        </is>
      </c>
      <c r="CC145" s="1400">
        <f>IF(CD145&lt;&gt;"",CC144+1,CC144)</f>
        <v/>
      </c>
      <c r="CD145" s="1411" t="inlineStr">
        <is>
          <t>Monica Rio</t>
        </is>
      </c>
      <c r="CE145" s="1412" t="n">
        <v>41195</v>
      </c>
      <c r="CF145" s="1412" t="n">
        <v>41197</v>
      </c>
      <c r="CG145" s="1415">
        <f>CF145-CE145</f>
        <v/>
      </c>
      <c r="CH145" s="1398" t="inlineStr">
        <is>
          <t>.</t>
        </is>
      </c>
      <c r="CI145" s="1392" t="n"/>
      <c r="CJ145" s="1392" t="n"/>
      <c r="CK145" s="1392" t="n"/>
      <c r="CL145" s="1392" t="n"/>
    </row>
    <row r="146">
      <c r="A146" s="5" t="inlineStr">
        <is>
          <t>.</t>
        </is>
      </c>
      <c r="B146" s="5" t="inlineStr">
        <is>
          <t>.</t>
        </is>
      </c>
      <c r="C146" s="1378">
        <f>IF(raw[[#This Row],[city]]="","-",IF(raw[[#This Row],[city]]="TODAY","-",C145+1))</f>
        <v/>
      </c>
      <c r="D146" s="1393" t="inlineStr">
        <is>
          <t>La Rogue</t>
        </is>
      </c>
      <c r="E146" s="1394" t="n">
        <v>32023</v>
      </c>
      <c r="F146" s="1394" t="n">
        <v>32023</v>
      </c>
      <c r="G146" s="1393" t="inlineStr">
        <is>
          <t>-</t>
        </is>
      </c>
      <c r="H146" s="1393">
        <f>H145</f>
        <v/>
      </c>
      <c r="I146" s="1393" t="n"/>
      <c r="J146" s="1393" t="inlineStr">
        <is>
          <t>-</t>
        </is>
      </c>
      <c r="K146" s="1395">
        <f>IF(raw[[#This Row],[city]]&lt;&gt;"",_xlfn.XLOOKUP($D146,ccc[city],ccc[prov],"-"),"-")</f>
        <v/>
      </c>
      <c r="L146" s="1395">
        <f>IF(raw[[#This Row],[city]]&lt;&gt;"",_xlfn.XLOOKUP($D146,ccc[city],ccc[ctry],"-"),"-")</f>
        <v/>
      </c>
      <c r="M146" s="1395">
        <f>IF(raw[[#This Row],[city]]&lt;&gt;"",_xlfn.XLOOKUP($D146,ccc[city],ccc[cont],"-"),"-")</f>
        <v/>
      </c>
      <c r="N146" s="1396">
        <f>IF(raw[[#This Row],[city]]="","-",IF(raw[[#This Row],[cont]]="B",raw[[#This Row],[cont]],"W"))</f>
        <v/>
      </c>
      <c r="O146" s="1397">
        <f>IF(raw[[#This Row],[out]]=0,0,IF(raw[[#This Row],[out]]=raw[[#This Row],[in]],0.01,raw[[#This Row],[out]]-raw[[#This Row],[in]]))</f>
        <v/>
      </c>
      <c r="P146" s="1397">
        <f>IF(raw[[#This Row],[in]]=0,0,MONTH(raw[[#This Row],[in]]))</f>
        <v/>
      </c>
      <c r="Q146" s="1397">
        <f>IF(raw[[#This Row],[in]]=0,0,YEAR(raw[[#This Row],[in]]))</f>
        <v/>
      </c>
      <c r="R146" s="1397">
        <f>INT(raw[[#This Row],[yr]]/10)*10</f>
        <v/>
      </c>
      <c r="S146" s="1395">
        <f>IF(raw[[#This Row],[city]]="","-",IF(raw[[#This Row],[city]]&lt;&gt;_xlfn.XLOOKUP(raw[[#This Row],[home]],homes[home],homes[city],"-"),1,0))</f>
        <v/>
      </c>
      <c r="T146" s="1398" t="inlineStr">
        <is>
          <t>.</t>
        </is>
      </c>
      <c r="U146" s="1399">
        <f>IF(raw[[#This Row],[wb]]="w",raw[[#This Row],[stay]]+U145,U145)</f>
        <v/>
      </c>
      <c r="V146" s="1400">
        <f>IF(raw[[#This Row],[out]]=0,V145,(raw[[#This Row],[out]]-E$5))</f>
        <v/>
      </c>
      <c r="W146" s="1401">
        <f>U146/V146</f>
        <v/>
      </c>
      <c r="X146" s="1378" t="inlineStr">
        <is>
          <t>.</t>
        </is>
      </c>
      <c r="Y146" s="1402">
        <f/>
        <v/>
      </c>
      <c r="Z146" s="1403">
        <f/>
        <v/>
      </c>
      <c r="AA146" s="1403">
        <f/>
        <v/>
      </c>
      <c r="AB146" s="1400">
        <f t="array" ref="AB146">_xlfn.LET(_xlpm.S,_xlfn.ANCHORARRAY($Y$4),_xlpm.r,ROWS(stayCity[[#Headers],[city]]:stayCity[[#This Row],[city]])-1,IF(_xlpm.r&lt;=ROWS(_xlpm.S),INDEX(_xlpm.S,_xlpm.r,1),""))</f>
        <v/>
      </c>
      <c r="AC146" s="1405">
        <f t="array" ref="AC146">_xlfn.LET(_xlpm.S,_xlfn.ANCHORARRAY($Y$4),_xlpm.r,ROWS(stayCity[[#Headers],[city]]:stayCity[[#This Row],[city]])-1,IF(_xlpm.r&lt;=ROWS(_xlpm.S),INDEX(_xlpm.S,_xlpm.r,2),""))</f>
        <v/>
      </c>
      <c r="AD146" s="1405">
        <f t="array" ref="AD146">_xlfn.LET(_xlpm.S,_xlfn.ANCHORARRAY($Y$4),_xlpm.r,ROWS(stayCity[[#Headers],[city]]:stayCity[[#This Row],[city]])-1,IF(_xlpm.r&lt;=ROWS(_xlpm.S),INDEX(_xlpm.S,_xlpm.r,3),""))</f>
        <v/>
      </c>
      <c r="AE146" s="1400">
        <f>IF(stayCity[[#This Row],[out]]&lt;&gt;"",stayCity[[#This Row],[out]]-stayCity[[#This Row],[in]],"-")</f>
        <v/>
      </c>
      <c r="AF146" s="1406">
        <f>IF(Y146="","-",YEAR(stayCity[[#This Row],[in]]))</f>
        <v/>
      </c>
      <c r="AG146" s="1398" t="inlineStr">
        <is>
          <t>.</t>
        </is>
      </c>
      <c r="AH146" s="1402">
        <f/>
        <v/>
      </c>
      <c r="AI146" s="1403">
        <f/>
        <v/>
      </c>
      <c r="AJ146" s="1403">
        <f/>
        <v/>
      </c>
      <c r="AK146" s="1400">
        <f>IF(AH146="","-",AH146)</f>
        <v/>
      </c>
      <c r="AL146" s="1405">
        <f>AI146</f>
        <v/>
      </c>
      <c r="AM146" s="1405">
        <f>AJ146</f>
        <v/>
      </c>
      <c r="AN146" s="1400">
        <f>stayCtry[[#This Row],[out]]-stayCtry[[#This Row],[in]]</f>
        <v/>
      </c>
      <c r="AO146" s="1406">
        <f>IF(AI146&lt;&gt;"",AO145+1,AO145)</f>
        <v/>
      </c>
      <c r="AP146" s="1398" t="inlineStr">
        <is>
          <t>.</t>
        </is>
      </c>
      <c r="AQ146" s="1402">
        <f/>
        <v/>
      </c>
      <c r="AR146" s="1403">
        <f/>
        <v/>
      </c>
      <c r="AS146" s="1403">
        <f/>
        <v/>
      </c>
      <c r="AT146" s="1400">
        <f>AQ146</f>
        <v/>
      </c>
      <c r="AU146" s="1405">
        <f>AR146</f>
        <v/>
      </c>
      <c r="AV146" s="1405">
        <f>AS146</f>
        <v/>
      </c>
      <c r="AW146" s="1400">
        <f>stayCont[[#This Row],[out]]-stayCont[[#This Row],[in]]</f>
        <v/>
      </c>
      <c r="AX146" s="1406">
        <f>IF(AR146&lt;&gt;"",AX145+1,AX145)</f>
        <v/>
      </c>
      <c r="AY146" s="1398" t="inlineStr">
        <is>
          <t>.</t>
        </is>
      </c>
      <c r="AZ146" s="1402" t="n"/>
      <c r="BA146" s="1403" t="n"/>
      <c r="BB146" s="1403" t="n"/>
      <c r="BC146" s="1405">
        <f>AZ146</f>
        <v/>
      </c>
      <c r="BD146" s="1405">
        <f>BA146</f>
        <v/>
      </c>
      <c r="BE146" s="1405">
        <f>BB146</f>
        <v/>
      </c>
      <c r="BF146" s="1400">
        <f>stayWB[[#This Row],[out]]-stayWB[[#This Row],[in]]</f>
        <v/>
      </c>
      <c r="BG146" s="1400">
        <f>IF(BB146&lt;&gt;"",BG145+1,BG145)</f>
        <v/>
      </c>
      <c r="BH146" s="1398" t="inlineStr">
        <is>
          <t>.</t>
        </is>
      </c>
      <c r="BI146" s="1402" t="inlineStr">
        <is>
          <t>ITA</t>
        </is>
      </c>
      <c r="BJ146" s="1402" t="n">
        <v>2009</v>
      </c>
      <c r="BK146" s="1400">
        <f>BI146</f>
        <v/>
      </c>
      <c r="BL146" s="1409">
        <f>BJ146</f>
        <v/>
      </c>
      <c r="BM146" s="1378" t="inlineStr">
        <is>
          <t>.</t>
        </is>
      </c>
      <c r="BN146" s="1411" t="inlineStr">
        <is>
          <t>E</t>
        </is>
      </c>
      <c r="BO146" s="1400">
        <f>BN146</f>
        <v/>
      </c>
      <c r="BP146" s="1398" t="inlineStr">
        <is>
          <t>.</t>
        </is>
      </c>
      <c r="BQ146" s="1400">
        <f>IF(BR146&lt;&gt;"",BQ145+1,BQ145)</f>
        <v/>
      </c>
      <c r="BR146" s="1411" t="inlineStr">
        <is>
          <t>SSA</t>
        </is>
      </c>
      <c r="BS146" s="1411" t="inlineStr">
        <is>
          <t>SP</t>
        </is>
      </c>
      <c r="BT146" s="1412" t="inlineStr">
        <is>
          <t>SSA-SP</t>
        </is>
      </c>
      <c r="BU146" s="1412" t="n">
        <v>38779</v>
      </c>
      <c r="BV146" s="1398" t="inlineStr">
        <is>
          <t>.</t>
        </is>
      </c>
      <c r="BW146" s="1392" t="n"/>
      <c r="BX146" s="1392" t="n"/>
      <c r="BY146" s="1392" t="n"/>
      <c r="BZ146" s="1416" t="n"/>
      <c r="CA146" s="1392" t="n"/>
      <c r="CB146" s="1398" t="inlineStr">
        <is>
          <t>.</t>
        </is>
      </c>
      <c r="CC146" s="1400">
        <f>IF(CD146&lt;&gt;"",CC145+1,CC145)</f>
        <v/>
      </c>
      <c r="CD146" s="1411" t="inlineStr">
        <is>
          <t>Sam/Arnaldo</t>
        </is>
      </c>
      <c r="CE146" s="1412" t="n">
        <v>41197</v>
      </c>
      <c r="CF146" s="1412" t="n">
        <v>41198</v>
      </c>
      <c r="CG146" s="1415">
        <f>CF146-CE146</f>
        <v/>
      </c>
      <c r="CH146" s="1398" t="inlineStr">
        <is>
          <t>.</t>
        </is>
      </c>
      <c r="CI146" s="1392" t="n"/>
      <c r="CJ146" s="1392" t="n"/>
      <c r="CK146" s="1392" t="n"/>
      <c r="CL146" s="1392" t="n"/>
    </row>
    <row r="147">
      <c r="A147" s="5" t="inlineStr">
        <is>
          <t>.</t>
        </is>
      </c>
      <c r="B147" s="5" t="inlineStr">
        <is>
          <t>.</t>
        </is>
      </c>
      <c r="C147" s="1378">
        <f>IF(raw[[#This Row],[city]]="","-",IF(raw[[#This Row],[city]]="TODAY","-",C146+1))</f>
        <v/>
      </c>
      <c r="D147" s="1393" t="inlineStr">
        <is>
          <t>Gageac</t>
        </is>
      </c>
      <c r="E147" s="1394" t="n">
        <v>32023</v>
      </c>
      <c r="F147" s="1394" t="n">
        <v>32023</v>
      </c>
      <c r="G147" s="1393" t="inlineStr">
        <is>
          <t>-</t>
        </is>
      </c>
      <c r="H147" s="1393">
        <f>H146</f>
        <v/>
      </c>
      <c r="I147" s="1393" t="n"/>
      <c r="J147" s="1393" t="inlineStr">
        <is>
          <t>-</t>
        </is>
      </c>
      <c r="K147" s="1395">
        <f>IF(raw[[#This Row],[city]]&lt;&gt;"",_xlfn.XLOOKUP($D147,ccc[city],ccc[prov],"-"),"-")</f>
        <v/>
      </c>
      <c r="L147" s="1395">
        <f>IF(raw[[#This Row],[city]]&lt;&gt;"",_xlfn.XLOOKUP($D147,ccc[city],ccc[ctry],"-"),"-")</f>
        <v/>
      </c>
      <c r="M147" s="1395">
        <f>IF(raw[[#This Row],[city]]&lt;&gt;"",_xlfn.XLOOKUP($D147,ccc[city],ccc[cont],"-"),"-")</f>
        <v/>
      </c>
      <c r="N147" s="1396">
        <f>IF(raw[[#This Row],[city]]="","-",IF(raw[[#This Row],[cont]]="B",raw[[#This Row],[cont]],"W"))</f>
        <v/>
      </c>
      <c r="O147" s="1397">
        <f>IF(raw[[#This Row],[out]]=0,0,IF(raw[[#This Row],[out]]=raw[[#This Row],[in]],0.01,raw[[#This Row],[out]]-raw[[#This Row],[in]]))</f>
        <v/>
      </c>
      <c r="P147" s="1397">
        <f>IF(raw[[#This Row],[in]]=0,0,MONTH(raw[[#This Row],[in]]))</f>
        <v/>
      </c>
      <c r="Q147" s="1397">
        <f>IF(raw[[#This Row],[in]]=0,0,YEAR(raw[[#This Row],[in]]))</f>
        <v/>
      </c>
      <c r="R147" s="1397">
        <f>INT(raw[[#This Row],[yr]]/10)*10</f>
        <v/>
      </c>
      <c r="S147" s="1395">
        <f>IF(raw[[#This Row],[city]]="","-",IF(raw[[#This Row],[city]]&lt;&gt;_xlfn.XLOOKUP(raw[[#This Row],[home]],homes[home],homes[city],"-"),1,0))</f>
        <v/>
      </c>
      <c r="T147" s="1398" t="inlineStr">
        <is>
          <t>.</t>
        </is>
      </c>
      <c r="U147" s="1399">
        <f>IF(raw[[#This Row],[wb]]="w",raw[[#This Row],[stay]]+U146,U146)</f>
        <v/>
      </c>
      <c r="V147" s="1400">
        <f>IF(raw[[#This Row],[out]]=0,V146,(raw[[#This Row],[out]]-E$5))</f>
        <v/>
      </c>
      <c r="W147" s="1401">
        <f>U147/V147</f>
        <v/>
      </c>
      <c r="X147" s="1378" t="inlineStr">
        <is>
          <t>.</t>
        </is>
      </c>
      <c r="Y147" s="1402">
        <f/>
        <v/>
      </c>
      <c r="Z147" s="1403">
        <f/>
        <v/>
      </c>
      <c r="AA147" s="1403">
        <f/>
        <v/>
      </c>
      <c r="AB147" s="1400">
        <f t="array" ref="AB147">_xlfn.LET(_xlpm.S,_xlfn.ANCHORARRAY($Y$4),_xlpm.r,ROWS(stayCity[[#Headers],[city]]:stayCity[[#This Row],[city]])-1,IF(_xlpm.r&lt;=ROWS(_xlpm.S),INDEX(_xlpm.S,_xlpm.r,1),""))</f>
        <v/>
      </c>
      <c r="AC147" s="1405">
        <f t="array" ref="AC147">_xlfn.LET(_xlpm.S,_xlfn.ANCHORARRAY($Y$4),_xlpm.r,ROWS(stayCity[[#Headers],[city]]:stayCity[[#This Row],[city]])-1,IF(_xlpm.r&lt;=ROWS(_xlpm.S),INDEX(_xlpm.S,_xlpm.r,2),""))</f>
        <v/>
      </c>
      <c r="AD147" s="1405">
        <f t="array" ref="AD147">_xlfn.LET(_xlpm.S,_xlfn.ANCHORARRAY($Y$4),_xlpm.r,ROWS(stayCity[[#Headers],[city]]:stayCity[[#This Row],[city]])-1,IF(_xlpm.r&lt;=ROWS(_xlpm.S),INDEX(_xlpm.S,_xlpm.r,3),""))</f>
        <v/>
      </c>
      <c r="AE147" s="1400">
        <f>IF(stayCity[[#This Row],[out]]&lt;&gt;"",stayCity[[#This Row],[out]]-stayCity[[#This Row],[in]],"-")</f>
        <v/>
      </c>
      <c r="AF147" s="1406">
        <f>IF(Y147="","-",YEAR(stayCity[[#This Row],[in]]))</f>
        <v/>
      </c>
      <c r="AG147" s="1398" t="inlineStr">
        <is>
          <t>.</t>
        </is>
      </c>
      <c r="AH147" s="1402">
        <f/>
        <v/>
      </c>
      <c r="AI147" s="1403">
        <f/>
        <v/>
      </c>
      <c r="AJ147" s="1403">
        <f/>
        <v/>
      </c>
      <c r="AK147" s="1400">
        <f>IF(AH147="","-",AH147)</f>
        <v/>
      </c>
      <c r="AL147" s="1405">
        <f>AI147</f>
        <v/>
      </c>
      <c r="AM147" s="1405">
        <f>AJ147</f>
        <v/>
      </c>
      <c r="AN147" s="1400">
        <f>stayCtry[[#This Row],[out]]-stayCtry[[#This Row],[in]]</f>
        <v/>
      </c>
      <c r="AO147" s="1406">
        <f>IF(AI147&lt;&gt;"",AO146+1,AO146)</f>
        <v/>
      </c>
      <c r="AP147" s="1398" t="inlineStr">
        <is>
          <t>.</t>
        </is>
      </c>
      <c r="AQ147" s="1402">
        <f/>
        <v/>
      </c>
      <c r="AR147" s="1403">
        <f/>
        <v/>
      </c>
      <c r="AS147" s="1403">
        <f/>
        <v/>
      </c>
      <c r="AT147" s="1400">
        <f>AQ147</f>
        <v/>
      </c>
      <c r="AU147" s="1405">
        <f>AR147</f>
        <v/>
      </c>
      <c r="AV147" s="1405">
        <f>AS147</f>
        <v/>
      </c>
      <c r="AW147" s="1400">
        <f>stayCont[[#This Row],[out]]-stayCont[[#This Row],[in]]</f>
        <v/>
      </c>
      <c r="AX147" s="1406">
        <f>IF(AR147&lt;&gt;"",AX146+1,AX146)</f>
        <v/>
      </c>
      <c r="AY147" s="1398" t="inlineStr">
        <is>
          <t>.</t>
        </is>
      </c>
      <c r="AZ147" s="1402" t="n"/>
      <c r="BA147" s="1403" t="n"/>
      <c r="BB147" s="1403" t="n"/>
      <c r="BC147" s="1405">
        <f>AZ147</f>
        <v/>
      </c>
      <c r="BD147" s="1405">
        <f>BA147</f>
        <v/>
      </c>
      <c r="BE147" s="1405">
        <f>BB147</f>
        <v/>
      </c>
      <c r="BF147" s="1400">
        <f>stayWB[[#This Row],[out]]-stayWB[[#This Row],[in]]</f>
        <v/>
      </c>
      <c r="BG147" s="1400">
        <f>IF(BB147&lt;&gt;"",BG146+1,BG146)</f>
        <v/>
      </c>
      <c r="BH147" s="1398" t="inlineStr">
        <is>
          <t>.</t>
        </is>
      </c>
      <c r="BI147" s="1402" t="inlineStr">
        <is>
          <t>GRC</t>
        </is>
      </c>
      <c r="BJ147" s="1402" t="n">
        <v>2009</v>
      </c>
      <c r="BK147" s="1400">
        <f>BI147</f>
        <v/>
      </c>
      <c r="BL147" s="1409">
        <f>BJ147</f>
        <v/>
      </c>
      <c r="BM147" s="1378" t="inlineStr">
        <is>
          <t>.</t>
        </is>
      </c>
      <c r="BN147" s="1411" t="inlineStr">
        <is>
          <t>B</t>
        </is>
      </c>
      <c r="BO147" s="1400">
        <f>BN147</f>
        <v/>
      </c>
      <c r="BP147" s="1398" t="inlineStr">
        <is>
          <t>.</t>
        </is>
      </c>
      <c r="BQ147" s="1400">
        <f>IF(BR147&lt;&gt;"",BQ146+1,BQ146)</f>
        <v/>
      </c>
      <c r="BR147" s="1411" t="inlineStr">
        <is>
          <t>SP</t>
        </is>
      </c>
      <c r="BS147" s="1411" t="inlineStr">
        <is>
          <t>Miami</t>
        </is>
      </c>
      <c r="BT147" s="1412" t="inlineStr">
        <is>
          <t>SP-Miami</t>
        </is>
      </c>
      <c r="BU147" s="1412" t="n">
        <v>38779</v>
      </c>
      <c r="BV147" s="1398" t="inlineStr">
        <is>
          <t>.</t>
        </is>
      </c>
      <c r="BW147" s="1392" t="n"/>
      <c r="BX147" s="1392" t="n"/>
      <c r="BY147" s="1392" t="n"/>
      <c r="BZ147" s="1416" t="n"/>
      <c r="CA147" s="1392" t="n"/>
      <c r="CB147" s="1398" t="inlineStr">
        <is>
          <t>.</t>
        </is>
      </c>
      <c r="CC147" s="1400">
        <f>IF(CD147&lt;&gt;"",CC146+1,CC146)</f>
        <v/>
      </c>
      <c r="CD147" s="1411" t="inlineStr">
        <is>
          <t>Ondina</t>
        </is>
      </c>
      <c r="CE147" s="1412" t="n">
        <v>41198</v>
      </c>
      <c r="CF147" s="1412" t="n">
        <v>41203</v>
      </c>
      <c r="CG147" s="1415">
        <f>CF147-CE147</f>
        <v/>
      </c>
      <c r="CH147" s="1398" t="inlineStr">
        <is>
          <t>.</t>
        </is>
      </c>
      <c r="CI147" s="1392" t="n"/>
      <c r="CJ147" s="1392" t="n"/>
      <c r="CK147" s="1392" t="n"/>
      <c r="CL147" s="1392" t="n"/>
    </row>
    <row r="148">
      <c r="A148" s="5" t="inlineStr">
        <is>
          <t>.</t>
        </is>
      </c>
      <c r="B148" s="5" t="inlineStr">
        <is>
          <t>.</t>
        </is>
      </c>
      <c r="C148" s="1378">
        <f>IF(raw[[#This Row],[city]]="","-",IF(raw[[#This Row],[city]]="TODAY","-",C147+1))</f>
        <v/>
      </c>
      <c r="D148" s="1393" t="inlineStr">
        <is>
          <t>Serlat</t>
        </is>
      </c>
      <c r="E148" s="1394" t="n">
        <v>32023</v>
      </c>
      <c r="F148" s="1394" t="n">
        <v>32023</v>
      </c>
      <c r="G148" s="1393" t="inlineStr">
        <is>
          <t>-</t>
        </is>
      </c>
      <c r="H148" s="1393">
        <f>H147</f>
        <v/>
      </c>
      <c r="I148" s="1393" t="inlineStr">
        <is>
          <t>-</t>
        </is>
      </c>
      <c r="J148" s="1393" t="inlineStr">
        <is>
          <t>-</t>
        </is>
      </c>
      <c r="K148" s="1395">
        <f>IF(raw[[#This Row],[city]]&lt;&gt;"",_xlfn.XLOOKUP($D148,ccc[city],ccc[prov],"-"),"-")</f>
        <v/>
      </c>
      <c r="L148" s="1395">
        <f>IF(raw[[#This Row],[city]]&lt;&gt;"",_xlfn.XLOOKUP($D148,ccc[city],ccc[ctry],"-"),"-")</f>
        <v/>
      </c>
      <c r="M148" s="1395">
        <f>IF(raw[[#This Row],[city]]&lt;&gt;"",_xlfn.XLOOKUP($D148,ccc[city],ccc[cont],"-"),"-")</f>
        <v/>
      </c>
      <c r="N148" s="1396">
        <f>IF(raw[[#This Row],[city]]="","-",IF(raw[[#This Row],[cont]]="B",raw[[#This Row],[cont]],"W"))</f>
        <v/>
      </c>
      <c r="O148" s="1397">
        <f>IF(raw[[#This Row],[out]]=0,0,IF(raw[[#This Row],[out]]=raw[[#This Row],[in]],0.01,raw[[#This Row],[out]]-raw[[#This Row],[in]]))</f>
        <v/>
      </c>
      <c r="P148" s="1397">
        <f>IF(raw[[#This Row],[in]]=0,0,MONTH(raw[[#This Row],[in]]))</f>
        <v/>
      </c>
      <c r="Q148" s="1397">
        <f>IF(raw[[#This Row],[in]]=0,0,YEAR(raw[[#This Row],[in]]))</f>
        <v/>
      </c>
      <c r="R148" s="1397">
        <f>INT(raw[[#This Row],[yr]]/10)*10</f>
        <v/>
      </c>
      <c r="S148" s="1395">
        <f>IF(raw[[#This Row],[city]]="","-",IF(raw[[#This Row],[city]]&lt;&gt;_xlfn.XLOOKUP(raw[[#This Row],[home]],homes[home],homes[city],"-"),1,0))</f>
        <v/>
      </c>
      <c r="T148" s="1398" t="inlineStr">
        <is>
          <t>.</t>
        </is>
      </c>
      <c r="U148" s="1399">
        <f>IF(raw[[#This Row],[wb]]="w",raw[[#This Row],[stay]]+U147,U147)</f>
        <v/>
      </c>
      <c r="V148" s="1400">
        <f>IF(raw[[#This Row],[out]]=0,V147,(raw[[#This Row],[out]]-E$5))</f>
        <v/>
      </c>
      <c r="W148" s="1401">
        <f>U148/V148</f>
        <v/>
      </c>
      <c r="X148" s="1378" t="inlineStr">
        <is>
          <t>.</t>
        </is>
      </c>
      <c r="Y148" s="1402">
        <f/>
        <v/>
      </c>
      <c r="Z148" s="1403">
        <f/>
        <v/>
      </c>
      <c r="AA148" s="1403">
        <f/>
        <v/>
      </c>
      <c r="AB148" s="1400">
        <f t="array" ref="AB148">_xlfn.LET(_xlpm.S,_xlfn.ANCHORARRAY($Y$4),_xlpm.r,ROWS(stayCity[[#Headers],[city]]:stayCity[[#This Row],[city]])-1,IF(_xlpm.r&lt;=ROWS(_xlpm.S),INDEX(_xlpm.S,_xlpm.r,1),""))</f>
        <v/>
      </c>
      <c r="AC148" s="1405">
        <f t="array" ref="AC148">_xlfn.LET(_xlpm.S,_xlfn.ANCHORARRAY($Y$4),_xlpm.r,ROWS(stayCity[[#Headers],[city]]:stayCity[[#This Row],[city]])-1,IF(_xlpm.r&lt;=ROWS(_xlpm.S),INDEX(_xlpm.S,_xlpm.r,2),""))</f>
        <v/>
      </c>
      <c r="AD148" s="1405">
        <f t="array" ref="AD148">_xlfn.LET(_xlpm.S,_xlfn.ANCHORARRAY($Y$4),_xlpm.r,ROWS(stayCity[[#Headers],[city]]:stayCity[[#This Row],[city]])-1,IF(_xlpm.r&lt;=ROWS(_xlpm.S),INDEX(_xlpm.S,_xlpm.r,3),""))</f>
        <v/>
      </c>
      <c r="AE148" s="1400">
        <f>IF(stayCity[[#This Row],[out]]&lt;&gt;"",stayCity[[#This Row],[out]]-stayCity[[#This Row],[in]],"-")</f>
        <v/>
      </c>
      <c r="AF148" s="1406">
        <f>IF(Y148="","-",YEAR(stayCity[[#This Row],[in]]))</f>
        <v/>
      </c>
      <c r="AG148" s="1398" t="inlineStr">
        <is>
          <t>.</t>
        </is>
      </c>
      <c r="AH148" s="1402">
        <f/>
        <v/>
      </c>
      <c r="AI148" s="1403">
        <f/>
        <v/>
      </c>
      <c r="AJ148" s="1403">
        <f/>
        <v/>
      </c>
      <c r="AK148" s="1400">
        <f>IF(AH148="","-",AH148)</f>
        <v/>
      </c>
      <c r="AL148" s="1405">
        <f>AI148</f>
        <v/>
      </c>
      <c r="AM148" s="1405">
        <f>AJ148</f>
        <v/>
      </c>
      <c r="AN148" s="1400">
        <f>stayCtry[[#This Row],[out]]-stayCtry[[#This Row],[in]]</f>
        <v/>
      </c>
      <c r="AO148" s="1406">
        <f>IF(AI148&lt;&gt;"",AO147+1,AO147)</f>
        <v/>
      </c>
      <c r="AP148" s="1398" t="inlineStr">
        <is>
          <t>.</t>
        </is>
      </c>
      <c r="AQ148" s="1402">
        <f/>
        <v/>
      </c>
      <c r="AR148" s="1403">
        <f/>
        <v/>
      </c>
      <c r="AS148" s="1403">
        <f/>
        <v/>
      </c>
      <c r="AT148" s="1400">
        <f>AQ148</f>
        <v/>
      </c>
      <c r="AU148" s="1405">
        <f>AR148</f>
        <v/>
      </c>
      <c r="AV148" s="1405">
        <f>AS148</f>
        <v/>
      </c>
      <c r="AW148" s="1400">
        <f>stayCont[[#This Row],[out]]-stayCont[[#This Row],[in]]</f>
        <v/>
      </c>
      <c r="AX148" s="1406">
        <f>IF(AR148&lt;&gt;"",AX147+1,AX147)</f>
        <v/>
      </c>
      <c r="AY148" s="1398" t="inlineStr">
        <is>
          <t>.</t>
        </is>
      </c>
      <c r="AZ148" s="1402" t="n"/>
      <c r="BA148" s="1403" t="n"/>
      <c r="BB148" s="1403" t="n"/>
      <c r="BC148" s="1405">
        <f>AZ148</f>
        <v/>
      </c>
      <c r="BD148" s="1405">
        <f>BA148</f>
        <v/>
      </c>
      <c r="BE148" s="1405">
        <f>BB148</f>
        <v/>
      </c>
      <c r="BF148" s="1400">
        <f>stayWB[[#This Row],[out]]-stayWB[[#This Row],[in]]</f>
        <v/>
      </c>
      <c r="BG148" s="1400">
        <f>IF(BB148&lt;&gt;"",BG147+1,BG147)</f>
        <v/>
      </c>
      <c r="BH148" s="1398" t="inlineStr">
        <is>
          <t>.</t>
        </is>
      </c>
      <c r="BI148" s="1402" t="inlineStr">
        <is>
          <t>HRV</t>
        </is>
      </c>
      <c r="BJ148" s="1402" t="n">
        <v>2009</v>
      </c>
      <c r="BK148" s="1400">
        <f>BI148</f>
        <v/>
      </c>
      <c r="BL148" s="1409">
        <f>BJ148</f>
        <v/>
      </c>
      <c r="BM148" s="1378" t="inlineStr">
        <is>
          <t>.</t>
        </is>
      </c>
      <c r="BN148" s="1411" t="inlineStr">
        <is>
          <t>Z</t>
        </is>
      </c>
      <c r="BO148" s="1400">
        <f>BN148</f>
        <v/>
      </c>
      <c r="BP148" s="1398" t="inlineStr">
        <is>
          <t>.</t>
        </is>
      </c>
      <c r="BQ148" s="1400">
        <f>IF(BR148&lt;&gt;"",BQ147+1,BQ147)</f>
        <v/>
      </c>
      <c r="BR148" s="1411" t="inlineStr">
        <is>
          <t>Miami</t>
        </is>
      </c>
      <c r="BS148" s="1411" t="inlineStr">
        <is>
          <t>Orlando</t>
        </is>
      </c>
      <c r="BT148" s="1412" t="inlineStr">
        <is>
          <t>Miami-Orlando</t>
        </is>
      </c>
      <c r="BU148" s="1412" t="n">
        <v>38779</v>
      </c>
      <c r="BV148" s="1398" t="inlineStr">
        <is>
          <t>.</t>
        </is>
      </c>
      <c r="BW148" s="1392" t="n"/>
      <c r="BX148" s="1392" t="n"/>
      <c r="BY148" s="1392" t="n"/>
      <c r="BZ148" s="1416" t="n"/>
      <c r="CA148" s="1392" t="n"/>
      <c r="CB148" s="1398" t="inlineStr">
        <is>
          <t>.</t>
        </is>
      </c>
      <c r="CC148" s="1400">
        <f>IF(CD148&lt;&gt;"",CC147+1,CC147)</f>
        <v/>
      </c>
      <c r="CD148" s="1411" t="inlineStr">
        <is>
          <t>Tatá/Venancio</t>
        </is>
      </c>
      <c r="CE148" s="1412" t="n">
        <v>41283</v>
      </c>
      <c r="CF148" s="1412" t="n">
        <v>41285</v>
      </c>
      <c r="CG148" s="1415">
        <f>CF148-CE148</f>
        <v/>
      </c>
      <c r="CH148" s="1398" t="inlineStr">
        <is>
          <t>.</t>
        </is>
      </c>
      <c r="CI148" s="1392" t="n"/>
      <c r="CJ148" s="1392" t="n"/>
      <c r="CK148" s="1392" t="n"/>
      <c r="CL148" s="1392" t="n"/>
    </row>
    <row r="149">
      <c r="A149" s="5" t="inlineStr">
        <is>
          <t>.</t>
        </is>
      </c>
      <c r="B149" s="5" t="inlineStr">
        <is>
          <t>.</t>
        </is>
      </c>
      <c r="C149" s="1378">
        <f>IF(raw[[#This Row],[city]]="","-",IF(raw[[#This Row],[city]]="TODAY","-",C148+1))</f>
        <v/>
      </c>
      <c r="D149" s="1393" t="inlineStr">
        <is>
          <t>Begnac</t>
        </is>
      </c>
      <c r="E149" s="1394" t="n">
        <v>32023</v>
      </c>
      <c r="F149" s="1394" t="n">
        <v>32023</v>
      </c>
      <c r="G149" s="1393" t="inlineStr">
        <is>
          <t>-</t>
        </is>
      </c>
      <c r="H149" s="1393">
        <f>H148</f>
        <v/>
      </c>
      <c r="I149" s="1393" t="n"/>
      <c r="J149" s="1393" t="inlineStr">
        <is>
          <t>-</t>
        </is>
      </c>
      <c r="K149" s="1395">
        <f>IF(raw[[#This Row],[city]]&lt;&gt;"",_xlfn.XLOOKUP($D149,ccc[city],ccc[prov],"-"),"-")</f>
        <v/>
      </c>
      <c r="L149" s="1395">
        <f>IF(raw[[#This Row],[city]]&lt;&gt;"",_xlfn.XLOOKUP($D149,ccc[city],ccc[ctry],"-"),"-")</f>
        <v/>
      </c>
      <c r="M149" s="1395">
        <f>IF(raw[[#This Row],[city]]&lt;&gt;"",_xlfn.XLOOKUP($D149,ccc[city],ccc[cont],"-"),"-")</f>
        <v/>
      </c>
      <c r="N149" s="1396">
        <f>IF(raw[[#This Row],[city]]="","-",IF(raw[[#This Row],[cont]]="B",raw[[#This Row],[cont]],"W"))</f>
        <v/>
      </c>
      <c r="O149" s="1397">
        <f>IF(raw[[#This Row],[out]]=0,0,IF(raw[[#This Row],[out]]=raw[[#This Row],[in]],0.01,raw[[#This Row],[out]]-raw[[#This Row],[in]]))</f>
        <v/>
      </c>
      <c r="P149" s="1397">
        <f>IF(raw[[#This Row],[in]]=0,0,MONTH(raw[[#This Row],[in]]))</f>
        <v/>
      </c>
      <c r="Q149" s="1397">
        <f>IF(raw[[#This Row],[in]]=0,0,YEAR(raw[[#This Row],[in]]))</f>
        <v/>
      </c>
      <c r="R149" s="1397">
        <f>INT(raw[[#This Row],[yr]]/10)*10</f>
        <v/>
      </c>
      <c r="S149" s="1395">
        <f>IF(raw[[#This Row],[city]]="","-",IF(raw[[#This Row],[city]]&lt;&gt;_xlfn.XLOOKUP(raw[[#This Row],[home]],homes[home],homes[city],"-"),1,0))</f>
        <v/>
      </c>
      <c r="T149" s="1398" t="inlineStr">
        <is>
          <t>.</t>
        </is>
      </c>
      <c r="U149" s="1399">
        <f>IF(raw[[#This Row],[wb]]="w",raw[[#This Row],[stay]]+U148,U148)</f>
        <v/>
      </c>
      <c r="V149" s="1400">
        <f>IF(raw[[#This Row],[out]]=0,V148,(raw[[#This Row],[out]]-E$5))</f>
        <v/>
      </c>
      <c r="W149" s="1401">
        <f>U149/V149</f>
        <v/>
      </c>
      <c r="X149" s="1378" t="inlineStr">
        <is>
          <t>.</t>
        </is>
      </c>
      <c r="Y149" s="1402">
        <f/>
        <v/>
      </c>
      <c r="Z149" s="1403">
        <f/>
        <v/>
      </c>
      <c r="AA149" s="1403">
        <f/>
        <v/>
      </c>
      <c r="AB149" s="1400">
        <f t="array" ref="AB149">_xlfn.LET(_xlpm.S,_xlfn.ANCHORARRAY($Y$4),_xlpm.r,ROWS(stayCity[[#Headers],[city]]:stayCity[[#This Row],[city]])-1,IF(_xlpm.r&lt;=ROWS(_xlpm.S),INDEX(_xlpm.S,_xlpm.r,1),""))</f>
        <v/>
      </c>
      <c r="AC149" s="1405">
        <f t="array" ref="AC149">_xlfn.LET(_xlpm.S,_xlfn.ANCHORARRAY($Y$4),_xlpm.r,ROWS(stayCity[[#Headers],[city]]:stayCity[[#This Row],[city]])-1,IF(_xlpm.r&lt;=ROWS(_xlpm.S),INDEX(_xlpm.S,_xlpm.r,2),""))</f>
        <v/>
      </c>
      <c r="AD149" s="1405">
        <f t="array" ref="AD149">_xlfn.LET(_xlpm.S,_xlfn.ANCHORARRAY($Y$4),_xlpm.r,ROWS(stayCity[[#Headers],[city]]:stayCity[[#This Row],[city]])-1,IF(_xlpm.r&lt;=ROWS(_xlpm.S),INDEX(_xlpm.S,_xlpm.r,3),""))</f>
        <v/>
      </c>
      <c r="AE149" s="1400">
        <f>IF(stayCity[[#This Row],[out]]&lt;&gt;"",stayCity[[#This Row],[out]]-stayCity[[#This Row],[in]],"-")</f>
        <v/>
      </c>
      <c r="AF149" s="1406">
        <f>IF(Y149="","-",YEAR(stayCity[[#This Row],[in]]))</f>
        <v/>
      </c>
      <c r="AG149" s="1398" t="inlineStr">
        <is>
          <t>.</t>
        </is>
      </c>
      <c r="AH149" s="1402">
        <f/>
        <v/>
      </c>
      <c r="AI149" s="1403">
        <f/>
        <v/>
      </c>
      <c r="AJ149" s="1403">
        <f/>
        <v/>
      </c>
      <c r="AK149" s="1400">
        <f>IF(AH149="","-",AH149)</f>
        <v/>
      </c>
      <c r="AL149" s="1405">
        <f>AI149</f>
        <v/>
      </c>
      <c r="AM149" s="1405">
        <f>AJ149</f>
        <v/>
      </c>
      <c r="AN149" s="1400">
        <f>stayCtry[[#This Row],[out]]-stayCtry[[#This Row],[in]]</f>
        <v/>
      </c>
      <c r="AO149" s="1406">
        <f>IF(AI149&lt;&gt;"",AO148+1,AO148)</f>
        <v/>
      </c>
      <c r="AP149" s="1398" t="inlineStr">
        <is>
          <t>.</t>
        </is>
      </c>
      <c r="AQ149" s="1402">
        <f/>
        <v/>
      </c>
      <c r="AR149" s="1403">
        <f/>
        <v/>
      </c>
      <c r="AS149" s="1403">
        <f/>
        <v/>
      </c>
      <c r="AT149" s="1400">
        <f>AQ149</f>
        <v/>
      </c>
      <c r="AU149" s="1405">
        <f>AR149</f>
        <v/>
      </c>
      <c r="AV149" s="1405">
        <f>AS149</f>
        <v/>
      </c>
      <c r="AW149" s="1400">
        <f>stayCont[[#This Row],[out]]-stayCont[[#This Row],[in]]</f>
        <v/>
      </c>
      <c r="AX149" s="1406">
        <f>IF(AR149&lt;&gt;"",AX148+1,AX148)</f>
        <v/>
      </c>
      <c r="AY149" s="1398" t="inlineStr">
        <is>
          <t>.</t>
        </is>
      </c>
      <c r="AZ149" s="1402" t="n"/>
      <c r="BA149" s="1403" t="n"/>
      <c r="BB149" s="1403" t="n"/>
      <c r="BC149" s="1405">
        <f>AZ149</f>
        <v/>
      </c>
      <c r="BD149" s="1405">
        <f>BA149</f>
        <v/>
      </c>
      <c r="BE149" s="1405">
        <f>BB149</f>
        <v/>
      </c>
      <c r="BF149" s="1400">
        <f>stayWB[[#This Row],[out]]-stayWB[[#This Row],[in]]</f>
        <v/>
      </c>
      <c r="BG149" s="1400">
        <f>IF(BB149&lt;&gt;"",BG148+1,BG148)</f>
        <v/>
      </c>
      <c r="BH149" s="1398" t="inlineStr">
        <is>
          <t>.</t>
        </is>
      </c>
      <c r="BI149" s="1402" t="inlineStr">
        <is>
          <t>ITA</t>
        </is>
      </c>
      <c r="BJ149" s="1402" t="n">
        <v>2009</v>
      </c>
      <c r="BK149" s="1400">
        <f>BI149</f>
        <v/>
      </c>
      <c r="BL149" s="1409">
        <f>BJ149</f>
        <v/>
      </c>
      <c r="BM149" s="1378" t="inlineStr">
        <is>
          <t>.</t>
        </is>
      </c>
      <c r="BN149" s="1411" t="inlineStr">
        <is>
          <t>N</t>
        </is>
      </c>
      <c r="BO149" s="1400">
        <f>BN149</f>
        <v/>
      </c>
      <c r="BP149" s="1398" t="inlineStr">
        <is>
          <t>.</t>
        </is>
      </c>
      <c r="BQ149" s="1400">
        <f>IF(BR149&lt;&gt;"",BQ148+1,BQ148)</f>
        <v/>
      </c>
      <c r="BR149" s="1411" t="inlineStr">
        <is>
          <t>Miami</t>
        </is>
      </c>
      <c r="BS149" s="1411" t="inlineStr">
        <is>
          <t>SSA</t>
        </is>
      </c>
      <c r="BT149" s="1412" t="inlineStr">
        <is>
          <t>Miami-SSA</t>
        </is>
      </c>
      <c r="BU149" s="1412" t="n">
        <v>38788</v>
      </c>
      <c r="BV149" s="1398" t="inlineStr">
        <is>
          <t>.</t>
        </is>
      </c>
      <c r="BW149" s="1392" t="n"/>
      <c r="BX149" s="1392" t="n"/>
      <c r="BY149" s="1392" t="n"/>
      <c r="BZ149" s="1416" t="n"/>
      <c r="CA149" s="1392" t="n"/>
      <c r="CB149" s="1398" t="inlineStr">
        <is>
          <t>.</t>
        </is>
      </c>
      <c r="CC149" s="1400">
        <f>IF(CD149&lt;&gt;"",CC148+1,CC148)</f>
        <v/>
      </c>
      <c r="CD149" s="1411" t="inlineStr">
        <is>
          <t>Ondina</t>
        </is>
      </c>
      <c r="CE149" s="1412" t="n">
        <v>41285</v>
      </c>
      <c r="CF149" s="1412" t="n">
        <v>41300</v>
      </c>
      <c r="CG149" s="1415">
        <f>CF149-CE149</f>
        <v/>
      </c>
      <c r="CH149" s="1398" t="inlineStr">
        <is>
          <t>.</t>
        </is>
      </c>
      <c r="CI149" s="1392" t="n"/>
      <c r="CJ149" s="1392" t="n"/>
      <c r="CK149" s="1392" t="n"/>
      <c r="CL149" s="1392" t="n"/>
    </row>
    <row r="150">
      <c r="A150" s="5" t="inlineStr">
        <is>
          <t>.</t>
        </is>
      </c>
      <c r="B150" s="5" t="inlineStr">
        <is>
          <t>.</t>
        </is>
      </c>
      <c r="C150" s="1378">
        <f>IF(raw[[#This Row],[city]]="","-",IF(raw[[#This Row],[city]]="TODAY","-",C149+1))</f>
        <v/>
      </c>
      <c r="D150" s="1393" t="inlineStr">
        <is>
          <t>Cahors</t>
        </is>
      </c>
      <c r="E150" s="1394" t="n">
        <v>32023</v>
      </c>
      <c r="F150" s="1394" t="n">
        <v>32024</v>
      </c>
      <c r="G150" s="1393" t="inlineStr">
        <is>
          <t>-</t>
        </is>
      </c>
      <c r="H150" s="1393">
        <f>H149</f>
        <v/>
      </c>
      <c r="I150" s="1393" t="inlineStr">
        <is>
          <t>-</t>
        </is>
      </c>
      <c r="J150" s="1393" t="inlineStr">
        <is>
          <t>-</t>
        </is>
      </c>
      <c r="K150" s="1395">
        <f>IF(raw[[#This Row],[city]]&lt;&gt;"",_xlfn.XLOOKUP($D150,ccc[city],ccc[prov],"-"),"-")</f>
        <v/>
      </c>
      <c r="L150" s="1395">
        <f>IF(raw[[#This Row],[city]]&lt;&gt;"",_xlfn.XLOOKUP($D150,ccc[city],ccc[ctry],"-"),"-")</f>
        <v/>
      </c>
      <c r="M150" s="1395">
        <f>IF(raw[[#This Row],[city]]&lt;&gt;"",_xlfn.XLOOKUP($D150,ccc[city],ccc[cont],"-"),"-")</f>
        <v/>
      </c>
      <c r="N150" s="1396">
        <f>IF(raw[[#This Row],[city]]="","-",IF(raw[[#This Row],[cont]]="B",raw[[#This Row],[cont]],"W"))</f>
        <v/>
      </c>
      <c r="O150" s="1397">
        <f>IF(raw[[#This Row],[out]]=0,0,IF(raw[[#This Row],[out]]=raw[[#This Row],[in]],0.01,raw[[#This Row],[out]]-raw[[#This Row],[in]]))</f>
        <v/>
      </c>
      <c r="P150" s="1397">
        <f>IF(raw[[#This Row],[in]]=0,0,MONTH(raw[[#This Row],[in]]))</f>
        <v/>
      </c>
      <c r="Q150" s="1397">
        <f>IF(raw[[#This Row],[in]]=0,0,YEAR(raw[[#This Row],[in]]))</f>
        <v/>
      </c>
      <c r="R150" s="1397">
        <f>INT(raw[[#This Row],[yr]]/10)*10</f>
        <v/>
      </c>
      <c r="S150" s="1395">
        <f>IF(raw[[#This Row],[city]]="","-",IF(raw[[#This Row],[city]]&lt;&gt;_xlfn.XLOOKUP(raw[[#This Row],[home]],homes[home],homes[city],"-"),1,0))</f>
        <v/>
      </c>
      <c r="T150" s="1398" t="inlineStr">
        <is>
          <t>.</t>
        </is>
      </c>
      <c r="U150" s="1399">
        <f>IF(raw[[#This Row],[wb]]="w",raw[[#This Row],[stay]]+U149,U149)</f>
        <v/>
      </c>
      <c r="V150" s="1400">
        <f>IF(raw[[#This Row],[out]]=0,V149,(raw[[#This Row],[out]]-E$5))</f>
        <v/>
      </c>
      <c r="W150" s="1401">
        <f>U150/V150</f>
        <v/>
      </c>
      <c r="X150" s="1378" t="inlineStr">
        <is>
          <t>.</t>
        </is>
      </c>
      <c r="Y150" s="1402">
        <f/>
        <v/>
      </c>
      <c r="Z150" s="1403">
        <f/>
        <v/>
      </c>
      <c r="AA150" s="1403">
        <f/>
        <v/>
      </c>
      <c r="AB150" s="1400">
        <f t="array" ref="AB150">_xlfn.LET(_xlpm.S,_xlfn.ANCHORARRAY($Y$4),_xlpm.r,ROWS(stayCity[[#Headers],[city]]:stayCity[[#This Row],[city]])-1,IF(_xlpm.r&lt;=ROWS(_xlpm.S),INDEX(_xlpm.S,_xlpm.r,1),""))</f>
        <v/>
      </c>
      <c r="AC150" s="1405">
        <f t="array" ref="AC150">_xlfn.LET(_xlpm.S,_xlfn.ANCHORARRAY($Y$4),_xlpm.r,ROWS(stayCity[[#Headers],[city]]:stayCity[[#This Row],[city]])-1,IF(_xlpm.r&lt;=ROWS(_xlpm.S),INDEX(_xlpm.S,_xlpm.r,2),""))</f>
        <v/>
      </c>
      <c r="AD150" s="1405">
        <f t="array" ref="AD150">_xlfn.LET(_xlpm.S,_xlfn.ANCHORARRAY($Y$4),_xlpm.r,ROWS(stayCity[[#Headers],[city]]:stayCity[[#This Row],[city]])-1,IF(_xlpm.r&lt;=ROWS(_xlpm.S),INDEX(_xlpm.S,_xlpm.r,3),""))</f>
        <v/>
      </c>
      <c r="AE150" s="1400">
        <f>IF(stayCity[[#This Row],[out]]&lt;&gt;"",stayCity[[#This Row],[out]]-stayCity[[#This Row],[in]],"-")</f>
        <v/>
      </c>
      <c r="AF150" s="1406">
        <f>IF(Y150="","-",YEAR(stayCity[[#This Row],[in]]))</f>
        <v/>
      </c>
      <c r="AG150" s="1398" t="inlineStr">
        <is>
          <t>.</t>
        </is>
      </c>
      <c r="AH150" s="1402">
        <f/>
        <v/>
      </c>
      <c r="AI150" s="1403">
        <f/>
        <v/>
      </c>
      <c r="AJ150" s="1403">
        <f/>
        <v/>
      </c>
      <c r="AK150" s="1400">
        <f>IF(AH150="","-",AH150)</f>
        <v/>
      </c>
      <c r="AL150" s="1405">
        <f>AI150</f>
        <v/>
      </c>
      <c r="AM150" s="1405">
        <f>AJ150</f>
        <v/>
      </c>
      <c r="AN150" s="1400">
        <f>stayCtry[[#This Row],[out]]-stayCtry[[#This Row],[in]]</f>
        <v/>
      </c>
      <c r="AO150" s="1406">
        <f>IF(AI150&lt;&gt;"",AO149+1,AO149)</f>
        <v/>
      </c>
      <c r="AP150" s="1398" t="inlineStr">
        <is>
          <t>.</t>
        </is>
      </c>
      <c r="AQ150" s="1402">
        <f/>
        <v/>
      </c>
      <c r="AR150" s="1403">
        <f/>
        <v/>
      </c>
      <c r="AS150" s="1403">
        <f/>
        <v/>
      </c>
      <c r="AT150" s="1400">
        <f>AQ150</f>
        <v/>
      </c>
      <c r="AU150" s="1405">
        <f>AR150</f>
        <v/>
      </c>
      <c r="AV150" s="1405">
        <f>AS150</f>
        <v/>
      </c>
      <c r="AW150" s="1400">
        <f>stayCont[[#This Row],[out]]-stayCont[[#This Row],[in]]</f>
        <v/>
      </c>
      <c r="AX150" s="1406">
        <f>IF(AR150&lt;&gt;"",AX149+1,AX149)</f>
        <v/>
      </c>
      <c r="AY150" s="1398" t="inlineStr">
        <is>
          <t>.</t>
        </is>
      </c>
      <c r="AZ150" s="1402" t="n"/>
      <c r="BA150" s="1403" t="n"/>
      <c r="BB150" s="1403" t="n"/>
      <c r="BC150" s="1405">
        <f>AZ150</f>
        <v/>
      </c>
      <c r="BD150" s="1405">
        <f>BA150</f>
        <v/>
      </c>
      <c r="BE150" s="1405">
        <f>BB150</f>
        <v/>
      </c>
      <c r="BF150" s="1400">
        <f>stayWB[[#This Row],[out]]-stayWB[[#This Row],[in]]</f>
        <v/>
      </c>
      <c r="BG150" s="1400">
        <f>IF(BB150&lt;&gt;"",BG149+1,BG149)</f>
        <v/>
      </c>
      <c r="BH150" s="1398" t="inlineStr">
        <is>
          <t>.</t>
        </is>
      </c>
      <c r="BI150" s="1402" t="inlineStr">
        <is>
          <t>UK</t>
        </is>
      </c>
      <c r="BJ150" s="1402" t="n">
        <v>2009</v>
      </c>
      <c r="BK150" s="1400">
        <f>BI150</f>
        <v/>
      </c>
      <c r="BL150" s="1409">
        <f>BJ150</f>
        <v/>
      </c>
      <c r="BM150" s="1378" t="inlineStr">
        <is>
          <t>.</t>
        </is>
      </c>
      <c r="BN150" s="1411" t="inlineStr">
        <is>
          <t>Z</t>
        </is>
      </c>
      <c r="BO150" s="1400">
        <f>BN150</f>
        <v/>
      </c>
      <c r="BP150" s="1398" t="inlineStr">
        <is>
          <t>.</t>
        </is>
      </c>
      <c r="BQ150" s="1400">
        <f>IF(BR150&lt;&gt;"",BQ149+1,BQ149)</f>
        <v/>
      </c>
      <c r="BR150" s="1411" t="inlineStr">
        <is>
          <t>SSA</t>
        </is>
      </c>
      <c r="BS150" s="1411" t="inlineStr">
        <is>
          <t>SP</t>
        </is>
      </c>
      <c r="BT150" s="1412" t="inlineStr">
        <is>
          <t>SSA-SP</t>
        </is>
      </c>
      <c r="BU150" s="1412" t="n">
        <v>38826</v>
      </c>
      <c r="BV150" s="1398" t="inlineStr">
        <is>
          <t>.</t>
        </is>
      </c>
      <c r="BW150" s="1392" t="n"/>
      <c r="BX150" s="1392" t="n"/>
      <c r="BY150" s="1392" t="n"/>
      <c r="BZ150" s="1416" t="n"/>
      <c r="CA150" s="1392" t="n"/>
      <c r="CB150" s="1398" t="inlineStr">
        <is>
          <t>.</t>
        </is>
      </c>
      <c r="CC150" s="1400">
        <f>IF(CD150&lt;&gt;"",CC149+1,CC149)</f>
        <v/>
      </c>
      <c r="CD150" s="1411" t="inlineStr">
        <is>
          <t>Tatá/Venancio</t>
        </is>
      </c>
      <c r="CE150" s="1412" t="n">
        <v>41300</v>
      </c>
      <c r="CF150" s="1412" t="n">
        <v>41301</v>
      </c>
      <c r="CG150" s="1415">
        <f>CF150-CE150</f>
        <v/>
      </c>
      <c r="CH150" s="1398" t="inlineStr">
        <is>
          <t>.</t>
        </is>
      </c>
      <c r="CI150" s="1392" t="n"/>
      <c r="CJ150" s="1392" t="n"/>
      <c r="CK150" s="1392" t="n"/>
      <c r="CL150" s="1392" t="n"/>
    </row>
    <row r="151">
      <c r="A151" s="5" t="inlineStr">
        <is>
          <t>.</t>
        </is>
      </c>
      <c r="B151" s="5" t="inlineStr">
        <is>
          <t>.</t>
        </is>
      </c>
      <c r="C151" s="1378">
        <f>IF(raw[[#This Row],[city]]="","-",IF(raw[[#This Row],[city]]="TODAY","-",C150+1))</f>
        <v/>
      </c>
      <c r="D151" s="1393" t="inlineStr">
        <is>
          <t>Saint-Cirq-Lapopie</t>
        </is>
      </c>
      <c r="E151" s="1394" t="n">
        <v>32024</v>
      </c>
      <c r="F151" s="1394" t="n">
        <v>32024</v>
      </c>
      <c r="G151" s="1393" t="inlineStr">
        <is>
          <t>-</t>
        </is>
      </c>
      <c r="H151" s="1393">
        <f>H150</f>
        <v/>
      </c>
      <c r="I151" s="1393" t="n"/>
      <c r="J151" s="1393" t="inlineStr">
        <is>
          <t>-</t>
        </is>
      </c>
      <c r="K151" s="1395">
        <f>IF(raw[[#This Row],[city]]&lt;&gt;"",_xlfn.XLOOKUP($D151,ccc[city],ccc[prov],"-"),"-")</f>
        <v/>
      </c>
      <c r="L151" s="1395">
        <f>IF(raw[[#This Row],[city]]&lt;&gt;"",_xlfn.XLOOKUP($D151,ccc[city],ccc[ctry],"-"),"-")</f>
        <v/>
      </c>
      <c r="M151" s="1395">
        <f>IF(raw[[#This Row],[city]]&lt;&gt;"",_xlfn.XLOOKUP($D151,ccc[city],ccc[cont],"-"),"-")</f>
        <v/>
      </c>
      <c r="N151" s="1396">
        <f>IF(raw[[#This Row],[city]]="","-",IF(raw[[#This Row],[cont]]="B",raw[[#This Row],[cont]],"W"))</f>
        <v/>
      </c>
      <c r="O151" s="1397">
        <f>IF(raw[[#This Row],[out]]=0,0,IF(raw[[#This Row],[out]]=raw[[#This Row],[in]],0.01,raw[[#This Row],[out]]-raw[[#This Row],[in]]))</f>
        <v/>
      </c>
      <c r="P151" s="1397">
        <f>IF(raw[[#This Row],[in]]=0,0,MONTH(raw[[#This Row],[in]]))</f>
        <v/>
      </c>
      <c r="Q151" s="1397">
        <f>IF(raw[[#This Row],[in]]=0,0,YEAR(raw[[#This Row],[in]]))</f>
        <v/>
      </c>
      <c r="R151" s="1397">
        <f>INT(raw[[#This Row],[yr]]/10)*10</f>
        <v/>
      </c>
      <c r="S151" s="1395">
        <f>IF(raw[[#This Row],[city]]="","-",IF(raw[[#This Row],[city]]&lt;&gt;_xlfn.XLOOKUP(raw[[#This Row],[home]],homes[home],homes[city],"-"),1,0))</f>
        <v/>
      </c>
      <c r="T151" s="1398" t="inlineStr">
        <is>
          <t>.</t>
        </is>
      </c>
      <c r="U151" s="1399">
        <f>IF(raw[[#This Row],[wb]]="w",raw[[#This Row],[stay]]+U150,U150)</f>
        <v/>
      </c>
      <c r="V151" s="1400">
        <f>IF(raw[[#This Row],[out]]=0,V150,(raw[[#This Row],[out]]-E$5))</f>
        <v/>
      </c>
      <c r="W151" s="1401">
        <f>U151/V151</f>
        <v/>
      </c>
      <c r="X151" s="1378" t="inlineStr">
        <is>
          <t>.</t>
        </is>
      </c>
      <c r="Y151" s="1402">
        <f/>
        <v/>
      </c>
      <c r="Z151" s="1403">
        <f/>
        <v/>
      </c>
      <c r="AA151" s="1403">
        <f/>
        <v/>
      </c>
      <c r="AB151" s="1400">
        <f t="array" ref="AB151">_xlfn.LET(_xlpm.S,_xlfn.ANCHORARRAY($Y$4),_xlpm.r,ROWS(stayCity[[#Headers],[city]]:stayCity[[#This Row],[city]])-1,IF(_xlpm.r&lt;=ROWS(_xlpm.S),INDEX(_xlpm.S,_xlpm.r,1),""))</f>
        <v/>
      </c>
      <c r="AC151" s="1405">
        <f t="array" ref="AC151">_xlfn.LET(_xlpm.S,_xlfn.ANCHORARRAY($Y$4),_xlpm.r,ROWS(stayCity[[#Headers],[city]]:stayCity[[#This Row],[city]])-1,IF(_xlpm.r&lt;=ROWS(_xlpm.S),INDEX(_xlpm.S,_xlpm.r,2),""))</f>
        <v/>
      </c>
      <c r="AD151" s="1405">
        <f t="array" ref="AD151">_xlfn.LET(_xlpm.S,_xlfn.ANCHORARRAY($Y$4),_xlpm.r,ROWS(stayCity[[#Headers],[city]]:stayCity[[#This Row],[city]])-1,IF(_xlpm.r&lt;=ROWS(_xlpm.S),INDEX(_xlpm.S,_xlpm.r,3),""))</f>
        <v/>
      </c>
      <c r="AE151" s="1400">
        <f>IF(stayCity[[#This Row],[out]]&lt;&gt;"",stayCity[[#This Row],[out]]-stayCity[[#This Row],[in]],"-")</f>
        <v/>
      </c>
      <c r="AF151" s="1406">
        <f>IF(Y151="","-",YEAR(stayCity[[#This Row],[in]]))</f>
        <v/>
      </c>
      <c r="AG151" s="1398" t="inlineStr">
        <is>
          <t>.</t>
        </is>
      </c>
      <c r="AH151" s="1402">
        <f/>
        <v/>
      </c>
      <c r="AI151" s="1403">
        <f/>
        <v/>
      </c>
      <c r="AJ151" s="1403">
        <f/>
        <v/>
      </c>
      <c r="AK151" s="1400">
        <f>IF(AH151="","-",AH151)</f>
        <v/>
      </c>
      <c r="AL151" s="1405">
        <f>AI151</f>
        <v/>
      </c>
      <c r="AM151" s="1405">
        <f>AJ151</f>
        <v/>
      </c>
      <c r="AN151" s="1400">
        <f>stayCtry[[#This Row],[out]]-stayCtry[[#This Row],[in]]</f>
        <v/>
      </c>
      <c r="AO151" s="1406">
        <f>IF(AI151&lt;&gt;"",AO150+1,AO150)</f>
        <v/>
      </c>
      <c r="AP151" s="1398" t="inlineStr">
        <is>
          <t>.</t>
        </is>
      </c>
      <c r="AQ151" s="1402">
        <f/>
        <v/>
      </c>
      <c r="AR151" s="1403">
        <f/>
        <v/>
      </c>
      <c r="AS151" s="1403">
        <f/>
        <v/>
      </c>
      <c r="AT151" s="1400">
        <f>AQ151</f>
        <v/>
      </c>
      <c r="AU151" s="1405">
        <f>AR151</f>
        <v/>
      </c>
      <c r="AV151" s="1405">
        <f>AS151</f>
        <v/>
      </c>
      <c r="AW151" s="1400">
        <f>stayCont[[#This Row],[out]]-stayCont[[#This Row],[in]]</f>
        <v/>
      </c>
      <c r="AX151" s="1406">
        <f>IF(AR151&lt;&gt;"",AX150+1,AX150)</f>
        <v/>
      </c>
      <c r="AY151" s="1398" t="inlineStr">
        <is>
          <t>.</t>
        </is>
      </c>
      <c r="AZ151" s="1402" t="n"/>
      <c r="BA151" s="1403" t="n"/>
      <c r="BB151" s="1403" t="n"/>
      <c r="BC151" s="1405">
        <f>AZ151</f>
        <v/>
      </c>
      <c r="BD151" s="1405">
        <f>BA151</f>
        <v/>
      </c>
      <c r="BE151" s="1405">
        <f>BB151</f>
        <v/>
      </c>
      <c r="BF151" s="1400">
        <f>stayWB[[#This Row],[out]]-stayWB[[#This Row],[in]]</f>
        <v/>
      </c>
      <c r="BG151" s="1400">
        <f>IF(BB151&lt;&gt;"",BG150+1,BG150)</f>
        <v/>
      </c>
      <c r="BH151" s="1398" t="inlineStr">
        <is>
          <t>.</t>
        </is>
      </c>
      <c r="BI151" s="1402" t="inlineStr">
        <is>
          <t>FRA</t>
        </is>
      </c>
      <c r="BJ151" s="1402" t="n">
        <v>2009</v>
      </c>
      <c r="BK151" s="1400">
        <f>BI151</f>
        <v/>
      </c>
      <c r="BL151" s="1409">
        <f>BJ151</f>
        <v/>
      </c>
      <c r="BM151" s="1378" t="inlineStr">
        <is>
          <t>.</t>
        </is>
      </c>
      <c r="BN151" s="1411" t="inlineStr">
        <is>
          <t>B</t>
        </is>
      </c>
      <c r="BO151" s="1400">
        <f>BN151</f>
        <v/>
      </c>
      <c r="BP151" s="1398" t="inlineStr">
        <is>
          <t>.</t>
        </is>
      </c>
      <c r="BQ151" s="1400">
        <f>IF(BR151&lt;&gt;"",BQ150+1,BQ150)</f>
        <v/>
      </c>
      <c r="BR151" s="1411" t="inlineStr">
        <is>
          <t>SP</t>
        </is>
      </c>
      <c r="BS151" s="1411" t="inlineStr">
        <is>
          <t>SSA</t>
        </is>
      </c>
      <c r="BT151" s="1412" t="inlineStr">
        <is>
          <t>SP-SSA</t>
        </is>
      </c>
      <c r="BU151" s="1412" t="n">
        <v>38841</v>
      </c>
      <c r="BV151" s="1398" t="inlineStr">
        <is>
          <t>.</t>
        </is>
      </c>
      <c r="BW151" s="1392" t="n"/>
      <c r="BX151" s="1392" t="n"/>
      <c r="BY151" s="1392" t="n"/>
      <c r="BZ151" s="1416" t="n"/>
      <c r="CA151" s="1392" t="n"/>
      <c r="CB151" s="1398" t="inlineStr">
        <is>
          <t>.</t>
        </is>
      </c>
      <c r="CC151" s="1400">
        <f>IF(CD151&lt;&gt;"",CC150+1,CC150)</f>
        <v/>
      </c>
      <c r="CD151" s="1411" t="inlineStr">
        <is>
          <t>Royal Victoria</t>
        </is>
      </c>
      <c r="CE151" s="1412" t="n">
        <v>41374</v>
      </c>
      <c r="CF151" s="1412" t="n">
        <v>41378</v>
      </c>
      <c r="CG151" s="1415">
        <f>CF151-CE151</f>
        <v/>
      </c>
      <c r="CH151" s="1398" t="inlineStr">
        <is>
          <t>.</t>
        </is>
      </c>
      <c r="CI151" s="1392" t="n"/>
      <c r="CJ151" s="1392" t="n"/>
      <c r="CK151" s="1392" t="n"/>
      <c r="CL151" s="1392" t="n"/>
    </row>
    <row r="152">
      <c r="A152" s="5" t="inlineStr">
        <is>
          <t>.</t>
        </is>
      </c>
      <c r="B152" s="5" t="inlineStr">
        <is>
          <t>.</t>
        </is>
      </c>
      <c r="C152" s="1378">
        <f>IF(raw[[#This Row],[city]]="","-",IF(raw[[#This Row],[city]]="TODAY","-",C151+1))</f>
        <v/>
      </c>
      <c r="D152" s="1393" t="inlineStr">
        <is>
          <t>Cordes-sur-Ciel</t>
        </is>
      </c>
      <c r="E152" s="1394" t="n">
        <v>32024</v>
      </c>
      <c r="F152" s="1394" t="n">
        <v>32024</v>
      </c>
      <c r="G152" s="1393" t="inlineStr">
        <is>
          <t>-</t>
        </is>
      </c>
      <c r="H152" s="1393">
        <f>H151</f>
        <v/>
      </c>
      <c r="I152" s="1393" t="n"/>
      <c r="J152" s="1393" t="inlineStr">
        <is>
          <t>-</t>
        </is>
      </c>
      <c r="K152" s="1395">
        <f>IF(raw[[#This Row],[city]]&lt;&gt;"",_xlfn.XLOOKUP($D152,ccc[city],ccc[prov],"-"),"-")</f>
        <v/>
      </c>
      <c r="L152" s="1395">
        <f>IF(raw[[#This Row],[city]]&lt;&gt;"",_xlfn.XLOOKUP($D152,ccc[city],ccc[ctry],"-"),"-")</f>
        <v/>
      </c>
      <c r="M152" s="1395">
        <f>IF(raw[[#This Row],[city]]&lt;&gt;"",_xlfn.XLOOKUP($D152,ccc[city],ccc[cont],"-"),"-")</f>
        <v/>
      </c>
      <c r="N152" s="1396">
        <f>IF(raw[[#This Row],[city]]="","-",IF(raw[[#This Row],[cont]]="B",raw[[#This Row],[cont]],"W"))</f>
        <v/>
      </c>
      <c r="O152" s="1397">
        <f>IF(raw[[#This Row],[out]]=0,0,IF(raw[[#This Row],[out]]=raw[[#This Row],[in]],0.01,raw[[#This Row],[out]]-raw[[#This Row],[in]]))</f>
        <v/>
      </c>
      <c r="P152" s="1397">
        <f>IF(raw[[#This Row],[in]]=0,0,MONTH(raw[[#This Row],[in]]))</f>
        <v/>
      </c>
      <c r="Q152" s="1397">
        <f>IF(raw[[#This Row],[in]]=0,0,YEAR(raw[[#This Row],[in]]))</f>
        <v/>
      </c>
      <c r="R152" s="1397">
        <f>INT(raw[[#This Row],[yr]]/10)*10</f>
        <v/>
      </c>
      <c r="S152" s="1395">
        <f>IF(raw[[#This Row],[city]]="","-",IF(raw[[#This Row],[city]]&lt;&gt;_xlfn.XLOOKUP(raw[[#This Row],[home]],homes[home],homes[city],"-"),1,0))</f>
        <v/>
      </c>
      <c r="T152" s="1398" t="inlineStr">
        <is>
          <t>.</t>
        </is>
      </c>
      <c r="U152" s="1399">
        <f>IF(raw[[#This Row],[wb]]="w",raw[[#This Row],[stay]]+U151,U151)</f>
        <v/>
      </c>
      <c r="V152" s="1400">
        <f>IF(raw[[#This Row],[out]]=0,V151,(raw[[#This Row],[out]]-E$5))</f>
        <v/>
      </c>
      <c r="W152" s="1401">
        <f>U152/V152</f>
        <v/>
      </c>
      <c r="X152" s="1378" t="inlineStr">
        <is>
          <t>.</t>
        </is>
      </c>
      <c r="Y152" s="1402">
        <f/>
        <v/>
      </c>
      <c r="Z152" s="1403">
        <f/>
        <v/>
      </c>
      <c r="AA152" s="1403">
        <f/>
        <v/>
      </c>
      <c r="AB152" s="1400">
        <f t="array" ref="AB152">_xlfn.LET(_xlpm.S,_xlfn.ANCHORARRAY($Y$4),_xlpm.r,ROWS(stayCity[[#Headers],[city]]:stayCity[[#This Row],[city]])-1,IF(_xlpm.r&lt;=ROWS(_xlpm.S),INDEX(_xlpm.S,_xlpm.r,1),""))</f>
        <v/>
      </c>
      <c r="AC152" s="1405">
        <f t="array" ref="AC152">_xlfn.LET(_xlpm.S,_xlfn.ANCHORARRAY($Y$4),_xlpm.r,ROWS(stayCity[[#Headers],[city]]:stayCity[[#This Row],[city]])-1,IF(_xlpm.r&lt;=ROWS(_xlpm.S),INDEX(_xlpm.S,_xlpm.r,2),""))</f>
        <v/>
      </c>
      <c r="AD152" s="1405">
        <f t="array" ref="AD152">_xlfn.LET(_xlpm.S,_xlfn.ANCHORARRAY($Y$4),_xlpm.r,ROWS(stayCity[[#Headers],[city]]:stayCity[[#This Row],[city]])-1,IF(_xlpm.r&lt;=ROWS(_xlpm.S),INDEX(_xlpm.S,_xlpm.r,3),""))</f>
        <v/>
      </c>
      <c r="AE152" s="1400">
        <f>IF(stayCity[[#This Row],[out]]&lt;&gt;"",stayCity[[#This Row],[out]]-stayCity[[#This Row],[in]],"-")</f>
        <v/>
      </c>
      <c r="AF152" s="1406">
        <f>IF(Y152="","-",YEAR(stayCity[[#This Row],[in]]))</f>
        <v/>
      </c>
      <c r="AG152" s="1398" t="inlineStr">
        <is>
          <t>.</t>
        </is>
      </c>
      <c r="AH152" s="1402">
        <f/>
        <v/>
      </c>
      <c r="AI152" s="1403">
        <f/>
        <v/>
      </c>
      <c r="AJ152" s="1403">
        <f/>
        <v/>
      </c>
      <c r="AK152" s="1400">
        <f>IF(AH152="","-",AH152)</f>
        <v/>
      </c>
      <c r="AL152" s="1405">
        <f>AI152</f>
        <v/>
      </c>
      <c r="AM152" s="1405">
        <f>AJ152</f>
        <v/>
      </c>
      <c r="AN152" s="1400">
        <f>stayCtry[[#This Row],[out]]-stayCtry[[#This Row],[in]]</f>
        <v/>
      </c>
      <c r="AO152" s="1406">
        <f>IF(AI152&lt;&gt;"",AO151+1,AO151)</f>
        <v/>
      </c>
      <c r="AP152" s="1398" t="inlineStr">
        <is>
          <t>.</t>
        </is>
      </c>
      <c r="AQ152" s="1402">
        <f/>
        <v/>
      </c>
      <c r="AR152" s="1403">
        <f/>
        <v/>
      </c>
      <c r="AS152" s="1403">
        <f/>
        <v/>
      </c>
      <c r="AT152" s="1400">
        <f>AQ152</f>
        <v/>
      </c>
      <c r="AU152" s="1405">
        <f>AR152</f>
        <v/>
      </c>
      <c r="AV152" s="1405">
        <f>AS152</f>
        <v/>
      </c>
      <c r="AW152" s="1400">
        <f>stayCont[[#This Row],[out]]-stayCont[[#This Row],[in]]</f>
        <v/>
      </c>
      <c r="AX152" s="1406">
        <f>IF(AR152&lt;&gt;"",AX151+1,AX151)</f>
        <v/>
      </c>
      <c r="AY152" s="1398" t="inlineStr">
        <is>
          <t>.</t>
        </is>
      </c>
      <c r="AZ152" s="1402" t="n"/>
      <c r="BA152" s="1403" t="n"/>
      <c r="BB152" s="1403" t="n"/>
      <c r="BC152" s="1405">
        <f>AZ152</f>
        <v/>
      </c>
      <c r="BD152" s="1405">
        <f>BA152</f>
        <v/>
      </c>
      <c r="BE152" s="1405">
        <f>BB152</f>
        <v/>
      </c>
      <c r="BF152" s="1400">
        <f>stayWB[[#This Row],[out]]-stayWB[[#This Row],[in]]</f>
        <v/>
      </c>
      <c r="BG152" s="1400">
        <f>IF(BB152&lt;&gt;"",BG151+1,BG151)</f>
        <v/>
      </c>
      <c r="BH152" s="1398" t="inlineStr">
        <is>
          <t>.</t>
        </is>
      </c>
      <c r="BI152" s="1402" t="inlineStr">
        <is>
          <t>NED</t>
        </is>
      </c>
      <c r="BJ152" s="1402" t="n">
        <v>2009</v>
      </c>
      <c r="BK152" s="1400">
        <f>BI152</f>
        <v/>
      </c>
      <c r="BL152" s="1409">
        <f>BJ152</f>
        <v/>
      </c>
      <c r="BM152" s="1378" t="inlineStr">
        <is>
          <t>.</t>
        </is>
      </c>
      <c r="BN152" s="1411" t="inlineStr">
        <is>
          <t>Z</t>
        </is>
      </c>
      <c r="BO152" s="1400">
        <f>BN152</f>
        <v/>
      </c>
      <c r="BP152" s="1398" t="inlineStr">
        <is>
          <t>.</t>
        </is>
      </c>
      <c r="BQ152" s="1400">
        <f>IF(BR152&lt;&gt;"",BQ151+1,BQ151)</f>
        <v/>
      </c>
      <c r="BR152" s="1411" t="inlineStr">
        <is>
          <t>SSA</t>
        </is>
      </c>
      <c r="BS152" s="1411" t="inlineStr">
        <is>
          <t>SP</t>
        </is>
      </c>
      <c r="BT152" s="1412" t="inlineStr">
        <is>
          <t>SSA-SP</t>
        </is>
      </c>
      <c r="BU152" s="1412" t="n">
        <v>38869</v>
      </c>
      <c r="BV152" s="1398" t="inlineStr">
        <is>
          <t>.</t>
        </is>
      </c>
      <c r="BW152" s="1392" t="n"/>
      <c r="BX152" s="1392" t="n"/>
      <c r="BY152" s="1392" t="n"/>
      <c r="BZ152" s="1416" t="n"/>
      <c r="CA152" s="1392" t="n"/>
      <c r="CB152" s="1398" t="inlineStr">
        <is>
          <t>.</t>
        </is>
      </c>
      <c r="CC152" s="1400">
        <f>IF(CD152&lt;&gt;"",CC151+1,CC151)</f>
        <v/>
      </c>
      <c r="CD152" s="1411" t="inlineStr">
        <is>
          <t>Ondina</t>
        </is>
      </c>
      <c r="CE152" s="1412" t="n">
        <v>41624</v>
      </c>
      <c r="CF152" s="1412" t="n">
        <v>41634</v>
      </c>
      <c r="CG152" s="1415">
        <f>CF152-CE152</f>
        <v/>
      </c>
      <c r="CH152" s="1398" t="inlineStr">
        <is>
          <t>.</t>
        </is>
      </c>
      <c r="CI152" s="1392" t="n"/>
      <c r="CJ152" s="1392" t="n"/>
      <c r="CK152" s="1392" t="n"/>
      <c r="CL152" s="1392" t="n"/>
    </row>
    <row r="153">
      <c r="A153" s="5" t="inlineStr">
        <is>
          <t>.</t>
        </is>
      </c>
      <c r="B153" s="5" t="inlineStr">
        <is>
          <t>.</t>
        </is>
      </c>
      <c r="C153" s="1378">
        <f>IF(raw[[#This Row],[city]]="","-",IF(raw[[#This Row],[city]]="TODAY","-",C152+1))</f>
        <v/>
      </c>
      <c r="D153" s="1393" t="inlineStr">
        <is>
          <t>Albi</t>
        </is>
      </c>
      <c r="E153" s="1394" t="n">
        <v>32024</v>
      </c>
      <c r="F153" s="1394" t="n">
        <v>32024</v>
      </c>
      <c r="G153" s="1393" t="inlineStr">
        <is>
          <t>-</t>
        </is>
      </c>
      <c r="H153" s="1393">
        <f>H152</f>
        <v/>
      </c>
      <c r="I153" s="1393" t="inlineStr">
        <is>
          <t>-</t>
        </is>
      </c>
      <c r="J153" s="1393" t="inlineStr">
        <is>
          <t>-</t>
        </is>
      </c>
      <c r="K153" s="1395">
        <f>IF(raw[[#This Row],[city]]&lt;&gt;"",_xlfn.XLOOKUP($D153,ccc[city],ccc[prov],"-"),"-")</f>
        <v/>
      </c>
      <c r="L153" s="1395">
        <f>IF(raw[[#This Row],[city]]&lt;&gt;"",_xlfn.XLOOKUP($D153,ccc[city],ccc[ctry],"-"),"-")</f>
        <v/>
      </c>
      <c r="M153" s="1395">
        <f>IF(raw[[#This Row],[city]]&lt;&gt;"",_xlfn.XLOOKUP($D153,ccc[city],ccc[cont],"-"),"-")</f>
        <v/>
      </c>
      <c r="N153" s="1396">
        <f>IF(raw[[#This Row],[city]]="","-",IF(raw[[#This Row],[cont]]="B",raw[[#This Row],[cont]],"W"))</f>
        <v/>
      </c>
      <c r="O153" s="1397">
        <f>IF(raw[[#This Row],[out]]=0,0,IF(raw[[#This Row],[out]]=raw[[#This Row],[in]],0.01,raw[[#This Row],[out]]-raw[[#This Row],[in]]))</f>
        <v/>
      </c>
      <c r="P153" s="1397">
        <f>IF(raw[[#This Row],[in]]=0,0,MONTH(raw[[#This Row],[in]]))</f>
        <v/>
      </c>
      <c r="Q153" s="1397">
        <f>IF(raw[[#This Row],[in]]=0,0,YEAR(raw[[#This Row],[in]]))</f>
        <v/>
      </c>
      <c r="R153" s="1397">
        <f>INT(raw[[#This Row],[yr]]/10)*10</f>
        <v/>
      </c>
      <c r="S153" s="1395">
        <f>IF(raw[[#This Row],[city]]="","-",IF(raw[[#This Row],[city]]&lt;&gt;_xlfn.XLOOKUP(raw[[#This Row],[home]],homes[home],homes[city],"-"),1,0))</f>
        <v/>
      </c>
      <c r="T153" s="1398" t="inlineStr">
        <is>
          <t>.</t>
        </is>
      </c>
      <c r="U153" s="1399">
        <f>IF(raw[[#This Row],[wb]]="w",raw[[#This Row],[stay]]+U152,U152)</f>
        <v/>
      </c>
      <c r="V153" s="1400">
        <f>IF(raw[[#This Row],[out]]=0,V152,(raw[[#This Row],[out]]-E$5))</f>
        <v/>
      </c>
      <c r="W153" s="1401">
        <f>U153/V153</f>
        <v/>
      </c>
      <c r="X153" s="1378" t="inlineStr">
        <is>
          <t>.</t>
        </is>
      </c>
      <c r="Y153" s="1402">
        <f/>
        <v/>
      </c>
      <c r="Z153" s="1403">
        <f/>
        <v/>
      </c>
      <c r="AA153" s="1403">
        <f/>
        <v/>
      </c>
      <c r="AB153" s="1400">
        <f t="array" ref="AB153">_xlfn.LET(_xlpm.S,_xlfn.ANCHORARRAY($Y$4),_xlpm.r,ROWS(stayCity[[#Headers],[city]]:stayCity[[#This Row],[city]])-1,IF(_xlpm.r&lt;=ROWS(_xlpm.S),INDEX(_xlpm.S,_xlpm.r,1),""))</f>
        <v/>
      </c>
      <c r="AC153" s="1405">
        <f t="array" ref="AC153">_xlfn.LET(_xlpm.S,_xlfn.ANCHORARRAY($Y$4),_xlpm.r,ROWS(stayCity[[#Headers],[city]]:stayCity[[#This Row],[city]])-1,IF(_xlpm.r&lt;=ROWS(_xlpm.S),INDEX(_xlpm.S,_xlpm.r,2),""))</f>
        <v/>
      </c>
      <c r="AD153" s="1405">
        <f t="array" ref="AD153">_xlfn.LET(_xlpm.S,_xlfn.ANCHORARRAY($Y$4),_xlpm.r,ROWS(stayCity[[#Headers],[city]]:stayCity[[#This Row],[city]])-1,IF(_xlpm.r&lt;=ROWS(_xlpm.S),INDEX(_xlpm.S,_xlpm.r,3),""))</f>
        <v/>
      </c>
      <c r="AE153" s="1400">
        <f>IF(stayCity[[#This Row],[out]]&lt;&gt;"",stayCity[[#This Row],[out]]-stayCity[[#This Row],[in]],"-")</f>
        <v/>
      </c>
      <c r="AF153" s="1406">
        <f>IF(Y153="","-",YEAR(stayCity[[#This Row],[in]]))</f>
        <v/>
      </c>
      <c r="AG153" s="1398" t="inlineStr">
        <is>
          <t>.</t>
        </is>
      </c>
      <c r="AH153" s="1402">
        <f/>
        <v/>
      </c>
      <c r="AI153" s="1403">
        <f/>
        <v/>
      </c>
      <c r="AJ153" s="1403">
        <f/>
        <v/>
      </c>
      <c r="AK153" s="1400">
        <f>IF(AH153="","-",AH153)</f>
        <v/>
      </c>
      <c r="AL153" s="1405">
        <f>AI153</f>
        <v/>
      </c>
      <c r="AM153" s="1405">
        <f>AJ153</f>
        <v/>
      </c>
      <c r="AN153" s="1400">
        <f>stayCtry[[#This Row],[out]]-stayCtry[[#This Row],[in]]</f>
        <v/>
      </c>
      <c r="AO153" s="1406">
        <f>IF(AI153&lt;&gt;"",AO152+1,AO152)</f>
        <v/>
      </c>
      <c r="AP153" s="1398" t="inlineStr">
        <is>
          <t>.</t>
        </is>
      </c>
      <c r="AQ153" s="1402">
        <f/>
        <v/>
      </c>
      <c r="AR153" s="1403">
        <f/>
        <v/>
      </c>
      <c r="AS153" s="1403">
        <f/>
        <v/>
      </c>
      <c r="AT153" s="1400">
        <f>AQ153</f>
        <v/>
      </c>
      <c r="AU153" s="1405">
        <f>AR153</f>
        <v/>
      </c>
      <c r="AV153" s="1405">
        <f>AS153</f>
        <v/>
      </c>
      <c r="AW153" s="1400">
        <f>stayCont[[#This Row],[out]]-stayCont[[#This Row],[in]]</f>
        <v/>
      </c>
      <c r="AX153" s="1406">
        <f>IF(AR153&lt;&gt;"",AX152+1,AX152)</f>
        <v/>
      </c>
      <c r="AY153" s="1398" t="inlineStr">
        <is>
          <t>.</t>
        </is>
      </c>
      <c r="AZ153" s="1402" t="n"/>
      <c r="BA153" s="1403" t="n"/>
      <c r="BB153" s="1403" t="n"/>
      <c r="BC153" s="1405">
        <f>AZ153</f>
        <v/>
      </c>
      <c r="BD153" s="1405">
        <f>BA153</f>
        <v/>
      </c>
      <c r="BE153" s="1405">
        <f>BB153</f>
        <v/>
      </c>
      <c r="BF153" s="1400">
        <f>stayWB[[#This Row],[out]]-stayWB[[#This Row],[in]]</f>
        <v/>
      </c>
      <c r="BG153" s="1400">
        <f>IF(BB153&lt;&gt;"",BG152+1,BG152)</f>
        <v/>
      </c>
      <c r="BH153" s="1398" t="inlineStr">
        <is>
          <t>.</t>
        </is>
      </c>
      <c r="BI153" s="1402" t="inlineStr">
        <is>
          <t>BEL</t>
        </is>
      </c>
      <c r="BJ153" s="1402" t="n">
        <v>2009</v>
      </c>
      <c r="BK153" s="1400">
        <f>BI153</f>
        <v/>
      </c>
      <c r="BL153" s="1409">
        <f>BJ153</f>
        <v/>
      </c>
      <c r="BM153" s="1378" t="inlineStr">
        <is>
          <t>.</t>
        </is>
      </c>
      <c r="BN153" s="1411" t="inlineStr">
        <is>
          <t>N</t>
        </is>
      </c>
      <c r="BO153" s="1400">
        <f>BN153</f>
        <v/>
      </c>
      <c r="BP153" s="1398" t="inlineStr">
        <is>
          <t>.</t>
        </is>
      </c>
      <c r="BQ153" s="1400">
        <f>IF(BR153&lt;&gt;"",BQ152+1,BQ152)</f>
        <v/>
      </c>
      <c r="BR153" s="1411" t="inlineStr">
        <is>
          <t>SP</t>
        </is>
      </c>
      <c r="BS153" s="1411" t="inlineStr">
        <is>
          <t>SSA</t>
        </is>
      </c>
      <c r="BT153" s="1412" t="inlineStr">
        <is>
          <t>SP-SSA</t>
        </is>
      </c>
      <c r="BU153" s="1412" t="n">
        <v>38897</v>
      </c>
      <c r="BV153" s="1398" t="inlineStr">
        <is>
          <t>.</t>
        </is>
      </c>
      <c r="BW153" s="1392" t="n"/>
      <c r="BX153" s="1392" t="n"/>
      <c r="BY153" s="1392" t="n"/>
      <c r="BZ153" s="1416" t="n"/>
      <c r="CA153" s="1392" t="n"/>
      <c r="CB153" s="1398" t="inlineStr">
        <is>
          <t>.</t>
        </is>
      </c>
      <c r="CC153" s="1400">
        <f>IF(CD153&lt;&gt;"",CC152+1,CC152)</f>
        <v/>
      </c>
      <c r="CD153" s="1411" t="inlineStr">
        <is>
          <t>Ondina</t>
        </is>
      </c>
      <c r="CE153" s="1412" t="n">
        <v>41637</v>
      </c>
      <c r="CF153" s="1412" t="n">
        <v>41645</v>
      </c>
      <c r="CG153" s="1415">
        <f>CF153-CE153</f>
        <v/>
      </c>
      <c r="CH153" s="1398" t="inlineStr">
        <is>
          <t>.</t>
        </is>
      </c>
      <c r="CI153" s="1392" t="n"/>
      <c r="CJ153" s="1392" t="n"/>
      <c r="CK153" s="1392" t="n"/>
      <c r="CL153" s="1392" t="n"/>
    </row>
    <row r="154">
      <c r="A154" s="5" t="inlineStr">
        <is>
          <t>.</t>
        </is>
      </c>
      <c r="B154" s="5" t="inlineStr">
        <is>
          <t>.</t>
        </is>
      </c>
      <c r="C154" s="1378">
        <f>IF(raw[[#This Row],[city]]="","-",IF(raw[[#This Row],[city]]="TODAY","-",C153+1))</f>
        <v/>
      </c>
      <c r="D154" s="1393" t="inlineStr">
        <is>
          <t>Carcassone</t>
        </is>
      </c>
      <c r="E154" s="1394" t="n">
        <v>32024</v>
      </c>
      <c r="F154" s="1394" t="n">
        <v>32025</v>
      </c>
      <c r="G154" s="1393" t="inlineStr">
        <is>
          <t>-</t>
        </is>
      </c>
      <c r="H154" s="1393">
        <f>H153</f>
        <v/>
      </c>
      <c r="I154" s="1393" t="inlineStr">
        <is>
          <t>-</t>
        </is>
      </c>
      <c r="J154" s="1393" t="inlineStr">
        <is>
          <t>-</t>
        </is>
      </c>
      <c r="K154" s="1395">
        <f>IF(raw[[#This Row],[city]]&lt;&gt;"",_xlfn.XLOOKUP($D154,ccc[city],ccc[prov],"-"),"-")</f>
        <v/>
      </c>
      <c r="L154" s="1395">
        <f>IF(raw[[#This Row],[city]]&lt;&gt;"",_xlfn.XLOOKUP($D154,ccc[city],ccc[ctry],"-"),"-")</f>
        <v/>
      </c>
      <c r="M154" s="1395">
        <f>IF(raw[[#This Row],[city]]&lt;&gt;"",_xlfn.XLOOKUP($D154,ccc[city],ccc[cont],"-"),"-")</f>
        <v/>
      </c>
      <c r="N154" s="1396">
        <f>IF(raw[[#This Row],[city]]="","-",IF(raw[[#This Row],[cont]]="B",raw[[#This Row],[cont]],"W"))</f>
        <v/>
      </c>
      <c r="O154" s="1397">
        <f>IF(raw[[#This Row],[out]]=0,0,IF(raw[[#This Row],[out]]=raw[[#This Row],[in]],0.01,raw[[#This Row],[out]]-raw[[#This Row],[in]]))</f>
        <v/>
      </c>
      <c r="P154" s="1397">
        <f>IF(raw[[#This Row],[in]]=0,0,MONTH(raw[[#This Row],[in]]))</f>
        <v/>
      </c>
      <c r="Q154" s="1397">
        <f>IF(raw[[#This Row],[in]]=0,0,YEAR(raw[[#This Row],[in]]))</f>
        <v/>
      </c>
      <c r="R154" s="1397">
        <f>INT(raw[[#This Row],[yr]]/10)*10</f>
        <v/>
      </c>
      <c r="S154" s="1395">
        <f>IF(raw[[#This Row],[city]]="","-",IF(raw[[#This Row],[city]]&lt;&gt;_xlfn.XLOOKUP(raw[[#This Row],[home]],homes[home],homes[city],"-"),1,0))</f>
        <v/>
      </c>
      <c r="T154" s="1398" t="inlineStr">
        <is>
          <t>.</t>
        </is>
      </c>
      <c r="U154" s="1399">
        <f>IF(raw[[#This Row],[wb]]="w",raw[[#This Row],[stay]]+U153,U153)</f>
        <v/>
      </c>
      <c r="V154" s="1400">
        <f>IF(raw[[#This Row],[out]]=0,V153,(raw[[#This Row],[out]]-E$5))</f>
        <v/>
      </c>
      <c r="W154" s="1401">
        <f>U154/V154</f>
        <v/>
      </c>
      <c r="X154" s="1378" t="inlineStr">
        <is>
          <t>.</t>
        </is>
      </c>
      <c r="Y154" s="1402">
        <f/>
        <v/>
      </c>
      <c r="Z154" s="1403">
        <f/>
        <v/>
      </c>
      <c r="AA154" s="1403">
        <f/>
        <v/>
      </c>
      <c r="AB154" s="1400">
        <f t="array" ref="AB154">_xlfn.LET(_xlpm.S,_xlfn.ANCHORARRAY($Y$4),_xlpm.r,ROWS(stayCity[[#Headers],[city]]:stayCity[[#This Row],[city]])-1,IF(_xlpm.r&lt;=ROWS(_xlpm.S),INDEX(_xlpm.S,_xlpm.r,1),""))</f>
        <v/>
      </c>
      <c r="AC154" s="1405">
        <f t="array" ref="AC154">_xlfn.LET(_xlpm.S,_xlfn.ANCHORARRAY($Y$4),_xlpm.r,ROWS(stayCity[[#Headers],[city]]:stayCity[[#This Row],[city]])-1,IF(_xlpm.r&lt;=ROWS(_xlpm.S),INDEX(_xlpm.S,_xlpm.r,2),""))</f>
        <v/>
      </c>
      <c r="AD154" s="1405">
        <f t="array" ref="AD154">_xlfn.LET(_xlpm.S,_xlfn.ANCHORARRAY($Y$4),_xlpm.r,ROWS(stayCity[[#Headers],[city]]:stayCity[[#This Row],[city]])-1,IF(_xlpm.r&lt;=ROWS(_xlpm.S),INDEX(_xlpm.S,_xlpm.r,3),""))</f>
        <v/>
      </c>
      <c r="AE154" s="1400">
        <f>IF(stayCity[[#This Row],[out]]&lt;&gt;"",stayCity[[#This Row],[out]]-stayCity[[#This Row],[in]],"-")</f>
        <v/>
      </c>
      <c r="AF154" s="1406">
        <f>IF(Y154="","-",YEAR(stayCity[[#This Row],[in]]))</f>
        <v/>
      </c>
      <c r="AG154" s="1398" t="inlineStr">
        <is>
          <t>.</t>
        </is>
      </c>
      <c r="AH154" s="1402">
        <f/>
        <v/>
      </c>
      <c r="AI154" s="1403">
        <f/>
        <v/>
      </c>
      <c r="AJ154" s="1403">
        <f/>
        <v/>
      </c>
      <c r="AK154" s="1400">
        <f>IF(AH154="","-",AH154)</f>
        <v/>
      </c>
      <c r="AL154" s="1405">
        <f>AI154</f>
        <v/>
      </c>
      <c r="AM154" s="1405">
        <f>AJ154</f>
        <v/>
      </c>
      <c r="AN154" s="1400">
        <f>stayCtry[[#This Row],[out]]-stayCtry[[#This Row],[in]]</f>
        <v/>
      </c>
      <c r="AO154" s="1406">
        <f>IF(AI154&lt;&gt;"",AO153+1,AO153)</f>
        <v/>
      </c>
      <c r="AP154" s="1398" t="inlineStr">
        <is>
          <t>.</t>
        </is>
      </c>
      <c r="AQ154" s="1402">
        <f/>
        <v/>
      </c>
      <c r="AR154" s="1403">
        <f/>
        <v/>
      </c>
      <c r="AS154" s="1403">
        <f/>
        <v/>
      </c>
      <c r="AT154" s="1400">
        <f>AQ154</f>
        <v/>
      </c>
      <c r="AU154" s="1405">
        <f>AR154</f>
        <v/>
      </c>
      <c r="AV154" s="1405">
        <f>AS154</f>
        <v/>
      </c>
      <c r="AW154" s="1400">
        <f>stayCont[[#This Row],[out]]-stayCont[[#This Row],[in]]</f>
        <v/>
      </c>
      <c r="AX154" s="1406">
        <f>IF(AR154&lt;&gt;"",AX153+1,AX153)</f>
        <v/>
      </c>
      <c r="AY154" s="1398" t="inlineStr">
        <is>
          <t>.</t>
        </is>
      </c>
      <c r="AZ154" s="1402" t="n"/>
      <c r="BA154" s="1403" t="n"/>
      <c r="BB154" s="1403" t="n"/>
      <c r="BC154" s="1405">
        <f>AZ154</f>
        <v/>
      </c>
      <c r="BD154" s="1405">
        <f>BA154</f>
        <v/>
      </c>
      <c r="BE154" s="1405">
        <f>BB154</f>
        <v/>
      </c>
      <c r="BF154" s="1400">
        <f>stayWB[[#This Row],[out]]-stayWB[[#This Row],[in]]</f>
        <v/>
      </c>
      <c r="BG154" s="1400">
        <f>IF(BB154&lt;&gt;"",BG153+1,BG153)</f>
        <v/>
      </c>
      <c r="BH154" s="1398" t="inlineStr">
        <is>
          <t>.</t>
        </is>
      </c>
      <c r="BI154" s="1402" t="inlineStr">
        <is>
          <t>FRA</t>
        </is>
      </c>
      <c r="BJ154" s="1402" t="n">
        <v>2009</v>
      </c>
      <c r="BK154" s="1400">
        <f>BI154</f>
        <v/>
      </c>
      <c r="BL154" s="1409">
        <f>BJ154</f>
        <v/>
      </c>
      <c r="BM154" s="1378" t="inlineStr">
        <is>
          <t>.</t>
        </is>
      </c>
      <c r="BN154" s="1411" t="inlineStr">
        <is>
          <t>Z</t>
        </is>
      </c>
      <c r="BO154" s="1400">
        <f>BN154</f>
        <v/>
      </c>
      <c r="BP154" s="1398" t="inlineStr">
        <is>
          <t>.</t>
        </is>
      </c>
      <c r="BQ154" s="1400">
        <f>IF(BR154&lt;&gt;"",BQ153+1,BQ153)</f>
        <v/>
      </c>
      <c r="BR154" s="1411" t="inlineStr">
        <is>
          <t>SSA</t>
        </is>
      </c>
      <c r="BS154" s="1411" t="inlineStr">
        <is>
          <t>Rio</t>
        </is>
      </c>
      <c r="BT154" s="1412" t="inlineStr">
        <is>
          <t>SSA-Rio</t>
        </is>
      </c>
      <c r="BU154" s="1412" t="n">
        <v>38961</v>
      </c>
      <c r="BV154" s="1398" t="inlineStr">
        <is>
          <t>.</t>
        </is>
      </c>
      <c r="BW154" s="1392" t="n"/>
      <c r="BX154" s="1392" t="n"/>
      <c r="BY154" s="1392" t="n"/>
      <c r="BZ154" s="1416" t="n"/>
      <c r="CA154" s="1392" t="n"/>
      <c r="CB154" s="1398" t="inlineStr">
        <is>
          <t>.</t>
        </is>
      </c>
      <c r="CC154" s="1400">
        <f>IF(CD154&lt;&gt;"",CC153+1,CC153)</f>
        <v/>
      </c>
      <c r="CD154" s="1411" t="inlineStr">
        <is>
          <t>Sam</t>
        </is>
      </c>
      <c r="CE154" s="1412" t="n">
        <v>41645</v>
      </c>
      <c r="CF154" s="1412" t="n">
        <v>41648</v>
      </c>
      <c r="CG154" s="1415">
        <f>CF154-CE154</f>
        <v/>
      </c>
      <c r="CH154" s="1398" t="inlineStr">
        <is>
          <t>.</t>
        </is>
      </c>
      <c r="CI154" s="1392" t="n"/>
      <c r="CJ154" s="1392" t="n"/>
      <c r="CK154" s="1392" t="n"/>
      <c r="CL154" s="1392" t="n"/>
    </row>
    <row r="155">
      <c r="A155" s="5" t="inlineStr">
        <is>
          <t>.</t>
        </is>
      </c>
      <c r="B155" s="5" t="inlineStr">
        <is>
          <t>.</t>
        </is>
      </c>
      <c r="C155" s="1378">
        <f>IF(raw[[#This Row],[city]]="","-",IF(raw[[#This Row],[city]]="TODAY","-",C154+1))</f>
        <v/>
      </c>
      <c r="D155" s="1393" t="inlineStr">
        <is>
          <t>Millau</t>
        </is>
      </c>
      <c r="E155" s="1394" t="n">
        <v>32025</v>
      </c>
      <c r="F155" s="1394" t="n">
        <v>32025</v>
      </c>
      <c r="G155" s="1393" t="inlineStr">
        <is>
          <t>-</t>
        </is>
      </c>
      <c r="H155" s="1393">
        <f>H154</f>
        <v/>
      </c>
      <c r="I155" s="1393" t="n"/>
      <c r="J155" s="1393" t="inlineStr">
        <is>
          <t>-</t>
        </is>
      </c>
      <c r="K155" s="1395">
        <f>IF(raw[[#This Row],[city]]&lt;&gt;"",_xlfn.XLOOKUP($D155,ccc[city],ccc[prov],"-"),"-")</f>
        <v/>
      </c>
      <c r="L155" s="1395">
        <f>IF(raw[[#This Row],[city]]&lt;&gt;"",_xlfn.XLOOKUP($D155,ccc[city],ccc[ctry],"-"),"-")</f>
        <v/>
      </c>
      <c r="M155" s="1395">
        <f>IF(raw[[#This Row],[city]]&lt;&gt;"",_xlfn.XLOOKUP($D155,ccc[city],ccc[cont],"-"),"-")</f>
        <v/>
      </c>
      <c r="N155" s="1396">
        <f>IF(raw[[#This Row],[city]]="","-",IF(raw[[#This Row],[cont]]="B",raw[[#This Row],[cont]],"W"))</f>
        <v/>
      </c>
      <c r="O155" s="1397">
        <f>IF(raw[[#This Row],[out]]=0,0,IF(raw[[#This Row],[out]]=raw[[#This Row],[in]],0.01,raw[[#This Row],[out]]-raw[[#This Row],[in]]))</f>
        <v/>
      </c>
      <c r="P155" s="1397">
        <f>IF(raw[[#This Row],[in]]=0,0,MONTH(raw[[#This Row],[in]]))</f>
        <v/>
      </c>
      <c r="Q155" s="1397">
        <f>IF(raw[[#This Row],[in]]=0,0,YEAR(raw[[#This Row],[in]]))</f>
        <v/>
      </c>
      <c r="R155" s="1397">
        <f>INT(raw[[#This Row],[yr]]/10)*10</f>
        <v/>
      </c>
      <c r="S155" s="1395">
        <f>IF(raw[[#This Row],[city]]="","-",IF(raw[[#This Row],[city]]&lt;&gt;_xlfn.XLOOKUP(raw[[#This Row],[home]],homes[home],homes[city],"-"),1,0))</f>
        <v/>
      </c>
      <c r="T155" s="1398" t="inlineStr">
        <is>
          <t>.</t>
        </is>
      </c>
      <c r="U155" s="1399">
        <f>IF(raw[[#This Row],[wb]]="w",raw[[#This Row],[stay]]+U154,U154)</f>
        <v/>
      </c>
      <c r="V155" s="1400">
        <f>IF(raw[[#This Row],[out]]=0,V154,(raw[[#This Row],[out]]-E$5))</f>
        <v/>
      </c>
      <c r="W155" s="1401">
        <f>U155/V155</f>
        <v/>
      </c>
      <c r="X155" s="1378" t="inlineStr">
        <is>
          <t>.</t>
        </is>
      </c>
      <c r="Y155" s="1402">
        <f/>
        <v/>
      </c>
      <c r="Z155" s="1403">
        <f/>
        <v/>
      </c>
      <c r="AA155" s="1403">
        <f/>
        <v/>
      </c>
      <c r="AB155" s="1400">
        <f t="array" ref="AB155">_xlfn.LET(_xlpm.S,_xlfn.ANCHORARRAY($Y$4),_xlpm.r,ROWS(stayCity[[#Headers],[city]]:stayCity[[#This Row],[city]])-1,IF(_xlpm.r&lt;=ROWS(_xlpm.S),INDEX(_xlpm.S,_xlpm.r,1),""))</f>
        <v/>
      </c>
      <c r="AC155" s="1405">
        <f t="array" ref="AC155">_xlfn.LET(_xlpm.S,_xlfn.ANCHORARRAY($Y$4),_xlpm.r,ROWS(stayCity[[#Headers],[city]]:stayCity[[#This Row],[city]])-1,IF(_xlpm.r&lt;=ROWS(_xlpm.S),INDEX(_xlpm.S,_xlpm.r,2),""))</f>
        <v/>
      </c>
      <c r="AD155" s="1405">
        <f t="array" ref="AD155">_xlfn.LET(_xlpm.S,_xlfn.ANCHORARRAY($Y$4),_xlpm.r,ROWS(stayCity[[#Headers],[city]]:stayCity[[#This Row],[city]])-1,IF(_xlpm.r&lt;=ROWS(_xlpm.S),INDEX(_xlpm.S,_xlpm.r,3),""))</f>
        <v/>
      </c>
      <c r="AE155" s="1400">
        <f>IF(stayCity[[#This Row],[out]]&lt;&gt;"",stayCity[[#This Row],[out]]-stayCity[[#This Row],[in]],"-")</f>
        <v/>
      </c>
      <c r="AF155" s="1406">
        <f>IF(Y155="","-",YEAR(stayCity[[#This Row],[in]]))</f>
        <v/>
      </c>
      <c r="AG155" s="1398" t="inlineStr">
        <is>
          <t>.</t>
        </is>
      </c>
      <c r="AH155" s="1402">
        <f/>
        <v/>
      </c>
      <c r="AI155" s="1403">
        <f/>
        <v/>
      </c>
      <c r="AJ155" s="1403">
        <f/>
        <v/>
      </c>
      <c r="AK155" s="1400">
        <f>IF(AH155="","-",AH155)</f>
        <v/>
      </c>
      <c r="AL155" s="1405">
        <f>AI155</f>
        <v/>
      </c>
      <c r="AM155" s="1405">
        <f>AJ155</f>
        <v/>
      </c>
      <c r="AN155" s="1400">
        <f>stayCtry[[#This Row],[out]]-stayCtry[[#This Row],[in]]</f>
        <v/>
      </c>
      <c r="AO155" s="1406">
        <f>IF(AI155&lt;&gt;"",AO154+1,AO154)</f>
        <v/>
      </c>
      <c r="AP155" s="1398" t="inlineStr">
        <is>
          <t>.</t>
        </is>
      </c>
      <c r="AQ155" s="1402">
        <f/>
        <v/>
      </c>
      <c r="AR155" s="1403">
        <f/>
        <v/>
      </c>
      <c r="AS155" s="1403">
        <f/>
        <v/>
      </c>
      <c r="AT155" s="1400">
        <f>AQ155</f>
        <v/>
      </c>
      <c r="AU155" s="1405">
        <f>AR155</f>
        <v/>
      </c>
      <c r="AV155" s="1405">
        <f>AS155</f>
        <v/>
      </c>
      <c r="AW155" s="1400">
        <f>stayCont[[#This Row],[out]]-stayCont[[#This Row],[in]]</f>
        <v/>
      </c>
      <c r="AX155" s="1406">
        <f>IF(AR155&lt;&gt;"",AX154+1,AX154)</f>
        <v/>
      </c>
      <c r="AY155" s="1398" t="inlineStr">
        <is>
          <t>.</t>
        </is>
      </c>
      <c r="AZ155" s="1402" t="n"/>
      <c r="BA155" s="1403" t="n"/>
      <c r="BB155" s="1403" t="n"/>
      <c r="BC155" s="1405">
        <f>AZ155</f>
        <v/>
      </c>
      <c r="BD155" s="1405">
        <f>BA155</f>
        <v/>
      </c>
      <c r="BE155" s="1405">
        <f>BB155</f>
        <v/>
      </c>
      <c r="BF155" s="1400">
        <f>stayWB[[#This Row],[out]]-stayWB[[#This Row],[in]]</f>
        <v/>
      </c>
      <c r="BG155" s="1400">
        <f>IF(BB155&lt;&gt;"",BG154+1,BG154)</f>
        <v/>
      </c>
      <c r="BH155" s="1398" t="inlineStr">
        <is>
          <t>.</t>
        </is>
      </c>
      <c r="BI155" s="1402" t="inlineStr">
        <is>
          <t>ITA</t>
        </is>
      </c>
      <c r="BJ155" s="1402" t="n">
        <v>2009</v>
      </c>
      <c r="BK155" s="1400">
        <f>BI155</f>
        <v/>
      </c>
      <c r="BL155" s="1409">
        <f>BJ155</f>
        <v/>
      </c>
      <c r="BM155" s="1378" t="inlineStr">
        <is>
          <t>.</t>
        </is>
      </c>
      <c r="BN155" s="1411" t="inlineStr">
        <is>
          <t>E</t>
        </is>
      </c>
      <c r="BO155" s="1400">
        <f>BN155</f>
        <v/>
      </c>
      <c r="BP155" s="1398" t="inlineStr">
        <is>
          <t>.</t>
        </is>
      </c>
      <c r="BQ155" s="1400">
        <f>IF(BR155&lt;&gt;"",BQ154+1,BQ154)</f>
        <v/>
      </c>
      <c r="BR155" s="1411" t="inlineStr">
        <is>
          <t>Rio</t>
        </is>
      </c>
      <c r="BS155" s="1411" t="inlineStr">
        <is>
          <t>SSA</t>
        </is>
      </c>
      <c r="BT155" s="1412" t="inlineStr">
        <is>
          <t>Rio-SSA</t>
        </is>
      </c>
      <c r="BU155" s="1412" t="n">
        <v>38964</v>
      </c>
      <c r="BV155" s="1398" t="inlineStr">
        <is>
          <t>.</t>
        </is>
      </c>
      <c r="BW155" s="1392" t="n"/>
      <c r="BX155" s="1392" t="n"/>
      <c r="BY155" s="1392" t="n"/>
      <c r="BZ155" s="1416" t="n"/>
      <c r="CA155" s="1392" t="n"/>
      <c r="CB155" s="1398" t="inlineStr">
        <is>
          <t>.</t>
        </is>
      </c>
      <c r="CC155" s="1400">
        <f>IF(CD155&lt;&gt;"",CC154+1,CC154)</f>
        <v/>
      </c>
      <c r="CD155" s="1411" t="inlineStr">
        <is>
          <t>Tatá/Venancio</t>
        </is>
      </c>
      <c r="CE155" s="1412" t="n">
        <v>41648</v>
      </c>
      <c r="CF155" s="1412" t="n">
        <v>41652</v>
      </c>
      <c r="CG155" s="1415">
        <f>CF155-CE155</f>
        <v/>
      </c>
      <c r="CH155" s="1398" t="inlineStr">
        <is>
          <t>.</t>
        </is>
      </c>
      <c r="CI155" s="1392" t="n"/>
      <c r="CJ155" s="1392" t="n"/>
      <c r="CK155" s="1392" t="n"/>
      <c r="CL155" s="1392" t="n"/>
    </row>
    <row r="156">
      <c r="A156" s="5" t="inlineStr">
        <is>
          <t>.</t>
        </is>
      </c>
      <c r="B156" s="5" t="inlineStr">
        <is>
          <t>.</t>
        </is>
      </c>
      <c r="C156" s="1378">
        <f>IF(raw[[#This Row],[city]]="","-",IF(raw[[#This Row],[city]]="TODAY","-",C155+1))</f>
        <v/>
      </c>
      <c r="D156" s="1393" t="inlineStr">
        <is>
          <t>Aigues-Mortes</t>
        </is>
      </c>
      <c r="E156" s="1394" t="n">
        <v>32025</v>
      </c>
      <c r="F156" s="1394" t="n">
        <v>32025</v>
      </c>
      <c r="G156" s="1393" t="inlineStr">
        <is>
          <t>-</t>
        </is>
      </c>
      <c r="H156" s="1393">
        <f>H155</f>
        <v/>
      </c>
      <c r="I156" s="1393" t="inlineStr">
        <is>
          <t>-</t>
        </is>
      </c>
      <c r="J156" s="1393" t="inlineStr">
        <is>
          <t>-</t>
        </is>
      </c>
      <c r="K156" s="1395">
        <f>IF(raw[[#This Row],[city]]&lt;&gt;"",_xlfn.XLOOKUP($D156,ccc[city],ccc[prov],"-"),"-")</f>
        <v/>
      </c>
      <c r="L156" s="1395">
        <f>IF(raw[[#This Row],[city]]&lt;&gt;"",_xlfn.XLOOKUP($D156,ccc[city],ccc[ctry],"-"),"-")</f>
        <v/>
      </c>
      <c r="M156" s="1395">
        <f>IF(raw[[#This Row],[city]]&lt;&gt;"",_xlfn.XLOOKUP($D156,ccc[city],ccc[cont],"-"),"-")</f>
        <v/>
      </c>
      <c r="N156" s="1396">
        <f>IF(raw[[#This Row],[city]]="","-",IF(raw[[#This Row],[cont]]="B",raw[[#This Row],[cont]],"W"))</f>
        <v/>
      </c>
      <c r="O156" s="1397">
        <f>IF(raw[[#This Row],[out]]=0,0,IF(raw[[#This Row],[out]]=raw[[#This Row],[in]],0.01,raw[[#This Row],[out]]-raw[[#This Row],[in]]))</f>
        <v/>
      </c>
      <c r="P156" s="1397">
        <f>IF(raw[[#This Row],[in]]=0,0,MONTH(raw[[#This Row],[in]]))</f>
        <v/>
      </c>
      <c r="Q156" s="1397">
        <f>IF(raw[[#This Row],[in]]=0,0,YEAR(raw[[#This Row],[in]]))</f>
        <v/>
      </c>
      <c r="R156" s="1397">
        <f>INT(raw[[#This Row],[yr]]/10)*10</f>
        <v/>
      </c>
      <c r="S156" s="1395">
        <f>IF(raw[[#This Row],[city]]="","-",IF(raw[[#This Row],[city]]&lt;&gt;_xlfn.XLOOKUP(raw[[#This Row],[home]],homes[home],homes[city],"-"),1,0))</f>
        <v/>
      </c>
      <c r="T156" s="1398" t="inlineStr">
        <is>
          <t>.</t>
        </is>
      </c>
      <c r="U156" s="1399">
        <f>IF(raw[[#This Row],[wb]]="w",raw[[#This Row],[stay]]+U155,U155)</f>
        <v/>
      </c>
      <c r="V156" s="1400">
        <f>IF(raw[[#This Row],[out]]=0,V155,(raw[[#This Row],[out]]-E$5))</f>
        <v/>
      </c>
      <c r="W156" s="1401">
        <f>U156/V156</f>
        <v/>
      </c>
      <c r="X156" s="1378" t="inlineStr">
        <is>
          <t>.</t>
        </is>
      </c>
      <c r="Y156" s="1402">
        <f/>
        <v/>
      </c>
      <c r="Z156" s="1403">
        <f/>
        <v/>
      </c>
      <c r="AA156" s="1403">
        <f/>
        <v/>
      </c>
      <c r="AB156" s="1400">
        <f t="array" ref="AB156">_xlfn.LET(_xlpm.S,_xlfn.ANCHORARRAY($Y$4),_xlpm.r,ROWS(stayCity[[#Headers],[city]]:stayCity[[#This Row],[city]])-1,IF(_xlpm.r&lt;=ROWS(_xlpm.S),INDEX(_xlpm.S,_xlpm.r,1),""))</f>
        <v/>
      </c>
      <c r="AC156" s="1405">
        <f t="array" ref="AC156">_xlfn.LET(_xlpm.S,_xlfn.ANCHORARRAY($Y$4),_xlpm.r,ROWS(stayCity[[#Headers],[city]]:stayCity[[#This Row],[city]])-1,IF(_xlpm.r&lt;=ROWS(_xlpm.S),INDEX(_xlpm.S,_xlpm.r,2),""))</f>
        <v/>
      </c>
      <c r="AD156" s="1405">
        <f t="array" ref="AD156">_xlfn.LET(_xlpm.S,_xlfn.ANCHORARRAY($Y$4),_xlpm.r,ROWS(stayCity[[#Headers],[city]]:stayCity[[#This Row],[city]])-1,IF(_xlpm.r&lt;=ROWS(_xlpm.S),INDEX(_xlpm.S,_xlpm.r,3),""))</f>
        <v/>
      </c>
      <c r="AE156" s="1400">
        <f>IF(stayCity[[#This Row],[out]]&lt;&gt;"",stayCity[[#This Row],[out]]-stayCity[[#This Row],[in]],"-")</f>
        <v/>
      </c>
      <c r="AF156" s="1406">
        <f>IF(Y156="","-",YEAR(stayCity[[#This Row],[in]]))</f>
        <v/>
      </c>
      <c r="AG156" s="1398" t="inlineStr">
        <is>
          <t>.</t>
        </is>
      </c>
      <c r="AH156" s="1402">
        <f/>
        <v/>
      </c>
      <c r="AI156" s="1403">
        <f/>
        <v/>
      </c>
      <c r="AJ156" s="1403">
        <f/>
        <v/>
      </c>
      <c r="AK156" s="1400">
        <f>IF(AH156="","-",AH156)</f>
        <v/>
      </c>
      <c r="AL156" s="1405">
        <f>AI156</f>
        <v/>
      </c>
      <c r="AM156" s="1405">
        <f>AJ156</f>
        <v/>
      </c>
      <c r="AN156" s="1400">
        <f>stayCtry[[#This Row],[out]]-stayCtry[[#This Row],[in]]</f>
        <v/>
      </c>
      <c r="AO156" s="1406">
        <f>IF(AI156&lt;&gt;"",AO155+1,AO155)</f>
        <v/>
      </c>
      <c r="AP156" s="1398" t="inlineStr">
        <is>
          <t>.</t>
        </is>
      </c>
      <c r="AQ156" s="1402">
        <f/>
        <v/>
      </c>
      <c r="AR156" s="1403">
        <f/>
        <v/>
      </c>
      <c r="AS156" s="1403">
        <f/>
        <v/>
      </c>
      <c r="AT156" s="1400">
        <f>AQ156</f>
        <v/>
      </c>
      <c r="AU156" s="1405">
        <f>AR156</f>
        <v/>
      </c>
      <c r="AV156" s="1405">
        <f>AS156</f>
        <v/>
      </c>
      <c r="AW156" s="1400">
        <f>stayCont[[#This Row],[out]]-stayCont[[#This Row],[in]]</f>
        <v/>
      </c>
      <c r="AX156" s="1406">
        <f>IF(AR156&lt;&gt;"",AX155+1,AX155)</f>
        <v/>
      </c>
      <c r="AY156" s="1398" t="inlineStr">
        <is>
          <t>.</t>
        </is>
      </c>
      <c r="AZ156" s="1402" t="n"/>
      <c r="BA156" s="1403" t="n"/>
      <c r="BB156" s="1403" t="n"/>
      <c r="BC156" s="1405">
        <f>AZ156</f>
        <v/>
      </c>
      <c r="BD156" s="1405">
        <f>BA156</f>
        <v/>
      </c>
      <c r="BE156" s="1405">
        <f>BB156</f>
        <v/>
      </c>
      <c r="BF156" s="1400">
        <f>stayWB[[#This Row],[out]]-stayWB[[#This Row],[in]]</f>
        <v/>
      </c>
      <c r="BG156" s="1400">
        <f>IF(BB156&lt;&gt;"",BG155+1,BG155)</f>
        <v/>
      </c>
      <c r="BH156" s="1398" t="inlineStr">
        <is>
          <t>.</t>
        </is>
      </c>
      <c r="BI156" s="1402" t="inlineStr">
        <is>
          <t>CZE</t>
        </is>
      </c>
      <c r="BJ156" s="1402" t="n">
        <v>2009</v>
      </c>
      <c r="BK156" s="1400">
        <f>BI156</f>
        <v/>
      </c>
      <c r="BL156" s="1409">
        <f>BJ156</f>
        <v/>
      </c>
      <c r="BM156" s="1378" t="inlineStr">
        <is>
          <t>.</t>
        </is>
      </c>
      <c r="BN156" s="1411" t="inlineStr">
        <is>
          <t>N</t>
        </is>
      </c>
      <c r="BO156" s="1400">
        <f>BN156</f>
        <v/>
      </c>
      <c r="BP156" s="1398" t="inlineStr">
        <is>
          <t>.</t>
        </is>
      </c>
      <c r="BQ156" s="1400">
        <f>IF(BR156&lt;&gt;"",BQ155+1,BQ155)</f>
        <v/>
      </c>
      <c r="BR156" s="1411" t="inlineStr">
        <is>
          <t>SSA</t>
        </is>
      </c>
      <c r="BS156" s="1411" t="inlineStr">
        <is>
          <t>Fortaleza</t>
        </is>
      </c>
      <c r="BT156" s="1412" t="inlineStr">
        <is>
          <t>SSA-Fortaleza</t>
        </is>
      </c>
      <c r="BU156" s="1412" t="n">
        <v>39093</v>
      </c>
      <c r="BV156" s="1398" t="inlineStr">
        <is>
          <t>.</t>
        </is>
      </c>
      <c r="BW156" s="1392" t="n"/>
      <c r="BX156" s="1392" t="n"/>
      <c r="BY156" s="1392" t="n"/>
      <c r="BZ156" s="1416" t="n"/>
      <c r="CA156" s="1392" t="n"/>
      <c r="CB156" s="1398" t="inlineStr">
        <is>
          <t>.</t>
        </is>
      </c>
      <c r="CC156" s="1400">
        <f>IF(CD156&lt;&gt;"",CC155+1,CC155)</f>
        <v/>
      </c>
      <c r="CD156" s="1411" t="inlineStr">
        <is>
          <t>Ondina</t>
        </is>
      </c>
      <c r="CE156" s="1412" t="n">
        <v>41652</v>
      </c>
      <c r="CF156" s="1412" t="n">
        <v>41657</v>
      </c>
      <c r="CG156" s="1415">
        <f>CF156-CE156</f>
        <v/>
      </c>
      <c r="CH156" s="1398" t="inlineStr">
        <is>
          <t>.</t>
        </is>
      </c>
      <c r="CI156" s="1392" t="n"/>
      <c r="CJ156" s="1392" t="n"/>
      <c r="CK156" s="1392" t="n"/>
      <c r="CL156" s="1392" t="n"/>
    </row>
    <row r="157">
      <c r="A157" s="5" t="inlineStr">
        <is>
          <t>.</t>
        </is>
      </c>
      <c r="B157" s="5" t="inlineStr">
        <is>
          <t>.</t>
        </is>
      </c>
      <c r="C157" s="1378">
        <f>IF(raw[[#This Row],[city]]="","-",IF(raw[[#This Row],[city]]="TODAY","-",C156+1))</f>
        <v/>
      </c>
      <c r="D157" s="1393" t="inlineStr">
        <is>
          <t>Florac</t>
        </is>
      </c>
      <c r="E157" s="1394" t="n">
        <v>32025</v>
      </c>
      <c r="F157" s="1394" t="n">
        <v>32026</v>
      </c>
      <c r="G157" s="1393" t="inlineStr">
        <is>
          <t>-</t>
        </is>
      </c>
      <c r="H157" s="1393">
        <f>H156</f>
        <v/>
      </c>
      <c r="I157" s="1393" t="inlineStr">
        <is>
          <t>-</t>
        </is>
      </c>
      <c r="J157" s="1393" t="inlineStr">
        <is>
          <t>-</t>
        </is>
      </c>
      <c r="K157" s="1395">
        <f>IF(raw[[#This Row],[city]]&lt;&gt;"",_xlfn.XLOOKUP($D157,ccc[city],ccc[prov],"-"),"-")</f>
        <v/>
      </c>
      <c r="L157" s="1395">
        <f>IF(raw[[#This Row],[city]]&lt;&gt;"",_xlfn.XLOOKUP($D157,ccc[city],ccc[ctry],"-"),"-")</f>
        <v/>
      </c>
      <c r="M157" s="1395">
        <f>IF(raw[[#This Row],[city]]&lt;&gt;"",_xlfn.XLOOKUP($D157,ccc[city],ccc[cont],"-"),"-")</f>
        <v/>
      </c>
      <c r="N157" s="1396">
        <f>IF(raw[[#This Row],[city]]="","-",IF(raw[[#This Row],[cont]]="B",raw[[#This Row],[cont]],"W"))</f>
        <v/>
      </c>
      <c r="O157" s="1397">
        <f>IF(raw[[#This Row],[out]]=0,0,IF(raw[[#This Row],[out]]=raw[[#This Row],[in]],0.01,raw[[#This Row],[out]]-raw[[#This Row],[in]]))</f>
        <v/>
      </c>
      <c r="P157" s="1397">
        <f>IF(raw[[#This Row],[in]]=0,0,MONTH(raw[[#This Row],[in]]))</f>
        <v/>
      </c>
      <c r="Q157" s="1397">
        <f>IF(raw[[#This Row],[in]]=0,0,YEAR(raw[[#This Row],[in]]))</f>
        <v/>
      </c>
      <c r="R157" s="1397">
        <f>INT(raw[[#This Row],[yr]]/10)*10</f>
        <v/>
      </c>
      <c r="S157" s="1395">
        <f>IF(raw[[#This Row],[city]]="","-",IF(raw[[#This Row],[city]]&lt;&gt;_xlfn.XLOOKUP(raw[[#This Row],[home]],homes[home],homes[city],"-"),1,0))</f>
        <v/>
      </c>
      <c r="T157" s="1398" t="inlineStr">
        <is>
          <t>.</t>
        </is>
      </c>
      <c r="U157" s="1399">
        <f>IF(raw[[#This Row],[wb]]="w",raw[[#This Row],[stay]]+U156,U156)</f>
        <v/>
      </c>
      <c r="V157" s="1400">
        <f>IF(raw[[#This Row],[out]]=0,V156,(raw[[#This Row],[out]]-E$5))</f>
        <v/>
      </c>
      <c r="W157" s="1401">
        <f>U157/V157</f>
        <v/>
      </c>
      <c r="X157" s="1378" t="inlineStr">
        <is>
          <t>.</t>
        </is>
      </c>
      <c r="Y157" s="1402">
        <f/>
        <v/>
      </c>
      <c r="Z157" s="1403">
        <f/>
        <v/>
      </c>
      <c r="AA157" s="1403">
        <f/>
        <v/>
      </c>
      <c r="AB157" s="1400">
        <f t="array" ref="AB157">_xlfn.LET(_xlpm.S,_xlfn.ANCHORARRAY($Y$4),_xlpm.r,ROWS(stayCity[[#Headers],[city]]:stayCity[[#This Row],[city]])-1,IF(_xlpm.r&lt;=ROWS(_xlpm.S),INDEX(_xlpm.S,_xlpm.r,1),""))</f>
        <v/>
      </c>
      <c r="AC157" s="1405">
        <f t="array" ref="AC157">_xlfn.LET(_xlpm.S,_xlfn.ANCHORARRAY($Y$4),_xlpm.r,ROWS(stayCity[[#Headers],[city]]:stayCity[[#This Row],[city]])-1,IF(_xlpm.r&lt;=ROWS(_xlpm.S),INDEX(_xlpm.S,_xlpm.r,2),""))</f>
        <v/>
      </c>
      <c r="AD157" s="1405">
        <f t="array" ref="AD157">_xlfn.LET(_xlpm.S,_xlfn.ANCHORARRAY($Y$4),_xlpm.r,ROWS(stayCity[[#Headers],[city]]:stayCity[[#This Row],[city]])-1,IF(_xlpm.r&lt;=ROWS(_xlpm.S),INDEX(_xlpm.S,_xlpm.r,3),""))</f>
        <v/>
      </c>
      <c r="AE157" s="1400">
        <f>IF(stayCity[[#This Row],[out]]&lt;&gt;"",stayCity[[#This Row],[out]]-stayCity[[#This Row],[in]],"-")</f>
        <v/>
      </c>
      <c r="AF157" s="1406">
        <f>IF(Y157="","-",YEAR(stayCity[[#This Row],[in]]))</f>
        <v/>
      </c>
      <c r="AG157" s="1398" t="inlineStr">
        <is>
          <t>.</t>
        </is>
      </c>
      <c r="AH157" s="1402">
        <f/>
        <v/>
      </c>
      <c r="AI157" s="1403">
        <f/>
        <v/>
      </c>
      <c r="AJ157" s="1403">
        <f/>
        <v/>
      </c>
      <c r="AK157" s="1400">
        <f>IF(AH157="","-",AH157)</f>
        <v/>
      </c>
      <c r="AL157" s="1405">
        <f>AI157</f>
        <v/>
      </c>
      <c r="AM157" s="1405">
        <f>AJ157</f>
        <v/>
      </c>
      <c r="AN157" s="1400">
        <f>stayCtry[[#This Row],[out]]-stayCtry[[#This Row],[in]]</f>
        <v/>
      </c>
      <c r="AO157" s="1406">
        <f>IF(AI157&lt;&gt;"",AO156+1,AO156)</f>
        <v/>
      </c>
      <c r="AP157" s="1398" t="inlineStr">
        <is>
          <t>.</t>
        </is>
      </c>
      <c r="AQ157" s="1402">
        <f/>
        <v/>
      </c>
      <c r="AR157" s="1403">
        <f/>
        <v/>
      </c>
      <c r="AS157" s="1403">
        <f/>
        <v/>
      </c>
      <c r="AT157" s="1400">
        <f>AQ157</f>
        <v/>
      </c>
      <c r="AU157" s="1405">
        <f>AR157</f>
        <v/>
      </c>
      <c r="AV157" s="1405">
        <f>AS157</f>
        <v/>
      </c>
      <c r="AW157" s="1400">
        <f>stayCont[[#This Row],[out]]-stayCont[[#This Row],[in]]</f>
        <v/>
      </c>
      <c r="AX157" s="1406">
        <f>IF(AR157&lt;&gt;"",AX156+1,AX156)</f>
        <v/>
      </c>
      <c r="AY157" s="1398" t="inlineStr">
        <is>
          <t>.</t>
        </is>
      </c>
      <c r="AZ157" s="1402" t="n"/>
      <c r="BA157" s="1403" t="n"/>
      <c r="BB157" s="1403" t="n"/>
      <c r="BC157" s="1405">
        <f>AZ157</f>
        <v/>
      </c>
      <c r="BD157" s="1405">
        <f>BA157</f>
        <v/>
      </c>
      <c r="BE157" s="1405">
        <f>BB157</f>
        <v/>
      </c>
      <c r="BF157" s="1400">
        <f>stayWB[[#This Row],[out]]-stayWB[[#This Row],[in]]</f>
        <v/>
      </c>
      <c r="BG157" s="1400">
        <f>IF(BB157&lt;&gt;"",BG156+1,BG156)</f>
        <v/>
      </c>
      <c r="BH157" s="1398" t="inlineStr">
        <is>
          <t>.</t>
        </is>
      </c>
      <c r="BI157" s="1402" t="inlineStr">
        <is>
          <t>FRA</t>
        </is>
      </c>
      <c r="BJ157" s="1402" t="n">
        <v>2009</v>
      </c>
      <c r="BK157" s="1400">
        <f>BI157</f>
        <v/>
      </c>
      <c r="BL157" s="1409">
        <f>BJ157</f>
        <v/>
      </c>
      <c r="BM157" s="1378" t="inlineStr">
        <is>
          <t>.</t>
        </is>
      </c>
      <c r="BN157" s="1411" t="inlineStr">
        <is>
          <t>Z</t>
        </is>
      </c>
      <c r="BO157" s="1400">
        <f>BN157</f>
        <v/>
      </c>
      <c r="BP157" s="1398" t="inlineStr">
        <is>
          <t>.</t>
        </is>
      </c>
      <c r="BQ157" s="1400">
        <f>IF(BR157&lt;&gt;"",BQ156+1,BQ156)</f>
        <v/>
      </c>
      <c r="BR157" s="1411" t="inlineStr">
        <is>
          <t>Fortaleza</t>
        </is>
      </c>
      <c r="BS157" s="1411" t="inlineStr">
        <is>
          <t>SSA</t>
        </is>
      </c>
      <c r="BT157" s="1412" t="inlineStr">
        <is>
          <t>Fortaleza-SSA</t>
        </is>
      </c>
      <c r="BU157" s="1412" t="n">
        <v>39098</v>
      </c>
      <c r="BV157" s="1398" t="inlineStr">
        <is>
          <t>.</t>
        </is>
      </c>
      <c r="BW157" s="1392" t="n"/>
      <c r="BX157" s="1392" t="n"/>
      <c r="BY157" s="1392" t="n"/>
      <c r="BZ157" s="1416" t="n"/>
      <c r="CA157" s="1392" t="n"/>
      <c r="CB157" s="1398" t="inlineStr">
        <is>
          <t>.</t>
        </is>
      </c>
      <c r="CC157" s="1400">
        <f>IF(CD157&lt;&gt;"",CC156+1,CC156)</f>
        <v/>
      </c>
      <c r="CD157" s="1411" t="inlineStr">
        <is>
          <t>Ondina</t>
        </is>
      </c>
      <c r="CE157" s="1412" t="n">
        <v>42016</v>
      </c>
      <c r="CF157" s="1412" t="n">
        <v>42025</v>
      </c>
      <c r="CG157" s="1415">
        <f>CF157-CE157</f>
        <v/>
      </c>
      <c r="CH157" s="1398" t="inlineStr">
        <is>
          <t>.</t>
        </is>
      </c>
      <c r="CI157" s="1392" t="n"/>
      <c r="CJ157" s="1392" t="n"/>
      <c r="CK157" s="1392" t="n"/>
      <c r="CL157" s="1392" t="n"/>
    </row>
    <row r="158">
      <c r="A158" s="5" t="inlineStr">
        <is>
          <t>.</t>
        </is>
      </c>
      <c r="B158" s="5" t="inlineStr">
        <is>
          <t>.</t>
        </is>
      </c>
      <c r="C158" s="1378">
        <f>IF(raw[[#This Row],[city]]="","-",IF(raw[[#This Row],[city]]="TODAY","-",C157+1))</f>
        <v/>
      </c>
      <c r="D158" s="1393" t="inlineStr">
        <is>
          <t>Chateneuf du Pape</t>
        </is>
      </c>
      <c r="E158" s="1394" t="n">
        <v>32026</v>
      </c>
      <c r="F158" s="1394" t="n">
        <v>32026</v>
      </c>
      <c r="G158" s="1393" t="inlineStr">
        <is>
          <t>-</t>
        </is>
      </c>
      <c r="H158" s="1393">
        <f>H157</f>
        <v/>
      </c>
      <c r="I158" s="1393" t="inlineStr">
        <is>
          <t>-</t>
        </is>
      </c>
      <c r="J158" s="1393" t="inlineStr">
        <is>
          <t>-</t>
        </is>
      </c>
      <c r="K158" s="1395">
        <f>IF(raw[[#This Row],[city]]&lt;&gt;"",_xlfn.XLOOKUP($D158,ccc[city],ccc[prov],"-"),"-")</f>
        <v/>
      </c>
      <c r="L158" s="1395">
        <f>IF(raw[[#This Row],[city]]&lt;&gt;"",_xlfn.XLOOKUP($D158,ccc[city],ccc[ctry],"-"),"-")</f>
        <v/>
      </c>
      <c r="M158" s="1395">
        <f>IF(raw[[#This Row],[city]]&lt;&gt;"",_xlfn.XLOOKUP($D158,ccc[city],ccc[cont],"-"),"-")</f>
        <v/>
      </c>
      <c r="N158" s="1396">
        <f>IF(raw[[#This Row],[city]]="","-",IF(raw[[#This Row],[cont]]="B",raw[[#This Row],[cont]],"W"))</f>
        <v/>
      </c>
      <c r="O158" s="1397">
        <f>IF(raw[[#This Row],[out]]=0,0,IF(raw[[#This Row],[out]]=raw[[#This Row],[in]],0.01,raw[[#This Row],[out]]-raw[[#This Row],[in]]))</f>
        <v/>
      </c>
      <c r="P158" s="1397">
        <f>IF(raw[[#This Row],[in]]=0,0,MONTH(raw[[#This Row],[in]]))</f>
        <v/>
      </c>
      <c r="Q158" s="1397">
        <f>IF(raw[[#This Row],[in]]=0,0,YEAR(raw[[#This Row],[in]]))</f>
        <v/>
      </c>
      <c r="R158" s="1397">
        <f>INT(raw[[#This Row],[yr]]/10)*10</f>
        <v/>
      </c>
      <c r="S158" s="1395">
        <f>IF(raw[[#This Row],[city]]="","-",IF(raw[[#This Row],[city]]&lt;&gt;_xlfn.XLOOKUP(raw[[#This Row],[home]],homes[home],homes[city],"-"),1,0))</f>
        <v/>
      </c>
      <c r="T158" s="1398" t="inlineStr">
        <is>
          <t>.</t>
        </is>
      </c>
      <c r="U158" s="1399">
        <f>IF(raw[[#This Row],[wb]]="w",raw[[#This Row],[stay]]+U157,U157)</f>
        <v/>
      </c>
      <c r="V158" s="1400">
        <f>IF(raw[[#This Row],[out]]=0,V157,(raw[[#This Row],[out]]-E$5))</f>
        <v/>
      </c>
      <c r="W158" s="1401">
        <f>U158/V158</f>
        <v/>
      </c>
      <c r="X158" s="1378" t="inlineStr">
        <is>
          <t>.</t>
        </is>
      </c>
      <c r="Y158" s="1402">
        <f/>
        <v/>
      </c>
      <c r="Z158" s="1403">
        <f/>
        <v/>
      </c>
      <c r="AA158" s="1403">
        <f/>
        <v/>
      </c>
      <c r="AB158" s="1400">
        <f t="array" ref="AB158">_xlfn.LET(_xlpm.S,_xlfn.ANCHORARRAY($Y$4),_xlpm.r,ROWS(stayCity[[#Headers],[city]]:stayCity[[#This Row],[city]])-1,IF(_xlpm.r&lt;=ROWS(_xlpm.S),INDEX(_xlpm.S,_xlpm.r,1),""))</f>
        <v/>
      </c>
      <c r="AC158" s="1405">
        <f t="array" ref="AC158">_xlfn.LET(_xlpm.S,_xlfn.ANCHORARRAY($Y$4),_xlpm.r,ROWS(stayCity[[#Headers],[city]]:stayCity[[#This Row],[city]])-1,IF(_xlpm.r&lt;=ROWS(_xlpm.S),INDEX(_xlpm.S,_xlpm.r,2),""))</f>
        <v/>
      </c>
      <c r="AD158" s="1405">
        <f t="array" ref="AD158">_xlfn.LET(_xlpm.S,_xlfn.ANCHORARRAY($Y$4),_xlpm.r,ROWS(stayCity[[#Headers],[city]]:stayCity[[#This Row],[city]])-1,IF(_xlpm.r&lt;=ROWS(_xlpm.S),INDEX(_xlpm.S,_xlpm.r,3),""))</f>
        <v/>
      </c>
      <c r="AE158" s="1400">
        <f>IF(stayCity[[#This Row],[out]]&lt;&gt;"",stayCity[[#This Row],[out]]-stayCity[[#This Row],[in]],"-")</f>
        <v/>
      </c>
      <c r="AF158" s="1406">
        <f>IF(Y158="","-",YEAR(stayCity[[#This Row],[in]]))</f>
        <v/>
      </c>
      <c r="AG158" s="1398" t="inlineStr">
        <is>
          <t>.</t>
        </is>
      </c>
      <c r="AH158" s="1402">
        <f/>
        <v/>
      </c>
      <c r="AI158" s="1403">
        <f/>
        <v/>
      </c>
      <c r="AJ158" s="1403">
        <f/>
        <v/>
      </c>
      <c r="AK158" s="1400">
        <f>IF(AH158="","-",AH158)</f>
        <v/>
      </c>
      <c r="AL158" s="1405">
        <f>AI158</f>
        <v/>
      </c>
      <c r="AM158" s="1405">
        <f>AJ158</f>
        <v/>
      </c>
      <c r="AN158" s="1400">
        <f>stayCtry[[#This Row],[out]]-stayCtry[[#This Row],[in]]</f>
        <v/>
      </c>
      <c r="AO158" s="1406">
        <f>IF(AI158&lt;&gt;"",AO157+1,AO157)</f>
        <v/>
      </c>
      <c r="AP158" s="1398" t="inlineStr">
        <is>
          <t>.</t>
        </is>
      </c>
      <c r="AQ158" s="1402">
        <f/>
        <v/>
      </c>
      <c r="AR158" s="1403">
        <f/>
        <v/>
      </c>
      <c r="AS158" s="1403">
        <f/>
        <v/>
      </c>
      <c r="AT158" s="1400">
        <f>AQ158</f>
        <v/>
      </c>
      <c r="AU158" s="1405">
        <f>AR158</f>
        <v/>
      </c>
      <c r="AV158" s="1405">
        <f>AS158</f>
        <v/>
      </c>
      <c r="AW158" s="1400">
        <f>stayCont[[#This Row],[out]]-stayCont[[#This Row],[in]]</f>
        <v/>
      </c>
      <c r="AX158" s="1406">
        <f>IF(AR158&lt;&gt;"",AX157+1,AX157)</f>
        <v/>
      </c>
      <c r="AY158" s="1398" t="inlineStr">
        <is>
          <t>.</t>
        </is>
      </c>
      <c r="AZ158" s="1402" t="n"/>
      <c r="BA158" s="1403" t="n"/>
      <c r="BB158" s="1403" t="n"/>
      <c r="BC158" s="1405">
        <f>AZ158</f>
        <v/>
      </c>
      <c r="BD158" s="1405">
        <f>BA158</f>
        <v/>
      </c>
      <c r="BE158" s="1405">
        <f>BB158</f>
        <v/>
      </c>
      <c r="BF158" s="1400">
        <f>stayWB[[#This Row],[out]]-stayWB[[#This Row],[in]]</f>
        <v/>
      </c>
      <c r="BG158" s="1400">
        <f>IF(BB158&lt;&gt;"",BG157+1,BG157)</f>
        <v/>
      </c>
      <c r="BH158" s="1398" t="inlineStr">
        <is>
          <t>.</t>
        </is>
      </c>
      <c r="BI158" s="1402" t="inlineStr">
        <is>
          <t>UK</t>
        </is>
      </c>
      <c r="BJ158" s="1402" t="n">
        <v>2009</v>
      </c>
      <c r="BK158" s="1400">
        <f>BI158</f>
        <v/>
      </c>
      <c r="BL158" s="1409">
        <f>BJ158</f>
        <v/>
      </c>
      <c r="BM158" s="1378" t="inlineStr">
        <is>
          <t>.</t>
        </is>
      </c>
      <c r="BN158" s="1411" t="inlineStr">
        <is>
          <t>E</t>
        </is>
      </c>
      <c r="BO158" s="1400">
        <f>BN158</f>
        <v/>
      </c>
      <c r="BP158" s="1398" t="inlineStr">
        <is>
          <t>.</t>
        </is>
      </c>
      <c r="BQ158" s="1400">
        <f>IF(BR158&lt;&gt;"",BQ157+1,BQ157)</f>
        <v/>
      </c>
      <c r="BR158" s="1411" t="inlineStr">
        <is>
          <t>SSA</t>
        </is>
      </c>
      <c r="BS158" s="1411" t="inlineStr">
        <is>
          <t>Recife</t>
        </is>
      </c>
      <c r="BT158" s="1412" t="inlineStr">
        <is>
          <t>SSA-Recife</t>
        </is>
      </c>
      <c r="BU158" s="1412" t="n">
        <v>39213</v>
      </c>
      <c r="BV158" s="1398" t="inlineStr">
        <is>
          <t>.</t>
        </is>
      </c>
      <c r="BW158" s="1392" t="n"/>
      <c r="BX158" s="1392" t="n"/>
      <c r="BY158" s="1392" t="n"/>
      <c r="BZ158" s="1416" t="n"/>
      <c r="CA158" s="1392" t="n"/>
      <c r="CB158" s="1398" t="inlineStr">
        <is>
          <t>.</t>
        </is>
      </c>
      <c r="CC158" s="1400">
        <f>IF(CD158&lt;&gt;"",CC157+1,CC157)</f>
        <v/>
      </c>
      <c r="CD158" s="1411" t="inlineStr">
        <is>
          <t>Tatá/Venancio</t>
        </is>
      </c>
      <c r="CE158" s="1412" t="n">
        <v>42025</v>
      </c>
      <c r="CF158" s="1412" t="n">
        <v>42035</v>
      </c>
      <c r="CG158" s="1415">
        <f>CF158-CE158</f>
        <v/>
      </c>
      <c r="CH158" s="1398" t="inlineStr">
        <is>
          <t>.</t>
        </is>
      </c>
      <c r="CI158" s="1392" t="n"/>
      <c r="CJ158" s="1392" t="n"/>
      <c r="CK158" s="1392" t="n"/>
      <c r="CL158" s="1392" t="n"/>
    </row>
    <row r="159">
      <c r="A159" s="5" t="inlineStr">
        <is>
          <t>.</t>
        </is>
      </c>
      <c r="B159" s="5" t="inlineStr">
        <is>
          <t>.</t>
        </is>
      </c>
      <c r="C159" s="1378">
        <f>IF(raw[[#This Row],[city]]="","-",IF(raw[[#This Row],[city]]="TODAY","-",C158+1))</f>
        <v/>
      </c>
      <c r="D159" s="1393" t="inlineStr">
        <is>
          <t>Orange</t>
        </is>
      </c>
      <c r="E159" s="1394" t="n">
        <v>32026</v>
      </c>
      <c r="F159" s="1394" t="n">
        <v>32026</v>
      </c>
      <c r="G159" s="1393" t="inlineStr">
        <is>
          <t>-</t>
        </is>
      </c>
      <c r="H159" s="1393">
        <f>H158</f>
        <v/>
      </c>
      <c r="I159" s="1393" t="n"/>
      <c r="J159" s="1393" t="inlineStr">
        <is>
          <t>-</t>
        </is>
      </c>
      <c r="K159" s="1395">
        <f>IF(raw[[#This Row],[city]]&lt;&gt;"",_xlfn.XLOOKUP($D159,ccc[city],ccc[prov],"-"),"-")</f>
        <v/>
      </c>
      <c r="L159" s="1395">
        <f>IF(raw[[#This Row],[city]]&lt;&gt;"",_xlfn.XLOOKUP($D159,ccc[city],ccc[ctry],"-"),"-")</f>
        <v/>
      </c>
      <c r="M159" s="1395">
        <f>IF(raw[[#This Row],[city]]&lt;&gt;"",_xlfn.XLOOKUP($D159,ccc[city],ccc[cont],"-"),"-")</f>
        <v/>
      </c>
      <c r="N159" s="1396">
        <f>IF(raw[[#This Row],[city]]="","-",IF(raw[[#This Row],[cont]]="B",raw[[#This Row],[cont]],"W"))</f>
        <v/>
      </c>
      <c r="O159" s="1397">
        <f>IF(raw[[#This Row],[out]]=0,0,IF(raw[[#This Row],[out]]=raw[[#This Row],[in]],0.01,raw[[#This Row],[out]]-raw[[#This Row],[in]]))</f>
        <v/>
      </c>
      <c r="P159" s="1397">
        <f>IF(raw[[#This Row],[in]]=0,0,MONTH(raw[[#This Row],[in]]))</f>
        <v/>
      </c>
      <c r="Q159" s="1397">
        <f>IF(raw[[#This Row],[in]]=0,0,YEAR(raw[[#This Row],[in]]))</f>
        <v/>
      </c>
      <c r="R159" s="1397">
        <f>INT(raw[[#This Row],[yr]]/10)*10</f>
        <v/>
      </c>
      <c r="S159" s="1395">
        <f>IF(raw[[#This Row],[city]]="","-",IF(raw[[#This Row],[city]]&lt;&gt;_xlfn.XLOOKUP(raw[[#This Row],[home]],homes[home],homes[city],"-"),1,0))</f>
        <v/>
      </c>
      <c r="T159" s="1398" t="inlineStr">
        <is>
          <t>.</t>
        </is>
      </c>
      <c r="U159" s="1399">
        <f>IF(raw[[#This Row],[wb]]="w",raw[[#This Row],[stay]]+U158,U158)</f>
        <v/>
      </c>
      <c r="V159" s="1400">
        <f>IF(raw[[#This Row],[out]]=0,V158,(raw[[#This Row],[out]]-E$5))</f>
        <v/>
      </c>
      <c r="W159" s="1401">
        <f>U159/V159</f>
        <v/>
      </c>
      <c r="X159" s="1378" t="inlineStr">
        <is>
          <t>.</t>
        </is>
      </c>
      <c r="Y159" s="1402">
        <f/>
        <v/>
      </c>
      <c r="Z159" s="1403">
        <f/>
        <v/>
      </c>
      <c r="AA159" s="1403">
        <f/>
        <v/>
      </c>
      <c r="AB159" s="1400">
        <f t="array" ref="AB159">_xlfn.LET(_xlpm.S,_xlfn.ANCHORARRAY($Y$4),_xlpm.r,ROWS(stayCity[[#Headers],[city]]:stayCity[[#This Row],[city]])-1,IF(_xlpm.r&lt;=ROWS(_xlpm.S),INDEX(_xlpm.S,_xlpm.r,1),""))</f>
        <v/>
      </c>
      <c r="AC159" s="1405">
        <f t="array" ref="AC159">_xlfn.LET(_xlpm.S,_xlfn.ANCHORARRAY($Y$4),_xlpm.r,ROWS(stayCity[[#Headers],[city]]:stayCity[[#This Row],[city]])-1,IF(_xlpm.r&lt;=ROWS(_xlpm.S),INDEX(_xlpm.S,_xlpm.r,2),""))</f>
        <v/>
      </c>
      <c r="AD159" s="1405">
        <f t="array" ref="AD159">_xlfn.LET(_xlpm.S,_xlfn.ANCHORARRAY($Y$4),_xlpm.r,ROWS(stayCity[[#Headers],[city]]:stayCity[[#This Row],[city]])-1,IF(_xlpm.r&lt;=ROWS(_xlpm.S),INDEX(_xlpm.S,_xlpm.r,3),""))</f>
        <v/>
      </c>
      <c r="AE159" s="1400">
        <f>IF(stayCity[[#This Row],[out]]&lt;&gt;"",stayCity[[#This Row],[out]]-stayCity[[#This Row],[in]],"-")</f>
        <v/>
      </c>
      <c r="AF159" s="1406">
        <f>IF(Y159="","-",YEAR(stayCity[[#This Row],[in]]))</f>
        <v/>
      </c>
      <c r="AG159" s="1398" t="inlineStr">
        <is>
          <t>.</t>
        </is>
      </c>
      <c r="AH159" s="1402">
        <f/>
        <v/>
      </c>
      <c r="AI159" s="1403">
        <f/>
        <v/>
      </c>
      <c r="AJ159" s="1403">
        <f/>
        <v/>
      </c>
      <c r="AK159" s="1400">
        <f>IF(AH159="","-",AH159)</f>
        <v/>
      </c>
      <c r="AL159" s="1405">
        <f>AI159</f>
        <v/>
      </c>
      <c r="AM159" s="1405">
        <f>AJ159</f>
        <v/>
      </c>
      <c r="AN159" s="1400">
        <f>stayCtry[[#This Row],[out]]-stayCtry[[#This Row],[in]]</f>
        <v/>
      </c>
      <c r="AO159" s="1406">
        <f>IF(AI159&lt;&gt;"",AO158+1,AO158)</f>
        <v/>
      </c>
      <c r="AP159" s="1398" t="inlineStr">
        <is>
          <t>.</t>
        </is>
      </c>
      <c r="AQ159" s="1402">
        <f/>
        <v/>
      </c>
      <c r="AR159" s="1403">
        <f/>
        <v/>
      </c>
      <c r="AS159" s="1403">
        <f/>
        <v/>
      </c>
      <c r="AT159" s="1400">
        <f>AQ159</f>
        <v/>
      </c>
      <c r="AU159" s="1405">
        <f>AR159</f>
        <v/>
      </c>
      <c r="AV159" s="1405">
        <f>AS159</f>
        <v/>
      </c>
      <c r="AW159" s="1400">
        <f>stayCont[[#This Row],[out]]-stayCont[[#This Row],[in]]</f>
        <v/>
      </c>
      <c r="AX159" s="1406">
        <f>IF(AR159&lt;&gt;"",AX158+1,AX158)</f>
        <v/>
      </c>
      <c r="AY159" s="1398" t="inlineStr">
        <is>
          <t>.</t>
        </is>
      </c>
      <c r="AZ159" s="1402" t="n"/>
      <c r="BA159" s="1403" t="n"/>
      <c r="BB159" s="1403" t="n"/>
      <c r="BC159" s="1405">
        <f>AZ159</f>
        <v/>
      </c>
      <c r="BD159" s="1405">
        <f>BA159</f>
        <v/>
      </c>
      <c r="BE159" s="1405">
        <f>BB159</f>
        <v/>
      </c>
      <c r="BF159" s="1400">
        <f>stayWB[[#This Row],[out]]-stayWB[[#This Row],[in]]</f>
        <v/>
      </c>
      <c r="BG159" s="1400">
        <f>IF(BB159&lt;&gt;"",BG158+1,BG158)</f>
        <v/>
      </c>
      <c r="BH159" s="1398" t="inlineStr">
        <is>
          <t>.</t>
        </is>
      </c>
      <c r="BI159" s="1402" t="inlineStr">
        <is>
          <t>FRA</t>
        </is>
      </c>
      <c r="BJ159" s="1402" t="n">
        <v>2009</v>
      </c>
      <c r="BK159" s="1400">
        <f>BI159</f>
        <v/>
      </c>
      <c r="BL159" s="1409">
        <f>BJ159</f>
        <v/>
      </c>
      <c r="BM159" s="1378" t="inlineStr">
        <is>
          <t>.</t>
        </is>
      </c>
      <c r="BN159" s="1411" t="inlineStr">
        <is>
          <t>N</t>
        </is>
      </c>
      <c r="BO159" s="1400">
        <f>BN159</f>
        <v/>
      </c>
      <c r="BP159" s="1398" t="inlineStr">
        <is>
          <t>.</t>
        </is>
      </c>
      <c r="BQ159" s="1400">
        <f>IF(BR159&lt;&gt;"",BQ158+1,BQ158)</f>
        <v/>
      </c>
      <c r="BR159" s="1411" t="inlineStr">
        <is>
          <t>Recife</t>
        </is>
      </c>
      <c r="BS159" s="1411" t="inlineStr">
        <is>
          <t>Joao Pessoa</t>
        </is>
      </c>
      <c r="BT159" s="1412" t="inlineStr">
        <is>
          <t>Recife-Joao Pessoa</t>
        </is>
      </c>
      <c r="BU159" s="1412" t="n">
        <v>39213</v>
      </c>
      <c r="BV159" s="1398" t="inlineStr">
        <is>
          <t>.</t>
        </is>
      </c>
      <c r="BW159" s="1392" t="n"/>
      <c r="BX159" s="1392" t="n"/>
      <c r="BY159" s="1392" t="n"/>
      <c r="BZ159" s="1416" t="n"/>
      <c r="CA159" s="1392" t="n"/>
      <c r="CB159" s="1398" t="inlineStr">
        <is>
          <t>.</t>
        </is>
      </c>
      <c r="CC159" s="1400">
        <f>IF(CD159&lt;&gt;"",CC158+1,CC158)</f>
        <v/>
      </c>
      <c r="CD159" s="1411" t="inlineStr">
        <is>
          <t>Ondina</t>
        </is>
      </c>
      <c r="CE159" s="1412" t="n">
        <v>42035</v>
      </c>
      <c r="CF159" s="1412" t="n">
        <v>42049</v>
      </c>
      <c r="CG159" s="1415">
        <f>CF159-CE159</f>
        <v/>
      </c>
      <c r="CH159" s="1398" t="inlineStr">
        <is>
          <t>.</t>
        </is>
      </c>
      <c r="CI159" s="1392" t="n"/>
      <c r="CJ159" s="1392" t="n"/>
      <c r="CK159" s="1392" t="n"/>
      <c r="CL159" s="1392" t="n"/>
    </row>
    <row r="160">
      <c r="A160" s="5" t="inlineStr">
        <is>
          <t>.</t>
        </is>
      </c>
      <c r="B160" s="5" t="inlineStr">
        <is>
          <t>.</t>
        </is>
      </c>
      <c r="C160" s="1378">
        <f>IF(raw[[#This Row],[city]]="","-",IF(raw[[#This Row],[city]]="TODAY","-",C159+1))</f>
        <v/>
      </c>
      <c r="D160" s="1393" t="inlineStr">
        <is>
          <t>Avignon</t>
        </is>
      </c>
      <c r="E160" s="1394" t="n">
        <v>32026</v>
      </c>
      <c r="F160" s="1394" t="n">
        <v>32027</v>
      </c>
      <c r="G160" s="1393" t="inlineStr">
        <is>
          <t>-</t>
        </is>
      </c>
      <c r="H160" s="1393">
        <f>H159</f>
        <v/>
      </c>
      <c r="I160" s="1393" t="inlineStr">
        <is>
          <t>-</t>
        </is>
      </c>
      <c r="J160" s="1393" t="inlineStr">
        <is>
          <t>-</t>
        </is>
      </c>
      <c r="K160" s="1395">
        <f>IF(raw[[#This Row],[city]]&lt;&gt;"",_xlfn.XLOOKUP($D160,ccc[city],ccc[prov],"-"),"-")</f>
        <v/>
      </c>
      <c r="L160" s="1395">
        <f>IF(raw[[#This Row],[city]]&lt;&gt;"",_xlfn.XLOOKUP($D160,ccc[city],ccc[ctry],"-"),"-")</f>
        <v/>
      </c>
      <c r="M160" s="1395">
        <f>IF(raw[[#This Row],[city]]&lt;&gt;"",_xlfn.XLOOKUP($D160,ccc[city],ccc[cont],"-"),"-")</f>
        <v/>
      </c>
      <c r="N160" s="1396">
        <f>IF(raw[[#This Row],[city]]="","-",IF(raw[[#This Row],[cont]]="B",raw[[#This Row],[cont]],"W"))</f>
        <v/>
      </c>
      <c r="O160" s="1397">
        <f>IF(raw[[#This Row],[out]]=0,0,IF(raw[[#This Row],[out]]=raw[[#This Row],[in]],0.01,raw[[#This Row],[out]]-raw[[#This Row],[in]]))</f>
        <v/>
      </c>
      <c r="P160" s="1397">
        <f>IF(raw[[#This Row],[in]]=0,0,MONTH(raw[[#This Row],[in]]))</f>
        <v/>
      </c>
      <c r="Q160" s="1397">
        <f>IF(raw[[#This Row],[in]]=0,0,YEAR(raw[[#This Row],[in]]))</f>
        <v/>
      </c>
      <c r="R160" s="1397">
        <f>INT(raw[[#This Row],[yr]]/10)*10</f>
        <v/>
      </c>
      <c r="S160" s="1395">
        <f>IF(raw[[#This Row],[city]]="","-",IF(raw[[#This Row],[city]]&lt;&gt;_xlfn.XLOOKUP(raw[[#This Row],[home]],homes[home],homes[city],"-"),1,0))</f>
        <v/>
      </c>
      <c r="T160" s="1398" t="inlineStr">
        <is>
          <t>.</t>
        </is>
      </c>
      <c r="U160" s="1399">
        <f>IF(raw[[#This Row],[wb]]="w",raw[[#This Row],[stay]]+U159,U159)</f>
        <v/>
      </c>
      <c r="V160" s="1400">
        <f>IF(raw[[#This Row],[out]]=0,V159,(raw[[#This Row],[out]]-E$5))</f>
        <v/>
      </c>
      <c r="W160" s="1401">
        <f>U160/V160</f>
        <v/>
      </c>
      <c r="X160" s="1378" t="inlineStr">
        <is>
          <t>.</t>
        </is>
      </c>
      <c r="Y160" s="1402">
        <f/>
        <v/>
      </c>
      <c r="Z160" s="1403">
        <f/>
        <v/>
      </c>
      <c r="AA160" s="1403">
        <f/>
        <v/>
      </c>
      <c r="AB160" s="1400">
        <f t="array" ref="AB160">_xlfn.LET(_xlpm.S,_xlfn.ANCHORARRAY($Y$4),_xlpm.r,ROWS(stayCity[[#Headers],[city]]:stayCity[[#This Row],[city]])-1,IF(_xlpm.r&lt;=ROWS(_xlpm.S),INDEX(_xlpm.S,_xlpm.r,1),""))</f>
        <v/>
      </c>
      <c r="AC160" s="1405">
        <f t="array" ref="AC160">_xlfn.LET(_xlpm.S,_xlfn.ANCHORARRAY($Y$4),_xlpm.r,ROWS(stayCity[[#Headers],[city]]:stayCity[[#This Row],[city]])-1,IF(_xlpm.r&lt;=ROWS(_xlpm.S),INDEX(_xlpm.S,_xlpm.r,2),""))</f>
        <v/>
      </c>
      <c r="AD160" s="1405">
        <f t="array" ref="AD160">_xlfn.LET(_xlpm.S,_xlfn.ANCHORARRAY($Y$4),_xlpm.r,ROWS(stayCity[[#Headers],[city]]:stayCity[[#This Row],[city]])-1,IF(_xlpm.r&lt;=ROWS(_xlpm.S),INDEX(_xlpm.S,_xlpm.r,3),""))</f>
        <v/>
      </c>
      <c r="AE160" s="1400">
        <f>IF(stayCity[[#This Row],[out]]&lt;&gt;"",stayCity[[#This Row],[out]]-stayCity[[#This Row],[in]],"-")</f>
        <v/>
      </c>
      <c r="AF160" s="1406">
        <f>IF(Y160="","-",YEAR(stayCity[[#This Row],[in]]))</f>
        <v/>
      </c>
      <c r="AG160" s="1398" t="inlineStr">
        <is>
          <t>.</t>
        </is>
      </c>
      <c r="AH160" s="1402">
        <f/>
        <v/>
      </c>
      <c r="AI160" s="1403">
        <f/>
        <v/>
      </c>
      <c r="AJ160" s="1403">
        <f/>
        <v/>
      </c>
      <c r="AK160" s="1400">
        <f>IF(AH160="","-",AH160)</f>
        <v/>
      </c>
      <c r="AL160" s="1405">
        <f>AI160</f>
        <v/>
      </c>
      <c r="AM160" s="1405">
        <f>AJ160</f>
        <v/>
      </c>
      <c r="AN160" s="1400">
        <f>stayCtry[[#This Row],[out]]-stayCtry[[#This Row],[in]]</f>
        <v/>
      </c>
      <c r="AO160" s="1406">
        <f>IF(AI160&lt;&gt;"",AO159+1,AO159)</f>
        <v/>
      </c>
      <c r="AP160" s="1398" t="inlineStr">
        <is>
          <t>.</t>
        </is>
      </c>
      <c r="AQ160" s="1402">
        <f/>
        <v/>
      </c>
      <c r="AR160" s="1403">
        <f/>
        <v/>
      </c>
      <c r="AS160" s="1403">
        <f/>
        <v/>
      </c>
      <c r="AT160" s="1400">
        <f>AQ160</f>
        <v/>
      </c>
      <c r="AU160" s="1405">
        <f>AR160</f>
        <v/>
      </c>
      <c r="AV160" s="1405">
        <f>AS160</f>
        <v/>
      </c>
      <c r="AW160" s="1400">
        <f>stayCont[[#This Row],[out]]-stayCont[[#This Row],[in]]</f>
        <v/>
      </c>
      <c r="AX160" s="1406">
        <f>IF(AR160&lt;&gt;"",AX159+1,AX159)</f>
        <v/>
      </c>
      <c r="AY160" s="1398" t="inlineStr">
        <is>
          <t>.</t>
        </is>
      </c>
      <c r="AZ160" s="1402" t="n"/>
      <c r="BA160" s="1403" t="n"/>
      <c r="BB160" s="1403" t="n"/>
      <c r="BC160" s="1405">
        <f>AZ160</f>
        <v/>
      </c>
      <c r="BD160" s="1405">
        <f>BA160</f>
        <v/>
      </c>
      <c r="BE160" s="1405">
        <f>BB160</f>
        <v/>
      </c>
      <c r="BF160" s="1400">
        <f>stayWB[[#This Row],[out]]-stayWB[[#This Row],[in]]</f>
        <v/>
      </c>
      <c r="BG160" s="1400">
        <f>IF(BB160&lt;&gt;"",BG159+1,BG159)</f>
        <v/>
      </c>
      <c r="BH160" s="1398" t="inlineStr">
        <is>
          <t>.</t>
        </is>
      </c>
      <c r="BI160" s="1402" t="inlineStr">
        <is>
          <t>MAR</t>
        </is>
      </c>
      <c r="BJ160" s="1402" t="n">
        <v>2010</v>
      </c>
      <c r="BK160" s="1400">
        <f>BI160</f>
        <v/>
      </c>
      <c r="BL160" s="1409">
        <f>BJ160</f>
        <v/>
      </c>
      <c r="BM160" s="1378" t="inlineStr">
        <is>
          <t>.</t>
        </is>
      </c>
      <c r="BN160" s="1411" t="inlineStr">
        <is>
          <t>Z</t>
        </is>
      </c>
      <c r="BO160" s="1400">
        <f>BN160</f>
        <v/>
      </c>
      <c r="BP160" s="1398" t="inlineStr">
        <is>
          <t>.</t>
        </is>
      </c>
      <c r="BQ160" s="1400">
        <f>IF(BR160&lt;&gt;"",BQ159+1,BQ159)</f>
        <v/>
      </c>
      <c r="BR160" s="1411" t="inlineStr">
        <is>
          <t>Joao Pessoa</t>
        </is>
      </c>
      <c r="BS160" s="1411" t="inlineStr">
        <is>
          <t>Recife</t>
        </is>
      </c>
      <c r="BT160" s="1412" t="inlineStr">
        <is>
          <t>Joao Pessoa-Recife</t>
        </is>
      </c>
      <c r="BU160" s="1412" t="n">
        <v>39215</v>
      </c>
      <c r="BV160" s="1398" t="inlineStr">
        <is>
          <t>.</t>
        </is>
      </c>
      <c r="BW160" s="1392" t="n"/>
      <c r="BX160" s="1392" t="n"/>
      <c r="BY160" s="1392" t="n"/>
      <c r="BZ160" s="1416" t="n"/>
      <c r="CA160" s="1392" t="n"/>
      <c r="CB160" s="1398" t="inlineStr">
        <is>
          <t>.</t>
        </is>
      </c>
      <c r="CC160" s="1400">
        <f>IF(CD160&lt;&gt;"",CC159+1,CC159)</f>
        <v/>
      </c>
      <c r="CD160" s="1411" t="inlineStr">
        <is>
          <t>Ondina</t>
        </is>
      </c>
      <c r="CE160" s="1412" t="n">
        <v>42055</v>
      </c>
      <c r="CF160" s="1412" t="n">
        <v>42088</v>
      </c>
      <c r="CG160" s="1415">
        <f>CF160-CE160</f>
        <v/>
      </c>
      <c r="CH160" s="1398" t="inlineStr">
        <is>
          <t>.</t>
        </is>
      </c>
      <c r="CI160" s="1392" t="n"/>
      <c r="CJ160" s="1392" t="n"/>
      <c r="CK160" s="1392" t="n"/>
      <c r="CL160" s="1392" t="n"/>
    </row>
    <row r="161">
      <c r="A161" s="5" t="inlineStr">
        <is>
          <t>.</t>
        </is>
      </c>
      <c r="B161" s="5" t="inlineStr">
        <is>
          <t>.</t>
        </is>
      </c>
      <c r="C161" s="1378">
        <f>IF(raw[[#This Row],[city]]="","-",IF(raw[[#This Row],[city]]="TODAY","-",C160+1))</f>
        <v/>
      </c>
      <c r="D161" s="1393" t="inlineStr">
        <is>
          <t>Aigues-Mortes</t>
        </is>
      </c>
      <c r="E161" s="1394" t="n">
        <v>32027</v>
      </c>
      <c r="F161" s="1394" t="n">
        <v>32027</v>
      </c>
      <c r="G161" s="1393" t="inlineStr">
        <is>
          <t>-</t>
        </is>
      </c>
      <c r="H161" s="1393">
        <f>H160</f>
        <v/>
      </c>
      <c r="I161" s="1393" t="n"/>
      <c r="J161" s="1393" t="inlineStr">
        <is>
          <t>-</t>
        </is>
      </c>
      <c r="K161" s="1395">
        <f>IF(raw[[#This Row],[city]]&lt;&gt;"",_xlfn.XLOOKUP($D161,ccc[city],ccc[prov],"-"),"-")</f>
        <v/>
      </c>
      <c r="L161" s="1395">
        <f>IF(raw[[#This Row],[city]]&lt;&gt;"",_xlfn.XLOOKUP($D161,ccc[city],ccc[ctry],"-"),"-")</f>
        <v/>
      </c>
      <c r="M161" s="1395">
        <f>IF(raw[[#This Row],[city]]&lt;&gt;"",_xlfn.XLOOKUP($D161,ccc[city],ccc[cont],"-"),"-")</f>
        <v/>
      </c>
      <c r="N161" s="1396">
        <f>IF(raw[[#This Row],[city]]="","-",IF(raw[[#This Row],[cont]]="B",raw[[#This Row],[cont]],"W"))</f>
        <v/>
      </c>
      <c r="O161" s="1397">
        <f>IF(raw[[#This Row],[out]]=0,0,IF(raw[[#This Row],[out]]=raw[[#This Row],[in]],0.01,raw[[#This Row],[out]]-raw[[#This Row],[in]]))</f>
        <v/>
      </c>
      <c r="P161" s="1397">
        <f>IF(raw[[#This Row],[in]]=0,0,MONTH(raw[[#This Row],[in]]))</f>
        <v/>
      </c>
      <c r="Q161" s="1397">
        <f>IF(raw[[#This Row],[in]]=0,0,YEAR(raw[[#This Row],[in]]))</f>
        <v/>
      </c>
      <c r="R161" s="1397">
        <f>INT(raw[[#This Row],[yr]]/10)*10</f>
        <v/>
      </c>
      <c r="S161" s="1395">
        <f>IF(raw[[#This Row],[city]]="","-",IF(raw[[#This Row],[city]]&lt;&gt;_xlfn.XLOOKUP(raw[[#This Row],[home]],homes[home],homes[city],"-"),1,0))</f>
        <v/>
      </c>
      <c r="T161" s="1398" t="inlineStr">
        <is>
          <t>.</t>
        </is>
      </c>
      <c r="U161" s="1399">
        <f>IF(raw[[#This Row],[wb]]="w",raw[[#This Row],[stay]]+U160,U160)</f>
        <v/>
      </c>
      <c r="V161" s="1400">
        <f>IF(raw[[#This Row],[out]]=0,V160,(raw[[#This Row],[out]]-E$5))</f>
        <v/>
      </c>
      <c r="W161" s="1401">
        <f>U161/V161</f>
        <v/>
      </c>
      <c r="X161" s="1378" t="inlineStr">
        <is>
          <t>.</t>
        </is>
      </c>
      <c r="Y161" s="1402">
        <f/>
        <v/>
      </c>
      <c r="Z161" s="1403">
        <f/>
        <v/>
      </c>
      <c r="AA161" s="1403">
        <f/>
        <v/>
      </c>
      <c r="AB161" s="1400">
        <f t="array" ref="AB161">_xlfn.LET(_xlpm.S,_xlfn.ANCHORARRAY($Y$4),_xlpm.r,ROWS(stayCity[[#Headers],[city]]:stayCity[[#This Row],[city]])-1,IF(_xlpm.r&lt;=ROWS(_xlpm.S),INDEX(_xlpm.S,_xlpm.r,1),""))</f>
        <v/>
      </c>
      <c r="AC161" s="1405">
        <f t="array" ref="AC161">_xlfn.LET(_xlpm.S,_xlfn.ANCHORARRAY($Y$4),_xlpm.r,ROWS(stayCity[[#Headers],[city]]:stayCity[[#This Row],[city]])-1,IF(_xlpm.r&lt;=ROWS(_xlpm.S),INDEX(_xlpm.S,_xlpm.r,2),""))</f>
        <v/>
      </c>
      <c r="AD161" s="1405">
        <f t="array" ref="AD161">_xlfn.LET(_xlpm.S,_xlfn.ANCHORARRAY($Y$4),_xlpm.r,ROWS(stayCity[[#Headers],[city]]:stayCity[[#This Row],[city]])-1,IF(_xlpm.r&lt;=ROWS(_xlpm.S),INDEX(_xlpm.S,_xlpm.r,3),""))</f>
        <v/>
      </c>
      <c r="AE161" s="1400">
        <f>IF(stayCity[[#This Row],[out]]&lt;&gt;"",stayCity[[#This Row],[out]]-stayCity[[#This Row],[in]],"-")</f>
        <v/>
      </c>
      <c r="AF161" s="1406">
        <f>IF(Y161="","-",YEAR(stayCity[[#This Row],[in]]))</f>
        <v/>
      </c>
      <c r="AG161" s="1398" t="inlineStr">
        <is>
          <t>.</t>
        </is>
      </c>
      <c r="AH161" s="1402">
        <f/>
        <v/>
      </c>
      <c r="AI161" s="1403">
        <f/>
        <v/>
      </c>
      <c r="AJ161" s="1403">
        <f/>
        <v/>
      </c>
      <c r="AK161" s="1400">
        <f>IF(AH161="","-",AH161)</f>
        <v/>
      </c>
      <c r="AL161" s="1405">
        <f>AI161</f>
        <v/>
      </c>
      <c r="AM161" s="1405">
        <f>AJ161</f>
        <v/>
      </c>
      <c r="AN161" s="1400">
        <f>stayCtry[[#This Row],[out]]-stayCtry[[#This Row],[in]]</f>
        <v/>
      </c>
      <c r="AO161" s="1406">
        <f>IF(AI161&lt;&gt;"",AO160+1,AO160)</f>
        <v/>
      </c>
      <c r="AP161" s="1398" t="inlineStr">
        <is>
          <t>.</t>
        </is>
      </c>
      <c r="AQ161" s="1402">
        <f/>
        <v/>
      </c>
      <c r="AR161" s="1403">
        <f/>
        <v/>
      </c>
      <c r="AS161" s="1403">
        <f/>
        <v/>
      </c>
      <c r="AT161" s="1400">
        <f>AQ161</f>
        <v/>
      </c>
      <c r="AU161" s="1405">
        <f>AR161</f>
        <v/>
      </c>
      <c r="AV161" s="1405">
        <f>AS161</f>
        <v/>
      </c>
      <c r="AW161" s="1400">
        <f>stayCont[[#This Row],[out]]-stayCont[[#This Row],[in]]</f>
        <v/>
      </c>
      <c r="AX161" s="1406">
        <f>IF(AR161&lt;&gt;"",AX160+1,AX160)</f>
        <v/>
      </c>
      <c r="AY161" s="1398" t="inlineStr">
        <is>
          <t>.</t>
        </is>
      </c>
      <c r="AZ161" s="1402" t="n"/>
      <c r="BA161" s="1403" t="n"/>
      <c r="BB161" s="1403" t="n"/>
      <c r="BC161" s="1405">
        <f>AZ161</f>
        <v/>
      </c>
      <c r="BD161" s="1405">
        <f>BA161</f>
        <v/>
      </c>
      <c r="BE161" s="1405">
        <f>BB161</f>
        <v/>
      </c>
      <c r="BF161" s="1400">
        <f>stayWB[[#This Row],[out]]-stayWB[[#This Row],[in]]</f>
        <v/>
      </c>
      <c r="BG161" s="1400">
        <f>IF(BB161&lt;&gt;"",BG160+1,BG160)</f>
        <v/>
      </c>
      <c r="BH161" s="1398" t="inlineStr">
        <is>
          <t>.</t>
        </is>
      </c>
      <c r="BI161" s="1402" t="inlineStr">
        <is>
          <t>UK</t>
        </is>
      </c>
      <c r="BJ161" s="1402" t="n">
        <v>2010</v>
      </c>
      <c r="BK161" s="1400">
        <f>BI161</f>
        <v/>
      </c>
      <c r="BL161" s="1409">
        <f>BJ161</f>
        <v/>
      </c>
      <c r="BM161" s="1378" t="inlineStr">
        <is>
          <t>.</t>
        </is>
      </c>
      <c r="BN161" s="1411" t="inlineStr">
        <is>
          <t>B</t>
        </is>
      </c>
      <c r="BO161" s="1400">
        <f>BN161</f>
        <v/>
      </c>
      <c r="BP161" s="1398" t="inlineStr">
        <is>
          <t>.</t>
        </is>
      </c>
      <c r="BQ161" s="1400">
        <f>IF(BR161&lt;&gt;"",BQ160+1,BQ160)</f>
        <v/>
      </c>
      <c r="BR161" s="1411" t="inlineStr">
        <is>
          <t>Recife</t>
        </is>
      </c>
      <c r="BS161" s="1411" t="inlineStr">
        <is>
          <t>SSA</t>
        </is>
      </c>
      <c r="BT161" s="1412" t="inlineStr">
        <is>
          <t>Recife-SSA</t>
        </is>
      </c>
      <c r="BU161" s="1412" t="n">
        <v>39215</v>
      </c>
      <c r="BV161" s="1398" t="inlineStr">
        <is>
          <t>.</t>
        </is>
      </c>
      <c r="BW161" s="1392" t="n"/>
      <c r="BX161" s="1392" t="n"/>
      <c r="BY161" s="1392" t="n"/>
      <c r="BZ161" s="1416" t="n"/>
      <c r="CA161" s="1392" t="n"/>
      <c r="CB161" s="1398" t="inlineStr">
        <is>
          <t>.</t>
        </is>
      </c>
      <c r="CC161" s="1400">
        <f>IF(CD161&lt;&gt;"",CC160+1,CC160)</f>
        <v/>
      </c>
      <c r="CD161" s="1411" t="inlineStr">
        <is>
          <t>Sam</t>
        </is>
      </c>
      <c r="CE161" s="1412" t="n">
        <v>42088</v>
      </c>
      <c r="CF161" s="1412" t="n">
        <v>42091</v>
      </c>
      <c r="CG161" s="1415">
        <f>CF161-CE161</f>
        <v/>
      </c>
      <c r="CH161" s="1398" t="inlineStr">
        <is>
          <t>.</t>
        </is>
      </c>
      <c r="CI161" s="1392" t="n"/>
      <c r="CJ161" s="1392" t="n"/>
      <c r="CK161" s="1392" t="n"/>
      <c r="CL161" s="1392" t="n"/>
    </row>
    <row r="162">
      <c r="A162" s="5" t="inlineStr">
        <is>
          <t>.</t>
        </is>
      </c>
      <c r="B162" s="5" t="inlineStr">
        <is>
          <t>.</t>
        </is>
      </c>
      <c r="C162" s="1378">
        <f>IF(raw[[#This Row],[city]]="","-",IF(raw[[#This Row],[city]]="TODAY","-",C161+1))</f>
        <v/>
      </c>
      <c r="D162" s="1393" t="inlineStr">
        <is>
          <t>Les Baux-de-Provence</t>
        </is>
      </c>
      <c r="E162" s="1394" t="n">
        <v>32027</v>
      </c>
      <c r="F162" s="1394" t="n">
        <v>32027</v>
      </c>
      <c r="G162" s="1393" t="inlineStr">
        <is>
          <t>-</t>
        </is>
      </c>
      <c r="H162" s="1393">
        <f>H161</f>
        <v/>
      </c>
      <c r="I162" s="1393" t="n"/>
      <c r="J162" s="1393" t="inlineStr">
        <is>
          <t>-</t>
        </is>
      </c>
      <c r="K162" s="1395">
        <f>IF(raw[[#This Row],[city]]&lt;&gt;"",_xlfn.XLOOKUP($D162,ccc[city],ccc[prov],"-"),"-")</f>
        <v/>
      </c>
      <c r="L162" s="1395">
        <f>IF(raw[[#This Row],[city]]&lt;&gt;"",_xlfn.XLOOKUP($D162,ccc[city],ccc[ctry],"-"),"-")</f>
        <v/>
      </c>
      <c r="M162" s="1395">
        <f>IF(raw[[#This Row],[city]]&lt;&gt;"",_xlfn.XLOOKUP($D162,ccc[city],ccc[cont],"-"),"-")</f>
        <v/>
      </c>
      <c r="N162" s="1396">
        <f>IF(raw[[#This Row],[city]]="","-",IF(raw[[#This Row],[cont]]="B",raw[[#This Row],[cont]],"W"))</f>
        <v/>
      </c>
      <c r="O162" s="1397">
        <f>IF(raw[[#This Row],[out]]=0,0,IF(raw[[#This Row],[out]]=raw[[#This Row],[in]],0.01,raw[[#This Row],[out]]-raw[[#This Row],[in]]))</f>
        <v/>
      </c>
      <c r="P162" s="1397">
        <f>IF(raw[[#This Row],[in]]=0,0,MONTH(raw[[#This Row],[in]]))</f>
        <v/>
      </c>
      <c r="Q162" s="1397">
        <f>IF(raw[[#This Row],[in]]=0,0,YEAR(raw[[#This Row],[in]]))</f>
        <v/>
      </c>
      <c r="R162" s="1397">
        <f>INT(raw[[#This Row],[yr]]/10)*10</f>
        <v/>
      </c>
      <c r="S162" s="1395">
        <f>IF(raw[[#This Row],[city]]="","-",IF(raw[[#This Row],[city]]&lt;&gt;_xlfn.XLOOKUP(raw[[#This Row],[home]],homes[home],homes[city],"-"),1,0))</f>
        <v/>
      </c>
      <c r="T162" s="1398" t="inlineStr">
        <is>
          <t>.</t>
        </is>
      </c>
      <c r="U162" s="1399">
        <f>IF(raw[[#This Row],[wb]]="w",raw[[#This Row],[stay]]+U161,U161)</f>
        <v/>
      </c>
      <c r="V162" s="1400">
        <f>IF(raw[[#This Row],[out]]=0,V161,(raw[[#This Row],[out]]-E$5))</f>
        <v/>
      </c>
      <c r="W162" s="1401">
        <f>U162/V162</f>
        <v/>
      </c>
      <c r="X162" s="1378" t="inlineStr">
        <is>
          <t>.</t>
        </is>
      </c>
      <c r="Y162" s="1402">
        <f/>
        <v/>
      </c>
      <c r="Z162" s="1403">
        <f/>
        <v/>
      </c>
      <c r="AA162" s="1403">
        <f/>
        <v/>
      </c>
      <c r="AB162" s="1400">
        <f t="array" ref="AB162">_xlfn.LET(_xlpm.S,_xlfn.ANCHORARRAY($Y$4),_xlpm.r,ROWS(stayCity[[#Headers],[city]]:stayCity[[#This Row],[city]])-1,IF(_xlpm.r&lt;=ROWS(_xlpm.S),INDEX(_xlpm.S,_xlpm.r,1),""))</f>
        <v/>
      </c>
      <c r="AC162" s="1405">
        <f t="array" ref="AC162">_xlfn.LET(_xlpm.S,_xlfn.ANCHORARRAY($Y$4),_xlpm.r,ROWS(stayCity[[#Headers],[city]]:stayCity[[#This Row],[city]])-1,IF(_xlpm.r&lt;=ROWS(_xlpm.S),INDEX(_xlpm.S,_xlpm.r,2),""))</f>
        <v/>
      </c>
      <c r="AD162" s="1405">
        <f t="array" ref="AD162">_xlfn.LET(_xlpm.S,_xlfn.ANCHORARRAY($Y$4),_xlpm.r,ROWS(stayCity[[#Headers],[city]]:stayCity[[#This Row],[city]])-1,IF(_xlpm.r&lt;=ROWS(_xlpm.S),INDEX(_xlpm.S,_xlpm.r,3),""))</f>
        <v/>
      </c>
      <c r="AE162" s="1400">
        <f>IF(stayCity[[#This Row],[out]]&lt;&gt;"",stayCity[[#This Row],[out]]-stayCity[[#This Row],[in]],"-")</f>
        <v/>
      </c>
      <c r="AF162" s="1406">
        <f>IF(Y162="","-",YEAR(stayCity[[#This Row],[in]]))</f>
        <v/>
      </c>
      <c r="AG162" s="1398" t="inlineStr">
        <is>
          <t>.</t>
        </is>
      </c>
      <c r="AH162" s="1402">
        <f/>
        <v/>
      </c>
      <c r="AI162" s="1403">
        <f/>
        <v/>
      </c>
      <c r="AJ162" s="1403">
        <f/>
        <v/>
      </c>
      <c r="AK162" s="1400">
        <f>IF(AH162="","-",AH162)</f>
        <v/>
      </c>
      <c r="AL162" s="1405">
        <f>AI162</f>
        <v/>
      </c>
      <c r="AM162" s="1405">
        <f>AJ162</f>
        <v/>
      </c>
      <c r="AN162" s="1400">
        <f>stayCtry[[#This Row],[out]]-stayCtry[[#This Row],[in]]</f>
        <v/>
      </c>
      <c r="AO162" s="1406">
        <f>IF(AI162&lt;&gt;"",AO161+1,AO161)</f>
        <v/>
      </c>
      <c r="AP162" s="1398" t="inlineStr">
        <is>
          <t>.</t>
        </is>
      </c>
      <c r="AQ162" s="1402" t="n"/>
      <c r="AR162" s="1403" t="n"/>
      <c r="AS162" s="1403" t="n"/>
      <c r="AT162" s="1400">
        <f>AQ162</f>
        <v/>
      </c>
      <c r="AU162" s="1405">
        <f>AR162</f>
        <v/>
      </c>
      <c r="AV162" s="1405">
        <f>AS162</f>
        <v/>
      </c>
      <c r="AW162" s="1400">
        <f>stayCont[[#This Row],[out]]-stayCont[[#This Row],[in]]</f>
        <v/>
      </c>
      <c r="AX162" s="1406">
        <f>IF(AR162&lt;&gt;"",AX161+1,AX161)</f>
        <v/>
      </c>
      <c r="AY162" s="1398" t="inlineStr">
        <is>
          <t>.</t>
        </is>
      </c>
      <c r="AZ162" s="1402" t="n"/>
      <c r="BA162" s="1403" t="n"/>
      <c r="BB162" s="1403" t="n"/>
      <c r="BC162" s="1405">
        <f>AZ162</f>
        <v/>
      </c>
      <c r="BD162" s="1405">
        <f>BA162</f>
        <v/>
      </c>
      <c r="BE162" s="1405">
        <f>BB162</f>
        <v/>
      </c>
      <c r="BF162" s="1400">
        <f>stayWB[[#This Row],[out]]-stayWB[[#This Row],[in]]</f>
        <v/>
      </c>
      <c r="BG162" s="1400">
        <f>IF(BB162&lt;&gt;"",BG161+1,BG161)</f>
        <v/>
      </c>
      <c r="BH162" s="1398" t="inlineStr">
        <is>
          <t>.</t>
        </is>
      </c>
      <c r="BI162" s="1402" t="inlineStr">
        <is>
          <t>FRA</t>
        </is>
      </c>
      <c r="BJ162" s="1402" t="n">
        <v>2010</v>
      </c>
      <c r="BK162" s="1400">
        <f>BI162</f>
        <v/>
      </c>
      <c r="BL162" s="1409">
        <f>BJ162</f>
        <v/>
      </c>
      <c r="BM162" s="1378" t="inlineStr">
        <is>
          <t>.</t>
        </is>
      </c>
      <c r="BN162" s="1411" t="inlineStr">
        <is>
          <t>Z</t>
        </is>
      </c>
      <c r="BO162" s="1400">
        <f>BN162</f>
        <v/>
      </c>
      <c r="BP162" s="1398" t="inlineStr">
        <is>
          <t>.</t>
        </is>
      </c>
      <c r="BQ162" s="1400">
        <f>IF(BR162&lt;&gt;"",BQ161+1,BQ161)</f>
        <v/>
      </c>
      <c r="BR162" s="1411" t="inlineStr">
        <is>
          <t>SSA</t>
        </is>
      </c>
      <c r="BS162" s="1411" t="inlineStr">
        <is>
          <t>SP</t>
        </is>
      </c>
      <c r="BT162" s="1412" t="inlineStr">
        <is>
          <t>SSA-SP</t>
        </is>
      </c>
      <c r="BU162" s="1412" t="n">
        <v>39219</v>
      </c>
      <c r="BV162" s="1398" t="inlineStr">
        <is>
          <t>.</t>
        </is>
      </c>
      <c r="BW162" s="1392" t="n"/>
      <c r="BX162" s="1392" t="n"/>
      <c r="BY162" s="1392" t="n"/>
      <c r="BZ162" s="1416" t="n"/>
      <c r="CA162" s="1392" t="n"/>
      <c r="CB162" s="1398" t="inlineStr">
        <is>
          <t>.</t>
        </is>
      </c>
      <c r="CC162" s="1400">
        <f>IF(CD162&lt;&gt;"",CC161+1,CC161)</f>
        <v/>
      </c>
      <c r="CD162" s="1411" t="inlineStr">
        <is>
          <t>Tatá/Venancio</t>
        </is>
      </c>
      <c r="CE162" s="1412" t="n">
        <v>42091</v>
      </c>
      <c r="CF162" s="1412" t="n">
        <v>42100</v>
      </c>
      <c r="CG162" s="1415">
        <f>CF162-CE162</f>
        <v/>
      </c>
      <c r="CH162" s="1398" t="inlineStr">
        <is>
          <t>.</t>
        </is>
      </c>
      <c r="CI162" s="1392" t="n"/>
      <c r="CJ162" s="1392" t="n"/>
      <c r="CK162" s="1392" t="n"/>
      <c r="CL162" s="1392" t="n"/>
    </row>
    <row r="163">
      <c r="A163" s="5" t="inlineStr">
        <is>
          <t>.</t>
        </is>
      </c>
      <c r="B163" s="5" t="inlineStr">
        <is>
          <t>.</t>
        </is>
      </c>
      <c r="C163" s="1378">
        <f>IF(raw[[#This Row],[city]]="","-",IF(raw[[#This Row],[city]]="TODAY","-",C162+1))</f>
        <v/>
      </c>
      <c r="D163" s="1393" t="inlineStr">
        <is>
          <t>Nimes</t>
        </is>
      </c>
      <c r="E163" s="1394" t="n">
        <v>32027</v>
      </c>
      <c r="F163" s="1394" t="n">
        <v>32027</v>
      </c>
      <c r="G163" s="1393" t="inlineStr">
        <is>
          <t>-</t>
        </is>
      </c>
      <c r="H163" s="1393">
        <f>H162</f>
        <v/>
      </c>
      <c r="I163" s="1393" t="n"/>
      <c r="J163" s="1393" t="inlineStr">
        <is>
          <t>-</t>
        </is>
      </c>
      <c r="K163" s="1395">
        <f>IF(raw[[#This Row],[city]]&lt;&gt;"",_xlfn.XLOOKUP($D163,ccc[city],ccc[prov],"-"),"-")</f>
        <v/>
      </c>
      <c r="L163" s="1395">
        <f>IF(raw[[#This Row],[city]]&lt;&gt;"",_xlfn.XLOOKUP($D163,ccc[city],ccc[ctry],"-"),"-")</f>
        <v/>
      </c>
      <c r="M163" s="1395">
        <f>IF(raw[[#This Row],[city]]&lt;&gt;"",_xlfn.XLOOKUP($D163,ccc[city],ccc[cont],"-"),"-")</f>
        <v/>
      </c>
      <c r="N163" s="1396">
        <f>IF(raw[[#This Row],[city]]="","-",IF(raw[[#This Row],[cont]]="B",raw[[#This Row],[cont]],"W"))</f>
        <v/>
      </c>
      <c r="O163" s="1397">
        <f>IF(raw[[#This Row],[out]]=0,0,IF(raw[[#This Row],[out]]=raw[[#This Row],[in]],0.01,raw[[#This Row],[out]]-raw[[#This Row],[in]]))</f>
        <v/>
      </c>
      <c r="P163" s="1397">
        <f>IF(raw[[#This Row],[in]]=0,0,MONTH(raw[[#This Row],[in]]))</f>
        <v/>
      </c>
      <c r="Q163" s="1397">
        <f>IF(raw[[#This Row],[in]]=0,0,YEAR(raw[[#This Row],[in]]))</f>
        <v/>
      </c>
      <c r="R163" s="1397">
        <f>INT(raw[[#This Row],[yr]]/10)*10</f>
        <v/>
      </c>
      <c r="S163" s="1395">
        <f>IF(raw[[#This Row],[city]]="","-",IF(raw[[#This Row],[city]]&lt;&gt;_xlfn.XLOOKUP(raw[[#This Row],[home]],homes[home],homes[city],"-"),1,0))</f>
        <v/>
      </c>
      <c r="T163" s="1398" t="inlineStr">
        <is>
          <t>.</t>
        </is>
      </c>
      <c r="U163" s="1399">
        <f>IF(raw[[#This Row],[wb]]="w",raw[[#This Row],[stay]]+U162,U162)</f>
        <v/>
      </c>
      <c r="V163" s="1400">
        <f>IF(raw[[#This Row],[out]]=0,V162,(raw[[#This Row],[out]]-E$5))</f>
        <v/>
      </c>
      <c r="W163" s="1401">
        <f>U163/V163</f>
        <v/>
      </c>
      <c r="X163" s="1378" t="inlineStr">
        <is>
          <t>.</t>
        </is>
      </c>
      <c r="Y163" s="1402">
        <f/>
        <v/>
      </c>
      <c r="Z163" s="1403">
        <f/>
        <v/>
      </c>
      <c r="AA163" s="1403">
        <f/>
        <v/>
      </c>
      <c r="AB163" s="1400">
        <f t="array" ref="AB163">_xlfn.LET(_xlpm.S,_xlfn.ANCHORARRAY($Y$4),_xlpm.r,ROWS(stayCity[[#Headers],[city]]:stayCity[[#This Row],[city]])-1,IF(_xlpm.r&lt;=ROWS(_xlpm.S),INDEX(_xlpm.S,_xlpm.r,1),""))</f>
        <v/>
      </c>
      <c r="AC163" s="1405">
        <f t="array" ref="AC163">_xlfn.LET(_xlpm.S,_xlfn.ANCHORARRAY($Y$4),_xlpm.r,ROWS(stayCity[[#Headers],[city]]:stayCity[[#This Row],[city]])-1,IF(_xlpm.r&lt;=ROWS(_xlpm.S),INDEX(_xlpm.S,_xlpm.r,2),""))</f>
        <v/>
      </c>
      <c r="AD163" s="1405">
        <f t="array" ref="AD163">_xlfn.LET(_xlpm.S,_xlfn.ANCHORARRAY($Y$4),_xlpm.r,ROWS(stayCity[[#Headers],[city]]:stayCity[[#This Row],[city]])-1,IF(_xlpm.r&lt;=ROWS(_xlpm.S),INDEX(_xlpm.S,_xlpm.r,3),""))</f>
        <v/>
      </c>
      <c r="AE163" s="1400">
        <f>IF(stayCity[[#This Row],[out]]&lt;&gt;"",stayCity[[#This Row],[out]]-stayCity[[#This Row],[in]],"-")</f>
        <v/>
      </c>
      <c r="AF163" s="1406">
        <f>IF(Y163="","-",YEAR(stayCity[[#This Row],[in]]))</f>
        <v/>
      </c>
      <c r="AG163" s="1398" t="inlineStr">
        <is>
          <t>.</t>
        </is>
      </c>
      <c r="AH163" s="1402">
        <f/>
        <v/>
      </c>
      <c r="AI163" s="1403">
        <f/>
        <v/>
      </c>
      <c r="AJ163" s="1403">
        <f/>
        <v/>
      </c>
      <c r="AK163" s="1400">
        <f>IF(AH163="","-",AH163)</f>
        <v/>
      </c>
      <c r="AL163" s="1405">
        <f>AI163</f>
        <v/>
      </c>
      <c r="AM163" s="1405">
        <f>AJ163</f>
        <v/>
      </c>
      <c r="AN163" s="1400">
        <f>stayCtry[[#This Row],[out]]-stayCtry[[#This Row],[in]]</f>
        <v/>
      </c>
      <c r="AO163" s="1406">
        <f>IF(AI163&lt;&gt;"",AO162+1,AO162)</f>
        <v/>
      </c>
      <c r="AP163" s="1398" t="inlineStr">
        <is>
          <t>.</t>
        </is>
      </c>
      <c r="AQ163" s="1402" t="n"/>
      <c r="AR163" s="1403" t="n"/>
      <c r="AS163" s="1403" t="n"/>
      <c r="AT163" s="1400">
        <f>AQ163</f>
        <v/>
      </c>
      <c r="AU163" s="1405">
        <f>AR163</f>
        <v/>
      </c>
      <c r="AV163" s="1405">
        <f>AS163</f>
        <v/>
      </c>
      <c r="AW163" s="1400">
        <f>stayCont[[#This Row],[out]]-stayCont[[#This Row],[in]]</f>
        <v/>
      </c>
      <c r="AX163" s="1406">
        <f>IF(AR163&lt;&gt;"",AX162+1,AX162)</f>
        <v/>
      </c>
      <c r="AY163" s="1398" t="inlineStr">
        <is>
          <t>.</t>
        </is>
      </c>
      <c r="AZ163" s="1402" t="n"/>
      <c r="BA163" s="1403" t="n"/>
      <c r="BB163" s="1403" t="n"/>
      <c r="BC163" s="1405">
        <f>AZ163</f>
        <v/>
      </c>
      <c r="BD163" s="1405">
        <f>BA163</f>
        <v/>
      </c>
      <c r="BE163" s="1405">
        <f>BB163</f>
        <v/>
      </c>
      <c r="BF163" s="1400">
        <f>stayWB[[#This Row],[out]]-stayWB[[#This Row],[in]]</f>
        <v/>
      </c>
      <c r="BG163" s="1400">
        <f>IF(BB163&lt;&gt;"",BG162+1,BG162)</f>
        <v/>
      </c>
      <c r="BH163" s="1398" t="inlineStr">
        <is>
          <t>.</t>
        </is>
      </c>
      <c r="BI163" s="1402" t="inlineStr">
        <is>
          <t>CHE</t>
        </is>
      </c>
      <c r="BJ163" s="1402" t="n">
        <v>2010</v>
      </c>
      <c r="BK163" s="1400">
        <f>BI163</f>
        <v/>
      </c>
      <c r="BL163" s="1409">
        <f>BJ163</f>
        <v/>
      </c>
      <c r="BM163" s="1378" t="inlineStr">
        <is>
          <t>.</t>
        </is>
      </c>
      <c r="BN163" s="1411" t="inlineStr">
        <is>
          <t>N</t>
        </is>
      </c>
      <c r="BO163" s="1400">
        <f>BN163</f>
        <v/>
      </c>
      <c r="BP163" s="1398" t="inlineStr">
        <is>
          <t>.</t>
        </is>
      </c>
      <c r="BQ163" s="1400">
        <f>IF(BR163&lt;&gt;"",BQ162+1,BQ162)</f>
        <v/>
      </c>
      <c r="BR163" s="1411" t="inlineStr">
        <is>
          <t>SP</t>
        </is>
      </c>
      <c r="BS163" s="1411" t="inlineStr">
        <is>
          <t>Curitiba</t>
        </is>
      </c>
      <c r="BT163" s="1412" t="inlineStr">
        <is>
          <t>SP-Curitiba</t>
        </is>
      </c>
      <c r="BU163" s="1412" t="n">
        <v>39222</v>
      </c>
      <c r="BV163" s="1398" t="inlineStr">
        <is>
          <t>.</t>
        </is>
      </c>
      <c r="BW163" s="1392" t="n"/>
      <c r="BX163" s="1392" t="n"/>
      <c r="BY163" s="1392" t="n"/>
      <c r="BZ163" s="1416" t="n"/>
      <c r="CA163" s="1392" t="n"/>
      <c r="CB163" s="1398" t="inlineStr">
        <is>
          <t>.</t>
        </is>
      </c>
      <c r="CC163" s="1400">
        <f>IF(CD163&lt;&gt;"",CC162+1,CC162)</f>
        <v/>
      </c>
      <c r="CD163" s="1411" t="inlineStr">
        <is>
          <t>Ondina</t>
        </is>
      </c>
      <c r="CE163" s="1412" t="n">
        <v>42100</v>
      </c>
      <c r="CF163" s="1412" t="n">
        <v>42115</v>
      </c>
      <c r="CG163" s="1415">
        <f>CF163-CE163</f>
        <v/>
      </c>
      <c r="CH163" s="1398" t="inlineStr">
        <is>
          <t>.</t>
        </is>
      </c>
      <c r="CI163" s="1392" t="n"/>
      <c r="CJ163" s="1392" t="n"/>
      <c r="CK163" s="1392" t="n"/>
      <c r="CL163" s="1392" t="n"/>
    </row>
    <row r="164">
      <c r="A164" s="5" t="inlineStr">
        <is>
          <t>.</t>
        </is>
      </c>
      <c r="B164" s="5" t="inlineStr">
        <is>
          <t>.</t>
        </is>
      </c>
      <c r="C164" s="1378">
        <f>IF(raw[[#This Row],[city]]="","-",IF(raw[[#This Row],[city]]="TODAY","-",C163+1))</f>
        <v/>
      </c>
      <c r="D164" s="1393" t="inlineStr">
        <is>
          <t>La Grande-Motte</t>
        </is>
      </c>
      <c r="E164" s="1394" t="n">
        <v>32027</v>
      </c>
      <c r="F164" s="1394" t="n">
        <v>32027</v>
      </c>
      <c r="G164" s="1393" t="inlineStr">
        <is>
          <t>-</t>
        </is>
      </c>
      <c r="H164" s="1393">
        <f>H163</f>
        <v/>
      </c>
      <c r="I164" s="1393" t="n"/>
      <c r="J164" s="1393" t="inlineStr">
        <is>
          <t>-</t>
        </is>
      </c>
      <c r="K164" s="1395">
        <f>IF(raw[[#This Row],[city]]&lt;&gt;"",_xlfn.XLOOKUP($D164,ccc[city],ccc[prov],"-"),"-")</f>
        <v/>
      </c>
      <c r="L164" s="1395">
        <f>IF(raw[[#This Row],[city]]&lt;&gt;"",_xlfn.XLOOKUP($D164,ccc[city],ccc[ctry],"-"),"-")</f>
        <v/>
      </c>
      <c r="M164" s="1395">
        <f>IF(raw[[#This Row],[city]]&lt;&gt;"",_xlfn.XLOOKUP($D164,ccc[city],ccc[cont],"-"),"-")</f>
        <v/>
      </c>
      <c r="N164" s="1396">
        <f>IF(raw[[#This Row],[city]]="","-",IF(raw[[#This Row],[cont]]="B",raw[[#This Row],[cont]],"W"))</f>
        <v/>
      </c>
      <c r="O164" s="1397">
        <f>IF(raw[[#This Row],[out]]=0,0,IF(raw[[#This Row],[out]]=raw[[#This Row],[in]],0.01,raw[[#This Row],[out]]-raw[[#This Row],[in]]))</f>
        <v/>
      </c>
      <c r="P164" s="1397">
        <f>IF(raw[[#This Row],[in]]=0,0,MONTH(raw[[#This Row],[in]]))</f>
        <v/>
      </c>
      <c r="Q164" s="1397">
        <f>IF(raw[[#This Row],[in]]=0,0,YEAR(raw[[#This Row],[in]]))</f>
        <v/>
      </c>
      <c r="R164" s="1397">
        <f>INT(raw[[#This Row],[yr]]/10)*10</f>
        <v/>
      </c>
      <c r="S164" s="1395">
        <f>IF(raw[[#This Row],[city]]="","-",IF(raw[[#This Row],[city]]&lt;&gt;_xlfn.XLOOKUP(raw[[#This Row],[home]],homes[home],homes[city],"-"),1,0))</f>
        <v/>
      </c>
      <c r="T164" s="1398" t="inlineStr">
        <is>
          <t>.</t>
        </is>
      </c>
      <c r="U164" s="1399">
        <f>IF(raw[[#This Row],[wb]]="w",raw[[#This Row],[stay]]+U163,U163)</f>
        <v/>
      </c>
      <c r="V164" s="1400">
        <f>IF(raw[[#This Row],[out]]=0,V163,(raw[[#This Row],[out]]-E$5))</f>
        <v/>
      </c>
      <c r="W164" s="1401">
        <f>U164/V164</f>
        <v/>
      </c>
      <c r="X164" s="1378" t="inlineStr">
        <is>
          <t>.</t>
        </is>
      </c>
      <c r="Y164" s="1402">
        <f/>
        <v/>
      </c>
      <c r="Z164" s="1403">
        <f/>
        <v/>
      </c>
      <c r="AA164" s="1403">
        <f/>
        <v/>
      </c>
      <c r="AB164" s="1400">
        <f t="array" ref="AB164">_xlfn.LET(_xlpm.S,_xlfn.ANCHORARRAY($Y$4),_xlpm.r,ROWS(stayCity[[#Headers],[city]]:stayCity[[#This Row],[city]])-1,IF(_xlpm.r&lt;=ROWS(_xlpm.S),INDEX(_xlpm.S,_xlpm.r,1),""))</f>
        <v/>
      </c>
      <c r="AC164" s="1405">
        <f t="array" ref="AC164">_xlfn.LET(_xlpm.S,_xlfn.ANCHORARRAY($Y$4),_xlpm.r,ROWS(stayCity[[#Headers],[city]]:stayCity[[#This Row],[city]])-1,IF(_xlpm.r&lt;=ROWS(_xlpm.S),INDEX(_xlpm.S,_xlpm.r,2),""))</f>
        <v/>
      </c>
      <c r="AD164" s="1405">
        <f t="array" ref="AD164">_xlfn.LET(_xlpm.S,_xlfn.ANCHORARRAY($Y$4),_xlpm.r,ROWS(stayCity[[#Headers],[city]]:stayCity[[#This Row],[city]])-1,IF(_xlpm.r&lt;=ROWS(_xlpm.S),INDEX(_xlpm.S,_xlpm.r,3),""))</f>
        <v/>
      </c>
      <c r="AE164" s="1400">
        <f>IF(stayCity[[#This Row],[out]]&lt;&gt;"",stayCity[[#This Row],[out]]-stayCity[[#This Row],[in]],"-")</f>
        <v/>
      </c>
      <c r="AF164" s="1406">
        <f>IF(Y164="","-",YEAR(stayCity[[#This Row],[in]]))</f>
        <v/>
      </c>
      <c r="AG164" s="1398" t="inlineStr">
        <is>
          <t>.</t>
        </is>
      </c>
      <c r="AH164" s="1402">
        <f/>
        <v/>
      </c>
      <c r="AI164" s="1403">
        <f/>
        <v/>
      </c>
      <c r="AJ164" s="1403">
        <f/>
        <v/>
      </c>
      <c r="AK164" s="1400">
        <f>IF(AH164="","-",AH164)</f>
        <v/>
      </c>
      <c r="AL164" s="1405">
        <f>AI164</f>
        <v/>
      </c>
      <c r="AM164" s="1405">
        <f>AJ164</f>
        <v/>
      </c>
      <c r="AN164" s="1400">
        <f>stayCtry[[#This Row],[out]]-stayCtry[[#This Row],[in]]</f>
        <v/>
      </c>
      <c r="AO164" s="1406">
        <f>IF(AI164&lt;&gt;"",AO163+1,AO163)</f>
        <v/>
      </c>
      <c r="AP164" s="1398" t="inlineStr">
        <is>
          <t>.</t>
        </is>
      </c>
      <c r="AQ164" s="1402" t="n"/>
      <c r="AR164" s="1403" t="n"/>
      <c r="AS164" s="1403" t="n"/>
      <c r="AT164" s="1400">
        <f>AQ164</f>
        <v/>
      </c>
      <c r="AU164" s="1405">
        <f>AR164</f>
        <v/>
      </c>
      <c r="AV164" s="1405">
        <f>AS164</f>
        <v/>
      </c>
      <c r="AW164" s="1400">
        <f>stayCont[[#This Row],[out]]-stayCont[[#This Row],[in]]</f>
        <v/>
      </c>
      <c r="AX164" s="1406">
        <f>IF(AR164&lt;&gt;"",AX163+1,AX163)</f>
        <v/>
      </c>
      <c r="AY164" s="1398" t="inlineStr">
        <is>
          <t>.</t>
        </is>
      </c>
      <c r="AZ164" s="1402" t="n"/>
      <c r="BA164" s="1403" t="n"/>
      <c r="BB164" s="1403" t="n"/>
      <c r="BC164" s="1405">
        <f>AZ164</f>
        <v/>
      </c>
      <c r="BD164" s="1405">
        <f>BA164</f>
        <v/>
      </c>
      <c r="BE164" s="1405">
        <f>BB164</f>
        <v/>
      </c>
      <c r="BF164" s="1400">
        <f>stayWB[[#This Row],[out]]-stayWB[[#This Row],[in]]</f>
        <v/>
      </c>
      <c r="BG164" s="1400">
        <f>IF(BB164&lt;&gt;"",BG163+1,BG163)</f>
        <v/>
      </c>
      <c r="BH164" s="1398" t="inlineStr">
        <is>
          <t>.</t>
        </is>
      </c>
      <c r="BI164" s="1402" t="inlineStr">
        <is>
          <t>BRA</t>
        </is>
      </c>
      <c r="BJ164" s="1402" t="n">
        <v>2010</v>
      </c>
      <c r="BK164" s="1400">
        <f>BI164</f>
        <v/>
      </c>
      <c r="BL164" s="1409">
        <f>BJ164</f>
        <v/>
      </c>
      <c r="BM164" s="1378" t="inlineStr">
        <is>
          <t>.</t>
        </is>
      </c>
      <c r="BN164" s="1411" t="inlineStr">
        <is>
          <t>Z</t>
        </is>
      </c>
      <c r="BO164" s="1400">
        <f>BN164</f>
        <v/>
      </c>
      <c r="BP164" s="1398" t="inlineStr">
        <is>
          <t>.</t>
        </is>
      </c>
      <c r="BQ164" s="1400">
        <f>IF(BR164&lt;&gt;"",BQ163+1,BQ163)</f>
        <v/>
      </c>
      <c r="BR164" s="1411" t="inlineStr">
        <is>
          <t>Curitiba</t>
        </is>
      </c>
      <c r="BS164" s="1411" t="inlineStr">
        <is>
          <t>SP</t>
        </is>
      </c>
      <c r="BT164" s="1412" t="inlineStr">
        <is>
          <t>Curitiba-SP</t>
        </is>
      </c>
      <c r="BU164" s="1412" t="n">
        <v>39226</v>
      </c>
      <c r="BV164" s="1398" t="inlineStr">
        <is>
          <t>.</t>
        </is>
      </c>
      <c r="BW164" s="1392" t="n"/>
      <c r="BX164" s="1392" t="n"/>
      <c r="BY164" s="1392" t="n"/>
      <c r="BZ164" s="1416" t="n"/>
      <c r="CA164" s="1392" t="n"/>
      <c r="CB164" s="1398" t="inlineStr">
        <is>
          <t>.</t>
        </is>
      </c>
      <c r="CC164" s="1400">
        <f>IF(CD164&lt;&gt;"",CC163+1,CC163)</f>
        <v/>
      </c>
      <c r="CD164" s="1411" t="inlineStr">
        <is>
          <t>David's</t>
        </is>
      </c>
      <c r="CE164" s="1412" t="n">
        <v>43052</v>
      </c>
      <c r="CF164" s="1412" t="n">
        <v>43055</v>
      </c>
      <c r="CG164" s="1415">
        <f>CF164-CE164</f>
        <v/>
      </c>
      <c r="CH164" s="1398" t="inlineStr">
        <is>
          <t>.</t>
        </is>
      </c>
      <c r="CI164" s="1392" t="n"/>
      <c r="CJ164" s="1392" t="n"/>
      <c r="CK164" s="1392" t="n"/>
      <c r="CL164" s="1392" t="n"/>
    </row>
    <row r="165">
      <c r="A165" s="5" t="inlineStr">
        <is>
          <t>.</t>
        </is>
      </c>
      <c r="B165" s="5" t="inlineStr">
        <is>
          <t>.</t>
        </is>
      </c>
      <c r="C165" s="1378">
        <f>IF(raw[[#This Row],[city]]="","-",IF(raw[[#This Row],[city]]="TODAY","-",C164+1))</f>
        <v/>
      </c>
      <c r="D165" s="1393" t="inlineStr">
        <is>
          <t>Arles</t>
        </is>
      </c>
      <c r="E165" s="1394" t="n">
        <v>32027</v>
      </c>
      <c r="F165" s="1394" t="n">
        <v>32027</v>
      </c>
      <c r="G165" s="1393" t="inlineStr">
        <is>
          <t>-</t>
        </is>
      </c>
      <c r="H165" s="1393">
        <f>H164</f>
        <v/>
      </c>
      <c r="I165" s="1393" t="n"/>
      <c r="J165" s="1393" t="inlineStr">
        <is>
          <t>-</t>
        </is>
      </c>
      <c r="K165" s="1395">
        <f>IF(raw[[#This Row],[city]]&lt;&gt;"",_xlfn.XLOOKUP($D165,ccc[city],ccc[prov],"-"),"-")</f>
        <v/>
      </c>
      <c r="L165" s="1395">
        <f>IF(raw[[#This Row],[city]]&lt;&gt;"",_xlfn.XLOOKUP($D165,ccc[city],ccc[ctry],"-"),"-")</f>
        <v/>
      </c>
      <c r="M165" s="1395">
        <f>IF(raw[[#This Row],[city]]&lt;&gt;"",_xlfn.XLOOKUP($D165,ccc[city],ccc[cont],"-"),"-")</f>
        <v/>
      </c>
      <c r="N165" s="1396">
        <f>IF(raw[[#This Row],[city]]="","-",IF(raw[[#This Row],[cont]]="B",raw[[#This Row],[cont]],"W"))</f>
        <v/>
      </c>
      <c r="O165" s="1397">
        <f>IF(raw[[#This Row],[out]]=0,0,IF(raw[[#This Row],[out]]=raw[[#This Row],[in]],0.01,raw[[#This Row],[out]]-raw[[#This Row],[in]]))</f>
        <v/>
      </c>
      <c r="P165" s="1397">
        <f>IF(raw[[#This Row],[in]]=0,0,MONTH(raw[[#This Row],[in]]))</f>
        <v/>
      </c>
      <c r="Q165" s="1397">
        <f>IF(raw[[#This Row],[in]]=0,0,YEAR(raw[[#This Row],[in]]))</f>
        <v/>
      </c>
      <c r="R165" s="1397">
        <f>INT(raw[[#This Row],[yr]]/10)*10</f>
        <v/>
      </c>
      <c r="S165" s="1395">
        <f>IF(raw[[#This Row],[city]]="","-",IF(raw[[#This Row],[city]]&lt;&gt;_xlfn.XLOOKUP(raw[[#This Row],[home]],homes[home],homes[city],"-"),1,0))</f>
        <v/>
      </c>
      <c r="T165" s="1398" t="inlineStr">
        <is>
          <t>.</t>
        </is>
      </c>
      <c r="U165" s="1399">
        <f>IF(raw[[#This Row],[wb]]="w",raw[[#This Row],[stay]]+U164,U164)</f>
        <v/>
      </c>
      <c r="V165" s="1400">
        <f>IF(raw[[#This Row],[out]]=0,V164,(raw[[#This Row],[out]]-E$5))</f>
        <v/>
      </c>
      <c r="W165" s="1401">
        <f>U165/V165</f>
        <v/>
      </c>
      <c r="X165" s="1378" t="inlineStr">
        <is>
          <t>.</t>
        </is>
      </c>
      <c r="Y165" s="1402">
        <f/>
        <v/>
      </c>
      <c r="Z165" s="1403">
        <f/>
        <v/>
      </c>
      <c r="AA165" s="1403">
        <f/>
        <v/>
      </c>
      <c r="AB165" s="1400">
        <f t="array" ref="AB165">_xlfn.LET(_xlpm.S,_xlfn.ANCHORARRAY($Y$4),_xlpm.r,ROWS(stayCity[[#Headers],[city]]:stayCity[[#This Row],[city]])-1,IF(_xlpm.r&lt;=ROWS(_xlpm.S),INDEX(_xlpm.S,_xlpm.r,1),""))</f>
        <v/>
      </c>
      <c r="AC165" s="1405">
        <f t="array" ref="AC165">_xlfn.LET(_xlpm.S,_xlfn.ANCHORARRAY($Y$4),_xlpm.r,ROWS(stayCity[[#Headers],[city]]:stayCity[[#This Row],[city]])-1,IF(_xlpm.r&lt;=ROWS(_xlpm.S),INDEX(_xlpm.S,_xlpm.r,2),""))</f>
        <v/>
      </c>
      <c r="AD165" s="1405">
        <f t="array" ref="AD165">_xlfn.LET(_xlpm.S,_xlfn.ANCHORARRAY($Y$4),_xlpm.r,ROWS(stayCity[[#Headers],[city]]:stayCity[[#This Row],[city]])-1,IF(_xlpm.r&lt;=ROWS(_xlpm.S),INDEX(_xlpm.S,_xlpm.r,3),""))</f>
        <v/>
      </c>
      <c r="AE165" s="1400">
        <f>IF(stayCity[[#This Row],[out]]&lt;&gt;"",stayCity[[#This Row],[out]]-stayCity[[#This Row],[in]],"-")</f>
        <v/>
      </c>
      <c r="AF165" s="1406">
        <f>IF(Y165="","-",YEAR(stayCity[[#This Row],[in]]))</f>
        <v/>
      </c>
      <c r="AG165" s="1398" t="inlineStr">
        <is>
          <t>.</t>
        </is>
      </c>
      <c r="AH165" s="1402">
        <f/>
        <v/>
      </c>
      <c r="AI165" s="1403">
        <f/>
        <v/>
      </c>
      <c r="AJ165" s="1403">
        <f/>
        <v/>
      </c>
      <c r="AK165" s="1400">
        <f>IF(AH165="","-",AH165)</f>
        <v/>
      </c>
      <c r="AL165" s="1405">
        <f>AI165</f>
        <v/>
      </c>
      <c r="AM165" s="1405">
        <f>AJ165</f>
        <v/>
      </c>
      <c r="AN165" s="1400">
        <f>stayCtry[[#This Row],[out]]-stayCtry[[#This Row],[in]]</f>
        <v/>
      </c>
      <c r="AO165" s="1406">
        <f>IF(AI165&lt;&gt;"",AO164+1,AO164)</f>
        <v/>
      </c>
      <c r="AP165" s="1398" t="inlineStr">
        <is>
          <t>.</t>
        </is>
      </c>
      <c r="AQ165" s="1402" t="n"/>
      <c r="AR165" s="1403" t="n"/>
      <c r="AS165" s="1403" t="n"/>
      <c r="AT165" s="1400">
        <f>AQ165</f>
        <v/>
      </c>
      <c r="AU165" s="1405">
        <f>AR165</f>
        <v/>
      </c>
      <c r="AV165" s="1405">
        <f>AS165</f>
        <v/>
      </c>
      <c r="AW165" s="1400">
        <f>stayCont[[#This Row],[out]]-stayCont[[#This Row],[in]]</f>
        <v/>
      </c>
      <c r="AX165" s="1406">
        <f>IF(AR165&lt;&gt;"",AX164+1,AX164)</f>
        <v/>
      </c>
      <c r="AY165" s="1398" t="inlineStr">
        <is>
          <t>.</t>
        </is>
      </c>
      <c r="AZ165" s="1402" t="n"/>
      <c r="BA165" s="1403" t="n"/>
      <c r="BB165" s="1403" t="n"/>
      <c r="BC165" s="1405">
        <f>AZ165</f>
        <v/>
      </c>
      <c r="BD165" s="1405">
        <f>BA165</f>
        <v/>
      </c>
      <c r="BE165" s="1405">
        <f>BB165</f>
        <v/>
      </c>
      <c r="BF165" s="1400">
        <f>stayWB[[#This Row],[out]]-stayWB[[#This Row],[in]]</f>
        <v/>
      </c>
      <c r="BG165" s="1400">
        <f>IF(BB165&lt;&gt;"",BG164+1,BG164)</f>
        <v/>
      </c>
      <c r="BH165" s="1398" t="inlineStr">
        <is>
          <t>.</t>
        </is>
      </c>
      <c r="BI165" s="1402" t="inlineStr">
        <is>
          <t>MEX</t>
        </is>
      </c>
      <c r="BJ165" s="1402" t="n">
        <v>2010</v>
      </c>
      <c r="BK165" s="1400">
        <f>BI165</f>
        <v/>
      </c>
      <c r="BL165" s="1409">
        <f>BJ165</f>
        <v/>
      </c>
      <c r="BM165" s="1378" t="inlineStr">
        <is>
          <t>.</t>
        </is>
      </c>
      <c r="BN165" s="1411" t="inlineStr">
        <is>
          <t>E</t>
        </is>
      </c>
      <c r="BO165" s="1400">
        <f>BN165</f>
        <v/>
      </c>
      <c r="BP165" s="1398" t="inlineStr">
        <is>
          <t>.</t>
        </is>
      </c>
      <c r="BQ165" s="1400">
        <f>IF(BR165&lt;&gt;"",BQ164+1,BQ164)</f>
        <v/>
      </c>
      <c r="BR165" s="1411" t="inlineStr">
        <is>
          <t>SP</t>
        </is>
      </c>
      <c r="BS165" s="1411" t="inlineStr">
        <is>
          <t>Rio</t>
        </is>
      </c>
      <c r="BT165" s="1412" t="inlineStr">
        <is>
          <t>SP-Rio</t>
        </is>
      </c>
      <c r="BU165" s="1412" t="n">
        <v>39233</v>
      </c>
      <c r="BV165" s="1398" t="inlineStr">
        <is>
          <t>.</t>
        </is>
      </c>
      <c r="BW165" s="1392" t="n"/>
      <c r="BX165" s="1392" t="n"/>
      <c r="BY165" s="1392" t="n"/>
      <c r="BZ165" s="1416" t="n"/>
      <c r="CA165" s="1392" t="n"/>
      <c r="CB165" s="1398" t="inlineStr">
        <is>
          <t>.</t>
        </is>
      </c>
      <c r="CC165" s="1400">
        <f>IF(CD165&lt;&gt;"",CC164+1,CC164)</f>
        <v/>
      </c>
      <c r="CD165" s="1411" t="inlineStr">
        <is>
          <t>Stu</t>
        </is>
      </c>
      <c r="CE165" s="1412" t="n">
        <v>43055</v>
      </c>
      <c r="CF165" s="1412" t="n">
        <v>43059</v>
      </c>
      <c r="CG165" s="1415">
        <f>CF165-CE165</f>
        <v/>
      </c>
      <c r="CH165" s="1398" t="inlineStr">
        <is>
          <t>.</t>
        </is>
      </c>
      <c r="CI165" s="1392" t="n"/>
      <c r="CJ165" s="1392" t="n"/>
      <c r="CK165" s="1392" t="n"/>
      <c r="CL165" s="1392" t="n"/>
    </row>
    <row r="166">
      <c r="A166" s="5" t="inlineStr">
        <is>
          <t>.</t>
        </is>
      </c>
      <c r="B166" s="5" t="inlineStr">
        <is>
          <t>.</t>
        </is>
      </c>
      <c r="C166" s="1378">
        <f>IF(raw[[#This Row],[city]]="","-",IF(raw[[#This Row],[city]]="TODAY","-",C165+1))</f>
        <v/>
      </c>
      <c r="D166" s="1393" t="inlineStr">
        <is>
          <t>Lausanne</t>
        </is>
      </c>
      <c r="E166" s="1394" t="n">
        <v>32027</v>
      </c>
      <c r="F166" s="1394" t="n">
        <v>32028</v>
      </c>
      <c r="G166" s="1393" t="inlineStr">
        <is>
          <t>-</t>
        </is>
      </c>
      <c r="H166" s="1393">
        <f>H165</f>
        <v/>
      </c>
      <c r="I166" s="1393" t="inlineStr">
        <is>
          <t>-</t>
        </is>
      </c>
      <c r="J166" s="1393" t="inlineStr">
        <is>
          <t>-</t>
        </is>
      </c>
      <c r="K166" s="1395">
        <f>IF(raw[[#This Row],[city]]&lt;&gt;"",_xlfn.XLOOKUP($D166,ccc[city],ccc[prov],"-"),"-")</f>
        <v/>
      </c>
      <c r="L166" s="1395">
        <f>IF(raw[[#This Row],[city]]&lt;&gt;"",_xlfn.XLOOKUP($D166,ccc[city],ccc[ctry],"-"),"-")</f>
        <v/>
      </c>
      <c r="M166" s="1395">
        <f>IF(raw[[#This Row],[city]]&lt;&gt;"",_xlfn.XLOOKUP($D166,ccc[city],ccc[cont],"-"),"-")</f>
        <v/>
      </c>
      <c r="N166" s="1396">
        <f>IF(raw[[#This Row],[city]]="","-",IF(raw[[#This Row],[cont]]="B",raw[[#This Row],[cont]],"W"))</f>
        <v/>
      </c>
      <c r="O166" s="1397">
        <f>IF(raw[[#This Row],[out]]=0,0,IF(raw[[#This Row],[out]]=raw[[#This Row],[in]],0.01,raw[[#This Row],[out]]-raw[[#This Row],[in]]))</f>
        <v/>
      </c>
      <c r="P166" s="1397">
        <f>IF(raw[[#This Row],[in]]=0,0,MONTH(raw[[#This Row],[in]]))</f>
        <v/>
      </c>
      <c r="Q166" s="1397">
        <f>IF(raw[[#This Row],[in]]=0,0,YEAR(raw[[#This Row],[in]]))</f>
        <v/>
      </c>
      <c r="R166" s="1397">
        <f>INT(raw[[#This Row],[yr]]/10)*10</f>
        <v/>
      </c>
      <c r="S166" s="1395">
        <f>IF(raw[[#This Row],[city]]="","-",IF(raw[[#This Row],[city]]&lt;&gt;_xlfn.XLOOKUP(raw[[#This Row],[home]],homes[home],homes[city],"-"),1,0))</f>
        <v/>
      </c>
      <c r="T166" s="1398" t="inlineStr">
        <is>
          <t>.</t>
        </is>
      </c>
      <c r="U166" s="1399">
        <f>IF(raw[[#This Row],[wb]]="w",raw[[#This Row],[stay]]+U165,U165)</f>
        <v/>
      </c>
      <c r="V166" s="1400">
        <f>IF(raw[[#This Row],[out]]=0,V165,(raw[[#This Row],[out]]-E$5))</f>
        <v/>
      </c>
      <c r="W166" s="1401">
        <f>U166/V166</f>
        <v/>
      </c>
      <c r="X166" s="1378" t="inlineStr">
        <is>
          <t>.</t>
        </is>
      </c>
      <c r="Y166" s="1402">
        <f/>
        <v/>
      </c>
      <c r="Z166" s="1403">
        <f/>
        <v/>
      </c>
      <c r="AA166" s="1403">
        <f/>
        <v/>
      </c>
      <c r="AB166" s="1400">
        <f t="array" ref="AB166">_xlfn.LET(_xlpm.S,_xlfn.ANCHORARRAY($Y$4),_xlpm.r,ROWS(stayCity[[#Headers],[city]]:stayCity[[#This Row],[city]])-1,IF(_xlpm.r&lt;=ROWS(_xlpm.S),INDEX(_xlpm.S,_xlpm.r,1),""))</f>
        <v/>
      </c>
      <c r="AC166" s="1405">
        <f t="array" ref="AC166">_xlfn.LET(_xlpm.S,_xlfn.ANCHORARRAY($Y$4),_xlpm.r,ROWS(stayCity[[#Headers],[city]]:stayCity[[#This Row],[city]])-1,IF(_xlpm.r&lt;=ROWS(_xlpm.S),INDEX(_xlpm.S,_xlpm.r,2),""))</f>
        <v/>
      </c>
      <c r="AD166" s="1405">
        <f t="array" ref="AD166">_xlfn.LET(_xlpm.S,_xlfn.ANCHORARRAY($Y$4),_xlpm.r,ROWS(stayCity[[#Headers],[city]]:stayCity[[#This Row],[city]])-1,IF(_xlpm.r&lt;=ROWS(_xlpm.S),INDEX(_xlpm.S,_xlpm.r,3),""))</f>
        <v/>
      </c>
      <c r="AE166" s="1400">
        <f>IF(stayCity[[#This Row],[out]]&lt;&gt;"",stayCity[[#This Row],[out]]-stayCity[[#This Row],[in]],"-")</f>
        <v/>
      </c>
      <c r="AF166" s="1406">
        <f>IF(Y166="","-",YEAR(stayCity[[#This Row],[in]]))</f>
        <v/>
      </c>
      <c r="AG166" s="1398" t="inlineStr">
        <is>
          <t>.</t>
        </is>
      </c>
      <c r="AH166" s="1402">
        <f/>
        <v/>
      </c>
      <c r="AI166" s="1403">
        <f/>
        <v/>
      </c>
      <c r="AJ166" s="1403">
        <f/>
        <v/>
      </c>
      <c r="AK166" s="1400">
        <f>IF(AH166="","-",AH166)</f>
        <v/>
      </c>
      <c r="AL166" s="1405">
        <f>AI166</f>
        <v/>
      </c>
      <c r="AM166" s="1405">
        <f>AJ166</f>
        <v/>
      </c>
      <c r="AN166" s="1400">
        <f>stayCtry[[#This Row],[out]]-stayCtry[[#This Row],[in]]</f>
        <v/>
      </c>
      <c r="AO166" s="1406">
        <f>IF(AI166&lt;&gt;"",AO165+1,AO165)</f>
        <v/>
      </c>
      <c r="AP166" s="1398" t="inlineStr">
        <is>
          <t>.</t>
        </is>
      </c>
      <c r="AQ166" s="1402" t="n"/>
      <c r="AR166" s="1403" t="n"/>
      <c r="AS166" s="1403" t="n"/>
      <c r="AT166" s="1400">
        <f>AQ166</f>
        <v/>
      </c>
      <c r="AU166" s="1405">
        <f>AR166</f>
        <v/>
      </c>
      <c r="AV166" s="1405">
        <f>AS166</f>
        <v/>
      </c>
      <c r="AW166" s="1400">
        <f>stayCont[[#This Row],[out]]-stayCont[[#This Row],[in]]</f>
        <v/>
      </c>
      <c r="AX166" s="1406">
        <f>IF(AR166&lt;&gt;"",AX165+1,AX165)</f>
        <v/>
      </c>
      <c r="AY166" s="1398" t="inlineStr">
        <is>
          <t>.</t>
        </is>
      </c>
      <c r="AZ166" s="1402" t="n"/>
      <c r="BA166" s="1403" t="n"/>
      <c r="BB166" s="1403" t="n"/>
      <c r="BC166" s="1405">
        <f>AZ166</f>
        <v/>
      </c>
      <c r="BD166" s="1405">
        <f>BA166</f>
        <v/>
      </c>
      <c r="BE166" s="1405">
        <f>BB166</f>
        <v/>
      </c>
      <c r="BF166" s="1400">
        <f>stayWB[[#This Row],[out]]-stayWB[[#This Row],[in]]</f>
        <v/>
      </c>
      <c r="BG166" s="1400">
        <f>IF(BB166&lt;&gt;"",BG165+1,BG165)</f>
        <v/>
      </c>
      <c r="BH166" s="1398" t="inlineStr">
        <is>
          <t>.</t>
        </is>
      </c>
      <c r="BI166" s="1402" t="inlineStr">
        <is>
          <t>CAN</t>
        </is>
      </c>
      <c r="BJ166" s="1402" t="n">
        <v>2010</v>
      </c>
      <c r="BK166" s="1400">
        <f>BI166</f>
        <v/>
      </c>
      <c r="BL166" s="1409">
        <f>BJ166</f>
        <v/>
      </c>
      <c r="BM166" s="1378" t="inlineStr">
        <is>
          <t>.</t>
        </is>
      </c>
      <c r="BN166" s="1411" t="inlineStr">
        <is>
          <t>N</t>
        </is>
      </c>
      <c r="BO166" s="1400">
        <f>BN166</f>
        <v/>
      </c>
      <c r="BP166" s="1398" t="inlineStr">
        <is>
          <t>.</t>
        </is>
      </c>
      <c r="BQ166" s="1400">
        <f>IF(BR166&lt;&gt;"",BQ165+1,BQ165)</f>
        <v/>
      </c>
      <c r="BR166" s="1411" t="inlineStr">
        <is>
          <t>Rio</t>
        </is>
      </c>
      <c r="BS166" s="1411" t="inlineStr">
        <is>
          <t>SSA</t>
        </is>
      </c>
      <c r="BT166" s="1412" t="inlineStr">
        <is>
          <t>Rio-SSA</t>
        </is>
      </c>
      <c r="BU166" s="1412" t="n">
        <v>39241</v>
      </c>
      <c r="BV166" s="1398" t="inlineStr">
        <is>
          <t>.</t>
        </is>
      </c>
      <c r="BW166" s="1392" t="n"/>
      <c r="BX166" s="1392" t="n"/>
      <c r="BY166" s="1392" t="n"/>
      <c r="BZ166" s="1416" t="n"/>
      <c r="CA166" s="1392" t="n"/>
      <c r="CB166" s="1398" t="inlineStr">
        <is>
          <t>.</t>
        </is>
      </c>
      <c r="CC166" s="1400">
        <f>IF(CD166&lt;&gt;"",CC165+1,CC165)</f>
        <v/>
      </c>
      <c r="CD166" s="1411" t="inlineStr">
        <is>
          <t>David's</t>
        </is>
      </c>
      <c r="CE166" s="1412" t="n">
        <v>43059</v>
      </c>
      <c r="CF166" s="1412" t="n">
        <v>43061</v>
      </c>
      <c r="CG166" s="1415">
        <f>CF166-CE166</f>
        <v/>
      </c>
      <c r="CH166" s="1398" t="inlineStr">
        <is>
          <t>.</t>
        </is>
      </c>
      <c r="CI166" s="1392" t="n"/>
      <c r="CJ166" s="1392" t="n"/>
      <c r="CK166" s="1392" t="n"/>
      <c r="CL166" s="1392" t="n"/>
    </row>
    <row r="167">
      <c r="A167" s="5" t="inlineStr">
        <is>
          <t>.</t>
        </is>
      </c>
      <c r="B167" s="5" t="inlineStr">
        <is>
          <t>.</t>
        </is>
      </c>
      <c r="C167" s="1378">
        <f>IF(raw[[#This Row],[city]]="","-",IF(raw[[#This Row],[city]]="TODAY","-",C166+1))</f>
        <v/>
      </c>
      <c r="D167" s="1393" t="inlineStr">
        <is>
          <t>Montreux</t>
        </is>
      </c>
      <c r="E167" s="1394" t="n">
        <v>32028</v>
      </c>
      <c r="F167" s="1394" t="n">
        <v>32028</v>
      </c>
      <c r="G167" s="1393" t="inlineStr">
        <is>
          <t>-</t>
        </is>
      </c>
      <c r="H167" s="1393">
        <f>H166</f>
        <v/>
      </c>
      <c r="I167" s="1393" t="inlineStr">
        <is>
          <t>-</t>
        </is>
      </c>
      <c r="J167" s="1393" t="inlineStr">
        <is>
          <t>-</t>
        </is>
      </c>
      <c r="K167" s="1395">
        <f>IF(raw[[#This Row],[city]]&lt;&gt;"",_xlfn.XLOOKUP($D167,ccc[city],ccc[prov],"-"),"-")</f>
        <v/>
      </c>
      <c r="L167" s="1395">
        <f>IF(raw[[#This Row],[city]]&lt;&gt;"",_xlfn.XLOOKUP($D167,ccc[city],ccc[ctry],"-"),"-")</f>
        <v/>
      </c>
      <c r="M167" s="1395">
        <f>IF(raw[[#This Row],[city]]&lt;&gt;"",_xlfn.XLOOKUP($D167,ccc[city],ccc[cont],"-"),"-")</f>
        <v/>
      </c>
      <c r="N167" s="1396">
        <f>IF(raw[[#This Row],[city]]="","-",IF(raw[[#This Row],[cont]]="B",raw[[#This Row],[cont]],"W"))</f>
        <v/>
      </c>
      <c r="O167" s="1397">
        <f>IF(raw[[#This Row],[out]]=0,0,IF(raw[[#This Row],[out]]=raw[[#This Row],[in]],0.01,raw[[#This Row],[out]]-raw[[#This Row],[in]]))</f>
        <v/>
      </c>
      <c r="P167" s="1397">
        <f>IF(raw[[#This Row],[in]]=0,0,MONTH(raw[[#This Row],[in]]))</f>
        <v/>
      </c>
      <c r="Q167" s="1397">
        <f>IF(raw[[#This Row],[in]]=0,0,YEAR(raw[[#This Row],[in]]))</f>
        <v/>
      </c>
      <c r="R167" s="1397">
        <f>INT(raw[[#This Row],[yr]]/10)*10</f>
        <v/>
      </c>
      <c r="S167" s="1395">
        <f>IF(raw[[#This Row],[city]]="","-",IF(raw[[#This Row],[city]]&lt;&gt;_xlfn.XLOOKUP(raw[[#This Row],[home]],homes[home],homes[city],"-"),1,0))</f>
        <v/>
      </c>
      <c r="T167" s="1398" t="inlineStr">
        <is>
          <t>.</t>
        </is>
      </c>
      <c r="U167" s="1399">
        <f>IF(raw[[#This Row],[wb]]="w",raw[[#This Row],[stay]]+U166,U166)</f>
        <v/>
      </c>
      <c r="V167" s="1400">
        <f>IF(raw[[#This Row],[out]]=0,V166,(raw[[#This Row],[out]]-E$5))</f>
        <v/>
      </c>
      <c r="W167" s="1401">
        <f>U167/V167</f>
        <v/>
      </c>
      <c r="X167" s="1378" t="inlineStr">
        <is>
          <t>.</t>
        </is>
      </c>
      <c r="Y167" s="1402">
        <f/>
        <v/>
      </c>
      <c r="Z167" s="1403">
        <f/>
        <v/>
      </c>
      <c r="AA167" s="1403">
        <f/>
        <v/>
      </c>
      <c r="AB167" s="1400">
        <f t="array" ref="AB167">_xlfn.LET(_xlpm.S,_xlfn.ANCHORARRAY($Y$4),_xlpm.r,ROWS(stayCity[[#Headers],[city]]:stayCity[[#This Row],[city]])-1,IF(_xlpm.r&lt;=ROWS(_xlpm.S),INDEX(_xlpm.S,_xlpm.r,1),""))</f>
        <v/>
      </c>
      <c r="AC167" s="1405">
        <f t="array" ref="AC167">_xlfn.LET(_xlpm.S,_xlfn.ANCHORARRAY($Y$4),_xlpm.r,ROWS(stayCity[[#Headers],[city]]:stayCity[[#This Row],[city]])-1,IF(_xlpm.r&lt;=ROWS(_xlpm.S),INDEX(_xlpm.S,_xlpm.r,2),""))</f>
        <v/>
      </c>
      <c r="AD167" s="1405">
        <f t="array" ref="AD167">_xlfn.LET(_xlpm.S,_xlfn.ANCHORARRAY($Y$4),_xlpm.r,ROWS(stayCity[[#Headers],[city]]:stayCity[[#This Row],[city]])-1,IF(_xlpm.r&lt;=ROWS(_xlpm.S),INDEX(_xlpm.S,_xlpm.r,3),""))</f>
        <v/>
      </c>
      <c r="AE167" s="1400">
        <f>IF(stayCity[[#This Row],[out]]&lt;&gt;"",stayCity[[#This Row],[out]]-stayCity[[#This Row],[in]],"-")</f>
        <v/>
      </c>
      <c r="AF167" s="1406">
        <f>IF(Y167="","-",YEAR(stayCity[[#This Row],[in]]))</f>
        <v/>
      </c>
      <c r="AG167" s="1398" t="inlineStr">
        <is>
          <t>.</t>
        </is>
      </c>
      <c r="AH167" s="1402">
        <f/>
        <v/>
      </c>
      <c r="AI167" s="1403">
        <f/>
        <v/>
      </c>
      <c r="AJ167" s="1403">
        <f/>
        <v/>
      </c>
      <c r="AK167" s="1400">
        <f>IF(AH167="","-",AH167)</f>
        <v/>
      </c>
      <c r="AL167" s="1405">
        <f>AI167</f>
        <v/>
      </c>
      <c r="AM167" s="1405">
        <f>AJ167</f>
        <v/>
      </c>
      <c r="AN167" s="1400">
        <f>stayCtry[[#This Row],[out]]-stayCtry[[#This Row],[in]]</f>
        <v/>
      </c>
      <c r="AO167" s="1406">
        <f>IF(AI167&lt;&gt;"",AO166+1,AO166)</f>
        <v/>
      </c>
      <c r="AP167" s="1398" t="inlineStr">
        <is>
          <t>.</t>
        </is>
      </c>
      <c r="AQ167" s="1402" t="n"/>
      <c r="AR167" s="1403" t="n"/>
      <c r="AS167" s="1403" t="n"/>
      <c r="AT167" s="1400">
        <f>AQ167</f>
        <v/>
      </c>
      <c r="AU167" s="1405">
        <f>AR167</f>
        <v/>
      </c>
      <c r="AV167" s="1405">
        <f>AS167</f>
        <v/>
      </c>
      <c r="AW167" s="1400">
        <f>stayCont[[#This Row],[out]]-stayCont[[#This Row],[in]]</f>
        <v/>
      </c>
      <c r="AX167" s="1406">
        <f>IF(AR167&lt;&gt;"",AX166+1,AX166)</f>
        <v/>
      </c>
      <c r="AY167" s="1398" t="inlineStr">
        <is>
          <t>.</t>
        </is>
      </c>
      <c r="AZ167" s="1402" t="n"/>
      <c r="BA167" s="1403" t="n"/>
      <c r="BB167" s="1403" t="n"/>
      <c r="BC167" s="1405">
        <f>AZ167</f>
        <v/>
      </c>
      <c r="BD167" s="1405">
        <f>BA167</f>
        <v/>
      </c>
      <c r="BE167" s="1405">
        <f>BB167</f>
        <v/>
      </c>
      <c r="BF167" s="1400">
        <f>stayWB[[#This Row],[out]]-stayWB[[#This Row],[in]]</f>
        <v/>
      </c>
      <c r="BG167" s="1400">
        <f>IF(BB167&lt;&gt;"",BG166+1,BG166)</f>
        <v/>
      </c>
      <c r="BH167" s="1398" t="inlineStr">
        <is>
          <t>.</t>
        </is>
      </c>
      <c r="BI167" s="1402" t="inlineStr">
        <is>
          <t>MEX</t>
        </is>
      </c>
      <c r="BJ167" s="1402" t="n">
        <v>2010</v>
      </c>
      <c r="BK167" s="1400">
        <f>BI167</f>
        <v/>
      </c>
      <c r="BL167" s="1409">
        <f>BJ167</f>
        <v/>
      </c>
      <c r="BM167" s="1378" t="inlineStr">
        <is>
          <t>.</t>
        </is>
      </c>
      <c r="BN167" s="1411" t="inlineStr">
        <is>
          <t>E</t>
        </is>
      </c>
      <c r="BO167" s="1400">
        <f>BN167</f>
        <v/>
      </c>
      <c r="BP167" s="1398" t="inlineStr">
        <is>
          <t>.</t>
        </is>
      </c>
      <c r="BQ167" s="1400">
        <f>IF(BR167&lt;&gt;"",BQ166+1,BQ166)</f>
        <v/>
      </c>
      <c r="BR167" s="1411" t="inlineStr">
        <is>
          <t>SSA</t>
        </is>
      </c>
      <c r="BS167" s="1411" t="inlineStr">
        <is>
          <t>Madrid</t>
        </is>
      </c>
      <c r="BT167" s="1412" t="inlineStr">
        <is>
          <t>SSA-Madrid</t>
        </is>
      </c>
      <c r="BU167" s="1412" t="n">
        <v>39252</v>
      </c>
      <c r="BV167" s="1398" t="inlineStr">
        <is>
          <t>.</t>
        </is>
      </c>
      <c r="BW167" s="1392" t="n"/>
      <c r="BX167" s="1392" t="n"/>
      <c r="BY167" s="1392" t="n"/>
      <c r="BZ167" s="1416" t="n"/>
      <c r="CA167" s="1392" t="n"/>
      <c r="CB167" s="1398" t="inlineStr">
        <is>
          <t>.</t>
        </is>
      </c>
      <c r="CC167" s="1400">
        <f>IF(CD167&lt;&gt;"",CC166+1,CC166)</f>
        <v/>
      </c>
      <c r="CD167" s="1411" t="inlineStr">
        <is>
          <t>CS</t>
        </is>
      </c>
      <c r="CE167" s="1412" t="n">
        <v>43418</v>
      </c>
      <c r="CF167" s="1412" t="n">
        <v>43430</v>
      </c>
      <c r="CG167" s="1415">
        <f>CF167-CE167</f>
        <v/>
      </c>
      <c r="CH167" s="1398" t="inlineStr">
        <is>
          <t>.</t>
        </is>
      </c>
      <c r="CI167" s="1392" t="n"/>
      <c r="CJ167" s="1392" t="n"/>
      <c r="CK167" s="1392" t="n"/>
      <c r="CL167" s="1392" t="n"/>
    </row>
    <row r="168">
      <c r="A168" s="5" t="inlineStr">
        <is>
          <t>.</t>
        </is>
      </c>
      <c r="B168" s="5" t="inlineStr">
        <is>
          <t>.</t>
        </is>
      </c>
      <c r="C168" s="1378">
        <f>IF(raw[[#This Row],[city]]="","-",IF(raw[[#This Row],[city]]="TODAY","-",C167+1))</f>
        <v/>
      </c>
      <c r="D168" s="1393" t="inlineStr">
        <is>
          <t>Geneve</t>
        </is>
      </c>
      <c r="E168" s="1394" t="n">
        <v>32028</v>
      </c>
      <c r="F168" s="1394" t="n">
        <v>32029</v>
      </c>
      <c r="G168" s="1393" t="inlineStr">
        <is>
          <t>-</t>
        </is>
      </c>
      <c r="H168" s="1393">
        <f>H167</f>
        <v/>
      </c>
      <c r="I168" s="1393" t="inlineStr">
        <is>
          <t>-</t>
        </is>
      </c>
      <c r="J168" s="1393" t="inlineStr">
        <is>
          <t>-</t>
        </is>
      </c>
      <c r="K168" s="1395">
        <f>IF(raw[[#This Row],[city]]&lt;&gt;"",_xlfn.XLOOKUP($D168,ccc[city],ccc[prov],"-"),"-")</f>
        <v/>
      </c>
      <c r="L168" s="1395">
        <f>IF(raw[[#This Row],[city]]&lt;&gt;"",_xlfn.XLOOKUP($D168,ccc[city],ccc[ctry],"-"),"-")</f>
        <v/>
      </c>
      <c r="M168" s="1395">
        <f>IF(raw[[#This Row],[city]]&lt;&gt;"",_xlfn.XLOOKUP($D168,ccc[city],ccc[cont],"-"),"-")</f>
        <v/>
      </c>
      <c r="N168" s="1396">
        <f>IF(raw[[#This Row],[city]]="","-",IF(raw[[#This Row],[cont]]="B",raw[[#This Row],[cont]],"W"))</f>
        <v/>
      </c>
      <c r="O168" s="1397">
        <f>IF(raw[[#This Row],[out]]=0,0,IF(raw[[#This Row],[out]]=raw[[#This Row],[in]],0.01,raw[[#This Row],[out]]-raw[[#This Row],[in]]))</f>
        <v/>
      </c>
      <c r="P168" s="1397">
        <f>IF(raw[[#This Row],[in]]=0,0,MONTH(raw[[#This Row],[in]]))</f>
        <v/>
      </c>
      <c r="Q168" s="1397">
        <f>IF(raw[[#This Row],[in]]=0,0,YEAR(raw[[#This Row],[in]]))</f>
        <v/>
      </c>
      <c r="R168" s="1397">
        <f>INT(raw[[#This Row],[yr]]/10)*10</f>
        <v/>
      </c>
      <c r="S168" s="1395">
        <f>IF(raw[[#This Row],[city]]="","-",IF(raw[[#This Row],[city]]&lt;&gt;_xlfn.XLOOKUP(raw[[#This Row],[home]],homes[home],homes[city],"-"),1,0))</f>
        <v/>
      </c>
      <c r="T168" s="1398" t="inlineStr">
        <is>
          <t>.</t>
        </is>
      </c>
      <c r="U168" s="1399">
        <f>IF(raw[[#This Row],[wb]]="w",raw[[#This Row],[stay]]+U167,U167)</f>
        <v/>
      </c>
      <c r="V168" s="1400">
        <f>IF(raw[[#This Row],[out]]=0,V167,(raw[[#This Row],[out]]-E$5))</f>
        <v/>
      </c>
      <c r="W168" s="1401">
        <f>U168/V168</f>
        <v/>
      </c>
      <c r="X168" s="1378" t="inlineStr">
        <is>
          <t>.</t>
        </is>
      </c>
      <c r="Y168" s="1402">
        <f/>
        <v/>
      </c>
      <c r="Z168" s="1403">
        <f/>
        <v/>
      </c>
      <c r="AA168" s="1403">
        <f/>
        <v/>
      </c>
      <c r="AB168" s="1400">
        <f t="array" ref="AB168">_xlfn.LET(_xlpm.S,_xlfn.ANCHORARRAY($Y$4),_xlpm.r,ROWS(stayCity[[#Headers],[city]]:stayCity[[#This Row],[city]])-1,IF(_xlpm.r&lt;=ROWS(_xlpm.S),INDEX(_xlpm.S,_xlpm.r,1),""))</f>
        <v/>
      </c>
      <c r="AC168" s="1405">
        <f t="array" ref="AC168">_xlfn.LET(_xlpm.S,_xlfn.ANCHORARRAY($Y$4),_xlpm.r,ROWS(stayCity[[#Headers],[city]]:stayCity[[#This Row],[city]])-1,IF(_xlpm.r&lt;=ROWS(_xlpm.S),INDEX(_xlpm.S,_xlpm.r,2),""))</f>
        <v/>
      </c>
      <c r="AD168" s="1405">
        <f t="array" ref="AD168">_xlfn.LET(_xlpm.S,_xlfn.ANCHORARRAY($Y$4),_xlpm.r,ROWS(stayCity[[#Headers],[city]]:stayCity[[#This Row],[city]])-1,IF(_xlpm.r&lt;=ROWS(_xlpm.S),INDEX(_xlpm.S,_xlpm.r,3),""))</f>
        <v/>
      </c>
      <c r="AE168" s="1400">
        <f>IF(stayCity[[#This Row],[out]]&lt;&gt;"",stayCity[[#This Row],[out]]-stayCity[[#This Row],[in]],"-")</f>
        <v/>
      </c>
      <c r="AF168" s="1406">
        <f>IF(Y168="","-",YEAR(stayCity[[#This Row],[in]]))</f>
        <v/>
      </c>
      <c r="AG168" s="1398" t="inlineStr">
        <is>
          <t>.</t>
        </is>
      </c>
      <c r="AH168" s="1402">
        <f/>
        <v/>
      </c>
      <c r="AI168" s="1403">
        <f/>
        <v/>
      </c>
      <c r="AJ168" s="1403">
        <f/>
        <v/>
      </c>
      <c r="AK168" s="1400">
        <f>IF(AH168="","-",AH168)</f>
        <v/>
      </c>
      <c r="AL168" s="1405">
        <f>AI168</f>
        <v/>
      </c>
      <c r="AM168" s="1405">
        <f>AJ168</f>
        <v/>
      </c>
      <c r="AN168" s="1400">
        <f>stayCtry[[#This Row],[out]]-stayCtry[[#This Row],[in]]</f>
        <v/>
      </c>
      <c r="AO168" s="1406">
        <f>IF(AI168&lt;&gt;"",AO167+1,AO167)</f>
        <v/>
      </c>
      <c r="AP168" s="1398" t="inlineStr">
        <is>
          <t>.</t>
        </is>
      </c>
      <c r="AQ168" s="1402" t="n"/>
      <c r="AR168" s="1403" t="n"/>
      <c r="AS168" s="1403" t="n"/>
      <c r="AT168" s="1400">
        <f>AQ168</f>
        <v/>
      </c>
      <c r="AU168" s="1405">
        <f>AR168</f>
        <v/>
      </c>
      <c r="AV168" s="1405">
        <f>AS168</f>
        <v/>
      </c>
      <c r="AW168" s="1400">
        <f>stayCont[[#This Row],[out]]-stayCont[[#This Row],[in]]</f>
        <v/>
      </c>
      <c r="AX168" s="1406">
        <f>IF(AR168&lt;&gt;"",AX167+1,AX167)</f>
        <v/>
      </c>
      <c r="AY168" s="1398" t="inlineStr">
        <is>
          <t>.</t>
        </is>
      </c>
      <c r="AZ168" s="1402" t="n"/>
      <c r="BA168" s="1403" t="n"/>
      <c r="BB168" s="1403" t="n"/>
      <c r="BC168" s="1405">
        <f>AZ168</f>
        <v/>
      </c>
      <c r="BD168" s="1405">
        <f>BA168</f>
        <v/>
      </c>
      <c r="BE168" s="1405">
        <f>BB168</f>
        <v/>
      </c>
      <c r="BF168" s="1400">
        <f>stayWB[[#This Row],[out]]-stayWB[[#This Row],[in]]</f>
        <v/>
      </c>
      <c r="BG168" s="1400">
        <f>IF(BB168&lt;&gt;"",BG167+1,BG167)</f>
        <v/>
      </c>
      <c r="BH168" s="1398" t="inlineStr">
        <is>
          <t>.</t>
        </is>
      </c>
      <c r="BI168" s="1402" t="inlineStr">
        <is>
          <t>BRA</t>
        </is>
      </c>
      <c r="BJ168" s="1402" t="n">
        <v>2010</v>
      </c>
      <c r="BK168" s="1400">
        <f>BI168</f>
        <v/>
      </c>
      <c r="BL168" s="1409">
        <f>BJ168</f>
        <v/>
      </c>
      <c r="BM168" s="1378" t="inlineStr">
        <is>
          <t>.</t>
        </is>
      </c>
      <c r="BN168" s="1411" t="inlineStr">
        <is>
          <t>B</t>
        </is>
      </c>
      <c r="BO168" s="1400">
        <f>BN168</f>
        <v/>
      </c>
      <c r="BP168" s="1398" t="inlineStr">
        <is>
          <t>.</t>
        </is>
      </c>
      <c r="BQ168" s="1400">
        <f>IF(BR168&lt;&gt;"",BQ167+1,BQ167)</f>
        <v/>
      </c>
      <c r="BR168" s="1411" t="inlineStr">
        <is>
          <t>Madrid</t>
        </is>
      </c>
      <c r="BS168" s="1411" t="inlineStr">
        <is>
          <t>London</t>
        </is>
      </c>
      <c r="BT168" s="1412" t="inlineStr">
        <is>
          <t>Madrid-London</t>
        </is>
      </c>
      <c r="BU168" s="1412" t="n">
        <v>39253</v>
      </c>
      <c r="BV168" s="1398" t="inlineStr">
        <is>
          <t>.</t>
        </is>
      </c>
      <c r="BW168" s="1392" t="n"/>
      <c r="BX168" s="1392" t="n"/>
      <c r="BY168" s="1392" t="n"/>
      <c r="BZ168" s="1416" t="n"/>
      <c r="CA168" s="1392" t="n"/>
      <c r="CB168" s="1398" t="inlineStr">
        <is>
          <t>.</t>
        </is>
      </c>
      <c r="CC168" s="1400">
        <f>IF(CD168&lt;&gt;"",CC167+1,CC167)</f>
        <v/>
      </c>
      <c r="CD168" s="1411" t="inlineStr">
        <is>
          <t>Porciuncula/BCN</t>
        </is>
      </c>
      <c r="CE168" s="1412" t="n">
        <v>43430</v>
      </c>
      <c r="CF168" s="1412" t="n">
        <v>43433</v>
      </c>
      <c r="CG168" s="1415">
        <f>CF168-CE168</f>
        <v/>
      </c>
      <c r="CH168" s="1398" t="inlineStr">
        <is>
          <t>.</t>
        </is>
      </c>
      <c r="CI168" s="1392" t="n"/>
      <c r="CJ168" s="1392" t="n"/>
      <c r="CK168" s="1392" t="n"/>
      <c r="CL168" s="1392" t="n"/>
    </row>
    <row r="169">
      <c r="A169" s="5" t="inlineStr">
        <is>
          <t>.</t>
        </is>
      </c>
      <c r="B169" s="5" t="inlineStr">
        <is>
          <t>.</t>
        </is>
      </c>
      <c r="C169" s="1378">
        <f>IF(raw[[#This Row],[city]]="","-",IF(raw[[#This Row],[city]]="TODAY","-",C168+1))</f>
        <v/>
      </c>
      <c r="D169" s="1393" t="inlineStr">
        <is>
          <t>Basel</t>
        </is>
      </c>
      <c r="E169" s="1394" t="n">
        <v>32029</v>
      </c>
      <c r="F169" s="1394" t="n">
        <v>32029</v>
      </c>
      <c r="G169" s="1393" t="inlineStr">
        <is>
          <t>-</t>
        </is>
      </c>
      <c r="H169" s="1393">
        <f>H168</f>
        <v/>
      </c>
      <c r="I169" s="1393" t="inlineStr">
        <is>
          <t>-</t>
        </is>
      </c>
      <c r="J169" s="1393" t="inlineStr">
        <is>
          <t>-</t>
        </is>
      </c>
      <c r="K169" s="1395">
        <f>IF(raw[[#This Row],[city]]&lt;&gt;"",_xlfn.XLOOKUP($D169,ccc[city],ccc[prov],"-"),"-")</f>
        <v/>
      </c>
      <c r="L169" s="1395">
        <f>IF(raw[[#This Row],[city]]&lt;&gt;"",_xlfn.XLOOKUP($D169,ccc[city],ccc[ctry],"-"),"-")</f>
        <v/>
      </c>
      <c r="M169" s="1395">
        <f>IF(raw[[#This Row],[city]]&lt;&gt;"",_xlfn.XLOOKUP($D169,ccc[city],ccc[cont],"-"),"-")</f>
        <v/>
      </c>
      <c r="N169" s="1396">
        <f>IF(raw[[#This Row],[city]]="","-",IF(raw[[#This Row],[cont]]="B",raw[[#This Row],[cont]],"W"))</f>
        <v/>
      </c>
      <c r="O169" s="1397">
        <f>IF(raw[[#This Row],[out]]=0,0,IF(raw[[#This Row],[out]]=raw[[#This Row],[in]],0.01,raw[[#This Row],[out]]-raw[[#This Row],[in]]))</f>
        <v/>
      </c>
      <c r="P169" s="1397">
        <f>IF(raw[[#This Row],[in]]=0,0,MONTH(raw[[#This Row],[in]]))</f>
        <v/>
      </c>
      <c r="Q169" s="1397">
        <f>IF(raw[[#This Row],[in]]=0,0,YEAR(raw[[#This Row],[in]]))</f>
        <v/>
      </c>
      <c r="R169" s="1397">
        <f>INT(raw[[#This Row],[yr]]/10)*10</f>
        <v/>
      </c>
      <c r="S169" s="1395">
        <f>IF(raw[[#This Row],[city]]="","-",IF(raw[[#This Row],[city]]&lt;&gt;_xlfn.XLOOKUP(raw[[#This Row],[home]],homes[home],homes[city],"-"),1,0))</f>
        <v/>
      </c>
      <c r="T169" s="1398" t="inlineStr">
        <is>
          <t>.</t>
        </is>
      </c>
      <c r="U169" s="1399">
        <f>IF(raw[[#This Row],[wb]]="w",raw[[#This Row],[stay]]+U168,U168)</f>
        <v/>
      </c>
      <c r="V169" s="1400">
        <f>IF(raw[[#This Row],[out]]=0,V168,(raw[[#This Row],[out]]-E$5))</f>
        <v/>
      </c>
      <c r="W169" s="1401">
        <f>U169/V169</f>
        <v/>
      </c>
      <c r="X169" s="1378" t="inlineStr">
        <is>
          <t>.</t>
        </is>
      </c>
      <c r="Y169" s="1402">
        <f/>
        <v/>
      </c>
      <c r="Z169" s="1403">
        <f/>
        <v/>
      </c>
      <c r="AA169" s="1403">
        <f/>
        <v/>
      </c>
      <c r="AB169" s="1400">
        <f t="array" ref="AB169">_xlfn.LET(_xlpm.S,_xlfn.ANCHORARRAY($Y$4),_xlpm.r,ROWS(stayCity[[#Headers],[city]]:stayCity[[#This Row],[city]])-1,IF(_xlpm.r&lt;=ROWS(_xlpm.S),INDEX(_xlpm.S,_xlpm.r,1),""))</f>
        <v/>
      </c>
      <c r="AC169" s="1405">
        <f t="array" ref="AC169">_xlfn.LET(_xlpm.S,_xlfn.ANCHORARRAY($Y$4),_xlpm.r,ROWS(stayCity[[#Headers],[city]]:stayCity[[#This Row],[city]])-1,IF(_xlpm.r&lt;=ROWS(_xlpm.S),INDEX(_xlpm.S,_xlpm.r,2),""))</f>
        <v/>
      </c>
      <c r="AD169" s="1405">
        <f t="array" ref="AD169">_xlfn.LET(_xlpm.S,_xlfn.ANCHORARRAY($Y$4),_xlpm.r,ROWS(stayCity[[#Headers],[city]]:stayCity[[#This Row],[city]])-1,IF(_xlpm.r&lt;=ROWS(_xlpm.S),INDEX(_xlpm.S,_xlpm.r,3),""))</f>
        <v/>
      </c>
      <c r="AE169" s="1400">
        <f>IF(stayCity[[#This Row],[out]]&lt;&gt;"",stayCity[[#This Row],[out]]-stayCity[[#This Row],[in]],"-")</f>
        <v/>
      </c>
      <c r="AF169" s="1406">
        <f>IF(Y169="","-",YEAR(stayCity[[#This Row],[in]]))</f>
        <v/>
      </c>
      <c r="AG169" s="1398" t="inlineStr">
        <is>
          <t>.</t>
        </is>
      </c>
      <c r="AH169" s="1402">
        <f/>
        <v/>
      </c>
      <c r="AI169" s="1403">
        <f/>
        <v/>
      </c>
      <c r="AJ169" s="1403">
        <f/>
        <v/>
      </c>
      <c r="AK169" s="1400">
        <f>IF(AH169="","-",AH169)</f>
        <v/>
      </c>
      <c r="AL169" s="1405">
        <f>AI169</f>
        <v/>
      </c>
      <c r="AM169" s="1405">
        <f>AJ169</f>
        <v/>
      </c>
      <c r="AN169" s="1400">
        <f>stayCtry[[#This Row],[out]]-stayCtry[[#This Row],[in]]</f>
        <v/>
      </c>
      <c r="AO169" s="1406">
        <f>IF(AI169&lt;&gt;"",AO168+1,AO168)</f>
        <v/>
      </c>
      <c r="AP169" s="1398" t="inlineStr">
        <is>
          <t>.</t>
        </is>
      </c>
      <c r="AQ169" s="1402" t="n"/>
      <c r="AR169" s="1403" t="n"/>
      <c r="AS169" s="1403" t="n"/>
      <c r="AT169" s="1400">
        <f>AQ169</f>
        <v/>
      </c>
      <c r="AU169" s="1405">
        <f>AR169</f>
        <v/>
      </c>
      <c r="AV169" s="1405">
        <f>AS169</f>
        <v/>
      </c>
      <c r="AW169" s="1400">
        <f>stayCont[[#This Row],[out]]-stayCont[[#This Row],[in]]</f>
        <v/>
      </c>
      <c r="AX169" s="1406">
        <f>IF(AR169&lt;&gt;"",AX168+1,AX168)</f>
        <v/>
      </c>
      <c r="AY169" s="1398" t="inlineStr">
        <is>
          <t>.</t>
        </is>
      </c>
      <c r="AZ169" s="1402" t="n"/>
      <c r="BA169" s="1403" t="n"/>
      <c r="BB169" s="1403" t="n"/>
      <c r="BC169" s="1405">
        <f>AZ169</f>
        <v/>
      </c>
      <c r="BD169" s="1405">
        <f>BA169</f>
        <v/>
      </c>
      <c r="BE169" s="1405">
        <f>BB169</f>
        <v/>
      </c>
      <c r="BF169" s="1400">
        <f>stayWB[[#This Row],[out]]-stayWB[[#This Row],[in]]</f>
        <v/>
      </c>
      <c r="BG169" s="1400">
        <f>IF(BB169&lt;&gt;"",BG168+1,BG168)</f>
        <v/>
      </c>
      <c r="BH169" s="1398" t="inlineStr">
        <is>
          <t>.</t>
        </is>
      </c>
      <c r="BI169" s="1402" t="inlineStr">
        <is>
          <t>ARG</t>
        </is>
      </c>
      <c r="BJ169" s="1402" t="n">
        <v>2010</v>
      </c>
      <c r="BK169" s="1400">
        <f>BI169</f>
        <v/>
      </c>
      <c r="BL169" s="1409">
        <f>BJ169</f>
        <v/>
      </c>
      <c r="BM169" s="1378" t="inlineStr">
        <is>
          <t>.</t>
        </is>
      </c>
      <c r="BN169" s="1411" t="inlineStr">
        <is>
          <t>Z</t>
        </is>
      </c>
      <c r="BO169" s="1400">
        <f>BN169</f>
        <v/>
      </c>
      <c r="BP169" s="1398" t="inlineStr">
        <is>
          <t>.</t>
        </is>
      </c>
      <c r="BQ169" s="1400">
        <f>IF(BR169&lt;&gt;"",BQ168+1,BQ168)</f>
        <v/>
      </c>
      <c r="BR169" s="1411" t="inlineStr">
        <is>
          <t>Barcelona</t>
        </is>
      </c>
      <c r="BS169" s="1411" t="inlineStr">
        <is>
          <t>Berlin</t>
        </is>
      </c>
      <c r="BT169" s="1412" t="inlineStr">
        <is>
          <t>Barcelona-Berlin</t>
        </is>
      </c>
      <c r="BU169" s="1412" t="n">
        <v>39327</v>
      </c>
      <c r="BV169" s="1398" t="inlineStr">
        <is>
          <t>.</t>
        </is>
      </c>
      <c r="BW169" s="1392" t="n"/>
      <c r="BX169" s="1392" t="n"/>
      <c r="BY169" s="1392" t="n"/>
      <c r="BZ169" s="1416" t="n"/>
      <c r="CA169" s="1392" t="n"/>
      <c r="CB169" s="1398" t="inlineStr">
        <is>
          <t>.</t>
        </is>
      </c>
      <c r="CC169" s="1400">
        <f>IF(CD169&lt;&gt;"",CC168+1,CC168)</f>
        <v/>
      </c>
      <c r="CD169" s="1411" t="inlineStr">
        <is>
          <t>Ondina</t>
        </is>
      </c>
      <c r="CE169" s="1412" t="n">
        <v>43516</v>
      </c>
      <c r="CF169" s="1412" t="n">
        <v>43523</v>
      </c>
      <c r="CG169" s="1415">
        <f>CF169-CE169</f>
        <v/>
      </c>
      <c r="CH169" s="1398" t="inlineStr">
        <is>
          <t>.</t>
        </is>
      </c>
      <c r="CI169" s="1392" t="n"/>
      <c r="CJ169" s="1392" t="n"/>
      <c r="CK169" s="1392" t="n"/>
      <c r="CL169" s="1392" t="n"/>
    </row>
    <row r="170">
      <c r="A170" s="5" t="inlineStr">
        <is>
          <t>.</t>
        </is>
      </c>
      <c r="B170" s="5" t="inlineStr">
        <is>
          <t>.</t>
        </is>
      </c>
      <c r="C170" s="1378">
        <f>IF(raw[[#This Row],[city]]="","-",IF(raw[[#This Row],[city]]="TODAY","-",C169+1))</f>
        <v/>
      </c>
      <c r="D170" s="1393" t="inlineStr">
        <is>
          <t>Bern</t>
        </is>
      </c>
      <c r="E170" s="1394" t="n">
        <v>32029</v>
      </c>
      <c r="F170" s="1394" t="n">
        <v>32029</v>
      </c>
      <c r="G170" s="1393" t="inlineStr">
        <is>
          <t>-</t>
        </is>
      </c>
      <c r="H170" s="1393">
        <f>H169</f>
        <v/>
      </c>
      <c r="I170" s="1393" t="inlineStr">
        <is>
          <t>-</t>
        </is>
      </c>
      <c r="J170" s="1393" t="inlineStr">
        <is>
          <t>-</t>
        </is>
      </c>
      <c r="K170" s="1395">
        <f>IF(raw[[#This Row],[city]]&lt;&gt;"",_xlfn.XLOOKUP($D170,ccc[city],ccc[prov],"-"),"-")</f>
        <v/>
      </c>
      <c r="L170" s="1395">
        <f>IF(raw[[#This Row],[city]]&lt;&gt;"",_xlfn.XLOOKUP($D170,ccc[city],ccc[ctry],"-"),"-")</f>
        <v/>
      </c>
      <c r="M170" s="1395">
        <f>IF(raw[[#This Row],[city]]&lt;&gt;"",_xlfn.XLOOKUP($D170,ccc[city],ccc[cont],"-"),"-")</f>
        <v/>
      </c>
      <c r="N170" s="1396">
        <f>IF(raw[[#This Row],[city]]="","-",IF(raw[[#This Row],[cont]]="B",raw[[#This Row],[cont]],"W"))</f>
        <v/>
      </c>
      <c r="O170" s="1397">
        <f>IF(raw[[#This Row],[out]]=0,0,IF(raw[[#This Row],[out]]=raw[[#This Row],[in]],0.01,raw[[#This Row],[out]]-raw[[#This Row],[in]]))</f>
        <v/>
      </c>
      <c r="P170" s="1397">
        <f>IF(raw[[#This Row],[in]]=0,0,MONTH(raw[[#This Row],[in]]))</f>
        <v/>
      </c>
      <c r="Q170" s="1397">
        <f>IF(raw[[#This Row],[in]]=0,0,YEAR(raw[[#This Row],[in]]))</f>
        <v/>
      </c>
      <c r="R170" s="1397">
        <f>INT(raw[[#This Row],[yr]]/10)*10</f>
        <v/>
      </c>
      <c r="S170" s="1395">
        <f>IF(raw[[#This Row],[city]]="","-",IF(raw[[#This Row],[city]]&lt;&gt;_xlfn.XLOOKUP(raw[[#This Row],[home]],homes[home],homes[city],"-"),1,0))</f>
        <v/>
      </c>
      <c r="T170" s="1398" t="inlineStr">
        <is>
          <t>.</t>
        </is>
      </c>
      <c r="U170" s="1399">
        <f>IF(raw[[#This Row],[wb]]="w",raw[[#This Row],[stay]]+U169,U169)</f>
        <v/>
      </c>
      <c r="V170" s="1400">
        <f>IF(raw[[#This Row],[out]]=0,V169,(raw[[#This Row],[out]]-E$5))</f>
        <v/>
      </c>
      <c r="W170" s="1401">
        <f>U170/V170</f>
        <v/>
      </c>
      <c r="X170" s="1378" t="inlineStr">
        <is>
          <t>.</t>
        </is>
      </c>
      <c r="Y170" s="1402">
        <f/>
        <v/>
      </c>
      <c r="Z170" s="1403">
        <f/>
        <v/>
      </c>
      <c r="AA170" s="1403">
        <f/>
        <v/>
      </c>
      <c r="AB170" s="1400">
        <f t="array" ref="AB170">_xlfn.LET(_xlpm.S,_xlfn.ANCHORARRAY($Y$4),_xlpm.r,ROWS(stayCity[[#Headers],[city]]:stayCity[[#This Row],[city]])-1,IF(_xlpm.r&lt;=ROWS(_xlpm.S),INDEX(_xlpm.S,_xlpm.r,1),""))</f>
        <v/>
      </c>
      <c r="AC170" s="1405">
        <f t="array" ref="AC170">_xlfn.LET(_xlpm.S,_xlfn.ANCHORARRAY($Y$4),_xlpm.r,ROWS(stayCity[[#Headers],[city]]:stayCity[[#This Row],[city]])-1,IF(_xlpm.r&lt;=ROWS(_xlpm.S),INDEX(_xlpm.S,_xlpm.r,2),""))</f>
        <v/>
      </c>
      <c r="AD170" s="1405">
        <f t="array" ref="AD170">_xlfn.LET(_xlpm.S,_xlfn.ANCHORARRAY($Y$4),_xlpm.r,ROWS(stayCity[[#Headers],[city]]:stayCity[[#This Row],[city]])-1,IF(_xlpm.r&lt;=ROWS(_xlpm.S),INDEX(_xlpm.S,_xlpm.r,3),""))</f>
        <v/>
      </c>
      <c r="AE170" s="1400">
        <f>IF(stayCity[[#This Row],[out]]&lt;&gt;"",stayCity[[#This Row],[out]]-stayCity[[#This Row],[in]],"-")</f>
        <v/>
      </c>
      <c r="AF170" s="1406">
        <f>IF(Y170="","-",YEAR(stayCity[[#This Row],[in]]))</f>
        <v/>
      </c>
      <c r="AG170" s="1398" t="inlineStr">
        <is>
          <t>.</t>
        </is>
      </c>
      <c r="AH170" s="1402">
        <f/>
        <v/>
      </c>
      <c r="AI170" s="1403">
        <f/>
        <v/>
      </c>
      <c r="AJ170" s="1403">
        <f/>
        <v/>
      </c>
      <c r="AK170" s="1400">
        <f>IF(AH170="","-",AH170)</f>
        <v/>
      </c>
      <c r="AL170" s="1405">
        <f>AI170</f>
        <v/>
      </c>
      <c r="AM170" s="1405">
        <f>AJ170</f>
        <v/>
      </c>
      <c r="AN170" s="1400">
        <f>stayCtry[[#This Row],[out]]-stayCtry[[#This Row],[in]]</f>
        <v/>
      </c>
      <c r="AO170" s="1406">
        <f>IF(AI170&lt;&gt;"",AO169+1,AO169)</f>
        <v/>
      </c>
      <c r="AP170" s="1398" t="inlineStr">
        <is>
          <t>.</t>
        </is>
      </c>
      <c r="AQ170" s="1402" t="n"/>
      <c r="AR170" s="1403" t="n"/>
      <c r="AS170" s="1403" t="n"/>
      <c r="AT170" s="1400">
        <f>AQ170</f>
        <v/>
      </c>
      <c r="AU170" s="1405">
        <f>AR170</f>
        <v/>
      </c>
      <c r="AV170" s="1405">
        <f>AS170</f>
        <v/>
      </c>
      <c r="AW170" s="1400">
        <f>stayCont[[#This Row],[out]]-stayCont[[#This Row],[in]]</f>
        <v/>
      </c>
      <c r="AX170" s="1406">
        <f>IF(AR170&lt;&gt;"",AX169+1,AX169)</f>
        <v/>
      </c>
      <c r="AY170" s="1398" t="inlineStr">
        <is>
          <t>.</t>
        </is>
      </c>
      <c r="AZ170" s="1402" t="n"/>
      <c r="BA170" s="1403" t="n"/>
      <c r="BB170" s="1403" t="n"/>
      <c r="BC170" s="1405">
        <f>AZ170</f>
        <v/>
      </c>
      <c r="BD170" s="1405">
        <f>BA170</f>
        <v/>
      </c>
      <c r="BE170" s="1405">
        <f>BB170</f>
        <v/>
      </c>
      <c r="BF170" s="1400">
        <f>stayWB[[#This Row],[out]]-stayWB[[#This Row],[in]]</f>
        <v/>
      </c>
      <c r="BG170" s="1400">
        <f>IF(BB170&lt;&gt;"",BG169+1,BG169)</f>
        <v/>
      </c>
      <c r="BH170" s="1398" t="inlineStr">
        <is>
          <t>.</t>
        </is>
      </c>
      <c r="BI170" s="1402" t="inlineStr">
        <is>
          <t>BRA</t>
        </is>
      </c>
      <c r="BJ170" s="1402" t="n">
        <v>2010</v>
      </c>
      <c r="BK170" s="1400">
        <f>BI170</f>
        <v/>
      </c>
      <c r="BL170" s="1409">
        <f>BJ170</f>
        <v/>
      </c>
      <c r="BM170" s="1378" t="inlineStr">
        <is>
          <t>.</t>
        </is>
      </c>
      <c r="BN170" s="1411" t="inlineStr">
        <is>
          <t>E</t>
        </is>
      </c>
      <c r="BO170" s="1400">
        <f>BN170</f>
        <v/>
      </c>
      <c r="BP170" s="1398" t="inlineStr">
        <is>
          <t>.</t>
        </is>
      </c>
      <c r="BQ170" s="1400">
        <f>IF(BR170&lt;&gt;"",BQ169+1,BQ169)</f>
        <v/>
      </c>
      <c r="BR170" s="1411" t="inlineStr">
        <is>
          <t>Berlin</t>
        </is>
      </c>
      <c r="BS170" s="1411" t="inlineStr">
        <is>
          <t>London</t>
        </is>
      </c>
      <c r="BT170" s="1412" t="inlineStr">
        <is>
          <t>Berlin-London</t>
        </is>
      </c>
      <c r="BU170" s="1412" t="n">
        <v>39347</v>
      </c>
      <c r="BV170" s="1398" t="inlineStr">
        <is>
          <t>.</t>
        </is>
      </c>
      <c r="BW170" s="1392" t="n"/>
      <c r="BX170" s="1392" t="n"/>
      <c r="BY170" s="1392" t="n"/>
      <c r="BZ170" s="1416" t="n"/>
      <c r="CA170" s="1392" t="n"/>
      <c r="CB170" s="1398" t="inlineStr">
        <is>
          <t>.</t>
        </is>
      </c>
      <c r="CC170" s="1400">
        <f>IF(CD170&lt;&gt;"",CC169+1,CC169)</f>
        <v/>
      </c>
      <c r="CD170" s="1411" t="inlineStr">
        <is>
          <t>tia Vera/praia</t>
        </is>
      </c>
      <c r="CE170" s="1412" t="n">
        <v>43523</v>
      </c>
      <c r="CF170" s="1412" t="n">
        <v>43530</v>
      </c>
      <c r="CG170" s="1415">
        <f>CF170-CE170</f>
        <v/>
      </c>
      <c r="CH170" s="1398" t="inlineStr">
        <is>
          <t>.</t>
        </is>
      </c>
      <c r="CI170" s="1392" t="n"/>
      <c r="CJ170" s="1392" t="n"/>
      <c r="CK170" s="1392" t="n"/>
      <c r="CL170" s="1392" t="n"/>
    </row>
    <row r="171">
      <c r="A171" s="5" t="inlineStr">
        <is>
          <t>.</t>
        </is>
      </c>
      <c r="B171" s="5" t="inlineStr">
        <is>
          <t>.</t>
        </is>
      </c>
      <c r="C171" s="1378">
        <f>IF(raw[[#This Row],[city]]="","-",IF(raw[[#This Row],[city]]="TODAY","-",C170+1))</f>
        <v/>
      </c>
      <c r="D171" s="1393" t="inlineStr">
        <is>
          <t>Basel</t>
        </is>
      </c>
      <c r="E171" s="1394" t="n">
        <v>32029</v>
      </c>
      <c r="F171" s="1394" t="n">
        <v>32030</v>
      </c>
      <c r="G171" s="1393" t="inlineStr">
        <is>
          <t>-</t>
        </is>
      </c>
      <c r="H171" s="1393">
        <f>H170</f>
        <v/>
      </c>
      <c r="I171" s="1393" t="inlineStr">
        <is>
          <t>-</t>
        </is>
      </c>
      <c r="J171" s="1393" t="inlineStr">
        <is>
          <t>-</t>
        </is>
      </c>
      <c r="K171" s="1395">
        <f>IF(raw[[#This Row],[city]]&lt;&gt;"",_xlfn.XLOOKUP($D171,ccc[city],ccc[prov],"-"),"-")</f>
        <v/>
      </c>
      <c r="L171" s="1395">
        <f>IF(raw[[#This Row],[city]]&lt;&gt;"",_xlfn.XLOOKUP($D171,ccc[city],ccc[ctry],"-"),"-")</f>
        <v/>
      </c>
      <c r="M171" s="1395">
        <f>IF(raw[[#This Row],[city]]&lt;&gt;"",_xlfn.XLOOKUP($D171,ccc[city],ccc[cont],"-"),"-")</f>
        <v/>
      </c>
      <c r="N171" s="1396">
        <f>IF(raw[[#This Row],[city]]="","-",IF(raw[[#This Row],[cont]]="B",raw[[#This Row],[cont]],"W"))</f>
        <v/>
      </c>
      <c r="O171" s="1397">
        <f>IF(raw[[#This Row],[out]]=0,0,IF(raw[[#This Row],[out]]=raw[[#This Row],[in]],0.01,raw[[#This Row],[out]]-raw[[#This Row],[in]]))</f>
        <v/>
      </c>
      <c r="P171" s="1397">
        <f>IF(raw[[#This Row],[in]]=0,0,MONTH(raw[[#This Row],[in]]))</f>
        <v/>
      </c>
      <c r="Q171" s="1397">
        <f>IF(raw[[#This Row],[in]]=0,0,YEAR(raw[[#This Row],[in]]))</f>
        <v/>
      </c>
      <c r="R171" s="1397">
        <f>INT(raw[[#This Row],[yr]]/10)*10</f>
        <v/>
      </c>
      <c r="S171" s="1395">
        <f>IF(raw[[#This Row],[city]]="","-",IF(raw[[#This Row],[city]]&lt;&gt;_xlfn.XLOOKUP(raw[[#This Row],[home]],homes[home],homes[city],"-"),1,0))</f>
        <v/>
      </c>
      <c r="T171" s="1398" t="inlineStr">
        <is>
          <t>.</t>
        </is>
      </c>
      <c r="U171" s="1399">
        <f>IF(raw[[#This Row],[wb]]="w",raw[[#This Row],[stay]]+U170,U170)</f>
        <v/>
      </c>
      <c r="V171" s="1400">
        <f>IF(raw[[#This Row],[out]]=0,V170,(raw[[#This Row],[out]]-E$5))</f>
        <v/>
      </c>
      <c r="W171" s="1401">
        <f>U171/V171</f>
        <v/>
      </c>
      <c r="X171" s="1378" t="inlineStr">
        <is>
          <t>.</t>
        </is>
      </c>
      <c r="Y171" s="1402">
        <f/>
        <v/>
      </c>
      <c r="Z171" s="1403">
        <f/>
        <v/>
      </c>
      <c r="AA171" s="1403">
        <f/>
        <v/>
      </c>
      <c r="AB171" s="1400">
        <f t="array" ref="AB171">_xlfn.LET(_xlpm.S,_xlfn.ANCHORARRAY($Y$4),_xlpm.r,ROWS(stayCity[[#Headers],[city]]:stayCity[[#This Row],[city]])-1,IF(_xlpm.r&lt;=ROWS(_xlpm.S),INDEX(_xlpm.S,_xlpm.r,1),""))</f>
        <v/>
      </c>
      <c r="AC171" s="1405">
        <f t="array" ref="AC171">_xlfn.LET(_xlpm.S,_xlfn.ANCHORARRAY($Y$4),_xlpm.r,ROWS(stayCity[[#Headers],[city]]:stayCity[[#This Row],[city]])-1,IF(_xlpm.r&lt;=ROWS(_xlpm.S),INDEX(_xlpm.S,_xlpm.r,2),""))</f>
        <v/>
      </c>
      <c r="AD171" s="1405">
        <f t="array" ref="AD171">_xlfn.LET(_xlpm.S,_xlfn.ANCHORARRAY($Y$4),_xlpm.r,ROWS(stayCity[[#Headers],[city]]:stayCity[[#This Row],[city]])-1,IF(_xlpm.r&lt;=ROWS(_xlpm.S),INDEX(_xlpm.S,_xlpm.r,3),""))</f>
        <v/>
      </c>
      <c r="AE171" s="1400">
        <f>IF(stayCity[[#This Row],[out]]&lt;&gt;"",stayCity[[#This Row],[out]]-stayCity[[#This Row],[in]],"-")</f>
        <v/>
      </c>
      <c r="AF171" s="1406">
        <f>IF(Y171="","-",YEAR(stayCity[[#This Row],[in]]))</f>
        <v/>
      </c>
      <c r="AG171" s="1398" t="inlineStr">
        <is>
          <t>.</t>
        </is>
      </c>
      <c r="AH171" s="1402">
        <f/>
        <v/>
      </c>
      <c r="AI171" s="1403">
        <f/>
        <v/>
      </c>
      <c r="AJ171" s="1403">
        <f/>
        <v/>
      </c>
      <c r="AK171" s="1400">
        <f>IF(AH171="","-",AH171)</f>
        <v/>
      </c>
      <c r="AL171" s="1405">
        <f>AI171</f>
        <v/>
      </c>
      <c r="AM171" s="1405">
        <f>AJ171</f>
        <v/>
      </c>
      <c r="AN171" s="1400">
        <f>stayCtry[[#This Row],[out]]-stayCtry[[#This Row],[in]]</f>
        <v/>
      </c>
      <c r="AO171" s="1406">
        <f>IF(AI171&lt;&gt;"",AO170+1,AO170)</f>
        <v/>
      </c>
      <c r="AP171" s="1398" t="inlineStr">
        <is>
          <t>.</t>
        </is>
      </c>
      <c r="AQ171" s="1402" t="n"/>
      <c r="AR171" s="1403" t="n"/>
      <c r="AS171" s="1403" t="n"/>
      <c r="AT171" s="1400">
        <f>AQ171</f>
        <v/>
      </c>
      <c r="AU171" s="1405">
        <f>AR171</f>
        <v/>
      </c>
      <c r="AV171" s="1405">
        <f>AS171</f>
        <v/>
      </c>
      <c r="AW171" s="1400">
        <f>stayCont[[#This Row],[out]]-stayCont[[#This Row],[in]]</f>
        <v/>
      </c>
      <c r="AX171" s="1406">
        <f>IF(AR171&lt;&gt;"",AX170+1,AX170)</f>
        <v/>
      </c>
      <c r="AY171" s="1398" t="inlineStr">
        <is>
          <t>.</t>
        </is>
      </c>
      <c r="AZ171" s="1402" t="n"/>
      <c r="BA171" s="1403" t="n"/>
      <c r="BB171" s="1403" t="n"/>
      <c r="BC171" s="1405">
        <f>AZ171</f>
        <v/>
      </c>
      <c r="BD171" s="1405">
        <f>BA171</f>
        <v/>
      </c>
      <c r="BE171" s="1405">
        <f>BB171</f>
        <v/>
      </c>
      <c r="BF171" s="1400">
        <f>stayWB[[#This Row],[out]]-stayWB[[#This Row],[in]]</f>
        <v/>
      </c>
      <c r="BG171" s="1400">
        <f>IF(BB171&lt;&gt;"",BG170+1,BG170)</f>
        <v/>
      </c>
      <c r="BH171" s="1398" t="inlineStr">
        <is>
          <t>.</t>
        </is>
      </c>
      <c r="BI171" s="1402" t="inlineStr">
        <is>
          <t>USA</t>
        </is>
      </c>
      <c r="BJ171" s="1402" t="n">
        <v>2011</v>
      </c>
      <c r="BK171" s="1400">
        <f>BI171</f>
        <v/>
      </c>
      <c r="BL171" s="1409">
        <f>BJ171</f>
        <v/>
      </c>
      <c r="BM171" s="1378" t="inlineStr">
        <is>
          <t>.</t>
        </is>
      </c>
      <c r="BN171" s="1411" t="n"/>
      <c r="BO171" s="1400">
        <f>BN171</f>
        <v/>
      </c>
      <c r="BP171" s="1398" t="inlineStr">
        <is>
          <t>.</t>
        </is>
      </c>
      <c r="BQ171" s="1400">
        <f>IF(BR171&lt;&gt;"",BQ170+1,BQ170)</f>
        <v/>
      </c>
      <c r="BR171" s="1411" t="inlineStr">
        <is>
          <t>London</t>
        </is>
      </c>
      <c r="BS171" s="1411" t="inlineStr">
        <is>
          <t>Madrid</t>
        </is>
      </c>
      <c r="BT171" s="1412" t="inlineStr">
        <is>
          <t>London-Madrid</t>
        </is>
      </c>
      <c r="BU171" s="1412" t="n">
        <v>39354</v>
      </c>
      <c r="BV171" s="1398" t="inlineStr">
        <is>
          <t>.</t>
        </is>
      </c>
      <c r="BW171" s="1392" t="n"/>
      <c r="BX171" s="1392" t="n"/>
      <c r="BY171" s="1392" t="n"/>
      <c r="BZ171" s="1416" t="n"/>
      <c r="CA171" s="1392" t="n"/>
      <c r="CB171" s="1398" t="inlineStr">
        <is>
          <t>.</t>
        </is>
      </c>
      <c r="CC171" s="1400">
        <f>IF(CD171&lt;&gt;"",CC170+1,CC170)</f>
        <v/>
      </c>
      <c r="CD171" s="1411" t="inlineStr">
        <is>
          <t>Ondina</t>
        </is>
      </c>
      <c r="CE171" s="1412" t="n">
        <v>43530</v>
      </c>
      <c r="CF171" s="1412" t="n">
        <v>43538</v>
      </c>
      <c r="CG171" s="1415">
        <f>CF171-CE171</f>
        <v/>
      </c>
      <c r="CH171" s="1398" t="inlineStr">
        <is>
          <t>.</t>
        </is>
      </c>
      <c r="CI171" s="1392" t="n"/>
      <c r="CJ171" s="1392" t="n"/>
      <c r="CK171" s="1392" t="n"/>
      <c r="CL171" s="1392" t="n"/>
    </row>
    <row r="172">
      <c r="A172" s="5" t="inlineStr">
        <is>
          <t>.</t>
        </is>
      </c>
      <c r="B172" s="5" t="inlineStr">
        <is>
          <t>.</t>
        </is>
      </c>
      <c r="C172" s="1378">
        <f>IF(raw[[#This Row],[city]]="","-",IF(raw[[#This Row],[city]]="TODAY","-",C171+1))</f>
        <v/>
      </c>
      <c r="D172" s="1393" t="inlineStr">
        <is>
          <t>Colmar</t>
        </is>
      </c>
      <c r="E172" s="1394" t="n">
        <v>32030</v>
      </c>
      <c r="F172" s="1394" t="n">
        <v>32030</v>
      </c>
      <c r="G172" s="1393" t="inlineStr">
        <is>
          <t>-</t>
        </is>
      </c>
      <c r="H172" s="1393">
        <f>H171</f>
        <v/>
      </c>
      <c r="I172" s="1393" t="inlineStr">
        <is>
          <t>-</t>
        </is>
      </c>
      <c r="J172" s="1393" t="inlineStr">
        <is>
          <t>-</t>
        </is>
      </c>
      <c r="K172" s="1395">
        <f>IF(raw[[#This Row],[city]]&lt;&gt;"",_xlfn.XLOOKUP($D172,ccc[city],ccc[prov],"-"),"-")</f>
        <v/>
      </c>
      <c r="L172" s="1395">
        <f>IF(raw[[#This Row],[city]]&lt;&gt;"",_xlfn.XLOOKUP($D172,ccc[city],ccc[ctry],"-"),"-")</f>
        <v/>
      </c>
      <c r="M172" s="1395">
        <f>IF(raw[[#This Row],[city]]&lt;&gt;"",_xlfn.XLOOKUP($D172,ccc[city],ccc[cont],"-"),"-")</f>
        <v/>
      </c>
      <c r="N172" s="1396">
        <f>IF(raw[[#This Row],[city]]="","-",IF(raw[[#This Row],[cont]]="B",raw[[#This Row],[cont]],"W"))</f>
        <v/>
      </c>
      <c r="O172" s="1397">
        <f>IF(raw[[#This Row],[out]]=0,0,IF(raw[[#This Row],[out]]=raw[[#This Row],[in]],0.01,raw[[#This Row],[out]]-raw[[#This Row],[in]]))</f>
        <v/>
      </c>
      <c r="P172" s="1397">
        <f>IF(raw[[#This Row],[in]]=0,0,MONTH(raw[[#This Row],[in]]))</f>
        <v/>
      </c>
      <c r="Q172" s="1397">
        <f>IF(raw[[#This Row],[in]]=0,0,YEAR(raw[[#This Row],[in]]))</f>
        <v/>
      </c>
      <c r="R172" s="1397">
        <f>INT(raw[[#This Row],[yr]]/10)*10</f>
        <v/>
      </c>
      <c r="S172" s="1395">
        <f>IF(raw[[#This Row],[city]]="","-",IF(raw[[#This Row],[city]]&lt;&gt;_xlfn.XLOOKUP(raw[[#This Row],[home]],homes[home],homes[city],"-"),1,0))</f>
        <v/>
      </c>
      <c r="T172" s="1398" t="inlineStr">
        <is>
          <t>.</t>
        </is>
      </c>
      <c r="U172" s="1399">
        <f>IF(raw[[#This Row],[wb]]="w",raw[[#This Row],[stay]]+U171,U171)</f>
        <v/>
      </c>
      <c r="V172" s="1400">
        <f>IF(raw[[#This Row],[out]]=0,V171,(raw[[#This Row],[out]]-E$5))</f>
        <v/>
      </c>
      <c r="W172" s="1401">
        <f>U172/V172</f>
        <v/>
      </c>
      <c r="X172" s="1378" t="inlineStr">
        <is>
          <t>.</t>
        </is>
      </c>
      <c r="Y172" s="1402">
        <f/>
        <v/>
      </c>
      <c r="Z172" s="1403">
        <f/>
        <v/>
      </c>
      <c r="AA172" s="1403">
        <f/>
        <v/>
      </c>
      <c r="AB172" s="1400">
        <f t="array" ref="AB172">_xlfn.LET(_xlpm.S,_xlfn.ANCHORARRAY($Y$4),_xlpm.r,ROWS(stayCity[[#Headers],[city]]:stayCity[[#This Row],[city]])-1,IF(_xlpm.r&lt;=ROWS(_xlpm.S),INDEX(_xlpm.S,_xlpm.r,1),""))</f>
        <v/>
      </c>
      <c r="AC172" s="1405">
        <f t="array" ref="AC172">_xlfn.LET(_xlpm.S,_xlfn.ANCHORARRAY($Y$4),_xlpm.r,ROWS(stayCity[[#Headers],[city]]:stayCity[[#This Row],[city]])-1,IF(_xlpm.r&lt;=ROWS(_xlpm.S),INDEX(_xlpm.S,_xlpm.r,2),""))</f>
        <v/>
      </c>
      <c r="AD172" s="1405">
        <f t="array" ref="AD172">_xlfn.LET(_xlpm.S,_xlfn.ANCHORARRAY($Y$4),_xlpm.r,ROWS(stayCity[[#Headers],[city]]:stayCity[[#This Row],[city]])-1,IF(_xlpm.r&lt;=ROWS(_xlpm.S),INDEX(_xlpm.S,_xlpm.r,3),""))</f>
        <v/>
      </c>
      <c r="AE172" s="1400">
        <f>IF(stayCity[[#This Row],[out]]&lt;&gt;"",stayCity[[#This Row],[out]]-stayCity[[#This Row],[in]],"-")</f>
        <v/>
      </c>
      <c r="AF172" s="1406">
        <f>IF(Y172="","-",YEAR(stayCity[[#This Row],[in]]))</f>
        <v/>
      </c>
      <c r="AG172" s="1398" t="inlineStr">
        <is>
          <t>.</t>
        </is>
      </c>
      <c r="AH172" s="1402">
        <f/>
        <v/>
      </c>
      <c r="AI172" s="1403">
        <f/>
        <v/>
      </c>
      <c r="AJ172" s="1403">
        <f/>
        <v/>
      </c>
      <c r="AK172" s="1400">
        <f>IF(AH172="","-",AH172)</f>
        <v/>
      </c>
      <c r="AL172" s="1405">
        <f>AI172</f>
        <v/>
      </c>
      <c r="AM172" s="1405">
        <f>AJ172</f>
        <v/>
      </c>
      <c r="AN172" s="1400">
        <f>stayCtry[[#This Row],[out]]-stayCtry[[#This Row],[in]]</f>
        <v/>
      </c>
      <c r="AO172" s="1406">
        <f>IF(AI172&lt;&gt;"",AO171+1,AO171)</f>
        <v/>
      </c>
      <c r="AP172" s="1398" t="inlineStr">
        <is>
          <t>.</t>
        </is>
      </c>
      <c r="AQ172" s="1402" t="n"/>
      <c r="AR172" s="1403" t="n"/>
      <c r="AS172" s="1403" t="n"/>
      <c r="AT172" s="1400">
        <f>AQ172</f>
        <v/>
      </c>
      <c r="AU172" s="1405">
        <f>AR172</f>
        <v/>
      </c>
      <c r="AV172" s="1405">
        <f>AS172</f>
        <v/>
      </c>
      <c r="AW172" s="1400">
        <f>stayCont[[#This Row],[out]]-stayCont[[#This Row],[in]]</f>
        <v/>
      </c>
      <c r="AX172" s="1406">
        <f>IF(AR172&lt;&gt;"",AX171+1,AX171)</f>
        <v/>
      </c>
      <c r="AY172" s="1398" t="inlineStr">
        <is>
          <t>.</t>
        </is>
      </c>
      <c r="AZ172" s="1402" t="n"/>
      <c r="BA172" s="1403" t="n"/>
      <c r="BB172" s="1403" t="n"/>
      <c r="BC172" s="1405">
        <f>AZ172</f>
        <v/>
      </c>
      <c r="BD172" s="1405">
        <f>BA172</f>
        <v/>
      </c>
      <c r="BE172" s="1405">
        <f>BB172</f>
        <v/>
      </c>
      <c r="BF172" s="1400">
        <f>stayWB[[#This Row],[out]]-stayWB[[#This Row],[in]]</f>
        <v/>
      </c>
      <c r="BG172" s="1400">
        <f>IF(BB172&lt;&gt;"",BG171+1,BG171)</f>
        <v/>
      </c>
      <c r="BH172" s="1398" t="inlineStr">
        <is>
          <t>.</t>
        </is>
      </c>
      <c r="BI172" s="1402" t="inlineStr">
        <is>
          <t>CAN</t>
        </is>
      </c>
      <c r="BJ172" s="1402" t="n">
        <v>2011</v>
      </c>
      <c r="BK172" s="1400">
        <f>BI172</f>
        <v/>
      </c>
      <c r="BL172" s="1409">
        <f>BJ172</f>
        <v/>
      </c>
      <c r="BM172" s="1378" t="inlineStr">
        <is>
          <t>.</t>
        </is>
      </c>
      <c r="BN172" s="1411" t="n"/>
      <c r="BO172" s="1400">
        <f>BN172</f>
        <v/>
      </c>
      <c r="BP172" s="1398" t="inlineStr">
        <is>
          <t>.</t>
        </is>
      </c>
      <c r="BQ172" s="1400">
        <f>IF(BR172&lt;&gt;"",BQ171+1,BQ171)</f>
        <v/>
      </c>
      <c r="BR172" s="1411" t="inlineStr">
        <is>
          <t>Madrid</t>
        </is>
      </c>
      <c r="BS172" s="1411" t="inlineStr">
        <is>
          <t>Lisbon</t>
        </is>
      </c>
      <c r="BT172" s="1412" t="inlineStr">
        <is>
          <t>Madrid-Lisbon</t>
        </is>
      </c>
      <c r="BU172" s="1412" t="n">
        <v>39355</v>
      </c>
      <c r="BV172" s="1398" t="inlineStr">
        <is>
          <t>.</t>
        </is>
      </c>
      <c r="BW172" s="1392" t="n"/>
      <c r="BX172" s="1392" t="n"/>
      <c r="BY172" s="1392" t="n"/>
      <c r="BZ172" s="1416" t="n"/>
      <c r="CA172" s="1392" t="n"/>
      <c r="CB172" s="1398" t="inlineStr">
        <is>
          <t>.</t>
        </is>
      </c>
      <c r="CC172" s="1400">
        <f>IF(CD172&lt;&gt;"",CC171+1,CC171)</f>
        <v/>
      </c>
      <c r="CD172" s="1411" t="inlineStr">
        <is>
          <t>Tatá/Venancio</t>
        </is>
      </c>
      <c r="CE172" s="1412" t="n">
        <v>43538</v>
      </c>
      <c r="CF172" s="1412" t="n">
        <v>43539</v>
      </c>
      <c r="CG172" s="1415">
        <f>CF172-CE172</f>
        <v/>
      </c>
      <c r="CH172" s="1398" t="inlineStr">
        <is>
          <t>.</t>
        </is>
      </c>
      <c r="CI172" s="1392" t="n"/>
      <c r="CJ172" s="1392" t="n"/>
      <c r="CK172" s="1392" t="n"/>
      <c r="CL172" s="1392" t="n"/>
    </row>
    <row r="173">
      <c r="A173" s="5" t="inlineStr">
        <is>
          <t>.</t>
        </is>
      </c>
      <c r="B173" s="5" t="inlineStr">
        <is>
          <t>.</t>
        </is>
      </c>
      <c r="C173" s="1378">
        <f>IF(raw[[#This Row],[city]]="","-",IF(raw[[#This Row],[city]]="TODAY","-",C172+1))</f>
        <v/>
      </c>
      <c r="D173" s="1393" t="inlineStr">
        <is>
          <t>Petite Venice</t>
        </is>
      </c>
      <c r="E173" s="1394" t="n">
        <v>32030</v>
      </c>
      <c r="F173" s="1394" t="n">
        <v>32031</v>
      </c>
      <c r="G173" s="1393" t="inlineStr">
        <is>
          <t>-</t>
        </is>
      </c>
      <c r="H173" s="1393">
        <f>H172</f>
        <v/>
      </c>
      <c r="I173" s="1393" t="inlineStr">
        <is>
          <t>-</t>
        </is>
      </c>
      <c r="J173" s="1393" t="inlineStr">
        <is>
          <t>-</t>
        </is>
      </c>
      <c r="K173" s="1395">
        <f>IF(raw[[#This Row],[city]]&lt;&gt;"",_xlfn.XLOOKUP($D173,ccc[city],ccc[prov],"-"),"-")</f>
        <v/>
      </c>
      <c r="L173" s="1395">
        <f>IF(raw[[#This Row],[city]]&lt;&gt;"",_xlfn.XLOOKUP($D173,ccc[city],ccc[ctry],"-"),"-")</f>
        <v/>
      </c>
      <c r="M173" s="1395">
        <f>IF(raw[[#This Row],[city]]&lt;&gt;"",_xlfn.XLOOKUP($D173,ccc[city],ccc[cont],"-"),"-")</f>
        <v/>
      </c>
      <c r="N173" s="1396">
        <f>IF(raw[[#This Row],[city]]="","-",IF(raw[[#This Row],[cont]]="B",raw[[#This Row],[cont]],"W"))</f>
        <v/>
      </c>
      <c r="O173" s="1397">
        <f>IF(raw[[#This Row],[out]]=0,0,IF(raw[[#This Row],[out]]=raw[[#This Row],[in]],0.01,raw[[#This Row],[out]]-raw[[#This Row],[in]]))</f>
        <v/>
      </c>
      <c r="P173" s="1397">
        <f>IF(raw[[#This Row],[in]]=0,0,MONTH(raw[[#This Row],[in]]))</f>
        <v/>
      </c>
      <c r="Q173" s="1397">
        <f>IF(raw[[#This Row],[in]]=0,0,YEAR(raw[[#This Row],[in]]))</f>
        <v/>
      </c>
      <c r="R173" s="1397">
        <f>INT(raw[[#This Row],[yr]]/10)*10</f>
        <v/>
      </c>
      <c r="S173" s="1395">
        <f>IF(raw[[#This Row],[city]]="","-",IF(raw[[#This Row],[city]]&lt;&gt;_xlfn.XLOOKUP(raw[[#This Row],[home]],homes[home],homes[city],"-"),1,0))</f>
        <v/>
      </c>
      <c r="T173" s="1398" t="inlineStr">
        <is>
          <t>.</t>
        </is>
      </c>
      <c r="U173" s="1399">
        <f>IF(raw[[#This Row],[wb]]="w",raw[[#This Row],[stay]]+U172,U172)</f>
        <v/>
      </c>
      <c r="V173" s="1400">
        <f>IF(raw[[#This Row],[out]]=0,V172,(raw[[#This Row],[out]]-E$5))</f>
        <v/>
      </c>
      <c r="W173" s="1401">
        <f>U173/V173</f>
        <v/>
      </c>
      <c r="X173" s="1378" t="inlineStr">
        <is>
          <t>.</t>
        </is>
      </c>
      <c r="Y173" s="1402">
        <f/>
        <v/>
      </c>
      <c r="Z173" s="1403">
        <f/>
        <v/>
      </c>
      <c r="AA173" s="1403">
        <f/>
        <v/>
      </c>
      <c r="AB173" s="1400">
        <f t="array" ref="AB173">_xlfn.LET(_xlpm.S,_xlfn.ANCHORARRAY($Y$4),_xlpm.r,ROWS(stayCity[[#Headers],[city]]:stayCity[[#This Row],[city]])-1,IF(_xlpm.r&lt;=ROWS(_xlpm.S),INDEX(_xlpm.S,_xlpm.r,1),""))</f>
        <v/>
      </c>
      <c r="AC173" s="1405">
        <f t="array" ref="AC173">_xlfn.LET(_xlpm.S,_xlfn.ANCHORARRAY($Y$4),_xlpm.r,ROWS(stayCity[[#Headers],[city]]:stayCity[[#This Row],[city]])-1,IF(_xlpm.r&lt;=ROWS(_xlpm.S),INDEX(_xlpm.S,_xlpm.r,2),""))</f>
        <v/>
      </c>
      <c r="AD173" s="1405">
        <f t="array" ref="AD173">_xlfn.LET(_xlpm.S,_xlfn.ANCHORARRAY($Y$4),_xlpm.r,ROWS(stayCity[[#Headers],[city]]:stayCity[[#This Row],[city]])-1,IF(_xlpm.r&lt;=ROWS(_xlpm.S),INDEX(_xlpm.S,_xlpm.r,3),""))</f>
        <v/>
      </c>
      <c r="AE173" s="1400">
        <f>IF(stayCity[[#This Row],[out]]&lt;&gt;"",stayCity[[#This Row],[out]]-stayCity[[#This Row],[in]],"-")</f>
        <v/>
      </c>
      <c r="AF173" s="1406">
        <f>IF(Y173="","-",YEAR(stayCity[[#This Row],[in]]))</f>
        <v/>
      </c>
      <c r="AG173" s="1398" t="inlineStr">
        <is>
          <t>.</t>
        </is>
      </c>
      <c r="AH173" s="1402">
        <f/>
        <v/>
      </c>
      <c r="AI173" s="1403">
        <f/>
        <v/>
      </c>
      <c r="AJ173" s="1403">
        <f/>
        <v/>
      </c>
      <c r="AK173" s="1400">
        <f>IF(AH173="","-",AH173)</f>
        <v/>
      </c>
      <c r="AL173" s="1405">
        <f>AI173</f>
        <v/>
      </c>
      <c r="AM173" s="1405">
        <f>AJ173</f>
        <v/>
      </c>
      <c r="AN173" s="1400">
        <f>stayCtry[[#This Row],[out]]-stayCtry[[#This Row],[in]]</f>
        <v/>
      </c>
      <c r="AO173" s="1406">
        <f>IF(AI173&lt;&gt;"",AO172+1,AO172)</f>
        <v/>
      </c>
      <c r="AP173" s="1398" t="inlineStr">
        <is>
          <t>.</t>
        </is>
      </c>
      <c r="AQ173" s="1402" t="n"/>
      <c r="AR173" s="1403" t="n"/>
      <c r="AS173" s="1403" t="n"/>
      <c r="AT173" s="1400">
        <f>AQ173</f>
        <v/>
      </c>
      <c r="AU173" s="1405">
        <f>AR173</f>
        <v/>
      </c>
      <c r="AV173" s="1405">
        <f>AS173</f>
        <v/>
      </c>
      <c r="AW173" s="1400">
        <f>stayCont[[#This Row],[out]]-stayCont[[#This Row],[in]]</f>
        <v/>
      </c>
      <c r="AX173" s="1406">
        <f>IF(AR173&lt;&gt;"",AX172+1,AX172)</f>
        <v/>
      </c>
      <c r="AY173" s="1398" t="inlineStr">
        <is>
          <t>.</t>
        </is>
      </c>
      <c r="AZ173" s="1402" t="n"/>
      <c r="BA173" s="1403" t="n"/>
      <c r="BB173" s="1403" t="n"/>
      <c r="BC173" s="1405">
        <f>AZ173</f>
        <v/>
      </c>
      <c r="BD173" s="1405">
        <f>BA173</f>
        <v/>
      </c>
      <c r="BE173" s="1405">
        <f>BB173</f>
        <v/>
      </c>
      <c r="BF173" s="1400">
        <f>stayWB[[#This Row],[out]]-stayWB[[#This Row],[in]]</f>
        <v/>
      </c>
      <c r="BG173" s="1400">
        <f>IF(BB173&lt;&gt;"",BG172+1,BG172)</f>
        <v/>
      </c>
      <c r="BH173" s="1398" t="inlineStr">
        <is>
          <t>.</t>
        </is>
      </c>
      <c r="BI173" s="1402" t="inlineStr">
        <is>
          <t>USA</t>
        </is>
      </c>
      <c r="BJ173" s="1402" t="n">
        <v>2012</v>
      </c>
      <c r="BK173" s="1400">
        <f>BI173</f>
        <v/>
      </c>
      <c r="BL173" s="1409">
        <f>BJ173</f>
        <v/>
      </c>
      <c r="BM173" s="1378" t="inlineStr">
        <is>
          <t>.</t>
        </is>
      </c>
      <c r="BN173" s="1411" t="n"/>
      <c r="BO173" s="1400">
        <f>BN173</f>
        <v/>
      </c>
      <c r="BP173" s="1398" t="inlineStr">
        <is>
          <t>.</t>
        </is>
      </c>
      <c r="BQ173" s="1400">
        <f>IF(BR173&lt;&gt;"",BQ172+1,BQ172)</f>
        <v/>
      </c>
      <c r="BR173" s="1411" t="inlineStr">
        <is>
          <t>Lisbon</t>
        </is>
      </c>
      <c r="BS173" s="1411" t="inlineStr">
        <is>
          <t>SSA</t>
        </is>
      </c>
      <c r="BT173" s="1412" t="inlineStr">
        <is>
          <t>Lisbon-SSA</t>
        </is>
      </c>
      <c r="BU173" s="1412" t="n">
        <v>39355</v>
      </c>
      <c r="BV173" s="1398" t="inlineStr">
        <is>
          <t>.</t>
        </is>
      </c>
      <c r="BW173" s="1392" t="n"/>
      <c r="BX173" s="1392" t="n"/>
      <c r="BY173" s="1392" t="n"/>
      <c r="BZ173" s="1416" t="n"/>
      <c r="CA173" s="1392" t="n"/>
      <c r="CB173" s="1398" t="inlineStr">
        <is>
          <t>.</t>
        </is>
      </c>
      <c r="CC173" s="1400">
        <f>IF(CD173&lt;&gt;"",CC172+1,CC172)</f>
        <v/>
      </c>
      <c r="CD173" s="1411" t="inlineStr">
        <is>
          <t>Ondina</t>
        </is>
      </c>
      <c r="CE173" s="1412" t="n">
        <v>43539</v>
      </c>
      <c r="CF173" s="1412" t="n">
        <v>43547</v>
      </c>
      <c r="CG173" s="1415">
        <f>CF173-CE173</f>
        <v/>
      </c>
      <c r="CH173" s="1398" t="inlineStr">
        <is>
          <t>.</t>
        </is>
      </c>
      <c r="CI173" s="1392" t="n"/>
      <c r="CJ173" s="1392" t="n"/>
      <c r="CK173" s="1392" t="n"/>
      <c r="CL173" s="1392" t="n"/>
    </row>
    <row r="174">
      <c r="A174" s="5" t="inlineStr">
        <is>
          <t>.</t>
        </is>
      </c>
      <c r="B174" s="5" t="inlineStr">
        <is>
          <t>.</t>
        </is>
      </c>
      <c r="C174" s="1378">
        <f>IF(raw[[#This Row],[city]]="","-",IF(raw[[#This Row],[city]]="TODAY","-",C173+1))</f>
        <v/>
      </c>
      <c r="D174" s="1393" t="inlineStr">
        <is>
          <t>Barr</t>
        </is>
      </c>
      <c r="E174" s="1394" t="n">
        <v>32031</v>
      </c>
      <c r="F174" s="1394" t="n">
        <v>32032</v>
      </c>
      <c r="G174" s="1393" t="inlineStr">
        <is>
          <t>-</t>
        </is>
      </c>
      <c r="H174" s="1393">
        <f>H173</f>
        <v/>
      </c>
      <c r="I174" s="1393" t="inlineStr">
        <is>
          <t>-</t>
        </is>
      </c>
      <c r="J174" s="1393" t="inlineStr">
        <is>
          <t>-</t>
        </is>
      </c>
      <c r="K174" s="1395">
        <f>IF(raw[[#This Row],[city]]&lt;&gt;"",_xlfn.XLOOKUP($D174,ccc[city],ccc[prov],"-"),"-")</f>
        <v/>
      </c>
      <c r="L174" s="1395">
        <f>IF(raw[[#This Row],[city]]&lt;&gt;"",_xlfn.XLOOKUP($D174,ccc[city],ccc[ctry],"-"),"-")</f>
        <v/>
      </c>
      <c r="M174" s="1395">
        <f>IF(raw[[#This Row],[city]]&lt;&gt;"",_xlfn.XLOOKUP($D174,ccc[city],ccc[cont],"-"),"-")</f>
        <v/>
      </c>
      <c r="N174" s="1396">
        <f>IF(raw[[#This Row],[city]]="","-",IF(raw[[#This Row],[cont]]="B",raw[[#This Row],[cont]],"W"))</f>
        <v/>
      </c>
      <c r="O174" s="1397">
        <f>IF(raw[[#This Row],[out]]=0,0,IF(raw[[#This Row],[out]]=raw[[#This Row],[in]],0.01,raw[[#This Row],[out]]-raw[[#This Row],[in]]))</f>
        <v/>
      </c>
      <c r="P174" s="1397">
        <f>IF(raw[[#This Row],[in]]=0,0,MONTH(raw[[#This Row],[in]]))</f>
        <v/>
      </c>
      <c r="Q174" s="1397">
        <f>IF(raw[[#This Row],[in]]=0,0,YEAR(raw[[#This Row],[in]]))</f>
        <v/>
      </c>
      <c r="R174" s="1397">
        <f>INT(raw[[#This Row],[yr]]/10)*10</f>
        <v/>
      </c>
      <c r="S174" s="1395">
        <f>IF(raw[[#This Row],[city]]="","-",IF(raw[[#This Row],[city]]&lt;&gt;_xlfn.XLOOKUP(raw[[#This Row],[home]],homes[home],homes[city],"-"),1,0))</f>
        <v/>
      </c>
      <c r="T174" s="1398" t="inlineStr">
        <is>
          <t>.</t>
        </is>
      </c>
      <c r="U174" s="1399">
        <f>IF(raw[[#This Row],[wb]]="w",raw[[#This Row],[stay]]+U173,U173)</f>
        <v/>
      </c>
      <c r="V174" s="1400">
        <f>IF(raw[[#This Row],[out]]=0,V173,(raw[[#This Row],[out]]-E$5))</f>
        <v/>
      </c>
      <c r="W174" s="1401">
        <f>U174/V174</f>
        <v/>
      </c>
      <c r="X174" s="1378" t="inlineStr">
        <is>
          <t>.</t>
        </is>
      </c>
      <c r="Y174" s="1402">
        <f/>
        <v/>
      </c>
      <c r="Z174" s="1403">
        <f/>
        <v/>
      </c>
      <c r="AA174" s="1403">
        <f/>
        <v/>
      </c>
      <c r="AB174" s="1400">
        <f t="array" ref="AB174">_xlfn.LET(_xlpm.S,_xlfn.ANCHORARRAY($Y$4),_xlpm.r,ROWS(stayCity[[#Headers],[city]]:stayCity[[#This Row],[city]])-1,IF(_xlpm.r&lt;=ROWS(_xlpm.S),INDEX(_xlpm.S,_xlpm.r,1),""))</f>
        <v/>
      </c>
      <c r="AC174" s="1405">
        <f t="array" ref="AC174">_xlfn.LET(_xlpm.S,_xlfn.ANCHORARRAY($Y$4),_xlpm.r,ROWS(stayCity[[#Headers],[city]]:stayCity[[#This Row],[city]])-1,IF(_xlpm.r&lt;=ROWS(_xlpm.S),INDEX(_xlpm.S,_xlpm.r,2),""))</f>
        <v/>
      </c>
      <c r="AD174" s="1405">
        <f t="array" ref="AD174">_xlfn.LET(_xlpm.S,_xlfn.ANCHORARRAY($Y$4),_xlpm.r,ROWS(stayCity[[#Headers],[city]]:stayCity[[#This Row],[city]])-1,IF(_xlpm.r&lt;=ROWS(_xlpm.S),INDEX(_xlpm.S,_xlpm.r,3),""))</f>
        <v/>
      </c>
      <c r="AE174" s="1400">
        <f>IF(stayCity[[#This Row],[out]]&lt;&gt;"",stayCity[[#This Row],[out]]-stayCity[[#This Row],[in]],"-")</f>
        <v/>
      </c>
      <c r="AF174" s="1406">
        <f>IF(Y174="","-",YEAR(stayCity[[#This Row],[in]]))</f>
        <v/>
      </c>
      <c r="AG174" s="1398" t="inlineStr">
        <is>
          <t>.</t>
        </is>
      </c>
      <c r="AH174" s="1402">
        <f/>
        <v/>
      </c>
      <c r="AI174" s="1403">
        <f/>
        <v/>
      </c>
      <c r="AJ174" s="1403">
        <f/>
        <v/>
      </c>
      <c r="AK174" s="1400">
        <f>IF(AH174="","-",AH174)</f>
        <v/>
      </c>
      <c r="AL174" s="1405">
        <f>AI174</f>
        <v/>
      </c>
      <c r="AM174" s="1405">
        <f>AJ174</f>
        <v/>
      </c>
      <c r="AN174" s="1400">
        <f>stayCtry[[#This Row],[out]]-stayCtry[[#This Row],[in]]</f>
        <v/>
      </c>
      <c r="AO174" s="1406">
        <f>IF(AI174&lt;&gt;"",AO173+1,AO173)</f>
        <v/>
      </c>
      <c r="AP174" s="1398" t="inlineStr">
        <is>
          <t>.</t>
        </is>
      </c>
      <c r="AQ174" s="1402" t="n"/>
      <c r="AR174" s="1403" t="n"/>
      <c r="AS174" s="1403" t="n"/>
      <c r="AT174" s="1400">
        <f>AQ174</f>
        <v/>
      </c>
      <c r="AU174" s="1405">
        <f>AR174</f>
        <v/>
      </c>
      <c r="AV174" s="1405">
        <f>AS174</f>
        <v/>
      </c>
      <c r="AW174" s="1400">
        <f>stayCont[[#This Row],[out]]-stayCont[[#This Row],[in]]</f>
        <v/>
      </c>
      <c r="AX174" s="1406">
        <f>IF(AR174&lt;&gt;"",AX173+1,AX173)</f>
        <v/>
      </c>
      <c r="AY174" s="1398" t="inlineStr">
        <is>
          <t>.</t>
        </is>
      </c>
      <c r="AZ174" s="1402" t="n"/>
      <c r="BA174" s="1403" t="n"/>
      <c r="BB174" s="1403" t="n"/>
      <c r="BC174" s="1405">
        <f>AZ174</f>
        <v/>
      </c>
      <c r="BD174" s="1405">
        <f>BA174</f>
        <v/>
      </c>
      <c r="BE174" s="1405">
        <f>BB174</f>
        <v/>
      </c>
      <c r="BF174" s="1400">
        <f>stayWB[[#This Row],[out]]-stayWB[[#This Row],[in]]</f>
        <v/>
      </c>
      <c r="BG174" s="1400">
        <f>IF(BB174&lt;&gt;"",BG173+1,BG173)</f>
        <v/>
      </c>
      <c r="BH174" s="1398" t="inlineStr">
        <is>
          <t>.</t>
        </is>
      </c>
      <c r="BI174" s="1402" t="inlineStr">
        <is>
          <t>CAN</t>
        </is>
      </c>
      <c r="BJ174" s="1402" t="n">
        <v>2012</v>
      </c>
      <c r="BK174" s="1400">
        <f>BI174</f>
        <v/>
      </c>
      <c r="BL174" s="1409">
        <f>BJ174</f>
        <v/>
      </c>
      <c r="BM174" s="1378" t="inlineStr">
        <is>
          <t>.</t>
        </is>
      </c>
      <c r="BN174" s="1411" t="n"/>
      <c r="BO174" s="1400">
        <f>BN174</f>
        <v/>
      </c>
      <c r="BP174" s="1398" t="inlineStr">
        <is>
          <t>.</t>
        </is>
      </c>
      <c r="BQ174" s="1400">
        <f>IF(BR174&lt;&gt;"",BQ173+1,BQ173)</f>
        <v/>
      </c>
      <c r="BR174" s="1411" t="inlineStr">
        <is>
          <t>SSA</t>
        </is>
      </c>
      <c r="BS174" s="1411" t="inlineStr">
        <is>
          <t>SP</t>
        </is>
      </c>
      <c r="BT174" s="1412" t="inlineStr">
        <is>
          <t>SSA-SP</t>
        </is>
      </c>
      <c r="BU174" s="1412" t="n">
        <v>39368</v>
      </c>
      <c r="BV174" s="1398" t="inlineStr">
        <is>
          <t>.</t>
        </is>
      </c>
      <c r="BW174" s="1392" t="n"/>
      <c r="BX174" s="1392" t="n"/>
      <c r="BY174" s="1392" t="n"/>
      <c r="BZ174" s="1416" t="n"/>
      <c r="CA174" s="1392" t="n"/>
      <c r="CB174" s="1398" t="inlineStr">
        <is>
          <t>.</t>
        </is>
      </c>
      <c r="CC174" s="1400">
        <f>IF(CD174&lt;&gt;"",CC173+1,CC173)</f>
        <v/>
      </c>
      <c r="CD174" s="1411" t="inlineStr">
        <is>
          <t>Tatá/Venancio</t>
        </is>
      </c>
      <c r="CE174" s="1412" t="n">
        <v>43547</v>
      </c>
      <c r="CF174" s="1412" t="n">
        <v>43550</v>
      </c>
      <c r="CG174" s="1415">
        <f>CF174-CE174</f>
        <v/>
      </c>
      <c r="CH174" s="1398" t="inlineStr">
        <is>
          <t>.</t>
        </is>
      </c>
      <c r="CI174" s="1392" t="n"/>
      <c r="CJ174" s="1392" t="n"/>
      <c r="CK174" s="1392" t="n"/>
      <c r="CL174" s="1392" t="n"/>
    </row>
    <row r="175">
      <c r="A175" s="5" t="inlineStr">
        <is>
          <t>.</t>
        </is>
      </c>
      <c r="B175" s="5" t="inlineStr">
        <is>
          <t>.</t>
        </is>
      </c>
      <c r="C175" s="1378">
        <f>IF(raw[[#This Row],[city]]="","-",IF(raw[[#This Row],[city]]="TODAY","-",C174+1))</f>
        <v/>
      </c>
      <c r="D175" s="1393" t="inlineStr">
        <is>
          <t>Obermar</t>
        </is>
      </c>
      <c r="E175" s="1394" t="n">
        <v>32032</v>
      </c>
      <c r="F175" s="1394" t="n">
        <v>32032</v>
      </c>
      <c r="G175" s="1393" t="inlineStr">
        <is>
          <t>-</t>
        </is>
      </c>
      <c r="H175" s="1393">
        <f>H174</f>
        <v/>
      </c>
      <c r="I175" s="1393" t="inlineStr">
        <is>
          <t>-</t>
        </is>
      </c>
      <c r="J175" s="1393" t="inlineStr">
        <is>
          <t>-</t>
        </is>
      </c>
      <c r="K175" s="1395">
        <f>IF(raw[[#This Row],[city]]&lt;&gt;"",_xlfn.XLOOKUP($D175,ccc[city],ccc[prov],"-"),"-")</f>
        <v/>
      </c>
      <c r="L175" s="1395">
        <f>IF(raw[[#This Row],[city]]&lt;&gt;"",_xlfn.XLOOKUP($D175,ccc[city],ccc[ctry],"-"),"-")</f>
        <v/>
      </c>
      <c r="M175" s="1395">
        <f>IF(raw[[#This Row],[city]]&lt;&gt;"",_xlfn.XLOOKUP($D175,ccc[city],ccc[cont],"-"),"-")</f>
        <v/>
      </c>
      <c r="N175" s="1396">
        <f>IF(raw[[#This Row],[city]]="","-",IF(raw[[#This Row],[cont]]="B",raw[[#This Row],[cont]],"W"))</f>
        <v/>
      </c>
      <c r="O175" s="1397">
        <f>IF(raw[[#This Row],[out]]=0,0,IF(raw[[#This Row],[out]]=raw[[#This Row],[in]],0.01,raw[[#This Row],[out]]-raw[[#This Row],[in]]))</f>
        <v/>
      </c>
      <c r="P175" s="1397">
        <f>IF(raw[[#This Row],[in]]=0,0,MONTH(raw[[#This Row],[in]]))</f>
        <v/>
      </c>
      <c r="Q175" s="1397">
        <f>IF(raw[[#This Row],[in]]=0,0,YEAR(raw[[#This Row],[in]]))</f>
        <v/>
      </c>
      <c r="R175" s="1397">
        <f>INT(raw[[#This Row],[yr]]/10)*10</f>
        <v/>
      </c>
      <c r="S175" s="1395">
        <f>IF(raw[[#This Row],[city]]="","-",IF(raw[[#This Row],[city]]&lt;&gt;_xlfn.XLOOKUP(raw[[#This Row],[home]],homes[home],homes[city],"-"),1,0))</f>
        <v/>
      </c>
      <c r="T175" s="1398" t="inlineStr">
        <is>
          <t>.</t>
        </is>
      </c>
      <c r="U175" s="1399">
        <f>IF(raw[[#This Row],[wb]]="w",raw[[#This Row],[stay]]+U174,U174)</f>
        <v/>
      </c>
      <c r="V175" s="1400">
        <f>IF(raw[[#This Row],[out]]=0,V174,(raw[[#This Row],[out]]-E$5))</f>
        <v/>
      </c>
      <c r="W175" s="1401">
        <f>U175/V175</f>
        <v/>
      </c>
      <c r="X175" s="1378" t="inlineStr">
        <is>
          <t>.</t>
        </is>
      </c>
      <c r="Y175" s="1402">
        <f/>
        <v/>
      </c>
      <c r="Z175" s="1403">
        <f/>
        <v/>
      </c>
      <c r="AA175" s="1403">
        <f/>
        <v/>
      </c>
      <c r="AB175" s="1400">
        <f t="array" ref="AB175">_xlfn.LET(_xlpm.S,_xlfn.ANCHORARRAY($Y$4),_xlpm.r,ROWS(stayCity[[#Headers],[city]]:stayCity[[#This Row],[city]])-1,IF(_xlpm.r&lt;=ROWS(_xlpm.S),INDEX(_xlpm.S,_xlpm.r,1),""))</f>
        <v/>
      </c>
      <c r="AC175" s="1405">
        <f t="array" ref="AC175">_xlfn.LET(_xlpm.S,_xlfn.ANCHORARRAY($Y$4),_xlpm.r,ROWS(stayCity[[#Headers],[city]]:stayCity[[#This Row],[city]])-1,IF(_xlpm.r&lt;=ROWS(_xlpm.S),INDEX(_xlpm.S,_xlpm.r,2),""))</f>
        <v/>
      </c>
      <c r="AD175" s="1405">
        <f t="array" ref="AD175">_xlfn.LET(_xlpm.S,_xlfn.ANCHORARRAY($Y$4),_xlpm.r,ROWS(stayCity[[#Headers],[city]]:stayCity[[#This Row],[city]])-1,IF(_xlpm.r&lt;=ROWS(_xlpm.S),INDEX(_xlpm.S,_xlpm.r,3),""))</f>
        <v/>
      </c>
      <c r="AE175" s="1400">
        <f>IF(stayCity[[#This Row],[out]]&lt;&gt;"",stayCity[[#This Row],[out]]-stayCity[[#This Row],[in]],"-")</f>
        <v/>
      </c>
      <c r="AF175" s="1406">
        <f>IF(Y175="","-",YEAR(stayCity[[#This Row],[in]]))</f>
        <v/>
      </c>
      <c r="AG175" s="1398" t="inlineStr">
        <is>
          <t>.</t>
        </is>
      </c>
      <c r="AH175" s="1402">
        <f/>
        <v/>
      </c>
      <c r="AI175" s="1403">
        <f/>
        <v/>
      </c>
      <c r="AJ175" s="1403">
        <f/>
        <v/>
      </c>
      <c r="AK175" s="1400">
        <f>IF(AH175="","-",AH175)</f>
        <v/>
      </c>
      <c r="AL175" s="1405">
        <f>AI175</f>
        <v/>
      </c>
      <c r="AM175" s="1405">
        <f>AJ175</f>
        <v/>
      </c>
      <c r="AN175" s="1400">
        <f>stayCtry[[#This Row],[out]]-stayCtry[[#This Row],[in]]</f>
        <v/>
      </c>
      <c r="AO175" s="1406">
        <f>IF(AI175&lt;&gt;"",AO174+1,AO174)</f>
        <v/>
      </c>
      <c r="AP175" s="1398" t="inlineStr">
        <is>
          <t>.</t>
        </is>
      </c>
      <c r="AQ175" s="1402" t="n"/>
      <c r="AR175" s="1403" t="n"/>
      <c r="AS175" s="1403" t="n"/>
      <c r="AT175" s="1400">
        <f>AQ175</f>
        <v/>
      </c>
      <c r="AU175" s="1405">
        <f>AR175</f>
        <v/>
      </c>
      <c r="AV175" s="1405">
        <f>AS175</f>
        <v/>
      </c>
      <c r="AW175" s="1400">
        <f>stayCont[[#This Row],[out]]-stayCont[[#This Row],[in]]</f>
        <v/>
      </c>
      <c r="AX175" s="1406">
        <f>IF(AR175&lt;&gt;"",AX174+1,AX174)</f>
        <v/>
      </c>
      <c r="AY175" s="1398" t="inlineStr">
        <is>
          <t>.</t>
        </is>
      </c>
      <c r="AZ175" s="1402" t="n"/>
      <c r="BA175" s="1403" t="n"/>
      <c r="BB175" s="1403" t="n"/>
      <c r="BC175" s="1405">
        <f>AZ175</f>
        <v/>
      </c>
      <c r="BD175" s="1405">
        <f>BA175</f>
        <v/>
      </c>
      <c r="BE175" s="1405">
        <f>BB175</f>
        <v/>
      </c>
      <c r="BF175" s="1400">
        <f>stayWB[[#This Row],[out]]-stayWB[[#This Row],[in]]</f>
        <v/>
      </c>
      <c r="BG175" s="1400">
        <f>IF(BB175&lt;&gt;"",BG174+1,BG174)</f>
        <v/>
      </c>
      <c r="BH175" s="1398" t="inlineStr">
        <is>
          <t>.</t>
        </is>
      </c>
      <c r="BI175" s="1402" t="inlineStr">
        <is>
          <t>USA</t>
        </is>
      </c>
      <c r="BJ175" s="1402" t="n">
        <v>2012</v>
      </c>
      <c r="BK175" s="1400">
        <f>BI175</f>
        <v/>
      </c>
      <c r="BL175" s="1409">
        <f>BJ175</f>
        <v/>
      </c>
      <c r="BM175" s="1378" t="inlineStr">
        <is>
          <t>.</t>
        </is>
      </c>
      <c r="BN175" s="1411" t="n"/>
      <c r="BO175" s="1400">
        <f>BN175</f>
        <v/>
      </c>
      <c r="BP175" s="1398" t="inlineStr">
        <is>
          <t>.</t>
        </is>
      </c>
      <c r="BQ175" s="1400">
        <f>IF(BR175&lt;&gt;"",BQ174+1,BQ174)</f>
        <v/>
      </c>
      <c r="BR175" s="1411" t="inlineStr">
        <is>
          <t>SP</t>
        </is>
      </c>
      <c r="BS175" s="1411" t="inlineStr">
        <is>
          <t>SSA</t>
        </is>
      </c>
      <c r="BT175" s="1412" t="inlineStr">
        <is>
          <t>SP-SSA</t>
        </is>
      </c>
      <c r="BU175" s="1412" t="n">
        <v>39375</v>
      </c>
      <c r="BV175" s="1398" t="inlineStr">
        <is>
          <t>.</t>
        </is>
      </c>
      <c r="BW175" s="1392" t="n"/>
      <c r="BX175" s="1392" t="n"/>
      <c r="BY175" s="1392" t="n"/>
      <c r="BZ175" s="1416" t="n"/>
      <c r="CA175" s="1392" t="n"/>
      <c r="CB175" s="1398" t="inlineStr">
        <is>
          <t>.</t>
        </is>
      </c>
      <c r="CC175" s="1400">
        <f>IF(CD175&lt;&gt;"",CC174+1,CC174)</f>
        <v/>
      </c>
      <c r="CD175" s="1411" t="inlineStr">
        <is>
          <t>Ondina</t>
        </is>
      </c>
      <c r="CE175" s="1412" t="n">
        <v>43641</v>
      </c>
      <c r="CF175" s="1412" t="n">
        <v>43645</v>
      </c>
      <c r="CG175" s="1415">
        <f>CF175-CE175</f>
        <v/>
      </c>
      <c r="CH175" s="1398" t="inlineStr">
        <is>
          <t>.</t>
        </is>
      </c>
      <c r="CI175" s="1392" t="n"/>
      <c r="CJ175" s="1392" t="n"/>
      <c r="CK175" s="1392" t="n"/>
      <c r="CL175" s="1392" t="n"/>
    </row>
    <row r="176">
      <c r="A176" s="5" t="inlineStr">
        <is>
          <t>.</t>
        </is>
      </c>
      <c r="B176" s="5" t="inlineStr">
        <is>
          <t>.</t>
        </is>
      </c>
      <c r="C176" s="1378">
        <f>IF(raw[[#This Row],[city]]="","-",IF(raw[[#This Row],[city]]="TODAY","-",C175+1))</f>
        <v/>
      </c>
      <c r="D176" s="1393" t="inlineStr">
        <is>
          <t>Strasbourg</t>
        </is>
      </c>
      <c r="E176" s="1394" t="n">
        <v>32032</v>
      </c>
      <c r="F176" s="1394" t="n">
        <v>32033</v>
      </c>
      <c r="G176" s="1393" t="inlineStr">
        <is>
          <t>-</t>
        </is>
      </c>
      <c r="H176" s="1393">
        <f>H175</f>
        <v/>
      </c>
      <c r="I176" s="1393" t="inlineStr">
        <is>
          <t>-</t>
        </is>
      </c>
      <c r="J176" s="1393" t="inlineStr">
        <is>
          <t>-</t>
        </is>
      </c>
      <c r="K176" s="1395">
        <f>IF(raw[[#This Row],[city]]&lt;&gt;"",_xlfn.XLOOKUP($D176,ccc[city],ccc[prov],"-"),"-")</f>
        <v/>
      </c>
      <c r="L176" s="1395">
        <f>IF(raw[[#This Row],[city]]&lt;&gt;"",_xlfn.XLOOKUP($D176,ccc[city],ccc[ctry],"-"),"-")</f>
        <v/>
      </c>
      <c r="M176" s="1395">
        <f>IF(raw[[#This Row],[city]]&lt;&gt;"",_xlfn.XLOOKUP($D176,ccc[city],ccc[cont],"-"),"-")</f>
        <v/>
      </c>
      <c r="N176" s="1396">
        <f>IF(raw[[#This Row],[city]]="","-",IF(raw[[#This Row],[cont]]="B",raw[[#This Row],[cont]],"W"))</f>
        <v/>
      </c>
      <c r="O176" s="1397">
        <f>IF(raw[[#This Row],[out]]=0,0,IF(raw[[#This Row],[out]]=raw[[#This Row],[in]],0.01,raw[[#This Row],[out]]-raw[[#This Row],[in]]))</f>
        <v/>
      </c>
      <c r="P176" s="1397">
        <f>IF(raw[[#This Row],[in]]=0,0,MONTH(raw[[#This Row],[in]]))</f>
        <v/>
      </c>
      <c r="Q176" s="1397">
        <f>IF(raw[[#This Row],[in]]=0,0,YEAR(raw[[#This Row],[in]]))</f>
        <v/>
      </c>
      <c r="R176" s="1397">
        <f>INT(raw[[#This Row],[yr]]/10)*10</f>
        <v/>
      </c>
      <c r="S176" s="1395">
        <f>IF(raw[[#This Row],[city]]="","-",IF(raw[[#This Row],[city]]&lt;&gt;_xlfn.XLOOKUP(raw[[#This Row],[home]],homes[home],homes[city],"-"),1,0))</f>
        <v/>
      </c>
      <c r="T176" s="1398" t="inlineStr">
        <is>
          <t>.</t>
        </is>
      </c>
      <c r="U176" s="1399">
        <f>IF(raw[[#This Row],[wb]]="w",raw[[#This Row],[stay]]+U175,U175)</f>
        <v/>
      </c>
      <c r="V176" s="1400">
        <f>IF(raw[[#This Row],[out]]=0,V175,(raw[[#This Row],[out]]-E$5))</f>
        <v/>
      </c>
      <c r="W176" s="1401">
        <f>U176/V176</f>
        <v/>
      </c>
      <c r="X176" s="1378" t="inlineStr">
        <is>
          <t>.</t>
        </is>
      </c>
      <c r="Y176" s="1402">
        <f/>
        <v/>
      </c>
      <c r="Z176" s="1403">
        <f/>
        <v/>
      </c>
      <c r="AA176" s="1403">
        <f/>
        <v/>
      </c>
      <c r="AB176" s="1400">
        <f t="array" ref="AB176">_xlfn.LET(_xlpm.S,_xlfn.ANCHORARRAY($Y$4),_xlpm.r,ROWS(stayCity[[#Headers],[city]]:stayCity[[#This Row],[city]])-1,IF(_xlpm.r&lt;=ROWS(_xlpm.S),INDEX(_xlpm.S,_xlpm.r,1),""))</f>
        <v/>
      </c>
      <c r="AC176" s="1405">
        <f t="array" ref="AC176">_xlfn.LET(_xlpm.S,_xlfn.ANCHORARRAY($Y$4),_xlpm.r,ROWS(stayCity[[#Headers],[city]]:stayCity[[#This Row],[city]])-1,IF(_xlpm.r&lt;=ROWS(_xlpm.S),INDEX(_xlpm.S,_xlpm.r,2),""))</f>
        <v/>
      </c>
      <c r="AD176" s="1405">
        <f t="array" ref="AD176">_xlfn.LET(_xlpm.S,_xlfn.ANCHORARRAY($Y$4),_xlpm.r,ROWS(stayCity[[#Headers],[city]]:stayCity[[#This Row],[city]])-1,IF(_xlpm.r&lt;=ROWS(_xlpm.S),INDEX(_xlpm.S,_xlpm.r,3),""))</f>
        <v/>
      </c>
      <c r="AE176" s="1400">
        <f>IF(stayCity[[#This Row],[out]]&lt;&gt;"",stayCity[[#This Row],[out]]-stayCity[[#This Row],[in]],"-")</f>
        <v/>
      </c>
      <c r="AF176" s="1406">
        <f>IF(Y176="","-",YEAR(stayCity[[#This Row],[in]]))</f>
        <v/>
      </c>
      <c r="AG176" s="1398" t="inlineStr">
        <is>
          <t>.</t>
        </is>
      </c>
      <c r="AH176" s="1402">
        <f/>
        <v/>
      </c>
      <c r="AI176" s="1403">
        <f/>
        <v/>
      </c>
      <c r="AJ176" s="1403">
        <f/>
        <v/>
      </c>
      <c r="AK176" s="1400">
        <f>IF(AH176="","-",AH176)</f>
        <v/>
      </c>
      <c r="AL176" s="1405">
        <f>AI176</f>
        <v/>
      </c>
      <c r="AM176" s="1405">
        <f>AJ176</f>
        <v/>
      </c>
      <c r="AN176" s="1400">
        <f>stayCtry[[#This Row],[out]]-stayCtry[[#This Row],[in]]</f>
        <v/>
      </c>
      <c r="AO176" s="1406">
        <f>IF(AI176&lt;&gt;"",AO175+1,AO175)</f>
        <v/>
      </c>
      <c r="AP176" s="1398" t="inlineStr">
        <is>
          <t>.</t>
        </is>
      </c>
      <c r="AQ176" s="1402" t="n"/>
      <c r="AR176" s="1403" t="n"/>
      <c r="AS176" s="1403" t="n"/>
      <c r="AT176" s="1400">
        <f>AQ176</f>
        <v/>
      </c>
      <c r="AU176" s="1405">
        <f>AR176</f>
        <v/>
      </c>
      <c r="AV176" s="1405">
        <f>AS176</f>
        <v/>
      </c>
      <c r="AW176" s="1400">
        <f>stayCont[[#This Row],[out]]-stayCont[[#This Row],[in]]</f>
        <v/>
      </c>
      <c r="AX176" s="1406">
        <f>IF(AR176&lt;&gt;"",AX175+1,AX175)</f>
        <v/>
      </c>
      <c r="AY176" s="1398" t="inlineStr">
        <is>
          <t>.</t>
        </is>
      </c>
      <c r="AZ176" s="1402" t="n"/>
      <c r="BA176" s="1403" t="n"/>
      <c r="BB176" s="1403" t="n"/>
      <c r="BC176" s="1405">
        <f>AZ176</f>
        <v/>
      </c>
      <c r="BD176" s="1405">
        <f>BA176</f>
        <v/>
      </c>
      <c r="BE176" s="1405">
        <f>BB176</f>
        <v/>
      </c>
      <c r="BF176" s="1400">
        <f>stayWB[[#This Row],[out]]-stayWB[[#This Row],[in]]</f>
        <v/>
      </c>
      <c r="BG176" s="1400">
        <f>IF(BB176&lt;&gt;"",BG175+1,BG175)</f>
        <v/>
      </c>
      <c r="BH176" s="1398" t="inlineStr">
        <is>
          <t>.</t>
        </is>
      </c>
      <c r="BI176" s="1402" t="inlineStr">
        <is>
          <t>BRA</t>
        </is>
      </c>
      <c r="BJ176" s="1402" t="n">
        <v>2012</v>
      </c>
      <c r="BK176" s="1400">
        <f>BI176</f>
        <v/>
      </c>
      <c r="BL176" s="1409">
        <f>BJ176</f>
        <v/>
      </c>
      <c r="BM176" s="1378" t="inlineStr">
        <is>
          <t>.</t>
        </is>
      </c>
      <c r="BN176" s="1411" t="n"/>
      <c r="BO176" s="1400">
        <f>BN176</f>
        <v/>
      </c>
      <c r="BP176" s="1398" t="inlineStr">
        <is>
          <t>.</t>
        </is>
      </c>
      <c r="BQ176" s="1400">
        <f>IF(BR176&lt;&gt;"",BQ175+1,BQ175)</f>
        <v/>
      </c>
      <c r="BR176" s="1411" t="inlineStr">
        <is>
          <t>SSA</t>
        </is>
      </c>
      <c r="BS176" s="1411" t="inlineStr">
        <is>
          <t>Natal</t>
        </is>
      </c>
      <c r="BT176" s="1412" t="inlineStr">
        <is>
          <t>SSA-Natal</t>
        </is>
      </c>
      <c r="BU176" s="1412" t="n">
        <v>39415</v>
      </c>
      <c r="BV176" s="1398" t="inlineStr">
        <is>
          <t>.</t>
        </is>
      </c>
      <c r="BW176" s="1392" t="n"/>
      <c r="BX176" s="1392" t="n"/>
      <c r="BY176" s="1392" t="n"/>
      <c r="BZ176" s="1416" t="n"/>
      <c r="CA176" s="1392" t="n"/>
      <c r="CB176" s="1398" t="inlineStr">
        <is>
          <t>.</t>
        </is>
      </c>
      <c r="CC176" s="1400">
        <f>IF(CD176&lt;&gt;"",CC175+1,CC175)</f>
        <v/>
      </c>
      <c r="CD176" s="1411" t="inlineStr">
        <is>
          <t>Ondina</t>
        </is>
      </c>
      <c r="CE176" s="1412" t="n">
        <v>43647</v>
      </c>
      <c r="CF176" s="1412" t="n">
        <v>43667</v>
      </c>
      <c r="CG176" s="1415">
        <f>CF176-CE176</f>
        <v/>
      </c>
      <c r="CH176" s="1398" t="inlineStr">
        <is>
          <t>.</t>
        </is>
      </c>
      <c r="CI176" s="1392" t="n"/>
      <c r="CJ176" s="1392" t="n"/>
      <c r="CK176" s="1392" t="n"/>
      <c r="CL176" s="1392" t="n"/>
    </row>
    <row r="177">
      <c r="A177" s="5" t="inlineStr">
        <is>
          <t>.</t>
        </is>
      </c>
      <c r="B177" s="5" t="inlineStr">
        <is>
          <t>.</t>
        </is>
      </c>
      <c r="C177" s="1378">
        <f>IF(raw[[#This Row],[city]]="","-",IF(raw[[#This Row],[city]]="TODAY","-",C176+1))</f>
        <v/>
      </c>
      <c r="D177" s="1393" t="inlineStr">
        <is>
          <t>Lindau</t>
        </is>
      </c>
      <c r="E177" s="1394" t="n">
        <v>32033</v>
      </c>
      <c r="F177" s="1394" t="n">
        <v>32034</v>
      </c>
      <c r="G177" s="1393" t="inlineStr">
        <is>
          <t>-</t>
        </is>
      </c>
      <c r="H177" s="1393">
        <f>H176</f>
        <v/>
      </c>
      <c r="I177" s="1393" t="inlineStr">
        <is>
          <t>-</t>
        </is>
      </c>
      <c r="J177" s="1393" t="inlineStr">
        <is>
          <t>-</t>
        </is>
      </c>
      <c r="K177" s="1395">
        <f>IF(raw[[#This Row],[city]]&lt;&gt;"",_xlfn.XLOOKUP($D177,ccc[city],ccc[prov],"-"),"-")</f>
        <v/>
      </c>
      <c r="L177" s="1395">
        <f>IF(raw[[#This Row],[city]]&lt;&gt;"",_xlfn.XLOOKUP($D177,ccc[city],ccc[ctry],"-"),"-")</f>
        <v/>
      </c>
      <c r="M177" s="1395">
        <f>IF(raw[[#This Row],[city]]&lt;&gt;"",_xlfn.XLOOKUP($D177,ccc[city],ccc[cont],"-"),"-")</f>
        <v/>
      </c>
      <c r="N177" s="1396">
        <f>IF(raw[[#This Row],[city]]="","-",IF(raw[[#This Row],[cont]]="B",raw[[#This Row],[cont]],"W"))</f>
        <v/>
      </c>
      <c r="O177" s="1397">
        <f>IF(raw[[#This Row],[out]]=0,0,IF(raw[[#This Row],[out]]=raw[[#This Row],[in]],0.01,raw[[#This Row],[out]]-raw[[#This Row],[in]]))</f>
        <v/>
      </c>
      <c r="P177" s="1397">
        <f>IF(raw[[#This Row],[in]]=0,0,MONTH(raw[[#This Row],[in]]))</f>
        <v/>
      </c>
      <c r="Q177" s="1397">
        <f>IF(raw[[#This Row],[in]]=0,0,YEAR(raw[[#This Row],[in]]))</f>
        <v/>
      </c>
      <c r="R177" s="1397">
        <f>INT(raw[[#This Row],[yr]]/10)*10</f>
        <v/>
      </c>
      <c r="S177" s="1395">
        <f>IF(raw[[#This Row],[city]]="","-",IF(raw[[#This Row],[city]]&lt;&gt;_xlfn.XLOOKUP(raw[[#This Row],[home]],homes[home],homes[city],"-"),1,0))</f>
        <v/>
      </c>
      <c r="T177" s="1398" t="inlineStr">
        <is>
          <t>.</t>
        </is>
      </c>
      <c r="U177" s="1399">
        <f>IF(raw[[#This Row],[wb]]="w",raw[[#This Row],[stay]]+U176,U176)</f>
        <v/>
      </c>
      <c r="V177" s="1400">
        <f>IF(raw[[#This Row],[out]]=0,V176,(raw[[#This Row],[out]]-E$5))</f>
        <v/>
      </c>
      <c r="W177" s="1401">
        <f>U177/V177</f>
        <v/>
      </c>
      <c r="X177" s="1378" t="inlineStr">
        <is>
          <t>.</t>
        </is>
      </c>
      <c r="Y177" s="1402">
        <f/>
        <v/>
      </c>
      <c r="Z177" s="1403">
        <f/>
        <v/>
      </c>
      <c r="AA177" s="1403">
        <f/>
        <v/>
      </c>
      <c r="AB177" s="1400">
        <f t="array" ref="AB177">_xlfn.LET(_xlpm.S,_xlfn.ANCHORARRAY($Y$4),_xlpm.r,ROWS(stayCity[[#Headers],[city]]:stayCity[[#This Row],[city]])-1,IF(_xlpm.r&lt;=ROWS(_xlpm.S),INDEX(_xlpm.S,_xlpm.r,1),""))</f>
        <v/>
      </c>
      <c r="AC177" s="1405">
        <f t="array" ref="AC177">_xlfn.LET(_xlpm.S,_xlfn.ANCHORARRAY($Y$4),_xlpm.r,ROWS(stayCity[[#Headers],[city]]:stayCity[[#This Row],[city]])-1,IF(_xlpm.r&lt;=ROWS(_xlpm.S),INDEX(_xlpm.S,_xlpm.r,2),""))</f>
        <v/>
      </c>
      <c r="AD177" s="1405">
        <f t="array" ref="AD177">_xlfn.LET(_xlpm.S,_xlfn.ANCHORARRAY($Y$4),_xlpm.r,ROWS(stayCity[[#Headers],[city]]:stayCity[[#This Row],[city]])-1,IF(_xlpm.r&lt;=ROWS(_xlpm.S),INDEX(_xlpm.S,_xlpm.r,3),""))</f>
        <v/>
      </c>
      <c r="AE177" s="1400">
        <f>IF(stayCity[[#This Row],[out]]&lt;&gt;"",stayCity[[#This Row],[out]]-stayCity[[#This Row],[in]],"-")</f>
        <v/>
      </c>
      <c r="AF177" s="1406">
        <f>IF(Y177="","-",YEAR(stayCity[[#This Row],[in]]))</f>
        <v/>
      </c>
      <c r="AG177" s="1398" t="inlineStr">
        <is>
          <t>.</t>
        </is>
      </c>
      <c r="AH177" s="1402">
        <f/>
        <v/>
      </c>
      <c r="AI177" s="1403">
        <f/>
        <v/>
      </c>
      <c r="AJ177" s="1403">
        <f/>
        <v/>
      </c>
      <c r="AK177" s="1400">
        <f>IF(AH177="","-",AH177)</f>
        <v/>
      </c>
      <c r="AL177" s="1405">
        <f>AI177</f>
        <v/>
      </c>
      <c r="AM177" s="1405">
        <f>AJ177</f>
        <v/>
      </c>
      <c r="AN177" s="1400">
        <f>stayCtry[[#This Row],[out]]-stayCtry[[#This Row],[in]]</f>
        <v/>
      </c>
      <c r="AO177" s="1406">
        <f>IF(AI177&lt;&gt;"",AO176+1,AO176)</f>
        <v/>
      </c>
      <c r="AP177" s="1398" t="inlineStr">
        <is>
          <t>.</t>
        </is>
      </c>
      <c r="AQ177" s="1402" t="n"/>
      <c r="AR177" s="1403" t="n"/>
      <c r="AS177" s="1403" t="n"/>
      <c r="AT177" s="1400">
        <f>AQ177</f>
        <v/>
      </c>
      <c r="AU177" s="1405">
        <f>AR177</f>
        <v/>
      </c>
      <c r="AV177" s="1405">
        <f>AS177</f>
        <v/>
      </c>
      <c r="AW177" s="1400">
        <f>stayCont[[#This Row],[out]]-stayCont[[#This Row],[in]]</f>
        <v/>
      </c>
      <c r="AX177" s="1406">
        <f>IF(AR177&lt;&gt;"",AX176+1,AX176)</f>
        <v/>
      </c>
      <c r="AY177" s="1398" t="inlineStr">
        <is>
          <t>.</t>
        </is>
      </c>
      <c r="AZ177" s="1402" t="n"/>
      <c r="BA177" s="1403" t="n"/>
      <c r="BB177" s="1403" t="n"/>
      <c r="BC177" s="1405">
        <f>AZ177</f>
        <v/>
      </c>
      <c r="BD177" s="1405">
        <f>BA177</f>
        <v/>
      </c>
      <c r="BE177" s="1405">
        <f>BB177</f>
        <v/>
      </c>
      <c r="BF177" s="1400">
        <f>stayWB[[#This Row],[out]]-stayWB[[#This Row],[in]]</f>
        <v/>
      </c>
      <c r="BG177" s="1400">
        <f>IF(BB177&lt;&gt;"",BG176+1,BG176)</f>
        <v/>
      </c>
      <c r="BH177" s="1398" t="inlineStr">
        <is>
          <t>.</t>
        </is>
      </c>
      <c r="BI177" s="1402" t="inlineStr">
        <is>
          <t>USA</t>
        </is>
      </c>
      <c r="BJ177" s="1402" t="n">
        <v>2012</v>
      </c>
      <c r="BK177" s="1400">
        <f>BI177</f>
        <v/>
      </c>
      <c r="BL177" s="1409">
        <f>BJ177</f>
        <v/>
      </c>
      <c r="BM177" s="1378" t="inlineStr">
        <is>
          <t>.</t>
        </is>
      </c>
      <c r="BN177" s="1411" t="n"/>
      <c r="BO177" s="1400">
        <f>BN177</f>
        <v/>
      </c>
      <c r="BP177" s="1398" t="inlineStr">
        <is>
          <t>.</t>
        </is>
      </c>
      <c r="BQ177" s="1400">
        <f>IF(BR177&lt;&gt;"",BQ176+1,BQ176)</f>
        <v/>
      </c>
      <c r="BR177" s="1411" t="inlineStr">
        <is>
          <t>Natal</t>
        </is>
      </c>
      <c r="BS177" s="1411" t="inlineStr">
        <is>
          <t>Brasilia</t>
        </is>
      </c>
      <c r="BT177" s="1412" t="inlineStr">
        <is>
          <t>Natal-Brasilia</t>
        </is>
      </c>
      <c r="BU177" s="1412" t="n">
        <v>39420</v>
      </c>
      <c r="BV177" s="1398" t="inlineStr">
        <is>
          <t>.</t>
        </is>
      </c>
      <c r="BW177" s="1392" t="n"/>
      <c r="BX177" s="1392" t="n"/>
      <c r="BY177" s="1392" t="n"/>
      <c r="BZ177" s="1416" t="n"/>
      <c r="CA177" s="1392" t="n"/>
      <c r="CB177" s="1398" t="inlineStr">
        <is>
          <t>.</t>
        </is>
      </c>
      <c r="CC177" s="1400">
        <f>IF(CD177&lt;&gt;"",CC176+1,CC176)</f>
        <v/>
      </c>
      <c r="CD177" s="1411" t="inlineStr">
        <is>
          <t>Tatá/Venancio</t>
        </is>
      </c>
      <c r="CE177" s="1412" t="n">
        <v>43667</v>
      </c>
      <c r="CF177" s="1412" t="n">
        <v>43670</v>
      </c>
      <c r="CG177" s="1415">
        <f>CF177-CE177</f>
        <v/>
      </c>
      <c r="CH177" s="1398" t="inlineStr">
        <is>
          <t>.</t>
        </is>
      </c>
      <c r="CI177" s="1392" t="n"/>
      <c r="CJ177" s="1392" t="n"/>
      <c r="CK177" s="1392" t="n"/>
      <c r="CL177" s="1392" t="n"/>
    </row>
    <row r="178">
      <c r="A178" s="5" t="inlineStr">
        <is>
          <t>.</t>
        </is>
      </c>
      <c r="B178" s="5" t="inlineStr">
        <is>
          <t>.</t>
        </is>
      </c>
      <c r="C178" s="1378">
        <f>IF(raw[[#This Row],[city]]="","-",IF(raw[[#This Row],[city]]="TODAY","-",C177+1))</f>
        <v/>
      </c>
      <c r="D178" s="1393" t="inlineStr">
        <is>
          <t>Insbruck</t>
        </is>
      </c>
      <c r="E178" s="1394" t="n">
        <v>32034</v>
      </c>
      <c r="F178" s="1394" t="n">
        <v>32036</v>
      </c>
      <c r="G178" s="1393" t="inlineStr">
        <is>
          <t>-</t>
        </is>
      </c>
      <c r="H178" s="1393">
        <f>H177</f>
        <v/>
      </c>
      <c r="I178" s="1393" t="inlineStr">
        <is>
          <t>-</t>
        </is>
      </c>
      <c r="J178" s="1393" t="inlineStr">
        <is>
          <t>-</t>
        </is>
      </c>
      <c r="K178" s="1395">
        <f>IF(raw[[#This Row],[city]]&lt;&gt;"",_xlfn.XLOOKUP($D178,ccc[city],ccc[prov],"-"),"-")</f>
        <v/>
      </c>
      <c r="L178" s="1395">
        <f>IF(raw[[#This Row],[city]]&lt;&gt;"",_xlfn.XLOOKUP($D178,ccc[city],ccc[ctry],"-"),"-")</f>
        <v/>
      </c>
      <c r="M178" s="1395">
        <f>IF(raw[[#This Row],[city]]&lt;&gt;"",_xlfn.XLOOKUP($D178,ccc[city],ccc[cont],"-"),"-")</f>
        <v/>
      </c>
      <c r="N178" s="1396">
        <f>IF(raw[[#This Row],[city]]="","-",IF(raw[[#This Row],[cont]]="B",raw[[#This Row],[cont]],"W"))</f>
        <v/>
      </c>
      <c r="O178" s="1397">
        <f>IF(raw[[#This Row],[out]]=0,0,IF(raw[[#This Row],[out]]=raw[[#This Row],[in]],0.01,raw[[#This Row],[out]]-raw[[#This Row],[in]]))</f>
        <v/>
      </c>
      <c r="P178" s="1397">
        <f>IF(raw[[#This Row],[in]]=0,0,MONTH(raw[[#This Row],[in]]))</f>
        <v/>
      </c>
      <c r="Q178" s="1397">
        <f>IF(raw[[#This Row],[in]]=0,0,YEAR(raw[[#This Row],[in]]))</f>
        <v/>
      </c>
      <c r="R178" s="1397">
        <f>INT(raw[[#This Row],[yr]]/10)*10</f>
        <v/>
      </c>
      <c r="S178" s="1395">
        <f>IF(raw[[#This Row],[city]]="","-",IF(raw[[#This Row],[city]]&lt;&gt;_xlfn.XLOOKUP(raw[[#This Row],[home]],homes[home],homes[city],"-"),1,0))</f>
        <v/>
      </c>
      <c r="T178" s="1398" t="inlineStr">
        <is>
          <t>.</t>
        </is>
      </c>
      <c r="U178" s="1399">
        <f>IF(raw[[#This Row],[wb]]="w",raw[[#This Row],[stay]]+U177,U177)</f>
        <v/>
      </c>
      <c r="V178" s="1400">
        <f>IF(raw[[#This Row],[out]]=0,V177,(raw[[#This Row],[out]]-E$5))</f>
        <v/>
      </c>
      <c r="W178" s="1401">
        <f>U178/V178</f>
        <v/>
      </c>
      <c r="X178" s="1378" t="inlineStr">
        <is>
          <t>.</t>
        </is>
      </c>
      <c r="Y178" s="1402">
        <f/>
        <v/>
      </c>
      <c r="Z178" s="1403">
        <f/>
        <v/>
      </c>
      <c r="AA178" s="1403">
        <f/>
        <v/>
      </c>
      <c r="AB178" s="1400">
        <f t="array" ref="AB178">_xlfn.LET(_xlpm.S,_xlfn.ANCHORARRAY($Y$4),_xlpm.r,ROWS(stayCity[[#Headers],[city]]:stayCity[[#This Row],[city]])-1,IF(_xlpm.r&lt;=ROWS(_xlpm.S),INDEX(_xlpm.S,_xlpm.r,1),""))</f>
        <v/>
      </c>
      <c r="AC178" s="1405">
        <f t="array" ref="AC178">_xlfn.LET(_xlpm.S,_xlfn.ANCHORARRAY($Y$4),_xlpm.r,ROWS(stayCity[[#Headers],[city]]:stayCity[[#This Row],[city]])-1,IF(_xlpm.r&lt;=ROWS(_xlpm.S),INDEX(_xlpm.S,_xlpm.r,2),""))</f>
        <v/>
      </c>
      <c r="AD178" s="1405">
        <f t="array" ref="AD178">_xlfn.LET(_xlpm.S,_xlfn.ANCHORARRAY($Y$4),_xlpm.r,ROWS(stayCity[[#Headers],[city]]:stayCity[[#This Row],[city]])-1,IF(_xlpm.r&lt;=ROWS(_xlpm.S),INDEX(_xlpm.S,_xlpm.r,3),""))</f>
        <v/>
      </c>
      <c r="AE178" s="1400">
        <f>IF(stayCity[[#This Row],[out]]&lt;&gt;"",stayCity[[#This Row],[out]]-stayCity[[#This Row],[in]],"-")</f>
        <v/>
      </c>
      <c r="AF178" s="1406">
        <f>IF(Y178="","-",YEAR(stayCity[[#This Row],[in]]))</f>
        <v/>
      </c>
      <c r="AG178" s="1398" t="inlineStr">
        <is>
          <t>.</t>
        </is>
      </c>
      <c r="AH178" s="1402">
        <f/>
        <v/>
      </c>
      <c r="AI178" s="1403">
        <f/>
        <v/>
      </c>
      <c r="AJ178" s="1403">
        <f/>
        <v/>
      </c>
      <c r="AK178" s="1400">
        <f>IF(AH178="","-",AH178)</f>
        <v/>
      </c>
      <c r="AL178" s="1405">
        <f>AI178</f>
        <v/>
      </c>
      <c r="AM178" s="1405">
        <f>AJ178</f>
        <v/>
      </c>
      <c r="AN178" s="1400">
        <f>stayCtry[[#This Row],[out]]-stayCtry[[#This Row],[in]]</f>
        <v/>
      </c>
      <c r="AO178" s="1406">
        <f>IF(AI178&lt;&gt;"",AO177+1,AO177)</f>
        <v/>
      </c>
      <c r="AP178" s="1398" t="inlineStr">
        <is>
          <t>.</t>
        </is>
      </c>
      <c r="AQ178" s="1402" t="n"/>
      <c r="AR178" s="1403" t="n"/>
      <c r="AS178" s="1403" t="n"/>
      <c r="AT178" s="1400">
        <f>AQ178</f>
        <v/>
      </c>
      <c r="AU178" s="1405">
        <f>AR178</f>
        <v/>
      </c>
      <c r="AV178" s="1405">
        <f>AS178</f>
        <v/>
      </c>
      <c r="AW178" s="1400">
        <f>stayCont[[#This Row],[out]]-stayCont[[#This Row],[in]]</f>
        <v/>
      </c>
      <c r="AX178" s="1406">
        <f>IF(AR178&lt;&gt;"",AX177+1,AX177)</f>
        <v/>
      </c>
      <c r="AY178" s="1398" t="inlineStr">
        <is>
          <t>.</t>
        </is>
      </c>
      <c r="AZ178" s="1402" t="n"/>
      <c r="BA178" s="1403" t="n"/>
      <c r="BB178" s="1403" t="n"/>
      <c r="BC178" s="1405">
        <f>AZ178</f>
        <v/>
      </c>
      <c r="BD178" s="1405">
        <f>BA178</f>
        <v/>
      </c>
      <c r="BE178" s="1405">
        <f>BB178</f>
        <v/>
      </c>
      <c r="BF178" s="1400">
        <f>stayWB[[#This Row],[out]]-stayWB[[#This Row],[in]]</f>
        <v/>
      </c>
      <c r="BG178" s="1400">
        <f>IF(BB178&lt;&gt;"",BG177+1,BG177)</f>
        <v/>
      </c>
      <c r="BH178" s="1398" t="inlineStr">
        <is>
          <t>.</t>
        </is>
      </c>
      <c r="BI178" s="1402" t="inlineStr">
        <is>
          <t>CAN</t>
        </is>
      </c>
      <c r="BJ178" s="1402" t="n">
        <v>2012</v>
      </c>
      <c r="BK178" s="1400">
        <f>BI178</f>
        <v/>
      </c>
      <c r="BL178" s="1409">
        <f>BJ178</f>
        <v/>
      </c>
      <c r="BM178" s="1378" t="inlineStr">
        <is>
          <t>.</t>
        </is>
      </c>
      <c r="BN178" s="1411" t="n"/>
      <c r="BO178" s="1400">
        <f>BN178</f>
        <v/>
      </c>
      <c r="BP178" s="1398" t="inlineStr">
        <is>
          <t>.</t>
        </is>
      </c>
      <c r="BQ178" s="1400">
        <f>IF(BR178&lt;&gt;"",BQ177+1,BQ177)</f>
        <v/>
      </c>
      <c r="BR178" s="1411" t="inlineStr">
        <is>
          <t>Brasilia</t>
        </is>
      </c>
      <c r="BS178" s="1411" t="inlineStr">
        <is>
          <t>SSA</t>
        </is>
      </c>
      <c r="BT178" s="1412" t="inlineStr">
        <is>
          <t>Brasilia-SSA</t>
        </is>
      </c>
      <c r="BU178" s="1412" t="n">
        <v>39420</v>
      </c>
      <c r="BV178" s="1398" t="inlineStr">
        <is>
          <t>.</t>
        </is>
      </c>
      <c r="BW178" s="1392" t="n"/>
      <c r="BX178" s="1392" t="n"/>
      <c r="BY178" s="1392" t="n"/>
      <c r="BZ178" s="1416" t="n"/>
      <c r="CA178" s="1392" t="n"/>
      <c r="CB178" s="1398" t="inlineStr">
        <is>
          <t>.</t>
        </is>
      </c>
      <c r="CC178" s="1400">
        <f>IF(CD178&lt;&gt;"",CC177+1,CC177)</f>
        <v/>
      </c>
      <c r="CD178" s="1411" t="inlineStr">
        <is>
          <t>Ondina</t>
        </is>
      </c>
      <c r="CE178" s="1412" t="n">
        <v>43670</v>
      </c>
      <c r="CF178" s="1412" t="n">
        <v>43673</v>
      </c>
      <c r="CG178" s="1415">
        <f>CF178-CE178</f>
        <v/>
      </c>
      <c r="CH178" s="1398" t="inlineStr">
        <is>
          <t>.</t>
        </is>
      </c>
      <c r="CI178" s="1392" t="n"/>
      <c r="CJ178" s="1392" t="n"/>
      <c r="CK178" s="1392" t="n"/>
      <c r="CL178" s="1392" t="n"/>
    </row>
    <row r="179">
      <c r="A179" s="5" t="inlineStr">
        <is>
          <t>.</t>
        </is>
      </c>
      <c r="B179" s="5" t="inlineStr">
        <is>
          <t>.</t>
        </is>
      </c>
      <c r="C179" s="1378">
        <f>IF(raw[[#This Row],[city]]="","-",IF(raw[[#This Row],[city]]="TODAY","-",C178+1))</f>
        <v/>
      </c>
      <c r="D179" s="1393" t="inlineStr">
        <is>
          <t>Strasbourg</t>
        </is>
      </c>
      <c r="E179" s="1394" t="n">
        <v>32036</v>
      </c>
      <c r="F179" s="1394" t="n">
        <v>32037</v>
      </c>
      <c r="G179" s="1393" t="inlineStr">
        <is>
          <t>-</t>
        </is>
      </c>
      <c r="H179" s="1393">
        <f>H178</f>
        <v/>
      </c>
      <c r="I179" s="1393" t="inlineStr">
        <is>
          <t>-</t>
        </is>
      </c>
      <c r="J179" s="1393" t="inlineStr">
        <is>
          <t>-</t>
        </is>
      </c>
      <c r="K179" s="1395">
        <f>IF(raw[[#This Row],[city]]&lt;&gt;"",_xlfn.XLOOKUP($D179,ccc[city],ccc[prov],"-"),"-")</f>
        <v/>
      </c>
      <c r="L179" s="1395">
        <f>IF(raw[[#This Row],[city]]&lt;&gt;"",_xlfn.XLOOKUP($D179,ccc[city],ccc[ctry],"-"),"-")</f>
        <v/>
      </c>
      <c r="M179" s="1395">
        <f>IF(raw[[#This Row],[city]]&lt;&gt;"",_xlfn.XLOOKUP($D179,ccc[city],ccc[cont],"-"),"-")</f>
        <v/>
      </c>
      <c r="N179" s="1396">
        <f>IF(raw[[#This Row],[city]]="","-",IF(raw[[#This Row],[cont]]="B",raw[[#This Row],[cont]],"W"))</f>
        <v/>
      </c>
      <c r="O179" s="1397">
        <f>IF(raw[[#This Row],[out]]=0,0,IF(raw[[#This Row],[out]]=raw[[#This Row],[in]],0.01,raw[[#This Row],[out]]-raw[[#This Row],[in]]))</f>
        <v/>
      </c>
      <c r="P179" s="1397">
        <f>IF(raw[[#This Row],[in]]=0,0,MONTH(raw[[#This Row],[in]]))</f>
        <v/>
      </c>
      <c r="Q179" s="1397">
        <f>IF(raw[[#This Row],[in]]=0,0,YEAR(raw[[#This Row],[in]]))</f>
        <v/>
      </c>
      <c r="R179" s="1397">
        <f>INT(raw[[#This Row],[yr]]/10)*10</f>
        <v/>
      </c>
      <c r="S179" s="1395">
        <f>IF(raw[[#This Row],[city]]="","-",IF(raw[[#This Row],[city]]&lt;&gt;_xlfn.XLOOKUP(raw[[#This Row],[home]],homes[home],homes[city],"-"),1,0))</f>
        <v/>
      </c>
      <c r="T179" s="1398" t="inlineStr">
        <is>
          <t>.</t>
        </is>
      </c>
      <c r="U179" s="1399">
        <f>IF(raw[[#This Row],[wb]]="w",raw[[#This Row],[stay]]+U178,U178)</f>
        <v/>
      </c>
      <c r="V179" s="1400">
        <f>IF(raw[[#This Row],[out]]=0,V178,(raw[[#This Row],[out]]-E$5))</f>
        <v/>
      </c>
      <c r="W179" s="1401">
        <f>U179/V179</f>
        <v/>
      </c>
      <c r="X179" s="1378" t="inlineStr">
        <is>
          <t>.</t>
        </is>
      </c>
      <c r="Y179" s="1402">
        <f/>
        <v/>
      </c>
      <c r="Z179" s="1403">
        <f/>
        <v/>
      </c>
      <c r="AA179" s="1403">
        <f/>
        <v/>
      </c>
      <c r="AB179" s="1400">
        <f t="array" ref="AB179">_xlfn.LET(_xlpm.S,_xlfn.ANCHORARRAY($Y$4),_xlpm.r,ROWS(stayCity[[#Headers],[city]]:stayCity[[#This Row],[city]])-1,IF(_xlpm.r&lt;=ROWS(_xlpm.S),INDEX(_xlpm.S,_xlpm.r,1),""))</f>
        <v/>
      </c>
      <c r="AC179" s="1405">
        <f t="array" ref="AC179">_xlfn.LET(_xlpm.S,_xlfn.ANCHORARRAY($Y$4),_xlpm.r,ROWS(stayCity[[#Headers],[city]]:stayCity[[#This Row],[city]])-1,IF(_xlpm.r&lt;=ROWS(_xlpm.S),INDEX(_xlpm.S,_xlpm.r,2),""))</f>
        <v/>
      </c>
      <c r="AD179" s="1405">
        <f t="array" ref="AD179">_xlfn.LET(_xlpm.S,_xlfn.ANCHORARRAY($Y$4),_xlpm.r,ROWS(stayCity[[#Headers],[city]]:stayCity[[#This Row],[city]])-1,IF(_xlpm.r&lt;=ROWS(_xlpm.S),INDEX(_xlpm.S,_xlpm.r,3),""))</f>
        <v/>
      </c>
      <c r="AE179" s="1400">
        <f>IF(stayCity[[#This Row],[out]]&lt;&gt;"",stayCity[[#This Row],[out]]-stayCity[[#This Row],[in]],"-")</f>
        <v/>
      </c>
      <c r="AF179" s="1406">
        <f>IF(Y179="","-",YEAR(stayCity[[#This Row],[in]]))</f>
        <v/>
      </c>
      <c r="AG179" s="1398" t="inlineStr">
        <is>
          <t>.</t>
        </is>
      </c>
      <c r="AH179" s="1402">
        <f/>
        <v/>
      </c>
      <c r="AI179" s="1403">
        <f/>
        <v/>
      </c>
      <c r="AJ179" s="1403">
        <f/>
        <v/>
      </c>
      <c r="AK179" s="1400">
        <f>IF(AH179="","-",AH179)</f>
        <v/>
      </c>
      <c r="AL179" s="1405">
        <f>AI179</f>
        <v/>
      </c>
      <c r="AM179" s="1405">
        <f>AJ179</f>
        <v/>
      </c>
      <c r="AN179" s="1400">
        <f>stayCtry[[#This Row],[out]]-stayCtry[[#This Row],[in]]</f>
        <v/>
      </c>
      <c r="AO179" s="1406">
        <f>IF(AI179&lt;&gt;"",AO178+1,AO178)</f>
        <v/>
      </c>
      <c r="AP179" s="1398" t="inlineStr">
        <is>
          <t>.</t>
        </is>
      </c>
      <c r="AQ179" s="1402" t="n"/>
      <c r="AR179" s="1403" t="n"/>
      <c r="AS179" s="1403" t="n"/>
      <c r="AT179" s="1400">
        <f>AQ179</f>
        <v/>
      </c>
      <c r="AU179" s="1405">
        <f>AR179</f>
        <v/>
      </c>
      <c r="AV179" s="1405">
        <f>AS179</f>
        <v/>
      </c>
      <c r="AW179" s="1400">
        <f>stayCont[[#This Row],[out]]-stayCont[[#This Row],[in]]</f>
        <v/>
      </c>
      <c r="AX179" s="1406">
        <f>IF(AR179&lt;&gt;"",AX178+1,AX178)</f>
        <v/>
      </c>
      <c r="AY179" s="1398" t="inlineStr">
        <is>
          <t>.</t>
        </is>
      </c>
      <c r="AZ179" s="1402" t="n"/>
      <c r="BA179" s="1403" t="n"/>
      <c r="BB179" s="1403" t="n"/>
      <c r="BC179" s="1405">
        <f>AZ179</f>
        <v/>
      </c>
      <c r="BD179" s="1405">
        <f>BA179</f>
        <v/>
      </c>
      <c r="BE179" s="1405">
        <f>BB179</f>
        <v/>
      </c>
      <c r="BF179" s="1400">
        <f>stayWB[[#This Row],[out]]-stayWB[[#This Row],[in]]</f>
        <v/>
      </c>
      <c r="BG179" s="1400">
        <f>IF(BB179&lt;&gt;"",BG178+1,BG178)</f>
        <v/>
      </c>
      <c r="BH179" s="1398" t="inlineStr">
        <is>
          <t>.</t>
        </is>
      </c>
      <c r="BI179" s="1402" t="inlineStr">
        <is>
          <t>USA</t>
        </is>
      </c>
      <c r="BJ179" s="1402" t="n">
        <v>2012</v>
      </c>
      <c r="BK179" s="1400">
        <f>BI179</f>
        <v/>
      </c>
      <c r="BL179" s="1409">
        <f>BJ179</f>
        <v/>
      </c>
      <c r="BM179" s="1378" t="inlineStr">
        <is>
          <t>.</t>
        </is>
      </c>
      <c r="BN179" s="1411" t="n"/>
      <c r="BO179" s="1400">
        <f>BN179</f>
        <v/>
      </c>
      <c r="BP179" s="1398" t="inlineStr">
        <is>
          <t>.</t>
        </is>
      </c>
      <c r="BQ179" s="1400">
        <f>IF(BR179&lt;&gt;"",BQ178+1,BQ178)</f>
        <v/>
      </c>
      <c r="BR179" s="1411" t="inlineStr">
        <is>
          <t>SSA</t>
        </is>
      </c>
      <c r="BS179" s="1411" t="inlineStr">
        <is>
          <t>Aracaju</t>
        </is>
      </c>
      <c r="BT179" s="1412" t="inlineStr">
        <is>
          <t>SSA-Aracaju</t>
        </is>
      </c>
      <c r="BU179" s="1412" t="n">
        <v>39511</v>
      </c>
      <c r="BV179" s="1398" t="inlineStr">
        <is>
          <t>.</t>
        </is>
      </c>
      <c r="BW179" s="1392" t="n"/>
      <c r="BX179" s="1392" t="n"/>
      <c r="BY179" s="1392" t="n"/>
      <c r="BZ179" s="1416" t="n"/>
      <c r="CA179" s="1392" t="n"/>
      <c r="CB179" s="1398" t="inlineStr">
        <is>
          <t>.</t>
        </is>
      </c>
      <c r="CC179" s="1400">
        <f>IF(CD179&lt;&gt;"",CC178+1,CC178)</f>
        <v/>
      </c>
      <c r="CD179" s="1411" t="inlineStr">
        <is>
          <t>David's</t>
        </is>
      </c>
      <c r="CE179" s="1412" t="n">
        <v>43782</v>
      </c>
      <c r="CF179" s="1412" t="n">
        <v>43784</v>
      </c>
      <c r="CG179" s="1415">
        <f>CF179-CE179</f>
        <v/>
      </c>
      <c r="CH179" s="1398" t="inlineStr">
        <is>
          <t>.</t>
        </is>
      </c>
      <c r="CI179" s="1392" t="n"/>
      <c r="CJ179" s="1392" t="n"/>
      <c r="CK179" s="1392" t="n"/>
      <c r="CL179" s="1392" t="n"/>
    </row>
    <row r="180">
      <c r="A180" s="5" t="inlineStr">
        <is>
          <t>.</t>
        </is>
      </c>
      <c r="B180" s="5" t="inlineStr">
        <is>
          <t>.</t>
        </is>
      </c>
      <c r="C180" s="1378">
        <f>IF(raw[[#This Row],[city]]="","-",IF(raw[[#This Row],[city]]="TODAY","-",C179+1))</f>
        <v/>
      </c>
      <c r="D180" s="1393" t="inlineStr">
        <is>
          <t>Salzburg</t>
        </is>
      </c>
      <c r="E180" s="1394" t="n">
        <v>32037</v>
      </c>
      <c r="F180" s="1394" t="n">
        <v>32038</v>
      </c>
      <c r="G180" s="1393" t="inlineStr">
        <is>
          <t>-</t>
        </is>
      </c>
      <c r="H180" s="1393">
        <f>H179</f>
        <v/>
      </c>
      <c r="I180" s="1393" t="inlineStr">
        <is>
          <t>-</t>
        </is>
      </c>
      <c r="J180" s="1393" t="inlineStr">
        <is>
          <t>-</t>
        </is>
      </c>
      <c r="K180" s="1395">
        <f>IF(raw[[#This Row],[city]]&lt;&gt;"",_xlfn.XLOOKUP($D180,ccc[city],ccc[prov],"-"),"-")</f>
        <v/>
      </c>
      <c r="L180" s="1395">
        <f>IF(raw[[#This Row],[city]]&lt;&gt;"",_xlfn.XLOOKUP($D180,ccc[city],ccc[ctry],"-"),"-")</f>
        <v/>
      </c>
      <c r="M180" s="1395">
        <f>IF(raw[[#This Row],[city]]&lt;&gt;"",_xlfn.XLOOKUP($D180,ccc[city],ccc[cont],"-"),"-")</f>
        <v/>
      </c>
      <c r="N180" s="1396">
        <f>IF(raw[[#This Row],[city]]="","-",IF(raw[[#This Row],[cont]]="B",raw[[#This Row],[cont]],"W"))</f>
        <v/>
      </c>
      <c r="O180" s="1397">
        <f>IF(raw[[#This Row],[out]]=0,0,IF(raw[[#This Row],[out]]=raw[[#This Row],[in]],0.01,raw[[#This Row],[out]]-raw[[#This Row],[in]]))</f>
        <v/>
      </c>
      <c r="P180" s="1397">
        <f>IF(raw[[#This Row],[in]]=0,0,MONTH(raw[[#This Row],[in]]))</f>
        <v/>
      </c>
      <c r="Q180" s="1397">
        <f>IF(raw[[#This Row],[in]]=0,0,YEAR(raw[[#This Row],[in]]))</f>
        <v/>
      </c>
      <c r="R180" s="1397">
        <f>INT(raw[[#This Row],[yr]]/10)*10</f>
        <v/>
      </c>
      <c r="S180" s="1395">
        <f>IF(raw[[#This Row],[city]]="","-",IF(raw[[#This Row],[city]]&lt;&gt;_xlfn.XLOOKUP(raw[[#This Row],[home]],homes[home],homes[city],"-"),1,0))</f>
        <v/>
      </c>
      <c r="T180" s="1398" t="inlineStr">
        <is>
          <t>.</t>
        </is>
      </c>
      <c r="U180" s="1399">
        <f>IF(raw[[#This Row],[wb]]="w",raw[[#This Row],[stay]]+U179,U179)</f>
        <v/>
      </c>
      <c r="V180" s="1400">
        <f>IF(raw[[#This Row],[out]]=0,V179,(raw[[#This Row],[out]]-E$5))</f>
        <v/>
      </c>
      <c r="W180" s="1401">
        <f>U180/V180</f>
        <v/>
      </c>
      <c r="X180" s="1378" t="inlineStr">
        <is>
          <t>.</t>
        </is>
      </c>
      <c r="Y180" s="1402">
        <f/>
        <v/>
      </c>
      <c r="Z180" s="1403">
        <f/>
        <v/>
      </c>
      <c r="AA180" s="1403">
        <f/>
        <v/>
      </c>
      <c r="AB180" s="1400">
        <f t="array" ref="AB180">_xlfn.LET(_xlpm.S,_xlfn.ANCHORARRAY($Y$4),_xlpm.r,ROWS(stayCity[[#Headers],[city]]:stayCity[[#This Row],[city]])-1,IF(_xlpm.r&lt;=ROWS(_xlpm.S),INDEX(_xlpm.S,_xlpm.r,1),""))</f>
        <v/>
      </c>
      <c r="AC180" s="1405">
        <f t="array" ref="AC180">_xlfn.LET(_xlpm.S,_xlfn.ANCHORARRAY($Y$4),_xlpm.r,ROWS(stayCity[[#Headers],[city]]:stayCity[[#This Row],[city]])-1,IF(_xlpm.r&lt;=ROWS(_xlpm.S),INDEX(_xlpm.S,_xlpm.r,2),""))</f>
        <v/>
      </c>
      <c r="AD180" s="1405">
        <f t="array" ref="AD180">_xlfn.LET(_xlpm.S,_xlfn.ANCHORARRAY($Y$4),_xlpm.r,ROWS(stayCity[[#Headers],[city]]:stayCity[[#This Row],[city]])-1,IF(_xlpm.r&lt;=ROWS(_xlpm.S),INDEX(_xlpm.S,_xlpm.r,3),""))</f>
        <v/>
      </c>
      <c r="AE180" s="1400">
        <f>IF(stayCity[[#This Row],[out]]&lt;&gt;"",stayCity[[#This Row],[out]]-stayCity[[#This Row],[in]],"-")</f>
        <v/>
      </c>
      <c r="AF180" s="1406">
        <f>IF(Y180="","-",YEAR(stayCity[[#This Row],[in]]))</f>
        <v/>
      </c>
      <c r="AG180" s="1398" t="inlineStr">
        <is>
          <t>.</t>
        </is>
      </c>
      <c r="AH180" s="1402">
        <f/>
        <v/>
      </c>
      <c r="AI180" s="1403">
        <f/>
        <v/>
      </c>
      <c r="AJ180" s="1403">
        <f/>
        <v/>
      </c>
      <c r="AK180" s="1400">
        <f>IF(AH180="","-",AH180)</f>
        <v/>
      </c>
      <c r="AL180" s="1405">
        <f>AI180</f>
        <v/>
      </c>
      <c r="AM180" s="1405">
        <f>AJ180</f>
        <v/>
      </c>
      <c r="AN180" s="1400">
        <f>stayCtry[[#This Row],[out]]-stayCtry[[#This Row],[in]]</f>
        <v/>
      </c>
      <c r="AO180" s="1406">
        <f>IF(AI180&lt;&gt;"",AO179+1,AO179)</f>
        <v/>
      </c>
      <c r="AP180" s="1398" t="inlineStr">
        <is>
          <t>.</t>
        </is>
      </c>
      <c r="AQ180" s="1402" t="n"/>
      <c r="AR180" s="1403" t="n"/>
      <c r="AS180" s="1403" t="n"/>
      <c r="AT180" s="1400">
        <f>AQ180</f>
        <v/>
      </c>
      <c r="AU180" s="1405">
        <f>AR180</f>
        <v/>
      </c>
      <c r="AV180" s="1405">
        <f>AS180</f>
        <v/>
      </c>
      <c r="AW180" s="1400">
        <f>stayCont[[#This Row],[out]]-stayCont[[#This Row],[in]]</f>
        <v/>
      </c>
      <c r="AX180" s="1406">
        <f>IF(AR180&lt;&gt;"",AX179+1,AX179)</f>
        <v/>
      </c>
      <c r="AY180" s="1398" t="inlineStr">
        <is>
          <t>.</t>
        </is>
      </c>
      <c r="AZ180" s="1402" t="n"/>
      <c r="BA180" s="1403" t="n"/>
      <c r="BB180" s="1403" t="n"/>
      <c r="BC180" s="1405">
        <f>AZ180</f>
        <v/>
      </c>
      <c r="BD180" s="1405">
        <f>BA180</f>
        <v/>
      </c>
      <c r="BE180" s="1405">
        <f>BB180</f>
        <v/>
      </c>
      <c r="BF180" s="1400">
        <f>stayWB[[#This Row],[out]]-stayWB[[#This Row],[in]]</f>
        <v/>
      </c>
      <c r="BG180" s="1400">
        <f>IF(BB180&lt;&gt;"",BG179+1,BG179)</f>
        <v/>
      </c>
      <c r="BH180" s="1398" t="inlineStr">
        <is>
          <t>.</t>
        </is>
      </c>
      <c r="BI180" s="1402" t="inlineStr">
        <is>
          <t>CAN</t>
        </is>
      </c>
      <c r="BJ180" s="1402" t="n">
        <v>2012</v>
      </c>
      <c r="BK180" s="1400">
        <f>BI180</f>
        <v/>
      </c>
      <c r="BL180" s="1409">
        <f>BJ180</f>
        <v/>
      </c>
      <c r="BM180" s="1378" t="inlineStr">
        <is>
          <t>.</t>
        </is>
      </c>
      <c r="BN180" s="1411" t="n"/>
      <c r="BO180" s="1400">
        <f>BN180</f>
        <v/>
      </c>
      <c r="BP180" s="1398" t="inlineStr">
        <is>
          <t>.</t>
        </is>
      </c>
      <c r="BQ180" s="1400">
        <f>IF(BR180&lt;&gt;"",BQ179+1,BQ179)</f>
        <v/>
      </c>
      <c r="BR180" s="1411" t="inlineStr">
        <is>
          <t>Aracaju</t>
        </is>
      </c>
      <c r="BS180" s="1411" t="inlineStr">
        <is>
          <t>SSA</t>
        </is>
      </c>
      <c r="BT180" s="1412" t="inlineStr">
        <is>
          <t>Aracaju-SSA</t>
        </is>
      </c>
      <c r="BU180" s="1412" t="n">
        <v>39512</v>
      </c>
      <c r="BV180" s="1398" t="inlineStr">
        <is>
          <t>.</t>
        </is>
      </c>
      <c r="BW180" s="1392" t="n"/>
      <c r="BX180" s="1392" t="n"/>
      <c r="BY180" s="1392" t="n"/>
      <c r="BZ180" s="1416" t="n"/>
      <c r="CA180" s="1392" t="n"/>
      <c r="CB180" s="1398" t="inlineStr">
        <is>
          <t>.</t>
        </is>
      </c>
      <c r="CC180" s="1400">
        <f>IF(CD180&lt;&gt;"",CC179+1,CC179)</f>
        <v/>
      </c>
      <c r="CD180" s="1411" t="inlineStr">
        <is>
          <t>Thomas/Leslie</t>
        </is>
      </c>
      <c r="CE180" s="1412" t="n">
        <v>43784</v>
      </c>
      <c r="CF180" s="1412" t="n">
        <v>43786</v>
      </c>
      <c r="CG180" s="1415">
        <f>CF180-CE180</f>
        <v/>
      </c>
      <c r="CH180" s="1398" t="inlineStr">
        <is>
          <t>.</t>
        </is>
      </c>
      <c r="CI180" s="1392" t="n"/>
      <c r="CJ180" s="1392" t="n"/>
      <c r="CK180" s="1392" t="n"/>
      <c r="CL180" s="1392" t="n"/>
    </row>
    <row r="181">
      <c r="A181" s="5" t="inlineStr">
        <is>
          <t>.</t>
        </is>
      </c>
      <c r="B181" s="5" t="inlineStr">
        <is>
          <t>.</t>
        </is>
      </c>
      <c r="C181" s="1378">
        <f>IF(raw[[#This Row],[city]]="","-",IF(raw[[#This Row],[city]]="TODAY","-",C180+1))</f>
        <v/>
      </c>
      <c r="D181" s="1393" t="inlineStr">
        <is>
          <t>Viena</t>
        </is>
      </c>
      <c r="E181" s="1394" t="n">
        <v>32038</v>
      </c>
      <c r="F181" s="1394" t="n">
        <v>32040</v>
      </c>
      <c r="G181" s="1393" t="inlineStr">
        <is>
          <t>-</t>
        </is>
      </c>
      <c r="H181" s="1393">
        <f>H180</f>
        <v/>
      </c>
      <c r="I181" s="1393" t="inlineStr">
        <is>
          <t>-</t>
        </is>
      </c>
      <c r="J181" s="1393" t="inlineStr">
        <is>
          <t>-</t>
        </is>
      </c>
      <c r="K181" s="1395">
        <f>IF(raw[[#This Row],[city]]&lt;&gt;"",_xlfn.XLOOKUP($D181,ccc[city],ccc[prov],"-"),"-")</f>
        <v/>
      </c>
      <c r="L181" s="1395">
        <f>IF(raw[[#This Row],[city]]&lt;&gt;"",_xlfn.XLOOKUP($D181,ccc[city],ccc[ctry],"-"),"-")</f>
        <v/>
      </c>
      <c r="M181" s="1395">
        <f>IF(raw[[#This Row],[city]]&lt;&gt;"",_xlfn.XLOOKUP($D181,ccc[city],ccc[cont],"-"),"-")</f>
        <v/>
      </c>
      <c r="N181" s="1396">
        <f>IF(raw[[#This Row],[city]]="","-",IF(raw[[#This Row],[cont]]="B",raw[[#This Row],[cont]],"W"))</f>
        <v/>
      </c>
      <c r="O181" s="1397">
        <f>IF(raw[[#This Row],[out]]=0,0,IF(raw[[#This Row],[out]]=raw[[#This Row],[in]],0.01,raw[[#This Row],[out]]-raw[[#This Row],[in]]))</f>
        <v/>
      </c>
      <c r="P181" s="1397">
        <f>IF(raw[[#This Row],[in]]=0,0,MONTH(raw[[#This Row],[in]]))</f>
        <v/>
      </c>
      <c r="Q181" s="1397">
        <f>IF(raw[[#This Row],[in]]=0,0,YEAR(raw[[#This Row],[in]]))</f>
        <v/>
      </c>
      <c r="R181" s="1397">
        <f>INT(raw[[#This Row],[yr]]/10)*10</f>
        <v/>
      </c>
      <c r="S181" s="1395">
        <f>IF(raw[[#This Row],[city]]="","-",IF(raw[[#This Row],[city]]&lt;&gt;_xlfn.XLOOKUP(raw[[#This Row],[home]],homes[home],homes[city],"-"),1,0))</f>
        <v/>
      </c>
      <c r="T181" s="1398" t="inlineStr">
        <is>
          <t>.</t>
        </is>
      </c>
      <c r="U181" s="1399">
        <f>IF(raw[[#This Row],[wb]]="w",raw[[#This Row],[stay]]+U180,U180)</f>
        <v/>
      </c>
      <c r="V181" s="1400">
        <f>IF(raw[[#This Row],[out]]=0,V180,(raw[[#This Row],[out]]-E$5))</f>
        <v/>
      </c>
      <c r="W181" s="1401">
        <f>U181/V181</f>
        <v/>
      </c>
      <c r="X181" s="1378" t="inlineStr">
        <is>
          <t>.</t>
        </is>
      </c>
      <c r="Y181" s="1402">
        <f/>
        <v/>
      </c>
      <c r="Z181" s="1403">
        <f/>
        <v/>
      </c>
      <c r="AA181" s="1403">
        <f/>
        <v/>
      </c>
      <c r="AB181" s="1400">
        <f t="array" ref="AB181">_xlfn.LET(_xlpm.S,_xlfn.ANCHORARRAY($Y$4),_xlpm.r,ROWS(stayCity[[#Headers],[city]]:stayCity[[#This Row],[city]])-1,IF(_xlpm.r&lt;=ROWS(_xlpm.S),INDEX(_xlpm.S,_xlpm.r,1),""))</f>
        <v/>
      </c>
      <c r="AC181" s="1405">
        <f t="array" ref="AC181">_xlfn.LET(_xlpm.S,_xlfn.ANCHORARRAY($Y$4),_xlpm.r,ROWS(stayCity[[#Headers],[city]]:stayCity[[#This Row],[city]])-1,IF(_xlpm.r&lt;=ROWS(_xlpm.S),INDEX(_xlpm.S,_xlpm.r,2),""))</f>
        <v/>
      </c>
      <c r="AD181" s="1405">
        <f t="array" ref="AD181">_xlfn.LET(_xlpm.S,_xlfn.ANCHORARRAY($Y$4),_xlpm.r,ROWS(stayCity[[#Headers],[city]]:stayCity[[#This Row],[city]])-1,IF(_xlpm.r&lt;=ROWS(_xlpm.S),INDEX(_xlpm.S,_xlpm.r,3),""))</f>
        <v/>
      </c>
      <c r="AE181" s="1400">
        <f>IF(stayCity[[#This Row],[out]]&lt;&gt;"",stayCity[[#This Row],[out]]-stayCity[[#This Row],[in]],"-")</f>
        <v/>
      </c>
      <c r="AF181" s="1406">
        <f>IF(Y181="","-",YEAR(stayCity[[#This Row],[in]]))</f>
        <v/>
      </c>
      <c r="AG181" s="1398" t="inlineStr">
        <is>
          <t>.</t>
        </is>
      </c>
      <c r="AH181" s="1402">
        <f/>
        <v/>
      </c>
      <c r="AI181" s="1403">
        <f/>
        <v/>
      </c>
      <c r="AJ181" s="1403">
        <f/>
        <v/>
      </c>
      <c r="AK181" s="1400">
        <f>IF(AH181="","-",AH181)</f>
        <v/>
      </c>
      <c r="AL181" s="1405">
        <f>AI181</f>
        <v/>
      </c>
      <c r="AM181" s="1405">
        <f>AJ181</f>
        <v/>
      </c>
      <c r="AN181" s="1400">
        <f>stayCtry[[#This Row],[out]]-stayCtry[[#This Row],[in]]</f>
        <v/>
      </c>
      <c r="AO181" s="1406">
        <f>IF(AI181&lt;&gt;"",AO180+1,AO180)</f>
        <v/>
      </c>
      <c r="AP181" s="1398" t="inlineStr">
        <is>
          <t>.</t>
        </is>
      </c>
      <c r="AQ181" s="1402" t="n"/>
      <c r="AR181" s="1403" t="n"/>
      <c r="AS181" s="1403" t="n"/>
      <c r="AT181" s="1400">
        <f>AQ181</f>
        <v/>
      </c>
      <c r="AU181" s="1405">
        <f>AR181</f>
        <v/>
      </c>
      <c r="AV181" s="1405">
        <f>AS181</f>
        <v/>
      </c>
      <c r="AW181" s="1400">
        <f>stayCont[[#This Row],[out]]-stayCont[[#This Row],[in]]</f>
        <v/>
      </c>
      <c r="AX181" s="1406">
        <f>IF(AR181&lt;&gt;"",AX180+1,AX180)</f>
        <v/>
      </c>
      <c r="AY181" s="1398" t="inlineStr">
        <is>
          <t>.</t>
        </is>
      </c>
      <c r="AZ181" s="1402" t="n"/>
      <c r="BA181" s="1403" t="n"/>
      <c r="BB181" s="1403" t="n"/>
      <c r="BC181" s="1405">
        <f>AZ181</f>
        <v/>
      </c>
      <c r="BD181" s="1405">
        <f>BA181</f>
        <v/>
      </c>
      <c r="BE181" s="1405">
        <f>BB181</f>
        <v/>
      </c>
      <c r="BF181" s="1400">
        <f>stayWB[[#This Row],[out]]-stayWB[[#This Row],[in]]</f>
        <v/>
      </c>
      <c r="BG181" s="1400">
        <f>IF(BB181&lt;&gt;"",BG180+1,BG180)</f>
        <v/>
      </c>
      <c r="BH181" s="1398" t="inlineStr">
        <is>
          <t>.</t>
        </is>
      </c>
      <c r="BI181" s="1402" t="inlineStr">
        <is>
          <t>USA</t>
        </is>
      </c>
      <c r="BJ181" s="1402" t="n">
        <v>2013</v>
      </c>
      <c r="BK181" s="1400">
        <f>BI181</f>
        <v/>
      </c>
      <c r="BL181" s="1409">
        <f>BJ181</f>
        <v/>
      </c>
      <c r="BM181" s="1378" t="inlineStr">
        <is>
          <t>.</t>
        </is>
      </c>
      <c r="BN181" s="1411" t="n"/>
      <c r="BO181" s="1400">
        <f>BN181</f>
        <v/>
      </c>
      <c r="BP181" s="1398" t="inlineStr">
        <is>
          <t>.</t>
        </is>
      </c>
      <c r="BQ181" s="1400">
        <f>IF(BR181&lt;&gt;"",BQ180+1,BQ180)</f>
        <v/>
      </c>
      <c r="BR181" s="1411" t="inlineStr">
        <is>
          <t>SSA</t>
        </is>
      </c>
      <c r="BS181" s="1411" t="inlineStr">
        <is>
          <t>SP</t>
        </is>
      </c>
      <c r="BT181" s="1412" t="inlineStr">
        <is>
          <t>SSA-SP</t>
        </is>
      </c>
      <c r="BU181" s="1412" t="n">
        <v>39534</v>
      </c>
      <c r="BV181" s="1398" t="inlineStr">
        <is>
          <t>.</t>
        </is>
      </c>
      <c r="BW181" s="1392" t="n"/>
      <c r="BX181" s="1392" t="n"/>
      <c r="BY181" s="1392" t="n"/>
      <c r="BZ181" s="1416" t="n"/>
      <c r="CA181" s="1392" t="n"/>
      <c r="CB181" s="1398" t="inlineStr">
        <is>
          <t>.</t>
        </is>
      </c>
      <c r="CC181" s="1400">
        <f>IF(CD181&lt;&gt;"",CC180+1,CC180)</f>
        <v/>
      </c>
      <c r="CD181" s="1411" t="inlineStr">
        <is>
          <t>David's</t>
        </is>
      </c>
      <c r="CE181" s="1412" t="n">
        <v>43786</v>
      </c>
      <c r="CF181" s="1412" t="n">
        <v>43787</v>
      </c>
      <c r="CG181" s="1415">
        <f>CF181-CE181</f>
        <v/>
      </c>
      <c r="CH181" s="1398" t="inlineStr">
        <is>
          <t>.</t>
        </is>
      </c>
      <c r="CI181" s="1392" t="n"/>
      <c r="CJ181" s="1392" t="n"/>
      <c r="CK181" s="1392" t="n"/>
      <c r="CL181" s="1392" t="n"/>
    </row>
    <row r="182">
      <c r="A182" s="5" t="inlineStr">
        <is>
          <t>.</t>
        </is>
      </c>
      <c r="B182" s="5" t="inlineStr">
        <is>
          <t>.</t>
        </is>
      </c>
      <c r="C182" s="1378">
        <f>IF(raw[[#This Row],[city]]="","-",IF(raw[[#This Row],[city]]="TODAY","-",C181+1))</f>
        <v/>
      </c>
      <c r="D182" s="1393" t="inlineStr">
        <is>
          <t>Budapest</t>
        </is>
      </c>
      <c r="E182" s="1394" t="n">
        <v>32040</v>
      </c>
      <c r="F182" s="1394" t="n">
        <v>32042</v>
      </c>
      <c r="G182" s="1393" t="inlineStr">
        <is>
          <t>-</t>
        </is>
      </c>
      <c r="H182" s="1393">
        <f>H181</f>
        <v/>
      </c>
      <c r="I182" s="1393" t="inlineStr">
        <is>
          <t>-</t>
        </is>
      </c>
      <c r="J182" s="1393" t="inlineStr">
        <is>
          <t>-</t>
        </is>
      </c>
      <c r="K182" s="1395">
        <f>IF(raw[[#This Row],[city]]&lt;&gt;"",_xlfn.XLOOKUP($D182,ccc[city],ccc[prov],"-"),"-")</f>
        <v/>
      </c>
      <c r="L182" s="1395">
        <f>IF(raw[[#This Row],[city]]&lt;&gt;"",_xlfn.XLOOKUP($D182,ccc[city],ccc[ctry],"-"),"-")</f>
        <v/>
      </c>
      <c r="M182" s="1395">
        <f>IF(raw[[#This Row],[city]]&lt;&gt;"",_xlfn.XLOOKUP($D182,ccc[city],ccc[cont],"-"),"-")</f>
        <v/>
      </c>
      <c r="N182" s="1396">
        <f>IF(raw[[#This Row],[city]]="","-",IF(raw[[#This Row],[cont]]="B",raw[[#This Row],[cont]],"W"))</f>
        <v/>
      </c>
      <c r="O182" s="1397">
        <f>IF(raw[[#This Row],[out]]=0,0,IF(raw[[#This Row],[out]]=raw[[#This Row],[in]],0.01,raw[[#This Row],[out]]-raw[[#This Row],[in]]))</f>
        <v/>
      </c>
      <c r="P182" s="1397">
        <f>IF(raw[[#This Row],[in]]=0,0,MONTH(raw[[#This Row],[in]]))</f>
        <v/>
      </c>
      <c r="Q182" s="1397">
        <f>IF(raw[[#This Row],[in]]=0,0,YEAR(raw[[#This Row],[in]]))</f>
        <v/>
      </c>
      <c r="R182" s="1397">
        <f>INT(raw[[#This Row],[yr]]/10)*10</f>
        <v/>
      </c>
      <c r="S182" s="1395">
        <f>IF(raw[[#This Row],[city]]="","-",IF(raw[[#This Row],[city]]&lt;&gt;_xlfn.XLOOKUP(raw[[#This Row],[home]],homes[home],homes[city],"-"),1,0))</f>
        <v/>
      </c>
      <c r="T182" s="1398" t="inlineStr">
        <is>
          <t>.</t>
        </is>
      </c>
      <c r="U182" s="1399">
        <f>IF(raw[[#This Row],[wb]]="w",raw[[#This Row],[stay]]+U181,U181)</f>
        <v/>
      </c>
      <c r="V182" s="1400">
        <f>IF(raw[[#This Row],[out]]=0,V181,(raw[[#This Row],[out]]-E$5))</f>
        <v/>
      </c>
      <c r="W182" s="1401">
        <f>U182/V182</f>
        <v/>
      </c>
      <c r="X182" s="1378" t="inlineStr">
        <is>
          <t>.</t>
        </is>
      </c>
      <c r="Y182" s="1402">
        <f/>
        <v/>
      </c>
      <c r="Z182" s="1403">
        <f/>
        <v/>
      </c>
      <c r="AA182" s="1403">
        <f/>
        <v/>
      </c>
      <c r="AB182" s="1400">
        <f t="array" ref="AB182">_xlfn.LET(_xlpm.S,_xlfn.ANCHORARRAY($Y$4),_xlpm.r,ROWS(stayCity[[#Headers],[city]]:stayCity[[#This Row],[city]])-1,IF(_xlpm.r&lt;=ROWS(_xlpm.S),INDEX(_xlpm.S,_xlpm.r,1),""))</f>
        <v/>
      </c>
      <c r="AC182" s="1405">
        <f t="array" ref="AC182">_xlfn.LET(_xlpm.S,_xlfn.ANCHORARRAY($Y$4),_xlpm.r,ROWS(stayCity[[#Headers],[city]]:stayCity[[#This Row],[city]])-1,IF(_xlpm.r&lt;=ROWS(_xlpm.S),INDEX(_xlpm.S,_xlpm.r,2),""))</f>
        <v/>
      </c>
      <c r="AD182" s="1405">
        <f t="array" ref="AD182">_xlfn.LET(_xlpm.S,_xlfn.ANCHORARRAY($Y$4),_xlpm.r,ROWS(stayCity[[#Headers],[city]]:stayCity[[#This Row],[city]])-1,IF(_xlpm.r&lt;=ROWS(_xlpm.S),INDEX(_xlpm.S,_xlpm.r,3),""))</f>
        <v/>
      </c>
      <c r="AE182" s="1400">
        <f>IF(stayCity[[#This Row],[out]]&lt;&gt;"",stayCity[[#This Row],[out]]-stayCity[[#This Row],[in]],"-")</f>
        <v/>
      </c>
      <c r="AF182" s="1406">
        <f>IF(Y182="","-",YEAR(stayCity[[#This Row],[in]]))</f>
        <v/>
      </c>
      <c r="AG182" s="1398" t="inlineStr">
        <is>
          <t>.</t>
        </is>
      </c>
      <c r="AH182" s="1402">
        <f/>
        <v/>
      </c>
      <c r="AI182" s="1403">
        <f/>
        <v/>
      </c>
      <c r="AJ182" s="1403">
        <f/>
        <v/>
      </c>
      <c r="AK182" s="1400">
        <f>IF(AH182="","-",AH182)</f>
        <v/>
      </c>
      <c r="AL182" s="1405">
        <f>AI182</f>
        <v/>
      </c>
      <c r="AM182" s="1405">
        <f>AJ182</f>
        <v/>
      </c>
      <c r="AN182" s="1400">
        <f>stayCtry[[#This Row],[out]]-stayCtry[[#This Row],[in]]</f>
        <v/>
      </c>
      <c r="AO182" s="1406">
        <f>IF(AI182&lt;&gt;"",AO181+1,AO181)</f>
        <v/>
      </c>
      <c r="AP182" s="1398" t="inlineStr">
        <is>
          <t>.</t>
        </is>
      </c>
      <c r="AQ182" s="1402" t="n"/>
      <c r="AR182" s="1403" t="n"/>
      <c r="AS182" s="1403" t="n"/>
      <c r="AT182" s="1400">
        <f>AQ182</f>
        <v/>
      </c>
      <c r="AU182" s="1405">
        <f>AR182</f>
        <v/>
      </c>
      <c r="AV182" s="1405">
        <f>AS182</f>
        <v/>
      </c>
      <c r="AW182" s="1400">
        <f>stayCont[[#This Row],[out]]-stayCont[[#This Row],[in]]</f>
        <v/>
      </c>
      <c r="AX182" s="1406">
        <f>IF(AR182&lt;&gt;"",AX181+1,AX181)</f>
        <v/>
      </c>
      <c r="AY182" s="1398" t="inlineStr">
        <is>
          <t>.</t>
        </is>
      </c>
      <c r="AZ182" s="1402" t="n"/>
      <c r="BA182" s="1403" t="n"/>
      <c r="BB182" s="1403" t="n"/>
      <c r="BC182" s="1405">
        <f>AZ182</f>
        <v/>
      </c>
      <c r="BD182" s="1405">
        <f>BA182</f>
        <v/>
      </c>
      <c r="BE182" s="1405">
        <f>BB182</f>
        <v/>
      </c>
      <c r="BF182" s="1400">
        <f>stayWB[[#This Row],[out]]-stayWB[[#This Row],[in]]</f>
        <v/>
      </c>
      <c r="BG182" s="1400">
        <f>IF(BB182&lt;&gt;"",BG181+1,BG181)</f>
        <v/>
      </c>
      <c r="BH182" s="1398" t="inlineStr">
        <is>
          <t>.</t>
        </is>
      </c>
      <c r="BI182" s="1402" t="inlineStr">
        <is>
          <t>BRA</t>
        </is>
      </c>
      <c r="BJ182" s="1402" t="n">
        <v>2013</v>
      </c>
      <c r="BK182" s="1400">
        <f>BI182</f>
        <v/>
      </c>
      <c r="BL182" s="1409">
        <f>BJ182</f>
        <v/>
      </c>
      <c r="BM182" s="1378" t="inlineStr">
        <is>
          <t>.</t>
        </is>
      </c>
      <c r="BN182" s="1411" t="n"/>
      <c r="BO182" s="1400">
        <f>BN182</f>
        <v/>
      </c>
      <c r="BP182" s="1398" t="inlineStr">
        <is>
          <t>.</t>
        </is>
      </c>
      <c r="BQ182" s="1400">
        <f>IF(BR182&lt;&gt;"",BQ181+1,BQ181)</f>
        <v/>
      </c>
      <c r="BR182" s="1411" t="inlineStr">
        <is>
          <t>SP</t>
        </is>
      </c>
      <c r="BS182" s="1411" t="inlineStr">
        <is>
          <t>SSA</t>
        </is>
      </c>
      <c r="BT182" s="1412" t="inlineStr">
        <is>
          <t>SP-SSA</t>
        </is>
      </c>
      <c r="BU182" s="1412" t="n">
        <v>39540</v>
      </c>
      <c r="BV182" s="1398" t="inlineStr">
        <is>
          <t>.</t>
        </is>
      </c>
      <c r="BW182" s="1392" t="n"/>
      <c r="BX182" s="1392" t="n"/>
      <c r="BY182" s="1392" t="n"/>
      <c r="BZ182" s="1416" t="n"/>
      <c r="CA182" s="1392" t="n"/>
      <c r="CB182" s="1398" t="inlineStr">
        <is>
          <t>.</t>
        </is>
      </c>
      <c r="CC182" s="1400">
        <f>IF(CD182&lt;&gt;"",CC181+1,CC181)</f>
        <v/>
      </c>
      <c r="CD182" s="1411" t="inlineStr">
        <is>
          <t>Thomas/Leslie</t>
        </is>
      </c>
      <c r="CE182" s="1412" t="n">
        <v>43787</v>
      </c>
      <c r="CF182" s="1412" t="n">
        <v>43790</v>
      </c>
      <c r="CG182" s="1415">
        <f>CF182-CE182</f>
        <v/>
      </c>
      <c r="CH182" s="1398" t="inlineStr">
        <is>
          <t>.</t>
        </is>
      </c>
      <c r="CI182" s="1392" t="n"/>
      <c r="CJ182" s="1392" t="n"/>
      <c r="CK182" s="1392" t="n"/>
      <c r="CL182" s="1392" t="n"/>
    </row>
    <row r="183">
      <c r="A183" s="5" t="inlineStr">
        <is>
          <t>.</t>
        </is>
      </c>
      <c r="B183" s="5" t="inlineStr">
        <is>
          <t>.</t>
        </is>
      </c>
      <c r="C183" s="1378">
        <f>IF(raw[[#This Row],[city]]="","-",IF(raw[[#This Row],[city]]="TODAY","-",C182+1))</f>
        <v/>
      </c>
      <c r="D183" s="1393" t="inlineStr">
        <is>
          <t>Viena</t>
        </is>
      </c>
      <c r="E183" s="1394" t="n">
        <v>32042</v>
      </c>
      <c r="F183" s="1394" t="n">
        <v>32043</v>
      </c>
      <c r="G183" s="1393" t="inlineStr">
        <is>
          <t>-</t>
        </is>
      </c>
      <c r="H183" s="1393">
        <f>H182</f>
        <v/>
      </c>
      <c r="I183" s="1393" t="inlineStr">
        <is>
          <t>-</t>
        </is>
      </c>
      <c r="J183" s="1393" t="inlineStr">
        <is>
          <t>-</t>
        </is>
      </c>
      <c r="K183" s="1395">
        <f>IF(raw[[#This Row],[city]]&lt;&gt;"",_xlfn.XLOOKUP($D183,ccc[city],ccc[prov],"-"),"-")</f>
        <v/>
      </c>
      <c r="L183" s="1395">
        <f>IF(raw[[#This Row],[city]]&lt;&gt;"",_xlfn.XLOOKUP($D183,ccc[city],ccc[ctry],"-"),"-")</f>
        <v/>
      </c>
      <c r="M183" s="1395">
        <f>IF(raw[[#This Row],[city]]&lt;&gt;"",_xlfn.XLOOKUP($D183,ccc[city],ccc[cont],"-"),"-")</f>
        <v/>
      </c>
      <c r="N183" s="1396">
        <f>IF(raw[[#This Row],[city]]="","-",IF(raw[[#This Row],[cont]]="B",raw[[#This Row],[cont]],"W"))</f>
        <v/>
      </c>
      <c r="O183" s="1397">
        <f>IF(raw[[#This Row],[out]]=0,0,IF(raw[[#This Row],[out]]=raw[[#This Row],[in]],0.01,raw[[#This Row],[out]]-raw[[#This Row],[in]]))</f>
        <v/>
      </c>
      <c r="P183" s="1397">
        <f>IF(raw[[#This Row],[in]]=0,0,MONTH(raw[[#This Row],[in]]))</f>
        <v/>
      </c>
      <c r="Q183" s="1397">
        <f>IF(raw[[#This Row],[in]]=0,0,YEAR(raw[[#This Row],[in]]))</f>
        <v/>
      </c>
      <c r="R183" s="1397">
        <f>INT(raw[[#This Row],[yr]]/10)*10</f>
        <v/>
      </c>
      <c r="S183" s="1395">
        <f>IF(raw[[#This Row],[city]]="","-",IF(raw[[#This Row],[city]]&lt;&gt;_xlfn.XLOOKUP(raw[[#This Row],[home]],homes[home],homes[city],"-"),1,0))</f>
        <v/>
      </c>
      <c r="T183" s="1398" t="inlineStr">
        <is>
          <t>.</t>
        </is>
      </c>
      <c r="U183" s="1399">
        <f>IF(raw[[#This Row],[wb]]="w",raw[[#This Row],[stay]]+U182,U182)</f>
        <v/>
      </c>
      <c r="V183" s="1400">
        <f>IF(raw[[#This Row],[out]]=0,V182,(raw[[#This Row],[out]]-E$5))</f>
        <v/>
      </c>
      <c r="W183" s="1401">
        <f>U183/V183</f>
        <v/>
      </c>
      <c r="X183" s="1378" t="inlineStr">
        <is>
          <t>.</t>
        </is>
      </c>
      <c r="Y183" s="1402">
        <f/>
        <v/>
      </c>
      <c r="Z183" s="1403">
        <f/>
        <v/>
      </c>
      <c r="AA183" s="1403">
        <f/>
        <v/>
      </c>
      <c r="AB183" s="1400">
        <f t="array" ref="AB183">_xlfn.LET(_xlpm.S,_xlfn.ANCHORARRAY($Y$4),_xlpm.r,ROWS(stayCity[[#Headers],[city]]:stayCity[[#This Row],[city]])-1,IF(_xlpm.r&lt;=ROWS(_xlpm.S),INDEX(_xlpm.S,_xlpm.r,1),""))</f>
        <v/>
      </c>
      <c r="AC183" s="1405">
        <f t="array" ref="AC183">_xlfn.LET(_xlpm.S,_xlfn.ANCHORARRAY($Y$4),_xlpm.r,ROWS(stayCity[[#Headers],[city]]:stayCity[[#This Row],[city]])-1,IF(_xlpm.r&lt;=ROWS(_xlpm.S),INDEX(_xlpm.S,_xlpm.r,2),""))</f>
        <v/>
      </c>
      <c r="AD183" s="1405">
        <f t="array" ref="AD183">_xlfn.LET(_xlpm.S,_xlfn.ANCHORARRAY($Y$4),_xlpm.r,ROWS(stayCity[[#Headers],[city]]:stayCity[[#This Row],[city]])-1,IF(_xlpm.r&lt;=ROWS(_xlpm.S),INDEX(_xlpm.S,_xlpm.r,3),""))</f>
        <v/>
      </c>
      <c r="AE183" s="1400">
        <f>IF(stayCity[[#This Row],[out]]&lt;&gt;"",stayCity[[#This Row],[out]]-stayCity[[#This Row],[in]],"-")</f>
        <v/>
      </c>
      <c r="AF183" s="1406">
        <f>IF(Y183="","-",YEAR(stayCity[[#This Row],[in]]))</f>
        <v/>
      </c>
      <c r="AG183" s="1398" t="inlineStr">
        <is>
          <t>.</t>
        </is>
      </c>
      <c r="AH183" s="1402">
        <f/>
        <v/>
      </c>
      <c r="AI183" s="1403">
        <f/>
        <v/>
      </c>
      <c r="AJ183" s="1403">
        <f/>
        <v/>
      </c>
      <c r="AK183" s="1400">
        <f>IF(AH183="","-",AH183)</f>
        <v/>
      </c>
      <c r="AL183" s="1405">
        <f>AI183</f>
        <v/>
      </c>
      <c r="AM183" s="1405">
        <f>AJ183</f>
        <v/>
      </c>
      <c r="AN183" s="1400">
        <f>stayCtry[[#This Row],[out]]-stayCtry[[#This Row],[in]]</f>
        <v/>
      </c>
      <c r="AO183" s="1406">
        <f>IF(AI183&lt;&gt;"",AO182+1,AO182)</f>
        <v/>
      </c>
      <c r="AP183" s="1398" t="inlineStr">
        <is>
          <t>.</t>
        </is>
      </c>
      <c r="AQ183" s="1402" t="n"/>
      <c r="AR183" s="1403" t="n"/>
      <c r="AS183" s="1403" t="n"/>
      <c r="AT183" s="1400">
        <f>AQ183</f>
        <v/>
      </c>
      <c r="AU183" s="1405">
        <f>AR183</f>
        <v/>
      </c>
      <c r="AV183" s="1405">
        <f>AS183</f>
        <v/>
      </c>
      <c r="AW183" s="1400">
        <f>stayCont[[#This Row],[out]]-stayCont[[#This Row],[in]]</f>
        <v/>
      </c>
      <c r="AX183" s="1406">
        <f>IF(AR183&lt;&gt;"",AX182+1,AX182)</f>
        <v/>
      </c>
      <c r="AY183" s="1398" t="inlineStr">
        <is>
          <t>.</t>
        </is>
      </c>
      <c r="AZ183" s="1402" t="n"/>
      <c r="BA183" s="1403" t="n"/>
      <c r="BB183" s="1403" t="n"/>
      <c r="BC183" s="1405">
        <f>AZ183</f>
        <v/>
      </c>
      <c r="BD183" s="1405">
        <f>BA183</f>
        <v/>
      </c>
      <c r="BE183" s="1405">
        <f>BB183</f>
        <v/>
      </c>
      <c r="BF183" s="1400">
        <f>stayWB[[#This Row],[out]]-stayWB[[#This Row],[in]]</f>
        <v/>
      </c>
      <c r="BG183" s="1400">
        <f>IF(BB183&lt;&gt;"",BG182+1,BG182)</f>
        <v/>
      </c>
      <c r="BH183" s="1398" t="inlineStr">
        <is>
          <t>.</t>
        </is>
      </c>
      <c r="BI183" s="1402" t="inlineStr">
        <is>
          <t>USA</t>
        </is>
      </c>
      <c r="BJ183" s="1402" t="n">
        <v>2013</v>
      </c>
      <c r="BK183" s="1400">
        <f>BI183</f>
        <v/>
      </c>
      <c r="BL183" s="1409">
        <f>BJ183</f>
        <v/>
      </c>
      <c r="BM183" s="1378" t="inlineStr">
        <is>
          <t>.</t>
        </is>
      </c>
      <c r="BN183" s="1411" t="n"/>
      <c r="BO183" s="1400">
        <f>BN183</f>
        <v/>
      </c>
      <c r="BP183" s="1398" t="inlineStr">
        <is>
          <t>.</t>
        </is>
      </c>
      <c r="BQ183" s="1400">
        <f>IF(BR183&lt;&gt;"",BQ182+1,BQ182)</f>
        <v/>
      </c>
      <c r="BR183" s="1411" t="inlineStr">
        <is>
          <t>SSA</t>
        </is>
      </c>
      <c r="BS183" s="1411" t="inlineStr">
        <is>
          <t>Rio</t>
        </is>
      </c>
      <c r="BT183" s="1412" t="inlineStr">
        <is>
          <t>SSA-Rio</t>
        </is>
      </c>
      <c r="BU183" s="1412" t="n">
        <v>39557</v>
      </c>
      <c r="BV183" s="1398" t="inlineStr">
        <is>
          <t>.</t>
        </is>
      </c>
      <c r="BW183" s="1392" t="n"/>
      <c r="BX183" s="1392" t="n"/>
      <c r="BY183" s="1392" t="n"/>
      <c r="BZ183" s="1416" t="n"/>
      <c r="CA183" s="1392" t="n"/>
      <c r="CB183" s="1398" t="inlineStr">
        <is>
          <t>.</t>
        </is>
      </c>
      <c r="CC183" s="1400">
        <f>IF(CD183&lt;&gt;"",CC182+1,CC182)</f>
        <v/>
      </c>
      <c r="CD183" s="1411" t="inlineStr">
        <is>
          <t>David's</t>
        </is>
      </c>
      <c r="CE183" s="1412" t="n">
        <v>43790</v>
      </c>
      <c r="CF183" s="1412" t="n">
        <v>43793</v>
      </c>
      <c r="CG183" s="1415">
        <f>CF183-CE183</f>
        <v/>
      </c>
      <c r="CH183" s="1398" t="inlineStr">
        <is>
          <t>.</t>
        </is>
      </c>
      <c r="CI183" s="1392" t="n"/>
      <c r="CJ183" s="1392" t="n"/>
      <c r="CK183" s="1392" t="n"/>
      <c r="CL183" s="1392" t="n"/>
    </row>
    <row r="184">
      <c r="A184" s="5" t="inlineStr">
        <is>
          <t>.</t>
        </is>
      </c>
      <c r="B184" s="5" t="inlineStr">
        <is>
          <t>.</t>
        </is>
      </c>
      <c r="C184" s="1378">
        <f>IF(raw[[#This Row],[city]]="","-",IF(raw[[#This Row],[city]]="TODAY","-",C183+1))</f>
        <v/>
      </c>
      <c r="D184" s="1393" t="inlineStr">
        <is>
          <t>Munich</t>
        </is>
      </c>
      <c r="E184" s="1394" t="n">
        <v>32043</v>
      </c>
      <c r="F184" s="1394" t="n">
        <v>32046</v>
      </c>
      <c r="G184" s="1393" t="inlineStr">
        <is>
          <t>-</t>
        </is>
      </c>
      <c r="H184" s="1393">
        <f>H183</f>
        <v/>
      </c>
      <c r="I184" s="1393" t="inlineStr">
        <is>
          <t>-</t>
        </is>
      </c>
      <c r="J184" s="1393" t="inlineStr">
        <is>
          <t>-</t>
        </is>
      </c>
      <c r="K184" s="1395">
        <f>IF(raw[[#This Row],[city]]&lt;&gt;"",_xlfn.XLOOKUP($D184,ccc[city],ccc[prov],"-"),"-")</f>
        <v/>
      </c>
      <c r="L184" s="1395">
        <f>IF(raw[[#This Row],[city]]&lt;&gt;"",_xlfn.XLOOKUP($D184,ccc[city],ccc[ctry],"-"),"-")</f>
        <v/>
      </c>
      <c r="M184" s="1395">
        <f>IF(raw[[#This Row],[city]]&lt;&gt;"",_xlfn.XLOOKUP($D184,ccc[city],ccc[cont],"-"),"-")</f>
        <v/>
      </c>
      <c r="N184" s="1396">
        <f>IF(raw[[#This Row],[city]]="","-",IF(raw[[#This Row],[cont]]="B",raw[[#This Row],[cont]],"W"))</f>
        <v/>
      </c>
      <c r="O184" s="1397">
        <f>IF(raw[[#This Row],[out]]=0,0,IF(raw[[#This Row],[out]]=raw[[#This Row],[in]],0.01,raw[[#This Row],[out]]-raw[[#This Row],[in]]))</f>
        <v/>
      </c>
      <c r="P184" s="1397">
        <f>IF(raw[[#This Row],[in]]=0,0,MONTH(raw[[#This Row],[in]]))</f>
        <v/>
      </c>
      <c r="Q184" s="1397">
        <f>IF(raw[[#This Row],[in]]=0,0,YEAR(raw[[#This Row],[in]]))</f>
        <v/>
      </c>
      <c r="R184" s="1397">
        <f>INT(raw[[#This Row],[yr]]/10)*10</f>
        <v/>
      </c>
      <c r="S184" s="1395">
        <f>IF(raw[[#This Row],[city]]="","-",IF(raw[[#This Row],[city]]&lt;&gt;_xlfn.XLOOKUP(raw[[#This Row],[home]],homes[home],homes[city],"-"),1,0))</f>
        <v/>
      </c>
      <c r="T184" s="1398" t="inlineStr">
        <is>
          <t>.</t>
        </is>
      </c>
      <c r="U184" s="1399">
        <f>IF(raw[[#This Row],[wb]]="w",raw[[#This Row],[stay]]+U183,U183)</f>
        <v/>
      </c>
      <c r="V184" s="1400">
        <f>IF(raw[[#This Row],[out]]=0,V183,(raw[[#This Row],[out]]-E$5))</f>
        <v/>
      </c>
      <c r="W184" s="1401">
        <f>U184/V184</f>
        <v/>
      </c>
      <c r="X184" s="1378" t="inlineStr">
        <is>
          <t>.</t>
        </is>
      </c>
      <c r="Y184" s="1402">
        <f/>
        <v/>
      </c>
      <c r="Z184" s="1403">
        <f/>
        <v/>
      </c>
      <c r="AA184" s="1403">
        <f/>
        <v/>
      </c>
      <c r="AB184" s="1400">
        <f t="array" ref="AB184">_xlfn.LET(_xlpm.S,_xlfn.ANCHORARRAY($Y$4),_xlpm.r,ROWS(stayCity[[#Headers],[city]]:stayCity[[#This Row],[city]])-1,IF(_xlpm.r&lt;=ROWS(_xlpm.S),INDEX(_xlpm.S,_xlpm.r,1),""))</f>
        <v/>
      </c>
      <c r="AC184" s="1405">
        <f t="array" ref="AC184">_xlfn.LET(_xlpm.S,_xlfn.ANCHORARRAY($Y$4),_xlpm.r,ROWS(stayCity[[#Headers],[city]]:stayCity[[#This Row],[city]])-1,IF(_xlpm.r&lt;=ROWS(_xlpm.S),INDEX(_xlpm.S,_xlpm.r,2),""))</f>
        <v/>
      </c>
      <c r="AD184" s="1405">
        <f t="array" ref="AD184">_xlfn.LET(_xlpm.S,_xlfn.ANCHORARRAY($Y$4),_xlpm.r,ROWS(stayCity[[#Headers],[city]]:stayCity[[#This Row],[city]])-1,IF(_xlpm.r&lt;=ROWS(_xlpm.S),INDEX(_xlpm.S,_xlpm.r,3),""))</f>
        <v/>
      </c>
      <c r="AE184" s="1400">
        <f>IF(stayCity[[#This Row],[out]]&lt;&gt;"",stayCity[[#This Row],[out]]-stayCity[[#This Row],[in]],"-")</f>
        <v/>
      </c>
      <c r="AF184" s="1406">
        <f>IF(Y184="","-",YEAR(stayCity[[#This Row],[in]]))</f>
        <v/>
      </c>
      <c r="AG184" s="1398" t="inlineStr">
        <is>
          <t>.</t>
        </is>
      </c>
      <c r="AH184" s="1402">
        <f/>
        <v/>
      </c>
      <c r="AI184" s="1403">
        <f/>
        <v/>
      </c>
      <c r="AJ184" s="1403">
        <f/>
        <v/>
      </c>
      <c r="AK184" s="1400">
        <f>IF(AH184="","-",AH184)</f>
        <v/>
      </c>
      <c r="AL184" s="1405">
        <f>AI184</f>
        <v/>
      </c>
      <c r="AM184" s="1405">
        <f>AJ184</f>
        <v/>
      </c>
      <c r="AN184" s="1400">
        <f>stayCtry[[#This Row],[out]]-stayCtry[[#This Row],[in]]</f>
        <v/>
      </c>
      <c r="AO184" s="1406">
        <f>IF(AI184&lt;&gt;"",AO183+1,AO183)</f>
        <v/>
      </c>
      <c r="AP184" s="1398" t="inlineStr">
        <is>
          <t>.</t>
        </is>
      </c>
      <c r="AQ184" s="1402" t="n"/>
      <c r="AR184" s="1403" t="n"/>
      <c r="AS184" s="1403" t="n"/>
      <c r="AT184" s="1400">
        <f>AQ184</f>
        <v/>
      </c>
      <c r="AU184" s="1405">
        <f>AR184</f>
        <v/>
      </c>
      <c r="AV184" s="1405">
        <f>AS184</f>
        <v/>
      </c>
      <c r="AW184" s="1400">
        <f>stayCont[[#This Row],[out]]-stayCont[[#This Row],[in]]</f>
        <v/>
      </c>
      <c r="AX184" s="1406">
        <f>IF(AR184&lt;&gt;"",AX183+1,AX183)</f>
        <v/>
      </c>
      <c r="AY184" s="1398" t="inlineStr">
        <is>
          <t>.</t>
        </is>
      </c>
      <c r="AZ184" s="1402" t="n"/>
      <c r="BA184" s="1403" t="n"/>
      <c r="BB184" s="1403" t="n"/>
      <c r="BC184" s="1405">
        <f>AZ184</f>
        <v/>
      </c>
      <c r="BD184" s="1405">
        <f>BA184</f>
        <v/>
      </c>
      <c r="BE184" s="1405">
        <f>BB184</f>
        <v/>
      </c>
      <c r="BF184" s="1400">
        <f>stayWB[[#This Row],[out]]-stayWB[[#This Row],[in]]</f>
        <v/>
      </c>
      <c r="BG184" s="1400">
        <f>IF(BB184&lt;&gt;"",BG183+1,BG183)</f>
        <v/>
      </c>
      <c r="BH184" s="1398" t="inlineStr">
        <is>
          <t>.</t>
        </is>
      </c>
      <c r="BI184" s="1402" t="inlineStr">
        <is>
          <t>CAN</t>
        </is>
      </c>
      <c r="BJ184" s="1402" t="n">
        <v>2013</v>
      </c>
      <c r="BK184" s="1400">
        <f>BI184</f>
        <v/>
      </c>
      <c r="BL184" s="1409">
        <f>BJ184</f>
        <v/>
      </c>
      <c r="BM184" s="1378" t="inlineStr">
        <is>
          <t>.</t>
        </is>
      </c>
      <c r="BN184" s="1411" t="n"/>
      <c r="BO184" s="1400">
        <f>BN184</f>
        <v/>
      </c>
      <c r="BP184" s="1398" t="inlineStr">
        <is>
          <t>.</t>
        </is>
      </c>
      <c r="BQ184" s="1400">
        <f>IF(BR184&lt;&gt;"",BQ183+1,BQ183)</f>
        <v/>
      </c>
      <c r="BR184" s="1411" t="inlineStr">
        <is>
          <t>Rio</t>
        </is>
      </c>
      <c r="BS184" s="1411" t="inlineStr">
        <is>
          <t>SSA</t>
        </is>
      </c>
      <c r="BT184" s="1412" t="inlineStr">
        <is>
          <t>Rio-SSA</t>
        </is>
      </c>
      <c r="BU184" s="1412" t="n">
        <v>39563</v>
      </c>
      <c r="BV184" s="1398" t="inlineStr">
        <is>
          <t>.</t>
        </is>
      </c>
      <c r="BW184" s="1392" t="n"/>
      <c r="BX184" s="1392" t="n"/>
      <c r="BY184" s="1392" t="n"/>
      <c r="BZ184" s="1416" t="n"/>
      <c r="CA184" s="1392" t="n"/>
      <c r="CB184" s="1398" t="inlineStr">
        <is>
          <t>.</t>
        </is>
      </c>
      <c r="CC184" s="1400">
        <f>IF(CD184&lt;&gt;"",CC183+1,CC183)</f>
        <v/>
      </c>
      <c r="CD184" s="1411" t="inlineStr">
        <is>
          <t>Clovis</t>
        </is>
      </c>
      <c r="CE184" s="1412" t="n">
        <v>43869</v>
      </c>
      <c r="CF184" s="1412" t="n">
        <v>43874</v>
      </c>
      <c r="CG184" s="1415">
        <f>CF184-CE184</f>
        <v/>
      </c>
      <c r="CH184" s="1398" t="inlineStr">
        <is>
          <t>.</t>
        </is>
      </c>
      <c r="CI184" s="1392" t="n"/>
      <c r="CJ184" s="1392" t="n"/>
      <c r="CK184" s="1392" t="n"/>
      <c r="CL184" s="1392" t="n"/>
    </row>
    <row r="185">
      <c r="A185" s="5" t="inlineStr">
        <is>
          <t>.</t>
        </is>
      </c>
      <c r="B185" s="5" t="inlineStr">
        <is>
          <t>.</t>
        </is>
      </c>
      <c r="C185" s="1378">
        <f>IF(raw[[#This Row],[city]]="","-",IF(raw[[#This Row],[city]]="TODAY","-",C184+1))</f>
        <v/>
      </c>
      <c r="D185" s="1393" t="inlineStr">
        <is>
          <t>Paris</t>
        </is>
      </c>
      <c r="E185" s="1394" t="n">
        <v>32046</v>
      </c>
      <c r="F185" s="1394" t="n">
        <v>32049</v>
      </c>
      <c r="G185" s="1393" t="n">
        <v>1</v>
      </c>
      <c r="H185" s="1393">
        <f>H184</f>
        <v/>
      </c>
      <c r="I185" s="1393" t="inlineStr">
        <is>
          <t>-</t>
        </is>
      </c>
      <c r="J185" s="1393" t="inlineStr">
        <is>
          <t>-</t>
        </is>
      </c>
      <c r="K185" s="1395">
        <f>IF(raw[[#This Row],[city]]&lt;&gt;"",_xlfn.XLOOKUP($D185,ccc[city],ccc[prov],"-"),"-")</f>
        <v/>
      </c>
      <c r="L185" s="1395">
        <f>IF(raw[[#This Row],[city]]&lt;&gt;"",_xlfn.XLOOKUP($D185,ccc[city],ccc[ctry],"-"),"-")</f>
        <v/>
      </c>
      <c r="M185" s="1395">
        <f>IF(raw[[#This Row],[city]]&lt;&gt;"",_xlfn.XLOOKUP($D185,ccc[city],ccc[cont],"-"),"-")</f>
        <v/>
      </c>
      <c r="N185" s="1396">
        <f>IF(raw[[#This Row],[city]]="","-",IF(raw[[#This Row],[cont]]="B",raw[[#This Row],[cont]],"W"))</f>
        <v/>
      </c>
      <c r="O185" s="1397">
        <f>IF(raw[[#This Row],[out]]=0,0,IF(raw[[#This Row],[out]]=raw[[#This Row],[in]],0.01,raw[[#This Row],[out]]-raw[[#This Row],[in]]))</f>
        <v/>
      </c>
      <c r="P185" s="1397">
        <f>IF(raw[[#This Row],[in]]=0,0,MONTH(raw[[#This Row],[in]]))</f>
        <v/>
      </c>
      <c r="Q185" s="1397">
        <f>IF(raw[[#This Row],[in]]=0,0,YEAR(raw[[#This Row],[in]]))</f>
        <v/>
      </c>
      <c r="R185" s="1397">
        <f>INT(raw[[#This Row],[yr]]/10)*10</f>
        <v/>
      </c>
      <c r="S185" s="1395">
        <f>IF(raw[[#This Row],[city]]="","-",IF(raw[[#This Row],[city]]&lt;&gt;_xlfn.XLOOKUP(raw[[#This Row],[home]],homes[home],homes[city],"-"),1,0))</f>
        <v/>
      </c>
      <c r="T185" s="1398" t="inlineStr">
        <is>
          <t>.</t>
        </is>
      </c>
      <c r="U185" s="1399">
        <f>IF(raw[[#This Row],[wb]]="w",raw[[#This Row],[stay]]+U184,U184)</f>
        <v/>
      </c>
      <c r="V185" s="1400">
        <f>IF(raw[[#This Row],[out]]=0,V184,(raw[[#This Row],[out]]-E$5))</f>
        <v/>
      </c>
      <c r="W185" s="1401">
        <f>U185/V185</f>
        <v/>
      </c>
      <c r="X185" s="1378" t="inlineStr">
        <is>
          <t>.</t>
        </is>
      </c>
      <c r="Y185" s="1402">
        <f/>
        <v/>
      </c>
      <c r="Z185" s="1403">
        <f/>
        <v/>
      </c>
      <c r="AA185" s="1403">
        <f/>
        <v/>
      </c>
      <c r="AB185" s="1400">
        <f t="array" ref="AB185">_xlfn.LET(_xlpm.S,_xlfn.ANCHORARRAY($Y$4),_xlpm.r,ROWS(stayCity[[#Headers],[city]]:stayCity[[#This Row],[city]])-1,IF(_xlpm.r&lt;=ROWS(_xlpm.S),INDEX(_xlpm.S,_xlpm.r,1),""))</f>
        <v/>
      </c>
      <c r="AC185" s="1405">
        <f t="array" ref="AC185">_xlfn.LET(_xlpm.S,_xlfn.ANCHORARRAY($Y$4),_xlpm.r,ROWS(stayCity[[#Headers],[city]]:stayCity[[#This Row],[city]])-1,IF(_xlpm.r&lt;=ROWS(_xlpm.S),INDEX(_xlpm.S,_xlpm.r,2),""))</f>
        <v/>
      </c>
      <c r="AD185" s="1405">
        <f t="array" ref="AD185">_xlfn.LET(_xlpm.S,_xlfn.ANCHORARRAY($Y$4),_xlpm.r,ROWS(stayCity[[#Headers],[city]]:stayCity[[#This Row],[city]])-1,IF(_xlpm.r&lt;=ROWS(_xlpm.S),INDEX(_xlpm.S,_xlpm.r,3),""))</f>
        <v/>
      </c>
      <c r="AE185" s="1400">
        <f>IF(stayCity[[#This Row],[out]]&lt;&gt;"",stayCity[[#This Row],[out]]-stayCity[[#This Row],[in]],"-")</f>
        <v/>
      </c>
      <c r="AF185" s="1406">
        <f>IF(Y185="","-",YEAR(stayCity[[#This Row],[in]]))</f>
        <v/>
      </c>
      <c r="AG185" s="1398" t="inlineStr">
        <is>
          <t>.</t>
        </is>
      </c>
      <c r="AH185" s="1402">
        <f/>
        <v/>
      </c>
      <c r="AI185" s="1403">
        <f/>
        <v/>
      </c>
      <c r="AJ185" s="1403">
        <f/>
        <v/>
      </c>
      <c r="AK185" s="1400">
        <f>IF(AH185="","-",AH185)</f>
        <v/>
      </c>
      <c r="AL185" s="1405">
        <f>AI185</f>
        <v/>
      </c>
      <c r="AM185" s="1405">
        <f>AJ185</f>
        <v/>
      </c>
      <c r="AN185" s="1400">
        <f>stayCtry[[#This Row],[out]]-stayCtry[[#This Row],[in]]</f>
        <v/>
      </c>
      <c r="AO185" s="1406">
        <f>IF(AI185&lt;&gt;"",AO184+1,AO184)</f>
        <v/>
      </c>
      <c r="AP185" s="1398" t="inlineStr">
        <is>
          <t>.</t>
        </is>
      </c>
      <c r="AQ185" s="1402" t="n"/>
      <c r="AR185" s="1403" t="n"/>
      <c r="AS185" s="1403" t="n"/>
      <c r="AT185" s="1400">
        <f>AQ185</f>
        <v/>
      </c>
      <c r="AU185" s="1405">
        <f>AR185</f>
        <v/>
      </c>
      <c r="AV185" s="1405">
        <f>AS185</f>
        <v/>
      </c>
      <c r="AW185" s="1400">
        <f>stayCont[[#This Row],[out]]-stayCont[[#This Row],[in]]</f>
        <v/>
      </c>
      <c r="AX185" s="1406">
        <f>IF(AR185&lt;&gt;"",AX184+1,AX184)</f>
        <v/>
      </c>
      <c r="AY185" s="1398" t="inlineStr">
        <is>
          <t>.</t>
        </is>
      </c>
      <c r="AZ185" s="1402" t="n"/>
      <c r="BA185" s="1403" t="n"/>
      <c r="BB185" s="1403" t="n"/>
      <c r="BC185" s="1405">
        <f>AZ185</f>
        <v/>
      </c>
      <c r="BD185" s="1405">
        <f>BA185</f>
        <v/>
      </c>
      <c r="BE185" s="1405">
        <f>BB185</f>
        <v/>
      </c>
      <c r="BF185" s="1400">
        <f>stayWB[[#This Row],[out]]-stayWB[[#This Row],[in]]</f>
        <v/>
      </c>
      <c r="BG185" s="1400">
        <f>IF(BB185&lt;&gt;"",BG184+1,BG184)</f>
        <v/>
      </c>
      <c r="BH185" s="1398" t="inlineStr">
        <is>
          <t>.</t>
        </is>
      </c>
      <c r="BI185" s="1402" t="inlineStr">
        <is>
          <t>USA</t>
        </is>
      </c>
      <c r="BJ185" s="1402" t="n">
        <v>2013</v>
      </c>
      <c r="BK185" s="1400">
        <f>BI185</f>
        <v/>
      </c>
      <c r="BL185" s="1409">
        <f>BJ185</f>
        <v/>
      </c>
      <c r="BM185" s="1378" t="inlineStr">
        <is>
          <t>.</t>
        </is>
      </c>
      <c r="BN185" s="1411" t="n"/>
      <c r="BO185" s="1400">
        <f>BN185</f>
        <v/>
      </c>
      <c r="BP185" s="1398" t="inlineStr">
        <is>
          <t>.</t>
        </is>
      </c>
      <c r="BQ185" s="1400">
        <f>IF(BR185&lt;&gt;"",BQ184+1,BQ184)</f>
        <v/>
      </c>
      <c r="BR185" s="1411" t="inlineStr">
        <is>
          <t>SSA</t>
        </is>
      </c>
      <c r="BS185" s="1411" t="inlineStr">
        <is>
          <t>SP</t>
        </is>
      </c>
      <c r="BT185" s="1412" t="inlineStr">
        <is>
          <t>SSA-SP</t>
        </is>
      </c>
      <c r="BU185" s="1412" t="n">
        <v>39581</v>
      </c>
      <c r="BV185" s="1398" t="inlineStr">
        <is>
          <t>.</t>
        </is>
      </c>
      <c r="BW185" s="1392" t="n"/>
      <c r="BX185" s="1392" t="n"/>
      <c r="BY185" s="1392" t="n"/>
      <c r="BZ185" s="1416" t="n"/>
      <c r="CA185" s="1392" t="n"/>
      <c r="CB185" s="1398" t="inlineStr">
        <is>
          <t>.</t>
        </is>
      </c>
      <c r="CC185" s="1400">
        <f>IF(CD185&lt;&gt;"",CC184+1,CC184)</f>
        <v/>
      </c>
      <c r="CD185" s="1411" t="inlineStr">
        <is>
          <t>Ondina</t>
        </is>
      </c>
      <c r="CE185" s="1412" t="n">
        <v>43874</v>
      </c>
      <c r="CF185" s="1412" t="n">
        <v>43879</v>
      </c>
      <c r="CG185" s="1415">
        <f>CF185-CE185</f>
        <v/>
      </c>
      <c r="CH185" s="1398" t="inlineStr">
        <is>
          <t>.</t>
        </is>
      </c>
      <c r="CI185" s="1392" t="n"/>
      <c r="CJ185" s="1392" t="n"/>
      <c r="CK185" s="1392" t="n"/>
      <c r="CL185" s="1392" t="n"/>
    </row>
    <row r="186">
      <c r="A186" s="5" t="inlineStr">
        <is>
          <t>.</t>
        </is>
      </c>
      <c r="B186" s="5" t="inlineStr">
        <is>
          <t>.</t>
        </is>
      </c>
      <c r="C186" s="1378">
        <f>IF(raw[[#This Row],[city]]="","-",IF(raw[[#This Row],[city]]="TODAY","-",C185+1))</f>
        <v/>
      </c>
      <c r="D186" s="1393" t="inlineStr">
        <is>
          <t>AIR</t>
        </is>
      </c>
      <c r="E186" s="1394" t="n">
        <v>32049</v>
      </c>
      <c r="F186" s="1394" t="n">
        <v>32050</v>
      </c>
      <c r="G186" s="1393" t="inlineStr">
        <is>
          <t>x</t>
        </is>
      </c>
      <c r="H186" s="1393">
        <f>H185</f>
        <v/>
      </c>
      <c r="I186" s="1393" t="inlineStr">
        <is>
          <t>-</t>
        </is>
      </c>
      <c r="J186" s="1393" t="inlineStr">
        <is>
          <t>-</t>
        </is>
      </c>
      <c r="K186" s="1395">
        <f>IF(raw[[#This Row],[city]]&lt;&gt;"",_xlfn.XLOOKUP($D186,ccc[city],ccc[prov],"-"),"-")</f>
        <v/>
      </c>
      <c r="L186" s="1395">
        <f>IF(raw[[#This Row],[city]]&lt;&gt;"",_xlfn.XLOOKUP($D186,ccc[city],ccc[ctry],"-"),"-")</f>
        <v/>
      </c>
      <c r="M186" s="1395">
        <f>IF(raw[[#This Row],[city]]&lt;&gt;"",_xlfn.XLOOKUP($D186,ccc[city],ccc[cont],"-"),"-")</f>
        <v/>
      </c>
      <c r="N186" s="1396">
        <f>IF(raw[[#This Row],[city]]="","-",IF(raw[[#This Row],[cont]]="B",raw[[#This Row],[cont]],"W"))</f>
        <v/>
      </c>
      <c r="O186" s="1397">
        <f>IF(raw[[#This Row],[out]]=0,0,IF(raw[[#This Row],[out]]=raw[[#This Row],[in]],0.01,raw[[#This Row],[out]]-raw[[#This Row],[in]]))</f>
        <v/>
      </c>
      <c r="P186" s="1397">
        <f>IF(raw[[#This Row],[in]]=0,0,MONTH(raw[[#This Row],[in]]))</f>
        <v/>
      </c>
      <c r="Q186" s="1397">
        <f>IF(raw[[#This Row],[in]]=0,0,YEAR(raw[[#This Row],[in]]))</f>
        <v/>
      </c>
      <c r="R186" s="1397">
        <f>INT(raw[[#This Row],[yr]]/10)*10</f>
        <v/>
      </c>
      <c r="S186" s="1395">
        <f>IF(raw[[#This Row],[city]]="","-",IF(raw[[#This Row],[city]]&lt;&gt;_xlfn.XLOOKUP(raw[[#This Row],[home]],homes[home],homes[city],"-"),1,0))</f>
        <v/>
      </c>
      <c r="T186" s="1398" t="inlineStr">
        <is>
          <t>.</t>
        </is>
      </c>
      <c r="U186" s="1399">
        <f>IF(raw[[#This Row],[wb]]="w",raw[[#This Row],[stay]]+U185,U185)</f>
        <v/>
      </c>
      <c r="V186" s="1400">
        <f>IF(raw[[#This Row],[out]]=0,V185,(raw[[#This Row],[out]]-E$5))</f>
        <v/>
      </c>
      <c r="W186" s="1401">
        <f>U186/V186</f>
        <v/>
      </c>
      <c r="X186" s="1378" t="inlineStr">
        <is>
          <t>.</t>
        </is>
      </c>
      <c r="Y186" s="1402">
        <f/>
        <v/>
      </c>
      <c r="Z186" s="1403">
        <f/>
        <v/>
      </c>
      <c r="AA186" s="1403">
        <f/>
        <v/>
      </c>
      <c r="AB186" s="1400">
        <f t="array" ref="AB186">_xlfn.LET(_xlpm.S,_xlfn.ANCHORARRAY($Y$4),_xlpm.r,ROWS(stayCity[[#Headers],[city]]:stayCity[[#This Row],[city]])-1,IF(_xlpm.r&lt;=ROWS(_xlpm.S),INDEX(_xlpm.S,_xlpm.r,1),""))</f>
        <v/>
      </c>
      <c r="AC186" s="1405">
        <f t="array" ref="AC186">_xlfn.LET(_xlpm.S,_xlfn.ANCHORARRAY($Y$4),_xlpm.r,ROWS(stayCity[[#Headers],[city]]:stayCity[[#This Row],[city]])-1,IF(_xlpm.r&lt;=ROWS(_xlpm.S),INDEX(_xlpm.S,_xlpm.r,2),""))</f>
        <v/>
      </c>
      <c r="AD186" s="1405">
        <f t="array" ref="AD186">_xlfn.LET(_xlpm.S,_xlfn.ANCHORARRAY($Y$4),_xlpm.r,ROWS(stayCity[[#Headers],[city]]:stayCity[[#This Row],[city]])-1,IF(_xlpm.r&lt;=ROWS(_xlpm.S),INDEX(_xlpm.S,_xlpm.r,3),""))</f>
        <v/>
      </c>
      <c r="AE186" s="1400">
        <f>IF(stayCity[[#This Row],[out]]&lt;&gt;"",stayCity[[#This Row],[out]]-stayCity[[#This Row],[in]],"-")</f>
        <v/>
      </c>
      <c r="AF186" s="1406">
        <f>IF(Y186="","-",YEAR(stayCity[[#This Row],[in]]))</f>
        <v/>
      </c>
      <c r="AG186" s="1398" t="inlineStr">
        <is>
          <t>.</t>
        </is>
      </c>
      <c r="AH186" s="1402">
        <f/>
        <v/>
      </c>
      <c r="AI186" s="1403">
        <f/>
        <v/>
      </c>
      <c r="AJ186" s="1403">
        <f/>
        <v/>
      </c>
      <c r="AK186" s="1400">
        <f>IF(AH186="","-",AH186)</f>
        <v/>
      </c>
      <c r="AL186" s="1405">
        <f>AI186</f>
        <v/>
      </c>
      <c r="AM186" s="1405">
        <f>AJ186</f>
        <v/>
      </c>
      <c r="AN186" s="1400">
        <f>stayCtry[[#This Row],[out]]-stayCtry[[#This Row],[in]]</f>
        <v/>
      </c>
      <c r="AO186" s="1406">
        <f>IF(AI186&lt;&gt;"",AO185+1,AO185)</f>
        <v/>
      </c>
      <c r="AP186" s="1398" t="inlineStr">
        <is>
          <t>.</t>
        </is>
      </c>
      <c r="AQ186" s="1402" t="n"/>
      <c r="AR186" s="1403" t="n"/>
      <c r="AS186" s="1403" t="n"/>
      <c r="AT186" s="1400">
        <f>AQ186</f>
        <v/>
      </c>
      <c r="AU186" s="1405">
        <f>AR186</f>
        <v/>
      </c>
      <c r="AV186" s="1405">
        <f>AS186</f>
        <v/>
      </c>
      <c r="AW186" s="1400">
        <f>stayCont[[#This Row],[out]]-stayCont[[#This Row],[in]]</f>
        <v/>
      </c>
      <c r="AX186" s="1406">
        <f>IF(AR186&lt;&gt;"",AX185+1,AX185)</f>
        <v/>
      </c>
      <c r="AY186" s="1398" t="inlineStr">
        <is>
          <t>.</t>
        </is>
      </c>
      <c r="AZ186" s="1402" t="n"/>
      <c r="BA186" s="1403" t="n"/>
      <c r="BB186" s="1403" t="n"/>
      <c r="BC186" s="1405">
        <f>AZ186</f>
        <v/>
      </c>
      <c r="BD186" s="1405">
        <f>BA186</f>
        <v/>
      </c>
      <c r="BE186" s="1405">
        <f>BB186</f>
        <v/>
      </c>
      <c r="BF186" s="1400">
        <f>stayWB[[#This Row],[out]]-stayWB[[#This Row],[in]]</f>
        <v/>
      </c>
      <c r="BG186" s="1400">
        <f>IF(BB186&lt;&gt;"",BG185+1,BG185)</f>
        <v/>
      </c>
      <c r="BH186" s="1398" t="inlineStr">
        <is>
          <t>.</t>
        </is>
      </c>
      <c r="BI186" s="1402" t="inlineStr">
        <is>
          <t>CAN</t>
        </is>
      </c>
      <c r="BJ186" s="1402" t="n">
        <v>2013</v>
      </c>
      <c r="BK186" s="1400">
        <f>BI186</f>
        <v/>
      </c>
      <c r="BL186" s="1409">
        <f>BJ186</f>
        <v/>
      </c>
      <c r="BM186" s="1378" t="inlineStr">
        <is>
          <t>.</t>
        </is>
      </c>
      <c r="BN186" s="1411" t="n"/>
      <c r="BO186" s="1400">
        <f>BN186</f>
        <v/>
      </c>
      <c r="BP186" s="1398" t="inlineStr">
        <is>
          <t>.</t>
        </is>
      </c>
      <c r="BQ186" s="1400">
        <f>IF(BR186&lt;&gt;"",BQ185+1,BQ185)</f>
        <v/>
      </c>
      <c r="BR186" s="1411" t="inlineStr">
        <is>
          <t>SP</t>
        </is>
      </c>
      <c r="BS186" s="1411" t="inlineStr">
        <is>
          <t>SSA</t>
        </is>
      </c>
      <c r="BT186" s="1412" t="inlineStr">
        <is>
          <t>SP-SSA</t>
        </is>
      </c>
      <c r="BU186" s="1412" t="n">
        <v>39584</v>
      </c>
      <c r="BV186" s="1398" t="inlineStr">
        <is>
          <t>.</t>
        </is>
      </c>
      <c r="BW186" s="1392" t="n"/>
      <c r="BX186" s="1392" t="n"/>
      <c r="BY186" s="1392" t="n"/>
      <c r="BZ186" s="1416" t="n"/>
      <c r="CA186" s="1392" t="n"/>
      <c r="CB186" s="1398" t="inlineStr">
        <is>
          <t>.</t>
        </is>
      </c>
      <c r="CC186" s="1400">
        <f>IF(CD186&lt;&gt;"",CC185+1,CC185)</f>
        <v/>
      </c>
      <c r="CD186" s="1411" t="inlineStr">
        <is>
          <t>Tatá/Venancio</t>
        </is>
      </c>
      <c r="CE186" s="1412" t="n">
        <v>43879</v>
      </c>
      <c r="CF186" s="1412" t="n">
        <v>43887</v>
      </c>
      <c r="CG186" s="1415">
        <f>CF186-CE186</f>
        <v/>
      </c>
      <c r="CH186" s="1398" t="inlineStr">
        <is>
          <t>.</t>
        </is>
      </c>
      <c r="CI186" s="1392" t="n"/>
      <c r="CJ186" s="1392" t="n"/>
      <c r="CK186" s="1392" t="n"/>
      <c r="CL186" s="1392" t="n"/>
    </row>
    <row r="187">
      <c r="A187" s="5" t="inlineStr">
        <is>
          <t>.</t>
        </is>
      </c>
      <c r="B187" s="5" t="inlineStr">
        <is>
          <t>.</t>
        </is>
      </c>
      <c r="C187" s="1378">
        <f>IF(raw[[#This Row],[city]]="","-",IF(raw[[#This Row],[city]]="TODAY","-",C186+1))</f>
        <v/>
      </c>
      <c r="D187" s="1393" t="inlineStr">
        <is>
          <t>Recife</t>
        </is>
      </c>
      <c r="E187" s="1394" t="n">
        <v>32050</v>
      </c>
      <c r="F187" s="1394" t="n">
        <v>32050</v>
      </c>
      <c r="G187" s="1393" t="n">
        <v>0.01</v>
      </c>
      <c r="H187" s="1393">
        <f>H186</f>
        <v/>
      </c>
      <c r="I187" s="1393" t="inlineStr">
        <is>
          <t>-</t>
        </is>
      </c>
      <c r="J187" s="1393" t="inlineStr">
        <is>
          <t>-</t>
        </is>
      </c>
      <c r="K187" s="1395">
        <f>IF(raw[[#This Row],[city]]&lt;&gt;"",_xlfn.XLOOKUP($D187,ccc[city],ccc[prov],"-"),"-")</f>
        <v/>
      </c>
      <c r="L187" s="1395">
        <f>IF(raw[[#This Row],[city]]&lt;&gt;"",_xlfn.XLOOKUP($D187,ccc[city],ccc[ctry],"-"),"-")</f>
        <v/>
      </c>
      <c r="M187" s="1395">
        <f>IF(raw[[#This Row],[city]]&lt;&gt;"",_xlfn.XLOOKUP($D187,ccc[city],ccc[cont],"-"),"-")</f>
        <v/>
      </c>
      <c r="N187" s="1396">
        <f>IF(raw[[#This Row],[city]]="","-",IF(raw[[#This Row],[cont]]="B",raw[[#This Row],[cont]],"W"))</f>
        <v/>
      </c>
      <c r="O187" s="1397">
        <f>IF(raw[[#This Row],[out]]=0,0,IF(raw[[#This Row],[out]]=raw[[#This Row],[in]],0.01,raw[[#This Row],[out]]-raw[[#This Row],[in]]))</f>
        <v/>
      </c>
      <c r="P187" s="1397">
        <f>IF(raw[[#This Row],[in]]=0,0,MONTH(raw[[#This Row],[in]]))</f>
        <v/>
      </c>
      <c r="Q187" s="1397">
        <f>IF(raw[[#This Row],[in]]=0,0,YEAR(raw[[#This Row],[in]]))</f>
        <v/>
      </c>
      <c r="R187" s="1397">
        <f>INT(raw[[#This Row],[yr]]/10)*10</f>
        <v/>
      </c>
      <c r="S187" s="1395">
        <f>IF(raw[[#This Row],[city]]="","-",IF(raw[[#This Row],[city]]&lt;&gt;_xlfn.XLOOKUP(raw[[#This Row],[home]],homes[home],homes[city],"-"),1,0))</f>
        <v/>
      </c>
      <c r="T187" s="1398" t="inlineStr">
        <is>
          <t>.</t>
        </is>
      </c>
      <c r="U187" s="1399">
        <f>IF(raw[[#This Row],[wb]]="w",raw[[#This Row],[stay]]+U186,U186)</f>
        <v/>
      </c>
      <c r="V187" s="1400">
        <f>IF(raw[[#This Row],[out]]=0,V186,(raw[[#This Row],[out]]-E$5))</f>
        <v/>
      </c>
      <c r="W187" s="1401">
        <f>U187/V187</f>
        <v/>
      </c>
      <c r="X187" s="1378" t="inlineStr">
        <is>
          <t>.</t>
        </is>
      </c>
      <c r="Y187" s="1402">
        <f/>
        <v/>
      </c>
      <c r="Z187" s="1403">
        <f/>
        <v/>
      </c>
      <c r="AA187" s="1403">
        <f/>
        <v/>
      </c>
      <c r="AB187" s="1400">
        <f t="array" ref="AB187">_xlfn.LET(_xlpm.S,_xlfn.ANCHORARRAY($Y$4),_xlpm.r,ROWS(stayCity[[#Headers],[city]]:stayCity[[#This Row],[city]])-1,IF(_xlpm.r&lt;=ROWS(_xlpm.S),INDEX(_xlpm.S,_xlpm.r,1),""))</f>
        <v/>
      </c>
      <c r="AC187" s="1405">
        <f t="array" ref="AC187">_xlfn.LET(_xlpm.S,_xlfn.ANCHORARRAY($Y$4),_xlpm.r,ROWS(stayCity[[#Headers],[city]]:stayCity[[#This Row],[city]])-1,IF(_xlpm.r&lt;=ROWS(_xlpm.S),INDEX(_xlpm.S,_xlpm.r,2),""))</f>
        <v/>
      </c>
      <c r="AD187" s="1405">
        <f t="array" ref="AD187">_xlfn.LET(_xlpm.S,_xlfn.ANCHORARRAY($Y$4),_xlpm.r,ROWS(stayCity[[#Headers],[city]]:stayCity[[#This Row],[city]])-1,IF(_xlpm.r&lt;=ROWS(_xlpm.S),INDEX(_xlpm.S,_xlpm.r,3),""))</f>
        <v/>
      </c>
      <c r="AE187" s="1400">
        <f>IF(stayCity[[#This Row],[out]]&lt;&gt;"",stayCity[[#This Row],[out]]-stayCity[[#This Row],[in]],"-")</f>
        <v/>
      </c>
      <c r="AF187" s="1406">
        <f>IF(Y187="","-",YEAR(stayCity[[#This Row],[in]]))</f>
        <v/>
      </c>
      <c r="AG187" s="1398" t="inlineStr">
        <is>
          <t>.</t>
        </is>
      </c>
      <c r="AH187" s="1402">
        <f/>
        <v/>
      </c>
      <c r="AI187" s="1403">
        <f/>
        <v/>
      </c>
      <c r="AJ187" s="1403">
        <f/>
        <v/>
      </c>
      <c r="AK187" s="1400">
        <f>IF(AH187="","-",AH187)</f>
        <v/>
      </c>
      <c r="AL187" s="1405">
        <f>AI187</f>
        <v/>
      </c>
      <c r="AM187" s="1405">
        <f>AJ187</f>
        <v/>
      </c>
      <c r="AN187" s="1400">
        <f>stayCtry[[#This Row],[out]]-stayCtry[[#This Row],[in]]</f>
        <v/>
      </c>
      <c r="AO187" s="1406">
        <f>IF(AI187&lt;&gt;"",AO186+1,AO186)</f>
        <v/>
      </c>
      <c r="AP187" s="1398" t="inlineStr">
        <is>
          <t>.</t>
        </is>
      </c>
      <c r="AQ187" s="1402" t="n"/>
      <c r="AR187" s="1403" t="n"/>
      <c r="AS187" s="1403" t="n"/>
      <c r="AT187" s="1400">
        <f>AQ187</f>
        <v/>
      </c>
      <c r="AU187" s="1405">
        <f>AR187</f>
        <v/>
      </c>
      <c r="AV187" s="1405">
        <f>AS187</f>
        <v/>
      </c>
      <c r="AW187" s="1400">
        <f>stayCont[[#This Row],[out]]-stayCont[[#This Row],[in]]</f>
        <v/>
      </c>
      <c r="AX187" s="1406">
        <f>IF(AR187&lt;&gt;"",AX186+1,AX186)</f>
        <v/>
      </c>
      <c r="AY187" s="1398" t="inlineStr">
        <is>
          <t>.</t>
        </is>
      </c>
      <c r="AZ187" s="1402" t="n"/>
      <c r="BA187" s="1403" t="n"/>
      <c r="BB187" s="1403" t="n"/>
      <c r="BC187" s="1405">
        <f>AZ187</f>
        <v/>
      </c>
      <c r="BD187" s="1405">
        <f>BA187</f>
        <v/>
      </c>
      <c r="BE187" s="1405">
        <f>BB187</f>
        <v/>
      </c>
      <c r="BF187" s="1400">
        <f>stayWB[[#This Row],[out]]-stayWB[[#This Row],[in]]</f>
        <v/>
      </c>
      <c r="BG187" s="1400">
        <f>IF(BB187&lt;&gt;"",BG186+1,BG186)</f>
        <v/>
      </c>
      <c r="BH187" s="1398" t="inlineStr">
        <is>
          <t>.</t>
        </is>
      </c>
      <c r="BI187" s="1402" t="inlineStr">
        <is>
          <t>USA</t>
        </is>
      </c>
      <c r="BJ187" s="1402" t="n">
        <v>2013</v>
      </c>
      <c r="BK187" s="1400">
        <f>BI187</f>
        <v/>
      </c>
      <c r="BL187" s="1409">
        <f>BJ187</f>
        <v/>
      </c>
      <c r="BM187" s="1378" t="inlineStr">
        <is>
          <t>.</t>
        </is>
      </c>
      <c r="BN187" s="1411" t="n"/>
      <c r="BO187" s="1400">
        <f>BN187</f>
        <v/>
      </c>
      <c r="BP187" s="1398" t="inlineStr">
        <is>
          <t>.</t>
        </is>
      </c>
      <c r="BQ187" s="1400">
        <f>IF(BR187&lt;&gt;"",BQ186+1,BQ186)</f>
        <v/>
      </c>
      <c r="BR187" s="1411" t="inlineStr">
        <is>
          <t>SSA</t>
        </is>
      </c>
      <c r="BS187" s="1411" t="inlineStr">
        <is>
          <t>SP</t>
        </is>
      </c>
      <c r="BT187" s="1412" t="inlineStr">
        <is>
          <t>SSA-SP</t>
        </is>
      </c>
      <c r="BU187" s="1412" t="n">
        <v>39597</v>
      </c>
      <c r="BV187" s="1398" t="inlineStr">
        <is>
          <t>.</t>
        </is>
      </c>
      <c r="BW187" s="1392" t="n"/>
      <c r="BX187" s="1392" t="n"/>
      <c r="BY187" s="1392" t="n"/>
      <c r="BZ187" s="1416" t="n"/>
      <c r="CA187" s="1392" t="n"/>
      <c r="CB187" s="1398" t="inlineStr">
        <is>
          <t>.</t>
        </is>
      </c>
      <c r="CC187" s="1400">
        <f>IF(CD187&lt;&gt;"",CC186+1,CC186)</f>
        <v/>
      </c>
      <c r="CD187" s="1411" t="inlineStr">
        <is>
          <t>Marcelo/Carignan</t>
        </is>
      </c>
      <c r="CE187" s="1412" t="n">
        <v>44322</v>
      </c>
      <c r="CF187" s="1412" t="n">
        <v>44323</v>
      </c>
      <c r="CG187" s="1415">
        <f>CF187-CE187</f>
        <v/>
      </c>
      <c r="CH187" s="1398" t="inlineStr">
        <is>
          <t>.</t>
        </is>
      </c>
      <c r="CI187" s="1392" t="n"/>
      <c r="CJ187" s="1392" t="n"/>
      <c r="CK187" s="1392" t="n"/>
      <c r="CL187" s="1392" t="n"/>
    </row>
    <row r="188">
      <c r="A188" s="5" t="inlineStr">
        <is>
          <t>.</t>
        </is>
      </c>
      <c r="B188" s="5" t="inlineStr">
        <is>
          <t>.</t>
        </is>
      </c>
      <c r="C188" s="1378">
        <f>IF(raw[[#This Row],[city]]="","-",IF(raw[[#This Row],[city]]="TODAY","-",C187+1))</f>
        <v/>
      </c>
      <c r="D188" s="1393" t="inlineStr">
        <is>
          <t>SSA</t>
        </is>
      </c>
      <c r="E188" s="1394" t="n">
        <v>32050</v>
      </c>
      <c r="F188" s="1394" t="n">
        <v>32143</v>
      </c>
      <c r="G188" s="1393" t="inlineStr">
        <is>
          <t>-</t>
        </is>
      </c>
      <c r="H188" s="1393">
        <f>H187</f>
        <v/>
      </c>
      <c r="I188" s="1393" t="inlineStr">
        <is>
          <t>-</t>
        </is>
      </c>
      <c r="J188" s="1393" t="inlineStr">
        <is>
          <t>-</t>
        </is>
      </c>
      <c r="K188" s="1395">
        <f>IF(raw[[#This Row],[city]]&lt;&gt;"",_xlfn.XLOOKUP($D188,ccc[city],ccc[prov],"-"),"-")</f>
        <v/>
      </c>
      <c r="L188" s="1395">
        <f>IF(raw[[#This Row],[city]]&lt;&gt;"",_xlfn.XLOOKUP($D188,ccc[city],ccc[ctry],"-"),"-")</f>
        <v/>
      </c>
      <c r="M188" s="1395">
        <f>IF(raw[[#This Row],[city]]&lt;&gt;"",_xlfn.XLOOKUP($D188,ccc[city],ccc[cont],"-"),"-")</f>
        <v/>
      </c>
      <c r="N188" s="1396">
        <f>IF(raw[[#This Row],[city]]="","-",IF(raw[[#This Row],[cont]]="B",raw[[#This Row],[cont]],"W"))</f>
        <v/>
      </c>
      <c r="O188" s="1397">
        <f>IF(raw[[#This Row],[out]]=0,0,IF(raw[[#This Row],[out]]=raw[[#This Row],[in]],0.01,raw[[#This Row],[out]]-raw[[#This Row],[in]]))</f>
        <v/>
      </c>
      <c r="P188" s="1397">
        <f>IF(raw[[#This Row],[in]]=0,0,MONTH(raw[[#This Row],[in]]))</f>
        <v/>
      </c>
      <c r="Q188" s="1397">
        <f>IF(raw[[#This Row],[in]]=0,0,YEAR(raw[[#This Row],[in]]))</f>
        <v/>
      </c>
      <c r="R188" s="1397">
        <f>INT(raw[[#This Row],[yr]]/10)*10</f>
        <v/>
      </c>
      <c r="S188" s="1395">
        <f>IF(raw[[#This Row],[city]]="","-",IF(raw[[#This Row],[city]]&lt;&gt;_xlfn.XLOOKUP(raw[[#This Row],[home]],homes[home],homes[city],"-"),1,0))</f>
        <v/>
      </c>
      <c r="T188" s="1398" t="inlineStr">
        <is>
          <t>.</t>
        </is>
      </c>
      <c r="U188" s="1399">
        <f>IF(raw[[#This Row],[wb]]="w",raw[[#This Row],[stay]]+U187,U187)</f>
        <v/>
      </c>
      <c r="V188" s="1400">
        <f>IF(raw[[#This Row],[out]]=0,V187,(raw[[#This Row],[out]]-E$5))</f>
        <v/>
      </c>
      <c r="W188" s="1401">
        <f>U188/V188</f>
        <v/>
      </c>
      <c r="X188" s="1378" t="inlineStr">
        <is>
          <t>.</t>
        </is>
      </c>
      <c r="Y188" s="1402">
        <f/>
        <v/>
      </c>
      <c r="Z188" s="1403">
        <f/>
        <v/>
      </c>
      <c r="AA188" s="1403">
        <f/>
        <v/>
      </c>
      <c r="AB188" s="1400">
        <f t="array" ref="AB188">_xlfn.LET(_xlpm.S,_xlfn.ANCHORARRAY($Y$4),_xlpm.r,ROWS(stayCity[[#Headers],[city]]:stayCity[[#This Row],[city]])-1,IF(_xlpm.r&lt;=ROWS(_xlpm.S),INDEX(_xlpm.S,_xlpm.r,1),""))</f>
        <v/>
      </c>
      <c r="AC188" s="1405">
        <f t="array" ref="AC188">_xlfn.LET(_xlpm.S,_xlfn.ANCHORARRAY($Y$4),_xlpm.r,ROWS(stayCity[[#Headers],[city]]:stayCity[[#This Row],[city]])-1,IF(_xlpm.r&lt;=ROWS(_xlpm.S),INDEX(_xlpm.S,_xlpm.r,2),""))</f>
        <v/>
      </c>
      <c r="AD188" s="1405">
        <f t="array" ref="AD188">_xlfn.LET(_xlpm.S,_xlfn.ANCHORARRAY($Y$4),_xlpm.r,ROWS(stayCity[[#Headers],[city]]:stayCity[[#This Row],[city]])-1,IF(_xlpm.r&lt;=ROWS(_xlpm.S),INDEX(_xlpm.S,_xlpm.r,3),""))</f>
        <v/>
      </c>
      <c r="AE188" s="1400">
        <f>IF(stayCity[[#This Row],[out]]&lt;&gt;"",stayCity[[#This Row],[out]]-stayCity[[#This Row],[in]],"-")</f>
        <v/>
      </c>
      <c r="AF188" s="1406">
        <f>IF(Y188="","-",YEAR(stayCity[[#This Row],[in]]))</f>
        <v/>
      </c>
      <c r="AG188" s="1398" t="inlineStr">
        <is>
          <t>.</t>
        </is>
      </c>
      <c r="AH188" s="1402">
        <f/>
        <v/>
      </c>
      <c r="AI188" s="1403">
        <f/>
        <v/>
      </c>
      <c r="AJ188" s="1403">
        <f/>
        <v/>
      </c>
      <c r="AK188" s="1400">
        <f>IF(AH188="","-",AH188)</f>
        <v/>
      </c>
      <c r="AL188" s="1405">
        <f>AI188</f>
        <v/>
      </c>
      <c r="AM188" s="1405">
        <f>AJ188</f>
        <v/>
      </c>
      <c r="AN188" s="1400">
        <f>stayCtry[[#This Row],[out]]-stayCtry[[#This Row],[in]]</f>
        <v/>
      </c>
      <c r="AO188" s="1406">
        <f>IF(AI188&lt;&gt;"",AO187+1,AO187)</f>
        <v/>
      </c>
      <c r="AP188" s="1398" t="inlineStr">
        <is>
          <t>.</t>
        </is>
      </c>
      <c r="AQ188" s="1402" t="n"/>
      <c r="AR188" s="1403" t="n"/>
      <c r="AS188" s="1403" t="n"/>
      <c r="AT188" s="1400">
        <f>AQ188</f>
        <v/>
      </c>
      <c r="AU188" s="1405">
        <f>AR188</f>
        <v/>
      </c>
      <c r="AV188" s="1405">
        <f>AS188</f>
        <v/>
      </c>
      <c r="AW188" s="1400">
        <f>stayCont[[#This Row],[out]]-stayCont[[#This Row],[in]]</f>
        <v/>
      </c>
      <c r="AX188" s="1406">
        <f>IF(AR188&lt;&gt;"",AX187+1,AX187)</f>
        <v/>
      </c>
      <c r="AY188" s="1398" t="inlineStr">
        <is>
          <t>.</t>
        </is>
      </c>
      <c r="AZ188" s="1402" t="n"/>
      <c r="BA188" s="1403" t="n"/>
      <c r="BB188" s="1403" t="n"/>
      <c r="BC188" s="1405">
        <f>AZ188</f>
        <v/>
      </c>
      <c r="BD188" s="1405">
        <f>BA188</f>
        <v/>
      </c>
      <c r="BE188" s="1405">
        <f>BB188</f>
        <v/>
      </c>
      <c r="BF188" s="1400">
        <f>stayWB[[#This Row],[out]]-stayWB[[#This Row],[in]]</f>
        <v/>
      </c>
      <c r="BG188" s="1400">
        <f>IF(BB188&lt;&gt;"",BG187+1,BG187)</f>
        <v/>
      </c>
      <c r="BH188" s="1398" t="inlineStr">
        <is>
          <t>.</t>
        </is>
      </c>
      <c r="BI188" s="1402" t="inlineStr">
        <is>
          <t>CAN</t>
        </is>
      </c>
      <c r="BJ188" s="1402" t="n">
        <v>2013</v>
      </c>
      <c r="BK188" s="1400">
        <f>BI188</f>
        <v/>
      </c>
      <c r="BL188" s="1409">
        <f>BJ188</f>
        <v/>
      </c>
      <c r="BM188" s="1378" t="inlineStr">
        <is>
          <t>.</t>
        </is>
      </c>
      <c r="BN188" s="1411" t="n"/>
      <c r="BO188" s="1400">
        <f>BN188</f>
        <v/>
      </c>
      <c r="BP188" s="1398" t="inlineStr">
        <is>
          <t>.</t>
        </is>
      </c>
      <c r="BQ188" s="1400">
        <f>IF(BR188&lt;&gt;"",BQ187+1,BQ187)</f>
        <v/>
      </c>
      <c r="BR188" s="1411" t="inlineStr">
        <is>
          <t>SP</t>
        </is>
      </c>
      <c r="BS188" s="1411" t="inlineStr">
        <is>
          <t>SSA</t>
        </is>
      </c>
      <c r="BT188" s="1412" t="inlineStr">
        <is>
          <t>SP-SSA</t>
        </is>
      </c>
      <c r="BU188" s="1412" t="n">
        <v>39601</v>
      </c>
      <c r="BV188" s="1398" t="inlineStr">
        <is>
          <t>.</t>
        </is>
      </c>
      <c r="BW188" s="1392" t="n"/>
      <c r="BX188" s="1392" t="n"/>
      <c r="BY188" s="1392" t="n"/>
      <c r="BZ188" s="1416" t="n"/>
      <c r="CA188" s="1392" t="n"/>
      <c r="CB188" s="1398" t="inlineStr">
        <is>
          <t>.</t>
        </is>
      </c>
      <c r="CC188" s="1400">
        <f>IF(CD188&lt;&gt;"",CC187+1,CC187)</f>
        <v/>
      </c>
      <c r="CD188" s="1411" t="inlineStr">
        <is>
          <t>Gaspé</t>
        </is>
      </c>
      <c r="CE188" s="1412" t="n">
        <v>44348</v>
      </c>
      <c r="CF188" s="1412" t="n">
        <v>44349</v>
      </c>
      <c r="CG188" s="1415">
        <f>CF188-CE188</f>
        <v/>
      </c>
      <c r="CH188" s="1398" t="inlineStr">
        <is>
          <t>.</t>
        </is>
      </c>
      <c r="CI188" s="1392" t="n"/>
      <c r="CJ188" s="1392" t="n"/>
      <c r="CK188" s="1392" t="n"/>
      <c r="CL188" s="1392" t="n"/>
    </row>
    <row r="189">
      <c r="A189" s="5" t="inlineStr">
        <is>
          <t>.</t>
        </is>
      </c>
      <c r="B189" s="5" t="inlineStr">
        <is>
          <t>.</t>
        </is>
      </c>
      <c r="C189" s="1378">
        <f>IF(raw[[#This Row],[city]]="","-",IF(raw[[#This Row],[city]]="TODAY","-",C188+1))</f>
        <v/>
      </c>
      <c r="D189" s="1393" t="inlineStr">
        <is>
          <t>SSA</t>
        </is>
      </c>
      <c r="E189" s="1394" t="n">
        <v>32143</v>
      </c>
      <c r="F189" s="1394" t="n">
        <v>32509</v>
      </c>
      <c r="G189" s="1393" t="inlineStr">
        <is>
          <t>-</t>
        </is>
      </c>
      <c r="H189" s="1393">
        <f>H188</f>
        <v/>
      </c>
      <c r="I189" s="1393" t="inlineStr">
        <is>
          <t>-</t>
        </is>
      </c>
      <c r="J189" s="1393" t="inlineStr">
        <is>
          <t>REV</t>
        </is>
      </c>
      <c r="K189" s="1395">
        <f>IF(raw[[#This Row],[city]]&lt;&gt;"",_xlfn.XLOOKUP($D189,ccc[city],ccc[prov],"-"),"-")</f>
        <v/>
      </c>
      <c r="L189" s="1395">
        <f>IF(raw[[#This Row],[city]]&lt;&gt;"",_xlfn.XLOOKUP($D189,ccc[city],ccc[ctry],"-"),"-")</f>
        <v/>
      </c>
      <c r="M189" s="1395">
        <f>IF(raw[[#This Row],[city]]&lt;&gt;"",_xlfn.XLOOKUP($D189,ccc[city],ccc[cont],"-"),"-")</f>
        <v/>
      </c>
      <c r="N189" s="1396">
        <f>IF(raw[[#This Row],[city]]="","-",IF(raw[[#This Row],[cont]]="B",raw[[#This Row],[cont]],"W"))</f>
        <v/>
      </c>
      <c r="O189" s="1397">
        <f>IF(raw[[#This Row],[out]]=0,0,IF(raw[[#This Row],[out]]=raw[[#This Row],[in]],0.01,raw[[#This Row],[out]]-raw[[#This Row],[in]]))</f>
        <v/>
      </c>
      <c r="P189" s="1397">
        <f>IF(raw[[#This Row],[in]]=0,0,MONTH(raw[[#This Row],[in]]))</f>
        <v/>
      </c>
      <c r="Q189" s="1397">
        <f>IF(raw[[#This Row],[in]]=0,0,YEAR(raw[[#This Row],[in]]))</f>
        <v/>
      </c>
      <c r="R189" s="1397">
        <f>INT(raw[[#This Row],[yr]]/10)*10</f>
        <v/>
      </c>
      <c r="S189" s="1395">
        <f>IF(raw[[#This Row],[city]]="","-",IF(raw[[#This Row],[city]]&lt;&gt;_xlfn.XLOOKUP(raw[[#This Row],[home]],homes[home],homes[city],"-"),1,0))</f>
        <v/>
      </c>
      <c r="T189" s="1398" t="inlineStr">
        <is>
          <t>.</t>
        </is>
      </c>
      <c r="U189" s="1399">
        <f>IF(raw[[#This Row],[wb]]="w",raw[[#This Row],[stay]]+U188,U188)</f>
        <v/>
      </c>
      <c r="V189" s="1400">
        <f>IF(raw[[#This Row],[out]]=0,V188,(raw[[#This Row],[out]]-E$5))</f>
        <v/>
      </c>
      <c r="W189" s="1401">
        <f>U189/V189</f>
        <v/>
      </c>
      <c r="X189" s="1378" t="inlineStr">
        <is>
          <t>.</t>
        </is>
      </c>
      <c r="Y189" s="1402">
        <f/>
        <v/>
      </c>
      <c r="Z189" s="1403">
        <f/>
        <v/>
      </c>
      <c r="AA189" s="1403">
        <f/>
        <v/>
      </c>
      <c r="AB189" s="1400">
        <f t="array" ref="AB189">_xlfn.LET(_xlpm.S,_xlfn.ANCHORARRAY($Y$4),_xlpm.r,ROWS(stayCity[[#Headers],[city]]:stayCity[[#This Row],[city]])-1,IF(_xlpm.r&lt;=ROWS(_xlpm.S),INDEX(_xlpm.S,_xlpm.r,1),""))</f>
        <v/>
      </c>
      <c r="AC189" s="1405">
        <f t="array" ref="AC189">_xlfn.LET(_xlpm.S,_xlfn.ANCHORARRAY($Y$4),_xlpm.r,ROWS(stayCity[[#Headers],[city]]:stayCity[[#This Row],[city]])-1,IF(_xlpm.r&lt;=ROWS(_xlpm.S),INDEX(_xlpm.S,_xlpm.r,2),""))</f>
        <v/>
      </c>
      <c r="AD189" s="1405">
        <f t="array" ref="AD189">_xlfn.LET(_xlpm.S,_xlfn.ANCHORARRAY($Y$4),_xlpm.r,ROWS(stayCity[[#Headers],[city]]:stayCity[[#This Row],[city]])-1,IF(_xlpm.r&lt;=ROWS(_xlpm.S),INDEX(_xlpm.S,_xlpm.r,3),""))</f>
        <v/>
      </c>
      <c r="AE189" s="1400">
        <f>IF(stayCity[[#This Row],[out]]&lt;&gt;"",stayCity[[#This Row],[out]]-stayCity[[#This Row],[in]],"-")</f>
        <v/>
      </c>
      <c r="AF189" s="1406">
        <f>IF(Y189="","-",YEAR(stayCity[[#This Row],[in]]))</f>
        <v/>
      </c>
      <c r="AG189" s="1398" t="inlineStr">
        <is>
          <t>.</t>
        </is>
      </c>
      <c r="AH189" s="1402">
        <f/>
        <v/>
      </c>
      <c r="AI189" s="1403">
        <f/>
        <v/>
      </c>
      <c r="AJ189" s="1403">
        <f/>
        <v/>
      </c>
      <c r="AK189" s="1400">
        <f>IF(AH189="","-",AH189)</f>
        <v/>
      </c>
      <c r="AL189" s="1405">
        <f>AI189</f>
        <v/>
      </c>
      <c r="AM189" s="1405">
        <f>AJ189</f>
        <v/>
      </c>
      <c r="AN189" s="1400">
        <f>stayCtry[[#This Row],[out]]-stayCtry[[#This Row],[in]]</f>
        <v/>
      </c>
      <c r="AO189" s="1406">
        <f>IF(AI189&lt;&gt;"",AO188+1,AO188)</f>
        <v/>
      </c>
      <c r="AP189" s="1398" t="inlineStr">
        <is>
          <t>.</t>
        </is>
      </c>
      <c r="AQ189" s="1402" t="n"/>
      <c r="AR189" s="1403" t="n"/>
      <c r="AS189" s="1403" t="n"/>
      <c r="AT189" s="1400">
        <f>AQ189</f>
        <v/>
      </c>
      <c r="AU189" s="1405">
        <f>AR189</f>
        <v/>
      </c>
      <c r="AV189" s="1405">
        <f>AS189</f>
        <v/>
      </c>
      <c r="AW189" s="1400">
        <f>stayCont[[#This Row],[out]]-stayCont[[#This Row],[in]]</f>
        <v/>
      </c>
      <c r="AX189" s="1406">
        <f>IF(AR189&lt;&gt;"",AX188+1,AX188)</f>
        <v/>
      </c>
      <c r="AY189" s="1398" t="inlineStr">
        <is>
          <t>.</t>
        </is>
      </c>
      <c r="AZ189" s="1402" t="n"/>
      <c r="BA189" s="1403" t="n"/>
      <c r="BB189" s="1403" t="n"/>
      <c r="BC189" s="1405">
        <f>AZ189</f>
        <v/>
      </c>
      <c r="BD189" s="1405">
        <f>BA189</f>
        <v/>
      </c>
      <c r="BE189" s="1405">
        <f>BB189</f>
        <v/>
      </c>
      <c r="BF189" s="1400">
        <f>stayWB[[#This Row],[out]]-stayWB[[#This Row],[in]]</f>
        <v/>
      </c>
      <c r="BG189" s="1400">
        <f>IF(BB189&lt;&gt;"",BG188+1,BG188)</f>
        <v/>
      </c>
      <c r="BH189" s="1398" t="inlineStr">
        <is>
          <t>.</t>
        </is>
      </c>
      <c r="BI189" s="1402" t="inlineStr">
        <is>
          <t>USA</t>
        </is>
      </c>
      <c r="BJ189" s="1402" t="n">
        <v>2013</v>
      </c>
      <c r="BK189" s="1400">
        <f>BI189</f>
        <v/>
      </c>
      <c r="BL189" s="1409">
        <f>BJ189</f>
        <v/>
      </c>
      <c r="BM189" s="1378" t="inlineStr">
        <is>
          <t>.</t>
        </is>
      </c>
      <c r="BN189" s="1411" t="n"/>
      <c r="BO189" s="1400">
        <f>BN189</f>
        <v/>
      </c>
      <c r="BP189" s="1398" t="inlineStr">
        <is>
          <t>.</t>
        </is>
      </c>
      <c r="BQ189" s="1400">
        <f>IF(BR189&lt;&gt;"",BQ188+1,BQ188)</f>
        <v/>
      </c>
      <c r="BR189" s="1411" t="inlineStr">
        <is>
          <t>SSA</t>
        </is>
      </c>
      <c r="BS189" s="1411" t="inlineStr">
        <is>
          <t>SP</t>
        </is>
      </c>
      <c r="BT189" s="1412" t="inlineStr">
        <is>
          <t>SSA-SP</t>
        </is>
      </c>
      <c r="BU189" s="1412" t="n">
        <v>39611</v>
      </c>
      <c r="BV189" s="1398" t="inlineStr">
        <is>
          <t>.</t>
        </is>
      </c>
      <c r="BW189" s="1392" t="n"/>
      <c r="BX189" s="1392" t="n"/>
      <c r="BY189" s="1392" t="n"/>
      <c r="BZ189" s="1416" t="n"/>
      <c r="CA189" s="1392" t="n"/>
      <c r="CB189" s="1398" t="inlineStr">
        <is>
          <t>.</t>
        </is>
      </c>
      <c r="CC189" s="1400">
        <f>IF(CD189&lt;&gt;"",CC188+1,CC188)</f>
        <v/>
      </c>
      <c r="CD189" s="1411" t="inlineStr">
        <is>
          <t>Marcelo/Carignan</t>
        </is>
      </c>
      <c r="CE189" s="1412" t="n">
        <v>44370</v>
      </c>
      <c r="CF189" s="1412" t="n">
        <v>44371</v>
      </c>
      <c r="CG189" s="1415">
        <f>CF189-CE189</f>
        <v/>
      </c>
      <c r="CH189" s="1398" t="inlineStr">
        <is>
          <t>.</t>
        </is>
      </c>
      <c r="CI189" s="1392" t="n"/>
      <c r="CJ189" s="1392" t="n"/>
      <c r="CK189" s="1392" t="n"/>
      <c r="CL189" s="1392" t="n"/>
    </row>
    <row r="190">
      <c r="A190" s="5" t="inlineStr">
        <is>
          <t>.</t>
        </is>
      </c>
      <c r="B190" s="5" t="inlineStr">
        <is>
          <t>.</t>
        </is>
      </c>
      <c r="C190" s="1378">
        <f>IF(raw[[#This Row],[city]]="","-",IF(raw[[#This Row],[city]]="TODAY","-",C189+1))</f>
        <v/>
      </c>
      <c r="D190" s="1393" t="inlineStr">
        <is>
          <t>SSA</t>
        </is>
      </c>
      <c r="E190" s="1394" t="n">
        <v>32509</v>
      </c>
      <c r="F190" s="1394" t="n">
        <v>32781</v>
      </c>
      <c r="G190" s="1393" t="n">
        <v>1</v>
      </c>
      <c r="H190" s="1393">
        <f>H189</f>
        <v/>
      </c>
      <c r="I190" s="1393" t="inlineStr">
        <is>
          <t>-</t>
        </is>
      </c>
      <c r="J190" s="1393" t="inlineStr">
        <is>
          <t>REV</t>
        </is>
      </c>
      <c r="K190" s="1395">
        <f>IF(raw[[#This Row],[city]]&lt;&gt;"",_xlfn.XLOOKUP($D190,ccc[city],ccc[prov],"-"),"-")</f>
        <v/>
      </c>
      <c r="L190" s="1395">
        <f>IF(raw[[#This Row],[city]]&lt;&gt;"",_xlfn.XLOOKUP($D190,ccc[city],ccc[ctry],"-"),"-")</f>
        <v/>
      </c>
      <c r="M190" s="1395">
        <f>IF(raw[[#This Row],[city]]&lt;&gt;"",_xlfn.XLOOKUP($D190,ccc[city],ccc[cont],"-"),"-")</f>
        <v/>
      </c>
      <c r="N190" s="1396">
        <f>IF(raw[[#This Row],[city]]="","-",IF(raw[[#This Row],[cont]]="B",raw[[#This Row],[cont]],"W"))</f>
        <v/>
      </c>
      <c r="O190" s="1397">
        <f>IF(raw[[#This Row],[out]]=0,0,IF(raw[[#This Row],[out]]=raw[[#This Row],[in]],0.01,raw[[#This Row],[out]]-raw[[#This Row],[in]]))</f>
        <v/>
      </c>
      <c r="P190" s="1397">
        <f>IF(raw[[#This Row],[in]]=0,0,MONTH(raw[[#This Row],[in]]))</f>
        <v/>
      </c>
      <c r="Q190" s="1397">
        <f>IF(raw[[#This Row],[in]]=0,0,YEAR(raw[[#This Row],[in]]))</f>
        <v/>
      </c>
      <c r="R190" s="1397">
        <f>INT(raw[[#This Row],[yr]]/10)*10</f>
        <v/>
      </c>
      <c r="S190" s="1395">
        <f>IF(raw[[#This Row],[city]]="","-",IF(raw[[#This Row],[city]]&lt;&gt;_xlfn.XLOOKUP(raw[[#This Row],[home]],homes[home],homes[city],"-"),1,0))</f>
        <v/>
      </c>
      <c r="T190" s="1398" t="inlineStr">
        <is>
          <t>.</t>
        </is>
      </c>
      <c r="U190" s="1399">
        <f>IF(raw[[#This Row],[wb]]="w",raw[[#This Row],[stay]]+U189,U189)</f>
        <v/>
      </c>
      <c r="V190" s="1400">
        <f>IF(raw[[#This Row],[out]]=0,V189,(raw[[#This Row],[out]]-E$5))</f>
        <v/>
      </c>
      <c r="W190" s="1401">
        <f>U190/V190</f>
        <v/>
      </c>
      <c r="X190" s="1378" t="inlineStr">
        <is>
          <t>.</t>
        </is>
      </c>
      <c r="Y190" s="1402">
        <f/>
        <v/>
      </c>
      <c r="Z190" s="1403">
        <f/>
        <v/>
      </c>
      <c r="AA190" s="1403">
        <f/>
        <v/>
      </c>
      <c r="AB190" s="1400">
        <f t="array" ref="AB190">_xlfn.LET(_xlpm.S,_xlfn.ANCHORARRAY($Y$4),_xlpm.r,ROWS(stayCity[[#Headers],[city]]:stayCity[[#This Row],[city]])-1,IF(_xlpm.r&lt;=ROWS(_xlpm.S),INDEX(_xlpm.S,_xlpm.r,1),""))</f>
        <v/>
      </c>
      <c r="AC190" s="1405">
        <f t="array" ref="AC190">_xlfn.LET(_xlpm.S,_xlfn.ANCHORARRAY($Y$4),_xlpm.r,ROWS(stayCity[[#Headers],[city]]:stayCity[[#This Row],[city]])-1,IF(_xlpm.r&lt;=ROWS(_xlpm.S),INDEX(_xlpm.S,_xlpm.r,2),""))</f>
        <v/>
      </c>
      <c r="AD190" s="1405">
        <f t="array" ref="AD190">_xlfn.LET(_xlpm.S,_xlfn.ANCHORARRAY($Y$4),_xlpm.r,ROWS(stayCity[[#Headers],[city]]:stayCity[[#This Row],[city]])-1,IF(_xlpm.r&lt;=ROWS(_xlpm.S),INDEX(_xlpm.S,_xlpm.r,3),""))</f>
        <v/>
      </c>
      <c r="AE190" s="1400">
        <f>IF(stayCity[[#This Row],[out]]&lt;&gt;"",stayCity[[#This Row],[out]]-stayCity[[#This Row],[in]],"-")</f>
        <v/>
      </c>
      <c r="AF190" s="1406">
        <f>IF(Y190="","-",YEAR(stayCity[[#This Row],[in]]))</f>
        <v/>
      </c>
      <c r="AG190" s="1398" t="inlineStr">
        <is>
          <t>.</t>
        </is>
      </c>
      <c r="AH190" s="1402">
        <f/>
        <v/>
      </c>
      <c r="AI190" s="1403">
        <f/>
        <v/>
      </c>
      <c r="AJ190" s="1403">
        <f/>
        <v/>
      </c>
      <c r="AK190" s="1400">
        <f>IF(AH190="","-",AH190)</f>
        <v/>
      </c>
      <c r="AL190" s="1405">
        <f>AI190</f>
        <v/>
      </c>
      <c r="AM190" s="1405">
        <f>AJ190</f>
        <v/>
      </c>
      <c r="AN190" s="1400">
        <f>stayCtry[[#This Row],[out]]-stayCtry[[#This Row],[in]]</f>
        <v/>
      </c>
      <c r="AO190" s="1406">
        <f>IF(AI190&lt;&gt;"",AO189+1,AO189)</f>
        <v/>
      </c>
      <c r="AP190" s="1398" t="inlineStr">
        <is>
          <t>.</t>
        </is>
      </c>
      <c r="AQ190" s="1402" t="n"/>
      <c r="AR190" s="1403" t="n"/>
      <c r="AS190" s="1403" t="n"/>
      <c r="AT190" s="1400">
        <f>AQ190</f>
        <v/>
      </c>
      <c r="AU190" s="1405">
        <f>AR190</f>
        <v/>
      </c>
      <c r="AV190" s="1405">
        <f>AS190</f>
        <v/>
      </c>
      <c r="AW190" s="1400">
        <f>stayCont[[#This Row],[out]]-stayCont[[#This Row],[in]]</f>
        <v/>
      </c>
      <c r="AX190" s="1406">
        <f>IF(AR190&lt;&gt;"",AX189+1,AX189)</f>
        <v/>
      </c>
      <c r="AY190" s="1398" t="inlineStr">
        <is>
          <t>.</t>
        </is>
      </c>
      <c r="AZ190" s="1402" t="n"/>
      <c r="BA190" s="1403" t="n"/>
      <c r="BB190" s="1403" t="n"/>
      <c r="BC190" s="1405">
        <f>AZ190</f>
        <v/>
      </c>
      <c r="BD190" s="1405">
        <f>BA190</f>
        <v/>
      </c>
      <c r="BE190" s="1405">
        <f>BB190</f>
        <v/>
      </c>
      <c r="BF190" s="1400">
        <f>stayWB[[#This Row],[out]]-stayWB[[#This Row],[in]]</f>
        <v/>
      </c>
      <c r="BG190" s="1400">
        <f>IF(BB190&lt;&gt;"",BG189+1,BG189)</f>
        <v/>
      </c>
      <c r="BH190" s="1398" t="inlineStr">
        <is>
          <t>.</t>
        </is>
      </c>
      <c r="BI190" s="1402" t="inlineStr">
        <is>
          <t>BRA</t>
        </is>
      </c>
      <c r="BJ190" s="1402" t="n">
        <v>2013</v>
      </c>
      <c r="BK190" s="1400">
        <f>BI190</f>
        <v/>
      </c>
      <c r="BL190" s="1409">
        <f>BJ190</f>
        <v/>
      </c>
      <c r="BM190" s="1378" t="inlineStr">
        <is>
          <t>.</t>
        </is>
      </c>
      <c r="BN190" s="1411" t="n"/>
      <c r="BO190" s="1400">
        <f>BN190</f>
        <v/>
      </c>
      <c r="BP190" s="1398" t="inlineStr">
        <is>
          <t>.</t>
        </is>
      </c>
      <c r="BQ190" s="1400">
        <f>IF(BR190&lt;&gt;"",BQ189+1,BQ189)</f>
        <v/>
      </c>
      <c r="BR190" s="1411" t="inlineStr">
        <is>
          <t>SP</t>
        </is>
      </c>
      <c r="BS190" s="1411" t="inlineStr">
        <is>
          <t>Buenos Aires</t>
        </is>
      </c>
      <c r="BT190" s="1412" t="inlineStr">
        <is>
          <t>SP-Buenos Aires</t>
        </is>
      </c>
      <c r="BU190" s="1412" t="n">
        <v>39611</v>
      </c>
      <c r="BV190" s="1398" t="inlineStr">
        <is>
          <t>.</t>
        </is>
      </c>
      <c r="BW190" s="1392" t="n"/>
      <c r="BX190" s="1392" t="n"/>
      <c r="BY190" s="1392" t="n"/>
      <c r="BZ190" s="1416" t="n"/>
      <c r="CA190" s="1392" t="n"/>
      <c r="CB190" s="1398" t="inlineStr">
        <is>
          <t>.</t>
        </is>
      </c>
      <c r="CC190" s="1400">
        <f>IF(CD190&lt;&gt;"",CC189+1,CC189)</f>
        <v/>
      </c>
      <c r="CD190" s="1411" t="inlineStr">
        <is>
          <t>Gaspé</t>
        </is>
      </c>
      <c r="CE190" s="1412" t="n">
        <v>44399</v>
      </c>
      <c r="CF190" s="1412" t="n">
        <v>44403</v>
      </c>
      <c r="CG190" s="1415">
        <f>CF190-CE190</f>
        <v/>
      </c>
      <c r="CH190" s="1398" t="inlineStr">
        <is>
          <t>.</t>
        </is>
      </c>
      <c r="CI190" s="1392" t="n"/>
      <c r="CJ190" s="1392" t="n"/>
      <c r="CK190" s="1392" t="n"/>
      <c r="CL190" s="1392" t="n"/>
    </row>
    <row r="191">
      <c r="A191" s="5" t="inlineStr">
        <is>
          <t>.</t>
        </is>
      </c>
      <c r="B191" s="5" t="inlineStr">
        <is>
          <t>.</t>
        </is>
      </c>
      <c r="C191" s="1378">
        <f>IF(raw[[#This Row],[city]]="","-",IF(raw[[#This Row],[city]]="TODAY","-",C190+1))</f>
        <v/>
      </c>
      <c r="D191" s="1393" t="inlineStr">
        <is>
          <t>Cairo</t>
        </is>
      </c>
      <c r="E191" s="1394" t="n">
        <v>32781</v>
      </c>
      <c r="F191" s="1394" t="n">
        <v>32782</v>
      </c>
      <c r="G191" s="1393" t="inlineStr">
        <is>
          <t>-</t>
        </is>
      </c>
      <c r="H191" s="1393">
        <f>H190</f>
        <v/>
      </c>
      <c r="I191" s="1393" t="inlineStr">
        <is>
          <t>-</t>
        </is>
      </c>
      <c r="J191" s="1393" t="inlineStr">
        <is>
          <t>-</t>
        </is>
      </c>
      <c r="K191" s="1395">
        <f>IF(raw[[#This Row],[city]]&lt;&gt;"",_xlfn.XLOOKUP($D191,ccc[city],ccc[prov],"-"),"-")</f>
        <v/>
      </c>
      <c r="L191" s="1395">
        <f>IF(raw[[#This Row],[city]]&lt;&gt;"",_xlfn.XLOOKUP($D191,ccc[city],ccc[ctry],"-"),"-")</f>
        <v/>
      </c>
      <c r="M191" s="1395">
        <f>IF(raw[[#This Row],[city]]&lt;&gt;"",_xlfn.XLOOKUP($D191,ccc[city],ccc[cont],"-"),"-")</f>
        <v/>
      </c>
      <c r="N191" s="1396">
        <f>IF(raw[[#This Row],[city]]="","-",IF(raw[[#This Row],[cont]]="B",raw[[#This Row],[cont]],"W"))</f>
        <v/>
      </c>
      <c r="O191" s="1397">
        <f>IF(raw[[#This Row],[out]]=0,0,IF(raw[[#This Row],[out]]=raw[[#This Row],[in]],0.01,raw[[#This Row],[out]]-raw[[#This Row],[in]]))</f>
        <v/>
      </c>
      <c r="P191" s="1397">
        <f>IF(raw[[#This Row],[in]]=0,0,MONTH(raw[[#This Row],[in]]))</f>
        <v/>
      </c>
      <c r="Q191" s="1397">
        <f>IF(raw[[#This Row],[in]]=0,0,YEAR(raw[[#This Row],[in]]))</f>
        <v/>
      </c>
      <c r="R191" s="1397">
        <f>INT(raw[[#This Row],[yr]]/10)*10</f>
        <v/>
      </c>
      <c r="S191" s="1395">
        <f>IF(raw[[#This Row],[city]]="","-",IF(raw[[#This Row],[city]]&lt;&gt;_xlfn.XLOOKUP(raw[[#This Row],[home]],homes[home],homes[city],"-"),1,0))</f>
        <v/>
      </c>
      <c r="T191" s="1398" t="inlineStr">
        <is>
          <t>.</t>
        </is>
      </c>
      <c r="U191" s="1399">
        <f>IF(raw[[#This Row],[wb]]="w",raw[[#This Row],[stay]]+U190,U190)</f>
        <v/>
      </c>
      <c r="V191" s="1400">
        <f>IF(raw[[#This Row],[out]]=0,V190,(raw[[#This Row],[out]]-E$5))</f>
        <v/>
      </c>
      <c r="W191" s="1401">
        <f>U191/V191</f>
        <v/>
      </c>
      <c r="X191" s="1378" t="inlineStr">
        <is>
          <t>.</t>
        </is>
      </c>
      <c r="Y191" s="1402">
        <f/>
        <v/>
      </c>
      <c r="Z191" s="1403">
        <f/>
        <v/>
      </c>
      <c r="AA191" s="1403">
        <f/>
        <v/>
      </c>
      <c r="AB191" s="1400">
        <f t="array" ref="AB191">_xlfn.LET(_xlpm.S,_xlfn.ANCHORARRAY($Y$4),_xlpm.r,ROWS(stayCity[[#Headers],[city]]:stayCity[[#This Row],[city]])-1,IF(_xlpm.r&lt;=ROWS(_xlpm.S),INDEX(_xlpm.S,_xlpm.r,1),""))</f>
        <v/>
      </c>
      <c r="AC191" s="1405">
        <f t="array" ref="AC191">_xlfn.LET(_xlpm.S,_xlfn.ANCHORARRAY($Y$4),_xlpm.r,ROWS(stayCity[[#Headers],[city]]:stayCity[[#This Row],[city]])-1,IF(_xlpm.r&lt;=ROWS(_xlpm.S),INDEX(_xlpm.S,_xlpm.r,2),""))</f>
        <v/>
      </c>
      <c r="AD191" s="1405">
        <f t="array" ref="AD191">_xlfn.LET(_xlpm.S,_xlfn.ANCHORARRAY($Y$4),_xlpm.r,ROWS(stayCity[[#Headers],[city]]:stayCity[[#This Row],[city]])-1,IF(_xlpm.r&lt;=ROWS(_xlpm.S),INDEX(_xlpm.S,_xlpm.r,3),""))</f>
        <v/>
      </c>
      <c r="AE191" s="1400">
        <f>IF(stayCity[[#This Row],[out]]&lt;&gt;"",stayCity[[#This Row],[out]]-stayCity[[#This Row],[in]],"-")</f>
        <v/>
      </c>
      <c r="AF191" s="1406">
        <f>IF(Y191="","-",YEAR(stayCity[[#This Row],[in]]))</f>
        <v/>
      </c>
      <c r="AG191" s="1398" t="inlineStr">
        <is>
          <t>.</t>
        </is>
      </c>
      <c r="AH191" s="1402">
        <f/>
        <v/>
      </c>
      <c r="AI191" s="1403">
        <f/>
        <v/>
      </c>
      <c r="AJ191" s="1403">
        <f/>
        <v/>
      </c>
      <c r="AK191" s="1400">
        <f>IF(AH191="","-",AH191)</f>
        <v/>
      </c>
      <c r="AL191" s="1405">
        <f>AI191</f>
        <v/>
      </c>
      <c r="AM191" s="1405">
        <f>AJ191</f>
        <v/>
      </c>
      <c r="AN191" s="1400">
        <f>stayCtry[[#This Row],[out]]-stayCtry[[#This Row],[in]]</f>
        <v/>
      </c>
      <c r="AO191" s="1406">
        <f>IF(AI191&lt;&gt;"",AO190+1,AO190)</f>
        <v/>
      </c>
      <c r="AP191" s="1398" t="inlineStr">
        <is>
          <t>.</t>
        </is>
      </c>
      <c r="AQ191" s="1402" t="n"/>
      <c r="AR191" s="1403" t="n"/>
      <c r="AS191" s="1403" t="n"/>
      <c r="AT191" s="1400">
        <f>AQ191</f>
        <v/>
      </c>
      <c r="AU191" s="1405">
        <f>AR191</f>
        <v/>
      </c>
      <c r="AV191" s="1405">
        <f>AS191</f>
        <v/>
      </c>
      <c r="AW191" s="1400">
        <f>stayCont[[#This Row],[out]]-stayCont[[#This Row],[in]]</f>
        <v/>
      </c>
      <c r="AX191" s="1406">
        <f>IF(AR191&lt;&gt;"",AX190+1,AX190)</f>
        <v/>
      </c>
      <c r="AY191" s="1398" t="inlineStr">
        <is>
          <t>.</t>
        </is>
      </c>
      <c r="AZ191" s="1402" t="n"/>
      <c r="BA191" s="1403" t="n"/>
      <c r="BB191" s="1403" t="n"/>
      <c r="BC191" s="1405">
        <f>AZ191</f>
        <v/>
      </c>
      <c r="BD191" s="1405">
        <f>BA191</f>
        <v/>
      </c>
      <c r="BE191" s="1405">
        <f>BB191</f>
        <v/>
      </c>
      <c r="BF191" s="1400">
        <f>stayWB[[#This Row],[out]]-stayWB[[#This Row],[in]]</f>
        <v/>
      </c>
      <c r="BG191" s="1400">
        <f>IF(BB191&lt;&gt;"",BG190+1,BG190)</f>
        <v/>
      </c>
      <c r="BH191" s="1398" t="inlineStr">
        <is>
          <t>.</t>
        </is>
      </c>
      <c r="BI191" s="1402" t="inlineStr">
        <is>
          <t>USA</t>
        </is>
      </c>
      <c r="BJ191" s="1402" t="n">
        <v>2014</v>
      </c>
      <c r="BK191" s="1400">
        <f>BI191</f>
        <v/>
      </c>
      <c r="BL191" s="1409">
        <f>BJ191</f>
        <v/>
      </c>
      <c r="BM191" s="1378" t="inlineStr">
        <is>
          <t>.</t>
        </is>
      </c>
      <c r="BN191" s="1411" t="n"/>
      <c r="BO191" s="1400">
        <f>BN191</f>
        <v/>
      </c>
      <c r="BP191" s="1398" t="inlineStr">
        <is>
          <t>.</t>
        </is>
      </c>
      <c r="BQ191" s="1400">
        <f>IF(BR191&lt;&gt;"",BQ190+1,BQ190)</f>
        <v/>
      </c>
      <c r="BR191" s="1411" t="inlineStr">
        <is>
          <t>Buenos Aires</t>
        </is>
      </c>
      <c r="BS191" s="1411" t="inlineStr">
        <is>
          <t>SP</t>
        </is>
      </c>
      <c r="BT191" s="1412" t="inlineStr">
        <is>
          <t>Buenos Aires-SP</t>
        </is>
      </c>
      <c r="BU191" s="1412" t="n">
        <v>39624</v>
      </c>
      <c r="BV191" s="1398" t="inlineStr">
        <is>
          <t>.</t>
        </is>
      </c>
      <c r="BW191" s="1392" t="n"/>
      <c r="BX191" s="1392" t="n"/>
      <c r="BY191" s="1392" t="n"/>
      <c r="BZ191" s="1416" t="n"/>
      <c r="CA191" s="1392" t="n"/>
      <c r="CB191" s="1398" t="inlineStr">
        <is>
          <t>.</t>
        </is>
      </c>
      <c r="CC191" s="1400">
        <f>IF(CD191&lt;&gt;"",CC190+1,CC190)</f>
        <v/>
      </c>
      <c r="CD191" s="1411" t="inlineStr">
        <is>
          <t>Thomas/Thomas/Leslie</t>
        </is>
      </c>
      <c r="CE191" s="1412" t="n">
        <v>44452</v>
      </c>
      <c r="CF191" s="1412" t="n">
        <v>44460</v>
      </c>
      <c r="CG191" s="1415">
        <f>CF191-CE191</f>
        <v/>
      </c>
      <c r="CH191" s="1398" t="inlineStr">
        <is>
          <t>.</t>
        </is>
      </c>
      <c r="CI191" s="1392" t="n"/>
      <c r="CJ191" s="1392" t="n"/>
      <c r="CK191" s="1392" t="n"/>
      <c r="CL191" s="1392" t="n"/>
    </row>
    <row r="192">
      <c r="A192" s="5" t="inlineStr">
        <is>
          <t>.</t>
        </is>
      </c>
      <c r="B192" s="5" t="inlineStr">
        <is>
          <t>.</t>
        </is>
      </c>
      <c r="C192" s="1378">
        <f>IF(raw[[#This Row],[city]]="","-",IF(raw[[#This Row],[city]]="TODAY","-",C191+1))</f>
        <v/>
      </c>
      <c r="D192" s="1393" t="inlineStr">
        <is>
          <t>Cairo</t>
        </is>
      </c>
      <c r="E192" s="1394" t="n">
        <v>32782</v>
      </c>
      <c r="F192" s="1394" t="n">
        <v>32786</v>
      </c>
      <c r="G192" s="1393" t="n">
        <v>1</v>
      </c>
      <c r="H192" s="1393">
        <f>H191</f>
        <v/>
      </c>
      <c r="I192" s="1393" t="inlineStr">
        <is>
          <t>-</t>
        </is>
      </c>
      <c r="J192" s="1393" t="inlineStr">
        <is>
          <t>-</t>
        </is>
      </c>
      <c r="K192" s="1395">
        <f>IF(raw[[#This Row],[city]]&lt;&gt;"",_xlfn.XLOOKUP($D192,ccc[city],ccc[prov],"-"),"-")</f>
        <v/>
      </c>
      <c r="L192" s="1395">
        <f>IF(raw[[#This Row],[city]]&lt;&gt;"",_xlfn.XLOOKUP($D192,ccc[city],ccc[ctry],"-"),"-")</f>
        <v/>
      </c>
      <c r="M192" s="1395">
        <f>IF(raw[[#This Row],[city]]&lt;&gt;"",_xlfn.XLOOKUP($D192,ccc[city],ccc[cont],"-"),"-")</f>
        <v/>
      </c>
      <c r="N192" s="1396">
        <f>IF(raw[[#This Row],[city]]="","-",IF(raw[[#This Row],[cont]]="B",raw[[#This Row],[cont]],"W"))</f>
        <v/>
      </c>
      <c r="O192" s="1397">
        <f>IF(raw[[#This Row],[out]]=0,0,IF(raw[[#This Row],[out]]=raw[[#This Row],[in]],0.01,raw[[#This Row],[out]]-raw[[#This Row],[in]]))</f>
        <v/>
      </c>
      <c r="P192" s="1397">
        <f>IF(raw[[#This Row],[in]]=0,0,MONTH(raw[[#This Row],[in]]))</f>
        <v/>
      </c>
      <c r="Q192" s="1397">
        <f>IF(raw[[#This Row],[in]]=0,0,YEAR(raw[[#This Row],[in]]))</f>
        <v/>
      </c>
      <c r="R192" s="1397">
        <f>INT(raw[[#This Row],[yr]]/10)*10</f>
        <v/>
      </c>
      <c r="S192" s="1395">
        <f>IF(raw[[#This Row],[city]]="","-",IF(raw[[#This Row],[city]]&lt;&gt;_xlfn.XLOOKUP(raw[[#This Row],[home]],homes[home],homes[city],"-"),1,0))</f>
        <v/>
      </c>
      <c r="T192" s="1398" t="inlineStr">
        <is>
          <t>.</t>
        </is>
      </c>
      <c r="U192" s="1399">
        <f>IF(raw[[#This Row],[wb]]="w",raw[[#This Row],[stay]]+U191,U191)</f>
        <v/>
      </c>
      <c r="V192" s="1400">
        <f>IF(raw[[#This Row],[out]]=0,V191,(raw[[#This Row],[out]]-E$5))</f>
        <v/>
      </c>
      <c r="W192" s="1401">
        <f>U192/V192</f>
        <v/>
      </c>
      <c r="X192" s="1378" t="inlineStr">
        <is>
          <t>.</t>
        </is>
      </c>
      <c r="Y192" s="1402">
        <f/>
        <v/>
      </c>
      <c r="Z192" s="1403">
        <f/>
        <v/>
      </c>
      <c r="AA192" s="1403">
        <f/>
        <v/>
      </c>
      <c r="AB192" s="1400">
        <f t="array" ref="AB192">_xlfn.LET(_xlpm.S,_xlfn.ANCHORARRAY($Y$4),_xlpm.r,ROWS(stayCity[[#Headers],[city]]:stayCity[[#This Row],[city]])-1,IF(_xlpm.r&lt;=ROWS(_xlpm.S),INDEX(_xlpm.S,_xlpm.r,1),""))</f>
        <v/>
      </c>
      <c r="AC192" s="1405">
        <f t="array" ref="AC192">_xlfn.LET(_xlpm.S,_xlfn.ANCHORARRAY($Y$4),_xlpm.r,ROWS(stayCity[[#Headers],[city]]:stayCity[[#This Row],[city]])-1,IF(_xlpm.r&lt;=ROWS(_xlpm.S),INDEX(_xlpm.S,_xlpm.r,2),""))</f>
        <v/>
      </c>
      <c r="AD192" s="1405">
        <f t="array" ref="AD192">_xlfn.LET(_xlpm.S,_xlfn.ANCHORARRAY($Y$4),_xlpm.r,ROWS(stayCity[[#Headers],[city]]:stayCity[[#This Row],[city]])-1,IF(_xlpm.r&lt;=ROWS(_xlpm.S),INDEX(_xlpm.S,_xlpm.r,3),""))</f>
        <v/>
      </c>
      <c r="AE192" s="1400">
        <f>IF(stayCity[[#This Row],[out]]&lt;&gt;"",stayCity[[#This Row],[out]]-stayCity[[#This Row],[in]],"-")</f>
        <v/>
      </c>
      <c r="AF192" s="1406">
        <f>IF(Y192="","-",YEAR(stayCity[[#This Row],[in]]))</f>
        <v/>
      </c>
      <c r="AG192" s="1398" t="inlineStr">
        <is>
          <t>.</t>
        </is>
      </c>
      <c r="AH192" s="1402">
        <f/>
        <v/>
      </c>
      <c r="AI192" s="1403">
        <f/>
        <v/>
      </c>
      <c r="AJ192" s="1403">
        <f/>
        <v/>
      </c>
      <c r="AK192" s="1400">
        <f>IF(AH192="","-",AH192)</f>
        <v/>
      </c>
      <c r="AL192" s="1405">
        <f>AI192</f>
        <v/>
      </c>
      <c r="AM192" s="1405">
        <f>AJ192</f>
        <v/>
      </c>
      <c r="AN192" s="1400">
        <f>stayCtry[[#This Row],[out]]-stayCtry[[#This Row],[in]]</f>
        <v/>
      </c>
      <c r="AO192" s="1406">
        <f>IF(AI192&lt;&gt;"",AO191+1,AO191)</f>
        <v/>
      </c>
      <c r="AP192" s="1398" t="inlineStr">
        <is>
          <t>.</t>
        </is>
      </c>
      <c r="AQ192" s="1402" t="n"/>
      <c r="AR192" s="1403" t="n"/>
      <c r="AS192" s="1403" t="n"/>
      <c r="AT192" s="1400">
        <f>AQ192</f>
        <v/>
      </c>
      <c r="AU192" s="1405">
        <f>AR192</f>
        <v/>
      </c>
      <c r="AV192" s="1405">
        <f>AS192</f>
        <v/>
      </c>
      <c r="AW192" s="1400">
        <f>stayCont[[#This Row],[out]]-stayCont[[#This Row],[in]]</f>
        <v/>
      </c>
      <c r="AX192" s="1406">
        <f>IF(AR192&lt;&gt;"",AX191+1,AX191)</f>
        <v/>
      </c>
      <c r="AY192" s="1398" t="inlineStr">
        <is>
          <t>.</t>
        </is>
      </c>
      <c r="AZ192" s="1402" t="n"/>
      <c r="BA192" s="1403" t="n"/>
      <c r="BB192" s="1403" t="n"/>
      <c r="BC192" s="1405">
        <f>AZ192</f>
        <v/>
      </c>
      <c r="BD192" s="1405">
        <f>BA192</f>
        <v/>
      </c>
      <c r="BE192" s="1405">
        <f>BB192</f>
        <v/>
      </c>
      <c r="BF192" s="1400">
        <f>stayWB[[#This Row],[out]]-stayWB[[#This Row],[in]]</f>
        <v/>
      </c>
      <c r="BG192" s="1400">
        <f>IF(BB192&lt;&gt;"",BG191+1,BG191)</f>
        <v/>
      </c>
      <c r="BH192" s="1398" t="inlineStr">
        <is>
          <t>.</t>
        </is>
      </c>
      <c r="BI192" s="1402" t="inlineStr">
        <is>
          <t>CAN</t>
        </is>
      </c>
      <c r="BJ192" s="1402" t="n">
        <v>2014</v>
      </c>
      <c r="BK192" s="1400">
        <f>BI192</f>
        <v/>
      </c>
      <c r="BL192" s="1409">
        <f>BJ192</f>
        <v/>
      </c>
      <c r="BM192" s="1378" t="inlineStr">
        <is>
          <t>.</t>
        </is>
      </c>
      <c r="BN192" s="1411" t="n"/>
      <c r="BO192" s="1400">
        <f>BN192</f>
        <v/>
      </c>
      <c r="BP192" s="1398" t="inlineStr">
        <is>
          <t>.</t>
        </is>
      </c>
      <c r="BQ192" s="1400">
        <f>IF(BR192&lt;&gt;"",BQ191+1,BQ191)</f>
        <v/>
      </c>
      <c r="BR192" s="1411" t="inlineStr">
        <is>
          <t>SP</t>
        </is>
      </c>
      <c r="BS192" s="1411" t="inlineStr">
        <is>
          <t>Rio</t>
        </is>
      </c>
      <c r="BT192" s="1412" t="inlineStr">
        <is>
          <t>SP-Rio</t>
        </is>
      </c>
      <c r="BU192" s="1412" t="n">
        <v>39625</v>
      </c>
      <c r="BV192" s="1398" t="inlineStr">
        <is>
          <t>.</t>
        </is>
      </c>
      <c r="BW192" s="1392" t="n"/>
      <c r="BX192" s="1392" t="n"/>
      <c r="BY192" s="1392" t="n"/>
      <c r="BZ192" s="1416" t="n"/>
      <c r="CA192" s="1392" t="n"/>
      <c r="CB192" s="1398" t="inlineStr">
        <is>
          <t>.</t>
        </is>
      </c>
      <c r="CC192" s="1400">
        <f>IF(CD192&lt;&gt;"",CC191+1,CC191)</f>
        <v/>
      </c>
      <c r="CD192" s="1411" t="inlineStr">
        <is>
          <t>David's</t>
        </is>
      </c>
      <c r="CE192" s="1412" t="n">
        <v>44460</v>
      </c>
      <c r="CF192" s="1412" t="n">
        <v>44463</v>
      </c>
      <c r="CG192" s="1415">
        <f>CF192-CE192</f>
        <v/>
      </c>
      <c r="CH192" s="1398" t="inlineStr">
        <is>
          <t>.</t>
        </is>
      </c>
      <c r="CI192" s="1392" t="n"/>
      <c r="CJ192" s="1392" t="n"/>
      <c r="CK192" s="1392" t="n"/>
      <c r="CL192" s="1392" t="n"/>
    </row>
    <row r="193">
      <c r="A193" s="5" t="inlineStr">
        <is>
          <t>.</t>
        </is>
      </c>
      <c r="B193" s="5" t="inlineStr">
        <is>
          <t>.</t>
        </is>
      </c>
      <c r="C193" s="1378">
        <f>IF(raw[[#This Row],[city]]="","-",IF(raw[[#This Row],[city]]="TODAY","-",C192+1))</f>
        <v/>
      </c>
      <c r="D193" s="1393" t="inlineStr">
        <is>
          <t>Athens</t>
        </is>
      </c>
      <c r="E193" s="1394" t="n">
        <v>32786</v>
      </c>
      <c r="F193" s="1394" t="n">
        <v>32787</v>
      </c>
      <c r="G193" s="1393" t="inlineStr">
        <is>
          <t>-</t>
        </is>
      </c>
      <c r="H193" s="1393">
        <f>H192</f>
        <v/>
      </c>
      <c r="I193" s="1393" t="inlineStr">
        <is>
          <t>-</t>
        </is>
      </c>
      <c r="J193" s="1393" t="inlineStr">
        <is>
          <t>-</t>
        </is>
      </c>
      <c r="K193" s="1395">
        <f>IF(raw[[#This Row],[city]]&lt;&gt;"",_xlfn.XLOOKUP($D193,ccc[city],ccc[prov],"-"),"-")</f>
        <v/>
      </c>
      <c r="L193" s="1395">
        <f>IF(raw[[#This Row],[city]]&lt;&gt;"",_xlfn.XLOOKUP($D193,ccc[city],ccc[ctry],"-"),"-")</f>
        <v/>
      </c>
      <c r="M193" s="1395">
        <f>IF(raw[[#This Row],[city]]&lt;&gt;"",_xlfn.XLOOKUP($D193,ccc[city],ccc[cont],"-"),"-")</f>
        <v/>
      </c>
      <c r="N193" s="1396">
        <f>IF(raw[[#This Row],[city]]="","-",IF(raw[[#This Row],[cont]]="B",raw[[#This Row],[cont]],"W"))</f>
        <v/>
      </c>
      <c r="O193" s="1397">
        <f>IF(raw[[#This Row],[out]]=0,0,IF(raw[[#This Row],[out]]=raw[[#This Row],[in]],0.01,raw[[#This Row],[out]]-raw[[#This Row],[in]]))</f>
        <v/>
      </c>
      <c r="P193" s="1397">
        <f>IF(raw[[#This Row],[in]]=0,0,MONTH(raw[[#This Row],[in]]))</f>
        <v/>
      </c>
      <c r="Q193" s="1397">
        <f>IF(raw[[#This Row],[in]]=0,0,YEAR(raw[[#This Row],[in]]))</f>
        <v/>
      </c>
      <c r="R193" s="1397">
        <f>INT(raw[[#This Row],[yr]]/10)*10</f>
        <v/>
      </c>
      <c r="S193" s="1395">
        <f>IF(raw[[#This Row],[city]]="","-",IF(raw[[#This Row],[city]]&lt;&gt;_xlfn.XLOOKUP(raw[[#This Row],[home]],homes[home],homes[city],"-"),1,0))</f>
        <v/>
      </c>
      <c r="T193" s="1398" t="inlineStr">
        <is>
          <t>.</t>
        </is>
      </c>
      <c r="U193" s="1399">
        <f>IF(raw[[#This Row],[wb]]="w",raw[[#This Row],[stay]]+U192,U192)</f>
        <v/>
      </c>
      <c r="V193" s="1400">
        <f>IF(raw[[#This Row],[out]]=0,V192,(raw[[#This Row],[out]]-E$5))</f>
        <v/>
      </c>
      <c r="W193" s="1401">
        <f>U193/V193</f>
        <v/>
      </c>
      <c r="X193" s="1378" t="inlineStr">
        <is>
          <t>.</t>
        </is>
      </c>
      <c r="Y193" s="1402">
        <f/>
        <v/>
      </c>
      <c r="Z193" s="1403">
        <f/>
        <v/>
      </c>
      <c r="AA193" s="1403">
        <f/>
        <v/>
      </c>
      <c r="AB193" s="1400">
        <f t="array" ref="AB193">_xlfn.LET(_xlpm.S,_xlfn.ANCHORARRAY($Y$4),_xlpm.r,ROWS(stayCity[[#Headers],[city]]:stayCity[[#This Row],[city]])-1,IF(_xlpm.r&lt;=ROWS(_xlpm.S),INDEX(_xlpm.S,_xlpm.r,1),""))</f>
        <v/>
      </c>
      <c r="AC193" s="1405">
        <f t="array" ref="AC193">_xlfn.LET(_xlpm.S,_xlfn.ANCHORARRAY($Y$4),_xlpm.r,ROWS(stayCity[[#Headers],[city]]:stayCity[[#This Row],[city]])-1,IF(_xlpm.r&lt;=ROWS(_xlpm.S),INDEX(_xlpm.S,_xlpm.r,2),""))</f>
        <v/>
      </c>
      <c r="AD193" s="1405">
        <f t="array" ref="AD193">_xlfn.LET(_xlpm.S,_xlfn.ANCHORARRAY($Y$4),_xlpm.r,ROWS(stayCity[[#Headers],[city]]:stayCity[[#This Row],[city]])-1,IF(_xlpm.r&lt;=ROWS(_xlpm.S),INDEX(_xlpm.S,_xlpm.r,3),""))</f>
        <v/>
      </c>
      <c r="AE193" s="1400">
        <f>IF(stayCity[[#This Row],[out]]&lt;&gt;"",stayCity[[#This Row],[out]]-stayCity[[#This Row],[in]],"-")</f>
        <v/>
      </c>
      <c r="AF193" s="1406">
        <f>IF(Y193="","-",YEAR(stayCity[[#This Row],[in]]))</f>
        <v/>
      </c>
      <c r="AG193" s="1398" t="inlineStr">
        <is>
          <t>.</t>
        </is>
      </c>
      <c r="AH193" s="1402">
        <f/>
        <v/>
      </c>
      <c r="AI193" s="1403">
        <f/>
        <v/>
      </c>
      <c r="AJ193" s="1403">
        <f/>
        <v/>
      </c>
      <c r="AK193" s="1400">
        <f>IF(AH193="","-",AH193)</f>
        <v/>
      </c>
      <c r="AL193" s="1405">
        <f>AI193</f>
        <v/>
      </c>
      <c r="AM193" s="1405">
        <f>AJ193</f>
        <v/>
      </c>
      <c r="AN193" s="1400">
        <f>stayCtry[[#This Row],[out]]-stayCtry[[#This Row],[in]]</f>
        <v/>
      </c>
      <c r="AO193" s="1406">
        <f>IF(AI193&lt;&gt;"",AO192+1,AO192)</f>
        <v/>
      </c>
      <c r="AP193" s="1398" t="inlineStr">
        <is>
          <t>.</t>
        </is>
      </c>
      <c r="AQ193" s="1402" t="n"/>
      <c r="AR193" s="1403" t="n"/>
      <c r="AS193" s="1403" t="n"/>
      <c r="AT193" s="1400">
        <f>AQ193</f>
        <v/>
      </c>
      <c r="AU193" s="1405">
        <f>AR193</f>
        <v/>
      </c>
      <c r="AV193" s="1405">
        <f>AS193</f>
        <v/>
      </c>
      <c r="AW193" s="1400">
        <f>stayCont[[#This Row],[out]]-stayCont[[#This Row],[in]]</f>
        <v/>
      </c>
      <c r="AX193" s="1406">
        <f>IF(AR193&lt;&gt;"",AX192+1,AX192)</f>
        <v/>
      </c>
      <c r="AY193" s="1398" t="inlineStr">
        <is>
          <t>.</t>
        </is>
      </c>
      <c r="AZ193" s="1402" t="n"/>
      <c r="BA193" s="1403" t="n"/>
      <c r="BB193" s="1403" t="n"/>
      <c r="BC193" s="1405">
        <f>AZ193</f>
        <v/>
      </c>
      <c r="BD193" s="1405">
        <f>BA193</f>
        <v/>
      </c>
      <c r="BE193" s="1405">
        <f>BB193</f>
        <v/>
      </c>
      <c r="BF193" s="1400">
        <f>stayWB[[#This Row],[out]]-stayWB[[#This Row],[in]]</f>
        <v/>
      </c>
      <c r="BG193" s="1400">
        <f>IF(BB193&lt;&gt;"",BG192+1,BG192)</f>
        <v/>
      </c>
      <c r="BH193" s="1398" t="inlineStr">
        <is>
          <t>.</t>
        </is>
      </c>
      <c r="BI193" s="1402" t="inlineStr">
        <is>
          <t>USA</t>
        </is>
      </c>
      <c r="BJ193" s="1402" t="n">
        <v>2014</v>
      </c>
      <c r="BK193" s="1400">
        <f>BI193</f>
        <v/>
      </c>
      <c r="BL193" s="1409">
        <f>BJ193</f>
        <v/>
      </c>
      <c r="BM193" s="1378" t="inlineStr">
        <is>
          <t>.</t>
        </is>
      </c>
      <c r="BN193" s="1411" t="n"/>
      <c r="BO193" s="1400">
        <f>BN193</f>
        <v/>
      </c>
      <c r="BP193" s="1398" t="inlineStr">
        <is>
          <t>.</t>
        </is>
      </c>
      <c r="BQ193" s="1400">
        <f>IF(BR193&lt;&gt;"",BQ192+1,BQ192)</f>
        <v/>
      </c>
      <c r="BR193" s="1411" t="inlineStr">
        <is>
          <t>Rio</t>
        </is>
      </c>
      <c r="BS193" s="1411" t="inlineStr">
        <is>
          <t>SSA</t>
        </is>
      </c>
      <c r="BT193" s="1412" t="inlineStr">
        <is>
          <t>Rio-SSA</t>
        </is>
      </c>
      <c r="BU193" s="1412" t="n">
        <v>39625</v>
      </c>
      <c r="BV193" s="1398" t="inlineStr">
        <is>
          <t>.</t>
        </is>
      </c>
      <c r="BW193" s="1392" t="n"/>
      <c r="BX193" s="1392" t="n"/>
      <c r="BY193" s="1392" t="n"/>
      <c r="BZ193" s="1416" t="n"/>
      <c r="CA193" s="1392" t="n"/>
      <c r="CB193" s="1398" t="inlineStr">
        <is>
          <t>.</t>
        </is>
      </c>
      <c r="CC193" s="1400">
        <f>IF(CD193&lt;&gt;"",CC192+1,CC192)</f>
        <v/>
      </c>
      <c r="CD193" s="1411" t="inlineStr">
        <is>
          <t>Thomas/Leslie</t>
        </is>
      </c>
      <c r="CE193" s="1412" t="n">
        <v>44463</v>
      </c>
      <c r="CF193" s="1412" t="n">
        <v>44471</v>
      </c>
      <c r="CG193" s="1415">
        <f>CF193-CE193</f>
        <v/>
      </c>
      <c r="CH193" s="1398" t="inlineStr">
        <is>
          <t>.</t>
        </is>
      </c>
      <c r="CI193" s="1392" t="n"/>
      <c r="CJ193" s="1392" t="n"/>
      <c r="CK193" s="1392" t="n"/>
      <c r="CL193" s="1392" t="n"/>
    </row>
    <row r="194">
      <c r="A194" s="5" t="inlineStr">
        <is>
          <t>.</t>
        </is>
      </c>
      <c r="B194" s="5" t="inlineStr">
        <is>
          <t>.</t>
        </is>
      </c>
      <c r="C194" s="1378">
        <f>IF(raw[[#This Row],[city]]="","-",IF(raw[[#This Row],[city]]="TODAY","-",C193+1))</f>
        <v/>
      </c>
      <c r="D194" s="1418" t="inlineStr">
        <is>
          <t>SEA GRC</t>
        </is>
      </c>
      <c r="E194" s="1419" t="n">
        <v>32787</v>
      </c>
      <c r="F194" s="1419" t="n">
        <v>32793</v>
      </c>
      <c r="G194" s="1393" t="inlineStr">
        <is>
          <t>-</t>
        </is>
      </c>
      <c r="H194" s="1393">
        <f>H193</f>
        <v/>
      </c>
      <c r="I194" s="1393" t="inlineStr">
        <is>
          <t>-</t>
        </is>
      </c>
      <c r="J194" s="1393" t="inlineStr">
        <is>
          <t>-</t>
        </is>
      </c>
      <c r="K194" s="1395">
        <f>IF(raw[[#This Row],[city]]&lt;&gt;"",_xlfn.XLOOKUP($D194,ccc[city],ccc[prov],"-"),"-")</f>
        <v/>
      </c>
      <c r="L194" s="1395">
        <f>IF(raw[[#This Row],[city]]&lt;&gt;"",_xlfn.XLOOKUP($D194,ccc[city],ccc[ctry],"-"),"-")</f>
        <v/>
      </c>
      <c r="M194" s="1395">
        <f>IF(raw[[#This Row],[city]]&lt;&gt;"",_xlfn.XLOOKUP($D194,ccc[city],ccc[cont],"-"),"-")</f>
        <v/>
      </c>
      <c r="N194" s="1396">
        <f>IF(raw[[#This Row],[city]]="","-",IF(raw[[#This Row],[cont]]="B",raw[[#This Row],[cont]],"W"))</f>
        <v/>
      </c>
      <c r="O194" s="1397">
        <f>IF(raw[[#This Row],[out]]=0,0,IF(raw[[#This Row],[out]]=raw[[#This Row],[in]],0.01,raw[[#This Row],[out]]-raw[[#This Row],[in]]))</f>
        <v/>
      </c>
      <c r="P194" s="1397">
        <f>IF(raw[[#This Row],[in]]=0,0,MONTH(raw[[#This Row],[in]]))</f>
        <v/>
      </c>
      <c r="Q194" s="1397">
        <f>IF(raw[[#This Row],[in]]=0,0,YEAR(raw[[#This Row],[in]]))</f>
        <v/>
      </c>
      <c r="R194" s="1397">
        <f>INT(raw[[#This Row],[yr]]/10)*10</f>
        <v/>
      </c>
      <c r="S194" s="1395">
        <f>IF(raw[[#This Row],[city]]="","-",IF(raw[[#This Row],[city]]&lt;&gt;_xlfn.XLOOKUP(raw[[#This Row],[home]],homes[home],homes[city],"-"),1,0))</f>
        <v/>
      </c>
      <c r="T194" s="1398" t="inlineStr">
        <is>
          <t>.</t>
        </is>
      </c>
      <c r="U194" s="1399">
        <f>IF(raw[[#This Row],[wb]]="w",raw[[#This Row],[stay]]+U193,U193)</f>
        <v/>
      </c>
      <c r="V194" s="1400">
        <f>IF(raw[[#This Row],[out]]=0,V193,(raw[[#This Row],[out]]-E$5))</f>
        <v/>
      </c>
      <c r="W194" s="1401">
        <f>U194/V194</f>
        <v/>
      </c>
      <c r="X194" s="1378" t="inlineStr">
        <is>
          <t>.</t>
        </is>
      </c>
      <c r="Y194" s="1402">
        <f/>
        <v/>
      </c>
      <c r="Z194" s="1403">
        <f/>
        <v/>
      </c>
      <c r="AA194" s="1403">
        <f/>
        <v/>
      </c>
      <c r="AB194" s="1400">
        <f t="array" ref="AB194">_xlfn.LET(_xlpm.S,_xlfn.ANCHORARRAY($Y$4),_xlpm.r,ROWS(stayCity[[#Headers],[city]]:stayCity[[#This Row],[city]])-1,IF(_xlpm.r&lt;=ROWS(_xlpm.S),INDEX(_xlpm.S,_xlpm.r,1),""))</f>
        <v/>
      </c>
      <c r="AC194" s="1405">
        <f t="array" ref="AC194">_xlfn.LET(_xlpm.S,_xlfn.ANCHORARRAY($Y$4),_xlpm.r,ROWS(stayCity[[#Headers],[city]]:stayCity[[#This Row],[city]])-1,IF(_xlpm.r&lt;=ROWS(_xlpm.S),INDEX(_xlpm.S,_xlpm.r,2),""))</f>
        <v/>
      </c>
      <c r="AD194" s="1405">
        <f t="array" ref="AD194">_xlfn.LET(_xlpm.S,_xlfn.ANCHORARRAY($Y$4),_xlpm.r,ROWS(stayCity[[#Headers],[city]]:stayCity[[#This Row],[city]])-1,IF(_xlpm.r&lt;=ROWS(_xlpm.S),INDEX(_xlpm.S,_xlpm.r,3),""))</f>
        <v/>
      </c>
      <c r="AE194" s="1400">
        <f>IF(stayCity[[#This Row],[out]]&lt;&gt;"",stayCity[[#This Row],[out]]-stayCity[[#This Row],[in]],"-")</f>
        <v/>
      </c>
      <c r="AF194" s="1406">
        <f>IF(Y194="","-",YEAR(stayCity[[#This Row],[in]]))</f>
        <v/>
      </c>
      <c r="AG194" s="1398" t="inlineStr">
        <is>
          <t>.</t>
        </is>
      </c>
      <c r="AH194" s="1402">
        <f/>
        <v/>
      </c>
      <c r="AI194" s="1403">
        <f/>
        <v/>
      </c>
      <c r="AJ194" s="1403">
        <f/>
        <v/>
      </c>
      <c r="AK194" s="1400">
        <f>IF(AH194="","-",AH194)</f>
        <v/>
      </c>
      <c r="AL194" s="1405">
        <f>AI194</f>
        <v/>
      </c>
      <c r="AM194" s="1405">
        <f>AJ194</f>
        <v/>
      </c>
      <c r="AN194" s="1400">
        <f>stayCtry[[#This Row],[out]]-stayCtry[[#This Row],[in]]</f>
        <v/>
      </c>
      <c r="AO194" s="1406">
        <f>IF(AI194&lt;&gt;"",AO193+1,AO193)</f>
        <v/>
      </c>
      <c r="AP194" s="1398" t="inlineStr">
        <is>
          <t>.</t>
        </is>
      </c>
      <c r="AQ194" s="1402" t="n"/>
      <c r="AR194" s="1403" t="n"/>
      <c r="AS194" s="1403" t="n"/>
      <c r="AT194" s="1400">
        <f>AQ194</f>
        <v/>
      </c>
      <c r="AU194" s="1405">
        <f>AR194</f>
        <v/>
      </c>
      <c r="AV194" s="1405">
        <f>AS194</f>
        <v/>
      </c>
      <c r="AW194" s="1400">
        <f>stayCont[[#This Row],[out]]-stayCont[[#This Row],[in]]</f>
        <v/>
      </c>
      <c r="AX194" s="1406">
        <f>IF(AR194&lt;&gt;"",AX193+1,AX193)</f>
        <v/>
      </c>
      <c r="AY194" s="1398" t="inlineStr">
        <is>
          <t>.</t>
        </is>
      </c>
      <c r="AZ194" s="1402" t="n"/>
      <c r="BA194" s="1403" t="n"/>
      <c r="BB194" s="1403" t="n"/>
      <c r="BC194" s="1405">
        <f>AZ194</f>
        <v/>
      </c>
      <c r="BD194" s="1405">
        <f>BA194</f>
        <v/>
      </c>
      <c r="BE194" s="1405">
        <f>BB194</f>
        <v/>
      </c>
      <c r="BF194" s="1400">
        <f>stayWB[[#This Row],[out]]-stayWB[[#This Row],[in]]</f>
        <v/>
      </c>
      <c r="BG194" s="1400">
        <f>IF(BB194&lt;&gt;"",BG193+1,BG193)</f>
        <v/>
      </c>
      <c r="BH194" s="1398" t="inlineStr">
        <is>
          <t>.</t>
        </is>
      </c>
      <c r="BI194" s="1402" t="inlineStr">
        <is>
          <t>CAN</t>
        </is>
      </c>
      <c r="BJ194" s="1402" t="n">
        <v>2014</v>
      </c>
      <c r="BK194" s="1400">
        <f>BI194</f>
        <v/>
      </c>
      <c r="BL194" s="1409">
        <f>BJ194</f>
        <v/>
      </c>
      <c r="BM194" s="1378" t="inlineStr">
        <is>
          <t>.</t>
        </is>
      </c>
      <c r="BN194" s="1411" t="n"/>
      <c r="BO194" s="1400">
        <f>BN194</f>
        <v/>
      </c>
      <c r="BP194" s="1398" t="inlineStr">
        <is>
          <t>.</t>
        </is>
      </c>
      <c r="BQ194" s="1400">
        <f>IF(BR194&lt;&gt;"",BQ193+1,BQ193)</f>
        <v/>
      </c>
      <c r="BR194" s="1411" t="inlineStr">
        <is>
          <t>SSA</t>
        </is>
      </c>
      <c r="BS194" s="1411" t="inlineStr">
        <is>
          <t>SP</t>
        </is>
      </c>
      <c r="BT194" s="1412" t="inlineStr">
        <is>
          <t>SSA-SP</t>
        </is>
      </c>
      <c r="BU194" s="1412" t="n">
        <v>39671</v>
      </c>
      <c r="BV194" s="1398" t="inlineStr">
        <is>
          <t>.</t>
        </is>
      </c>
      <c r="BW194" s="1392" t="n"/>
      <c r="BX194" s="1392" t="n"/>
      <c r="BY194" s="1392" t="n"/>
      <c r="BZ194" s="1416" t="n"/>
      <c r="CA194" s="1392" t="n"/>
      <c r="CB194" s="1398" t="inlineStr">
        <is>
          <t>.</t>
        </is>
      </c>
      <c r="CC194" s="1400">
        <f>IF(CD194&lt;&gt;"",CC193+1,CC193)</f>
        <v/>
      </c>
      <c r="CD194" s="1411" t="inlineStr">
        <is>
          <t>Ondina</t>
        </is>
      </c>
      <c r="CE194" s="1412" t="n">
        <v>44534</v>
      </c>
      <c r="CF194" s="1412" t="n">
        <v>44552</v>
      </c>
      <c r="CG194" s="1415">
        <f>CF194-CE194</f>
        <v/>
      </c>
      <c r="CH194" s="1398" t="inlineStr">
        <is>
          <t>.</t>
        </is>
      </c>
      <c r="CI194" s="1392" t="n"/>
      <c r="CJ194" s="1392" t="n"/>
      <c r="CK194" s="1392" t="n"/>
      <c r="CL194" s="1392" t="n"/>
    </row>
    <row r="195">
      <c r="A195" s="5" t="inlineStr">
        <is>
          <t>.</t>
        </is>
      </c>
      <c r="B195" s="5" t="inlineStr">
        <is>
          <t>.</t>
        </is>
      </c>
      <c r="C195" s="1378">
        <f>IF(raw[[#This Row],[city]]="","-",IF(raw[[#This Row],[city]]="TODAY","-",C194+1))</f>
        <v/>
      </c>
      <c r="D195" s="1393" t="inlineStr">
        <is>
          <t>Creta</t>
        </is>
      </c>
      <c r="E195" s="1394" t="n">
        <v>32787</v>
      </c>
      <c r="F195" s="1394" t="n">
        <v>32787</v>
      </c>
      <c r="G195" s="1393" t="inlineStr">
        <is>
          <t>-</t>
        </is>
      </c>
      <c r="H195" s="1393">
        <f>H194</f>
        <v/>
      </c>
      <c r="I195" s="1393" t="inlineStr">
        <is>
          <t>-</t>
        </is>
      </c>
      <c r="J195" s="1393" t="inlineStr">
        <is>
          <t>-</t>
        </is>
      </c>
      <c r="K195" s="1395">
        <f>IF(raw[[#This Row],[city]]&lt;&gt;"",_xlfn.XLOOKUP($D195,ccc[city],ccc[prov],"-"),"-")</f>
        <v/>
      </c>
      <c r="L195" s="1395">
        <f>IF(raw[[#This Row],[city]]&lt;&gt;"",_xlfn.XLOOKUP($D195,ccc[city],ccc[ctry],"-"),"-")</f>
        <v/>
      </c>
      <c r="M195" s="1395">
        <f>IF(raw[[#This Row],[city]]&lt;&gt;"",_xlfn.XLOOKUP($D195,ccc[city],ccc[cont],"-"),"-")</f>
        <v/>
      </c>
      <c r="N195" s="1396">
        <f>IF(raw[[#This Row],[city]]="","-",IF(raw[[#This Row],[cont]]="B",raw[[#This Row],[cont]],"W"))</f>
        <v/>
      </c>
      <c r="O195" s="1397">
        <f>IF(raw[[#This Row],[out]]=0,0,IF(raw[[#This Row],[out]]=raw[[#This Row],[in]],0.01,raw[[#This Row],[out]]-raw[[#This Row],[in]]))</f>
        <v/>
      </c>
      <c r="P195" s="1397">
        <f>IF(raw[[#This Row],[in]]=0,0,MONTH(raw[[#This Row],[in]]))</f>
        <v/>
      </c>
      <c r="Q195" s="1397">
        <f>IF(raw[[#This Row],[in]]=0,0,YEAR(raw[[#This Row],[in]]))</f>
        <v/>
      </c>
      <c r="R195" s="1397">
        <f>INT(raw[[#This Row],[yr]]/10)*10</f>
        <v/>
      </c>
      <c r="S195" s="1395">
        <f>IF(raw[[#This Row],[city]]="","-",IF(raw[[#This Row],[city]]&lt;&gt;_xlfn.XLOOKUP(raw[[#This Row],[home]],homes[home],homes[city],"-"),1,0))</f>
        <v/>
      </c>
      <c r="T195" s="1398" t="inlineStr">
        <is>
          <t>.</t>
        </is>
      </c>
      <c r="U195" s="1399">
        <f>IF(raw[[#This Row],[wb]]="w",raw[[#This Row],[stay]]+U194,U194)</f>
        <v/>
      </c>
      <c r="V195" s="1400">
        <f>IF(raw[[#This Row],[out]]=0,V194,(raw[[#This Row],[out]]-E$5))</f>
        <v/>
      </c>
      <c r="W195" s="1401">
        <f>U195/V195</f>
        <v/>
      </c>
      <c r="X195" s="1378" t="inlineStr">
        <is>
          <t>.</t>
        </is>
      </c>
      <c r="Y195" s="1402">
        <f/>
        <v/>
      </c>
      <c r="Z195" s="1403">
        <f/>
        <v/>
      </c>
      <c r="AA195" s="1403">
        <f/>
        <v/>
      </c>
      <c r="AB195" s="1400">
        <f t="array" ref="AB195">_xlfn.LET(_xlpm.S,_xlfn.ANCHORARRAY($Y$4),_xlpm.r,ROWS(stayCity[[#Headers],[city]]:stayCity[[#This Row],[city]])-1,IF(_xlpm.r&lt;=ROWS(_xlpm.S),INDEX(_xlpm.S,_xlpm.r,1),""))</f>
        <v/>
      </c>
      <c r="AC195" s="1405">
        <f t="array" ref="AC195">_xlfn.LET(_xlpm.S,_xlfn.ANCHORARRAY($Y$4),_xlpm.r,ROWS(stayCity[[#Headers],[city]]:stayCity[[#This Row],[city]])-1,IF(_xlpm.r&lt;=ROWS(_xlpm.S),INDEX(_xlpm.S,_xlpm.r,2),""))</f>
        <v/>
      </c>
      <c r="AD195" s="1405">
        <f t="array" ref="AD195">_xlfn.LET(_xlpm.S,_xlfn.ANCHORARRAY($Y$4),_xlpm.r,ROWS(stayCity[[#Headers],[city]]:stayCity[[#This Row],[city]])-1,IF(_xlpm.r&lt;=ROWS(_xlpm.S),INDEX(_xlpm.S,_xlpm.r,3),""))</f>
        <v/>
      </c>
      <c r="AE195" s="1400">
        <f>IF(stayCity[[#This Row],[out]]&lt;&gt;"",stayCity[[#This Row],[out]]-stayCity[[#This Row],[in]],"-")</f>
        <v/>
      </c>
      <c r="AF195" s="1406">
        <f>IF(Y195="","-",YEAR(stayCity[[#This Row],[in]]))</f>
        <v/>
      </c>
      <c r="AG195" s="1398" t="inlineStr">
        <is>
          <t>.</t>
        </is>
      </c>
      <c r="AH195" s="1402">
        <f/>
        <v/>
      </c>
      <c r="AI195" s="1403">
        <f/>
        <v/>
      </c>
      <c r="AJ195" s="1403">
        <f/>
        <v/>
      </c>
      <c r="AK195" s="1400">
        <f>IF(AH195="","-",AH195)</f>
        <v/>
      </c>
      <c r="AL195" s="1405">
        <f>AI195</f>
        <v/>
      </c>
      <c r="AM195" s="1405">
        <f>AJ195</f>
        <v/>
      </c>
      <c r="AN195" s="1400">
        <f>stayCtry[[#This Row],[out]]-stayCtry[[#This Row],[in]]</f>
        <v/>
      </c>
      <c r="AO195" s="1406">
        <f>IF(AI195&lt;&gt;"",AO194+1,AO194)</f>
        <v/>
      </c>
      <c r="AP195" s="1398" t="inlineStr">
        <is>
          <t>.</t>
        </is>
      </c>
      <c r="AQ195" s="1402" t="n"/>
      <c r="AR195" s="1403" t="n"/>
      <c r="AS195" s="1403" t="n"/>
      <c r="AT195" s="1400">
        <f>AQ195</f>
        <v/>
      </c>
      <c r="AU195" s="1405">
        <f>AR195</f>
        <v/>
      </c>
      <c r="AV195" s="1405">
        <f>AS195</f>
        <v/>
      </c>
      <c r="AW195" s="1400">
        <f>stayCont[[#This Row],[out]]-stayCont[[#This Row],[in]]</f>
        <v/>
      </c>
      <c r="AX195" s="1406">
        <f>IF(AR195&lt;&gt;"",AX194+1,AX194)</f>
        <v/>
      </c>
      <c r="AY195" s="1398" t="inlineStr">
        <is>
          <t>.</t>
        </is>
      </c>
      <c r="AZ195" s="1402" t="n"/>
      <c r="BA195" s="1403" t="n"/>
      <c r="BB195" s="1403" t="n"/>
      <c r="BC195" s="1405">
        <f>AZ195</f>
        <v/>
      </c>
      <c r="BD195" s="1405">
        <f>BA195</f>
        <v/>
      </c>
      <c r="BE195" s="1405">
        <f>BB195</f>
        <v/>
      </c>
      <c r="BF195" s="1400">
        <f>stayWB[[#This Row],[out]]-stayWB[[#This Row],[in]]</f>
        <v/>
      </c>
      <c r="BG195" s="1400">
        <f>IF(BB195&lt;&gt;"",BG194+1,BG194)</f>
        <v/>
      </c>
      <c r="BH195" s="1398" t="inlineStr">
        <is>
          <t>.</t>
        </is>
      </c>
      <c r="BI195" s="1402" t="inlineStr">
        <is>
          <t>USA</t>
        </is>
      </c>
      <c r="BJ195" s="1402" t="n">
        <v>2015</v>
      </c>
      <c r="BK195" s="1400">
        <f>BI195</f>
        <v/>
      </c>
      <c r="BL195" s="1409">
        <f>BJ195</f>
        <v/>
      </c>
      <c r="BM195" s="1378" t="inlineStr">
        <is>
          <t>.</t>
        </is>
      </c>
      <c r="BN195" s="1411" t="n"/>
      <c r="BO195" s="1400">
        <f>BN195</f>
        <v/>
      </c>
      <c r="BP195" s="1398" t="inlineStr">
        <is>
          <t>.</t>
        </is>
      </c>
      <c r="BQ195" s="1400">
        <f>IF(BR195&lt;&gt;"",BQ194+1,BQ194)</f>
        <v/>
      </c>
      <c r="BR195" s="1411" t="inlineStr">
        <is>
          <t>SP</t>
        </is>
      </c>
      <c r="BS195" s="1411" t="inlineStr">
        <is>
          <t>SSA</t>
        </is>
      </c>
      <c r="BT195" s="1412" t="inlineStr">
        <is>
          <t>SP-SSA</t>
        </is>
      </c>
      <c r="BU195" s="1412" t="n">
        <v>39675</v>
      </c>
      <c r="BV195" s="1398" t="inlineStr">
        <is>
          <t>.</t>
        </is>
      </c>
      <c r="BW195" s="1392" t="n"/>
      <c r="BX195" s="1392" t="n"/>
      <c r="BY195" s="1392" t="n"/>
      <c r="BZ195" s="1416" t="n"/>
      <c r="CA195" s="1392" t="n"/>
      <c r="CB195" s="1398" t="inlineStr">
        <is>
          <t>.</t>
        </is>
      </c>
      <c r="CC195" s="1400">
        <f>IF(CD195&lt;&gt;"",CC194+1,CC194)</f>
        <v/>
      </c>
      <c r="CD195" s="1411" t="inlineStr">
        <is>
          <t>Gaspé</t>
        </is>
      </c>
      <c r="CE195" s="1412" t="n">
        <v>44553</v>
      </c>
      <c r="CF195" s="1412" t="n">
        <v>44562</v>
      </c>
      <c r="CG195" s="1415">
        <f>CF195-CE195</f>
        <v/>
      </c>
      <c r="CH195" s="1398" t="inlineStr">
        <is>
          <t>.</t>
        </is>
      </c>
      <c r="CI195" s="1392" t="n"/>
      <c r="CJ195" s="1392" t="n"/>
      <c r="CK195" s="1392" t="n"/>
      <c r="CL195" s="1392" t="n"/>
    </row>
    <row r="196">
      <c r="A196" s="5" t="inlineStr">
        <is>
          <t>.</t>
        </is>
      </c>
      <c r="B196" s="5" t="inlineStr">
        <is>
          <t>.</t>
        </is>
      </c>
      <c r="C196" s="1378">
        <f>IF(raw[[#This Row],[city]]="","-",IF(raw[[#This Row],[city]]="TODAY","-",C195+1))</f>
        <v/>
      </c>
      <c r="D196" s="1393" t="inlineStr">
        <is>
          <t>Santorini</t>
        </is>
      </c>
      <c r="E196" s="1394" t="n">
        <v>32788</v>
      </c>
      <c r="F196" s="1394" t="n">
        <v>32788</v>
      </c>
      <c r="G196" s="1393" t="inlineStr">
        <is>
          <t>-</t>
        </is>
      </c>
      <c r="H196" s="1393">
        <f>H195</f>
        <v/>
      </c>
      <c r="I196" s="1393" t="inlineStr">
        <is>
          <t>-</t>
        </is>
      </c>
      <c r="J196" s="1393" t="inlineStr">
        <is>
          <t>-</t>
        </is>
      </c>
      <c r="K196" s="1395">
        <f>IF(raw[[#This Row],[city]]&lt;&gt;"",_xlfn.XLOOKUP($D196,ccc[city],ccc[prov],"-"),"-")</f>
        <v/>
      </c>
      <c r="L196" s="1395">
        <f>IF(raw[[#This Row],[city]]&lt;&gt;"",_xlfn.XLOOKUP($D196,ccc[city],ccc[ctry],"-"),"-")</f>
        <v/>
      </c>
      <c r="M196" s="1395">
        <f>IF(raw[[#This Row],[city]]&lt;&gt;"",_xlfn.XLOOKUP($D196,ccc[city],ccc[cont],"-"),"-")</f>
        <v/>
      </c>
      <c r="N196" s="1396">
        <f>IF(raw[[#This Row],[city]]="","-",IF(raw[[#This Row],[cont]]="B",raw[[#This Row],[cont]],"W"))</f>
        <v/>
      </c>
      <c r="O196" s="1397">
        <f>IF(raw[[#This Row],[out]]=0,0,IF(raw[[#This Row],[out]]=raw[[#This Row],[in]],0.01,raw[[#This Row],[out]]-raw[[#This Row],[in]]))</f>
        <v/>
      </c>
      <c r="P196" s="1397">
        <f>IF(raw[[#This Row],[in]]=0,0,MONTH(raw[[#This Row],[in]]))</f>
        <v/>
      </c>
      <c r="Q196" s="1397">
        <f>IF(raw[[#This Row],[in]]=0,0,YEAR(raw[[#This Row],[in]]))</f>
        <v/>
      </c>
      <c r="R196" s="1397">
        <f>INT(raw[[#This Row],[yr]]/10)*10</f>
        <v/>
      </c>
      <c r="S196" s="1395">
        <f>IF(raw[[#This Row],[city]]="","-",IF(raw[[#This Row],[city]]&lt;&gt;_xlfn.XLOOKUP(raw[[#This Row],[home]],homes[home],homes[city],"-"),1,0))</f>
        <v/>
      </c>
      <c r="T196" s="1398" t="inlineStr">
        <is>
          <t>.</t>
        </is>
      </c>
      <c r="U196" s="1399">
        <f>IF(raw[[#This Row],[wb]]="w",raw[[#This Row],[stay]]+U195,U195)</f>
        <v/>
      </c>
      <c r="V196" s="1400">
        <f>IF(raw[[#This Row],[out]]=0,V195,(raw[[#This Row],[out]]-E$5))</f>
        <v/>
      </c>
      <c r="W196" s="1401">
        <f>U196/V196</f>
        <v/>
      </c>
      <c r="X196" s="1378" t="inlineStr">
        <is>
          <t>.</t>
        </is>
      </c>
      <c r="Y196" s="1402">
        <f/>
        <v/>
      </c>
      <c r="Z196" s="1403">
        <f/>
        <v/>
      </c>
      <c r="AA196" s="1403">
        <f/>
        <v/>
      </c>
      <c r="AB196" s="1400">
        <f t="array" ref="AB196">_xlfn.LET(_xlpm.S,_xlfn.ANCHORARRAY($Y$4),_xlpm.r,ROWS(stayCity[[#Headers],[city]]:stayCity[[#This Row],[city]])-1,IF(_xlpm.r&lt;=ROWS(_xlpm.S),INDEX(_xlpm.S,_xlpm.r,1),""))</f>
        <v/>
      </c>
      <c r="AC196" s="1405">
        <f t="array" ref="AC196">_xlfn.LET(_xlpm.S,_xlfn.ANCHORARRAY($Y$4),_xlpm.r,ROWS(stayCity[[#Headers],[city]]:stayCity[[#This Row],[city]])-1,IF(_xlpm.r&lt;=ROWS(_xlpm.S),INDEX(_xlpm.S,_xlpm.r,2),""))</f>
        <v/>
      </c>
      <c r="AD196" s="1405">
        <f t="array" ref="AD196">_xlfn.LET(_xlpm.S,_xlfn.ANCHORARRAY($Y$4),_xlpm.r,ROWS(stayCity[[#Headers],[city]]:stayCity[[#This Row],[city]])-1,IF(_xlpm.r&lt;=ROWS(_xlpm.S),INDEX(_xlpm.S,_xlpm.r,3),""))</f>
        <v/>
      </c>
      <c r="AE196" s="1400">
        <f>IF(stayCity[[#This Row],[out]]&lt;&gt;"",stayCity[[#This Row],[out]]-stayCity[[#This Row],[in]],"-")</f>
        <v/>
      </c>
      <c r="AF196" s="1406">
        <f>IF(Y196="","-",YEAR(stayCity[[#This Row],[in]]))</f>
        <v/>
      </c>
      <c r="AG196" s="1398" t="inlineStr">
        <is>
          <t>.</t>
        </is>
      </c>
      <c r="AH196" s="1402">
        <f/>
        <v/>
      </c>
      <c r="AI196" s="1403">
        <f/>
        <v/>
      </c>
      <c r="AJ196" s="1403">
        <f/>
        <v/>
      </c>
      <c r="AK196" s="1400">
        <f>IF(AH196="","-",AH196)</f>
        <v/>
      </c>
      <c r="AL196" s="1405">
        <f>AI196</f>
        <v/>
      </c>
      <c r="AM196" s="1405">
        <f>AJ196</f>
        <v/>
      </c>
      <c r="AN196" s="1400">
        <f>stayCtry[[#This Row],[out]]-stayCtry[[#This Row],[in]]</f>
        <v/>
      </c>
      <c r="AO196" s="1406">
        <f>IF(AI196&lt;&gt;"",AO195+1,AO195)</f>
        <v/>
      </c>
      <c r="AP196" s="1398" t="inlineStr">
        <is>
          <t>.</t>
        </is>
      </c>
      <c r="AQ196" s="1402" t="n"/>
      <c r="AR196" s="1403" t="n"/>
      <c r="AS196" s="1403" t="n"/>
      <c r="AT196" s="1400">
        <f>AQ196</f>
        <v/>
      </c>
      <c r="AU196" s="1405">
        <f>AR196</f>
        <v/>
      </c>
      <c r="AV196" s="1405">
        <f>AS196</f>
        <v/>
      </c>
      <c r="AW196" s="1400">
        <f>stayCont[[#This Row],[out]]-stayCont[[#This Row],[in]]</f>
        <v/>
      </c>
      <c r="AX196" s="1406">
        <f>IF(AR196&lt;&gt;"",AX195+1,AX195)</f>
        <v/>
      </c>
      <c r="AY196" s="1398" t="inlineStr">
        <is>
          <t>.</t>
        </is>
      </c>
      <c r="AZ196" s="1402" t="n"/>
      <c r="BA196" s="1403" t="n"/>
      <c r="BB196" s="1403" t="n"/>
      <c r="BC196" s="1405">
        <f>AZ196</f>
        <v/>
      </c>
      <c r="BD196" s="1405">
        <f>BA196</f>
        <v/>
      </c>
      <c r="BE196" s="1405">
        <f>BB196</f>
        <v/>
      </c>
      <c r="BF196" s="1400">
        <f>stayWB[[#This Row],[out]]-stayWB[[#This Row],[in]]</f>
        <v/>
      </c>
      <c r="BG196" s="1400">
        <f>IF(BB196&lt;&gt;"",BG195+1,BG195)</f>
        <v/>
      </c>
      <c r="BH196" s="1398" t="inlineStr">
        <is>
          <t>.</t>
        </is>
      </c>
      <c r="BI196" s="1402" t="inlineStr">
        <is>
          <t>BRA</t>
        </is>
      </c>
      <c r="BJ196" s="1402" t="n">
        <v>2015</v>
      </c>
      <c r="BK196" s="1400">
        <f>BI196</f>
        <v/>
      </c>
      <c r="BL196" s="1409">
        <f>BJ196</f>
        <v/>
      </c>
      <c r="BM196" s="1378" t="inlineStr">
        <is>
          <t>.</t>
        </is>
      </c>
      <c r="BN196" s="1411" t="n"/>
      <c r="BO196" s="1400">
        <f>BN196</f>
        <v/>
      </c>
      <c r="BP196" s="1398" t="inlineStr">
        <is>
          <t>.</t>
        </is>
      </c>
      <c r="BQ196" s="1400">
        <f>IF(BR196&lt;&gt;"",BQ195+1,BQ195)</f>
        <v/>
      </c>
      <c r="BR196" s="1411" t="inlineStr">
        <is>
          <t>SSA</t>
        </is>
      </c>
      <c r="BS196" s="1411" t="inlineStr">
        <is>
          <t>SP</t>
        </is>
      </c>
      <c r="BT196" s="1412" t="inlineStr">
        <is>
          <t>SSA-SP</t>
        </is>
      </c>
      <c r="BU196" s="1412" t="n">
        <v>39709</v>
      </c>
      <c r="BV196" s="1398" t="inlineStr">
        <is>
          <t>.</t>
        </is>
      </c>
      <c r="BW196" s="1392" t="n"/>
      <c r="BX196" s="1392" t="n"/>
      <c r="BY196" s="1392" t="n"/>
      <c r="BZ196" s="1416" t="n"/>
      <c r="CA196" s="1392" t="n"/>
      <c r="CB196" s="1398" t="inlineStr">
        <is>
          <t>.</t>
        </is>
      </c>
      <c r="CC196" s="1400">
        <f>IF(CD196&lt;&gt;"",CC195+1,CC195)</f>
        <v/>
      </c>
      <c r="CD196" s="1411" t="inlineStr">
        <is>
          <t>Francele/Chambly</t>
        </is>
      </c>
      <c r="CE196" s="1412" t="n">
        <v>44639</v>
      </c>
      <c r="CF196" s="1412" t="n">
        <v>44640</v>
      </c>
      <c r="CG196" s="1415">
        <f>CF196-CE196</f>
        <v/>
      </c>
      <c r="CH196" s="1398" t="inlineStr">
        <is>
          <t>.</t>
        </is>
      </c>
      <c r="CI196" s="1392" t="n"/>
      <c r="CJ196" s="1392" t="n"/>
      <c r="CK196" s="1392" t="n"/>
      <c r="CL196" s="1392" t="n"/>
    </row>
    <row r="197">
      <c r="A197" s="5" t="inlineStr">
        <is>
          <t>.</t>
        </is>
      </c>
      <c r="B197" s="5" t="inlineStr">
        <is>
          <t>.</t>
        </is>
      </c>
      <c r="C197" s="1378">
        <f>IF(raw[[#This Row],[city]]="","-",IF(raw[[#This Row],[city]]="TODAY","-",C196+1))</f>
        <v/>
      </c>
      <c r="D197" s="1393" t="inlineStr">
        <is>
          <t>Lindos</t>
        </is>
      </c>
      <c r="E197" s="1394" t="n">
        <v>32789</v>
      </c>
      <c r="F197" s="1394" t="n">
        <v>32789</v>
      </c>
      <c r="G197" s="1393" t="inlineStr">
        <is>
          <t>-</t>
        </is>
      </c>
      <c r="H197" s="1393">
        <f>H196</f>
        <v/>
      </c>
      <c r="I197" s="1393" t="inlineStr">
        <is>
          <t>-</t>
        </is>
      </c>
      <c r="J197" s="1393" t="inlineStr">
        <is>
          <t>-</t>
        </is>
      </c>
      <c r="K197" s="1395">
        <f>IF(raw[[#This Row],[city]]&lt;&gt;"",_xlfn.XLOOKUP($D197,ccc[city],ccc[prov],"-"),"-")</f>
        <v/>
      </c>
      <c r="L197" s="1395">
        <f>IF(raw[[#This Row],[city]]&lt;&gt;"",_xlfn.XLOOKUP($D197,ccc[city],ccc[ctry],"-"),"-")</f>
        <v/>
      </c>
      <c r="M197" s="1395">
        <f>IF(raw[[#This Row],[city]]&lt;&gt;"",_xlfn.XLOOKUP($D197,ccc[city],ccc[cont],"-"),"-")</f>
        <v/>
      </c>
      <c r="N197" s="1396">
        <f>IF(raw[[#This Row],[city]]="","-",IF(raw[[#This Row],[cont]]="B",raw[[#This Row],[cont]],"W"))</f>
        <v/>
      </c>
      <c r="O197" s="1397">
        <f>IF(raw[[#This Row],[out]]=0,0,IF(raw[[#This Row],[out]]=raw[[#This Row],[in]],0.01,raw[[#This Row],[out]]-raw[[#This Row],[in]]))</f>
        <v/>
      </c>
      <c r="P197" s="1397">
        <f>IF(raw[[#This Row],[in]]=0,0,MONTH(raw[[#This Row],[in]]))</f>
        <v/>
      </c>
      <c r="Q197" s="1397">
        <f>IF(raw[[#This Row],[in]]=0,0,YEAR(raw[[#This Row],[in]]))</f>
        <v/>
      </c>
      <c r="R197" s="1397">
        <f>INT(raw[[#This Row],[yr]]/10)*10</f>
        <v/>
      </c>
      <c r="S197" s="1395">
        <f>IF(raw[[#This Row],[city]]="","-",IF(raw[[#This Row],[city]]&lt;&gt;_xlfn.XLOOKUP(raw[[#This Row],[home]],homes[home],homes[city],"-"),1,0))</f>
        <v/>
      </c>
      <c r="T197" s="1398" t="inlineStr">
        <is>
          <t>.</t>
        </is>
      </c>
      <c r="U197" s="1399">
        <f>IF(raw[[#This Row],[wb]]="w",raw[[#This Row],[stay]]+U196,U196)</f>
        <v/>
      </c>
      <c r="V197" s="1400">
        <f>IF(raw[[#This Row],[out]]=0,V196,(raw[[#This Row],[out]]-E$5))</f>
        <v/>
      </c>
      <c r="W197" s="1401">
        <f>U197/V197</f>
        <v/>
      </c>
      <c r="X197" s="1378" t="inlineStr">
        <is>
          <t>.</t>
        </is>
      </c>
      <c r="Y197" s="1402">
        <f/>
        <v/>
      </c>
      <c r="Z197" s="1403">
        <f/>
        <v/>
      </c>
      <c r="AA197" s="1403">
        <f/>
        <v/>
      </c>
      <c r="AB197" s="1400">
        <f t="array" ref="AB197">_xlfn.LET(_xlpm.S,_xlfn.ANCHORARRAY($Y$4),_xlpm.r,ROWS(stayCity[[#Headers],[city]]:stayCity[[#This Row],[city]])-1,IF(_xlpm.r&lt;=ROWS(_xlpm.S),INDEX(_xlpm.S,_xlpm.r,1),""))</f>
        <v/>
      </c>
      <c r="AC197" s="1405">
        <f t="array" ref="AC197">_xlfn.LET(_xlpm.S,_xlfn.ANCHORARRAY($Y$4),_xlpm.r,ROWS(stayCity[[#Headers],[city]]:stayCity[[#This Row],[city]])-1,IF(_xlpm.r&lt;=ROWS(_xlpm.S),INDEX(_xlpm.S,_xlpm.r,2),""))</f>
        <v/>
      </c>
      <c r="AD197" s="1405">
        <f t="array" ref="AD197">_xlfn.LET(_xlpm.S,_xlfn.ANCHORARRAY($Y$4),_xlpm.r,ROWS(stayCity[[#Headers],[city]]:stayCity[[#This Row],[city]])-1,IF(_xlpm.r&lt;=ROWS(_xlpm.S),INDEX(_xlpm.S,_xlpm.r,3),""))</f>
        <v/>
      </c>
      <c r="AE197" s="1400">
        <f>IF(stayCity[[#This Row],[out]]&lt;&gt;"",stayCity[[#This Row],[out]]-stayCity[[#This Row],[in]],"-")</f>
        <v/>
      </c>
      <c r="AF197" s="1406">
        <f>IF(Y197="","-",YEAR(stayCity[[#This Row],[in]]))</f>
        <v/>
      </c>
      <c r="AG197" s="1398" t="inlineStr">
        <is>
          <t>.</t>
        </is>
      </c>
      <c r="AH197" s="1402">
        <f/>
        <v/>
      </c>
      <c r="AI197" s="1403">
        <f/>
        <v/>
      </c>
      <c r="AJ197" s="1403">
        <f/>
        <v/>
      </c>
      <c r="AK197" s="1400">
        <f>IF(AH197="","-",AH197)</f>
        <v/>
      </c>
      <c r="AL197" s="1405">
        <f>AI197</f>
        <v/>
      </c>
      <c r="AM197" s="1405">
        <f>AJ197</f>
        <v/>
      </c>
      <c r="AN197" s="1400">
        <f>stayCtry[[#This Row],[out]]-stayCtry[[#This Row],[in]]</f>
        <v/>
      </c>
      <c r="AO197" s="1406">
        <f>IF(AI197&lt;&gt;"",AO196+1,AO196)</f>
        <v/>
      </c>
      <c r="AP197" s="1398" t="inlineStr">
        <is>
          <t>.</t>
        </is>
      </c>
      <c r="AQ197" s="1402" t="n"/>
      <c r="AR197" s="1403" t="n"/>
      <c r="AS197" s="1403" t="n"/>
      <c r="AT197" s="1400">
        <f>AQ197</f>
        <v/>
      </c>
      <c r="AU197" s="1405">
        <f>AR197</f>
        <v/>
      </c>
      <c r="AV197" s="1405">
        <f>AS197</f>
        <v/>
      </c>
      <c r="AW197" s="1400">
        <f>stayCont[[#This Row],[out]]-stayCont[[#This Row],[in]]</f>
        <v/>
      </c>
      <c r="AX197" s="1406">
        <f>IF(AR197&lt;&gt;"",AX196+1,AX196)</f>
        <v/>
      </c>
      <c r="AY197" s="1398" t="inlineStr">
        <is>
          <t>.</t>
        </is>
      </c>
      <c r="AZ197" s="1402" t="n"/>
      <c r="BA197" s="1403" t="n"/>
      <c r="BB197" s="1403" t="n"/>
      <c r="BC197" s="1405">
        <f>AZ197</f>
        <v/>
      </c>
      <c r="BD197" s="1405">
        <f>BA197</f>
        <v/>
      </c>
      <c r="BE197" s="1405">
        <f>BB197</f>
        <v/>
      </c>
      <c r="BF197" s="1400">
        <f>stayWB[[#This Row],[out]]-stayWB[[#This Row],[in]]</f>
        <v/>
      </c>
      <c r="BG197" s="1400">
        <f>IF(BB197&lt;&gt;"",BG196+1,BG196)</f>
        <v/>
      </c>
      <c r="BH197" s="1398" t="inlineStr">
        <is>
          <t>.</t>
        </is>
      </c>
      <c r="BI197" s="1402" t="inlineStr">
        <is>
          <t>USA</t>
        </is>
      </c>
      <c r="BJ197" s="1402" t="n">
        <v>2015</v>
      </c>
      <c r="BK197" s="1400">
        <f>BI197</f>
        <v/>
      </c>
      <c r="BL197" s="1409">
        <f>BJ197</f>
        <v/>
      </c>
      <c r="BM197" s="1378" t="inlineStr">
        <is>
          <t>.</t>
        </is>
      </c>
      <c r="BN197" s="1411" t="n"/>
      <c r="BO197" s="1400">
        <f>BN197</f>
        <v/>
      </c>
      <c r="BP197" s="1398" t="inlineStr">
        <is>
          <t>.</t>
        </is>
      </c>
      <c r="BQ197" s="1400">
        <f>IF(BR197&lt;&gt;"",BQ196+1,BQ196)</f>
        <v/>
      </c>
      <c r="BR197" s="1411" t="inlineStr">
        <is>
          <t>SP</t>
        </is>
      </c>
      <c r="BS197" s="1411" t="inlineStr">
        <is>
          <t>Bariloche</t>
        </is>
      </c>
      <c r="BT197" s="1412" t="inlineStr">
        <is>
          <t>SP-Bariloche</t>
        </is>
      </c>
      <c r="BU197" s="1412" t="n">
        <v>39709</v>
      </c>
      <c r="BV197" s="1398" t="inlineStr">
        <is>
          <t>.</t>
        </is>
      </c>
      <c r="BW197" s="1392" t="n"/>
      <c r="BX197" s="1392" t="n"/>
      <c r="BY197" s="1392" t="n"/>
      <c r="BZ197" s="1416" t="n"/>
      <c r="CA197" s="1392" t="n"/>
      <c r="CB197" s="1398" t="inlineStr">
        <is>
          <t>.</t>
        </is>
      </c>
      <c r="CC197" s="1400">
        <f>IF(CD197&lt;&gt;"",CC196+1,CC196)</f>
        <v/>
      </c>
      <c r="CD197" s="1411" t="inlineStr">
        <is>
          <t>Marcelo/Carignan</t>
        </is>
      </c>
      <c r="CE197" s="1412" t="n">
        <v>44694</v>
      </c>
      <c r="CF197" s="1412" t="n">
        <v>44695</v>
      </c>
      <c r="CG197" s="1415">
        <f>CF197-CE197</f>
        <v/>
      </c>
      <c r="CH197" s="1398" t="inlineStr">
        <is>
          <t>.</t>
        </is>
      </c>
      <c r="CI197" s="1392" t="n"/>
      <c r="CJ197" s="1392" t="n"/>
      <c r="CK197" s="1392" t="n"/>
      <c r="CL197" s="1392" t="n"/>
    </row>
    <row r="198">
      <c r="A198" s="5" t="inlineStr">
        <is>
          <t>.</t>
        </is>
      </c>
      <c r="B198" s="5" t="inlineStr">
        <is>
          <t>.</t>
        </is>
      </c>
      <c r="C198" s="1378">
        <f>IF(raw[[#This Row],[city]]="","-",IF(raw[[#This Row],[city]]="TODAY","-",C197+1))</f>
        <v/>
      </c>
      <c r="D198" s="1393" t="inlineStr">
        <is>
          <t>Rhodes</t>
        </is>
      </c>
      <c r="E198" s="1394" t="n">
        <v>32790</v>
      </c>
      <c r="F198" s="1394" t="n">
        <v>32790</v>
      </c>
      <c r="G198" s="1393" t="inlineStr">
        <is>
          <t>-</t>
        </is>
      </c>
      <c r="H198" s="1393">
        <f>H197</f>
        <v/>
      </c>
      <c r="I198" s="1393" t="inlineStr">
        <is>
          <t>-</t>
        </is>
      </c>
      <c r="J198" s="1393" t="inlineStr">
        <is>
          <t>-</t>
        </is>
      </c>
      <c r="K198" s="1395">
        <f>IF(raw[[#This Row],[city]]&lt;&gt;"",_xlfn.XLOOKUP($D198,ccc[city],ccc[prov],"-"),"-")</f>
        <v/>
      </c>
      <c r="L198" s="1395">
        <f>IF(raw[[#This Row],[city]]&lt;&gt;"",_xlfn.XLOOKUP($D198,ccc[city],ccc[ctry],"-"),"-")</f>
        <v/>
      </c>
      <c r="M198" s="1395">
        <f>IF(raw[[#This Row],[city]]&lt;&gt;"",_xlfn.XLOOKUP($D198,ccc[city],ccc[cont],"-"),"-")</f>
        <v/>
      </c>
      <c r="N198" s="1396">
        <f>IF(raw[[#This Row],[city]]="","-",IF(raw[[#This Row],[cont]]="B",raw[[#This Row],[cont]],"W"))</f>
        <v/>
      </c>
      <c r="O198" s="1397">
        <f>IF(raw[[#This Row],[out]]=0,0,IF(raw[[#This Row],[out]]=raw[[#This Row],[in]],0.01,raw[[#This Row],[out]]-raw[[#This Row],[in]]))</f>
        <v/>
      </c>
      <c r="P198" s="1397">
        <f>IF(raw[[#This Row],[in]]=0,0,MONTH(raw[[#This Row],[in]]))</f>
        <v/>
      </c>
      <c r="Q198" s="1397">
        <f>IF(raw[[#This Row],[in]]=0,0,YEAR(raw[[#This Row],[in]]))</f>
        <v/>
      </c>
      <c r="R198" s="1397">
        <f>INT(raw[[#This Row],[yr]]/10)*10</f>
        <v/>
      </c>
      <c r="S198" s="1395">
        <f>IF(raw[[#This Row],[city]]="","-",IF(raw[[#This Row],[city]]&lt;&gt;_xlfn.XLOOKUP(raw[[#This Row],[home]],homes[home],homes[city],"-"),1,0))</f>
        <v/>
      </c>
      <c r="T198" s="1398" t="inlineStr">
        <is>
          <t>.</t>
        </is>
      </c>
      <c r="U198" s="1399">
        <f>IF(raw[[#This Row],[wb]]="w",raw[[#This Row],[stay]]+U197,U197)</f>
        <v/>
      </c>
      <c r="V198" s="1400">
        <f>IF(raw[[#This Row],[out]]=0,V197,(raw[[#This Row],[out]]-E$5))</f>
        <v/>
      </c>
      <c r="W198" s="1401">
        <f>U198/V198</f>
        <v/>
      </c>
      <c r="X198" s="1378" t="inlineStr">
        <is>
          <t>.</t>
        </is>
      </c>
      <c r="Y198" s="1402">
        <f/>
        <v/>
      </c>
      <c r="Z198" s="1403">
        <f/>
        <v/>
      </c>
      <c r="AA198" s="1403">
        <f/>
        <v/>
      </c>
      <c r="AB198" s="1400">
        <f t="array" ref="AB198">_xlfn.LET(_xlpm.S,_xlfn.ANCHORARRAY($Y$4),_xlpm.r,ROWS(stayCity[[#Headers],[city]]:stayCity[[#This Row],[city]])-1,IF(_xlpm.r&lt;=ROWS(_xlpm.S),INDEX(_xlpm.S,_xlpm.r,1),""))</f>
        <v/>
      </c>
      <c r="AC198" s="1405">
        <f t="array" ref="AC198">_xlfn.LET(_xlpm.S,_xlfn.ANCHORARRAY($Y$4),_xlpm.r,ROWS(stayCity[[#Headers],[city]]:stayCity[[#This Row],[city]])-1,IF(_xlpm.r&lt;=ROWS(_xlpm.S),INDEX(_xlpm.S,_xlpm.r,2),""))</f>
        <v/>
      </c>
      <c r="AD198" s="1405">
        <f t="array" ref="AD198">_xlfn.LET(_xlpm.S,_xlfn.ANCHORARRAY($Y$4),_xlpm.r,ROWS(stayCity[[#Headers],[city]]:stayCity[[#This Row],[city]])-1,IF(_xlpm.r&lt;=ROWS(_xlpm.S),INDEX(_xlpm.S,_xlpm.r,3),""))</f>
        <v/>
      </c>
      <c r="AE198" s="1400">
        <f>IF(stayCity[[#This Row],[out]]&lt;&gt;"",stayCity[[#This Row],[out]]-stayCity[[#This Row],[in]],"-")</f>
        <v/>
      </c>
      <c r="AF198" s="1406">
        <f>IF(Y198="","-",YEAR(stayCity[[#This Row],[in]]))</f>
        <v/>
      </c>
      <c r="AG198" s="1398" t="inlineStr">
        <is>
          <t>.</t>
        </is>
      </c>
      <c r="AH198" s="1402">
        <f/>
        <v/>
      </c>
      <c r="AI198" s="1403">
        <f/>
        <v/>
      </c>
      <c r="AJ198" s="1403">
        <f/>
        <v/>
      </c>
      <c r="AK198" s="1400">
        <f>IF(AH198="","-",AH198)</f>
        <v/>
      </c>
      <c r="AL198" s="1405">
        <f>AI198</f>
        <v/>
      </c>
      <c r="AM198" s="1405">
        <f>AJ198</f>
        <v/>
      </c>
      <c r="AN198" s="1400">
        <f>stayCtry[[#This Row],[out]]-stayCtry[[#This Row],[in]]</f>
        <v/>
      </c>
      <c r="AO198" s="1406">
        <f>IF(AI198&lt;&gt;"",AO197+1,AO197)</f>
        <v/>
      </c>
      <c r="AP198" s="1398" t="inlineStr">
        <is>
          <t>.</t>
        </is>
      </c>
      <c r="AQ198" s="1402" t="n"/>
      <c r="AR198" s="1403" t="n"/>
      <c r="AS198" s="1403" t="n"/>
      <c r="AT198" s="1400">
        <f>AQ198</f>
        <v/>
      </c>
      <c r="AU198" s="1405">
        <f>AR198</f>
        <v/>
      </c>
      <c r="AV198" s="1405">
        <f>AS198</f>
        <v/>
      </c>
      <c r="AW198" s="1400">
        <f>stayCont[[#This Row],[out]]-stayCont[[#This Row],[in]]</f>
        <v/>
      </c>
      <c r="AX198" s="1406">
        <f>IF(AR198&lt;&gt;"",AX197+1,AX197)</f>
        <v/>
      </c>
      <c r="AY198" s="1398" t="inlineStr">
        <is>
          <t>.</t>
        </is>
      </c>
      <c r="AZ198" s="1402" t="n"/>
      <c r="BA198" s="1403" t="n"/>
      <c r="BB198" s="1403" t="n"/>
      <c r="BC198" s="1405">
        <f>AZ198</f>
        <v/>
      </c>
      <c r="BD198" s="1405">
        <f>BA198</f>
        <v/>
      </c>
      <c r="BE198" s="1405">
        <f>BB198</f>
        <v/>
      </c>
      <c r="BF198" s="1400">
        <f>stayWB[[#This Row],[out]]-stayWB[[#This Row],[in]]</f>
        <v/>
      </c>
      <c r="BG198" s="1400">
        <f>IF(BB198&lt;&gt;"",BG197+1,BG197)</f>
        <v/>
      </c>
      <c r="BH198" s="1398" t="inlineStr">
        <is>
          <t>.</t>
        </is>
      </c>
      <c r="BI198" s="1402" t="inlineStr">
        <is>
          <t>CAN</t>
        </is>
      </c>
      <c r="BJ198" s="1402" t="n">
        <v>2015</v>
      </c>
      <c r="BK198" s="1400">
        <f>BI198</f>
        <v/>
      </c>
      <c r="BL198" s="1409">
        <f>BJ198</f>
        <v/>
      </c>
      <c r="BM198" s="1378" t="inlineStr">
        <is>
          <t>.</t>
        </is>
      </c>
      <c r="BN198" s="1411" t="n"/>
      <c r="BO198" s="1400">
        <f>BN198</f>
        <v/>
      </c>
      <c r="BP198" s="1398" t="inlineStr">
        <is>
          <t>.</t>
        </is>
      </c>
      <c r="BQ198" s="1400">
        <f>IF(BR198&lt;&gt;"",BQ197+1,BQ197)</f>
        <v/>
      </c>
      <c r="BR198" s="1411" t="inlineStr">
        <is>
          <t>Bariloche</t>
        </is>
      </c>
      <c r="BS198" s="1411" t="inlineStr">
        <is>
          <t>SP</t>
        </is>
      </c>
      <c r="BT198" s="1412" t="inlineStr">
        <is>
          <t>Bariloche-SP</t>
        </is>
      </c>
      <c r="BU198" s="1412" t="n">
        <v>39717</v>
      </c>
      <c r="BV198" s="1398" t="inlineStr">
        <is>
          <t>.</t>
        </is>
      </c>
      <c r="BW198" s="1392" t="n"/>
      <c r="BX198" s="1392" t="n"/>
      <c r="BY198" s="1392" t="n"/>
      <c r="BZ198" s="1416" t="n"/>
      <c r="CA198" s="1392" t="n"/>
      <c r="CB198" s="1398" t="inlineStr">
        <is>
          <t>.</t>
        </is>
      </c>
      <c r="CC198" s="1400">
        <f>IF(CD198&lt;&gt;"",CC197+1,CC197)</f>
        <v/>
      </c>
      <c r="CD198" s="1411" t="inlineStr">
        <is>
          <t>Gaspé</t>
        </is>
      </c>
      <c r="CE198" s="1412" t="n">
        <v>44697</v>
      </c>
      <c r="CF198" s="1412" t="n">
        <v>44699</v>
      </c>
      <c r="CG198" s="1415">
        <f>CF198-CE198</f>
        <v/>
      </c>
      <c r="CH198" s="1398" t="inlineStr">
        <is>
          <t>.</t>
        </is>
      </c>
      <c r="CI198" s="1392" t="n"/>
      <c r="CJ198" s="1392" t="n"/>
      <c r="CK198" s="1392" t="n"/>
      <c r="CL198" s="1392" t="n"/>
    </row>
    <row r="199">
      <c r="A199" s="5" t="inlineStr">
        <is>
          <t>.</t>
        </is>
      </c>
      <c r="B199" s="5" t="inlineStr">
        <is>
          <t>.</t>
        </is>
      </c>
      <c r="C199" s="1378">
        <f>IF(raw[[#This Row],[city]]="","-",IF(raw[[#This Row],[city]]="TODAY","-",C198+1))</f>
        <v/>
      </c>
      <c r="D199" s="1393" t="inlineStr">
        <is>
          <t>Ephesus</t>
        </is>
      </c>
      <c r="E199" s="1394" t="n">
        <v>32791</v>
      </c>
      <c r="F199" s="1394" t="n">
        <v>32791</v>
      </c>
      <c r="G199" s="1393" t="inlineStr">
        <is>
          <t>-</t>
        </is>
      </c>
      <c r="H199" s="1393">
        <f>H198</f>
        <v/>
      </c>
      <c r="I199" s="1393" t="inlineStr">
        <is>
          <t>-</t>
        </is>
      </c>
      <c r="J199" s="1393" t="inlineStr">
        <is>
          <t>-</t>
        </is>
      </c>
      <c r="K199" s="1395">
        <f>IF(raw[[#This Row],[city]]&lt;&gt;"",_xlfn.XLOOKUP($D199,ccc[city],ccc[prov],"-"),"-")</f>
        <v/>
      </c>
      <c r="L199" s="1395">
        <f>IF(raw[[#This Row],[city]]&lt;&gt;"",_xlfn.XLOOKUP($D199,ccc[city],ccc[ctry],"-"),"-")</f>
        <v/>
      </c>
      <c r="M199" s="1395">
        <f>IF(raw[[#This Row],[city]]&lt;&gt;"",_xlfn.XLOOKUP($D199,ccc[city],ccc[cont],"-"),"-")</f>
        <v/>
      </c>
      <c r="N199" s="1396">
        <f>IF(raw[[#This Row],[city]]="","-",IF(raw[[#This Row],[cont]]="B",raw[[#This Row],[cont]],"W"))</f>
        <v/>
      </c>
      <c r="O199" s="1397">
        <f>IF(raw[[#This Row],[out]]=0,0,IF(raw[[#This Row],[out]]=raw[[#This Row],[in]],0.01,raw[[#This Row],[out]]-raw[[#This Row],[in]]))</f>
        <v/>
      </c>
      <c r="P199" s="1397">
        <f>IF(raw[[#This Row],[in]]=0,0,MONTH(raw[[#This Row],[in]]))</f>
        <v/>
      </c>
      <c r="Q199" s="1397">
        <f>IF(raw[[#This Row],[in]]=0,0,YEAR(raw[[#This Row],[in]]))</f>
        <v/>
      </c>
      <c r="R199" s="1397">
        <f>INT(raw[[#This Row],[yr]]/10)*10</f>
        <v/>
      </c>
      <c r="S199" s="1395">
        <f>IF(raw[[#This Row],[city]]="","-",IF(raw[[#This Row],[city]]&lt;&gt;_xlfn.XLOOKUP(raw[[#This Row],[home]],homes[home],homes[city],"-"),1,0))</f>
        <v/>
      </c>
      <c r="T199" s="1398" t="inlineStr">
        <is>
          <t>.</t>
        </is>
      </c>
      <c r="U199" s="1399">
        <f>IF(raw[[#This Row],[wb]]="w",raw[[#This Row],[stay]]+U198,U198)</f>
        <v/>
      </c>
      <c r="V199" s="1400">
        <f>IF(raw[[#This Row],[out]]=0,V198,(raw[[#This Row],[out]]-E$5))</f>
        <v/>
      </c>
      <c r="W199" s="1401">
        <f>U199/V199</f>
        <v/>
      </c>
      <c r="X199" s="1378" t="inlineStr">
        <is>
          <t>.</t>
        </is>
      </c>
      <c r="Y199" s="1402">
        <f/>
        <v/>
      </c>
      <c r="Z199" s="1403">
        <f/>
        <v/>
      </c>
      <c r="AA199" s="1403">
        <f/>
        <v/>
      </c>
      <c r="AB199" s="1400">
        <f t="array" ref="AB199">_xlfn.LET(_xlpm.S,_xlfn.ANCHORARRAY($Y$4),_xlpm.r,ROWS(stayCity[[#Headers],[city]]:stayCity[[#This Row],[city]])-1,IF(_xlpm.r&lt;=ROWS(_xlpm.S),INDEX(_xlpm.S,_xlpm.r,1),""))</f>
        <v/>
      </c>
      <c r="AC199" s="1405">
        <f t="array" ref="AC199">_xlfn.LET(_xlpm.S,_xlfn.ANCHORARRAY($Y$4),_xlpm.r,ROWS(stayCity[[#Headers],[city]]:stayCity[[#This Row],[city]])-1,IF(_xlpm.r&lt;=ROWS(_xlpm.S),INDEX(_xlpm.S,_xlpm.r,2),""))</f>
        <v/>
      </c>
      <c r="AD199" s="1405">
        <f t="array" ref="AD199">_xlfn.LET(_xlpm.S,_xlfn.ANCHORARRAY($Y$4),_xlpm.r,ROWS(stayCity[[#Headers],[city]]:stayCity[[#This Row],[city]])-1,IF(_xlpm.r&lt;=ROWS(_xlpm.S),INDEX(_xlpm.S,_xlpm.r,3),""))</f>
        <v/>
      </c>
      <c r="AE199" s="1400">
        <f>IF(stayCity[[#This Row],[out]]&lt;&gt;"",stayCity[[#This Row],[out]]-stayCity[[#This Row],[in]],"-")</f>
        <v/>
      </c>
      <c r="AF199" s="1406">
        <f>IF(Y199="","-",YEAR(stayCity[[#This Row],[in]]))</f>
        <v/>
      </c>
      <c r="AG199" s="1398" t="inlineStr">
        <is>
          <t>.</t>
        </is>
      </c>
      <c r="AH199" s="1402">
        <f/>
        <v/>
      </c>
      <c r="AI199" s="1403">
        <f/>
        <v/>
      </c>
      <c r="AJ199" s="1403">
        <f/>
        <v/>
      </c>
      <c r="AK199" s="1400">
        <f>IF(AH199="","-",AH199)</f>
        <v/>
      </c>
      <c r="AL199" s="1405">
        <f>AI199</f>
        <v/>
      </c>
      <c r="AM199" s="1405">
        <f>AJ199</f>
        <v/>
      </c>
      <c r="AN199" s="1400">
        <f>stayCtry[[#This Row],[out]]-stayCtry[[#This Row],[in]]</f>
        <v/>
      </c>
      <c r="AO199" s="1406">
        <f>IF(AI199&lt;&gt;"",AO198+1,AO198)</f>
        <v/>
      </c>
      <c r="AP199" s="1398" t="inlineStr">
        <is>
          <t>.</t>
        </is>
      </c>
      <c r="AQ199" s="1402" t="n"/>
      <c r="AR199" s="1403" t="n"/>
      <c r="AS199" s="1403" t="n"/>
      <c r="AT199" s="1400">
        <f>AQ199</f>
        <v/>
      </c>
      <c r="AU199" s="1405">
        <f>AR199</f>
        <v/>
      </c>
      <c r="AV199" s="1405">
        <f>AS199</f>
        <v/>
      </c>
      <c r="AW199" s="1400">
        <f>stayCont[[#This Row],[out]]-stayCont[[#This Row],[in]]</f>
        <v/>
      </c>
      <c r="AX199" s="1406">
        <f>IF(AR199&lt;&gt;"",AX198+1,AX198)</f>
        <v/>
      </c>
      <c r="AY199" s="1398" t="inlineStr">
        <is>
          <t>.</t>
        </is>
      </c>
      <c r="AZ199" s="1402" t="n"/>
      <c r="BA199" s="1403" t="n"/>
      <c r="BB199" s="1403" t="n"/>
      <c r="BC199" s="1405">
        <f>AZ199</f>
        <v/>
      </c>
      <c r="BD199" s="1405">
        <f>BA199</f>
        <v/>
      </c>
      <c r="BE199" s="1405">
        <f>BB199</f>
        <v/>
      </c>
      <c r="BF199" s="1400">
        <f>stayWB[[#This Row],[out]]-stayWB[[#This Row],[in]]</f>
        <v/>
      </c>
      <c r="BG199" s="1400">
        <f>IF(BB199&lt;&gt;"",BG198+1,BG198)</f>
        <v/>
      </c>
      <c r="BH199" s="1398" t="inlineStr">
        <is>
          <t>.</t>
        </is>
      </c>
      <c r="BI199" s="1402" t="inlineStr">
        <is>
          <t>USA</t>
        </is>
      </c>
      <c r="BJ199" s="1402" t="n">
        <v>2015</v>
      </c>
      <c r="BK199" s="1400">
        <f>BI199</f>
        <v/>
      </c>
      <c r="BL199" s="1409">
        <f>BJ199</f>
        <v/>
      </c>
      <c r="BM199" s="1378" t="inlineStr">
        <is>
          <t>.</t>
        </is>
      </c>
      <c r="BN199" s="1411" t="n"/>
      <c r="BO199" s="1400">
        <f>BN199</f>
        <v/>
      </c>
      <c r="BP199" s="1398" t="inlineStr">
        <is>
          <t>.</t>
        </is>
      </c>
      <c r="BQ199" s="1400">
        <f>IF(BR199&lt;&gt;"",BQ198+1,BQ198)</f>
        <v/>
      </c>
      <c r="BR199" s="1411" t="inlineStr">
        <is>
          <t>SP</t>
        </is>
      </c>
      <c r="BS199" s="1411" t="inlineStr">
        <is>
          <t>SSA</t>
        </is>
      </c>
      <c r="BT199" s="1412" t="inlineStr">
        <is>
          <t>SP-SSA</t>
        </is>
      </c>
      <c r="BU199" s="1412" t="n">
        <v>39717</v>
      </c>
      <c r="BV199" s="1398" t="inlineStr">
        <is>
          <t>.</t>
        </is>
      </c>
      <c r="BW199" s="1392" t="n"/>
      <c r="BX199" s="1392" t="n"/>
      <c r="BY199" s="1392" t="n"/>
      <c r="BZ199" s="1416" t="n"/>
      <c r="CA199" s="1392" t="n"/>
      <c r="CB199" s="1398" t="inlineStr">
        <is>
          <t>.</t>
        </is>
      </c>
      <c r="CC199" s="1400">
        <f>IF(CD199&lt;&gt;"",CC198+1,CC198)</f>
        <v/>
      </c>
      <c r="CD199" s="1411" t="inlineStr">
        <is>
          <t>Marcelo/Carignan</t>
        </is>
      </c>
      <c r="CE199" s="1412" t="n">
        <v>44722</v>
      </c>
      <c r="CF199" s="1412" t="n">
        <v>44723</v>
      </c>
      <c r="CG199" s="1415">
        <f>CF199-CE199</f>
        <v/>
      </c>
      <c r="CH199" s="1398" t="inlineStr">
        <is>
          <t>.</t>
        </is>
      </c>
      <c r="CI199" s="1392" t="n"/>
      <c r="CJ199" s="1392" t="n"/>
      <c r="CK199" s="1392" t="n"/>
      <c r="CL199" s="1392" t="n"/>
    </row>
    <row r="200">
      <c r="A200" s="5" t="inlineStr">
        <is>
          <t>.</t>
        </is>
      </c>
      <c r="B200" s="5" t="inlineStr">
        <is>
          <t>.</t>
        </is>
      </c>
      <c r="C200" s="1378">
        <f>IF(raw[[#This Row],[city]]="","-",IF(raw[[#This Row],[city]]="TODAY","-",C199+1))</f>
        <v/>
      </c>
      <c r="D200" s="1393" t="inlineStr">
        <is>
          <t>Instambul-A</t>
        </is>
      </c>
      <c r="E200" s="1394" t="n">
        <v>32792</v>
      </c>
      <c r="F200" s="1394" t="n">
        <v>32792</v>
      </c>
      <c r="G200" s="1393" t="inlineStr">
        <is>
          <t>-</t>
        </is>
      </c>
      <c r="H200" s="1393">
        <f>H199</f>
        <v/>
      </c>
      <c r="I200" s="1393" t="inlineStr">
        <is>
          <t>-</t>
        </is>
      </c>
      <c r="J200" s="1393" t="inlineStr">
        <is>
          <t>-</t>
        </is>
      </c>
      <c r="K200" s="1395">
        <f>IF(raw[[#This Row],[city]]&lt;&gt;"",_xlfn.XLOOKUP($D200,ccc[city],ccc[prov],"-"),"-")</f>
        <v/>
      </c>
      <c r="L200" s="1395">
        <f>IF(raw[[#This Row],[city]]&lt;&gt;"",_xlfn.XLOOKUP($D200,ccc[city],ccc[ctry],"-"),"-")</f>
        <v/>
      </c>
      <c r="M200" s="1395">
        <f>IF(raw[[#This Row],[city]]&lt;&gt;"",_xlfn.XLOOKUP($D200,ccc[city],ccc[cont],"-"),"-")</f>
        <v/>
      </c>
      <c r="N200" s="1396">
        <f>IF(raw[[#This Row],[city]]="","-",IF(raw[[#This Row],[cont]]="B",raw[[#This Row],[cont]],"W"))</f>
        <v/>
      </c>
      <c r="O200" s="1397">
        <f>IF(raw[[#This Row],[out]]=0,0,IF(raw[[#This Row],[out]]=raw[[#This Row],[in]],0.01,raw[[#This Row],[out]]-raw[[#This Row],[in]]))</f>
        <v/>
      </c>
      <c r="P200" s="1397">
        <f>IF(raw[[#This Row],[in]]=0,0,MONTH(raw[[#This Row],[in]]))</f>
        <v/>
      </c>
      <c r="Q200" s="1397">
        <f>IF(raw[[#This Row],[in]]=0,0,YEAR(raw[[#This Row],[in]]))</f>
        <v/>
      </c>
      <c r="R200" s="1397">
        <f>INT(raw[[#This Row],[yr]]/10)*10</f>
        <v/>
      </c>
      <c r="S200" s="1395">
        <f>IF(raw[[#This Row],[city]]="","-",IF(raw[[#This Row],[city]]&lt;&gt;_xlfn.XLOOKUP(raw[[#This Row],[home]],homes[home],homes[city],"-"),1,0))</f>
        <v/>
      </c>
      <c r="T200" s="1398" t="inlineStr">
        <is>
          <t>.</t>
        </is>
      </c>
      <c r="U200" s="1399">
        <f>IF(raw[[#This Row],[wb]]="w",raw[[#This Row],[stay]]+U199,U199)</f>
        <v/>
      </c>
      <c r="V200" s="1400">
        <f>IF(raw[[#This Row],[out]]=0,V199,(raw[[#This Row],[out]]-E$5))</f>
        <v/>
      </c>
      <c r="W200" s="1401">
        <f>U200/V200</f>
        <v/>
      </c>
      <c r="X200" s="1378" t="inlineStr">
        <is>
          <t>.</t>
        </is>
      </c>
      <c r="Y200" s="1402">
        <f/>
        <v/>
      </c>
      <c r="Z200" s="1403">
        <f/>
        <v/>
      </c>
      <c r="AA200" s="1403">
        <f/>
        <v/>
      </c>
      <c r="AB200" s="1400">
        <f t="array" ref="AB200">_xlfn.LET(_xlpm.S,_xlfn.ANCHORARRAY($Y$4),_xlpm.r,ROWS(stayCity[[#Headers],[city]]:stayCity[[#This Row],[city]])-1,IF(_xlpm.r&lt;=ROWS(_xlpm.S),INDEX(_xlpm.S,_xlpm.r,1),""))</f>
        <v/>
      </c>
      <c r="AC200" s="1405">
        <f t="array" ref="AC200">_xlfn.LET(_xlpm.S,_xlfn.ANCHORARRAY($Y$4),_xlpm.r,ROWS(stayCity[[#Headers],[city]]:stayCity[[#This Row],[city]])-1,IF(_xlpm.r&lt;=ROWS(_xlpm.S),INDEX(_xlpm.S,_xlpm.r,2),""))</f>
        <v/>
      </c>
      <c r="AD200" s="1405">
        <f t="array" ref="AD200">_xlfn.LET(_xlpm.S,_xlfn.ANCHORARRAY($Y$4),_xlpm.r,ROWS(stayCity[[#Headers],[city]]:stayCity[[#This Row],[city]])-1,IF(_xlpm.r&lt;=ROWS(_xlpm.S),INDEX(_xlpm.S,_xlpm.r,3),""))</f>
        <v/>
      </c>
      <c r="AE200" s="1400">
        <f>IF(stayCity[[#This Row],[out]]&lt;&gt;"",stayCity[[#This Row],[out]]-stayCity[[#This Row],[in]],"-")</f>
        <v/>
      </c>
      <c r="AF200" s="1406">
        <f>IF(Y200="","-",YEAR(stayCity[[#This Row],[in]]))</f>
        <v/>
      </c>
      <c r="AG200" s="1398" t="inlineStr">
        <is>
          <t>.</t>
        </is>
      </c>
      <c r="AH200" s="1402">
        <f/>
        <v/>
      </c>
      <c r="AI200" s="1403">
        <f/>
        <v/>
      </c>
      <c r="AJ200" s="1403">
        <f/>
        <v/>
      </c>
      <c r="AK200" s="1400">
        <f>IF(AH200="","-",AH200)</f>
        <v/>
      </c>
      <c r="AL200" s="1405">
        <f>AI200</f>
        <v/>
      </c>
      <c r="AM200" s="1405">
        <f>AJ200</f>
        <v/>
      </c>
      <c r="AN200" s="1400">
        <f>stayCtry[[#This Row],[out]]-stayCtry[[#This Row],[in]]</f>
        <v/>
      </c>
      <c r="AO200" s="1406">
        <f>IF(AI200&lt;&gt;"",AO199+1,AO199)</f>
        <v/>
      </c>
      <c r="AP200" s="1398" t="inlineStr">
        <is>
          <t>.</t>
        </is>
      </c>
      <c r="AQ200" s="1402" t="n"/>
      <c r="AR200" s="1403" t="n"/>
      <c r="AS200" s="1403" t="n"/>
      <c r="AT200" s="1400">
        <f>AQ200</f>
        <v/>
      </c>
      <c r="AU200" s="1405">
        <f>AR200</f>
        <v/>
      </c>
      <c r="AV200" s="1405">
        <f>AS200</f>
        <v/>
      </c>
      <c r="AW200" s="1400">
        <f>stayCont[[#This Row],[out]]-stayCont[[#This Row],[in]]</f>
        <v/>
      </c>
      <c r="AX200" s="1406">
        <f>IF(AR200&lt;&gt;"",AX199+1,AX199)</f>
        <v/>
      </c>
      <c r="AY200" s="1398" t="inlineStr">
        <is>
          <t>.</t>
        </is>
      </c>
      <c r="AZ200" s="1402" t="n"/>
      <c r="BA200" s="1403" t="n"/>
      <c r="BB200" s="1403" t="n"/>
      <c r="BC200" s="1405">
        <f>AZ200</f>
        <v/>
      </c>
      <c r="BD200" s="1405">
        <f>BA200</f>
        <v/>
      </c>
      <c r="BE200" s="1405">
        <f>BB200</f>
        <v/>
      </c>
      <c r="BF200" s="1400">
        <f>stayWB[[#This Row],[out]]-stayWB[[#This Row],[in]]</f>
        <v/>
      </c>
      <c r="BG200" s="1400">
        <f>IF(BB200&lt;&gt;"",BG199+1,BG199)</f>
        <v/>
      </c>
      <c r="BH200" s="1398" t="inlineStr">
        <is>
          <t>.</t>
        </is>
      </c>
      <c r="BI200" s="1402" t="inlineStr">
        <is>
          <t>CAN</t>
        </is>
      </c>
      <c r="BJ200" s="1402" t="n">
        <v>2015</v>
      </c>
      <c r="BK200" s="1400">
        <f>BI200</f>
        <v/>
      </c>
      <c r="BL200" s="1409">
        <f>BJ200</f>
        <v/>
      </c>
      <c r="BM200" s="1378" t="inlineStr">
        <is>
          <t>.</t>
        </is>
      </c>
      <c r="BN200" s="1411" t="n"/>
      <c r="BO200" s="1400">
        <f>BN200</f>
        <v/>
      </c>
      <c r="BP200" s="1398" t="inlineStr">
        <is>
          <t>.</t>
        </is>
      </c>
      <c r="BQ200" s="1400">
        <f>IF(BR200&lt;&gt;"",BQ199+1,BQ199)</f>
        <v/>
      </c>
      <c r="BR200" s="1411" t="inlineStr">
        <is>
          <t>SSA</t>
        </is>
      </c>
      <c r="BS200" s="1411" t="inlineStr">
        <is>
          <t>Brasilia</t>
        </is>
      </c>
      <c r="BT200" s="1412" t="inlineStr">
        <is>
          <t>SSA-Brasilia</t>
        </is>
      </c>
      <c r="BU200" s="1412" t="n">
        <v>39730</v>
      </c>
      <c r="BV200" s="1398" t="inlineStr">
        <is>
          <t>.</t>
        </is>
      </c>
      <c r="BW200" s="1392" t="n"/>
      <c r="BX200" s="1392" t="n"/>
      <c r="BY200" s="1392" t="n"/>
      <c r="BZ200" s="1416" t="n"/>
      <c r="CA200" s="1392" t="n"/>
      <c r="CB200" s="1398" t="inlineStr">
        <is>
          <t>.</t>
        </is>
      </c>
      <c r="CC200" s="1400">
        <f>IF(CD200&lt;&gt;"",CC199+1,CC199)</f>
        <v/>
      </c>
      <c r="CD200" s="1411" t="inlineStr">
        <is>
          <t>Bike Trip</t>
        </is>
      </c>
      <c r="CE200" s="1412" t="n">
        <v>44736</v>
      </c>
      <c r="CF200" s="1412" t="n">
        <v>44757</v>
      </c>
      <c r="CG200" s="1415">
        <f>CF200-CE200</f>
        <v/>
      </c>
      <c r="CH200" s="1398" t="inlineStr">
        <is>
          <t>.</t>
        </is>
      </c>
      <c r="CI200" s="1392" t="n"/>
      <c r="CJ200" s="1392" t="n"/>
      <c r="CK200" s="1392" t="n"/>
      <c r="CL200" s="1392" t="n"/>
    </row>
    <row r="201">
      <c r="A201" s="5" t="inlineStr">
        <is>
          <t>.</t>
        </is>
      </c>
      <c r="B201" s="5" t="inlineStr">
        <is>
          <t>.</t>
        </is>
      </c>
      <c r="C201" s="1378">
        <f>IF(raw[[#This Row],[city]]="","-",IF(raw[[#This Row],[city]]="TODAY","-",C200+1))</f>
        <v/>
      </c>
      <c r="D201" s="1393" t="inlineStr">
        <is>
          <t>Instambul-E</t>
        </is>
      </c>
      <c r="E201" s="1394" t="n">
        <v>32792</v>
      </c>
      <c r="F201" s="1394" t="n">
        <v>32792</v>
      </c>
      <c r="G201" s="1393" t="inlineStr">
        <is>
          <t>-</t>
        </is>
      </c>
      <c r="H201" s="1393">
        <f>H200</f>
        <v/>
      </c>
      <c r="I201" s="1393" t="inlineStr">
        <is>
          <t>-</t>
        </is>
      </c>
      <c r="J201" s="1393" t="inlineStr">
        <is>
          <t>-</t>
        </is>
      </c>
      <c r="K201" s="1395">
        <f>IF(raw[[#This Row],[city]]&lt;&gt;"",_xlfn.XLOOKUP($D201,ccc[city],ccc[prov],"-"),"-")</f>
        <v/>
      </c>
      <c r="L201" s="1395">
        <f>IF(raw[[#This Row],[city]]&lt;&gt;"",_xlfn.XLOOKUP($D201,ccc[city],ccc[ctry],"-"),"-")</f>
        <v/>
      </c>
      <c r="M201" s="1395">
        <f>IF(raw[[#This Row],[city]]&lt;&gt;"",_xlfn.XLOOKUP($D201,ccc[city],ccc[cont],"-"),"-")</f>
        <v/>
      </c>
      <c r="N201" s="1396">
        <f>IF(raw[[#This Row],[city]]="","-",IF(raw[[#This Row],[cont]]="B",raw[[#This Row],[cont]],"W"))</f>
        <v/>
      </c>
      <c r="O201" s="1397">
        <f>IF(raw[[#This Row],[out]]=0,0,IF(raw[[#This Row],[out]]=raw[[#This Row],[in]],0.01,raw[[#This Row],[out]]-raw[[#This Row],[in]]))</f>
        <v/>
      </c>
      <c r="P201" s="1397">
        <f>IF(raw[[#This Row],[in]]=0,0,MONTH(raw[[#This Row],[in]]))</f>
        <v/>
      </c>
      <c r="Q201" s="1397">
        <f>IF(raw[[#This Row],[in]]=0,0,YEAR(raw[[#This Row],[in]]))</f>
        <v/>
      </c>
      <c r="R201" s="1397">
        <f>INT(raw[[#This Row],[yr]]/10)*10</f>
        <v/>
      </c>
      <c r="S201" s="1395">
        <f>IF(raw[[#This Row],[city]]="","-",IF(raw[[#This Row],[city]]&lt;&gt;_xlfn.XLOOKUP(raw[[#This Row],[home]],homes[home],homes[city],"-"),1,0))</f>
        <v/>
      </c>
      <c r="T201" s="1398" t="inlineStr">
        <is>
          <t>.</t>
        </is>
      </c>
      <c r="U201" s="1399">
        <f>IF(raw[[#This Row],[wb]]="w",raw[[#This Row],[stay]]+U200,U200)</f>
        <v/>
      </c>
      <c r="V201" s="1400">
        <f>IF(raw[[#This Row],[out]]=0,V200,(raw[[#This Row],[out]]-E$5))</f>
        <v/>
      </c>
      <c r="W201" s="1401">
        <f>U201/V201</f>
        <v/>
      </c>
      <c r="X201" s="1378" t="inlineStr">
        <is>
          <t>.</t>
        </is>
      </c>
      <c r="Y201" s="1402">
        <f/>
        <v/>
      </c>
      <c r="Z201" s="1403">
        <f/>
        <v/>
      </c>
      <c r="AA201" s="1403">
        <f/>
        <v/>
      </c>
      <c r="AB201" s="1400">
        <f t="array" ref="AB201">_xlfn.LET(_xlpm.S,_xlfn.ANCHORARRAY($Y$4),_xlpm.r,ROWS(stayCity[[#Headers],[city]]:stayCity[[#This Row],[city]])-1,IF(_xlpm.r&lt;=ROWS(_xlpm.S),INDEX(_xlpm.S,_xlpm.r,1),""))</f>
        <v/>
      </c>
      <c r="AC201" s="1405">
        <f t="array" ref="AC201">_xlfn.LET(_xlpm.S,_xlfn.ANCHORARRAY($Y$4),_xlpm.r,ROWS(stayCity[[#Headers],[city]]:stayCity[[#This Row],[city]])-1,IF(_xlpm.r&lt;=ROWS(_xlpm.S),INDEX(_xlpm.S,_xlpm.r,2),""))</f>
        <v/>
      </c>
      <c r="AD201" s="1405">
        <f t="array" ref="AD201">_xlfn.LET(_xlpm.S,_xlfn.ANCHORARRAY($Y$4),_xlpm.r,ROWS(stayCity[[#Headers],[city]]:stayCity[[#This Row],[city]])-1,IF(_xlpm.r&lt;=ROWS(_xlpm.S),INDEX(_xlpm.S,_xlpm.r,3),""))</f>
        <v/>
      </c>
      <c r="AE201" s="1400">
        <f>IF(stayCity[[#This Row],[out]]&lt;&gt;"",stayCity[[#This Row],[out]]-stayCity[[#This Row],[in]],"-")</f>
        <v/>
      </c>
      <c r="AF201" s="1406">
        <f>IF(Y201="","-",YEAR(stayCity[[#This Row],[in]]))</f>
        <v/>
      </c>
      <c r="AG201" s="1398" t="inlineStr">
        <is>
          <t>.</t>
        </is>
      </c>
      <c r="AH201" s="1402">
        <f/>
        <v/>
      </c>
      <c r="AI201" s="1403">
        <f/>
        <v/>
      </c>
      <c r="AJ201" s="1403">
        <f/>
        <v/>
      </c>
      <c r="AK201" s="1400">
        <f>IF(AH201="","-",AH201)</f>
        <v/>
      </c>
      <c r="AL201" s="1405">
        <f>AI201</f>
        <v/>
      </c>
      <c r="AM201" s="1405">
        <f>AJ201</f>
        <v/>
      </c>
      <c r="AN201" s="1400">
        <f>stayCtry[[#This Row],[out]]-stayCtry[[#This Row],[in]]</f>
        <v/>
      </c>
      <c r="AO201" s="1406">
        <f>IF(AI201&lt;&gt;"",AO200+1,AO200)</f>
        <v/>
      </c>
      <c r="AP201" s="1398" t="inlineStr">
        <is>
          <t>.</t>
        </is>
      </c>
      <c r="AQ201" s="1402" t="n"/>
      <c r="AR201" s="1403" t="n"/>
      <c r="AS201" s="1403" t="n"/>
      <c r="AT201" s="1400">
        <f>AQ201</f>
        <v/>
      </c>
      <c r="AU201" s="1405">
        <f>AR201</f>
        <v/>
      </c>
      <c r="AV201" s="1405">
        <f>AS201</f>
        <v/>
      </c>
      <c r="AW201" s="1400">
        <f>stayCont[[#This Row],[out]]-stayCont[[#This Row],[in]]</f>
        <v/>
      </c>
      <c r="AX201" s="1406">
        <f>IF(AR201&lt;&gt;"",AX200+1,AX200)</f>
        <v/>
      </c>
      <c r="AY201" s="1398" t="inlineStr">
        <is>
          <t>.</t>
        </is>
      </c>
      <c r="AZ201" s="1402" t="n"/>
      <c r="BA201" s="1403" t="n"/>
      <c r="BB201" s="1403" t="n"/>
      <c r="BC201" s="1405">
        <f>AZ201</f>
        <v/>
      </c>
      <c r="BD201" s="1405">
        <f>BA201</f>
        <v/>
      </c>
      <c r="BE201" s="1405">
        <f>BB201</f>
        <v/>
      </c>
      <c r="BF201" s="1400">
        <f>stayWB[[#This Row],[out]]-stayWB[[#This Row],[in]]</f>
        <v/>
      </c>
      <c r="BG201" s="1400">
        <f>IF(BB201&lt;&gt;"",BG200+1,BG200)</f>
        <v/>
      </c>
      <c r="BH201" s="1398" t="inlineStr">
        <is>
          <t>.</t>
        </is>
      </c>
      <c r="BI201" s="1402" t="inlineStr">
        <is>
          <t>USA</t>
        </is>
      </c>
      <c r="BJ201" s="1402" t="n">
        <v>2016</v>
      </c>
      <c r="BK201" s="1400">
        <f>BI201</f>
        <v/>
      </c>
      <c r="BL201" s="1409">
        <f>BJ201</f>
        <v/>
      </c>
      <c r="BM201" s="1378" t="inlineStr">
        <is>
          <t>.</t>
        </is>
      </c>
      <c r="BN201" s="1411" t="n"/>
      <c r="BO201" s="1400">
        <f>BN201</f>
        <v/>
      </c>
      <c r="BP201" s="1398" t="inlineStr">
        <is>
          <t>.</t>
        </is>
      </c>
      <c r="BQ201" s="1400">
        <f>IF(BR201&lt;&gt;"",BQ200+1,BQ200)</f>
        <v/>
      </c>
      <c r="BR201" s="1411" t="inlineStr">
        <is>
          <t>Brasilia</t>
        </is>
      </c>
      <c r="BS201" s="1411" t="inlineStr">
        <is>
          <t>Rio</t>
        </is>
      </c>
      <c r="BT201" s="1412" t="inlineStr">
        <is>
          <t>Brasilia-Rio</t>
        </is>
      </c>
      <c r="BU201" s="1412" t="n">
        <v>39730</v>
      </c>
      <c r="BV201" s="1398" t="inlineStr">
        <is>
          <t>.</t>
        </is>
      </c>
      <c r="BW201" s="1392" t="n"/>
      <c r="BX201" s="1392" t="n"/>
      <c r="BY201" s="1392" t="n"/>
      <c r="BZ201" s="1416" t="n"/>
      <c r="CA201" s="1392" t="n"/>
      <c r="CB201" s="1398" t="inlineStr">
        <is>
          <t>.</t>
        </is>
      </c>
      <c r="CC201" s="1400">
        <f>IF(CD201&lt;&gt;"",CC200+1,CC200)</f>
        <v/>
      </c>
      <c r="CD201" s="1411" t="inlineStr">
        <is>
          <t>Ondina</t>
        </is>
      </c>
      <c r="CE201" s="1412" t="n">
        <v>44828</v>
      </c>
      <c r="CF201" s="1412" t="n">
        <v>44831</v>
      </c>
      <c r="CG201" s="1415">
        <f>CF201-CE201</f>
        <v/>
      </c>
      <c r="CH201" s="1398" t="inlineStr">
        <is>
          <t>.</t>
        </is>
      </c>
      <c r="CI201" s="1392" t="n"/>
      <c r="CJ201" s="1392" t="n"/>
      <c r="CK201" s="1392" t="n"/>
      <c r="CL201" s="1392" t="n"/>
    </row>
    <row r="202">
      <c r="A202" s="5" t="inlineStr">
        <is>
          <t>.</t>
        </is>
      </c>
      <c r="B202" s="5" t="inlineStr">
        <is>
          <t>.</t>
        </is>
      </c>
      <c r="C202" s="1378">
        <f>IF(raw[[#This Row],[city]]="","-",IF(raw[[#This Row],[city]]="TODAY","-",C201+1))</f>
        <v/>
      </c>
      <c r="D202" s="1393" t="inlineStr">
        <is>
          <t>Instambul-A</t>
        </is>
      </c>
      <c r="E202" s="1394" t="n">
        <v>32792</v>
      </c>
      <c r="F202" s="1394" t="n">
        <v>32792</v>
      </c>
      <c r="G202" s="1393" t="inlineStr">
        <is>
          <t>-</t>
        </is>
      </c>
      <c r="H202" s="1393">
        <f>H201</f>
        <v/>
      </c>
      <c r="I202" s="1393" t="inlineStr">
        <is>
          <t>-</t>
        </is>
      </c>
      <c r="J202" s="1393" t="inlineStr">
        <is>
          <t>-</t>
        </is>
      </c>
      <c r="K202" s="1395">
        <f>IF(raw[[#This Row],[city]]&lt;&gt;"",_xlfn.XLOOKUP($D202,ccc[city],ccc[prov],"-"),"-")</f>
        <v/>
      </c>
      <c r="L202" s="1395">
        <f>IF(raw[[#This Row],[city]]&lt;&gt;"",_xlfn.XLOOKUP($D202,ccc[city],ccc[ctry],"-"),"-")</f>
        <v/>
      </c>
      <c r="M202" s="1395">
        <f>IF(raw[[#This Row],[city]]&lt;&gt;"",_xlfn.XLOOKUP($D202,ccc[city],ccc[cont],"-"),"-")</f>
        <v/>
      </c>
      <c r="N202" s="1396">
        <f>IF(raw[[#This Row],[city]]="","-",IF(raw[[#This Row],[cont]]="B",raw[[#This Row],[cont]],"W"))</f>
        <v/>
      </c>
      <c r="O202" s="1397">
        <f>IF(raw[[#This Row],[out]]=0,0,IF(raw[[#This Row],[out]]=raw[[#This Row],[in]],0.01,raw[[#This Row],[out]]-raw[[#This Row],[in]]))</f>
        <v/>
      </c>
      <c r="P202" s="1397">
        <f>IF(raw[[#This Row],[in]]=0,0,MONTH(raw[[#This Row],[in]]))</f>
        <v/>
      </c>
      <c r="Q202" s="1397">
        <f>IF(raw[[#This Row],[in]]=0,0,YEAR(raw[[#This Row],[in]]))</f>
        <v/>
      </c>
      <c r="R202" s="1397">
        <f>INT(raw[[#This Row],[yr]]/10)*10</f>
        <v/>
      </c>
      <c r="S202" s="1395">
        <f>IF(raw[[#This Row],[city]]="","-",IF(raw[[#This Row],[city]]&lt;&gt;_xlfn.XLOOKUP(raw[[#This Row],[home]],homes[home],homes[city],"-"),1,0))</f>
        <v/>
      </c>
      <c r="T202" s="1398" t="inlineStr">
        <is>
          <t>.</t>
        </is>
      </c>
      <c r="U202" s="1399">
        <f>IF(raw[[#This Row],[wb]]="w",raw[[#This Row],[stay]]+U201,U201)</f>
        <v/>
      </c>
      <c r="V202" s="1400">
        <f>IF(raw[[#This Row],[out]]=0,V201,(raw[[#This Row],[out]]-E$5))</f>
        <v/>
      </c>
      <c r="W202" s="1401">
        <f>U202/V202</f>
        <v/>
      </c>
      <c r="X202" s="1378" t="inlineStr">
        <is>
          <t>.</t>
        </is>
      </c>
      <c r="Y202" s="1402">
        <f/>
        <v/>
      </c>
      <c r="Z202" s="1403">
        <f/>
        <v/>
      </c>
      <c r="AA202" s="1403">
        <f/>
        <v/>
      </c>
      <c r="AB202" s="1400">
        <f t="array" ref="AB202">_xlfn.LET(_xlpm.S,_xlfn.ANCHORARRAY($Y$4),_xlpm.r,ROWS(stayCity[[#Headers],[city]]:stayCity[[#This Row],[city]])-1,IF(_xlpm.r&lt;=ROWS(_xlpm.S),INDEX(_xlpm.S,_xlpm.r,1),""))</f>
        <v/>
      </c>
      <c r="AC202" s="1405">
        <f t="array" ref="AC202">_xlfn.LET(_xlpm.S,_xlfn.ANCHORARRAY($Y$4),_xlpm.r,ROWS(stayCity[[#Headers],[city]]:stayCity[[#This Row],[city]])-1,IF(_xlpm.r&lt;=ROWS(_xlpm.S),INDEX(_xlpm.S,_xlpm.r,2),""))</f>
        <v/>
      </c>
      <c r="AD202" s="1405">
        <f t="array" ref="AD202">_xlfn.LET(_xlpm.S,_xlfn.ANCHORARRAY($Y$4),_xlpm.r,ROWS(stayCity[[#Headers],[city]]:stayCity[[#This Row],[city]])-1,IF(_xlpm.r&lt;=ROWS(_xlpm.S),INDEX(_xlpm.S,_xlpm.r,3),""))</f>
        <v/>
      </c>
      <c r="AE202" s="1400">
        <f>IF(stayCity[[#This Row],[out]]&lt;&gt;"",stayCity[[#This Row],[out]]-stayCity[[#This Row],[in]],"-")</f>
        <v/>
      </c>
      <c r="AF202" s="1406">
        <f>IF(Y202="","-",YEAR(stayCity[[#This Row],[in]]))</f>
        <v/>
      </c>
      <c r="AG202" s="1398" t="inlineStr">
        <is>
          <t>.</t>
        </is>
      </c>
      <c r="AH202" s="1402">
        <f/>
        <v/>
      </c>
      <c r="AI202" s="1403">
        <f/>
        <v/>
      </c>
      <c r="AJ202" s="1403">
        <f/>
        <v/>
      </c>
      <c r="AK202" s="1400">
        <f>IF(AH202="","-",AH202)</f>
        <v/>
      </c>
      <c r="AL202" s="1405">
        <f>AI202</f>
        <v/>
      </c>
      <c r="AM202" s="1405">
        <f>AJ202</f>
        <v/>
      </c>
      <c r="AN202" s="1400">
        <f>stayCtry[[#This Row],[out]]-stayCtry[[#This Row],[in]]</f>
        <v/>
      </c>
      <c r="AO202" s="1406">
        <f>IF(AI202&lt;&gt;"",AO201+1,AO201)</f>
        <v/>
      </c>
      <c r="AP202" s="1398" t="inlineStr">
        <is>
          <t>.</t>
        </is>
      </c>
      <c r="AQ202" s="1402" t="n"/>
      <c r="AR202" s="1403" t="n"/>
      <c r="AS202" s="1403" t="n"/>
      <c r="AT202" s="1400">
        <f>AQ202</f>
        <v/>
      </c>
      <c r="AU202" s="1405">
        <f>AR202</f>
        <v/>
      </c>
      <c r="AV202" s="1405">
        <f>AS202</f>
        <v/>
      </c>
      <c r="AW202" s="1400">
        <f>stayCont[[#This Row],[out]]-stayCont[[#This Row],[in]]</f>
        <v/>
      </c>
      <c r="AX202" s="1406">
        <f>IF(AR202&lt;&gt;"",AX201+1,AX201)</f>
        <v/>
      </c>
      <c r="AY202" s="1398" t="inlineStr">
        <is>
          <t>.</t>
        </is>
      </c>
      <c r="AZ202" s="1402" t="n"/>
      <c r="BA202" s="1403" t="n"/>
      <c r="BB202" s="1403" t="n"/>
      <c r="BC202" s="1405">
        <f>AZ202</f>
        <v/>
      </c>
      <c r="BD202" s="1405">
        <f>BA202</f>
        <v/>
      </c>
      <c r="BE202" s="1405">
        <f>BB202</f>
        <v/>
      </c>
      <c r="BF202" s="1400">
        <f>stayWB[[#This Row],[out]]-stayWB[[#This Row],[in]]</f>
        <v/>
      </c>
      <c r="BG202" s="1400">
        <f>IF(BB202&lt;&gt;"",BG201+1,BG201)</f>
        <v/>
      </c>
      <c r="BH202" s="1398" t="inlineStr">
        <is>
          <t>.</t>
        </is>
      </c>
      <c r="BI202" s="1402" t="inlineStr">
        <is>
          <t>CAN</t>
        </is>
      </c>
      <c r="BJ202" s="1402" t="n">
        <v>2016</v>
      </c>
      <c r="BK202" s="1400">
        <f>BI202</f>
        <v/>
      </c>
      <c r="BL202" s="1409">
        <f>BJ202</f>
        <v/>
      </c>
      <c r="BM202" s="1378" t="inlineStr">
        <is>
          <t>.</t>
        </is>
      </c>
      <c r="BN202" s="1411" t="n"/>
      <c r="BO202" s="1400">
        <f>BN202</f>
        <v/>
      </c>
      <c r="BP202" s="1398" t="inlineStr">
        <is>
          <t>.</t>
        </is>
      </c>
      <c r="BQ202" s="1400">
        <f>IF(BR202&lt;&gt;"",BQ201+1,BQ201)</f>
        <v/>
      </c>
      <c r="BR202" s="1411" t="inlineStr">
        <is>
          <t>Rio</t>
        </is>
      </c>
      <c r="BS202" s="1411" t="inlineStr">
        <is>
          <t>SSA</t>
        </is>
      </c>
      <c r="BT202" s="1412" t="inlineStr">
        <is>
          <t>Rio-SSA</t>
        </is>
      </c>
      <c r="BU202" s="1412" t="n">
        <v>39734</v>
      </c>
      <c r="BV202" s="1398" t="inlineStr">
        <is>
          <t>.</t>
        </is>
      </c>
      <c r="BW202" s="1392" t="n"/>
      <c r="BX202" s="1392" t="n"/>
      <c r="BY202" s="1392" t="n"/>
      <c r="BZ202" s="1416" t="n"/>
      <c r="CA202" s="1392" t="n"/>
      <c r="CB202" s="1398" t="inlineStr">
        <is>
          <t>.</t>
        </is>
      </c>
      <c r="CC202" s="1400">
        <f>IF(CD202&lt;&gt;"",CC201+1,CC201)</f>
        <v/>
      </c>
      <c r="CD202" s="1411" t="inlineStr">
        <is>
          <t>Tatá/Venancio</t>
        </is>
      </c>
      <c r="CE202" s="1412" t="n">
        <v>44831</v>
      </c>
      <c r="CF202" s="1412" t="n">
        <v>44834</v>
      </c>
      <c r="CG202" s="1415">
        <f>CF202-CE202</f>
        <v/>
      </c>
      <c r="CH202" s="1398" t="inlineStr">
        <is>
          <t>.</t>
        </is>
      </c>
      <c r="CI202" s="1392" t="n"/>
      <c r="CJ202" s="1392" t="n"/>
      <c r="CK202" s="1392" t="n"/>
      <c r="CL202" s="1392" t="n"/>
    </row>
    <row r="203">
      <c r="A203" s="5" t="inlineStr">
        <is>
          <t>.</t>
        </is>
      </c>
      <c r="B203" s="5" t="inlineStr">
        <is>
          <t>.</t>
        </is>
      </c>
      <c r="C203" s="1378">
        <f>IF(raw[[#This Row],[city]]="","-",IF(raw[[#This Row],[city]]="TODAY","-",C202+1))</f>
        <v/>
      </c>
      <c r="D203" s="1393" t="inlineStr">
        <is>
          <t>Mikonos</t>
        </is>
      </c>
      <c r="E203" s="1394" t="n">
        <v>32792</v>
      </c>
      <c r="F203" s="1394" t="n">
        <v>32792</v>
      </c>
      <c r="G203" s="1393" t="inlineStr">
        <is>
          <t>-</t>
        </is>
      </c>
      <c r="H203" s="1393">
        <f>H202</f>
        <v/>
      </c>
      <c r="I203" s="1393" t="inlineStr">
        <is>
          <t>-</t>
        </is>
      </c>
      <c r="J203" s="1393" t="inlineStr">
        <is>
          <t>-</t>
        </is>
      </c>
      <c r="K203" s="1395">
        <f>IF(raw[[#This Row],[city]]&lt;&gt;"",_xlfn.XLOOKUP($D203,ccc[city],ccc[prov],"-"),"-")</f>
        <v/>
      </c>
      <c r="L203" s="1395">
        <f>IF(raw[[#This Row],[city]]&lt;&gt;"",_xlfn.XLOOKUP($D203,ccc[city],ccc[ctry],"-"),"-")</f>
        <v/>
      </c>
      <c r="M203" s="1395">
        <f>IF(raw[[#This Row],[city]]&lt;&gt;"",_xlfn.XLOOKUP($D203,ccc[city],ccc[cont],"-"),"-")</f>
        <v/>
      </c>
      <c r="N203" s="1396">
        <f>IF(raw[[#This Row],[city]]="","-",IF(raw[[#This Row],[cont]]="B",raw[[#This Row],[cont]],"W"))</f>
        <v/>
      </c>
      <c r="O203" s="1397">
        <f>IF(raw[[#This Row],[out]]=0,0,IF(raw[[#This Row],[out]]=raw[[#This Row],[in]],0.01,raw[[#This Row],[out]]-raw[[#This Row],[in]]))</f>
        <v/>
      </c>
      <c r="P203" s="1397">
        <f>IF(raw[[#This Row],[in]]=0,0,MONTH(raw[[#This Row],[in]]))</f>
        <v/>
      </c>
      <c r="Q203" s="1397">
        <f>IF(raw[[#This Row],[in]]=0,0,YEAR(raw[[#This Row],[in]]))</f>
        <v/>
      </c>
      <c r="R203" s="1397">
        <f>INT(raw[[#This Row],[yr]]/10)*10</f>
        <v/>
      </c>
      <c r="S203" s="1395">
        <f>IF(raw[[#This Row],[city]]="","-",IF(raw[[#This Row],[city]]&lt;&gt;_xlfn.XLOOKUP(raw[[#This Row],[home]],homes[home],homes[city],"-"),1,0))</f>
        <v/>
      </c>
      <c r="T203" s="1398" t="inlineStr">
        <is>
          <t>.</t>
        </is>
      </c>
      <c r="U203" s="1399">
        <f>IF(raw[[#This Row],[wb]]="w",raw[[#This Row],[stay]]+U202,U202)</f>
        <v/>
      </c>
      <c r="V203" s="1400">
        <f>IF(raw[[#This Row],[out]]=0,V202,(raw[[#This Row],[out]]-E$5))</f>
        <v/>
      </c>
      <c r="W203" s="1401">
        <f>U203/V203</f>
        <v/>
      </c>
      <c r="X203" s="1378" t="inlineStr">
        <is>
          <t>.</t>
        </is>
      </c>
      <c r="Y203" s="1402">
        <f/>
        <v/>
      </c>
      <c r="Z203" s="1403">
        <f/>
        <v/>
      </c>
      <c r="AA203" s="1403">
        <f/>
        <v/>
      </c>
      <c r="AB203" s="1400">
        <f t="array" ref="AB203">_xlfn.LET(_xlpm.S,_xlfn.ANCHORARRAY($Y$4),_xlpm.r,ROWS(stayCity[[#Headers],[city]]:stayCity[[#This Row],[city]])-1,IF(_xlpm.r&lt;=ROWS(_xlpm.S),INDEX(_xlpm.S,_xlpm.r,1),""))</f>
        <v/>
      </c>
      <c r="AC203" s="1405">
        <f t="array" ref="AC203">_xlfn.LET(_xlpm.S,_xlfn.ANCHORARRAY($Y$4),_xlpm.r,ROWS(stayCity[[#Headers],[city]]:stayCity[[#This Row],[city]])-1,IF(_xlpm.r&lt;=ROWS(_xlpm.S),INDEX(_xlpm.S,_xlpm.r,2),""))</f>
        <v/>
      </c>
      <c r="AD203" s="1405">
        <f t="array" ref="AD203">_xlfn.LET(_xlpm.S,_xlfn.ANCHORARRAY($Y$4),_xlpm.r,ROWS(stayCity[[#Headers],[city]]:stayCity[[#This Row],[city]])-1,IF(_xlpm.r&lt;=ROWS(_xlpm.S),INDEX(_xlpm.S,_xlpm.r,3),""))</f>
        <v/>
      </c>
      <c r="AE203" s="1400">
        <f>IF(stayCity[[#This Row],[out]]&lt;&gt;"",stayCity[[#This Row],[out]]-stayCity[[#This Row],[in]],"-")</f>
        <v/>
      </c>
      <c r="AF203" s="1406">
        <f>IF(Y203="","-",YEAR(stayCity[[#This Row],[in]]))</f>
        <v/>
      </c>
      <c r="AG203" s="1398" t="inlineStr">
        <is>
          <t>.</t>
        </is>
      </c>
      <c r="AH203" s="1402">
        <f/>
        <v/>
      </c>
      <c r="AI203" s="1403">
        <f/>
        <v/>
      </c>
      <c r="AJ203" s="1403">
        <f/>
        <v/>
      </c>
      <c r="AK203" s="1400">
        <f>IF(AH203="","-",AH203)</f>
        <v/>
      </c>
      <c r="AL203" s="1405">
        <f>AI203</f>
        <v/>
      </c>
      <c r="AM203" s="1405">
        <f>AJ203</f>
        <v/>
      </c>
      <c r="AN203" s="1400">
        <f>stayCtry[[#This Row],[out]]-stayCtry[[#This Row],[in]]</f>
        <v/>
      </c>
      <c r="AO203" s="1406">
        <f>IF(AI203&lt;&gt;"",AO202+1,AO202)</f>
        <v/>
      </c>
      <c r="AP203" s="1398" t="inlineStr">
        <is>
          <t>.</t>
        </is>
      </c>
      <c r="AQ203" s="1402" t="n"/>
      <c r="AR203" s="1403" t="n"/>
      <c r="AS203" s="1403" t="n"/>
      <c r="AT203" s="1400">
        <f>AQ203</f>
        <v/>
      </c>
      <c r="AU203" s="1405">
        <f>AR203</f>
        <v/>
      </c>
      <c r="AV203" s="1405">
        <f>AS203</f>
        <v/>
      </c>
      <c r="AW203" s="1400">
        <f>stayCont[[#This Row],[out]]-stayCont[[#This Row],[in]]</f>
        <v/>
      </c>
      <c r="AX203" s="1406">
        <f>IF(AR203&lt;&gt;"",AX202+1,AX202)</f>
        <v/>
      </c>
      <c r="AY203" s="1398" t="inlineStr">
        <is>
          <t>.</t>
        </is>
      </c>
      <c r="AZ203" s="1402" t="n"/>
      <c r="BA203" s="1403" t="n"/>
      <c r="BB203" s="1403" t="n"/>
      <c r="BC203" s="1405">
        <f>AZ203</f>
        <v/>
      </c>
      <c r="BD203" s="1405">
        <f>BA203</f>
        <v/>
      </c>
      <c r="BE203" s="1405">
        <f>BB203</f>
        <v/>
      </c>
      <c r="BF203" s="1400">
        <f>stayWB[[#This Row],[out]]-stayWB[[#This Row],[in]]</f>
        <v/>
      </c>
      <c r="BG203" s="1400">
        <f>IF(BB203&lt;&gt;"",BG202+1,BG202)</f>
        <v/>
      </c>
      <c r="BH203" s="1398" t="inlineStr">
        <is>
          <t>.</t>
        </is>
      </c>
      <c r="BI203" s="1402" t="inlineStr">
        <is>
          <t>CHN</t>
        </is>
      </c>
      <c r="BJ203" s="1402" t="n">
        <v>2016</v>
      </c>
      <c r="BK203" s="1400">
        <f>BI203</f>
        <v/>
      </c>
      <c r="BL203" s="1409">
        <f>BJ203</f>
        <v/>
      </c>
      <c r="BM203" s="1378" t="inlineStr">
        <is>
          <t>.</t>
        </is>
      </c>
      <c r="BN203" s="1411" t="n"/>
      <c r="BO203" s="1400">
        <f>BN203</f>
        <v/>
      </c>
      <c r="BP203" s="1398" t="inlineStr">
        <is>
          <t>.</t>
        </is>
      </c>
      <c r="BQ203" s="1400">
        <f>IF(BR203&lt;&gt;"",BQ202+1,BQ202)</f>
        <v/>
      </c>
      <c r="BR203" s="1411" t="inlineStr">
        <is>
          <t>SSA</t>
        </is>
      </c>
      <c r="BS203" s="1411" t="inlineStr">
        <is>
          <t>SP</t>
        </is>
      </c>
      <c r="BT203" s="1412" t="inlineStr">
        <is>
          <t>SSA-SP</t>
        </is>
      </c>
      <c r="BU203" s="1412" t="n">
        <v>39754</v>
      </c>
      <c r="BV203" s="1398" t="inlineStr">
        <is>
          <t>.</t>
        </is>
      </c>
      <c r="BW203" s="1392" t="n"/>
      <c r="BX203" s="1392" t="n"/>
      <c r="BY203" s="1392" t="n"/>
      <c r="BZ203" s="1416" t="n"/>
      <c r="CA203" s="1392" t="n"/>
      <c r="CB203" s="1398" t="inlineStr">
        <is>
          <t>.</t>
        </is>
      </c>
      <c r="CC203" s="1400">
        <f>IF(CD203&lt;&gt;"",CC202+1,CC202)</f>
        <v/>
      </c>
      <c r="CD203" s="1411" t="inlineStr">
        <is>
          <t>Tatá/Araras</t>
        </is>
      </c>
      <c r="CE203" s="1412" t="n">
        <v>44834</v>
      </c>
      <c r="CF203" s="1412" t="n">
        <v>44836</v>
      </c>
      <c r="CG203" s="1415">
        <f>CF203-CE203</f>
        <v/>
      </c>
      <c r="CH203" s="1398" t="inlineStr">
        <is>
          <t>.</t>
        </is>
      </c>
      <c r="CI203" s="1392" t="n"/>
      <c r="CJ203" s="1392" t="n"/>
      <c r="CK203" s="1392" t="n"/>
      <c r="CL203" s="1392" t="n"/>
    </row>
    <row r="204">
      <c r="A204" s="5" t="inlineStr">
        <is>
          <t>.</t>
        </is>
      </c>
      <c r="B204" s="5" t="inlineStr">
        <is>
          <t>.</t>
        </is>
      </c>
      <c r="C204" s="1378">
        <f>IF(raw[[#This Row],[city]]="","-",IF(raw[[#This Row],[city]]="TODAY","-",C203+1))</f>
        <v/>
      </c>
      <c r="D204" s="1393" t="inlineStr">
        <is>
          <t>Athens</t>
        </is>
      </c>
      <c r="E204" s="1394" t="n">
        <v>32793</v>
      </c>
      <c r="F204" s="1394" t="n">
        <v>32796</v>
      </c>
      <c r="G204" s="1393" t="n">
        <v>1</v>
      </c>
      <c r="H204" s="1393">
        <f>H203</f>
        <v/>
      </c>
      <c r="I204" s="1393" t="inlineStr">
        <is>
          <t>-</t>
        </is>
      </c>
      <c r="J204" s="1393" t="inlineStr">
        <is>
          <t>-</t>
        </is>
      </c>
      <c r="K204" s="1395">
        <f>IF(raw[[#This Row],[city]]&lt;&gt;"",_xlfn.XLOOKUP($D204,ccc[city],ccc[prov],"-"),"-")</f>
        <v/>
      </c>
      <c r="L204" s="1395">
        <f>IF(raw[[#This Row],[city]]&lt;&gt;"",_xlfn.XLOOKUP($D204,ccc[city],ccc[ctry],"-"),"-")</f>
        <v/>
      </c>
      <c r="M204" s="1395">
        <f>IF(raw[[#This Row],[city]]&lt;&gt;"",_xlfn.XLOOKUP($D204,ccc[city],ccc[cont],"-"),"-")</f>
        <v/>
      </c>
      <c r="N204" s="1396">
        <f>IF(raw[[#This Row],[city]]="","-",IF(raw[[#This Row],[cont]]="B",raw[[#This Row],[cont]],"W"))</f>
        <v/>
      </c>
      <c r="O204" s="1397">
        <f>IF(raw[[#This Row],[out]]=0,0,IF(raw[[#This Row],[out]]=raw[[#This Row],[in]],0.01,raw[[#This Row],[out]]-raw[[#This Row],[in]]))</f>
        <v/>
      </c>
      <c r="P204" s="1397">
        <f>IF(raw[[#This Row],[in]]=0,0,MONTH(raw[[#This Row],[in]]))</f>
        <v/>
      </c>
      <c r="Q204" s="1397">
        <f>IF(raw[[#This Row],[in]]=0,0,YEAR(raw[[#This Row],[in]]))</f>
        <v/>
      </c>
      <c r="R204" s="1397">
        <f>INT(raw[[#This Row],[yr]]/10)*10</f>
        <v/>
      </c>
      <c r="S204" s="1395">
        <f>IF(raw[[#This Row],[city]]="","-",IF(raw[[#This Row],[city]]&lt;&gt;_xlfn.XLOOKUP(raw[[#This Row],[home]],homes[home],homes[city],"-"),1,0))</f>
        <v/>
      </c>
      <c r="T204" s="1398" t="inlineStr">
        <is>
          <t>.</t>
        </is>
      </c>
      <c r="U204" s="1399">
        <f>IF(raw[[#This Row],[wb]]="w",raw[[#This Row],[stay]]+U203,U203)</f>
        <v/>
      </c>
      <c r="V204" s="1400">
        <f>IF(raw[[#This Row],[out]]=0,V203,(raw[[#This Row],[out]]-E$5))</f>
        <v/>
      </c>
      <c r="W204" s="1401">
        <f>U204/V204</f>
        <v/>
      </c>
      <c r="X204" s="1378" t="inlineStr">
        <is>
          <t>.</t>
        </is>
      </c>
      <c r="Y204" s="1402">
        <f/>
        <v/>
      </c>
      <c r="Z204" s="1403">
        <f/>
        <v/>
      </c>
      <c r="AA204" s="1403">
        <f/>
        <v/>
      </c>
      <c r="AB204" s="1400">
        <f t="array" ref="AB204">_xlfn.LET(_xlpm.S,_xlfn.ANCHORARRAY($Y$4),_xlpm.r,ROWS(stayCity[[#Headers],[city]]:stayCity[[#This Row],[city]])-1,IF(_xlpm.r&lt;=ROWS(_xlpm.S),INDEX(_xlpm.S,_xlpm.r,1),""))</f>
        <v/>
      </c>
      <c r="AC204" s="1405">
        <f t="array" ref="AC204">_xlfn.LET(_xlpm.S,_xlfn.ANCHORARRAY($Y$4),_xlpm.r,ROWS(stayCity[[#Headers],[city]]:stayCity[[#This Row],[city]])-1,IF(_xlpm.r&lt;=ROWS(_xlpm.S),INDEX(_xlpm.S,_xlpm.r,2),""))</f>
        <v/>
      </c>
      <c r="AD204" s="1405">
        <f t="array" ref="AD204">_xlfn.LET(_xlpm.S,_xlfn.ANCHORARRAY($Y$4),_xlpm.r,ROWS(stayCity[[#Headers],[city]]:stayCity[[#This Row],[city]])-1,IF(_xlpm.r&lt;=ROWS(_xlpm.S),INDEX(_xlpm.S,_xlpm.r,3),""))</f>
        <v/>
      </c>
      <c r="AE204" s="1400">
        <f>IF(stayCity[[#This Row],[out]]&lt;&gt;"",stayCity[[#This Row],[out]]-stayCity[[#This Row],[in]],"-")</f>
        <v/>
      </c>
      <c r="AF204" s="1406">
        <f>IF(Y204="","-",YEAR(stayCity[[#This Row],[in]]))</f>
        <v/>
      </c>
      <c r="AG204" s="1398" t="inlineStr">
        <is>
          <t>.</t>
        </is>
      </c>
      <c r="AH204" s="1402">
        <f/>
        <v/>
      </c>
      <c r="AI204" s="1403">
        <f/>
        <v/>
      </c>
      <c r="AJ204" s="1403">
        <f/>
        <v/>
      </c>
      <c r="AK204" s="1400">
        <f>IF(AH204="","-",AH204)</f>
        <v/>
      </c>
      <c r="AL204" s="1405">
        <f>AI204</f>
        <v/>
      </c>
      <c r="AM204" s="1405">
        <f>AJ204</f>
        <v/>
      </c>
      <c r="AN204" s="1400">
        <f>stayCtry[[#This Row],[out]]-stayCtry[[#This Row],[in]]</f>
        <v/>
      </c>
      <c r="AO204" s="1406">
        <f>IF(AI204&lt;&gt;"",AO203+1,AO203)</f>
        <v/>
      </c>
      <c r="AP204" s="1398" t="inlineStr">
        <is>
          <t>.</t>
        </is>
      </c>
      <c r="AQ204" s="1402" t="n"/>
      <c r="AR204" s="1403" t="n"/>
      <c r="AS204" s="1403" t="n"/>
      <c r="AT204" s="1400">
        <f>AQ204</f>
        <v/>
      </c>
      <c r="AU204" s="1405">
        <f>AR204</f>
        <v/>
      </c>
      <c r="AV204" s="1405">
        <f>AS204</f>
        <v/>
      </c>
      <c r="AW204" s="1400">
        <f>stayCont[[#This Row],[out]]-stayCont[[#This Row],[in]]</f>
        <v/>
      </c>
      <c r="AX204" s="1406">
        <f>IF(AR204&lt;&gt;"",AX203+1,AX203)</f>
        <v/>
      </c>
      <c r="AY204" s="1398" t="inlineStr">
        <is>
          <t>.</t>
        </is>
      </c>
      <c r="AZ204" s="1402" t="n"/>
      <c r="BA204" s="1403" t="n"/>
      <c r="BB204" s="1403" t="n"/>
      <c r="BC204" s="1405">
        <f>AZ204</f>
        <v/>
      </c>
      <c r="BD204" s="1405">
        <f>BA204</f>
        <v/>
      </c>
      <c r="BE204" s="1405">
        <f>BB204</f>
        <v/>
      </c>
      <c r="BF204" s="1400">
        <f>stayWB[[#This Row],[out]]-stayWB[[#This Row],[in]]</f>
        <v/>
      </c>
      <c r="BG204" s="1400">
        <f>IF(BB204&lt;&gt;"",BG203+1,BG203)</f>
        <v/>
      </c>
      <c r="BH204" s="1398" t="inlineStr">
        <is>
          <t>.</t>
        </is>
      </c>
      <c r="BI204" s="1402" t="inlineStr">
        <is>
          <t>CAN</t>
        </is>
      </c>
      <c r="BJ204" s="1402" t="n">
        <v>2016</v>
      </c>
      <c r="BK204" s="1400">
        <f>BI204</f>
        <v/>
      </c>
      <c r="BL204" s="1409">
        <f>BJ204</f>
        <v/>
      </c>
      <c r="BM204" s="1378" t="inlineStr">
        <is>
          <t>.</t>
        </is>
      </c>
      <c r="BN204" s="1411" t="n"/>
      <c r="BO204" s="1400">
        <f>BN204</f>
        <v/>
      </c>
      <c r="BP204" s="1398" t="inlineStr">
        <is>
          <t>.</t>
        </is>
      </c>
      <c r="BQ204" s="1400">
        <f>IF(BR204&lt;&gt;"",BQ203+1,BQ203)</f>
        <v/>
      </c>
      <c r="BR204" s="1411" t="inlineStr">
        <is>
          <t>SP</t>
        </is>
      </c>
      <c r="BS204" s="1411" t="inlineStr">
        <is>
          <t>SSA</t>
        </is>
      </c>
      <c r="BT204" s="1412" t="inlineStr">
        <is>
          <t>SP-SSA</t>
        </is>
      </c>
      <c r="BU204" s="1412" t="n">
        <v>39754</v>
      </c>
      <c r="BV204" s="1398" t="inlineStr">
        <is>
          <t>.</t>
        </is>
      </c>
      <c r="BW204" s="1392" t="n"/>
      <c r="BX204" s="1392" t="n"/>
      <c r="BY204" s="1392" t="n"/>
      <c r="BZ204" s="1416" t="n"/>
      <c r="CA204" s="1392" t="n"/>
      <c r="CB204" s="1398" t="inlineStr">
        <is>
          <t>.</t>
        </is>
      </c>
      <c r="CC204" s="1400">
        <f>IF(CD204&lt;&gt;"",CC203+1,CC203)</f>
        <v/>
      </c>
      <c r="CD204" s="1411" t="inlineStr">
        <is>
          <t>Ondina</t>
        </is>
      </c>
      <c r="CE204" s="1412" t="n">
        <v>44836</v>
      </c>
      <c r="CF204" s="1412" t="n">
        <v>44839</v>
      </c>
      <c r="CG204" s="1415">
        <f>CF204-CE204</f>
        <v/>
      </c>
      <c r="CH204" s="1398" t="inlineStr">
        <is>
          <t>.</t>
        </is>
      </c>
      <c r="CI204" s="1392" t="n"/>
      <c r="CJ204" s="1392" t="n"/>
      <c r="CK204" s="1392" t="n"/>
      <c r="CL204" s="1392" t="n"/>
    </row>
    <row r="205">
      <c r="A205" s="5" t="inlineStr">
        <is>
          <t>.</t>
        </is>
      </c>
      <c r="B205" s="5" t="inlineStr">
        <is>
          <t>.</t>
        </is>
      </c>
      <c r="C205" s="1378">
        <f>IF(raw[[#This Row],[city]]="","-",IF(raw[[#This Row],[city]]="TODAY","-",C204+1))</f>
        <v/>
      </c>
      <c r="D205" s="1393" t="inlineStr">
        <is>
          <t>Paris</t>
        </is>
      </c>
      <c r="E205" s="1394" t="n">
        <v>32796</v>
      </c>
      <c r="F205" s="1394" t="n">
        <v>32797</v>
      </c>
      <c r="G205" s="1393" t="inlineStr">
        <is>
          <t>-</t>
        </is>
      </c>
      <c r="H205" s="1393">
        <f>H204</f>
        <v/>
      </c>
      <c r="I205" s="1393" t="inlineStr">
        <is>
          <t>-</t>
        </is>
      </c>
      <c r="J205" s="1393" t="inlineStr">
        <is>
          <t>-</t>
        </is>
      </c>
      <c r="K205" s="1395">
        <f>IF(raw[[#This Row],[city]]&lt;&gt;"",_xlfn.XLOOKUP($D205,ccc[city],ccc[prov],"-"),"-")</f>
        <v/>
      </c>
      <c r="L205" s="1395">
        <f>IF(raw[[#This Row],[city]]&lt;&gt;"",_xlfn.XLOOKUP($D205,ccc[city],ccc[ctry],"-"),"-")</f>
        <v/>
      </c>
      <c r="M205" s="1395">
        <f>IF(raw[[#This Row],[city]]&lt;&gt;"",_xlfn.XLOOKUP($D205,ccc[city],ccc[cont],"-"),"-")</f>
        <v/>
      </c>
      <c r="N205" s="1396">
        <f>IF(raw[[#This Row],[city]]="","-",IF(raw[[#This Row],[cont]]="B",raw[[#This Row],[cont]],"W"))</f>
        <v/>
      </c>
      <c r="O205" s="1397">
        <f>IF(raw[[#This Row],[out]]=0,0,IF(raw[[#This Row],[out]]=raw[[#This Row],[in]],0.01,raw[[#This Row],[out]]-raw[[#This Row],[in]]))</f>
        <v/>
      </c>
      <c r="P205" s="1397">
        <f>IF(raw[[#This Row],[in]]=0,0,MONTH(raw[[#This Row],[in]]))</f>
        <v/>
      </c>
      <c r="Q205" s="1397">
        <f>IF(raw[[#This Row],[in]]=0,0,YEAR(raw[[#This Row],[in]]))</f>
        <v/>
      </c>
      <c r="R205" s="1397">
        <f>INT(raw[[#This Row],[yr]]/10)*10</f>
        <v/>
      </c>
      <c r="S205" s="1395">
        <f>IF(raw[[#This Row],[city]]="","-",IF(raw[[#This Row],[city]]&lt;&gt;_xlfn.XLOOKUP(raw[[#This Row],[home]],homes[home],homes[city],"-"),1,0))</f>
        <v/>
      </c>
      <c r="T205" s="1398" t="inlineStr">
        <is>
          <t>.</t>
        </is>
      </c>
      <c r="U205" s="1399">
        <f>IF(raw[[#This Row],[wb]]="w",raw[[#This Row],[stay]]+U204,U204)</f>
        <v/>
      </c>
      <c r="V205" s="1400">
        <f>IF(raw[[#This Row],[out]]=0,V204,(raw[[#This Row],[out]]-E$5))</f>
        <v/>
      </c>
      <c r="W205" s="1401">
        <f>U205/V205</f>
        <v/>
      </c>
      <c r="X205" s="1378" t="inlineStr">
        <is>
          <t>.</t>
        </is>
      </c>
      <c r="Y205" s="1402">
        <f/>
        <v/>
      </c>
      <c r="Z205" s="1403">
        <f/>
        <v/>
      </c>
      <c r="AA205" s="1403">
        <f/>
        <v/>
      </c>
      <c r="AB205" s="1400">
        <f t="array" ref="AB205">_xlfn.LET(_xlpm.S,_xlfn.ANCHORARRAY($Y$4),_xlpm.r,ROWS(stayCity[[#Headers],[city]]:stayCity[[#This Row],[city]])-1,IF(_xlpm.r&lt;=ROWS(_xlpm.S),INDEX(_xlpm.S,_xlpm.r,1),""))</f>
        <v/>
      </c>
      <c r="AC205" s="1405">
        <f t="array" ref="AC205">_xlfn.LET(_xlpm.S,_xlfn.ANCHORARRAY($Y$4),_xlpm.r,ROWS(stayCity[[#Headers],[city]]:stayCity[[#This Row],[city]])-1,IF(_xlpm.r&lt;=ROWS(_xlpm.S),INDEX(_xlpm.S,_xlpm.r,2),""))</f>
        <v/>
      </c>
      <c r="AD205" s="1405">
        <f t="array" ref="AD205">_xlfn.LET(_xlpm.S,_xlfn.ANCHORARRAY($Y$4),_xlpm.r,ROWS(stayCity[[#Headers],[city]]:stayCity[[#This Row],[city]])-1,IF(_xlpm.r&lt;=ROWS(_xlpm.S),INDEX(_xlpm.S,_xlpm.r,3),""))</f>
        <v/>
      </c>
      <c r="AE205" s="1400">
        <f>IF(stayCity[[#This Row],[out]]&lt;&gt;"",stayCity[[#This Row],[out]]-stayCity[[#This Row],[in]],"-")</f>
        <v/>
      </c>
      <c r="AF205" s="1406">
        <f>IF(Y205="","-",YEAR(stayCity[[#This Row],[in]]))</f>
        <v/>
      </c>
      <c r="AG205" s="1398" t="inlineStr">
        <is>
          <t>.</t>
        </is>
      </c>
      <c r="AH205" s="1402">
        <f/>
        <v/>
      </c>
      <c r="AI205" s="1403">
        <f/>
        <v/>
      </c>
      <c r="AJ205" s="1403">
        <f/>
        <v/>
      </c>
      <c r="AK205" s="1400">
        <f>IF(AH205="","-",AH205)</f>
        <v/>
      </c>
      <c r="AL205" s="1405">
        <f>AI205</f>
        <v/>
      </c>
      <c r="AM205" s="1405">
        <f>AJ205</f>
        <v/>
      </c>
      <c r="AN205" s="1400">
        <f>stayCtry[[#This Row],[out]]-stayCtry[[#This Row],[in]]</f>
        <v/>
      </c>
      <c r="AO205" s="1406">
        <f>IF(AI205&lt;&gt;"",AO204+1,AO204)</f>
        <v/>
      </c>
      <c r="AP205" s="1398" t="inlineStr">
        <is>
          <t>.</t>
        </is>
      </c>
      <c r="AQ205" s="1402" t="n"/>
      <c r="AR205" s="1403" t="n"/>
      <c r="AS205" s="1403" t="n"/>
      <c r="AT205" s="1400">
        <f>AQ205</f>
        <v/>
      </c>
      <c r="AU205" s="1405">
        <f>AR205</f>
        <v/>
      </c>
      <c r="AV205" s="1405">
        <f>AS205</f>
        <v/>
      </c>
      <c r="AW205" s="1400">
        <f>stayCont[[#This Row],[out]]-stayCont[[#This Row],[in]]</f>
        <v/>
      </c>
      <c r="AX205" s="1406">
        <f>IF(AR205&lt;&gt;"",AX204+1,AX204)</f>
        <v/>
      </c>
      <c r="AY205" s="1398" t="inlineStr">
        <is>
          <t>.</t>
        </is>
      </c>
      <c r="AZ205" s="1402" t="n"/>
      <c r="BA205" s="1403" t="n"/>
      <c r="BB205" s="1403" t="n"/>
      <c r="BC205" s="1405">
        <f>AZ205</f>
        <v/>
      </c>
      <c r="BD205" s="1405">
        <f>BA205</f>
        <v/>
      </c>
      <c r="BE205" s="1405">
        <f>BB205</f>
        <v/>
      </c>
      <c r="BF205" s="1400">
        <f>stayWB[[#This Row],[out]]-stayWB[[#This Row],[in]]</f>
        <v/>
      </c>
      <c r="BG205" s="1400">
        <f>IF(BB205&lt;&gt;"",BG204+1,BG204)</f>
        <v/>
      </c>
      <c r="BH205" s="1398" t="inlineStr">
        <is>
          <t>.</t>
        </is>
      </c>
      <c r="BI205" s="1402" t="inlineStr">
        <is>
          <t>UK</t>
        </is>
      </c>
      <c r="BJ205" s="1402" t="n">
        <v>2017</v>
      </c>
      <c r="BK205" s="1400">
        <f>BI205</f>
        <v/>
      </c>
      <c r="BL205" s="1409">
        <f>BJ205</f>
        <v/>
      </c>
      <c r="BM205" s="1378" t="inlineStr">
        <is>
          <t>.</t>
        </is>
      </c>
      <c r="BN205" s="1411" t="n"/>
      <c r="BO205" s="1400">
        <f>BN205</f>
        <v/>
      </c>
      <c r="BP205" s="1398" t="inlineStr">
        <is>
          <t>.</t>
        </is>
      </c>
      <c r="BQ205" s="1400">
        <f>IF(BR205&lt;&gt;"",BQ204+1,BQ204)</f>
        <v/>
      </c>
      <c r="BR205" s="1411" t="inlineStr">
        <is>
          <t>SSA</t>
        </is>
      </c>
      <c r="BS205" s="1411" t="inlineStr">
        <is>
          <t>Natal</t>
        </is>
      </c>
      <c r="BT205" s="1412" t="inlineStr">
        <is>
          <t>SSA-Natal</t>
        </is>
      </c>
      <c r="BU205" s="1412" t="n">
        <v>39771</v>
      </c>
      <c r="BV205" s="1398" t="inlineStr">
        <is>
          <t>.</t>
        </is>
      </c>
      <c r="BW205" s="1392" t="n"/>
      <c r="BX205" s="1392" t="n"/>
      <c r="BY205" s="1392" t="n"/>
      <c r="BZ205" s="1416" t="n"/>
      <c r="CA205" s="1392" t="n"/>
      <c r="CB205" s="1398" t="inlineStr">
        <is>
          <t>.</t>
        </is>
      </c>
      <c r="CC205" s="1400">
        <f>IF(CD205&lt;&gt;"",CC204+1,CC204)</f>
        <v/>
      </c>
      <c r="CD205" s="1411" t="inlineStr">
        <is>
          <t>Tia Vera/apt</t>
        </is>
      </c>
      <c r="CE205" s="1412" t="n">
        <v>44839</v>
      </c>
      <c r="CF205" s="1412" t="n">
        <v>44841</v>
      </c>
      <c r="CG205" s="1415">
        <f>CF205-CE205</f>
        <v/>
      </c>
      <c r="CH205" s="1398" t="inlineStr">
        <is>
          <t>.</t>
        </is>
      </c>
      <c r="CI205" s="1392" t="n"/>
      <c r="CJ205" s="1392" t="n"/>
      <c r="CK205" s="1392" t="n"/>
      <c r="CL205" s="1392" t="n"/>
    </row>
    <row r="206">
      <c r="A206" s="5" t="inlineStr">
        <is>
          <t>.</t>
        </is>
      </c>
      <c r="B206" s="5" t="inlineStr">
        <is>
          <t>.</t>
        </is>
      </c>
      <c r="C206" s="1378">
        <f>IF(raw[[#This Row],[city]]="","-",IF(raw[[#This Row],[city]]="TODAY","-",C205+1))</f>
        <v/>
      </c>
      <c r="D206" s="1393" t="inlineStr">
        <is>
          <t>Gent</t>
        </is>
      </c>
      <c r="E206" s="1394" t="n">
        <v>32797</v>
      </c>
      <c r="F206" s="1394" t="n">
        <v>32798</v>
      </c>
      <c r="G206" s="1393" t="inlineStr">
        <is>
          <t>-</t>
        </is>
      </c>
      <c r="H206" s="1393">
        <f>H205</f>
        <v/>
      </c>
      <c r="I206" s="1393" t="inlineStr">
        <is>
          <t>-</t>
        </is>
      </c>
      <c r="J206" s="1393" t="inlineStr">
        <is>
          <t>-</t>
        </is>
      </c>
      <c r="K206" s="1395">
        <f>IF(raw[[#This Row],[city]]&lt;&gt;"",_xlfn.XLOOKUP($D206,ccc[city],ccc[prov],"-"),"-")</f>
        <v/>
      </c>
      <c r="L206" s="1395">
        <f>IF(raw[[#This Row],[city]]&lt;&gt;"",_xlfn.XLOOKUP($D206,ccc[city],ccc[ctry],"-"),"-")</f>
        <v/>
      </c>
      <c r="M206" s="1395">
        <f>IF(raw[[#This Row],[city]]&lt;&gt;"",_xlfn.XLOOKUP($D206,ccc[city],ccc[cont],"-"),"-")</f>
        <v/>
      </c>
      <c r="N206" s="1396">
        <f>IF(raw[[#This Row],[city]]="","-",IF(raw[[#This Row],[cont]]="B",raw[[#This Row],[cont]],"W"))</f>
        <v/>
      </c>
      <c r="O206" s="1397">
        <f>IF(raw[[#This Row],[out]]=0,0,IF(raw[[#This Row],[out]]=raw[[#This Row],[in]],0.01,raw[[#This Row],[out]]-raw[[#This Row],[in]]))</f>
        <v/>
      </c>
      <c r="P206" s="1397">
        <f>IF(raw[[#This Row],[in]]=0,0,MONTH(raw[[#This Row],[in]]))</f>
        <v/>
      </c>
      <c r="Q206" s="1397">
        <f>IF(raw[[#This Row],[in]]=0,0,YEAR(raw[[#This Row],[in]]))</f>
        <v/>
      </c>
      <c r="R206" s="1397">
        <f>INT(raw[[#This Row],[yr]]/10)*10</f>
        <v/>
      </c>
      <c r="S206" s="1395">
        <f>IF(raw[[#This Row],[city]]="","-",IF(raw[[#This Row],[city]]&lt;&gt;_xlfn.XLOOKUP(raw[[#This Row],[home]],homes[home],homes[city],"-"),1,0))</f>
        <v/>
      </c>
      <c r="T206" s="1398" t="inlineStr">
        <is>
          <t>.</t>
        </is>
      </c>
      <c r="U206" s="1399">
        <f>IF(raw[[#This Row],[wb]]="w",raw[[#This Row],[stay]]+U205,U205)</f>
        <v/>
      </c>
      <c r="V206" s="1400">
        <f>IF(raw[[#This Row],[out]]=0,V205,(raw[[#This Row],[out]]-E$5))</f>
        <v/>
      </c>
      <c r="W206" s="1401">
        <f>U206/V206</f>
        <v/>
      </c>
      <c r="X206" s="1378" t="inlineStr">
        <is>
          <t>.</t>
        </is>
      </c>
      <c r="Y206" s="1402">
        <f/>
        <v/>
      </c>
      <c r="Z206" s="1403">
        <f/>
        <v/>
      </c>
      <c r="AA206" s="1403">
        <f/>
        <v/>
      </c>
      <c r="AB206" s="1400">
        <f t="array" ref="AB206">_xlfn.LET(_xlpm.S,_xlfn.ANCHORARRAY($Y$4),_xlpm.r,ROWS(stayCity[[#Headers],[city]]:stayCity[[#This Row],[city]])-1,IF(_xlpm.r&lt;=ROWS(_xlpm.S),INDEX(_xlpm.S,_xlpm.r,1),""))</f>
        <v/>
      </c>
      <c r="AC206" s="1405">
        <f t="array" ref="AC206">_xlfn.LET(_xlpm.S,_xlfn.ANCHORARRAY($Y$4),_xlpm.r,ROWS(stayCity[[#Headers],[city]]:stayCity[[#This Row],[city]])-1,IF(_xlpm.r&lt;=ROWS(_xlpm.S),INDEX(_xlpm.S,_xlpm.r,2),""))</f>
        <v/>
      </c>
      <c r="AD206" s="1405">
        <f t="array" ref="AD206">_xlfn.LET(_xlpm.S,_xlfn.ANCHORARRAY($Y$4),_xlpm.r,ROWS(stayCity[[#Headers],[city]]:stayCity[[#This Row],[city]])-1,IF(_xlpm.r&lt;=ROWS(_xlpm.S),INDEX(_xlpm.S,_xlpm.r,3),""))</f>
        <v/>
      </c>
      <c r="AE206" s="1400">
        <f>IF(stayCity[[#This Row],[out]]&lt;&gt;"",stayCity[[#This Row],[out]]-stayCity[[#This Row],[in]],"-")</f>
        <v/>
      </c>
      <c r="AF206" s="1406">
        <f>IF(Y206="","-",YEAR(stayCity[[#This Row],[in]]))</f>
        <v/>
      </c>
      <c r="AG206" s="1398" t="inlineStr">
        <is>
          <t>.</t>
        </is>
      </c>
      <c r="AH206" s="1402">
        <f/>
        <v/>
      </c>
      <c r="AI206" s="1403">
        <f/>
        <v/>
      </c>
      <c r="AJ206" s="1403">
        <f/>
        <v/>
      </c>
      <c r="AK206" s="1400">
        <f>IF(AH206="","-",AH206)</f>
        <v/>
      </c>
      <c r="AL206" s="1405">
        <f>AI206</f>
        <v/>
      </c>
      <c r="AM206" s="1405">
        <f>AJ206</f>
        <v/>
      </c>
      <c r="AN206" s="1400">
        <f>stayCtry[[#This Row],[out]]-stayCtry[[#This Row],[in]]</f>
        <v/>
      </c>
      <c r="AO206" s="1406">
        <f>IF(AI206&lt;&gt;"",AO205+1,AO205)</f>
        <v/>
      </c>
      <c r="AP206" s="1398" t="inlineStr">
        <is>
          <t>.</t>
        </is>
      </c>
      <c r="AQ206" s="1402" t="n"/>
      <c r="AR206" s="1403" t="n"/>
      <c r="AS206" s="1403" t="n"/>
      <c r="AT206" s="1400">
        <f>AQ206</f>
        <v/>
      </c>
      <c r="AU206" s="1405">
        <f>AR206</f>
        <v/>
      </c>
      <c r="AV206" s="1405">
        <f>AS206</f>
        <v/>
      </c>
      <c r="AW206" s="1400">
        <f>stayCont[[#This Row],[out]]-stayCont[[#This Row],[in]]</f>
        <v/>
      </c>
      <c r="AX206" s="1406">
        <f>IF(AR206&lt;&gt;"",AX205+1,AX205)</f>
        <v/>
      </c>
      <c r="AY206" s="1398" t="inlineStr">
        <is>
          <t>.</t>
        </is>
      </c>
      <c r="AZ206" s="1402" t="n"/>
      <c r="BA206" s="1403" t="n"/>
      <c r="BB206" s="1403" t="n"/>
      <c r="BC206" s="1405">
        <f>AZ206</f>
        <v/>
      </c>
      <c r="BD206" s="1405">
        <f>BA206</f>
        <v/>
      </c>
      <c r="BE206" s="1405">
        <f>BB206</f>
        <v/>
      </c>
      <c r="BF206" s="1400">
        <f>stayWB[[#This Row],[out]]-stayWB[[#This Row],[in]]</f>
        <v/>
      </c>
      <c r="BG206" s="1400">
        <f>IF(BB206&lt;&gt;"",BG205+1,BG205)</f>
        <v/>
      </c>
      <c r="BH206" s="1398" t="inlineStr">
        <is>
          <t>.</t>
        </is>
      </c>
      <c r="BI206" s="1402" t="inlineStr">
        <is>
          <t>CAN</t>
        </is>
      </c>
      <c r="BJ206" s="1402" t="n">
        <v>2017</v>
      </c>
      <c r="BK206" s="1400">
        <f>BI206</f>
        <v/>
      </c>
      <c r="BL206" s="1409">
        <f>BJ206</f>
        <v/>
      </c>
      <c r="BM206" s="1378" t="inlineStr">
        <is>
          <t>.</t>
        </is>
      </c>
      <c r="BN206" s="1411" t="n"/>
      <c r="BO206" s="1400">
        <f>BN206</f>
        <v/>
      </c>
      <c r="BP206" s="1398" t="inlineStr">
        <is>
          <t>.</t>
        </is>
      </c>
      <c r="BQ206" s="1400">
        <f>IF(BR206&lt;&gt;"",BQ205+1,BQ205)</f>
        <v/>
      </c>
      <c r="BR206" s="1411" t="inlineStr">
        <is>
          <t>Natal</t>
        </is>
      </c>
      <c r="BS206" s="1411" t="inlineStr">
        <is>
          <t>SSA</t>
        </is>
      </c>
      <c r="BT206" s="1412" t="inlineStr">
        <is>
          <t>Natal-SSA</t>
        </is>
      </c>
      <c r="BU206" s="1412" t="n">
        <v>39776</v>
      </c>
      <c r="BV206" s="1398" t="inlineStr">
        <is>
          <t>.</t>
        </is>
      </c>
      <c r="BW206" s="1392" t="n"/>
      <c r="BX206" s="1392" t="n"/>
      <c r="BY206" s="1392" t="n"/>
      <c r="BZ206" s="1416" t="n"/>
      <c r="CA206" s="1392" t="n"/>
      <c r="CB206" s="1398" t="inlineStr">
        <is>
          <t>.</t>
        </is>
      </c>
      <c r="CC206" s="1400">
        <f>IF(CD206&lt;&gt;"",CC205+1,CC205)</f>
        <v/>
      </c>
      <c r="CD206" s="1411" t="inlineStr">
        <is>
          <t>Ondina</t>
        </is>
      </c>
      <c r="CE206" s="1412" t="n">
        <v>44841</v>
      </c>
      <c r="CF206" s="1412" t="n">
        <v>44844</v>
      </c>
      <c r="CG206" s="1415">
        <f>CF206-CE206</f>
        <v/>
      </c>
      <c r="CH206" s="1398" t="inlineStr">
        <is>
          <t>.</t>
        </is>
      </c>
      <c r="CI206" s="1392" t="n"/>
      <c r="CJ206" s="1392" t="n"/>
      <c r="CK206" s="1392" t="n"/>
      <c r="CL206" s="1392" t="n"/>
    </row>
    <row r="207">
      <c r="A207" s="5" t="inlineStr">
        <is>
          <t>.</t>
        </is>
      </c>
      <c r="B207" s="5" t="inlineStr">
        <is>
          <t>.</t>
        </is>
      </c>
      <c r="C207" s="1378">
        <f>IF(raw[[#This Row],[city]]="","-",IF(raw[[#This Row],[city]]="TODAY","-",C206+1))</f>
        <v/>
      </c>
      <c r="D207" s="1393" t="inlineStr">
        <is>
          <t>Brugge</t>
        </is>
      </c>
      <c r="E207" s="1394" t="n">
        <v>32798</v>
      </c>
      <c r="F207" s="1394" t="n">
        <v>32799</v>
      </c>
      <c r="G207" s="1393" t="inlineStr">
        <is>
          <t>-</t>
        </is>
      </c>
      <c r="H207" s="1393">
        <f>H206</f>
        <v/>
      </c>
      <c r="I207" s="1393" t="inlineStr">
        <is>
          <t>-</t>
        </is>
      </c>
      <c r="J207" s="1393" t="inlineStr">
        <is>
          <t>-</t>
        </is>
      </c>
      <c r="K207" s="1395">
        <f>IF(raw[[#This Row],[city]]&lt;&gt;"",_xlfn.XLOOKUP($D207,ccc[city],ccc[prov],"-"),"-")</f>
        <v/>
      </c>
      <c r="L207" s="1395">
        <f>IF(raw[[#This Row],[city]]&lt;&gt;"",_xlfn.XLOOKUP($D207,ccc[city],ccc[ctry],"-"),"-")</f>
        <v/>
      </c>
      <c r="M207" s="1395">
        <f>IF(raw[[#This Row],[city]]&lt;&gt;"",_xlfn.XLOOKUP($D207,ccc[city],ccc[cont],"-"),"-")</f>
        <v/>
      </c>
      <c r="N207" s="1396">
        <f>IF(raw[[#This Row],[city]]="","-",IF(raw[[#This Row],[cont]]="B",raw[[#This Row],[cont]],"W"))</f>
        <v/>
      </c>
      <c r="O207" s="1397">
        <f>IF(raw[[#This Row],[out]]=0,0,IF(raw[[#This Row],[out]]=raw[[#This Row],[in]],0.01,raw[[#This Row],[out]]-raw[[#This Row],[in]]))</f>
        <v/>
      </c>
      <c r="P207" s="1397">
        <f>IF(raw[[#This Row],[in]]=0,0,MONTH(raw[[#This Row],[in]]))</f>
        <v/>
      </c>
      <c r="Q207" s="1397">
        <f>IF(raw[[#This Row],[in]]=0,0,YEAR(raw[[#This Row],[in]]))</f>
        <v/>
      </c>
      <c r="R207" s="1397">
        <f>INT(raw[[#This Row],[yr]]/10)*10</f>
        <v/>
      </c>
      <c r="S207" s="1395">
        <f>IF(raw[[#This Row],[city]]="","-",IF(raw[[#This Row],[city]]&lt;&gt;_xlfn.XLOOKUP(raw[[#This Row],[home]],homes[home],homes[city],"-"),1,0))</f>
        <v/>
      </c>
      <c r="T207" s="1398" t="inlineStr">
        <is>
          <t>.</t>
        </is>
      </c>
      <c r="U207" s="1399">
        <f>IF(raw[[#This Row],[wb]]="w",raw[[#This Row],[stay]]+U206,U206)</f>
        <v/>
      </c>
      <c r="V207" s="1400">
        <f>IF(raw[[#This Row],[out]]=0,V206,(raw[[#This Row],[out]]-E$5))</f>
        <v/>
      </c>
      <c r="W207" s="1401">
        <f>U207/V207</f>
        <v/>
      </c>
      <c r="X207" s="1378" t="inlineStr">
        <is>
          <t>.</t>
        </is>
      </c>
      <c r="Y207" s="1402">
        <f/>
        <v/>
      </c>
      <c r="Z207" s="1403">
        <f/>
        <v/>
      </c>
      <c r="AA207" s="1403">
        <f/>
        <v/>
      </c>
      <c r="AB207" s="1400">
        <f t="array" ref="AB207">_xlfn.LET(_xlpm.S,_xlfn.ANCHORARRAY($Y$4),_xlpm.r,ROWS(stayCity[[#Headers],[city]]:stayCity[[#This Row],[city]])-1,IF(_xlpm.r&lt;=ROWS(_xlpm.S),INDEX(_xlpm.S,_xlpm.r,1),""))</f>
        <v/>
      </c>
      <c r="AC207" s="1405">
        <f t="array" ref="AC207">_xlfn.LET(_xlpm.S,_xlfn.ANCHORARRAY($Y$4),_xlpm.r,ROWS(stayCity[[#Headers],[city]]:stayCity[[#This Row],[city]])-1,IF(_xlpm.r&lt;=ROWS(_xlpm.S),INDEX(_xlpm.S,_xlpm.r,2),""))</f>
        <v/>
      </c>
      <c r="AD207" s="1405">
        <f t="array" ref="AD207">_xlfn.LET(_xlpm.S,_xlfn.ANCHORARRAY($Y$4),_xlpm.r,ROWS(stayCity[[#Headers],[city]]:stayCity[[#This Row],[city]])-1,IF(_xlpm.r&lt;=ROWS(_xlpm.S),INDEX(_xlpm.S,_xlpm.r,3),""))</f>
        <v/>
      </c>
      <c r="AE207" s="1400">
        <f>IF(stayCity[[#This Row],[out]]&lt;&gt;"",stayCity[[#This Row],[out]]-stayCity[[#This Row],[in]],"-")</f>
        <v/>
      </c>
      <c r="AF207" s="1406">
        <f>IF(Y207="","-",YEAR(stayCity[[#This Row],[in]]))</f>
        <v/>
      </c>
      <c r="AG207" s="1398" t="inlineStr">
        <is>
          <t>.</t>
        </is>
      </c>
      <c r="AH207" s="1402">
        <f/>
        <v/>
      </c>
      <c r="AI207" s="1403">
        <f/>
        <v/>
      </c>
      <c r="AJ207" s="1403">
        <f/>
        <v/>
      </c>
      <c r="AK207" s="1400">
        <f>IF(AH207="","-",AH207)</f>
        <v/>
      </c>
      <c r="AL207" s="1405">
        <f>AI207</f>
        <v/>
      </c>
      <c r="AM207" s="1405">
        <f>AJ207</f>
        <v/>
      </c>
      <c r="AN207" s="1400">
        <f>stayCtry[[#This Row],[out]]-stayCtry[[#This Row],[in]]</f>
        <v/>
      </c>
      <c r="AO207" s="1406">
        <f>IF(AI207&lt;&gt;"",AO206+1,AO206)</f>
        <v/>
      </c>
      <c r="AP207" s="1398" t="inlineStr">
        <is>
          <t>.</t>
        </is>
      </c>
      <c r="AQ207" s="1402" t="n"/>
      <c r="AR207" s="1403" t="n"/>
      <c r="AS207" s="1403" t="n"/>
      <c r="AT207" s="1400">
        <f>AQ207</f>
        <v/>
      </c>
      <c r="AU207" s="1405">
        <f>AR207</f>
        <v/>
      </c>
      <c r="AV207" s="1405">
        <f>AS207</f>
        <v/>
      </c>
      <c r="AW207" s="1400">
        <f>stayCont[[#This Row],[out]]-stayCont[[#This Row],[in]]</f>
        <v/>
      </c>
      <c r="AX207" s="1406">
        <f>IF(AR207&lt;&gt;"",AX206+1,AX206)</f>
        <v/>
      </c>
      <c r="AY207" s="1398" t="inlineStr">
        <is>
          <t>.</t>
        </is>
      </c>
      <c r="AZ207" s="1402" t="n"/>
      <c r="BA207" s="1403" t="n"/>
      <c r="BB207" s="1403" t="n"/>
      <c r="BC207" s="1405">
        <f>AZ207</f>
        <v/>
      </c>
      <c r="BD207" s="1405">
        <f>BA207</f>
        <v/>
      </c>
      <c r="BE207" s="1405">
        <f>BB207</f>
        <v/>
      </c>
      <c r="BF207" s="1400">
        <f>stayWB[[#This Row],[out]]-stayWB[[#This Row],[in]]</f>
        <v/>
      </c>
      <c r="BG207" s="1400">
        <f>IF(BB207&lt;&gt;"",BG206+1,BG206)</f>
        <v/>
      </c>
      <c r="BH207" s="1398" t="inlineStr">
        <is>
          <t>.</t>
        </is>
      </c>
      <c r="BI207" s="1402" t="inlineStr">
        <is>
          <t>USA</t>
        </is>
      </c>
      <c r="BJ207" s="1402" t="n">
        <v>2018</v>
      </c>
      <c r="BK207" s="1400">
        <f>BI207</f>
        <v/>
      </c>
      <c r="BL207" s="1409">
        <f>BJ207</f>
        <v/>
      </c>
      <c r="BM207" s="1378" t="inlineStr">
        <is>
          <t>.</t>
        </is>
      </c>
      <c r="BN207" s="1411" t="n"/>
      <c r="BO207" s="1400">
        <f>BN207</f>
        <v/>
      </c>
      <c r="BP207" s="1398" t="inlineStr">
        <is>
          <t>.</t>
        </is>
      </c>
      <c r="BQ207" s="1400">
        <f>IF(BR207&lt;&gt;"",BQ206+1,BQ206)</f>
        <v/>
      </c>
      <c r="BR207" s="1411" t="inlineStr">
        <is>
          <t>SSA</t>
        </is>
      </c>
      <c r="BS207" s="1411" t="inlineStr">
        <is>
          <t>Rio</t>
        </is>
      </c>
      <c r="BT207" s="1412" t="inlineStr">
        <is>
          <t>SSA-Rio</t>
        </is>
      </c>
      <c r="BU207" s="1412" t="n">
        <v>39795</v>
      </c>
      <c r="BV207" s="1398" t="inlineStr">
        <is>
          <t>.</t>
        </is>
      </c>
      <c r="BW207" s="1392" t="n"/>
      <c r="BX207" s="1392" t="n"/>
      <c r="BY207" s="1392" t="n"/>
      <c r="BZ207" s="1416" t="n"/>
      <c r="CA207" s="1392" t="n"/>
      <c r="CB207" s="1398" t="inlineStr">
        <is>
          <t>.</t>
        </is>
      </c>
      <c r="CC207" s="1400">
        <f>IF(CD207&lt;&gt;"",CC206+1,CC206)</f>
        <v/>
      </c>
      <c r="CD207" s="1411" t="inlineStr">
        <is>
          <t>Gaspé</t>
        </is>
      </c>
      <c r="CE207" s="1412" t="n">
        <v>44919</v>
      </c>
      <c r="CF207" s="1412" t="n">
        <v>44920</v>
      </c>
      <c r="CG207" s="1415">
        <f>CF207-CE207</f>
        <v/>
      </c>
      <c r="CH207" s="1398" t="inlineStr">
        <is>
          <t>.</t>
        </is>
      </c>
      <c r="CI207" s="1392" t="n"/>
      <c r="CJ207" s="1392" t="n"/>
      <c r="CK207" s="1392" t="n"/>
      <c r="CL207" s="1392" t="n"/>
    </row>
    <row r="208">
      <c r="A208" s="5" t="inlineStr">
        <is>
          <t>.</t>
        </is>
      </c>
      <c r="B208" s="5" t="inlineStr">
        <is>
          <t>.</t>
        </is>
      </c>
      <c r="C208" s="1378">
        <f>IF(raw[[#This Row],[city]]="","-",IF(raw[[#This Row],[city]]="TODAY","-",C207+1))</f>
        <v/>
      </c>
      <c r="D208" s="1393" t="inlineStr">
        <is>
          <t>Calais</t>
        </is>
      </c>
      <c r="E208" s="1394" t="n">
        <v>32799</v>
      </c>
      <c r="F208" s="1394" t="n">
        <v>32799</v>
      </c>
      <c r="G208" s="1393" t="inlineStr">
        <is>
          <t>-</t>
        </is>
      </c>
      <c r="H208" s="1393">
        <f>H207</f>
        <v/>
      </c>
      <c r="I208" s="1393" t="inlineStr">
        <is>
          <t>-</t>
        </is>
      </c>
      <c r="J208" s="1393" t="inlineStr">
        <is>
          <t>-</t>
        </is>
      </c>
      <c r="K208" s="1395">
        <f>IF(raw[[#This Row],[city]]&lt;&gt;"",_xlfn.XLOOKUP($D208,ccc[city],ccc[prov],"-"),"-")</f>
        <v/>
      </c>
      <c r="L208" s="1395">
        <f>IF(raw[[#This Row],[city]]&lt;&gt;"",_xlfn.XLOOKUP($D208,ccc[city],ccc[ctry],"-"),"-")</f>
        <v/>
      </c>
      <c r="M208" s="1395">
        <f>IF(raw[[#This Row],[city]]&lt;&gt;"",_xlfn.XLOOKUP($D208,ccc[city],ccc[cont],"-"),"-")</f>
        <v/>
      </c>
      <c r="N208" s="1396">
        <f>IF(raw[[#This Row],[city]]="","-",IF(raw[[#This Row],[cont]]="B",raw[[#This Row],[cont]],"W"))</f>
        <v/>
      </c>
      <c r="O208" s="1397">
        <f>IF(raw[[#This Row],[out]]=0,0,IF(raw[[#This Row],[out]]=raw[[#This Row],[in]],0.01,raw[[#This Row],[out]]-raw[[#This Row],[in]]))</f>
        <v/>
      </c>
      <c r="P208" s="1397">
        <f>IF(raw[[#This Row],[in]]=0,0,MONTH(raw[[#This Row],[in]]))</f>
        <v/>
      </c>
      <c r="Q208" s="1397">
        <f>IF(raw[[#This Row],[in]]=0,0,YEAR(raw[[#This Row],[in]]))</f>
        <v/>
      </c>
      <c r="R208" s="1397">
        <f>INT(raw[[#This Row],[yr]]/10)*10</f>
        <v/>
      </c>
      <c r="S208" s="1395">
        <f>IF(raw[[#This Row],[city]]="","-",IF(raw[[#This Row],[city]]&lt;&gt;_xlfn.XLOOKUP(raw[[#This Row],[home]],homes[home],homes[city],"-"),1,0))</f>
        <v/>
      </c>
      <c r="T208" s="1398" t="inlineStr">
        <is>
          <t>.</t>
        </is>
      </c>
      <c r="U208" s="1399">
        <f>IF(raw[[#This Row],[wb]]="w",raw[[#This Row],[stay]]+U207,U207)</f>
        <v/>
      </c>
      <c r="V208" s="1400">
        <f>IF(raw[[#This Row],[out]]=0,V207,(raw[[#This Row],[out]]-E$5))</f>
        <v/>
      </c>
      <c r="W208" s="1401">
        <f>U208/V208</f>
        <v/>
      </c>
      <c r="X208" s="1378" t="inlineStr">
        <is>
          <t>.</t>
        </is>
      </c>
      <c r="Y208" s="1402">
        <f/>
        <v/>
      </c>
      <c r="Z208" s="1403">
        <f/>
        <v/>
      </c>
      <c r="AA208" s="1403">
        <f/>
        <v/>
      </c>
      <c r="AB208" s="1400">
        <f t="array" ref="AB208">_xlfn.LET(_xlpm.S,_xlfn.ANCHORARRAY($Y$4),_xlpm.r,ROWS(stayCity[[#Headers],[city]]:stayCity[[#This Row],[city]])-1,IF(_xlpm.r&lt;=ROWS(_xlpm.S),INDEX(_xlpm.S,_xlpm.r,1),""))</f>
        <v/>
      </c>
      <c r="AC208" s="1405">
        <f t="array" ref="AC208">_xlfn.LET(_xlpm.S,_xlfn.ANCHORARRAY($Y$4),_xlpm.r,ROWS(stayCity[[#Headers],[city]]:stayCity[[#This Row],[city]])-1,IF(_xlpm.r&lt;=ROWS(_xlpm.S),INDEX(_xlpm.S,_xlpm.r,2),""))</f>
        <v/>
      </c>
      <c r="AD208" s="1405">
        <f t="array" ref="AD208">_xlfn.LET(_xlpm.S,_xlfn.ANCHORARRAY($Y$4),_xlpm.r,ROWS(stayCity[[#Headers],[city]]:stayCity[[#This Row],[city]])-1,IF(_xlpm.r&lt;=ROWS(_xlpm.S),INDEX(_xlpm.S,_xlpm.r,3),""))</f>
        <v/>
      </c>
      <c r="AE208" s="1400">
        <f>IF(stayCity[[#This Row],[out]]&lt;&gt;"",stayCity[[#This Row],[out]]-stayCity[[#This Row],[in]],"-")</f>
        <v/>
      </c>
      <c r="AF208" s="1406">
        <f>IF(Y208="","-",YEAR(stayCity[[#This Row],[in]]))</f>
        <v/>
      </c>
      <c r="AG208" s="1398" t="inlineStr">
        <is>
          <t>.</t>
        </is>
      </c>
      <c r="AH208" s="1402">
        <f/>
        <v/>
      </c>
      <c r="AI208" s="1403">
        <f/>
        <v/>
      </c>
      <c r="AJ208" s="1403">
        <f/>
        <v/>
      </c>
      <c r="AK208" s="1400">
        <f>IF(AH208="","-",AH208)</f>
        <v/>
      </c>
      <c r="AL208" s="1405">
        <f>AI208</f>
        <v/>
      </c>
      <c r="AM208" s="1405">
        <f>AJ208</f>
        <v/>
      </c>
      <c r="AN208" s="1400">
        <f>stayCtry[[#This Row],[out]]-stayCtry[[#This Row],[in]]</f>
        <v/>
      </c>
      <c r="AO208" s="1406">
        <f>IF(AI208&lt;&gt;"",AO207+1,AO207)</f>
        <v/>
      </c>
      <c r="AP208" s="1398" t="inlineStr">
        <is>
          <t>.</t>
        </is>
      </c>
      <c r="AQ208" s="1402" t="n"/>
      <c r="AR208" s="1403" t="n"/>
      <c r="AS208" s="1403" t="n"/>
      <c r="AT208" s="1400">
        <f>AQ208</f>
        <v/>
      </c>
      <c r="AU208" s="1405">
        <f>AR208</f>
        <v/>
      </c>
      <c r="AV208" s="1405">
        <f>AS208</f>
        <v/>
      </c>
      <c r="AW208" s="1400">
        <f>stayCont[[#This Row],[out]]-stayCont[[#This Row],[in]]</f>
        <v/>
      </c>
      <c r="AX208" s="1406">
        <f>IF(AR208&lt;&gt;"",AX207+1,AX207)</f>
        <v/>
      </c>
      <c r="AY208" s="1398" t="inlineStr">
        <is>
          <t>.</t>
        </is>
      </c>
      <c r="AZ208" s="1402" t="n"/>
      <c r="BA208" s="1403" t="n"/>
      <c r="BB208" s="1403" t="n"/>
      <c r="BC208" s="1405">
        <f>AZ208</f>
        <v/>
      </c>
      <c r="BD208" s="1405">
        <f>BA208</f>
        <v/>
      </c>
      <c r="BE208" s="1405">
        <f>BB208</f>
        <v/>
      </c>
      <c r="BF208" s="1400">
        <f>stayWB[[#This Row],[out]]-stayWB[[#This Row],[in]]</f>
        <v/>
      </c>
      <c r="BG208" s="1400">
        <f>IF(BB208&lt;&gt;"",BG207+1,BG207)</f>
        <v/>
      </c>
      <c r="BH208" s="1398" t="inlineStr">
        <is>
          <t>.</t>
        </is>
      </c>
      <c r="BI208" s="1402" t="inlineStr">
        <is>
          <t>CAN</t>
        </is>
      </c>
      <c r="BJ208" s="1402" t="n">
        <v>2018</v>
      </c>
      <c r="BK208" s="1400">
        <f>BI208</f>
        <v/>
      </c>
      <c r="BL208" s="1409">
        <f>BJ208</f>
        <v/>
      </c>
      <c r="BM208" s="1378" t="inlineStr">
        <is>
          <t>.</t>
        </is>
      </c>
      <c r="BN208" s="1411" t="n"/>
      <c r="BO208" s="1400">
        <f>BN208</f>
        <v/>
      </c>
      <c r="BP208" s="1398" t="inlineStr">
        <is>
          <t>.</t>
        </is>
      </c>
      <c r="BQ208" s="1400">
        <f>IF(BR208&lt;&gt;"",BQ207+1,BQ207)</f>
        <v/>
      </c>
      <c r="BR208" s="1411" t="inlineStr">
        <is>
          <t>Rio</t>
        </is>
      </c>
      <c r="BS208" s="1411" t="inlineStr">
        <is>
          <t>SP</t>
        </is>
      </c>
      <c r="BT208" s="1412" t="inlineStr">
        <is>
          <t>Rio-SP</t>
        </is>
      </c>
      <c r="BU208" s="1412" t="n">
        <v>39798</v>
      </c>
      <c r="BV208" s="1398" t="inlineStr">
        <is>
          <t>.</t>
        </is>
      </c>
      <c r="BW208" s="1392" t="n"/>
      <c r="BX208" s="1392" t="n"/>
      <c r="BY208" s="1392" t="n"/>
      <c r="BZ208" s="1416" t="n"/>
      <c r="CA208" s="1392" t="n"/>
      <c r="CB208" s="1398" t="inlineStr">
        <is>
          <t>.</t>
        </is>
      </c>
      <c r="CC208" s="1400">
        <f>IF(CD208&lt;&gt;"",CC207+1,CC207)</f>
        <v/>
      </c>
      <c r="CD208" s="1411" t="inlineStr">
        <is>
          <t>Gaspé</t>
        </is>
      </c>
      <c r="CE208" s="1412" t="n">
        <v>44926</v>
      </c>
      <c r="CF208" s="1412" t="n">
        <v>44927</v>
      </c>
      <c r="CG208" s="1415">
        <f>CF208-CE208</f>
        <v/>
      </c>
      <c r="CH208" s="1398" t="inlineStr">
        <is>
          <t>.</t>
        </is>
      </c>
      <c r="CI208" s="1392" t="n"/>
      <c r="CJ208" s="1392" t="n"/>
      <c r="CK208" s="1392" t="n"/>
      <c r="CL208" s="1392" t="n"/>
    </row>
    <row r="209">
      <c r="A209" s="5" t="inlineStr">
        <is>
          <t>.</t>
        </is>
      </c>
      <c r="B209" s="5" t="inlineStr">
        <is>
          <t>.</t>
        </is>
      </c>
      <c r="C209" s="1378">
        <f>IF(raw[[#This Row],[city]]="","-",IF(raw[[#This Row],[city]]="TODAY","-",C208+1))</f>
        <v/>
      </c>
      <c r="D209" s="1393" t="inlineStr">
        <is>
          <t>Dover</t>
        </is>
      </c>
      <c r="E209" s="1394" t="n">
        <v>32799</v>
      </c>
      <c r="F209" s="1394" t="n">
        <v>32799</v>
      </c>
      <c r="G209" s="1393" t="inlineStr">
        <is>
          <t>-</t>
        </is>
      </c>
      <c r="H209" s="1393">
        <f>H208</f>
        <v/>
      </c>
      <c r="I209" s="1393" t="inlineStr">
        <is>
          <t>-</t>
        </is>
      </c>
      <c r="J209" s="1393" t="inlineStr">
        <is>
          <t>-</t>
        </is>
      </c>
      <c r="K209" s="1395">
        <f>IF(raw[[#This Row],[city]]&lt;&gt;"",_xlfn.XLOOKUP($D209,ccc[city],ccc[prov],"-"),"-")</f>
        <v/>
      </c>
      <c r="L209" s="1395">
        <f>IF(raw[[#This Row],[city]]&lt;&gt;"",_xlfn.XLOOKUP($D209,ccc[city],ccc[ctry],"-"),"-")</f>
        <v/>
      </c>
      <c r="M209" s="1395">
        <f>IF(raw[[#This Row],[city]]&lt;&gt;"",_xlfn.XLOOKUP($D209,ccc[city],ccc[cont],"-"),"-")</f>
        <v/>
      </c>
      <c r="N209" s="1396">
        <f>IF(raw[[#This Row],[city]]="","-",IF(raw[[#This Row],[cont]]="B",raw[[#This Row],[cont]],"W"))</f>
        <v/>
      </c>
      <c r="O209" s="1397">
        <f>IF(raw[[#This Row],[out]]=0,0,IF(raw[[#This Row],[out]]=raw[[#This Row],[in]],0.01,raw[[#This Row],[out]]-raw[[#This Row],[in]]))</f>
        <v/>
      </c>
      <c r="P209" s="1397">
        <f>IF(raw[[#This Row],[in]]=0,0,MONTH(raw[[#This Row],[in]]))</f>
        <v/>
      </c>
      <c r="Q209" s="1397">
        <f>IF(raw[[#This Row],[in]]=0,0,YEAR(raw[[#This Row],[in]]))</f>
        <v/>
      </c>
      <c r="R209" s="1397">
        <f>INT(raw[[#This Row],[yr]]/10)*10</f>
        <v/>
      </c>
      <c r="S209" s="1395">
        <f>IF(raw[[#This Row],[city]]="","-",IF(raw[[#This Row],[city]]&lt;&gt;_xlfn.XLOOKUP(raw[[#This Row],[home]],homes[home],homes[city],"-"),1,0))</f>
        <v/>
      </c>
      <c r="T209" s="1398" t="inlineStr">
        <is>
          <t>.</t>
        </is>
      </c>
      <c r="U209" s="1399">
        <f>IF(raw[[#This Row],[wb]]="w",raw[[#This Row],[stay]]+U208,U208)</f>
        <v/>
      </c>
      <c r="V209" s="1400">
        <f>IF(raw[[#This Row],[out]]=0,V208,(raw[[#This Row],[out]]-E$5))</f>
        <v/>
      </c>
      <c r="W209" s="1401">
        <f>U209/V209</f>
        <v/>
      </c>
      <c r="X209" s="1378" t="inlineStr">
        <is>
          <t>.</t>
        </is>
      </c>
      <c r="Y209" s="1402">
        <f/>
        <v/>
      </c>
      <c r="Z209" s="1403">
        <f/>
        <v/>
      </c>
      <c r="AA209" s="1403">
        <f/>
        <v/>
      </c>
      <c r="AB209" s="1400">
        <f t="array" ref="AB209">_xlfn.LET(_xlpm.S,_xlfn.ANCHORARRAY($Y$4),_xlpm.r,ROWS(stayCity[[#Headers],[city]]:stayCity[[#This Row],[city]])-1,IF(_xlpm.r&lt;=ROWS(_xlpm.S),INDEX(_xlpm.S,_xlpm.r,1),""))</f>
        <v/>
      </c>
      <c r="AC209" s="1405">
        <f t="array" ref="AC209">_xlfn.LET(_xlpm.S,_xlfn.ANCHORARRAY($Y$4),_xlpm.r,ROWS(stayCity[[#Headers],[city]]:stayCity[[#This Row],[city]])-1,IF(_xlpm.r&lt;=ROWS(_xlpm.S),INDEX(_xlpm.S,_xlpm.r,2),""))</f>
        <v/>
      </c>
      <c r="AD209" s="1405">
        <f t="array" ref="AD209">_xlfn.LET(_xlpm.S,_xlfn.ANCHORARRAY($Y$4),_xlpm.r,ROWS(stayCity[[#Headers],[city]]:stayCity[[#This Row],[city]])-1,IF(_xlpm.r&lt;=ROWS(_xlpm.S),INDEX(_xlpm.S,_xlpm.r,3),""))</f>
        <v/>
      </c>
      <c r="AE209" s="1400">
        <f>IF(stayCity[[#This Row],[out]]&lt;&gt;"",stayCity[[#This Row],[out]]-stayCity[[#This Row],[in]],"-")</f>
        <v/>
      </c>
      <c r="AF209" s="1406">
        <f>IF(Y209="","-",YEAR(stayCity[[#This Row],[in]]))</f>
        <v/>
      </c>
      <c r="AG209" s="1398" t="inlineStr">
        <is>
          <t>.</t>
        </is>
      </c>
      <c r="AH209" s="1402">
        <f/>
        <v/>
      </c>
      <c r="AI209" s="1403">
        <f/>
        <v/>
      </c>
      <c r="AJ209" s="1403">
        <f/>
        <v/>
      </c>
      <c r="AK209" s="1400">
        <f>IF(AH209="","-",AH209)</f>
        <v/>
      </c>
      <c r="AL209" s="1405">
        <f>AI209</f>
        <v/>
      </c>
      <c r="AM209" s="1405">
        <f>AJ209</f>
        <v/>
      </c>
      <c r="AN209" s="1400">
        <f>stayCtry[[#This Row],[out]]-stayCtry[[#This Row],[in]]</f>
        <v/>
      </c>
      <c r="AO209" s="1406">
        <f>IF(AI209&lt;&gt;"",AO208+1,AO208)</f>
        <v/>
      </c>
      <c r="AP209" s="1398" t="inlineStr">
        <is>
          <t>.</t>
        </is>
      </c>
      <c r="AQ209" s="1402" t="n"/>
      <c r="AR209" s="1403" t="n"/>
      <c r="AS209" s="1403" t="n"/>
      <c r="AT209" s="1400">
        <f>AQ209</f>
        <v/>
      </c>
      <c r="AU209" s="1405">
        <f>AR209</f>
        <v/>
      </c>
      <c r="AV209" s="1405">
        <f>AS209</f>
        <v/>
      </c>
      <c r="AW209" s="1400">
        <f>stayCont[[#This Row],[out]]-stayCont[[#This Row],[in]]</f>
        <v/>
      </c>
      <c r="AX209" s="1406">
        <f>IF(AR209&lt;&gt;"",AX208+1,AX208)</f>
        <v/>
      </c>
      <c r="AY209" s="1398" t="inlineStr">
        <is>
          <t>.</t>
        </is>
      </c>
      <c r="AZ209" s="1402" t="n"/>
      <c r="BA209" s="1403" t="n"/>
      <c r="BB209" s="1403" t="n"/>
      <c r="BC209" s="1405">
        <f>AZ209</f>
        <v/>
      </c>
      <c r="BD209" s="1405">
        <f>BA209</f>
        <v/>
      </c>
      <c r="BE209" s="1405">
        <f>BB209</f>
        <v/>
      </c>
      <c r="BF209" s="1400">
        <f>stayWB[[#This Row],[out]]-stayWB[[#This Row],[in]]</f>
        <v/>
      </c>
      <c r="BG209" s="1400">
        <f>IF(BB209&lt;&gt;"",BG208+1,BG208)</f>
        <v/>
      </c>
      <c r="BH209" s="1398" t="inlineStr">
        <is>
          <t>.</t>
        </is>
      </c>
      <c r="BI209" s="1402" t="inlineStr">
        <is>
          <t>PRT</t>
        </is>
      </c>
      <c r="BJ209" s="1402" t="n">
        <v>2018</v>
      </c>
      <c r="BK209" s="1400">
        <f>BI209</f>
        <v/>
      </c>
      <c r="BL209" s="1409">
        <f>BJ209</f>
        <v/>
      </c>
      <c r="BM209" s="1378" t="inlineStr">
        <is>
          <t>.</t>
        </is>
      </c>
      <c r="BN209" s="1411" t="n"/>
      <c r="BO209" s="1400">
        <f>BN209</f>
        <v/>
      </c>
      <c r="BP209" s="1398" t="inlineStr">
        <is>
          <t>.</t>
        </is>
      </c>
      <c r="BQ209" s="1400">
        <f>IF(BR209&lt;&gt;"",BQ208+1,BQ208)</f>
        <v/>
      </c>
      <c r="BR209" s="1411" t="inlineStr">
        <is>
          <t>SP</t>
        </is>
      </c>
      <c r="BS209" s="1411" t="inlineStr">
        <is>
          <t>Rio</t>
        </is>
      </c>
      <c r="BT209" s="1412" t="inlineStr">
        <is>
          <t>SP-Rio</t>
        </is>
      </c>
      <c r="BU209" s="1412" t="n">
        <v>39804</v>
      </c>
      <c r="BV209" s="1398" t="inlineStr">
        <is>
          <t>.</t>
        </is>
      </c>
      <c r="BW209" s="1392" t="n"/>
      <c r="BX209" s="1392" t="n"/>
      <c r="BY209" s="1392" t="n"/>
      <c r="BZ209" s="1416" t="n"/>
      <c r="CA209" s="1392" t="n"/>
      <c r="CB209" s="1398" t="inlineStr">
        <is>
          <t>.</t>
        </is>
      </c>
      <c r="CC209" s="1400">
        <f>IF(CD209&lt;&gt;"",CC208+1,CC208)</f>
        <v/>
      </c>
      <c r="CD209" s="1411" t="inlineStr">
        <is>
          <t>Ondina</t>
        </is>
      </c>
      <c r="CE209" s="1412" t="n">
        <v>45139</v>
      </c>
      <c r="CF209" s="1412" t="n">
        <v>45173</v>
      </c>
      <c r="CG209" s="1415">
        <f>CF209-CE209</f>
        <v/>
      </c>
      <c r="CH209" s="1398" t="inlineStr">
        <is>
          <t>.</t>
        </is>
      </c>
      <c r="CI209" s="1392" t="n"/>
      <c r="CJ209" s="1392" t="n"/>
      <c r="CK209" s="1392" t="n"/>
      <c r="CL209" s="1392" t="n"/>
    </row>
    <row r="210">
      <c r="A210" s="5" t="inlineStr">
        <is>
          <t>.</t>
        </is>
      </c>
      <c r="B210" s="5" t="inlineStr">
        <is>
          <t>.</t>
        </is>
      </c>
      <c r="C210" s="1378">
        <f>IF(raw[[#This Row],[city]]="","-",IF(raw[[#This Row],[city]]="TODAY","-",C209+1))</f>
        <v/>
      </c>
      <c r="D210" s="1393" t="inlineStr">
        <is>
          <t>Brighton</t>
        </is>
      </c>
      <c r="E210" s="1394" t="n">
        <v>32799</v>
      </c>
      <c r="F210" s="1394" t="n">
        <v>32800</v>
      </c>
      <c r="G210" s="1393" t="inlineStr">
        <is>
          <t>-</t>
        </is>
      </c>
      <c r="H210" s="1393">
        <f>H209</f>
        <v/>
      </c>
      <c r="I210" s="1393" t="inlineStr">
        <is>
          <t>-</t>
        </is>
      </c>
      <c r="J210" s="1393" t="inlineStr">
        <is>
          <t>-</t>
        </is>
      </c>
      <c r="K210" s="1395">
        <f>IF(raw[[#This Row],[city]]&lt;&gt;"",_xlfn.XLOOKUP($D210,ccc[city],ccc[prov],"-"),"-")</f>
        <v/>
      </c>
      <c r="L210" s="1395">
        <f>IF(raw[[#This Row],[city]]&lt;&gt;"",_xlfn.XLOOKUP($D210,ccc[city],ccc[ctry],"-"),"-")</f>
        <v/>
      </c>
      <c r="M210" s="1395">
        <f>IF(raw[[#This Row],[city]]&lt;&gt;"",_xlfn.XLOOKUP($D210,ccc[city],ccc[cont],"-"),"-")</f>
        <v/>
      </c>
      <c r="N210" s="1396">
        <f>IF(raw[[#This Row],[city]]="","-",IF(raw[[#This Row],[cont]]="B",raw[[#This Row],[cont]],"W"))</f>
        <v/>
      </c>
      <c r="O210" s="1397">
        <f>IF(raw[[#This Row],[out]]=0,0,IF(raw[[#This Row],[out]]=raw[[#This Row],[in]],0.01,raw[[#This Row],[out]]-raw[[#This Row],[in]]))</f>
        <v/>
      </c>
      <c r="P210" s="1397">
        <f>IF(raw[[#This Row],[in]]=0,0,MONTH(raw[[#This Row],[in]]))</f>
        <v/>
      </c>
      <c r="Q210" s="1397">
        <f>IF(raw[[#This Row],[in]]=0,0,YEAR(raw[[#This Row],[in]]))</f>
        <v/>
      </c>
      <c r="R210" s="1397">
        <f>INT(raw[[#This Row],[yr]]/10)*10</f>
        <v/>
      </c>
      <c r="S210" s="1395">
        <f>IF(raw[[#This Row],[city]]="","-",IF(raw[[#This Row],[city]]&lt;&gt;_xlfn.XLOOKUP(raw[[#This Row],[home]],homes[home],homes[city],"-"),1,0))</f>
        <v/>
      </c>
      <c r="T210" s="1398" t="inlineStr">
        <is>
          <t>.</t>
        </is>
      </c>
      <c r="U210" s="1399">
        <f>IF(raw[[#This Row],[wb]]="w",raw[[#This Row],[stay]]+U209,U209)</f>
        <v/>
      </c>
      <c r="V210" s="1400">
        <f>IF(raw[[#This Row],[out]]=0,V209,(raw[[#This Row],[out]]-E$5))</f>
        <v/>
      </c>
      <c r="W210" s="1401">
        <f>U210/V210</f>
        <v/>
      </c>
      <c r="X210" s="1378" t="inlineStr">
        <is>
          <t>.</t>
        </is>
      </c>
      <c r="Y210" s="1402">
        <f/>
        <v/>
      </c>
      <c r="Z210" s="1403">
        <f/>
        <v/>
      </c>
      <c r="AA210" s="1403">
        <f/>
        <v/>
      </c>
      <c r="AB210" s="1400">
        <f t="array" ref="AB210">_xlfn.LET(_xlpm.S,_xlfn.ANCHORARRAY($Y$4),_xlpm.r,ROWS(stayCity[[#Headers],[city]]:stayCity[[#This Row],[city]])-1,IF(_xlpm.r&lt;=ROWS(_xlpm.S),INDEX(_xlpm.S,_xlpm.r,1),""))</f>
        <v/>
      </c>
      <c r="AC210" s="1405">
        <f t="array" ref="AC210">_xlfn.LET(_xlpm.S,_xlfn.ANCHORARRAY($Y$4),_xlpm.r,ROWS(stayCity[[#Headers],[city]]:stayCity[[#This Row],[city]])-1,IF(_xlpm.r&lt;=ROWS(_xlpm.S),INDEX(_xlpm.S,_xlpm.r,2),""))</f>
        <v/>
      </c>
      <c r="AD210" s="1405">
        <f t="array" ref="AD210">_xlfn.LET(_xlpm.S,_xlfn.ANCHORARRAY($Y$4),_xlpm.r,ROWS(stayCity[[#Headers],[city]]:stayCity[[#This Row],[city]])-1,IF(_xlpm.r&lt;=ROWS(_xlpm.S),INDEX(_xlpm.S,_xlpm.r,3),""))</f>
        <v/>
      </c>
      <c r="AE210" s="1400">
        <f>IF(stayCity[[#This Row],[out]]&lt;&gt;"",stayCity[[#This Row],[out]]-stayCity[[#This Row],[in]],"-")</f>
        <v/>
      </c>
      <c r="AF210" s="1406">
        <f>IF(Y210="","-",YEAR(stayCity[[#This Row],[in]]))</f>
        <v/>
      </c>
      <c r="AG210" s="1398" t="inlineStr">
        <is>
          <t>.</t>
        </is>
      </c>
      <c r="AH210" s="1402">
        <f/>
        <v/>
      </c>
      <c r="AI210" s="1403">
        <f/>
        <v/>
      </c>
      <c r="AJ210" s="1403">
        <f/>
        <v/>
      </c>
      <c r="AK210" s="1400">
        <f>IF(AH210="","-",AH210)</f>
        <v/>
      </c>
      <c r="AL210" s="1405">
        <f>AI210</f>
        <v/>
      </c>
      <c r="AM210" s="1405">
        <f>AJ210</f>
        <v/>
      </c>
      <c r="AN210" s="1400">
        <f>stayCtry[[#This Row],[out]]-stayCtry[[#This Row],[in]]</f>
        <v/>
      </c>
      <c r="AO210" s="1406">
        <f>IF(AI210&lt;&gt;"",AO209+1,AO209)</f>
        <v/>
      </c>
      <c r="AP210" s="1398" t="inlineStr">
        <is>
          <t>.</t>
        </is>
      </c>
      <c r="AQ210" s="1402" t="n"/>
      <c r="AR210" s="1403" t="n"/>
      <c r="AS210" s="1403" t="n"/>
      <c r="AT210" s="1400">
        <f>AQ210</f>
        <v/>
      </c>
      <c r="AU210" s="1405">
        <f>AR210</f>
        <v/>
      </c>
      <c r="AV210" s="1405">
        <f>AS210</f>
        <v/>
      </c>
      <c r="AW210" s="1400">
        <f>stayCont[[#This Row],[out]]-stayCont[[#This Row],[in]]</f>
        <v/>
      </c>
      <c r="AX210" s="1406">
        <f>IF(AR210&lt;&gt;"",AX209+1,AX209)</f>
        <v/>
      </c>
      <c r="AY210" s="1398" t="inlineStr">
        <is>
          <t>.</t>
        </is>
      </c>
      <c r="AZ210" s="1402" t="n"/>
      <c r="BA210" s="1403" t="n"/>
      <c r="BB210" s="1403" t="n"/>
      <c r="BC210" s="1405">
        <f>AZ210</f>
        <v/>
      </c>
      <c r="BD210" s="1405">
        <f>BA210</f>
        <v/>
      </c>
      <c r="BE210" s="1405">
        <f>BB210</f>
        <v/>
      </c>
      <c r="BF210" s="1400">
        <f>stayWB[[#This Row],[out]]-stayWB[[#This Row],[in]]</f>
        <v/>
      </c>
      <c r="BG210" s="1400">
        <f>IF(BB210&lt;&gt;"",BG209+1,BG209)</f>
        <v/>
      </c>
      <c r="BH210" s="1398" t="inlineStr">
        <is>
          <t>.</t>
        </is>
      </c>
      <c r="BI210" s="1402" t="inlineStr">
        <is>
          <t>ESP</t>
        </is>
      </c>
      <c r="BJ210" s="1402" t="n">
        <v>2018</v>
      </c>
      <c r="BK210" s="1400">
        <f>BI210</f>
        <v/>
      </c>
      <c r="BL210" s="1409">
        <f>BJ210</f>
        <v/>
      </c>
      <c r="BM210" s="1378" t="inlineStr">
        <is>
          <t>.</t>
        </is>
      </c>
      <c r="BN210" s="1411" t="n"/>
      <c r="BO210" s="1400">
        <f>BN210</f>
        <v/>
      </c>
      <c r="BP210" s="1398" t="inlineStr">
        <is>
          <t>.</t>
        </is>
      </c>
      <c r="BQ210" s="1400">
        <f>IF(BR210&lt;&gt;"",BQ209+1,BQ209)</f>
        <v/>
      </c>
      <c r="BR210" s="1411" t="inlineStr">
        <is>
          <t>Rio</t>
        </is>
      </c>
      <c r="BS210" s="1411" t="inlineStr">
        <is>
          <t>SSA</t>
        </is>
      </c>
      <c r="BT210" s="1412" t="inlineStr">
        <is>
          <t>Rio-SSA</t>
        </is>
      </c>
      <c r="BU210" s="1412" t="n">
        <v>39804</v>
      </c>
      <c r="BV210" s="1398" t="inlineStr">
        <is>
          <t>.</t>
        </is>
      </c>
      <c r="BW210" s="1392" t="n"/>
      <c r="BX210" s="1392" t="n"/>
      <c r="BY210" s="1392" t="n"/>
      <c r="BZ210" s="1416" t="n"/>
      <c r="CA210" s="1392" t="n"/>
      <c r="CB210" s="1398" t="inlineStr">
        <is>
          <t>.</t>
        </is>
      </c>
      <c r="CC210" s="1400">
        <f>IF(CD210&lt;&gt;"",CC209+1,CC209)</f>
        <v/>
      </c>
      <c r="CD210" s="1411" t="inlineStr">
        <is>
          <t>Mike</t>
        </is>
      </c>
      <c r="CE210" s="1412" t="n">
        <v>45283</v>
      </c>
      <c r="CF210" s="1412" t="n">
        <v>45285</v>
      </c>
      <c r="CG210" s="1415">
        <f>CF210-CE210</f>
        <v/>
      </c>
      <c r="CH210" s="1398" t="inlineStr">
        <is>
          <t>.</t>
        </is>
      </c>
      <c r="CI210" s="1392" t="n"/>
      <c r="CJ210" s="1392" t="n"/>
      <c r="CK210" s="1392" t="n"/>
      <c r="CL210" s="1392" t="n"/>
    </row>
    <row r="211">
      <c r="A211" s="5" t="inlineStr">
        <is>
          <t>.</t>
        </is>
      </c>
      <c r="B211" s="5" t="inlineStr">
        <is>
          <t>.</t>
        </is>
      </c>
      <c r="C211" s="1378">
        <f>IF(raw[[#This Row],[city]]="","-",IF(raw[[#This Row],[city]]="TODAY","-",C210+1))</f>
        <v/>
      </c>
      <c r="D211" s="1393" t="inlineStr">
        <is>
          <t>Salisbury</t>
        </is>
      </c>
      <c r="E211" s="1394" t="n">
        <v>32800</v>
      </c>
      <c r="F211" s="1394" t="n">
        <v>32800</v>
      </c>
      <c r="G211" s="1393" t="inlineStr">
        <is>
          <t>-</t>
        </is>
      </c>
      <c r="H211" s="1393">
        <f>H210</f>
        <v/>
      </c>
      <c r="I211" s="1393" t="inlineStr">
        <is>
          <t>-</t>
        </is>
      </c>
      <c r="J211" s="1393" t="inlineStr">
        <is>
          <t>-</t>
        </is>
      </c>
      <c r="K211" s="1395">
        <f>IF(raw[[#This Row],[city]]&lt;&gt;"",_xlfn.XLOOKUP($D211,ccc[city],ccc[prov],"-"),"-")</f>
        <v/>
      </c>
      <c r="L211" s="1395">
        <f>IF(raw[[#This Row],[city]]&lt;&gt;"",_xlfn.XLOOKUP($D211,ccc[city],ccc[ctry],"-"),"-")</f>
        <v/>
      </c>
      <c r="M211" s="1395">
        <f>IF(raw[[#This Row],[city]]&lt;&gt;"",_xlfn.XLOOKUP($D211,ccc[city],ccc[cont],"-"),"-")</f>
        <v/>
      </c>
      <c r="N211" s="1396">
        <f>IF(raw[[#This Row],[city]]="","-",IF(raw[[#This Row],[cont]]="B",raw[[#This Row],[cont]],"W"))</f>
        <v/>
      </c>
      <c r="O211" s="1397">
        <f>IF(raw[[#This Row],[out]]=0,0,IF(raw[[#This Row],[out]]=raw[[#This Row],[in]],0.01,raw[[#This Row],[out]]-raw[[#This Row],[in]]))</f>
        <v/>
      </c>
      <c r="P211" s="1397">
        <f>IF(raw[[#This Row],[in]]=0,0,MONTH(raw[[#This Row],[in]]))</f>
        <v/>
      </c>
      <c r="Q211" s="1397">
        <f>IF(raw[[#This Row],[in]]=0,0,YEAR(raw[[#This Row],[in]]))</f>
        <v/>
      </c>
      <c r="R211" s="1397">
        <f>INT(raw[[#This Row],[yr]]/10)*10</f>
        <v/>
      </c>
      <c r="S211" s="1395">
        <f>IF(raw[[#This Row],[city]]="","-",IF(raw[[#This Row],[city]]&lt;&gt;_xlfn.XLOOKUP(raw[[#This Row],[home]],homes[home],homes[city],"-"),1,0))</f>
        <v/>
      </c>
      <c r="T211" s="1398" t="inlineStr">
        <is>
          <t>.</t>
        </is>
      </c>
      <c r="U211" s="1399">
        <f>IF(raw[[#This Row],[wb]]="w",raw[[#This Row],[stay]]+U210,U210)</f>
        <v/>
      </c>
      <c r="V211" s="1400">
        <f>IF(raw[[#This Row],[out]]=0,V210,(raw[[#This Row],[out]]-E$5))</f>
        <v/>
      </c>
      <c r="W211" s="1401">
        <f>U211/V211</f>
        <v/>
      </c>
      <c r="X211" s="1378" t="inlineStr">
        <is>
          <t>.</t>
        </is>
      </c>
      <c r="Y211" s="1402">
        <f/>
        <v/>
      </c>
      <c r="Z211" s="1403">
        <f/>
        <v/>
      </c>
      <c r="AA211" s="1403">
        <f/>
        <v/>
      </c>
      <c r="AB211" s="1400">
        <f t="array" ref="AB211">_xlfn.LET(_xlpm.S,_xlfn.ANCHORARRAY($Y$4),_xlpm.r,ROWS(stayCity[[#Headers],[city]]:stayCity[[#This Row],[city]])-1,IF(_xlpm.r&lt;=ROWS(_xlpm.S),INDEX(_xlpm.S,_xlpm.r,1),""))</f>
        <v/>
      </c>
      <c r="AC211" s="1405">
        <f t="array" ref="AC211">_xlfn.LET(_xlpm.S,_xlfn.ANCHORARRAY($Y$4),_xlpm.r,ROWS(stayCity[[#Headers],[city]]:stayCity[[#This Row],[city]])-1,IF(_xlpm.r&lt;=ROWS(_xlpm.S),INDEX(_xlpm.S,_xlpm.r,2),""))</f>
        <v/>
      </c>
      <c r="AD211" s="1405">
        <f t="array" ref="AD211">_xlfn.LET(_xlpm.S,_xlfn.ANCHORARRAY($Y$4),_xlpm.r,ROWS(stayCity[[#Headers],[city]]:stayCity[[#This Row],[city]])-1,IF(_xlpm.r&lt;=ROWS(_xlpm.S),INDEX(_xlpm.S,_xlpm.r,3),""))</f>
        <v/>
      </c>
      <c r="AE211" s="1400">
        <f>IF(stayCity[[#This Row],[out]]&lt;&gt;"",stayCity[[#This Row],[out]]-stayCity[[#This Row],[in]],"-")</f>
        <v/>
      </c>
      <c r="AF211" s="1406">
        <f>IF(Y211="","-",YEAR(stayCity[[#This Row],[in]]))</f>
        <v/>
      </c>
      <c r="AG211" s="1398" t="inlineStr">
        <is>
          <t>.</t>
        </is>
      </c>
      <c r="AH211" s="1402">
        <f/>
        <v/>
      </c>
      <c r="AI211" s="1403">
        <f/>
        <v/>
      </c>
      <c r="AJ211" s="1403">
        <f/>
        <v/>
      </c>
      <c r="AK211" s="1400">
        <f>IF(AH211="","-",AH211)</f>
        <v/>
      </c>
      <c r="AL211" s="1405">
        <f>AI211</f>
        <v/>
      </c>
      <c r="AM211" s="1405">
        <f>AJ211</f>
        <v/>
      </c>
      <c r="AN211" s="1400">
        <f>stayCtry[[#This Row],[out]]-stayCtry[[#This Row],[in]]</f>
        <v/>
      </c>
      <c r="AO211" s="1406">
        <f>IF(AI211&lt;&gt;"",AO210+1,AO210)</f>
        <v/>
      </c>
      <c r="AP211" s="1398" t="inlineStr">
        <is>
          <t>.</t>
        </is>
      </c>
      <c r="AQ211" s="1402" t="n"/>
      <c r="AR211" s="1403" t="n"/>
      <c r="AS211" s="1403" t="n"/>
      <c r="AT211" s="1400">
        <f>AQ211</f>
        <v/>
      </c>
      <c r="AU211" s="1405">
        <f>AR211</f>
        <v/>
      </c>
      <c r="AV211" s="1405">
        <f>AS211</f>
        <v/>
      </c>
      <c r="AW211" s="1400">
        <f>stayCont[[#This Row],[out]]-stayCont[[#This Row],[in]]</f>
        <v/>
      </c>
      <c r="AX211" s="1406">
        <f>IF(AR211&lt;&gt;"",AX210+1,AX210)</f>
        <v/>
      </c>
      <c r="AY211" s="1398" t="inlineStr">
        <is>
          <t>.</t>
        </is>
      </c>
      <c r="AZ211" s="1402" t="n"/>
      <c r="BA211" s="1403" t="n"/>
      <c r="BB211" s="1403" t="n"/>
      <c r="BC211" s="1405">
        <f>AZ211</f>
        <v/>
      </c>
      <c r="BD211" s="1405">
        <f>BA211</f>
        <v/>
      </c>
      <c r="BE211" s="1405">
        <f>BB211</f>
        <v/>
      </c>
      <c r="BF211" s="1400">
        <f>stayWB[[#This Row],[out]]-stayWB[[#This Row],[in]]</f>
        <v/>
      </c>
      <c r="BG211" s="1400">
        <f>IF(BB211&lt;&gt;"",BG210+1,BG210)</f>
        <v/>
      </c>
      <c r="BH211" s="1398" t="inlineStr">
        <is>
          <t>.</t>
        </is>
      </c>
      <c r="BI211" s="1402" t="inlineStr">
        <is>
          <t>PRT</t>
        </is>
      </c>
      <c r="BJ211" s="1402" t="n">
        <v>2018</v>
      </c>
      <c r="BK211" s="1400">
        <f>BI211</f>
        <v/>
      </c>
      <c r="BL211" s="1409">
        <f>BJ211</f>
        <v/>
      </c>
      <c r="BM211" s="1378" t="inlineStr">
        <is>
          <t>.</t>
        </is>
      </c>
      <c r="BN211" s="1411" t="n"/>
      <c r="BO211" s="1400">
        <f>BN211</f>
        <v/>
      </c>
      <c r="BP211" s="1398" t="inlineStr">
        <is>
          <t>.</t>
        </is>
      </c>
      <c r="BQ211" s="1400">
        <f>IF(BR211&lt;&gt;"",BQ210+1,BQ210)</f>
        <v/>
      </c>
      <c r="BR211" s="1411" t="inlineStr">
        <is>
          <t>SSA</t>
        </is>
      </c>
      <c r="BS211" s="1411" t="inlineStr">
        <is>
          <t>SP</t>
        </is>
      </c>
      <c r="BT211" s="1412" t="inlineStr">
        <is>
          <t>SSA-SP</t>
        </is>
      </c>
      <c r="BU211" s="1412" t="n">
        <v>39889</v>
      </c>
      <c r="BV211" s="1398" t="inlineStr">
        <is>
          <t>.</t>
        </is>
      </c>
      <c r="BW211" s="1392" t="n"/>
      <c r="BX211" s="1392" t="n"/>
      <c r="BY211" s="1392" t="n"/>
      <c r="BZ211" s="1416" t="n"/>
      <c r="CA211" s="1392" t="n"/>
      <c r="CB211" s="1398" t="inlineStr">
        <is>
          <t>.</t>
        </is>
      </c>
      <c r="CC211" s="1400">
        <f>IF(CD211&lt;&gt;"",CC210+1,CC210)</f>
        <v/>
      </c>
      <c r="CD211" s="1411" t="inlineStr">
        <is>
          <t>Mike</t>
        </is>
      </c>
      <c r="CE211" s="1412" t="n">
        <v>45330</v>
      </c>
      <c r="CF211" s="1412" t="n">
        <v>45332</v>
      </c>
      <c r="CG211" s="1415">
        <f>CF211-CE211</f>
        <v/>
      </c>
      <c r="CH211" s="1398" t="inlineStr">
        <is>
          <t>.</t>
        </is>
      </c>
      <c r="CI211" s="1392" t="n"/>
      <c r="CJ211" s="1392" t="n"/>
      <c r="CK211" s="1392" t="n"/>
      <c r="CL211" s="1392" t="n"/>
    </row>
    <row r="212">
      <c r="A212" s="5" t="inlineStr">
        <is>
          <t>.</t>
        </is>
      </c>
      <c r="B212" s="5" t="inlineStr">
        <is>
          <t>.</t>
        </is>
      </c>
      <c r="C212" s="1378">
        <f>IF(raw[[#This Row],[city]]="","-",IF(raw[[#This Row],[city]]="TODAY","-",C211+1))</f>
        <v/>
      </c>
      <c r="D212" s="1393" t="inlineStr">
        <is>
          <t>Hastings</t>
        </is>
      </c>
      <c r="E212" s="1394" t="n">
        <v>32800</v>
      </c>
      <c r="F212" s="1394" t="n">
        <v>32800</v>
      </c>
      <c r="G212" s="1393" t="inlineStr">
        <is>
          <t>-</t>
        </is>
      </c>
      <c r="H212" s="1393">
        <f>H211</f>
        <v/>
      </c>
      <c r="I212" s="1393" t="n"/>
      <c r="J212" s="1393" t="inlineStr">
        <is>
          <t>-</t>
        </is>
      </c>
      <c r="K212" s="1395">
        <f>IF(raw[[#This Row],[city]]&lt;&gt;"",_xlfn.XLOOKUP($D212,ccc[city],ccc[prov],"-"),"-")</f>
        <v/>
      </c>
      <c r="L212" s="1395">
        <f>IF(raw[[#This Row],[city]]&lt;&gt;"",_xlfn.XLOOKUP($D212,ccc[city],ccc[ctry],"-"),"-")</f>
        <v/>
      </c>
      <c r="M212" s="1395">
        <f>IF(raw[[#This Row],[city]]&lt;&gt;"",_xlfn.XLOOKUP($D212,ccc[city],ccc[cont],"-"),"-")</f>
        <v/>
      </c>
      <c r="N212" s="1396">
        <f>IF(raw[[#This Row],[city]]="","-",IF(raw[[#This Row],[cont]]="B",raw[[#This Row],[cont]],"W"))</f>
        <v/>
      </c>
      <c r="O212" s="1397">
        <f>IF(raw[[#This Row],[out]]=0,0,IF(raw[[#This Row],[out]]=raw[[#This Row],[in]],0.01,raw[[#This Row],[out]]-raw[[#This Row],[in]]))</f>
        <v/>
      </c>
      <c r="P212" s="1397">
        <f>IF(raw[[#This Row],[in]]=0,0,MONTH(raw[[#This Row],[in]]))</f>
        <v/>
      </c>
      <c r="Q212" s="1397">
        <f>IF(raw[[#This Row],[in]]=0,0,YEAR(raw[[#This Row],[in]]))</f>
        <v/>
      </c>
      <c r="R212" s="1397">
        <f>INT(raw[[#This Row],[yr]]/10)*10</f>
        <v/>
      </c>
      <c r="S212" s="1395">
        <f>IF(raw[[#This Row],[city]]="","-",IF(raw[[#This Row],[city]]&lt;&gt;_xlfn.XLOOKUP(raw[[#This Row],[home]],homes[home],homes[city],"-"),1,0))</f>
        <v/>
      </c>
      <c r="T212" s="1398" t="inlineStr">
        <is>
          <t>.</t>
        </is>
      </c>
      <c r="U212" s="1399">
        <f>IF(raw[[#This Row],[wb]]="w",raw[[#This Row],[stay]]+U211,U211)</f>
        <v/>
      </c>
      <c r="V212" s="1400">
        <f>IF(raw[[#This Row],[out]]=0,V211,(raw[[#This Row],[out]]-E$5))</f>
        <v/>
      </c>
      <c r="W212" s="1401">
        <f>U212/V212</f>
        <v/>
      </c>
      <c r="X212" s="1378" t="inlineStr">
        <is>
          <t>.</t>
        </is>
      </c>
      <c r="Y212" s="1402">
        <f/>
        <v/>
      </c>
      <c r="Z212" s="1403">
        <f/>
        <v/>
      </c>
      <c r="AA212" s="1403">
        <f/>
        <v/>
      </c>
      <c r="AB212" s="1400">
        <f t="array" ref="AB212">_xlfn.LET(_xlpm.S,_xlfn.ANCHORARRAY($Y$4),_xlpm.r,ROWS(stayCity[[#Headers],[city]]:stayCity[[#This Row],[city]])-1,IF(_xlpm.r&lt;=ROWS(_xlpm.S),INDEX(_xlpm.S,_xlpm.r,1),""))</f>
        <v/>
      </c>
      <c r="AC212" s="1405">
        <f t="array" ref="AC212">_xlfn.LET(_xlpm.S,_xlfn.ANCHORARRAY($Y$4),_xlpm.r,ROWS(stayCity[[#Headers],[city]]:stayCity[[#This Row],[city]])-1,IF(_xlpm.r&lt;=ROWS(_xlpm.S),INDEX(_xlpm.S,_xlpm.r,2),""))</f>
        <v/>
      </c>
      <c r="AD212" s="1405">
        <f t="array" ref="AD212">_xlfn.LET(_xlpm.S,_xlfn.ANCHORARRAY($Y$4),_xlpm.r,ROWS(stayCity[[#Headers],[city]]:stayCity[[#This Row],[city]])-1,IF(_xlpm.r&lt;=ROWS(_xlpm.S),INDEX(_xlpm.S,_xlpm.r,3),""))</f>
        <v/>
      </c>
      <c r="AE212" s="1400">
        <f>IF(stayCity[[#This Row],[out]]&lt;&gt;"",stayCity[[#This Row],[out]]-stayCity[[#This Row],[in]],"-")</f>
        <v/>
      </c>
      <c r="AF212" s="1406">
        <f>IF(Y212="","-",YEAR(stayCity[[#This Row],[in]]))</f>
        <v/>
      </c>
      <c r="AG212" s="1398" t="inlineStr">
        <is>
          <t>.</t>
        </is>
      </c>
      <c r="AH212" s="1402">
        <f/>
        <v/>
      </c>
      <c r="AI212" s="1403">
        <f/>
        <v/>
      </c>
      <c r="AJ212" s="1403">
        <f/>
        <v/>
      </c>
      <c r="AK212" s="1400">
        <f>IF(AH212="","-",AH212)</f>
        <v/>
      </c>
      <c r="AL212" s="1405">
        <f>AI212</f>
        <v/>
      </c>
      <c r="AM212" s="1405">
        <f>AJ212</f>
        <v/>
      </c>
      <c r="AN212" s="1400">
        <f>stayCtry[[#This Row],[out]]-stayCtry[[#This Row],[in]]</f>
        <v/>
      </c>
      <c r="AO212" s="1406">
        <f>IF(AI212&lt;&gt;"",AO211+1,AO211)</f>
        <v/>
      </c>
      <c r="AP212" s="1398" t="inlineStr">
        <is>
          <t>.</t>
        </is>
      </c>
      <c r="AQ212" s="1402" t="n"/>
      <c r="AR212" s="1403" t="n"/>
      <c r="AS212" s="1403" t="n"/>
      <c r="AT212" s="1400">
        <f>AQ212</f>
        <v/>
      </c>
      <c r="AU212" s="1405">
        <f>AR212</f>
        <v/>
      </c>
      <c r="AV212" s="1405">
        <f>AS212</f>
        <v/>
      </c>
      <c r="AW212" s="1400">
        <f>stayCont[[#This Row],[out]]-stayCont[[#This Row],[in]]</f>
        <v/>
      </c>
      <c r="AX212" s="1406">
        <f>IF(AR212&lt;&gt;"",AX211+1,AX211)</f>
        <v/>
      </c>
      <c r="AY212" s="1398" t="inlineStr">
        <is>
          <t>.</t>
        </is>
      </c>
      <c r="AZ212" s="1402" t="n"/>
      <c r="BA212" s="1403" t="n"/>
      <c r="BB212" s="1403" t="n"/>
      <c r="BC212" s="1405">
        <f>AZ212</f>
        <v/>
      </c>
      <c r="BD212" s="1405">
        <f>BA212</f>
        <v/>
      </c>
      <c r="BE212" s="1405">
        <f>BB212</f>
        <v/>
      </c>
      <c r="BF212" s="1400">
        <f>stayWB[[#This Row],[out]]-stayWB[[#This Row],[in]]</f>
        <v/>
      </c>
      <c r="BG212" s="1400">
        <f>IF(BB212&lt;&gt;"",BG211+1,BG211)</f>
        <v/>
      </c>
      <c r="BH212" s="1398" t="inlineStr">
        <is>
          <t>.</t>
        </is>
      </c>
      <c r="BI212" s="1402" t="inlineStr">
        <is>
          <t>CAN</t>
        </is>
      </c>
      <c r="BJ212" s="1402" t="n">
        <v>2018</v>
      </c>
      <c r="BK212" s="1400">
        <f>BI212</f>
        <v/>
      </c>
      <c r="BL212" s="1409">
        <f>BJ212</f>
        <v/>
      </c>
      <c r="BM212" s="1378" t="inlineStr">
        <is>
          <t>.</t>
        </is>
      </c>
      <c r="BN212" s="1411" t="n"/>
      <c r="BO212" s="1400">
        <f>BN212</f>
        <v/>
      </c>
      <c r="BP212" s="1398" t="inlineStr">
        <is>
          <t>.</t>
        </is>
      </c>
      <c r="BQ212" s="1400">
        <f>IF(BR212&lt;&gt;"",BQ211+1,BQ211)</f>
        <v/>
      </c>
      <c r="BR212" s="1411" t="inlineStr">
        <is>
          <t>SP</t>
        </is>
      </c>
      <c r="BS212" s="1411" t="inlineStr">
        <is>
          <t>Zurich</t>
        </is>
      </c>
      <c r="BT212" s="1412" t="inlineStr">
        <is>
          <t>SP-Zurich</t>
        </is>
      </c>
      <c r="BU212" s="1412" t="n">
        <v>39910</v>
      </c>
      <c r="BV212" s="1398" t="inlineStr">
        <is>
          <t>.</t>
        </is>
      </c>
      <c r="BW212" s="1392" t="n"/>
      <c r="BX212" s="1392" t="n"/>
      <c r="BY212" s="1392" t="n"/>
      <c r="BZ212" s="1416" t="n"/>
      <c r="CA212" s="1392" t="n"/>
      <c r="CB212" s="1398" t="inlineStr">
        <is>
          <t>.</t>
        </is>
      </c>
      <c r="CC212" s="1400">
        <f>IF(CD212&lt;&gt;"",CC211+1,CC211)</f>
        <v/>
      </c>
      <c r="CD212" s="1411" t="inlineStr">
        <is>
          <t>Mike</t>
        </is>
      </c>
      <c r="CE212" s="1412" t="n">
        <v>45381</v>
      </c>
      <c r="CF212" s="1412" t="n">
        <v>45382</v>
      </c>
      <c r="CG212" s="1415">
        <f>CF212-CE212</f>
        <v/>
      </c>
      <c r="CH212" s="1398" t="inlineStr">
        <is>
          <t>.</t>
        </is>
      </c>
      <c r="CI212" s="1392" t="n"/>
      <c r="CJ212" s="1392" t="n"/>
      <c r="CK212" s="1392" t="n"/>
      <c r="CL212" s="1392" t="n"/>
    </row>
    <row r="213">
      <c r="A213" s="5" t="inlineStr">
        <is>
          <t>.</t>
        </is>
      </c>
      <c r="B213" s="5" t="inlineStr">
        <is>
          <t>.</t>
        </is>
      </c>
      <c r="C213" s="1378">
        <f>IF(raw[[#This Row],[city]]="","-",IF(raw[[#This Row],[city]]="TODAY","-",C212+1))</f>
        <v/>
      </c>
      <c r="D213" s="1393" t="inlineStr">
        <is>
          <t>Bath</t>
        </is>
      </c>
      <c r="E213" s="1394" t="n">
        <v>32800</v>
      </c>
      <c r="F213" s="1394" t="n">
        <v>32800</v>
      </c>
      <c r="G213" s="1393" t="inlineStr">
        <is>
          <t>-</t>
        </is>
      </c>
      <c r="H213" s="1393">
        <f>H212</f>
        <v/>
      </c>
      <c r="I213" s="1393" t="inlineStr">
        <is>
          <t>-</t>
        </is>
      </c>
      <c r="J213" s="1393" t="inlineStr">
        <is>
          <t>-</t>
        </is>
      </c>
      <c r="K213" s="1395">
        <f>IF(raw[[#This Row],[city]]&lt;&gt;"",_xlfn.XLOOKUP($D213,ccc[city],ccc[prov],"-"),"-")</f>
        <v/>
      </c>
      <c r="L213" s="1395">
        <f>IF(raw[[#This Row],[city]]&lt;&gt;"",_xlfn.XLOOKUP($D213,ccc[city],ccc[ctry],"-"),"-")</f>
        <v/>
      </c>
      <c r="M213" s="1395">
        <f>IF(raw[[#This Row],[city]]&lt;&gt;"",_xlfn.XLOOKUP($D213,ccc[city],ccc[cont],"-"),"-")</f>
        <v/>
      </c>
      <c r="N213" s="1396">
        <f>IF(raw[[#This Row],[city]]="","-",IF(raw[[#This Row],[cont]]="B",raw[[#This Row],[cont]],"W"))</f>
        <v/>
      </c>
      <c r="O213" s="1397">
        <f>IF(raw[[#This Row],[out]]=0,0,IF(raw[[#This Row],[out]]=raw[[#This Row],[in]],0.01,raw[[#This Row],[out]]-raw[[#This Row],[in]]))</f>
        <v/>
      </c>
      <c r="P213" s="1397">
        <f>IF(raw[[#This Row],[in]]=0,0,MONTH(raw[[#This Row],[in]]))</f>
        <v/>
      </c>
      <c r="Q213" s="1397">
        <f>IF(raw[[#This Row],[in]]=0,0,YEAR(raw[[#This Row],[in]]))</f>
        <v/>
      </c>
      <c r="R213" s="1397">
        <f>INT(raw[[#This Row],[yr]]/10)*10</f>
        <v/>
      </c>
      <c r="S213" s="1395">
        <f>IF(raw[[#This Row],[city]]="","-",IF(raw[[#This Row],[city]]&lt;&gt;_xlfn.XLOOKUP(raw[[#This Row],[home]],homes[home],homes[city],"-"),1,0))</f>
        <v/>
      </c>
      <c r="T213" s="1398" t="inlineStr">
        <is>
          <t>.</t>
        </is>
      </c>
      <c r="U213" s="1399">
        <f>IF(raw[[#This Row],[wb]]="w",raw[[#This Row],[stay]]+U212,U212)</f>
        <v/>
      </c>
      <c r="V213" s="1400">
        <f>IF(raw[[#This Row],[out]]=0,V212,(raw[[#This Row],[out]]-E$5))</f>
        <v/>
      </c>
      <c r="W213" s="1401">
        <f>U213/V213</f>
        <v/>
      </c>
      <c r="X213" s="1378" t="inlineStr">
        <is>
          <t>.</t>
        </is>
      </c>
      <c r="Y213" s="1402">
        <f/>
        <v/>
      </c>
      <c r="Z213" s="1403">
        <f/>
        <v/>
      </c>
      <c r="AA213" s="1403">
        <f/>
        <v/>
      </c>
      <c r="AB213" s="1400">
        <f t="array" ref="AB213">_xlfn.LET(_xlpm.S,_xlfn.ANCHORARRAY($Y$4),_xlpm.r,ROWS(stayCity[[#Headers],[city]]:stayCity[[#This Row],[city]])-1,IF(_xlpm.r&lt;=ROWS(_xlpm.S),INDEX(_xlpm.S,_xlpm.r,1),""))</f>
        <v/>
      </c>
      <c r="AC213" s="1405">
        <f t="array" ref="AC213">_xlfn.LET(_xlpm.S,_xlfn.ANCHORARRAY($Y$4),_xlpm.r,ROWS(stayCity[[#Headers],[city]]:stayCity[[#This Row],[city]])-1,IF(_xlpm.r&lt;=ROWS(_xlpm.S),INDEX(_xlpm.S,_xlpm.r,2),""))</f>
        <v/>
      </c>
      <c r="AD213" s="1405">
        <f t="array" ref="AD213">_xlfn.LET(_xlpm.S,_xlfn.ANCHORARRAY($Y$4),_xlpm.r,ROWS(stayCity[[#Headers],[city]]:stayCity[[#This Row],[city]])-1,IF(_xlpm.r&lt;=ROWS(_xlpm.S),INDEX(_xlpm.S,_xlpm.r,3),""))</f>
        <v/>
      </c>
      <c r="AE213" s="1400">
        <f>IF(stayCity[[#This Row],[out]]&lt;&gt;"",stayCity[[#This Row],[out]]-stayCity[[#This Row],[in]],"-")</f>
        <v/>
      </c>
      <c r="AF213" s="1406">
        <f>IF(Y213="","-",YEAR(stayCity[[#This Row],[in]]))</f>
        <v/>
      </c>
      <c r="AG213" s="1398" t="inlineStr">
        <is>
          <t>.</t>
        </is>
      </c>
      <c r="AH213" s="1402">
        <f/>
        <v/>
      </c>
      <c r="AI213" s="1420">
        <f/>
        <v/>
      </c>
      <c r="AJ213" s="1420">
        <f/>
        <v/>
      </c>
      <c r="AK213" s="1400">
        <f>IF(AH213="","-",AH213)</f>
        <v/>
      </c>
      <c r="AL213" s="1405">
        <f>AI213</f>
        <v/>
      </c>
      <c r="AM213" s="1405">
        <f>AJ213</f>
        <v/>
      </c>
      <c r="AN213" s="1400">
        <f>stayCtry[[#This Row],[out]]-stayCtry[[#This Row],[in]]</f>
        <v/>
      </c>
      <c r="AO213" s="1406">
        <f>IF(AI213&lt;&gt;"",AO212+1,AO212)</f>
        <v/>
      </c>
      <c r="AP213" s="1398" t="inlineStr">
        <is>
          <t>.</t>
        </is>
      </c>
      <c r="AQ213" s="1402" t="n"/>
      <c r="AR213" s="1403" t="n"/>
      <c r="AS213" s="1403" t="n"/>
      <c r="AT213" s="1400">
        <f>AQ213</f>
        <v/>
      </c>
      <c r="AU213" s="1405">
        <f>AR213</f>
        <v/>
      </c>
      <c r="AV213" s="1405">
        <f>AS213</f>
        <v/>
      </c>
      <c r="AW213" s="1400">
        <f>stayCont[[#This Row],[out]]-stayCont[[#This Row],[in]]</f>
        <v/>
      </c>
      <c r="AX213" s="1406">
        <f>IF(AR213&lt;&gt;"",AX212+1,AX212)</f>
        <v/>
      </c>
      <c r="AY213" s="1398" t="inlineStr">
        <is>
          <t>.</t>
        </is>
      </c>
      <c r="AZ213" s="1402" t="n"/>
      <c r="BA213" s="1403" t="n"/>
      <c r="BB213" s="1403" t="n"/>
      <c r="BC213" s="1405">
        <f>AZ213</f>
        <v/>
      </c>
      <c r="BD213" s="1405">
        <f>BA213</f>
        <v/>
      </c>
      <c r="BE213" s="1405">
        <f>BB213</f>
        <v/>
      </c>
      <c r="BF213" s="1400">
        <f>stayWB[[#This Row],[out]]-stayWB[[#This Row],[in]]</f>
        <v/>
      </c>
      <c r="BG213" s="1400">
        <f>IF(BB213&lt;&gt;"",BG212+1,BG212)</f>
        <v/>
      </c>
      <c r="BH213" s="1398" t="inlineStr">
        <is>
          <t>.</t>
        </is>
      </c>
      <c r="BI213" s="1402" t="inlineStr">
        <is>
          <t>PAN</t>
        </is>
      </c>
      <c r="BJ213" s="1402" t="n">
        <v>2019</v>
      </c>
      <c r="BK213" s="1400">
        <f>BI213</f>
        <v/>
      </c>
      <c r="BL213" s="1409">
        <f>BJ213</f>
        <v/>
      </c>
      <c r="BM213" s="1378" t="inlineStr">
        <is>
          <t>.</t>
        </is>
      </c>
      <c r="BN213" s="1411" t="n"/>
      <c r="BO213" s="1400">
        <f>BN213</f>
        <v/>
      </c>
      <c r="BP213" s="1398" t="inlineStr">
        <is>
          <t>.</t>
        </is>
      </c>
      <c r="BQ213" s="1400">
        <f>IF(BR213&lt;&gt;"",BQ212+1,BQ212)</f>
        <v/>
      </c>
      <c r="BR213" s="1411" t="inlineStr">
        <is>
          <t>Zurich</t>
        </is>
      </c>
      <c r="BS213" s="1411" t="inlineStr">
        <is>
          <t>Paris</t>
        </is>
      </c>
      <c r="BT213" s="1412" t="inlineStr">
        <is>
          <t>Zurich-Paris</t>
        </is>
      </c>
      <c r="BU213" s="1412" t="n">
        <v>39911</v>
      </c>
      <c r="BV213" s="1398" t="inlineStr">
        <is>
          <t>.</t>
        </is>
      </c>
      <c r="BW213" s="1392" t="n"/>
      <c r="BX213" s="1392" t="n"/>
      <c r="BY213" s="1392" t="n"/>
      <c r="BZ213" s="1416" t="n"/>
      <c r="CA213" s="1392" t="n"/>
      <c r="CB213" s="1398" t="inlineStr">
        <is>
          <t>.</t>
        </is>
      </c>
      <c r="CC213" s="1400">
        <f>IF(CD213&lt;&gt;"",CC212+1,CC212)</f>
        <v/>
      </c>
      <c r="CD213" s="1411" t="inlineStr">
        <is>
          <t>Marcelo/Carignan</t>
        </is>
      </c>
      <c r="CE213" s="1412" t="n">
        <v>45450</v>
      </c>
      <c r="CF213" s="1412" t="n">
        <v>45452</v>
      </c>
      <c r="CG213" s="1415">
        <f>CF213-CE213</f>
        <v/>
      </c>
      <c r="CH213" s="1398" t="inlineStr">
        <is>
          <t>.</t>
        </is>
      </c>
      <c r="CI213" s="1392" t="n"/>
      <c r="CJ213" s="1392" t="n"/>
      <c r="CK213" s="1392" t="n"/>
      <c r="CL213" s="1392" t="n"/>
    </row>
    <row r="214">
      <c r="A214" s="5" t="inlineStr">
        <is>
          <t>.</t>
        </is>
      </c>
      <c r="B214" s="5" t="inlineStr">
        <is>
          <t>.</t>
        </is>
      </c>
      <c r="C214" s="1378">
        <f>IF(raw[[#This Row],[city]]="","-",IF(raw[[#This Row],[city]]="TODAY","-",C213+1))</f>
        <v/>
      </c>
      <c r="D214" s="1393" t="inlineStr">
        <is>
          <t>Stonehenge</t>
        </is>
      </c>
      <c r="E214" s="1394" t="n">
        <v>32800</v>
      </c>
      <c r="F214" s="1394" t="n">
        <v>32800</v>
      </c>
      <c r="G214" s="1393" t="inlineStr">
        <is>
          <t>-</t>
        </is>
      </c>
      <c r="H214" s="1393">
        <f>H213</f>
        <v/>
      </c>
      <c r="I214" s="1393" t="n"/>
      <c r="J214" s="1393" t="inlineStr">
        <is>
          <t>-</t>
        </is>
      </c>
      <c r="K214" s="1395">
        <f>IF(raw[[#This Row],[city]]&lt;&gt;"",_xlfn.XLOOKUP($D214,ccc[city],ccc[prov],"-"),"-")</f>
        <v/>
      </c>
      <c r="L214" s="1395">
        <f>IF(raw[[#This Row],[city]]&lt;&gt;"",_xlfn.XLOOKUP($D214,ccc[city],ccc[ctry],"-"),"-")</f>
        <v/>
      </c>
      <c r="M214" s="1395">
        <f>IF(raw[[#This Row],[city]]&lt;&gt;"",_xlfn.XLOOKUP($D214,ccc[city],ccc[cont],"-"),"-")</f>
        <v/>
      </c>
      <c r="N214" s="1396">
        <f>IF(raw[[#This Row],[city]]="","-",IF(raw[[#This Row],[cont]]="B",raw[[#This Row],[cont]],"W"))</f>
        <v/>
      </c>
      <c r="O214" s="1397">
        <f>IF(raw[[#This Row],[out]]=0,0,IF(raw[[#This Row],[out]]=raw[[#This Row],[in]],0.01,raw[[#This Row],[out]]-raw[[#This Row],[in]]))</f>
        <v/>
      </c>
      <c r="P214" s="1397">
        <f>IF(raw[[#This Row],[in]]=0,0,MONTH(raw[[#This Row],[in]]))</f>
        <v/>
      </c>
      <c r="Q214" s="1397">
        <f>IF(raw[[#This Row],[in]]=0,0,YEAR(raw[[#This Row],[in]]))</f>
        <v/>
      </c>
      <c r="R214" s="1397">
        <f>INT(raw[[#This Row],[yr]]/10)*10</f>
        <v/>
      </c>
      <c r="S214" s="1395">
        <f>IF(raw[[#This Row],[city]]="","-",IF(raw[[#This Row],[city]]&lt;&gt;_xlfn.XLOOKUP(raw[[#This Row],[home]],homes[home],homes[city],"-"),1,0))</f>
        <v/>
      </c>
      <c r="T214" s="1398" t="inlineStr">
        <is>
          <t>.</t>
        </is>
      </c>
      <c r="U214" s="1399">
        <f>IF(raw[[#This Row],[wb]]="w",raw[[#This Row],[stay]]+U213,U213)</f>
        <v/>
      </c>
      <c r="V214" s="1400">
        <f>IF(raw[[#This Row],[out]]=0,V213,(raw[[#This Row],[out]]-E$5))</f>
        <v/>
      </c>
      <c r="W214" s="1401">
        <f>U214/V214</f>
        <v/>
      </c>
      <c r="X214" s="1378" t="inlineStr">
        <is>
          <t>.</t>
        </is>
      </c>
      <c r="Y214" s="1402">
        <f/>
        <v/>
      </c>
      <c r="Z214" s="1403">
        <f/>
        <v/>
      </c>
      <c r="AA214" s="1403">
        <f/>
        <v/>
      </c>
      <c r="AB214" s="1400">
        <f t="array" ref="AB214">_xlfn.LET(_xlpm.S,_xlfn.ANCHORARRAY($Y$4),_xlpm.r,ROWS(stayCity[[#Headers],[city]]:stayCity[[#This Row],[city]])-1,IF(_xlpm.r&lt;=ROWS(_xlpm.S),INDEX(_xlpm.S,_xlpm.r,1),""))</f>
        <v/>
      </c>
      <c r="AC214" s="1405">
        <f t="array" ref="AC214">_xlfn.LET(_xlpm.S,_xlfn.ANCHORARRAY($Y$4),_xlpm.r,ROWS(stayCity[[#Headers],[city]]:stayCity[[#This Row],[city]])-1,IF(_xlpm.r&lt;=ROWS(_xlpm.S),INDEX(_xlpm.S,_xlpm.r,2),""))</f>
        <v/>
      </c>
      <c r="AD214" s="1405">
        <f t="array" ref="AD214">_xlfn.LET(_xlpm.S,_xlfn.ANCHORARRAY($Y$4),_xlpm.r,ROWS(stayCity[[#Headers],[city]]:stayCity[[#This Row],[city]])-1,IF(_xlpm.r&lt;=ROWS(_xlpm.S),INDEX(_xlpm.S,_xlpm.r,3),""))</f>
        <v/>
      </c>
      <c r="AE214" s="1400">
        <f>IF(stayCity[[#This Row],[out]]&lt;&gt;"",stayCity[[#This Row],[out]]-stayCity[[#This Row],[in]],"-")</f>
        <v/>
      </c>
      <c r="AF214" s="1406">
        <f>IF(Y214="","-",YEAR(stayCity[[#This Row],[in]]))</f>
        <v/>
      </c>
      <c r="AG214" s="1398" t="inlineStr">
        <is>
          <t>.</t>
        </is>
      </c>
      <c r="AH214" s="1402">
        <f/>
        <v/>
      </c>
      <c r="AI214" s="1420">
        <f/>
        <v/>
      </c>
      <c r="AJ214" s="1420">
        <f/>
        <v/>
      </c>
      <c r="AK214" s="1400">
        <f>IF(AH214="","-",AH214)</f>
        <v/>
      </c>
      <c r="AL214" s="1405">
        <f>AI214</f>
        <v/>
      </c>
      <c r="AM214" s="1405">
        <f>AJ214</f>
        <v/>
      </c>
      <c r="AN214" s="1400">
        <f>stayCtry[[#This Row],[out]]-stayCtry[[#This Row],[in]]</f>
        <v/>
      </c>
      <c r="AO214" s="1406">
        <f>IF(AI214&lt;&gt;"",AO213+1,AO213)</f>
        <v/>
      </c>
      <c r="AP214" s="1398" t="inlineStr">
        <is>
          <t>.</t>
        </is>
      </c>
      <c r="AQ214" s="1402" t="n"/>
      <c r="AR214" s="1403" t="n"/>
      <c r="AS214" s="1403" t="n"/>
      <c r="AT214" s="1400">
        <f>AQ214</f>
        <v/>
      </c>
      <c r="AU214" s="1405">
        <f>AR214</f>
        <v/>
      </c>
      <c r="AV214" s="1405">
        <f>AS214</f>
        <v/>
      </c>
      <c r="AW214" s="1400">
        <f>stayCont[[#This Row],[out]]-stayCont[[#This Row],[in]]</f>
        <v/>
      </c>
      <c r="AX214" s="1406">
        <f>IF(AR214&lt;&gt;"",AX213+1,AX213)</f>
        <v/>
      </c>
      <c r="AY214" s="1398" t="inlineStr">
        <is>
          <t>.</t>
        </is>
      </c>
      <c r="AZ214" s="1402" t="n"/>
      <c r="BA214" s="1403" t="n"/>
      <c r="BB214" s="1403" t="n"/>
      <c r="BC214" s="1405">
        <f>AZ214</f>
        <v/>
      </c>
      <c r="BD214" s="1405">
        <f>BA214</f>
        <v/>
      </c>
      <c r="BE214" s="1405">
        <f>BB214</f>
        <v/>
      </c>
      <c r="BF214" s="1400">
        <f>stayWB[[#This Row],[out]]-stayWB[[#This Row],[in]]</f>
        <v/>
      </c>
      <c r="BG214" s="1400">
        <f>IF(BB214&lt;&gt;"",BG213+1,BG213)</f>
        <v/>
      </c>
      <c r="BH214" s="1398" t="inlineStr">
        <is>
          <t>.</t>
        </is>
      </c>
      <c r="BI214" s="1402" t="inlineStr">
        <is>
          <t>BRA</t>
        </is>
      </c>
      <c r="BJ214" s="1402" t="n">
        <v>2019</v>
      </c>
      <c r="BK214" s="1400">
        <f>BI214</f>
        <v/>
      </c>
      <c r="BL214" s="1409">
        <f>BJ214</f>
        <v/>
      </c>
      <c r="BM214" s="1378" t="inlineStr">
        <is>
          <t>.</t>
        </is>
      </c>
      <c r="BN214" s="1411" t="n"/>
      <c r="BO214" s="1400">
        <f>BN214</f>
        <v/>
      </c>
      <c r="BP214" s="1398" t="inlineStr">
        <is>
          <t>.</t>
        </is>
      </c>
      <c r="BQ214" s="1400">
        <f>IF(BR214&lt;&gt;"",BQ213+1,BQ213)</f>
        <v/>
      </c>
      <c r="BR214" s="1411" t="inlineStr">
        <is>
          <t>London</t>
        </is>
      </c>
      <c r="BS214" s="1411" t="inlineStr">
        <is>
          <t>Dublin</t>
        </is>
      </c>
      <c r="BT214" s="1412" t="inlineStr">
        <is>
          <t>London-Dublin</t>
        </is>
      </c>
      <c r="BU214" s="1412" t="n">
        <v>39975</v>
      </c>
      <c r="BV214" s="1398" t="inlineStr">
        <is>
          <t>.</t>
        </is>
      </c>
      <c r="BW214" s="1392" t="n"/>
      <c r="BX214" s="1392" t="n"/>
      <c r="BY214" s="1392" t="n"/>
      <c r="BZ214" s="1416" t="n"/>
      <c r="CA214" s="1392" t="n"/>
      <c r="CB214" s="1398" t="inlineStr">
        <is>
          <t>.</t>
        </is>
      </c>
      <c r="CC214" s="1400">
        <f>IF(CD214&lt;&gt;"",CC213+1,CC213)</f>
        <v/>
      </c>
      <c r="CD214" s="1411" t="inlineStr">
        <is>
          <t>Ondina</t>
        </is>
      </c>
      <c r="CE214" s="1412" t="n">
        <v>45471</v>
      </c>
      <c r="CF214" s="1412" t="n">
        <v>45489</v>
      </c>
      <c r="CG214" s="1415">
        <f>CF214-CE214</f>
        <v/>
      </c>
      <c r="CH214" s="1398" t="inlineStr">
        <is>
          <t>.</t>
        </is>
      </c>
      <c r="CI214" s="1392" t="n"/>
      <c r="CJ214" s="1392" t="n"/>
      <c r="CK214" s="1392" t="n"/>
      <c r="CL214" s="1392" t="n"/>
    </row>
    <row r="215">
      <c r="A215" s="5" t="inlineStr">
        <is>
          <t>.</t>
        </is>
      </c>
      <c r="B215" s="5" t="inlineStr">
        <is>
          <t>.</t>
        </is>
      </c>
      <c r="C215" s="1378">
        <f>IF(raw[[#This Row],[city]]="","-",IF(raw[[#This Row],[city]]="TODAY","-",C214+1))</f>
        <v/>
      </c>
      <c r="D215" s="1393" t="inlineStr">
        <is>
          <t>Stratford</t>
        </is>
      </c>
      <c r="E215" s="1394" t="n">
        <v>32800</v>
      </c>
      <c r="F215" s="1394" t="n">
        <v>32801</v>
      </c>
      <c r="G215" s="1393" t="inlineStr">
        <is>
          <t>-</t>
        </is>
      </c>
      <c r="H215" s="1393">
        <f>H214</f>
        <v/>
      </c>
      <c r="I215" s="1393" t="inlineStr">
        <is>
          <t>-</t>
        </is>
      </c>
      <c r="J215" s="1393" t="inlineStr">
        <is>
          <t>-</t>
        </is>
      </c>
      <c r="K215" s="1395">
        <f>IF(raw[[#This Row],[city]]&lt;&gt;"",_xlfn.XLOOKUP($D215,ccc[city],ccc[prov],"-"),"-")</f>
        <v/>
      </c>
      <c r="L215" s="1395">
        <f>IF(raw[[#This Row],[city]]&lt;&gt;"",_xlfn.XLOOKUP($D215,ccc[city],ccc[ctry],"-"),"-")</f>
        <v/>
      </c>
      <c r="M215" s="1395">
        <f>IF(raw[[#This Row],[city]]&lt;&gt;"",_xlfn.XLOOKUP($D215,ccc[city],ccc[cont],"-"),"-")</f>
        <v/>
      </c>
      <c r="N215" s="1396">
        <f>IF(raw[[#This Row],[city]]="","-",IF(raw[[#This Row],[cont]]="B",raw[[#This Row],[cont]],"W"))</f>
        <v/>
      </c>
      <c r="O215" s="1397">
        <f>IF(raw[[#This Row],[out]]=0,0,IF(raw[[#This Row],[out]]=raw[[#This Row],[in]],0.01,raw[[#This Row],[out]]-raw[[#This Row],[in]]))</f>
        <v/>
      </c>
      <c r="P215" s="1397">
        <f>IF(raw[[#This Row],[in]]=0,0,MONTH(raw[[#This Row],[in]]))</f>
        <v/>
      </c>
      <c r="Q215" s="1397">
        <f>IF(raw[[#This Row],[in]]=0,0,YEAR(raw[[#This Row],[in]]))</f>
        <v/>
      </c>
      <c r="R215" s="1397">
        <f>INT(raw[[#This Row],[yr]]/10)*10</f>
        <v/>
      </c>
      <c r="S215" s="1395">
        <f>IF(raw[[#This Row],[city]]="","-",IF(raw[[#This Row],[city]]&lt;&gt;_xlfn.XLOOKUP(raw[[#This Row],[home]],homes[home],homes[city],"-"),1,0))</f>
        <v/>
      </c>
      <c r="T215" s="1398" t="inlineStr">
        <is>
          <t>.</t>
        </is>
      </c>
      <c r="U215" s="1399">
        <f>IF(raw[[#This Row],[wb]]="w",raw[[#This Row],[stay]]+U214,U214)</f>
        <v/>
      </c>
      <c r="V215" s="1400">
        <f>IF(raw[[#This Row],[out]]=0,V214,(raw[[#This Row],[out]]-E$5))</f>
        <v/>
      </c>
      <c r="W215" s="1401">
        <f>U215/V215</f>
        <v/>
      </c>
      <c r="X215" s="1378" t="inlineStr">
        <is>
          <t>.</t>
        </is>
      </c>
      <c r="Y215" s="1402">
        <f/>
        <v/>
      </c>
      <c r="Z215" s="1403">
        <f/>
        <v/>
      </c>
      <c r="AA215" s="1403">
        <f/>
        <v/>
      </c>
      <c r="AB215" s="1400">
        <f t="array" ref="AB215">_xlfn.LET(_xlpm.S,_xlfn.ANCHORARRAY($Y$4),_xlpm.r,ROWS(stayCity[[#Headers],[city]]:stayCity[[#This Row],[city]])-1,IF(_xlpm.r&lt;=ROWS(_xlpm.S),INDEX(_xlpm.S,_xlpm.r,1),""))</f>
        <v/>
      </c>
      <c r="AC215" s="1405">
        <f t="array" ref="AC215">_xlfn.LET(_xlpm.S,_xlfn.ANCHORARRAY($Y$4),_xlpm.r,ROWS(stayCity[[#Headers],[city]]:stayCity[[#This Row],[city]])-1,IF(_xlpm.r&lt;=ROWS(_xlpm.S),INDEX(_xlpm.S,_xlpm.r,2),""))</f>
        <v/>
      </c>
      <c r="AD215" s="1405">
        <f t="array" ref="AD215">_xlfn.LET(_xlpm.S,_xlfn.ANCHORARRAY($Y$4),_xlpm.r,ROWS(stayCity[[#Headers],[city]]:stayCity[[#This Row],[city]])-1,IF(_xlpm.r&lt;=ROWS(_xlpm.S),INDEX(_xlpm.S,_xlpm.r,3),""))</f>
        <v/>
      </c>
      <c r="AE215" s="1400">
        <f>IF(stayCity[[#This Row],[out]]&lt;&gt;"",stayCity[[#This Row],[out]]-stayCity[[#This Row],[in]],"-")</f>
        <v/>
      </c>
      <c r="AF215" s="1406">
        <f>IF(Y215="","-",YEAR(stayCity[[#This Row],[in]]))</f>
        <v/>
      </c>
      <c r="AG215" s="1398" t="inlineStr">
        <is>
          <t>.</t>
        </is>
      </c>
      <c r="AH215" s="1402">
        <f/>
        <v/>
      </c>
      <c r="AI215" s="1420">
        <f/>
        <v/>
      </c>
      <c r="AJ215" s="1420">
        <f/>
        <v/>
      </c>
      <c r="AK215" s="1400">
        <f>IF(AH215="","-",AH215)</f>
        <v/>
      </c>
      <c r="AL215" s="1405">
        <f>AI215</f>
        <v/>
      </c>
      <c r="AM215" s="1405">
        <f>AJ215</f>
        <v/>
      </c>
      <c r="AN215" s="1400">
        <f>stayCtry[[#This Row],[out]]-stayCtry[[#This Row],[in]]</f>
        <v/>
      </c>
      <c r="AO215" s="1406">
        <f>IF(AI215&lt;&gt;"",AO214+1,AO214)</f>
        <v/>
      </c>
      <c r="AP215" s="1398" t="inlineStr">
        <is>
          <t>.</t>
        </is>
      </c>
      <c r="AQ215" s="1402" t="n"/>
      <c r="AR215" s="1403" t="n"/>
      <c r="AS215" s="1403" t="n"/>
      <c r="AT215" s="1400">
        <f>AQ215</f>
        <v/>
      </c>
      <c r="AU215" s="1405">
        <f>AR215</f>
        <v/>
      </c>
      <c r="AV215" s="1405">
        <f>AS215</f>
        <v/>
      </c>
      <c r="AW215" s="1400">
        <f>stayCont[[#This Row],[out]]-stayCont[[#This Row],[in]]</f>
        <v/>
      </c>
      <c r="AX215" s="1406">
        <f>IF(AR215&lt;&gt;"",AX214+1,AX214)</f>
        <v/>
      </c>
      <c r="AY215" s="1398" t="inlineStr">
        <is>
          <t>.</t>
        </is>
      </c>
      <c r="AZ215" s="1402" t="n"/>
      <c r="BA215" s="1403" t="n"/>
      <c r="BB215" s="1403" t="n"/>
      <c r="BC215" s="1405">
        <f>AZ215</f>
        <v/>
      </c>
      <c r="BD215" s="1405">
        <f>BA215</f>
        <v/>
      </c>
      <c r="BE215" s="1405">
        <f>BB215</f>
        <v/>
      </c>
      <c r="BF215" s="1400">
        <f>stayWB[[#This Row],[out]]-stayWB[[#This Row],[in]]</f>
        <v/>
      </c>
      <c r="BG215" s="1400">
        <f>IF(BB215&lt;&gt;"",BG214+1,BG214)</f>
        <v/>
      </c>
      <c r="BH215" s="1398" t="inlineStr">
        <is>
          <t>.</t>
        </is>
      </c>
      <c r="BI215" s="1402" t="inlineStr">
        <is>
          <t>USA</t>
        </is>
      </c>
      <c r="BJ215" s="1402" t="n">
        <v>2019</v>
      </c>
      <c r="BK215" s="1400">
        <f>BI215</f>
        <v/>
      </c>
      <c r="BL215" s="1409">
        <f>BJ215</f>
        <v/>
      </c>
      <c r="BM215" s="1378" t="inlineStr">
        <is>
          <t>.</t>
        </is>
      </c>
      <c r="BN215" s="1411" t="n"/>
      <c r="BO215" s="1400">
        <f>BN215</f>
        <v/>
      </c>
      <c r="BP215" s="1398" t="inlineStr">
        <is>
          <t>.</t>
        </is>
      </c>
      <c r="BQ215" s="1400">
        <f>IF(BR215&lt;&gt;"",BQ214+1,BQ214)</f>
        <v/>
      </c>
      <c r="BR215" s="1411" t="inlineStr">
        <is>
          <t>Dublin</t>
        </is>
      </c>
      <c r="BS215" s="1411" t="inlineStr">
        <is>
          <t>London</t>
        </is>
      </c>
      <c r="BT215" s="1412" t="inlineStr">
        <is>
          <t>Dublin-London</t>
        </is>
      </c>
      <c r="BU215" s="1412" t="n">
        <v>39979</v>
      </c>
      <c r="BV215" s="1398" t="inlineStr">
        <is>
          <t>.</t>
        </is>
      </c>
      <c r="BW215" s="1392" t="n"/>
      <c r="BX215" s="1392" t="n"/>
      <c r="BY215" s="1392" t="n"/>
      <c r="BZ215" s="1416" t="n"/>
      <c r="CA215" s="1392" t="n"/>
      <c r="CB215" s="1398" t="inlineStr">
        <is>
          <t>.</t>
        </is>
      </c>
      <c r="CC215" s="1400">
        <f>IF(CD215&lt;&gt;"",CC214+1,CC214)</f>
        <v/>
      </c>
      <c r="CD215" s="1411" t="inlineStr">
        <is>
          <t>Stu</t>
        </is>
      </c>
      <c r="CE215" s="1412" t="n">
        <v>45540</v>
      </c>
      <c r="CF215" s="1412" t="n">
        <v>45543</v>
      </c>
      <c r="CG215" s="1415">
        <f>CF215-CE215</f>
        <v/>
      </c>
      <c r="CH215" s="1398" t="inlineStr">
        <is>
          <t>.</t>
        </is>
      </c>
      <c r="CI215" s="1392" t="n"/>
      <c r="CJ215" s="1392" t="n"/>
      <c r="CK215" s="1392" t="n"/>
      <c r="CL215" s="1392" t="n"/>
    </row>
    <row r="216">
      <c r="A216" s="5" t="inlineStr">
        <is>
          <t>.</t>
        </is>
      </c>
      <c r="B216" s="5" t="inlineStr">
        <is>
          <t>.</t>
        </is>
      </c>
      <c r="C216" s="1378">
        <f>IF(raw[[#This Row],[city]]="","-",IF(raw[[#This Row],[city]]="TODAY","-",C215+1))</f>
        <v/>
      </c>
      <c r="D216" s="1393" t="inlineStr">
        <is>
          <t>Bristol</t>
        </is>
      </c>
      <c r="E216" s="1394" t="n">
        <v>32801</v>
      </c>
      <c r="F216" s="1394" t="n">
        <v>32801</v>
      </c>
      <c r="G216" s="1393" t="inlineStr">
        <is>
          <t>-</t>
        </is>
      </c>
      <c r="H216" s="1393">
        <f>H215</f>
        <v/>
      </c>
      <c r="I216" s="1393" t="n"/>
      <c r="J216" s="1393" t="inlineStr">
        <is>
          <t>-</t>
        </is>
      </c>
      <c r="K216" s="1395">
        <f>IF(raw[[#This Row],[city]]&lt;&gt;"",_xlfn.XLOOKUP($D216,ccc[city],ccc[prov],"-"),"-")</f>
        <v/>
      </c>
      <c r="L216" s="1395">
        <f>IF(raw[[#This Row],[city]]&lt;&gt;"",_xlfn.XLOOKUP($D216,ccc[city],ccc[ctry],"-"),"-")</f>
        <v/>
      </c>
      <c r="M216" s="1395">
        <f>IF(raw[[#This Row],[city]]&lt;&gt;"",_xlfn.XLOOKUP($D216,ccc[city],ccc[cont],"-"),"-")</f>
        <v/>
      </c>
      <c r="N216" s="1396">
        <f>IF(raw[[#This Row],[city]]="","-",IF(raw[[#This Row],[cont]]="B",raw[[#This Row],[cont]],"W"))</f>
        <v/>
      </c>
      <c r="O216" s="1397">
        <f>IF(raw[[#This Row],[out]]=0,0,IF(raw[[#This Row],[out]]=raw[[#This Row],[in]],0.01,raw[[#This Row],[out]]-raw[[#This Row],[in]]))</f>
        <v/>
      </c>
      <c r="P216" s="1397">
        <f>IF(raw[[#This Row],[in]]=0,0,MONTH(raw[[#This Row],[in]]))</f>
        <v/>
      </c>
      <c r="Q216" s="1397">
        <f>IF(raw[[#This Row],[in]]=0,0,YEAR(raw[[#This Row],[in]]))</f>
        <v/>
      </c>
      <c r="R216" s="1397">
        <f>INT(raw[[#This Row],[yr]]/10)*10</f>
        <v/>
      </c>
      <c r="S216" s="1395">
        <f>IF(raw[[#This Row],[city]]="","-",IF(raw[[#This Row],[city]]&lt;&gt;_xlfn.XLOOKUP(raw[[#This Row],[home]],homes[home],homes[city],"-"),1,0))</f>
        <v/>
      </c>
      <c r="T216" s="1398" t="inlineStr">
        <is>
          <t>.</t>
        </is>
      </c>
      <c r="U216" s="1399">
        <f>IF(raw[[#This Row],[wb]]="w",raw[[#This Row],[stay]]+U215,U215)</f>
        <v/>
      </c>
      <c r="V216" s="1400">
        <f>IF(raw[[#This Row],[out]]=0,V215,(raw[[#This Row],[out]]-E$5))</f>
        <v/>
      </c>
      <c r="W216" s="1401">
        <f>U216/V216</f>
        <v/>
      </c>
      <c r="X216" s="1378" t="inlineStr">
        <is>
          <t>.</t>
        </is>
      </c>
      <c r="Y216" s="1402">
        <f/>
        <v/>
      </c>
      <c r="Z216" s="1403">
        <f/>
        <v/>
      </c>
      <c r="AA216" s="1403">
        <f/>
        <v/>
      </c>
      <c r="AB216" s="1400">
        <f t="array" ref="AB216">_xlfn.LET(_xlpm.S,_xlfn.ANCHORARRAY($Y$4),_xlpm.r,ROWS(stayCity[[#Headers],[city]]:stayCity[[#This Row],[city]])-1,IF(_xlpm.r&lt;=ROWS(_xlpm.S),INDEX(_xlpm.S,_xlpm.r,1),""))</f>
        <v/>
      </c>
      <c r="AC216" s="1405">
        <f t="array" ref="AC216">_xlfn.LET(_xlpm.S,_xlfn.ANCHORARRAY($Y$4),_xlpm.r,ROWS(stayCity[[#Headers],[city]]:stayCity[[#This Row],[city]])-1,IF(_xlpm.r&lt;=ROWS(_xlpm.S),INDEX(_xlpm.S,_xlpm.r,2),""))</f>
        <v/>
      </c>
      <c r="AD216" s="1405">
        <f t="array" ref="AD216">_xlfn.LET(_xlpm.S,_xlfn.ANCHORARRAY($Y$4),_xlpm.r,ROWS(stayCity[[#Headers],[city]]:stayCity[[#This Row],[city]])-1,IF(_xlpm.r&lt;=ROWS(_xlpm.S),INDEX(_xlpm.S,_xlpm.r,3),""))</f>
        <v/>
      </c>
      <c r="AE216" s="1400">
        <f>IF(stayCity[[#This Row],[out]]&lt;&gt;"",stayCity[[#This Row],[out]]-stayCity[[#This Row],[in]],"-")</f>
        <v/>
      </c>
      <c r="AF216" s="1406">
        <f>IF(Y216="","-",YEAR(stayCity[[#This Row],[in]]))</f>
        <v/>
      </c>
      <c r="AG216" s="1398" t="inlineStr">
        <is>
          <t>.</t>
        </is>
      </c>
      <c r="AH216" s="1402">
        <f/>
        <v/>
      </c>
      <c r="AI216" s="1420">
        <f/>
        <v/>
      </c>
      <c r="AJ216" s="1420">
        <f/>
        <v/>
      </c>
      <c r="AK216" s="1400">
        <f>IF(AH216="","-",AH216)</f>
        <v/>
      </c>
      <c r="AL216" s="1405">
        <f>AI216</f>
        <v/>
      </c>
      <c r="AM216" s="1405">
        <f>AJ216</f>
        <v/>
      </c>
      <c r="AN216" s="1400">
        <f>stayCtry[[#This Row],[out]]-stayCtry[[#This Row],[in]]</f>
        <v/>
      </c>
      <c r="AO216" s="1406">
        <f>IF(AI216&lt;&gt;"",AO215+1,AO215)</f>
        <v/>
      </c>
      <c r="AP216" s="1398" t="inlineStr">
        <is>
          <t>.</t>
        </is>
      </c>
      <c r="AQ216" s="1402" t="n"/>
      <c r="AR216" s="1403" t="n"/>
      <c r="AS216" s="1403" t="n"/>
      <c r="AT216" s="1400">
        <f>AQ216</f>
        <v/>
      </c>
      <c r="AU216" s="1405">
        <f>AR216</f>
        <v/>
      </c>
      <c r="AV216" s="1405">
        <f>AS216</f>
        <v/>
      </c>
      <c r="AW216" s="1400">
        <f>stayCont[[#This Row],[out]]-stayCont[[#This Row],[in]]</f>
        <v/>
      </c>
      <c r="AX216" s="1406">
        <f>IF(AR216&lt;&gt;"",AX215+1,AX215)</f>
        <v/>
      </c>
      <c r="AY216" s="1398" t="inlineStr">
        <is>
          <t>.</t>
        </is>
      </c>
      <c r="AZ216" s="1402" t="n"/>
      <c r="BA216" s="1403" t="n"/>
      <c r="BB216" s="1403" t="n"/>
      <c r="BC216" s="1405">
        <f>AZ216</f>
        <v/>
      </c>
      <c r="BD216" s="1405">
        <f>BA216</f>
        <v/>
      </c>
      <c r="BE216" s="1405">
        <f>BB216</f>
        <v/>
      </c>
      <c r="BF216" s="1400">
        <f>stayWB[[#This Row],[out]]-stayWB[[#This Row],[in]]</f>
        <v/>
      </c>
      <c r="BG216" s="1400">
        <f>IF(BB216&lt;&gt;"",BG215+1,BG215)</f>
        <v/>
      </c>
      <c r="BH216" s="1398" t="inlineStr">
        <is>
          <t>.</t>
        </is>
      </c>
      <c r="BI216" s="1402" t="inlineStr">
        <is>
          <t>CAN</t>
        </is>
      </c>
      <c r="BJ216" s="1402" t="n">
        <v>2019</v>
      </c>
      <c r="BK216" s="1400">
        <f>BI216</f>
        <v/>
      </c>
      <c r="BL216" s="1409">
        <f>BJ216</f>
        <v/>
      </c>
      <c r="BM216" s="1378" t="inlineStr">
        <is>
          <t>.</t>
        </is>
      </c>
      <c r="BN216" s="1411" t="n"/>
      <c r="BO216" s="1400">
        <f>BN216</f>
        <v/>
      </c>
      <c r="BP216" s="1398" t="inlineStr">
        <is>
          <t>.</t>
        </is>
      </c>
      <c r="BQ216" s="1400">
        <f>IF(BR216&lt;&gt;"",BQ215+1,BQ215)</f>
        <v/>
      </c>
      <c r="BR216" s="1411" t="inlineStr">
        <is>
          <t>London</t>
        </is>
      </c>
      <c r="BS216" s="1411" t="inlineStr">
        <is>
          <t>Venice</t>
        </is>
      </c>
      <c r="BT216" s="1412" t="inlineStr">
        <is>
          <t>London-Venice</t>
        </is>
      </c>
      <c r="BU216" s="1412" t="n">
        <v>40060</v>
      </c>
      <c r="BV216" s="1398" t="inlineStr">
        <is>
          <t>.</t>
        </is>
      </c>
      <c r="BW216" s="1392" t="n"/>
      <c r="BX216" s="1392" t="n"/>
      <c r="BY216" s="1392" t="n"/>
      <c r="BZ216" s="1416" t="n"/>
      <c r="CA216" s="1392" t="n"/>
      <c r="CB216" s="1398" t="inlineStr">
        <is>
          <t>.</t>
        </is>
      </c>
      <c r="CC216" s="1400">
        <f>IF(CD216&lt;&gt;"",CC215+1,CC215)</f>
        <v/>
      </c>
      <c r="CD216" s="1411" t="inlineStr">
        <is>
          <t>Thomas/Leslie</t>
        </is>
      </c>
      <c r="CE216" s="1412" t="n">
        <v>45543</v>
      </c>
      <c r="CF216" s="1412" t="n">
        <v>45548</v>
      </c>
      <c r="CG216" s="1415">
        <f>CF216-CE216</f>
        <v/>
      </c>
      <c r="CH216" s="1398" t="inlineStr">
        <is>
          <t>.</t>
        </is>
      </c>
      <c r="CI216" s="1392" t="n"/>
      <c r="CJ216" s="1392" t="n"/>
      <c r="CK216" s="1392" t="n"/>
      <c r="CL216" s="1392" t="n"/>
    </row>
    <row r="217">
      <c r="A217" s="5" t="inlineStr">
        <is>
          <t>.</t>
        </is>
      </c>
      <c r="B217" s="5" t="inlineStr">
        <is>
          <t>.</t>
        </is>
      </c>
      <c r="C217" s="1378">
        <f>IF(raw[[#This Row],[city]]="","-",IF(raw[[#This Row],[city]]="TODAY","-",C216+1))</f>
        <v/>
      </c>
      <c r="D217" s="1393" t="inlineStr">
        <is>
          <t>Chester</t>
        </is>
      </c>
      <c r="E217" s="1394" t="n">
        <v>32801</v>
      </c>
      <c r="F217" s="1394" t="n">
        <v>32802</v>
      </c>
      <c r="G217" s="1393" t="inlineStr">
        <is>
          <t>-</t>
        </is>
      </c>
      <c r="H217" s="1393">
        <f>H216</f>
        <v/>
      </c>
      <c r="I217" s="1393" t="inlineStr">
        <is>
          <t>-</t>
        </is>
      </c>
      <c r="J217" s="1393" t="inlineStr">
        <is>
          <t>-</t>
        </is>
      </c>
      <c r="K217" s="1395">
        <f>IF(raw[[#This Row],[city]]&lt;&gt;"",_xlfn.XLOOKUP($D217,ccc[city],ccc[prov],"-"),"-")</f>
        <v/>
      </c>
      <c r="L217" s="1395">
        <f>IF(raw[[#This Row],[city]]&lt;&gt;"",_xlfn.XLOOKUP($D217,ccc[city],ccc[ctry],"-"),"-")</f>
        <v/>
      </c>
      <c r="M217" s="1395">
        <f>IF(raw[[#This Row],[city]]&lt;&gt;"",_xlfn.XLOOKUP($D217,ccc[city],ccc[cont],"-"),"-")</f>
        <v/>
      </c>
      <c r="N217" s="1396">
        <f>IF(raw[[#This Row],[city]]="","-",IF(raw[[#This Row],[cont]]="B",raw[[#This Row],[cont]],"W"))</f>
        <v/>
      </c>
      <c r="O217" s="1397">
        <f>IF(raw[[#This Row],[out]]=0,0,IF(raw[[#This Row],[out]]=raw[[#This Row],[in]],0.01,raw[[#This Row],[out]]-raw[[#This Row],[in]]))</f>
        <v/>
      </c>
      <c r="P217" s="1397">
        <f>IF(raw[[#This Row],[in]]=0,0,MONTH(raw[[#This Row],[in]]))</f>
        <v/>
      </c>
      <c r="Q217" s="1397">
        <f>IF(raw[[#This Row],[in]]=0,0,YEAR(raw[[#This Row],[in]]))</f>
        <v/>
      </c>
      <c r="R217" s="1397">
        <f>INT(raw[[#This Row],[yr]]/10)*10</f>
        <v/>
      </c>
      <c r="S217" s="1395">
        <f>IF(raw[[#This Row],[city]]="","-",IF(raw[[#This Row],[city]]&lt;&gt;_xlfn.XLOOKUP(raw[[#This Row],[home]],homes[home],homes[city],"-"),1,0))</f>
        <v/>
      </c>
      <c r="T217" s="1398" t="inlineStr">
        <is>
          <t>.</t>
        </is>
      </c>
      <c r="U217" s="1399">
        <f>IF(raw[[#This Row],[wb]]="w",raw[[#This Row],[stay]]+U216,U216)</f>
        <v/>
      </c>
      <c r="V217" s="1400">
        <f>IF(raw[[#This Row],[out]]=0,V216,(raw[[#This Row],[out]]-E$5))</f>
        <v/>
      </c>
      <c r="W217" s="1401">
        <f>U217/V217</f>
        <v/>
      </c>
      <c r="X217" s="1378" t="inlineStr">
        <is>
          <t>.</t>
        </is>
      </c>
      <c r="Y217" s="1402">
        <f/>
        <v/>
      </c>
      <c r="Z217" s="1403">
        <f/>
        <v/>
      </c>
      <c r="AA217" s="1403">
        <f/>
        <v/>
      </c>
      <c r="AB217" s="1400">
        <f t="array" ref="AB217">_xlfn.LET(_xlpm.S,_xlfn.ANCHORARRAY($Y$4),_xlpm.r,ROWS(stayCity[[#Headers],[city]]:stayCity[[#This Row],[city]])-1,IF(_xlpm.r&lt;=ROWS(_xlpm.S),INDEX(_xlpm.S,_xlpm.r,1),""))</f>
        <v/>
      </c>
      <c r="AC217" s="1405">
        <f t="array" ref="AC217">_xlfn.LET(_xlpm.S,_xlfn.ANCHORARRAY($Y$4),_xlpm.r,ROWS(stayCity[[#Headers],[city]]:stayCity[[#This Row],[city]])-1,IF(_xlpm.r&lt;=ROWS(_xlpm.S),INDEX(_xlpm.S,_xlpm.r,2),""))</f>
        <v/>
      </c>
      <c r="AD217" s="1405">
        <f t="array" ref="AD217">_xlfn.LET(_xlpm.S,_xlfn.ANCHORARRAY($Y$4),_xlpm.r,ROWS(stayCity[[#Headers],[city]]:stayCity[[#This Row],[city]])-1,IF(_xlpm.r&lt;=ROWS(_xlpm.S),INDEX(_xlpm.S,_xlpm.r,3),""))</f>
        <v/>
      </c>
      <c r="AE217" s="1400">
        <f>IF(stayCity[[#This Row],[out]]&lt;&gt;"",stayCity[[#This Row],[out]]-stayCity[[#This Row],[in]],"-")</f>
        <v/>
      </c>
      <c r="AF217" s="1406">
        <f>IF(Y217="","-",YEAR(stayCity[[#This Row],[in]]))</f>
        <v/>
      </c>
      <c r="AG217" s="1398" t="inlineStr">
        <is>
          <t>.</t>
        </is>
      </c>
      <c r="AH217" s="1402">
        <f/>
        <v/>
      </c>
      <c r="AI217" s="1420">
        <f/>
        <v/>
      </c>
      <c r="AJ217" s="1420">
        <f/>
        <v/>
      </c>
      <c r="AK217" s="1400">
        <f>IF(AH217="","-",AH217)</f>
        <v/>
      </c>
      <c r="AL217" s="1405">
        <f>AI217</f>
        <v/>
      </c>
      <c r="AM217" s="1405">
        <f>AJ217</f>
        <v/>
      </c>
      <c r="AN217" s="1400">
        <f>stayCtry[[#This Row],[out]]-stayCtry[[#This Row],[in]]</f>
        <v/>
      </c>
      <c r="AO217" s="1406">
        <f>IF(AI217&lt;&gt;"",AO216+1,AO216)</f>
        <v/>
      </c>
      <c r="AP217" s="1398" t="inlineStr">
        <is>
          <t>.</t>
        </is>
      </c>
      <c r="AQ217" s="1402" t="n"/>
      <c r="AR217" s="1403" t="n"/>
      <c r="AS217" s="1403" t="n"/>
      <c r="AT217" s="1400">
        <f>AQ217</f>
        <v/>
      </c>
      <c r="AU217" s="1405">
        <f>AR217</f>
        <v/>
      </c>
      <c r="AV217" s="1405">
        <f>AS217</f>
        <v/>
      </c>
      <c r="AW217" s="1400">
        <f>stayCont[[#This Row],[out]]-stayCont[[#This Row],[in]]</f>
        <v/>
      </c>
      <c r="AX217" s="1406">
        <f>IF(AR217&lt;&gt;"",AX216+1,AX216)</f>
        <v/>
      </c>
      <c r="AY217" s="1398" t="inlineStr">
        <is>
          <t>.</t>
        </is>
      </c>
      <c r="AZ217" s="1402" t="n"/>
      <c r="BA217" s="1403" t="n"/>
      <c r="BB217" s="1403" t="n"/>
      <c r="BC217" s="1405">
        <f>AZ217</f>
        <v/>
      </c>
      <c r="BD217" s="1405">
        <f>BA217</f>
        <v/>
      </c>
      <c r="BE217" s="1405">
        <f>BB217</f>
        <v/>
      </c>
      <c r="BF217" s="1400">
        <f>stayWB[[#This Row],[out]]-stayWB[[#This Row],[in]]</f>
        <v/>
      </c>
      <c r="BG217" s="1400">
        <f>IF(BB217&lt;&gt;"",BG216+1,BG216)</f>
        <v/>
      </c>
      <c r="BH217" s="1398" t="inlineStr">
        <is>
          <t>.</t>
        </is>
      </c>
      <c r="BI217" s="1402" t="inlineStr">
        <is>
          <t>PAN</t>
        </is>
      </c>
      <c r="BJ217" s="1402" t="n">
        <v>2019</v>
      </c>
      <c r="BK217" s="1400">
        <f>BI217</f>
        <v/>
      </c>
      <c r="BL217" s="1409">
        <f>BJ217</f>
        <v/>
      </c>
      <c r="BM217" s="1378" t="inlineStr">
        <is>
          <t>.</t>
        </is>
      </c>
      <c r="BN217" s="1411" t="n"/>
      <c r="BO217" s="1400">
        <f>BN217</f>
        <v/>
      </c>
      <c r="BP217" s="1398" t="inlineStr">
        <is>
          <t>.</t>
        </is>
      </c>
      <c r="BQ217" s="1400">
        <f>IF(BR217&lt;&gt;"",BQ216+1,BQ216)</f>
        <v/>
      </c>
      <c r="BR217" s="1411" t="inlineStr">
        <is>
          <t>Venice</t>
        </is>
      </c>
      <c r="BS217" s="1411" t="inlineStr">
        <is>
          <t>Rome</t>
        </is>
      </c>
      <c r="BT217" s="1412" t="inlineStr">
        <is>
          <t>Venice-Rome</t>
        </is>
      </c>
      <c r="BU217" s="1412" t="n">
        <v>40069</v>
      </c>
      <c r="BV217" s="1398" t="inlineStr">
        <is>
          <t>.</t>
        </is>
      </c>
      <c r="BW217" s="1392" t="n"/>
      <c r="BX217" s="1392" t="n"/>
      <c r="BY217" s="1392" t="n"/>
      <c r="BZ217" s="1416" t="n"/>
      <c r="CA217" s="1392" t="n"/>
      <c r="CB217" s="1398" t="inlineStr">
        <is>
          <t>.</t>
        </is>
      </c>
      <c r="CC217" s="1400">
        <f>IF(CD217&lt;&gt;"",CC216+1,CC216)</f>
        <v/>
      </c>
      <c r="CD217" s="1411" t="inlineStr">
        <is>
          <t>Ondina</t>
        </is>
      </c>
      <c r="CE217" s="1412" t="n">
        <v>45580</v>
      </c>
      <c r="CF217" s="1412" t="n">
        <v>45598</v>
      </c>
      <c r="CG217" s="1415">
        <f>CF217-CE217</f>
        <v/>
      </c>
      <c r="CH217" s="1398" t="inlineStr">
        <is>
          <t>.</t>
        </is>
      </c>
      <c r="CI217" s="1392" t="n"/>
      <c r="CJ217" s="1392" t="n"/>
      <c r="CK217" s="1392" t="n"/>
      <c r="CL217" s="1392" t="n"/>
    </row>
    <row r="218">
      <c r="A218" s="5" t="inlineStr">
        <is>
          <t>.</t>
        </is>
      </c>
      <c r="B218" s="5" t="inlineStr">
        <is>
          <t>.</t>
        </is>
      </c>
      <c r="C218" s="1378">
        <f>IF(raw[[#This Row],[city]]="","-",IF(raw[[#This Row],[city]]="TODAY","-",C217+1))</f>
        <v/>
      </c>
      <c r="D218" s="1393" t="inlineStr">
        <is>
          <t>Lake District</t>
        </is>
      </c>
      <c r="E218" s="1394" t="n">
        <v>32802</v>
      </c>
      <c r="F218" s="1394" t="n">
        <v>32802</v>
      </c>
      <c r="G218" s="1393" t="inlineStr">
        <is>
          <t>-</t>
        </is>
      </c>
      <c r="H218" s="1393">
        <f>H217</f>
        <v/>
      </c>
      <c r="I218" s="1393" t="inlineStr">
        <is>
          <t>-</t>
        </is>
      </c>
      <c r="J218" s="1393" t="inlineStr">
        <is>
          <t>-</t>
        </is>
      </c>
      <c r="K218" s="1395">
        <f>IF(raw[[#This Row],[city]]&lt;&gt;"",_xlfn.XLOOKUP($D218,ccc[city],ccc[prov],"-"),"-")</f>
        <v/>
      </c>
      <c r="L218" s="1395">
        <f>IF(raw[[#This Row],[city]]&lt;&gt;"",_xlfn.XLOOKUP($D218,ccc[city],ccc[ctry],"-"),"-")</f>
        <v/>
      </c>
      <c r="M218" s="1395">
        <f>IF(raw[[#This Row],[city]]&lt;&gt;"",_xlfn.XLOOKUP($D218,ccc[city],ccc[cont],"-"),"-")</f>
        <v/>
      </c>
      <c r="N218" s="1396">
        <f>IF(raw[[#This Row],[city]]="","-",IF(raw[[#This Row],[cont]]="B",raw[[#This Row],[cont]],"W"))</f>
        <v/>
      </c>
      <c r="O218" s="1397">
        <f>IF(raw[[#This Row],[out]]=0,0,IF(raw[[#This Row],[out]]=raw[[#This Row],[in]],0.01,raw[[#This Row],[out]]-raw[[#This Row],[in]]))</f>
        <v/>
      </c>
      <c r="P218" s="1397">
        <f>IF(raw[[#This Row],[in]]=0,0,MONTH(raw[[#This Row],[in]]))</f>
        <v/>
      </c>
      <c r="Q218" s="1397">
        <f>IF(raw[[#This Row],[in]]=0,0,YEAR(raw[[#This Row],[in]]))</f>
        <v/>
      </c>
      <c r="R218" s="1397">
        <f>INT(raw[[#This Row],[yr]]/10)*10</f>
        <v/>
      </c>
      <c r="S218" s="1395">
        <f>IF(raw[[#This Row],[city]]="","-",IF(raw[[#This Row],[city]]&lt;&gt;_xlfn.XLOOKUP(raw[[#This Row],[home]],homes[home],homes[city],"-"),1,0))</f>
        <v/>
      </c>
      <c r="T218" s="1398" t="inlineStr">
        <is>
          <t>.</t>
        </is>
      </c>
      <c r="U218" s="1399">
        <f>IF(raw[[#This Row],[wb]]="w",raw[[#This Row],[stay]]+U217,U217)</f>
        <v/>
      </c>
      <c r="V218" s="1400">
        <f>IF(raw[[#This Row],[out]]=0,V217,(raw[[#This Row],[out]]-E$5))</f>
        <v/>
      </c>
      <c r="W218" s="1401">
        <f>U218/V218</f>
        <v/>
      </c>
      <c r="X218" s="1378" t="inlineStr">
        <is>
          <t>.</t>
        </is>
      </c>
      <c r="Y218" s="1402">
        <f/>
        <v/>
      </c>
      <c r="Z218" s="1403">
        <f/>
        <v/>
      </c>
      <c r="AA218" s="1403">
        <f/>
        <v/>
      </c>
      <c r="AB218" s="1400">
        <f t="array" ref="AB218">_xlfn.LET(_xlpm.S,_xlfn.ANCHORARRAY($Y$4),_xlpm.r,ROWS(stayCity[[#Headers],[city]]:stayCity[[#This Row],[city]])-1,IF(_xlpm.r&lt;=ROWS(_xlpm.S),INDEX(_xlpm.S,_xlpm.r,1),""))</f>
        <v/>
      </c>
      <c r="AC218" s="1405">
        <f t="array" ref="AC218">_xlfn.LET(_xlpm.S,_xlfn.ANCHORARRAY($Y$4),_xlpm.r,ROWS(stayCity[[#Headers],[city]]:stayCity[[#This Row],[city]])-1,IF(_xlpm.r&lt;=ROWS(_xlpm.S),INDEX(_xlpm.S,_xlpm.r,2),""))</f>
        <v/>
      </c>
      <c r="AD218" s="1405">
        <f t="array" ref="AD218">_xlfn.LET(_xlpm.S,_xlfn.ANCHORARRAY($Y$4),_xlpm.r,ROWS(stayCity[[#Headers],[city]]:stayCity[[#This Row],[city]])-1,IF(_xlpm.r&lt;=ROWS(_xlpm.S),INDEX(_xlpm.S,_xlpm.r,3),""))</f>
        <v/>
      </c>
      <c r="AE218" s="1400">
        <f>IF(stayCity[[#This Row],[out]]&lt;&gt;"",stayCity[[#This Row],[out]]-stayCity[[#This Row],[in]],"-")</f>
        <v/>
      </c>
      <c r="AF218" s="1406">
        <f>IF(Y218="","-",YEAR(stayCity[[#This Row],[in]]))</f>
        <v/>
      </c>
      <c r="AG218" s="1398" t="inlineStr">
        <is>
          <t>.</t>
        </is>
      </c>
      <c r="AH218" s="1402">
        <f/>
        <v/>
      </c>
      <c r="AI218" s="1420">
        <f/>
        <v/>
      </c>
      <c r="AJ218" s="1420">
        <f/>
        <v/>
      </c>
      <c r="AK218" s="1400">
        <f>IF(AH218="","-",AH218)</f>
        <v/>
      </c>
      <c r="AL218" s="1405">
        <f>AI218</f>
        <v/>
      </c>
      <c r="AM218" s="1405">
        <f>AJ218</f>
        <v/>
      </c>
      <c r="AN218" s="1400">
        <f>stayCtry[[#This Row],[out]]-stayCtry[[#This Row],[in]]</f>
        <v/>
      </c>
      <c r="AO218" s="1406">
        <f>IF(AI218&lt;&gt;"",AO217+1,AO217)</f>
        <v/>
      </c>
      <c r="AP218" s="1398" t="inlineStr">
        <is>
          <t>.</t>
        </is>
      </c>
      <c r="AQ218" s="1402" t="n"/>
      <c r="AR218" s="1403" t="n"/>
      <c r="AS218" s="1403" t="n"/>
      <c r="AT218" s="1400">
        <f>AQ218</f>
        <v/>
      </c>
      <c r="AU218" s="1405">
        <f>AR218</f>
        <v/>
      </c>
      <c r="AV218" s="1405">
        <f>AS218</f>
        <v/>
      </c>
      <c r="AW218" s="1400">
        <f>stayCont[[#This Row],[out]]-stayCont[[#This Row],[in]]</f>
        <v/>
      </c>
      <c r="AX218" s="1406">
        <f>IF(AR218&lt;&gt;"",AX217+1,AX217)</f>
        <v/>
      </c>
      <c r="AY218" s="1398" t="inlineStr">
        <is>
          <t>.</t>
        </is>
      </c>
      <c r="AZ218" s="1402" t="n"/>
      <c r="BA218" s="1403" t="n"/>
      <c r="BB218" s="1403" t="n"/>
      <c r="BC218" s="1405">
        <f>AZ218</f>
        <v/>
      </c>
      <c r="BD218" s="1405">
        <f>BA218</f>
        <v/>
      </c>
      <c r="BE218" s="1405">
        <f>BB218</f>
        <v/>
      </c>
      <c r="BF218" s="1400">
        <f>stayWB[[#This Row],[out]]-stayWB[[#This Row],[in]]</f>
        <v/>
      </c>
      <c r="BG218" s="1400">
        <f>IF(BB218&lt;&gt;"",BG217+1,BG217)</f>
        <v/>
      </c>
      <c r="BH218" s="1398" t="inlineStr">
        <is>
          <t>.</t>
        </is>
      </c>
      <c r="BI218" s="1402" t="inlineStr">
        <is>
          <t>BRA</t>
        </is>
      </c>
      <c r="BJ218" s="1402" t="n">
        <v>2019</v>
      </c>
      <c r="BK218" s="1400">
        <f>BI218</f>
        <v/>
      </c>
      <c r="BL218" s="1409">
        <f>BJ218</f>
        <v/>
      </c>
      <c r="BM218" s="1378" t="inlineStr">
        <is>
          <t>.</t>
        </is>
      </c>
      <c r="BN218" s="1411" t="n"/>
      <c r="BO218" s="1400">
        <f>BN218</f>
        <v/>
      </c>
      <c r="BP218" s="1398" t="inlineStr">
        <is>
          <t>.</t>
        </is>
      </c>
      <c r="BQ218" s="1400">
        <f>IF(BR218&lt;&gt;"",BQ217+1,BQ217)</f>
        <v/>
      </c>
      <c r="BR218" s="1411" t="inlineStr">
        <is>
          <t>Rome</t>
        </is>
      </c>
      <c r="BS218" s="1411" t="inlineStr">
        <is>
          <t>London</t>
        </is>
      </c>
      <c r="BT218" s="1412" t="inlineStr">
        <is>
          <t>Rome-London</t>
        </is>
      </c>
      <c r="BU218" s="1412" t="n">
        <v>40072</v>
      </c>
      <c r="BV218" s="1398" t="inlineStr">
        <is>
          <t>.</t>
        </is>
      </c>
      <c r="BW218" s="1392" t="n"/>
      <c r="BX218" s="1392" t="n"/>
      <c r="BY218" s="1392" t="n"/>
      <c r="BZ218" s="1416" t="n"/>
      <c r="CA218" s="1392" t="n"/>
      <c r="CB218" s="1398" t="inlineStr">
        <is>
          <t>.</t>
        </is>
      </c>
      <c r="CC218" s="1400">
        <f>IF(CD218&lt;&gt;"",CC217+1,CC217)</f>
        <v/>
      </c>
      <c r="CD218" s="1411" t="inlineStr">
        <is>
          <t>Mike</t>
        </is>
      </c>
      <c r="CE218" s="1412" t="n">
        <v>45649</v>
      </c>
      <c r="CF218" s="1412" t="n">
        <v>45651</v>
      </c>
      <c r="CG218" s="1415">
        <f>CF218-CE218</f>
        <v/>
      </c>
      <c r="CH218" s="1398" t="inlineStr">
        <is>
          <t>.</t>
        </is>
      </c>
      <c r="CI218" s="1392" t="n"/>
      <c r="CJ218" s="1392" t="n"/>
      <c r="CK218" s="1392" t="n"/>
      <c r="CL218" s="1392" t="n"/>
    </row>
    <row r="219">
      <c r="A219" s="5" t="inlineStr">
        <is>
          <t>.</t>
        </is>
      </c>
      <c r="B219" s="5" t="inlineStr">
        <is>
          <t>.</t>
        </is>
      </c>
      <c r="C219" s="1378">
        <f>IF(raw[[#This Row],[city]]="","-",IF(raw[[#This Row],[city]]="TODAY","-",C218+1))</f>
        <v/>
      </c>
      <c r="D219" s="1393" t="inlineStr">
        <is>
          <t>Glasgow</t>
        </is>
      </c>
      <c r="E219" s="1394" t="n">
        <v>32802</v>
      </c>
      <c r="F219" s="1394" t="n">
        <v>32802</v>
      </c>
      <c r="G219" s="1393" t="inlineStr">
        <is>
          <t>-</t>
        </is>
      </c>
      <c r="H219" s="1393">
        <f>H218</f>
        <v/>
      </c>
      <c r="I219" s="1393" t="inlineStr">
        <is>
          <t>-</t>
        </is>
      </c>
      <c r="J219" s="1393" t="inlineStr">
        <is>
          <t>-</t>
        </is>
      </c>
      <c r="K219" s="1395">
        <f>IF(raw[[#This Row],[city]]&lt;&gt;"",_xlfn.XLOOKUP($D219,ccc[city],ccc[prov],"-"),"-")</f>
        <v/>
      </c>
      <c r="L219" s="1395">
        <f>IF(raw[[#This Row],[city]]&lt;&gt;"",_xlfn.XLOOKUP($D219,ccc[city],ccc[ctry],"-"),"-")</f>
        <v/>
      </c>
      <c r="M219" s="1395">
        <f>IF(raw[[#This Row],[city]]&lt;&gt;"",_xlfn.XLOOKUP($D219,ccc[city],ccc[cont],"-"),"-")</f>
        <v/>
      </c>
      <c r="N219" s="1396">
        <f>IF(raw[[#This Row],[city]]="","-",IF(raw[[#This Row],[cont]]="B",raw[[#This Row],[cont]],"W"))</f>
        <v/>
      </c>
      <c r="O219" s="1397">
        <f>IF(raw[[#This Row],[out]]=0,0,IF(raw[[#This Row],[out]]=raw[[#This Row],[in]],0.01,raw[[#This Row],[out]]-raw[[#This Row],[in]]))</f>
        <v/>
      </c>
      <c r="P219" s="1397">
        <f>IF(raw[[#This Row],[in]]=0,0,MONTH(raw[[#This Row],[in]]))</f>
        <v/>
      </c>
      <c r="Q219" s="1397">
        <f>IF(raw[[#This Row],[in]]=0,0,YEAR(raw[[#This Row],[in]]))</f>
        <v/>
      </c>
      <c r="R219" s="1397">
        <f>INT(raw[[#This Row],[yr]]/10)*10</f>
        <v/>
      </c>
      <c r="S219" s="1395">
        <f>IF(raw[[#This Row],[city]]="","-",IF(raw[[#This Row],[city]]&lt;&gt;_xlfn.XLOOKUP(raw[[#This Row],[home]],homes[home],homes[city],"-"),1,0))</f>
        <v/>
      </c>
      <c r="T219" s="1398" t="inlineStr">
        <is>
          <t>.</t>
        </is>
      </c>
      <c r="U219" s="1399">
        <f>IF(raw[[#This Row],[wb]]="w",raw[[#This Row],[stay]]+U218,U218)</f>
        <v/>
      </c>
      <c r="V219" s="1400">
        <f>IF(raw[[#This Row],[out]]=0,V218,(raw[[#This Row],[out]]-E$5))</f>
        <v/>
      </c>
      <c r="W219" s="1401">
        <f>U219/V219</f>
        <v/>
      </c>
      <c r="X219" s="1378" t="inlineStr">
        <is>
          <t>.</t>
        </is>
      </c>
      <c r="Y219" s="1402">
        <f/>
        <v/>
      </c>
      <c r="Z219" s="1403">
        <f/>
        <v/>
      </c>
      <c r="AA219" s="1403">
        <f/>
        <v/>
      </c>
      <c r="AB219" s="1400">
        <f t="array" ref="AB219">_xlfn.LET(_xlpm.S,_xlfn.ANCHORARRAY($Y$4),_xlpm.r,ROWS(stayCity[[#Headers],[city]]:stayCity[[#This Row],[city]])-1,IF(_xlpm.r&lt;=ROWS(_xlpm.S),INDEX(_xlpm.S,_xlpm.r,1),""))</f>
        <v/>
      </c>
      <c r="AC219" s="1405">
        <f t="array" ref="AC219">_xlfn.LET(_xlpm.S,_xlfn.ANCHORARRAY($Y$4),_xlpm.r,ROWS(stayCity[[#Headers],[city]]:stayCity[[#This Row],[city]])-1,IF(_xlpm.r&lt;=ROWS(_xlpm.S),INDEX(_xlpm.S,_xlpm.r,2),""))</f>
        <v/>
      </c>
      <c r="AD219" s="1405">
        <f t="array" ref="AD219">_xlfn.LET(_xlpm.S,_xlfn.ANCHORARRAY($Y$4),_xlpm.r,ROWS(stayCity[[#Headers],[city]]:stayCity[[#This Row],[city]])-1,IF(_xlpm.r&lt;=ROWS(_xlpm.S),INDEX(_xlpm.S,_xlpm.r,3),""))</f>
        <v/>
      </c>
      <c r="AE219" s="1400">
        <f>IF(stayCity[[#This Row],[out]]&lt;&gt;"",stayCity[[#This Row],[out]]-stayCity[[#This Row],[in]],"-")</f>
        <v/>
      </c>
      <c r="AF219" s="1406">
        <f>IF(Y219="","-",YEAR(stayCity[[#This Row],[in]]))</f>
        <v/>
      </c>
      <c r="AG219" s="1398" t="inlineStr">
        <is>
          <t>.</t>
        </is>
      </c>
      <c r="AH219" s="1402" t="n"/>
      <c r="AI219" s="1420" t="n"/>
      <c r="AJ219" s="1420" t="n"/>
      <c r="AK219" s="1400">
        <f>IF(AH219="","-",AH219)</f>
        <v/>
      </c>
      <c r="AL219" s="1405">
        <f>AI219</f>
        <v/>
      </c>
      <c r="AM219" s="1405">
        <f>AJ219</f>
        <v/>
      </c>
      <c r="AN219" s="1400">
        <f>stayCtry[[#This Row],[out]]-stayCtry[[#This Row],[in]]</f>
        <v/>
      </c>
      <c r="AO219" s="1406">
        <f>IF(AI219&lt;&gt;"",AO218+1,AO218)</f>
        <v/>
      </c>
      <c r="AP219" s="1398" t="inlineStr">
        <is>
          <t>.</t>
        </is>
      </c>
      <c r="AQ219" s="1402" t="n"/>
      <c r="AR219" s="1403" t="n"/>
      <c r="AS219" s="1403" t="n"/>
      <c r="AT219" s="1400">
        <f>AQ219</f>
        <v/>
      </c>
      <c r="AU219" s="1405">
        <f>AR219</f>
        <v/>
      </c>
      <c r="AV219" s="1405">
        <f>AS219</f>
        <v/>
      </c>
      <c r="AW219" s="1400">
        <f>stayCont[[#This Row],[out]]-stayCont[[#This Row],[in]]</f>
        <v/>
      </c>
      <c r="AX219" s="1406">
        <f>IF(AR219&lt;&gt;"",AX218+1,AX218)</f>
        <v/>
      </c>
      <c r="AY219" s="1398" t="inlineStr">
        <is>
          <t>.</t>
        </is>
      </c>
      <c r="AZ219" s="1402" t="n"/>
      <c r="BA219" s="1403" t="n"/>
      <c r="BB219" s="1403" t="n"/>
      <c r="BC219" s="1405">
        <f>AZ219</f>
        <v/>
      </c>
      <c r="BD219" s="1405">
        <f>BA219</f>
        <v/>
      </c>
      <c r="BE219" s="1405">
        <f>BB219</f>
        <v/>
      </c>
      <c r="BF219" s="1400">
        <f>stayWB[[#This Row],[out]]-stayWB[[#This Row],[in]]</f>
        <v/>
      </c>
      <c r="BG219" s="1400">
        <f>IF(BB219&lt;&gt;"",BG218+1,BG218)</f>
        <v/>
      </c>
      <c r="BH219" s="1398" t="inlineStr">
        <is>
          <t>.</t>
        </is>
      </c>
      <c r="BI219" s="1402" t="inlineStr">
        <is>
          <t>PAN</t>
        </is>
      </c>
      <c r="BJ219" s="1402" t="n">
        <v>2019</v>
      </c>
      <c r="BK219" s="1400">
        <f>BI219</f>
        <v/>
      </c>
      <c r="BL219" s="1409">
        <f>BJ219</f>
        <v/>
      </c>
      <c r="BM219" s="1378" t="inlineStr">
        <is>
          <t>.</t>
        </is>
      </c>
      <c r="BN219" s="1411" t="n"/>
      <c r="BO219" s="1400">
        <f>BN219</f>
        <v/>
      </c>
      <c r="BP219" s="1398" t="inlineStr">
        <is>
          <t>.</t>
        </is>
      </c>
      <c r="BQ219" s="1400">
        <f>IF(BR219&lt;&gt;"",BQ218+1,BQ218)</f>
        <v/>
      </c>
      <c r="BR219" s="1411" t="inlineStr">
        <is>
          <t>Paris</t>
        </is>
      </c>
      <c r="BS219" s="1411" t="inlineStr">
        <is>
          <t>Milan</t>
        </is>
      </c>
      <c r="BT219" s="1412" t="inlineStr">
        <is>
          <t>Paris-Milan</t>
        </is>
      </c>
      <c r="BU219" s="1412" t="n">
        <v>40139</v>
      </c>
      <c r="BV219" s="1398" t="inlineStr">
        <is>
          <t>.</t>
        </is>
      </c>
      <c r="BW219" s="1392" t="n"/>
      <c r="BX219" s="1392" t="n"/>
      <c r="BY219" s="1392" t="n"/>
      <c r="BZ219" s="1416" t="n"/>
      <c r="CA219" s="1392" t="n"/>
      <c r="CB219" s="1398" t="inlineStr">
        <is>
          <t>.</t>
        </is>
      </c>
      <c r="CC219" s="1400">
        <f>IF(CD219&lt;&gt;"",CC218+1,CC218)</f>
        <v/>
      </c>
      <c r="CD219" s="1411" t="inlineStr">
        <is>
          <t>Holiday Inn/Airbnb</t>
        </is>
      </c>
      <c r="CE219" s="1412" t="n">
        <v>45839</v>
      </c>
      <c r="CF219" s="1412" t="n">
        <v>45845</v>
      </c>
      <c r="CG219" s="1414">
        <f>CF219-CE219</f>
        <v/>
      </c>
      <c r="CH219" s="1398" t="inlineStr">
        <is>
          <t>.</t>
        </is>
      </c>
      <c r="CI219" s="1392" t="n"/>
      <c r="CJ219" s="1392" t="n"/>
      <c r="CK219" s="1392" t="n"/>
      <c r="CL219" s="1392" t="n"/>
    </row>
    <row r="220">
      <c r="A220" s="5" t="inlineStr">
        <is>
          <t>.</t>
        </is>
      </c>
      <c r="B220" s="5" t="inlineStr">
        <is>
          <t>.</t>
        </is>
      </c>
      <c r="C220" s="1378">
        <f>IF(raw[[#This Row],[city]]="","-",IF(raw[[#This Row],[city]]="TODAY","-",C219+1))</f>
        <v/>
      </c>
      <c r="D220" s="1393" t="inlineStr">
        <is>
          <t>Windermere</t>
        </is>
      </c>
      <c r="E220" s="1394" t="n">
        <v>32802</v>
      </c>
      <c r="F220" s="1394" t="n">
        <v>32802</v>
      </c>
      <c r="G220" s="1393" t="inlineStr">
        <is>
          <t>-</t>
        </is>
      </c>
      <c r="H220" s="1393">
        <f>H219</f>
        <v/>
      </c>
      <c r="I220" s="1393" t="n"/>
      <c r="J220" s="1393" t="inlineStr">
        <is>
          <t>-</t>
        </is>
      </c>
      <c r="K220" s="1395">
        <f>IF(raw[[#This Row],[city]]&lt;&gt;"",_xlfn.XLOOKUP($D220,ccc[city],ccc[prov],"-"),"-")</f>
        <v/>
      </c>
      <c r="L220" s="1395">
        <f>IF(raw[[#This Row],[city]]&lt;&gt;"",_xlfn.XLOOKUP($D220,ccc[city],ccc[ctry],"-"),"-")</f>
        <v/>
      </c>
      <c r="M220" s="1395">
        <f>IF(raw[[#This Row],[city]]&lt;&gt;"",_xlfn.XLOOKUP($D220,ccc[city],ccc[cont],"-"),"-")</f>
        <v/>
      </c>
      <c r="N220" s="1396">
        <f>IF(raw[[#This Row],[city]]="","-",IF(raw[[#This Row],[cont]]="B",raw[[#This Row],[cont]],"W"))</f>
        <v/>
      </c>
      <c r="O220" s="1397">
        <f>IF(raw[[#This Row],[out]]=0,0,IF(raw[[#This Row],[out]]=raw[[#This Row],[in]],0.01,raw[[#This Row],[out]]-raw[[#This Row],[in]]))</f>
        <v/>
      </c>
      <c r="P220" s="1397">
        <f>IF(raw[[#This Row],[in]]=0,0,MONTH(raw[[#This Row],[in]]))</f>
        <v/>
      </c>
      <c r="Q220" s="1397">
        <f>IF(raw[[#This Row],[in]]=0,0,YEAR(raw[[#This Row],[in]]))</f>
        <v/>
      </c>
      <c r="R220" s="1397">
        <f>INT(raw[[#This Row],[yr]]/10)*10</f>
        <v/>
      </c>
      <c r="S220" s="1395">
        <f>IF(raw[[#This Row],[city]]="","-",IF(raw[[#This Row],[city]]&lt;&gt;_xlfn.XLOOKUP(raw[[#This Row],[home]],homes[home],homes[city],"-"),1,0))</f>
        <v/>
      </c>
      <c r="T220" s="1398" t="inlineStr">
        <is>
          <t>.</t>
        </is>
      </c>
      <c r="U220" s="1399">
        <f>IF(raw[[#This Row],[wb]]="w",raw[[#This Row],[stay]]+U219,U219)</f>
        <v/>
      </c>
      <c r="V220" s="1400">
        <f>IF(raw[[#This Row],[out]]=0,V219,(raw[[#This Row],[out]]-E$5))</f>
        <v/>
      </c>
      <c r="W220" s="1401">
        <f>U220/V220</f>
        <v/>
      </c>
      <c r="X220" s="1378" t="inlineStr">
        <is>
          <t>.</t>
        </is>
      </c>
      <c r="Y220" s="1402">
        <f/>
        <v/>
      </c>
      <c r="Z220" s="1403">
        <f/>
        <v/>
      </c>
      <c r="AA220" s="1403">
        <f/>
        <v/>
      </c>
      <c r="AB220" s="1400">
        <f t="array" ref="AB220">_xlfn.LET(_xlpm.S,_xlfn.ANCHORARRAY($Y$4),_xlpm.r,ROWS(stayCity[[#Headers],[city]]:stayCity[[#This Row],[city]])-1,IF(_xlpm.r&lt;=ROWS(_xlpm.S),INDEX(_xlpm.S,_xlpm.r,1),""))</f>
        <v/>
      </c>
      <c r="AC220" s="1405">
        <f t="array" ref="AC220">_xlfn.LET(_xlpm.S,_xlfn.ANCHORARRAY($Y$4),_xlpm.r,ROWS(stayCity[[#Headers],[city]]:stayCity[[#This Row],[city]])-1,IF(_xlpm.r&lt;=ROWS(_xlpm.S),INDEX(_xlpm.S,_xlpm.r,2),""))</f>
        <v/>
      </c>
      <c r="AD220" s="1405">
        <f t="array" ref="AD220">_xlfn.LET(_xlpm.S,_xlfn.ANCHORARRAY($Y$4),_xlpm.r,ROWS(stayCity[[#Headers],[city]]:stayCity[[#This Row],[city]])-1,IF(_xlpm.r&lt;=ROWS(_xlpm.S),INDEX(_xlpm.S,_xlpm.r,3),""))</f>
        <v/>
      </c>
      <c r="AE220" s="1400">
        <f>IF(stayCity[[#This Row],[out]]&lt;&gt;"",stayCity[[#This Row],[out]]-stayCity[[#This Row],[in]],"-")</f>
        <v/>
      </c>
      <c r="AF220" s="1406">
        <f>IF(Y220="","-",YEAR(stayCity[[#This Row],[in]]))</f>
        <v/>
      </c>
      <c r="AG220" s="1398" t="inlineStr">
        <is>
          <t>.</t>
        </is>
      </c>
      <c r="AH220" s="1402" t="n"/>
      <c r="AI220" s="1420" t="n"/>
      <c r="AJ220" s="1420" t="n"/>
      <c r="AK220" s="1400">
        <f>IF(AH220="","-",AH220)</f>
        <v/>
      </c>
      <c r="AL220" s="1405">
        <f>AI220</f>
        <v/>
      </c>
      <c r="AM220" s="1405">
        <f>AJ220</f>
        <v/>
      </c>
      <c r="AN220" s="1400">
        <f>stayCtry[[#This Row],[out]]-stayCtry[[#This Row],[in]]</f>
        <v/>
      </c>
      <c r="AO220" s="1406">
        <f>IF(AI220&lt;&gt;"",AO219+1,AO219)</f>
        <v/>
      </c>
      <c r="AP220" s="1398" t="inlineStr">
        <is>
          <t>.</t>
        </is>
      </c>
      <c r="AQ220" s="1402" t="n"/>
      <c r="AR220" s="1403" t="n"/>
      <c r="AS220" s="1403" t="n"/>
      <c r="AT220" s="1400">
        <f>AQ220</f>
        <v/>
      </c>
      <c r="AU220" s="1405">
        <f>AR220</f>
        <v/>
      </c>
      <c r="AV220" s="1405">
        <f>AS220</f>
        <v/>
      </c>
      <c r="AW220" s="1400">
        <f>stayCont[[#This Row],[out]]-stayCont[[#This Row],[in]]</f>
        <v/>
      </c>
      <c r="AX220" s="1406">
        <f>IF(AR220&lt;&gt;"",AX219+1,AX219)</f>
        <v/>
      </c>
      <c r="AY220" s="1398" t="inlineStr">
        <is>
          <t>.</t>
        </is>
      </c>
      <c r="AZ220" s="1402" t="n"/>
      <c r="BA220" s="1403" t="n"/>
      <c r="BB220" s="1403" t="n"/>
      <c r="BC220" s="1405">
        <f>AZ220</f>
        <v/>
      </c>
      <c r="BD220" s="1405">
        <f>BA220</f>
        <v/>
      </c>
      <c r="BE220" s="1405">
        <f>BB220</f>
        <v/>
      </c>
      <c r="BF220" s="1400">
        <f>stayWB[[#This Row],[out]]-stayWB[[#This Row],[in]]</f>
        <v/>
      </c>
      <c r="BG220" s="1400">
        <f>IF(BB220&lt;&gt;"",BG219+1,BG219)</f>
        <v/>
      </c>
      <c r="BH220" s="1398" t="inlineStr">
        <is>
          <t>.</t>
        </is>
      </c>
      <c r="BI220" s="1402" t="inlineStr">
        <is>
          <t>CAN</t>
        </is>
      </c>
      <c r="BJ220" s="1402" t="n">
        <v>2019</v>
      </c>
      <c r="BK220" s="1400">
        <f>BI220</f>
        <v/>
      </c>
      <c r="BL220" s="1409">
        <f>BJ220</f>
        <v/>
      </c>
      <c r="BM220" s="1378" t="inlineStr">
        <is>
          <t>.</t>
        </is>
      </c>
      <c r="BN220" s="1411" t="n"/>
      <c r="BO220" s="1400">
        <f>BN220</f>
        <v/>
      </c>
      <c r="BP220" s="1398" t="inlineStr">
        <is>
          <t>.</t>
        </is>
      </c>
      <c r="BQ220" s="1400">
        <f>IF(BR220&lt;&gt;"",BQ219+1,BQ219)</f>
        <v/>
      </c>
      <c r="BR220" s="1411" t="inlineStr">
        <is>
          <t>Milan</t>
        </is>
      </c>
      <c r="BS220" s="1411" t="inlineStr">
        <is>
          <t>Praga</t>
        </is>
      </c>
      <c r="BT220" s="1412" t="inlineStr">
        <is>
          <t>Milan-Praga</t>
        </is>
      </c>
      <c r="BU220" s="1412" t="n">
        <v>40141</v>
      </c>
      <c r="BV220" s="1398" t="inlineStr">
        <is>
          <t>.</t>
        </is>
      </c>
      <c r="BW220" s="1392" t="n"/>
      <c r="BX220" s="1392" t="n"/>
      <c r="BY220" s="1392" t="n"/>
      <c r="BZ220" s="1416" t="n"/>
      <c r="CA220" s="1392" t="n"/>
      <c r="CB220" s="1398" t="inlineStr">
        <is>
          <t>.</t>
        </is>
      </c>
      <c r="CC220" s="1400">
        <f>IF(CD220&lt;&gt;"",CC219+1,CC219)</f>
        <v/>
      </c>
      <c r="CD220" s="1411" t="n"/>
      <c r="CE220" s="1412" t="n"/>
      <c r="CF220" s="1412" t="n"/>
      <c r="CG220" s="1414">
        <f>CF220-CE220</f>
        <v/>
      </c>
      <c r="CH220" s="1398" t="inlineStr">
        <is>
          <t>.</t>
        </is>
      </c>
      <c r="CI220" s="1392" t="n"/>
      <c r="CJ220" s="1392" t="n"/>
      <c r="CK220" s="1392" t="n"/>
      <c r="CL220" s="1392" t="n"/>
    </row>
    <row r="221">
      <c r="A221" s="5" t="inlineStr">
        <is>
          <t>.</t>
        </is>
      </c>
      <c r="B221" s="5" t="inlineStr">
        <is>
          <t>.</t>
        </is>
      </c>
      <c r="C221" s="1378">
        <f>IF(raw[[#This Row],[city]]="","-",IF(raw[[#This Row],[city]]="TODAY","-",C220+1))</f>
        <v/>
      </c>
      <c r="D221" s="1393" t="inlineStr">
        <is>
          <t>Keswick</t>
        </is>
      </c>
      <c r="E221" s="1394" t="n">
        <v>32802</v>
      </c>
      <c r="F221" s="1394" t="n">
        <v>32802</v>
      </c>
      <c r="G221" s="1393" t="inlineStr">
        <is>
          <t>-</t>
        </is>
      </c>
      <c r="H221" s="1393">
        <f>H220</f>
        <v/>
      </c>
      <c r="I221" s="1393" t="n"/>
      <c r="J221" s="1393" t="inlineStr">
        <is>
          <t>-</t>
        </is>
      </c>
      <c r="K221" s="1395">
        <f>IF(raw[[#This Row],[city]]&lt;&gt;"",_xlfn.XLOOKUP($D221,ccc[city],ccc[prov],"-"),"-")</f>
        <v/>
      </c>
      <c r="L221" s="1395">
        <f>IF(raw[[#This Row],[city]]&lt;&gt;"",_xlfn.XLOOKUP($D221,ccc[city],ccc[ctry],"-"),"-")</f>
        <v/>
      </c>
      <c r="M221" s="1395">
        <f>IF(raw[[#This Row],[city]]&lt;&gt;"",_xlfn.XLOOKUP($D221,ccc[city],ccc[cont],"-"),"-")</f>
        <v/>
      </c>
      <c r="N221" s="1396">
        <f>IF(raw[[#This Row],[city]]="","-",IF(raw[[#This Row],[cont]]="B",raw[[#This Row],[cont]],"W"))</f>
        <v/>
      </c>
      <c r="O221" s="1397">
        <f>IF(raw[[#This Row],[out]]=0,0,IF(raw[[#This Row],[out]]=raw[[#This Row],[in]],0.01,raw[[#This Row],[out]]-raw[[#This Row],[in]]))</f>
        <v/>
      </c>
      <c r="P221" s="1397">
        <f>IF(raw[[#This Row],[in]]=0,0,MONTH(raw[[#This Row],[in]]))</f>
        <v/>
      </c>
      <c r="Q221" s="1397">
        <f>IF(raw[[#This Row],[in]]=0,0,YEAR(raw[[#This Row],[in]]))</f>
        <v/>
      </c>
      <c r="R221" s="1397">
        <f>INT(raw[[#This Row],[yr]]/10)*10</f>
        <v/>
      </c>
      <c r="S221" s="1395">
        <f>IF(raw[[#This Row],[city]]="","-",IF(raw[[#This Row],[city]]&lt;&gt;_xlfn.XLOOKUP(raw[[#This Row],[home]],homes[home],homes[city],"-"),1,0))</f>
        <v/>
      </c>
      <c r="T221" s="1398" t="inlineStr">
        <is>
          <t>.</t>
        </is>
      </c>
      <c r="U221" s="1399">
        <f>IF(raw[[#This Row],[wb]]="w",raw[[#This Row],[stay]]+U220,U220)</f>
        <v/>
      </c>
      <c r="V221" s="1400">
        <f>IF(raw[[#This Row],[out]]=0,V220,(raw[[#This Row],[out]]-E$5))</f>
        <v/>
      </c>
      <c r="W221" s="1401">
        <f>U221/V221</f>
        <v/>
      </c>
      <c r="X221" s="1378" t="inlineStr">
        <is>
          <t>.</t>
        </is>
      </c>
      <c r="Y221" s="1402">
        <f/>
        <v/>
      </c>
      <c r="Z221" s="1403">
        <f/>
        <v/>
      </c>
      <c r="AA221" s="1403">
        <f/>
        <v/>
      </c>
      <c r="AB221" s="1400">
        <f t="array" ref="AB221">_xlfn.LET(_xlpm.S,_xlfn.ANCHORARRAY($Y$4),_xlpm.r,ROWS(stayCity[[#Headers],[city]]:stayCity[[#This Row],[city]])-1,IF(_xlpm.r&lt;=ROWS(_xlpm.S),INDEX(_xlpm.S,_xlpm.r,1),""))</f>
        <v/>
      </c>
      <c r="AC221" s="1405">
        <f t="array" ref="AC221">_xlfn.LET(_xlpm.S,_xlfn.ANCHORARRAY($Y$4),_xlpm.r,ROWS(stayCity[[#Headers],[city]]:stayCity[[#This Row],[city]])-1,IF(_xlpm.r&lt;=ROWS(_xlpm.S),INDEX(_xlpm.S,_xlpm.r,2),""))</f>
        <v/>
      </c>
      <c r="AD221" s="1405">
        <f t="array" ref="AD221">_xlfn.LET(_xlpm.S,_xlfn.ANCHORARRAY($Y$4),_xlpm.r,ROWS(stayCity[[#Headers],[city]]:stayCity[[#This Row],[city]])-1,IF(_xlpm.r&lt;=ROWS(_xlpm.S),INDEX(_xlpm.S,_xlpm.r,3),""))</f>
        <v/>
      </c>
      <c r="AE221" s="1400">
        <f>IF(stayCity[[#This Row],[out]]&lt;&gt;"",stayCity[[#This Row],[out]]-stayCity[[#This Row],[in]],"-")</f>
        <v/>
      </c>
      <c r="AF221" s="1406">
        <f>IF(Y221="","-",YEAR(stayCity[[#This Row],[in]]))</f>
        <v/>
      </c>
      <c r="AG221" s="1398" t="inlineStr">
        <is>
          <t>.</t>
        </is>
      </c>
      <c r="AH221" s="1402" t="n"/>
      <c r="AI221" s="1420" t="n"/>
      <c r="AJ221" s="1420" t="n"/>
      <c r="AK221" s="1400">
        <f>IF(AH221="","-",AH221)</f>
        <v/>
      </c>
      <c r="AL221" s="1405">
        <f>AI221</f>
        <v/>
      </c>
      <c r="AM221" s="1405">
        <f>AJ221</f>
        <v/>
      </c>
      <c r="AN221" s="1400">
        <f>stayCtry[[#This Row],[out]]-stayCtry[[#This Row],[in]]</f>
        <v/>
      </c>
      <c r="AO221" s="1406">
        <f>IF(AI221&lt;&gt;"",AO220+1,AO220)</f>
        <v/>
      </c>
      <c r="AP221" s="1398" t="inlineStr">
        <is>
          <t>.</t>
        </is>
      </c>
      <c r="AQ221" s="1402" t="n"/>
      <c r="AR221" s="1403" t="n"/>
      <c r="AS221" s="1403" t="n"/>
      <c r="AT221" s="1400">
        <f>AQ221</f>
        <v/>
      </c>
      <c r="AU221" s="1405">
        <f>AR221</f>
        <v/>
      </c>
      <c r="AV221" s="1405">
        <f>AS221</f>
        <v/>
      </c>
      <c r="AW221" s="1400">
        <f>stayCont[[#This Row],[out]]-stayCont[[#This Row],[in]]</f>
        <v/>
      </c>
      <c r="AX221" s="1406">
        <f>IF(AR221&lt;&gt;"",AX220+1,AX220)</f>
        <v/>
      </c>
      <c r="AY221" s="1398" t="inlineStr">
        <is>
          <t>.</t>
        </is>
      </c>
      <c r="AZ221" s="1402" t="n"/>
      <c r="BA221" s="1403" t="n"/>
      <c r="BB221" s="1403" t="n"/>
      <c r="BC221" s="1405">
        <f>AZ221</f>
        <v/>
      </c>
      <c r="BD221" s="1405">
        <f>BA221</f>
        <v/>
      </c>
      <c r="BE221" s="1405">
        <f>BB221</f>
        <v/>
      </c>
      <c r="BF221" s="1400">
        <f>stayWB[[#This Row],[out]]-stayWB[[#This Row],[in]]</f>
        <v/>
      </c>
      <c r="BG221" s="1400">
        <f>IF(BB221&lt;&gt;"",BG220+1,BG220)</f>
        <v/>
      </c>
      <c r="BH221" s="1398" t="inlineStr">
        <is>
          <t>.</t>
        </is>
      </c>
      <c r="BI221" s="1402" t="inlineStr">
        <is>
          <t>UK</t>
        </is>
      </c>
      <c r="BJ221" s="1402" t="n">
        <v>2019</v>
      </c>
      <c r="BK221" s="1400">
        <f>BI221</f>
        <v/>
      </c>
      <c r="BL221" s="1409">
        <f>BJ221</f>
        <v/>
      </c>
      <c r="BM221" s="1378" t="inlineStr">
        <is>
          <t>.</t>
        </is>
      </c>
      <c r="BN221" s="1411" t="n"/>
      <c r="BO221" s="1400">
        <f>BN221</f>
        <v/>
      </c>
      <c r="BP221" s="1398" t="inlineStr">
        <is>
          <t>.</t>
        </is>
      </c>
      <c r="BQ221" s="1400">
        <f>IF(BR221&lt;&gt;"",BQ220+1,BQ220)</f>
        <v/>
      </c>
      <c r="BR221" s="1411" t="inlineStr">
        <is>
          <t>Praga</t>
        </is>
      </c>
      <c r="BS221" s="1411" t="inlineStr">
        <is>
          <t>Paris</t>
        </is>
      </c>
      <c r="BT221" s="1412" t="inlineStr">
        <is>
          <t>Praga-Paris</t>
        </is>
      </c>
      <c r="BU221" s="1412" t="n">
        <v>40144</v>
      </c>
      <c r="BV221" s="1398" t="inlineStr">
        <is>
          <t>.</t>
        </is>
      </c>
      <c r="BW221" s="1392" t="n"/>
      <c r="BX221" s="1392" t="n"/>
      <c r="BY221" s="1392" t="n"/>
      <c r="BZ221" s="1416" t="n"/>
      <c r="CA221" s="1392" t="n"/>
      <c r="CB221" s="1398" t="inlineStr">
        <is>
          <t>.</t>
        </is>
      </c>
      <c r="CC221" s="1400">
        <f>IF(CD221&lt;&gt;"",CC220+1,CC220)</f>
        <v/>
      </c>
      <c r="CD221" s="1411" t="n"/>
      <c r="CE221" s="1412" t="n"/>
      <c r="CF221" s="1412" t="n"/>
      <c r="CG221" s="1414">
        <f>CF221-CE221</f>
        <v/>
      </c>
      <c r="CH221" s="1398" t="inlineStr">
        <is>
          <t>.</t>
        </is>
      </c>
      <c r="CI221" s="1392" t="n"/>
      <c r="CJ221" s="1392" t="n"/>
      <c r="CK221" s="1392" t="n"/>
      <c r="CL221" s="1392" t="n"/>
    </row>
    <row r="222">
      <c r="A222" s="5" t="inlineStr">
        <is>
          <t>.</t>
        </is>
      </c>
      <c r="B222" s="5" t="inlineStr">
        <is>
          <t>.</t>
        </is>
      </c>
      <c r="C222" s="1378">
        <f>IF(raw[[#This Row],[city]]="","-",IF(raw[[#This Row],[city]]="TODAY","-",C221+1))</f>
        <v/>
      </c>
      <c r="D222" s="1393" t="inlineStr">
        <is>
          <t>Loch Lomond</t>
        </is>
      </c>
      <c r="E222" s="1394" t="n">
        <v>32802</v>
      </c>
      <c r="F222" s="1394" t="n">
        <v>32803</v>
      </c>
      <c r="G222" s="1393" t="inlineStr">
        <is>
          <t>-</t>
        </is>
      </c>
      <c r="H222" s="1393">
        <f>H221</f>
        <v/>
      </c>
      <c r="I222" s="1393" t="inlineStr">
        <is>
          <t>-</t>
        </is>
      </c>
      <c r="J222" s="1393" t="inlineStr">
        <is>
          <t>-</t>
        </is>
      </c>
      <c r="K222" s="1395">
        <f>IF(raw[[#This Row],[city]]&lt;&gt;"",_xlfn.XLOOKUP($D222,ccc[city],ccc[prov],"-"),"-")</f>
        <v/>
      </c>
      <c r="L222" s="1395">
        <f>IF(raw[[#This Row],[city]]&lt;&gt;"",_xlfn.XLOOKUP($D222,ccc[city],ccc[ctry],"-"),"-")</f>
        <v/>
      </c>
      <c r="M222" s="1395">
        <f>IF(raw[[#This Row],[city]]&lt;&gt;"",_xlfn.XLOOKUP($D222,ccc[city],ccc[cont],"-"),"-")</f>
        <v/>
      </c>
      <c r="N222" s="1396">
        <f>IF(raw[[#This Row],[city]]="","-",IF(raw[[#This Row],[cont]]="B",raw[[#This Row],[cont]],"W"))</f>
        <v/>
      </c>
      <c r="O222" s="1397">
        <f>IF(raw[[#This Row],[out]]=0,0,IF(raw[[#This Row],[out]]=raw[[#This Row],[in]],0.01,raw[[#This Row],[out]]-raw[[#This Row],[in]]))</f>
        <v/>
      </c>
      <c r="P222" s="1397">
        <f>IF(raw[[#This Row],[in]]=0,0,MONTH(raw[[#This Row],[in]]))</f>
        <v/>
      </c>
      <c r="Q222" s="1397">
        <f>IF(raw[[#This Row],[in]]=0,0,YEAR(raw[[#This Row],[in]]))</f>
        <v/>
      </c>
      <c r="R222" s="1397">
        <f>INT(raw[[#This Row],[yr]]/10)*10</f>
        <v/>
      </c>
      <c r="S222" s="1395">
        <f>IF(raw[[#This Row],[city]]="","-",IF(raw[[#This Row],[city]]&lt;&gt;_xlfn.XLOOKUP(raw[[#This Row],[home]],homes[home],homes[city],"-"),1,0))</f>
        <v/>
      </c>
      <c r="T222" s="1398" t="inlineStr">
        <is>
          <t>.</t>
        </is>
      </c>
      <c r="U222" s="1399">
        <f>IF(raw[[#This Row],[wb]]="w",raw[[#This Row],[stay]]+U221,U221)</f>
        <v/>
      </c>
      <c r="V222" s="1400">
        <f>IF(raw[[#This Row],[out]]=0,V221,(raw[[#This Row],[out]]-E$5))</f>
        <v/>
      </c>
      <c r="W222" s="1401">
        <f>U222/V222</f>
        <v/>
      </c>
      <c r="X222" s="1378" t="inlineStr">
        <is>
          <t>.</t>
        </is>
      </c>
      <c r="Y222" s="1402">
        <f/>
        <v/>
      </c>
      <c r="Z222" s="1403">
        <f/>
        <v/>
      </c>
      <c r="AA222" s="1403">
        <f/>
        <v/>
      </c>
      <c r="AB222" s="1400">
        <f t="array" ref="AB222">_xlfn.LET(_xlpm.S,_xlfn.ANCHORARRAY($Y$4),_xlpm.r,ROWS(stayCity[[#Headers],[city]]:stayCity[[#This Row],[city]])-1,IF(_xlpm.r&lt;=ROWS(_xlpm.S),INDEX(_xlpm.S,_xlpm.r,1),""))</f>
        <v/>
      </c>
      <c r="AC222" s="1405">
        <f t="array" ref="AC222">_xlfn.LET(_xlpm.S,_xlfn.ANCHORARRAY($Y$4),_xlpm.r,ROWS(stayCity[[#Headers],[city]]:stayCity[[#This Row],[city]])-1,IF(_xlpm.r&lt;=ROWS(_xlpm.S),INDEX(_xlpm.S,_xlpm.r,2),""))</f>
        <v/>
      </c>
      <c r="AD222" s="1405">
        <f t="array" ref="AD222">_xlfn.LET(_xlpm.S,_xlfn.ANCHORARRAY($Y$4),_xlpm.r,ROWS(stayCity[[#Headers],[city]]:stayCity[[#This Row],[city]])-1,IF(_xlpm.r&lt;=ROWS(_xlpm.S),INDEX(_xlpm.S,_xlpm.r,3),""))</f>
        <v/>
      </c>
      <c r="AE222" s="1400">
        <f>IF(stayCity[[#This Row],[out]]&lt;&gt;"",stayCity[[#This Row],[out]]-stayCity[[#This Row],[in]],"-")</f>
        <v/>
      </c>
      <c r="AF222" s="1406">
        <f>IF(Y222="","-",YEAR(stayCity[[#This Row],[in]]))</f>
        <v/>
      </c>
      <c r="AG222" s="1398" t="inlineStr">
        <is>
          <t>.</t>
        </is>
      </c>
      <c r="AH222" s="1402" t="n"/>
      <c r="AI222" s="1420" t="n"/>
      <c r="AJ222" s="1420" t="n"/>
      <c r="AK222" s="1400">
        <f>IF(AH222="","-",AH222)</f>
        <v/>
      </c>
      <c r="AL222" s="1405">
        <f>AI222</f>
        <v/>
      </c>
      <c r="AM222" s="1405">
        <f>AJ222</f>
        <v/>
      </c>
      <c r="AN222" s="1400">
        <f>stayCtry[[#This Row],[out]]-stayCtry[[#This Row],[in]]</f>
        <v/>
      </c>
      <c r="AO222" s="1406">
        <f>IF(AI222&lt;&gt;"",AO221+1,AO221)</f>
        <v/>
      </c>
      <c r="AP222" s="1398" t="inlineStr">
        <is>
          <t>.</t>
        </is>
      </c>
      <c r="AQ222" s="1402" t="n"/>
      <c r="AR222" s="1403" t="n"/>
      <c r="AS222" s="1403" t="n"/>
      <c r="AT222" s="1400">
        <f>AQ222</f>
        <v/>
      </c>
      <c r="AU222" s="1405">
        <f>AR222</f>
        <v/>
      </c>
      <c r="AV222" s="1405">
        <f>AS222</f>
        <v/>
      </c>
      <c r="AW222" s="1400">
        <f>stayCont[[#This Row],[out]]-stayCont[[#This Row],[in]]</f>
        <v/>
      </c>
      <c r="AX222" s="1406">
        <f>IF(AR222&lt;&gt;"",AX221+1,AX221)</f>
        <v/>
      </c>
      <c r="AY222" s="1398" t="inlineStr">
        <is>
          <t>.</t>
        </is>
      </c>
      <c r="AZ222" s="1402" t="n"/>
      <c r="BA222" s="1403" t="n"/>
      <c r="BB222" s="1403" t="n"/>
      <c r="BC222" s="1405">
        <f>AZ222</f>
        <v/>
      </c>
      <c r="BD222" s="1405">
        <f>BA222</f>
        <v/>
      </c>
      <c r="BE222" s="1405">
        <f>BB222</f>
        <v/>
      </c>
      <c r="BF222" s="1400">
        <f>stayWB[[#This Row],[out]]-stayWB[[#This Row],[in]]</f>
        <v/>
      </c>
      <c r="BG222" s="1400">
        <f>IF(BB222&lt;&gt;"",BG221+1,BG221)</f>
        <v/>
      </c>
      <c r="BH222" s="1398" t="inlineStr">
        <is>
          <t>.</t>
        </is>
      </c>
      <c r="BI222" s="1402" t="inlineStr">
        <is>
          <t>CAN</t>
        </is>
      </c>
      <c r="BJ222" s="1402" t="n">
        <v>2019</v>
      </c>
      <c r="BK222" s="1400">
        <f>BI222</f>
        <v/>
      </c>
      <c r="BL222" s="1409">
        <f>BJ222</f>
        <v/>
      </c>
      <c r="BM222" s="1378" t="inlineStr">
        <is>
          <t>.</t>
        </is>
      </c>
      <c r="BN222" s="1411" t="n"/>
      <c r="BO222" s="1400">
        <f>BN222</f>
        <v/>
      </c>
      <c r="BP222" s="1398" t="inlineStr">
        <is>
          <t>.</t>
        </is>
      </c>
      <c r="BQ222" s="1400">
        <f>IF(BR222&lt;&gt;"",BQ221+1,BQ221)</f>
        <v/>
      </c>
      <c r="BR222" s="1411" t="inlineStr">
        <is>
          <t>Paris</t>
        </is>
      </c>
      <c r="BS222" s="1411" t="inlineStr">
        <is>
          <t>Marrakech</t>
        </is>
      </c>
      <c r="BT222" s="1412" t="inlineStr">
        <is>
          <t>Paris-Marrakech</t>
        </is>
      </c>
      <c r="BU222" s="1412" t="n">
        <v>40243</v>
      </c>
      <c r="BV222" s="1398" t="inlineStr">
        <is>
          <t>.</t>
        </is>
      </c>
      <c r="BW222" s="1392" t="n"/>
      <c r="BX222" s="1392" t="n"/>
      <c r="BY222" s="1392" t="n"/>
      <c r="BZ222" s="1416" t="n"/>
      <c r="CA222" s="1392" t="n"/>
      <c r="CB222" s="1398" t="inlineStr">
        <is>
          <t>.</t>
        </is>
      </c>
      <c r="CC222" s="1400">
        <f>IF(CD222&lt;&gt;"",CC221+1,CC221)</f>
        <v/>
      </c>
      <c r="CD222" s="1411" t="n"/>
      <c r="CE222" s="1412" t="n"/>
      <c r="CF222" s="1412" t="n"/>
      <c r="CG222" s="1414">
        <f>CF222-CE222</f>
        <v/>
      </c>
      <c r="CH222" s="1398" t="inlineStr">
        <is>
          <t>.</t>
        </is>
      </c>
      <c r="CI222" s="1392" t="n"/>
      <c r="CJ222" s="1392" t="n"/>
      <c r="CK222" s="1392" t="n"/>
      <c r="CL222" s="1392" t="n"/>
    </row>
    <row r="223">
      <c r="A223" s="5" t="inlineStr">
        <is>
          <t>.</t>
        </is>
      </c>
      <c r="B223" s="5" t="inlineStr">
        <is>
          <t>.</t>
        </is>
      </c>
      <c r="C223" s="1378">
        <f>IF(raw[[#This Row],[city]]="","-",IF(raw[[#This Row],[city]]="TODAY","-",C222+1))</f>
        <v/>
      </c>
      <c r="D223" s="1393" t="inlineStr">
        <is>
          <t>Fort William</t>
        </is>
      </c>
      <c r="E223" s="1394" t="n">
        <v>32803</v>
      </c>
      <c r="F223" s="1394" t="n">
        <v>32803</v>
      </c>
      <c r="G223" s="1393" t="inlineStr">
        <is>
          <t>-</t>
        </is>
      </c>
      <c r="H223" s="1393">
        <f>H222</f>
        <v/>
      </c>
      <c r="I223" s="1393" t="n"/>
      <c r="J223" s="1393" t="inlineStr">
        <is>
          <t>-</t>
        </is>
      </c>
      <c r="K223" s="1395">
        <f>IF(raw[[#This Row],[city]]&lt;&gt;"",_xlfn.XLOOKUP($D223,ccc[city],ccc[prov],"-"),"-")</f>
        <v/>
      </c>
      <c r="L223" s="1395">
        <f>IF(raw[[#This Row],[city]]&lt;&gt;"",_xlfn.XLOOKUP($D223,ccc[city],ccc[ctry],"-"),"-")</f>
        <v/>
      </c>
      <c r="M223" s="1395">
        <f>IF(raw[[#This Row],[city]]&lt;&gt;"",_xlfn.XLOOKUP($D223,ccc[city],ccc[cont],"-"),"-")</f>
        <v/>
      </c>
      <c r="N223" s="1396">
        <f>IF(raw[[#This Row],[city]]="","-",IF(raw[[#This Row],[cont]]="B",raw[[#This Row],[cont]],"W"))</f>
        <v/>
      </c>
      <c r="O223" s="1397">
        <f>IF(raw[[#This Row],[out]]=0,0,IF(raw[[#This Row],[out]]=raw[[#This Row],[in]],0.01,raw[[#This Row],[out]]-raw[[#This Row],[in]]))</f>
        <v/>
      </c>
      <c r="P223" s="1397">
        <f>IF(raw[[#This Row],[in]]=0,0,MONTH(raw[[#This Row],[in]]))</f>
        <v/>
      </c>
      <c r="Q223" s="1397">
        <f>IF(raw[[#This Row],[in]]=0,0,YEAR(raw[[#This Row],[in]]))</f>
        <v/>
      </c>
      <c r="R223" s="1397">
        <f>INT(raw[[#This Row],[yr]]/10)*10</f>
        <v/>
      </c>
      <c r="S223" s="1395">
        <f>IF(raw[[#This Row],[city]]="","-",IF(raw[[#This Row],[city]]&lt;&gt;_xlfn.XLOOKUP(raw[[#This Row],[home]],homes[home],homes[city],"-"),1,0))</f>
        <v/>
      </c>
      <c r="T223" s="1398" t="inlineStr">
        <is>
          <t>.</t>
        </is>
      </c>
      <c r="U223" s="1399">
        <f>IF(raw[[#This Row],[wb]]="w",raw[[#This Row],[stay]]+U222,U222)</f>
        <v/>
      </c>
      <c r="V223" s="1400">
        <f>IF(raw[[#This Row],[out]]=0,V222,(raw[[#This Row],[out]]-E$5))</f>
        <v/>
      </c>
      <c r="W223" s="1401">
        <f>U223/V223</f>
        <v/>
      </c>
      <c r="X223" s="1378" t="inlineStr">
        <is>
          <t>.</t>
        </is>
      </c>
      <c r="Y223" s="1402">
        <f/>
        <v/>
      </c>
      <c r="Z223" s="1403">
        <f/>
        <v/>
      </c>
      <c r="AA223" s="1403">
        <f/>
        <v/>
      </c>
      <c r="AB223" s="1400">
        <f t="array" ref="AB223">_xlfn.LET(_xlpm.S,_xlfn.ANCHORARRAY($Y$4),_xlpm.r,ROWS(stayCity[[#Headers],[city]]:stayCity[[#This Row],[city]])-1,IF(_xlpm.r&lt;=ROWS(_xlpm.S),INDEX(_xlpm.S,_xlpm.r,1),""))</f>
        <v/>
      </c>
      <c r="AC223" s="1405">
        <f t="array" ref="AC223">_xlfn.LET(_xlpm.S,_xlfn.ANCHORARRAY($Y$4),_xlpm.r,ROWS(stayCity[[#Headers],[city]]:stayCity[[#This Row],[city]])-1,IF(_xlpm.r&lt;=ROWS(_xlpm.S),INDEX(_xlpm.S,_xlpm.r,2),""))</f>
        <v/>
      </c>
      <c r="AD223" s="1405">
        <f t="array" ref="AD223">_xlfn.LET(_xlpm.S,_xlfn.ANCHORARRAY($Y$4),_xlpm.r,ROWS(stayCity[[#Headers],[city]]:stayCity[[#This Row],[city]])-1,IF(_xlpm.r&lt;=ROWS(_xlpm.S),INDEX(_xlpm.S,_xlpm.r,3),""))</f>
        <v/>
      </c>
      <c r="AE223" s="1400">
        <f>IF(stayCity[[#This Row],[out]]&lt;&gt;"",stayCity[[#This Row],[out]]-stayCity[[#This Row],[in]],"-")</f>
        <v/>
      </c>
      <c r="AF223" s="1406">
        <f>IF(Y223="","-",YEAR(stayCity[[#This Row],[in]]))</f>
        <v/>
      </c>
      <c r="AG223" s="1398" t="inlineStr">
        <is>
          <t>.</t>
        </is>
      </c>
      <c r="AH223" s="1402" t="n"/>
      <c r="AI223" s="1420" t="n"/>
      <c r="AJ223" s="1420" t="n"/>
      <c r="AK223" s="1400">
        <f>IF(AH223="","-",AH223)</f>
        <v/>
      </c>
      <c r="AL223" s="1405">
        <f>AI223</f>
        <v/>
      </c>
      <c r="AM223" s="1405">
        <f>AJ223</f>
        <v/>
      </c>
      <c r="AN223" s="1400">
        <f>stayCtry[[#This Row],[out]]-stayCtry[[#This Row],[in]]</f>
        <v/>
      </c>
      <c r="AO223" s="1406">
        <f>IF(AI223&lt;&gt;"",AO222+1,AO222)</f>
        <v/>
      </c>
      <c r="AP223" s="1398" t="inlineStr">
        <is>
          <t>.</t>
        </is>
      </c>
      <c r="AQ223" s="1402" t="n"/>
      <c r="AR223" s="1403" t="n"/>
      <c r="AS223" s="1403" t="n"/>
      <c r="AT223" s="1400">
        <f>AQ223</f>
        <v/>
      </c>
      <c r="AU223" s="1405">
        <f>AR223</f>
        <v/>
      </c>
      <c r="AV223" s="1405">
        <f>AS223</f>
        <v/>
      </c>
      <c r="AW223" s="1400">
        <f>stayCont[[#This Row],[out]]-stayCont[[#This Row],[in]]</f>
        <v/>
      </c>
      <c r="AX223" s="1406">
        <f>IF(AR223&lt;&gt;"",AX222+1,AX222)</f>
        <v/>
      </c>
      <c r="AY223" s="1398" t="inlineStr">
        <is>
          <t>.</t>
        </is>
      </c>
      <c r="AZ223" s="1402" t="n"/>
      <c r="BA223" s="1403" t="n"/>
      <c r="BB223" s="1403" t="n"/>
      <c r="BC223" s="1405">
        <f>AZ223</f>
        <v/>
      </c>
      <c r="BD223" s="1405">
        <f>BA223</f>
        <v/>
      </c>
      <c r="BE223" s="1405">
        <f>BB223</f>
        <v/>
      </c>
      <c r="BF223" s="1400">
        <f>stayWB[[#This Row],[out]]-stayWB[[#This Row],[in]]</f>
        <v/>
      </c>
      <c r="BG223" s="1400">
        <f>IF(BB223&lt;&gt;"",BG222+1,BG222)</f>
        <v/>
      </c>
      <c r="BH223" s="1398" t="inlineStr">
        <is>
          <t>.</t>
        </is>
      </c>
      <c r="BI223" s="1402" t="inlineStr">
        <is>
          <t>USA</t>
        </is>
      </c>
      <c r="BJ223" s="1402" t="n">
        <v>2019</v>
      </c>
      <c r="BK223" s="1400">
        <f>BI223</f>
        <v/>
      </c>
      <c r="BL223" s="1409">
        <f>BJ223</f>
        <v/>
      </c>
      <c r="BM223" s="1378" t="inlineStr">
        <is>
          <t>.</t>
        </is>
      </c>
      <c r="BN223" s="1411" t="n"/>
      <c r="BO223" s="1400">
        <f>BN223</f>
        <v/>
      </c>
      <c r="BP223" s="1398" t="inlineStr">
        <is>
          <t>.</t>
        </is>
      </c>
      <c r="BQ223" s="1400">
        <f>IF(BR223&lt;&gt;"",BQ222+1,BQ222)</f>
        <v/>
      </c>
      <c r="BR223" s="1411" t="inlineStr">
        <is>
          <t>Marrakech</t>
        </is>
      </c>
      <c r="BS223" s="1411" t="inlineStr">
        <is>
          <t>London</t>
        </is>
      </c>
      <c r="BT223" s="1412" t="inlineStr">
        <is>
          <t>Marrakech-London</t>
        </is>
      </c>
      <c r="BU223" s="1412" t="n">
        <v>40249</v>
      </c>
      <c r="BV223" s="1398" t="inlineStr">
        <is>
          <t>.</t>
        </is>
      </c>
      <c r="BW223" s="1392" t="n"/>
      <c r="BX223" s="1392" t="n"/>
      <c r="BY223" s="1392" t="n"/>
      <c r="BZ223" s="1416" t="n"/>
      <c r="CA223" s="1392" t="n"/>
      <c r="CB223" s="1398" t="inlineStr">
        <is>
          <t>.</t>
        </is>
      </c>
      <c r="CC223" s="1400">
        <f>IF(CD223&lt;&gt;"",CC222+1,CC222)</f>
        <v/>
      </c>
      <c r="CD223" s="1411" t="n"/>
      <c r="CE223" s="1412" t="n"/>
      <c r="CF223" s="1412" t="n"/>
      <c r="CG223" s="1414">
        <f>CF223-CE223</f>
        <v/>
      </c>
      <c r="CH223" s="1398" t="inlineStr">
        <is>
          <t>.</t>
        </is>
      </c>
      <c r="CI223" s="1392" t="n"/>
      <c r="CJ223" s="1392" t="n"/>
      <c r="CK223" s="1392" t="n"/>
      <c r="CL223" s="1392" t="n"/>
    </row>
    <row r="224">
      <c r="A224" s="5" t="inlineStr">
        <is>
          <t>.</t>
        </is>
      </c>
      <c r="B224" s="5" t="inlineStr">
        <is>
          <t>.</t>
        </is>
      </c>
      <c r="C224" s="1378">
        <f>IF(raw[[#This Row],[city]]="","-",IF(raw[[#This Row],[city]]="TODAY","-",C223+1))</f>
        <v/>
      </c>
      <c r="D224" s="1393" t="inlineStr">
        <is>
          <t>Glencoe</t>
        </is>
      </c>
      <c r="E224" s="1394" t="n">
        <v>32803</v>
      </c>
      <c r="F224" s="1394" t="n">
        <v>32803</v>
      </c>
      <c r="G224" s="1393" t="inlineStr">
        <is>
          <t>-</t>
        </is>
      </c>
      <c r="H224" s="1393">
        <f>H223</f>
        <v/>
      </c>
      <c r="I224" s="1393" t="n"/>
      <c r="J224" s="1393" t="inlineStr">
        <is>
          <t>-</t>
        </is>
      </c>
      <c r="K224" s="1395">
        <f>IF(raw[[#This Row],[city]]&lt;&gt;"",_xlfn.XLOOKUP($D224,ccc[city],ccc[prov],"-"),"-")</f>
        <v/>
      </c>
      <c r="L224" s="1395">
        <f>IF(raw[[#This Row],[city]]&lt;&gt;"",_xlfn.XLOOKUP($D224,ccc[city],ccc[ctry],"-"),"-")</f>
        <v/>
      </c>
      <c r="M224" s="1395">
        <f>IF(raw[[#This Row],[city]]&lt;&gt;"",_xlfn.XLOOKUP($D224,ccc[city],ccc[cont],"-"),"-")</f>
        <v/>
      </c>
      <c r="N224" s="1396">
        <f>IF(raw[[#This Row],[city]]="","-",IF(raw[[#This Row],[cont]]="B",raw[[#This Row],[cont]],"W"))</f>
        <v/>
      </c>
      <c r="O224" s="1397">
        <f>IF(raw[[#This Row],[out]]=0,0,IF(raw[[#This Row],[out]]=raw[[#This Row],[in]],0.01,raw[[#This Row],[out]]-raw[[#This Row],[in]]))</f>
        <v/>
      </c>
      <c r="P224" s="1397">
        <f>IF(raw[[#This Row],[in]]=0,0,MONTH(raw[[#This Row],[in]]))</f>
        <v/>
      </c>
      <c r="Q224" s="1397">
        <f>IF(raw[[#This Row],[in]]=0,0,YEAR(raw[[#This Row],[in]]))</f>
        <v/>
      </c>
      <c r="R224" s="1397">
        <f>INT(raw[[#This Row],[yr]]/10)*10</f>
        <v/>
      </c>
      <c r="S224" s="1395">
        <f>IF(raw[[#This Row],[city]]="","-",IF(raw[[#This Row],[city]]&lt;&gt;_xlfn.XLOOKUP(raw[[#This Row],[home]],homes[home],homes[city],"-"),1,0))</f>
        <v/>
      </c>
      <c r="T224" s="1398" t="inlineStr">
        <is>
          <t>.</t>
        </is>
      </c>
      <c r="U224" s="1399">
        <f>IF(raw[[#This Row],[wb]]="w",raw[[#This Row],[stay]]+U223,U223)</f>
        <v/>
      </c>
      <c r="V224" s="1400">
        <f>IF(raw[[#This Row],[out]]=0,V223,(raw[[#This Row],[out]]-E$5))</f>
        <v/>
      </c>
      <c r="W224" s="1401">
        <f>U224/V224</f>
        <v/>
      </c>
      <c r="X224" s="1378" t="inlineStr">
        <is>
          <t>.</t>
        </is>
      </c>
      <c r="Y224" s="1402">
        <f/>
        <v/>
      </c>
      <c r="Z224" s="1403">
        <f/>
        <v/>
      </c>
      <c r="AA224" s="1403">
        <f/>
        <v/>
      </c>
      <c r="AB224" s="1400">
        <f t="array" ref="AB224">_xlfn.LET(_xlpm.S,_xlfn.ANCHORARRAY($Y$4),_xlpm.r,ROWS(stayCity[[#Headers],[city]]:stayCity[[#This Row],[city]])-1,IF(_xlpm.r&lt;=ROWS(_xlpm.S),INDEX(_xlpm.S,_xlpm.r,1),""))</f>
        <v/>
      </c>
      <c r="AC224" s="1405">
        <f t="array" ref="AC224">_xlfn.LET(_xlpm.S,_xlfn.ANCHORARRAY($Y$4),_xlpm.r,ROWS(stayCity[[#Headers],[city]]:stayCity[[#This Row],[city]])-1,IF(_xlpm.r&lt;=ROWS(_xlpm.S),INDEX(_xlpm.S,_xlpm.r,2),""))</f>
        <v/>
      </c>
      <c r="AD224" s="1405">
        <f t="array" ref="AD224">_xlfn.LET(_xlpm.S,_xlfn.ANCHORARRAY($Y$4),_xlpm.r,ROWS(stayCity[[#Headers],[city]]:stayCity[[#This Row],[city]])-1,IF(_xlpm.r&lt;=ROWS(_xlpm.S),INDEX(_xlpm.S,_xlpm.r,3),""))</f>
        <v/>
      </c>
      <c r="AE224" s="1400">
        <f>IF(stayCity[[#This Row],[out]]&lt;&gt;"",stayCity[[#This Row],[out]]-stayCity[[#This Row],[in]],"-")</f>
        <v/>
      </c>
      <c r="AF224" s="1406">
        <f>IF(Y224="","-",YEAR(stayCity[[#This Row],[in]]))</f>
        <v/>
      </c>
      <c r="AG224" s="1398" t="inlineStr">
        <is>
          <t>.</t>
        </is>
      </c>
      <c r="AH224" s="1402" t="n"/>
      <c r="AI224" s="1420" t="n"/>
      <c r="AJ224" s="1420" t="n"/>
      <c r="AK224" s="1400">
        <f>IF(AH224="","-",AH224)</f>
        <v/>
      </c>
      <c r="AL224" s="1405">
        <f>AI224</f>
        <v/>
      </c>
      <c r="AM224" s="1405">
        <f>AJ224</f>
        <v/>
      </c>
      <c r="AN224" s="1400">
        <f>stayCtry[[#This Row],[out]]-stayCtry[[#This Row],[in]]</f>
        <v/>
      </c>
      <c r="AO224" s="1406">
        <f>IF(AI224&lt;&gt;"",AO223+1,AO223)</f>
        <v/>
      </c>
      <c r="AP224" s="1398" t="inlineStr">
        <is>
          <t>.</t>
        </is>
      </c>
      <c r="AQ224" s="1402" t="n"/>
      <c r="AR224" s="1403" t="n"/>
      <c r="AS224" s="1403" t="n"/>
      <c r="AT224" s="1400">
        <f>AQ224</f>
        <v/>
      </c>
      <c r="AU224" s="1405">
        <f>AR224</f>
        <v/>
      </c>
      <c r="AV224" s="1405">
        <f>AS224</f>
        <v/>
      </c>
      <c r="AW224" s="1400">
        <f>stayCont[[#This Row],[out]]-stayCont[[#This Row],[in]]</f>
        <v/>
      </c>
      <c r="AX224" s="1406">
        <f>IF(AR224&lt;&gt;"",AX223+1,AX223)</f>
        <v/>
      </c>
      <c r="AY224" s="1398" t="inlineStr">
        <is>
          <t>.</t>
        </is>
      </c>
      <c r="AZ224" s="1402" t="n"/>
      <c r="BA224" s="1403" t="n"/>
      <c r="BB224" s="1403" t="n"/>
      <c r="BC224" s="1405">
        <f>AZ224</f>
        <v/>
      </c>
      <c r="BD224" s="1405">
        <f>BA224</f>
        <v/>
      </c>
      <c r="BE224" s="1405">
        <f>BB224</f>
        <v/>
      </c>
      <c r="BF224" s="1400">
        <f>stayWB[[#This Row],[out]]-stayWB[[#This Row],[in]]</f>
        <v/>
      </c>
      <c r="BG224" s="1400">
        <f>IF(BB224&lt;&gt;"",BG223+1,BG223)</f>
        <v/>
      </c>
      <c r="BH224" s="1398" t="inlineStr">
        <is>
          <t>.</t>
        </is>
      </c>
      <c r="BI224" s="1402" t="inlineStr">
        <is>
          <t>CAN</t>
        </is>
      </c>
      <c r="BJ224" s="1402" t="n">
        <v>2019</v>
      </c>
      <c r="BK224" s="1400">
        <f>BI224</f>
        <v/>
      </c>
      <c r="BL224" s="1409">
        <f>BJ224</f>
        <v/>
      </c>
      <c r="BM224" s="1378" t="inlineStr">
        <is>
          <t>.</t>
        </is>
      </c>
      <c r="BN224" s="1411" t="n"/>
      <c r="BO224" s="1400">
        <f>BN224</f>
        <v/>
      </c>
      <c r="BP224" s="1398" t="inlineStr">
        <is>
          <t>.</t>
        </is>
      </c>
      <c r="BQ224" s="1400">
        <f>IF(BR224&lt;&gt;"",BQ223+1,BQ223)</f>
        <v/>
      </c>
      <c r="BR224" s="1411" t="inlineStr">
        <is>
          <t>Paris</t>
        </is>
      </c>
      <c r="BS224" s="1411" t="inlineStr">
        <is>
          <t>Zurich</t>
        </is>
      </c>
      <c r="BT224" s="1412" t="inlineStr">
        <is>
          <t>Paris-Zurich</t>
        </is>
      </c>
      <c r="BU224" s="1412" t="n">
        <v>40270</v>
      </c>
      <c r="BV224" s="1398" t="inlineStr">
        <is>
          <t>.</t>
        </is>
      </c>
      <c r="BW224" s="1392" t="n"/>
      <c r="BX224" s="1392" t="n"/>
      <c r="BY224" s="1392" t="n"/>
      <c r="BZ224" s="1416" t="n"/>
      <c r="CA224" s="1392" t="n"/>
      <c r="CB224" s="1398" t="inlineStr">
        <is>
          <t>.</t>
        </is>
      </c>
      <c r="CC224" s="1400">
        <f>IF(CD224&lt;&gt;"",CC223+1,CC223)</f>
        <v/>
      </c>
      <c r="CD224" s="1411" t="n"/>
      <c r="CE224" s="1412" t="n"/>
      <c r="CF224" s="1412" t="n"/>
      <c r="CG224" s="1414">
        <f>CF224-CE224</f>
        <v/>
      </c>
      <c r="CH224" s="1398" t="inlineStr">
        <is>
          <t>.</t>
        </is>
      </c>
      <c r="CI224" s="1392" t="n"/>
      <c r="CJ224" s="1392" t="n"/>
      <c r="CK224" s="1392" t="n"/>
      <c r="CL224" s="1392" t="n"/>
    </row>
    <row r="225">
      <c r="A225" s="5" t="inlineStr">
        <is>
          <t>.</t>
        </is>
      </c>
      <c r="B225" s="5" t="inlineStr">
        <is>
          <t>.</t>
        </is>
      </c>
      <c r="C225" s="1378">
        <f>IF(raw[[#This Row],[city]]="","-",IF(raw[[#This Row],[city]]="TODAY","-",C224+1))</f>
        <v/>
      </c>
      <c r="D225" s="1393" t="inlineStr">
        <is>
          <t>Inverness</t>
        </is>
      </c>
      <c r="E225" s="1394" t="n">
        <v>32803</v>
      </c>
      <c r="F225" s="1394" t="n">
        <v>32804</v>
      </c>
      <c r="G225" s="1393" t="inlineStr">
        <is>
          <t>-</t>
        </is>
      </c>
      <c r="H225" s="1393">
        <f>H224</f>
        <v/>
      </c>
      <c r="I225" s="1393" t="n"/>
      <c r="J225" s="1393" t="inlineStr">
        <is>
          <t>-</t>
        </is>
      </c>
      <c r="K225" s="1395">
        <f>IF(raw[[#This Row],[city]]&lt;&gt;"",_xlfn.XLOOKUP($D225,ccc[city],ccc[prov],"-"),"-")</f>
        <v/>
      </c>
      <c r="L225" s="1395">
        <f>IF(raw[[#This Row],[city]]&lt;&gt;"",_xlfn.XLOOKUP($D225,ccc[city],ccc[ctry],"-"),"-")</f>
        <v/>
      </c>
      <c r="M225" s="1395">
        <f>IF(raw[[#This Row],[city]]&lt;&gt;"",_xlfn.XLOOKUP($D225,ccc[city],ccc[cont],"-"),"-")</f>
        <v/>
      </c>
      <c r="N225" s="1396">
        <f>IF(raw[[#This Row],[city]]="","-",IF(raw[[#This Row],[cont]]="B",raw[[#This Row],[cont]],"W"))</f>
        <v/>
      </c>
      <c r="O225" s="1397">
        <f>IF(raw[[#This Row],[out]]=0,0,IF(raw[[#This Row],[out]]=raw[[#This Row],[in]],0.01,raw[[#This Row],[out]]-raw[[#This Row],[in]]))</f>
        <v/>
      </c>
      <c r="P225" s="1397">
        <f>IF(raw[[#This Row],[in]]=0,0,MONTH(raw[[#This Row],[in]]))</f>
        <v/>
      </c>
      <c r="Q225" s="1397">
        <f>IF(raw[[#This Row],[in]]=0,0,YEAR(raw[[#This Row],[in]]))</f>
        <v/>
      </c>
      <c r="R225" s="1397">
        <f>INT(raw[[#This Row],[yr]]/10)*10</f>
        <v/>
      </c>
      <c r="S225" s="1395">
        <f>IF(raw[[#This Row],[city]]="","-",IF(raw[[#This Row],[city]]&lt;&gt;_xlfn.XLOOKUP(raw[[#This Row],[home]],homes[home],homes[city],"-"),1,0))</f>
        <v/>
      </c>
      <c r="T225" s="1398" t="inlineStr">
        <is>
          <t>.</t>
        </is>
      </c>
      <c r="U225" s="1399">
        <f>IF(raw[[#This Row],[wb]]="w",raw[[#This Row],[stay]]+U224,U224)</f>
        <v/>
      </c>
      <c r="V225" s="1400">
        <f>IF(raw[[#This Row],[out]]=0,V224,(raw[[#This Row],[out]]-E$5))</f>
        <v/>
      </c>
      <c r="W225" s="1401">
        <f>U225/V225</f>
        <v/>
      </c>
      <c r="X225" s="1378" t="inlineStr">
        <is>
          <t>.</t>
        </is>
      </c>
      <c r="Y225" s="1402">
        <f/>
        <v/>
      </c>
      <c r="Z225" s="1403">
        <f/>
        <v/>
      </c>
      <c r="AA225" s="1403">
        <f/>
        <v/>
      </c>
      <c r="AB225" s="1400">
        <f t="array" ref="AB225">_xlfn.LET(_xlpm.S,_xlfn.ANCHORARRAY($Y$4),_xlpm.r,ROWS(stayCity[[#Headers],[city]]:stayCity[[#This Row],[city]])-1,IF(_xlpm.r&lt;=ROWS(_xlpm.S),INDEX(_xlpm.S,_xlpm.r,1),""))</f>
        <v/>
      </c>
      <c r="AC225" s="1405">
        <f t="array" ref="AC225">_xlfn.LET(_xlpm.S,_xlfn.ANCHORARRAY($Y$4),_xlpm.r,ROWS(stayCity[[#Headers],[city]]:stayCity[[#This Row],[city]])-1,IF(_xlpm.r&lt;=ROWS(_xlpm.S),INDEX(_xlpm.S,_xlpm.r,2),""))</f>
        <v/>
      </c>
      <c r="AD225" s="1405">
        <f t="array" ref="AD225">_xlfn.LET(_xlpm.S,_xlfn.ANCHORARRAY($Y$4),_xlpm.r,ROWS(stayCity[[#Headers],[city]]:stayCity[[#This Row],[city]])-1,IF(_xlpm.r&lt;=ROWS(_xlpm.S),INDEX(_xlpm.S,_xlpm.r,3),""))</f>
        <v/>
      </c>
      <c r="AE225" s="1400">
        <f>IF(stayCity[[#This Row],[out]]&lt;&gt;"",stayCity[[#This Row],[out]]-stayCity[[#This Row],[in]],"-")</f>
        <v/>
      </c>
      <c r="AF225" s="1406">
        <f>IF(Y225="","-",YEAR(stayCity[[#This Row],[in]]))</f>
        <v/>
      </c>
      <c r="AG225" s="1398" t="inlineStr">
        <is>
          <t>.</t>
        </is>
      </c>
      <c r="AH225" s="1402" t="n"/>
      <c r="AI225" s="1420" t="n"/>
      <c r="AJ225" s="1420" t="n"/>
      <c r="AK225" s="1400">
        <f>IF(AH225="","-",AH225)</f>
        <v/>
      </c>
      <c r="AL225" s="1405">
        <f>AI225</f>
        <v/>
      </c>
      <c r="AM225" s="1405">
        <f>AJ225</f>
        <v/>
      </c>
      <c r="AN225" s="1400">
        <f>stayCtry[[#This Row],[out]]-stayCtry[[#This Row],[in]]</f>
        <v/>
      </c>
      <c r="AO225" s="1406">
        <f>IF(AI225&lt;&gt;"",AO224+1,AO224)</f>
        <v/>
      </c>
      <c r="AP225" s="1398" t="inlineStr">
        <is>
          <t>.</t>
        </is>
      </c>
      <c r="AQ225" s="1402" t="n"/>
      <c r="AR225" s="1403" t="n"/>
      <c r="AS225" s="1403" t="n"/>
      <c r="AT225" s="1400">
        <f>AQ225</f>
        <v/>
      </c>
      <c r="AU225" s="1405">
        <f>AR225</f>
        <v/>
      </c>
      <c r="AV225" s="1405">
        <f>AS225</f>
        <v/>
      </c>
      <c r="AW225" s="1400">
        <f>stayCont[[#This Row],[out]]-stayCont[[#This Row],[in]]</f>
        <v/>
      </c>
      <c r="AX225" s="1406">
        <f>IF(AR225&lt;&gt;"",AX224+1,AX224)</f>
        <v/>
      </c>
      <c r="AY225" s="1398" t="inlineStr">
        <is>
          <t>.</t>
        </is>
      </c>
      <c r="AZ225" s="1402" t="n"/>
      <c r="BA225" s="1403" t="n"/>
      <c r="BB225" s="1403" t="n"/>
      <c r="BC225" s="1405">
        <f>AZ225</f>
        <v/>
      </c>
      <c r="BD225" s="1405">
        <f>BA225</f>
        <v/>
      </c>
      <c r="BE225" s="1405">
        <f>BB225</f>
        <v/>
      </c>
      <c r="BF225" s="1400">
        <f>stayWB[[#This Row],[out]]-stayWB[[#This Row],[in]]</f>
        <v/>
      </c>
      <c r="BG225" s="1400">
        <f>IF(BB225&lt;&gt;"",BG224+1,BG224)</f>
        <v/>
      </c>
      <c r="BH225" s="1398" t="inlineStr">
        <is>
          <t>.</t>
        </is>
      </c>
      <c r="BI225" s="1402" t="inlineStr">
        <is>
          <t>BRA</t>
        </is>
      </c>
      <c r="BJ225" s="1402" t="n">
        <v>2020</v>
      </c>
      <c r="BK225" s="1400">
        <f>BI225</f>
        <v/>
      </c>
      <c r="BL225" s="1409">
        <f>BJ225</f>
        <v/>
      </c>
      <c r="BM225" s="1378" t="inlineStr">
        <is>
          <t>.</t>
        </is>
      </c>
      <c r="BN225" s="1411" t="n"/>
      <c r="BO225" s="1400">
        <f>BN225</f>
        <v/>
      </c>
      <c r="BP225" s="1398" t="inlineStr">
        <is>
          <t>.</t>
        </is>
      </c>
      <c r="BQ225" s="1400">
        <f>IF(BR225&lt;&gt;"",BQ224+1,BQ224)</f>
        <v/>
      </c>
      <c r="BR225" s="1411" t="inlineStr">
        <is>
          <t>Zurich</t>
        </is>
      </c>
      <c r="BS225" s="1411" t="inlineStr">
        <is>
          <t>SP</t>
        </is>
      </c>
      <c r="BT225" s="1412" t="inlineStr">
        <is>
          <t>Zurich-SP</t>
        </is>
      </c>
      <c r="BU225" s="1412" t="n">
        <v>40270</v>
      </c>
      <c r="BV225" s="1398" t="inlineStr">
        <is>
          <t>.</t>
        </is>
      </c>
      <c r="BW225" s="1392" t="n"/>
      <c r="BX225" s="1392" t="n"/>
      <c r="BY225" s="1392" t="n"/>
      <c r="BZ225" s="1416" t="n"/>
      <c r="CA225" s="1392" t="n"/>
      <c r="CB225" s="1398" t="inlineStr">
        <is>
          <t>.</t>
        </is>
      </c>
      <c r="CC225" s="1400">
        <f>IF(CD225&lt;&gt;"",CC224+1,CC224)</f>
        <v/>
      </c>
      <c r="CD225" s="1411" t="n"/>
      <c r="CE225" s="1412" t="n"/>
      <c r="CF225" s="1412" t="n"/>
      <c r="CG225" s="1414">
        <f>CF225-CE225</f>
        <v/>
      </c>
      <c r="CH225" s="1398" t="inlineStr">
        <is>
          <t>.</t>
        </is>
      </c>
      <c r="CI225" s="1392" t="n"/>
      <c r="CJ225" s="1392" t="n"/>
      <c r="CK225" s="1392" t="n"/>
      <c r="CL225" s="1392" t="n"/>
    </row>
    <row r="226">
      <c r="A226" s="5" t="inlineStr">
        <is>
          <t>.</t>
        </is>
      </c>
      <c r="B226" s="5" t="inlineStr">
        <is>
          <t>.</t>
        </is>
      </c>
      <c r="C226" s="1378">
        <f>IF(raw[[#This Row],[city]]="","-",IF(raw[[#This Row],[city]]="TODAY","-",C225+1))</f>
        <v/>
      </c>
      <c r="D226" s="1393" t="inlineStr">
        <is>
          <t>Grantown-on-Spey</t>
        </is>
      </c>
      <c r="E226" s="1394" t="n">
        <v>32804</v>
      </c>
      <c r="F226" s="1394" t="n">
        <v>32804</v>
      </c>
      <c r="G226" s="1393" t="inlineStr">
        <is>
          <t>-</t>
        </is>
      </c>
      <c r="H226" s="1393">
        <f>H225</f>
        <v/>
      </c>
      <c r="I226" s="1393" t="inlineStr">
        <is>
          <t>-</t>
        </is>
      </c>
      <c r="J226" s="1393" t="inlineStr">
        <is>
          <t>-</t>
        </is>
      </c>
      <c r="K226" s="1395">
        <f>IF(raw[[#This Row],[city]]&lt;&gt;"",_xlfn.XLOOKUP($D226,ccc[city],ccc[prov],"-"),"-")</f>
        <v/>
      </c>
      <c r="L226" s="1395">
        <f>IF(raw[[#This Row],[city]]&lt;&gt;"",_xlfn.XLOOKUP($D226,ccc[city],ccc[ctry],"-"),"-")</f>
        <v/>
      </c>
      <c r="M226" s="1395">
        <f>IF(raw[[#This Row],[city]]&lt;&gt;"",_xlfn.XLOOKUP($D226,ccc[city],ccc[cont],"-"),"-")</f>
        <v/>
      </c>
      <c r="N226" s="1396">
        <f>IF(raw[[#This Row],[city]]="","-",IF(raw[[#This Row],[cont]]="B",raw[[#This Row],[cont]],"W"))</f>
        <v/>
      </c>
      <c r="O226" s="1397">
        <f>IF(raw[[#This Row],[out]]=0,0,IF(raw[[#This Row],[out]]=raw[[#This Row],[in]],0.01,raw[[#This Row],[out]]-raw[[#This Row],[in]]))</f>
        <v/>
      </c>
      <c r="P226" s="1397">
        <f>IF(raw[[#This Row],[in]]=0,0,MONTH(raw[[#This Row],[in]]))</f>
        <v/>
      </c>
      <c r="Q226" s="1397">
        <f>IF(raw[[#This Row],[in]]=0,0,YEAR(raw[[#This Row],[in]]))</f>
        <v/>
      </c>
      <c r="R226" s="1397">
        <f>INT(raw[[#This Row],[yr]]/10)*10</f>
        <v/>
      </c>
      <c r="S226" s="1395">
        <f>IF(raw[[#This Row],[city]]="","-",IF(raw[[#This Row],[city]]&lt;&gt;_xlfn.XLOOKUP(raw[[#This Row],[home]],homes[home],homes[city],"-"),1,0))</f>
        <v/>
      </c>
      <c r="T226" s="1398" t="inlineStr">
        <is>
          <t>.</t>
        </is>
      </c>
      <c r="U226" s="1399">
        <f>IF(raw[[#This Row],[wb]]="w",raw[[#This Row],[stay]]+U225,U225)</f>
        <v/>
      </c>
      <c r="V226" s="1400">
        <f>IF(raw[[#This Row],[out]]=0,V225,(raw[[#This Row],[out]]-E$5))</f>
        <v/>
      </c>
      <c r="W226" s="1401">
        <f>U226/V226</f>
        <v/>
      </c>
      <c r="X226" s="1378" t="inlineStr">
        <is>
          <t>.</t>
        </is>
      </c>
      <c r="Y226" s="1402">
        <f/>
        <v/>
      </c>
      <c r="Z226" s="1403">
        <f/>
        <v/>
      </c>
      <c r="AA226" s="1403">
        <f/>
        <v/>
      </c>
      <c r="AB226" s="1400">
        <f t="array" ref="AB226">_xlfn.LET(_xlpm.S,_xlfn.ANCHORARRAY($Y$4),_xlpm.r,ROWS(stayCity[[#Headers],[city]]:stayCity[[#This Row],[city]])-1,IF(_xlpm.r&lt;=ROWS(_xlpm.S),INDEX(_xlpm.S,_xlpm.r,1),""))</f>
        <v/>
      </c>
      <c r="AC226" s="1405">
        <f t="array" ref="AC226">_xlfn.LET(_xlpm.S,_xlfn.ANCHORARRAY($Y$4),_xlpm.r,ROWS(stayCity[[#Headers],[city]]:stayCity[[#This Row],[city]])-1,IF(_xlpm.r&lt;=ROWS(_xlpm.S),INDEX(_xlpm.S,_xlpm.r,2),""))</f>
        <v/>
      </c>
      <c r="AD226" s="1405">
        <f t="array" ref="AD226">_xlfn.LET(_xlpm.S,_xlfn.ANCHORARRAY($Y$4),_xlpm.r,ROWS(stayCity[[#Headers],[city]]:stayCity[[#This Row],[city]])-1,IF(_xlpm.r&lt;=ROWS(_xlpm.S),INDEX(_xlpm.S,_xlpm.r,3),""))</f>
        <v/>
      </c>
      <c r="AE226" s="1400">
        <f>IF(stayCity[[#This Row],[out]]&lt;&gt;"",stayCity[[#This Row],[out]]-stayCity[[#This Row],[in]],"-")</f>
        <v/>
      </c>
      <c r="AF226" s="1406">
        <f>IF(Y226="","-",YEAR(stayCity[[#This Row],[in]]))</f>
        <v/>
      </c>
      <c r="AG226" s="1398" t="inlineStr">
        <is>
          <t>.</t>
        </is>
      </c>
      <c r="AH226" s="1402" t="n"/>
      <c r="AI226" s="1420" t="n"/>
      <c r="AJ226" s="1420" t="n"/>
      <c r="AK226" s="1400">
        <f>IF(AH226="","-",AH226)</f>
        <v/>
      </c>
      <c r="AL226" s="1405">
        <f>AI226</f>
        <v/>
      </c>
      <c r="AM226" s="1405">
        <f>AJ226</f>
        <v/>
      </c>
      <c r="AN226" s="1400">
        <f>stayCtry[[#This Row],[out]]-stayCtry[[#This Row],[in]]</f>
        <v/>
      </c>
      <c r="AO226" s="1406">
        <f>IF(AI226&lt;&gt;"",AO225+1,AO225)</f>
        <v/>
      </c>
      <c r="AP226" s="1398" t="inlineStr">
        <is>
          <t>.</t>
        </is>
      </c>
      <c r="AQ226" s="1402" t="n"/>
      <c r="AR226" s="1403" t="n"/>
      <c r="AS226" s="1403" t="n"/>
      <c r="AT226" s="1400">
        <f>AQ226</f>
        <v/>
      </c>
      <c r="AU226" s="1405">
        <f>AR226</f>
        <v/>
      </c>
      <c r="AV226" s="1405">
        <f>AS226</f>
        <v/>
      </c>
      <c r="AW226" s="1400">
        <f>stayCont[[#This Row],[out]]-stayCont[[#This Row],[in]]</f>
        <v/>
      </c>
      <c r="AX226" s="1406">
        <f>IF(AR226&lt;&gt;"",AX225+1,AX225)</f>
        <v/>
      </c>
      <c r="AY226" s="1398" t="inlineStr">
        <is>
          <t>.</t>
        </is>
      </c>
      <c r="AZ226" s="1402" t="n"/>
      <c r="BA226" s="1403" t="n"/>
      <c r="BB226" s="1403" t="n"/>
      <c r="BC226" s="1405">
        <f>AZ226</f>
        <v/>
      </c>
      <c r="BD226" s="1405">
        <f>BA226</f>
        <v/>
      </c>
      <c r="BE226" s="1405">
        <f>BB226</f>
        <v/>
      </c>
      <c r="BF226" s="1400">
        <f>stayWB[[#This Row],[out]]-stayWB[[#This Row],[in]]</f>
        <v/>
      </c>
      <c r="BG226" s="1400">
        <f>IF(BB226&lt;&gt;"",BG225+1,BG225)</f>
        <v/>
      </c>
      <c r="BH226" s="1398" t="inlineStr">
        <is>
          <t>.</t>
        </is>
      </c>
      <c r="BI226" s="1402" t="inlineStr">
        <is>
          <t>USA</t>
        </is>
      </c>
      <c r="BJ226" s="1402" t="n">
        <v>2020</v>
      </c>
      <c r="BK226" s="1400">
        <f>BI226</f>
        <v/>
      </c>
      <c r="BL226" s="1409">
        <f>BJ226</f>
        <v/>
      </c>
      <c r="BM226" s="1378" t="inlineStr">
        <is>
          <t>.</t>
        </is>
      </c>
      <c r="BN226" s="1411" t="n"/>
      <c r="BO226" s="1400">
        <f>BN226</f>
        <v/>
      </c>
      <c r="BP226" s="1398" t="inlineStr">
        <is>
          <t>.</t>
        </is>
      </c>
      <c r="BQ226" s="1400">
        <f>IF(BR226&lt;&gt;"",BQ225+1,BQ225)</f>
        <v/>
      </c>
      <c r="BR226" s="1411" t="inlineStr">
        <is>
          <t>SP</t>
        </is>
      </c>
      <c r="BS226" s="1411" t="inlineStr">
        <is>
          <t>Rio</t>
        </is>
      </c>
      <c r="BT226" s="1412" t="inlineStr">
        <is>
          <t>SP-Rio</t>
        </is>
      </c>
      <c r="BU226" s="1412" t="n">
        <v>40281</v>
      </c>
      <c r="BV226" s="1398" t="inlineStr">
        <is>
          <t>.</t>
        </is>
      </c>
      <c r="BW226" s="1392" t="n"/>
      <c r="BX226" s="1392" t="n"/>
      <c r="BY226" s="1392" t="n"/>
      <c r="BZ226" s="1416" t="n"/>
      <c r="CA226" s="1392" t="n"/>
      <c r="CB226" s="1398" t="inlineStr">
        <is>
          <t>.</t>
        </is>
      </c>
      <c r="CC226" s="1400">
        <f>IF(CD226&lt;&gt;"",CC225+1,CC225)</f>
        <v/>
      </c>
      <c r="CD226" s="1411" t="n"/>
      <c r="CE226" s="1412" t="n"/>
      <c r="CF226" s="1412" t="n"/>
      <c r="CG226" s="1414">
        <f>CF226-CE226</f>
        <v/>
      </c>
      <c r="CH226" s="1398" t="inlineStr">
        <is>
          <t>.</t>
        </is>
      </c>
      <c r="CI226" s="1392" t="n"/>
      <c r="CJ226" s="1392" t="n"/>
      <c r="CK226" s="1392" t="n"/>
      <c r="CL226" s="1392" t="n"/>
    </row>
    <row r="227">
      <c r="A227" s="5" t="inlineStr">
        <is>
          <t>.</t>
        </is>
      </c>
      <c r="B227" s="5" t="inlineStr">
        <is>
          <t>.</t>
        </is>
      </c>
      <c r="C227" s="1378">
        <f>IF(raw[[#This Row],[city]]="","-",IF(raw[[#This Row],[city]]="TODAY","-",C226+1))</f>
        <v/>
      </c>
      <c r="D227" s="1393" t="inlineStr">
        <is>
          <t>Ballater</t>
        </is>
      </c>
      <c r="E227" s="1394" t="n">
        <v>32804</v>
      </c>
      <c r="F227" s="1394" t="n">
        <v>32804</v>
      </c>
      <c r="G227" s="1393" t="inlineStr">
        <is>
          <t>-</t>
        </is>
      </c>
      <c r="H227" s="1393">
        <f>H226</f>
        <v/>
      </c>
      <c r="I227" s="1393" t="n"/>
      <c r="J227" s="1393" t="inlineStr">
        <is>
          <t>-</t>
        </is>
      </c>
      <c r="K227" s="1395">
        <f>IF(raw[[#This Row],[city]]&lt;&gt;"",_xlfn.XLOOKUP($D227,ccc[city],ccc[prov],"-"),"-")</f>
        <v/>
      </c>
      <c r="L227" s="1395">
        <f>IF(raw[[#This Row],[city]]&lt;&gt;"",_xlfn.XLOOKUP($D227,ccc[city],ccc[ctry],"-"),"-")</f>
        <v/>
      </c>
      <c r="M227" s="1395">
        <f>IF(raw[[#This Row],[city]]&lt;&gt;"",_xlfn.XLOOKUP($D227,ccc[city],ccc[cont],"-"),"-")</f>
        <v/>
      </c>
      <c r="N227" s="1396">
        <f>IF(raw[[#This Row],[city]]="","-",IF(raw[[#This Row],[cont]]="B",raw[[#This Row],[cont]],"W"))</f>
        <v/>
      </c>
      <c r="O227" s="1397">
        <f>IF(raw[[#This Row],[out]]=0,0,IF(raw[[#This Row],[out]]=raw[[#This Row],[in]],0.01,raw[[#This Row],[out]]-raw[[#This Row],[in]]))</f>
        <v/>
      </c>
      <c r="P227" s="1397">
        <f>IF(raw[[#This Row],[in]]=0,0,MONTH(raw[[#This Row],[in]]))</f>
        <v/>
      </c>
      <c r="Q227" s="1397">
        <f>IF(raw[[#This Row],[in]]=0,0,YEAR(raw[[#This Row],[in]]))</f>
        <v/>
      </c>
      <c r="R227" s="1397">
        <f>INT(raw[[#This Row],[yr]]/10)*10</f>
        <v/>
      </c>
      <c r="S227" s="1395">
        <f>IF(raw[[#This Row],[city]]="","-",IF(raw[[#This Row],[city]]&lt;&gt;_xlfn.XLOOKUP(raw[[#This Row],[home]],homes[home],homes[city],"-"),1,0))</f>
        <v/>
      </c>
      <c r="T227" s="1398" t="inlineStr">
        <is>
          <t>.</t>
        </is>
      </c>
      <c r="U227" s="1399">
        <f>IF(raw[[#This Row],[wb]]="w",raw[[#This Row],[stay]]+U226,U226)</f>
        <v/>
      </c>
      <c r="V227" s="1400">
        <f>IF(raw[[#This Row],[out]]=0,V226,(raw[[#This Row],[out]]-E$5))</f>
        <v/>
      </c>
      <c r="W227" s="1401">
        <f>U227/V227</f>
        <v/>
      </c>
      <c r="X227" s="1378" t="inlineStr">
        <is>
          <t>.</t>
        </is>
      </c>
      <c r="Y227" s="1402">
        <f/>
        <v/>
      </c>
      <c r="Z227" s="1403">
        <f/>
        <v/>
      </c>
      <c r="AA227" s="1403">
        <f/>
        <v/>
      </c>
      <c r="AB227" s="1400">
        <f t="array" ref="AB227">_xlfn.LET(_xlpm.S,_xlfn.ANCHORARRAY($Y$4),_xlpm.r,ROWS(stayCity[[#Headers],[city]]:stayCity[[#This Row],[city]])-1,IF(_xlpm.r&lt;=ROWS(_xlpm.S),INDEX(_xlpm.S,_xlpm.r,1),""))</f>
        <v/>
      </c>
      <c r="AC227" s="1405">
        <f t="array" ref="AC227">_xlfn.LET(_xlpm.S,_xlfn.ANCHORARRAY($Y$4),_xlpm.r,ROWS(stayCity[[#Headers],[city]]:stayCity[[#This Row],[city]])-1,IF(_xlpm.r&lt;=ROWS(_xlpm.S),INDEX(_xlpm.S,_xlpm.r,2),""))</f>
        <v/>
      </c>
      <c r="AD227" s="1405">
        <f t="array" ref="AD227">_xlfn.LET(_xlpm.S,_xlfn.ANCHORARRAY($Y$4),_xlpm.r,ROWS(stayCity[[#Headers],[city]]:stayCity[[#This Row],[city]])-1,IF(_xlpm.r&lt;=ROWS(_xlpm.S),INDEX(_xlpm.S,_xlpm.r,3),""))</f>
        <v/>
      </c>
      <c r="AE227" s="1400">
        <f>IF(stayCity[[#This Row],[out]]&lt;&gt;"",stayCity[[#This Row],[out]]-stayCity[[#This Row],[in]],"-")</f>
        <v/>
      </c>
      <c r="AF227" s="1406">
        <f>IF(Y227="","-",YEAR(stayCity[[#This Row],[in]]))</f>
        <v/>
      </c>
      <c r="AG227" s="1398" t="inlineStr">
        <is>
          <t>.</t>
        </is>
      </c>
      <c r="AH227" s="1402" t="n"/>
      <c r="AI227" s="1420" t="n"/>
      <c r="AJ227" s="1420" t="n"/>
      <c r="AK227" s="1400">
        <f>IF(AH227="","-",AH227)</f>
        <v/>
      </c>
      <c r="AL227" s="1405">
        <f>AI227</f>
        <v/>
      </c>
      <c r="AM227" s="1405">
        <f>AJ227</f>
        <v/>
      </c>
      <c r="AN227" s="1400">
        <f>stayCtry[[#This Row],[out]]-stayCtry[[#This Row],[in]]</f>
        <v/>
      </c>
      <c r="AO227" s="1406">
        <f>IF(AI227&lt;&gt;"",AO226+1,AO226)</f>
        <v/>
      </c>
      <c r="AP227" s="1398" t="inlineStr">
        <is>
          <t>.</t>
        </is>
      </c>
      <c r="AQ227" s="1402" t="n"/>
      <c r="AR227" s="1403" t="n"/>
      <c r="AS227" s="1403" t="n"/>
      <c r="AT227" s="1400">
        <f>AQ227</f>
        <v/>
      </c>
      <c r="AU227" s="1405">
        <f>AR227</f>
        <v/>
      </c>
      <c r="AV227" s="1405">
        <f>AS227</f>
        <v/>
      </c>
      <c r="AW227" s="1400">
        <f>stayCont[[#This Row],[out]]-stayCont[[#This Row],[in]]</f>
        <v/>
      </c>
      <c r="AX227" s="1406">
        <f>IF(AR227&lt;&gt;"",AX226+1,AX226)</f>
        <v/>
      </c>
      <c r="AY227" s="1398" t="inlineStr">
        <is>
          <t>.</t>
        </is>
      </c>
      <c r="AZ227" s="1402" t="n"/>
      <c r="BA227" s="1403" t="n"/>
      <c r="BB227" s="1403" t="n"/>
      <c r="BC227" s="1405">
        <f>AZ227</f>
        <v/>
      </c>
      <c r="BD227" s="1405">
        <f>BA227</f>
        <v/>
      </c>
      <c r="BE227" s="1405">
        <f>BB227</f>
        <v/>
      </c>
      <c r="BF227" s="1400">
        <f>stayWB[[#This Row],[out]]-stayWB[[#This Row],[in]]</f>
        <v/>
      </c>
      <c r="BG227" s="1400">
        <f>IF(BB227&lt;&gt;"",BG226+1,BG226)</f>
        <v/>
      </c>
      <c r="BH227" s="1398" t="inlineStr">
        <is>
          <t>.</t>
        </is>
      </c>
      <c r="BI227" s="1402" t="inlineStr">
        <is>
          <t>CAN</t>
        </is>
      </c>
      <c r="BJ227" s="1402" t="n">
        <v>2020</v>
      </c>
      <c r="BK227" s="1400">
        <f>BI227</f>
        <v/>
      </c>
      <c r="BL227" s="1409">
        <f>BJ227</f>
        <v/>
      </c>
      <c r="BM227" s="1378" t="inlineStr">
        <is>
          <t>.</t>
        </is>
      </c>
      <c r="BN227" s="1411" t="n"/>
      <c r="BO227" s="1400">
        <f>BN227</f>
        <v/>
      </c>
      <c r="BP227" s="1398" t="inlineStr">
        <is>
          <t>.</t>
        </is>
      </c>
      <c r="BQ227" s="1400">
        <f>IF(BR227&lt;&gt;"",BQ226+1,BQ226)</f>
        <v/>
      </c>
      <c r="BR227" s="1411" t="inlineStr">
        <is>
          <t>Rio</t>
        </is>
      </c>
      <c r="BS227" s="1411" t="inlineStr">
        <is>
          <t>SSA</t>
        </is>
      </c>
      <c r="BT227" s="1412" t="inlineStr">
        <is>
          <t>Rio-SSA</t>
        </is>
      </c>
      <c r="BU227" s="1412" t="n">
        <v>40285</v>
      </c>
      <c r="BV227" s="1398" t="inlineStr">
        <is>
          <t>.</t>
        </is>
      </c>
      <c r="BW227" s="1392" t="n"/>
      <c r="BX227" s="1392" t="n"/>
      <c r="BY227" s="1392" t="n"/>
      <c r="BZ227" s="1416" t="n"/>
      <c r="CA227" s="1392" t="n"/>
      <c r="CB227" s="1398" t="inlineStr">
        <is>
          <t>.</t>
        </is>
      </c>
      <c r="CC227" s="1400">
        <f>IF(CD227&lt;&gt;"",CC226+1,CC226)</f>
        <v/>
      </c>
      <c r="CD227" s="1411" t="n"/>
      <c r="CE227" s="1412" t="n"/>
      <c r="CF227" s="1412" t="n"/>
      <c r="CG227" s="1414">
        <f>CF227-CE227</f>
        <v/>
      </c>
      <c r="CH227" s="1398" t="inlineStr">
        <is>
          <t>.</t>
        </is>
      </c>
      <c r="CI227" s="1392" t="n"/>
      <c r="CJ227" s="1392" t="n"/>
      <c r="CK227" s="1392" t="n"/>
      <c r="CL227" s="1392" t="n"/>
    </row>
    <row r="228">
      <c r="A228" s="5" t="inlineStr">
        <is>
          <t>.</t>
        </is>
      </c>
      <c r="B228" s="5" t="inlineStr">
        <is>
          <t>.</t>
        </is>
      </c>
      <c r="C228" s="1378">
        <f>IF(raw[[#This Row],[city]]="","-",IF(raw[[#This Row],[city]]="TODAY","-",C227+1))</f>
        <v/>
      </c>
      <c r="D228" s="1393" t="inlineStr">
        <is>
          <t>Braemar</t>
        </is>
      </c>
      <c r="E228" s="1394" t="n">
        <v>32804</v>
      </c>
      <c r="F228" s="1394" t="n">
        <v>32804</v>
      </c>
      <c r="G228" s="1393" t="inlineStr">
        <is>
          <t>-</t>
        </is>
      </c>
      <c r="H228" s="1393">
        <f>H227</f>
        <v/>
      </c>
      <c r="I228" s="1393" t="n"/>
      <c r="J228" s="1393" t="inlineStr">
        <is>
          <t>-</t>
        </is>
      </c>
      <c r="K228" s="1395">
        <f>IF(raw[[#This Row],[city]]&lt;&gt;"",_xlfn.XLOOKUP($D228,ccc[city],ccc[prov],"-"),"-")</f>
        <v/>
      </c>
      <c r="L228" s="1395">
        <f>IF(raw[[#This Row],[city]]&lt;&gt;"",_xlfn.XLOOKUP($D228,ccc[city],ccc[ctry],"-"),"-")</f>
        <v/>
      </c>
      <c r="M228" s="1395">
        <f>IF(raw[[#This Row],[city]]&lt;&gt;"",_xlfn.XLOOKUP($D228,ccc[city],ccc[cont],"-"),"-")</f>
        <v/>
      </c>
      <c r="N228" s="1396">
        <f>IF(raw[[#This Row],[city]]="","-",IF(raw[[#This Row],[cont]]="B",raw[[#This Row],[cont]],"W"))</f>
        <v/>
      </c>
      <c r="O228" s="1397">
        <f>IF(raw[[#This Row],[out]]=0,0,IF(raw[[#This Row],[out]]=raw[[#This Row],[in]],0.01,raw[[#This Row],[out]]-raw[[#This Row],[in]]))</f>
        <v/>
      </c>
      <c r="P228" s="1397">
        <f>IF(raw[[#This Row],[in]]=0,0,MONTH(raw[[#This Row],[in]]))</f>
        <v/>
      </c>
      <c r="Q228" s="1397">
        <f>IF(raw[[#This Row],[in]]=0,0,YEAR(raw[[#This Row],[in]]))</f>
        <v/>
      </c>
      <c r="R228" s="1397">
        <f>INT(raw[[#This Row],[yr]]/10)*10</f>
        <v/>
      </c>
      <c r="S228" s="1395">
        <f>IF(raw[[#This Row],[city]]="","-",IF(raw[[#This Row],[city]]&lt;&gt;_xlfn.XLOOKUP(raw[[#This Row],[home]],homes[home],homes[city],"-"),1,0))</f>
        <v/>
      </c>
      <c r="T228" s="1398" t="inlineStr">
        <is>
          <t>.</t>
        </is>
      </c>
      <c r="U228" s="1399">
        <f>IF(raw[[#This Row],[wb]]="w",raw[[#This Row],[stay]]+U227,U227)</f>
        <v/>
      </c>
      <c r="V228" s="1400">
        <f>IF(raw[[#This Row],[out]]=0,V227,(raw[[#This Row],[out]]-E$5))</f>
        <v/>
      </c>
      <c r="W228" s="1401">
        <f>U228/V228</f>
        <v/>
      </c>
      <c r="X228" s="1378" t="inlineStr">
        <is>
          <t>.</t>
        </is>
      </c>
      <c r="Y228" s="1402">
        <f/>
        <v/>
      </c>
      <c r="Z228" s="1403">
        <f/>
        <v/>
      </c>
      <c r="AA228" s="1403">
        <f/>
        <v/>
      </c>
      <c r="AB228" s="1400">
        <f t="array" ref="AB228">_xlfn.LET(_xlpm.S,_xlfn.ANCHORARRAY($Y$4),_xlpm.r,ROWS(stayCity[[#Headers],[city]]:stayCity[[#This Row],[city]])-1,IF(_xlpm.r&lt;=ROWS(_xlpm.S),INDEX(_xlpm.S,_xlpm.r,1),""))</f>
        <v/>
      </c>
      <c r="AC228" s="1405">
        <f t="array" ref="AC228">_xlfn.LET(_xlpm.S,_xlfn.ANCHORARRAY($Y$4),_xlpm.r,ROWS(stayCity[[#Headers],[city]]:stayCity[[#This Row],[city]])-1,IF(_xlpm.r&lt;=ROWS(_xlpm.S),INDEX(_xlpm.S,_xlpm.r,2),""))</f>
        <v/>
      </c>
      <c r="AD228" s="1405">
        <f t="array" ref="AD228">_xlfn.LET(_xlpm.S,_xlfn.ANCHORARRAY($Y$4),_xlpm.r,ROWS(stayCity[[#Headers],[city]]:stayCity[[#This Row],[city]])-1,IF(_xlpm.r&lt;=ROWS(_xlpm.S),INDEX(_xlpm.S,_xlpm.r,3),""))</f>
        <v/>
      </c>
      <c r="AE228" s="1400">
        <f>IF(stayCity[[#This Row],[out]]&lt;&gt;"",stayCity[[#This Row],[out]]-stayCity[[#This Row],[in]],"-")</f>
        <v/>
      </c>
      <c r="AF228" s="1406">
        <f>IF(Y228="","-",YEAR(stayCity[[#This Row],[in]]))</f>
        <v/>
      </c>
      <c r="AG228" s="1398" t="inlineStr">
        <is>
          <t>.</t>
        </is>
      </c>
      <c r="AH228" s="1402" t="n"/>
      <c r="AI228" s="1420" t="n"/>
      <c r="AJ228" s="1420" t="n"/>
      <c r="AK228" s="1400">
        <f>IF(AH228="","-",AH228)</f>
        <v/>
      </c>
      <c r="AL228" s="1405">
        <f>AI228</f>
        <v/>
      </c>
      <c r="AM228" s="1405">
        <f>AJ228</f>
        <v/>
      </c>
      <c r="AN228" s="1400">
        <f>stayCtry[[#This Row],[out]]-stayCtry[[#This Row],[in]]</f>
        <v/>
      </c>
      <c r="AO228" s="1406">
        <f>IF(AI228&lt;&gt;"",AO227+1,AO227)</f>
        <v/>
      </c>
      <c r="AP228" s="1398" t="inlineStr">
        <is>
          <t>.</t>
        </is>
      </c>
      <c r="AQ228" s="1402" t="n"/>
      <c r="AR228" s="1403" t="n"/>
      <c r="AS228" s="1403" t="n"/>
      <c r="AT228" s="1400">
        <f>AQ228</f>
        <v/>
      </c>
      <c r="AU228" s="1405">
        <f>AR228</f>
        <v/>
      </c>
      <c r="AV228" s="1405">
        <f>AS228</f>
        <v/>
      </c>
      <c r="AW228" s="1400">
        <f>stayCont[[#This Row],[out]]-stayCont[[#This Row],[in]]</f>
        <v/>
      </c>
      <c r="AX228" s="1406">
        <f>IF(AR228&lt;&gt;"",AX227+1,AX227)</f>
        <v/>
      </c>
      <c r="AY228" s="1398" t="inlineStr">
        <is>
          <t>.</t>
        </is>
      </c>
      <c r="AZ228" s="1402" t="n"/>
      <c r="BA228" s="1403" t="n"/>
      <c r="BB228" s="1403" t="n"/>
      <c r="BC228" s="1405">
        <f>AZ228</f>
        <v/>
      </c>
      <c r="BD228" s="1405">
        <f>BA228</f>
        <v/>
      </c>
      <c r="BE228" s="1405">
        <f>BB228</f>
        <v/>
      </c>
      <c r="BF228" s="1400">
        <f>stayWB[[#This Row],[out]]-stayWB[[#This Row],[in]]</f>
        <v/>
      </c>
      <c r="BG228" s="1400">
        <f>IF(BB228&lt;&gt;"",BG227+1,BG227)</f>
        <v/>
      </c>
      <c r="BH228" s="1398" t="inlineStr">
        <is>
          <t>.</t>
        </is>
      </c>
      <c r="BI228" s="1402" t="inlineStr">
        <is>
          <t>UK</t>
        </is>
      </c>
      <c r="BJ228" s="1402" t="n">
        <v>2021</v>
      </c>
      <c r="BK228" s="1400">
        <f>BI228</f>
        <v/>
      </c>
      <c r="BL228" s="1409">
        <f>BJ228</f>
        <v/>
      </c>
      <c r="BM228" s="1378" t="inlineStr">
        <is>
          <t>.</t>
        </is>
      </c>
      <c r="BN228" s="1411" t="n"/>
      <c r="BO228" s="1400">
        <f>BN228</f>
        <v/>
      </c>
      <c r="BP228" s="1398" t="inlineStr">
        <is>
          <t>.</t>
        </is>
      </c>
      <c r="BQ228" s="1400">
        <f>IF(BR228&lt;&gt;"",BQ227+1,BQ227)</f>
        <v/>
      </c>
      <c r="BR228" s="1411" t="inlineStr">
        <is>
          <t>SSA</t>
        </is>
      </c>
      <c r="BS228" s="1411" t="inlineStr">
        <is>
          <t>SP</t>
        </is>
      </c>
      <c r="BT228" s="1412" t="inlineStr">
        <is>
          <t>SSA-SP</t>
        </is>
      </c>
      <c r="BU228" s="1412" t="n">
        <v>40357</v>
      </c>
      <c r="BV228" s="1398" t="inlineStr">
        <is>
          <t>.</t>
        </is>
      </c>
      <c r="BW228" s="1392" t="n"/>
      <c r="BX228" s="1392" t="n"/>
      <c r="BY228" s="1392" t="n"/>
      <c r="BZ228" s="1416" t="n"/>
      <c r="CA228" s="1392" t="n"/>
      <c r="CB228" s="1398" t="inlineStr">
        <is>
          <t>.</t>
        </is>
      </c>
      <c r="CC228" s="1400">
        <f>IF(CD228&lt;&gt;"",CC227+1,CC227)</f>
        <v/>
      </c>
      <c r="CD228" s="1411" t="n"/>
      <c r="CE228" s="1412" t="n"/>
      <c r="CF228" s="1412" t="n"/>
      <c r="CG228" s="1414">
        <f>CF228-CE228</f>
        <v/>
      </c>
      <c r="CH228" s="1398" t="inlineStr">
        <is>
          <t>.</t>
        </is>
      </c>
      <c r="CI228" s="1392" t="n"/>
      <c r="CJ228" s="1392" t="n"/>
      <c r="CK228" s="1392" t="n"/>
      <c r="CL228" s="1392" t="n"/>
    </row>
    <row r="229">
      <c r="A229" s="5" t="inlineStr">
        <is>
          <t>.</t>
        </is>
      </c>
      <c r="B229" s="5" t="inlineStr">
        <is>
          <t>.</t>
        </is>
      </c>
      <c r="C229" s="1378">
        <f>IF(raw[[#This Row],[city]]="","-",IF(raw[[#This Row],[city]]="TODAY","-",C228+1))</f>
        <v/>
      </c>
      <c r="D229" s="1393" t="inlineStr">
        <is>
          <t>Perth</t>
        </is>
      </c>
      <c r="E229" s="1394" t="n">
        <v>32804</v>
      </c>
      <c r="F229" s="1394" t="n">
        <v>32804</v>
      </c>
      <c r="G229" s="1393" t="inlineStr">
        <is>
          <t>-</t>
        </is>
      </c>
      <c r="H229" s="1393">
        <f>H228</f>
        <v/>
      </c>
      <c r="I229" s="1393" t="n"/>
      <c r="J229" s="1393" t="inlineStr">
        <is>
          <t>-</t>
        </is>
      </c>
      <c r="K229" s="1395">
        <f>IF(raw[[#This Row],[city]]&lt;&gt;"",_xlfn.XLOOKUP($D229,ccc[city],ccc[prov],"-"),"-")</f>
        <v/>
      </c>
      <c r="L229" s="1395">
        <f>IF(raw[[#This Row],[city]]&lt;&gt;"",_xlfn.XLOOKUP($D229,ccc[city],ccc[ctry],"-"),"-")</f>
        <v/>
      </c>
      <c r="M229" s="1395">
        <f>IF(raw[[#This Row],[city]]&lt;&gt;"",_xlfn.XLOOKUP($D229,ccc[city],ccc[cont],"-"),"-")</f>
        <v/>
      </c>
      <c r="N229" s="1396">
        <f>IF(raw[[#This Row],[city]]="","-",IF(raw[[#This Row],[cont]]="B",raw[[#This Row],[cont]],"W"))</f>
        <v/>
      </c>
      <c r="O229" s="1397">
        <f>IF(raw[[#This Row],[out]]=0,0,IF(raw[[#This Row],[out]]=raw[[#This Row],[in]],0.01,raw[[#This Row],[out]]-raw[[#This Row],[in]]))</f>
        <v/>
      </c>
      <c r="P229" s="1397">
        <f>IF(raw[[#This Row],[in]]=0,0,MONTH(raw[[#This Row],[in]]))</f>
        <v/>
      </c>
      <c r="Q229" s="1397">
        <f>IF(raw[[#This Row],[in]]=0,0,YEAR(raw[[#This Row],[in]]))</f>
        <v/>
      </c>
      <c r="R229" s="1397">
        <f>INT(raw[[#This Row],[yr]]/10)*10</f>
        <v/>
      </c>
      <c r="S229" s="1395">
        <f>IF(raw[[#This Row],[city]]="","-",IF(raw[[#This Row],[city]]&lt;&gt;_xlfn.XLOOKUP(raw[[#This Row],[home]],homes[home],homes[city],"-"),1,0))</f>
        <v/>
      </c>
      <c r="T229" s="1398" t="inlineStr">
        <is>
          <t>.</t>
        </is>
      </c>
      <c r="U229" s="1399">
        <f>IF(raw[[#This Row],[wb]]="w",raw[[#This Row],[stay]]+U228,U228)</f>
        <v/>
      </c>
      <c r="V229" s="1400">
        <f>IF(raw[[#This Row],[out]]=0,V228,(raw[[#This Row],[out]]-E$5))</f>
        <v/>
      </c>
      <c r="W229" s="1401">
        <f>U229/V229</f>
        <v/>
      </c>
      <c r="X229" s="1378" t="inlineStr">
        <is>
          <t>.</t>
        </is>
      </c>
      <c r="Y229" s="1402">
        <f/>
        <v/>
      </c>
      <c r="Z229" s="1403">
        <f/>
        <v/>
      </c>
      <c r="AA229" s="1403">
        <f/>
        <v/>
      </c>
      <c r="AB229" s="1400">
        <f t="array" ref="AB229">_xlfn.LET(_xlpm.S,_xlfn.ANCHORARRAY($Y$4),_xlpm.r,ROWS(stayCity[[#Headers],[city]]:stayCity[[#This Row],[city]])-1,IF(_xlpm.r&lt;=ROWS(_xlpm.S),INDEX(_xlpm.S,_xlpm.r,1),""))</f>
        <v/>
      </c>
      <c r="AC229" s="1405">
        <f t="array" ref="AC229">_xlfn.LET(_xlpm.S,_xlfn.ANCHORARRAY($Y$4),_xlpm.r,ROWS(stayCity[[#Headers],[city]]:stayCity[[#This Row],[city]])-1,IF(_xlpm.r&lt;=ROWS(_xlpm.S),INDEX(_xlpm.S,_xlpm.r,2),""))</f>
        <v/>
      </c>
      <c r="AD229" s="1405">
        <f t="array" ref="AD229">_xlfn.LET(_xlpm.S,_xlfn.ANCHORARRAY($Y$4),_xlpm.r,ROWS(stayCity[[#Headers],[city]]:stayCity[[#This Row],[city]])-1,IF(_xlpm.r&lt;=ROWS(_xlpm.S),INDEX(_xlpm.S,_xlpm.r,3),""))</f>
        <v/>
      </c>
      <c r="AE229" s="1400">
        <f>IF(stayCity[[#This Row],[out]]&lt;&gt;"",stayCity[[#This Row],[out]]-stayCity[[#This Row],[in]],"-")</f>
        <v/>
      </c>
      <c r="AF229" s="1406">
        <f>IF(Y229="","-",YEAR(stayCity[[#This Row],[in]]))</f>
        <v/>
      </c>
      <c r="AG229" s="1398" t="inlineStr">
        <is>
          <t>.</t>
        </is>
      </c>
      <c r="AH229" s="1402" t="n"/>
      <c r="AI229" s="1420" t="n"/>
      <c r="AJ229" s="1420" t="n"/>
      <c r="AK229" s="1400">
        <f>IF(AH229="","-",AH229)</f>
        <v/>
      </c>
      <c r="AL229" s="1405">
        <f>AI229</f>
        <v/>
      </c>
      <c r="AM229" s="1405">
        <f>AJ229</f>
        <v/>
      </c>
      <c r="AN229" s="1400">
        <f>stayCtry[[#This Row],[out]]-stayCtry[[#This Row],[in]]</f>
        <v/>
      </c>
      <c r="AO229" s="1406">
        <f>IF(AI229&lt;&gt;"",AO228+1,AO228)</f>
        <v/>
      </c>
      <c r="AP229" s="1398" t="inlineStr">
        <is>
          <t>.</t>
        </is>
      </c>
      <c r="AQ229" s="1402" t="n"/>
      <c r="AR229" s="1403" t="n"/>
      <c r="AS229" s="1403" t="n"/>
      <c r="AT229" s="1400">
        <f>AQ229</f>
        <v/>
      </c>
      <c r="AU229" s="1405">
        <f>AR229</f>
        <v/>
      </c>
      <c r="AV229" s="1405">
        <f>AS229</f>
        <v/>
      </c>
      <c r="AW229" s="1400">
        <f>stayCont[[#This Row],[out]]-stayCont[[#This Row],[in]]</f>
        <v/>
      </c>
      <c r="AX229" s="1406">
        <f>IF(AR229&lt;&gt;"",AX228+1,AX228)</f>
        <v/>
      </c>
      <c r="AY229" s="1398" t="inlineStr">
        <is>
          <t>.</t>
        </is>
      </c>
      <c r="AZ229" s="1402" t="n"/>
      <c r="BA229" s="1403" t="n"/>
      <c r="BB229" s="1403" t="n"/>
      <c r="BC229" s="1405">
        <f>AZ229</f>
        <v/>
      </c>
      <c r="BD229" s="1405">
        <f>BA229</f>
        <v/>
      </c>
      <c r="BE229" s="1405">
        <f>BB229</f>
        <v/>
      </c>
      <c r="BF229" s="1400">
        <f>stayWB[[#This Row],[out]]-stayWB[[#This Row],[in]]</f>
        <v/>
      </c>
      <c r="BG229" s="1400">
        <f>IF(BB229&lt;&gt;"",BG228+1,BG228)</f>
        <v/>
      </c>
      <c r="BH229" s="1398" t="inlineStr">
        <is>
          <t>.</t>
        </is>
      </c>
      <c r="BI229" s="1402" t="inlineStr">
        <is>
          <t>CAN</t>
        </is>
      </c>
      <c r="BJ229" s="1402" t="n">
        <v>2021</v>
      </c>
      <c r="BK229" s="1400">
        <f>BI229</f>
        <v/>
      </c>
      <c r="BL229" s="1409">
        <f>BJ229</f>
        <v/>
      </c>
      <c r="BM229" s="1378" t="inlineStr">
        <is>
          <t>.</t>
        </is>
      </c>
      <c r="BN229" s="1411" t="n"/>
      <c r="BO229" s="1400">
        <f>BN229</f>
        <v/>
      </c>
      <c r="BP229" s="1398" t="inlineStr">
        <is>
          <t>.</t>
        </is>
      </c>
      <c r="BQ229" s="1400">
        <f>IF(BR229&lt;&gt;"",BQ228+1,BQ228)</f>
        <v/>
      </c>
      <c r="BR229" s="1411" t="inlineStr">
        <is>
          <t>SP</t>
        </is>
      </c>
      <c r="BS229" s="1411" t="inlineStr">
        <is>
          <t>Mexico City</t>
        </is>
      </c>
      <c r="BT229" s="1412" t="inlineStr">
        <is>
          <t>SP-Mexico City</t>
        </is>
      </c>
      <c r="BU229" s="1412" t="n">
        <v>40357</v>
      </c>
      <c r="BV229" s="1398" t="inlineStr">
        <is>
          <t>.</t>
        </is>
      </c>
      <c r="BW229" s="1392" t="n"/>
      <c r="BX229" s="1392" t="n"/>
      <c r="BY229" s="1392" t="n"/>
      <c r="BZ229" s="1416" t="n"/>
      <c r="CA229" s="1392" t="n"/>
      <c r="CB229" s="1398" t="inlineStr">
        <is>
          <t>.</t>
        </is>
      </c>
      <c r="CC229" s="1400">
        <f>IF(CD229&lt;&gt;"",CC228+1,CC228)</f>
        <v/>
      </c>
      <c r="CD229" s="1411" t="n"/>
      <c r="CE229" s="1412" t="n"/>
      <c r="CF229" s="1412" t="n"/>
      <c r="CG229" s="1414">
        <f>CF229-CE229</f>
        <v/>
      </c>
      <c r="CH229" s="1398" t="inlineStr">
        <is>
          <t>.</t>
        </is>
      </c>
      <c r="CI229" s="1392" t="n"/>
      <c r="CJ229" s="1392" t="n"/>
      <c r="CK229" s="1392" t="n"/>
      <c r="CL229" s="1392" t="n"/>
    </row>
    <row r="230">
      <c r="A230" s="5" t="inlineStr">
        <is>
          <t>.</t>
        </is>
      </c>
      <c r="B230" s="5" t="inlineStr">
        <is>
          <t>.</t>
        </is>
      </c>
      <c r="C230" s="1378">
        <f>IF(raw[[#This Row],[city]]="","-",IF(raw[[#This Row],[city]]="TODAY","-",C229+1))</f>
        <v/>
      </c>
      <c r="D230" s="1393" t="inlineStr">
        <is>
          <t>Stirling</t>
        </is>
      </c>
      <c r="E230" s="1394" t="n">
        <v>32804</v>
      </c>
      <c r="F230" s="1394" t="n">
        <v>32805</v>
      </c>
      <c r="G230" s="1393" t="inlineStr">
        <is>
          <t>-</t>
        </is>
      </c>
      <c r="H230" s="1393">
        <f>H229</f>
        <v/>
      </c>
      <c r="I230" s="1393" t="inlineStr">
        <is>
          <t>-</t>
        </is>
      </c>
      <c r="J230" s="1393" t="inlineStr">
        <is>
          <t>-</t>
        </is>
      </c>
      <c r="K230" s="1395">
        <f>IF(raw[[#This Row],[city]]&lt;&gt;"",_xlfn.XLOOKUP($D230,ccc[city],ccc[prov],"-"),"-")</f>
        <v/>
      </c>
      <c r="L230" s="1395">
        <f>IF(raw[[#This Row],[city]]&lt;&gt;"",_xlfn.XLOOKUP($D230,ccc[city],ccc[ctry],"-"),"-")</f>
        <v/>
      </c>
      <c r="M230" s="1395">
        <f>IF(raw[[#This Row],[city]]&lt;&gt;"",_xlfn.XLOOKUP($D230,ccc[city],ccc[cont],"-"),"-")</f>
        <v/>
      </c>
      <c r="N230" s="1396">
        <f>IF(raw[[#This Row],[city]]="","-",IF(raw[[#This Row],[cont]]="B",raw[[#This Row],[cont]],"W"))</f>
        <v/>
      </c>
      <c r="O230" s="1397">
        <f>IF(raw[[#This Row],[out]]=0,0,IF(raw[[#This Row],[out]]=raw[[#This Row],[in]],0.01,raw[[#This Row],[out]]-raw[[#This Row],[in]]))</f>
        <v/>
      </c>
      <c r="P230" s="1397">
        <f>IF(raw[[#This Row],[in]]=0,0,MONTH(raw[[#This Row],[in]]))</f>
        <v/>
      </c>
      <c r="Q230" s="1397">
        <f>IF(raw[[#This Row],[in]]=0,0,YEAR(raw[[#This Row],[in]]))</f>
        <v/>
      </c>
      <c r="R230" s="1397">
        <f>INT(raw[[#This Row],[yr]]/10)*10</f>
        <v/>
      </c>
      <c r="S230" s="1395">
        <f>IF(raw[[#This Row],[city]]="","-",IF(raw[[#This Row],[city]]&lt;&gt;_xlfn.XLOOKUP(raw[[#This Row],[home]],homes[home],homes[city],"-"),1,0))</f>
        <v/>
      </c>
      <c r="T230" s="1398" t="inlineStr">
        <is>
          <t>.</t>
        </is>
      </c>
      <c r="U230" s="1399">
        <f>IF(raw[[#This Row],[wb]]="w",raw[[#This Row],[stay]]+U229,U229)</f>
        <v/>
      </c>
      <c r="V230" s="1400">
        <f>IF(raw[[#This Row],[out]]=0,V229,(raw[[#This Row],[out]]-E$5))</f>
        <v/>
      </c>
      <c r="W230" s="1401">
        <f>U230/V230</f>
        <v/>
      </c>
      <c r="X230" s="1378" t="inlineStr">
        <is>
          <t>.</t>
        </is>
      </c>
      <c r="Y230" s="1402">
        <f/>
        <v/>
      </c>
      <c r="Z230" s="1403">
        <f/>
        <v/>
      </c>
      <c r="AA230" s="1403">
        <f/>
        <v/>
      </c>
      <c r="AB230" s="1400">
        <f t="array" ref="AB230">_xlfn.LET(_xlpm.S,_xlfn.ANCHORARRAY($Y$4),_xlpm.r,ROWS(stayCity[[#Headers],[city]]:stayCity[[#This Row],[city]])-1,IF(_xlpm.r&lt;=ROWS(_xlpm.S),INDEX(_xlpm.S,_xlpm.r,1),""))</f>
        <v/>
      </c>
      <c r="AC230" s="1405">
        <f t="array" ref="AC230">_xlfn.LET(_xlpm.S,_xlfn.ANCHORARRAY($Y$4),_xlpm.r,ROWS(stayCity[[#Headers],[city]]:stayCity[[#This Row],[city]])-1,IF(_xlpm.r&lt;=ROWS(_xlpm.S),INDEX(_xlpm.S,_xlpm.r,2),""))</f>
        <v/>
      </c>
      <c r="AD230" s="1405">
        <f t="array" ref="AD230">_xlfn.LET(_xlpm.S,_xlfn.ANCHORARRAY($Y$4),_xlpm.r,ROWS(stayCity[[#Headers],[city]]:stayCity[[#This Row],[city]])-1,IF(_xlpm.r&lt;=ROWS(_xlpm.S),INDEX(_xlpm.S,_xlpm.r,3),""))</f>
        <v/>
      </c>
      <c r="AE230" s="1400">
        <f>IF(stayCity[[#This Row],[out]]&lt;&gt;"",stayCity[[#This Row],[out]]-stayCity[[#This Row],[in]],"-")</f>
        <v/>
      </c>
      <c r="AF230" s="1406">
        <f>IF(Y230="","-",YEAR(stayCity[[#This Row],[in]]))</f>
        <v/>
      </c>
      <c r="AG230" s="1398" t="inlineStr">
        <is>
          <t>.</t>
        </is>
      </c>
      <c r="AH230" s="1402" t="n"/>
      <c r="AI230" s="1420" t="n"/>
      <c r="AJ230" s="1420" t="n"/>
      <c r="AK230" s="1400">
        <f>IF(AH230="","-",AH230)</f>
        <v/>
      </c>
      <c r="AL230" s="1405">
        <f>AI230</f>
        <v/>
      </c>
      <c r="AM230" s="1405">
        <f>AJ230</f>
        <v/>
      </c>
      <c r="AN230" s="1400">
        <f>stayCtry[[#This Row],[out]]-stayCtry[[#This Row],[in]]</f>
        <v/>
      </c>
      <c r="AO230" s="1406">
        <f>IF(AI230&lt;&gt;"",AO229+1,AO229)</f>
        <v/>
      </c>
      <c r="AP230" s="1398" t="inlineStr">
        <is>
          <t>.</t>
        </is>
      </c>
      <c r="AQ230" s="1402" t="n"/>
      <c r="AR230" s="1403" t="n"/>
      <c r="AS230" s="1403" t="n"/>
      <c r="AT230" s="1400">
        <f>AQ230</f>
        <v/>
      </c>
      <c r="AU230" s="1405">
        <f>AR230</f>
        <v/>
      </c>
      <c r="AV230" s="1405">
        <f>AS230</f>
        <v/>
      </c>
      <c r="AW230" s="1400">
        <f>stayCont[[#This Row],[out]]-stayCont[[#This Row],[in]]</f>
        <v/>
      </c>
      <c r="AX230" s="1406">
        <f>IF(AR230&lt;&gt;"",AX229+1,AX229)</f>
        <v/>
      </c>
      <c r="AY230" s="1398" t="inlineStr">
        <is>
          <t>.</t>
        </is>
      </c>
      <c r="AZ230" s="1402" t="n"/>
      <c r="BA230" s="1403" t="n"/>
      <c r="BB230" s="1403" t="n"/>
      <c r="BC230" s="1405">
        <f>AZ230</f>
        <v/>
      </c>
      <c r="BD230" s="1405">
        <f>BA230</f>
        <v/>
      </c>
      <c r="BE230" s="1405">
        <f>BB230</f>
        <v/>
      </c>
      <c r="BF230" s="1400">
        <f>stayWB[[#This Row],[out]]-stayWB[[#This Row],[in]]</f>
        <v/>
      </c>
      <c r="BG230" s="1400">
        <f>IF(BB230&lt;&gt;"",BG229+1,BG229)</f>
        <v/>
      </c>
      <c r="BH230" s="1398" t="inlineStr">
        <is>
          <t>.</t>
        </is>
      </c>
      <c r="BI230" s="1402" t="inlineStr">
        <is>
          <t>USA</t>
        </is>
      </c>
      <c r="BJ230" s="1402" t="n">
        <v>2021</v>
      </c>
      <c r="BK230" s="1400">
        <f>BI230</f>
        <v/>
      </c>
      <c r="BL230" s="1409">
        <f>BJ230</f>
        <v/>
      </c>
      <c r="BM230" s="1378" t="inlineStr">
        <is>
          <t>.</t>
        </is>
      </c>
      <c r="BN230" s="1411" t="n"/>
      <c r="BO230" s="1400">
        <f>BN230</f>
        <v/>
      </c>
      <c r="BP230" s="1398" t="inlineStr">
        <is>
          <t>.</t>
        </is>
      </c>
      <c r="BQ230" s="1400">
        <f>IF(BR230&lt;&gt;"",BQ229+1,BQ229)</f>
        <v/>
      </c>
      <c r="BR230" s="1411" t="inlineStr">
        <is>
          <t>Mexico City</t>
        </is>
      </c>
      <c r="BS230" s="1411" t="inlineStr">
        <is>
          <t>Montreal</t>
        </is>
      </c>
      <c r="BT230" s="1412" t="inlineStr">
        <is>
          <t>Mexico City-Montreal</t>
        </is>
      </c>
      <c r="BU230" s="1412" t="n">
        <v>40358</v>
      </c>
      <c r="BV230" s="1398" t="inlineStr">
        <is>
          <t>.</t>
        </is>
      </c>
      <c r="BW230" s="1392" t="n"/>
      <c r="BX230" s="1392" t="n"/>
      <c r="BY230" s="1392" t="n"/>
      <c r="BZ230" s="1416" t="n"/>
      <c r="CA230" s="1392" t="n"/>
      <c r="CB230" s="1398" t="inlineStr">
        <is>
          <t>.</t>
        </is>
      </c>
      <c r="CC230" s="1400">
        <f>IF(CD230&lt;&gt;"",CC229+1,CC229)</f>
        <v/>
      </c>
      <c r="CD230" s="1411" t="n"/>
      <c r="CE230" s="1412" t="n"/>
      <c r="CF230" s="1412" t="n"/>
      <c r="CG230" s="1414">
        <f>CF230-CE230</f>
        <v/>
      </c>
      <c r="CH230" s="1398" t="inlineStr">
        <is>
          <t>.</t>
        </is>
      </c>
      <c r="CI230" s="1392" t="n"/>
      <c r="CJ230" s="1392" t="n"/>
      <c r="CK230" s="1392" t="n"/>
      <c r="CL230" s="1392" t="n"/>
    </row>
    <row r="231">
      <c r="A231" s="5" t="inlineStr">
        <is>
          <t>.</t>
        </is>
      </c>
      <c r="B231" s="5" t="inlineStr">
        <is>
          <t>.</t>
        </is>
      </c>
      <c r="C231" s="1378">
        <f>IF(raw[[#This Row],[city]]="","-",IF(raw[[#This Row],[city]]="TODAY","-",C230+1))</f>
        <v/>
      </c>
      <c r="D231" s="1393" t="inlineStr">
        <is>
          <t>Edinburgh</t>
        </is>
      </c>
      <c r="E231" s="1394" t="n">
        <v>32805</v>
      </c>
      <c r="F231" s="1394" t="n">
        <v>32807</v>
      </c>
      <c r="G231" s="1393" t="inlineStr">
        <is>
          <t>-</t>
        </is>
      </c>
      <c r="H231" s="1393">
        <f>H230</f>
        <v/>
      </c>
      <c r="I231" s="1393" t="n"/>
      <c r="J231" s="1393" t="inlineStr">
        <is>
          <t>-</t>
        </is>
      </c>
      <c r="K231" s="1395">
        <f>IF(raw[[#This Row],[city]]&lt;&gt;"",_xlfn.XLOOKUP($D231,ccc[city],ccc[prov],"-"),"-")</f>
        <v/>
      </c>
      <c r="L231" s="1395">
        <f>IF(raw[[#This Row],[city]]&lt;&gt;"",_xlfn.XLOOKUP($D231,ccc[city],ccc[ctry],"-"),"-")</f>
        <v/>
      </c>
      <c r="M231" s="1395">
        <f>IF(raw[[#This Row],[city]]&lt;&gt;"",_xlfn.XLOOKUP($D231,ccc[city],ccc[cont],"-"),"-")</f>
        <v/>
      </c>
      <c r="N231" s="1396">
        <f>IF(raw[[#This Row],[city]]="","-",IF(raw[[#This Row],[cont]]="B",raw[[#This Row],[cont]],"W"))</f>
        <v/>
      </c>
      <c r="O231" s="1397">
        <f>IF(raw[[#This Row],[out]]=0,0,IF(raw[[#This Row],[out]]=raw[[#This Row],[in]],0.01,raw[[#This Row],[out]]-raw[[#This Row],[in]]))</f>
        <v/>
      </c>
      <c r="P231" s="1397">
        <f>IF(raw[[#This Row],[in]]=0,0,MONTH(raw[[#This Row],[in]]))</f>
        <v/>
      </c>
      <c r="Q231" s="1397">
        <f>IF(raw[[#This Row],[in]]=0,0,YEAR(raw[[#This Row],[in]]))</f>
        <v/>
      </c>
      <c r="R231" s="1397">
        <f>INT(raw[[#This Row],[yr]]/10)*10</f>
        <v/>
      </c>
      <c r="S231" s="1395">
        <f>IF(raw[[#This Row],[city]]="","-",IF(raw[[#This Row],[city]]&lt;&gt;_xlfn.XLOOKUP(raw[[#This Row],[home]],homes[home],homes[city],"-"),1,0))</f>
        <v/>
      </c>
      <c r="T231" s="1398" t="inlineStr">
        <is>
          <t>.</t>
        </is>
      </c>
      <c r="U231" s="1399">
        <f>IF(raw[[#This Row],[wb]]="w",raw[[#This Row],[stay]]+U230,U230)</f>
        <v/>
      </c>
      <c r="V231" s="1400">
        <f>IF(raw[[#This Row],[out]]=0,V230,(raw[[#This Row],[out]]-E$5))</f>
        <v/>
      </c>
      <c r="W231" s="1401">
        <f>U231/V231</f>
        <v/>
      </c>
      <c r="X231" s="1378" t="inlineStr">
        <is>
          <t>.</t>
        </is>
      </c>
      <c r="Y231" s="1402">
        <f/>
        <v/>
      </c>
      <c r="Z231" s="1403">
        <f/>
        <v/>
      </c>
      <c r="AA231" s="1403">
        <f/>
        <v/>
      </c>
      <c r="AB231" s="1400">
        <f t="array" ref="AB231">_xlfn.LET(_xlpm.S,_xlfn.ANCHORARRAY($Y$4),_xlpm.r,ROWS(stayCity[[#Headers],[city]]:stayCity[[#This Row],[city]])-1,IF(_xlpm.r&lt;=ROWS(_xlpm.S),INDEX(_xlpm.S,_xlpm.r,1),""))</f>
        <v/>
      </c>
      <c r="AC231" s="1405">
        <f t="array" ref="AC231">_xlfn.LET(_xlpm.S,_xlfn.ANCHORARRAY($Y$4),_xlpm.r,ROWS(stayCity[[#Headers],[city]]:stayCity[[#This Row],[city]])-1,IF(_xlpm.r&lt;=ROWS(_xlpm.S),INDEX(_xlpm.S,_xlpm.r,2),""))</f>
        <v/>
      </c>
      <c r="AD231" s="1405">
        <f t="array" ref="AD231">_xlfn.LET(_xlpm.S,_xlfn.ANCHORARRAY($Y$4),_xlpm.r,ROWS(stayCity[[#Headers],[city]]:stayCity[[#This Row],[city]])-1,IF(_xlpm.r&lt;=ROWS(_xlpm.S),INDEX(_xlpm.S,_xlpm.r,3),""))</f>
        <v/>
      </c>
      <c r="AE231" s="1400">
        <f>IF(stayCity[[#This Row],[out]]&lt;&gt;"",stayCity[[#This Row],[out]]-stayCity[[#This Row],[in]],"-")</f>
        <v/>
      </c>
      <c r="AF231" s="1406">
        <f>IF(Y231="","-",YEAR(stayCity[[#This Row],[in]]))</f>
        <v/>
      </c>
      <c r="AG231" s="1398" t="inlineStr">
        <is>
          <t>.</t>
        </is>
      </c>
      <c r="AH231" s="1402" t="n"/>
      <c r="AI231" s="1420" t="n"/>
      <c r="AJ231" s="1420" t="n"/>
      <c r="AK231" s="1400">
        <f>IF(AH231="","-",AH231)</f>
        <v/>
      </c>
      <c r="AL231" s="1405">
        <f>AI231</f>
        <v/>
      </c>
      <c r="AM231" s="1405">
        <f>AJ231</f>
        <v/>
      </c>
      <c r="AN231" s="1400">
        <f>stayCtry[[#This Row],[out]]-stayCtry[[#This Row],[in]]</f>
        <v/>
      </c>
      <c r="AO231" s="1406">
        <f>IF(AI231&lt;&gt;"",AO230+1,AO230)</f>
        <v/>
      </c>
      <c r="AP231" s="1398" t="inlineStr">
        <is>
          <t>.</t>
        </is>
      </c>
      <c r="AQ231" s="1402" t="n"/>
      <c r="AR231" s="1403" t="n"/>
      <c r="AS231" s="1403" t="n"/>
      <c r="AT231" s="1400">
        <f>AQ231</f>
        <v/>
      </c>
      <c r="AU231" s="1405">
        <f>AR231</f>
        <v/>
      </c>
      <c r="AV231" s="1405">
        <f>AS231</f>
        <v/>
      </c>
      <c r="AW231" s="1400">
        <f>stayCont[[#This Row],[out]]-stayCont[[#This Row],[in]]</f>
        <v/>
      </c>
      <c r="AX231" s="1406">
        <f>IF(AR231&lt;&gt;"",AX230+1,AX230)</f>
        <v/>
      </c>
      <c r="AY231" s="1398" t="inlineStr">
        <is>
          <t>.</t>
        </is>
      </c>
      <c r="AZ231" s="1402" t="n"/>
      <c r="BA231" s="1403" t="n"/>
      <c r="BB231" s="1403" t="n"/>
      <c r="BC231" s="1405">
        <f>AZ231</f>
        <v/>
      </c>
      <c r="BD231" s="1405">
        <f>BA231</f>
        <v/>
      </c>
      <c r="BE231" s="1405">
        <f>BB231</f>
        <v/>
      </c>
      <c r="BF231" s="1400">
        <f>stayWB[[#This Row],[out]]-stayWB[[#This Row],[in]]</f>
        <v/>
      </c>
      <c r="BG231" s="1400">
        <f>IF(BB231&lt;&gt;"",BG230+1,BG230)</f>
        <v/>
      </c>
      <c r="BH231" s="1398" t="inlineStr">
        <is>
          <t>.</t>
        </is>
      </c>
      <c r="BI231" s="1402" t="inlineStr">
        <is>
          <t>BRA</t>
        </is>
      </c>
      <c r="BJ231" s="1402" t="n">
        <v>2021</v>
      </c>
      <c r="BK231" s="1400">
        <f>BI231</f>
        <v/>
      </c>
      <c r="BL231" s="1409">
        <f>BJ231</f>
        <v/>
      </c>
      <c r="BM231" s="1378" t="inlineStr">
        <is>
          <t>.</t>
        </is>
      </c>
      <c r="BN231" s="1411" t="n"/>
      <c r="BO231" s="1400">
        <f>BN231</f>
        <v/>
      </c>
      <c r="BP231" s="1398" t="inlineStr">
        <is>
          <t>.</t>
        </is>
      </c>
      <c r="BQ231" s="1400">
        <f>IF(BR231&lt;&gt;"",BQ230+1,BQ230)</f>
        <v/>
      </c>
      <c r="BR231" s="1411" t="inlineStr">
        <is>
          <t>Montreal</t>
        </is>
      </c>
      <c r="BS231" s="1411" t="inlineStr">
        <is>
          <t>Mexico City</t>
        </is>
      </c>
      <c r="BT231" s="1412" t="inlineStr">
        <is>
          <t>Montreal-Mexico City</t>
        </is>
      </c>
      <c r="BU231" s="1412" t="n">
        <v>40395</v>
      </c>
      <c r="BV231" s="1398" t="inlineStr">
        <is>
          <t>.</t>
        </is>
      </c>
      <c r="BW231" s="1392" t="n"/>
      <c r="BX231" s="1392" t="n"/>
      <c r="BY231" s="1392" t="n"/>
      <c r="BZ231" s="1416" t="n"/>
      <c r="CA231" s="1392" t="n"/>
      <c r="CB231" s="1398" t="inlineStr">
        <is>
          <t>.</t>
        </is>
      </c>
      <c r="CC231" s="1400">
        <f>IF(CD231&lt;&gt;"",CC230+1,CC230)</f>
        <v/>
      </c>
      <c r="CD231" s="1411" t="n"/>
      <c r="CE231" s="1412" t="n"/>
      <c r="CF231" s="1412" t="n"/>
      <c r="CG231" s="1414">
        <f>CF231-CE231</f>
        <v/>
      </c>
      <c r="CH231" s="1398" t="inlineStr">
        <is>
          <t>.</t>
        </is>
      </c>
      <c r="CI231" s="1392" t="n"/>
      <c r="CJ231" s="1392" t="n"/>
      <c r="CK231" s="1392" t="n"/>
      <c r="CL231" s="1392" t="n"/>
    </row>
    <row r="232">
      <c r="A232" s="5" t="inlineStr">
        <is>
          <t>.</t>
        </is>
      </c>
      <c r="B232" s="5" t="inlineStr">
        <is>
          <t>.</t>
        </is>
      </c>
      <c r="C232" s="1378">
        <f>IF(raw[[#This Row],[city]]="","-",IF(raw[[#This Row],[city]]="TODAY","-",C231+1))</f>
        <v/>
      </c>
      <c r="D232" s="1393" t="inlineStr">
        <is>
          <t>Dirleton</t>
        </is>
      </c>
      <c r="E232" s="1394" t="n">
        <v>32807</v>
      </c>
      <c r="F232" s="1394" t="n">
        <v>32807</v>
      </c>
      <c r="G232" s="1393" t="inlineStr">
        <is>
          <t>-</t>
        </is>
      </c>
      <c r="H232" s="1393">
        <f>H231</f>
        <v/>
      </c>
      <c r="I232" s="1393" t="n"/>
      <c r="J232" s="1393" t="inlineStr">
        <is>
          <t>-</t>
        </is>
      </c>
      <c r="K232" s="1395">
        <f>IF(raw[[#This Row],[city]]&lt;&gt;"",_xlfn.XLOOKUP($D232,ccc[city],ccc[prov],"-"),"-")</f>
        <v/>
      </c>
      <c r="L232" s="1395">
        <f>IF(raw[[#This Row],[city]]&lt;&gt;"",_xlfn.XLOOKUP($D232,ccc[city],ccc[ctry],"-"),"-")</f>
        <v/>
      </c>
      <c r="M232" s="1395">
        <f>IF(raw[[#This Row],[city]]&lt;&gt;"",_xlfn.XLOOKUP($D232,ccc[city],ccc[cont],"-"),"-")</f>
        <v/>
      </c>
      <c r="N232" s="1396">
        <f>IF(raw[[#This Row],[city]]="","-",IF(raw[[#This Row],[cont]]="B",raw[[#This Row],[cont]],"W"))</f>
        <v/>
      </c>
      <c r="O232" s="1397">
        <f>IF(raw[[#This Row],[out]]=0,0,IF(raw[[#This Row],[out]]=raw[[#This Row],[in]],0.01,raw[[#This Row],[out]]-raw[[#This Row],[in]]))</f>
        <v/>
      </c>
      <c r="P232" s="1397">
        <f>IF(raw[[#This Row],[in]]=0,0,MONTH(raw[[#This Row],[in]]))</f>
        <v/>
      </c>
      <c r="Q232" s="1397">
        <f>IF(raw[[#This Row],[in]]=0,0,YEAR(raw[[#This Row],[in]]))</f>
        <v/>
      </c>
      <c r="R232" s="1397">
        <f>INT(raw[[#This Row],[yr]]/10)*10</f>
        <v/>
      </c>
      <c r="S232" s="1395">
        <f>IF(raw[[#This Row],[city]]="","-",IF(raw[[#This Row],[city]]&lt;&gt;_xlfn.XLOOKUP(raw[[#This Row],[home]],homes[home],homes[city],"-"),1,0))</f>
        <v/>
      </c>
      <c r="T232" s="1398" t="inlineStr">
        <is>
          <t>.</t>
        </is>
      </c>
      <c r="U232" s="1399">
        <f>IF(raw[[#This Row],[wb]]="w",raw[[#This Row],[stay]]+U231,U231)</f>
        <v/>
      </c>
      <c r="V232" s="1400">
        <f>IF(raw[[#This Row],[out]]=0,V231,(raw[[#This Row],[out]]-E$5))</f>
        <v/>
      </c>
      <c r="W232" s="1401">
        <f>U232/V232</f>
        <v/>
      </c>
      <c r="X232" s="1378" t="inlineStr">
        <is>
          <t>.</t>
        </is>
      </c>
      <c r="Y232" s="1402">
        <f/>
        <v/>
      </c>
      <c r="Z232" s="1403">
        <f/>
        <v/>
      </c>
      <c r="AA232" s="1403">
        <f/>
        <v/>
      </c>
      <c r="AB232" s="1400">
        <f t="array" ref="AB232">_xlfn.LET(_xlpm.S,_xlfn.ANCHORARRAY($Y$4),_xlpm.r,ROWS(stayCity[[#Headers],[city]]:stayCity[[#This Row],[city]])-1,IF(_xlpm.r&lt;=ROWS(_xlpm.S),INDEX(_xlpm.S,_xlpm.r,1),""))</f>
        <v/>
      </c>
      <c r="AC232" s="1405">
        <f t="array" ref="AC232">_xlfn.LET(_xlpm.S,_xlfn.ANCHORARRAY($Y$4),_xlpm.r,ROWS(stayCity[[#Headers],[city]]:stayCity[[#This Row],[city]])-1,IF(_xlpm.r&lt;=ROWS(_xlpm.S),INDEX(_xlpm.S,_xlpm.r,2),""))</f>
        <v/>
      </c>
      <c r="AD232" s="1405">
        <f t="array" ref="AD232">_xlfn.LET(_xlpm.S,_xlfn.ANCHORARRAY($Y$4),_xlpm.r,ROWS(stayCity[[#Headers],[city]]:stayCity[[#This Row],[city]])-1,IF(_xlpm.r&lt;=ROWS(_xlpm.S),INDEX(_xlpm.S,_xlpm.r,3),""))</f>
        <v/>
      </c>
      <c r="AE232" s="1400">
        <f>IF(stayCity[[#This Row],[out]]&lt;&gt;"",stayCity[[#This Row],[out]]-stayCity[[#This Row],[in]],"-")</f>
        <v/>
      </c>
      <c r="AF232" s="1406">
        <f>IF(Y232="","-",YEAR(stayCity[[#This Row],[in]]))</f>
        <v/>
      </c>
      <c r="AG232" s="1398" t="inlineStr">
        <is>
          <t>.</t>
        </is>
      </c>
      <c r="AH232" s="1402" t="n"/>
      <c r="AI232" s="1420" t="n"/>
      <c r="AJ232" s="1420" t="n"/>
      <c r="AK232" s="1400">
        <f>IF(AH232="","-",AH232)</f>
        <v/>
      </c>
      <c r="AL232" s="1405">
        <f>AI232</f>
        <v/>
      </c>
      <c r="AM232" s="1405">
        <f>AJ232</f>
        <v/>
      </c>
      <c r="AN232" s="1400">
        <f>stayCtry[[#This Row],[out]]-stayCtry[[#This Row],[in]]</f>
        <v/>
      </c>
      <c r="AO232" s="1406">
        <f>IF(AI232&lt;&gt;"",AO231+1,AO231)</f>
        <v/>
      </c>
      <c r="AP232" s="1398" t="inlineStr">
        <is>
          <t>.</t>
        </is>
      </c>
      <c r="AQ232" s="1402" t="n"/>
      <c r="AR232" s="1403" t="n"/>
      <c r="AS232" s="1403" t="n"/>
      <c r="AT232" s="1400">
        <f>AQ232</f>
        <v/>
      </c>
      <c r="AU232" s="1405">
        <f>AR232</f>
        <v/>
      </c>
      <c r="AV232" s="1405">
        <f>AS232</f>
        <v/>
      </c>
      <c r="AW232" s="1400">
        <f>stayCont[[#This Row],[out]]-stayCont[[#This Row],[in]]</f>
        <v/>
      </c>
      <c r="AX232" s="1406">
        <f>IF(AR232&lt;&gt;"",AX231+1,AX231)</f>
        <v/>
      </c>
      <c r="AY232" s="1398" t="inlineStr">
        <is>
          <t>.</t>
        </is>
      </c>
      <c r="AZ232" s="1402" t="n"/>
      <c r="BA232" s="1403" t="n"/>
      <c r="BB232" s="1403" t="n"/>
      <c r="BC232" s="1405">
        <f>AZ232</f>
        <v/>
      </c>
      <c r="BD232" s="1405">
        <f>BA232</f>
        <v/>
      </c>
      <c r="BE232" s="1405">
        <f>BB232</f>
        <v/>
      </c>
      <c r="BF232" s="1400">
        <f>stayWB[[#This Row],[out]]-stayWB[[#This Row],[in]]</f>
        <v/>
      </c>
      <c r="BG232" s="1400">
        <f>IF(BB232&lt;&gt;"",BG231+1,BG231)</f>
        <v/>
      </c>
      <c r="BH232" s="1398" t="inlineStr">
        <is>
          <t>.</t>
        </is>
      </c>
      <c r="BI232" s="1402" t="inlineStr">
        <is>
          <t>CAN</t>
        </is>
      </c>
      <c r="BJ232" s="1402" t="n">
        <v>2021</v>
      </c>
      <c r="BK232" s="1400">
        <f>BI232</f>
        <v/>
      </c>
      <c r="BL232" s="1409">
        <f>BJ232</f>
        <v/>
      </c>
      <c r="BM232" s="1378" t="inlineStr">
        <is>
          <t>.</t>
        </is>
      </c>
      <c r="BN232" s="1411" t="n"/>
      <c r="BO232" s="1400">
        <f>BN232</f>
        <v/>
      </c>
      <c r="BP232" s="1398" t="inlineStr">
        <is>
          <t>.</t>
        </is>
      </c>
      <c r="BQ232" s="1400">
        <f>IF(BR232&lt;&gt;"",BQ231+1,BQ231)</f>
        <v/>
      </c>
      <c r="BR232" s="1411" t="inlineStr">
        <is>
          <t>Mexico City</t>
        </is>
      </c>
      <c r="BS232" s="1411" t="inlineStr">
        <is>
          <t>SP</t>
        </is>
      </c>
      <c r="BT232" s="1412" t="inlineStr">
        <is>
          <t>Mexico City-SP</t>
        </is>
      </c>
      <c r="BU232" s="1412" t="n">
        <v>40395</v>
      </c>
      <c r="BV232" s="1398" t="inlineStr">
        <is>
          <t>.</t>
        </is>
      </c>
      <c r="BW232" s="1392" t="n"/>
      <c r="BX232" s="1392" t="n"/>
      <c r="BY232" s="1392" t="n"/>
      <c r="BZ232" s="1416" t="n"/>
      <c r="CA232" s="1392" t="n"/>
      <c r="CB232" s="1398" t="inlineStr">
        <is>
          <t>.</t>
        </is>
      </c>
      <c r="CC232" s="1400">
        <f>IF(CD232&lt;&gt;"",CC231+1,CC231)</f>
        <v/>
      </c>
      <c r="CD232" s="1411" t="n"/>
      <c r="CE232" s="1412" t="n"/>
      <c r="CF232" s="1412" t="n"/>
      <c r="CG232" s="1414">
        <f>CF232-CE232</f>
        <v/>
      </c>
      <c r="CH232" s="1398" t="inlineStr">
        <is>
          <t>.</t>
        </is>
      </c>
      <c r="CI232" s="1392" t="n"/>
      <c r="CJ232" s="1392" t="n"/>
      <c r="CK232" s="1392" t="n"/>
      <c r="CL232" s="1392" t="n"/>
    </row>
    <row r="233">
      <c r="A233" s="5" t="inlineStr">
        <is>
          <t>.</t>
        </is>
      </c>
      <c r="B233" s="5" t="inlineStr">
        <is>
          <t>.</t>
        </is>
      </c>
      <c r="C233" s="1378">
        <f>IF(raw[[#This Row],[city]]="","-",IF(raw[[#This Row],[city]]="TODAY","-",C232+1))</f>
        <v/>
      </c>
      <c r="D233" s="1393" t="inlineStr">
        <is>
          <t>Bass Rock</t>
        </is>
      </c>
      <c r="E233" s="1394" t="n">
        <v>32807</v>
      </c>
      <c r="F233" s="1394" t="n">
        <v>32807</v>
      </c>
      <c r="G233" s="1393" t="inlineStr">
        <is>
          <t>-</t>
        </is>
      </c>
      <c r="H233" s="1393">
        <f>H232</f>
        <v/>
      </c>
      <c r="I233" s="1393" t="inlineStr">
        <is>
          <t>-</t>
        </is>
      </c>
      <c r="J233" s="1393" t="inlineStr">
        <is>
          <t>-</t>
        </is>
      </c>
      <c r="K233" s="1395">
        <f>IF(raw[[#This Row],[city]]&lt;&gt;"",_xlfn.XLOOKUP($D233,ccc[city],ccc[prov],"-"),"-")</f>
        <v/>
      </c>
      <c r="L233" s="1395">
        <f>IF(raw[[#This Row],[city]]&lt;&gt;"",_xlfn.XLOOKUP($D233,ccc[city],ccc[ctry],"-"),"-")</f>
        <v/>
      </c>
      <c r="M233" s="1395">
        <f>IF(raw[[#This Row],[city]]&lt;&gt;"",_xlfn.XLOOKUP($D233,ccc[city],ccc[cont],"-"),"-")</f>
        <v/>
      </c>
      <c r="N233" s="1396">
        <f>IF(raw[[#This Row],[city]]="","-",IF(raw[[#This Row],[cont]]="B",raw[[#This Row],[cont]],"W"))</f>
        <v/>
      </c>
      <c r="O233" s="1397">
        <f>IF(raw[[#This Row],[out]]=0,0,IF(raw[[#This Row],[out]]=raw[[#This Row],[in]],0.01,raw[[#This Row],[out]]-raw[[#This Row],[in]]))</f>
        <v/>
      </c>
      <c r="P233" s="1397">
        <f>IF(raw[[#This Row],[in]]=0,0,MONTH(raw[[#This Row],[in]]))</f>
        <v/>
      </c>
      <c r="Q233" s="1397">
        <f>IF(raw[[#This Row],[in]]=0,0,YEAR(raw[[#This Row],[in]]))</f>
        <v/>
      </c>
      <c r="R233" s="1397">
        <f>INT(raw[[#This Row],[yr]]/10)*10</f>
        <v/>
      </c>
      <c r="S233" s="1395">
        <f>IF(raw[[#This Row],[city]]="","-",IF(raw[[#This Row],[city]]&lt;&gt;_xlfn.XLOOKUP(raw[[#This Row],[home]],homes[home],homes[city],"-"),1,0))</f>
        <v/>
      </c>
      <c r="T233" s="1398" t="inlineStr">
        <is>
          <t>.</t>
        </is>
      </c>
      <c r="U233" s="1399">
        <f>IF(raw[[#This Row],[wb]]="w",raw[[#This Row],[stay]]+U232,U232)</f>
        <v/>
      </c>
      <c r="V233" s="1400">
        <f>IF(raw[[#This Row],[out]]=0,V232,(raw[[#This Row],[out]]-E$5))</f>
        <v/>
      </c>
      <c r="W233" s="1401">
        <f>U233/V233</f>
        <v/>
      </c>
      <c r="X233" s="1378" t="inlineStr">
        <is>
          <t>.</t>
        </is>
      </c>
      <c r="Y233" s="1402">
        <f/>
        <v/>
      </c>
      <c r="Z233" s="1403">
        <f/>
        <v/>
      </c>
      <c r="AA233" s="1403">
        <f/>
        <v/>
      </c>
      <c r="AB233" s="1400">
        <f t="array" ref="AB233">_xlfn.LET(_xlpm.S,_xlfn.ANCHORARRAY($Y$4),_xlpm.r,ROWS(stayCity[[#Headers],[city]]:stayCity[[#This Row],[city]])-1,IF(_xlpm.r&lt;=ROWS(_xlpm.S),INDEX(_xlpm.S,_xlpm.r,1),""))</f>
        <v/>
      </c>
      <c r="AC233" s="1405">
        <f t="array" ref="AC233">_xlfn.LET(_xlpm.S,_xlfn.ANCHORARRAY($Y$4),_xlpm.r,ROWS(stayCity[[#Headers],[city]]:stayCity[[#This Row],[city]])-1,IF(_xlpm.r&lt;=ROWS(_xlpm.S),INDEX(_xlpm.S,_xlpm.r,2),""))</f>
        <v/>
      </c>
      <c r="AD233" s="1405">
        <f t="array" ref="AD233">_xlfn.LET(_xlpm.S,_xlfn.ANCHORARRAY($Y$4),_xlpm.r,ROWS(stayCity[[#Headers],[city]]:stayCity[[#This Row],[city]])-1,IF(_xlpm.r&lt;=ROWS(_xlpm.S),INDEX(_xlpm.S,_xlpm.r,3),""))</f>
        <v/>
      </c>
      <c r="AE233" s="1400">
        <f>IF(stayCity[[#This Row],[out]]&lt;&gt;"",stayCity[[#This Row],[out]]-stayCity[[#This Row],[in]],"-")</f>
        <v/>
      </c>
      <c r="AF233" s="1406">
        <f>IF(Y233="","-",YEAR(stayCity[[#This Row],[in]]))</f>
        <v/>
      </c>
      <c r="AG233" s="1398" t="inlineStr">
        <is>
          <t>.</t>
        </is>
      </c>
      <c r="AH233" s="1402" t="n"/>
      <c r="AI233" s="1420" t="n"/>
      <c r="AJ233" s="1420" t="n"/>
      <c r="AK233" s="1400">
        <f>IF(AH233="","-",AH233)</f>
        <v/>
      </c>
      <c r="AL233" s="1405">
        <f>AI233</f>
        <v/>
      </c>
      <c r="AM233" s="1405">
        <f>AJ233</f>
        <v/>
      </c>
      <c r="AN233" s="1400">
        <f>stayCtry[[#This Row],[out]]-stayCtry[[#This Row],[in]]</f>
        <v/>
      </c>
      <c r="AO233" s="1406">
        <f>IF(AI233&lt;&gt;"",AO232+1,AO232)</f>
        <v/>
      </c>
      <c r="AP233" s="1398" t="inlineStr">
        <is>
          <t>.</t>
        </is>
      </c>
      <c r="AQ233" s="1402" t="n"/>
      <c r="AR233" s="1403" t="n"/>
      <c r="AS233" s="1403" t="n"/>
      <c r="AT233" s="1400">
        <f>AQ233</f>
        <v/>
      </c>
      <c r="AU233" s="1405">
        <f>AR233</f>
        <v/>
      </c>
      <c r="AV233" s="1405">
        <f>AS233</f>
        <v/>
      </c>
      <c r="AW233" s="1400">
        <f>stayCont[[#This Row],[out]]-stayCont[[#This Row],[in]]</f>
        <v/>
      </c>
      <c r="AX233" s="1406">
        <f>IF(AR233&lt;&gt;"",AX232+1,AX232)</f>
        <v/>
      </c>
      <c r="AY233" s="1398" t="inlineStr">
        <is>
          <t>.</t>
        </is>
      </c>
      <c r="AZ233" s="1402" t="n"/>
      <c r="BA233" s="1403" t="n"/>
      <c r="BB233" s="1403" t="n"/>
      <c r="BC233" s="1405">
        <f>AZ233</f>
        <v/>
      </c>
      <c r="BD233" s="1405">
        <f>BA233</f>
        <v/>
      </c>
      <c r="BE233" s="1405">
        <f>BB233</f>
        <v/>
      </c>
      <c r="BF233" s="1400">
        <f>stayWB[[#This Row],[out]]-stayWB[[#This Row],[in]]</f>
        <v/>
      </c>
      <c r="BG233" s="1400">
        <f>IF(BB233&lt;&gt;"",BG232+1,BG232)</f>
        <v/>
      </c>
      <c r="BH233" s="1398" t="inlineStr">
        <is>
          <t>.</t>
        </is>
      </c>
      <c r="BI233" s="1402" t="inlineStr">
        <is>
          <t>PRT</t>
        </is>
      </c>
      <c r="BJ233" s="1402" t="n">
        <v>2022</v>
      </c>
      <c r="BK233" s="1400">
        <f>BI233</f>
        <v/>
      </c>
      <c r="BL233" s="1409">
        <f>BJ233</f>
        <v/>
      </c>
      <c r="BM233" s="1378" t="inlineStr">
        <is>
          <t>.</t>
        </is>
      </c>
      <c r="BN233" s="1411" t="n"/>
      <c r="BO233" s="1400">
        <f>BN233</f>
        <v/>
      </c>
      <c r="BP233" s="1398" t="inlineStr">
        <is>
          <t>.</t>
        </is>
      </c>
      <c r="BQ233" s="1400">
        <f>IF(BR233&lt;&gt;"",BQ232+1,BQ232)</f>
        <v/>
      </c>
      <c r="BR233" s="1411" t="inlineStr">
        <is>
          <t>SP</t>
        </is>
      </c>
      <c r="BS233" s="1411" t="inlineStr">
        <is>
          <t>SSA</t>
        </is>
      </c>
      <c r="BT233" s="1412" t="inlineStr">
        <is>
          <t>SP-SSA</t>
        </is>
      </c>
      <c r="BU233" s="1412" t="n">
        <v>40399</v>
      </c>
      <c r="BV233" s="1398" t="inlineStr">
        <is>
          <t>.</t>
        </is>
      </c>
      <c r="BW233" s="1392" t="n"/>
      <c r="BX233" s="1392" t="n"/>
      <c r="BY233" s="1392" t="n"/>
      <c r="BZ233" s="1416" t="n"/>
      <c r="CA233" s="1392" t="n"/>
      <c r="CB233" s="1392" t="n"/>
      <c r="CC233" s="1392" t="n"/>
      <c r="CD233" s="1392" t="n"/>
      <c r="CE233" s="1392" t="n"/>
      <c r="CF233" s="1392" t="n"/>
      <c r="CG233" s="1392" t="n"/>
      <c r="CH233" s="1392" t="n"/>
      <c r="CI233" s="1392" t="n"/>
      <c r="CJ233" s="1392" t="n"/>
      <c r="CK233" s="1392" t="n"/>
      <c r="CL233" s="1392" t="n"/>
    </row>
    <row r="234">
      <c r="A234" s="5" t="inlineStr">
        <is>
          <t>.</t>
        </is>
      </c>
      <c r="B234" s="5" t="inlineStr">
        <is>
          <t>.</t>
        </is>
      </c>
      <c r="C234" s="1378">
        <f>IF(raw[[#This Row],[city]]="","-",IF(raw[[#This Row],[city]]="TODAY","-",C233+1))</f>
        <v/>
      </c>
      <c r="D234" s="1393" t="inlineStr">
        <is>
          <t>East Lothian</t>
        </is>
      </c>
      <c r="E234" s="1394" t="n">
        <v>32807</v>
      </c>
      <c r="F234" s="1394" t="n">
        <v>32807</v>
      </c>
      <c r="G234" s="1393" t="inlineStr">
        <is>
          <t>-</t>
        </is>
      </c>
      <c r="H234" s="1393">
        <f>H233</f>
        <v/>
      </c>
      <c r="I234" s="1393" t="n"/>
      <c r="J234" s="1393" t="inlineStr">
        <is>
          <t>-</t>
        </is>
      </c>
      <c r="K234" s="1395">
        <f>IF(raw[[#This Row],[city]]&lt;&gt;"",_xlfn.XLOOKUP($D234,ccc[city],ccc[prov],"-"),"-")</f>
        <v/>
      </c>
      <c r="L234" s="1395">
        <f>IF(raw[[#This Row],[city]]&lt;&gt;"",_xlfn.XLOOKUP($D234,ccc[city],ccc[ctry],"-"),"-")</f>
        <v/>
      </c>
      <c r="M234" s="1395">
        <f>IF(raw[[#This Row],[city]]&lt;&gt;"",_xlfn.XLOOKUP($D234,ccc[city],ccc[cont],"-"),"-")</f>
        <v/>
      </c>
      <c r="N234" s="1396">
        <f>IF(raw[[#This Row],[city]]="","-",IF(raw[[#This Row],[cont]]="B",raw[[#This Row],[cont]],"W"))</f>
        <v/>
      </c>
      <c r="O234" s="1397">
        <f>IF(raw[[#This Row],[out]]=0,0,IF(raw[[#This Row],[out]]=raw[[#This Row],[in]],0.01,raw[[#This Row],[out]]-raw[[#This Row],[in]]))</f>
        <v/>
      </c>
      <c r="P234" s="1397">
        <f>IF(raw[[#This Row],[in]]=0,0,MONTH(raw[[#This Row],[in]]))</f>
        <v/>
      </c>
      <c r="Q234" s="1397">
        <f>IF(raw[[#This Row],[in]]=0,0,YEAR(raw[[#This Row],[in]]))</f>
        <v/>
      </c>
      <c r="R234" s="1397">
        <f>INT(raw[[#This Row],[yr]]/10)*10</f>
        <v/>
      </c>
      <c r="S234" s="1395">
        <f>IF(raw[[#This Row],[city]]="","-",IF(raw[[#This Row],[city]]&lt;&gt;_xlfn.XLOOKUP(raw[[#This Row],[home]],homes[home],homes[city],"-"),1,0))</f>
        <v/>
      </c>
      <c r="T234" s="1398" t="inlineStr">
        <is>
          <t>.</t>
        </is>
      </c>
      <c r="U234" s="1399">
        <f>IF(raw[[#This Row],[wb]]="w",raw[[#This Row],[stay]]+U233,U233)</f>
        <v/>
      </c>
      <c r="V234" s="1400">
        <f>IF(raw[[#This Row],[out]]=0,V233,(raw[[#This Row],[out]]-E$5))</f>
        <v/>
      </c>
      <c r="W234" s="1401">
        <f>U234/V234</f>
        <v/>
      </c>
      <c r="X234" s="1378" t="inlineStr">
        <is>
          <t>.</t>
        </is>
      </c>
      <c r="Y234" s="1402">
        <f/>
        <v/>
      </c>
      <c r="Z234" s="1403">
        <f/>
        <v/>
      </c>
      <c r="AA234" s="1403">
        <f/>
        <v/>
      </c>
      <c r="AB234" s="1400">
        <f t="array" ref="AB234">_xlfn.LET(_xlpm.S,_xlfn.ANCHORARRAY($Y$4),_xlpm.r,ROWS(stayCity[[#Headers],[city]]:stayCity[[#This Row],[city]])-1,IF(_xlpm.r&lt;=ROWS(_xlpm.S),INDEX(_xlpm.S,_xlpm.r,1),""))</f>
        <v/>
      </c>
      <c r="AC234" s="1405">
        <f t="array" ref="AC234">_xlfn.LET(_xlpm.S,_xlfn.ANCHORARRAY($Y$4),_xlpm.r,ROWS(stayCity[[#Headers],[city]]:stayCity[[#This Row],[city]])-1,IF(_xlpm.r&lt;=ROWS(_xlpm.S),INDEX(_xlpm.S,_xlpm.r,2),""))</f>
        <v/>
      </c>
      <c r="AD234" s="1405">
        <f t="array" ref="AD234">_xlfn.LET(_xlpm.S,_xlfn.ANCHORARRAY($Y$4),_xlpm.r,ROWS(stayCity[[#Headers],[city]]:stayCity[[#This Row],[city]])-1,IF(_xlpm.r&lt;=ROWS(_xlpm.S),INDEX(_xlpm.S,_xlpm.r,3),""))</f>
        <v/>
      </c>
      <c r="AE234" s="1400">
        <f>IF(stayCity[[#This Row],[out]]&lt;&gt;"",stayCity[[#This Row],[out]]-stayCity[[#This Row],[in]],"-")</f>
        <v/>
      </c>
      <c r="AF234" s="1406">
        <f>IF(Y234="","-",YEAR(stayCity[[#This Row],[in]]))</f>
        <v/>
      </c>
      <c r="AG234" s="1398" t="inlineStr">
        <is>
          <t>.</t>
        </is>
      </c>
      <c r="AH234" s="1402" t="n"/>
      <c r="AI234" s="1420" t="n"/>
      <c r="AJ234" s="1420" t="n"/>
      <c r="AK234" s="1400">
        <f>IF(AH234="","-",AH234)</f>
        <v/>
      </c>
      <c r="AL234" s="1405">
        <f>AI234</f>
        <v/>
      </c>
      <c r="AM234" s="1405">
        <f>AJ234</f>
        <v/>
      </c>
      <c r="AN234" s="1400">
        <f>stayCtry[[#This Row],[out]]-stayCtry[[#This Row],[in]]</f>
        <v/>
      </c>
      <c r="AO234" s="1406">
        <f>IF(AI234&lt;&gt;"",AO233+1,AO233)</f>
        <v/>
      </c>
      <c r="AP234" s="1398" t="inlineStr">
        <is>
          <t>.</t>
        </is>
      </c>
      <c r="AQ234" s="1402" t="n"/>
      <c r="AR234" s="1403" t="n"/>
      <c r="AS234" s="1403" t="n"/>
      <c r="AT234" s="1400">
        <f>AQ234</f>
        <v/>
      </c>
      <c r="AU234" s="1405">
        <f>AR234</f>
        <v/>
      </c>
      <c r="AV234" s="1405">
        <f>AS234</f>
        <v/>
      </c>
      <c r="AW234" s="1400">
        <f>stayCont[[#This Row],[out]]-stayCont[[#This Row],[in]]</f>
        <v/>
      </c>
      <c r="AX234" s="1406">
        <f>IF(AR234&lt;&gt;"",AX233+1,AX233)</f>
        <v/>
      </c>
      <c r="AY234" s="1398" t="inlineStr">
        <is>
          <t>.</t>
        </is>
      </c>
      <c r="AZ234" s="1402" t="n"/>
      <c r="BA234" s="1403" t="n"/>
      <c r="BB234" s="1403" t="n"/>
      <c r="BC234" s="1405">
        <f>AZ234</f>
        <v/>
      </c>
      <c r="BD234" s="1405">
        <f>BA234</f>
        <v/>
      </c>
      <c r="BE234" s="1405">
        <f>BB234</f>
        <v/>
      </c>
      <c r="BF234" s="1400">
        <f>stayWB[[#This Row],[out]]-stayWB[[#This Row],[in]]</f>
        <v/>
      </c>
      <c r="BG234" s="1400">
        <f>IF(BB234&lt;&gt;"",BG233+1,BG233)</f>
        <v/>
      </c>
      <c r="BH234" s="1398" t="inlineStr">
        <is>
          <t>.</t>
        </is>
      </c>
      <c r="BI234" s="1402" t="inlineStr">
        <is>
          <t>NED</t>
        </is>
      </c>
      <c r="BJ234" s="1402" t="n">
        <v>2022</v>
      </c>
      <c r="BK234" s="1400">
        <f>BI234</f>
        <v/>
      </c>
      <c r="BL234" s="1409">
        <f>BJ234</f>
        <v/>
      </c>
      <c r="BM234" s="1378" t="inlineStr">
        <is>
          <t>.</t>
        </is>
      </c>
      <c r="BN234" s="1411" t="n"/>
      <c r="BO234" s="1400">
        <f>BN234</f>
        <v/>
      </c>
      <c r="BP234" s="1398" t="inlineStr">
        <is>
          <t>.</t>
        </is>
      </c>
      <c r="BQ234" s="1400">
        <f>IF(BR234&lt;&gt;"",BQ233+1,BQ233)</f>
        <v/>
      </c>
      <c r="BR234" s="1411" t="inlineStr">
        <is>
          <t>SSA</t>
        </is>
      </c>
      <c r="BS234" s="1411" t="inlineStr">
        <is>
          <t>SP</t>
        </is>
      </c>
      <c r="BT234" s="1412" t="inlineStr">
        <is>
          <t>SSA-SP</t>
        </is>
      </c>
      <c r="BU234" s="1412" t="n">
        <v>40466</v>
      </c>
      <c r="BV234" s="1398" t="inlineStr">
        <is>
          <t>.</t>
        </is>
      </c>
      <c r="BW234" s="1392" t="n"/>
      <c r="BX234" s="1392" t="n"/>
      <c r="BY234" s="1392" t="n"/>
      <c r="BZ234" s="1416" t="n"/>
      <c r="CA234" s="1392" t="n"/>
      <c r="CB234" s="1392" t="n"/>
      <c r="CC234" s="1392" t="n"/>
      <c r="CD234" s="1392" t="n"/>
      <c r="CE234" s="1392" t="n"/>
      <c r="CF234" s="1392" t="n"/>
      <c r="CG234" s="1392" t="n"/>
      <c r="CH234" s="1392" t="n"/>
      <c r="CI234" s="1392" t="n"/>
      <c r="CJ234" s="1392" t="n"/>
      <c r="CK234" s="1392" t="n"/>
      <c r="CL234" s="1392" t="n"/>
    </row>
    <row r="235">
      <c r="A235" s="5" t="inlineStr">
        <is>
          <t>.</t>
        </is>
      </c>
      <c r="B235" s="5" t="inlineStr">
        <is>
          <t>.</t>
        </is>
      </c>
      <c r="C235" s="1378">
        <f>IF(raw[[#This Row],[city]]="","-",IF(raw[[#This Row],[city]]="TODAY","-",C234+1))</f>
        <v/>
      </c>
      <c r="D235" s="1393" t="inlineStr">
        <is>
          <t>Haddington</t>
        </is>
      </c>
      <c r="E235" s="1394" t="n">
        <v>32807</v>
      </c>
      <c r="F235" s="1394" t="n">
        <v>32807</v>
      </c>
      <c r="G235" s="1393" t="inlineStr">
        <is>
          <t>-</t>
        </is>
      </c>
      <c r="H235" s="1393">
        <f>H234</f>
        <v/>
      </c>
      <c r="I235" s="1393" t="n"/>
      <c r="J235" s="1393" t="inlineStr">
        <is>
          <t>-</t>
        </is>
      </c>
      <c r="K235" s="1395">
        <f>IF(raw[[#This Row],[city]]&lt;&gt;"",_xlfn.XLOOKUP($D235,ccc[city],ccc[prov],"-"),"-")</f>
        <v/>
      </c>
      <c r="L235" s="1395">
        <f>IF(raw[[#This Row],[city]]&lt;&gt;"",_xlfn.XLOOKUP($D235,ccc[city],ccc[ctry],"-"),"-")</f>
        <v/>
      </c>
      <c r="M235" s="1395">
        <f>IF(raw[[#This Row],[city]]&lt;&gt;"",_xlfn.XLOOKUP($D235,ccc[city],ccc[cont],"-"),"-")</f>
        <v/>
      </c>
      <c r="N235" s="1396">
        <f>IF(raw[[#This Row],[city]]="","-",IF(raw[[#This Row],[cont]]="B",raw[[#This Row],[cont]],"W"))</f>
        <v/>
      </c>
      <c r="O235" s="1397">
        <f>IF(raw[[#This Row],[out]]=0,0,IF(raw[[#This Row],[out]]=raw[[#This Row],[in]],0.01,raw[[#This Row],[out]]-raw[[#This Row],[in]]))</f>
        <v/>
      </c>
      <c r="P235" s="1397">
        <f>IF(raw[[#This Row],[in]]=0,0,MONTH(raw[[#This Row],[in]]))</f>
        <v/>
      </c>
      <c r="Q235" s="1397">
        <f>IF(raw[[#This Row],[in]]=0,0,YEAR(raw[[#This Row],[in]]))</f>
        <v/>
      </c>
      <c r="R235" s="1397">
        <f>INT(raw[[#This Row],[yr]]/10)*10</f>
        <v/>
      </c>
      <c r="S235" s="1395">
        <f>IF(raw[[#This Row],[city]]="","-",IF(raw[[#This Row],[city]]&lt;&gt;_xlfn.XLOOKUP(raw[[#This Row],[home]],homes[home],homes[city],"-"),1,0))</f>
        <v/>
      </c>
      <c r="T235" s="1398" t="inlineStr">
        <is>
          <t>.</t>
        </is>
      </c>
      <c r="U235" s="1399">
        <f>IF(raw[[#This Row],[wb]]="w",raw[[#This Row],[stay]]+U234,U234)</f>
        <v/>
      </c>
      <c r="V235" s="1400">
        <f>IF(raw[[#This Row],[out]]=0,V234,(raw[[#This Row],[out]]-E$5))</f>
        <v/>
      </c>
      <c r="W235" s="1401">
        <f>U235/V235</f>
        <v/>
      </c>
      <c r="X235" s="1378" t="inlineStr">
        <is>
          <t>.</t>
        </is>
      </c>
      <c r="Y235" s="1402">
        <f/>
        <v/>
      </c>
      <c r="Z235" s="1403">
        <f/>
        <v/>
      </c>
      <c r="AA235" s="1403">
        <f/>
        <v/>
      </c>
      <c r="AB235" s="1400">
        <f t="array" ref="AB235">_xlfn.LET(_xlpm.S,_xlfn.ANCHORARRAY($Y$4),_xlpm.r,ROWS(stayCity[[#Headers],[city]]:stayCity[[#This Row],[city]])-1,IF(_xlpm.r&lt;=ROWS(_xlpm.S),INDEX(_xlpm.S,_xlpm.r,1),""))</f>
        <v/>
      </c>
      <c r="AC235" s="1405">
        <f t="array" ref="AC235">_xlfn.LET(_xlpm.S,_xlfn.ANCHORARRAY($Y$4),_xlpm.r,ROWS(stayCity[[#Headers],[city]]:stayCity[[#This Row],[city]])-1,IF(_xlpm.r&lt;=ROWS(_xlpm.S),INDEX(_xlpm.S,_xlpm.r,2),""))</f>
        <v/>
      </c>
      <c r="AD235" s="1405">
        <f t="array" ref="AD235">_xlfn.LET(_xlpm.S,_xlfn.ANCHORARRAY($Y$4),_xlpm.r,ROWS(stayCity[[#Headers],[city]]:stayCity[[#This Row],[city]])-1,IF(_xlpm.r&lt;=ROWS(_xlpm.S),INDEX(_xlpm.S,_xlpm.r,3),""))</f>
        <v/>
      </c>
      <c r="AE235" s="1400">
        <f>IF(stayCity[[#This Row],[out]]&lt;&gt;"",stayCity[[#This Row],[out]]-stayCity[[#This Row],[in]],"-")</f>
        <v/>
      </c>
      <c r="AF235" s="1406">
        <f>IF(Y235="","-",YEAR(stayCity[[#This Row],[in]]))</f>
        <v/>
      </c>
      <c r="AG235" s="1398" t="inlineStr">
        <is>
          <t>.</t>
        </is>
      </c>
      <c r="AH235" s="1402" t="n"/>
      <c r="AI235" s="1420" t="n"/>
      <c r="AJ235" s="1420" t="n"/>
      <c r="AK235" s="1400">
        <f>IF(AH235="","-",AH235)</f>
        <v/>
      </c>
      <c r="AL235" s="1405">
        <f>AI235</f>
        <v/>
      </c>
      <c r="AM235" s="1405">
        <f>AJ235</f>
        <v/>
      </c>
      <c r="AN235" s="1400">
        <f>stayCtry[[#This Row],[out]]-stayCtry[[#This Row],[in]]</f>
        <v/>
      </c>
      <c r="AO235" s="1406">
        <f>IF(AI235&lt;&gt;"",AO234+1,AO234)</f>
        <v/>
      </c>
      <c r="AP235" s="1398" t="inlineStr">
        <is>
          <t>.</t>
        </is>
      </c>
      <c r="AQ235" s="1402" t="n"/>
      <c r="AR235" s="1403" t="n"/>
      <c r="AS235" s="1403" t="n"/>
      <c r="AT235" s="1400">
        <f>AQ235</f>
        <v/>
      </c>
      <c r="AU235" s="1405">
        <f>AR235</f>
        <v/>
      </c>
      <c r="AV235" s="1405">
        <f>AS235</f>
        <v/>
      </c>
      <c r="AW235" s="1400">
        <f>stayCont[[#This Row],[out]]-stayCont[[#This Row],[in]]</f>
        <v/>
      </c>
      <c r="AX235" s="1406">
        <f>IF(AR235&lt;&gt;"",AX234+1,AX234)</f>
        <v/>
      </c>
      <c r="AY235" s="1398" t="inlineStr">
        <is>
          <t>.</t>
        </is>
      </c>
      <c r="AZ235" s="1402" t="n"/>
      <c r="BA235" s="1403" t="n"/>
      <c r="BB235" s="1403" t="n"/>
      <c r="BC235" s="1405">
        <f>AZ235</f>
        <v/>
      </c>
      <c r="BD235" s="1405">
        <f>BA235</f>
        <v/>
      </c>
      <c r="BE235" s="1405">
        <f>BB235</f>
        <v/>
      </c>
      <c r="BF235" s="1400">
        <f>stayWB[[#This Row],[out]]-stayWB[[#This Row],[in]]</f>
        <v/>
      </c>
      <c r="BG235" s="1400">
        <f>IF(BB235&lt;&gt;"",BG234+1,BG234)</f>
        <v/>
      </c>
      <c r="BH235" s="1398" t="inlineStr">
        <is>
          <t>.</t>
        </is>
      </c>
      <c r="BI235" s="1402" t="inlineStr">
        <is>
          <t>BEL</t>
        </is>
      </c>
      <c r="BJ235" s="1402" t="n">
        <v>2022</v>
      </c>
      <c r="BK235" s="1400">
        <f>BI235</f>
        <v/>
      </c>
      <c r="BL235" s="1409">
        <f>BJ235</f>
        <v/>
      </c>
      <c r="BM235" s="1378" t="inlineStr">
        <is>
          <t>.</t>
        </is>
      </c>
      <c r="BN235" s="1411" t="n"/>
      <c r="BO235" s="1400">
        <f>BN235</f>
        <v/>
      </c>
      <c r="BP235" s="1398" t="inlineStr">
        <is>
          <t>.</t>
        </is>
      </c>
      <c r="BQ235" s="1400">
        <f>IF(BR235&lt;&gt;"",BQ234+1,BQ234)</f>
        <v/>
      </c>
      <c r="BR235" s="1411" t="inlineStr">
        <is>
          <t>SP</t>
        </is>
      </c>
      <c r="BS235" s="1411" t="inlineStr">
        <is>
          <t>SSA</t>
        </is>
      </c>
      <c r="BT235" s="1412" t="inlineStr">
        <is>
          <t>SP-SSA</t>
        </is>
      </c>
      <c r="BU235" s="1412" t="n">
        <v>40478</v>
      </c>
      <c r="BV235" s="1398" t="inlineStr">
        <is>
          <t>.</t>
        </is>
      </c>
      <c r="BW235" s="1392" t="n"/>
      <c r="BX235" s="1392" t="n"/>
      <c r="BY235" s="1392" t="n"/>
      <c r="BZ235" s="1416" t="n"/>
      <c r="CA235" s="1392" t="n"/>
      <c r="CB235" s="1392" t="n"/>
      <c r="CC235" s="1392" t="n"/>
      <c r="CD235" s="1392" t="n"/>
      <c r="CE235" s="1392" t="n"/>
      <c r="CF235" s="1392" t="n"/>
      <c r="CG235" s="1392" t="n"/>
      <c r="CH235" s="1392" t="n"/>
      <c r="CI235" s="1392" t="n"/>
      <c r="CJ235" s="1392" t="n"/>
      <c r="CK235" s="1392" t="n"/>
      <c r="CL235" s="1392" t="n"/>
    </row>
    <row r="236">
      <c r="A236" s="5" t="inlineStr">
        <is>
          <t>.</t>
        </is>
      </c>
      <c r="B236" s="5" t="inlineStr">
        <is>
          <t>.</t>
        </is>
      </c>
      <c r="C236" s="1378">
        <f>IF(raw[[#This Row],[city]]="","-",IF(raw[[#This Row],[city]]="TODAY","-",C235+1))</f>
        <v/>
      </c>
      <c r="D236" s="1393" t="inlineStr">
        <is>
          <t>Melrose Abbey</t>
        </is>
      </c>
      <c r="E236" s="1394" t="n">
        <v>32807</v>
      </c>
      <c r="F236" s="1394" t="n">
        <v>32807</v>
      </c>
      <c r="G236" s="1393" t="inlineStr">
        <is>
          <t>-</t>
        </is>
      </c>
      <c r="H236" s="1393">
        <f>H235</f>
        <v/>
      </c>
      <c r="I236" s="1393" t="n"/>
      <c r="J236" s="1393" t="inlineStr">
        <is>
          <t>-</t>
        </is>
      </c>
      <c r="K236" s="1395">
        <f>IF(raw[[#This Row],[city]]&lt;&gt;"",_xlfn.XLOOKUP($D236,ccc[city],ccc[prov],"-"),"-")</f>
        <v/>
      </c>
      <c r="L236" s="1395">
        <f>IF(raw[[#This Row],[city]]&lt;&gt;"",_xlfn.XLOOKUP($D236,ccc[city],ccc[ctry],"-"),"-")</f>
        <v/>
      </c>
      <c r="M236" s="1395">
        <f>IF(raw[[#This Row],[city]]&lt;&gt;"",_xlfn.XLOOKUP($D236,ccc[city],ccc[cont],"-"),"-")</f>
        <v/>
      </c>
      <c r="N236" s="1396">
        <f>IF(raw[[#This Row],[city]]="","-",IF(raw[[#This Row],[cont]]="B",raw[[#This Row],[cont]],"W"))</f>
        <v/>
      </c>
      <c r="O236" s="1397">
        <f>IF(raw[[#This Row],[out]]=0,0,IF(raw[[#This Row],[out]]=raw[[#This Row],[in]],0.01,raw[[#This Row],[out]]-raw[[#This Row],[in]]))</f>
        <v/>
      </c>
      <c r="P236" s="1397">
        <f>IF(raw[[#This Row],[in]]=0,0,MONTH(raw[[#This Row],[in]]))</f>
        <v/>
      </c>
      <c r="Q236" s="1397">
        <f>IF(raw[[#This Row],[in]]=0,0,YEAR(raw[[#This Row],[in]]))</f>
        <v/>
      </c>
      <c r="R236" s="1397">
        <f>INT(raw[[#This Row],[yr]]/10)*10</f>
        <v/>
      </c>
      <c r="S236" s="1395">
        <f>IF(raw[[#This Row],[city]]="","-",IF(raw[[#This Row],[city]]&lt;&gt;_xlfn.XLOOKUP(raw[[#This Row],[home]],homes[home],homes[city],"-"),1,0))</f>
        <v/>
      </c>
      <c r="T236" s="1398" t="inlineStr">
        <is>
          <t>.</t>
        </is>
      </c>
      <c r="U236" s="1399">
        <f>IF(raw[[#This Row],[wb]]="w",raw[[#This Row],[stay]]+U235,U235)</f>
        <v/>
      </c>
      <c r="V236" s="1400">
        <f>IF(raw[[#This Row],[out]]=0,V235,(raw[[#This Row],[out]]-E$5))</f>
        <v/>
      </c>
      <c r="W236" s="1401">
        <f>U236/V236</f>
        <v/>
      </c>
      <c r="X236" s="1378" t="inlineStr">
        <is>
          <t>.</t>
        </is>
      </c>
      <c r="Y236" s="1402">
        <f/>
        <v/>
      </c>
      <c r="Z236" s="1403">
        <f/>
        <v/>
      </c>
      <c r="AA236" s="1403">
        <f/>
        <v/>
      </c>
      <c r="AB236" s="1400">
        <f t="array" ref="AB236">_xlfn.LET(_xlpm.S,_xlfn.ANCHORARRAY($Y$4),_xlpm.r,ROWS(stayCity[[#Headers],[city]]:stayCity[[#This Row],[city]])-1,IF(_xlpm.r&lt;=ROWS(_xlpm.S),INDEX(_xlpm.S,_xlpm.r,1),""))</f>
        <v/>
      </c>
      <c r="AC236" s="1405">
        <f t="array" ref="AC236">_xlfn.LET(_xlpm.S,_xlfn.ANCHORARRAY($Y$4),_xlpm.r,ROWS(stayCity[[#Headers],[city]]:stayCity[[#This Row],[city]])-1,IF(_xlpm.r&lt;=ROWS(_xlpm.S),INDEX(_xlpm.S,_xlpm.r,2),""))</f>
        <v/>
      </c>
      <c r="AD236" s="1405">
        <f t="array" ref="AD236">_xlfn.LET(_xlpm.S,_xlfn.ANCHORARRAY($Y$4),_xlpm.r,ROWS(stayCity[[#Headers],[city]]:stayCity[[#This Row],[city]])-1,IF(_xlpm.r&lt;=ROWS(_xlpm.S),INDEX(_xlpm.S,_xlpm.r,3),""))</f>
        <v/>
      </c>
      <c r="AE236" s="1400">
        <f>IF(stayCity[[#This Row],[out]]&lt;&gt;"",stayCity[[#This Row],[out]]-stayCity[[#This Row],[in]],"-")</f>
        <v/>
      </c>
      <c r="AF236" s="1406">
        <f>IF(Y236="","-",YEAR(stayCity[[#This Row],[in]]))</f>
        <v/>
      </c>
      <c r="AG236" s="1398" t="inlineStr">
        <is>
          <t>.</t>
        </is>
      </c>
      <c r="AH236" s="1402" t="n"/>
      <c r="AI236" s="1420" t="n"/>
      <c r="AJ236" s="1420" t="n"/>
      <c r="AK236" s="1400">
        <f>IF(AH236="","-",AH236)</f>
        <v/>
      </c>
      <c r="AL236" s="1405">
        <f>AI236</f>
        <v/>
      </c>
      <c r="AM236" s="1405">
        <f>AJ236</f>
        <v/>
      </c>
      <c r="AN236" s="1400">
        <f>stayCtry[[#This Row],[out]]-stayCtry[[#This Row],[in]]</f>
        <v/>
      </c>
      <c r="AO236" s="1406">
        <f>IF(AI236&lt;&gt;"",AO235+1,AO235)</f>
        <v/>
      </c>
      <c r="AP236" s="1398" t="inlineStr">
        <is>
          <t>.</t>
        </is>
      </c>
      <c r="AQ236" s="1402" t="n"/>
      <c r="AR236" s="1403" t="n"/>
      <c r="AS236" s="1403" t="n"/>
      <c r="AT236" s="1400">
        <f>AQ236</f>
        <v/>
      </c>
      <c r="AU236" s="1405">
        <f>AR236</f>
        <v/>
      </c>
      <c r="AV236" s="1405">
        <f>AS236</f>
        <v/>
      </c>
      <c r="AW236" s="1400">
        <f>stayCont[[#This Row],[out]]-stayCont[[#This Row],[in]]</f>
        <v/>
      </c>
      <c r="AX236" s="1406">
        <f>IF(AR236&lt;&gt;"",AX235+1,AX235)</f>
        <v/>
      </c>
      <c r="AY236" s="1398" t="inlineStr">
        <is>
          <t>.</t>
        </is>
      </c>
      <c r="AZ236" s="1402" t="n"/>
      <c r="BA236" s="1403" t="n"/>
      <c r="BB236" s="1403" t="n"/>
      <c r="BC236" s="1405">
        <f>AZ236</f>
        <v/>
      </c>
      <c r="BD236" s="1405">
        <f>BA236</f>
        <v/>
      </c>
      <c r="BE236" s="1405">
        <f>BB236</f>
        <v/>
      </c>
      <c r="BF236" s="1400">
        <f>stayWB[[#This Row],[out]]-stayWB[[#This Row],[in]]</f>
        <v/>
      </c>
      <c r="BG236" s="1400">
        <f>IF(BB236&lt;&gt;"",BG235+1,BG235)</f>
        <v/>
      </c>
      <c r="BH236" s="1398" t="inlineStr">
        <is>
          <t>.</t>
        </is>
      </c>
      <c r="BI236" s="1402" t="inlineStr">
        <is>
          <t>NED</t>
        </is>
      </c>
      <c r="BJ236" s="1402" t="n">
        <v>2022</v>
      </c>
      <c r="BK236" s="1400">
        <f>BI236</f>
        <v/>
      </c>
      <c r="BL236" s="1409">
        <f>BJ236</f>
        <v/>
      </c>
      <c r="BM236" s="1378" t="inlineStr">
        <is>
          <t>.</t>
        </is>
      </c>
      <c r="BN236" s="1411" t="n"/>
      <c r="BO236" s="1400">
        <f>BN236</f>
        <v/>
      </c>
      <c r="BP236" s="1398" t="inlineStr">
        <is>
          <t>.</t>
        </is>
      </c>
      <c r="BQ236" s="1400">
        <f>IF(BR236&lt;&gt;"",BQ235+1,BQ235)</f>
        <v/>
      </c>
      <c r="BR236" s="1411" t="inlineStr">
        <is>
          <t>SSA</t>
        </is>
      </c>
      <c r="BS236" s="1411" t="inlineStr">
        <is>
          <t>SP</t>
        </is>
      </c>
      <c r="BT236" s="1412" t="inlineStr">
        <is>
          <t>SSA-SP</t>
        </is>
      </c>
      <c r="BU236" s="1412" t="n">
        <v>40515</v>
      </c>
      <c r="BV236" s="1398" t="inlineStr">
        <is>
          <t>.</t>
        </is>
      </c>
      <c r="BW236" s="1392" t="n"/>
      <c r="BX236" s="1392" t="n"/>
      <c r="BY236" s="1392" t="n"/>
      <c r="BZ236" s="1416" t="n"/>
      <c r="CA236" s="1392" t="n"/>
      <c r="CB236" s="1392" t="n"/>
      <c r="CC236" s="1392" t="n"/>
      <c r="CD236" s="1392" t="n"/>
      <c r="CE236" s="1392" t="n"/>
      <c r="CF236" s="1392" t="n"/>
      <c r="CG236" s="1392" t="n"/>
      <c r="CH236" s="1392" t="n"/>
      <c r="CI236" s="1392" t="n"/>
      <c r="CJ236" s="1392" t="n"/>
      <c r="CK236" s="1392" t="n"/>
      <c r="CL236" s="1392" t="n"/>
    </row>
    <row r="237">
      <c r="A237" s="5" t="inlineStr">
        <is>
          <t>.</t>
        </is>
      </c>
      <c r="B237" s="5" t="inlineStr">
        <is>
          <t>.</t>
        </is>
      </c>
      <c r="C237" s="1378">
        <f>IF(raw[[#This Row],[city]]="","-",IF(raw[[#This Row],[city]]="TODAY","-",C236+1))</f>
        <v/>
      </c>
      <c r="D237" s="1393" t="inlineStr">
        <is>
          <t>York</t>
        </is>
      </c>
      <c r="E237" s="1394" t="n">
        <v>32807</v>
      </c>
      <c r="F237" s="1394" t="n">
        <v>32808</v>
      </c>
      <c r="G237" s="1393" t="inlineStr">
        <is>
          <t>-</t>
        </is>
      </c>
      <c r="H237" s="1393">
        <f>H236</f>
        <v/>
      </c>
      <c r="I237" s="1393" t="inlineStr">
        <is>
          <t>-</t>
        </is>
      </c>
      <c r="J237" s="1393" t="inlineStr">
        <is>
          <t>-</t>
        </is>
      </c>
      <c r="K237" s="1395">
        <f>IF(raw[[#This Row],[city]]&lt;&gt;"",_xlfn.XLOOKUP($D237,ccc[city],ccc[prov],"-"),"-")</f>
        <v/>
      </c>
      <c r="L237" s="1395">
        <f>IF(raw[[#This Row],[city]]&lt;&gt;"",_xlfn.XLOOKUP($D237,ccc[city],ccc[ctry],"-"),"-")</f>
        <v/>
      </c>
      <c r="M237" s="1395">
        <f>IF(raw[[#This Row],[city]]&lt;&gt;"",_xlfn.XLOOKUP($D237,ccc[city],ccc[cont],"-"),"-")</f>
        <v/>
      </c>
      <c r="N237" s="1396">
        <f>IF(raw[[#This Row],[city]]="","-",IF(raw[[#This Row],[cont]]="B",raw[[#This Row],[cont]],"W"))</f>
        <v/>
      </c>
      <c r="O237" s="1397">
        <f>IF(raw[[#This Row],[out]]=0,0,IF(raw[[#This Row],[out]]=raw[[#This Row],[in]],0.01,raw[[#This Row],[out]]-raw[[#This Row],[in]]))</f>
        <v/>
      </c>
      <c r="P237" s="1397">
        <f>IF(raw[[#This Row],[in]]=0,0,MONTH(raw[[#This Row],[in]]))</f>
        <v/>
      </c>
      <c r="Q237" s="1397">
        <f>IF(raw[[#This Row],[in]]=0,0,YEAR(raw[[#This Row],[in]]))</f>
        <v/>
      </c>
      <c r="R237" s="1397">
        <f>INT(raw[[#This Row],[yr]]/10)*10</f>
        <v/>
      </c>
      <c r="S237" s="1395">
        <f>IF(raw[[#This Row],[city]]="","-",IF(raw[[#This Row],[city]]&lt;&gt;_xlfn.XLOOKUP(raw[[#This Row],[home]],homes[home],homes[city],"-"),1,0))</f>
        <v/>
      </c>
      <c r="T237" s="1398" t="inlineStr">
        <is>
          <t>.</t>
        </is>
      </c>
      <c r="U237" s="1399">
        <f>IF(raw[[#This Row],[wb]]="w",raw[[#This Row],[stay]]+U236,U236)</f>
        <v/>
      </c>
      <c r="V237" s="1400">
        <f>IF(raw[[#This Row],[out]]=0,V236,(raw[[#This Row],[out]]-E$5))</f>
        <v/>
      </c>
      <c r="W237" s="1401">
        <f>U237/V237</f>
        <v/>
      </c>
      <c r="X237" s="1378" t="inlineStr">
        <is>
          <t>.</t>
        </is>
      </c>
      <c r="Y237" s="1402">
        <f/>
        <v/>
      </c>
      <c r="Z237" s="1403">
        <f/>
        <v/>
      </c>
      <c r="AA237" s="1403">
        <f/>
        <v/>
      </c>
      <c r="AB237" s="1400">
        <f t="array" ref="AB237">_xlfn.LET(_xlpm.S,_xlfn.ANCHORARRAY($Y$4),_xlpm.r,ROWS(stayCity[[#Headers],[city]]:stayCity[[#This Row],[city]])-1,IF(_xlpm.r&lt;=ROWS(_xlpm.S),INDEX(_xlpm.S,_xlpm.r,1),""))</f>
        <v/>
      </c>
      <c r="AC237" s="1405">
        <f t="array" ref="AC237">_xlfn.LET(_xlpm.S,_xlfn.ANCHORARRAY($Y$4),_xlpm.r,ROWS(stayCity[[#Headers],[city]]:stayCity[[#This Row],[city]])-1,IF(_xlpm.r&lt;=ROWS(_xlpm.S),INDEX(_xlpm.S,_xlpm.r,2),""))</f>
        <v/>
      </c>
      <c r="AD237" s="1405">
        <f t="array" ref="AD237">_xlfn.LET(_xlpm.S,_xlfn.ANCHORARRAY($Y$4),_xlpm.r,ROWS(stayCity[[#Headers],[city]]:stayCity[[#This Row],[city]])-1,IF(_xlpm.r&lt;=ROWS(_xlpm.S),INDEX(_xlpm.S,_xlpm.r,3),""))</f>
        <v/>
      </c>
      <c r="AE237" s="1400">
        <f>IF(stayCity[[#This Row],[out]]&lt;&gt;"",stayCity[[#This Row],[out]]-stayCity[[#This Row],[in]],"-")</f>
        <v/>
      </c>
      <c r="AF237" s="1406">
        <f>IF(Y237="","-",YEAR(stayCity[[#This Row],[in]]))</f>
        <v/>
      </c>
      <c r="AG237" s="1398" t="inlineStr">
        <is>
          <t>.</t>
        </is>
      </c>
      <c r="AH237" s="1402" t="n"/>
      <c r="AI237" s="1420" t="n"/>
      <c r="AJ237" s="1420" t="n"/>
      <c r="AK237" s="1400">
        <f>IF(AH237="","-",AH237)</f>
        <v/>
      </c>
      <c r="AL237" s="1405">
        <f>AI237</f>
        <v/>
      </c>
      <c r="AM237" s="1405">
        <f>AJ237</f>
        <v/>
      </c>
      <c r="AN237" s="1400">
        <f>stayCtry[[#This Row],[out]]-stayCtry[[#This Row],[in]]</f>
        <v/>
      </c>
      <c r="AO237" s="1406">
        <f>IF(AI237&lt;&gt;"",AO236+1,AO236)</f>
        <v/>
      </c>
      <c r="AP237" s="1398" t="inlineStr">
        <is>
          <t>.</t>
        </is>
      </c>
      <c r="AQ237" s="1402" t="n"/>
      <c r="AR237" s="1403" t="n"/>
      <c r="AS237" s="1403" t="n"/>
      <c r="AT237" s="1400">
        <f>AQ237</f>
        <v/>
      </c>
      <c r="AU237" s="1405">
        <f>AR237</f>
        <v/>
      </c>
      <c r="AV237" s="1405">
        <f>AS237</f>
        <v/>
      </c>
      <c r="AW237" s="1400">
        <f>stayCont[[#This Row],[out]]-stayCont[[#This Row],[in]]</f>
        <v/>
      </c>
      <c r="AX237" s="1406">
        <f>IF(AR237&lt;&gt;"",AX236+1,AX236)</f>
        <v/>
      </c>
      <c r="AY237" s="1398" t="inlineStr">
        <is>
          <t>.</t>
        </is>
      </c>
      <c r="AZ237" s="1402" t="n"/>
      <c r="BA237" s="1403" t="n"/>
      <c r="BB237" s="1403" t="n"/>
      <c r="BC237" s="1405">
        <f>AZ237</f>
        <v/>
      </c>
      <c r="BD237" s="1405">
        <f>BA237</f>
        <v/>
      </c>
      <c r="BE237" s="1405">
        <f>BB237</f>
        <v/>
      </c>
      <c r="BF237" s="1400">
        <f>stayWB[[#This Row],[out]]-stayWB[[#This Row],[in]]</f>
        <v/>
      </c>
      <c r="BG237" s="1400">
        <f>IF(BB237&lt;&gt;"",BG236+1,BG236)</f>
        <v/>
      </c>
      <c r="BH237" s="1398" t="inlineStr">
        <is>
          <t>.</t>
        </is>
      </c>
      <c r="BI237" s="1402" t="inlineStr">
        <is>
          <t>DEU</t>
        </is>
      </c>
      <c r="BJ237" s="1402" t="n">
        <v>2022</v>
      </c>
      <c r="BK237" s="1400">
        <f>BI237</f>
        <v/>
      </c>
      <c r="BL237" s="1409">
        <f>BJ237</f>
        <v/>
      </c>
      <c r="BM237" s="1378" t="inlineStr">
        <is>
          <t>.</t>
        </is>
      </c>
      <c r="BN237" s="1411" t="n"/>
      <c r="BO237" s="1400">
        <f>BN237</f>
        <v/>
      </c>
      <c r="BP237" s="1398" t="inlineStr">
        <is>
          <t>.</t>
        </is>
      </c>
      <c r="BQ237" s="1400">
        <f>IF(BR237&lt;&gt;"",BQ236+1,BQ236)</f>
        <v/>
      </c>
      <c r="BR237" s="1411" t="inlineStr">
        <is>
          <t>SP</t>
        </is>
      </c>
      <c r="BS237" s="1411" t="inlineStr">
        <is>
          <t>Buenos Aires</t>
        </is>
      </c>
      <c r="BT237" s="1412" t="inlineStr">
        <is>
          <t>SP-Buenos Aires</t>
        </is>
      </c>
      <c r="BU237" s="1412" t="n">
        <v>40515</v>
      </c>
      <c r="BV237" s="1398" t="inlineStr">
        <is>
          <t>.</t>
        </is>
      </c>
      <c r="BW237" s="1392" t="n"/>
      <c r="BX237" s="1392" t="n"/>
      <c r="BY237" s="1392" t="n"/>
      <c r="BZ237" s="1416" t="n"/>
      <c r="CA237" s="1392" t="n"/>
      <c r="CB237" s="1392" t="n"/>
      <c r="CC237" s="1392" t="n"/>
      <c r="CD237" s="1392" t="n"/>
      <c r="CE237" s="1392" t="n"/>
      <c r="CF237" s="1392" t="n"/>
      <c r="CG237" s="1392" t="n"/>
      <c r="CH237" s="1392" t="n"/>
      <c r="CI237" s="1392" t="n"/>
      <c r="CJ237" s="1392" t="n"/>
      <c r="CK237" s="1392" t="n"/>
      <c r="CL237" s="1392" t="n"/>
    </row>
    <row r="238">
      <c r="A238" s="5" t="inlineStr">
        <is>
          <t>.</t>
        </is>
      </c>
      <c r="B238" s="5" t="inlineStr">
        <is>
          <t>.</t>
        </is>
      </c>
      <c r="C238" s="1378">
        <f>IF(raw[[#This Row],[city]]="","-",IF(raw[[#This Row],[city]]="TODAY","-",C237+1))</f>
        <v/>
      </c>
      <c r="D238" s="1393" t="inlineStr">
        <is>
          <t>Leeds</t>
        </is>
      </c>
      <c r="E238" s="1394" t="n">
        <v>32808</v>
      </c>
      <c r="F238" s="1394" t="n">
        <v>32808</v>
      </c>
      <c r="G238" s="1393" t="inlineStr">
        <is>
          <t>-</t>
        </is>
      </c>
      <c r="H238" s="1393">
        <f>H237</f>
        <v/>
      </c>
      <c r="I238" s="1393" t="inlineStr">
        <is>
          <t>-</t>
        </is>
      </c>
      <c r="J238" s="1393" t="inlineStr">
        <is>
          <t>-</t>
        </is>
      </c>
      <c r="K238" s="1395">
        <f>IF(raw[[#This Row],[city]]&lt;&gt;"",_xlfn.XLOOKUP($D238,ccc[city],ccc[prov],"-"),"-")</f>
        <v/>
      </c>
      <c r="L238" s="1395">
        <f>IF(raw[[#This Row],[city]]&lt;&gt;"",_xlfn.XLOOKUP($D238,ccc[city],ccc[ctry],"-"),"-")</f>
        <v/>
      </c>
      <c r="M238" s="1395">
        <f>IF(raw[[#This Row],[city]]&lt;&gt;"",_xlfn.XLOOKUP($D238,ccc[city],ccc[cont],"-"),"-")</f>
        <v/>
      </c>
      <c r="N238" s="1396">
        <f>IF(raw[[#This Row],[city]]="","-",IF(raw[[#This Row],[cont]]="B",raw[[#This Row],[cont]],"W"))</f>
        <v/>
      </c>
      <c r="O238" s="1397">
        <f>IF(raw[[#This Row],[out]]=0,0,IF(raw[[#This Row],[out]]=raw[[#This Row],[in]],0.01,raw[[#This Row],[out]]-raw[[#This Row],[in]]))</f>
        <v/>
      </c>
      <c r="P238" s="1397">
        <f>IF(raw[[#This Row],[in]]=0,0,MONTH(raw[[#This Row],[in]]))</f>
        <v/>
      </c>
      <c r="Q238" s="1397">
        <f>IF(raw[[#This Row],[in]]=0,0,YEAR(raw[[#This Row],[in]]))</f>
        <v/>
      </c>
      <c r="R238" s="1397">
        <f>INT(raw[[#This Row],[yr]]/10)*10</f>
        <v/>
      </c>
      <c r="S238" s="1395">
        <f>IF(raw[[#This Row],[city]]="","-",IF(raw[[#This Row],[city]]&lt;&gt;_xlfn.XLOOKUP(raw[[#This Row],[home]],homes[home],homes[city],"-"),1,0))</f>
        <v/>
      </c>
      <c r="T238" s="1398" t="inlineStr">
        <is>
          <t>.</t>
        </is>
      </c>
      <c r="U238" s="1399">
        <f>IF(raw[[#This Row],[wb]]="w",raw[[#This Row],[stay]]+U237,U237)</f>
        <v/>
      </c>
      <c r="V238" s="1400">
        <f>IF(raw[[#This Row],[out]]=0,V237,(raw[[#This Row],[out]]-E$5))</f>
        <v/>
      </c>
      <c r="W238" s="1401">
        <f>U238/V238</f>
        <v/>
      </c>
      <c r="X238" s="1378" t="inlineStr">
        <is>
          <t>.</t>
        </is>
      </c>
      <c r="Y238" s="1402">
        <f/>
        <v/>
      </c>
      <c r="Z238" s="1403">
        <f/>
        <v/>
      </c>
      <c r="AA238" s="1403">
        <f/>
        <v/>
      </c>
      <c r="AB238" s="1400">
        <f t="array" ref="AB238">_xlfn.LET(_xlpm.S,_xlfn.ANCHORARRAY($Y$4),_xlpm.r,ROWS(stayCity[[#Headers],[city]]:stayCity[[#This Row],[city]])-1,IF(_xlpm.r&lt;=ROWS(_xlpm.S),INDEX(_xlpm.S,_xlpm.r,1),""))</f>
        <v/>
      </c>
      <c r="AC238" s="1405">
        <f t="array" ref="AC238">_xlfn.LET(_xlpm.S,_xlfn.ANCHORARRAY($Y$4),_xlpm.r,ROWS(stayCity[[#Headers],[city]]:stayCity[[#This Row],[city]])-1,IF(_xlpm.r&lt;=ROWS(_xlpm.S),INDEX(_xlpm.S,_xlpm.r,2),""))</f>
        <v/>
      </c>
      <c r="AD238" s="1405">
        <f t="array" ref="AD238">_xlfn.LET(_xlpm.S,_xlfn.ANCHORARRAY($Y$4),_xlpm.r,ROWS(stayCity[[#Headers],[city]]:stayCity[[#This Row],[city]])-1,IF(_xlpm.r&lt;=ROWS(_xlpm.S),INDEX(_xlpm.S,_xlpm.r,3),""))</f>
        <v/>
      </c>
      <c r="AE238" s="1400">
        <f>IF(stayCity[[#This Row],[out]]&lt;&gt;"",stayCity[[#This Row],[out]]-stayCity[[#This Row],[in]],"-")</f>
        <v/>
      </c>
      <c r="AF238" s="1406">
        <f>IF(Y238="","-",YEAR(stayCity[[#This Row],[in]]))</f>
        <v/>
      </c>
      <c r="AG238" s="1398" t="inlineStr">
        <is>
          <t>.</t>
        </is>
      </c>
      <c r="AH238" s="1402" t="n"/>
      <c r="AI238" s="1420" t="n"/>
      <c r="AJ238" s="1420" t="n"/>
      <c r="AK238" s="1400">
        <f>IF(AH238="","-",AH238)</f>
        <v/>
      </c>
      <c r="AL238" s="1405">
        <f>AI238</f>
        <v/>
      </c>
      <c r="AM238" s="1405">
        <f>AJ238</f>
        <v/>
      </c>
      <c r="AN238" s="1400">
        <f>stayCtry[[#This Row],[out]]-stayCtry[[#This Row],[in]]</f>
        <v/>
      </c>
      <c r="AO238" s="1406">
        <f>IF(AI238&lt;&gt;"",AO237+1,AO237)</f>
        <v/>
      </c>
      <c r="AP238" s="1398" t="inlineStr">
        <is>
          <t>.</t>
        </is>
      </c>
      <c r="AQ238" s="1402" t="n"/>
      <c r="AR238" s="1403" t="n"/>
      <c r="AS238" s="1403" t="n"/>
      <c r="AT238" s="1400">
        <f>AQ238</f>
        <v/>
      </c>
      <c r="AU238" s="1405">
        <f>AR238</f>
        <v/>
      </c>
      <c r="AV238" s="1405">
        <f>AS238</f>
        <v/>
      </c>
      <c r="AW238" s="1400">
        <f>stayCont[[#This Row],[out]]-stayCont[[#This Row],[in]]</f>
        <v/>
      </c>
      <c r="AX238" s="1406">
        <f>IF(AR238&lt;&gt;"",AX237+1,AX237)</f>
        <v/>
      </c>
      <c r="AY238" s="1398" t="inlineStr">
        <is>
          <t>.</t>
        </is>
      </c>
      <c r="AZ238" s="1402" t="n"/>
      <c r="BA238" s="1403" t="n"/>
      <c r="BB238" s="1403" t="n"/>
      <c r="BC238" s="1405">
        <f>AZ238</f>
        <v/>
      </c>
      <c r="BD238" s="1405">
        <f>BA238</f>
        <v/>
      </c>
      <c r="BE238" s="1405">
        <f>BB238</f>
        <v/>
      </c>
      <c r="BF238" s="1400">
        <f>stayWB[[#This Row],[out]]-stayWB[[#This Row],[in]]</f>
        <v/>
      </c>
      <c r="BG238" s="1400">
        <f>IF(BB238&lt;&gt;"",BG237+1,BG237)</f>
        <v/>
      </c>
      <c r="BH238" s="1398" t="inlineStr">
        <is>
          <t>.</t>
        </is>
      </c>
      <c r="BI238" s="1402" t="inlineStr">
        <is>
          <t>CHE</t>
        </is>
      </c>
      <c r="BJ238" s="1402" t="n">
        <v>2022</v>
      </c>
      <c r="BK238" s="1400">
        <f>BI238</f>
        <v/>
      </c>
      <c r="BL238" s="1409">
        <f>BJ238</f>
        <v/>
      </c>
      <c r="BM238" s="1378" t="inlineStr">
        <is>
          <t>.</t>
        </is>
      </c>
      <c r="BN238" s="1411" t="n"/>
      <c r="BO238" s="1400">
        <f>BN238</f>
        <v/>
      </c>
      <c r="BP238" s="1398" t="inlineStr">
        <is>
          <t>.</t>
        </is>
      </c>
      <c r="BQ238" s="1400">
        <f>IF(BR238&lt;&gt;"",BQ237+1,BQ237)</f>
        <v/>
      </c>
      <c r="BR238" s="1411" t="inlineStr">
        <is>
          <t>Buenos Aires</t>
        </is>
      </c>
      <c r="BS238" s="1411" t="inlineStr">
        <is>
          <t>SP</t>
        </is>
      </c>
      <c r="BT238" s="1412" t="inlineStr">
        <is>
          <t>Buenos Aires-SP</t>
        </is>
      </c>
      <c r="BU238" s="1412" t="n">
        <v>40525</v>
      </c>
      <c r="BV238" s="1398" t="inlineStr">
        <is>
          <t>.</t>
        </is>
      </c>
      <c r="BW238" s="1392" t="n"/>
      <c r="BX238" s="1392" t="n"/>
      <c r="BY238" s="1392" t="n"/>
      <c r="BZ238" s="1416" t="n"/>
      <c r="CA238" s="1392" t="n"/>
      <c r="CB238" s="1392" t="n"/>
      <c r="CC238" s="1392" t="n"/>
      <c r="CD238" s="1392" t="n"/>
      <c r="CE238" s="1392" t="n"/>
      <c r="CF238" s="1392" t="n"/>
      <c r="CG238" s="1392" t="n"/>
      <c r="CH238" s="1392" t="n"/>
      <c r="CI238" s="1392" t="n"/>
      <c r="CJ238" s="1392" t="n"/>
      <c r="CK238" s="1392" t="n"/>
      <c r="CL238" s="1392" t="n"/>
    </row>
    <row r="239">
      <c r="A239" s="5" t="inlineStr">
        <is>
          <t>.</t>
        </is>
      </c>
      <c r="B239" s="5" t="inlineStr">
        <is>
          <t>.</t>
        </is>
      </c>
      <c r="C239" s="1378">
        <f>IF(raw[[#This Row],[city]]="","-",IF(raw[[#This Row],[city]]="TODAY","-",C238+1))</f>
        <v/>
      </c>
      <c r="D239" s="1393" t="inlineStr">
        <is>
          <t>Cambridge</t>
        </is>
      </c>
      <c r="E239" s="1394" t="n">
        <v>32808</v>
      </c>
      <c r="F239" s="1394" t="n">
        <v>32809</v>
      </c>
      <c r="G239" s="1393" t="inlineStr">
        <is>
          <t>-</t>
        </is>
      </c>
      <c r="H239" s="1393">
        <f>H238</f>
        <v/>
      </c>
      <c r="I239" s="1393" t="inlineStr">
        <is>
          <t>-</t>
        </is>
      </c>
      <c r="J239" s="1393" t="inlineStr">
        <is>
          <t>-</t>
        </is>
      </c>
      <c r="K239" s="1395">
        <f>IF(raw[[#This Row],[city]]&lt;&gt;"",_xlfn.XLOOKUP($D239,ccc[city],ccc[prov],"-"),"-")</f>
        <v/>
      </c>
      <c r="L239" s="1395">
        <f>IF(raw[[#This Row],[city]]&lt;&gt;"",_xlfn.XLOOKUP($D239,ccc[city],ccc[ctry],"-"),"-")</f>
        <v/>
      </c>
      <c r="M239" s="1395">
        <f>IF(raw[[#This Row],[city]]&lt;&gt;"",_xlfn.XLOOKUP($D239,ccc[city],ccc[cont],"-"),"-")</f>
        <v/>
      </c>
      <c r="N239" s="1396">
        <f>IF(raw[[#This Row],[city]]="","-",IF(raw[[#This Row],[cont]]="B",raw[[#This Row],[cont]],"W"))</f>
        <v/>
      </c>
      <c r="O239" s="1397">
        <f>IF(raw[[#This Row],[out]]=0,0,IF(raw[[#This Row],[out]]=raw[[#This Row],[in]],0.01,raw[[#This Row],[out]]-raw[[#This Row],[in]]))</f>
        <v/>
      </c>
      <c r="P239" s="1397">
        <f>IF(raw[[#This Row],[in]]=0,0,MONTH(raw[[#This Row],[in]]))</f>
        <v/>
      </c>
      <c r="Q239" s="1397">
        <f>IF(raw[[#This Row],[in]]=0,0,YEAR(raw[[#This Row],[in]]))</f>
        <v/>
      </c>
      <c r="R239" s="1397">
        <f>INT(raw[[#This Row],[yr]]/10)*10</f>
        <v/>
      </c>
      <c r="S239" s="1395">
        <f>IF(raw[[#This Row],[city]]="","-",IF(raw[[#This Row],[city]]&lt;&gt;_xlfn.XLOOKUP(raw[[#This Row],[home]],homes[home],homes[city],"-"),1,0))</f>
        <v/>
      </c>
      <c r="T239" s="1398" t="inlineStr">
        <is>
          <t>.</t>
        </is>
      </c>
      <c r="U239" s="1399">
        <f>IF(raw[[#This Row],[wb]]="w",raw[[#This Row],[stay]]+U238,U238)</f>
        <v/>
      </c>
      <c r="V239" s="1400">
        <f>IF(raw[[#This Row],[out]]=0,V238,(raw[[#This Row],[out]]-E$5))</f>
        <v/>
      </c>
      <c r="W239" s="1401">
        <f>U239/V239</f>
        <v/>
      </c>
      <c r="X239" s="1378" t="inlineStr">
        <is>
          <t>.</t>
        </is>
      </c>
      <c r="Y239" s="1402">
        <f/>
        <v/>
      </c>
      <c r="Z239" s="1403">
        <f/>
        <v/>
      </c>
      <c r="AA239" s="1403">
        <f/>
        <v/>
      </c>
      <c r="AB239" s="1400">
        <f t="array" ref="AB239">_xlfn.LET(_xlpm.S,_xlfn.ANCHORARRAY($Y$4),_xlpm.r,ROWS(stayCity[[#Headers],[city]]:stayCity[[#This Row],[city]])-1,IF(_xlpm.r&lt;=ROWS(_xlpm.S),INDEX(_xlpm.S,_xlpm.r,1),""))</f>
        <v/>
      </c>
      <c r="AC239" s="1405">
        <f t="array" ref="AC239">_xlfn.LET(_xlpm.S,_xlfn.ANCHORARRAY($Y$4),_xlpm.r,ROWS(stayCity[[#Headers],[city]]:stayCity[[#This Row],[city]])-1,IF(_xlpm.r&lt;=ROWS(_xlpm.S),INDEX(_xlpm.S,_xlpm.r,2),""))</f>
        <v/>
      </c>
      <c r="AD239" s="1405">
        <f t="array" ref="AD239">_xlfn.LET(_xlpm.S,_xlfn.ANCHORARRAY($Y$4),_xlpm.r,ROWS(stayCity[[#Headers],[city]]:stayCity[[#This Row],[city]])-1,IF(_xlpm.r&lt;=ROWS(_xlpm.S),INDEX(_xlpm.S,_xlpm.r,3),""))</f>
        <v/>
      </c>
      <c r="AE239" s="1400">
        <f>IF(stayCity[[#This Row],[out]]&lt;&gt;"",stayCity[[#This Row],[out]]-stayCity[[#This Row],[in]],"-")</f>
        <v/>
      </c>
      <c r="AF239" s="1406">
        <f>IF(Y239="","-",YEAR(stayCity[[#This Row],[in]]))</f>
        <v/>
      </c>
      <c r="AG239" s="1398" t="inlineStr">
        <is>
          <t>.</t>
        </is>
      </c>
      <c r="AH239" s="1402" t="n"/>
      <c r="AI239" s="1420" t="n"/>
      <c r="AJ239" s="1420" t="n"/>
      <c r="AK239" s="1400">
        <f>IF(AH239="","-",AH239)</f>
        <v/>
      </c>
      <c r="AL239" s="1405">
        <f>AI239</f>
        <v/>
      </c>
      <c r="AM239" s="1405">
        <f>AJ239</f>
        <v/>
      </c>
      <c r="AN239" s="1400">
        <f>stayCtry[[#This Row],[out]]-stayCtry[[#This Row],[in]]</f>
        <v/>
      </c>
      <c r="AO239" s="1406">
        <f>IF(AI239&lt;&gt;"",AO238+1,AO238)</f>
        <v/>
      </c>
      <c r="AP239" s="1398" t="inlineStr">
        <is>
          <t>.</t>
        </is>
      </c>
      <c r="AQ239" s="1402" t="n"/>
      <c r="AR239" s="1403" t="n"/>
      <c r="AS239" s="1403" t="n"/>
      <c r="AT239" s="1400">
        <f>AQ239</f>
        <v/>
      </c>
      <c r="AU239" s="1405">
        <f>AR239</f>
        <v/>
      </c>
      <c r="AV239" s="1405">
        <f>AS239</f>
        <v/>
      </c>
      <c r="AW239" s="1400">
        <f>stayCont[[#This Row],[out]]-stayCont[[#This Row],[in]]</f>
        <v/>
      </c>
      <c r="AX239" s="1406">
        <f>IF(AR239&lt;&gt;"",AX238+1,AX238)</f>
        <v/>
      </c>
      <c r="AY239" s="1398" t="inlineStr">
        <is>
          <t>.</t>
        </is>
      </c>
      <c r="AZ239" s="1402" t="n"/>
      <c r="BA239" s="1403" t="n"/>
      <c r="BB239" s="1403" t="n"/>
      <c r="BC239" s="1405">
        <f>AZ239</f>
        <v/>
      </c>
      <c r="BD239" s="1405">
        <f>BA239</f>
        <v/>
      </c>
      <c r="BE239" s="1405">
        <f>BB239</f>
        <v/>
      </c>
      <c r="BF239" s="1400">
        <f>stayWB[[#This Row],[out]]-stayWB[[#This Row],[in]]</f>
        <v/>
      </c>
      <c r="BG239" s="1400">
        <f>IF(BB239&lt;&gt;"",BG238+1,BG238)</f>
        <v/>
      </c>
      <c r="BH239" s="1398" t="inlineStr">
        <is>
          <t>.</t>
        </is>
      </c>
      <c r="BI239" s="1402" t="inlineStr">
        <is>
          <t>ITA</t>
        </is>
      </c>
      <c r="BJ239" s="1402" t="n">
        <v>2022</v>
      </c>
      <c r="BK239" s="1400">
        <f>BI239</f>
        <v/>
      </c>
      <c r="BL239" s="1409">
        <f>BJ239</f>
        <v/>
      </c>
      <c r="BM239" s="1378" t="inlineStr">
        <is>
          <t>.</t>
        </is>
      </c>
      <c r="BN239" s="1411" t="n"/>
      <c r="BO239" s="1400">
        <f>BN239</f>
        <v/>
      </c>
      <c r="BP239" s="1398" t="inlineStr">
        <is>
          <t>.</t>
        </is>
      </c>
      <c r="BQ239" s="1400">
        <f>IF(BR239&lt;&gt;"",BQ238+1,BQ238)</f>
        <v/>
      </c>
      <c r="BR239" s="1411" t="inlineStr">
        <is>
          <t>SP</t>
        </is>
      </c>
      <c r="BS239" s="1411" t="inlineStr">
        <is>
          <t>SSA</t>
        </is>
      </c>
      <c r="BT239" s="1412" t="inlineStr">
        <is>
          <t>SP-SSA</t>
        </is>
      </c>
      <c r="BU239" s="1412" t="n">
        <v>40526</v>
      </c>
      <c r="BV239" s="1398" t="inlineStr">
        <is>
          <t>.</t>
        </is>
      </c>
      <c r="BW239" s="1392" t="n"/>
      <c r="BX239" s="1392" t="n"/>
      <c r="BY239" s="1392" t="n"/>
      <c r="BZ239" s="1416" t="n"/>
      <c r="CA239" s="1392" t="n"/>
      <c r="CB239" s="1392" t="n"/>
      <c r="CC239" s="1392" t="n"/>
      <c r="CD239" s="1392" t="n"/>
      <c r="CE239" s="1392" t="n"/>
      <c r="CF239" s="1392" t="n"/>
      <c r="CG239" s="1392" t="n"/>
      <c r="CH239" s="1392" t="n"/>
      <c r="CI239" s="1392" t="n"/>
      <c r="CJ239" s="1392" t="n"/>
      <c r="CK239" s="1392" t="n"/>
      <c r="CL239" s="1392" t="n"/>
    </row>
    <row r="240">
      <c r="A240" s="5" t="inlineStr">
        <is>
          <t>.</t>
        </is>
      </c>
      <c r="B240" s="5" t="inlineStr">
        <is>
          <t>.</t>
        </is>
      </c>
      <c r="C240" s="1378">
        <f>IF(raw[[#This Row],[city]]="","-",IF(raw[[#This Row],[city]]="TODAY","-",C239+1))</f>
        <v/>
      </c>
      <c r="D240" s="1393" t="inlineStr">
        <is>
          <t>London</t>
        </is>
      </c>
      <c r="E240" s="1394" t="n">
        <v>32809</v>
      </c>
      <c r="F240" s="1394" t="n">
        <v>32813</v>
      </c>
      <c r="G240" s="1393" t="inlineStr">
        <is>
          <t>-</t>
        </is>
      </c>
      <c r="H240" s="1393">
        <f>H239</f>
        <v/>
      </c>
      <c r="I240" s="1393" t="inlineStr">
        <is>
          <t>-</t>
        </is>
      </c>
      <c r="J240" s="1393" t="inlineStr">
        <is>
          <t>-</t>
        </is>
      </c>
      <c r="K240" s="1395">
        <f>IF(raw[[#This Row],[city]]&lt;&gt;"",_xlfn.XLOOKUP($D240,ccc[city],ccc[prov],"-"),"-")</f>
        <v/>
      </c>
      <c r="L240" s="1395">
        <f>IF(raw[[#This Row],[city]]&lt;&gt;"",_xlfn.XLOOKUP($D240,ccc[city],ccc[ctry],"-"),"-")</f>
        <v/>
      </c>
      <c r="M240" s="1395">
        <f>IF(raw[[#This Row],[city]]&lt;&gt;"",_xlfn.XLOOKUP($D240,ccc[city],ccc[cont],"-"),"-")</f>
        <v/>
      </c>
      <c r="N240" s="1396">
        <f>IF(raw[[#This Row],[city]]="","-",IF(raw[[#This Row],[cont]]="B",raw[[#This Row],[cont]],"W"))</f>
        <v/>
      </c>
      <c r="O240" s="1397">
        <f>IF(raw[[#This Row],[out]]=0,0,IF(raw[[#This Row],[out]]=raw[[#This Row],[in]],0.01,raw[[#This Row],[out]]-raw[[#This Row],[in]]))</f>
        <v/>
      </c>
      <c r="P240" s="1397">
        <f>IF(raw[[#This Row],[in]]=0,0,MONTH(raw[[#This Row],[in]]))</f>
        <v/>
      </c>
      <c r="Q240" s="1397">
        <f>IF(raw[[#This Row],[in]]=0,0,YEAR(raw[[#This Row],[in]]))</f>
        <v/>
      </c>
      <c r="R240" s="1397">
        <f>INT(raw[[#This Row],[yr]]/10)*10</f>
        <v/>
      </c>
      <c r="S240" s="1395">
        <f>IF(raw[[#This Row],[city]]="","-",IF(raw[[#This Row],[city]]&lt;&gt;_xlfn.XLOOKUP(raw[[#This Row],[home]],homes[home],homes[city],"-"),1,0))</f>
        <v/>
      </c>
      <c r="T240" s="1398" t="inlineStr">
        <is>
          <t>.</t>
        </is>
      </c>
      <c r="U240" s="1399">
        <f>IF(raw[[#This Row],[wb]]="w",raw[[#This Row],[stay]]+U239,U239)</f>
        <v/>
      </c>
      <c r="V240" s="1400">
        <f>IF(raw[[#This Row],[out]]=0,V239,(raw[[#This Row],[out]]-E$5))</f>
        <v/>
      </c>
      <c r="W240" s="1401">
        <f>U240/V240</f>
        <v/>
      </c>
      <c r="X240" s="1378" t="inlineStr">
        <is>
          <t>.</t>
        </is>
      </c>
      <c r="Y240" s="1402">
        <f/>
        <v/>
      </c>
      <c r="Z240" s="1403">
        <f/>
        <v/>
      </c>
      <c r="AA240" s="1403">
        <f/>
        <v/>
      </c>
      <c r="AB240" s="1400">
        <f t="array" ref="AB240">_xlfn.LET(_xlpm.S,_xlfn.ANCHORARRAY($Y$4),_xlpm.r,ROWS(stayCity[[#Headers],[city]]:stayCity[[#This Row],[city]])-1,IF(_xlpm.r&lt;=ROWS(_xlpm.S),INDEX(_xlpm.S,_xlpm.r,1),""))</f>
        <v/>
      </c>
      <c r="AC240" s="1405">
        <f t="array" ref="AC240">_xlfn.LET(_xlpm.S,_xlfn.ANCHORARRAY($Y$4),_xlpm.r,ROWS(stayCity[[#Headers],[city]]:stayCity[[#This Row],[city]])-1,IF(_xlpm.r&lt;=ROWS(_xlpm.S),INDEX(_xlpm.S,_xlpm.r,2),""))</f>
        <v/>
      </c>
      <c r="AD240" s="1405">
        <f t="array" ref="AD240">_xlfn.LET(_xlpm.S,_xlfn.ANCHORARRAY($Y$4),_xlpm.r,ROWS(stayCity[[#Headers],[city]]:stayCity[[#This Row],[city]])-1,IF(_xlpm.r&lt;=ROWS(_xlpm.S),INDEX(_xlpm.S,_xlpm.r,3),""))</f>
        <v/>
      </c>
      <c r="AE240" s="1400">
        <f>IF(stayCity[[#This Row],[out]]&lt;&gt;"",stayCity[[#This Row],[out]]-stayCity[[#This Row],[in]],"-")</f>
        <v/>
      </c>
      <c r="AF240" s="1406">
        <f>IF(Y240="","-",YEAR(stayCity[[#This Row],[in]]))</f>
        <v/>
      </c>
      <c r="AG240" s="1398" t="inlineStr">
        <is>
          <t>.</t>
        </is>
      </c>
      <c r="AH240" s="1402" t="n"/>
      <c r="AI240" s="1420" t="n"/>
      <c r="AJ240" s="1420" t="n"/>
      <c r="AK240" s="1400">
        <f>IF(AH240="","-",AH240)</f>
        <v/>
      </c>
      <c r="AL240" s="1405">
        <f>AI240</f>
        <v/>
      </c>
      <c r="AM240" s="1405">
        <f>AJ240</f>
        <v/>
      </c>
      <c r="AN240" s="1400">
        <f>stayCtry[[#This Row],[out]]-stayCtry[[#This Row],[in]]</f>
        <v/>
      </c>
      <c r="AO240" s="1406">
        <f>IF(AI240&lt;&gt;"",AO239+1,AO239)</f>
        <v/>
      </c>
      <c r="AP240" s="1398" t="inlineStr">
        <is>
          <t>.</t>
        </is>
      </c>
      <c r="AQ240" s="1402" t="n"/>
      <c r="AR240" s="1403" t="n"/>
      <c r="AS240" s="1403" t="n"/>
      <c r="AT240" s="1400">
        <f>AQ240</f>
        <v/>
      </c>
      <c r="AU240" s="1405">
        <f>AR240</f>
        <v/>
      </c>
      <c r="AV240" s="1405">
        <f>AS240</f>
        <v/>
      </c>
      <c r="AW240" s="1400">
        <f>stayCont[[#This Row],[out]]-stayCont[[#This Row],[in]]</f>
        <v/>
      </c>
      <c r="AX240" s="1406">
        <f>IF(AR240&lt;&gt;"",AX239+1,AX239)</f>
        <v/>
      </c>
      <c r="AY240" s="1398" t="inlineStr">
        <is>
          <t>.</t>
        </is>
      </c>
      <c r="AZ240" s="1402" t="n"/>
      <c r="BA240" s="1403" t="n"/>
      <c r="BB240" s="1403" t="n"/>
      <c r="BC240" s="1405">
        <f>AZ240</f>
        <v/>
      </c>
      <c r="BD240" s="1405">
        <f>BA240</f>
        <v/>
      </c>
      <c r="BE240" s="1405">
        <f>BB240</f>
        <v/>
      </c>
      <c r="BF240" s="1400">
        <f>stayWB[[#This Row],[out]]-stayWB[[#This Row],[in]]</f>
        <v/>
      </c>
      <c r="BG240" s="1400">
        <f>IF(BB240&lt;&gt;"",BG239+1,BG239)</f>
        <v/>
      </c>
      <c r="BH240" s="1398" t="inlineStr">
        <is>
          <t>.</t>
        </is>
      </c>
      <c r="BI240" s="1402" t="inlineStr">
        <is>
          <t>NED</t>
        </is>
      </c>
      <c r="BJ240" s="1402" t="n">
        <v>2022</v>
      </c>
      <c r="BK240" s="1400">
        <f>BI240</f>
        <v/>
      </c>
      <c r="BL240" s="1409">
        <f>BJ240</f>
        <v/>
      </c>
      <c r="BM240" s="1378" t="inlineStr">
        <is>
          <t>.</t>
        </is>
      </c>
      <c r="BN240" s="1411" t="n"/>
      <c r="BO240" s="1400">
        <f>BN240</f>
        <v/>
      </c>
      <c r="BP240" s="1398" t="inlineStr">
        <is>
          <t>.</t>
        </is>
      </c>
      <c r="BQ240" s="1400">
        <f>IF(BR240&lt;&gt;"",BQ239+1,BQ239)</f>
        <v/>
      </c>
      <c r="BR240" s="1411" t="inlineStr">
        <is>
          <t>SSA</t>
        </is>
      </c>
      <c r="BS240" s="1411" t="inlineStr">
        <is>
          <t>SP</t>
        </is>
      </c>
      <c r="BT240" s="1412" t="inlineStr">
        <is>
          <t>SSA-SP</t>
        </is>
      </c>
      <c r="BU240" s="1412" t="n">
        <v>40565</v>
      </c>
      <c r="BV240" s="1398" t="inlineStr">
        <is>
          <t>.</t>
        </is>
      </c>
      <c r="BW240" s="1392" t="n"/>
      <c r="BX240" s="1392" t="n"/>
      <c r="BY240" s="1392" t="n"/>
      <c r="BZ240" s="1416" t="n"/>
      <c r="CA240" s="1392" t="n"/>
      <c r="CB240" s="1392" t="n"/>
      <c r="CC240" s="1392" t="n"/>
      <c r="CD240" s="1392" t="n"/>
      <c r="CE240" s="1392" t="n"/>
      <c r="CF240" s="1392" t="n"/>
      <c r="CG240" s="1392" t="n"/>
      <c r="CH240" s="1392" t="n"/>
      <c r="CI240" s="1392" t="n"/>
      <c r="CJ240" s="1392" t="n"/>
      <c r="CK240" s="1392" t="n"/>
      <c r="CL240" s="1392" t="n"/>
    </row>
    <row r="241">
      <c r="A241" s="5" t="inlineStr">
        <is>
          <t>.</t>
        </is>
      </c>
      <c r="B241" s="5" t="inlineStr">
        <is>
          <t>.</t>
        </is>
      </c>
      <c r="C241" s="1378">
        <f>IF(raw[[#This Row],[city]]="","-",IF(raw[[#This Row],[city]]="TODAY","-",C240+1))</f>
        <v/>
      </c>
      <c r="D241" s="1393" t="inlineStr">
        <is>
          <t>Paris</t>
        </is>
      </c>
      <c r="E241" s="1394" t="n">
        <v>32813</v>
      </c>
      <c r="F241" s="1394" t="n">
        <v>32816</v>
      </c>
      <c r="G241" s="1393" t="n">
        <v>1</v>
      </c>
      <c r="H241" s="1393">
        <f>H240</f>
        <v/>
      </c>
      <c r="I241" s="1393" t="inlineStr">
        <is>
          <t>-</t>
        </is>
      </c>
      <c r="J241" s="1393" t="inlineStr">
        <is>
          <t>-</t>
        </is>
      </c>
      <c r="K241" s="1395">
        <f>IF(raw[[#This Row],[city]]&lt;&gt;"",_xlfn.XLOOKUP($D241,ccc[city],ccc[prov],"-"),"-")</f>
        <v/>
      </c>
      <c r="L241" s="1395">
        <f>IF(raw[[#This Row],[city]]&lt;&gt;"",_xlfn.XLOOKUP($D241,ccc[city],ccc[ctry],"-"),"-")</f>
        <v/>
      </c>
      <c r="M241" s="1395">
        <f>IF(raw[[#This Row],[city]]&lt;&gt;"",_xlfn.XLOOKUP($D241,ccc[city],ccc[cont],"-"),"-")</f>
        <v/>
      </c>
      <c r="N241" s="1396">
        <f>IF(raw[[#This Row],[city]]="","-",IF(raw[[#This Row],[cont]]="B",raw[[#This Row],[cont]],"W"))</f>
        <v/>
      </c>
      <c r="O241" s="1397">
        <f>IF(raw[[#This Row],[out]]=0,0,IF(raw[[#This Row],[out]]=raw[[#This Row],[in]],0.01,raw[[#This Row],[out]]-raw[[#This Row],[in]]))</f>
        <v/>
      </c>
      <c r="P241" s="1397">
        <f>IF(raw[[#This Row],[in]]=0,0,MONTH(raw[[#This Row],[in]]))</f>
        <v/>
      </c>
      <c r="Q241" s="1397">
        <f>IF(raw[[#This Row],[in]]=0,0,YEAR(raw[[#This Row],[in]]))</f>
        <v/>
      </c>
      <c r="R241" s="1397">
        <f>INT(raw[[#This Row],[yr]]/10)*10</f>
        <v/>
      </c>
      <c r="S241" s="1395">
        <f>IF(raw[[#This Row],[city]]="","-",IF(raw[[#This Row],[city]]&lt;&gt;_xlfn.XLOOKUP(raw[[#This Row],[home]],homes[home],homes[city],"-"),1,0))</f>
        <v/>
      </c>
      <c r="T241" s="1398" t="inlineStr">
        <is>
          <t>.</t>
        </is>
      </c>
      <c r="U241" s="1399">
        <f>IF(raw[[#This Row],[wb]]="w",raw[[#This Row],[stay]]+U240,U240)</f>
        <v/>
      </c>
      <c r="V241" s="1400">
        <f>IF(raw[[#This Row],[out]]=0,V240,(raw[[#This Row],[out]]-E$5))</f>
        <v/>
      </c>
      <c r="W241" s="1401">
        <f>U241/V241</f>
        <v/>
      </c>
      <c r="X241" s="1378" t="inlineStr">
        <is>
          <t>.</t>
        </is>
      </c>
      <c r="Y241" s="1402">
        <f/>
        <v/>
      </c>
      <c r="Z241" s="1403">
        <f/>
        <v/>
      </c>
      <c r="AA241" s="1403">
        <f/>
        <v/>
      </c>
      <c r="AB241" s="1400">
        <f t="array" ref="AB241">_xlfn.LET(_xlpm.S,_xlfn.ANCHORARRAY($Y$4),_xlpm.r,ROWS(stayCity[[#Headers],[city]]:stayCity[[#This Row],[city]])-1,IF(_xlpm.r&lt;=ROWS(_xlpm.S),INDEX(_xlpm.S,_xlpm.r,1),""))</f>
        <v/>
      </c>
      <c r="AC241" s="1405">
        <f t="array" ref="AC241">_xlfn.LET(_xlpm.S,_xlfn.ANCHORARRAY($Y$4),_xlpm.r,ROWS(stayCity[[#Headers],[city]]:stayCity[[#This Row],[city]])-1,IF(_xlpm.r&lt;=ROWS(_xlpm.S),INDEX(_xlpm.S,_xlpm.r,2),""))</f>
        <v/>
      </c>
      <c r="AD241" s="1405">
        <f t="array" ref="AD241">_xlfn.LET(_xlpm.S,_xlfn.ANCHORARRAY($Y$4),_xlpm.r,ROWS(stayCity[[#Headers],[city]]:stayCity[[#This Row],[city]])-1,IF(_xlpm.r&lt;=ROWS(_xlpm.S),INDEX(_xlpm.S,_xlpm.r,3),""))</f>
        <v/>
      </c>
      <c r="AE241" s="1400">
        <f>IF(stayCity[[#This Row],[out]]&lt;&gt;"",stayCity[[#This Row],[out]]-stayCity[[#This Row],[in]],"-")</f>
        <v/>
      </c>
      <c r="AF241" s="1406">
        <f>IF(Y241="","-",YEAR(stayCity[[#This Row],[in]]))</f>
        <v/>
      </c>
      <c r="AG241" s="1398" t="inlineStr">
        <is>
          <t>.</t>
        </is>
      </c>
      <c r="AH241" s="1402" t="n"/>
      <c r="AI241" s="1420" t="n"/>
      <c r="AJ241" s="1420" t="n"/>
      <c r="AK241" s="1400">
        <f>IF(AH241="","-",AH241)</f>
        <v/>
      </c>
      <c r="AL241" s="1405">
        <f>AI241</f>
        <v/>
      </c>
      <c r="AM241" s="1405">
        <f>AJ241</f>
        <v/>
      </c>
      <c r="AN241" s="1400">
        <f>stayCtry[[#This Row],[out]]-stayCtry[[#This Row],[in]]</f>
        <v/>
      </c>
      <c r="AO241" s="1406">
        <f>IF(AI241&lt;&gt;"",AO240+1,AO240)</f>
        <v/>
      </c>
      <c r="AP241" s="1398" t="inlineStr">
        <is>
          <t>.</t>
        </is>
      </c>
      <c r="AQ241" s="1402" t="n"/>
      <c r="AR241" s="1403" t="n"/>
      <c r="AS241" s="1403" t="n"/>
      <c r="AT241" s="1400">
        <f>AQ241</f>
        <v/>
      </c>
      <c r="AU241" s="1405">
        <f>AR241</f>
        <v/>
      </c>
      <c r="AV241" s="1405">
        <f>AS241</f>
        <v/>
      </c>
      <c r="AW241" s="1400">
        <f>stayCont[[#This Row],[out]]-stayCont[[#This Row],[in]]</f>
        <v/>
      </c>
      <c r="AX241" s="1406">
        <f>IF(AR241&lt;&gt;"",AX240+1,AX240)</f>
        <v/>
      </c>
      <c r="AY241" s="1398" t="inlineStr">
        <is>
          <t>.</t>
        </is>
      </c>
      <c r="AZ241" s="1402" t="n"/>
      <c r="BA241" s="1403" t="n"/>
      <c r="BB241" s="1403" t="n"/>
      <c r="BC241" s="1405">
        <f>AZ241</f>
        <v/>
      </c>
      <c r="BD241" s="1405">
        <f>BA241</f>
        <v/>
      </c>
      <c r="BE241" s="1405">
        <f>BB241</f>
        <v/>
      </c>
      <c r="BF241" s="1400">
        <f>stayWB[[#This Row],[out]]-stayWB[[#This Row],[in]]</f>
        <v/>
      </c>
      <c r="BG241" s="1400">
        <f>IF(BB241&lt;&gt;"",BG240+1,BG240)</f>
        <v/>
      </c>
      <c r="BH241" s="1398" t="inlineStr">
        <is>
          <t>.</t>
        </is>
      </c>
      <c r="BI241" s="1402" t="inlineStr">
        <is>
          <t>CAN</t>
        </is>
      </c>
      <c r="BJ241" s="1402" t="n">
        <v>2022</v>
      </c>
      <c r="BK241" s="1400">
        <f>BI241</f>
        <v/>
      </c>
      <c r="BL241" s="1409">
        <f>BJ241</f>
        <v/>
      </c>
      <c r="BM241" s="1378" t="inlineStr">
        <is>
          <t>.</t>
        </is>
      </c>
      <c r="BN241" s="1411" t="n"/>
      <c r="BO241" s="1400">
        <f>BN241</f>
        <v/>
      </c>
      <c r="BP241" s="1398" t="inlineStr">
        <is>
          <t>.</t>
        </is>
      </c>
      <c r="BQ241" s="1400">
        <f>IF(BR241&lt;&gt;"",BQ240+1,BQ240)</f>
        <v/>
      </c>
      <c r="BR241" s="1411" t="inlineStr">
        <is>
          <t>SP</t>
        </is>
      </c>
      <c r="BS241" s="1411" t="inlineStr">
        <is>
          <t>Rio</t>
        </is>
      </c>
      <c r="BT241" s="1412" t="inlineStr">
        <is>
          <t>SP-Rio</t>
        </is>
      </c>
      <c r="BU241" s="1412" t="n">
        <v>40570</v>
      </c>
      <c r="BV241" s="1398" t="inlineStr">
        <is>
          <t>.</t>
        </is>
      </c>
      <c r="BW241" s="1392" t="n"/>
      <c r="BX241" s="1392" t="n"/>
      <c r="BY241" s="1392" t="n"/>
      <c r="BZ241" s="1416" t="n"/>
      <c r="CA241" s="1392" t="n"/>
      <c r="CB241" s="1392" t="n"/>
      <c r="CC241" s="1392" t="n"/>
      <c r="CD241" s="1392" t="n"/>
      <c r="CE241" s="1392" t="n"/>
      <c r="CF241" s="1392" t="n"/>
      <c r="CG241" s="1392" t="n"/>
      <c r="CH241" s="1392" t="n"/>
      <c r="CI241" s="1392" t="n"/>
      <c r="CJ241" s="1392" t="n"/>
      <c r="CK241" s="1392" t="n"/>
      <c r="CL241" s="1392" t="n"/>
    </row>
    <row r="242">
      <c r="A242" s="5" t="inlineStr">
        <is>
          <t>.</t>
        </is>
      </c>
      <c r="B242" s="5" t="inlineStr">
        <is>
          <t>.</t>
        </is>
      </c>
      <c r="C242" s="1378">
        <f>IF(raw[[#This Row],[city]]="","-",IF(raw[[#This Row],[city]]="TODAY","-",C241+1))</f>
        <v/>
      </c>
      <c r="D242" s="1393" t="inlineStr">
        <is>
          <t>AIR</t>
        </is>
      </c>
      <c r="E242" s="1394" t="n">
        <v>32816</v>
      </c>
      <c r="F242" s="1394" t="n">
        <v>32817</v>
      </c>
      <c r="G242" s="1393" t="inlineStr">
        <is>
          <t>x</t>
        </is>
      </c>
      <c r="H242" s="1393">
        <f>H241</f>
        <v/>
      </c>
      <c r="I242" s="1393" t="inlineStr">
        <is>
          <t>-</t>
        </is>
      </c>
      <c r="J242" s="1393" t="inlineStr">
        <is>
          <t>-</t>
        </is>
      </c>
      <c r="K242" s="1395">
        <f>IF(raw[[#This Row],[city]]&lt;&gt;"",_xlfn.XLOOKUP($D242,ccc[city],ccc[prov],"-"),"-")</f>
        <v/>
      </c>
      <c r="L242" s="1395">
        <f>IF(raw[[#This Row],[city]]&lt;&gt;"",_xlfn.XLOOKUP($D242,ccc[city],ccc[ctry],"-"),"-")</f>
        <v/>
      </c>
      <c r="M242" s="1395">
        <f>IF(raw[[#This Row],[city]]&lt;&gt;"",_xlfn.XLOOKUP($D242,ccc[city],ccc[cont],"-"),"-")</f>
        <v/>
      </c>
      <c r="N242" s="1396">
        <f>IF(raw[[#This Row],[city]]="","-",IF(raw[[#This Row],[cont]]="B",raw[[#This Row],[cont]],"W"))</f>
        <v/>
      </c>
      <c r="O242" s="1397">
        <f>IF(raw[[#This Row],[out]]=0,0,IF(raw[[#This Row],[out]]=raw[[#This Row],[in]],0.01,raw[[#This Row],[out]]-raw[[#This Row],[in]]))</f>
        <v/>
      </c>
      <c r="P242" s="1397">
        <f>IF(raw[[#This Row],[in]]=0,0,MONTH(raw[[#This Row],[in]]))</f>
        <v/>
      </c>
      <c r="Q242" s="1397">
        <f>IF(raw[[#This Row],[in]]=0,0,YEAR(raw[[#This Row],[in]]))</f>
        <v/>
      </c>
      <c r="R242" s="1397">
        <f>INT(raw[[#This Row],[yr]]/10)*10</f>
        <v/>
      </c>
      <c r="S242" s="1395">
        <f>IF(raw[[#This Row],[city]]="","-",IF(raw[[#This Row],[city]]&lt;&gt;_xlfn.XLOOKUP(raw[[#This Row],[home]],homes[home],homes[city],"-"),1,0))</f>
        <v/>
      </c>
      <c r="T242" s="1398" t="inlineStr">
        <is>
          <t>.</t>
        </is>
      </c>
      <c r="U242" s="1399">
        <f>IF(raw[[#This Row],[wb]]="w",raw[[#This Row],[stay]]+U241,U241)</f>
        <v/>
      </c>
      <c r="V242" s="1400">
        <f>IF(raw[[#This Row],[out]]=0,V241,(raw[[#This Row],[out]]-E$5))</f>
        <v/>
      </c>
      <c r="W242" s="1401">
        <f>U242/V242</f>
        <v/>
      </c>
      <c r="X242" s="1378" t="inlineStr">
        <is>
          <t>.</t>
        </is>
      </c>
      <c r="Y242" s="1402">
        <f/>
        <v/>
      </c>
      <c r="Z242" s="1403">
        <f/>
        <v/>
      </c>
      <c r="AA242" s="1403">
        <f/>
        <v/>
      </c>
      <c r="AB242" s="1400">
        <f t="array" ref="AB242">_xlfn.LET(_xlpm.S,_xlfn.ANCHORARRAY($Y$4),_xlpm.r,ROWS(stayCity[[#Headers],[city]]:stayCity[[#This Row],[city]])-1,IF(_xlpm.r&lt;=ROWS(_xlpm.S),INDEX(_xlpm.S,_xlpm.r,1),""))</f>
        <v/>
      </c>
      <c r="AC242" s="1405">
        <f t="array" ref="AC242">_xlfn.LET(_xlpm.S,_xlfn.ANCHORARRAY($Y$4),_xlpm.r,ROWS(stayCity[[#Headers],[city]]:stayCity[[#This Row],[city]])-1,IF(_xlpm.r&lt;=ROWS(_xlpm.S),INDEX(_xlpm.S,_xlpm.r,2),""))</f>
        <v/>
      </c>
      <c r="AD242" s="1405">
        <f t="array" ref="AD242">_xlfn.LET(_xlpm.S,_xlfn.ANCHORARRAY($Y$4),_xlpm.r,ROWS(stayCity[[#Headers],[city]]:stayCity[[#This Row],[city]])-1,IF(_xlpm.r&lt;=ROWS(_xlpm.S),INDEX(_xlpm.S,_xlpm.r,3),""))</f>
        <v/>
      </c>
      <c r="AE242" s="1400">
        <f>IF(stayCity[[#This Row],[out]]&lt;&gt;"",stayCity[[#This Row],[out]]-stayCity[[#This Row],[in]],"-")</f>
        <v/>
      </c>
      <c r="AF242" s="1406">
        <f>IF(Y242="","-",YEAR(stayCity[[#This Row],[in]]))</f>
        <v/>
      </c>
      <c r="AG242" s="1398" t="inlineStr">
        <is>
          <t>.</t>
        </is>
      </c>
      <c r="AH242" s="1402" t="n"/>
      <c r="AI242" s="1420" t="n"/>
      <c r="AJ242" s="1420" t="n"/>
      <c r="AK242" s="1400">
        <f>IF(AH242="","-",AH242)</f>
        <v/>
      </c>
      <c r="AL242" s="1405">
        <f>AI242</f>
        <v/>
      </c>
      <c r="AM242" s="1405">
        <f>AJ242</f>
        <v/>
      </c>
      <c r="AN242" s="1400">
        <f>stayCtry[[#This Row],[out]]-stayCtry[[#This Row],[in]]</f>
        <v/>
      </c>
      <c r="AO242" s="1406">
        <f>IF(AI242&lt;&gt;"",AO241+1,AO241)</f>
        <v/>
      </c>
      <c r="AP242" s="1398" t="inlineStr">
        <is>
          <t>.</t>
        </is>
      </c>
      <c r="AQ242" s="1402" t="n"/>
      <c r="AR242" s="1403" t="n"/>
      <c r="AS242" s="1403" t="n"/>
      <c r="AT242" s="1400">
        <f>AQ242</f>
        <v/>
      </c>
      <c r="AU242" s="1405">
        <f>AR242</f>
        <v/>
      </c>
      <c r="AV242" s="1405">
        <f>AS242</f>
        <v/>
      </c>
      <c r="AW242" s="1400">
        <f>stayCont[[#This Row],[out]]-stayCont[[#This Row],[in]]</f>
        <v/>
      </c>
      <c r="AX242" s="1406">
        <f>IF(AR242&lt;&gt;"",AX241+1,AX241)</f>
        <v/>
      </c>
      <c r="AY242" s="1398" t="inlineStr">
        <is>
          <t>.</t>
        </is>
      </c>
      <c r="AZ242" s="1402" t="n"/>
      <c r="BA242" s="1403" t="n"/>
      <c r="BB242" s="1403" t="n"/>
      <c r="BC242" s="1405">
        <f>AZ242</f>
        <v/>
      </c>
      <c r="BD242" s="1405">
        <f>BA242</f>
        <v/>
      </c>
      <c r="BE242" s="1405">
        <f>BB242</f>
        <v/>
      </c>
      <c r="BF242" s="1400">
        <f>stayWB[[#This Row],[out]]-stayWB[[#This Row],[in]]</f>
        <v/>
      </c>
      <c r="BG242" s="1400">
        <f>IF(BB242&lt;&gt;"",BG241+1,BG241)</f>
        <v/>
      </c>
      <c r="BH242" s="1398" t="inlineStr">
        <is>
          <t>.</t>
        </is>
      </c>
      <c r="BI242" s="1402" t="inlineStr">
        <is>
          <t>BRA</t>
        </is>
      </c>
      <c r="BJ242" s="1402" t="n">
        <v>2022</v>
      </c>
      <c r="BK242" s="1400">
        <f>BI242</f>
        <v/>
      </c>
      <c r="BL242" s="1409">
        <f>BJ242</f>
        <v/>
      </c>
      <c r="BM242" s="1378" t="inlineStr">
        <is>
          <t>.</t>
        </is>
      </c>
      <c r="BN242" s="1411" t="n"/>
      <c r="BO242" s="1400">
        <f>BN242</f>
        <v/>
      </c>
      <c r="BP242" s="1398" t="inlineStr">
        <is>
          <t>.</t>
        </is>
      </c>
      <c r="BQ242" s="1400">
        <f>IF(BR242&lt;&gt;"",BQ241+1,BQ241)</f>
        <v/>
      </c>
      <c r="BR242" s="1411" t="inlineStr">
        <is>
          <t>Rio</t>
        </is>
      </c>
      <c r="BS242" s="1411" t="inlineStr">
        <is>
          <t>SSA</t>
        </is>
      </c>
      <c r="BT242" s="1412" t="inlineStr">
        <is>
          <t>Rio-SSA</t>
        </is>
      </c>
      <c r="BU242" s="1412" t="n">
        <v>40577</v>
      </c>
      <c r="BV242" s="1398" t="inlineStr">
        <is>
          <t>.</t>
        </is>
      </c>
      <c r="BW242" s="1392" t="n"/>
      <c r="BX242" s="1392" t="n"/>
      <c r="BY242" s="1392" t="n"/>
      <c r="BZ242" s="1416" t="n"/>
      <c r="CA242" s="1392" t="n"/>
      <c r="CB242" s="1392" t="n"/>
      <c r="CC242" s="1392" t="n"/>
      <c r="CD242" s="1392" t="n"/>
      <c r="CE242" s="1392" t="n"/>
      <c r="CF242" s="1392" t="n"/>
      <c r="CG242" s="1392" t="n"/>
      <c r="CH242" s="1392" t="n"/>
      <c r="CI242" s="1392" t="n"/>
      <c r="CJ242" s="1392" t="n"/>
      <c r="CK242" s="1392" t="n"/>
      <c r="CL242" s="1392" t="n"/>
    </row>
    <row r="243">
      <c r="A243" s="5" t="inlineStr">
        <is>
          <t>.</t>
        </is>
      </c>
      <c r="B243" s="5" t="inlineStr">
        <is>
          <t>.</t>
        </is>
      </c>
      <c r="C243" s="1378">
        <f>IF(raw[[#This Row],[city]]="","-",IF(raw[[#This Row],[city]]="TODAY","-",C242+1))</f>
        <v/>
      </c>
      <c r="D243" s="1393" t="inlineStr">
        <is>
          <t>SSA</t>
        </is>
      </c>
      <c r="E243" s="1394" t="n">
        <v>32817</v>
      </c>
      <c r="F243" s="1394" t="n">
        <v>32874</v>
      </c>
      <c r="G243" s="1393" t="inlineStr">
        <is>
          <t>-</t>
        </is>
      </c>
      <c r="H243" s="1393">
        <f>H242</f>
        <v/>
      </c>
      <c r="I243" s="1393" t="inlineStr">
        <is>
          <t>-</t>
        </is>
      </c>
      <c r="J243" s="1393" t="inlineStr">
        <is>
          <t>-</t>
        </is>
      </c>
      <c r="K243" s="1395">
        <f>IF(raw[[#This Row],[city]]&lt;&gt;"",_xlfn.XLOOKUP($D243,ccc[city],ccc[prov],"-"),"-")</f>
        <v/>
      </c>
      <c r="L243" s="1395">
        <f>IF(raw[[#This Row],[city]]&lt;&gt;"",_xlfn.XLOOKUP($D243,ccc[city],ccc[ctry],"-"),"-")</f>
        <v/>
      </c>
      <c r="M243" s="1395">
        <f>IF(raw[[#This Row],[city]]&lt;&gt;"",_xlfn.XLOOKUP($D243,ccc[city],ccc[cont],"-"),"-")</f>
        <v/>
      </c>
      <c r="N243" s="1396">
        <f>IF(raw[[#This Row],[city]]="","-",IF(raw[[#This Row],[cont]]="B",raw[[#This Row],[cont]],"W"))</f>
        <v/>
      </c>
      <c r="O243" s="1397">
        <f>IF(raw[[#This Row],[out]]=0,0,IF(raw[[#This Row],[out]]=raw[[#This Row],[in]],0.01,raw[[#This Row],[out]]-raw[[#This Row],[in]]))</f>
        <v/>
      </c>
      <c r="P243" s="1397">
        <f>IF(raw[[#This Row],[in]]=0,0,MONTH(raw[[#This Row],[in]]))</f>
        <v/>
      </c>
      <c r="Q243" s="1397">
        <f>IF(raw[[#This Row],[in]]=0,0,YEAR(raw[[#This Row],[in]]))</f>
        <v/>
      </c>
      <c r="R243" s="1397">
        <f>INT(raw[[#This Row],[yr]]/10)*10</f>
        <v/>
      </c>
      <c r="S243" s="1395">
        <f>IF(raw[[#This Row],[city]]="","-",IF(raw[[#This Row],[city]]&lt;&gt;_xlfn.XLOOKUP(raw[[#This Row],[home]],homes[home],homes[city],"-"),1,0))</f>
        <v/>
      </c>
      <c r="T243" s="1398" t="inlineStr">
        <is>
          <t>.</t>
        </is>
      </c>
      <c r="U243" s="1399">
        <f>IF(raw[[#This Row],[wb]]="w",raw[[#This Row],[stay]]+U242,U242)</f>
        <v/>
      </c>
      <c r="V243" s="1400">
        <f>IF(raw[[#This Row],[out]]=0,V242,(raw[[#This Row],[out]]-E$5))</f>
        <v/>
      </c>
      <c r="W243" s="1401">
        <f>U243/V243</f>
        <v/>
      </c>
      <c r="X243" s="1378" t="inlineStr">
        <is>
          <t>.</t>
        </is>
      </c>
      <c r="Y243" s="1402">
        <f/>
        <v/>
      </c>
      <c r="Z243" s="1403">
        <f/>
        <v/>
      </c>
      <c r="AA243" s="1403">
        <f/>
        <v/>
      </c>
      <c r="AB243" s="1400">
        <f t="array" ref="AB243">_xlfn.LET(_xlpm.S,_xlfn.ANCHORARRAY($Y$4),_xlpm.r,ROWS(stayCity[[#Headers],[city]]:stayCity[[#This Row],[city]])-1,IF(_xlpm.r&lt;=ROWS(_xlpm.S),INDEX(_xlpm.S,_xlpm.r,1),""))</f>
        <v/>
      </c>
      <c r="AC243" s="1405">
        <f t="array" ref="AC243">_xlfn.LET(_xlpm.S,_xlfn.ANCHORARRAY($Y$4),_xlpm.r,ROWS(stayCity[[#Headers],[city]]:stayCity[[#This Row],[city]])-1,IF(_xlpm.r&lt;=ROWS(_xlpm.S),INDEX(_xlpm.S,_xlpm.r,2),""))</f>
        <v/>
      </c>
      <c r="AD243" s="1405">
        <f t="array" ref="AD243">_xlfn.LET(_xlpm.S,_xlfn.ANCHORARRAY($Y$4),_xlpm.r,ROWS(stayCity[[#Headers],[city]]:stayCity[[#This Row],[city]])-1,IF(_xlpm.r&lt;=ROWS(_xlpm.S),INDEX(_xlpm.S,_xlpm.r,3),""))</f>
        <v/>
      </c>
      <c r="AE243" s="1400">
        <f>IF(stayCity[[#This Row],[out]]&lt;&gt;"",stayCity[[#This Row],[out]]-stayCity[[#This Row],[in]],"-")</f>
        <v/>
      </c>
      <c r="AF243" s="1406">
        <f>IF(Y243="","-",YEAR(stayCity[[#This Row],[in]]))</f>
        <v/>
      </c>
      <c r="AG243" s="1398" t="inlineStr">
        <is>
          <t>.</t>
        </is>
      </c>
      <c r="AH243" s="1402" t="n"/>
      <c r="AI243" s="1420" t="n"/>
      <c r="AJ243" s="1420" t="n"/>
      <c r="AK243" s="1400">
        <f>IF(AH243="","-",AH243)</f>
        <v/>
      </c>
      <c r="AL243" s="1405">
        <f>AI243</f>
        <v/>
      </c>
      <c r="AM243" s="1405">
        <f>AJ243</f>
        <v/>
      </c>
      <c r="AN243" s="1400">
        <f>stayCtry[[#This Row],[out]]-stayCtry[[#This Row],[in]]</f>
        <v/>
      </c>
      <c r="AO243" s="1406">
        <f>IF(AI243&lt;&gt;"",AO242+1,AO242)</f>
        <v/>
      </c>
      <c r="AP243" s="1398" t="inlineStr">
        <is>
          <t>.</t>
        </is>
      </c>
      <c r="AQ243" s="1402" t="n"/>
      <c r="AR243" s="1403" t="n"/>
      <c r="AS243" s="1403" t="n"/>
      <c r="AT243" s="1400">
        <f>AQ243</f>
        <v/>
      </c>
      <c r="AU243" s="1405">
        <f>AR243</f>
        <v/>
      </c>
      <c r="AV243" s="1405">
        <f>AS243</f>
        <v/>
      </c>
      <c r="AW243" s="1400">
        <f>stayCont[[#This Row],[out]]-stayCont[[#This Row],[in]]</f>
        <v/>
      </c>
      <c r="AX243" s="1406">
        <f>IF(AR243&lt;&gt;"",AX242+1,AX242)</f>
        <v/>
      </c>
      <c r="AY243" s="1398" t="inlineStr">
        <is>
          <t>.</t>
        </is>
      </c>
      <c r="AZ243" s="1402" t="n"/>
      <c r="BA243" s="1403" t="n"/>
      <c r="BB243" s="1403" t="n"/>
      <c r="BC243" s="1405">
        <f>AZ243</f>
        <v/>
      </c>
      <c r="BD243" s="1405">
        <f>BA243</f>
        <v/>
      </c>
      <c r="BE243" s="1405">
        <f>BB243</f>
        <v/>
      </c>
      <c r="BF243" s="1400">
        <f>stayWB[[#This Row],[out]]-stayWB[[#This Row],[in]]</f>
        <v/>
      </c>
      <c r="BG243" s="1400">
        <f>IF(BB243&lt;&gt;"",BG242+1,BG242)</f>
        <v/>
      </c>
      <c r="BH243" s="1398" t="inlineStr">
        <is>
          <t>.</t>
        </is>
      </c>
      <c r="BI243" s="1402" t="inlineStr">
        <is>
          <t>CAN</t>
        </is>
      </c>
      <c r="BJ243" s="1402" t="n">
        <v>2022</v>
      </c>
      <c r="BK243" s="1400">
        <f>BI243</f>
        <v/>
      </c>
      <c r="BL243" s="1409">
        <f>BJ243</f>
        <v/>
      </c>
      <c r="BM243" s="1378" t="inlineStr">
        <is>
          <t>.</t>
        </is>
      </c>
      <c r="BN243" s="1411" t="n"/>
      <c r="BO243" s="1400">
        <f>BN243</f>
        <v/>
      </c>
      <c r="BP243" s="1398" t="inlineStr">
        <is>
          <t>.</t>
        </is>
      </c>
      <c r="BQ243" s="1400">
        <f>IF(BR243&lt;&gt;"",BQ242+1,BQ242)</f>
        <v/>
      </c>
      <c r="BR243" s="1411" t="inlineStr">
        <is>
          <t>SSA</t>
        </is>
      </c>
      <c r="BS243" s="1411" t="inlineStr">
        <is>
          <t>SP</t>
        </is>
      </c>
      <c r="BT243" s="1412" t="inlineStr">
        <is>
          <t>SSA-SP</t>
        </is>
      </c>
      <c r="BU243" s="1412" t="n">
        <v>40645</v>
      </c>
      <c r="BV243" s="1398" t="inlineStr">
        <is>
          <t>.</t>
        </is>
      </c>
      <c r="BW243" s="1392" t="n"/>
      <c r="BX243" s="1392" t="n"/>
      <c r="BY243" s="1392" t="n"/>
      <c r="BZ243" s="1416" t="n"/>
      <c r="CA243" s="1392" t="n"/>
      <c r="CB243" s="1392" t="n"/>
      <c r="CC243" s="1392" t="n"/>
      <c r="CD243" s="1392" t="n"/>
      <c r="CE243" s="1392" t="n"/>
      <c r="CF243" s="1392" t="n"/>
      <c r="CG243" s="1392" t="n"/>
      <c r="CH243" s="1392" t="n"/>
      <c r="CI243" s="1392" t="n"/>
      <c r="CJ243" s="1392" t="n"/>
      <c r="CK243" s="1392" t="n"/>
      <c r="CL243" s="1392" t="n"/>
    </row>
    <row r="244">
      <c r="A244" s="5" t="inlineStr">
        <is>
          <t>.</t>
        </is>
      </c>
      <c r="B244" s="5" t="inlineStr">
        <is>
          <t>.</t>
        </is>
      </c>
      <c r="C244" s="1378">
        <f>IF(raw[[#This Row],[city]]="","-",IF(raw[[#This Row],[city]]="TODAY","-",C243+1))</f>
        <v/>
      </c>
      <c r="D244" s="1393" t="inlineStr">
        <is>
          <t>SSA</t>
        </is>
      </c>
      <c r="E244" s="1394" t="n">
        <v>32874</v>
      </c>
      <c r="F244" s="1394" t="n">
        <v>32888</v>
      </c>
      <c r="G244" s="1393" t="n">
        <v>1</v>
      </c>
      <c r="H244" s="1393">
        <f>H243</f>
        <v/>
      </c>
      <c r="I244" s="1393" t="inlineStr">
        <is>
          <t>-</t>
        </is>
      </c>
      <c r="J244" s="1393" t="inlineStr">
        <is>
          <t>REV</t>
        </is>
      </c>
      <c r="K244" s="1395">
        <f>IF(raw[[#This Row],[city]]&lt;&gt;"",_xlfn.XLOOKUP($D244,ccc[city],ccc[prov],"-"),"-")</f>
        <v/>
      </c>
      <c r="L244" s="1395">
        <f>IF(raw[[#This Row],[city]]&lt;&gt;"",_xlfn.XLOOKUP($D244,ccc[city],ccc[ctry],"-"),"-")</f>
        <v/>
      </c>
      <c r="M244" s="1395">
        <f>IF(raw[[#This Row],[city]]&lt;&gt;"",_xlfn.XLOOKUP($D244,ccc[city],ccc[cont],"-"),"-")</f>
        <v/>
      </c>
      <c r="N244" s="1396">
        <f>IF(raw[[#This Row],[city]]="","-",IF(raw[[#This Row],[cont]]="B",raw[[#This Row],[cont]],"W"))</f>
        <v/>
      </c>
      <c r="O244" s="1397">
        <f>IF(raw[[#This Row],[out]]=0,0,IF(raw[[#This Row],[out]]=raw[[#This Row],[in]],0.01,raw[[#This Row],[out]]-raw[[#This Row],[in]]))</f>
        <v/>
      </c>
      <c r="P244" s="1397">
        <f>IF(raw[[#This Row],[in]]=0,0,MONTH(raw[[#This Row],[in]]))</f>
        <v/>
      </c>
      <c r="Q244" s="1397">
        <f>IF(raw[[#This Row],[in]]=0,0,YEAR(raw[[#This Row],[in]]))</f>
        <v/>
      </c>
      <c r="R244" s="1397">
        <f>INT(raw[[#This Row],[yr]]/10)*10</f>
        <v/>
      </c>
      <c r="S244" s="1395">
        <f>IF(raw[[#This Row],[city]]="","-",IF(raw[[#This Row],[city]]&lt;&gt;_xlfn.XLOOKUP(raw[[#This Row],[home]],homes[home],homes[city],"-"),1,0))</f>
        <v/>
      </c>
      <c r="T244" s="1398" t="inlineStr">
        <is>
          <t>.</t>
        </is>
      </c>
      <c r="U244" s="1399">
        <f>IF(raw[[#This Row],[wb]]="w",raw[[#This Row],[stay]]+U243,U243)</f>
        <v/>
      </c>
      <c r="V244" s="1400">
        <f>IF(raw[[#This Row],[out]]=0,V243,(raw[[#This Row],[out]]-E$5))</f>
        <v/>
      </c>
      <c r="W244" s="1401">
        <f>U244/V244</f>
        <v/>
      </c>
      <c r="X244" s="1378" t="inlineStr">
        <is>
          <t>.</t>
        </is>
      </c>
      <c r="Y244" s="1402">
        <f/>
        <v/>
      </c>
      <c r="Z244" s="1403">
        <f/>
        <v/>
      </c>
      <c r="AA244" s="1403">
        <f/>
        <v/>
      </c>
      <c r="AB244" s="1400">
        <f t="array" ref="AB244">_xlfn.LET(_xlpm.S,_xlfn.ANCHORARRAY($Y$4),_xlpm.r,ROWS(stayCity[[#Headers],[city]]:stayCity[[#This Row],[city]])-1,IF(_xlpm.r&lt;=ROWS(_xlpm.S),INDEX(_xlpm.S,_xlpm.r,1),""))</f>
        <v/>
      </c>
      <c r="AC244" s="1405">
        <f t="array" ref="AC244">_xlfn.LET(_xlpm.S,_xlfn.ANCHORARRAY($Y$4),_xlpm.r,ROWS(stayCity[[#Headers],[city]]:stayCity[[#This Row],[city]])-1,IF(_xlpm.r&lt;=ROWS(_xlpm.S),INDEX(_xlpm.S,_xlpm.r,2),""))</f>
        <v/>
      </c>
      <c r="AD244" s="1405">
        <f t="array" ref="AD244">_xlfn.LET(_xlpm.S,_xlfn.ANCHORARRAY($Y$4),_xlpm.r,ROWS(stayCity[[#Headers],[city]]:stayCity[[#This Row],[city]])-1,IF(_xlpm.r&lt;=ROWS(_xlpm.S),INDEX(_xlpm.S,_xlpm.r,3),""))</f>
        <v/>
      </c>
      <c r="AE244" s="1400">
        <f>IF(stayCity[[#This Row],[out]]&lt;&gt;"",stayCity[[#This Row],[out]]-stayCity[[#This Row],[in]],"-")</f>
        <v/>
      </c>
      <c r="AF244" s="1406">
        <f>IF(Y244="","-",YEAR(stayCity[[#This Row],[in]]))</f>
        <v/>
      </c>
      <c r="AG244" s="1398" t="inlineStr">
        <is>
          <t>.</t>
        </is>
      </c>
      <c r="AH244" s="1402" t="n"/>
      <c r="AI244" s="1420" t="n"/>
      <c r="AJ244" s="1420" t="n"/>
      <c r="AK244" s="1400">
        <f>IF(AH244="","-",AH244)</f>
        <v/>
      </c>
      <c r="AL244" s="1405">
        <f>AI244</f>
        <v/>
      </c>
      <c r="AM244" s="1405">
        <f>AJ244</f>
        <v/>
      </c>
      <c r="AN244" s="1400">
        <f>stayCtry[[#This Row],[out]]-stayCtry[[#This Row],[in]]</f>
        <v/>
      </c>
      <c r="AO244" s="1406">
        <f>IF(AI244&lt;&gt;"",AO243+1,AO243)</f>
        <v/>
      </c>
      <c r="AP244" s="1398" t="inlineStr">
        <is>
          <t>.</t>
        </is>
      </c>
      <c r="AQ244" s="1402" t="n"/>
      <c r="AR244" s="1403" t="n"/>
      <c r="AS244" s="1403" t="n"/>
      <c r="AT244" s="1400">
        <f>AQ244</f>
        <v/>
      </c>
      <c r="AU244" s="1405">
        <f>AR244</f>
        <v/>
      </c>
      <c r="AV244" s="1405">
        <f>AS244</f>
        <v/>
      </c>
      <c r="AW244" s="1400">
        <f>stayCont[[#This Row],[out]]-stayCont[[#This Row],[in]]</f>
        <v/>
      </c>
      <c r="AX244" s="1406">
        <f>IF(AR244&lt;&gt;"",AX243+1,AX243)</f>
        <v/>
      </c>
      <c r="AY244" s="1398" t="inlineStr">
        <is>
          <t>.</t>
        </is>
      </c>
      <c r="AZ244" s="1402" t="n"/>
      <c r="BA244" s="1403" t="n"/>
      <c r="BB244" s="1403" t="n"/>
      <c r="BC244" s="1405">
        <f>AZ244</f>
        <v/>
      </c>
      <c r="BD244" s="1405">
        <f>BA244</f>
        <v/>
      </c>
      <c r="BE244" s="1405">
        <f>BB244</f>
        <v/>
      </c>
      <c r="BF244" s="1400">
        <f>stayWB[[#This Row],[out]]-stayWB[[#This Row],[in]]</f>
        <v/>
      </c>
      <c r="BG244" s="1400">
        <f>IF(BB244&lt;&gt;"",BG243+1,BG243)</f>
        <v/>
      </c>
      <c r="BH244" s="1398" t="inlineStr">
        <is>
          <t>.</t>
        </is>
      </c>
      <c r="BI244" s="1402" t="inlineStr">
        <is>
          <t>USA</t>
        </is>
      </c>
      <c r="BJ244" s="1402" t="n">
        <v>2023</v>
      </c>
      <c r="BK244" s="1400">
        <f>BI244</f>
        <v/>
      </c>
      <c r="BL244" s="1409">
        <f>BJ244</f>
        <v/>
      </c>
      <c r="BM244" s="1378" t="inlineStr">
        <is>
          <t>.</t>
        </is>
      </c>
      <c r="BN244" s="1411" t="n"/>
      <c r="BO244" s="1400">
        <f>BN244</f>
        <v/>
      </c>
      <c r="BP244" s="1398" t="inlineStr">
        <is>
          <t>.</t>
        </is>
      </c>
      <c r="BQ244" s="1400">
        <f>IF(BR244&lt;&gt;"",BQ243+1,BQ243)</f>
        <v/>
      </c>
      <c r="BR244" s="1411" t="inlineStr">
        <is>
          <t>SP</t>
        </is>
      </c>
      <c r="BS244" s="1411" t="inlineStr">
        <is>
          <t>SSA</t>
        </is>
      </c>
      <c r="BT244" s="1412" t="inlineStr">
        <is>
          <t>SP-SSA</t>
        </is>
      </c>
      <c r="BU244" s="1412" t="n">
        <v>40651</v>
      </c>
      <c r="BV244" s="1398" t="inlineStr">
        <is>
          <t>.</t>
        </is>
      </c>
      <c r="BW244" s="1392" t="n"/>
      <c r="BX244" s="1392" t="n"/>
      <c r="BY244" s="1392" t="n"/>
      <c r="BZ244" s="1416" t="n"/>
      <c r="CA244" s="1392" t="n"/>
      <c r="CB244" s="1392" t="n"/>
      <c r="CC244" s="1392" t="n"/>
      <c r="CD244" s="1392" t="n"/>
      <c r="CE244" s="1392" t="n"/>
      <c r="CF244" s="1392" t="n"/>
      <c r="CG244" s="1392" t="n"/>
      <c r="CH244" s="1392" t="n"/>
      <c r="CI244" s="1392" t="n"/>
      <c r="CJ244" s="1392" t="n"/>
      <c r="CK244" s="1392" t="n"/>
      <c r="CL244" s="1392" t="n"/>
    </row>
    <row r="245">
      <c r="A245" s="5" t="inlineStr">
        <is>
          <t>.</t>
        </is>
      </c>
      <c r="B245" s="5" t="inlineStr">
        <is>
          <t>.</t>
        </is>
      </c>
      <c r="C245" s="1378">
        <f>IF(raw[[#This Row],[city]]="","-",IF(raw[[#This Row],[city]]="TODAY","-",C244+1))</f>
        <v/>
      </c>
      <c r="D245" s="1393" t="inlineStr">
        <is>
          <t>Rio</t>
        </is>
      </c>
      <c r="E245" s="1394" t="n">
        <v>32888</v>
      </c>
      <c r="F245" s="1394" t="n">
        <v>32903</v>
      </c>
      <c r="G245" s="1393" t="n">
        <v>1</v>
      </c>
      <c r="H245" s="1393">
        <f>H244</f>
        <v/>
      </c>
      <c r="I245" s="1393" t="inlineStr">
        <is>
          <t>-</t>
        </is>
      </c>
      <c r="J245" s="1393" t="inlineStr">
        <is>
          <t>-</t>
        </is>
      </c>
      <c r="K245" s="1395">
        <f>IF(raw[[#This Row],[city]]&lt;&gt;"",_xlfn.XLOOKUP($D245,ccc[city],ccc[prov],"-"),"-")</f>
        <v/>
      </c>
      <c r="L245" s="1395">
        <f>IF(raw[[#This Row],[city]]&lt;&gt;"",_xlfn.XLOOKUP($D245,ccc[city],ccc[ctry],"-"),"-")</f>
        <v/>
      </c>
      <c r="M245" s="1395">
        <f>IF(raw[[#This Row],[city]]&lt;&gt;"",_xlfn.XLOOKUP($D245,ccc[city],ccc[cont],"-"),"-")</f>
        <v/>
      </c>
      <c r="N245" s="1396">
        <f>IF(raw[[#This Row],[city]]="","-",IF(raw[[#This Row],[cont]]="B",raw[[#This Row],[cont]],"W"))</f>
        <v/>
      </c>
      <c r="O245" s="1397">
        <f>IF(raw[[#This Row],[out]]=0,0,IF(raw[[#This Row],[out]]=raw[[#This Row],[in]],0.01,raw[[#This Row],[out]]-raw[[#This Row],[in]]))</f>
        <v/>
      </c>
      <c r="P245" s="1397">
        <f>IF(raw[[#This Row],[in]]=0,0,MONTH(raw[[#This Row],[in]]))</f>
        <v/>
      </c>
      <c r="Q245" s="1397">
        <f>IF(raw[[#This Row],[in]]=0,0,YEAR(raw[[#This Row],[in]]))</f>
        <v/>
      </c>
      <c r="R245" s="1397">
        <f>INT(raw[[#This Row],[yr]]/10)*10</f>
        <v/>
      </c>
      <c r="S245" s="1395">
        <f>IF(raw[[#This Row],[city]]="","-",IF(raw[[#This Row],[city]]&lt;&gt;_xlfn.XLOOKUP(raw[[#This Row],[home]],homes[home],homes[city],"-"),1,0))</f>
        <v/>
      </c>
      <c r="T245" s="1398" t="inlineStr">
        <is>
          <t>.</t>
        </is>
      </c>
      <c r="U245" s="1399">
        <f>IF(raw[[#This Row],[wb]]="w",raw[[#This Row],[stay]]+U244,U244)</f>
        <v/>
      </c>
      <c r="V245" s="1400">
        <f>IF(raw[[#This Row],[out]]=0,V244,(raw[[#This Row],[out]]-E$5))</f>
        <v/>
      </c>
      <c r="W245" s="1401">
        <f>U245/V245</f>
        <v/>
      </c>
      <c r="X245" s="1378" t="inlineStr">
        <is>
          <t>.</t>
        </is>
      </c>
      <c r="Y245" s="1402">
        <f/>
        <v/>
      </c>
      <c r="Z245" s="1403">
        <f/>
        <v/>
      </c>
      <c r="AA245" s="1403">
        <f/>
        <v/>
      </c>
      <c r="AB245" s="1400">
        <f t="array" ref="AB245">_xlfn.LET(_xlpm.S,_xlfn.ANCHORARRAY($Y$4),_xlpm.r,ROWS(stayCity[[#Headers],[city]]:stayCity[[#This Row],[city]])-1,IF(_xlpm.r&lt;=ROWS(_xlpm.S),INDEX(_xlpm.S,_xlpm.r,1),""))</f>
        <v/>
      </c>
      <c r="AC245" s="1405">
        <f t="array" ref="AC245">_xlfn.LET(_xlpm.S,_xlfn.ANCHORARRAY($Y$4),_xlpm.r,ROWS(stayCity[[#Headers],[city]]:stayCity[[#This Row],[city]])-1,IF(_xlpm.r&lt;=ROWS(_xlpm.S),INDEX(_xlpm.S,_xlpm.r,2),""))</f>
        <v/>
      </c>
      <c r="AD245" s="1405">
        <f t="array" ref="AD245">_xlfn.LET(_xlpm.S,_xlfn.ANCHORARRAY($Y$4),_xlpm.r,ROWS(stayCity[[#Headers],[city]]:stayCity[[#This Row],[city]])-1,IF(_xlpm.r&lt;=ROWS(_xlpm.S),INDEX(_xlpm.S,_xlpm.r,3),""))</f>
        <v/>
      </c>
      <c r="AE245" s="1400">
        <f>IF(stayCity[[#This Row],[out]]&lt;&gt;"",stayCity[[#This Row],[out]]-stayCity[[#This Row],[in]],"-")</f>
        <v/>
      </c>
      <c r="AF245" s="1406">
        <f>IF(Y245="","-",YEAR(stayCity[[#This Row],[in]]))</f>
        <v/>
      </c>
      <c r="AG245" s="1398" t="inlineStr">
        <is>
          <t>.</t>
        </is>
      </c>
      <c r="AH245" s="1402" t="n"/>
      <c r="AI245" s="1420" t="n"/>
      <c r="AJ245" s="1420" t="n"/>
      <c r="AK245" s="1400">
        <f>IF(AH245="","-",AH245)</f>
        <v/>
      </c>
      <c r="AL245" s="1405">
        <f>AI245</f>
        <v/>
      </c>
      <c r="AM245" s="1405">
        <f>AJ245</f>
        <v/>
      </c>
      <c r="AN245" s="1400">
        <f>stayCtry[[#This Row],[out]]-stayCtry[[#This Row],[in]]</f>
        <v/>
      </c>
      <c r="AO245" s="1406">
        <f>IF(AI245&lt;&gt;"",AO244+1,AO244)</f>
        <v/>
      </c>
      <c r="AP245" s="1398" t="inlineStr">
        <is>
          <t>.</t>
        </is>
      </c>
      <c r="AQ245" s="1402" t="n"/>
      <c r="AR245" s="1403" t="n"/>
      <c r="AS245" s="1403" t="n"/>
      <c r="AT245" s="1400">
        <f>AQ245</f>
        <v/>
      </c>
      <c r="AU245" s="1405">
        <f>AR245</f>
        <v/>
      </c>
      <c r="AV245" s="1405">
        <f>AS245</f>
        <v/>
      </c>
      <c r="AW245" s="1400">
        <f>stayCont[[#This Row],[out]]-stayCont[[#This Row],[in]]</f>
        <v/>
      </c>
      <c r="AX245" s="1406">
        <f>IF(AR245&lt;&gt;"",AX244+1,AX244)</f>
        <v/>
      </c>
      <c r="AY245" s="1398" t="inlineStr">
        <is>
          <t>.</t>
        </is>
      </c>
      <c r="AZ245" s="1402" t="n"/>
      <c r="BA245" s="1403" t="n"/>
      <c r="BB245" s="1403" t="n"/>
      <c r="BC245" s="1405">
        <f>AZ245</f>
        <v/>
      </c>
      <c r="BD245" s="1405">
        <f>BA245</f>
        <v/>
      </c>
      <c r="BE245" s="1405">
        <f>BB245</f>
        <v/>
      </c>
      <c r="BF245" s="1400">
        <f>stayWB[[#This Row],[out]]-stayWB[[#This Row],[in]]</f>
        <v/>
      </c>
      <c r="BG245" s="1400">
        <f>IF(BB245&lt;&gt;"",BG244+1,BG244)</f>
        <v/>
      </c>
      <c r="BH245" s="1398" t="inlineStr">
        <is>
          <t>.</t>
        </is>
      </c>
      <c r="BI245" s="1402" t="inlineStr">
        <is>
          <t>CAN</t>
        </is>
      </c>
      <c r="BJ245" s="1402" t="n">
        <v>2023</v>
      </c>
      <c r="BK245" s="1400">
        <f>BI245</f>
        <v/>
      </c>
      <c r="BL245" s="1409">
        <f>BJ245</f>
        <v/>
      </c>
      <c r="BM245" s="1378" t="inlineStr">
        <is>
          <t>.</t>
        </is>
      </c>
      <c r="BN245" s="1411" t="n"/>
      <c r="BO245" s="1400">
        <f>BN245</f>
        <v/>
      </c>
      <c r="BP245" s="1398" t="inlineStr">
        <is>
          <t>.</t>
        </is>
      </c>
      <c r="BQ245" s="1400">
        <f>IF(BR245&lt;&gt;"",BQ244+1,BQ244)</f>
        <v/>
      </c>
      <c r="BR245" s="1411" t="inlineStr">
        <is>
          <t>SSA</t>
        </is>
      </c>
      <c r="BS245" s="1411" t="inlineStr">
        <is>
          <t>SP</t>
        </is>
      </c>
      <c r="BT245" s="1412" t="inlineStr">
        <is>
          <t>SSA-SP</t>
        </is>
      </c>
      <c r="BU245" s="1412" t="n">
        <v>40672</v>
      </c>
      <c r="BV245" s="1398" t="inlineStr">
        <is>
          <t>.</t>
        </is>
      </c>
      <c r="BW245" s="1392" t="n"/>
      <c r="BX245" s="1392" t="n"/>
      <c r="BY245" s="1392" t="n"/>
      <c r="BZ245" s="1416" t="n"/>
      <c r="CA245" s="1392" t="n"/>
      <c r="CB245" s="1392" t="n"/>
      <c r="CC245" s="1392" t="n"/>
      <c r="CD245" s="1392" t="n"/>
      <c r="CE245" s="1392" t="n"/>
      <c r="CF245" s="1392" t="n"/>
      <c r="CG245" s="1392" t="n"/>
      <c r="CH245" s="1392" t="n"/>
      <c r="CI245" s="1392" t="n"/>
      <c r="CJ245" s="1392" t="n"/>
      <c r="CK245" s="1392" t="n"/>
      <c r="CL245" s="1392" t="n"/>
    </row>
    <row r="246">
      <c r="A246" s="5" t="inlineStr">
        <is>
          <t>.</t>
        </is>
      </c>
      <c r="B246" s="5" t="inlineStr">
        <is>
          <t>.</t>
        </is>
      </c>
      <c r="C246" s="1378">
        <f>IF(raw[[#This Row],[city]]="","-",IF(raw[[#This Row],[city]]="TODAY","-",C245+1))</f>
        <v/>
      </c>
      <c r="D246" s="1393" t="inlineStr">
        <is>
          <t>SSA</t>
        </is>
      </c>
      <c r="E246" s="1394" t="n">
        <v>32903</v>
      </c>
      <c r="F246" s="1394" t="n">
        <v>32964</v>
      </c>
      <c r="G246" s="1393" t="inlineStr">
        <is>
          <t>-</t>
        </is>
      </c>
      <c r="H246" s="1393">
        <f>H245</f>
        <v/>
      </c>
      <c r="I246" s="1393" t="n"/>
      <c r="J246" s="1393" t="inlineStr">
        <is>
          <t>-</t>
        </is>
      </c>
      <c r="K246" s="1395">
        <f>IF(raw[[#This Row],[city]]&lt;&gt;"",_xlfn.XLOOKUP($D246,ccc[city],ccc[prov],"-"),"-")</f>
        <v/>
      </c>
      <c r="L246" s="1395">
        <f>IF(raw[[#This Row],[city]]&lt;&gt;"",_xlfn.XLOOKUP($D246,ccc[city],ccc[ctry],"-"),"-")</f>
        <v/>
      </c>
      <c r="M246" s="1395">
        <f>IF(raw[[#This Row],[city]]&lt;&gt;"",_xlfn.XLOOKUP($D246,ccc[city],ccc[cont],"-"),"-")</f>
        <v/>
      </c>
      <c r="N246" s="1396">
        <f>IF(raw[[#This Row],[city]]="","-",IF(raw[[#This Row],[cont]]="B",raw[[#This Row],[cont]],"W"))</f>
        <v/>
      </c>
      <c r="O246" s="1397">
        <f>IF(raw[[#This Row],[out]]=0,0,IF(raw[[#This Row],[out]]=raw[[#This Row],[in]],0.01,raw[[#This Row],[out]]-raw[[#This Row],[in]]))</f>
        <v/>
      </c>
      <c r="P246" s="1397">
        <f>IF(raw[[#This Row],[in]]=0,0,MONTH(raw[[#This Row],[in]]))</f>
        <v/>
      </c>
      <c r="Q246" s="1397">
        <f>IF(raw[[#This Row],[in]]=0,0,YEAR(raw[[#This Row],[in]]))</f>
        <v/>
      </c>
      <c r="R246" s="1397">
        <f>INT(raw[[#This Row],[yr]]/10)*10</f>
        <v/>
      </c>
      <c r="S246" s="1395">
        <f>IF(raw[[#This Row],[city]]="","-",IF(raw[[#This Row],[city]]&lt;&gt;_xlfn.XLOOKUP(raw[[#This Row],[home]],homes[home],homes[city],"-"),1,0))</f>
        <v/>
      </c>
      <c r="T246" s="1398" t="inlineStr">
        <is>
          <t>.</t>
        </is>
      </c>
      <c r="U246" s="1399">
        <f>IF(raw[[#This Row],[wb]]="w",raw[[#This Row],[stay]]+U245,U245)</f>
        <v/>
      </c>
      <c r="V246" s="1400">
        <f>IF(raw[[#This Row],[out]]=0,V245,(raw[[#This Row],[out]]-E$5))</f>
        <v/>
      </c>
      <c r="W246" s="1401">
        <f>U246/V246</f>
        <v/>
      </c>
      <c r="X246" s="1378" t="inlineStr">
        <is>
          <t>.</t>
        </is>
      </c>
      <c r="Y246" s="1402">
        <f/>
        <v/>
      </c>
      <c r="Z246" s="1403">
        <f/>
        <v/>
      </c>
      <c r="AA246" s="1403">
        <f/>
        <v/>
      </c>
      <c r="AB246" s="1400">
        <f t="array" ref="AB246">_xlfn.LET(_xlpm.S,_xlfn.ANCHORARRAY($Y$4),_xlpm.r,ROWS(stayCity[[#Headers],[city]]:stayCity[[#This Row],[city]])-1,IF(_xlpm.r&lt;=ROWS(_xlpm.S),INDEX(_xlpm.S,_xlpm.r,1),""))</f>
        <v/>
      </c>
      <c r="AC246" s="1405">
        <f t="array" ref="AC246">_xlfn.LET(_xlpm.S,_xlfn.ANCHORARRAY($Y$4),_xlpm.r,ROWS(stayCity[[#Headers],[city]]:stayCity[[#This Row],[city]])-1,IF(_xlpm.r&lt;=ROWS(_xlpm.S),INDEX(_xlpm.S,_xlpm.r,2),""))</f>
        <v/>
      </c>
      <c r="AD246" s="1405">
        <f t="array" ref="AD246">_xlfn.LET(_xlpm.S,_xlfn.ANCHORARRAY($Y$4),_xlpm.r,ROWS(stayCity[[#Headers],[city]]:stayCity[[#This Row],[city]])-1,IF(_xlpm.r&lt;=ROWS(_xlpm.S),INDEX(_xlpm.S,_xlpm.r,3),""))</f>
        <v/>
      </c>
      <c r="AE246" s="1400">
        <f>IF(stayCity[[#This Row],[out]]&lt;&gt;"",stayCity[[#This Row],[out]]-stayCity[[#This Row],[in]],"-")</f>
        <v/>
      </c>
      <c r="AF246" s="1406">
        <f>IF(Y246="","-",YEAR(stayCity[[#This Row],[in]]))</f>
        <v/>
      </c>
      <c r="AG246" s="1398" t="inlineStr">
        <is>
          <t>.</t>
        </is>
      </c>
      <c r="AH246" s="1402" t="n"/>
      <c r="AI246" s="1420" t="n"/>
      <c r="AJ246" s="1420" t="n"/>
      <c r="AK246" s="1400">
        <f>IF(AH246="","-",AH246)</f>
        <v/>
      </c>
      <c r="AL246" s="1405">
        <f>AI246</f>
        <v/>
      </c>
      <c r="AM246" s="1405">
        <f>AJ246</f>
        <v/>
      </c>
      <c r="AN246" s="1400">
        <f>stayCtry[[#This Row],[out]]-stayCtry[[#This Row],[in]]</f>
        <v/>
      </c>
      <c r="AO246" s="1406">
        <f>IF(AI246&lt;&gt;"",AO245+1,AO245)</f>
        <v/>
      </c>
      <c r="AP246" s="1398" t="inlineStr">
        <is>
          <t>.</t>
        </is>
      </c>
      <c r="AQ246" s="1402" t="n"/>
      <c r="AR246" s="1403" t="n"/>
      <c r="AS246" s="1403" t="n"/>
      <c r="AT246" s="1400">
        <f>AQ246</f>
        <v/>
      </c>
      <c r="AU246" s="1405">
        <f>AR246</f>
        <v/>
      </c>
      <c r="AV246" s="1405">
        <f>AS246</f>
        <v/>
      </c>
      <c r="AW246" s="1400">
        <f>stayCont[[#This Row],[out]]-stayCont[[#This Row],[in]]</f>
        <v/>
      </c>
      <c r="AX246" s="1406">
        <f>IF(AR246&lt;&gt;"",AX245+1,AX245)</f>
        <v/>
      </c>
      <c r="AY246" s="1398" t="inlineStr">
        <is>
          <t>.</t>
        </is>
      </c>
      <c r="AZ246" s="1402" t="n"/>
      <c r="BA246" s="1403" t="n"/>
      <c r="BB246" s="1403" t="n"/>
      <c r="BC246" s="1405">
        <f>AZ246</f>
        <v/>
      </c>
      <c r="BD246" s="1405">
        <f>BA246</f>
        <v/>
      </c>
      <c r="BE246" s="1405">
        <f>BB246</f>
        <v/>
      </c>
      <c r="BF246" s="1400">
        <f>stayWB[[#This Row],[out]]-stayWB[[#This Row],[in]]</f>
        <v/>
      </c>
      <c r="BG246" s="1400">
        <f>IF(BB246&lt;&gt;"",BG245+1,BG245)</f>
        <v/>
      </c>
      <c r="BH246" s="1398" t="inlineStr">
        <is>
          <t>.</t>
        </is>
      </c>
      <c r="BI246" s="1402" t="inlineStr">
        <is>
          <t>PRT</t>
        </is>
      </c>
      <c r="BJ246" s="1402" t="n">
        <v>2023</v>
      </c>
      <c r="BK246" s="1400">
        <f>BI246</f>
        <v/>
      </c>
      <c r="BL246" s="1409">
        <f>BJ246</f>
        <v/>
      </c>
      <c r="BM246" s="1378" t="inlineStr">
        <is>
          <t>.</t>
        </is>
      </c>
      <c r="BN246" s="1411" t="n"/>
      <c r="BO246" s="1400">
        <f>BN246</f>
        <v/>
      </c>
      <c r="BP246" s="1398" t="inlineStr">
        <is>
          <t>.</t>
        </is>
      </c>
      <c r="BQ246" s="1400">
        <f>IF(BR246&lt;&gt;"",BQ245+1,BQ245)</f>
        <v/>
      </c>
      <c r="BR246" s="1411" t="inlineStr">
        <is>
          <t>SP</t>
        </is>
      </c>
      <c r="BS246" s="1411" t="inlineStr">
        <is>
          <t>SSA</t>
        </is>
      </c>
      <c r="BT246" s="1412" t="inlineStr">
        <is>
          <t>SP-SSA</t>
        </is>
      </c>
      <c r="BU246" s="1412" t="n">
        <v>40677</v>
      </c>
      <c r="BV246" s="1398" t="inlineStr">
        <is>
          <t>.</t>
        </is>
      </c>
      <c r="BW246" s="1392" t="n"/>
      <c r="BX246" s="1392" t="n"/>
      <c r="BY246" s="1392" t="n"/>
      <c r="BZ246" s="1416" t="n"/>
      <c r="CA246" s="1392" t="n"/>
      <c r="CB246" s="1392" t="n"/>
      <c r="CC246" s="1392" t="n"/>
      <c r="CD246" s="1392" t="n"/>
      <c r="CE246" s="1392" t="n"/>
      <c r="CF246" s="1392" t="n"/>
      <c r="CG246" s="1392" t="n"/>
      <c r="CH246" s="1392" t="n"/>
      <c r="CI246" s="1392" t="n"/>
      <c r="CJ246" s="1392" t="n"/>
      <c r="CK246" s="1392" t="n"/>
      <c r="CL246" s="1392" t="n"/>
    </row>
    <row r="247">
      <c r="A247" s="5" t="inlineStr">
        <is>
          <t>.</t>
        </is>
      </c>
      <c r="B247" s="5" t="inlineStr">
        <is>
          <t>.</t>
        </is>
      </c>
      <c r="C247" s="1378">
        <f>IF(raw[[#This Row],[city]]="","-",IF(raw[[#This Row],[city]]="TODAY","-",C246+1))</f>
        <v/>
      </c>
      <c r="D247" s="1393" t="inlineStr">
        <is>
          <t>Lencois</t>
        </is>
      </c>
      <c r="E247" s="1394" t="n">
        <v>32964</v>
      </c>
      <c r="F247" s="1394" t="n">
        <v>32969</v>
      </c>
      <c r="G247" s="1393" t="n"/>
      <c r="H247" s="1393">
        <f>H246</f>
        <v/>
      </c>
      <c r="I247" s="1393" t="inlineStr">
        <is>
          <t>-</t>
        </is>
      </c>
      <c r="J247" s="1393" t="inlineStr">
        <is>
          <t>-</t>
        </is>
      </c>
      <c r="K247" s="1395">
        <f>IF(raw[[#This Row],[city]]&lt;&gt;"",_xlfn.XLOOKUP($D247,ccc[city],ccc[prov],"-"),"-")</f>
        <v/>
      </c>
      <c r="L247" s="1395">
        <f>IF(raw[[#This Row],[city]]&lt;&gt;"",_xlfn.XLOOKUP($D247,ccc[city],ccc[ctry],"-"),"-")</f>
        <v/>
      </c>
      <c r="M247" s="1395">
        <f>IF(raw[[#This Row],[city]]&lt;&gt;"",_xlfn.XLOOKUP($D247,ccc[city],ccc[cont],"-"),"-")</f>
        <v/>
      </c>
      <c r="N247" s="1396">
        <f>IF(raw[[#This Row],[city]]="","-",IF(raw[[#This Row],[cont]]="B",raw[[#This Row],[cont]],"W"))</f>
        <v/>
      </c>
      <c r="O247" s="1397">
        <f>IF(raw[[#This Row],[out]]=0,0,IF(raw[[#This Row],[out]]=raw[[#This Row],[in]],0.01,raw[[#This Row],[out]]-raw[[#This Row],[in]]))</f>
        <v/>
      </c>
      <c r="P247" s="1397">
        <f>IF(raw[[#This Row],[in]]=0,0,MONTH(raw[[#This Row],[in]]))</f>
        <v/>
      </c>
      <c r="Q247" s="1397">
        <f>IF(raw[[#This Row],[in]]=0,0,YEAR(raw[[#This Row],[in]]))</f>
        <v/>
      </c>
      <c r="R247" s="1397">
        <f>INT(raw[[#This Row],[yr]]/10)*10</f>
        <v/>
      </c>
      <c r="S247" s="1395">
        <f>IF(raw[[#This Row],[city]]="","-",IF(raw[[#This Row],[city]]&lt;&gt;_xlfn.XLOOKUP(raw[[#This Row],[home]],homes[home],homes[city],"-"),1,0))</f>
        <v/>
      </c>
      <c r="T247" s="1398" t="inlineStr">
        <is>
          <t>.</t>
        </is>
      </c>
      <c r="U247" s="1399">
        <f>IF(raw[[#This Row],[wb]]="w",raw[[#This Row],[stay]]+U246,U246)</f>
        <v/>
      </c>
      <c r="V247" s="1400">
        <f>IF(raw[[#This Row],[out]]=0,V246,(raw[[#This Row],[out]]-E$5))</f>
        <v/>
      </c>
      <c r="W247" s="1401">
        <f>U247/V247</f>
        <v/>
      </c>
      <c r="X247" s="1378" t="inlineStr">
        <is>
          <t>.</t>
        </is>
      </c>
      <c r="Y247" s="1402">
        <f/>
        <v/>
      </c>
      <c r="Z247" s="1403">
        <f/>
        <v/>
      </c>
      <c r="AA247" s="1403">
        <f/>
        <v/>
      </c>
      <c r="AB247" s="1400">
        <f t="array" ref="AB247">_xlfn.LET(_xlpm.S,_xlfn.ANCHORARRAY($Y$4),_xlpm.r,ROWS(stayCity[[#Headers],[city]]:stayCity[[#This Row],[city]])-1,IF(_xlpm.r&lt;=ROWS(_xlpm.S),INDEX(_xlpm.S,_xlpm.r,1),""))</f>
        <v/>
      </c>
      <c r="AC247" s="1405">
        <f t="array" ref="AC247">_xlfn.LET(_xlpm.S,_xlfn.ANCHORARRAY($Y$4),_xlpm.r,ROWS(stayCity[[#Headers],[city]]:stayCity[[#This Row],[city]])-1,IF(_xlpm.r&lt;=ROWS(_xlpm.S),INDEX(_xlpm.S,_xlpm.r,2),""))</f>
        <v/>
      </c>
      <c r="AD247" s="1405">
        <f t="array" ref="AD247">_xlfn.LET(_xlpm.S,_xlfn.ANCHORARRAY($Y$4),_xlpm.r,ROWS(stayCity[[#Headers],[city]]:stayCity[[#This Row],[city]])-1,IF(_xlpm.r&lt;=ROWS(_xlpm.S),INDEX(_xlpm.S,_xlpm.r,3),""))</f>
        <v/>
      </c>
      <c r="AE247" s="1400">
        <f>IF(stayCity[[#This Row],[out]]&lt;&gt;"",stayCity[[#This Row],[out]]-stayCity[[#This Row],[in]],"-")</f>
        <v/>
      </c>
      <c r="AF247" s="1406">
        <f>IF(Y247="","-",YEAR(stayCity[[#This Row],[in]]))</f>
        <v/>
      </c>
      <c r="AG247" s="1398" t="inlineStr">
        <is>
          <t>.</t>
        </is>
      </c>
      <c r="AH247" s="1402" t="n"/>
      <c r="AI247" s="1420" t="n"/>
      <c r="AJ247" s="1420" t="n"/>
      <c r="AK247" s="1400">
        <f>IF(AH247="","-",AH247)</f>
        <v/>
      </c>
      <c r="AL247" s="1405">
        <f>AI247</f>
        <v/>
      </c>
      <c r="AM247" s="1405">
        <f>AJ247</f>
        <v/>
      </c>
      <c r="AN247" s="1400">
        <f>stayCtry[[#This Row],[out]]-stayCtry[[#This Row],[in]]</f>
        <v/>
      </c>
      <c r="AO247" s="1406">
        <f>IF(AI247&lt;&gt;"",AO246+1,AO246)</f>
        <v/>
      </c>
      <c r="AP247" s="1398" t="inlineStr">
        <is>
          <t>.</t>
        </is>
      </c>
      <c r="AQ247" s="1402" t="n"/>
      <c r="AR247" s="1403" t="n"/>
      <c r="AS247" s="1403" t="n"/>
      <c r="AT247" s="1400">
        <f>AQ247</f>
        <v/>
      </c>
      <c r="AU247" s="1405">
        <f>AR247</f>
        <v/>
      </c>
      <c r="AV247" s="1405">
        <f>AS247</f>
        <v/>
      </c>
      <c r="AW247" s="1400">
        <f>stayCont[[#This Row],[out]]-stayCont[[#This Row],[in]]</f>
        <v/>
      </c>
      <c r="AX247" s="1406">
        <f>IF(AR247&lt;&gt;"",AX246+1,AX246)</f>
        <v/>
      </c>
      <c r="AY247" s="1398" t="inlineStr">
        <is>
          <t>.</t>
        </is>
      </c>
      <c r="AZ247" s="1402" t="n"/>
      <c r="BA247" s="1403" t="n"/>
      <c r="BB247" s="1403" t="n"/>
      <c r="BC247" s="1405">
        <f>AZ247</f>
        <v/>
      </c>
      <c r="BD247" s="1405">
        <f>BA247</f>
        <v/>
      </c>
      <c r="BE247" s="1405">
        <f>BB247</f>
        <v/>
      </c>
      <c r="BF247" s="1400">
        <f>stayWB[[#This Row],[out]]-stayWB[[#This Row],[in]]</f>
        <v/>
      </c>
      <c r="BG247" s="1400">
        <f>IF(BB247&lt;&gt;"",BG246+1,BG246)</f>
        <v/>
      </c>
      <c r="BH247" s="1398" t="inlineStr">
        <is>
          <t>.</t>
        </is>
      </c>
      <c r="BI247" s="1402" t="inlineStr">
        <is>
          <t>FRA</t>
        </is>
      </c>
      <c r="BJ247" s="1402" t="n">
        <v>2023</v>
      </c>
      <c r="BK247" s="1400">
        <f>BI247</f>
        <v/>
      </c>
      <c r="BL247" s="1409">
        <f>BJ247</f>
        <v/>
      </c>
      <c r="BM247" s="1378" t="inlineStr">
        <is>
          <t>.</t>
        </is>
      </c>
      <c r="BN247" s="1411" t="n"/>
      <c r="BO247" s="1400">
        <f>BN247</f>
        <v/>
      </c>
      <c r="BP247" s="1398" t="inlineStr">
        <is>
          <t>.</t>
        </is>
      </c>
      <c r="BQ247" s="1400">
        <f>IF(BR247&lt;&gt;"",BQ246+1,BQ246)</f>
        <v/>
      </c>
      <c r="BR247" s="1411" t="inlineStr">
        <is>
          <t>SSA</t>
        </is>
      </c>
      <c r="BS247" s="1411" t="inlineStr">
        <is>
          <t>SP</t>
        </is>
      </c>
      <c r="BT247" s="1412" t="inlineStr">
        <is>
          <t>SSA-SP</t>
        </is>
      </c>
      <c r="BU247" s="1412" t="n">
        <v>40688</v>
      </c>
      <c r="BV247" s="1398" t="inlineStr">
        <is>
          <t>.</t>
        </is>
      </c>
      <c r="BW247" s="1392" t="n"/>
      <c r="BX247" s="1392" t="n"/>
      <c r="BY247" s="1392" t="n"/>
      <c r="BZ247" s="1416" t="n"/>
      <c r="CA247" s="1392" t="n"/>
      <c r="CB247" s="1392" t="n"/>
      <c r="CC247" s="1392" t="n"/>
      <c r="CD247" s="1392" t="n"/>
      <c r="CE247" s="1392" t="n"/>
      <c r="CF247" s="1392" t="n"/>
      <c r="CG247" s="1392" t="n"/>
      <c r="CH247" s="1392" t="n"/>
      <c r="CI247" s="1392" t="n"/>
      <c r="CJ247" s="1392" t="n"/>
      <c r="CK247" s="1392" t="n"/>
      <c r="CL247" s="1392" t="n"/>
    </row>
    <row r="248">
      <c r="A248" s="5" t="inlineStr">
        <is>
          <t>.</t>
        </is>
      </c>
      <c r="B248" s="5" t="inlineStr">
        <is>
          <t>.</t>
        </is>
      </c>
      <c r="C248" s="1378">
        <f>IF(raw[[#This Row],[city]]="","-",IF(raw[[#This Row],[city]]="TODAY","-",C247+1))</f>
        <v/>
      </c>
      <c r="D248" s="1393" t="inlineStr">
        <is>
          <t>SSA</t>
        </is>
      </c>
      <c r="E248" s="1394" t="n">
        <v>32969</v>
      </c>
      <c r="F248" s="1394" t="n">
        <v>33239</v>
      </c>
      <c r="G248" s="1393" t="n"/>
      <c r="H248" s="1393">
        <f>H247</f>
        <v/>
      </c>
      <c r="I248" s="1393" t="inlineStr">
        <is>
          <t>-</t>
        </is>
      </c>
      <c r="J248" s="1393" t="inlineStr">
        <is>
          <t>-</t>
        </is>
      </c>
      <c r="K248" s="1395">
        <f>IF(raw[[#This Row],[city]]&lt;&gt;"",_xlfn.XLOOKUP($D248,ccc[city],ccc[prov],"-"),"-")</f>
        <v/>
      </c>
      <c r="L248" s="1395">
        <f>IF(raw[[#This Row],[city]]&lt;&gt;"",_xlfn.XLOOKUP($D248,ccc[city],ccc[ctry],"-"),"-")</f>
        <v/>
      </c>
      <c r="M248" s="1395">
        <f>IF(raw[[#This Row],[city]]&lt;&gt;"",_xlfn.XLOOKUP($D248,ccc[city],ccc[cont],"-"),"-")</f>
        <v/>
      </c>
      <c r="N248" s="1396">
        <f>IF(raw[[#This Row],[city]]="","-",IF(raw[[#This Row],[cont]]="B",raw[[#This Row],[cont]],"W"))</f>
        <v/>
      </c>
      <c r="O248" s="1397">
        <f>IF(raw[[#This Row],[out]]=0,0,IF(raw[[#This Row],[out]]=raw[[#This Row],[in]],0.01,raw[[#This Row],[out]]-raw[[#This Row],[in]]))</f>
        <v/>
      </c>
      <c r="P248" s="1397">
        <f>IF(raw[[#This Row],[in]]=0,0,MONTH(raw[[#This Row],[in]]))</f>
        <v/>
      </c>
      <c r="Q248" s="1397">
        <f>IF(raw[[#This Row],[in]]=0,0,YEAR(raw[[#This Row],[in]]))</f>
        <v/>
      </c>
      <c r="R248" s="1397">
        <f>INT(raw[[#This Row],[yr]]/10)*10</f>
        <v/>
      </c>
      <c r="S248" s="1395">
        <f>IF(raw[[#This Row],[city]]="","-",IF(raw[[#This Row],[city]]&lt;&gt;_xlfn.XLOOKUP(raw[[#This Row],[home]],homes[home],homes[city],"-"),1,0))</f>
        <v/>
      </c>
      <c r="T248" s="1398" t="inlineStr">
        <is>
          <t>.</t>
        </is>
      </c>
      <c r="U248" s="1399">
        <f>IF(raw[[#This Row],[wb]]="w",raw[[#This Row],[stay]]+U247,U247)</f>
        <v/>
      </c>
      <c r="V248" s="1400">
        <f>IF(raw[[#This Row],[out]]=0,V247,(raw[[#This Row],[out]]-E$5))</f>
        <v/>
      </c>
      <c r="W248" s="1401">
        <f>U248/V248</f>
        <v/>
      </c>
      <c r="X248" s="1378" t="inlineStr">
        <is>
          <t>.</t>
        </is>
      </c>
      <c r="Y248" s="1402">
        <f/>
        <v/>
      </c>
      <c r="Z248" s="1403">
        <f/>
        <v/>
      </c>
      <c r="AA248" s="1403">
        <f/>
        <v/>
      </c>
      <c r="AB248" s="1400">
        <f t="array" ref="AB248">_xlfn.LET(_xlpm.S,_xlfn.ANCHORARRAY($Y$4),_xlpm.r,ROWS(stayCity[[#Headers],[city]]:stayCity[[#This Row],[city]])-1,IF(_xlpm.r&lt;=ROWS(_xlpm.S),INDEX(_xlpm.S,_xlpm.r,1),""))</f>
        <v/>
      </c>
      <c r="AC248" s="1405">
        <f t="array" ref="AC248">_xlfn.LET(_xlpm.S,_xlfn.ANCHORARRAY($Y$4),_xlpm.r,ROWS(stayCity[[#Headers],[city]]:stayCity[[#This Row],[city]])-1,IF(_xlpm.r&lt;=ROWS(_xlpm.S),INDEX(_xlpm.S,_xlpm.r,2),""))</f>
        <v/>
      </c>
      <c r="AD248" s="1405">
        <f t="array" ref="AD248">_xlfn.LET(_xlpm.S,_xlfn.ANCHORARRAY($Y$4),_xlpm.r,ROWS(stayCity[[#Headers],[city]]:stayCity[[#This Row],[city]])-1,IF(_xlpm.r&lt;=ROWS(_xlpm.S),INDEX(_xlpm.S,_xlpm.r,3),""))</f>
        <v/>
      </c>
      <c r="AE248" s="1400">
        <f>IF(stayCity[[#This Row],[out]]&lt;&gt;"",stayCity[[#This Row],[out]]-stayCity[[#This Row],[in]],"-")</f>
        <v/>
      </c>
      <c r="AF248" s="1406">
        <f>IF(Y248="","-",YEAR(stayCity[[#This Row],[in]]))</f>
        <v/>
      </c>
      <c r="AG248" s="1398" t="inlineStr">
        <is>
          <t>.</t>
        </is>
      </c>
      <c r="AH248" s="1402" t="n"/>
      <c r="AI248" s="1420" t="n"/>
      <c r="AJ248" s="1420" t="n"/>
      <c r="AK248" s="1400">
        <f>IF(AH248="","-",AH248)</f>
        <v/>
      </c>
      <c r="AL248" s="1405">
        <f>AI248</f>
        <v/>
      </c>
      <c r="AM248" s="1405">
        <f>AJ248</f>
        <v/>
      </c>
      <c r="AN248" s="1400">
        <f>stayCtry[[#This Row],[out]]-stayCtry[[#This Row],[in]]</f>
        <v/>
      </c>
      <c r="AO248" s="1406">
        <f>IF(AI248&lt;&gt;"",AO247+1,AO247)</f>
        <v/>
      </c>
      <c r="AP248" s="1398" t="inlineStr">
        <is>
          <t>.</t>
        </is>
      </c>
      <c r="AQ248" s="1402" t="n"/>
      <c r="AR248" s="1403" t="n"/>
      <c r="AS248" s="1403" t="n"/>
      <c r="AT248" s="1400">
        <f>AQ248</f>
        <v/>
      </c>
      <c r="AU248" s="1405">
        <f>AR248</f>
        <v/>
      </c>
      <c r="AV248" s="1405">
        <f>AS248</f>
        <v/>
      </c>
      <c r="AW248" s="1400">
        <f>stayCont[[#This Row],[out]]-stayCont[[#This Row],[in]]</f>
        <v/>
      </c>
      <c r="AX248" s="1406">
        <f>IF(AR248&lt;&gt;"",AX247+1,AX247)</f>
        <v/>
      </c>
      <c r="AY248" s="1398" t="inlineStr">
        <is>
          <t>.</t>
        </is>
      </c>
      <c r="AZ248" s="1402" t="n"/>
      <c r="BA248" s="1403" t="n"/>
      <c r="BB248" s="1403" t="n"/>
      <c r="BC248" s="1405">
        <f>AZ248</f>
        <v/>
      </c>
      <c r="BD248" s="1405">
        <f>BA248</f>
        <v/>
      </c>
      <c r="BE248" s="1405">
        <f>BB248</f>
        <v/>
      </c>
      <c r="BF248" s="1400">
        <f>stayWB[[#This Row],[out]]-stayWB[[#This Row],[in]]</f>
        <v/>
      </c>
      <c r="BG248" s="1400">
        <f>IF(BB248&lt;&gt;"",BG247+1,BG247)</f>
        <v/>
      </c>
      <c r="BH248" s="1398" t="inlineStr">
        <is>
          <t>.</t>
        </is>
      </c>
      <c r="BI248" s="1402" t="inlineStr">
        <is>
          <t>UK</t>
        </is>
      </c>
      <c r="BJ248" s="1402" t="n">
        <v>2023</v>
      </c>
      <c r="BK248" s="1400">
        <f>BI248</f>
        <v/>
      </c>
      <c r="BL248" s="1409">
        <f>BJ248</f>
        <v/>
      </c>
      <c r="BM248" s="1378" t="inlineStr">
        <is>
          <t>.</t>
        </is>
      </c>
      <c r="BN248" s="1411" t="n"/>
      <c r="BO248" s="1400">
        <f>BN248</f>
        <v/>
      </c>
      <c r="BP248" s="1398" t="inlineStr">
        <is>
          <t>.</t>
        </is>
      </c>
      <c r="BQ248" s="1400">
        <f>IF(BR248&lt;&gt;"",BQ247+1,BQ247)</f>
        <v/>
      </c>
      <c r="BR248" s="1411" t="inlineStr">
        <is>
          <t>SP</t>
        </is>
      </c>
      <c r="BS248" s="1411" t="inlineStr">
        <is>
          <t>SSA</t>
        </is>
      </c>
      <c r="BT248" s="1412" t="inlineStr">
        <is>
          <t>SP-SSA</t>
        </is>
      </c>
      <c r="BU248" s="1412" t="n">
        <v>40692</v>
      </c>
      <c r="BV248" s="1398" t="inlineStr">
        <is>
          <t>.</t>
        </is>
      </c>
      <c r="BW248" s="1392" t="n"/>
      <c r="BX248" s="1392" t="n"/>
      <c r="BY248" s="1392" t="n"/>
      <c r="BZ248" s="1416" t="n"/>
      <c r="CA248" s="1392" t="n"/>
      <c r="CB248" s="1392" t="n"/>
      <c r="CC248" s="1392" t="n"/>
      <c r="CD248" s="1392" t="n"/>
      <c r="CE248" s="1392" t="n"/>
      <c r="CF248" s="1392" t="n"/>
      <c r="CG248" s="1392" t="n"/>
      <c r="CH248" s="1392" t="n"/>
      <c r="CI248" s="1392" t="n"/>
      <c r="CJ248" s="1392" t="n"/>
      <c r="CK248" s="1392" t="n"/>
      <c r="CL248" s="1392" t="n"/>
    </row>
    <row r="249">
      <c r="A249" s="5" t="inlineStr">
        <is>
          <t>.</t>
        </is>
      </c>
      <c r="B249" s="5" t="inlineStr">
        <is>
          <t>.</t>
        </is>
      </c>
      <c r="C249" s="1378">
        <f>IF(raw[[#This Row],[city]]="","-",IF(raw[[#This Row],[city]]="TODAY","-",C248+1))</f>
        <v/>
      </c>
      <c r="D249" s="1393" t="inlineStr">
        <is>
          <t>SSA</t>
        </is>
      </c>
      <c r="E249" s="1394" t="n">
        <v>33239</v>
      </c>
      <c r="F249" s="1394" t="n">
        <v>33587</v>
      </c>
      <c r="G249" s="1393" t="n">
        <v>1</v>
      </c>
      <c r="H249" s="1393">
        <f>H248</f>
        <v/>
      </c>
      <c r="I249" s="1393" t="inlineStr">
        <is>
          <t>-</t>
        </is>
      </c>
      <c r="J249" s="1393" t="inlineStr">
        <is>
          <t>REV</t>
        </is>
      </c>
      <c r="K249" s="1395">
        <f>IF(raw[[#This Row],[city]]&lt;&gt;"",_xlfn.XLOOKUP($D249,ccc[city],ccc[prov],"-"),"-")</f>
        <v/>
      </c>
      <c r="L249" s="1395">
        <f>IF(raw[[#This Row],[city]]&lt;&gt;"",_xlfn.XLOOKUP($D249,ccc[city],ccc[ctry],"-"),"-")</f>
        <v/>
      </c>
      <c r="M249" s="1395">
        <f>IF(raw[[#This Row],[city]]&lt;&gt;"",_xlfn.XLOOKUP($D249,ccc[city],ccc[cont],"-"),"-")</f>
        <v/>
      </c>
      <c r="N249" s="1396">
        <f>IF(raw[[#This Row],[city]]="","-",IF(raw[[#This Row],[cont]]="B",raw[[#This Row],[cont]],"W"))</f>
        <v/>
      </c>
      <c r="O249" s="1397">
        <f>IF(raw[[#This Row],[out]]=0,0,IF(raw[[#This Row],[out]]=raw[[#This Row],[in]],0.01,raw[[#This Row],[out]]-raw[[#This Row],[in]]))</f>
        <v/>
      </c>
      <c r="P249" s="1397">
        <f>IF(raw[[#This Row],[in]]=0,0,MONTH(raw[[#This Row],[in]]))</f>
        <v/>
      </c>
      <c r="Q249" s="1397">
        <f>IF(raw[[#This Row],[in]]=0,0,YEAR(raw[[#This Row],[in]]))</f>
        <v/>
      </c>
      <c r="R249" s="1397">
        <f>INT(raw[[#This Row],[yr]]/10)*10</f>
        <v/>
      </c>
      <c r="S249" s="1395">
        <f>IF(raw[[#This Row],[city]]="","-",IF(raw[[#This Row],[city]]&lt;&gt;_xlfn.XLOOKUP(raw[[#This Row],[home]],homes[home],homes[city],"-"),1,0))</f>
        <v/>
      </c>
      <c r="T249" s="1398" t="inlineStr">
        <is>
          <t>.</t>
        </is>
      </c>
      <c r="U249" s="1399">
        <f>IF(raw[[#This Row],[wb]]="w",raw[[#This Row],[stay]]+U248,U248)</f>
        <v/>
      </c>
      <c r="V249" s="1400">
        <f>IF(raw[[#This Row],[out]]=0,V248,(raw[[#This Row],[out]]-E$5))</f>
        <v/>
      </c>
      <c r="W249" s="1401">
        <f>U249/V249</f>
        <v/>
      </c>
      <c r="X249" s="1378" t="inlineStr">
        <is>
          <t>.</t>
        </is>
      </c>
      <c r="Y249" s="1402">
        <f/>
        <v/>
      </c>
      <c r="Z249" s="1403">
        <f/>
        <v/>
      </c>
      <c r="AA249" s="1403">
        <f/>
        <v/>
      </c>
      <c r="AB249" s="1400">
        <f t="array" ref="AB249">_xlfn.LET(_xlpm.S,_xlfn.ANCHORARRAY($Y$4),_xlpm.r,ROWS(stayCity[[#Headers],[city]]:stayCity[[#This Row],[city]])-1,IF(_xlpm.r&lt;=ROWS(_xlpm.S),INDEX(_xlpm.S,_xlpm.r,1),""))</f>
        <v/>
      </c>
      <c r="AC249" s="1405">
        <f t="array" ref="AC249">_xlfn.LET(_xlpm.S,_xlfn.ANCHORARRAY($Y$4),_xlpm.r,ROWS(stayCity[[#Headers],[city]]:stayCity[[#This Row],[city]])-1,IF(_xlpm.r&lt;=ROWS(_xlpm.S),INDEX(_xlpm.S,_xlpm.r,2),""))</f>
        <v/>
      </c>
      <c r="AD249" s="1405">
        <f t="array" ref="AD249">_xlfn.LET(_xlpm.S,_xlfn.ANCHORARRAY($Y$4),_xlpm.r,ROWS(stayCity[[#Headers],[city]]:stayCity[[#This Row],[city]])-1,IF(_xlpm.r&lt;=ROWS(_xlpm.S),INDEX(_xlpm.S,_xlpm.r,3),""))</f>
        <v/>
      </c>
      <c r="AE249" s="1400">
        <f>IF(stayCity[[#This Row],[out]]&lt;&gt;"",stayCity[[#This Row],[out]]-stayCity[[#This Row],[in]],"-")</f>
        <v/>
      </c>
      <c r="AF249" s="1406">
        <f>IF(Y249="","-",YEAR(stayCity[[#This Row],[in]]))</f>
        <v/>
      </c>
      <c r="AG249" s="1398" t="inlineStr">
        <is>
          <t>.</t>
        </is>
      </c>
      <c r="AH249" s="1402" t="n"/>
      <c r="AI249" s="1420" t="n"/>
      <c r="AJ249" s="1420" t="n"/>
      <c r="AK249" s="1400">
        <f>IF(AH249="","-",AH249)</f>
        <v/>
      </c>
      <c r="AL249" s="1405">
        <f>AI249</f>
        <v/>
      </c>
      <c r="AM249" s="1405">
        <f>AJ249</f>
        <v/>
      </c>
      <c r="AN249" s="1400">
        <f>stayCtry[[#This Row],[out]]-stayCtry[[#This Row],[in]]</f>
        <v/>
      </c>
      <c r="AO249" s="1406">
        <f>IF(AI249&lt;&gt;"",AO248+1,AO248)</f>
        <v/>
      </c>
      <c r="AP249" s="1398" t="inlineStr">
        <is>
          <t>.</t>
        </is>
      </c>
      <c r="AQ249" s="1402" t="n"/>
      <c r="AR249" s="1403" t="n"/>
      <c r="AS249" s="1403" t="n"/>
      <c r="AT249" s="1400">
        <f>AQ249</f>
        <v/>
      </c>
      <c r="AU249" s="1405">
        <f>AR249</f>
        <v/>
      </c>
      <c r="AV249" s="1405">
        <f>AS249</f>
        <v/>
      </c>
      <c r="AW249" s="1400">
        <f>stayCont[[#This Row],[out]]-stayCont[[#This Row],[in]]</f>
        <v/>
      </c>
      <c r="AX249" s="1406">
        <f>IF(AR249&lt;&gt;"",AX248+1,AX248)</f>
        <v/>
      </c>
      <c r="AY249" s="1398" t="inlineStr">
        <is>
          <t>.</t>
        </is>
      </c>
      <c r="AZ249" s="1402" t="n"/>
      <c r="BA249" s="1403" t="n"/>
      <c r="BB249" s="1403" t="n"/>
      <c r="BC249" s="1405">
        <f>AZ249</f>
        <v/>
      </c>
      <c r="BD249" s="1405">
        <f>BA249</f>
        <v/>
      </c>
      <c r="BE249" s="1405">
        <f>BB249</f>
        <v/>
      </c>
      <c r="BF249" s="1400">
        <f>stayWB[[#This Row],[out]]-stayWB[[#This Row],[in]]</f>
        <v/>
      </c>
      <c r="BG249" s="1400">
        <f>IF(BB249&lt;&gt;"",BG248+1,BG248)</f>
        <v/>
      </c>
      <c r="BH249" s="1398" t="inlineStr">
        <is>
          <t>.</t>
        </is>
      </c>
      <c r="BI249" s="1402" t="inlineStr">
        <is>
          <t>FRA</t>
        </is>
      </c>
      <c r="BJ249" s="1402" t="n">
        <v>2023</v>
      </c>
      <c r="BK249" s="1400">
        <f>BI249</f>
        <v/>
      </c>
      <c r="BL249" s="1409">
        <f>BJ249</f>
        <v/>
      </c>
      <c r="BM249" s="1378" t="inlineStr">
        <is>
          <t>.</t>
        </is>
      </c>
      <c r="BN249" s="1411" t="n"/>
      <c r="BO249" s="1400">
        <f>BN249</f>
        <v/>
      </c>
      <c r="BP249" s="1398" t="inlineStr">
        <is>
          <t>.</t>
        </is>
      </c>
      <c r="BQ249" s="1400">
        <f>IF(BR249&lt;&gt;"",BQ248+1,BQ248)</f>
        <v/>
      </c>
      <c r="BR249" s="1411" t="inlineStr">
        <is>
          <t>SSA</t>
        </is>
      </c>
      <c r="BS249" s="1411" t="inlineStr">
        <is>
          <t>BH</t>
        </is>
      </c>
      <c r="BT249" s="1412" t="inlineStr">
        <is>
          <t>SSA-BH</t>
        </is>
      </c>
      <c r="BU249" s="1412" t="n">
        <v>40699</v>
      </c>
      <c r="BV249" s="1398" t="inlineStr">
        <is>
          <t>.</t>
        </is>
      </c>
      <c r="BW249" s="1392" t="n"/>
      <c r="BX249" s="1392" t="n"/>
      <c r="BY249" s="1392" t="n"/>
      <c r="BZ249" s="1416" t="n"/>
      <c r="CA249" s="1392" t="n"/>
      <c r="CB249" s="1392" t="n"/>
      <c r="CC249" s="1392" t="n"/>
      <c r="CD249" s="1392" t="n"/>
      <c r="CE249" s="1392" t="n"/>
      <c r="CF249" s="1392" t="n"/>
      <c r="CG249" s="1392" t="n"/>
      <c r="CH249" s="1392" t="n"/>
      <c r="CI249" s="1392" t="n"/>
      <c r="CJ249" s="1392" t="n"/>
      <c r="CK249" s="1392" t="n"/>
      <c r="CL249" s="1392" t="n"/>
    </row>
    <row r="250">
      <c r="A250" s="5" t="inlineStr">
        <is>
          <t>.</t>
        </is>
      </c>
      <c r="B250" s="5" t="inlineStr">
        <is>
          <t>.</t>
        </is>
      </c>
      <c r="C250" s="1378">
        <f>IF(raw[[#This Row],[city]]="","-",IF(raw[[#This Row],[city]]="TODAY","-",C249+1))</f>
        <v/>
      </c>
      <c r="D250" s="1393" t="inlineStr">
        <is>
          <t>SP</t>
        </is>
      </c>
      <c r="E250" s="1394" t="n">
        <v>33587</v>
      </c>
      <c r="F250" s="1394" t="n">
        <v>33594</v>
      </c>
      <c r="G250" s="1393" t="n">
        <v>1</v>
      </c>
      <c r="H250" s="1393">
        <f>H249</f>
        <v/>
      </c>
      <c r="I250" s="1393" t="inlineStr">
        <is>
          <t>Anibal/Bela Vista</t>
        </is>
      </c>
      <c r="J250" s="1393" t="inlineStr">
        <is>
          <t>-</t>
        </is>
      </c>
      <c r="K250" s="1395">
        <f>IF(raw[[#This Row],[city]]&lt;&gt;"",_xlfn.XLOOKUP($D250,ccc[city],ccc[prov],"-"),"-")</f>
        <v/>
      </c>
      <c r="L250" s="1395">
        <f>IF(raw[[#This Row],[city]]&lt;&gt;"",_xlfn.XLOOKUP($D250,ccc[city],ccc[ctry],"-"),"-")</f>
        <v/>
      </c>
      <c r="M250" s="1395">
        <f>IF(raw[[#This Row],[city]]&lt;&gt;"",_xlfn.XLOOKUP($D250,ccc[city],ccc[cont],"-"),"-")</f>
        <v/>
      </c>
      <c r="N250" s="1396">
        <f>IF(raw[[#This Row],[city]]="","-",IF(raw[[#This Row],[cont]]="B",raw[[#This Row],[cont]],"W"))</f>
        <v/>
      </c>
      <c r="O250" s="1397">
        <f>IF(raw[[#This Row],[out]]=0,0,IF(raw[[#This Row],[out]]=raw[[#This Row],[in]],0.01,raw[[#This Row],[out]]-raw[[#This Row],[in]]))</f>
        <v/>
      </c>
      <c r="P250" s="1397">
        <f>IF(raw[[#This Row],[in]]=0,0,MONTH(raw[[#This Row],[in]]))</f>
        <v/>
      </c>
      <c r="Q250" s="1397">
        <f>IF(raw[[#This Row],[in]]=0,0,YEAR(raw[[#This Row],[in]]))</f>
        <v/>
      </c>
      <c r="R250" s="1397">
        <f>INT(raw[[#This Row],[yr]]/10)*10</f>
        <v/>
      </c>
      <c r="S250" s="1395">
        <f>IF(raw[[#This Row],[city]]="","-",IF(raw[[#This Row],[city]]&lt;&gt;_xlfn.XLOOKUP(raw[[#This Row],[home]],homes[home],homes[city],"-"),1,0))</f>
        <v/>
      </c>
      <c r="T250" s="1398" t="inlineStr">
        <is>
          <t>.</t>
        </is>
      </c>
      <c r="U250" s="1399">
        <f>IF(raw[[#This Row],[wb]]="w",raw[[#This Row],[stay]]+U249,U249)</f>
        <v/>
      </c>
      <c r="V250" s="1400">
        <f>IF(raw[[#This Row],[out]]=0,V249,(raw[[#This Row],[out]]-E$5))</f>
        <v/>
      </c>
      <c r="W250" s="1401">
        <f>U250/V250</f>
        <v/>
      </c>
      <c r="X250" s="1378" t="inlineStr">
        <is>
          <t>.</t>
        </is>
      </c>
      <c r="Y250" s="1402">
        <f/>
        <v/>
      </c>
      <c r="Z250" s="1403">
        <f/>
        <v/>
      </c>
      <c r="AA250" s="1403">
        <f/>
        <v/>
      </c>
      <c r="AB250" s="1400">
        <f t="array" ref="AB250">_xlfn.LET(_xlpm.S,_xlfn.ANCHORARRAY($Y$4),_xlpm.r,ROWS(stayCity[[#Headers],[city]]:stayCity[[#This Row],[city]])-1,IF(_xlpm.r&lt;=ROWS(_xlpm.S),INDEX(_xlpm.S,_xlpm.r,1),""))</f>
        <v/>
      </c>
      <c r="AC250" s="1405">
        <f t="array" ref="AC250">_xlfn.LET(_xlpm.S,_xlfn.ANCHORARRAY($Y$4),_xlpm.r,ROWS(stayCity[[#Headers],[city]]:stayCity[[#This Row],[city]])-1,IF(_xlpm.r&lt;=ROWS(_xlpm.S),INDEX(_xlpm.S,_xlpm.r,2),""))</f>
        <v/>
      </c>
      <c r="AD250" s="1405">
        <f t="array" ref="AD250">_xlfn.LET(_xlpm.S,_xlfn.ANCHORARRAY($Y$4),_xlpm.r,ROWS(stayCity[[#Headers],[city]]:stayCity[[#This Row],[city]])-1,IF(_xlpm.r&lt;=ROWS(_xlpm.S),INDEX(_xlpm.S,_xlpm.r,3),""))</f>
        <v/>
      </c>
      <c r="AE250" s="1400">
        <f>IF(stayCity[[#This Row],[out]]&lt;&gt;"",stayCity[[#This Row],[out]]-stayCity[[#This Row],[in]],"-")</f>
        <v/>
      </c>
      <c r="AF250" s="1406">
        <f>IF(Y250="","-",YEAR(stayCity[[#This Row],[in]]))</f>
        <v/>
      </c>
      <c r="AG250" s="1398" t="inlineStr">
        <is>
          <t>.</t>
        </is>
      </c>
      <c r="AH250" s="1402" t="n"/>
      <c r="AI250" s="1420" t="n"/>
      <c r="AJ250" s="1420" t="n"/>
      <c r="AK250" s="1400">
        <f>IF(AH250="","-",AH250)</f>
        <v/>
      </c>
      <c r="AL250" s="1405">
        <f>AI250</f>
        <v/>
      </c>
      <c r="AM250" s="1405">
        <f>AJ250</f>
        <v/>
      </c>
      <c r="AN250" s="1400">
        <f>stayCtry[[#This Row],[out]]-stayCtry[[#This Row],[in]]</f>
        <v/>
      </c>
      <c r="AO250" s="1406">
        <f>IF(AI250&lt;&gt;"",AO249+1,AO249)</f>
        <v/>
      </c>
      <c r="AP250" s="1398" t="inlineStr">
        <is>
          <t>.</t>
        </is>
      </c>
      <c r="AQ250" s="1402" t="n"/>
      <c r="AR250" s="1403" t="n"/>
      <c r="AS250" s="1403" t="n"/>
      <c r="AT250" s="1400">
        <f>AQ250</f>
        <v/>
      </c>
      <c r="AU250" s="1405">
        <f>AR250</f>
        <v/>
      </c>
      <c r="AV250" s="1405">
        <f>AS250</f>
        <v/>
      </c>
      <c r="AW250" s="1400">
        <f>stayCont[[#This Row],[out]]-stayCont[[#This Row],[in]]</f>
        <v/>
      </c>
      <c r="AX250" s="1406">
        <f>IF(AR250&lt;&gt;"",AX249+1,AX249)</f>
        <v/>
      </c>
      <c r="AY250" s="1398" t="inlineStr">
        <is>
          <t>.</t>
        </is>
      </c>
      <c r="AZ250" s="1402" t="n"/>
      <c r="BA250" s="1403" t="n"/>
      <c r="BB250" s="1403" t="n"/>
      <c r="BC250" s="1405">
        <f>AZ250</f>
        <v/>
      </c>
      <c r="BD250" s="1405">
        <f>BA250</f>
        <v/>
      </c>
      <c r="BE250" s="1405">
        <f>BB250</f>
        <v/>
      </c>
      <c r="BF250" s="1400">
        <f>stayWB[[#This Row],[out]]-stayWB[[#This Row],[in]]</f>
        <v/>
      </c>
      <c r="BG250" s="1400">
        <f>IF(BB250&lt;&gt;"",BG249+1,BG249)</f>
        <v/>
      </c>
      <c r="BH250" s="1398" t="inlineStr">
        <is>
          <t>.</t>
        </is>
      </c>
      <c r="BI250" s="1402" t="inlineStr">
        <is>
          <t>PRT</t>
        </is>
      </c>
      <c r="BJ250" s="1402" t="n">
        <v>2023</v>
      </c>
      <c r="BK250" s="1400">
        <f>BI250</f>
        <v/>
      </c>
      <c r="BL250" s="1409">
        <f>BJ250</f>
        <v/>
      </c>
      <c r="BM250" s="1378" t="inlineStr">
        <is>
          <t>.</t>
        </is>
      </c>
      <c r="BN250" s="1411" t="n"/>
      <c r="BO250" s="1400">
        <f>BN250</f>
        <v/>
      </c>
      <c r="BP250" s="1398" t="inlineStr">
        <is>
          <t>.</t>
        </is>
      </c>
      <c r="BQ250" s="1400">
        <f>IF(BR250&lt;&gt;"",BQ249+1,BQ249)</f>
        <v/>
      </c>
      <c r="BR250" s="1411" t="inlineStr">
        <is>
          <t>BH</t>
        </is>
      </c>
      <c r="BS250" s="1411" t="inlineStr">
        <is>
          <t>Miami</t>
        </is>
      </c>
      <c r="BT250" s="1412" t="inlineStr">
        <is>
          <t>BH-Miami</t>
        </is>
      </c>
      <c r="BU250" s="1412" t="n">
        <v>40699</v>
      </c>
      <c r="BV250" s="1398" t="inlineStr">
        <is>
          <t>.</t>
        </is>
      </c>
      <c r="BW250" s="1392" t="n"/>
      <c r="BX250" s="1392" t="n"/>
      <c r="BY250" s="1392" t="n"/>
      <c r="BZ250" s="1416" t="n"/>
      <c r="CA250" s="1392" t="n"/>
      <c r="CB250" s="1392" t="n"/>
      <c r="CC250" s="1392" t="n"/>
      <c r="CD250" s="1392" t="n"/>
      <c r="CE250" s="1392" t="n"/>
      <c r="CF250" s="1392" t="n"/>
      <c r="CG250" s="1392" t="n"/>
      <c r="CH250" s="1392" t="n"/>
      <c r="CI250" s="1392" t="n"/>
      <c r="CJ250" s="1392" t="n"/>
      <c r="CK250" s="1392" t="n"/>
      <c r="CL250" s="1392" t="n"/>
    </row>
    <row r="251">
      <c r="A251" s="5" t="inlineStr">
        <is>
          <t>.</t>
        </is>
      </c>
      <c r="B251" s="5" t="inlineStr">
        <is>
          <t>.</t>
        </is>
      </c>
      <c r="C251" s="1378">
        <f>IF(raw[[#This Row],[city]]="","-",IF(raw[[#This Row],[city]]="TODAY","-",C250+1))</f>
        <v/>
      </c>
      <c r="D251" s="1393" t="inlineStr">
        <is>
          <t>SSA</t>
        </is>
      </c>
      <c r="E251" s="1394" t="n">
        <v>33594</v>
      </c>
      <c r="F251" s="1394" t="n">
        <v>33604</v>
      </c>
      <c r="G251" s="1393" t="inlineStr">
        <is>
          <t>-</t>
        </is>
      </c>
      <c r="H251" s="1393">
        <f>H250</f>
        <v/>
      </c>
      <c r="I251" s="1393" t="n"/>
      <c r="J251" s="1393" t="inlineStr">
        <is>
          <t>-</t>
        </is>
      </c>
      <c r="K251" s="1395">
        <f>IF(raw[[#This Row],[city]]&lt;&gt;"",_xlfn.XLOOKUP($D251,ccc[city],ccc[prov],"-"),"-")</f>
        <v/>
      </c>
      <c r="L251" s="1395">
        <f>IF(raw[[#This Row],[city]]&lt;&gt;"",_xlfn.XLOOKUP($D251,ccc[city],ccc[ctry],"-"),"-")</f>
        <v/>
      </c>
      <c r="M251" s="1395">
        <f>IF(raw[[#This Row],[city]]&lt;&gt;"",_xlfn.XLOOKUP($D251,ccc[city],ccc[cont],"-"),"-")</f>
        <v/>
      </c>
      <c r="N251" s="1396">
        <f>IF(raw[[#This Row],[city]]="","-",IF(raw[[#This Row],[cont]]="B",raw[[#This Row],[cont]],"W"))</f>
        <v/>
      </c>
      <c r="O251" s="1397">
        <f>IF(raw[[#This Row],[out]]=0,0,IF(raw[[#This Row],[out]]=raw[[#This Row],[in]],0.01,raw[[#This Row],[out]]-raw[[#This Row],[in]]))</f>
        <v/>
      </c>
      <c r="P251" s="1397">
        <f>IF(raw[[#This Row],[in]]=0,0,MONTH(raw[[#This Row],[in]]))</f>
        <v/>
      </c>
      <c r="Q251" s="1397">
        <f>IF(raw[[#This Row],[in]]=0,0,YEAR(raw[[#This Row],[in]]))</f>
        <v/>
      </c>
      <c r="R251" s="1397">
        <f>INT(raw[[#This Row],[yr]]/10)*10</f>
        <v/>
      </c>
      <c r="S251" s="1395">
        <f>IF(raw[[#This Row],[city]]="","-",IF(raw[[#This Row],[city]]&lt;&gt;_xlfn.XLOOKUP(raw[[#This Row],[home]],homes[home],homes[city],"-"),1,0))</f>
        <v/>
      </c>
      <c r="T251" s="1398" t="inlineStr">
        <is>
          <t>.</t>
        </is>
      </c>
      <c r="U251" s="1399">
        <f>IF(raw[[#This Row],[wb]]="w",raw[[#This Row],[stay]]+U250,U250)</f>
        <v/>
      </c>
      <c r="V251" s="1400">
        <f>IF(raw[[#This Row],[out]]=0,V250,(raw[[#This Row],[out]]-E$5))</f>
        <v/>
      </c>
      <c r="W251" s="1401">
        <f>U251/V251</f>
        <v/>
      </c>
      <c r="X251" s="1378" t="inlineStr">
        <is>
          <t>.</t>
        </is>
      </c>
      <c r="Y251" s="1402">
        <f/>
        <v/>
      </c>
      <c r="Z251" s="1403">
        <f/>
        <v/>
      </c>
      <c r="AA251" s="1403">
        <f/>
        <v/>
      </c>
      <c r="AB251" s="1400">
        <f t="array" ref="AB251">_xlfn.LET(_xlpm.S,_xlfn.ANCHORARRAY($Y$4),_xlpm.r,ROWS(stayCity[[#Headers],[city]]:stayCity[[#This Row],[city]])-1,IF(_xlpm.r&lt;=ROWS(_xlpm.S),INDEX(_xlpm.S,_xlpm.r,1),""))</f>
        <v/>
      </c>
      <c r="AC251" s="1405">
        <f t="array" ref="AC251">_xlfn.LET(_xlpm.S,_xlfn.ANCHORARRAY($Y$4),_xlpm.r,ROWS(stayCity[[#Headers],[city]]:stayCity[[#This Row],[city]])-1,IF(_xlpm.r&lt;=ROWS(_xlpm.S),INDEX(_xlpm.S,_xlpm.r,2),""))</f>
        <v/>
      </c>
      <c r="AD251" s="1405">
        <f t="array" ref="AD251">_xlfn.LET(_xlpm.S,_xlfn.ANCHORARRAY($Y$4),_xlpm.r,ROWS(stayCity[[#Headers],[city]]:stayCity[[#This Row],[city]])-1,IF(_xlpm.r&lt;=ROWS(_xlpm.S),INDEX(_xlpm.S,_xlpm.r,3),""))</f>
        <v/>
      </c>
      <c r="AE251" s="1400">
        <f>IF(stayCity[[#This Row],[out]]&lt;&gt;"",stayCity[[#This Row],[out]]-stayCity[[#This Row],[in]],"-")</f>
        <v/>
      </c>
      <c r="AF251" s="1406">
        <f>IF(Y251="","-",YEAR(stayCity[[#This Row],[in]]))</f>
        <v/>
      </c>
      <c r="AG251" s="1398" t="inlineStr">
        <is>
          <t>.</t>
        </is>
      </c>
      <c r="AH251" s="1402" t="n"/>
      <c r="AI251" s="1420" t="n"/>
      <c r="AJ251" s="1420" t="n"/>
      <c r="AK251" s="1400">
        <f>IF(AH251="","-",AH251)</f>
        <v/>
      </c>
      <c r="AL251" s="1405">
        <f>AI251</f>
        <v/>
      </c>
      <c r="AM251" s="1405">
        <f>AJ251</f>
        <v/>
      </c>
      <c r="AN251" s="1400">
        <f>stayCtry[[#This Row],[out]]-stayCtry[[#This Row],[in]]</f>
        <v/>
      </c>
      <c r="AO251" s="1406">
        <f>IF(AI251&lt;&gt;"",AO250+1,AO250)</f>
        <v/>
      </c>
      <c r="AP251" s="1398" t="inlineStr">
        <is>
          <t>.</t>
        </is>
      </c>
      <c r="AQ251" s="1402" t="n"/>
      <c r="AR251" s="1403" t="n"/>
      <c r="AS251" s="1403" t="n"/>
      <c r="AT251" s="1400">
        <f>AQ251</f>
        <v/>
      </c>
      <c r="AU251" s="1405">
        <f>AR251</f>
        <v/>
      </c>
      <c r="AV251" s="1405">
        <f>AS251</f>
        <v/>
      </c>
      <c r="AW251" s="1400">
        <f>stayCont[[#This Row],[out]]-stayCont[[#This Row],[in]]</f>
        <v/>
      </c>
      <c r="AX251" s="1406">
        <f>IF(AR251&lt;&gt;"",AX250+1,AX250)</f>
        <v/>
      </c>
      <c r="AY251" s="1398" t="inlineStr">
        <is>
          <t>.</t>
        </is>
      </c>
      <c r="AZ251" s="1402" t="n"/>
      <c r="BA251" s="1403" t="n"/>
      <c r="BB251" s="1403" t="n"/>
      <c r="BC251" s="1405">
        <f>AZ251</f>
        <v/>
      </c>
      <c r="BD251" s="1405">
        <f>BA251</f>
        <v/>
      </c>
      <c r="BE251" s="1405">
        <f>BB251</f>
        <v/>
      </c>
      <c r="BF251" s="1400">
        <f>stayWB[[#This Row],[out]]-stayWB[[#This Row],[in]]</f>
        <v/>
      </c>
      <c r="BG251" s="1400">
        <f>IF(BB251&lt;&gt;"",BG250+1,BG250)</f>
        <v/>
      </c>
      <c r="BH251" s="1398" t="inlineStr">
        <is>
          <t>.</t>
        </is>
      </c>
      <c r="BI251" s="1402" t="inlineStr">
        <is>
          <t>BRA</t>
        </is>
      </c>
      <c r="BJ251" s="1402" t="n">
        <v>2023</v>
      </c>
      <c r="BK251" s="1400">
        <f>BI251</f>
        <v/>
      </c>
      <c r="BL251" s="1409">
        <f>BJ251</f>
        <v/>
      </c>
      <c r="BM251" s="1378" t="inlineStr">
        <is>
          <t>.</t>
        </is>
      </c>
      <c r="BN251" s="1411" t="n"/>
      <c r="BO251" s="1400">
        <f>BN251</f>
        <v/>
      </c>
      <c r="BP251" s="1398" t="inlineStr">
        <is>
          <t>.</t>
        </is>
      </c>
      <c r="BQ251" s="1400">
        <f>IF(BR251&lt;&gt;"",BQ250+1,BQ250)</f>
        <v/>
      </c>
      <c r="BR251" s="1411" t="inlineStr">
        <is>
          <t>Miami</t>
        </is>
      </c>
      <c r="BS251" s="1411" t="inlineStr">
        <is>
          <t>Montreal</t>
        </is>
      </c>
      <c r="BT251" s="1412" t="inlineStr">
        <is>
          <t>Miami-Montreal</t>
        </is>
      </c>
      <c r="BU251" s="1412" t="n">
        <v>40700</v>
      </c>
      <c r="BV251" s="1398" t="inlineStr">
        <is>
          <t>.</t>
        </is>
      </c>
      <c r="BW251" s="1392" t="n"/>
      <c r="BX251" s="1392" t="n"/>
      <c r="BY251" s="1392" t="n"/>
      <c r="BZ251" s="1416" t="n"/>
      <c r="CA251" s="1392" t="n"/>
      <c r="CB251" s="1392" t="n"/>
      <c r="CC251" s="1392" t="n"/>
      <c r="CD251" s="1392" t="n"/>
      <c r="CE251" s="1392" t="n"/>
      <c r="CF251" s="1392" t="n"/>
      <c r="CG251" s="1392" t="n"/>
      <c r="CH251" s="1392" t="n"/>
      <c r="CI251" s="1392" t="n"/>
      <c r="CJ251" s="1392" t="n"/>
      <c r="CK251" s="1392" t="n"/>
      <c r="CL251" s="1392" t="n"/>
    </row>
    <row r="252">
      <c r="A252" s="5" t="inlineStr">
        <is>
          <t>.</t>
        </is>
      </c>
      <c r="B252" s="5" t="inlineStr">
        <is>
          <t>.</t>
        </is>
      </c>
      <c r="C252" s="1378">
        <f>IF(raw[[#This Row],[city]]="","-",IF(raw[[#This Row],[city]]="TODAY","-",C251+1))</f>
        <v/>
      </c>
      <c r="D252" s="1393" t="inlineStr">
        <is>
          <t>SSA</t>
        </is>
      </c>
      <c r="E252" s="1394" t="n">
        <v>33604</v>
      </c>
      <c r="F252" s="1394" t="n">
        <v>33618</v>
      </c>
      <c r="G252" s="1393" t="n">
        <v>1</v>
      </c>
      <c r="H252" s="1393">
        <f>H251</f>
        <v/>
      </c>
      <c r="I252" s="1393" t="inlineStr">
        <is>
          <t>-</t>
        </is>
      </c>
      <c r="J252" s="1393" t="inlineStr">
        <is>
          <t>REV</t>
        </is>
      </c>
      <c r="K252" s="1395">
        <f>IF(raw[[#This Row],[city]]&lt;&gt;"",_xlfn.XLOOKUP($D252,ccc[city],ccc[prov],"-"),"-")</f>
        <v/>
      </c>
      <c r="L252" s="1395">
        <f>IF(raw[[#This Row],[city]]&lt;&gt;"",_xlfn.XLOOKUP($D252,ccc[city],ccc[ctry],"-"),"-")</f>
        <v/>
      </c>
      <c r="M252" s="1395">
        <f>IF(raw[[#This Row],[city]]&lt;&gt;"",_xlfn.XLOOKUP($D252,ccc[city],ccc[cont],"-"),"-")</f>
        <v/>
      </c>
      <c r="N252" s="1396">
        <f>IF(raw[[#This Row],[city]]="","-",IF(raw[[#This Row],[cont]]="B",raw[[#This Row],[cont]],"W"))</f>
        <v/>
      </c>
      <c r="O252" s="1397">
        <f>IF(raw[[#This Row],[out]]=0,0,IF(raw[[#This Row],[out]]=raw[[#This Row],[in]],0.01,raw[[#This Row],[out]]-raw[[#This Row],[in]]))</f>
        <v/>
      </c>
      <c r="P252" s="1397">
        <f>IF(raw[[#This Row],[in]]=0,0,MONTH(raw[[#This Row],[in]]))</f>
        <v/>
      </c>
      <c r="Q252" s="1397">
        <f>IF(raw[[#This Row],[in]]=0,0,YEAR(raw[[#This Row],[in]]))</f>
        <v/>
      </c>
      <c r="R252" s="1397">
        <f>INT(raw[[#This Row],[yr]]/10)*10</f>
        <v/>
      </c>
      <c r="S252" s="1395">
        <f>IF(raw[[#This Row],[city]]="","-",IF(raw[[#This Row],[city]]&lt;&gt;_xlfn.XLOOKUP(raw[[#This Row],[home]],homes[home],homes[city],"-"),1,0))</f>
        <v/>
      </c>
      <c r="T252" s="1398" t="inlineStr">
        <is>
          <t>.</t>
        </is>
      </c>
      <c r="U252" s="1399">
        <f>IF(raw[[#This Row],[wb]]="w",raw[[#This Row],[stay]]+U251,U251)</f>
        <v/>
      </c>
      <c r="V252" s="1400">
        <f>IF(raw[[#This Row],[out]]=0,V251,(raw[[#This Row],[out]]-E$5))</f>
        <v/>
      </c>
      <c r="W252" s="1401">
        <f>U252/V252</f>
        <v/>
      </c>
      <c r="X252" s="1378" t="inlineStr">
        <is>
          <t>.</t>
        </is>
      </c>
      <c r="Y252" s="1402">
        <f/>
        <v/>
      </c>
      <c r="Z252" s="1403">
        <f/>
        <v/>
      </c>
      <c r="AA252" s="1403">
        <f/>
        <v/>
      </c>
      <c r="AB252" s="1400">
        <f t="array" ref="AB252">_xlfn.LET(_xlpm.S,_xlfn.ANCHORARRAY($Y$4),_xlpm.r,ROWS(stayCity[[#Headers],[city]]:stayCity[[#This Row],[city]])-1,IF(_xlpm.r&lt;=ROWS(_xlpm.S),INDEX(_xlpm.S,_xlpm.r,1),""))</f>
        <v/>
      </c>
      <c r="AC252" s="1405">
        <f t="array" ref="AC252">_xlfn.LET(_xlpm.S,_xlfn.ANCHORARRAY($Y$4),_xlpm.r,ROWS(stayCity[[#Headers],[city]]:stayCity[[#This Row],[city]])-1,IF(_xlpm.r&lt;=ROWS(_xlpm.S),INDEX(_xlpm.S,_xlpm.r,2),""))</f>
        <v/>
      </c>
      <c r="AD252" s="1405">
        <f t="array" ref="AD252">_xlfn.LET(_xlpm.S,_xlfn.ANCHORARRAY($Y$4),_xlpm.r,ROWS(stayCity[[#Headers],[city]]:stayCity[[#This Row],[city]])-1,IF(_xlpm.r&lt;=ROWS(_xlpm.S),INDEX(_xlpm.S,_xlpm.r,3),""))</f>
        <v/>
      </c>
      <c r="AE252" s="1400">
        <f>IF(stayCity[[#This Row],[out]]&lt;&gt;"",stayCity[[#This Row],[out]]-stayCity[[#This Row],[in]],"-")</f>
        <v/>
      </c>
      <c r="AF252" s="1406">
        <f>IF(Y252="","-",YEAR(stayCity[[#This Row],[in]]))</f>
        <v/>
      </c>
      <c r="AG252" s="1398" t="inlineStr">
        <is>
          <t>.</t>
        </is>
      </c>
      <c r="AH252" s="1402" t="n"/>
      <c r="AI252" s="1420" t="n"/>
      <c r="AJ252" s="1420" t="n"/>
      <c r="AK252" s="1400">
        <f>IF(AH252="","-",AH252)</f>
        <v/>
      </c>
      <c r="AL252" s="1405">
        <f>AI252</f>
        <v/>
      </c>
      <c r="AM252" s="1405">
        <f>AJ252</f>
        <v/>
      </c>
      <c r="AN252" s="1400">
        <f>stayCtry[[#This Row],[out]]-stayCtry[[#This Row],[in]]</f>
        <v/>
      </c>
      <c r="AO252" s="1406">
        <f>IF(AI252&lt;&gt;"",AO251+1,AO251)</f>
        <v/>
      </c>
      <c r="AP252" s="1398" t="inlineStr">
        <is>
          <t>.</t>
        </is>
      </c>
      <c r="AQ252" s="1402" t="n"/>
      <c r="AR252" s="1403" t="n"/>
      <c r="AS252" s="1403" t="n"/>
      <c r="AT252" s="1400">
        <f>AQ252</f>
        <v/>
      </c>
      <c r="AU252" s="1405">
        <f>AR252</f>
        <v/>
      </c>
      <c r="AV252" s="1405">
        <f>AS252</f>
        <v/>
      </c>
      <c r="AW252" s="1400">
        <f>stayCont[[#This Row],[out]]-stayCont[[#This Row],[in]]</f>
        <v/>
      </c>
      <c r="AX252" s="1406">
        <f>IF(AR252&lt;&gt;"",AX251+1,AX251)</f>
        <v/>
      </c>
      <c r="AY252" s="1398" t="inlineStr">
        <is>
          <t>.</t>
        </is>
      </c>
      <c r="AZ252" s="1402" t="n"/>
      <c r="BA252" s="1403" t="n"/>
      <c r="BB252" s="1403" t="n"/>
      <c r="BC252" s="1405">
        <f>AZ252</f>
        <v/>
      </c>
      <c r="BD252" s="1405">
        <f>BA252</f>
        <v/>
      </c>
      <c r="BE252" s="1405">
        <f>BB252</f>
        <v/>
      </c>
      <c r="BF252" s="1400">
        <f>stayWB[[#This Row],[out]]-stayWB[[#This Row],[in]]</f>
        <v/>
      </c>
      <c r="BG252" s="1400">
        <f>IF(BB252&lt;&gt;"",BG251+1,BG251)</f>
        <v/>
      </c>
      <c r="BH252" s="1398" t="inlineStr">
        <is>
          <t>.</t>
        </is>
      </c>
      <c r="BI252" s="1402" t="inlineStr">
        <is>
          <t>USA</t>
        </is>
      </c>
      <c r="BJ252" s="1402" t="n">
        <v>2023</v>
      </c>
      <c r="BK252" s="1400">
        <f>BI252</f>
        <v/>
      </c>
      <c r="BL252" s="1409">
        <f>BJ252</f>
        <v/>
      </c>
      <c r="BM252" s="1378" t="inlineStr">
        <is>
          <t>.</t>
        </is>
      </c>
      <c r="BN252" s="1411" t="n"/>
      <c r="BO252" s="1400">
        <f>BN252</f>
        <v/>
      </c>
      <c r="BP252" s="1398" t="inlineStr">
        <is>
          <t>.</t>
        </is>
      </c>
      <c r="BQ252" s="1400">
        <f>IF(BR252&lt;&gt;"",BQ251+1,BQ251)</f>
        <v/>
      </c>
      <c r="BR252" s="1411" t="inlineStr">
        <is>
          <t>Montreal</t>
        </is>
      </c>
      <c r="BS252" s="1411" t="inlineStr">
        <is>
          <t>Orlando</t>
        </is>
      </c>
      <c r="BT252" s="1412" t="inlineStr">
        <is>
          <t>Montreal-Orlando</t>
        </is>
      </c>
      <c r="BU252" s="1412" t="n">
        <v>40954</v>
      </c>
      <c r="BV252" s="1398" t="inlineStr">
        <is>
          <t>.</t>
        </is>
      </c>
      <c r="BW252" s="1392" t="n"/>
      <c r="BX252" s="1392" t="n"/>
      <c r="BY252" s="1392" t="n"/>
      <c r="BZ252" s="1416" t="n"/>
      <c r="CA252" s="1392" t="n"/>
      <c r="CB252" s="1392" t="n"/>
      <c r="CC252" s="1392" t="n"/>
      <c r="CD252" s="1392" t="n"/>
      <c r="CE252" s="1392" t="n"/>
      <c r="CF252" s="1392" t="n"/>
      <c r="CG252" s="1392" t="n"/>
      <c r="CH252" s="1392" t="n"/>
      <c r="CI252" s="1392" t="n"/>
      <c r="CJ252" s="1392" t="n"/>
      <c r="CK252" s="1392" t="n"/>
      <c r="CL252" s="1392" t="n"/>
    </row>
    <row r="253">
      <c r="A253" s="5" t="inlineStr">
        <is>
          <t>.</t>
        </is>
      </c>
      <c r="B253" s="5" t="inlineStr">
        <is>
          <t>.</t>
        </is>
      </c>
      <c r="C253" s="1378">
        <f>IF(raw[[#This Row],[city]]="","-",IF(raw[[#This Row],[city]]="TODAY","-",C252+1))</f>
        <v/>
      </c>
      <c r="D253" s="1393" t="inlineStr">
        <is>
          <t>SP</t>
        </is>
      </c>
      <c r="E253" s="1394" t="n">
        <v>33618</v>
      </c>
      <c r="F253" s="1394" t="n">
        <v>33625</v>
      </c>
      <c r="G253" s="1393" t="n">
        <v>1</v>
      </c>
      <c r="H253" s="1393">
        <f>H252</f>
        <v/>
      </c>
      <c r="I253" s="1393" t="inlineStr">
        <is>
          <t>Anibal/Vila Mariana</t>
        </is>
      </c>
      <c r="J253" s="1393" t="inlineStr">
        <is>
          <t>-</t>
        </is>
      </c>
      <c r="K253" s="1395">
        <f>IF(raw[[#This Row],[city]]&lt;&gt;"",_xlfn.XLOOKUP($D253,ccc[city],ccc[prov],"-"),"-")</f>
        <v/>
      </c>
      <c r="L253" s="1395">
        <f>IF(raw[[#This Row],[city]]&lt;&gt;"",_xlfn.XLOOKUP($D253,ccc[city],ccc[ctry],"-"),"-")</f>
        <v/>
      </c>
      <c r="M253" s="1395">
        <f>IF(raw[[#This Row],[city]]&lt;&gt;"",_xlfn.XLOOKUP($D253,ccc[city],ccc[cont],"-"),"-")</f>
        <v/>
      </c>
      <c r="N253" s="1396">
        <f>IF(raw[[#This Row],[city]]="","-",IF(raw[[#This Row],[cont]]="B",raw[[#This Row],[cont]],"W"))</f>
        <v/>
      </c>
      <c r="O253" s="1397">
        <f>IF(raw[[#This Row],[out]]=0,0,IF(raw[[#This Row],[out]]=raw[[#This Row],[in]],0.01,raw[[#This Row],[out]]-raw[[#This Row],[in]]))</f>
        <v/>
      </c>
      <c r="P253" s="1397">
        <f>IF(raw[[#This Row],[in]]=0,0,MONTH(raw[[#This Row],[in]]))</f>
        <v/>
      </c>
      <c r="Q253" s="1397">
        <f>IF(raw[[#This Row],[in]]=0,0,YEAR(raw[[#This Row],[in]]))</f>
        <v/>
      </c>
      <c r="R253" s="1397">
        <f>INT(raw[[#This Row],[yr]]/10)*10</f>
        <v/>
      </c>
      <c r="S253" s="1395">
        <f>IF(raw[[#This Row],[city]]="","-",IF(raw[[#This Row],[city]]&lt;&gt;_xlfn.XLOOKUP(raw[[#This Row],[home]],homes[home],homes[city],"-"),1,0))</f>
        <v/>
      </c>
      <c r="T253" s="1398" t="inlineStr">
        <is>
          <t>.</t>
        </is>
      </c>
      <c r="U253" s="1399">
        <f>IF(raw[[#This Row],[wb]]="w",raw[[#This Row],[stay]]+U252,U252)</f>
        <v/>
      </c>
      <c r="V253" s="1400">
        <f>IF(raw[[#This Row],[out]]=0,V252,(raw[[#This Row],[out]]-E$5))</f>
        <v/>
      </c>
      <c r="W253" s="1401">
        <f>U253/V253</f>
        <v/>
      </c>
      <c r="X253" s="1378" t="inlineStr">
        <is>
          <t>.</t>
        </is>
      </c>
      <c r="Y253" s="1402">
        <f/>
        <v/>
      </c>
      <c r="Z253" s="1403">
        <f/>
        <v/>
      </c>
      <c r="AA253" s="1403">
        <f/>
        <v/>
      </c>
      <c r="AB253" s="1400">
        <f t="array" ref="AB253">_xlfn.LET(_xlpm.S,_xlfn.ANCHORARRAY($Y$4),_xlpm.r,ROWS(stayCity[[#Headers],[city]]:stayCity[[#This Row],[city]])-1,IF(_xlpm.r&lt;=ROWS(_xlpm.S),INDEX(_xlpm.S,_xlpm.r,1),""))</f>
        <v/>
      </c>
      <c r="AC253" s="1405">
        <f t="array" ref="AC253">_xlfn.LET(_xlpm.S,_xlfn.ANCHORARRAY($Y$4),_xlpm.r,ROWS(stayCity[[#Headers],[city]]:stayCity[[#This Row],[city]])-1,IF(_xlpm.r&lt;=ROWS(_xlpm.S),INDEX(_xlpm.S,_xlpm.r,2),""))</f>
        <v/>
      </c>
      <c r="AD253" s="1405">
        <f t="array" ref="AD253">_xlfn.LET(_xlpm.S,_xlfn.ANCHORARRAY($Y$4),_xlpm.r,ROWS(stayCity[[#Headers],[city]]:stayCity[[#This Row],[city]])-1,IF(_xlpm.r&lt;=ROWS(_xlpm.S),INDEX(_xlpm.S,_xlpm.r,3),""))</f>
        <v/>
      </c>
      <c r="AE253" s="1400">
        <f>IF(stayCity[[#This Row],[out]]&lt;&gt;"",stayCity[[#This Row],[out]]-stayCity[[#This Row],[in]],"-")</f>
        <v/>
      </c>
      <c r="AF253" s="1406">
        <f>IF(Y253="","-",YEAR(stayCity[[#This Row],[in]]))</f>
        <v/>
      </c>
      <c r="AG253" s="1398" t="inlineStr">
        <is>
          <t>.</t>
        </is>
      </c>
      <c r="AH253" s="1402" t="n"/>
      <c r="AI253" s="1420" t="n"/>
      <c r="AJ253" s="1420" t="n"/>
      <c r="AK253" s="1400">
        <f>IF(AH253="","-",AH253)</f>
        <v/>
      </c>
      <c r="AL253" s="1405">
        <f>AI253</f>
        <v/>
      </c>
      <c r="AM253" s="1405">
        <f>AJ253</f>
        <v/>
      </c>
      <c r="AN253" s="1400">
        <f>stayCtry[[#This Row],[out]]-stayCtry[[#This Row],[in]]</f>
        <v/>
      </c>
      <c r="AO253" s="1406">
        <f>IF(AI253&lt;&gt;"",AO252+1,AO252)</f>
        <v/>
      </c>
      <c r="AP253" s="1398" t="inlineStr">
        <is>
          <t>.</t>
        </is>
      </c>
      <c r="AQ253" s="1402" t="n"/>
      <c r="AR253" s="1403" t="n"/>
      <c r="AS253" s="1403" t="n"/>
      <c r="AT253" s="1400">
        <f>AQ253</f>
        <v/>
      </c>
      <c r="AU253" s="1405">
        <f>AR253</f>
        <v/>
      </c>
      <c r="AV253" s="1405">
        <f>AS253</f>
        <v/>
      </c>
      <c r="AW253" s="1400">
        <f>stayCont[[#This Row],[out]]-stayCont[[#This Row],[in]]</f>
        <v/>
      </c>
      <c r="AX253" s="1406">
        <f>IF(AR253&lt;&gt;"",AX252+1,AX252)</f>
        <v/>
      </c>
      <c r="AY253" s="1398" t="inlineStr">
        <is>
          <t>.</t>
        </is>
      </c>
      <c r="AZ253" s="1402" t="n"/>
      <c r="BA253" s="1403" t="n"/>
      <c r="BB253" s="1403" t="n"/>
      <c r="BC253" s="1405">
        <f>AZ253</f>
        <v/>
      </c>
      <c r="BD253" s="1405">
        <f>BA253</f>
        <v/>
      </c>
      <c r="BE253" s="1405">
        <f>BB253</f>
        <v/>
      </c>
      <c r="BF253" s="1400">
        <f>stayWB[[#This Row],[out]]-stayWB[[#This Row],[in]]</f>
        <v/>
      </c>
      <c r="BG253" s="1400">
        <f>IF(BB253&lt;&gt;"",BG252+1,BG252)</f>
        <v/>
      </c>
      <c r="BH253" s="1398" t="inlineStr">
        <is>
          <t>.</t>
        </is>
      </c>
      <c r="BI253" s="1402" t="inlineStr">
        <is>
          <t>CAN</t>
        </is>
      </c>
      <c r="BJ253" s="1402" t="n">
        <v>2023</v>
      </c>
      <c r="BK253" s="1400">
        <f>BI253</f>
        <v/>
      </c>
      <c r="BL253" s="1409">
        <f>BJ253</f>
        <v/>
      </c>
      <c r="BM253" s="1378" t="inlineStr">
        <is>
          <t>.</t>
        </is>
      </c>
      <c r="BN253" s="1411" t="n"/>
      <c r="BO253" s="1400">
        <f>BN253</f>
        <v/>
      </c>
      <c r="BP253" s="1398" t="inlineStr">
        <is>
          <t>.</t>
        </is>
      </c>
      <c r="BQ253" s="1400">
        <f>IF(BR253&lt;&gt;"",BQ252+1,BQ252)</f>
        <v/>
      </c>
      <c r="BR253" s="1411" t="inlineStr">
        <is>
          <t>Orlando</t>
        </is>
      </c>
      <c r="BS253" s="1411" t="inlineStr">
        <is>
          <t>Montreal</t>
        </is>
      </c>
      <c r="BT253" s="1412" t="inlineStr">
        <is>
          <t>Orlando-Montreal</t>
        </is>
      </c>
      <c r="BU253" s="1412" t="n">
        <v>40964</v>
      </c>
      <c r="BV253" s="1398" t="inlineStr">
        <is>
          <t>.</t>
        </is>
      </c>
      <c r="BW253" s="1392" t="n"/>
      <c r="BX253" s="1392" t="n"/>
      <c r="BY253" s="1392" t="n"/>
      <c r="BZ253" s="1416" t="n"/>
      <c r="CA253" s="1392" t="n"/>
      <c r="CB253" s="1392" t="n"/>
      <c r="CC253" s="1392" t="n"/>
      <c r="CD253" s="1392" t="n"/>
      <c r="CE253" s="1392" t="n"/>
      <c r="CF253" s="1392" t="n"/>
      <c r="CG253" s="1392" t="n"/>
      <c r="CH253" s="1392" t="n"/>
      <c r="CI253" s="1392" t="n"/>
      <c r="CJ253" s="1392" t="n"/>
      <c r="CK253" s="1392" t="n"/>
      <c r="CL253" s="1392" t="n"/>
    </row>
    <row r="254">
      <c r="A254" s="5" t="inlineStr">
        <is>
          <t>.</t>
        </is>
      </c>
      <c r="B254" s="5" t="inlineStr">
        <is>
          <t>.</t>
        </is>
      </c>
      <c r="C254" s="1378">
        <f>IF(raw[[#This Row],[city]]="","-",IF(raw[[#This Row],[city]]="TODAY","-",C253+1))</f>
        <v/>
      </c>
      <c r="D254" s="1393" t="inlineStr">
        <is>
          <t>SSA</t>
        </is>
      </c>
      <c r="E254" s="1394" t="n">
        <v>33625</v>
      </c>
      <c r="F254" s="1394" t="n">
        <v>33635</v>
      </c>
      <c r="G254" s="1393" t="inlineStr">
        <is>
          <t>-</t>
        </is>
      </c>
      <c r="H254" s="1393">
        <f>H253</f>
        <v/>
      </c>
      <c r="I254" s="1393" t="n"/>
      <c r="J254" s="1393" t="inlineStr">
        <is>
          <t>-</t>
        </is>
      </c>
      <c r="K254" s="1395">
        <f>IF(raw[[#This Row],[city]]&lt;&gt;"",_xlfn.XLOOKUP($D254,ccc[city],ccc[prov],"-"),"-")</f>
        <v/>
      </c>
      <c r="L254" s="1395">
        <f>IF(raw[[#This Row],[city]]&lt;&gt;"",_xlfn.XLOOKUP($D254,ccc[city],ccc[ctry],"-"),"-")</f>
        <v/>
      </c>
      <c r="M254" s="1395">
        <f>IF(raw[[#This Row],[city]]&lt;&gt;"",_xlfn.XLOOKUP($D254,ccc[city],ccc[cont],"-"),"-")</f>
        <v/>
      </c>
      <c r="N254" s="1396">
        <f>IF(raw[[#This Row],[city]]="","-",IF(raw[[#This Row],[cont]]="B",raw[[#This Row],[cont]],"W"))</f>
        <v/>
      </c>
      <c r="O254" s="1397">
        <f>IF(raw[[#This Row],[out]]=0,0,IF(raw[[#This Row],[out]]=raw[[#This Row],[in]],0.01,raw[[#This Row],[out]]-raw[[#This Row],[in]]))</f>
        <v/>
      </c>
      <c r="P254" s="1397">
        <f>IF(raw[[#This Row],[in]]=0,0,MONTH(raw[[#This Row],[in]]))</f>
        <v/>
      </c>
      <c r="Q254" s="1397">
        <f>IF(raw[[#This Row],[in]]=0,0,YEAR(raw[[#This Row],[in]]))</f>
        <v/>
      </c>
      <c r="R254" s="1397">
        <f>INT(raw[[#This Row],[yr]]/10)*10</f>
        <v/>
      </c>
      <c r="S254" s="1395">
        <f>IF(raw[[#This Row],[city]]="","-",IF(raw[[#This Row],[city]]&lt;&gt;_xlfn.XLOOKUP(raw[[#This Row],[home]],homes[home],homes[city],"-"),1,0))</f>
        <v/>
      </c>
      <c r="T254" s="1398" t="inlineStr">
        <is>
          <t>.</t>
        </is>
      </c>
      <c r="U254" s="1399">
        <f>IF(raw[[#This Row],[wb]]="w",raw[[#This Row],[stay]]+U253,U253)</f>
        <v/>
      </c>
      <c r="V254" s="1400">
        <f>IF(raw[[#This Row],[out]]=0,V253,(raw[[#This Row],[out]]-E$5))</f>
        <v/>
      </c>
      <c r="W254" s="1401">
        <f>U254/V254</f>
        <v/>
      </c>
      <c r="X254" s="1378" t="inlineStr">
        <is>
          <t>.</t>
        </is>
      </c>
      <c r="Y254" s="1402">
        <f/>
        <v/>
      </c>
      <c r="Z254" s="1403">
        <f/>
        <v/>
      </c>
      <c r="AA254" s="1403">
        <f/>
        <v/>
      </c>
      <c r="AB254" s="1400">
        <f t="array" ref="AB254">_xlfn.LET(_xlpm.S,_xlfn.ANCHORARRAY($Y$4),_xlpm.r,ROWS(stayCity[[#Headers],[city]]:stayCity[[#This Row],[city]])-1,IF(_xlpm.r&lt;=ROWS(_xlpm.S),INDEX(_xlpm.S,_xlpm.r,1),""))</f>
        <v/>
      </c>
      <c r="AC254" s="1405">
        <f t="array" ref="AC254">_xlfn.LET(_xlpm.S,_xlfn.ANCHORARRAY($Y$4),_xlpm.r,ROWS(stayCity[[#Headers],[city]]:stayCity[[#This Row],[city]])-1,IF(_xlpm.r&lt;=ROWS(_xlpm.S),INDEX(_xlpm.S,_xlpm.r,2),""))</f>
        <v/>
      </c>
      <c r="AD254" s="1405">
        <f t="array" ref="AD254">_xlfn.LET(_xlpm.S,_xlfn.ANCHORARRAY($Y$4),_xlpm.r,ROWS(stayCity[[#Headers],[city]]:stayCity[[#This Row],[city]])-1,IF(_xlpm.r&lt;=ROWS(_xlpm.S),INDEX(_xlpm.S,_xlpm.r,3),""))</f>
        <v/>
      </c>
      <c r="AE254" s="1400">
        <f>IF(stayCity[[#This Row],[out]]&lt;&gt;"",stayCity[[#This Row],[out]]-stayCity[[#This Row],[in]],"-")</f>
        <v/>
      </c>
      <c r="AF254" s="1406">
        <f>IF(Y254="","-",YEAR(stayCity[[#This Row],[in]]))</f>
        <v/>
      </c>
      <c r="AG254" s="1398" t="inlineStr">
        <is>
          <t>.</t>
        </is>
      </c>
      <c r="AH254" s="1402" t="n"/>
      <c r="AI254" s="1420" t="n"/>
      <c r="AJ254" s="1420" t="n"/>
      <c r="AK254" s="1400">
        <f>IF(AH254="","-",AH254)</f>
        <v/>
      </c>
      <c r="AL254" s="1405">
        <f>AI254</f>
        <v/>
      </c>
      <c r="AM254" s="1405">
        <f>AJ254</f>
        <v/>
      </c>
      <c r="AN254" s="1400">
        <f>stayCtry[[#This Row],[out]]-stayCtry[[#This Row],[in]]</f>
        <v/>
      </c>
      <c r="AO254" s="1406">
        <f>IF(AI254&lt;&gt;"",AO253+1,AO253)</f>
        <v/>
      </c>
      <c r="AP254" s="1398" t="inlineStr">
        <is>
          <t>.</t>
        </is>
      </c>
      <c r="AQ254" s="1402" t="n"/>
      <c r="AR254" s="1403" t="n"/>
      <c r="AS254" s="1403" t="n"/>
      <c r="AT254" s="1400">
        <f>AQ254</f>
        <v/>
      </c>
      <c r="AU254" s="1405">
        <f>AR254</f>
        <v/>
      </c>
      <c r="AV254" s="1405">
        <f>AS254</f>
        <v/>
      </c>
      <c r="AW254" s="1400">
        <f>stayCont[[#This Row],[out]]-stayCont[[#This Row],[in]]</f>
        <v/>
      </c>
      <c r="AX254" s="1406">
        <f>IF(AR254&lt;&gt;"",AX253+1,AX253)</f>
        <v/>
      </c>
      <c r="AY254" s="1398" t="inlineStr">
        <is>
          <t>.</t>
        </is>
      </c>
      <c r="AZ254" s="1402" t="n"/>
      <c r="BA254" s="1403" t="n"/>
      <c r="BB254" s="1403" t="n"/>
      <c r="BC254" s="1405">
        <f>AZ254</f>
        <v/>
      </c>
      <c r="BD254" s="1405">
        <f>BA254</f>
        <v/>
      </c>
      <c r="BE254" s="1405">
        <f>BB254</f>
        <v/>
      </c>
      <c r="BF254" s="1400">
        <f>stayWB[[#This Row],[out]]-stayWB[[#This Row],[in]]</f>
        <v/>
      </c>
      <c r="BG254" s="1400">
        <f>IF(BB254&lt;&gt;"",BG253+1,BG253)</f>
        <v/>
      </c>
      <c r="BH254" s="1398" t="inlineStr">
        <is>
          <t>.</t>
        </is>
      </c>
      <c r="BI254" s="1402" t="inlineStr">
        <is>
          <t>USA</t>
        </is>
      </c>
      <c r="BJ254" s="1402" t="n">
        <v>2024</v>
      </c>
      <c r="BK254" s="1400">
        <f>BI254</f>
        <v/>
      </c>
      <c r="BL254" s="1409">
        <f>BJ254</f>
        <v/>
      </c>
      <c r="BM254" s="1378" t="inlineStr">
        <is>
          <t>.</t>
        </is>
      </c>
      <c r="BN254" s="1411" t="n"/>
      <c r="BO254" s="1400">
        <f>BN254</f>
        <v/>
      </c>
      <c r="BP254" s="1398" t="inlineStr">
        <is>
          <t>.</t>
        </is>
      </c>
      <c r="BQ254" s="1400">
        <f>IF(BR254&lt;&gt;"",BQ253+1,BQ253)</f>
        <v/>
      </c>
      <c r="BR254" s="1411" t="inlineStr">
        <is>
          <t>Montreal</t>
        </is>
      </c>
      <c r="BS254" s="1411" t="inlineStr">
        <is>
          <t>Detroit</t>
        </is>
      </c>
      <c r="BT254" s="1412" t="inlineStr">
        <is>
          <t>Montreal-Detroit</t>
        </is>
      </c>
      <c r="BU254" s="1412" t="n">
        <v>41178</v>
      </c>
      <c r="BV254" s="1398" t="inlineStr">
        <is>
          <t>.</t>
        </is>
      </c>
      <c r="BW254" s="1392" t="n"/>
      <c r="BX254" s="1392" t="n"/>
      <c r="BY254" s="1392" t="n"/>
      <c r="BZ254" s="1416" t="n"/>
      <c r="CA254" s="1392" t="n"/>
      <c r="CB254" s="1392" t="n"/>
      <c r="CC254" s="1392" t="n"/>
      <c r="CD254" s="1392" t="n"/>
      <c r="CE254" s="1392" t="n"/>
      <c r="CF254" s="1392" t="n"/>
      <c r="CG254" s="1392" t="n"/>
      <c r="CH254" s="1392" t="n"/>
      <c r="CI254" s="1392" t="n"/>
      <c r="CJ254" s="1392" t="n"/>
      <c r="CK254" s="1392" t="n"/>
      <c r="CL254" s="1392" t="n"/>
    </row>
    <row r="255">
      <c r="A255" s="5" t="inlineStr">
        <is>
          <t>.</t>
        </is>
      </c>
      <c r="B255" s="5" t="inlineStr">
        <is>
          <t>.</t>
        </is>
      </c>
      <c r="C255" s="1378">
        <f>IF(raw[[#This Row],[city]]="","-",IF(raw[[#This Row],[city]]="TODAY","-",C254+1))</f>
        <v/>
      </c>
      <c r="D255" s="1393" t="inlineStr">
        <is>
          <t>SSA</t>
        </is>
      </c>
      <c r="E255" s="1394" t="n">
        <v>33635</v>
      </c>
      <c r="F255" s="1394" t="n">
        <v>33664</v>
      </c>
      <c r="G255" s="1393" t="inlineStr">
        <is>
          <t>-</t>
        </is>
      </c>
      <c r="H255" s="1393">
        <f>H254</f>
        <v/>
      </c>
      <c r="I255" s="1393" t="inlineStr">
        <is>
          <t>-</t>
        </is>
      </c>
      <c r="J255" s="1393" t="inlineStr">
        <is>
          <t>-</t>
        </is>
      </c>
      <c r="K255" s="1395">
        <f>IF(raw[[#This Row],[city]]&lt;&gt;"",_xlfn.XLOOKUP($D255,ccc[city],ccc[prov],"-"),"-")</f>
        <v/>
      </c>
      <c r="L255" s="1395">
        <f>IF(raw[[#This Row],[city]]&lt;&gt;"",_xlfn.XLOOKUP($D255,ccc[city],ccc[ctry],"-"),"-")</f>
        <v/>
      </c>
      <c r="M255" s="1395">
        <f>IF(raw[[#This Row],[city]]&lt;&gt;"",_xlfn.XLOOKUP($D255,ccc[city],ccc[cont],"-"),"-")</f>
        <v/>
      </c>
      <c r="N255" s="1396">
        <f>IF(raw[[#This Row],[city]]="","-",IF(raw[[#This Row],[cont]]="B",raw[[#This Row],[cont]],"W"))</f>
        <v/>
      </c>
      <c r="O255" s="1397">
        <f>IF(raw[[#This Row],[out]]=0,0,IF(raw[[#This Row],[out]]=raw[[#This Row],[in]],0.01,raw[[#This Row],[out]]-raw[[#This Row],[in]]))</f>
        <v/>
      </c>
      <c r="P255" s="1397">
        <f>IF(raw[[#This Row],[in]]=0,0,MONTH(raw[[#This Row],[in]]))</f>
        <v/>
      </c>
      <c r="Q255" s="1397">
        <f>IF(raw[[#This Row],[in]]=0,0,YEAR(raw[[#This Row],[in]]))</f>
        <v/>
      </c>
      <c r="R255" s="1397">
        <f>INT(raw[[#This Row],[yr]]/10)*10</f>
        <v/>
      </c>
      <c r="S255" s="1395">
        <f>IF(raw[[#This Row],[city]]="","-",IF(raw[[#This Row],[city]]&lt;&gt;_xlfn.XLOOKUP(raw[[#This Row],[home]],homes[home],homes[city],"-"),1,0))</f>
        <v/>
      </c>
      <c r="T255" s="1398" t="inlineStr">
        <is>
          <t>.</t>
        </is>
      </c>
      <c r="U255" s="1399">
        <f>IF(raw[[#This Row],[wb]]="w",raw[[#This Row],[stay]]+U254,U254)</f>
        <v/>
      </c>
      <c r="V255" s="1400">
        <f>IF(raw[[#This Row],[out]]=0,V254,(raw[[#This Row],[out]]-E$5))</f>
        <v/>
      </c>
      <c r="W255" s="1401">
        <f>U255/V255</f>
        <v/>
      </c>
      <c r="X255" s="1378" t="inlineStr">
        <is>
          <t>.</t>
        </is>
      </c>
      <c r="Y255" s="1402">
        <f/>
        <v/>
      </c>
      <c r="Z255" s="1403">
        <f/>
        <v/>
      </c>
      <c r="AA255" s="1403">
        <f/>
        <v/>
      </c>
      <c r="AB255" s="1400">
        <f t="array" ref="AB255">_xlfn.LET(_xlpm.S,_xlfn.ANCHORARRAY($Y$4),_xlpm.r,ROWS(stayCity[[#Headers],[city]]:stayCity[[#This Row],[city]])-1,IF(_xlpm.r&lt;=ROWS(_xlpm.S),INDEX(_xlpm.S,_xlpm.r,1),""))</f>
        <v/>
      </c>
      <c r="AC255" s="1405">
        <f t="array" ref="AC255">_xlfn.LET(_xlpm.S,_xlfn.ANCHORARRAY($Y$4),_xlpm.r,ROWS(stayCity[[#Headers],[city]]:stayCity[[#This Row],[city]])-1,IF(_xlpm.r&lt;=ROWS(_xlpm.S),INDEX(_xlpm.S,_xlpm.r,2),""))</f>
        <v/>
      </c>
      <c r="AD255" s="1405">
        <f t="array" ref="AD255">_xlfn.LET(_xlpm.S,_xlfn.ANCHORARRAY($Y$4),_xlpm.r,ROWS(stayCity[[#Headers],[city]]:stayCity[[#This Row],[city]])-1,IF(_xlpm.r&lt;=ROWS(_xlpm.S),INDEX(_xlpm.S,_xlpm.r,3),""))</f>
        <v/>
      </c>
      <c r="AE255" s="1400">
        <f>IF(stayCity[[#This Row],[out]]&lt;&gt;"",stayCity[[#This Row],[out]]-stayCity[[#This Row],[in]],"-")</f>
        <v/>
      </c>
      <c r="AF255" s="1406">
        <f>IF(Y255="","-",YEAR(stayCity[[#This Row],[in]]))</f>
        <v/>
      </c>
      <c r="AG255" s="1398" t="inlineStr">
        <is>
          <t>.</t>
        </is>
      </c>
      <c r="AH255" s="1402" t="n"/>
      <c r="AI255" s="1420" t="n"/>
      <c r="AJ255" s="1420" t="n"/>
      <c r="AK255" s="1400">
        <f>IF(AH255="","-",AH255)</f>
        <v/>
      </c>
      <c r="AL255" s="1405">
        <f>AI255</f>
        <v/>
      </c>
      <c r="AM255" s="1405">
        <f>AJ255</f>
        <v/>
      </c>
      <c r="AN255" s="1400">
        <f>stayCtry[[#This Row],[out]]-stayCtry[[#This Row],[in]]</f>
        <v/>
      </c>
      <c r="AO255" s="1406">
        <f>IF(AI255&lt;&gt;"",AO254+1,AO254)</f>
        <v/>
      </c>
      <c r="AP255" s="1398" t="inlineStr">
        <is>
          <t>.</t>
        </is>
      </c>
      <c r="AQ255" s="1402" t="n"/>
      <c r="AR255" s="1403" t="n"/>
      <c r="AS255" s="1403" t="n"/>
      <c r="AT255" s="1400">
        <f>AQ255</f>
        <v/>
      </c>
      <c r="AU255" s="1405">
        <f>AR255</f>
        <v/>
      </c>
      <c r="AV255" s="1405">
        <f>AS255</f>
        <v/>
      </c>
      <c r="AW255" s="1400">
        <f>stayCont[[#This Row],[out]]-stayCont[[#This Row],[in]]</f>
        <v/>
      </c>
      <c r="AX255" s="1406">
        <f>IF(AR255&lt;&gt;"",AX254+1,AX254)</f>
        <v/>
      </c>
      <c r="AY255" s="1398" t="inlineStr">
        <is>
          <t>.</t>
        </is>
      </c>
      <c r="AZ255" s="1402" t="n"/>
      <c r="BA255" s="1403" t="n"/>
      <c r="BB255" s="1403" t="n"/>
      <c r="BC255" s="1405">
        <f>AZ255</f>
        <v/>
      </c>
      <c r="BD255" s="1405">
        <f>BA255</f>
        <v/>
      </c>
      <c r="BE255" s="1405">
        <f>BB255</f>
        <v/>
      </c>
      <c r="BF255" s="1400">
        <f>stayWB[[#This Row],[out]]-stayWB[[#This Row],[in]]</f>
        <v/>
      </c>
      <c r="BG255" s="1400">
        <f>IF(BB255&lt;&gt;"",BG254+1,BG254)</f>
        <v/>
      </c>
      <c r="BH255" s="1398" t="inlineStr">
        <is>
          <t>.</t>
        </is>
      </c>
      <c r="BI255" s="1402" t="inlineStr">
        <is>
          <t>BRA</t>
        </is>
      </c>
      <c r="BJ255" s="1402" t="n">
        <v>2024</v>
      </c>
      <c r="BK255" s="1400">
        <f>BI255</f>
        <v/>
      </c>
      <c r="BL255" s="1409">
        <f>BJ255</f>
        <v/>
      </c>
      <c r="BM255" s="1378" t="inlineStr">
        <is>
          <t>.</t>
        </is>
      </c>
      <c r="BN255" s="1411" t="n"/>
      <c r="BO255" s="1400">
        <f>BN255</f>
        <v/>
      </c>
      <c r="BP255" s="1398" t="inlineStr">
        <is>
          <t>.</t>
        </is>
      </c>
      <c r="BQ255" s="1400">
        <f>IF(BR255&lt;&gt;"",BQ254+1,BQ254)</f>
        <v/>
      </c>
      <c r="BR255" s="1411" t="inlineStr">
        <is>
          <t>Detroit</t>
        </is>
      </c>
      <c r="BS255" s="1411" t="inlineStr">
        <is>
          <t>SP</t>
        </is>
      </c>
      <c r="BT255" s="1412" t="inlineStr">
        <is>
          <t>Detroit-SP</t>
        </is>
      </c>
      <c r="BU255" s="1412" t="n">
        <v>41178</v>
      </c>
      <c r="BV255" s="1398" t="inlineStr">
        <is>
          <t>.</t>
        </is>
      </c>
      <c r="BW255" s="1392" t="n"/>
      <c r="BX255" s="1392" t="n"/>
      <c r="BY255" s="1392" t="n"/>
      <c r="BZ255" s="1416" t="n"/>
      <c r="CA255" s="1392" t="n"/>
      <c r="CB255" s="1392" t="n"/>
      <c r="CC255" s="1392" t="n"/>
      <c r="CD255" s="1392" t="n"/>
      <c r="CE255" s="1392" t="n"/>
      <c r="CF255" s="1392" t="n"/>
      <c r="CG255" s="1392" t="n"/>
      <c r="CH255" s="1392" t="n"/>
      <c r="CI255" s="1392" t="n"/>
      <c r="CJ255" s="1392" t="n"/>
      <c r="CK255" s="1392" t="n"/>
      <c r="CL255" s="1392" t="n"/>
    </row>
    <row r="256">
      <c r="A256" s="5" t="inlineStr">
        <is>
          <t>.</t>
        </is>
      </c>
      <c r="B256" s="5" t="inlineStr">
        <is>
          <t>.</t>
        </is>
      </c>
      <c r="C256" s="1378">
        <f>IF(raw[[#This Row],[city]]="","-",IF(raw[[#This Row],[city]]="TODAY","-",C255+1))</f>
        <v/>
      </c>
      <c r="D256" s="1393" t="inlineStr">
        <is>
          <t>SSA</t>
        </is>
      </c>
      <c r="E256" s="1394" t="n">
        <v>33664</v>
      </c>
      <c r="F256" s="1394" t="n">
        <v>33676</v>
      </c>
      <c r="G256" s="1393" t="n">
        <v>1</v>
      </c>
      <c r="H256" s="1393">
        <f>H255</f>
        <v/>
      </c>
      <c r="I256" s="1393" t="inlineStr">
        <is>
          <t>-</t>
        </is>
      </c>
      <c r="J256" s="1393" t="inlineStr">
        <is>
          <t>-</t>
        </is>
      </c>
      <c r="K256" s="1395">
        <f>IF(raw[[#This Row],[city]]&lt;&gt;"",_xlfn.XLOOKUP($D256,ccc[city],ccc[prov],"-"),"-")</f>
        <v/>
      </c>
      <c r="L256" s="1395">
        <f>IF(raw[[#This Row],[city]]&lt;&gt;"",_xlfn.XLOOKUP($D256,ccc[city],ccc[ctry],"-"),"-")</f>
        <v/>
      </c>
      <c r="M256" s="1395">
        <f>IF(raw[[#This Row],[city]]&lt;&gt;"",_xlfn.XLOOKUP($D256,ccc[city],ccc[cont],"-"),"-")</f>
        <v/>
      </c>
      <c r="N256" s="1396">
        <f>IF(raw[[#This Row],[city]]="","-",IF(raw[[#This Row],[cont]]="B",raw[[#This Row],[cont]],"W"))</f>
        <v/>
      </c>
      <c r="O256" s="1397">
        <f>IF(raw[[#This Row],[out]]=0,0,IF(raw[[#This Row],[out]]=raw[[#This Row],[in]],0.01,raw[[#This Row],[out]]-raw[[#This Row],[in]]))</f>
        <v/>
      </c>
      <c r="P256" s="1397">
        <f>IF(raw[[#This Row],[in]]=0,0,MONTH(raw[[#This Row],[in]]))</f>
        <v/>
      </c>
      <c r="Q256" s="1397">
        <f>IF(raw[[#This Row],[in]]=0,0,YEAR(raw[[#This Row],[in]]))</f>
        <v/>
      </c>
      <c r="R256" s="1397">
        <f>INT(raw[[#This Row],[yr]]/10)*10</f>
        <v/>
      </c>
      <c r="S256" s="1395">
        <f>IF(raw[[#This Row],[city]]="","-",IF(raw[[#This Row],[city]]&lt;&gt;_xlfn.XLOOKUP(raw[[#This Row],[home]],homes[home],homes[city],"-"),1,0))</f>
        <v/>
      </c>
      <c r="T256" s="1398" t="inlineStr">
        <is>
          <t>.</t>
        </is>
      </c>
      <c r="U256" s="1399">
        <f>IF(raw[[#This Row],[wb]]="w",raw[[#This Row],[stay]]+U255,U255)</f>
        <v/>
      </c>
      <c r="V256" s="1400">
        <f>IF(raw[[#This Row],[out]]=0,V255,(raw[[#This Row],[out]]-E$5))</f>
        <v/>
      </c>
      <c r="W256" s="1401">
        <f>U256/V256</f>
        <v/>
      </c>
      <c r="X256" s="1378" t="inlineStr">
        <is>
          <t>.</t>
        </is>
      </c>
      <c r="Y256" s="1402">
        <f/>
        <v/>
      </c>
      <c r="Z256" s="1403">
        <f/>
        <v/>
      </c>
      <c r="AA256" s="1403">
        <f/>
        <v/>
      </c>
      <c r="AB256" s="1400">
        <f t="array" ref="AB256">_xlfn.LET(_xlpm.S,_xlfn.ANCHORARRAY($Y$4),_xlpm.r,ROWS(stayCity[[#Headers],[city]]:stayCity[[#This Row],[city]])-1,IF(_xlpm.r&lt;=ROWS(_xlpm.S),INDEX(_xlpm.S,_xlpm.r,1),""))</f>
        <v/>
      </c>
      <c r="AC256" s="1405">
        <f t="array" ref="AC256">_xlfn.LET(_xlpm.S,_xlfn.ANCHORARRAY($Y$4),_xlpm.r,ROWS(stayCity[[#Headers],[city]]:stayCity[[#This Row],[city]])-1,IF(_xlpm.r&lt;=ROWS(_xlpm.S),INDEX(_xlpm.S,_xlpm.r,2),""))</f>
        <v/>
      </c>
      <c r="AD256" s="1405">
        <f t="array" ref="AD256">_xlfn.LET(_xlpm.S,_xlfn.ANCHORARRAY($Y$4),_xlpm.r,ROWS(stayCity[[#Headers],[city]]:stayCity[[#This Row],[city]])-1,IF(_xlpm.r&lt;=ROWS(_xlpm.S),INDEX(_xlpm.S,_xlpm.r,3),""))</f>
        <v/>
      </c>
      <c r="AE256" s="1400">
        <f>IF(stayCity[[#This Row],[out]]&lt;&gt;"",stayCity[[#This Row],[out]]-stayCity[[#This Row],[in]],"-")</f>
        <v/>
      </c>
      <c r="AF256" s="1406">
        <f>IF(Y256="","-",YEAR(stayCity[[#This Row],[in]]))</f>
        <v/>
      </c>
      <c r="AG256" s="1398" t="inlineStr">
        <is>
          <t>.</t>
        </is>
      </c>
      <c r="AH256" s="1402" t="n"/>
      <c r="AI256" s="1420" t="n"/>
      <c r="AJ256" s="1420" t="n"/>
      <c r="AK256" s="1400">
        <f>IF(AH256="","-",AH256)</f>
        <v/>
      </c>
      <c r="AL256" s="1405">
        <f>AI256</f>
        <v/>
      </c>
      <c r="AM256" s="1405">
        <f>AJ256</f>
        <v/>
      </c>
      <c r="AN256" s="1400">
        <f>stayCtry[[#This Row],[out]]-stayCtry[[#This Row],[in]]</f>
        <v/>
      </c>
      <c r="AO256" s="1406">
        <f>IF(AI256&lt;&gt;"",AO255+1,AO255)</f>
        <v/>
      </c>
      <c r="AP256" s="1398" t="inlineStr">
        <is>
          <t>.</t>
        </is>
      </c>
      <c r="AQ256" s="1402" t="n"/>
      <c r="AR256" s="1403" t="n"/>
      <c r="AS256" s="1403" t="n"/>
      <c r="AT256" s="1400">
        <f>AQ256</f>
        <v/>
      </c>
      <c r="AU256" s="1405">
        <f>AR256</f>
        <v/>
      </c>
      <c r="AV256" s="1405">
        <f>AS256</f>
        <v/>
      </c>
      <c r="AW256" s="1400">
        <f>stayCont[[#This Row],[out]]-stayCont[[#This Row],[in]]</f>
        <v/>
      </c>
      <c r="AX256" s="1406">
        <f>IF(AR256&lt;&gt;"",AX255+1,AX255)</f>
        <v/>
      </c>
      <c r="AY256" s="1398" t="inlineStr">
        <is>
          <t>.</t>
        </is>
      </c>
      <c r="AZ256" s="1402" t="n"/>
      <c r="BA256" s="1403" t="n"/>
      <c r="BB256" s="1403" t="n"/>
      <c r="BC256" s="1405">
        <f>AZ256</f>
        <v/>
      </c>
      <c r="BD256" s="1405">
        <f>BA256</f>
        <v/>
      </c>
      <c r="BE256" s="1405">
        <f>BB256</f>
        <v/>
      </c>
      <c r="BF256" s="1400">
        <f>stayWB[[#This Row],[out]]-stayWB[[#This Row],[in]]</f>
        <v/>
      </c>
      <c r="BG256" s="1400">
        <f>IF(BB256&lt;&gt;"",BG255+1,BG255)</f>
        <v/>
      </c>
      <c r="BH256" s="1398" t="inlineStr">
        <is>
          <t>.</t>
        </is>
      </c>
      <c r="BI256" s="1402" t="inlineStr">
        <is>
          <t>USA</t>
        </is>
      </c>
      <c r="BJ256" s="1402" t="n">
        <v>2024</v>
      </c>
      <c r="BK256" s="1400">
        <f>BI256</f>
        <v/>
      </c>
      <c r="BL256" s="1409">
        <f>BJ256</f>
        <v/>
      </c>
      <c r="BM256" s="1378" t="inlineStr">
        <is>
          <t>.</t>
        </is>
      </c>
      <c r="BN256" s="1411" t="n"/>
      <c r="BO256" s="1400">
        <f>BN256</f>
        <v/>
      </c>
      <c r="BP256" s="1398" t="inlineStr">
        <is>
          <t>.</t>
        </is>
      </c>
      <c r="BQ256" s="1400">
        <f>IF(BR256&lt;&gt;"",BQ255+1,BQ255)</f>
        <v/>
      </c>
      <c r="BR256" s="1411" t="inlineStr">
        <is>
          <t>SP</t>
        </is>
      </c>
      <c r="BS256" s="1411" t="inlineStr">
        <is>
          <t>SSA</t>
        </is>
      </c>
      <c r="BT256" s="1412" t="inlineStr">
        <is>
          <t>SP-SSA</t>
        </is>
      </c>
      <c r="BU256" s="1412" t="n">
        <v>41179</v>
      </c>
      <c r="BV256" s="1398" t="inlineStr">
        <is>
          <t>.</t>
        </is>
      </c>
      <c r="BW256" s="1392" t="n"/>
      <c r="BX256" s="1392" t="n"/>
      <c r="BY256" s="1392" t="n"/>
      <c r="BZ256" s="1416" t="n"/>
      <c r="CA256" s="1392" t="n"/>
      <c r="CB256" s="1392" t="n"/>
      <c r="CC256" s="1392" t="n"/>
      <c r="CD256" s="1392" t="n"/>
      <c r="CE256" s="1392" t="n"/>
      <c r="CF256" s="1392" t="n"/>
      <c r="CG256" s="1392" t="n"/>
      <c r="CH256" s="1392" t="n"/>
      <c r="CI256" s="1392" t="n"/>
      <c r="CJ256" s="1392" t="n"/>
      <c r="CK256" s="1392" t="n"/>
      <c r="CL256" s="1392" t="n"/>
    </row>
    <row r="257">
      <c r="A257" s="5" t="inlineStr">
        <is>
          <t>.</t>
        </is>
      </c>
      <c r="B257" s="5" t="inlineStr">
        <is>
          <t>.</t>
        </is>
      </c>
      <c r="C257" s="1378">
        <f>IF(raw[[#This Row],[city]]="","-",IF(raw[[#This Row],[city]]="TODAY","-",C256+1))</f>
        <v/>
      </c>
      <c r="D257" s="1393" t="inlineStr">
        <is>
          <t>SP</t>
        </is>
      </c>
      <c r="E257" s="1394" t="n">
        <v>33676</v>
      </c>
      <c r="F257" s="1394" t="n">
        <v>33695</v>
      </c>
      <c r="G257" s="1393" t="inlineStr">
        <is>
          <t>-</t>
        </is>
      </c>
      <c r="H257" s="1393" t="inlineStr">
        <is>
          <t>Transit</t>
        </is>
      </c>
      <c r="I257" s="1393" t="inlineStr">
        <is>
          <t>Anibal/Bela Vista</t>
        </is>
      </c>
      <c r="J257" s="1393" t="inlineStr">
        <is>
          <t>-</t>
        </is>
      </c>
      <c r="K257" s="1395">
        <f>IF(raw[[#This Row],[city]]&lt;&gt;"",_xlfn.XLOOKUP($D257,ccc[city],ccc[prov],"-"),"-")</f>
        <v/>
      </c>
      <c r="L257" s="1395">
        <f>IF(raw[[#This Row],[city]]&lt;&gt;"",_xlfn.XLOOKUP($D257,ccc[city],ccc[ctry],"-"),"-")</f>
        <v/>
      </c>
      <c r="M257" s="1395">
        <f>IF(raw[[#This Row],[city]]&lt;&gt;"",_xlfn.XLOOKUP($D257,ccc[city],ccc[cont],"-"),"-")</f>
        <v/>
      </c>
      <c r="N257" s="1396">
        <f>IF(raw[[#This Row],[city]]="","-",IF(raw[[#This Row],[cont]]="B",raw[[#This Row],[cont]],"W"))</f>
        <v/>
      </c>
      <c r="O257" s="1397">
        <f>IF(raw[[#This Row],[out]]=0,0,IF(raw[[#This Row],[out]]=raw[[#This Row],[in]],0.01,raw[[#This Row],[out]]-raw[[#This Row],[in]]))</f>
        <v/>
      </c>
      <c r="P257" s="1397">
        <f>IF(raw[[#This Row],[in]]=0,0,MONTH(raw[[#This Row],[in]]))</f>
        <v/>
      </c>
      <c r="Q257" s="1397">
        <f>IF(raw[[#This Row],[in]]=0,0,YEAR(raw[[#This Row],[in]]))</f>
        <v/>
      </c>
      <c r="R257" s="1397">
        <f>INT(raw[[#This Row],[yr]]/10)*10</f>
        <v/>
      </c>
      <c r="S257" s="1395">
        <f>IF(raw[[#This Row],[city]]="","-",IF(raw[[#This Row],[city]]&lt;&gt;_xlfn.XLOOKUP(raw[[#This Row],[home]],homes[home],homes[city],"-"),1,0))</f>
        <v/>
      </c>
      <c r="T257" s="1398" t="inlineStr">
        <is>
          <t>.</t>
        </is>
      </c>
      <c r="U257" s="1399">
        <f>IF(raw[[#This Row],[wb]]="w",raw[[#This Row],[stay]]+U256,U256)</f>
        <v/>
      </c>
      <c r="V257" s="1400">
        <f>IF(raw[[#This Row],[out]]=0,V256,(raw[[#This Row],[out]]-E$5))</f>
        <v/>
      </c>
      <c r="W257" s="1401">
        <f>U257/V257</f>
        <v/>
      </c>
      <c r="X257" s="1378" t="inlineStr">
        <is>
          <t>.</t>
        </is>
      </c>
      <c r="Y257" s="1402">
        <f/>
        <v/>
      </c>
      <c r="Z257" s="1403">
        <f/>
        <v/>
      </c>
      <c r="AA257" s="1403">
        <f/>
        <v/>
      </c>
      <c r="AB257" s="1400">
        <f t="array" ref="AB257">_xlfn.LET(_xlpm.S,_xlfn.ANCHORARRAY($Y$4),_xlpm.r,ROWS(stayCity[[#Headers],[city]]:stayCity[[#This Row],[city]])-1,IF(_xlpm.r&lt;=ROWS(_xlpm.S),INDEX(_xlpm.S,_xlpm.r,1),""))</f>
        <v/>
      </c>
      <c r="AC257" s="1405">
        <f t="array" ref="AC257">_xlfn.LET(_xlpm.S,_xlfn.ANCHORARRAY($Y$4),_xlpm.r,ROWS(stayCity[[#Headers],[city]]:stayCity[[#This Row],[city]])-1,IF(_xlpm.r&lt;=ROWS(_xlpm.S),INDEX(_xlpm.S,_xlpm.r,2),""))</f>
        <v/>
      </c>
      <c r="AD257" s="1405">
        <f t="array" ref="AD257">_xlfn.LET(_xlpm.S,_xlfn.ANCHORARRAY($Y$4),_xlpm.r,ROWS(stayCity[[#Headers],[city]]:stayCity[[#This Row],[city]])-1,IF(_xlpm.r&lt;=ROWS(_xlpm.S),INDEX(_xlpm.S,_xlpm.r,3),""))</f>
        <v/>
      </c>
      <c r="AE257" s="1400">
        <f>IF(stayCity[[#This Row],[out]]&lt;&gt;"",stayCity[[#This Row],[out]]-stayCity[[#This Row],[in]],"-")</f>
        <v/>
      </c>
      <c r="AF257" s="1406">
        <f>IF(Y257="","-",YEAR(stayCity[[#This Row],[in]]))</f>
        <v/>
      </c>
      <c r="AG257" s="1398" t="inlineStr">
        <is>
          <t>.</t>
        </is>
      </c>
      <c r="AH257" s="1402" t="n"/>
      <c r="AI257" s="1420" t="n"/>
      <c r="AJ257" s="1420" t="n"/>
      <c r="AK257" s="1400">
        <f>IF(AH257="","-",AH257)</f>
        <v/>
      </c>
      <c r="AL257" s="1405">
        <f>AI257</f>
        <v/>
      </c>
      <c r="AM257" s="1405">
        <f>AJ257</f>
        <v/>
      </c>
      <c r="AN257" s="1400">
        <f>stayCtry[[#This Row],[out]]-stayCtry[[#This Row],[in]]</f>
        <v/>
      </c>
      <c r="AO257" s="1406">
        <f>IF(AI257&lt;&gt;"",AO256+1,AO256)</f>
        <v/>
      </c>
      <c r="AP257" s="1398" t="inlineStr">
        <is>
          <t>.</t>
        </is>
      </c>
      <c r="AQ257" s="1402" t="n"/>
      <c r="AR257" s="1403" t="n"/>
      <c r="AS257" s="1403" t="n"/>
      <c r="AT257" s="1400">
        <f>AQ257</f>
        <v/>
      </c>
      <c r="AU257" s="1405">
        <f>AR257</f>
        <v/>
      </c>
      <c r="AV257" s="1405">
        <f>AS257</f>
        <v/>
      </c>
      <c r="AW257" s="1400">
        <f>stayCont[[#This Row],[out]]-stayCont[[#This Row],[in]]</f>
        <v/>
      </c>
      <c r="AX257" s="1406">
        <f>IF(AR257&lt;&gt;"",AX256+1,AX256)</f>
        <v/>
      </c>
      <c r="AY257" s="1398" t="inlineStr">
        <is>
          <t>.</t>
        </is>
      </c>
      <c r="AZ257" s="1402" t="n"/>
      <c r="BA257" s="1403" t="n"/>
      <c r="BB257" s="1403" t="n"/>
      <c r="BC257" s="1405">
        <f>AZ257</f>
        <v/>
      </c>
      <c r="BD257" s="1405">
        <f>BA257</f>
        <v/>
      </c>
      <c r="BE257" s="1405">
        <f>BB257</f>
        <v/>
      </c>
      <c r="BF257" s="1400">
        <f>stayWB[[#This Row],[out]]-stayWB[[#This Row],[in]]</f>
        <v/>
      </c>
      <c r="BG257" s="1400">
        <f>IF(BB257&lt;&gt;"",BG256+1,BG256)</f>
        <v/>
      </c>
      <c r="BH257" s="1398" t="inlineStr">
        <is>
          <t>.</t>
        </is>
      </c>
      <c r="BI257" s="1402" t="inlineStr">
        <is>
          <t>CAN</t>
        </is>
      </c>
      <c r="BJ257" s="1402" t="n">
        <v>2024</v>
      </c>
      <c r="BK257" s="1400">
        <f>BI257</f>
        <v/>
      </c>
      <c r="BL257" s="1409">
        <f>BJ257</f>
        <v/>
      </c>
      <c r="BM257" s="1378" t="inlineStr">
        <is>
          <t>.</t>
        </is>
      </c>
      <c r="BN257" s="1411" t="n"/>
      <c r="BO257" s="1400">
        <f>BN257</f>
        <v/>
      </c>
      <c r="BP257" s="1398" t="inlineStr">
        <is>
          <t>.</t>
        </is>
      </c>
      <c r="BQ257" s="1400">
        <f>IF(BR257&lt;&gt;"",BQ256+1,BQ256)</f>
        <v/>
      </c>
      <c r="BR257" s="1411" t="inlineStr">
        <is>
          <t>SSA</t>
        </is>
      </c>
      <c r="BS257" s="1411" t="inlineStr">
        <is>
          <t>SP</t>
        </is>
      </c>
      <c r="BT257" s="1412" t="inlineStr">
        <is>
          <t>SSA-SP</t>
        </is>
      </c>
      <c r="BU257" s="1412" t="n">
        <v>41192</v>
      </c>
      <c r="BV257" s="1398" t="inlineStr">
        <is>
          <t>.</t>
        </is>
      </c>
      <c r="BW257" s="1392" t="n"/>
      <c r="BX257" s="1392" t="n"/>
      <c r="BY257" s="1392" t="n"/>
      <c r="BZ257" s="1416" t="n"/>
      <c r="CA257" s="1392" t="n"/>
      <c r="CB257" s="1392" t="n"/>
      <c r="CC257" s="1392" t="n"/>
      <c r="CD257" s="1392" t="n"/>
      <c r="CE257" s="1392" t="n"/>
      <c r="CF257" s="1392" t="n"/>
      <c r="CG257" s="1392" t="n"/>
      <c r="CH257" s="1392" t="n"/>
      <c r="CI257" s="1392" t="n"/>
      <c r="CJ257" s="1392" t="n"/>
      <c r="CK257" s="1392" t="n"/>
      <c r="CL257" s="1392" t="n"/>
    </row>
    <row r="258">
      <c r="A258" s="5" t="inlineStr">
        <is>
          <t>.</t>
        </is>
      </c>
      <c r="B258" s="5" t="inlineStr">
        <is>
          <t>.</t>
        </is>
      </c>
      <c r="C258" s="1378">
        <f>IF(raw[[#This Row],[city]]="","-",IF(raw[[#This Row],[city]]="TODAY","-",C257+1))</f>
        <v/>
      </c>
      <c r="D258" s="1393" t="inlineStr">
        <is>
          <t>SP</t>
        </is>
      </c>
      <c r="E258" s="1394" t="n">
        <v>33695</v>
      </c>
      <c r="F258" s="1394" t="n">
        <v>33703</v>
      </c>
      <c r="G258" s="1393" t="inlineStr">
        <is>
          <t>-</t>
        </is>
      </c>
      <c r="H258" s="1393" t="inlineStr">
        <is>
          <t>Heitor</t>
        </is>
      </c>
      <c r="I258" s="1393" t="inlineStr">
        <is>
          <t>-</t>
        </is>
      </c>
      <c r="J258" s="1393" t="inlineStr">
        <is>
          <t>-</t>
        </is>
      </c>
      <c r="K258" s="1395">
        <f>IF(raw[[#This Row],[city]]&lt;&gt;"",_xlfn.XLOOKUP($D258,ccc[city],ccc[prov],"-"),"-")</f>
        <v/>
      </c>
      <c r="L258" s="1395">
        <f>IF(raw[[#This Row],[city]]&lt;&gt;"",_xlfn.XLOOKUP($D258,ccc[city],ccc[ctry],"-"),"-")</f>
        <v/>
      </c>
      <c r="M258" s="1395">
        <f>IF(raw[[#This Row],[city]]&lt;&gt;"",_xlfn.XLOOKUP($D258,ccc[city],ccc[cont],"-"),"-")</f>
        <v/>
      </c>
      <c r="N258" s="1396">
        <f>IF(raw[[#This Row],[city]]="","-",IF(raw[[#This Row],[cont]]="B",raw[[#This Row],[cont]],"W"))</f>
        <v/>
      </c>
      <c r="O258" s="1397">
        <f>IF(raw[[#This Row],[out]]=0,0,IF(raw[[#This Row],[out]]=raw[[#This Row],[in]],0.01,raw[[#This Row],[out]]-raw[[#This Row],[in]]))</f>
        <v/>
      </c>
      <c r="P258" s="1397">
        <f>IF(raw[[#This Row],[in]]=0,0,MONTH(raw[[#This Row],[in]]))</f>
        <v/>
      </c>
      <c r="Q258" s="1397">
        <f>IF(raw[[#This Row],[in]]=0,0,YEAR(raw[[#This Row],[in]]))</f>
        <v/>
      </c>
      <c r="R258" s="1397">
        <f>INT(raw[[#This Row],[yr]]/10)*10</f>
        <v/>
      </c>
      <c r="S258" s="1395">
        <f>IF(raw[[#This Row],[city]]="","-",IF(raw[[#This Row],[city]]&lt;&gt;_xlfn.XLOOKUP(raw[[#This Row],[home]],homes[home],homes[city],"-"),1,0))</f>
        <v/>
      </c>
      <c r="T258" s="1398" t="inlineStr">
        <is>
          <t>.</t>
        </is>
      </c>
      <c r="U258" s="1399">
        <f>IF(raw[[#This Row],[wb]]="w",raw[[#This Row],[stay]]+U257,U257)</f>
        <v/>
      </c>
      <c r="V258" s="1400">
        <f>IF(raw[[#This Row],[out]]=0,V257,(raw[[#This Row],[out]]-E$5))</f>
        <v/>
      </c>
      <c r="W258" s="1401">
        <f>U258/V258</f>
        <v/>
      </c>
      <c r="X258" s="1378" t="inlineStr">
        <is>
          <t>.</t>
        </is>
      </c>
      <c r="Y258" s="1402">
        <f/>
        <v/>
      </c>
      <c r="Z258" s="1403">
        <f/>
        <v/>
      </c>
      <c r="AA258" s="1403">
        <f/>
        <v/>
      </c>
      <c r="AB258" s="1400">
        <f t="array" ref="AB258">_xlfn.LET(_xlpm.S,_xlfn.ANCHORARRAY($Y$4),_xlpm.r,ROWS(stayCity[[#Headers],[city]]:stayCity[[#This Row],[city]])-1,IF(_xlpm.r&lt;=ROWS(_xlpm.S),INDEX(_xlpm.S,_xlpm.r,1),""))</f>
        <v/>
      </c>
      <c r="AC258" s="1405">
        <f t="array" ref="AC258">_xlfn.LET(_xlpm.S,_xlfn.ANCHORARRAY($Y$4),_xlpm.r,ROWS(stayCity[[#Headers],[city]]:stayCity[[#This Row],[city]])-1,IF(_xlpm.r&lt;=ROWS(_xlpm.S),INDEX(_xlpm.S,_xlpm.r,2),""))</f>
        <v/>
      </c>
      <c r="AD258" s="1405">
        <f t="array" ref="AD258">_xlfn.LET(_xlpm.S,_xlfn.ANCHORARRAY($Y$4),_xlpm.r,ROWS(stayCity[[#Headers],[city]]:stayCity[[#This Row],[city]])-1,IF(_xlpm.r&lt;=ROWS(_xlpm.S),INDEX(_xlpm.S,_xlpm.r,3),""))</f>
        <v/>
      </c>
      <c r="AE258" s="1400">
        <f>IF(stayCity[[#This Row],[out]]&lt;&gt;"",stayCity[[#This Row],[out]]-stayCity[[#This Row],[in]],"-")</f>
        <v/>
      </c>
      <c r="AF258" s="1406">
        <f>IF(Y258="","-",YEAR(stayCity[[#This Row],[in]]))</f>
        <v/>
      </c>
      <c r="AG258" s="1398" t="inlineStr">
        <is>
          <t>.</t>
        </is>
      </c>
      <c r="AH258" s="1402" t="n"/>
      <c r="AI258" s="1420" t="n"/>
      <c r="AJ258" s="1420" t="n"/>
      <c r="AK258" s="1400">
        <f>IF(AH258="","-",AH258)</f>
        <v/>
      </c>
      <c r="AL258" s="1405">
        <f>AI258</f>
        <v/>
      </c>
      <c r="AM258" s="1405">
        <f>AJ258</f>
        <v/>
      </c>
      <c r="AN258" s="1400">
        <f>stayCtry[[#This Row],[out]]-stayCtry[[#This Row],[in]]</f>
        <v/>
      </c>
      <c r="AO258" s="1406">
        <f>IF(AI258&lt;&gt;"",AO257+1,AO257)</f>
        <v/>
      </c>
      <c r="AP258" s="1398" t="inlineStr">
        <is>
          <t>.</t>
        </is>
      </c>
      <c r="AQ258" s="1402" t="n"/>
      <c r="AR258" s="1403" t="n"/>
      <c r="AS258" s="1403" t="n"/>
      <c r="AT258" s="1400">
        <f>AQ258</f>
        <v/>
      </c>
      <c r="AU258" s="1405">
        <f>AR258</f>
        <v/>
      </c>
      <c r="AV258" s="1405">
        <f>AS258</f>
        <v/>
      </c>
      <c r="AW258" s="1400">
        <f>stayCont[[#This Row],[out]]-stayCont[[#This Row],[in]]</f>
        <v/>
      </c>
      <c r="AX258" s="1406">
        <f>IF(AR258&lt;&gt;"",AX257+1,AX257)</f>
        <v/>
      </c>
      <c r="AY258" s="1398" t="inlineStr">
        <is>
          <t>.</t>
        </is>
      </c>
      <c r="AZ258" s="1402" t="n"/>
      <c r="BA258" s="1403" t="n"/>
      <c r="BB258" s="1403" t="n"/>
      <c r="BC258" s="1405">
        <f>AZ258</f>
        <v/>
      </c>
      <c r="BD258" s="1405">
        <f>BA258</f>
        <v/>
      </c>
      <c r="BE258" s="1405">
        <f>BB258</f>
        <v/>
      </c>
      <c r="BF258" s="1400">
        <f>stayWB[[#This Row],[out]]-stayWB[[#This Row],[in]]</f>
        <v/>
      </c>
      <c r="BG258" s="1400">
        <f>IF(BB258&lt;&gt;"",BG257+1,BG257)</f>
        <v/>
      </c>
      <c r="BH258" s="1398" t="inlineStr">
        <is>
          <t>.</t>
        </is>
      </c>
      <c r="BI258" s="1402" t="inlineStr">
        <is>
          <t>ESP</t>
        </is>
      </c>
      <c r="BJ258" s="1402" t="n">
        <v>2024</v>
      </c>
      <c r="BK258" s="1400">
        <f>BI258</f>
        <v/>
      </c>
      <c r="BL258" s="1409">
        <f>BJ258</f>
        <v/>
      </c>
      <c r="BM258" s="1378" t="inlineStr">
        <is>
          <t>.</t>
        </is>
      </c>
      <c r="BN258" s="1411" t="n"/>
      <c r="BO258" s="1400">
        <f>BN258</f>
        <v/>
      </c>
      <c r="BP258" s="1398" t="inlineStr">
        <is>
          <t>.</t>
        </is>
      </c>
      <c r="BQ258" s="1400">
        <f>IF(BR258&lt;&gt;"",BQ257+1,BQ257)</f>
        <v/>
      </c>
      <c r="BR258" s="1411" t="inlineStr">
        <is>
          <t>SP</t>
        </is>
      </c>
      <c r="BS258" s="1411" t="inlineStr">
        <is>
          <t>Rio</t>
        </is>
      </c>
      <c r="BT258" s="1412" t="inlineStr">
        <is>
          <t>SP-Rio</t>
        </is>
      </c>
      <c r="BU258" s="1412" t="n">
        <v>41195</v>
      </c>
      <c r="BV258" s="1398" t="inlineStr">
        <is>
          <t>.</t>
        </is>
      </c>
      <c r="BW258" s="1392" t="n"/>
      <c r="BX258" s="1392" t="n"/>
      <c r="BY258" s="1392" t="n"/>
      <c r="BZ258" s="1416" t="n"/>
      <c r="CA258" s="1392" t="n"/>
      <c r="CB258" s="1392" t="n"/>
      <c r="CC258" s="1392" t="n"/>
      <c r="CD258" s="1392" t="n"/>
      <c r="CE258" s="1392" t="n"/>
      <c r="CF258" s="1392" t="n"/>
      <c r="CG258" s="1392" t="n"/>
      <c r="CH258" s="1392" t="n"/>
      <c r="CI258" s="1392" t="n"/>
      <c r="CJ258" s="1392" t="n"/>
      <c r="CK258" s="1392" t="n"/>
      <c r="CL258" s="1392" t="n"/>
    </row>
    <row r="259">
      <c r="A259" s="5" t="inlineStr">
        <is>
          <t>.</t>
        </is>
      </c>
      <c r="B259" s="5" t="inlineStr">
        <is>
          <t>.</t>
        </is>
      </c>
      <c r="C259" s="1378">
        <f>IF(raw[[#This Row],[city]]="","-",IF(raw[[#This Row],[city]]="TODAY","-",C258+1))</f>
        <v/>
      </c>
      <c r="D259" s="1393" t="inlineStr">
        <is>
          <t>SSA</t>
        </is>
      </c>
      <c r="E259" s="1394" t="n">
        <v>33703</v>
      </c>
      <c r="F259" s="1394" t="n">
        <v>33713</v>
      </c>
      <c r="G259" s="1393" t="n">
        <v>1</v>
      </c>
      <c r="H259" s="1393">
        <f>H258</f>
        <v/>
      </c>
      <c r="I259" s="1393" t="inlineStr">
        <is>
          <t>Greenfeld</t>
        </is>
      </c>
      <c r="J259" s="1393" t="inlineStr">
        <is>
          <t>-</t>
        </is>
      </c>
      <c r="K259" s="1395">
        <f>IF(raw[[#This Row],[city]]&lt;&gt;"",_xlfn.XLOOKUP($D259,ccc[city],ccc[prov],"-"),"-")</f>
        <v/>
      </c>
      <c r="L259" s="1395">
        <f>IF(raw[[#This Row],[city]]&lt;&gt;"",_xlfn.XLOOKUP($D259,ccc[city],ccc[ctry],"-"),"-")</f>
        <v/>
      </c>
      <c r="M259" s="1395">
        <f>IF(raw[[#This Row],[city]]&lt;&gt;"",_xlfn.XLOOKUP($D259,ccc[city],ccc[cont],"-"),"-")</f>
        <v/>
      </c>
      <c r="N259" s="1396">
        <f>IF(raw[[#This Row],[city]]="","-",IF(raw[[#This Row],[cont]]="B",raw[[#This Row],[cont]],"W"))</f>
        <v/>
      </c>
      <c r="O259" s="1397">
        <f>IF(raw[[#This Row],[out]]=0,0,IF(raw[[#This Row],[out]]=raw[[#This Row],[in]],0.01,raw[[#This Row],[out]]-raw[[#This Row],[in]]))</f>
        <v/>
      </c>
      <c r="P259" s="1397">
        <f>IF(raw[[#This Row],[in]]=0,0,MONTH(raw[[#This Row],[in]]))</f>
        <v/>
      </c>
      <c r="Q259" s="1397">
        <f>IF(raw[[#This Row],[in]]=0,0,YEAR(raw[[#This Row],[in]]))</f>
        <v/>
      </c>
      <c r="R259" s="1397">
        <f>INT(raw[[#This Row],[yr]]/10)*10</f>
        <v/>
      </c>
      <c r="S259" s="1395">
        <f>IF(raw[[#This Row],[city]]="","-",IF(raw[[#This Row],[city]]&lt;&gt;_xlfn.XLOOKUP(raw[[#This Row],[home]],homes[home],homes[city],"-"),1,0))</f>
        <v/>
      </c>
      <c r="T259" s="1398" t="inlineStr">
        <is>
          <t>.</t>
        </is>
      </c>
      <c r="U259" s="1399">
        <f>IF(raw[[#This Row],[wb]]="w",raw[[#This Row],[stay]]+U258,U258)</f>
        <v/>
      </c>
      <c r="V259" s="1400">
        <f>IF(raw[[#This Row],[out]]=0,V258,(raw[[#This Row],[out]]-E$5))</f>
        <v/>
      </c>
      <c r="W259" s="1401">
        <f>U259/V259</f>
        <v/>
      </c>
      <c r="X259" s="1378" t="inlineStr">
        <is>
          <t>.</t>
        </is>
      </c>
      <c r="Y259" s="1402">
        <f/>
        <v/>
      </c>
      <c r="Z259" s="1403">
        <f/>
        <v/>
      </c>
      <c r="AA259" s="1403">
        <f/>
        <v/>
      </c>
      <c r="AB259" s="1400">
        <f t="array" ref="AB259">_xlfn.LET(_xlpm.S,_xlfn.ANCHORARRAY($Y$4),_xlpm.r,ROWS(stayCity[[#Headers],[city]]:stayCity[[#This Row],[city]])-1,IF(_xlpm.r&lt;=ROWS(_xlpm.S),INDEX(_xlpm.S,_xlpm.r,1),""))</f>
        <v/>
      </c>
      <c r="AC259" s="1405">
        <f t="array" ref="AC259">_xlfn.LET(_xlpm.S,_xlfn.ANCHORARRAY($Y$4),_xlpm.r,ROWS(stayCity[[#Headers],[city]]:stayCity[[#This Row],[city]])-1,IF(_xlpm.r&lt;=ROWS(_xlpm.S),INDEX(_xlpm.S,_xlpm.r,2),""))</f>
        <v/>
      </c>
      <c r="AD259" s="1405">
        <f t="array" ref="AD259">_xlfn.LET(_xlpm.S,_xlfn.ANCHORARRAY($Y$4),_xlpm.r,ROWS(stayCity[[#Headers],[city]]:stayCity[[#This Row],[city]])-1,IF(_xlpm.r&lt;=ROWS(_xlpm.S),INDEX(_xlpm.S,_xlpm.r,3),""))</f>
        <v/>
      </c>
      <c r="AE259" s="1400">
        <f>IF(stayCity[[#This Row],[out]]&lt;&gt;"",stayCity[[#This Row],[out]]-stayCity[[#This Row],[in]],"-")</f>
        <v/>
      </c>
      <c r="AF259" s="1406">
        <f>IF(Y259="","-",YEAR(stayCity[[#This Row],[in]]))</f>
        <v/>
      </c>
      <c r="AG259" s="1398" t="inlineStr">
        <is>
          <t>.</t>
        </is>
      </c>
      <c r="AH259" s="1402" t="n"/>
      <c r="AI259" s="1420" t="n"/>
      <c r="AJ259" s="1420" t="n"/>
      <c r="AK259" s="1400">
        <f>IF(AH259="","-",AH259)</f>
        <v/>
      </c>
      <c r="AL259" s="1405">
        <f>AI259</f>
        <v/>
      </c>
      <c r="AM259" s="1405">
        <f>AJ259</f>
        <v/>
      </c>
      <c r="AN259" s="1400">
        <f>stayCtry[[#This Row],[out]]-stayCtry[[#This Row],[in]]</f>
        <v/>
      </c>
      <c r="AO259" s="1406">
        <f>IF(AI259&lt;&gt;"",AO258+1,AO258)</f>
        <v/>
      </c>
      <c r="AP259" s="1398" t="inlineStr">
        <is>
          <t>.</t>
        </is>
      </c>
      <c r="AQ259" s="1402" t="n"/>
      <c r="AR259" s="1403" t="n"/>
      <c r="AS259" s="1403" t="n"/>
      <c r="AT259" s="1400">
        <f>AQ259</f>
        <v/>
      </c>
      <c r="AU259" s="1405">
        <f>AR259</f>
        <v/>
      </c>
      <c r="AV259" s="1405">
        <f>AS259</f>
        <v/>
      </c>
      <c r="AW259" s="1400">
        <f>stayCont[[#This Row],[out]]-stayCont[[#This Row],[in]]</f>
        <v/>
      </c>
      <c r="AX259" s="1406">
        <f>IF(AR259&lt;&gt;"",AX258+1,AX258)</f>
        <v/>
      </c>
      <c r="AY259" s="1398" t="inlineStr">
        <is>
          <t>.</t>
        </is>
      </c>
      <c r="AZ259" s="1402" t="n"/>
      <c r="BA259" s="1403" t="n"/>
      <c r="BB259" s="1403" t="n"/>
      <c r="BC259" s="1405">
        <f>AZ259</f>
        <v/>
      </c>
      <c r="BD259" s="1405">
        <f>BA259</f>
        <v/>
      </c>
      <c r="BE259" s="1405">
        <f>BB259</f>
        <v/>
      </c>
      <c r="BF259" s="1400">
        <f>stayWB[[#This Row],[out]]-stayWB[[#This Row],[in]]</f>
        <v/>
      </c>
      <c r="BG259" s="1400">
        <f>IF(BB259&lt;&gt;"",BG258+1,BG258)</f>
        <v/>
      </c>
      <c r="BH259" s="1398" t="inlineStr">
        <is>
          <t>.</t>
        </is>
      </c>
      <c r="BI259" s="1402" t="inlineStr">
        <is>
          <t>PRT</t>
        </is>
      </c>
      <c r="BJ259" s="1402" t="n">
        <v>2024</v>
      </c>
      <c r="BK259" s="1400">
        <f>BI259</f>
        <v/>
      </c>
      <c r="BL259" s="1409">
        <f>BJ259</f>
        <v/>
      </c>
      <c r="BM259" s="1378" t="inlineStr">
        <is>
          <t>.</t>
        </is>
      </c>
      <c r="BN259" s="1411" t="n"/>
      <c r="BO259" s="1400">
        <f>BN259</f>
        <v/>
      </c>
      <c r="BP259" s="1398" t="inlineStr">
        <is>
          <t>.</t>
        </is>
      </c>
      <c r="BQ259" s="1400">
        <f>IF(BR259&lt;&gt;"",BQ258+1,BQ258)</f>
        <v/>
      </c>
      <c r="BR259" s="1411" t="inlineStr">
        <is>
          <t>Rio</t>
        </is>
      </c>
      <c r="BS259" s="1411" t="inlineStr">
        <is>
          <t>SP</t>
        </is>
      </c>
      <c r="BT259" s="1412" t="inlineStr">
        <is>
          <t>Rio-SP</t>
        </is>
      </c>
      <c r="BU259" s="1412" t="n">
        <v>41197</v>
      </c>
      <c r="BV259" s="1398" t="inlineStr">
        <is>
          <t>.</t>
        </is>
      </c>
      <c r="BW259" s="1392" t="n"/>
      <c r="BX259" s="1392" t="n"/>
      <c r="BY259" s="1392" t="n"/>
      <c r="BZ259" s="1416" t="n"/>
      <c r="CA259" s="1392" t="n"/>
      <c r="CB259" s="1392" t="n"/>
      <c r="CC259" s="1392" t="n"/>
      <c r="CD259" s="1392" t="n"/>
      <c r="CE259" s="1392" t="n"/>
      <c r="CF259" s="1392" t="n"/>
      <c r="CG259" s="1392" t="n"/>
      <c r="CH259" s="1392" t="n"/>
      <c r="CI259" s="1392" t="n"/>
      <c r="CJ259" s="1392" t="n"/>
      <c r="CK259" s="1392" t="n"/>
      <c r="CL259" s="1392" t="n"/>
    </row>
    <row r="260">
      <c r="A260" s="5" t="inlineStr">
        <is>
          <t>.</t>
        </is>
      </c>
      <c r="B260" s="5" t="inlineStr">
        <is>
          <t>.</t>
        </is>
      </c>
      <c r="C260" s="1378">
        <f>IF(raw[[#This Row],[city]]="","-",IF(raw[[#This Row],[city]]="TODAY","-",C259+1))</f>
        <v/>
      </c>
      <c r="D260" s="1393" t="inlineStr">
        <is>
          <t>SP</t>
        </is>
      </c>
      <c r="E260" s="1394" t="n">
        <v>33713</v>
      </c>
      <c r="F260" s="1394" t="n">
        <v>33725</v>
      </c>
      <c r="G260" s="1393" t="inlineStr">
        <is>
          <t>-</t>
        </is>
      </c>
      <c r="H260" s="1393">
        <f>H259</f>
        <v/>
      </c>
      <c r="I260" s="1393" t="inlineStr">
        <is>
          <t>-</t>
        </is>
      </c>
      <c r="J260" s="1393" t="inlineStr">
        <is>
          <t>-</t>
        </is>
      </c>
      <c r="K260" s="1395">
        <f>IF(raw[[#This Row],[city]]&lt;&gt;"",_xlfn.XLOOKUP($D260,ccc[city],ccc[prov],"-"),"-")</f>
        <v/>
      </c>
      <c r="L260" s="1395">
        <f>IF(raw[[#This Row],[city]]&lt;&gt;"",_xlfn.XLOOKUP($D260,ccc[city],ccc[ctry],"-"),"-")</f>
        <v/>
      </c>
      <c r="M260" s="1395">
        <f>IF(raw[[#This Row],[city]]&lt;&gt;"",_xlfn.XLOOKUP($D260,ccc[city],ccc[cont],"-"),"-")</f>
        <v/>
      </c>
      <c r="N260" s="1396">
        <f>IF(raw[[#This Row],[city]]="","-",IF(raw[[#This Row],[cont]]="B",raw[[#This Row],[cont]],"W"))</f>
        <v/>
      </c>
      <c r="O260" s="1397">
        <f>IF(raw[[#This Row],[out]]=0,0,IF(raw[[#This Row],[out]]=raw[[#This Row],[in]],0.01,raw[[#This Row],[out]]-raw[[#This Row],[in]]))</f>
        <v/>
      </c>
      <c r="P260" s="1397">
        <f>IF(raw[[#This Row],[in]]=0,0,MONTH(raw[[#This Row],[in]]))</f>
        <v/>
      </c>
      <c r="Q260" s="1397">
        <f>IF(raw[[#This Row],[in]]=0,0,YEAR(raw[[#This Row],[in]]))</f>
        <v/>
      </c>
      <c r="R260" s="1397">
        <f>INT(raw[[#This Row],[yr]]/10)*10</f>
        <v/>
      </c>
      <c r="S260" s="1395">
        <f>IF(raw[[#This Row],[city]]="","-",IF(raw[[#This Row],[city]]&lt;&gt;_xlfn.XLOOKUP(raw[[#This Row],[home]],homes[home],homes[city],"-"),1,0))</f>
        <v/>
      </c>
      <c r="T260" s="1398" t="inlineStr">
        <is>
          <t>.</t>
        </is>
      </c>
      <c r="U260" s="1399">
        <f>IF(raw[[#This Row],[wb]]="w",raw[[#This Row],[stay]]+U259,U259)</f>
        <v/>
      </c>
      <c r="V260" s="1400">
        <f>IF(raw[[#This Row],[out]]=0,V259,(raw[[#This Row],[out]]-E$5))</f>
        <v/>
      </c>
      <c r="W260" s="1401">
        <f>U260/V260</f>
        <v/>
      </c>
      <c r="X260" s="1378" t="inlineStr">
        <is>
          <t>.</t>
        </is>
      </c>
      <c r="Y260" s="1402">
        <f/>
        <v/>
      </c>
      <c r="Z260" s="1403">
        <f/>
        <v/>
      </c>
      <c r="AA260" s="1403">
        <f/>
        <v/>
      </c>
      <c r="AB260" s="1400">
        <f t="array" ref="AB260">_xlfn.LET(_xlpm.S,_xlfn.ANCHORARRAY($Y$4),_xlpm.r,ROWS(stayCity[[#Headers],[city]]:stayCity[[#This Row],[city]])-1,IF(_xlpm.r&lt;=ROWS(_xlpm.S),INDEX(_xlpm.S,_xlpm.r,1),""))</f>
        <v/>
      </c>
      <c r="AC260" s="1405">
        <f t="array" ref="AC260">_xlfn.LET(_xlpm.S,_xlfn.ANCHORARRAY($Y$4),_xlpm.r,ROWS(stayCity[[#Headers],[city]]:stayCity[[#This Row],[city]])-1,IF(_xlpm.r&lt;=ROWS(_xlpm.S),INDEX(_xlpm.S,_xlpm.r,2),""))</f>
        <v/>
      </c>
      <c r="AD260" s="1405">
        <f t="array" ref="AD260">_xlfn.LET(_xlpm.S,_xlfn.ANCHORARRAY($Y$4),_xlpm.r,ROWS(stayCity[[#Headers],[city]]:stayCity[[#This Row],[city]])-1,IF(_xlpm.r&lt;=ROWS(_xlpm.S),INDEX(_xlpm.S,_xlpm.r,3),""))</f>
        <v/>
      </c>
      <c r="AE260" s="1400">
        <f>IF(stayCity[[#This Row],[out]]&lt;&gt;"",stayCity[[#This Row],[out]]-stayCity[[#This Row],[in]],"-")</f>
        <v/>
      </c>
      <c r="AF260" s="1406">
        <f>IF(Y260="","-",YEAR(stayCity[[#This Row],[in]]))</f>
        <v/>
      </c>
      <c r="AG260" s="1398" t="inlineStr">
        <is>
          <t>.</t>
        </is>
      </c>
      <c r="AH260" s="1402" t="n"/>
      <c r="AI260" s="1420" t="n"/>
      <c r="AJ260" s="1420" t="n"/>
      <c r="AK260" s="1400">
        <f>IF(AH260="","-",AH260)</f>
        <v/>
      </c>
      <c r="AL260" s="1405">
        <f>AI260</f>
        <v/>
      </c>
      <c r="AM260" s="1405">
        <f>AJ260</f>
        <v/>
      </c>
      <c r="AN260" s="1400">
        <f>stayCtry[[#This Row],[out]]-stayCtry[[#This Row],[in]]</f>
        <v/>
      </c>
      <c r="AO260" s="1406">
        <f>IF(AI260&lt;&gt;"",AO259+1,AO259)</f>
        <v/>
      </c>
      <c r="AP260" s="1398" t="inlineStr">
        <is>
          <t>.</t>
        </is>
      </c>
      <c r="AQ260" s="1402" t="n"/>
      <c r="AR260" s="1403" t="n"/>
      <c r="AS260" s="1403" t="n"/>
      <c r="AT260" s="1400">
        <f>AQ260</f>
        <v/>
      </c>
      <c r="AU260" s="1405">
        <f>AR260</f>
        <v/>
      </c>
      <c r="AV260" s="1405">
        <f>AS260</f>
        <v/>
      </c>
      <c r="AW260" s="1400">
        <f>stayCont[[#This Row],[out]]-stayCont[[#This Row],[in]]</f>
        <v/>
      </c>
      <c r="AX260" s="1406">
        <f>IF(AR260&lt;&gt;"",AX259+1,AX259)</f>
        <v/>
      </c>
      <c r="AY260" s="1398" t="inlineStr">
        <is>
          <t>.</t>
        </is>
      </c>
      <c r="AZ260" s="1402" t="n"/>
      <c r="BA260" s="1403" t="n"/>
      <c r="BB260" s="1403" t="n"/>
      <c r="BC260" s="1405">
        <f>AZ260</f>
        <v/>
      </c>
      <c r="BD260" s="1405">
        <f>BA260</f>
        <v/>
      </c>
      <c r="BE260" s="1405">
        <f>BB260</f>
        <v/>
      </c>
      <c r="BF260" s="1400">
        <f>stayWB[[#This Row],[out]]-stayWB[[#This Row],[in]]</f>
        <v/>
      </c>
      <c r="BG260" s="1400">
        <f>IF(BB260&lt;&gt;"",BG259+1,BG259)</f>
        <v/>
      </c>
      <c r="BH260" s="1398" t="inlineStr">
        <is>
          <t>.</t>
        </is>
      </c>
      <c r="BI260" s="1402" t="inlineStr">
        <is>
          <t>CAN</t>
        </is>
      </c>
      <c r="BJ260" s="1402" t="n">
        <v>2024</v>
      </c>
      <c r="BK260" s="1400">
        <f>BI260</f>
        <v/>
      </c>
      <c r="BL260" s="1409">
        <f>BJ260</f>
        <v/>
      </c>
      <c r="BM260" s="1378" t="inlineStr">
        <is>
          <t>.</t>
        </is>
      </c>
      <c r="BN260" s="1411" t="n"/>
      <c r="BO260" s="1400">
        <f>BN260</f>
        <v/>
      </c>
      <c r="BP260" s="1398" t="inlineStr">
        <is>
          <t>.</t>
        </is>
      </c>
      <c r="BQ260" s="1400">
        <f>IF(BR260&lt;&gt;"",BQ259+1,BQ259)</f>
        <v/>
      </c>
      <c r="BR260" s="1411" t="inlineStr">
        <is>
          <t>SP</t>
        </is>
      </c>
      <c r="BS260" s="1411" t="inlineStr">
        <is>
          <t>SSA</t>
        </is>
      </c>
      <c r="BT260" s="1412" t="inlineStr">
        <is>
          <t>SP-SSA</t>
        </is>
      </c>
      <c r="BU260" s="1412" t="n">
        <v>41198</v>
      </c>
      <c r="BV260" s="1398" t="inlineStr">
        <is>
          <t>.</t>
        </is>
      </c>
      <c r="BW260" s="1392" t="n"/>
      <c r="BX260" s="1392" t="n"/>
      <c r="BY260" s="1392" t="n"/>
      <c r="BZ260" s="1416" t="n"/>
      <c r="CA260" s="1392" t="n"/>
      <c r="CB260" s="1392" t="n"/>
      <c r="CC260" s="1392" t="n"/>
      <c r="CD260" s="1392" t="n"/>
      <c r="CE260" s="1392" t="n"/>
      <c r="CF260" s="1392" t="n"/>
      <c r="CG260" s="1392" t="n"/>
      <c r="CH260" s="1392" t="n"/>
      <c r="CI260" s="1392" t="n"/>
      <c r="CJ260" s="1392" t="n"/>
      <c r="CK260" s="1392" t="n"/>
      <c r="CL260" s="1392" t="n"/>
    </row>
    <row r="261">
      <c r="A261" s="5" t="inlineStr">
        <is>
          <t>.</t>
        </is>
      </c>
      <c r="B261" s="5" t="inlineStr">
        <is>
          <t>.</t>
        </is>
      </c>
      <c r="C261" s="1378">
        <f>IF(raw[[#This Row],[city]]="","-",IF(raw[[#This Row],[city]]="TODAY","-",C260+1))</f>
        <v/>
      </c>
      <c r="D261" s="1393" t="inlineStr">
        <is>
          <t>SP</t>
        </is>
      </c>
      <c r="E261" s="1394" t="n">
        <v>33725</v>
      </c>
      <c r="F261" s="1394" t="n">
        <v>33756</v>
      </c>
      <c r="G261" s="1393" t="inlineStr">
        <is>
          <t>-</t>
        </is>
      </c>
      <c r="H261" s="1393">
        <f>H260</f>
        <v/>
      </c>
      <c r="I261" s="1393" t="inlineStr">
        <is>
          <t>-</t>
        </is>
      </c>
      <c r="J261" s="1393" t="inlineStr">
        <is>
          <t>-</t>
        </is>
      </c>
      <c r="K261" s="1395">
        <f>IF(raw[[#This Row],[city]]&lt;&gt;"",_xlfn.XLOOKUP($D261,ccc[city],ccc[prov],"-"),"-")</f>
        <v/>
      </c>
      <c r="L261" s="1395">
        <f>IF(raw[[#This Row],[city]]&lt;&gt;"",_xlfn.XLOOKUP($D261,ccc[city],ccc[ctry],"-"),"-")</f>
        <v/>
      </c>
      <c r="M261" s="1395">
        <f>IF(raw[[#This Row],[city]]&lt;&gt;"",_xlfn.XLOOKUP($D261,ccc[city],ccc[cont],"-"),"-")</f>
        <v/>
      </c>
      <c r="N261" s="1396">
        <f>IF(raw[[#This Row],[city]]="","-",IF(raw[[#This Row],[cont]]="B",raw[[#This Row],[cont]],"W"))</f>
        <v/>
      </c>
      <c r="O261" s="1397">
        <f>IF(raw[[#This Row],[out]]=0,0,IF(raw[[#This Row],[out]]=raw[[#This Row],[in]],0.01,raw[[#This Row],[out]]-raw[[#This Row],[in]]))</f>
        <v/>
      </c>
      <c r="P261" s="1397">
        <f>IF(raw[[#This Row],[in]]=0,0,MONTH(raw[[#This Row],[in]]))</f>
        <v/>
      </c>
      <c r="Q261" s="1397">
        <f>IF(raw[[#This Row],[in]]=0,0,YEAR(raw[[#This Row],[in]]))</f>
        <v/>
      </c>
      <c r="R261" s="1397">
        <f>INT(raw[[#This Row],[yr]]/10)*10</f>
        <v/>
      </c>
      <c r="S261" s="1395">
        <f>IF(raw[[#This Row],[city]]="","-",IF(raw[[#This Row],[city]]&lt;&gt;_xlfn.XLOOKUP(raw[[#This Row],[home]],homes[home],homes[city],"-"),1,0))</f>
        <v/>
      </c>
      <c r="T261" s="1398" t="inlineStr">
        <is>
          <t>.</t>
        </is>
      </c>
      <c r="U261" s="1399">
        <f>IF(raw[[#This Row],[wb]]="w",raw[[#This Row],[stay]]+U260,U260)</f>
        <v/>
      </c>
      <c r="V261" s="1400">
        <f>IF(raw[[#This Row],[out]]=0,V260,(raw[[#This Row],[out]]-E$5))</f>
        <v/>
      </c>
      <c r="W261" s="1401">
        <f>U261/V261</f>
        <v/>
      </c>
      <c r="X261" s="1378" t="inlineStr">
        <is>
          <t>.</t>
        </is>
      </c>
      <c r="Y261" s="1402">
        <f/>
        <v/>
      </c>
      <c r="Z261" s="1403">
        <f/>
        <v/>
      </c>
      <c r="AA261" s="1403">
        <f/>
        <v/>
      </c>
      <c r="AB261" s="1400">
        <f t="array" ref="AB261">_xlfn.LET(_xlpm.S,_xlfn.ANCHORARRAY($Y$4),_xlpm.r,ROWS(stayCity[[#Headers],[city]]:stayCity[[#This Row],[city]])-1,IF(_xlpm.r&lt;=ROWS(_xlpm.S),INDEX(_xlpm.S,_xlpm.r,1),""))</f>
        <v/>
      </c>
      <c r="AC261" s="1405">
        <f t="array" ref="AC261">_xlfn.LET(_xlpm.S,_xlfn.ANCHORARRAY($Y$4),_xlpm.r,ROWS(stayCity[[#Headers],[city]]:stayCity[[#This Row],[city]])-1,IF(_xlpm.r&lt;=ROWS(_xlpm.S),INDEX(_xlpm.S,_xlpm.r,2),""))</f>
        <v/>
      </c>
      <c r="AD261" s="1405">
        <f t="array" ref="AD261">_xlfn.LET(_xlpm.S,_xlfn.ANCHORARRAY($Y$4),_xlpm.r,ROWS(stayCity[[#Headers],[city]]:stayCity[[#This Row],[city]])-1,IF(_xlpm.r&lt;=ROWS(_xlpm.S),INDEX(_xlpm.S,_xlpm.r,3),""))</f>
        <v/>
      </c>
      <c r="AE261" s="1400">
        <f>IF(stayCity[[#This Row],[out]]&lt;&gt;"",stayCity[[#This Row],[out]]-stayCity[[#This Row],[in]],"-")</f>
        <v/>
      </c>
      <c r="AF261" s="1406">
        <f>IF(Y261="","-",YEAR(stayCity[[#This Row],[in]]))</f>
        <v/>
      </c>
      <c r="AG261" s="1398" t="inlineStr">
        <is>
          <t>.</t>
        </is>
      </c>
      <c r="AH261" s="1402" t="n"/>
      <c r="AI261" s="1420" t="n"/>
      <c r="AJ261" s="1420" t="n"/>
      <c r="AK261" s="1400">
        <f>IF(AH261="","-",AH261)</f>
        <v/>
      </c>
      <c r="AL261" s="1405">
        <f>AI261</f>
        <v/>
      </c>
      <c r="AM261" s="1405">
        <f>AJ261</f>
        <v/>
      </c>
      <c r="AN261" s="1400">
        <f>stayCtry[[#This Row],[out]]-stayCtry[[#This Row],[in]]</f>
        <v/>
      </c>
      <c r="AO261" s="1406">
        <f>IF(AI261&lt;&gt;"",AO260+1,AO260)</f>
        <v/>
      </c>
      <c r="AP261" s="1398" t="inlineStr">
        <is>
          <t>.</t>
        </is>
      </c>
      <c r="AQ261" s="1402" t="n"/>
      <c r="AR261" s="1403" t="n"/>
      <c r="AS261" s="1403" t="n"/>
      <c r="AT261" s="1400">
        <f>AQ261</f>
        <v/>
      </c>
      <c r="AU261" s="1405">
        <f>AR261</f>
        <v/>
      </c>
      <c r="AV261" s="1405">
        <f>AS261</f>
        <v/>
      </c>
      <c r="AW261" s="1400">
        <f>stayCont[[#This Row],[out]]-stayCont[[#This Row],[in]]</f>
        <v/>
      </c>
      <c r="AX261" s="1406">
        <f>IF(AR261&lt;&gt;"",AX260+1,AX260)</f>
        <v/>
      </c>
      <c r="AY261" s="1398" t="inlineStr">
        <is>
          <t>.</t>
        </is>
      </c>
      <c r="AZ261" s="1402" t="n"/>
      <c r="BA261" s="1403" t="n"/>
      <c r="BB261" s="1403" t="n"/>
      <c r="BC261" s="1405">
        <f>AZ261</f>
        <v/>
      </c>
      <c r="BD261" s="1405">
        <f>BA261</f>
        <v/>
      </c>
      <c r="BE261" s="1405">
        <f>BB261</f>
        <v/>
      </c>
      <c r="BF261" s="1400">
        <f>stayWB[[#This Row],[out]]-stayWB[[#This Row],[in]]</f>
        <v/>
      </c>
      <c r="BG261" s="1400">
        <f>IF(BB261&lt;&gt;"",BG260+1,BG260)</f>
        <v/>
      </c>
      <c r="BH261" s="1398" t="inlineStr">
        <is>
          <t>.</t>
        </is>
      </c>
      <c r="BI261" s="1402" t="inlineStr">
        <is>
          <t>UK</t>
        </is>
      </c>
      <c r="BJ261" s="1402" t="n">
        <v>2024</v>
      </c>
      <c r="BK261" s="1400">
        <f>BI261</f>
        <v/>
      </c>
      <c r="BL261" s="1409">
        <f>BJ261</f>
        <v/>
      </c>
      <c r="BM261" s="1378" t="inlineStr">
        <is>
          <t>.</t>
        </is>
      </c>
      <c r="BN261" s="1411" t="n"/>
      <c r="BO261" s="1400">
        <f>BN261</f>
        <v/>
      </c>
      <c r="BP261" s="1398" t="inlineStr">
        <is>
          <t>.</t>
        </is>
      </c>
      <c r="BQ261" s="1400">
        <f>IF(BR261&lt;&gt;"",BQ260+1,BQ260)</f>
        <v/>
      </c>
      <c r="BR261" s="1411" t="inlineStr">
        <is>
          <t>SSA</t>
        </is>
      </c>
      <c r="BS261" s="1411" t="inlineStr">
        <is>
          <t>SP</t>
        </is>
      </c>
      <c r="BT261" s="1412" t="inlineStr">
        <is>
          <t>SSA-SP</t>
        </is>
      </c>
      <c r="BU261" s="1412" t="n">
        <v>41203</v>
      </c>
      <c r="BV261" s="1398" t="inlineStr">
        <is>
          <t>.</t>
        </is>
      </c>
      <c r="BW261" s="1392" t="n"/>
      <c r="BX261" s="1392" t="n"/>
      <c r="BY261" s="1392" t="n"/>
      <c r="BZ261" s="1416" t="n"/>
      <c r="CA261" s="1392" t="n"/>
      <c r="CB261" s="1392" t="n"/>
      <c r="CC261" s="1392" t="n"/>
      <c r="CD261" s="1392" t="n"/>
      <c r="CE261" s="1392" t="n"/>
      <c r="CF261" s="1392" t="n"/>
      <c r="CG261" s="1392" t="n"/>
      <c r="CH261" s="1392" t="n"/>
      <c r="CI261" s="1392" t="n"/>
      <c r="CJ261" s="1392" t="n"/>
      <c r="CK261" s="1392" t="n"/>
      <c r="CL261" s="1392" t="n"/>
    </row>
    <row r="262">
      <c r="A262" s="5" t="inlineStr">
        <is>
          <t>.</t>
        </is>
      </c>
      <c r="B262" s="5" t="inlineStr">
        <is>
          <t>.</t>
        </is>
      </c>
      <c r="C262" s="1378">
        <f>IF(raw[[#This Row],[city]]="","-",IF(raw[[#This Row],[city]]="TODAY","-",C261+1))</f>
        <v/>
      </c>
      <c r="D262" s="1393" t="inlineStr">
        <is>
          <t>SP</t>
        </is>
      </c>
      <c r="E262" s="1394" t="n">
        <v>33756</v>
      </c>
      <c r="F262" s="1394" t="n">
        <v>33786</v>
      </c>
      <c r="G262" s="1393" t="n">
        <v>1</v>
      </c>
      <c r="H262" s="1393">
        <f>H261</f>
        <v/>
      </c>
      <c r="I262" s="1393" t="inlineStr">
        <is>
          <t>-</t>
        </is>
      </c>
      <c r="J262" s="1393" t="inlineStr">
        <is>
          <t>-</t>
        </is>
      </c>
      <c r="K262" s="1395">
        <f>IF(raw[[#This Row],[city]]&lt;&gt;"",_xlfn.XLOOKUP($D262,ccc[city],ccc[prov],"-"),"-")</f>
        <v/>
      </c>
      <c r="L262" s="1395">
        <f>IF(raw[[#This Row],[city]]&lt;&gt;"",_xlfn.XLOOKUP($D262,ccc[city],ccc[ctry],"-"),"-")</f>
        <v/>
      </c>
      <c r="M262" s="1395">
        <f>IF(raw[[#This Row],[city]]&lt;&gt;"",_xlfn.XLOOKUP($D262,ccc[city],ccc[cont],"-"),"-")</f>
        <v/>
      </c>
      <c r="N262" s="1396">
        <f>IF(raw[[#This Row],[city]]="","-",IF(raw[[#This Row],[cont]]="B",raw[[#This Row],[cont]],"W"))</f>
        <v/>
      </c>
      <c r="O262" s="1397">
        <f>IF(raw[[#This Row],[out]]=0,0,IF(raw[[#This Row],[out]]=raw[[#This Row],[in]],0.01,raw[[#This Row],[out]]-raw[[#This Row],[in]]))</f>
        <v/>
      </c>
      <c r="P262" s="1397">
        <f>IF(raw[[#This Row],[in]]=0,0,MONTH(raw[[#This Row],[in]]))</f>
        <v/>
      </c>
      <c r="Q262" s="1397">
        <f>IF(raw[[#This Row],[in]]=0,0,YEAR(raw[[#This Row],[in]]))</f>
        <v/>
      </c>
      <c r="R262" s="1397">
        <f>INT(raw[[#This Row],[yr]]/10)*10</f>
        <v/>
      </c>
      <c r="S262" s="1395">
        <f>IF(raw[[#This Row],[city]]="","-",IF(raw[[#This Row],[city]]&lt;&gt;_xlfn.XLOOKUP(raw[[#This Row],[home]],homes[home],homes[city],"-"),1,0))</f>
        <v/>
      </c>
      <c r="T262" s="1398" t="inlineStr">
        <is>
          <t>.</t>
        </is>
      </c>
      <c r="U262" s="1399">
        <f>IF(raw[[#This Row],[wb]]="w",raw[[#This Row],[stay]]+U261,U261)</f>
        <v/>
      </c>
      <c r="V262" s="1400">
        <f>IF(raw[[#This Row],[out]]=0,V261,(raw[[#This Row],[out]]-E$5))</f>
        <v/>
      </c>
      <c r="W262" s="1401">
        <f>U262/V262</f>
        <v/>
      </c>
      <c r="X262" s="1378" t="inlineStr">
        <is>
          <t>.</t>
        </is>
      </c>
      <c r="Y262" s="1402">
        <f/>
        <v/>
      </c>
      <c r="Z262" s="1403">
        <f/>
        <v/>
      </c>
      <c r="AA262" s="1403">
        <f/>
        <v/>
      </c>
      <c r="AB262" s="1400">
        <f t="array" ref="AB262">_xlfn.LET(_xlpm.S,_xlfn.ANCHORARRAY($Y$4),_xlpm.r,ROWS(stayCity[[#Headers],[city]]:stayCity[[#This Row],[city]])-1,IF(_xlpm.r&lt;=ROWS(_xlpm.S),INDEX(_xlpm.S,_xlpm.r,1),""))</f>
        <v/>
      </c>
      <c r="AC262" s="1405">
        <f t="array" ref="AC262">_xlfn.LET(_xlpm.S,_xlfn.ANCHORARRAY($Y$4),_xlpm.r,ROWS(stayCity[[#Headers],[city]]:stayCity[[#This Row],[city]])-1,IF(_xlpm.r&lt;=ROWS(_xlpm.S),INDEX(_xlpm.S,_xlpm.r,2),""))</f>
        <v/>
      </c>
      <c r="AD262" s="1405">
        <f t="array" ref="AD262">_xlfn.LET(_xlpm.S,_xlfn.ANCHORARRAY($Y$4),_xlpm.r,ROWS(stayCity[[#Headers],[city]]:stayCity[[#This Row],[city]])-1,IF(_xlpm.r&lt;=ROWS(_xlpm.S),INDEX(_xlpm.S,_xlpm.r,3),""))</f>
        <v/>
      </c>
      <c r="AE262" s="1400">
        <f>IF(stayCity[[#This Row],[out]]&lt;&gt;"",stayCity[[#This Row],[out]]-stayCity[[#This Row],[in]],"-")</f>
        <v/>
      </c>
      <c r="AF262" s="1406">
        <f>IF(Y262="","-",YEAR(stayCity[[#This Row],[in]]))</f>
        <v/>
      </c>
      <c r="AG262" s="1398" t="inlineStr">
        <is>
          <t>.</t>
        </is>
      </c>
      <c r="AH262" s="1402" t="n"/>
      <c r="AI262" s="1420" t="n"/>
      <c r="AJ262" s="1420" t="n"/>
      <c r="AK262" s="1400">
        <f>IF(AH262="","-",AH262)</f>
        <v/>
      </c>
      <c r="AL262" s="1405">
        <f>AI262</f>
        <v/>
      </c>
      <c r="AM262" s="1405">
        <f>AJ262</f>
        <v/>
      </c>
      <c r="AN262" s="1400">
        <f>stayCtry[[#This Row],[out]]-stayCtry[[#This Row],[in]]</f>
        <v/>
      </c>
      <c r="AO262" s="1406">
        <f>IF(AI262&lt;&gt;"",AO261+1,AO261)</f>
        <v/>
      </c>
      <c r="AP262" s="1398" t="inlineStr">
        <is>
          <t>.</t>
        </is>
      </c>
      <c r="AQ262" s="1402" t="n"/>
      <c r="AR262" s="1403" t="n"/>
      <c r="AS262" s="1403" t="n"/>
      <c r="AT262" s="1400">
        <f>AQ262</f>
        <v/>
      </c>
      <c r="AU262" s="1405">
        <f>AR262</f>
        <v/>
      </c>
      <c r="AV262" s="1405">
        <f>AS262</f>
        <v/>
      </c>
      <c r="AW262" s="1400">
        <f>stayCont[[#This Row],[out]]-stayCont[[#This Row],[in]]</f>
        <v/>
      </c>
      <c r="AX262" s="1406">
        <f>IF(AR262&lt;&gt;"",AX261+1,AX261)</f>
        <v/>
      </c>
      <c r="AY262" s="1398" t="inlineStr">
        <is>
          <t>.</t>
        </is>
      </c>
      <c r="AZ262" s="1402" t="n"/>
      <c r="BA262" s="1403" t="n"/>
      <c r="BB262" s="1403" t="n"/>
      <c r="BC262" s="1405">
        <f>AZ262</f>
        <v/>
      </c>
      <c r="BD262" s="1405">
        <f>BA262</f>
        <v/>
      </c>
      <c r="BE262" s="1405">
        <f>BB262</f>
        <v/>
      </c>
      <c r="BF262" s="1400">
        <f>stayWB[[#This Row],[out]]-stayWB[[#This Row],[in]]</f>
        <v/>
      </c>
      <c r="BG262" s="1400">
        <f>IF(BB262&lt;&gt;"",BG261+1,BG261)</f>
        <v/>
      </c>
      <c r="BH262" s="1398" t="inlineStr">
        <is>
          <t>.</t>
        </is>
      </c>
      <c r="BI262" s="1402" t="inlineStr">
        <is>
          <t>CAN</t>
        </is>
      </c>
      <c r="BJ262" s="1402" t="n">
        <v>2024</v>
      </c>
      <c r="BK262" s="1400">
        <f>BI262</f>
        <v/>
      </c>
      <c r="BL262" s="1409">
        <f>BJ262</f>
        <v/>
      </c>
      <c r="BM262" s="1378" t="inlineStr">
        <is>
          <t>.</t>
        </is>
      </c>
      <c r="BN262" s="1411" t="n"/>
      <c r="BO262" s="1400">
        <f>BN262</f>
        <v/>
      </c>
      <c r="BP262" s="1398" t="inlineStr">
        <is>
          <t>.</t>
        </is>
      </c>
      <c r="BQ262" s="1400">
        <f>IF(BR262&lt;&gt;"",BQ261+1,BQ261)</f>
        <v/>
      </c>
      <c r="BR262" s="1411" t="inlineStr">
        <is>
          <t>SP</t>
        </is>
      </c>
      <c r="BS262" s="1411" t="inlineStr">
        <is>
          <t>Detroit</t>
        </is>
      </c>
      <c r="BT262" s="1412" t="inlineStr">
        <is>
          <t>SP-Detroit</t>
        </is>
      </c>
      <c r="BU262" s="1412" t="n">
        <v>41203</v>
      </c>
      <c r="BV262" s="1398" t="inlineStr">
        <is>
          <t>.</t>
        </is>
      </c>
      <c r="BW262" s="1392" t="n"/>
      <c r="BX262" s="1392" t="n"/>
      <c r="BY262" s="1392" t="n"/>
      <c r="BZ262" s="1416" t="n"/>
      <c r="CA262" s="1392" t="n"/>
      <c r="CB262" s="1392" t="n"/>
      <c r="CC262" s="1392" t="n"/>
      <c r="CD262" s="1392" t="n"/>
      <c r="CE262" s="1392" t="n"/>
      <c r="CF262" s="1392" t="n"/>
      <c r="CG262" s="1392" t="n"/>
      <c r="CH262" s="1392" t="n"/>
      <c r="CI262" s="1392" t="n"/>
      <c r="CJ262" s="1392" t="n"/>
      <c r="CK262" s="1392" t="n"/>
      <c r="CL262" s="1392" t="n"/>
    </row>
    <row r="263">
      <c r="A263" s="5" t="inlineStr">
        <is>
          <t>.</t>
        </is>
      </c>
      <c r="B263" s="5" t="inlineStr">
        <is>
          <t>.</t>
        </is>
      </c>
      <c r="C263" s="1378">
        <f>IF(raw[[#This Row],[city]]="","-",IF(raw[[#This Row],[city]]="TODAY","-",C262+1))</f>
        <v/>
      </c>
      <c r="D263" s="1393" t="inlineStr">
        <is>
          <t>SSA</t>
        </is>
      </c>
      <c r="E263" s="1394" t="n">
        <v>33786</v>
      </c>
      <c r="F263" s="1394" t="n">
        <v>33817</v>
      </c>
      <c r="G263" s="1393" t="inlineStr">
        <is>
          <t>-</t>
        </is>
      </c>
      <c r="H263" s="1393">
        <f>H262</f>
        <v/>
      </c>
      <c r="I263" s="1393" t="inlineStr">
        <is>
          <t>Greenfeld</t>
        </is>
      </c>
      <c r="J263" s="1393" t="inlineStr">
        <is>
          <t>-</t>
        </is>
      </c>
      <c r="K263" s="1395">
        <f>IF(raw[[#This Row],[city]]&lt;&gt;"",_xlfn.XLOOKUP($D263,ccc[city],ccc[prov],"-"),"-")</f>
        <v/>
      </c>
      <c r="L263" s="1395">
        <f>IF(raw[[#This Row],[city]]&lt;&gt;"",_xlfn.XLOOKUP($D263,ccc[city],ccc[ctry],"-"),"-")</f>
        <v/>
      </c>
      <c r="M263" s="1395">
        <f>IF(raw[[#This Row],[city]]&lt;&gt;"",_xlfn.XLOOKUP($D263,ccc[city],ccc[cont],"-"),"-")</f>
        <v/>
      </c>
      <c r="N263" s="1396">
        <f>IF(raw[[#This Row],[city]]="","-",IF(raw[[#This Row],[cont]]="B",raw[[#This Row],[cont]],"W"))</f>
        <v/>
      </c>
      <c r="O263" s="1397">
        <f>IF(raw[[#This Row],[out]]=0,0,IF(raw[[#This Row],[out]]=raw[[#This Row],[in]],0.01,raw[[#This Row],[out]]-raw[[#This Row],[in]]))</f>
        <v/>
      </c>
      <c r="P263" s="1397">
        <f>IF(raw[[#This Row],[in]]=0,0,MONTH(raw[[#This Row],[in]]))</f>
        <v/>
      </c>
      <c r="Q263" s="1397">
        <f>IF(raw[[#This Row],[in]]=0,0,YEAR(raw[[#This Row],[in]]))</f>
        <v/>
      </c>
      <c r="R263" s="1397">
        <f>INT(raw[[#This Row],[yr]]/10)*10</f>
        <v/>
      </c>
      <c r="S263" s="1395">
        <f>IF(raw[[#This Row],[city]]="","-",IF(raw[[#This Row],[city]]&lt;&gt;_xlfn.XLOOKUP(raw[[#This Row],[home]],homes[home],homes[city],"-"),1,0))</f>
        <v/>
      </c>
      <c r="T263" s="1398" t="inlineStr">
        <is>
          <t>.</t>
        </is>
      </c>
      <c r="U263" s="1399">
        <f>IF(raw[[#This Row],[wb]]="w",raw[[#This Row],[stay]]+U262,U262)</f>
        <v/>
      </c>
      <c r="V263" s="1400">
        <f>IF(raw[[#This Row],[out]]=0,V262,(raw[[#This Row],[out]]-E$5))</f>
        <v/>
      </c>
      <c r="W263" s="1401">
        <f>U263/V263</f>
        <v/>
      </c>
      <c r="X263" s="1378" t="inlineStr">
        <is>
          <t>.</t>
        </is>
      </c>
      <c r="Y263" s="1402">
        <f/>
        <v/>
      </c>
      <c r="Z263" s="1403">
        <f/>
        <v/>
      </c>
      <c r="AA263" s="1403">
        <f/>
        <v/>
      </c>
      <c r="AB263" s="1400">
        <f t="array" ref="AB263">_xlfn.LET(_xlpm.S,_xlfn.ANCHORARRAY($Y$4),_xlpm.r,ROWS(stayCity[[#Headers],[city]]:stayCity[[#This Row],[city]])-1,IF(_xlpm.r&lt;=ROWS(_xlpm.S),INDEX(_xlpm.S,_xlpm.r,1),""))</f>
        <v/>
      </c>
      <c r="AC263" s="1405">
        <f t="array" ref="AC263">_xlfn.LET(_xlpm.S,_xlfn.ANCHORARRAY($Y$4),_xlpm.r,ROWS(stayCity[[#Headers],[city]]:stayCity[[#This Row],[city]])-1,IF(_xlpm.r&lt;=ROWS(_xlpm.S),INDEX(_xlpm.S,_xlpm.r,2),""))</f>
        <v/>
      </c>
      <c r="AD263" s="1405">
        <f t="array" ref="AD263">_xlfn.LET(_xlpm.S,_xlfn.ANCHORARRAY($Y$4),_xlpm.r,ROWS(stayCity[[#Headers],[city]]:stayCity[[#This Row],[city]])-1,IF(_xlpm.r&lt;=ROWS(_xlpm.S),INDEX(_xlpm.S,_xlpm.r,3),""))</f>
        <v/>
      </c>
      <c r="AE263" s="1400">
        <f>IF(stayCity[[#This Row],[out]]&lt;&gt;"",stayCity[[#This Row],[out]]-stayCity[[#This Row],[in]],"-")</f>
        <v/>
      </c>
      <c r="AF263" s="1406">
        <f>IF(Y263="","-",YEAR(stayCity[[#This Row],[in]]))</f>
        <v/>
      </c>
      <c r="AG263" s="1398" t="inlineStr">
        <is>
          <t>.</t>
        </is>
      </c>
      <c r="AH263" s="1402" t="n"/>
      <c r="AI263" s="1420" t="n"/>
      <c r="AJ263" s="1420" t="n"/>
      <c r="AK263" s="1400">
        <f>IF(AH263="","-",AH263)</f>
        <v/>
      </c>
      <c r="AL263" s="1405">
        <f>AI263</f>
        <v/>
      </c>
      <c r="AM263" s="1405">
        <f>AJ263</f>
        <v/>
      </c>
      <c r="AN263" s="1400">
        <f>stayCtry[[#This Row],[out]]-stayCtry[[#This Row],[in]]</f>
        <v/>
      </c>
      <c r="AO263" s="1406">
        <f>IF(AI263&lt;&gt;"",AO262+1,AO262)</f>
        <v/>
      </c>
      <c r="AP263" s="1398" t="inlineStr">
        <is>
          <t>.</t>
        </is>
      </c>
      <c r="AQ263" s="1402" t="n"/>
      <c r="AR263" s="1403" t="n"/>
      <c r="AS263" s="1403" t="n"/>
      <c r="AT263" s="1400">
        <f>AQ263</f>
        <v/>
      </c>
      <c r="AU263" s="1405">
        <f>AR263</f>
        <v/>
      </c>
      <c r="AV263" s="1405">
        <f>AS263</f>
        <v/>
      </c>
      <c r="AW263" s="1400">
        <f>stayCont[[#This Row],[out]]-stayCont[[#This Row],[in]]</f>
        <v/>
      </c>
      <c r="AX263" s="1406">
        <f>IF(AR263&lt;&gt;"",AX262+1,AX262)</f>
        <v/>
      </c>
      <c r="AY263" s="1398" t="inlineStr">
        <is>
          <t>.</t>
        </is>
      </c>
      <c r="AZ263" s="1402" t="n"/>
      <c r="BA263" s="1403" t="n"/>
      <c r="BB263" s="1403" t="n"/>
      <c r="BC263" s="1405">
        <f>AZ263</f>
        <v/>
      </c>
      <c r="BD263" s="1405">
        <f>BA263</f>
        <v/>
      </c>
      <c r="BE263" s="1405">
        <f>BB263</f>
        <v/>
      </c>
      <c r="BF263" s="1400">
        <f>stayWB[[#This Row],[out]]-stayWB[[#This Row],[in]]</f>
        <v/>
      </c>
      <c r="BG263" s="1400">
        <f>IF(BB263&lt;&gt;"",BG262+1,BG262)</f>
        <v/>
      </c>
      <c r="BH263" s="1398" t="inlineStr">
        <is>
          <t>.</t>
        </is>
      </c>
      <c r="BI263" s="1402" t="inlineStr">
        <is>
          <t>USA</t>
        </is>
      </c>
      <c r="BJ263" s="1402" t="n">
        <v>2024</v>
      </c>
      <c r="BK263" s="1400">
        <f>BI263</f>
        <v/>
      </c>
      <c r="BL263" s="1409">
        <f>BJ263</f>
        <v/>
      </c>
      <c r="BM263" s="1378" t="inlineStr">
        <is>
          <t>.</t>
        </is>
      </c>
      <c r="BN263" s="1411" t="n"/>
      <c r="BO263" s="1400">
        <f>BN263</f>
        <v/>
      </c>
      <c r="BP263" s="1398" t="inlineStr">
        <is>
          <t>.</t>
        </is>
      </c>
      <c r="BQ263" s="1400">
        <f>IF(BR263&lt;&gt;"",BQ262+1,BQ262)</f>
        <v/>
      </c>
      <c r="BR263" s="1411" t="inlineStr">
        <is>
          <t>Detroit</t>
        </is>
      </c>
      <c r="BS263" s="1411" t="inlineStr">
        <is>
          <t>Montreal</t>
        </is>
      </c>
      <c r="BT263" s="1412" t="inlineStr">
        <is>
          <t>Detroit-Montreal</t>
        </is>
      </c>
      <c r="BU263" s="1412" t="n">
        <v>41204</v>
      </c>
      <c r="BV263" s="1398" t="inlineStr">
        <is>
          <t>.</t>
        </is>
      </c>
      <c r="BW263" s="1392" t="n"/>
      <c r="BX263" s="1392" t="n"/>
      <c r="BY263" s="1392" t="n"/>
      <c r="BZ263" s="1416" t="n"/>
      <c r="CA263" s="1392" t="n"/>
      <c r="CB263" s="1392" t="n"/>
      <c r="CC263" s="1392" t="n"/>
      <c r="CD263" s="1392" t="n"/>
      <c r="CE263" s="1392" t="n"/>
      <c r="CF263" s="1392" t="n"/>
      <c r="CG263" s="1392" t="n"/>
      <c r="CH263" s="1392" t="n"/>
      <c r="CI263" s="1392" t="n"/>
      <c r="CJ263" s="1392" t="n"/>
      <c r="CK263" s="1392" t="n"/>
      <c r="CL263" s="1392" t="n"/>
    </row>
    <row r="264">
      <c r="A264" s="5" t="inlineStr">
        <is>
          <t>.</t>
        </is>
      </c>
      <c r="B264" s="5" t="inlineStr">
        <is>
          <t>.</t>
        </is>
      </c>
      <c r="C264" s="1378">
        <f>IF(raw[[#This Row],[city]]="","-",IF(raw[[#This Row],[city]]="TODAY","-",C263+1))</f>
        <v/>
      </c>
      <c r="D264" s="1393" t="inlineStr">
        <is>
          <t>SSA</t>
        </is>
      </c>
      <c r="E264" s="1394" t="n">
        <v>33817</v>
      </c>
      <c r="F264" s="1394" t="n">
        <v>33821</v>
      </c>
      <c r="G264" s="1393" t="n">
        <v>1</v>
      </c>
      <c r="H264" s="1393">
        <f>H263</f>
        <v/>
      </c>
      <c r="I264" s="1393" t="inlineStr">
        <is>
          <t>Greenfeld</t>
        </is>
      </c>
      <c r="J264" s="1393" t="inlineStr">
        <is>
          <t>-</t>
        </is>
      </c>
      <c r="K264" s="1395">
        <f>IF(raw[[#This Row],[city]]&lt;&gt;"",_xlfn.XLOOKUP($D264,ccc[city],ccc[prov],"-"),"-")</f>
        <v/>
      </c>
      <c r="L264" s="1395">
        <f>IF(raw[[#This Row],[city]]&lt;&gt;"",_xlfn.XLOOKUP($D264,ccc[city],ccc[ctry],"-"),"-")</f>
        <v/>
      </c>
      <c r="M264" s="1395">
        <f>IF(raw[[#This Row],[city]]&lt;&gt;"",_xlfn.XLOOKUP($D264,ccc[city],ccc[cont],"-"),"-")</f>
        <v/>
      </c>
      <c r="N264" s="1396">
        <f>IF(raw[[#This Row],[city]]="","-",IF(raw[[#This Row],[cont]]="B",raw[[#This Row],[cont]],"W"))</f>
        <v/>
      </c>
      <c r="O264" s="1397">
        <f>IF(raw[[#This Row],[out]]=0,0,IF(raw[[#This Row],[out]]=raw[[#This Row],[in]],0.01,raw[[#This Row],[out]]-raw[[#This Row],[in]]))</f>
        <v/>
      </c>
      <c r="P264" s="1397">
        <f>IF(raw[[#This Row],[in]]=0,0,MONTH(raw[[#This Row],[in]]))</f>
        <v/>
      </c>
      <c r="Q264" s="1397">
        <f>IF(raw[[#This Row],[in]]=0,0,YEAR(raw[[#This Row],[in]]))</f>
        <v/>
      </c>
      <c r="R264" s="1397">
        <f>INT(raw[[#This Row],[yr]]/10)*10</f>
        <v/>
      </c>
      <c r="S264" s="1395">
        <f>IF(raw[[#This Row],[city]]="","-",IF(raw[[#This Row],[city]]&lt;&gt;_xlfn.XLOOKUP(raw[[#This Row],[home]],homes[home],homes[city],"-"),1,0))</f>
        <v/>
      </c>
      <c r="T264" s="1398" t="inlineStr">
        <is>
          <t>.</t>
        </is>
      </c>
      <c r="U264" s="1399">
        <f>IF(raw[[#This Row],[wb]]="w",raw[[#This Row],[stay]]+U263,U263)</f>
        <v/>
      </c>
      <c r="V264" s="1400">
        <f>IF(raw[[#This Row],[out]]=0,V263,(raw[[#This Row],[out]]-E$5))</f>
        <v/>
      </c>
      <c r="W264" s="1401">
        <f>U264/V264</f>
        <v/>
      </c>
      <c r="X264" s="1378" t="inlineStr">
        <is>
          <t>.</t>
        </is>
      </c>
      <c r="Y264" s="1402">
        <f/>
        <v/>
      </c>
      <c r="Z264" s="1403">
        <f/>
        <v/>
      </c>
      <c r="AA264" s="1403">
        <f/>
        <v/>
      </c>
      <c r="AB264" s="1400">
        <f t="array" ref="AB264">_xlfn.LET(_xlpm.S,_xlfn.ANCHORARRAY($Y$4),_xlpm.r,ROWS(stayCity[[#Headers],[city]]:stayCity[[#This Row],[city]])-1,IF(_xlpm.r&lt;=ROWS(_xlpm.S),INDEX(_xlpm.S,_xlpm.r,1),""))</f>
        <v/>
      </c>
      <c r="AC264" s="1405">
        <f t="array" ref="AC264">_xlfn.LET(_xlpm.S,_xlfn.ANCHORARRAY($Y$4),_xlpm.r,ROWS(stayCity[[#Headers],[city]]:stayCity[[#This Row],[city]])-1,IF(_xlpm.r&lt;=ROWS(_xlpm.S),INDEX(_xlpm.S,_xlpm.r,2),""))</f>
        <v/>
      </c>
      <c r="AD264" s="1405">
        <f t="array" ref="AD264">_xlfn.LET(_xlpm.S,_xlfn.ANCHORARRAY($Y$4),_xlpm.r,ROWS(stayCity[[#Headers],[city]]:stayCity[[#This Row],[city]])-1,IF(_xlpm.r&lt;=ROWS(_xlpm.S),INDEX(_xlpm.S,_xlpm.r,3),""))</f>
        <v/>
      </c>
      <c r="AE264" s="1400">
        <f>IF(stayCity[[#This Row],[out]]&lt;&gt;"",stayCity[[#This Row],[out]]-stayCity[[#This Row],[in]],"-")</f>
        <v/>
      </c>
      <c r="AF264" s="1406">
        <f>IF(Y264="","-",YEAR(stayCity[[#This Row],[in]]))</f>
        <v/>
      </c>
      <c r="AG264" s="1398" t="inlineStr">
        <is>
          <t>.</t>
        </is>
      </c>
      <c r="AH264" s="1402" t="n"/>
      <c r="AI264" s="1420" t="n"/>
      <c r="AJ264" s="1420" t="n"/>
      <c r="AK264" s="1400">
        <f>IF(AH264="","-",AH264)</f>
        <v/>
      </c>
      <c r="AL264" s="1405">
        <f>AI264</f>
        <v/>
      </c>
      <c r="AM264" s="1405">
        <f>AJ264</f>
        <v/>
      </c>
      <c r="AN264" s="1400">
        <f>stayCtry[[#This Row],[out]]-stayCtry[[#This Row],[in]]</f>
        <v/>
      </c>
      <c r="AO264" s="1406">
        <f>IF(AI264&lt;&gt;"",AO263+1,AO263)</f>
        <v/>
      </c>
      <c r="AP264" s="1398" t="inlineStr">
        <is>
          <t>.</t>
        </is>
      </c>
      <c r="AQ264" s="1402" t="n"/>
      <c r="AR264" s="1403" t="n"/>
      <c r="AS264" s="1403" t="n"/>
      <c r="AT264" s="1400">
        <f>AQ264</f>
        <v/>
      </c>
      <c r="AU264" s="1405">
        <f>AR264</f>
        <v/>
      </c>
      <c r="AV264" s="1405">
        <f>AS264</f>
        <v/>
      </c>
      <c r="AW264" s="1400">
        <f>stayCont[[#This Row],[out]]-stayCont[[#This Row],[in]]</f>
        <v/>
      </c>
      <c r="AX264" s="1406">
        <f>IF(AR264&lt;&gt;"",AX263+1,AX263)</f>
        <v/>
      </c>
      <c r="AY264" s="1398" t="inlineStr">
        <is>
          <t>.</t>
        </is>
      </c>
      <c r="AZ264" s="1402" t="n"/>
      <c r="BA264" s="1403" t="n"/>
      <c r="BB264" s="1403" t="n"/>
      <c r="BC264" s="1405">
        <f>AZ264</f>
        <v/>
      </c>
      <c r="BD264" s="1405">
        <f>BA264</f>
        <v/>
      </c>
      <c r="BE264" s="1405">
        <f>BB264</f>
        <v/>
      </c>
      <c r="BF264" s="1400">
        <f>stayWB[[#This Row],[out]]-stayWB[[#This Row],[in]]</f>
        <v/>
      </c>
      <c r="BG264" s="1400">
        <f>IF(BB264&lt;&gt;"",BG263+1,BG263)</f>
        <v/>
      </c>
      <c r="BH264" s="1398" t="inlineStr">
        <is>
          <t>.</t>
        </is>
      </c>
      <c r="BI264" s="1402" t="inlineStr">
        <is>
          <t>BRA</t>
        </is>
      </c>
      <c r="BJ264" s="1402" t="n">
        <v>2024</v>
      </c>
      <c r="BK264" s="1400">
        <f>BI264</f>
        <v/>
      </c>
      <c r="BL264" s="1409">
        <f>BJ264</f>
        <v/>
      </c>
      <c r="BM264" s="1378" t="inlineStr">
        <is>
          <t>.</t>
        </is>
      </c>
      <c r="BN264" s="1411" t="n"/>
      <c r="BO264" s="1400">
        <f>BN264</f>
        <v/>
      </c>
      <c r="BP264" s="1398" t="inlineStr">
        <is>
          <t>.</t>
        </is>
      </c>
      <c r="BQ264" s="1400">
        <f>IF(BR264&lt;&gt;"",BQ263+1,BQ263)</f>
        <v/>
      </c>
      <c r="BR264" s="1411" t="inlineStr">
        <is>
          <t>Montreal</t>
        </is>
      </c>
      <c r="BS264" s="1411" t="inlineStr">
        <is>
          <t>Miami</t>
        </is>
      </c>
      <c r="BT264" s="1412" t="inlineStr">
        <is>
          <t>Montreal-Miami</t>
        </is>
      </c>
      <c r="BU264" s="1412" t="n">
        <v>41282</v>
      </c>
      <c r="BV264" s="1398" t="inlineStr">
        <is>
          <t>.</t>
        </is>
      </c>
      <c r="BW264" s="1392" t="n"/>
      <c r="BX264" s="1392" t="n"/>
      <c r="BY264" s="1392" t="n"/>
      <c r="BZ264" s="1416" t="n"/>
      <c r="CA264" s="1392" t="n"/>
      <c r="CB264" s="1392" t="n"/>
      <c r="CC264" s="1392" t="n"/>
      <c r="CD264" s="1392" t="n"/>
      <c r="CE264" s="1392" t="n"/>
      <c r="CF264" s="1392" t="n"/>
      <c r="CG264" s="1392" t="n"/>
      <c r="CH264" s="1392" t="n"/>
      <c r="CI264" s="1392" t="n"/>
      <c r="CJ264" s="1392" t="n"/>
      <c r="CK264" s="1392" t="n"/>
      <c r="CL264" s="1392" t="n"/>
    </row>
    <row r="265">
      <c r="A265" s="5" t="inlineStr">
        <is>
          <t>.</t>
        </is>
      </c>
      <c r="B265" s="5" t="inlineStr">
        <is>
          <t>.</t>
        </is>
      </c>
      <c r="C265" s="1378">
        <f>IF(raw[[#This Row],[city]]="","-",IF(raw[[#This Row],[city]]="TODAY","-",C264+1))</f>
        <v/>
      </c>
      <c r="D265" s="1393" t="inlineStr">
        <is>
          <t>SP</t>
        </is>
      </c>
      <c r="E265" s="1394" t="n">
        <v>33821</v>
      </c>
      <c r="F265" s="1394" t="n">
        <v>33836</v>
      </c>
      <c r="G265" s="1393" t="n">
        <v>1</v>
      </c>
      <c r="H265" s="1393">
        <f>H264</f>
        <v/>
      </c>
      <c r="I265" s="1393" t="inlineStr">
        <is>
          <t>-</t>
        </is>
      </c>
      <c r="J265" s="1393" t="inlineStr">
        <is>
          <t>-</t>
        </is>
      </c>
      <c r="K265" s="1395">
        <f>IF(raw[[#This Row],[city]]&lt;&gt;"",_xlfn.XLOOKUP($D265,ccc[city],ccc[prov],"-"),"-")</f>
        <v/>
      </c>
      <c r="L265" s="1395">
        <f>IF(raw[[#This Row],[city]]&lt;&gt;"",_xlfn.XLOOKUP($D265,ccc[city],ccc[ctry],"-"),"-")</f>
        <v/>
      </c>
      <c r="M265" s="1395">
        <f>IF(raw[[#This Row],[city]]&lt;&gt;"",_xlfn.XLOOKUP($D265,ccc[city],ccc[cont],"-"),"-")</f>
        <v/>
      </c>
      <c r="N265" s="1396">
        <f>IF(raw[[#This Row],[city]]="","-",IF(raw[[#This Row],[cont]]="B",raw[[#This Row],[cont]],"W"))</f>
        <v/>
      </c>
      <c r="O265" s="1397">
        <f>IF(raw[[#This Row],[out]]=0,0,IF(raw[[#This Row],[out]]=raw[[#This Row],[in]],0.01,raw[[#This Row],[out]]-raw[[#This Row],[in]]))</f>
        <v/>
      </c>
      <c r="P265" s="1397">
        <f>IF(raw[[#This Row],[in]]=0,0,MONTH(raw[[#This Row],[in]]))</f>
        <v/>
      </c>
      <c r="Q265" s="1397">
        <f>IF(raw[[#This Row],[in]]=0,0,YEAR(raw[[#This Row],[in]]))</f>
        <v/>
      </c>
      <c r="R265" s="1397">
        <f>INT(raw[[#This Row],[yr]]/10)*10</f>
        <v/>
      </c>
      <c r="S265" s="1395">
        <f>IF(raw[[#This Row],[city]]="","-",IF(raw[[#This Row],[city]]&lt;&gt;_xlfn.XLOOKUP(raw[[#This Row],[home]],homes[home],homes[city],"-"),1,0))</f>
        <v/>
      </c>
      <c r="T265" s="1398" t="inlineStr">
        <is>
          <t>.</t>
        </is>
      </c>
      <c r="U265" s="1399">
        <f>IF(raw[[#This Row],[wb]]="w",raw[[#This Row],[stay]]+U264,U264)</f>
        <v/>
      </c>
      <c r="V265" s="1400">
        <f>IF(raw[[#This Row],[out]]=0,V264,(raw[[#This Row],[out]]-E$5))</f>
        <v/>
      </c>
      <c r="W265" s="1401">
        <f>U265/V265</f>
        <v/>
      </c>
      <c r="X265" s="1378" t="inlineStr">
        <is>
          <t>.</t>
        </is>
      </c>
      <c r="Y265" s="1402">
        <f/>
        <v/>
      </c>
      <c r="Z265" s="1403">
        <f/>
        <v/>
      </c>
      <c r="AA265" s="1403">
        <f/>
        <v/>
      </c>
      <c r="AB265" s="1400">
        <f t="array" ref="AB265">_xlfn.LET(_xlpm.S,_xlfn.ANCHORARRAY($Y$4),_xlpm.r,ROWS(stayCity[[#Headers],[city]]:stayCity[[#This Row],[city]])-1,IF(_xlpm.r&lt;=ROWS(_xlpm.S),INDEX(_xlpm.S,_xlpm.r,1),""))</f>
        <v/>
      </c>
      <c r="AC265" s="1405">
        <f t="array" ref="AC265">_xlfn.LET(_xlpm.S,_xlfn.ANCHORARRAY($Y$4),_xlpm.r,ROWS(stayCity[[#Headers],[city]]:stayCity[[#This Row],[city]])-1,IF(_xlpm.r&lt;=ROWS(_xlpm.S),INDEX(_xlpm.S,_xlpm.r,2),""))</f>
        <v/>
      </c>
      <c r="AD265" s="1405">
        <f t="array" ref="AD265">_xlfn.LET(_xlpm.S,_xlfn.ANCHORARRAY($Y$4),_xlpm.r,ROWS(stayCity[[#Headers],[city]]:stayCity[[#This Row],[city]])-1,IF(_xlpm.r&lt;=ROWS(_xlpm.S),INDEX(_xlpm.S,_xlpm.r,3),""))</f>
        <v/>
      </c>
      <c r="AE265" s="1400">
        <f>IF(stayCity[[#This Row],[out]]&lt;&gt;"",stayCity[[#This Row],[out]]-stayCity[[#This Row],[in]],"-")</f>
        <v/>
      </c>
      <c r="AF265" s="1406">
        <f>IF(Y265="","-",YEAR(stayCity[[#This Row],[in]]))</f>
        <v/>
      </c>
      <c r="AG265" s="1398" t="inlineStr">
        <is>
          <t>.</t>
        </is>
      </c>
      <c r="AH265" s="1402" t="n"/>
      <c r="AI265" s="1420" t="n"/>
      <c r="AJ265" s="1420" t="n"/>
      <c r="AK265" s="1400">
        <f>IF(AH265="","-",AH265)</f>
        <v/>
      </c>
      <c r="AL265" s="1405">
        <f>AI265</f>
        <v/>
      </c>
      <c r="AM265" s="1405">
        <f>AJ265</f>
        <v/>
      </c>
      <c r="AN265" s="1400">
        <f>stayCtry[[#This Row],[out]]-stayCtry[[#This Row],[in]]</f>
        <v/>
      </c>
      <c r="AO265" s="1406">
        <f>IF(AI265&lt;&gt;"",AO264+1,AO264)</f>
        <v/>
      </c>
      <c r="AP265" s="1398" t="inlineStr">
        <is>
          <t>.</t>
        </is>
      </c>
      <c r="AQ265" s="1402" t="n"/>
      <c r="AR265" s="1403" t="n"/>
      <c r="AS265" s="1403" t="n"/>
      <c r="AT265" s="1400">
        <f>AQ265</f>
        <v/>
      </c>
      <c r="AU265" s="1405">
        <f>AR265</f>
        <v/>
      </c>
      <c r="AV265" s="1405">
        <f>AS265</f>
        <v/>
      </c>
      <c r="AW265" s="1400">
        <f>stayCont[[#This Row],[out]]-stayCont[[#This Row],[in]]</f>
        <v/>
      </c>
      <c r="AX265" s="1406">
        <f>IF(AR265&lt;&gt;"",AX264+1,AX264)</f>
        <v/>
      </c>
      <c r="AY265" s="1398" t="inlineStr">
        <is>
          <t>.</t>
        </is>
      </c>
      <c r="AZ265" s="1402" t="n"/>
      <c r="BA265" s="1403" t="n"/>
      <c r="BB265" s="1403" t="n"/>
      <c r="BC265" s="1405">
        <f>AZ265</f>
        <v/>
      </c>
      <c r="BD265" s="1405">
        <f>BA265</f>
        <v/>
      </c>
      <c r="BE265" s="1405">
        <f>BB265</f>
        <v/>
      </c>
      <c r="BF265" s="1400">
        <f>stayWB[[#This Row],[out]]-stayWB[[#This Row],[in]]</f>
        <v/>
      </c>
      <c r="BG265" s="1400">
        <f>IF(BB265&lt;&gt;"",BG264+1,BG264)</f>
        <v/>
      </c>
      <c r="BH265" s="1398" t="inlineStr">
        <is>
          <t>.</t>
        </is>
      </c>
      <c r="BI265" s="1402" t="inlineStr">
        <is>
          <t>USA</t>
        </is>
      </c>
      <c r="BJ265" s="1402" t="n">
        <v>2024</v>
      </c>
      <c r="BK265" s="1400">
        <f>BI265</f>
        <v/>
      </c>
      <c r="BL265" s="1409">
        <f>BJ265</f>
        <v/>
      </c>
      <c r="BM265" s="1378" t="inlineStr">
        <is>
          <t>.</t>
        </is>
      </c>
      <c r="BN265" s="1411" t="n"/>
      <c r="BO265" s="1400">
        <f>BN265</f>
        <v/>
      </c>
      <c r="BP265" s="1398" t="inlineStr">
        <is>
          <t>.</t>
        </is>
      </c>
      <c r="BQ265" s="1400">
        <f>IF(BR265&lt;&gt;"",BQ264+1,BQ264)</f>
        <v/>
      </c>
      <c r="BR265" s="1411" t="inlineStr">
        <is>
          <t>Miami</t>
        </is>
      </c>
      <c r="BS265" s="1411" t="inlineStr">
        <is>
          <t>Rio</t>
        </is>
      </c>
      <c r="BT265" s="1412" t="inlineStr">
        <is>
          <t>Miami-Rio</t>
        </is>
      </c>
      <c r="BU265" s="1412" t="n">
        <v>41282</v>
      </c>
      <c r="BV265" s="1398" t="inlineStr">
        <is>
          <t>.</t>
        </is>
      </c>
      <c r="BW265" s="1392" t="n"/>
      <c r="BX265" s="1392" t="n"/>
      <c r="BY265" s="1392" t="n"/>
      <c r="BZ265" s="1416" t="n"/>
      <c r="CA265" s="1392" t="n"/>
      <c r="CB265" s="1392" t="n"/>
      <c r="CC265" s="1392" t="n"/>
      <c r="CD265" s="1392" t="n"/>
      <c r="CE265" s="1392" t="n"/>
      <c r="CF265" s="1392" t="n"/>
      <c r="CG265" s="1392" t="n"/>
      <c r="CH265" s="1392" t="n"/>
      <c r="CI265" s="1392" t="n"/>
      <c r="CJ265" s="1392" t="n"/>
      <c r="CK265" s="1392" t="n"/>
      <c r="CL265" s="1392" t="n"/>
    </row>
    <row r="266">
      <c r="A266" s="5" t="inlineStr">
        <is>
          <t>.</t>
        </is>
      </c>
      <c r="B266" s="5" t="inlineStr">
        <is>
          <t>.</t>
        </is>
      </c>
      <c r="C266" s="1378">
        <f>IF(raw[[#This Row],[city]]="","-",IF(raw[[#This Row],[city]]="TODAY","-",C265+1))</f>
        <v/>
      </c>
      <c r="D266" s="1393" t="inlineStr">
        <is>
          <t>SSA</t>
        </is>
      </c>
      <c r="E266" s="1394" t="n">
        <v>33836</v>
      </c>
      <c r="F266" s="1394" t="n">
        <v>33848</v>
      </c>
      <c r="G266" s="1393" t="n">
        <v>1</v>
      </c>
      <c r="H266" s="1393">
        <f>H265</f>
        <v/>
      </c>
      <c r="I266" s="1393" t="inlineStr">
        <is>
          <t>Greenfeld</t>
        </is>
      </c>
      <c r="J266" s="1393" t="inlineStr">
        <is>
          <t>BDAY</t>
        </is>
      </c>
      <c r="K266" s="1395">
        <f>IF(raw[[#This Row],[city]]&lt;&gt;"",_xlfn.XLOOKUP($D266,ccc[city],ccc[prov],"-"),"-")</f>
        <v/>
      </c>
      <c r="L266" s="1395">
        <f>IF(raw[[#This Row],[city]]&lt;&gt;"",_xlfn.XLOOKUP($D266,ccc[city],ccc[ctry],"-"),"-")</f>
        <v/>
      </c>
      <c r="M266" s="1395">
        <f>IF(raw[[#This Row],[city]]&lt;&gt;"",_xlfn.XLOOKUP($D266,ccc[city],ccc[cont],"-"),"-")</f>
        <v/>
      </c>
      <c r="N266" s="1396">
        <f>IF(raw[[#This Row],[city]]="","-",IF(raw[[#This Row],[cont]]="B",raw[[#This Row],[cont]],"W"))</f>
        <v/>
      </c>
      <c r="O266" s="1397">
        <f>IF(raw[[#This Row],[out]]=0,0,IF(raw[[#This Row],[out]]=raw[[#This Row],[in]],0.01,raw[[#This Row],[out]]-raw[[#This Row],[in]]))</f>
        <v/>
      </c>
      <c r="P266" s="1397">
        <f>IF(raw[[#This Row],[in]]=0,0,MONTH(raw[[#This Row],[in]]))</f>
        <v/>
      </c>
      <c r="Q266" s="1397">
        <f>IF(raw[[#This Row],[in]]=0,0,YEAR(raw[[#This Row],[in]]))</f>
        <v/>
      </c>
      <c r="R266" s="1397">
        <f>INT(raw[[#This Row],[yr]]/10)*10</f>
        <v/>
      </c>
      <c r="S266" s="1395">
        <f>IF(raw[[#This Row],[city]]="","-",IF(raw[[#This Row],[city]]&lt;&gt;_xlfn.XLOOKUP(raw[[#This Row],[home]],homes[home],homes[city],"-"),1,0))</f>
        <v/>
      </c>
      <c r="T266" s="1398" t="inlineStr">
        <is>
          <t>.</t>
        </is>
      </c>
      <c r="U266" s="1399">
        <f>IF(raw[[#This Row],[wb]]="w",raw[[#This Row],[stay]]+U265,U265)</f>
        <v/>
      </c>
      <c r="V266" s="1400">
        <f>IF(raw[[#This Row],[out]]=0,V265,(raw[[#This Row],[out]]-E$5))</f>
        <v/>
      </c>
      <c r="W266" s="1401">
        <f>U266/V266</f>
        <v/>
      </c>
      <c r="X266" s="1378" t="inlineStr">
        <is>
          <t>.</t>
        </is>
      </c>
      <c r="Y266" s="1402">
        <f/>
        <v/>
      </c>
      <c r="Z266" s="1403">
        <f/>
        <v/>
      </c>
      <c r="AA266" s="1403">
        <f/>
        <v/>
      </c>
      <c r="AB266" s="1400">
        <f t="array" ref="AB266">_xlfn.LET(_xlpm.S,_xlfn.ANCHORARRAY($Y$4),_xlpm.r,ROWS(stayCity[[#Headers],[city]]:stayCity[[#This Row],[city]])-1,IF(_xlpm.r&lt;=ROWS(_xlpm.S),INDEX(_xlpm.S,_xlpm.r,1),""))</f>
        <v/>
      </c>
      <c r="AC266" s="1405">
        <f t="array" ref="AC266">_xlfn.LET(_xlpm.S,_xlfn.ANCHORARRAY($Y$4),_xlpm.r,ROWS(stayCity[[#Headers],[city]]:stayCity[[#This Row],[city]])-1,IF(_xlpm.r&lt;=ROWS(_xlpm.S),INDEX(_xlpm.S,_xlpm.r,2),""))</f>
        <v/>
      </c>
      <c r="AD266" s="1405">
        <f t="array" ref="AD266">_xlfn.LET(_xlpm.S,_xlfn.ANCHORARRAY($Y$4),_xlpm.r,ROWS(stayCity[[#Headers],[city]]:stayCity[[#This Row],[city]])-1,IF(_xlpm.r&lt;=ROWS(_xlpm.S),INDEX(_xlpm.S,_xlpm.r,3),""))</f>
        <v/>
      </c>
      <c r="AE266" s="1400">
        <f>IF(stayCity[[#This Row],[out]]&lt;&gt;"",stayCity[[#This Row],[out]]-stayCity[[#This Row],[in]],"-")</f>
        <v/>
      </c>
      <c r="AF266" s="1406">
        <f>IF(Y266="","-",YEAR(stayCity[[#This Row],[in]]))</f>
        <v/>
      </c>
      <c r="AG266" s="1398" t="inlineStr">
        <is>
          <t>.</t>
        </is>
      </c>
      <c r="AH266" s="1402" t="n"/>
      <c r="AI266" s="1420" t="n"/>
      <c r="AJ266" s="1420" t="n"/>
      <c r="AK266" s="1400">
        <f>IF(AH266="","-",AH266)</f>
        <v/>
      </c>
      <c r="AL266" s="1405">
        <f>AI266</f>
        <v/>
      </c>
      <c r="AM266" s="1405">
        <f>AJ266</f>
        <v/>
      </c>
      <c r="AN266" s="1400">
        <f>stayCtry[[#This Row],[out]]-stayCtry[[#This Row],[in]]</f>
        <v/>
      </c>
      <c r="AO266" s="1406">
        <f>IF(AI266&lt;&gt;"",AO265+1,AO265)</f>
        <v/>
      </c>
      <c r="AP266" s="1398" t="inlineStr">
        <is>
          <t>.</t>
        </is>
      </c>
      <c r="AQ266" s="1402" t="n"/>
      <c r="AR266" s="1403" t="n"/>
      <c r="AS266" s="1403" t="n"/>
      <c r="AT266" s="1400">
        <f>AQ266</f>
        <v/>
      </c>
      <c r="AU266" s="1405">
        <f>AR266</f>
        <v/>
      </c>
      <c r="AV266" s="1405">
        <f>AS266</f>
        <v/>
      </c>
      <c r="AW266" s="1400">
        <f>stayCont[[#This Row],[out]]-stayCont[[#This Row],[in]]</f>
        <v/>
      </c>
      <c r="AX266" s="1406">
        <f>IF(AR266&lt;&gt;"",AX265+1,AX265)</f>
        <v/>
      </c>
      <c r="AY266" s="1398" t="inlineStr">
        <is>
          <t>.</t>
        </is>
      </c>
      <c r="AZ266" s="1402" t="n"/>
      <c r="BA266" s="1403" t="n"/>
      <c r="BB266" s="1403" t="n"/>
      <c r="BC266" s="1405">
        <f>AZ266</f>
        <v/>
      </c>
      <c r="BD266" s="1405">
        <f>BA266</f>
        <v/>
      </c>
      <c r="BE266" s="1405">
        <f>BB266</f>
        <v/>
      </c>
      <c r="BF266" s="1400">
        <f>stayWB[[#This Row],[out]]-stayWB[[#This Row],[in]]</f>
        <v/>
      </c>
      <c r="BG266" s="1400">
        <f>IF(BB266&lt;&gt;"",BG265+1,BG265)</f>
        <v/>
      </c>
      <c r="BH266" s="1398" t="inlineStr">
        <is>
          <t>.</t>
        </is>
      </c>
      <c r="BI266" s="1402" t="inlineStr">
        <is>
          <t>CAN</t>
        </is>
      </c>
      <c r="BJ266" s="1402" t="n">
        <v>2024</v>
      </c>
      <c r="BK266" s="1400">
        <f>BI266</f>
        <v/>
      </c>
      <c r="BL266" s="1409">
        <f>BJ266</f>
        <v/>
      </c>
      <c r="BM266" s="1378" t="inlineStr">
        <is>
          <t>.</t>
        </is>
      </c>
      <c r="BN266" s="1411" t="n"/>
      <c r="BO266" s="1400">
        <f>BN266</f>
        <v/>
      </c>
      <c r="BP266" s="1398" t="inlineStr">
        <is>
          <t>.</t>
        </is>
      </c>
      <c r="BQ266" s="1400">
        <f>IF(BR266&lt;&gt;"",BQ265+1,BQ265)</f>
        <v/>
      </c>
      <c r="BR266" s="1411" t="inlineStr">
        <is>
          <t>Rio</t>
        </is>
      </c>
      <c r="BS266" s="1411" t="inlineStr">
        <is>
          <t>SSA</t>
        </is>
      </c>
      <c r="BT266" s="1412" t="inlineStr">
        <is>
          <t>Rio-SSA</t>
        </is>
      </c>
      <c r="BU266" s="1412" t="n">
        <v>41285</v>
      </c>
      <c r="BV266" s="1398" t="inlineStr">
        <is>
          <t>.</t>
        </is>
      </c>
      <c r="BW266" s="1392" t="n"/>
      <c r="BX266" s="1392" t="n"/>
      <c r="BY266" s="1392" t="n"/>
      <c r="BZ266" s="1416" t="n"/>
      <c r="CA266" s="1392" t="n"/>
      <c r="CB266" s="1392" t="n"/>
      <c r="CC266" s="1392" t="n"/>
      <c r="CD266" s="1392" t="n"/>
      <c r="CE266" s="1392" t="n"/>
      <c r="CF266" s="1392" t="n"/>
      <c r="CG266" s="1392" t="n"/>
      <c r="CH266" s="1392" t="n"/>
      <c r="CI266" s="1392" t="n"/>
      <c r="CJ266" s="1392" t="n"/>
      <c r="CK266" s="1392" t="n"/>
      <c r="CL266" s="1392" t="n"/>
    </row>
    <row r="267">
      <c r="A267" s="5" t="inlineStr">
        <is>
          <t>.</t>
        </is>
      </c>
      <c r="B267" s="5" t="inlineStr">
        <is>
          <t>.</t>
        </is>
      </c>
      <c r="C267" s="1378">
        <f>IF(raw[[#This Row],[city]]="","-",IF(raw[[#This Row],[city]]="TODAY","-",C266+1))</f>
        <v/>
      </c>
      <c r="D267" s="1393" t="inlineStr">
        <is>
          <t>SP</t>
        </is>
      </c>
      <c r="E267" s="1394" t="n">
        <v>33848</v>
      </c>
      <c r="F267" s="1394" t="n">
        <v>33873</v>
      </c>
      <c r="G267" s="1393" t="n">
        <v>1</v>
      </c>
      <c r="H267" s="1393">
        <f>H266</f>
        <v/>
      </c>
      <c r="I267" s="1393" t="inlineStr">
        <is>
          <t>-</t>
        </is>
      </c>
      <c r="J267" s="1393" t="inlineStr">
        <is>
          <t>-</t>
        </is>
      </c>
      <c r="K267" s="1395">
        <f>IF(raw[[#This Row],[city]]&lt;&gt;"",_xlfn.XLOOKUP($D267,ccc[city],ccc[prov],"-"),"-")</f>
        <v/>
      </c>
      <c r="L267" s="1395">
        <f>IF(raw[[#This Row],[city]]&lt;&gt;"",_xlfn.XLOOKUP($D267,ccc[city],ccc[ctry],"-"),"-")</f>
        <v/>
      </c>
      <c r="M267" s="1395">
        <f>IF(raw[[#This Row],[city]]&lt;&gt;"",_xlfn.XLOOKUP($D267,ccc[city],ccc[cont],"-"),"-")</f>
        <v/>
      </c>
      <c r="N267" s="1396">
        <f>IF(raw[[#This Row],[city]]="","-",IF(raw[[#This Row],[cont]]="B",raw[[#This Row],[cont]],"W"))</f>
        <v/>
      </c>
      <c r="O267" s="1397">
        <f>IF(raw[[#This Row],[out]]=0,0,IF(raw[[#This Row],[out]]=raw[[#This Row],[in]],0.01,raw[[#This Row],[out]]-raw[[#This Row],[in]]))</f>
        <v/>
      </c>
      <c r="P267" s="1397">
        <f>IF(raw[[#This Row],[in]]=0,0,MONTH(raw[[#This Row],[in]]))</f>
        <v/>
      </c>
      <c r="Q267" s="1397">
        <f>IF(raw[[#This Row],[in]]=0,0,YEAR(raw[[#This Row],[in]]))</f>
        <v/>
      </c>
      <c r="R267" s="1397">
        <f>INT(raw[[#This Row],[yr]]/10)*10</f>
        <v/>
      </c>
      <c r="S267" s="1395">
        <f>IF(raw[[#This Row],[city]]="","-",IF(raw[[#This Row],[city]]&lt;&gt;_xlfn.XLOOKUP(raw[[#This Row],[home]],homes[home],homes[city],"-"),1,0))</f>
        <v/>
      </c>
      <c r="T267" s="1398" t="inlineStr">
        <is>
          <t>.</t>
        </is>
      </c>
      <c r="U267" s="1399">
        <f>IF(raw[[#This Row],[wb]]="w",raw[[#This Row],[stay]]+U266,U266)</f>
        <v/>
      </c>
      <c r="V267" s="1400">
        <f>IF(raw[[#This Row],[out]]=0,V266,(raw[[#This Row],[out]]-E$5))</f>
        <v/>
      </c>
      <c r="W267" s="1401">
        <f>U267/V267</f>
        <v/>
      </c>
      <c r="X267" s="1378" t="inlineStr">
        <is>
          <t>.</t>
        </is>
      </c>
      <c r="Y267" s="1402">
        <f/>
        <v/>
      </c>
      <c r="Z267" s="1403">
        <f/>
        <v/>
      </c>
      <c r="AA267" s="1403">
        <f/>
        <v/>
      </c>
      <c r="AB267" s="1400">
        <f t="array" ref="AB267">_xlfn.LET(_xlpm.S,_xlfn.ANCHORARRAY($Y$4),_xlpm.r,ROWS(stayCity[[#Headers],[city]]:stayCity[[#This Row],[city]])-1,IF(_xlpm.r&lt;=ROWS(_xlpm.S),INDEX(_xlpm.S,_xlpm.r,1),""))</f>
        <v/>
      </c>
      <c r="AC267" s="1405">
        <f t="array" ref="AC267">_xlfn.LET(_xlpm.S,_xlfn.ANCHORARRAY($Y$4),_xlpm.r,ROWS(stayCity[[#Headers],[city]]:stayCity[[#This Row],[city]])-1,IF(_xlpm.r&lt;=ROWS(_xlpm.S),INDEX(_xlpm.S,_xlpm.r,2),""))</f>
        <v/>
      </c>
      <c r="AD267" s="1405">
        <f t="array" ref="AD267">_xlfn.LET(_xlpm.S,_xlfn.ANCHORARRAY($Y$4),_xlpm.r,ROWS(stayCity[[#Headers],[city]]:stayCity[[#This Row],[city]])-1,IF(_xlpm.r&lt;=ROWS(_xlpm.S),INDEX(_xlpm.S,_xlpm.r,3),""))</f>
        <v/>
      </c>
      <c r="AE267" s="1400">
        <f>IF(stayCity[[#This Row],[out]]&lt;&gt;"",stayCity[[#This Row],[out]]-stayCity[[#This Row],[in]],"-")</f>
        <v/>
      </c>
      <c r="AF267" s="1406">
        <f>IF(Y267="","-",YEAR(stayCity[[#This Row],[in]]))</f>
        <v/>
      </c>
      <c r="AG267" s="1398" t="inlineStr">
        <is>
          <t>.</t>
        </is>
      </c>
      <c r="AH267" s="1402" t="n"/>
      <c r="AI267" s="1420" t="n"/>
      <c r="AJ267" s="1420" t="n"/>
      <c r="AK267" s="1400">
        <f>IF(AH267="","-",AH267)</f>
        <v/>
      </c>
      <c r="AL267" s="1405">
        <f>AI267</f>
        <v/>
      </c>
      <c r="AM267" s="1405">
        <f>AJ267</f>
        <v/>
      </c>
      <c r="AN267" s="1400">
        <f>stayCtry[[#This Row],[out]]-stayCtry[[#This Row],[in]]</f>
        <v/>
      </c>
      <c r="AO267" s="1406">
        <f>IF(AI267&lt;&gt;"",AO266+1,AO266)</f>
        <v/>
      </c>
      <c r="AP267" s="1398" t="inlineStr">
        <is>
          <t>.</t>
        </is>
      </c>
      <c r="AQ267" s="1402" t="n"/>
      <c r="AR267" s="1403" t="n"/>
      <c r="AS267" s="1403" t="n"/>
      <c r="AT267" s="1400">
        <f>AQ267</f>
        <v/>
      </c>
      <c r="AU267" s="1405">
        <f>AR267</f>
        <v/>
      </c>
      <c r="AV267" s="1405">
        <f>AS267</f>
        <v/>
      </c>
      <c r="AW267" s="1400">
        <f>stayCont[[#This Row],[out]]-stayCont[[#This Row],[in]]</f>
        <v/>
      </c>
      <c r="AX267" s="1406">
        <f>IF(AR267&lt;&gt;"",AX266+1,AX266)</f>
        <v/>
      </c>
      <c r="AY267" s="1398" t="inlineStr">
        <is>
          <t>.</t>
        </is>
      </c>
      <c r="AZ267" s="1402" t="n"/>
      <c r="BA267" s="1403" t="n"/>
      <c r="BB267" s="1403" t="n"/>
      <c r="BC267" s="1405">
        <f>AZ267</f>
        <v/>
      </c>
      <c r="BD267" s="1405">
        <f>BA267</f>
        <v/>
      </c>
      <c r="BE267" s="1405">
        <f>BB267</f>
        <v/>
      </c>
      <c r="BF267" s="1400">
        <f>stayWB[[#This Row],[out]]-stayWB[[#This Row],[in]]</f>
        <v/>
      </c>
      <c r="BG267" s="1400">
        <f>IF(BB267&lt;&gt;"",BG266+1,BG266)</f>
        <v/>
      </c>
      <c r="BH267" s="1398" t="inlineStr">
        <is>
          <t>.</t>
        </is>
      </c>
      <c r="BI267" s="1402" t="inlineStr">
        <is>
          <t>PRT</t>
        </is>
      </c>
      <c r="BJ267" s="1402" t="n">
        <v>2025</v>
      </c>
      <c r="BK267" s="1400">
        <f>BI267</f>
        <v/>
      </c>
      <c r="BL267" s="1409">
        <f>BJ267</f>
        <v/>
      </c>
      <c r="BM267" s="1378" t="inlineStr">
        <is>
          <t>.</t>
        </is>
      </c>
      <c r="BN267" s="1411" t="n"/>
      <c r="BO267" s="1400">
        <f>BN267</f>
        <v/>
      </c>
      <c r="BP267" s="1398" t="inlineStr">
        <is>
          <t>.</t>
        </is>
      </c>
      <c r="BQ267" s="1400">
        <f>IF(BR267&lt;&gt;"",BQ266+1,BQ266)</f>
        <v/>
      </c>
      <c r="BR267" s="1411" t="inlineStr">
        <is>
          <t>SSA</t>
        </is>
      </c>
      <c r="BS267" s="1411" t="inlineStr">
        <is>
          <t>Rio</t>
        </is>
      </c>
      <c r="BT267" s="1412" t="inlineStr">
        <is>
          <t>SSA-Rio</t>
        </is>
      </c>
      <c r="BU267" s="1412" t="n">
        <v>41300</v>
      </c>
      <c r="BV267" s="1398" t="inlineStr">
        <is>
          <t>.</t>
        </is>
      </c>
      <c r="BW267" s="1392" t="n"/>
      <c r="BX267" s="1392" t="n"/>
      <c r="BY267" s="1392" t="n"/>
      <c r="BZ267" s="1416" t="n"/>
      <c r="CA267" s="1392" t="n"/>
      <c r="CB267" s="1392" t="n"/>
      <c r="CC267" s="1392" t="n"/>
      <c r="CD267" s="1392" t="n"/>
      <c r="CE267" s="1392" t="n"/>
      <c r="CF267" s="1392" t="n"/>
      <c r="CG267" s="1392" t="n"/>
      <c r="CH267" s="1392" t="n"/>
      <c r="CI267" s="1392" t="n"/>
      <c r="CJ267" s="1392" t="n"/>
      <c r="CK267" s="1392" t="n"/>
      <c r="CL267" s="1392" t="n"/>
    </row>
    <row r="268">
      <c r="A268" s="5" t="inlineStr">
        <is>
          <t>.</t>
        </is>
      </c>
      <c r="B268" s="5" t="inlineStr">
        <is>
          <t>.</t>
        </is>
      </c>
      <c r="C268" s="1378">
        <f>IF(raw[[#This Row],[city]]="","-",IF(raw[[#This Row],[city]]="TODAY","-",C267+1))</f>
        <v/>
      </c>
      <c r="D268" s="1393" t="inlineStr">
        <is>
          <t>SSA</t>
        </is>
      </c>
      <c r="E268" s="1394" t="n">
        <v>33873</v>
      </c>
      <c r="F268" s="1394" t="n">
        <v>33878</v>
      </c>
      <c r="G268" s="1393" t="inlineStr">
        <is>
          <t>-</t>
        </is>
      </c>
      <c r="H268" s="1393">
        <f>H267</f>
        <v/>
      </c>
      <c r="I268" s="1393" t="inlineStr">
        <is>
          <t>Greenfeld</t>
        </is>
      </c>
      <c r="J268" s="1393" t="inlineStr">
        <is>
          <t>-</t>
        </is>
      </c>
      <c r="K268" s="1395">
        <f>IF(raw[[#This Row],[city]]&lt;&gt;"",_xlfn.XLOOKUP($D268,ccc[city],ccc[prov],"-"),"-")</f>
        <v/>
      </c>
      <c r="L268" s="1395">
        <f>IF(raw[[#This Row],[city]]&lt;&gt;"",_xlfn.XLOOKUP($D268,ccc[city],ccc[ctry],"-"),"-")</f>
        <v/>
      </c>
      <c r="M268" s="1395">
        <f>IF(raw[[#This Row],[city]]&lt;&gt;"",_xlfn.XLOOKUP($D268,ccc[city],ccc[cont],"-"),"-")</f>
        <v/>
      </c>
      <c r="N268" s="1396">
        <f>IF(raw[[#This Row],[city]]="","-",IF(raw[[#This Row],[cont]]="B",raw[[#This Row],[cont]],"W"))</f>
        <v/>
      </c>
      <c r="O268" s="1397">
        <f>IF(raw[[#This Row],[out]]=0,0,IF(raw[[#This Row],[out]]=raw[[#This Row],[in]],0.01,raw[[#This Row],[out]]-raw[[#This Row],[in]]))</f>
        <v/>
      </c>
      <c r="P268" s="1397">
        <f>IF(raw[[#This Row],[in]]=0,0,MONTH(raw[[#This Row],[in]]))</f>
        <v/>
      </c>
      <c r="Q268" s="1397">
        <f>IF(raw[[#This Row],[in]]=0,0,YEAR(raw[[#This Row],[in]]))</f>
        <v/>
      </c>
      <c r="R268" s="1397">
        <f>INT(raw[[#This Row],[yr]]/10)*10</f>
        <v/>
      </c>
      <c r="S268" s="1395">
        <f>IF(raw[[#This Row],[city]]="","-",IF(raw[[#This Row],[city]]&lt;&gt;_xlfn.XLOOKUP(raw[[#This Row],[home]],homes[home],homes[city],"-"),1,0))</f>
        <v/>
      </c>
      <c r="T268" s="1398" t="inlineStr">
        <is>
          <t>.</t>
        </is>
      </c>
      <c r="U268" s="1399">
        <f>IF(raw[[#This Row],[wb]]="w",raw[[#This Row],[stay]]+U267,U267)</f>
        <v/>
      </c>
      <c r="V268" s="1400">
        <f>IF(raw[[#This Row],[out]]=0,V267,(raw[[#This Row],[out]]-E$5))</f>
        <v/>
      </c>
      <c r="W268" s="1401">
        <f>U268/V268</f>
        <v/>
      </c>
      <c r="X268" s="1378" t="inlineStr">
        <is>
          <t>.</t>
        </is>
      </c>
      <c r="Y268" s="1402">
        <f/>
        <v/>
      </c>
      <c r="Z268" s="1403">
        <f/>
        <v/>
      </c>
      <c r="AA268" s="1403">
        <f/>
        <v/>
      </c>
      <c r="AB268" s="1400">
        <f t="array" ref="AB268">_xlfn.LET(_xlpm.S,_xlfn.ANCHORARRAY($Y$4),_xlpm.r,ROWS(stayCity[[#Headers],[city]]:stayCity[[#This Row],[city]])-1,IF(_xlpm.r&lt;=ROWS(_xlpm.S),INDEX(_xlpm.S,_xlpm.r,1),""))</f>
        <v/>
      </c>
      <c r="AC268" s="1405">
        <f t="array" ref="AC268">_xlfn.LET(_xlpm.S,_xlfn.ANCHORARRAY($Y$4),_xlpm.r,ROWS(stayCity[[#Headers],[city]]:stayCity[[#This Row],[city]])-1,IF(_xlpm.r&lt;=ROWS(_xlpm.S),INDEX(_xlpm.S,_xlpm.r,2),""))</f>
        <v/>
      </c>
      <c r="AD268" s="1405">
        <f t="array" ref="AD268">_xlfn.LET(_xlpm.S,_xlfn.ANCHORARRAY($Y$4),_xlpm.r,ROWS(stayCity[[#Headers],[city]]:stayCity[[#This Row],[city]])-1,IF(_xlpm.r&lt;=ROWS(_xlpm.S),INDEX(_xlpm.S,_xlpm.r,3),""))</f>
        <v/>
      </c>
      <c r="AE268" s="1400">
        <f>IF(stayCity[[#This Row],[out]]&lt;&gt;"",stayCity[[#This Row],[out]]-stayCity[[#This Row],[in]],"-")</f>
        <v/>
      </c>
      <c r="AF268" s="1406">
        <f>IF(Y268="","-",YEAR(stayCity[[#This Row],[in]]))</f>
        <v/>
      </c>
      <c r="AG268" s="1398" t="inlineStr">
        <is>
          <t>.</t>
        </is>
      </c>
      <c r="AH268" s="1402" t="n"/>
      <c r="AI268" s="1420" t="n"/>
      <c r="AJ268" s="1420" t="n"/>
      <c r="AK268" s="1400">
        <f>IF(AH268="","-",AH268)</f>
        <v/>
      </c>
      <c r="AL268" s="1405">
        <f>AI268</f>
        <v/>
      </c>
      <c r="AM268" s="1405">
        <f>AJ268</f>
        <v/>
      </c>
      <c r="AN268" s="1400">
        <f>stayCtry[[#This Row],[out]]-stayCtry[[#This Row],[in]]</f>
        <v/>
      </c>
      <c r="AO268" s="1406">
        <f>IF(AI268&lt;&gt;"",AO267+1,AO267)</f>
        <v/>
      </c>
      <c r="AP268" s="1398" t="inlineStr">
        <is>
          <t>.</t>
        </is>
      </c>
      <c r="AQ268" s="1402" t="n"/>
      <c r="AR268" s="1403" t="n"/>
      <c r="AS268" s="1403" t="n"/>
      <c r="AT268" s="1400">
        <f>AQ268</f>
        <v/>
      </c>
      <c r="AU268" s="1405">
        <f>AR268</f>
        <v/>
      </c>
      <c r="AV268" s="1405">
        <f>AS268</f>
        <v/>
      </c>
      <c r="AW268" s="1400">
        <f>stayCont[[#This Row],[out]]-stayCont[[#This Row],[in]]</f>
        <v/>
      </c>
      <c r="AX268" s="1406">
        <f>IF(AR268&lt;&gt;"",AX267+1,AX267)</f>
        <v/>
      </c>
      <c r="AY268" s="1398" t="inlineStr">
        <is>
          <t>.</t>
        </is>
      </c>
      <c r="AZ268" s="1402" t="n"/>
      <c r="BA268" s="1403" t="n"/>
      <c r="BB268" s="1403" t="n"/>
      <c r="BC268" s="1405">
        <f>AZ268</f>
        <v/>
      </c>
      <c r="BD268" s="1405">
        <f>BA268</f>
        <v/>
      </c>
      <c r="BE268" s="1405">
        <f>BB268</f>
        <v/>
      </c>
      <c r="BF268" s="1400">
        <f>stayWB[[#This Row],[out]]-stayWB[[#This Row],[in]]</f>
        <v/>
      </c>
      <c r="BG268" s="1400">
        <f>IF(BB268&lt;&gt;"",BG267+1,BG267)</f>
        <v/>
      </c>
      <c r="BH268" s="1398" t="inlineStr">
        <is>
          <t>.</t>
        </is>
      </c>
      <c r="BI268" s="1402" t="inlineStr">
        <is>
          <t>UK</t>
        </is>
      </c>
      <c r="BJ268" s="1402" t="n">
        <v>2025</v>
      </c>
      <c r="BK268" s="1400">
        <f>BI268</f>
        <v/>
      </c>
      <c r="BL268" s="1409">
        <f>BJ268</f>
        <v/>
      </c>
      <c r="BM268" s="1378" t="inlineStr">
        <is>
          <t>.</t>
        </is>
      </c>
      <c r="BN268" s="1411" t="n"/>
      <c r="BO268" s="1400">
        <f>BN268</f>
        <v/>
      </c>
      <c r="BP268" s="1398" t="inlineStr">
        <is>
          <t>.</t>
        </is>
      </c>
      <c r="BQ268" s="1400">
        <f>IF(BR268&lt;&gt;"",BQ267+1,BQ267)</f>
        <v/>
      </c>
      <c r="BR268" s="1411" t="inlineStr">
        <is>
          <t>Rio</t>
        </is>
      </c>
      <c r="BS268" s="1411" t="inlineStr">
        <is>
          <t>Miami</t>
        </is>
      </c>
      <c r="BT268" s="1412" t="inlineStr">
        <is>
          <t>Rio-Miami</t>
        </is>
      </c>
      <c r="BU268" s="1412" t="n">
        <v>41301</v>
      </c>
      <c r="BV268" s="1398" t="inlineStr">
        <is>
          <t>.</t>
        </is>
      </c>
      <c r="BW268" s="1392" t="n"/>
      <c r="BX268" s="1392" t="n"/>
      <c r="BY268" s="1392" t="n"/>
      <c r="BZ268" s="1416" t="n"/>
      <c r="CA268" s="1392" t="n"/>
      <c r="CB268" s="1392" t="n"/>
      <c r="CC268" s="1392" t="n"/>
      <c r="CD268" s="1392" t="n"/>
      <c r="CE268" s="1392" t="n"/>
      <c r="CF268" s="1392" t="n"/>
      <c r="CG268" s="1392" t="n"/>
      <c r="CH268" s="1392" t="n"/>
      <c r="CI268" s="1392" t="n"/>
      <c r="CJ268" s="1392" t="n"/>
      <c r="CK268" s="1392" t="n"/>
      <c r="CL268" s="1392" t="n"/>
    </row>
    <row r="269">
      <c r="A269" s="5" t="inlineStr">
        <is>
          <t>.</t>
        </is>
      </c>
      <c r="B269" s="5" t="inlineStr">
        <is>
          <t>.</t>
        </is>
      </c>
      <c r="C269" s="1378">
        <f>IF(raw[[#This Row],[city]]="","-",IF(raw[[#This Row],[city]]="TODAY","-",C268+1))</f>
        <v/>
      </c>
      <c r="D269" s="1393" t="inlineStr">
        <is>
          <t>SSA</t>
        </is>
      </c>
      <c r="E269" s="1394" t="n">
        <v>33878</v>
      </c>
      <c r="F269" s="1394" t="n">
        <v>33883</v>
      </c>
      <c r="G269" s="1393" t="n">
        <v>1</v>
      </c>
      <c r="H269" s="1393">
        <f>H268</f>
        <v/>
      </c>
      <c r="I269" s="1393" t="inlineStr">
        <is>
          <t>Greenfeld</t>
        </is>
      </c>
      <c r="J269" s="1393" t="inlineStr">
        <is>
          <t>-</t>
        </is>
      </c>
      <c r="K269" s="1395">
        <f>IF(raw[[#This Row],[city]]&lt;&gt;"",_xlfn.XLOOKUP($D269,ccc[city],ccc[prov],"-"),"-")</f>
        <v/>
      </c>
      <c r="L269" s="1395">
        <f>IF(raw[[#This Row],[city]]&lt;&gt;"",_xlfn.XLOOKUP($D269,ccc[city],ccc[ctry],"-"),"-")</f>
        <v/>
      </c>
      <c r="M269" s="1395">
        <f>IF(raw[[#This Row],[city]]&lt;&gt;"",_xlfn.XLOOKUP($D269,ccc[city],ccc[cont],"-"),"-")</f>
        <v/>
      </c>
      <c r="N269" s="1396">
        <f>IF(raw[[#This Row],[city]]="","-",IF(raw[[#This Row],[cont]]="B",raw[[#This Row],[cont]],"W"))</f>
        <v/>
      </c>
      <c r="O269" s="1397">
        <f>IF(raw[[#This Row],[out]]=0,0,IF(raw[[#This Row],[out]]=raw[[#This Row],[in]],0.01,raw[[#This Row],[out]]-raw[[#This Row],[in]]))</f>
        <v/>
      </c>
      <c r="P269" s="1397">
        <f>IF(raw[[#This Row],[in]]=0,0,MONTH(raw[[#This Row],[in]]))</f>
        <v/>
      </c>
      <c r="Q269" s="1397">
        <f>IF(raw[[#This Row],[in]]=0,0,YEAR(raw[[#This Row],[in]]))</f>
        <v/>
      </c>
      <c r="R269" s="1397">
        <f>INT(raw[[#This Row],[yr]]/10)*10</f>
        <v/>
      </c>
      <c r="S269" s="1395">
        <f>IF(raw[[#This Row],[city]]="","-",IF(raw[[#This Row],[city]]&lt;&gt;_xlfn.XLOOKUP(raw[[#This Row],[home]],homes[home],homes[city],"-"),1,0))</f>
        <v/>
      </c>
      <c r="T269" s="1398" t="inlineStr">
        <is>
          <t>.</t>
        </is>
      </c>
      <c r="U269" s="1399">
        <f>IF(raw[[#This Row],[wb]]="w",raw[[#This Row],[stay]]+U268,U268)</f>
        <v/>
      </c>
      <c r="V269" s="1400">
        <f>IF(raw[[#This Row],[out]]=0,V268,(raw[[#This Row],[out]]-E$5))</f>
        <v/>
      </c>
      <c r="W269" s="1401">
        <f>U269/V269</f>
        <v/>
      </c>
      <c r="X269" s="1378" t="inlineStr">
        <is>
          <t>.</t>
        </is>
      </c>
      <c r="Y269" s="1402">
        <f/>
        <v/>
      </c>
      <c r="Z269" s="1403">
        <f/>
        <v/>
      </c>
      <c r="AA269" s="1403">
        <f/>
        <v/>
      </c>
      <c r="AB269" s="1400">
        <f t="array" ref="AB269">_xlfn.LET(_xlpm.S,_xlfn.ANCHORARRAY($Y$4),_xlpm.r,ROWS(stayCity[[#Headers],[city]]:stayCity[[#This Row],[city]])-1,IF(_xlpm.r&lt;=ROWS(_xlpm.S),INDEX(_xlpm.S,_xlpm.r,1),""))</f>
        <v/>
      </c>
      <c r="AC269" s="1405">
        <f t="array" ref="AC269">_xlfn.LET(_xlpm.S,_xlfn.ANCHORARRAY($Y$4),_xlpm.r,ROWS(stayCity[[#Headers],[city]]:stayCity[[#This Row],[city]])-1,IF(_xlpm.r&lt;=ROWS(_xlpm.S),INDEX(_xlpm.S,_xlpm.r,2),""))</f>
        <v/>
      </c>
      <c r="AD269" s="1405">
        <f t="array" ref="AD269">_xlfn.LET(_xlpm.S,_xlfn.ANCHORARRAY($Y$4),_xlpm.r,ROWS(stayCity[[#Headers],[city]]:stayCity[[#This Row],[city]])-1,IF(_xlpm.r&lt;=ROWS(_xlpm.S),INDEX(_xlpm.S,_xlpm.r,3),""))</f>
        <v/>
      </c>
      <c r="AE269" s="1400">
        <f>IF(stayCity[[#This Row],[out]]&lt;&gt;"",stayCity[[#This Row],[out]]-stayCity[[#This Row],[in]],"-")</f>
        <v/>
      </c>
      <c r="AF269" s="1406">
        <f>IF(Y269="","-",YEAR(stayCity[[#This Row],[in]]))</f>
        <v/>
      </c>
      <c r="AG269" s="1398" t="inlineStr">
        <is>
          <t>.</t>
        </is>
      </c>
      <c r="AH269" s="1402" t="n"/>
      <c r="AI269" s="1420" t="n"/>
      <c r="AJ269" s="1420" t="n"/>
      <c r="AK269" s="1400">
        <f>IF(AH269="","-",AH269)</f>
        <v/>
      </c>
      <c r="AL269" s="1405">
        <f>AI269</f>
        <v/>
      </c>
      <c r="AM269" s="1405">
        <f>AJ269</f>
        <v/>
      </c>
      <c r="AN269" s="1400">
        <f>stayCtry[[#This Row],[out]]-stayCtry[[#This Row],[in]]</f>
        <v/>
      </c>
      <c r="AO269" s="1406">
        <f>IF(AI269&lt;&gt;"",AO268+1,AO268)</f>
        <v/>
      </c>
      <c r="AP269" s="1398" t="inlineStr">
        <is>
          <t>.</t>
        </is>
      </c>
      <c r="AQ269" s="1402" t="n"/>
      <c r="AR269" s="1403" t="n"/>
      <c r="AS269" s="1403" t="n"/>
      <c r="AT269" s="1400">
        <f>AQ269</f>
        <v/>
      </c>
      <c r="AU269" s="1405">
        <f>AR269</f>
        <v/>
      </c>
      <c r="AV269" s="1405">
        <f>AS269</f>
        <v/>
      </c>
      <c r="AW269" s="1400">
        <f>stayCont[[#This Row],[out]]-stayCont[[#This Row],[in]]</f>
        <v/>
      </c>
      <c r="AX269" s="1406">
        <f>IF(AR269&lt;&gt;"",AX268+1,AX268)</f>
        <v/>
      </c>
      <c r="AY269" s="1398" t="inlineStr">
        <is>
          <t>.</t>
        </is>
      </c>
      <c r="AZ269" s="1402" t="n"/>
      <c r="BA269" s="1403" t="n"/>
      <c r="BB269" s="1403" t="n"/>
      <c r="BC269" s="1405">
        <f>AZ269</f>
        <v/>
      </c>
      <c r="BD269" s="1405">
        <f>BA269</f>
        <v/>
      </c>
      <c r="BE269" s="1405">
        <f>BB269</f>
        <v/>
      </c>
      <c r="BF269" s="1400">
        <f>stayWB[[#This Row],[out]]-stayWB[[#This Row],[in]]</f>
        <v/>
      </c>
      <c r="BG269" s="1400">
        <f>IF(BB269&lt;&gt;"",BG268+1,BG268)</f>
        <v/>
      </c>
      <c r="BH269" s="1398" t="inlineStr">
        <is>
          <t>.</t>
        </is>
      </c>
      <c r="BI269" s="1402" t="inlineStr">
        <is>
          <t>PRT</t>
        </is>
      </c>
      <c r="BJ269" s="1402" t="n">
        <v>2025</v>
      </c>
      <c r="BK269" s="1400">
        <f>BI269</f>
        <v/>
      </c>
      <c r="BL269" s="1409">
        <f>BJ269</f>
        <v/>
      </c>
      <c r="BM269" s="1378" t="inlineStr">
        <is>
          <t>.</t>
        </is>
      </c>
      <c r="BN269" s="1411" t="n"/>
      <c r="BO269" s="1400">
        <f>BN269</f>
        <v/>
      </c>
      <c r="BP269" s="1398" t="inlineStr">
        <is>
          <t>.</t>
        </is>
      </c>
      <c r="BQ269" s="1400">
        <f>IF(BR269&lt;&gt;"",BQ268+1,BQ268)</f>
        <v/>
      </c>
      <c r="BR269" s="1411" t="inlineStr">
        <is>
          <t>Miami</t>
        </is>
      </c>
      <c r="BS269" s="1411" t="inlineStr">
        <is>
          <t>Montreal</t>
        </is>
      </c>
      <c r="BT269" s="1412" t="inlineStr">
        <is>
          <t>Miami-Montreal</t>
        </is>
      </c>
      <c r="BU269" s="1412" t="n">
        <v>41302</v>
      </c>
      <c r="BV269" s="1398" t="inlineStr">
        <is>
          <t>.</t>
        </is>
      </c>
      <c r="BW269" s="1392" t="n"/>
      <c r="BX269" s="1392" t="n"/>
      <c r="BY269" s="1392" t="n"/>
      <c r="BZ269" s="1416" t="n"/>
      <c r="CA269" s="1392" t="n"/>
      <c r="CB269" s="1392" t="n"/>
      <c r="CC269" s="1392" t="n"/>
      <c r="CD269" s="1392" t="n"/>
      <c r="CE269" s="1392" t="n"/>
      <c r="CF269" s="1392" t="n"/>
      <c r="CG269" s="1392" t="n"/>
      <c r="CH269" s="1392" t="n"/>
      <c r="CI269" s="1392" t="n"/>
      <c r="CJ269" s="1392" t="n"/>
      <c r="CK269" s="1392" t="n"/>
      <c r="CL269" s="1392" t="n"/>
    </row>
    <row r="270">
      <c r="A270" s="5" t="inlineStr">
        <is>
          <t>.</t>
        </is>
      </c>
      <c r="B270" s="5" t="inlineStr">
        <is>
          <t>.</t>
        </is>
      </c>
      <c r="C270" s="1378">
        <f>IF(raw[[#This Row],[city]]="","-",IF(raw[[#This Row],[city]]="TODAY","-",C269+1))</f>
        <v/>
      </c>
      <c r="D270" s="1393" t="inlineStr">
        <is>
          <t>SP</t>
        </is>
      </c>
      <c r="E270" s="1394" t="n">
        <v>33883</v>
      </c>
      <c r="F270" s="1394" t="n">
        <v>33909</v>
      </c>
      <c r="G270" s="1393" t="inlineStr">
        <is>
          <t>-</t>
        </is>
      </c>
      <c r="H270" s="1393">
        <f>H269</f>
        <v/>
      </c>
      <c r="I270" s="1393" t="inlineStr">
        <is>
          <t>-</t>
        </is>
      </c>
      <c r="J270" s="1393" t="inlineStr">
        <is>
          <t>-</t>
        </is>
      </c>
      <c r="K270" s="1395">
        <f>IF(raw[[#This Row],[city]]&lt;&gt;"",_xlfn.XLOOKUP($D270,ccc[city],ccc[prov],"-"),"-")</f>
        <v/>
      </c>
      <c r="L270" s="1395">
        <f>IF(raw[[#This Row],[city]]&lt;&gt;"",_xlfn.XLOOKUP($D270,ccc[city],ccc[ctry],"-"),"-")</f>
        <v/>
      </c>
      <c r="M270" s="1395">
        <f>IF(raw[[#This Row],[city]]&lt;&gt;"",_xlfn.XLOOKUP($D270,ccc[city],ccc[cont],"-"),"-")</f>
        <v/>
      </c>
      <c r="N270" s="1396">
        <f>IF(raw[[#This Row],[city]]="","-",IF(raw[[#This Row],[cont]]="B",raw[[#This Row],[cont]],"W"))</f>
        <v/>
      </c>
      <c r="O270" s="1397">
        <f>IF(raw[[#This Row],[out]]=0,0,IF(raw[[#This Row],[out]]=raw[[#This Row],[in]],0.01,raw[[#This Row],[out]]-raw[[#This Row],[in]]))</f>
        <v/>
      </c>
      <c r="P270" s="1397">
        <f>IF(raw[[#This Row],[in]]=0,0,MONTH(raw[[#This Row],[in]]))</f>
        <v/>
      </c>
      <c r="Q270" s="1397">
        <f>IF(raw[[#This Row],[in]]=0,0,YEAR(raw[[#This Row],[in]]))</f>
        <v/>
      </c>
      <c r="R270" s="1397">
        <f>INT(raw[[#This Row],[yr]]/10)*10</f>
        <v/>
      </c>
      <c r="S270" s="1395">
        <f>IF(raw[[#This Row],[city]]="","-",IF(raw[[#This Row],[city]]&lt;&gt;_xlfn.XLOOKUP(raw[[#This Row],[home]],homes[home],homes[city],"-"),1,0))</f>
        <v/>
      </c>
      <c r="T270" s="1398" t="inlineStr">
        <is>
          <t>.</t>
        </is>
      </c>
      <c r="U270" s="1399">
        <f>IF(raw[[#This Row],[wb]]="w",raw[[#This Row],[stay]]+U269,U269)</f>
        <v/>
      </c>
      <c r="V270" s="1400">
        <f>IF(raw[[#This Row],[out]]=0,V269,(raw[[#This Row],[out]]-E$5))</f>
        <v/>
      </c>
      <c r="W270" s="1401">
        <f>U270/V270</f>
        <v/>
      </c>
      <c r="X270" s="1378" t="inlineStr">
        <is>
          <t>.</t>
        </is>
      </c>
      <c r="Y270" s="1402">
        <f/>
        <v/>
      </c>
      <c r="Z270" s="1403">
        <f/>
        <v/>
      </c>
      <c r="AA270" s="1403">
        <f/>
        <v/>
      </c>
      <c r="AB270" s="1400">
        <f t="array" ref="AB270">_xlfn.LET(_xlpm.S,_xlfn.ANCHORARRAY($Y$4),_xlpm.r,ROWS(stayCity[[#Headers],[city]]:stayCity[[#This Row],[city]])-1,IF(_xlpm.r&lt;=ROWS(_xlpm.S),INDEX(_xlpm.S,_xlpm.r,1),""))</f>
        <v/>
      </c>
      <c r="AC270" s="1405">
        <f t="array" ref="AC270">_xlfn.LET(_xlpm.S,_xlfn.ANCHORARRAY($Y$4),_xlpm.r,ROWS(stayCity[[#Headers],[city]]:stayCity[[#This Row],[city]])-1,IF(_xlpm.r&lt;=ROWS(_xlpm.S),INDEX(_xlpm.S,_xlpm.r,2),""))</f>
        <v/>
      </c>
      <c r="AD270" s="1405">
        <f t="array" ref="AD270">_xlfn.LET(_xlpm.S,_xlfn.ANCHORARRAY($Y$4),_xlpm.r,ROWS(stayCity[[#Headers],[city]]:stayCity[[#This Row],[city]])-1,IF(_xlpm.r&lt;=ROWS(_xlpm.S),INDEX(_xlpm.S,_xlpm.r,3),""))</f>
        <v/>
      </c>
      <c r="AE270" s="1400">
        <f>IF(stayCity[[#This Row],[out]]&lt;&gt;"",stayCity[[#This Row],[out]]-stayCity[[#This Row],[in]],"-")</f>
        <v/>
      </c>
      <c r="AF270" s="1406">
        <f>IF(Y270="","-",YEAR(stayCity[[#This Row],[in]]))</f>
        <v/>
      </c>
      <c r="AG270" s="1398" t="inlineStr">
        <is>
          <t>.</t>
        </is>
      </c>
      <c r="AH270" s="1402" t="n"/>
      <c r="AI270" s="1420" t="n"/>
      <c r="AJ270" s="1420" t="n"/>
      <c r="AK270" s="1400">
        <f>IF(AH270="","-",AH270)</f>
        <v/>
      </c>
      <c r="AL270" s="1405">
        <f>AI270</f>
        <v/>
      </c>
      <c r="AM270" s="1405">
        <f>AJ270</f>
        <v/>
      </c>
      <c r="AN270" s="1400">
        <f>stayCtry[[#This Row],[out]]-stayCtry[[#This Row],[in]]</f>
        <v/>
      </c>
      <c r="AO270" s="1406">
        <f>IF(AI270&lt;&gt;"",AO269+1,AO269)</f>
        <v/>
      </c>
      <c r="AP270" s="1398" t="inlineStr">
        <is>
          <t>.</t>
        </is>
      </c>
      <c r="AQ270" s="1402" t="n"/>
      <c r="AR270" s="1403" t="n"/>
      <c r="AS270" s="1403" t="n"/>
      <c r="AT270" s="1400">
        <f>AQ270</f>
        <v/>
      </c>
      <c r="AU270" s="1405">
        <f>AR270</f>
        <v/>
      </c>
      <c r="AV270" s="1405">
        <f>AS270</f>
        <v/>
      </c>
      <c r="AW270" s="1400">
        <f>stayCont[[#This Row],[out]]-stayCont[[#This Row],[in]]</f>
        <v/>
      </c>
      <c r="AX270" s="1406">
        <f>IF(AR270&lt;&gt;"",AX269+1,AX269)</f>
        <v/>
      </c>
      <c r="AY270" s="1398" t="inlineStr">
        <is>
          <t>.</t>
        </is>
      </c>
      <c r="AZ270" s="1402" t="n"/>
      <c r="BA270" s="1403" t="n"/>
      <c r="BB270" s="1403" t="n"/>
      <c r="BC270" s="1405">
        <f>AZ270</f>
        <v/>
      </c>
      <c r="BD270" s="1405">
        <f>BA270</f>
        <v/>
      </c>
      <c r="BE270" s="1405">
        <f>BB270</f>
        <v/>
      </c>
      <c r="BF270" s="1400">
        <f>stayWB[[#This Row],[out]]-stayWB[[#This Row],[in]]</f>
        <v/>
      </c>
      <c r="BG270" s="1400">
        <f>IF(BB270&lt;&gt;"",BG269+1,BG269)</f>
        <v/>
      </c>
      <c r="BH270" s="1398" t="inlineStr">
        <is>
          <t>.</t>
        </is>
      </c>
      <c r="BI270" s="1402" t="inlineStr">
        <is>
          <t>CAN</t>
        </is>
      </c>
      <c r="BJ270" s="1402" t="n">
        <v>2025</v>
      </c>
      <c r="BK270" s="1400">
        <f>BI270</f>
        <v/>
      </c>
      <c r="BL270" s="1409">
        <f>BJ270</f>
        <v/>
      </c>
      <c r="BM270" s="1378" t="inlineStr">
        <is>
          <t>.</t>
        </is>
      </c>
      <c r="BN270" s="1411" t="n"/>
      <c r="BO270" s="1400">
        <f>BN270</f>
        <v/>
      </c>
      <c r="BP270" s="1398" t="inlineStr">
        <is>
          <t>.</t>
        </is>
      </c>
      <c r="BQ270" s="1400">
        <f>IF(BR270&lt;&gt;"",BQ269+1,BQ269)</f>
        <v/>
      </c>
      <c r="BR270" s="1411" t="inlineStr">
        <is>
          <t>Montreal</t>
        </is>
      </c>
      <c r="BS270" s="1411" t="inlineStr">
        <is>
          <t>Miami</t>
        </is>
      </c>
      <c r="BT270" s="1412" t="inlineStr">
        <is>
          <t>Montreal-Miami</t>
        </is>
      </c>
      <c r="BU270" s="1412" t="n">
        <v>41623</v>
      </c>
      <c r="BV270" s="1398" t="inlineStr">
        <is>
          <t>.</t>
        </is>
      </c>
      <c r="BW270" s="1392" t="n"/>
      <c r="BX270" s="1392" t="n"/>
      <c r="BY270" s="1392" t="n"/>
      <c r="BZ270" s="1416" t="n"/>
      <c r="CA270" s="1392" t="n"/>
      <c r="CB270" s="1392" t="n"/>
      <c r="CC270" s="1392" t="n"/>
      <c r="CD270" s="1392" t="n"/>
      <c r="CE270" s="1392" t="n"/>
      <c r="CF270" s="1392" t="n"/>
      <c r="CG270" s="1392" t="n"/>
      <c r="CH270" s="1392" t="n"/>
      <c r="CI270" s="1392" t="n"/>
      <c r="CJ270" s="1392" t="n"/>
      <c r="CK270" s="1392" t="n"/>
      <c r="CL270" s="1392" t="n"/>
    </row>
    <row r="271">
      <c r="A271" s="5" t="inlineStr">
        <is>
          <t>.</t>
        </is>
      </c>
      <c r="B271" s="5" t="inlineStr">
        <is>
          <t>.</t>
        </is>
      </c>
      <c r="C271" s="1378">
        <f>IF(raw[[#This Row],[city]]="","-",IF(raw[[#This Row],[city]]="TODAY","-",C270+1))</f>
        <v/>
      </c>
      <c r="D271" s="1393" t="inlineStr">
        <is>
          <t>Rio</t>
        </is>
      </c>
      <c r="E271" s="1394" t="n">
        <v>33909</v>
      </c>
      <c r="F271" s="1394" t="n">
        <v>33916</v>
      </c>
      <c r="G271" s="1393" t="inlineStr">
        <is>
          <t>-</t>
        </is>
      </c>
      <c r="H271" s="1393">
        <f>H270</f>
        <v/>
      </c>
      <c r="I271" s="1393" t="inlineStr">
        <is>
          <t>Meier</t>
        </is>
      </c>
      <c r="J271" s="1393" t="inlineStr">
        <is>
          <t>-</t>
        </is>
      </c>
      <c r="K271" s="1395">
        <f>IF(raw[[#This Row],[city]]&lt;&gt;"",_xlfn.XLOOKUP($D271,ccc[city],ccc[prov],"-"),"-")</f>
        <v/>
      </c>
      <c r="L271" s="1395">
        <f>IF(raw[[#This Row],[city]]&lt;&gt;"",_xlfn.XLOOKUP($D271,ccc[city],ccc[ctry],"-"),"-")</f>
        <v/>
      </c>
      <c r="M271" s="1395">
        <f>IF(raw[[#This Row],[city]]&lt;&gt;"",_xlfn.XLOOKUP($D271,ccc[city],ccc[cont],"-"),"-")</f>
        <v/>
      </c>
      <c r="N271" s="1396">
        <f>IF(raw[[#This Row],[city]]="","-",IF(raw[[#This Row],[cont]]="B",raw[[#This Row],[cont]],"W"))</f>
        <v/>
      </c>
      <c r="O271" s="1397">
        <f>IF(raw[[#This Row],[out]]=0,0,IF(raw[[#This Row],[out]]=raw[[#This Row],[in]],0.01,raw[[#This Row],[out]]-raw[[#This Row],[in]]))</f>
        <v/>
      </c>
      <c r="P271" s="1397">
        <f>IF(raw[[#This Row],[in]]=0,0,MONTH(raw[[#This Row],[in]]))</f>
        <v/>
      </c>
      <c r="Q271" s="1397">
        <f>IF(raw[[#This Row],[in]]=0,0,YEAR(raw[[#This Row],[in]]))</f>
        <v/>
      </c>
      <c r="R271" s="1397">
        <f>INT(raw[[#This Row],[yr]]/10)*10</f>
        <v/>
      </c>
      <c r="S271" s="1395">
        <f>IF(raw[[#This Row],[city]]="","-",IF(raw[[#This Row],[city]]&lt;&gt;_xlfn.XLOOKUP(raw[[#This Row],[home]],homes[home],homes[city],"-"),1,0))</f>
        <v/>
      </c>
      <c r="T271" s="1398" t="inlineStr">
        <is>
          <t>.</t>
        </is>
      </c>
      <c r="U271" s="1399">
        <f>IF(raw[[#This Row],[wb]]="w",raw[[#This Row],[stay]]+U270,U270)</f>
        <v/>
      </c>
      <c r="V271" s="1400">
        <f>IF(raw[[#This Row],[out]]=0,V270,(raw[[#This Row],[out]]-E$5))</f>
        <v/>
      </c>
      <c r="W271" s="1401">
        <f>U271/V271</f>
        <v/>
      </c>
      <c r="X271" s="1378" t="inlineStr">
        <is>
          <t>.</t>
        </is>
      </c>
      <c r="Y271" s="1402">
        <f/>
        <v/>
      </c>
      <c r="Z271" s="1403">
        <f/>
        <v/>
      </c>
      <c r="AA271" s="1403">
        <f/>
        <v/>
      </c>
      <c r="AB271" s="1400">
        <f t="array" ref="AB271">_xlfn.LET(_xlpm.S,_xlfn.ANCHORARRAY($Y$4),_xlpm.r,ROWS(stayCity[[#Headers],[city]]:stayCity[[#This Row],[city]])-1,IF(_xlpm.r&lt;=ROWS(_xlpm.S),INDEX(_xlpm.S,_xlpm.r,1),""))</f>
        <v/>
      </c>
      <c r="AC271" s="1405">
        <f t="array" ref="AC271">_xlfn.LET(_xlpm.S,_xlfn.ANCHORARRAY($Y$4),_xlpm.r,ROWS(stayCity[[#Headers],[city]]:stayCity[[#This Row],[city]])-1,IF(_xlpm.r&lt;=ROWS(_xlpm.S),INDEX(_xlpm.S,_xlpm.r,2),""))</f>
        <v/>
      </c>
      <c r="AD271" s="1405">
        <f t="array" ref="AD271">_xlfn.LET(_xlpm.S,_xlfn.ANCHORARRAY($Y$4),_xlpm.r,ROWS(stayCity[[#Headers],[city]]:stayCity[[#This Row],[city]])-1,IF(_xlpm.r&lt;=ROWS(_xlpm.S),INDEX(_xlpm.S,_xlpm.r,3),""))</f>
        <v/>
      </c>
      <c r="AE271" s="1400">
        <f>IF(stayCity[[#This Row],[out]]&lt;&gt;"",stayCity[[#This Row],[out]]-stayCity[[#This Row],[in]],"-")</f>
        <v/>
      </c>
      <c r="AF271" s="1406">
        <f>IF(Y271="","-",YEAR(stayCity[[#This Row],[in]]))</f>
        <v/>
      </c>
      <c r="AG271" s="1398" t="inlineStr">
        <is>
          <t>.</t>
        </is>
      </c>
      <c r="AH271" s="1402" t="n"/>
      <c r="AI271" s="1420" t="n"/>
      <c r="AJ271" s="1420" t="n"/>
      <c r="AK271" s="1400">
        <f>IF(AH271="","-",AH271)</f>
        <v/>
      </c>
      <c r="AL271" s="1405">
        <f>AI271</f>
        <v/>
      </c>
      <c r="AM271" s="1405">
        <f>AJ271</f>
        <v/>
      </c>
      <c r="AN271" s="1400">
        <f>stayCtry[[#This Row],[out]]-stayCtry[[#This Row],[in]]</f>
        <v/>
      </c>
      <c r="AO271" s="1406">
        <f>IF(AI271&lt;&gt;"",AO270+1,AO270)</f>
        <v/>
      </c>
      <c r="AP271" s="1398" t="inlineStr">
        <is>
          <t>.</t>
        </is>
      </c>
      <c r="AQ271" s="1402" t="n"/>
      <c r="AR271" s="1403" t="n"/>
      <c r="AS271" s="1403" t="n"/>
      <c r="AT271" s="1400">
        <f>AQ271</f>
        <v/>
      </c>
      <c r="AU271" s="1405">
        <f>AR271</f>
        <v/>
      </c>
      <c r="AV271" s="1405">
        <f>AS271</f>
        <v/>
      </c>
      <c r="AW271" s="1400">
        <f>stayCont[[#This Row],[out]]-stayCont[[#This Row],[in]]</f>
        <v/>
      </c>
      <c r="AX271" s="1406">
        <f>IF(AR271&lt;&gt;"",AX270+1,AX270)</f>
        <v/>
      </c>
      <c r="AY271" s="1398" t="inlineStr">
        <is>
          <t>.</t>
        </is>
      </c>
      <c r="AZ271" s="1402" t="n"/>
      <c r="BA271" s="1403" t="n"/>
      <c r="BB271" s="1403" t="n"/>
      <c r="BC271" s="1405">
        <f>AZ271</f>
        <v/>
      </c>
      <c r="BD271" s="1405">
        <f>BA271</f>
        <v/>
      </c>
      <c r="BE271" s="1405">
        <f>BB271</f>
        <v/>
      </c>
      <c r="BF271" s="1400">
        <f>stayWB[[#This Row],[out]]-stayWB[[#This Row],[in]]</f>
        <v/>
      </c>
      <c r="BG271" s="1400">
        <f>IF(BB271&lt;&gt;"",BG270+1,BG270)</f>
        <v/>
      </c>
      <c r="BH271" s="1398" t="inlineStr">
        <is>
          <t>.</t>
        </is>
      </c>
      <c r="BI271" s="1402" t="inlineStr">
        <is>
          <t>PRT</t>
        </is>
      </c>
      <c r="BJ271" s="1402" t="n">
        <v>2025</v>
      </c>
      <c r="BK271" s="1400">
        <f>BI271</f>
        <v/>
      </c>
      <c r="BL271" s="1409">
        <f>BJ271</f>
        <v/>
      </c>
      <c r="BM271" s="1378" t="inlineStr">
        <is>
          <t>.</t>
        </is>
      </c>
      <c r="BN271" s="1411" t="n"/>
      <c r="BO271" s="1400">
        <f>BN271</f>
        <v/>
      </c>
      <c r="BP271" s="1398" t="inlineStr">
        <is>
          <t>.</t>
        </is>
      </c>
      <c r="BQ271" s="1400">
        <f>IF(BR271&lt;&gt;"",BQ270+1,BQ270)</f>
        <v/>
      </c>
      <c r="BR271" s="1411" t="inlineStr">
        <is>
          <t>Miami</t>
        </is>
      </c>
      <c r="BS271" s="1411" t="inlineStr">
        <is>
          <t>SSA</t>
        </is>
      </c>
      <c r="BT271" s="1412" t="inlineStr">
        <is>
          <t>Miami-SSA</t>
        </is>
      </c>
      <c r="BU271" s="1412" t="n">
        <v>41623</v>
      </c>
      <c r="BV271" s="1398" t="inlineStr">
        <is>
          <t>.</t>
        </is>
      </c>
      <c r="BW271" s="1392" t="n"/>
      <c r="BX271" s="1392" t="n"/>
      <c r="BY271" s="1392" t="n"/>
      <c r="BZ271" s="1416" t="n"/>
      <c r="CA271" s="1392" t="n"/>
      <c r="CB271" s="1392" t="n"/>
      <c r="CC271" s="1392" t="n"/>
      <c r="CD271" s="1392" t="n"/>
      <c r="CE271" s="1392" t="n"/>
      <c r="CF271" s="1392" t="n"/>
      <c r="CG271" s="1392" t="n"/>
      <c r="CH271" s="1392" t="n"/>
      <c r="CI271" s="1392" t="n"/>
      <c r="CJ271" s="1392" t="n"/>
      <c r="CK271" s="1392" t="n"/>
      <c r="CL271" s="1392" t="n"/>
    </row>
    <row r="272">
      <c r="A272" s="5" t="inlineStr">
        <is>
          <t>.</t>
        </is>
      </c>
      <c r="B272" s="5" t="inlineStr">
        <is>
          <t>.</t>
        </is>
      </c>
      <c r="C272" s="1378">
        <f>IF(raw[[#This Row],[city]]="","-",IF(raw[[#This Row],[city]]="TODAY","-",C271+1))</f>
        <v/>
      </c>
      <c r="D272" s="1393" t="inlineStr">
        <is>
          <t>SP</t>
        </is>
      </c>
      <c r="E272" s="1394" t="n">
        <v>33916</v>
      </c>
      <c r="F272" s="1394" t="n">
        <v>33928</v>
      </c>
      <c r="G272" s="1393" t="inlineStr">
        <is>
          <t>-</t>
        </is>
      </c>
      <c r="H272" s="1393">
        <f>H271</f>
        <v/>
      </c>
      <c r="I272" s="1393" t="inlineStr">
        <is>
          <t>-</t>
        </is>
      </c>
      <c r="J272" s="1393" t="inlineStr">
        <is>
          <t>-</t>
        </is>
      </c>
      <c r="K272" s="1395">
        <f>IF(raw[[#This Row],[city]]&lt;&gt;"",_xlfn.XLOOKUP($D272,ccc[city],ccc[prov],"-"),"-")</f>
        <v/>
      </c>
      <c r="L272" s="1395">
        <f>IF(raw[[#This Row],[city]]&lt;&gt;"",_xlfn.XLOOKUP($D272,ccc[city],ccc[ctry],"-"),"-")</f>
        <v/>
      </c>
      <c r="M272" s="1395">
        <f>IF(raw[[#This Row],[city]]&lt;&gt;"",_xlfn.XLOOKUP($D272,ccc[city],ccc[cont],"-"),"-")</f>
        <v/>
      </c>
      <c r="N272" s="1396">
        <f>IF(raw[[#This Row],[city]]="","-",IF(raw[[#This Row],[cont]]="B",raw[[#This Row],[cont]],"W"))</f>
        <v/>
      </c>
      <c r="O272" s="1397">
        <f>IF(raw[[#This Row],[out]]=0,0,IF(raw[[#This Row],[out]]=raw[[#This Row],[in]],0.01,raw[[#This Row],[out]]-raw[[#This Row],[in]]))</f>
        <v/>
      </c>
      <c r="P272" s="1397">
        <f>IF(raw[[#This Row],[in]]=0,0,MONTH(raw[[#This Row],[in]]))</f>
        <v/>
      </c>
      <c r="Q272" s="1397">
        <f>IF(raw[[#This Row],[in]]=0,0,YEAR(raw[[#This Row],[in]]))</f>
        <v/>
      </c>
      <c r="R272" s="1397">
        <f>INT(raw[[#This Row],[yr]]/10)*10</f>
        <v/>
      </c>
      <c r="S272" s="1395">
        <f>IF(raw[[#This Row],[city]]="","-",IF(raw[[#This Row],[city]]&lt;&gt;_xlfn.XLOOKUP(raw[[#This Row],[home]],homes[home],homes[city],"-"),1,0))</f>
        <v/>
      </c>
      <c r="T272" s="1398" t="inlineStr">
        <is>
          <t>.</t>
        </is>
      </c>
      <c r="U272" s="1399">
        <f>IF(raw[[#This Row],[wb]]="w",raw[[#This Row],[stay]]+U271,U271)</f>
        <v/>
      </c>
      <c r="V272" s="1400">
        <f>IF(raw[[#This Row],[out]]=0,V271,(raw[[#This Row],[out]]-E$5))</f>
        <v/>
      </c>
      <c r="W272" s="1401">
        <f>U272/V272</f>
        <v/>
      </c>
      <c r="X272" s="1378" t="inlineStr">
        <is>
          <t>.</t>
        </is>
      </c>
      <c r="Y272" s="1402">
        <f/>
        <v/>
      </c>
      <c r="Z272" s="1403">
        <f/>
        <v/>
      </c>
      <c r="AA272" s="1403">
        <f/>
        <v/>
      </c>
      <c r="AB272" s="1400">
        <f t="array" ref="AB272">_xlfn.LET(_xlpm.S,_xlfn.ANCHORARRAY($Y$4),_xlpm.r,ROWS(stayCity[[#Headers],[city]]:stayCity[[#This Row],[city]])-1,IF(_xlpm.r&lt;=ROWS(_xlpm.S),INDEX(_xlpm.S,_xlpm.r,1),""))</f>
        <v/>
      </c>
      <c r="AC272" s="1405">
        <f t="array" ref="AC272">_xlfn.LET(_xlpm.S,_xlfn.ANCHORARRAY($Y$4),_xlpm.r,ROWS(stayCity[[#Headers],[city]]:stayCity[[#This Row],[city]])-1,IF(_xlpm.r&lt;=ROWS(_xlpm.S),INDEX(_xlpm.S,_xlpm.r,2),""))</f>
        <v/>
      </c>
      <c r="AD272" s="1405">
        <f t="array" ref="AD272">_xlfn.LET(_xlpm.S,_xlfn.ANCHORARRAY($Y$4),_xlpm.r,ROWS(stayCity[[#Headers],[city]]:stayCity[[#This Row],[city]])-1,IF(_xlpm.r&lt;=ROWS(_xlpm.S),INDEX(_xlpm.S,_xlpm.r,3),""))</f>
        <v/>
      </c>
      <c r="AE272" s="1400">
        <f>IF(stayCity[[#This Row],[out]]&lt;&gt;"",stayCity[[#This Row],[out]]-stayCity[[#This Row],[in]],"-")</f>
        <v/>
      </c>
      <c r="AF272" s="1406">
        <f>IF(Y272="","-",YEAR(stayCity[[#This Row],[in]]))</f>
        <v/>
      </c>
      <c r="AG272" s="1398" t="inlineStr">
        <is>
          <t>.</t>
        </is>
      </c>
      <c r="AH272" s="1402" t="n"/>
      <c r="AI272" s="1420" t="n"/>
      <c r="AJ272" s="1420" t="n"/>
      <c r="AK272" s="1400">
        <f>IF(AH272="","-",AH272)</f>
        <v/>
      </c>
      <c r="AL272" s="1405">
        <f>AI272</f>
        <v/>
      </c>
      <c r="AM272" s="1405">
        <f>AJ272</f>
        <v/>
      </c>
      <c r="AN272" s="1400">
        <f>stayCtry[[#This Row],[out]]-stayCtry[[#This Row],[in]]</f>
        <v/>
      </c>
      <c r="AO272" s="1406">
        <f>IF(AI272&lt;&gt;"",AO271+1,AO271)</f>
        <v/>
      </c>
      <c r="AP272" s="1398" t="inlineStr">
        <is>
          <t>.</t>
        </is>
      </c>
      <c r="AQ272" s="1402" t="n"/>
      <c r="AR272" s="1403" t="n"/>
      <c r="AS272" s="1403" t="n"/>
      <c r="AT272" s="1400">
        <f>AQ272</f>
        <v/>
      </c>
      <c r="AU272" s="1405">
        <f>AR272</f>
        <v/>
      </c>
      <c r="AV272" s="1405">
        <f>AS272</f>
        <v/>
      </c>
      <c r="AW272" s="1400">
        <f>stayCont[[#This Row],[out]]-stayCont[[#This Row],[in]]</f>
        <v/>
      </c>
      <c r="AX272" s="1406">
        <f>IF(AR272&lt;&gt;"",AX271+1,AX271)</f>
        <v/>
      </c>
      <c r="AY272" s="1398" t="inlineStr">
        <is>
          <t>.</t>
        </is>
      </c>
      <c r="AZ272" s="1402" t="n"/>
      <c r="BA272" s="1403" t="n"/>
      <c r="BB272" s="1403" t="n"/>
      <c r="BC272" s="1405">
        <f>AZ272</f>
        <v/>
      </c>
      <c r="BD272" s="1405">
        <f>BA272</f>
        <v/>
      </c>
      <c r="BE272" s="1405">
        <f>BB272</f>
        <v/>
      </c>
      <c r="BF272" s="1400">
        <f>stayWB[[#This Row],[out]]-stayWB[[#This Row],[in]]</f>
        <v/>
      </c>
      <c r="BG272" s="1400">
        <f>IF(BB272&lt;&gt;"",BG271+1,BG271)</f>
        <v/>
      </c>
      <c r="BH272" s="1398" t="inlineStr">
        <is>
          <t>.</t>
        </is>
      </c>
      <c r="BI272" s="1402" t="inlineStr">
        <is>
          <t>FRA</t>
        </is>
      </c>
      <c r="BJ272" s="1402" t="n">
        <v>2026</v>
      </c>
      <c r="BK272" s="1400">
        <f>BI272</f>
        <v/>
      </c>
      <c r="BL272" s="1409">
        <f>BJ272</f>
        <v/>
      </c>
      <c r="BM272" s="1378" t="inlineStr">
        <is>
          <t>.</t>
        </is>
      </c>
      <c r="BN272" s="1411" t="n"/>
      <c r="BO272" s="1400">
        <f>BN272</f>
        <v/>
      </c>
      <c r="BP272" s="1398" t="inlineStr">
        <is>
          <t>.</t>
        </is>
      </c>
      <c r="BQ272" s="1400">
        <f>IF(BR272&lt;&gt;"",BQ271+1,BQ271)</f>
        <v/>
      </c>
      <c r="BR272" s="1411" t="inlineStr">
        <is>
          <t>SSA</t>
        </is>
      </c>
      <c r="BS272" s="1411" t="inlineStr">
        <is>
          <t>SP</t>
        </is>
      </c>
      <c r="BT272" s="1412" t="inlineStr">
        <is>
          <t>SSA-SP</t>
        </is>
      </c>
      <c r="BU272" s="1412" t="n">
        <v>41645</v>
      </c>
      <c r="BV272" s="1398" t="inlineStr">
        <is>
          <t>.</t>
        </is>
      </c>
      <c r="BW272" s="1392" t="n"/>
      <c r="BX272" s="1392" t="n"/>
      <c r="BY272" s="1392" t="n"/>
      <c r="BZ272" s="1416" t="n"/>
      <c r="CA272" s="1392" t="n"/>
      <c r="CB272" s="1392" t="n"/>
      <c r="CC272" s="1392" t="n"/>
      <c r="CD272" s="1392" t="n"/>
      <c r="CE272" s="1392" t="n"/>
      <c r="CF272" s="1392" t="n"/>
      <c r="CG272" s="1392" t="n"/>
      <c r="CH272" s="1392" t="n"/>
      <c r="CI272" s="1392" t="n"/>
      <c r="CJ272" s="1392" t="n"/>
      <c r="CK272" s="1392" t="n"/>
      <c r="CL272" s="1392" t="n"/>
    </row>
    <row r="273">
      <c r="A273" s="5" t="inlineStr">
        <is>
          <t>.</t>
        </is>
      </c>
      <c r="B273" s="5" t="inlineStr">
        <is>
          <t>.</t>
        </is>
      </c>
      <c r="C273" s="1378">
        <f>IF(raw[[#This Row],[city]]="","-",IF(raw[[#This Row],[city]]="TODAY","-",C272+1))</f>
        <v/>
      </c>
      <c r="D273" s="1393" t="inlineStr">
        <is>
          <t>Rio</t>
        </is>
      </c>
      <c r="E273" s="1394" t="n">
        <v>33928</v>
      </c>
      <c r="F273" s="1394" t="n">
        <v>33936</v>
      </c>
      <c r="G273" s="1393" t="inlineStr">
        <is>
          <t>-</t>
        </is>
      </c>
      <c r="H273" s="1393">
        <f>H272</f>
        <v/>
      </c>
      <c r="I273" s="1393" t="inlineStr">
        <is>
          <t>Meier</t>
        </is>
      </c>
      <c r="J273" s="1393" t="inlineStr">
        <is>
          <t>-</t>
        </is>
      </c>
      <c r="K273" s="1395">
        <f>IF(raw[[#This Row],[city]]&lt;&gt;"",_xlfn.XLOOKUP($D273,ccc[city],ccc[prov],"-"),"-")</f>
        <v/>
      </c>
      <c r="L273" s="1395">
        <f>IF(raw[[#This Row],[city]]&lt;&gt;"",_xlfn.XLOOKUP($D273,ccc[city],ccc[ctry],"-"),"-")</f>
        <v/>
      </c>
      <c r="M273" s="1395">
        <f>IF(raw[[#This Row],[city]]&lt;&gt;"",_xlfn.XLOOKUP($D273,ccc[city],ccc[cont],"-"),"-")</f>
        <v/>
      </c>
      <c r="N273" s="1396">
        <f>IF(raw[[#This Row],[city]]="","-",IF(raw[[#This Row],[cont]]="B",raw[[#This Row],[cont]],"W"))</f>
        <v/>
      </c>
      <c r="O273" s="1397">
        <f>IF(raw[[#This Row],[out]]=0,0,IF(raw[[#This Row],[out]]=raw[[#This Row],[in]],0.01,raw[[#This Row],[out]]-raw[[#This Row],[in]]))</f>
        <v/>
      </c>
      <c r="P273" s="1397">
        <f>IF(raw[[#This Row],[in]]=0,0,MONTH(raw[[#This Row],[in]]))</f>
        <v/>
      </c>
      <c r="Q273" s="1397">
        <f>IF(raw[[#This Row],[in]]=0,0,YEAR(raw[[#This Row],[in]]))</f>
        <v/>
      </c>
      <c r="R273" s="1397">
        <f>INT(raw[[#This Row],[yr]]/10)*10</f>
        <v/>
      </c>
      <c r="S273" s="1395">
        <f>IF(raw[[#This Row],[city]]="","-",IF(raw[[#This Row],[city]]&lt;&gt;_xlfn.XLOOKUP(raw[[#This Row],[home]],homes[home],homes[city],"-"),1,0))</f>
        <v/>
      </c>
      <c r="T273" s="1398" t="inlineStr">
        <is>
          <t>.</t>
        </is>
      </c>
      <c r="U273" s="1399">
        <f>IF(raw[[#This Row],[wb]]="w",raw[[#This Row],[stay]]+U272,U272)</f>
        <v/>
      </c>
      <c r="V273" s="1400">
        <f>IF(raw[[#This Row],[out]]=0,V272,(raw[[#This Row],[out]]-E$5))</f>
        <v/>
      </c>
      <c r="W273" s="1401">
        <f>U273/V273</f>
        <v/>
      </c>
      <c r="X273" s="1378" t="inlineStr">
        <is>
          <t>.</t>
        </is>
      </c>
      <c r="Y273" s="1402">
        <f/>
        <v/>
      </c>
      <c r="Z273" s="1403">
        <f/>
        <v/>
      </c>
      <c r="AA273" s="1403">
        <f/>
        <v/>
      </c>
      <c r="AB273" s="1400">
        <f t="array" ref="AB273">_xlfn.LET(_xlpm.S,_xlfn.ANCHORARRAY($Y$4),_xlpm.r,ROWS(stayCity[[#Headers],[city]]:stayCity[[#This Row],[city]])-1,IF(_xlpm.r&lt;=ROWS(_xlpm.S),INDEX(_xlpm.S,_xlpm.r,1),""))</f>
        <v/>
      </c>
      <c r="AC273" s="1405">
        <f t="array" ref="AC273">_xlfn.LET(_xlpm.S,_xlfn.ANCHORARRAY($Y$4),_xlpm.r,ROWS(stayCity[[#Headers],[city]]:stayCity[[#This Row],[city]])-1,IF(_xlpm.r&lt;=ROWS(_xlpm.S),INDEX(_xlpm.S,_xlpm.r,2),""))</f>
        <v/>
      </c>
      <c r="AD273" s="1405">
        <f t="array" ref="AD273">_xlfn.LET(_xlpm.S,_xlfn.ANCHORARRAY($Y$4),_xlpm.r,ROWS(stayCity[[#Headers],[city]]:stayCity[[#This Row],[city]])-1,IF(_xlpm.r&lt;=ROWS(_xlpm.S),INDEX(_xlpm.S,_xlpm.r,3),""))</f>
        <v/>
      </c>
      <c r="AE273" s="1400">
        <f>IF(stayCity[[#This Row],[out]]&lt;&gt;"",stayCity[[#This Row],[out]]-stayCity[[#This Row],[in]],"-")</f>
        <v/>
      </c>
      <c r="AF273" s="1406">
        <f>IF(Y273="","-",YEAR(stayCity[[#This Row],[in]]))</f>
        <v/>
      </c>
      <c r="AG273" s="1398" t="inlineStr">
        <is>
          <t>.</t>
        </is>
      </c>
      <c r="AH273" s="1402" t="n"/>
      <c r="AI273" s="1420" t="n"/>
      <c r="AJ273" s="1420" t="n"/>
      <c r="AK273" s="1400">
        <f>IF(AH273="","-",AH273)</f>
        <v/>
      </c>
      <c r="AL273" s="1405">
        <f>AI273</f>
        <v/>
      </c>
      <c r="AM273" s="1405">
        <f>AJ273</f>
        <v/>
      </c>
      <c r="AN273" s="1400">
        <f>stayCtry[[#This Row],[out]]-stayCtry[[#This Row],[in]]</f>
        <v/>
      </c>
      <c r="AO273" s="1406">
        <f>IF(AI273&lt;&gt;"",AO272+1,AO272)</f>
        <v/>
      </c>
      <c r="AP273" s="1398" t="inlineStr">
        <is>
          <t>.</t>
        </is>
      </c>
      <c r="AQ273" s="1402" t="n"/>
      <c r="AR273" s="1403" t="n"/>
      <c r="AS273" s="1403" t="n"/>
      <c r="AT273" s="1400">
        <f>AQ273</f>
        <v/>
      </c>
      <c r="AU273" s="1405">
        <f>AR273</f>
        <v/>
      </c>
      <c r="AV273" s="1405">
        <f>AS273</f>
        <v/>
      </c>
      <c r="AW273" s="1400">
        <f>stayCont[[#This Row],[out]]-stayCont[[#This Row],[in]]</f>
        <v/>
      </c>
      <c r="AX273" s="1406">
        <f>IF(AR273&lt;&gt;"",AX272+1,AX272)</f>
        <v/>
      </c>
      <c r="AY273" s="1398" t="inlineStr">
        <is>
          <t>.</t>
        </is>
      </c>
      <c r="AZ273" s="1402" t="n"/>
      <c r="BA273" s="1403" t="n"/>
      <c r="BB273" s="1403" t="n"/>
      <c r="BC273" s="1405">
        <f>AZ273</f>
        <v/>
      </c>
      <c r="BD273" s="1405">
        <f>BA273</f>
        <v/>
      </c>
      <c r="BE273" s="1405">
        <f>BB273</f>
        <v/>
      </c>
      <c r="BF273" s="1400">
        <f>stayWB[[#This Row],[out]]-stayWB[[#This Row],[in]]</f>
        <v/>
      </c>
      <c r="BG273" s="1400">
        <f>IF(BB273&lt;&gt;"",BG272+1,BG272)</f>
        <v/>
      </c>
      <c r="BH273" s="1398" t="inlineStr">
        <is>
          <t>.</t>
        </is>
      </c>
      <c r="BI273" s="1402" t="inlineStr">
        <is>
          <t>PRT</t>
        </is>
      </c>
      <c r="BJ273" s="1402" t="n">
        <v>2026</v>
      </c>
      <c r="BK273" s="1400">
        <f>BI273</f>
        <v/>
      </c>
      <c r="BL273" s="1409">
        <f>BJ273</f>
        <v/>
      </c>
      <c r="BM273" s="1378" t="inlineStr">
        <is>
          <t>.</t>
        </is>
      </c>
      <c r="BN273" s="1411" t="n"/>
      <c r="BO273" s="1400">
        <f>BN273</f>
        <v/>
      </c>
      <c r="BP273" s="1398" t="inlineStr">
        <is>
          <t>.</t>
        </is>
      </c>
      <c r="BQ273" s="1400">
        <f>IF(BR273&lt;&gt;"",BQ272+1,BQ272)</f>
        <v/>
      </c>
      <c r="BR273" s="1411" t="inlineStr">
        <is>
          <t>SP</t>
        </is>
      </c>
      <c r="BS273" s="1411" t="inlineStr">
        <is>
          <t>Rio</t>
        </is>
      </c>
      <c r="BT273" s="1412" t="inlineStr">
        <is>
          <t>SP-Rio</t>
        </is>
      </c>
      <c r="BU273" s="1412" t="n">
        <v>41648</v>
      </c>
      <c r="BV273" s="1398" t="inlineStr">
        <is>
          <t>.</t>
        </is>
      </c>
      <c r="BW273" s="1392" t="n"/>
      <c r="BX273" s="1392" t="n"/>
      <c r="BY273" s="1392" t="n"/>
      <c r="BZ273" s="1416" t="n"/>
      <c r="CA273" s="1392" t="n"/>
      <c r="CB273" s="1392" t="n"/>
      <c r="CC273" s="1392" t="n"/>
      <c r="CD273" s="1392" t="n"/>
      <c r="CE273" s="1392" t="n"/>
      <c r="CF273" s="1392" t="n"/>
      <c r="CG273" s="1392" t="n"/>
      <c r="CH273" s="1392" t="n"/>
      <c r="CI273" s="1392" t="n"/>
      <c r="CJ273" s="1392" t="n"/>
      <c r="CK273" s="1392" t="n"/>
      <c r="CL273" s="1392" t="n"/>
    </row>
    <row r="274">
      <c r="A274" s="5" t="inlineStr">
        <is>
          <t>.</t>
        </is>
      </c>
      <c r="B274" s="5" t="inlineStr">
        <is>
          <t>.</t>
        </is>
      </c>
      <c r="C274" s="1378">
        <f>IF(raw[[#This Row],[city]]="","-",IF(raw[[#This Row],[city]]="TODAY","-",C273+1))</f>
        <v/>
      </c>
      <c r="D274" s="1393" t="inlineStr">
        <is>
          <t>SP</t>
        </is>
      </c>
      <c r="E274" s="1394" t="n">
        <v>33936</v>
      </c>
      <c r="F274" s="1394" t="n">
        <v>33937</v>
      </c>
      <c r="G274" s="1393" t="n">
        <v>1</v>
      </c>
      <c r="H274" s="1393">
        <f>H273</f>
        <v/>
      </c>
      <c r="I274" s="1393" t="inlineStr">
        <is>
          <t>-</t>
        </is>
      </c>
      <c r="J274" s="1393" t="inlineStr">
        <is>
          <t>-</t>
        </is>
      </c>
      <c r="K274" s="1395">
        <f>IF(raw[[#This Row],[city]]&lt;&gt;"",_xlfn.XLOOKUP($D274,ccc[city],ccc[prov],"-"),"-")</f>
        <v/>
      </c>
      <c r="L274" s="1395">
        <f>IF(raw[[#This Row],[city]]&lt;&gt;"",_xlfn.XLOOKUP($D274,ccc[city],ccc[ctry],"-"),"-")</f>
        <v/>
      </c>
      <c r="M274" s="1395">
        <f>IF(raw[[#This Row],[city]]&lt;&gt;"",_xlfn.XLOOKUP($D274,ccc[city],ccc[cont],"-"),"-")</f>
        <v/>
      </c>
      <c r="N274" s="1396">
        <f>IF(raw[[#This Row],[city]]="","-",IF(raw[[#This Row],[cont]]="B",raw[[#This Row],[cont]],"W"))</f>
        <v/>
      </c>
      <c r="O274" s="1397">
        <f>IF(raw[[#This Row],[out]]=0,0,IF(raw[[#This Row],[out]]=raw[[#This Row],[in]],0.01,raw[[#This Row],[out]]-raw[[#This Row],[in]]))</f>
        <v/>
      </c>
      <c r="P274" s="1397">
        <f>IF(raw[[#This Row],[in]]=0,0,MONTH(raw[[#This Row],[in]]))</f>
        <v/>
      </c>
      <c r="Q274" s="1397">
        <f>IF(raw[[#This Row],[in]]=0,0,YEAR(raw[[#This Row],[in]]))</f>
        <v/>
      </c>
      <c r="R274" s="1397">
        <f>INT(raw[[#This Row],[yr]]/10)*10</f>
        <v/>
      </c>
      <c r="S274" s="1395">
        <f>IF(raw[[#This Row],[city]]="","-",IF(raw[[#This Row],[city]]&lt;&gt;_xlfn.XLOOKUP(raw[[#This Row],[home]],homes[home],homes[city],"-"),1,0))</f>
        <v/>
      </c>
      <c r="T274" s="1398" t="inlineStr">
        <is>
          <t>.</t>
        </is>
      </c>
      <c r="U274" s="1399">
        <f>IF(raw[[#This Row],[wb]]="w",raw[[#This Row],[stay]]+U273,U273)</f>
        <v/>
      </c>
      <c r="V274" s="1400">
        <f>IF(raw[[#This Row],[out]]=0,V273,(raw[[#This Row],[out]]-E$5))</f>
        <v/>
      </c>
      <c r="W274" s="1401">
        <f>U274/V274</f>
        <v/>
      </c>
      <c r="X274" s="1378" t="inlineStr">
        <is>
          <t>.</t>
        </is>
      </c>
      <c r="Y274" s="1402">
        <f/>
        <v/>
      </c>
      <c r="Z274" s="1403">
        <f/>
        <v/>
      </c>
      <c r="AA274" s="1403">
        <f/>
        <v/>
      </c>
      <c r="AB274" s="1400">
        <f t="array" ref="AB274">_xlfn.LET(_xlpm.S,_xlfn.ANCHORARRAY($Y$4),_xlpm.r,ROWS(stayCity[[#Headers],[city]]:stayCity[[#This Row],[city]])-1,IF(_xlpm.r&lt;=ROWS(_xlpm.S),INDEX(_xlpm.S,_xlpm.r,1),""))</f>
        <v/>
      </c>
      <c r="AC274" s="1405">
        <f t="array" ref="AC274">_xlfn.LET(_xlpm.S,_xlfn.ANCHORARRAY($Y$4),_xlpm.r,ROWS(stayCity[[#Headers],[city]]:stayCity[[#This Row],[city]])-1,IF(_xlpm.r&lt;=ROWS(_xlpm.S),INDEX(_xlpm.S,_xlpm.r,2),""))</f>
        <v/>
      </c>
      <c r="AD274" s="1405">
        <f t="array" ref="AD274">_xlfn.LET(_xlpm.S,_xlfn.ANCHORARRAY($Y$4),_xlpm.r,ROWS(stayCity[[#Headers],[city]]:stayCity[[#This Row],[city]])-1,IF(_xlpm.r&lt;=ROWS(_xlpm.S),INDEX(_xlpm.S,_xlpm.r,3),""))</f>
        <v/>
      </c>
      <c r="AE274" s="1400">
        <f>IF(stayCity[[#This Row],[out]]&lt;&gt;"",stayCity[[#This Row],[out]]-stayCity[[#This Row],[in]],"-")</f>
        <v/>
      </c>
      <c r="AF274" s="1406">
        <f>IF(Y274="","-",YEAR(stayCity[[#This Row],[in]]))</f>
        <v/>
      </c>
      <c r="AG274" s="1398" t="inlineStr">
        <is>
          <t>.</t>
        </is>
      </c>
      <c r="AH274" s="1402" t="n"/>
      <c r="AI274" s="1420" t="n"/>
      <c r="AJ274" s="1420" t="n"/>
      <c r="AK274" s="1400">
        <f>IF(AH274="","-",AH274)</f>
        <v/>
      </c>
      <c r="AL274" s="1405">
        <f>AI274</f>
        <v/>
      </c>
      <c r="AM274" s="1405">
        <f>AJ274</f>
        <v/>
      </c>
      <c r="AN274" s="1400">
        <f>stayCtry[[#This Row],[out]]-stayCtry[[#This Row],[in]]</f>
        <v/>
      </c>
      <c r="AO274" s="1406">
        <f>IF(AI274&lt;&gt;"",AO273+1,AO273)</f>
        <v/>
      </c>
      <c r="AP274" s="1398" t="inlineStr">
        <is>
          <t>.</t>
        </is>
      </c>
      <c r="AQ274" s="1402" t="n"/>
      <c r="AR274" s="1403" t="n"/>
      <c r="AS274" s="1403" t="n"/>
      <c r="AT274" s="1400">
        <f>AQ274</f>
        <v/>
      </c>
      <c r="AU274" s="1405">
        <f>AR274</f>
        <v/>
      </c>
      <c r="AV274" s="1405">
        <f>AS274</f>
        <v/>
      </c>
      <c r="AW274" s="1400">
        <f>stayCont[[#This Row],[out]]-stayCont[[#This Row],[in]]</f>
        <v/>
      </c>
      <c r="AX274" s="1406">
        <f>IF(AR274&lt;&gt;"",AX273+1,AX273)</f>
        <v/>
      </c>
      <c r="AY274" s="1398" t="inlineStr">
        <is>
          <t>.</t>
        </is>
      </c>
      <c r="AZ274" s="1402" t="n"/>
      <c r="BA274" s="1403" t="n"/>
      <c r="BB274" s="1403" t="n"/>
      <c r="BC274" s="1405">
        <f>AZ274</f>
        <v/>
      </c>
      <c r="BD274" s="1405">
        <f>BA274</f>
        <v/>
      </c>
      <c r="BE274" s="1405">
        <f>BB274</f>
        <v/>
      </c>
      <c r="BF274" s="1400">
        <f>stayWB[[#This Row],[out]]-stayWB[[#This Row],[in]]</f>
        <v/>
      </c>
      <c r="BG274" s="1400">
        <f>IF(BB274&lt;&gt;"",BG273+1,BG273)</f>
        <v/>
      </c>
      <c r="BH274" s="1398" t="inlineStr">
        <is>
          <t>.</t>
        </is>
      </c>
      <c r="BI274" s="1402" t="inlineStr">
        <is>
          <t>ITA</t>
        </is>
      </c>
      <c r="BJ274" s="1402" t="n">
        <v>2026</v>
      </c>
      <c r="BK274" s="1400">
        <f>BI274</f>
        <v/>
      </c>
      <c r="BL274" s="1409">
        <f>BJ274</f>
        <v/>
      </c>
      <c r="BM274" s="1378" t="inlineStr">
        <is>
          <t>.</t>
        </is>
      </c>
      <c r="BN274" s="1411" t="n"/>
      <c r="BO274" s="1400">
        <f>BN274</f>
        <v/>
      </c>
      <c r="BP274" s="1398" t="inlineStr">
        <is>
          <t>.</t>
        </is>
      </c>
      <c r="BQ274" s="1400">
        <f>IF(BR274&lt;&gt;"",BQ273+1,BQ273)</f>
        <v/>
      </c>
      <c r="BR274" s="1411" t="inlineStr">
        <is>
          <t>Rio</t>
        </is>
      </c>
      <c r="BS274" s="1411" t="inlineStr">
        <is>
          <t>SSA</t>
        </is>
      </c>
      <c r="BT274" s="1412" t="inlineStr">
        <is>
          <t>Rio-SSA</t>
        </is>
      </c>
      <c r="BU274" s="1412" t="n">
        <v>41652</v>
      </c>
      <c r="BV274" s="1398" t="inlineStr">
        <is>
          <t>.</t>
        </is>
      </c>
      <c r="BW274" s="1392" t="n"/>
      <c r="BX274" s="1392" t="n"/>
      <c r="BY274" s="1392" t="n"/>
      <c r="BZ274" s="1416" t="n"/>
      <c r="CA274" s="1392" t="n"/>
      <c r="CB274" s="1392" t="n"/>
      <c r="CC274" s="1392" t="n"/>
      <c r="CD274" s="1392" t="n"/>
      <c r="CE274" s="1392" t="n"/>
      <c r="CF274" s="1392" t="n"/>
      <c r="CG274" s="1392" t="n"/>
      <c r="CH274" s="1392" t="n"/>
      <c r="CI274" s="1392" t="n"/>
      <c r="CJ274" s="1392" t="n"/>
      <c r="CK274" s="1392" t="n"/>
      <c r="CL274" s="1392" t="n"/>
    </row>
    <row r="275">
      <c r="A275" s="5" t="inlineStr">
        <is>
          <t>.</t>
        </is>
      </c>
      <c r="B275" s="5" t="inlineStr">
        <is>
          <t>.</t>
        </is>
      </c>
      <c r="C275" s="1378">
        <f>IF(raw[[#This Row],[city]]="","-",IF(raw[[#This Row],[city]]="TODAY","-",C274+1))</f>
        <v/>
      </c>
      <c r="D275" s="1393" t="inlineStr">
        <is>
          <t>SSA</t>
        </is>
      </c>
      <c r="E275" s="1394" t="n">
        <v>33937</v>
      </c>
      <c r="F275" s="1394" t="n">
        <v>33939</v>
      </c>
      <c r="G275" s="1393" t="inlineStr">
        <is>
          <t>-</t>
        </is>
      </c>
      <c r="H275" s="1393">
        <f>H274</f>
        <v/>
      </c>
      <c r="I275" s="1393" t="inlineStr">
        <is>
          <t>Greenfeld</t>
        </is>
      </c>
      <c r="J275" s="1393" t="inlineStr">
        <is>
          <t>-</t>
        </is>
      </c>
      <c r="K275" s="1395">
        <f>IF(raw[[#This Row],[city]]&lt;&gt;"",_xlfn.XLOOKUP($D275,ccc[city],ccc[prov],"-"),"-")</f>
        <v/>
      </c>
      <c r="L275" s="1395">
        <f>IF(raw[[#This Row],[city]]&lt;&gt;"",_xlfn.XLOOKUP($D275,ccc[city],ccc[ctry],"-"),"-")</f>
        <v/>
      </c>
      <c r="M275" s="1395">
        <f>IF(raw[[#This Row],[city]]&lt;&gt;"",_xlfn.XLOOKUP($D275,ccc[city],ccc[cont],"-"),"-")</f>
        <v/>
      </c>
      <c r="N275" s="1396">
        <f>IF(raw[[#This Row],[city]]="","-",IF(raw[[#This Row],[cont]]="B",raw[[#This Row],[cont]],"W"))</f>
        <v/>
      </c>
      <c r="O275" s="1397">
        <f>IF(raw[[#This Row],[out]]=0,0,IF(raw[[#This Row],[out]]=raw[[#This Row],[in]],0.01,raw[[#This Row],[out]]-raw[[#This Row],[in]]))</f>
        <v/>
      </c>
      <c r="P275" s="1397">
        <f>IF(raw[[#This Row],[in]]=0,0,MONTH(raw[[#This Row],[in]]))</f>
        <v/>
      </c>
      <c r="Q275" s="1397">
        <f>IF(raw[[#This Row],[in]]=0,0,YEAR(raw[[#This Row],[in]]))</f>
        <v/>
      </c>
      <c r="R275" s="1397">
        <f>INT(raw[[#This Row],[yr]]/10)*10</f>
        <v/>
      </c>
      <c r="S275" s="1395">
        <f>IF(raw[[#This Row],[city]]="","-",IF(raw[[#This Row],[city]]&lt;&gt;_xlfn.XLOOKUP(raw[[#This Row],[home]],homes[home],homes[city],"-"),1,0))</f>
        <v/>
      </c>
      <c r="T275" s="1398" t="inlineStr">
        <is>
          <t>.</t>
        </is>
      </c>
      <c r="U275" s="1399">
        <f>IF(raw[[#This Row],[wb]]="w",raw[[#This Row],[stay]]+U274,U274)</f>
        <v/>
      </c>
      <c r="V275" s="1400">
        <f>IF(raw[[#This Row],[out]]=0,V274,(raw[[#This Row],[out]]-E$5))</f>
        <v/>
      </c>
      <c r="W275" s="1401">
        <f>U275/V275</f>
        <v/>
      </c>
      <c r="X275" s="1378" t="inlineStr">
        <is>
          <t>.</t>
        </is>
      </c>
      <c r="Y275" s="1402">
        <f/>
        <v/>
      </c>
      <c r="Z275" s="1403">
        <f/>
        <v/>
      </c>
      <c r="AA275" s="1403">
        <f/>
        <v/>
      </c>
      <c r="AB275" s="1400">
        <f t="array" ref="AB275">_xlfn.LET(_xlpm.S,_xlfn.ANCHORARRAY($Y$4),_xlpm.r,ROWS(stayCity[[#Headers],[city]]:stayCity[[#This Row],[city]])-1,IF(_xlpm.r&lt;=ROWS(_xlpm.S),INDEX(_xlpm.S,_xlpm.r,1),""))</f>
        <v/>
      </c>
      <c r="AC275" s="1405">
        <f t="array" ref="AC275">_xlfn.LET(_xlpm.S,_xlfn.ANCHORARRAY($Y$4),_xlpm.r,ROWS(stayCity[[#Headers],[city]]:stayCity[[#This Row],[city]])-1,IF(_xlpm.r&lt;=ROWS(_xlpm.S),INDEX(_xlpm.S,_xlpm.r,2),""))</f>
        <v/>
      </c>
      <c r="AD275" s="1405">
        <f t="array" ref="AD275">_xlfn.LET(_xlpm.S,_xlfn.ANCHORARRAY($Y$4),_xlpm.r,ROWS(stayCity[[#Headers],[city]]:stayCity[[#This Row],[city]])-1,IF(_xlpm.r&lt;=ROWS(_xlpm.S),INDEX(_xlpm.S,_xlpm.r,3),""))</f>
        <v/>
      </c>
      <c r="AE275" s="1400">
        <f>IF(stayCity[[#This Row],[out]]&lt;&gt;"",stayCity[[#This Row],[out]]-stayCity[[#This Row],[in]],"-")</f>
        <v/>
      </c>
      <c r="AF275" s="1406">
        <f>IF(Y275="","-",YEAR(stayCity[[#This Row],[in]]))</f>
        <v/>
      </c>
      <c r="AG275" s="1398" t="inlineStr">
        <is>
          <t>.</t>
        </is>
      </c>
      <c r="AH275" s="1402" t="n"/>
      <c r="AI275" s="1420" t="n"/>
      <c r="AJ275" s="1420" t="n"/>
      <c r="AK275" s="1400">
        <f>IF(AH275="","-",AH275)</f>
        <v/>
      </c>
      <c r="AL275" s="1405">
        <f>AI275</f>
        <v/>
      </c>
      <c r="AM275" s="1405">
        <f>AJ275</f>
        <v/>
      </c>
      <c r="AN275" s="1400">
        <f>stayCtry[[#This Row],[out]]-stayCtry[[#This Row],[in]]</f>
        <v/>
      </c>
      <c r="AO275" s="1406">
        <f>IF(AI275&lt;&gt;"",AO274+1,AO274)</f>
        <v/>
      </c>
      <c r="AP275" s="1398" t="inlineStr">
        <is>
          <t>.</t>
        </is>
      </c>
      <c r="AQ275" s="1402" t="n"/>
      <c r="AR275" s="1403" t="n"/>
      <c r="AS275" s="1403" t="n"/>
      <c r="AT275" s="1400">
        <f>AQ275</f>
        <v/>
      </c>
      <c r="AU275" s="1405">
        <f>AR275</f>
        <v/>
      </c>
      <c r="AV275" s="1405">
        <f>AS275</f>
        <v/>
      </c>
      <c r="AW275" s="1400">
        <f>stayCont[[#This Row],[out]]-stayCont[[#This Row],[in]]</f>
        <v/>
      </c>
      <c r="AX275" s="1406">
        <f>IF(AR275&lt;&gt;"",AX274+1,AX274)</f>
        <v/>
      </c>
      <c r="AY275" s="1398" t="inlineStr">
        <is>
          <t>.</t>
        </is>
      </c>
      <c r="AZ275" s="1402" t="n"/>
      <c r="BA275" s="1403" t="n"/>
      <c r="BB275" s="1403" t="n"/>
      <c r="BC275" s="1405">
        <f>AZ275</f>
        <v/>
      </c>
      <c r="BD275" s="1405">
        <f>BA275</f>
        <v/>
      </c>
      <c r="BE275" s="1405">
        <f>BB275</f>
        <v/>
      </c>
      <c r="BF275" s="1400">
        <f>stayWB[[#This Row],[out]]-stayWB[[#This Row],[in]]</f>
        <v/>
      </c>
      <c r="BG275" s="1400">
        <f>IF(BB275&lt;&gt;"",BG274+1,BG274)</f>
        <v/>
      </c>
      <c r="BH275" s="1398" t="inlineStr">
        <is>
          <t>.</t>
        </is>
      </c>
      <c r="BI275" s="1402" t="inlineStr">
        <is>
          <t>PRT</t>
        </is>
      </c>
      <c r="BJ275" s="1402" t="n">
        <v>2026</v>
      </c>
      <c r="BK275" s="1400">
        <f>BI275</f>
        <v/>
      </c>
      <c r="BL275" s="1409">
        <f>BJ275</f>
        <v/>
      </c>
      <c r="BM275" s="1378" t="inlineStr">
        <is>
          <t>.</t>
        </is>
      </c>
      <c r="BN275" s="1411" t="n"/>
      <c r="BO275" s="1400">
        <f>BN275</f>
        <v/>
      </c>
      <c r="BP275" s="1398" t="inlineStr">
        <is>
          <t>.</t>
        </is>
      </c>
      <c r="BQ275" s="1400">
        <f>IF(BR275&lt;&gt;"",BQ274+1,BQ274)</f>
        <v/>
      </c>
      <c r="BR275" s="1411" t="inlineStr">
        <is>
          <t>SSA</t>
        </is>
      </c>
      <c r="BS275" s="1411" t="inlineStr">
        <is>
          <t>Miami</t>
        </is>
      </c>
      <c r="BT275" s="1412" t="inlineStr">
        <is>
          <t>SSA-Miami</t>
        </is>
      </c>
      <c r="BU275" s="1412" t="n">
        <v>41657</v>
      </c>
      <c r="BV275" s="1398" t="inlineStr">
        <is>
          <t>.</t>
        </is>
      </c>
      <c r="BW275" s="1392" t="n"/>
      <c r="BX275" s="1392" t="n"/>
      <c r="BY275" s="1392" t="n"/>
      <c r="BZ275" s="1416" t="n"/>
      <c r="CA275" s="1392" t="n"/>
      <c r="CB275" s="1392" t="n"/>
      <c r="CC275" s="1392" t="n"/>
      <c r="CD275" s="1392" t="n"/>
      <c r="CE275" s="1392" t="n"/>
      <c r="CF275" s="1392" t="n"/>
      <c r="CG275" s="1392" t="n"/>
      <c r="CH275" s="1392" t="n"/>
      <c r="CI275" s="1392" t="n"/>
      <c r="CJ275" s="1392" t="n"/>
      <c r="CK275" s="1392" t="n"/>
      <c r="CL275" s="1392" t="n"/>
    </row>
    <row r="276">
      <c r="A276" s="5" t="inlineStr">
        <is>
          <t>.</t>
        </is>
      </c>
      <c r="B276" s="5" t="inlineStr">
        <is>
          <t>.</t>
        </is>
      </c>
      <c r="C276" s="1378">
        <f>IF(raw[[#This Row],[city]]="","-",IF(raw[[#This Row],[city]]="TODAY","-",C275+1))</f>
        <v/>
      </c>
      <c r="D276" s="1393" t="inlineStr">
        <is>
          <t>SSA</t>
        </is>
      </c>
      <c r="E276" s="1394" t="n">
        <v>33939</v>
      </c>
      <c r="F276" s="1394" t="n">
        <v>33970</v>
      </c>
      <c r="G276" s="1393" t="inlineStr">
        <is>
          <t>-</t>
        </is>
      </c>
      <c r="H276" s="1393">
        <f>H275</f>
        <v/>
      </c>
      <c r="I276" s="1393" t="inlineStr">
        <is>
          <t>Greenfeld</t>
        </is>
      </c>
      <c r="J276" s="1393" t="inlineStr">
        <is>
          <t>-</t>
        </is>
      </c>
      <c r="K276" s="1395">
        <f>IF(raw[[#This Row],[city]]&lt;&gt;"",_xlfn.XLOOKUP($D276,ccc[city],ccc[prov],"-"),"-")</f>
        <v/>
      </c>
      <c r="L276" s="1395">
        <f>IF(raw[[#This Row],[city]]&lt;&gt;"",_xlfn.XLOOKUP($D276,ccc[city],ccc[ctry],"-"),"-")</f>
        <v/>
      </c>
      <c r="M276" s="1395">
        <f>IF(raw[[#This Row],[city]]&lt;&gt;"",_xlfn.XLOOKUP($D276,ccc[city],ccc[cont],"-"),"-")</f>
        <v/>
      </c>
      <c r="N276" s="1396">
        <f>IF(raw[[#This Row],[city]]="","-",IF(raw[[#This Row],[cont]]="B",raw[[#This Row],[cont]],"W"))</f>
        <v/>
      </c>
      <c r="O276" s="1397">
        <f>IF(raw[[#This Row],[out]]=0,0,IF(raw[[#This Row],[out]]=raw[[#This Row],[in]],0.01,raw[[#This Row],[out]]-raw[[#This Row],[in]]))</f>
        <v/>
      </c>
      <c r="P276" s="1397">
        <f>IF(raw[[#This Row],[in]]=0,0,MONTH(raw[[#This Row],[in]]))</f>
        <v/>
      </c>
      <c r="Q276" s="1397">
        <f>IF(raw[[#This Row],[in]]=0,0,YEAR(raw[[#This Row],[in]]))</f>
        <v/>
      </c>
      <c r="R276" s="1397">
        <f>INT(raw[[#This Row],[yr]]/10)*10</f>
        <v/>
      </c>
      <c r="S276" s="1395">
        <f>IF(raw[[#This Row],[city]]="","-",IF(raw[[#This Row],[city]]&lt;&gt;_xlfn.XLOOKUP(raw[[#This Row],[home]],homes[home],homes[city],"-"),1,0))</f>
        <v/>
      </c>
      <c r="T276" s="1398" t="inlineStr">
        <is>
          <t>.</t>
        </is>
      </c>
      <c r="U276" s="1399">
        <f>IF(raw[[#This Row],[wb]]="w",raw[[#This Row],[stay]]+U275,U275)</f>
        <v/>
      </c>
      <c r="V276" s="1400">
        <f>IF(raw[[#This Row],[out]]=0,V275,(raw[[#This Row],[out]]-E$5))</f>
        <v/>
      </c>
      <c r="W276" s="1401">
        <f>U276/V276</f>
        <v/>
      </c>
      <c r="X276" s="1378" t="inlineStr">
        <is>
          <t>.</t>
        </is>
      </c>
      <c r="Y276" s="1402">
        <f/>
        <v/>
      </c>
      <c r="Z276" s="1403">
        <f/>
        <v/>
      </c>
      <c r="AA276" s="1403">
        <f/>
        <v/>
      </c>
      <c r="AB276" s="1400">
        <f t="array" ref="AB276">_xlfn.LET(_xlpm.S,_xlfn.ANCHORARRAY($Y$4),_xlpm.r,ROWS(stayCity[[#Headers],[city]]:stayCity[[#This Row],[city]])-1,IF(_xlpm.r&lt;=ROWS(_xlpm.S),INDEX(_xlpm.S,_xlpm.r,1),""))</f>
        <v/>
      </c>
      <c r="AC276" s="1405">
        <f t="array" ref="AC276">_xlfn.LET(_xlpm.S,_xlfn.ANCHORARRAY($Y$4),_xlpm.r,ROWS(stayCity[[#Headers],[city]]:stayCity[[#This Row],[city]])-1,IF(_xlpm.r&lt;=ROWS(_xlpm.S),INDEX(_xlpm.S,_xlpm.r,2),""))</f>
        <v/>
      </c>
      <c r="AD276" s="1405">
        <f t="array" ref="AD276">_xlfn.LET(_xlpm.S,_xlfn.ANCHORARRAY($Y$4),_xlpm.r,ROWS(stayCity[[#Headers],[city]]:stayCity[[#This Row],[city]])-1,IF(_xlpm.r&lt;=ROWS(_xlpm.S),INDEX(_xlpm.S,_xlpm.r,3),""))</f>
        <v/>
      </c>
      <c r="AE276" s="1400">
        <f>IF(stayCity[[#This Row],[out]]&lt;&gt;"",stayCity[[#This Row],[out]]-stayCity[[#This Row],[in]],"-")</f>
        <v/>
      </c>
      <c r="AF276" s="1406">
        <f>IF(Y276="","-",YEAR(stayCity[[#This Row],[in]]))</f>
        <v/>
      </c>
      <c r="AG276" s="1398" t="inlineStr">
        <is>
          <t>.</t>
        </is>
      </c>
      <c r="AH276" s="1402" t="n"/>
      <c r="AI276" s="1420" t="n"/>
      <c r="AJ276" s="1420" t="n"/>
      <c r="AK276" s="1400">
        <f>IF(AH276="","-",AH276)</f>
        <v/>
      </c>
      <c r="AL276" s="1405">
        <f>AI276</f>
        <v/>
      </c>
      <c r="AM276" s="1405">
        <f>AJ276</f>
        <v/>
      </c>
      <c r="AN276" s="1400">
        <f>stayCtry[[#This Row],[out]]-stayCtry[[#This Row],[in]]</f>
        <v/>
      </c>
      <c r="AO276" s="1406">
        <f>IF(AI276&lt;&gt;"",AO275+1,AO275)</f>
        <v/>
      </c>
      <c r="AP276" s="1398" t="inlineStr">
        <is>
          <t>.</t>
        </is>
      </c>
      <c r="AQ276" s="1402" t="n"/>
      <c r="AR276" s="1403" t="n"/>
      <c r="AS276" s="1403" t="n"/>
      <c r="AT276" s="1400">
        <f>AQ276</f>
        <v/>
      </c>
      <c r="AU276" s="1405">
        <f>AR276</f>
        <v/>
      </c>
      <c r="AV276" s="1405">
        <f>AS276</f>
        <v/>
      </c>
      <c r="AW276" s="1400">
        <f>stayCont[[#This Row],[out]]-stayCont[[#This Row],[in]]</f>
        <v/>
      </c>
      <c r="AX276" s="1406">
        <f>IF(AR276&lt;&gt;"",AX275+1,AX275)</f>
        <v/>
      </c>
      <c r="AY276" s="1398" t="inlineStr">
        <is>
          <t>.</t>
        </is>
      </c>
      <c r="AZ276" s="1402" t="n"/>
      <c r="BA276" s="1403" t="n"/>
      <c r="BB276" s="1403" t="n"/>
      <c r="BC276" s="1405">
        <f>AZ276</f>
        <v/>
      </c>
      <c r="BD276" s="1405">
        <f>BA276</f>
        <v/>
      </c>
      <c r="BE276" s="1405">
        <f>BB276</f>
        <v/>
      </c>
      <c r="BF276" s="1400">
        <f>stayWB[[#This Row],[out]]-stayWB[[#This Row],[in]]</f>
        <v/>
      </c>
      <c r="BG276" s="1400">
        <f>IF(BB276&lt;&gt;"",BG275+1,BG275)</f>
        <v/>
      </c>
      <c r="BH276" s="1398" t="inlineStr">
        <is>
          <t>.</t>
        </is>
      </c>
      <c r="BI276" s="1402" t="inlineStr">
        <is>
          <t>FRA</t>
        </is>
      </c>
      <c r="BJ276" s="1402" t="n">
        <v>2026</v>
      </c>
      <c r="BK276" s="1400">
        <f>BI276</f>
        <v/>
      </c>
      <c r="BL276" s="1409">
        <f>BJ276</f>
        <v/>
      </c>
      <c r="BM276" s="1378" t="inlineStr">
        <is>
          <t>.</t>
        </is>
      </c>
      <c r="BN276" s="1411" t="n"/>
      <c r="BO276" s="1400">
        <f>BN276</f>
        <v/>
      </c>
      <c r="BP276" s="1398" t="inlineStr">
        <is>
          <t>.</t>
        </is>
      </c>
      <c r="BQ276" s="1400">
        <f>IF(BR276&lt;&gt;"",BQ275+1,BQ275)</f>
        <v/>
      </c>
      <c r="BR276" s="1411" t="inlineStr">
        <is>
          <t>Miami</t>
        </is>
      </c>
      <c r="BS276" s="1411" t="inlineStr">
        <is>
          <t>Montreal</t>
        </is>
      </c>
      <c r="BT276" s="1412" t="inlineStr">
        <is>
          <t>Miami-Montreal</t>
        </is>
      </c>
      <c r="BU276" s="1412" t="n">
        <v>41657</v>
      </c>
      <c r="BV276" s="1398" t="inlineStr">
        <is>
          <t>.</t>
        </is>
      </c>
      <c r="BW276" s="1392" t="n"/>
      <c r="BX276" s="1392" t="n"/>
      <c r="BY276" s="1392" t="n"/>
      <c r="BZ276" s="1416" t="n"/>
      <c r="CA276" s="1392" t="n"/>
      <c r="CB276" s="1392" t="n"/>
      <c r="CC276" s="1392" t="n"/>
      <c r="CD276" s="1392" t="n"/>
      <c r="CE276" s="1392" t="n"/>
      <c r="CF276" s="1392" t="n"/>
      <c r="CG276" s="1392" t="n"/>
      <c r="CH276" s="1392" t="n"/>
      <c r="CI276" s="1392" t="n"/>
      <c r="CJ276" s="1392" t="n"/>
      <c r="CK276" s="1392" t="n"/>
      <c r="CL276" s="1392" t="n"/>
    </row>
    <row r="277">
      <c r="A277" s="5" t="inlineStr">
        <is>
          <t>.</t>
        </is>
      </c>
      <c r="B277" s="5" t="inlineStr">
        <is>
          <t>.</t>
        </is>
      </c>
      <c r="C277" s="1378">
        <f>IF(raw[[#This Row],[city]]="","-",IF(raw[[#This Row],[city]]="TODAY","-",C276+1))</f>
        <v/>
      </c>
      <c r="D277" s="1393" t="inlineStr">
        <is>
          <t>SSA</t>
        </is>
      </c>
      <c r="E277" s="1394" t="n">
        <v>33970</v>
      </c>
      <c r="F277" s="1394" t="n">
        <v>34001</v>
      </c>
      <c r="G277" s="1393" t="inlineStr">
        <is>
          <t>-</t>
        </is>
      </c>
      <c r="H277" s="1393">
        <f>H276</f>
        <v/>
      </c>
      <c r="I277" s="1393" t="inlineStr">
        <is>
          <t>Greenfeld</t>
        </is>
      </c>
      <c r="J277" s="1393" t="inlineStr">
        <is>
          <t>REV</t>
        </is>
      </c>
      <c r="K277" s="1395">
        <f>IF(raw[[#This Row],[city]]&lt;&gt;"",_xlfn.XLOOKUP($D277,ccc[city],ccc[prov],"-"),"-")</f>
        <v/>
      </c>
      <c r="L277" s="1395">
        <f>IF(raw[[#This Row],[city]]&lt;&gt;"",_xlfn.XLOOKUP($D277,ccc[city],ccc[ctry],"-"),"-")</f>
        <v/>
      </c>
      <c r="M277" s="1395">
        <f>IF(raw[[#This Row],[city]]&lt;&gt;"",_xlfn.XLOOKUP($D277,ccc[city],ccc[cont],"-"),"-")</f>
        <v/>
      </c>
      <c r="N277" s="1396">
        <f>IF(raw[[#This Row],[city]]="","-",IF(raw[[#This Row],[cont]]="B",raw[[#This Row],[cont]],"W"))</f>
        <v/>
      </c>
      <c r="O277" s="1397">
        <f>IF(raw[[#This Row],[out]]=0,0,IF(raw[[#This Row],[out]]=raw[[#This Row],[in]],0.01,raw[[#This Row],[out]]-raw[[#This Row],[in]]))</f>
        <v/>
      </c>
      <c r="P277" s="1397">
        <f>IF(raw[[#This Row],[in]]=0,0,MONTH(raw[[#This Row],[in]]))</f>
        <v/>
      </c>
      <c r="Q277" s="1397">
        <f>IF(raw[[#This Row],[in]]=0,0,YEAR(raw[[#This Row],[in]]))</f>
        <v/>
      </c>
      <c r="R277" s="1397">
        <f>INT(raw[[#This Row],[yr]]/10)*10</f>
        <v/>
      </c>
      <c r="S277" s="1395">
        <f>IF(raw[[#This Row],[city]]="","-",IF(raw[[#This Row],[city]]&lt;&gt;_xlfn.XLOOKUP(raw[[#This Row],[home]],homes[home],homes[city],"-"),1,0))</f>
        <v/>
      </c>
      <c r="T277" s="1398" t="inlineStr">
        <is>
          <t>.</t>
        </is>
      </c>
      <c r="U277" s="1399">
        <f>IF(raw[[#This Row],[wb]]="w",raw[[#This Row],[stay]]+U276,U276)</f>
        <v/>
      </c>
      <c r="V277" s="1400">
        <f>IF(raw[[#This Row],[out]]=0,V276,(raw[[#This Row],[out]]-E$5))</f>
        <v/>
      </c>
      <c r="W277" s="1401">
        <f>U277/V277</f>
        <v/>
      </c>
      <c r="X277" s="1378" t="inlineStr">
        <is>
          <t>.</t>
        </is>
      </c>
      <c r="Y277" s="1402">
        <f/>
        <v/>
      </c>
      <c r="Z277" s="1403">
        <f/>
        <v/>
      </c>
      <c r="AA277" s="1403">
        <f/>
        <v/>
      </c>
      <c r="AB277" s="1400">
        <f t="array" ref="AB277">_xlfn.LET(_xlpm.S,_xlfn.ANCHORARRAY($Y$4),_xlpm.r,ROWS(stayCity[[#Headers],[city]]:stayCity[[#This Row],[city]])-1,IF(_xlpm.r&lt;=ROWS(_xlpm.S),INDEX(_xlpm.S,_xlpm.r,1),""))</f>
        <v/>
      </c>
      <c r="AC277" s="1405">
        <f t="array" ref="AC277">_xlfn.LET(_xlpm.S,_xlfn.ANCHORARRAY($Y$4),_xlpm.r,ROWS(stayCity[[#Headers],[city]]:stayCity[[#This Row],[city]])-1,IF(_xlpm.r&lt;=ROWS(_xlpm.S),INDEX(_xlpm.S,_xlpm.r,2),""))</f>
        <v/>
      </c>
      <c r="AD277" s="1405">
        <f t="array" ref="AD277">_xlfn.LET(_xlpm.S,_xlfn.ANCHORARRAY($Y$4),_xlpm.r,ROWS(stayCity[[#Headers],[city]]:stayCity[[#This Row],[city]])-1,IF(_xlpm.r&lt;=ROWS(_xlpm.S),INDEX(_xlpm.S,_xlpm.r,3),""))</f>
        <v/>
      </c>
      <c r="AE277" s="1400">
        <f>IF(stayCity[[#This Row],[out]]&lt;&gt;"",stayCity[[#This Row],[out]]-stayCity[[#This Row],[in]],"-")</f>
        <v/>
      </c>
      <c r="AF277" s="1406">
        <f>IF(Y277="","-",YEAR(stayCity[[#This Row],[in]]))</f>
        <v/>
      </c>
      <c r="AG277" s="1398" t="inlineStr">
        <is>
          <t>.</t>
        </is>
      </c>
      <c r="AH277" s="1402" t="n"/>
      <c r="AI277" s="1420" t="n"/>
      <c r="AJ277" s="1420" t="n"/>
      <c r="AK277" s="1400">
        <f>IF(AH277="","-",AH277)</f>
        <v/>
      </c>
      <c r="AL277" s="1405">
        <f>AI277</f>
        <v/>
      </c>
      <c r="AM277" s="1405">
        <f>AJ277</f>
        <v/>
      </c>
      <c r="AN277" s="1400">
        <f>stayCtry[[#This Row],[out]]-stayCtry[[#This Row],[in]]</f>
        <v/>
      </c>
      <c r="AO277" s="1406">
        <f>IF(AI277&lt;&gt;"",AO276+1,AO276)</f>
        <v/>
      </c>
      <c r="AP277" s="1398" t="inlineStr">
        <is>
          <t>.</t>
        </is>
      </c>
      <c r="AQ277" s="1402" t="n"/>
      <c r="AR277" s="1403" t="n"/>
      <c r="AS277" s="1403" t="n"/>
      <c r="AT277" s="1400">
        <f>AQ277</f>
        <v/>
      </c>
      <c r="AU277" s="1405">
        <f>AR277</f>
        <v/>
      </c>
      <c r="AV277" s="1405">
        <f>AS277</f>
        <v/>
      </c>
      <c r="AW277" s="1400">
        <f>stayCont[[#This Row],[out]]-stayCont[[#This Row],[in]]</f>
        <v/>
      </c>
      <c r="AX277" s="1406">
        <f>IF(AR277&lt;&gt;"",AX276+1,AX276)</f>
        <v/>
      </c>
      <c r="AY277" s="1398" t="inlineStr">
        <is>
          <t>.</t>
        </is>
      </c>
      <c r="AZ277" s="1402" t="n"/>
      <c r="BA277" s="1403" t="n"/>
      <c r="BB277" s="1403" t="n"/>
      <c r="BC277" s="1405">
        <f>AZ277</f>
        <v/>
      </c>
      <c r="BD277" s="1405">
        <f>BA277</f>
        <v/>
      </c>
      <c r="BE277" s="1405">
        <f>BB277</f>
        <v/>
      </c>
      <c r="BF277" s="1400">
        <f>stayWB[[#This Row],[out]]-stayWB[[#This Row],[in]]</f>
        <v/>
      </c>
      <c r="BG277" s="1400">
        <f>IF(BB277&lt;&gt;"",BG276+1,BG276)</f>
        <v/>
      </c>
      <c r="BH277" s="1398" t="inlineStr">
        <is>
          <t>.</t>
        </is>
      </c>
      <c r="BI277" s="1402" t="inlineStr">
        <is>
          <t>BRA</t>
        </is>
      </c>
      <c r="BJ277" s="1402" t="n">
        <v>2026</v>
      </c>
      <c r="BK277" s="1400">
        <f>BI277</f>
        <v/>
      </c>
      <c r="BL277" s="1409">
        <f>BJ277</f>
        <v/>
      </c>
      <c r="BM277" s="1378" t="inlineStr">
        <is>
          <t>.</t>
        </is>
      </c>
      <c r="BN277" s="1411" t="n"/>
      <c r="BO277" s="1400">
        <f>BN277</f>
        <v/>
      </c>
      <c r="BP277" s="1398" t="inlineStr">
        <is>
          <t>.</t>
        </is>
      </c>
      <c r="BQ277" s="1400">
        <f>IF(BR277&lt;&gt;"",BQ276+1,BQ276)</f>
        <v/>
      </c>
      <c r="BR277" s="1411" t="inlineStr">
        <is>
          <t>Montreal</t>
        </is>
      </c>
      <c r="BS277" s="1411" t="inlineStr">
        <is>
          <t>Toronto</t>
        </is>
      </c>
      <c r="BT277" s="1412" t="inlineStr">
        <is>
          <t>Montreal-Toronto</t>
        </is>
      </c>
      <c r="BU277" s="1412" t="n">
        <v>41856</v>
      </c>
      <c r="BV277" s="1398" t="inlineStr">
        <is>
          <t>.</t>
        </is>
      </c>
      <c r="BW277" s="1392" t="n"/>
      <c r="BX277" s="1392" t="n"/>
      <c r="BY277" s="1392" t="n"/>
      <c r="BZ277" s="1416" t="n"/>
      <c r="CA277" s="1392" t="n"/>
      <c r="CB277" s="1392" t="n"/>
      <c r="CC277" s="1392" t="n"/>
      <c r="CD277" s="1392" t="n"/>
      <c r="CE277" s="1392" t="n"/>
      <c r="CF277" s="1392" t="n"/>
      <c r="CG277" s="1392" t="n"/>
      <c r="CH277" s="1392" t="n"/>
      <c r="CI277" s="1392" t="n"/>
      <c r="CJ277" s="1392" t="n"/>
      <c r="CK277" s="1392" t="n"/>
      <c r="CL277" s="1392" t="n"/>
    </row>
    <row r="278">
      <c r="A278" s="5" t="inlineStr">
        <is>
          <t>.</t>
        </is>
      </c>
      <c r="B278" s="5" t="inlineStr">
        <is>
          <t>.</t>
        </is>
      </c>
      <c r="C278" s="1378">
        <f>IF(raw[[#This Row],[city]]="","-",IF(raw[[#This Row],[city]]="TODAY","-",C277+1))</f>
        <v/>
      </c>
      <c r="D278" s="1393" t="inlineStr">
        <is>
          <t>SSA</t>
        </is>
      </c>
      <c r="E278" s="1394" t="n">
        <v>34001</v>
      </c>
      <c r="F278" s="1394" t="n">
        <v>34029</v>
      </c>
      <c r="G278" s="1393" t="n">
        <v>1</v>
      </c>
      <c r="H278" s="1393">
        <f>H277</f>
        <v/>
      </c>
      <c r="I278" s="1393" t="inlineStr">
        <is>
          <t>Greenfeld</t>
        </is>
      </c>
      <c r="J278" s="1393" t="inlineStr">
        <is>
          <t>-</t>
        </is>
      </c>
      <c r="K278" s="1395">
        <f>IF(raw[[#This Row],[city]]&lt;&gt;"",_xlfn.XLOOKUP($D278,ccc[city],ccc[prov],"-"),"-")</f>
        <v/>
      </c>
      <c r="L278" s="1395">
        <f>IF(raw[[#This Row],[city]]&lt;&gt;"",_xlfn.XLOOKUP($D278,ccc[city],ccc[ctry],"-"),"-")</f>
        <v/>
      </c>
      <c r="M278" s="1395">
        <f>IF(raw[[#This Row],[city]]&lt;&gt;"",_xlfn.XLOOKUP($D278,ccc[city],ccc[cont],"-"),"-")</f>
        <v/>
      </c>
      <c r="N278" s="1396">
        <f>IF(raw[[#This Row],[city]]="","-",IF(raw[[#This Row],[cont]]="B",raw[[#This Row],[cont]],"W"))</f>
        <v/>
      </c>
      <c r="O278" s="1397">
        <f>IF(raw[[#This Row],[out]]=0,0,IF(raw[[#This Row],[out]]=raw[[#This Row],[in]],0.01,raw[[#This Row],[out]]-raw[[#This Row],[in]]))</f>
        <v/>
      </c>
      <c r="P278" s="1397">
        <f>IF(raw[[#This Row],[in]]=0,0,MONTH(raw[[#This Row],[in]]))</f>
        <v/>
      </c>
      <c r="Q278" s="1397">
        <f>IF(raw[[#This Row],[in]]=0,0,YEAR(raw[[#This Row],[in]]))</f>
        <v/>
      </c>
      <c r="R278" s="1397">
        <f>INT(raw[[#This Row],[yr]]/10)*10</f>
        <v/>
      </c>
      <c r="S278" s="1395">
        <f>IF(raw[[#This Row],[city]]="","-",IF(raw[[#This Row],[city]]&lt;&gt;_xlfn.XLOOKUP(raw[[#This Row],[home]],homes[home],homes[city],"-"),1,0))</f>
        <v/>
      </c>
      <c r="T278" s="1398" t="inlineStr">
        <is>
          <t>.</t>
        </is>
      </c>
      <c r="U278" s="1399">
        <f>IF(raw[[#This Row],[wb]]="w",raw[[#This Row],[stay]]+U277,U277)</f>
        <v/>
      </c>
      <c r="V278" s="1400">
        <f>IF(raw[[#This Row],[out]]=0,V277,(raw[[#This Row],[out]]-E$5))</f>
        <v/>
      </c>
      <c r="W278" s="1401">
        <f>U278/V278</f>
        <v/>
      </c>
      <c r="X278" s="1378" t="inlineStr">
        <is>
          <t>.</t>
        </is>
      </c>
      <c r="Y278" s="1402">
        <f/>
        <v/>
      </c>
      <c r="Z278" s="1403">
        <f/>
        <v/>
      </c>
      <c r="AA278" s="1403">
        <f/>
        <v/>
      </c>
      <c r="AB278" s="1400">
        <f t="array" ref="AB278">_xlfn.LET(_xlpm.S,_xlfn.ANCHORARRAY($Y$4),_xlpm.r,ROWS(stayCity[[#Headers],[city]]:stayCity[[#This Row],[city]])-1,IF(_xlpm.r&lt;=ROWS(_xlpm.S),INDEX(_xlpm.S,_xlpm.r,1),""))</f>
        <v/>
      </c>
      <c r="AC278" s="1405">
        <f t="array" ref="AC278">_xlfn.LET(_xlpm.S,_xlfn.ANCHORARRAY($Y$4),_xlpm.r,ROWS(stayCity[[#Headers],[city]]:stayCity[[#This Row],[city]])-1,IF(_xlpm.r&lt;=ROWS(_xlpm.S),INDEX(_xlpm.S,_xlpm.r,2),""))</f>
        <v/>
      </c>
      <c r="AD278" s="1405">
        <f t="array" ref="AD278">_xlfn.LET(_xlpm.S,_xlfn.ANCHORARRAY($Y$4),_xlpm.r,ROWS(stayCity[[#Headers],[city]]:stayCity[[#This Row],[city]])-1,IF(_xlpm.r&lt;=ROWS(_xlpm.S),INDEX(_xlpm.S,_xlpm.r,3),""))</f>
        <v/>
      </c>
      <c r="AE278" s="1400">
        <f>IF(stayCity[[#This Row],[out]]&lt;&gt;"",stayCity[[#This Row],[out]]-stayCity[[#This Row],[in]],"-")</f>
        <v/>
      </c>
      <c r="AF278" s="1406">
        <f>IF(Y278="","-",YEAR(stayCity[[#This Row],[in]]))</f>
        <v/>
      </c>
      <c r="AG278" s="1398" t="inlineStr">
        <is>
          <t>.</t>
        </is>
      </c>
      <c r="AH278" s="1402" t="n"/>
      <c r="AI278" s="1420" t="n"/>
      <c r="AJ278" s="1420" t="n"/>
      <c r="AK278" s="1400">
        <f>IF(AH278="","-",AH278)</f>
        <v/>
      </c>
      <c r="AL278" s="1405">
        <f>AI278</f>
        <v/>
      </c>
      <c r="AM278" s="1405">
        <f>AJ278</f>
        <v/>
      </c>
      <c r="AN278" s="1400">
        <f>stayCtry[[#This Row],[out]]-stayCtry[[#This Row],[in]]</f>
        <v/>
      </c>
      <c r="AO278" s="1406">
        <f>IF(AI278&lt;&gt;"",AO277+1,AO277)</f>
        <v/>
      </c>
      <c r="AP278" s="1398" t="inlineStr">
        <is>
          <t>.</t>
        </is>
      </c>
      <c r="AQ278" s="1402" t="n"/>
      <c r="AR278" s="1403" t="n"/>
      <c r="AS278" s="1403" t="n"/>
      <c r="AT278" s="1400">
        <f>AQ278</f>
        <v/>
      </c>
      <c r="AU278" s="1405">
        <f>AR278</f>
        <v/>
      </c>
      <c r="AV278" s="1405">
        <f>AS278</f>
        <v/>
      </c>
      <c r="AW278" s="1400">
        <f>stayCont[[#This Row],[out]]-stayCont[[#This Row],[in]]</f>
        <v/>
      </c>
      <c r="AX278" s="1406">
        <f>IF(AR278&lt;&gt;"",AX277+1,AX277)</f>
        <v/>
      </c>
      <c r="AY278" s="1398" t="inlineStr">
        <is>
          <t>.</t>
        </is>
      </c>
      <c r="AZ278" s="1402" t="n"/>
      <c r="BA278" s="1403" t="n"/>
      <c r="BB278" s="1403" t="n"/>
      <c r="BC278" s="1405">
        <f>AZ278</f>
        <v/>
      </c>
      <c r="BD278" s="1405">
        <f>BA278</f>
        <v/>
      </c>
      <c r="BE278" s="1405">
        <f>BB278</f>
        <v/>
      </c>
      <c r="BF278" s="1400">
        <f>stayWB[[#This Row],[out]]-stayWB[[#This Row],[in]]</f>
        <v/>
      </c>
      <c r="BG278" s="1400">
        <f>IF(BB278&lt;&gt;"",BG277+1,BG277)</f>
        <v/>
      </c>
      <c r="BH278" s="1398" t="inlineStr">
        <is>
          <t>.</t>
        </is>
      </c>
      <c r="BI278" s="1402" t="inlineStr">
        <is>
          <t>FRA</t>
        </is>
      </c>
      <c r="BJ278" s="1402" t="n">
        <v>2026</v>
      </c>
      <c r="BK278" s="1400">
        <f>BI278</f>
        <v/>
      </c>
      <c r="BL278" s="1409">
        <f>BJ278</f>
        <v/>
      </c>
      <c r="BM278" s="1378" t="inlineStr">
        <is>
          <t>.</t>
        </is>
      </c>
      <c r="BN278" s="1411" t="n"/>
      <c r="BO278" s="1400">
        <f>BN278</f>
        <v/>
      </c>
      <c r="BP278" s="1398" t="inlineStr">
        <is>
          <t>.</t>
        </is>
      </c>
      <c r="BQ278" s="1400">
        <f>IF(BR278&lt;&gt;"",BQ277+1,BQ277)</f>
        <v/>
      </c>
      <c r="BR278" s="1411" t="inlineStr">
        <is>
          <t>Toronto</t>
        </is>
      </c>
      <c r="BS278" s="1411" t="inlineStr">
        <is>
          <t>Montreal</t>
        </is>
      </c>
      <c r="BT278" s="1412" t="inlineStr">
        <is>
          <t>Toronto-Montreal</t>
        </is>
      </c>
      <c r="BU278" s="1412" t="n">
        <v>41858</v>
      </c>
      <c r="BV278" s="1398" t="inlineStr">
        <is>
          <t>.</t>
        </is>
      </c>
      <c r="BW278" s="1392" t="n"/>
      <c r="BX278" s="1392" t="n"/>
      <c r="BY278" s="1392" t="n"/>
      <c r="BZ278" s="1416" t="n"/>
      <c r="CA278" s="1392" t="n"/>
      <c r="CB278" s="1392" t="n"/>
      <c r="CC278" s="1392" t="n"/>
      <c r="CD278" s="1392" t="n"/>
      <c r="CE278" s="1392" t="n"/>
      <c r="CF278" s="1392" t="n"/>
      <c r="CG278" s="1392" t="n"/>
      <c r="CH278" s="1392" t="n"/>
      <c r="CI278" s="1392" t="n"/>
      <c r="CJ278" s="1392" t="n"/>
      <c r="CK278" s="1392" t="n"/>
      <c r="CL278" s="1392" t="n"/>
    </row>
    <row r="279">
      <c r="A279" s="5" t="inlineStr">
        <is>
          <t>.</t>
        </is>
      </c>
      <c r="B279" s="5" t="inlineStr">
        <is>
          <t>.</t>
        </is>
      </c>
      <c r="C279" s="1378">
        <f>IF(raw[[#This Row],[city]]="","-",IF(raw[[#This Row],[city]]="TODAY","-",C278+1))</f>
        <v/>
      </c>
      <c r="D279" s="1393" t="inlineStr">
        <is>
          <t>SP</t>
        </is>
      </c>
      <c r="E279" s="1394" t="n">
        <v>34029</v>
      </c>
      <c r="F279" s="1394" t="n">
        <v>34060</v>
      </c>
      <c r="G279" s="1393" t="inlineStr">
        <is>
          <t>-</t>
        </is>
      </c>
      <c r="H279" s="1393">
        <f>H278</f>
        <v/>
      </c>
      <c r="I279" s="1393" t="inlineStr">
        <is>
          <t>-</t>
        </is>
      </c>
      <c r="J279" s="1393" t="inlineStr">
        <is>
          <t>-</t>
        </is>
      </c>
      <c r="K279" s="1395">
        <f>IF(raw[[#This Row],[city]]&lt;&gt;"",_xlfn.XLOOKUP($D279,ccc[city],ccc[prov],"-"),"-")</f>
        <v/>
      </c>
      <c r="L279" s="1395">
        <f>IF(raw[[#This Row],[city]]&lt;&gt;"",_xlfn.XLOOKUP($D279,ccc[city],ccc[ctry],"-"),"-")</f>
        <v/>
      </c>
      <c r="M279" s="1395">
        <f>IF(raw[[#This Row],[city]]&lt;&gt;"",_xlfn.XLOOKUP($D279,ccc[city],ccc[cont],"-"),"-")</f>
        <v/>
      </c>
      <c r="N279" s="1396">
        <f>IF(raw[[#This Row],[city]]="","-",IF(raw[[#This Row],[cont]]="B",raw[[#This Row],[cont]],"W"))</f>
        <v/>
      </c>
      <c r="O279" s="1397">
        <f>IF(raw[[#This Row],[out]]=0,0,IF(raw[[#This Row],[out]]=raw[[#This Row],[in]],0.01,raw[[#This Row],[out]]-raw[[#This Row],[in]]))</f>
        <v/>
      </c>
      <c r="P279" s="1397">
        <f>IF(raw[[#This Row],[in]]=0,0,MONTH(raw[[#This Row],[in]]))</f>
        <v/>
      </c>
      <c r="Q279" s="1397">
        <f>IF(raw[[#This Row],[in]]=0,0,YEAR(raw[[#This Row],[in]]))</f>
        <v/>
      </c>
      <c r="R279" s="1397">
        <f>INT(raw[[#This Row],[yr]]/10)*10</f>
        <v/>
      </c>
      <c r="S279" s="1395">
        <f>IF(raw[[#This Row],[city]]="","-",IF(raw[[#This Row],[city]]&lt;&gt;_xlfn.XLOOKUP(raw[[#This Row],[home]],homes[home],homes[city],"-"),1,0))</f>
        <v/>
      </c>
      <c r="T279" s="1398" t="inlineStr">
        <is>
          <t>.</t>
        </is>
      </c>
      <c r="U279" s="1399">
        <f>IF(raw[[#This Row],[wb]]="w",raw[[#This Row],[stay]]+U278,U278)</f>
        <v/>
      </c>
      <c r="V279" s="1400">
        <f>IF(raw[[#This Row],[out]]=0,V278,(raw[[#This Row],[out]]-E$5))</f>
        <v/>
      </c>
      <c r="W279" s="1401">
        <f>U279/V279</f>
        <v/>
      </c>
      <c r="X279" s="1378" t="inlineStr">
        <is>
          <t>.</t>
        </is>
      </c>
      <c r="Y279" s="1402">
        <f/>
        <v/>
      </c>
      <c r="Z279" s="1403">
        <f/>
        <v/>
      </c>
      <c r="AA279" s="1403">
        <f/>
        <v/>
      </c>
      <c r="AB279" s="1400">
        <f t="array" ref="AB279">_xlfn.LET(_xlpm.S,_xlfn.ANCHORARRAY($Y$4),_xlpm.r,ROWS(stayCity[[#Headers],[city]]:stayCity[[#This Row],[city]])-1,IF(_xlpm.r&lt;=ROWS(_xlpm.S),INDEX(_xlpm.S,_xlpm.r,1),""))</f>
        <v/>
      </c>
      <c r="AC279" s="1405">
        <f t="array" ref="AC279">_xlfn.LET(_xlpm.S,_xlfn.ANCHORARRAY($Y$4),_xlpm.r,ROWS(stayCity[[#Headers],[city]]:stayCity[[#This Row],[city]])-1,IF(_xlpm.r&lt;=ROWS(_xlpm.S),INDEX(_xlpm.S,_xlpm.r,2),""))</f>
        <v/>
      </c>
      <c r="AD279" s="1405">
        <f t="array" ref="AD279">_xlfn.LET(_xlpm.S,_xlfn.ANCHORARRAY($Y$4),_xlpm.r,ROWS(stayCity[[#Headers],[city]]:stayCity[[#This Row],[city]])-1,IF(_xlpm.r&lt;=ROWS(_xlpm.S),INDEX(_xlpm.S,_xlpm.r,3),""))</f>
        <v/>
      </c>
      <c r="AE279" s="1400">
        <f>IF(stayCity[[#This Row],[out]]&lt;&gt;"",stayCity[[#This Row],[out]]-stayCity[[#This Row],[in]],"-")</f>
        <v/>
      </c>
      <c r="AF279" s="1406">
        <f>IF(Y279="","-",YEAR(stayCity[[#This Row],[in]]))</f>
        <v/>
      </c>
      <c r="AG279" s="1398" t="inlineStr">
        <is>
          <t>.</t>
        </is>
      </c>
      <c r="AH279" s="1402" t="n"/>
      <c r="AI279" s="1420" t="n"/>
      <c r="AJ279" s="1420" t="n"/>
      <c r="AK279" s="1400">
        <f>IF(AH279="","-",AH279)</f>
        <v/>
      </c>
      <c r="AL279" s="1405">
        <f>AI279</f>
        <v/>
      </c>
      <c r="AM279" s="1405">
        <f>AJ279</f>
        <v/>
      </c>
      <c r="AN279" s="1400">
        <f>stayCtry[[#This Row],[out]]-stayCtry[[#This Row],[in]]</f>
        <v/>
      </c>
      <c r="AO279" s="1406">
        <f>IF(AI279&lt;&gt;"",AO278+1,AO278)</f>
        <v/>
      </c>
      <c r="AP279" s="1398" t="inlineStr">
        <is>
          <t>.</t>
        </is>
      </c>
      <c r="AQ279" s="1402" t="n"/>
      <c r="AR279" s="1403" t="n"/>
      <c r="AS279" s="1403" t="n"/>
      <c r="AT279" s="1400">
        <f>AQ279</f>
        <v/>
      </c>
      <c r="AU279" s="1405">
        <f>AR279</f>
        <v/>
      </c>
      <c r="AV279" s="1405">
        <f>AS279</f>
        <v/>
      </c>
      <c r="AW279" s="1400">
        <f>stayCont[[#This Row],[out]]-stayCont[[#This Row],[in]]</f>
        <v/>
      </c>
      <c r="AX279" s="1406">
        <f>IF(AR279&lt;&gt;"",AX278+1,AX278)</f>
        <v/>
      </c>
      <c r="AY279" s="1398" t="inlineStr">
        <is>
          <t>.</t>
        </is>
      </c>
      <c r="AZ279" s="1402" t="n"/>
      <c r="BA279" s="1403" t="n"/>
      <c r="BB279" s="1403" t="n"/>
      <c r="BC279" s="1405">
        <f>AZ279</f>
        <v/>
      </c>
      <c r="BD279" s="1405">
        <f>BA279</f>
        <v/>
      </c>
      <c r="BE279" s="1405">
        <f>BB279</f>
        <v/>
      </c>
      <c r="BF279" s="1400">
        <f>stayWB[[#This Row],[out]]-stayWB[[#This Row],[in]]</f>
        <v/>
      </c>
      <c r="BG279" s="1400">
        <f>IF(BB279&lt;&gt;"",BG278+1,BG278)</f>
        <v/>
      </c>
      <c r="BH279" s="1398" t="inlineStr">
        <is>
          <t>.</t>
        </is>
      </c>
      <c r="BI279" s="1402" t="inlineStr">
        <is>
          <t>PRT</t>
        </is>
      </c>
      <c r="BJ279" s="1402" t="n">
        <v>2026</v>
      </c>
      <c r="BK279" s="1400">
        <f>BI279</f>
        <v/>
      </c>
      <c r="BL279" s="1409">
        <f>BJ279</f>
        <v/>
      </c>
      <c r="BM279" s="1378" t="inlineStr">
        <is>
          <t>.</t>
        </is>
      </c>
      <c r="BN279" s="1411" t="n"/>
      <c r="BO279" s="1400">
        <f>BN279</f>
        <v/>
      </c>
      <c r="BP279" s="1398" t="inlineStr">
        <is>
          <t>.</t>
        </is>
      </c>
      <c r="BQ279" s="1400">
        <f>IF(BR279&lt;&gt;"",BQ278+1,BQ278)</f>
        <v/>
      </c>
      <c r="BR279" s="1411" t="inlineStr">
        <is>
          <t>Montreal</t>
        </is>
      </c>
      <c r="BS279" s="1411" t="inlineStr">
        <is>
          <t>NYC</t>
        </is>
      </c>
      <c r="BT279" s="1412" t="inlineStr">
        <is>
          <t>Montreal-NYC</t>
        </is>
      </c>
      <c r="BU279" s="1412" t="n">
        <v>41913</v>
      </c>
      <c r="BV279" s="1398" t="inlineStr">
        <is>
          <t>.</t>
        </is>
      </c>
      <c r="BW279" s="1392" t="n"/>
      <c r="BX279" s="1392" t="n"/>
      <c r="BY279" s="1392" t="n"/>
      <c r="BZ279" s="1416" t="n"/>
      <c r="CA279" s="1392" t="n"/>
      <c r="CB279" s="1392" t="n"/>
      <c r="CC279" s="1392" t="n"/>
      <c r="CD279" s="1392" t="n"/>
      <c r="CE279" s="1392" t="n"/>
      <c r="CF279" s="1392" t="n"/>
      <c r="CG279" s="1392" t="n"/>
      <c r="CH279" s="1392" t="n"/>
      <c r="CI279" s="1392" t="n"/>
      <c r="CJ279" s="1392" t="n"/>
      <c r="CK279" s="1392" t="n"/>
      <c r="CL279" s="1392" t="n"/>
    </row>
    <row r="280">
      <c r="A280" s="5" t="inlineStr">
        <is>
          <t>.</t>
        </is>
      </c>
      <c r="B280" s="5" t="inlineStr">
        <is>
          <t>.</t>
        </is>
      </c>
      <c r="C280" s="1378">
        <f>IF(raw[[#This Row],[city]]="","-",IF(raw[[#This Row],[city]]="TODAY","-",C279+1))</f>
        <v/>
      </c>
      <c r="D280" s="1393" t="inlineStr">
        <is>
          <t>SP</t>
        </is>
      </c>
      <c r="E280" s="1394" t="n">
        <v>34060</v>
      </c>
      <c r="F280" s="1394" t="n">
        <v>34090</v>
      </c>
      <c r="G280" s="1393" t="inlineStr">
        <is>
          <t>-</t>
        </is>
      </c>
      <c r="H280" s="1393">
        <f>H279</f>
        <v/>
      </c>
      <c r="I280" s="1393" t="inlineStr">
        <is>
          <t>-</t>
        </is>
      </c>
      <c r="J280" s="1393" t="inlineStr">
        <is>
          <t>-</t>
        </is>
      </c>
      <c r="K280" s="1395">
        <f>IF(raw[[#This Row],[city]]&lt;&gt;"",_xlfn.XLOOKUP($D280,ccc[city],ccc[prov],"-"),"-")</f>
        <v/>
      </c>
      <c r="L280" s="1395">
        <f>IF(raw[[#This Row],[city]]&lt;&gt;"",_xlfn.XLOOKUP($D280,ccc[city],ccc[ctry],"-"),"-")</f>
        <v/>
      </c>
      <c r="M280" s="1395">
        <f>IF(raw[[#This Row],[city]]&lt;&gt;"",_xlfn.XLOOKUP($D280,ccc[city],ccc[cont],"-"),"-")</f>
        <v/>
      </c>
      <c r="N280" s="1396">
        <f>IF(raw[[#This Row],[city]]="","-",IF(raw[[#This Row],[cont]]="B",raw[[#This Row],[cont]],"W"))</f>
        <v/>
      </c>
      <c r="O280" s="1397">
        <f>IF(raw[[#This Row],[out]]=0,0,IF(raw[[#This Row],[out]]=raw[[#This Row],[in]],0.01,raw[[#This Row],[out]]-raw[[#This Row],[in]]))</f>
        <v/>
      </c>
      <c r="P280" s="1397">
        <f>IF(raw[[#This Row],[in]]=0,0,MONTH(raw[[#This Row],[in]]))</f>
        <v/>
      </c>
      <c r="Q280" s="1397">
        <f>IF(raw[[#This Row],[in]]=0,0,YEAR(raw[[#This Row],[in]]))</f>
        <v/>
      </c>
      <c r="R280" s="1397">
        <f>INT(raw[[#This Row],[yr]]/10)*10</f>
        <v/>
      </c>
      <c r="S280" s="1395">
        <f>IF(raw[[#This Row],[city]]="","-",IF(raw[[#This Row],[city]]&lt;&gt;_xlfn.XLOOKUP(raw[[#This Row],[home]],homes[home],homes[city],"-"),1,0))</f>
        <v/>
      </c>
      <c r="T280" s="1398" t="inlineStr">
        <is>
          <t>.</t>
        </is>
      </c>
      <c r="U280" s="1399">
        <f>IF(raw[[#This Row],[wb]]="w",raw[[#This Row],[stay]]+U279,U279)</f>
        <v/>
      </c>
      <c r="V280" s="1400">
        <f>IF(raw[[#This Row],[out]]=0,V279,(raw[[#This Row],[out]]-E$5))</f>
        <v/>
      </c>
      <c r="W280" s="1401">
        <f>U280/V280</f>
        <v/>
      </c>
      <c r="X280" s="1378" t="inlineStr">
        <is>
          <t>.</t>
        </is>
      </c>
      <c r="Y280" s="1402">
        <f/>
        <v/>
      </c>
      <c r="Z280" s="1403">
        <f/>
        <v/>
      </c>
      <c r="AA280" s="1403">
        <f/>
        <v/>
      </c>
      <c r="AB280" s="1400">
        <f t="array" ref="AB280">_xlfn.LET(_xlpm.S,_xlfn.ANCHORARRAY($Y$4),_xlpm.r,ROWS(stayCity[[#Headers],[city]]:stayCity[[#This Row],[city]])-1,IF(_xlpm.r&lt;=ROWS(_xlpm.S),INDEX(_xlpm.S,_xlpm.r,1),""))</f>
        <v/>
      </c>
      <c r="AC280" s="1405">
        <f t="array" ref="AC280">_xlfn.LET(_xlpm.S,_xlfn.ANCHORARRAY($Y$4),_xlpm.r,ROWS(stayCity[[#Headers],[city]]:stayCity[[#This Row],[city]])-1,IF(_xlpm.r&lt;=ROWS(_xlpm.S),INDEX(_xlpm.S,_xlpm.r,2),""))</f>
        <v/>
      </c>
      <c r="AD280" s="1405">
        <f t="array" ref="AD280">_xlfn.LET(_xlpm.S,_xlfn.ANCHORARRAY($Y$4),_xlpm.r,ROWS(stayCity[[#Headers],[city]]:stayCity[[#This Row],[city]])-1,IF(_xlpm.r&lt;=ROWS(_xlpm.S),INDEX(_xlpm.S,_xlpm.r,3),""))</f>
        <v/>
      </c>
      <c r="AE280" s="1400">
        <f>IF(stayCity[[#This Row],[out]]&lt;&gt;"",stayCity[[#This Row],[out]]-stayCity[[#This Row],[in]],"-")</f>
        <v/>
      </c>
      <c r="AF280" s="1406">
        <f>IF(Y280="","-",YEAR(stayCity[[#This Row],[in]]))</f>
        <v/>
      </c>
      <c r="AG280" s="1398" t="inlineStr">
        <is>
          <t>.</t>
        </is>
      </c>
      <c r="AH280" s="1402" t="n"/>
      <c r="AI280" s="1420" t="n"/>
      <c r="AJ280" s="1420" t="n"/>
      <c r="AK280" s="1400">
        <f>IF(AH280="","-",AH280)</f>
        <v/>
      </c>
      <c r="AL280" s="1405">
        <f>AI280</f>
        <v/>
      </c>
      <c r="AM280" s="1405">
        <f>AJ280</f>
        <v/>
      </c>
      <c r="AN280" s="1400">
        <f>stayCtry[[#This Row],[out]]-stayCtry[[#This Row],[in]]</f>
        <v/>
      </c>
      <c r="AO280" s="1406">
        <f>IF(AI280&lt;&gt;"",AO279+1,AO279)</f>
        <v/>
      </c>
      <c r="AP280" s="1398" t="inlineStr">
        <is>
          <t>.</t>
        </is>
      </c>
      <c r="AQ280" s="1402" t="n"/>
      <c r="AR280" s="1403" t="n"/>
      <c r="AS280" s="1403" t="n"/>
      <c r="AT280" s="1400">
        <f>AQ280</f>
        <v/>
      </c>
      <c r="AU280" s="1405">
        <f>AR280</f>
        <v/>
      </c>
      <c r="AV280" s="1405">
        <f>AS280</f>
        <v/>
      </c>
      <c r="AW280" s="1400">
        <f>stayCont[[#This Row],[out]]-stayCont[[#This Row],[in]]</f>
        <v/>
      </c>
      <c r="AX280" s="1406">
        <f>IF(AR280&lt;&gt;"",AX279+1,AX279)</f>
        <v/>
      </c>
      <c r="AY280" s="1398" t="inlineStr">
        <is>
          <t>.</t>
        </is>
      </c>
      <c r="AZ280" s="1402" t="n"/>
      <c r="BA280" s="1403" t="n"/>
      <c r="BB280" s="1403" t="n"/>
      <c r="BC280" s="1405">
        <f>AZ280</f>
        <v/>
      </c>
      <c r="BD280" s="1405">
        <f>BA280</f>
        <v/>
      </c>
      <c r="BE280" s="1405">
        <f>BB280</f>
        <v/>
      </c>
      <c r="BF280" s="1400">
        <f>stayWB[[#This Row],[out]]-stayWB[[#This Row],[in]]</f>
        <v/>
      </c>
      <c r="BG280" s="1400">
        <f>IF(BB280&lt;&gt;"",BG279+1,BG279)</f>
        <v/>
      </c>
      <c r="BH280" s="1398" t="inlineStr">
        <is>
          <t>.</t>
        </is>
      </c>
      <c r="BI280" s="1402" t="n"/>
      <c r="BJ280" s="1402" t="n"/>
      <c r="BK280" s="1400">
        <f>BI280</f>
        <v/>
      </c>
      <c r="BL280" s="1409">
        <f>BJ280</f>
        <v/>
      </c>
      <c r="BM280" s="1378" t="inlineStr">
        <is>
          <t>.</t>
        </is>
      </c>
      <c r="BN280" s="1411" t="n"/>
      <c r="BO280" s="1400">
        <f>BN280</f>
        <v/>
      </c>
      <c r="BP280" s="1398" t="inlineStr">
        <is>
          <t>.</t>
        </is>
      </c>
      <c r="BQ280" s="1400">
        <f>IF(BR280&lt;&gt;"",BQ279+1,BQ279)</f>
        <v/>
      </c>
      <c r="BR280" s="1411" t="inlineStr">
        <is>
          <t>NYC</t>
        </is>
      </c>
      <c r="BS280" s="1411" t="inlineStr">
        <is>
          <t>Orlando</t>
        </is>
      </c>
      <c r="BT280" s="1412" t="inlineStr">
        <is>
          <t>NYC-Orlando</t>
        </is>
      </c>
      <c r="BU280" s="1412" t="n">
        <v>41913</v>
      </c>
      <c r="BV280" s="1398" t="inlineStr">
        <is>
          <t>.</t>
        </is>
      </c>
      <c r="BW280" s="1392" t="n"/>
      <c r="BX280" s="1392" t="n"/>
      <c r="BY280" s="1392" t="n"/>
      <c r="BZ280" s="1416" t="n"/>
      <c r="CA280" s="1392" t="n"/>
      <c r="CB280" s="1392" t="n"/>
      <c r="CC280" s="1392" t="n"/>
      <c r="CD280" s="1392" t="n"/>
      <c r="CE280" s="1392" t="n"/>
      <c r="CF280" s="1392" t="n"/>
      <c r="CG280" s="1392" t="n"/>
      <c r="CH280" s="1392" t="n"/>
      <c r="CI280" s="1392" t="n"/>
      <c r="CJ280" s="1392" t="n"/>
      <c r="CK280" s="1392" t="n"/>
      <c r="CL280" s="1392" t="n"/>
    </row>
    <row r="281">
      <c r="A281" s="5" t="inlineStr">
        <is>
          <t>.</t>
        </is>
      </c>
      <c r="B281" s="5" t="inlineStr">
        <is>
          <t>.</t>
        </is>
      </c>
      <c r="C281" s="1378">
        <f>IF(raw[[#This Row],[city]]="","-",IF(raw[[#This Row],[city]]="TODAY","-",C280+1))</f>
        <v/>
      </c>
      <c r="D281" s="1393" t="inlineStr">
        <is>
          <t>SP</t>
        </is>
      </c>
      <c r="E281" s="1394" t="n">
        <v>34090</v>
      </c>
      <c r="F281" s="1394" t="n">
        <v>34118</v>
      </c>
      <c r="G281" s="1393" t="inlineStr">
        <is>
          <t>-</t>
        </is>
      </c>
      <c r="H281" s="1393">
        <f>H280</f>
        <v/>
      </c>
      <c r="I281" s="1393" t="inlineStr">
        <is>
          <t>-</t>
        </is>
      </c>
      <c r="J281" s="1393" t="inlineStr">
        <is>
          <t>-</t>
        </is>
      </c>
      <c r="K281" s="1395">
        <f>IF(raw[[#This Row],[city]]&lt;&gt;"",_xlfn.XLOOKUP($D281,ccc[city],ccc[prov],"-"),"-")</f>
        <v/>
      </c>
      <c r="L281" s="1395">
        <f>IF(raw[[#This Row],[city]]&lt;&gt;"",_xlfn.XLOOKUP($D281,ccc[city],ccc[ctry],"-"),"-")</f>
        <v/>
      </c>
      <c r="M281" s="1395">
        <f>IF(raw[[#This Row],[city]]&lt;&gt;"",_xlfn.XLOOKUP($D281,ccc[city],ccc[cont],"-"),"-")</f>
        <v/>
      </c>
      <c r="N281" s="1396">
        <f>IF(raw[[#This Row],[city]]="","-",IF(raw[[#This Row],[cont]]="B",raw[[#This Row],[cont]],"W"))</f>
        <v/>
      </c>
      <c r="O281" s="1397">
        <f>IF(raw[[#This Row],[out]]=0,0,IF(raw[[#This Row],[out]]=raw[[#This Row],[in]],0.01,raw[[#This Row],[out]]-raw[[#This Row],[in]]))</f>
        <v/>
      </c>
      <c r="P281" s="1397">
        <f>IF(raw[[#This Row],[in]]=0,0,MONTH(raw[[#This Row],[in]]))</f>
        <v/>
      </c>
      <c r="Q281" s="1397">
        <f>IF(raw[[#This Row],[in]]=0,0,YEAR(raw[[#This Row],[in]]))</f>
        <v/>
      </c>
      <c r="R281" s="1397">
        <f>INT(raw[[#This Row],[yr]]/10)*10</f>
        <v/>
      </c>
      <c r="S281" s="1395">
        <f>IF(raw[[#This Row],[city]]="","-",IF(raw[[#This Row],[city]]&lt;&gt;_xlfn.XLOOKUP(raw[[#This Row],[home]],homes[home],homes[city],"-"),1,0))</f>
        <v/>
      </c>
      <c r="T281" s="1398" t="inlineStr">
        <is>
          <t>.</t>
        </is>
      </c>
      <c r="U281" s="1399">
        <f>IF(raw[[#This Row],[wb]]="w",raw[[#This Row],[stay]]+U280,U280)</f>
        <v/>
      </c>
      <c r="V281" s="1400">
        <f>IF(raw[[#This Row],[out]]=0,V280,(raw[[#This Row],[out]]-E$5))</f>
        <v/>
      </c>
      <c r="W281" s="1401">
        <f>U281/V281</f>
        <v/>
      </c>
      <c r="X281" s="1378" t="inlineStr">
        <is>
          <t>.</t>
        </is>
      </c>
      <c r="Y281" s="1402">
        <f/>
        <v/>
      </c>
      <c r="Z281" s="1403">
        <f/>
        <v/>
      </c>
      <c r="AA281" s="1403">
        <f/>
        <v/>
      </c>
      <c r="AB281" s="1400">
        <f t="array" ref="AB281">_xlfn.LET(_xlpm.S,_xlfn.ANCHORARRAY($Y$4),_xlpm.r,ROWS(stayCity[[#Headers],[city]]:stayCity[[#This Row],[city]])-1,IF(_xlpm.r&lt;=ROWS(_xlpm.S),INDEX(_xlpm.S,_xlpm.r,1),""))</f>
        <v/>
      </c>
      <c r="AC281" s="1405">
        <f t="array" ref="AC281">_xlfn.LET(_xlpm.S,_xlfn.ANCHORARRAY($Y$4),_xlpm.r,ROWS(stayCity[[#Headers],[city]]:stayCity[[#This Row],[city]])-1,IF(_xlpm.r&lt;=ROWS(_xlpm.S),INDEX(_xlpm.S,_xlpm.r,2),""))</f>
        <v/>
      </c>
      <c r="AD281" s="1405">
        <f t="array" ref="AD281">_xlfn.LET(_xlpm.S,_xlfn.ANCHORARRAY($Y$4),_xlpm.r,ROWS(stayCity[[#Headers],[city]]:stayCity[[#This Row],[city]])-1,IF(_xlpm.r&lt;=ROWS(_xlpm.S),INDEX(_xlpm.S,_xlpm.r,3),""))</f>
        <v/>
      </c>
      <c r="AE281" s="1400">
        <f>IF(stayCity[[#This Row],[out]]&lt;&gt;"",stayCity[[#This Row],[out]]-stayCity[[#This Row],[in]],"-")</f>
        <v/>
      </c>
      <c r="AF281" s="1406">
        <f>IF(Y281="","-",YEAR(stayCity[[#This Row],[in]]))</f>
        <v/>
      </c>
      <c r="AG281" s="1398" t="inlineStr">
        <is>
          <t>.</t>
        </is>
      </c>
      <c r="AH281" s="1402" t="n"/>
      <c r="AI281" s="1420" t="n"/>
      <c r="AJ281" s="1420" t="n"/>
      <c r="AK281" s="1400">
        <f>IF(AH281="","-",AH281)</f>
        <v/>
      </c>
      <c r="AL281" s="1405">
        <f>AI281</f>
        <v/>
      </c>
      <c r="AM281" s="1405">
        <f>AJ281</f>
        <v/>
      </c>
      <c r="AN281" s="1400">
        <f>stayCtry[[#This Row],[out]]-stayCtry[[#This Row],[in]]</f>
        <v/>
      </c>
      <c r="AO281" s="1406">
        <f>IF(AI281&lt;&gt;"",AO280+1,AO280)</f>
        <v/>
      </c>
      <c r="AP281" s="1398" t="inlineStr">
        <is>
          <t>.</t>
        </is>
      </c>
      <c r="AQ281" s="1402" t="n"/>
      <c r="AR281" s="1403" t="n"/>
      <c r="AS281" s="1403" t="n"/>
      <c r="AT281" s="1400">
        <f>AQ281</f>
        <v/>
      </c>
      <c r="AU281" s="1405">
        <f>AR281</f>
        <v/>
      </c>
      <c r="AV281" s="1405">
        <f>AS281</f>
        <v/>
      </c>
      <c r="AW281" s="1400">
        <f>stayCont[[#This Row],[out]]-stayCont[[#This Row],[in]]</f>
        <v/>
      </c>
      <c r="AX281" s="1406">
        <f>IF(AR281&lt;&gt;"",AX280+1,AX280)</f>
        <v/>
      </c>
      <c r="AY281" s="1398" t="inlineStr">
        <is>
          <t>.</t>
        </is>
      </c>
      <c r="AZ281" s="1402" t="n"/>
      <c r="BA281" s="1403" t="n"/>
      <c r="BB281" s="1403" t="n"/>
      <c r="BC281" s="1405">
        <f>AZ281</f>
        <v/>
      </c>
      <c r="BD281" s="1405">
        <f>BA281</f>
        <v/>
      </c>
      <c r="BE281" s="1405">
        <f>BB281</f>
        <v/>
      </c>
      <c r="BF281" s="1400">
        <f>stayWB[[#This Row],[out]]-stayWB[[#This Row],[in]]</f>
        <v/>
      </c>
      <c r="BG281" s="1400">
        <f>IF(BB281&lt;&gt;"",BG280+1,BG280)</f>
        <v/>
      </c>
      <c r="BH281" s="1398" t="inlineStr">
        <is>
          <t>.</t>
        </is>
      </c>
      <c r="BI281" s="1402" t="n"/>
      <c r="BJ281" s="1402" t="n"/>
      <c r="BK281" s="1400">
        <f>BI281</f>
        <v/>
      </c>
      <c r="BL281" s="1409">
        <f>BJ281</f>
        <v/>
      </c>
      <c r="BM281" s="1378" t="inlineStr">
        <is>
          <t>.</t>
        </is>
      </c>
      <c r="BN281" s="1411" t="n"/>
      <c r="BO281" s="1400">
        <f>BN281</f>
        <v/>
      </c>
      <c r="BP281" s="1398" t="inlineStr">
        <is>
          <t>.</t>
        </is>
      </c>
      <c r="BQ281" s="1400">
        <f>IF(BR281&lt;&gt;"",BQ280+1,BQ280)</f>
        <v/>
      </c>
      <c r="BR281" s="1411" t="inlineStr">
        <is>
          <t>Orlando</t>
        </is>
      </c>
      <c r="BS281" s="1411" t="inlineStr">
        <is>
          <t>NYC</t>
        </is>
      </c>
      <c r="BT281" s="1412" t="inlineStr">
        <is>
          <t>Orlando-NYC</t>
        </is>
      </c>
      <c r="BU281" s="1412" t="n">
        <v>41913</v>
      </c>
      <c r="BV281" s="1398" t="inlineStr">
        <is>
          <t>.</t>
        </is>
      </c>
      <c r="BW281" s="1392" t="n"/>
      <c r="BX281" s="1392" t="n"/>
      <c r="BY281" s="1392" t="n"/>
      <c r="BZ281" s="1416" t="n"/>
      <c r="CA281" s="1392" t="n"/>
      <c r="CB281" s="1392" t="n"/>
      <c r="CC281" s="1392" t="n"/>
      <c r="CD281" s="1392" t="n"/>
      <c r="CE281" s="1392" t="n"/>
      <c r="CF281" s="1392" t="n"/>
      <c r="CG281" s="1392" t="n"/>
      <c r="CH281" s="1392" t="n"/>
      <c r="CI281" s="1392" t="n"/>
      <c r="CJ281" s="1392" t="n"/>
      <c r="CK281" s="1392" t="n"/>
      <c r="CL281" s="1392" t="n"/>
    </row>
    <row r="282">
      <c r="A282" s="5" t="inlineStr">
        <is>
          <t>.</t>
        </is>
      </c>
      <c r="B282" s="5" t="inlineStr">
        <is>
          <t>.</t>
        </is>
      </c>
      <c r="C282" s="1378">
        <f>IF(raw[[#This Row],[city]]="","-",IF(raw[[#This Row],[city]]="TODAY","-",C281+1))</f>
        <v/>
      </c>
      <c r="D282" s="1393" t="inlineStr">
        <is>
          <t>Rio</t>
        </is>
      </c>
      <c r="E282" s="1394" t="n">
        <v>34118</v>
      </c>
      <c r="F282" s="1394" t="n">
        <v>34121</v>
      </c>
      <c r="G282" s="1393" t="inlineStr">
        <is>
          <t>-</t>
        </is>
      </c>
      <c r="H282" s="1393">
        <f>H281</f>
        <v/>
      </c>
      <c r="I282" s="1393" t="inlineStr">
        <is>
          <t>-</t>
        </is>
      </c>
      <c r="J282" s="1393" t="inlineStr">
        <is>
          <t>-</t>
        </is>
      </c>
      <c r="K282" s="1395">
        <f>IF(raw[[#This Row],[city]]&lt;&gt;"",_xlfn.XLOOKUP($D282,ccc[city],ccc[prov],"-"),"-")</f>
        <v/>
      </c>
      <c r="L282" s="1395">
        <f>IF(raw[[#This Row],[city]]&lt;&gt;"",_xlfn.XLOOKUP($D282,ccc[city],ccc[ctry],"-"),"-")</f>
        <v/>
      </c>
      <c r="M282" s="1395">
        <f>IF(raw[[#This Row],[city]]&lt;&gt;"",_xlfn.XLOOKUP($D282,ccc[city],ccc[cont],"-"),"-")</f>
        <v/>
      </c>
      <c r="N282" s="1396">
        <f>IF(raw[[#This Row],[city]]="","-",IF(raw[[#This Row],[cont]]="B",raw[[#This Row],[cont]],"W"))</f>
        <v/>
      </c>
      <c r="O282" s="1397">
        <f>IF(raw[[#This Row],[out]]=0,0,IF(raw[[#This Row],[out]]=raw[[#This Row],[in]],0.01,raw[[#This Row],[out]]-raw[[#This Row],[in]]))</f>
        <v/>
      </c>
      <c r="P282" s="1397">
        <f>IF(raw[[#This Row],[in]]=0,0,MONTH(raw[[#This Row],[in]]))</f>
        <v/>
      </c>
      <c r="Q282" s="1397">
        <f>IF(raw[[#This Row],[in]]=0,0,YEAR(raw[[#This Row],[in]]))</f>
        <v/>
      </c>
      <c r="R282" s="1397">
        <f>INT(raw[[#This Row],[yr]]/10)*10</f>
        <v/>
      </c>
      <c r="S282" s="1395">
        <f>IF(raw[[#This Row],[city]]="","-",IF(raw[[#This Row],[city]]&lt;&gt;_xlfn.XLOOKUP(raw[[#This Row],[home]],homes[home],homes[city],"-"),1,0))</f>
        <v/>
      </c>
      <c r="T282" s="1398" t="inlineStr">
        <is>
          <t>.</t>
        </is>
      </c>
      <c r="U282" s="1399">
        <f>IF(raw[[#This Row],[wb]]="w",raw[[#This Row],[stay]]+U281,U281)</f>
        <v/>
      </c>
      <c r="V282" s="1400">
        <f>IF(raw[[#This Row],[out]]=0,V281,(raw[[#This Row],[out]]-E$5))</f>
        <v/>
      </c>
      <c r="W282" s="1401">
        <f>U282/V282</f>
        <v/>
      </c>
      <c r="X282" s="1378" t="inlineStr">
        <is>
          <t>.</t>
        </is>
      </c>
      <c r="Y282" s="1402">
        <f/>
        <v/>
      </c>
      <c r="Z282" s="1403">
        <f/>
        <v/>
      </c>
      <c r="AA282" s="1403">
        <f/>
        <v/>
      </c>
      <c r="AB282" s="1400">
        <f t="array" ref="AB282">_xlfn.LET(_xlpm.S,_xlfn.ANCHORARRAY($Y$4),_xlpm.r,ROWS(stayCity[[#Headers],[city]]:stayCity[[#This Row],[city]])-1,IF(_xlpm.r&lt;=ROWS(_xlpm.S),INDEX(_xlpm.S,_xlpm.r,1),""))</f>
        <v/>
      </c>
      <c r="AC282" s="1405">
        <f t="array" ref="AC282">_xlfn.LET(_xlpm.S,_xlfn.ANCHORARRAY($Y$4),_xlpm.r,ROWS(stayCity[[#Headers],[city]]:stayCity[[#This Row],[city]])-1,IF(_xlpm.r&lt;=ROWS(_xlpm.S),INDEX(_xlpm.S,_xlpm.r,2),""))</f>
        <v/>
      </c>
      <c r="AD282" s="1405">
        <f t="array" ref="AD282">_xlfn.LET(_xlpm.S,_xlfn.ANCHORARRAY($Y$4),_xlpm.r,ROWS(stayCity[[#Headers],[city]]:stayCity[[#This Row],[city]])-1,IF(_xlpm.r&lt;=ROWS(_xlpm.S),INDEX(_xlpm.S,_xlpm.r,3),""))</f>
        <v/>
      </c>
      <c r="AE282" s="1400">
        <f>IF(stayCity[[#This Row],[out]]&lt;&gt;"",stayCity[[#This Row],[out]]-stayCity[[#This Row],[in]],"-")</f>
        <v/>
      </c>
      <c r="AF282" s="1406">
        <f>IF(Y282="","-",YEAR(stayCity[[#This Row],[in]]))</f>
        <v/>
      </c>
      <c r="AG282" s="1398" t="inlineStr">
        <is>
          <t>.</t>
        </is>
      </c>
      <c r="AH282" s="1402" t="n"/>
      <c r="AI282" s="1420" t="n"/>
      <c r="AJ282" s="1420" t="n"/>
      <c r="AK282" s="1400">
        <f>IF(AH282="","-",AH282)</f>
        <v/>
      </c>
      <c r="AL282" s="1405">
        <f>AI282</f>
        <v/>
      </c>
      <c r="AM282" s="1405">
        <f>AJ282</f>
        <v/>
      </c>
      <c r="AN282" s="1400">
        <f>stayCtry[[#This Row],[out]]-stayCtry[[#This Row],[in]]</f>
        <v/>
      </c>
      <c r="AO282" s="1406">
        <f>IF(AI282&lt;&gt;"",AO281+1,AO281)</f>
        <v/>
      </c>
      <c r="AP282" s="1398" t="inlineStr">
        <is>
          <t>.</t>
        </is>
      </c>
      <c r="AQ282" s="1402" t="n"/>
      <c r="AR282" s="1403" t="n"/>
      <c r="AS282" s="1403" t="n"/>
      <c r="AT282" s="1400">
        <f>AQ282</f>
        <v/>
      </c>
      <c r="AU282" s="1405">
        <f>AR282</f>
        <v/>
      </c>
      <c r="AV282" s="1405">
        <f>AS282</f>
        <v/>
      </c>
      <c r="AW282" s="1400">
        <f>stayCont[[#This Row],[out]]-stayCont[[#This Row],[in]]</f>
        <v/>
      </c>
      <c r="AX282" s="1406">
        <f>IF(AR282&lt;&gt;"",AX281+1,AX281)</f>
        <v/>
      </c>
      <c r="AY282" s="1398" t="inlineStr">
        <is>
          <t>.</t>
        </is>
      </c>
      <c r="AZ282" s="1402" t="n"/>
      <c r="BA282" s="1403" t="n"/>
      <c r="BB282" s="1403" t="n"/>
      <c r="BC282" s="1405">
        <f>AZ282</f>
        <v/>
      </c>
      <c r="BD282" s="1405">
        <f>BA282</f>
        <v/>
      </c>
      <c r="BE282" s="1405">
        <f>BB282</f>
        <v/>
      </c>
      <c r="BF282" s="1400">
        <f>stayWB[[#This Row],[out]]-stayWB[[#This Row],[in]]</f>
        <v/>
      </c>
      <c r="BG282" s="1400">
        <f>IF(BB282&lt;&gt;"",BG281+1,BG281)</f>
        <v/>
      </c>
      <c r="BH282" s="1398" t="inlineStr">
        <is>
          <t>.</t>
        </is>
      </c>
      <c r="BI282" s="1402" t="n"/>
      <c r="BJ282" s="1402" t="n"/>
      <c r="BK282" s="1400">
        <f>BI282</f>
        <v/>
      </c>
      <c r="BL282" s="1409">
        <f>BJ282</f>
        <v/>
      </c>
      <c r="BM282" s="1378" t="inlineStr">
        <is>
          <t>.</t>
        </is>
      </c>
      <c r="BN282" s="1411" t="n"/>
      <c r="BO282" s="1400">
        <f>BN282</f>
        <v/>
      </c>
      <c r="BP282" s="1398" t="inlineStr">
        <is>
          <t>.</t>
        </is>
      </c>
      <c r="BQ282" s="1400">
        <f>IF(BR282&lt;&gt;"",BQ281+1,BQ281)</f>
        <v/>
      </c>
      <c r="BR282" s="1411" t="inlineStr">
        <is>
          <t>NYC</t>
        </is>
      </c>
      <c r="BS282" s="1411" t="inlineStr">
        <is>
          <t>Montreal</t>
        </is>
      </c>
      <c r="BT282" s="1412" t="inlineStr">
        <is>
          <t>NYC-Montreal</t>
        </is>
      </c>
      <c r="BU282" s="1412" t="n">
        <v>41924</v>
      </c>
      <c r="BV282" s="1398" t="inlineStr">
        <is>
          <t>.</t>
        </is>
      </c>
      <c r="BW282" s="1392" t="n"/>
      <c r="BX282" s="1392" t="n"/>
      <c r="BY282" s="1392" t="n"/>
      <c r="BZ282" s="1416" t="n"/>
      <c r="CA282" s="1392" t="n"/>
      <c r="CB282" s="1392" t="n"/>
      <c r="CC282" s="1392" t="n"/>
      <c r="CD282" s="1392" t="n"/>
      <c r="CE282" s="1392" t="n"/>
      <c r="CF282" s="1392" t="n"/>
      <c r="CG282" s="1392" t="n"/>
      <c r="CH282" s="1392" t="n"/>
      <c r="CI282" s="1392" t="n"/>
      <c r="CJ282" s="1392" t="n"/>
      <c r="CK282" s="1392" t="n"/>
      <c r="CL282" s="1392" t="n"/>
    </row>
    <row r="283">
      <c r="A283" s="5" t="inlineStr">
        <is>
          <t>.</t>
        </is>
      </c>
      <c r="B283" s="5" t="inlineStr">
        <is>
          <t>.</t>
        </is>
      </c>
      <c r="C283" s="1378">
        <f>IF(raw[[#This Row],[city]]="","-",IF(raw[[#This Row],[city]]="TODAY","-",C282+1))</f>
        <v/>
      </c>
      <c r="D283" s="1393" t="inlineStr">
        <is>
          <t>SP</t>
        </is>
      </c>
      <c r="E283" s="1394" t="n">
        <v>34121</v>
      </c>
      <c r="F283" s="1394" t="n">
        <v>34123</v>
      </c>
      <c r="G283" s="1393" t="inlineStr">
        <is>
          <t>-</t>
        </is>
      </c>
      <c r="H283" s="1393">
        <f>H282</f>
        <v/>
      </c>
      <c r="I283" s="1393" t="inlineStr">
        <is>
          <t>-</t>
        </is>
      </c>
      <c r="J283" s="1393" t="inlineStr">
        <is>
          <t>-</t>
        </is>
      </c>
      <c r="K283" s="1395">
        <f>IF(raw[[#This Row],[city]]&lt;&gt;"",_xlfn.XLOOKUP($D283,ccc[city],ccc[prov],"-"),"-")</f>
        <v/>
      </c>
      <c r="L283" s="1395">
        <f>IF(raw[[#This Row],[city]]&lt;&gt;"",_xlfn.XLOOKUP($D283,ccc[city],ccc[ctry],"-"),"-")</f>
        <v/>
      </c>
      <c r="M283" s="1395">
        <f>IF(raw[[#This Row],[city]]&lt;&gt;"",_xlfn.XLOOKUP($D283,ccc[city],ccc[cont],"-"),"-")</f>
        <v/>
      </c>
      <c r="N283" s="1396">
        <f>IF(raw[[#This Row],[city]]="","-",IF(raw[[#This Row],[cont]]="B",raw[[#This Row],[cont]],"W"))</f>
        <v/>
      </c>
      <c r="O283" s="1397">
        <f>IF(raw[[#This Row],[out]]=0,0,IF(raw[[#This Row],[out]]=raw[[#This Row],[in]],0.01,raw[[#This Row],[out]]-raw[[#This Row],[in]]))</f>
        <v/>
      </c>
      <c r="P283" s="1397">
        <f>IF(raw[[#This Row],[in]]=0,0,MONTH(raw[[#This Row],[in]]))</f>
        <v/>
      </c>
      <c r="Q283" s="1397">
        <f>IF(raw[[#This Row],[in]]=0,0,YEAR(raw[[#This Row],[in]]))</f>
        <v/>
      </c>
      <c r="R283" s="1397">
        <f>INT(raw[[#This Row],[yr]]/10)*10</f>
        <v/>
      </c>
      <c r="S283" s="1395">
        <f>IF(raw[[#This Row],[city]]="","-",IF(raw[[#This Row],[city]]&lt;&gt;_xlfn.XLOOKUP(raw[[#This Row],[home]],homes[home],homes[city],"-"),1,0))</f>
        <v/>
      </c>
      <c r="T283" s="1398" t="inlineStr">
        <is>
          <t>.</t>
        </is>
      </c>
      <c r="U283" s="1399">
        <f>IF(raw[[#This Row],[wb]]="w",raw[[#This Row],[stay]]+U282,U282)</f>
        <v/>
      </c>
      <c r="V283" s="1400">
        <f>IF(raw[[#This Row],[out]]=0,V282,(raw[[#This Row],[out]]-E$5))</f>
        <v/>
      </c>
      <c r="W283" s="1401">
        <f>U283/V283</f>
        <v/>
      </c>
      <c r="X283" s="1378" t="inlineStr">
        <is>
          <t>.</t>
        </is>
      </c>
      <c r="Y283" s="1402">
        <f/>
        <v/>
      </c>
      <c r="Z283" s="1403">
        <f/>
        <v/>
      </c>
      <c r="AA283" s="1403">
        <f/>
        <v/>
      </c>
      <c r="AB283" s="1400">
        <f t="array" ref="AB283">_xlfn.LET(_xlpm.S,_xlfn.ANCHORARRAY($Y$4),_xlpm.r,ROWS(stayCity[[#Headers],[city]]:stayCity[[#This Row],[city]])-1,IF(_xlpm.r&lt;=ROWS(_xlpm.S),INDEX(_xlpm.S,_xlpm.r,1),""))</f>
        <v/>
      </c>
      <c r="AC283" s="1405">
        <f t="array" ref="AC283">_xlfn.LET(_xlpm.S,_xlfn.ANCHORARRAY($Y$4),_xlpm.r,ROWS(stayCity[[#Headers],[city]]:stayCity[[#This Row],[city]])-1,IF(_xlpm.r&lt;=ROWS(_xlpm.S),INDEX(_xlpm.S,_xlpm.r,2),""))</f>
        <v/>
      </c>
      <c r="AD283" s="1405">
        <f t="array" ref="AD283">_xlfn.LET(_xlpm.S,_xlfn.ANCHORARRAY($Y$4),_xlpm.r,ROWS(stayCity[[#Headers],[city]]:stayCity[[#This Row],[city]])-1,IF(_xlpm.r&lt;=ROWS(_xlpm.S),INDEX(_xlpm.S,_xlpm.r,3),""))</f>
        <v/>
      </c>
      <c r="AE283" s="1400">
        <f>IF(stayCity[[#This Row],[out]]&lt;&gt;"",stayCity[[#This Row],[out]]-stayCity[[#This Row],[in]],"-")</f>
        <v/>
      </c>
      <c r="AF283" s="1406">
        <f>IF(Y283="","-",YEAR(stayCity[[#This Row],[in]]))</f>
        <v/>
      </c>
      <c r="AG283" s="1398" t="inlineStr">
        <is>
          <t>.</t>
        </is>
      </c>
      <c r="AH283" s="1402" t="n"/>
      <c r="AI283" s="1420" t="n"/>
      <c r="AJ283" s="1420" t="n"/>
      <c r="AK283" s="1400">
        <f>IF(AH283="","-",AH283)</f>
        <v/>
      </c>
      <c r="AL283" s="1405">
        <f>AI283</f>
        <v/>
      </c>
      <c r="AM283" s="1405">
        <f>AJ283</f>
        <v/>
      </c>
      <c r="AN283" s="1400">
        <f>stayCtry[[#This Row],[out]]-stayCtry[[#This Row],[in]]</f>
        <v/>
      </c>
      <c r="AO283" s="1406">
        <f>IF(AI283&lt;&gt;"",AO282+1,AO282)</f>
        <v/>
      </c>
      <c r="AP283" s="1398" t="inlineStr">
        <is>
          <t>.</t>
        </is>
      </c>
      <c r="AQ283" s="1402" t="n"/>
      <c r="AR283" s="1403" t="n"/>
      <c r="AS283" s="1403" t="n"/>
      <c r="AT283" s="1400">
        <f>AQ283</f>
        <v/>
      </c>
      <c r="AU283" s="1405">
        <f>AR283</f>
        <v/>
      </c>
      <c r="AV283" s="1405">
        <f>AS283</f>
        <v/>
      </c>
      <c r="AW283" s="1400">
        <f>stayCont[[#This Row],[out]]-stayCont[[#This Row],[in]]</f>
        <v/>
      </c>
      <c r="AX283" s="1406">
        <f>IF(AR283&lt;&gt;"",AX282+1,AX282)</f>
        <v/>
      </c>
      <c r="AY283" s="1398" t="inlineStr">
        <is>
          <t>.</t>
        </is>
      </c>
      <c r="AZ283" s="1402" t="n"/>
      <c r="BA283" s="1403" t="n"/>
      <c r="BB283" s="1403" t="n"/>
      <c r="BC283" s="1405">
        <f>AZ283</f>
        <v/>
      </c>
      <c r="BD283" s="1405">
        <f>BA283</f>
        <v/>
      </c>
      <c r="BE283" s="1405">
        <f>BB283</f>
        <v/>
      </c>
      <c r="BF283" s="1400">
        <f>stayWB[[#This Row],[out]]-stayWB[[#This Row],[in]]</f>
        <v/>
      </c>
      <c r="BG283" s="1400">
        <f>IF(BB283&lt;&gt;"",BG282+1,BG282)</f>
        <v/>
      </c>
      <c r="BH283" s="1398" t="inlineStr">
        <is>
          <t>.</t>
        </is>
      </c>
      <c r="BI283" s="1402" t="n"/>
      <c r="BJ283" s="1402" t="n"/>
      <c r="BK283" s="1400">
        <f>BI283</f>
        <v/>
      </c>
      <c r="BL283" s="1409">
        <f>BJ283</f>
        <v/>
      </c>
      <c r="BM283" s="1378" t="inlineStr">
        <is>
          <t>.</t>
        </is>
      </c>
      <c r="BN283" s="1411" t="n"/>
      <c r="BO283" s="1400">
        <f>BN283</f>
        <v/>
      </c>
      <c r="BP283" s="1398" t="inlineStr">
        <is>
          <t>.</t>
        </is>
      </c>
      <c r="BQ283" s="1400">
        <f>IF(BR283&lt;&gt;"",BQ282+1,BQ282)</f>
        <v/>
      </c>
      <c r="BR283" s="1411" t="inlineStr">
        <is>
          <t>Montreal</t>
        </is>
      </c>
      <c r="BS283" s="1411" t="inlineStr">
        <is>
          <t>Miami</t>
        </is>
      </c>
      <c r="BT283" s="1412" t="inlineStr">
        <is>
          <t>Montreal-Miami</t>
        </is>
      </c>
      <c r="BU283" s="1412" t="n">
        <v>42015</v>
      </c>
      <c r="BV283" s="1398" t="inlineStr">
        <is>
          <t>.</t>
        </is>
      </c>
      <c r="BW283" s="1392" t="n"/>
      <c r="BX283" s="1392" t="n"/>
      <c r="BY283" s="1392" t="n"/>
      <c r="BZ283" s="1416" t="n"/>
      <c r="CA283" s="1392" t="n"/>
      <c r="CB283" s="1392" t="n"/>
      <c r="CC283" s="1392" t="n"/>
      <c r="CD283" s="1392" t="n"/>
      <c r="CE283" s="1392" t="n"/>
      <c r="CF283" s="1392" t="n"/>
      <c r="CG283" s="1392" t="n"/>
      <c r="CH283" s="1392" t="n"/>
      <c r="CI283" s="1392" t="n"/>
      <c r="CJ283" s="1392" t="n"/>
      <c r="CK283" s="1392" t="n"/>
      <c r="CL283" s="1392" t="n"/>
    </row>
    <row r="284">
      <c r="A284" s="5" t="inlineStr">
        <is>
          <t>.</t>
        </is>
      </c>
      <c r="B284" s="5" t="inlineStr">
        <is>
          <t>.</t>
        </is>
      </c>
      <c r="C284" s="1378">
        <f>IF(raw[[#This Row],[city]]="","-",IF(raw[[#This Row],[city]]="TODAY","-",C283+1))</f>
        <v/>
      </c>
      <c r="D284" s="1393" t="inlineStr">
        <is>
          <t>Rio</t>
        </is>
      </c>
      <c r="E284" s="1394" t="n">
        <v>34123</v>
      </c>
      <c r="F284" s="1394" t="n">
        <v>34126</v>
      </c>
      <c r="G284" s="1393" t="inlineStr">
        <is>
          <t>-</t>
        </is>
      </c>
      <c r="H284" s="1393">
        <f>H283</f>
        <v/>
      </c>
      <c r="I284" s="1393" t="inlineStr">
        <is>
          <t>Meier</t>
        </is>
      </c>
      <c r="J284" s="1393" t="inlineStr">
        <is>
          <t>-</t>
        </is>
      </c>
      <c r="K284" s="1395">
        <f>IF(raw[[#This Row],[city]]&lt;&gt;"",_xlfn.XLOOKUP($D284,ccc[city],ccc[prov],"-"),"-")</f>
        <v/>
      </c>
      <c r="L284" s="1395">
        <f>IF(raw[[#This Row],[city]]&lt;&gt;"",_xlfn.XLOOKUP($D284,ccc[city],ccc[ctry],"-"),"-")</f>
        <v/>
      </c>
      <c r="M284" s="1395">
        <f>IF(raw[[#This Row],[city]]&lt;&gt;"",_xlfn.XLOOKUP($D284,ccc[city],ccc[cont],"-"),"-")</f>
        <v/>
      </c>
      <c r="N284" s="1396">
        <f>IF(raw[[#This Row],[city]]="","-",IF(raw[[#This Row],[cont]]="B",raw[[#This Row],[cont]],"W"))</f>
        <v/>
      </c>
      <c r="O284" s="1397">
        <f>IF(raw[[#This Row],[out]]=0,0,IF(raw[[#This Row],[out]]=raw[[#This Row],[in]],0.01,raw[[#This Row],[out]]-raw[[#This Row],[in]]))</f>
        <v/>
      </c>
      <c r="P284" s="1397">
        <f>IF(raw[[#This Row],[in]]=0,0,MONTH(raw[[#This Row],[in]]))</f>
        <v/>
      </c>
      <c r="Q284" s="1397">
        <f>IF(raw[[#This Row],[in]]=0,0,YEAR(raw[[#This Row],[in]]))</f>
        <v/>
      </c>
      <c r="R284" s="1397">
        <f>INT(raw[[#This Row],[yr]]/10)*10</f>
        <v/>
      </c>
      <c r="S284" s="1395">
        <f>IF(raw[[#This Row],[city]]="","-",IF(raw[[#This Row],[city]]&lt;&gt;_xlfn.XLOOKUP(raw[[#This Row],[home]],homes[home],homes[city],"-"),1,0))</f>
        <v/>
      </c>
      <c r="T284" s="1398" t="inlineStr">
        <is>
          <t>.</t>
        </is>
      </c>
      <c r="U284" s="1399">
        <f>IF(raw[[#This Row],[wb]]="w",raw[[#This Row],[stay]]+U283,U283)</f>
        <v/>
      </c>
      <c r="V284" s="1400">
        <f>IF(raw[[#This Row],[out]]=0,V283,(raw[[#This Row],[out]]-E$5))</f>
        <v/>
      </c>
      <c r="W284" s="1401">
        <f>U284/V284</f>
        <v/>
      </c>
      <c r="X284" s="1378" t="inlineStr">
        <is>
          <t>.</t>
        </is>
      </c>
      <c r="Y284" s="1402">
        <f/>
        <v/>
      </c>
      <c r="Z284" s="1403">
        <f/>
        <v/>
      </c>
      <c r="AA284" s="1403">
        <f/>
        <v/>
      </c>
      <c r="AB284" s="1400">
        <f t="array" ref="AB284">_xlfn.LET(_xlpm.S,_xlfn.ANCHORARRAY($Y$4),_xlpm.r,ROWS(stayCity[[#Headers],[city]]:stayCity[[#This Row],[city]])-1,IF(_xlpm.r&lt;=ROWS(_xlpm.S),INDEX(_xlpm.S,_xlpm.r,1),""))</f>
        <v/>
      </c>
      <c r="AC284" s="1405">
        <f t="array" ref="AC284">_xlfn.LET(_xlpm.S,_xlfn.ANCHORARRAY($Y$4),_xlpm.r,ROWS(stayCity[[#Headers],[city]]:stayCity[[#This Row],[city]])-1,IF(_xlpm.r&lt;=ROWS(_xlpm.S),INDEX(_xlpm.S,_xlpm.r,2),""))</f>
        <v/>
      </c>
      <c r="AD284" s="1405">
        <f t="array" ref="AD284">_xlfn.LET(_xlpm.S,_xlfn.ANCHORARRAY($Y$4),_xlpm.r,ROWS(stayCity[[#Headers],[city]]:stayCity[[#This Row],[city]])-1,IF(_xlpm.r&lt;=ROWS(_xlpm.S),INDEX(_xlpm.S,_xlpm.r,3),""))</f>
        <v/>
      </c>
      <c r="AE284" s="1400">
        <f>IF(stayCity[[#This Row],[out]]&lt;&gt;"",stayCity[[#This Row],[out]]-stayCity[[#This Row],[in]],"-")</f>
        <v/>
      </c>
      <c r="AF284" s="1406">
        <f>IF(Y284="","-",YEAR(stayCity[[#This Row],[in]]))</f>
        <v/>
      </c>
      <c r="AG284" s="1398" t="inlineStr">
        <is>
          <t>.</t>
        </is>
      </c>
      <c r="AH284" s="1402" t="n"/>
      <c r="AI284" s="1420" t="n"/>
      <c r="AJ284" s="1420" t="n"/>
      <c r="AK284" s="1400">
        <f>IF(AH284="","-",AH284)</f>
        <v/>
      </c>
      <c r="AL284" s="1405">
        <f>AI284</f>
        <v/>
      </c>
      <c r="AM284" s="1405">
        <f>AJ284</f>
        <v/>
      </c>
      <c r="AN284" s="1400">
        <f>stayCtry[[#This Row],[out]]-stayCtry[[#This Row],[in]]</f>
        <v/>
      </c>
      <c r="AO284" s="1406">
        <f>IF(AI284&lt;&gt;"",AO283+1,AO283)</f>
        <v/>
      </c>
      <c r="AP284" s="1398" t="inlineStr">
        <is>
          <t>.</t>
        </is>
      </c>
      <c r="AQ284" s="1402" t="n"/>
      <c r="AR284" s="1403" t="n"/>
      <c r="AS284" s="1403" t="n"/>
      <c r="AT284" s="1400">
        <f>AQ284</f>
        <v/>
      </c>
      <c r="AU284" s="1405">
        <f>AR284</f>
        <v/>
      </c>
      <c r="AV284" s="1405">
        <f>AS284</f>
        <v/>
      </c>
      <c r="AW284" s="1400">
        <f>stayCont[[#This Row],[out]]-stayCont[[#This Row],[in]]</f>
        <v/>
      </c>
      <c r="AX284" s="1406">
        <f>IF(AR284&lt;&gt;"",AX283+1,AX283)</f>
        <v/>
      </c>
      <c r="AY284" s="1398" t="inlineStr">
        <is>
          <t>.</t>
        </is>
      </c>
      <c r="AZ284" s="1402" t="n"/>
      <c r="BA284" s="1403" t="n"/>
      <c r="BB284" s="1403" t="n"/>
      <c r="BC284" s="1405">
        <f>AZ284</f>
        <v/>
      </c>
      <c r="BD284" s="1405">
        <f>BA284</f>
        <v/>
      </c>
      <c r="BE284" s="1405">
        <f>BB284</f>
        <v/>
      </c>
      <c r="BF284" s="1400">
        <f>stayWB[[#This Row],[out]]-stayWB[[#This Row],[in]]</f>
        <v/>
      </c>
      <c r="BG284" s="1400">
        <f>IF(BB284&lt;&gt;"",BG283+1,BG283)</f>
        <v/>
      </c>
      <c r="BH284" s="1398" t="inlineStr">
        <is>
          <t>.</t>
        </is>
      </c>
      <c r="BI284" s="1402" t="n"/>
      <c r="BJ284" s="1402" t="n"/>
      <c r="BK284" s="1400">
        <f>BI284</f>
        <v/>
      </c>
      <c r="BL284" s="1409">
        <f>BJ284</f>
        <v/>
      </c>
      <c r="BM284" s="1378" t="inlineStr">
        <is>
          <t>.</t>
        </is>
      </c>
      <c r="BN284" s="1411" t="n"/>
      <c r="BO284" s="1400">
        <f>BN284</f>
        <v/>
      </c>
      <c r="BP284" s="1398" t="inlineStr">
        <is>
          <t>.</t>
        </is>
      </c>
      <c r="BQ284" s="1400">
        <f>IF(BR284&lt;&gt;"",BQ283+1,BQ283)</f>
        <v/>
      </c>
      <c r="BR284" s="1411" t="inlineStr">
        <is>
          <t>Miami</t>
        </is>
      </c>
      <c r="BS284" s="1411" t="inlineStr">
        <is>
          <t>SSA</t>
        </is>
      </c>
      <c r="BT284" s="1412" t="inlineStr">
        <is>
          <t>Miami-SSA</t>
        </is>
      </c>
      <c r="BU284" s="1412" t="n">
        <v>42015</v>
      </c>
      <c r="BV284" s="1398" t="inlineStr">
        <is>
          <t>.</t>
        </is>
      </c>
      <c r="BW284" s="1392" t="n"/>
      <c r="BX284" s="1392" t="n"/>
      <c r="BY284" s="1392" t="n"/>
      <c r="BZ284" s="1416" t="n"/>
      <c r="CA284" s="1392" t="n"/>
      <c r="CB284" s="1392" t="n"/>
      <c r="CC284" s="1392" t="n"/>
      <c r="CD284" s="1392" t="n"/>
      <c r="CE284" s="1392" t="n"/>
      <c r="CF284" s="1392" t="n"/>
      <c r="CG284" s="1392" t="n"/>
      <c r="CH284" s="1392" t="n"/>
      <c r="CI284" s="1392" t="n"/>
      <c r="CJ284" s="1392" t="n"/>
      <c r="CK284" s="1392" t="n"/>
      <c r="CL284" s="1392" t="n"/>
    </row>
    <row r="285">
      <c r="A285" s="5" t="inlineStr">
        <is>
          <t>.</t>
        </is>
      </c>
      <c r="B285" s="5" t="inlineStr">
        <is>
          <t>.</t>
        </is>
      </c>
      <c r="C285" s="1378">
        <f>IF(raw[[#This Row],[city]]="","-",IF(raw[[#This Row],[city]]="TODAY","-",C284+1))</f>
        <v/>
      </c>
      <c r="D285" s="1393" t="inlineStr">
        <is>
          <t>SP</t>
        </is>
      </c>
      <c r="E285" s="1394" t="n">
        <v>34126</v>
      </c>
      <c r="F285" s="1394" t="n">
        <v>34131</v>
      </c>
      <c r="G285" s="1393" t="inlineStr">
        <is>
          <t>-</t>
        </is>
      </c>
      <c r="H285" s="1393">
        <f>H284</f>
        <v/>
      </c>
      <c r="I285" s="1393" t="inlineStr">
        <is>
          <t>-</t>
        </is>
      </c>
      <c r="J285" s="1393" t="inlineStr">
        <is>
          <t>-</t>
        </is>
      </c>
      <c r="K285" s="1395">
        <f>IF(raw[[#This Row],[city]]&lt;&gt;"",_xlfn.XLOOKUP($D285,ccc[city],ccc[prov],"-"),"-")</f>
        <v/>
      </c>
      <c r="L285" s="1395">
        <f>IF(raw[[#This Row],[city]]&lt;&gt;"",_xlfn.XLOOKUP($D285,ccc[city],ccc[ctry],"-"),"-")</f>
        <v/>
      </c>
      <c r="M285" s="1395">
        <f>IF(raw[[#This Row],[city]]&lt;&gt;"",_xlfn.XLOOKUP($D285,ccc[city],ccc[cont],"-"),"-")</f>
        <v/>
      </c>
      <c r="N285" s="1396">
        <f>IF(raw[[#This Row],[city]]="","-",IF(raw[[#This Row],[cont]]="B",raw[[#This Row],[cont]],"W"))</f>
        <v/>
      </c>
      <c r="O285" s="1397">
        <f>IF(raw[[#This Row],[out]]=0,0,IF(raw[[#This Row],[out]]=raw[[#This Row],[in]],0.01,raw[[#This Row],[out]]-raw[[#This Row],[in]]))</f>
        <v/>
      </c>
      <c r="P285" s="1397">
        <f>IF(raw[[#This Row],[in]]=0,0,MONTH(raw[[#This Row],[in]]))</f>
        <v/>
      </c>
      <c r="Q285" s="1397">
        <f>IF(raw[[#This Row],[in]]=0,0,YEAR(raw[[#This Row],[in]]))</f>
        <v/>
      </c>
      <c r="R285" s="1397">
        <f>INT(raw[[#This Row],[yr]]/10)*10</f>
        <v/>
      </c>
      <c r="S285" s="1395">
        <f>IF(raw[[#This Row],[city]]="","-",IF(raw[[#This Row],[city]]&lt;&gt;_xlfn.XLOOKUP(raw[[#This Row],[home]],homes[home],homes[city],"-"),1,0))</f>
        <v/>
      </c>
      <c r="T285" s="1398" t="inlineStr">
        <is>
          <t>.</t>
        </is>
      </c>
      <c r="U285" s="1399">
        <f>IF(raw[[#This Row],[wb]]="w",raw[[#This Row],[stay]]+U284,U284)</f>
        <v/>
      </c>
      <c r="V285" s="1400">
        <f>IF(raw[[#This Row],[out]]=0,V284,(raw[[#This Row],[out]]-E$5))</f>
        <v/>
      </c>
      <c r="W285" s="1401">
        <f>U285/V285</f>
        <v/>
      </c>
      <c r="X285" s="1378" t="inlineStr">
        <is>
          <t>.</t>
        </is>
      </c>
      <c r="Y285" s="1402">
        <f/>
        <v/>
      </c>
      <c r="Z285" s="1403">
        <f/>
        <v/>
      </c>
      <c r="AA285" s="1403">
        <f/>
        <v/>
      </c>
      <c r="AB285" s="1400">
        <f t="array" ref="AB285">_xlfn.LET(_xlpm.S,_xlfn.ANCHORARRAY($Y$4),_xlpm.r,ROWS(stayCity[[#Headers],[city]]:stayCity[[#This Row],[city]])-1,IF(_xlpm.r&lt;=ROWS(_xlpm.S),INDEX(_xlpm.S,_xlpm.r,1),""))</f>
        <v/>
      </c>
      <c r="AC285" s="1405">
        <f t="array" ref="AC285">_xlfn.LET(_xlpm.S,_xlfn.ANCHORARRAY($Y$4),_xlpm.r,ROWS(stayCity[[#Headers],[city]]:stayCity[[#This Row],[city]])-1,IF(_xlpm.r&lt;=ROWS(_xlpm.S),INDEX(_xlpm.S,_xlpm.r,2),""))</f>
        <v/>
      </c>
      <c r="AD285" s="1405">
        <f t="array" ref="AD285">_xlfn.LET(_xlpm.S,_xlfn.ANCHORARRAY($Y$4),_xlpm.r,ROWS(stayCity[[#Headers],[city]]:stayCity[[#This Row],[city]])-1,IF(_xlpm.r&lt;=ROWS(_xlpm.S),INDEX(_xlpm.S,_xlpm.r,3),""))</f>
        <v/>
      </c>
      <c r="AE285" s="1400">
        <f>IF(stayCity[[#This Row],[out]]&lt;&gt;"",stayCity[[#This Row],[out]]-stayCity[[#This Row],[in]],"-")</f>
        <v/>
      </c>
      <c r="AF285" s="1406">
        <f>IF(Y285="","-",YEAR(stayCity[[#This Row],[in]]))</f>
        <v/>
      </c>
      <c r="AG285" s="1398" t="inlineStr">
        <is>
          <t>.</t>
        </is>
      </c>
      <c r="AH285" s="1402" t="n"/>
      <c r="AI285" s="1420" t="n"/>
      <c r="AJ285" s="1420" t="n"/>
      <c r="AK285" s="1400">
        <f>IF(AH285="","-",AH285)</f>
        <v/>
      </c>
      <c r="AL285" s="1405">
        <f>AI285</f>
        <v/>
      </c>
      <c r="AM285" s="1405">
        <f>AJ285</f>
        <v/>
      </c>
      <c r="AN285" s="1400">
        <f>stayCtry[[#This Row],[out]]-stayCtry[[#This Row],[in]]</f>
        <v/>
      </c>
      <c r="AO285" s="1406">
        <f>IF(AI285&lt;&gt;"",AO284+1,AO284)</f>
        <v/>
      </c>
      <c r="AP285" s="1398" t="inlineStr">
        <is>
          <t>.</t>
        </is>
      </c>
      <c r="AQ285" s="1402" t="n"/>
      <c r="AR285" s="1403" t="n"/>
      <c r="AS285" s="1403" t="n"/>
      <c r="AT285" s="1400">
        <f>AQ285</f>
        <v/>
      </c>
      <c r="AU285" s="1405">
        <f>AR285</f>
        <v/>
      </c>
      <c r="AV285" s="1405">
        <f>AS285</f>
        <v/>
      </c>
      <c r="AW285" s="1400">
        <f>stayCont[[#This Row],[out]]-stayCont[[#This Row],[in]]</f>
        <v/>
      </c>
      <c r="AX285" s="1406">
        <f>IF(AR285&lt;&gt;"",AX284+1,AX284)</f>
        <v/>
      </c>
      <c r="AY285" s="1398" t="inlineStr">
        <is>
          <t>.</t>
        </is>
      </c>
      <c r="AZ285" s="1402" t="n"/>
      <c r="BA285" s="1403" t="n"/>
      <c r="BB285" s="1403" t="n"/>
      <c r="BC285" s="1405">
        <f>AZ285</f>
        <v/>
      </c>
      <c r="BD285" s="1405">
        <f>BA285</f>
        <v/>
      </c>
      <c r="BE285" s="1405">
        <f>BB285</f>
        <v/>
      </c>
      <c r="BF285" s="1400">
        <f>stayWB[[#This Row],[out]]-stayWB[[#This Row],[in]]</f>
        <v/>
      </c>
      <c r="BG285" s="1400">
        <f>IF(BB285&lt;&gt;"",BG284+1,BG284)</f>
        <v/>
      </c>
      <c r="BH285" s="1398" t="inlineStr">
        <is>
          <t>.</t>
        </is>
      </c>
      <c r="BI285" s="1402" t="n"/>
      <c r="BJ285" s="1402" t="n"/>
      <c r="BK285" s="1400">
        <f>BI285</f>
        <v/>
      </c>
      <c r="BL285" s="1409">
        <f>BJ285</f>
        <v/>
      </c>
      <c r="BM285" s="1378" t="inlineStr">
        <is>
          <t>.</t>
        </is>
      </c>
      <c r="BN285" s="1411" t="n"/>
      <c r="BO285" s="1400">
        <f>BN285</f>
        <v/>
      </c>
      <c r="BP285" s="1398" t="inlineStr">
        <is>
          <t>.</t>
        </is>
      </c>
      <c r="BQ285" s="1400">
        <f>IF(BR285&lt;&gt;"",BQ284+1,BQ284)</f>
        <v/>
      </c>
      <c r="BR285" s="1411" t="inlineStr">
        <is>
          <t>SSA</t>
        </is>
      </c>
      <c r="BS285" s="1411" t="inlineStr">
        <is>
          <t>Rio</t>
        </is>
      </c>
      <c r="BT285" s="1412" t="inlineStr">
        <is>
          <t>SSA-Rio</t>
        </is>
      </c>
      <c r="BU285" s="1412" t="n">
        <v>42025</v>
      </c>
      <c r="BV285" s="1398" t="inlineStr">
        <is>
          <t>.</t>
        </is>
      </c>
      <c r="BW285" s="1392" t="n"/>
      <c r="BX285" s="1392" t="n"/>
      <c r="BY285" s="1392" t="n"/>
      <c r="BZ285" s="1416" t="n"/>
      <c r="CA285" s="1392" t="n"/>
      <c r="CB285" s="1392" t="n"/>
      <c r="CC285" s="1392" t="n"/>
      <c r="CD285" s="1392" t="n"/>
      <c r="CE285" s="1392" t="n"/>
      <c r="CF285" s="1392" t="n"/>
      <c r="CG285" s="1392" t="n"/>
      <c r="CH285" s="1392" t="n"/>
      <c r="CI285" s="1392" t="n"/>
      <c r="CJ285" s="1392" t="n"/>
      <c r="CK285" s="1392" t="n"/>
      <c r="CL285" s="1392" t="n"/>
    </row>
    <row r="286">
      <c r="A286" s="5" t="inlineStr">
        <is>
          <t>.</t>
        </is>
      </c>
      <c r="B286" s="5" t="inlineStr">
        <is>
          <t>.</t>
        </is>
      </c>
      <c r="C286" s="1378">
        <f>IF(raw[[#This Row],[city]]="","-",IF(raw[[#This Row],[city]]="TODAY","-",C285+1))</f>
        <v/>
      </c>
      <c r="D286" s="1393" t="inlineStr">
        <is>
          <t>Rio</t>
        </is>
      </c>
      <c r="E286" s="1394" t="n">
        <v>34131</v>
      </c>
      <c r="F286" s="1394" t="n">
        <v>34135</v>
      </c>
      <c r="G286" s="1393" t="inlineStr">
        <is>
          <t>-</t>
        </is>
      </c>
      <c r="H286" s="1393">
        <f>H285</f>
        <v/>
      </c>
      <c r="I286" s="1393" t="inlineStr">
        <is>
          <t>Meier</t>
        </is>
      </c>
      <c r="J286" s="1393" t="inlineStr">
        <is>
          <t>-</t>
        </is>
      </c>
      <c r="K286" s="1395">
        <f>IF(raw[[#This Row],[city]]&lt;&gt;"",_xlfn.XLOOKUP($D286,ccc[city],ccc[prov],"-"),"-")</f>
        <v/>
      </c>
      <c r="L286" s="1395">
        <f>IF(raw[[#This Row],[city]]&lt;&gt;"",_xlfn.XLOOKUP($D286,ccc[city],ccc[ctry],"-"),"-")</f>
        <v/>
      </c>
      <c r="M286" s="1395">
        <f>IF(raw[[#This Row],[city]]&lt;&gt;"",_xlfn.XLOOKUP($D286,ccc[city],ccc[cont],"-"),"-")</f>
        <v/>
      </c>
      <c r="N286" s="1396">
        <f>IF(raw[[#This Row],[city]]="","-",IF(raw[[#This Row],[cont]]="B",raw[[#This Row],[cont]],"W"))</f>
        <v/>
      </c>
      <c r="O286" s="1397">
        <f>IF(raw[[#This Row],[out]]=0,0,IF(raw[[#This Row],[out]]=raw[[#This Row],[in]],0.01,raw[[#This Row],[out]]-raw[[#This Row],[in]]))</f>
        <v/>
      </c>
      <c r="P286" s="1397">
        <f>IF(raw[[#This Row],[in]]=0,0,MONTH(raw[[#This Row],[in]]))</f>
        <v/>
      </c>
      <c r="Q286" s="1397">
        <f>IF(raw[[#This Row],[in]]=0,0,YEAR(raw[[#This Row],[in]]))</f>
        <v/>
      </c>
      <c r="R286" s="1397">
        <f>INT(raw[[#This Row],[yr]]/10)*10</f>
        <v/>
      </c>
      <c r="S286" s="1395">
        <f>IF(raw[[#This Row],[city]]="","-",IF(raw[[#This Row],[city]]&lt;&gt;_xlfn.XLOOKUP(raw[[#This Row],[home]],homes[home],homes[city],"-"),1,0))</f>
        <v/>
      </c>
      <c r="T286" s="1398" t="inlineStr">
        <is>
          <t>.</t>
        </is>
      </c>
      <c r="U286" s="1399">
        <f>IF(raw[[#This Row],[wb]]="w",raw[[#This Row],[stay]]+U285,U285)</f>
        <v/>
      </c>
      <c r="V286" s="1400">
        <f>IF(raw[[#This Row],[out]]=0,V285,(raw[[#This Row],[out]]-E$5))</f>
        <v/>
      </c>
      <c r="W286" s="1401">
        <f>U286/V286</f>
        <v/>
      </c>
      <c r="X286" s="1378" t="inlineStr">
        <is>
          <t>.</t>
        </is>
      </c>
      <c r="Y286" s="1402">
        <f/>
        <v/>
      </c>
      <c r="Z286" s="1403">
        <f/>
        <v/>
      </c>
      <c r="AA286" s="1403">
        <f/>
        <v/>
      </c>
      <c r="AB286" s="1400">
        <f t="array" ref="AB286">_xlfn.LET(_xlpm.S,_xlfn.ANCHORARRAY($Y$4),_xlpm.r,ROWS(stayCity[[#Headers],[city]]:stayCity[[#This Row],[city]])-1,IF(_xlpm.r&lt;=ROWS(_xlpm.S),INDEX(_xlpm.S,_xlpm.r,1),""))</f>
        <v/>
      </c>
      <c r="AC286" s="1405">
        <f t="array" ref="AC286">_xlfn.LET(_xlpm.S,_xlfn.ANCHORARRAY($Y$4),_xlpm.r,ROWS(stayCity[[#Headers],[city]]:stayCity[[#This Row],[city]])-1,IF(_xlpm.r&lt;=ROWS(_xlpm.S),INDEX(_xlpm.S,_xlpm.r,2),""))</f>
        <v/>
      </c>
      <c r="AD286" s="1405">
        <f t="array" ref="AD286">_xlfn.LET(_xlpm.S,_xlfn.ANCHORARRAY($Y$4),_xlpm.r,ROWS(stayCity[[#Headers],[city]]:stayCity[[#This Row],[city]])-1,IF(_xlpm.r&lt;=ROWS(_xlpm.S),INDEX(_xlpm.S,_xlpm.r,3),""))</f>
        <v/>
      </c>
      <c r="AE286" s="1400">
        <f>IF(stayCity[[#This Row],[out]]&lt;&gt;"",stayCity[[#This Row],[out]]-stayCity[[#This Row],[in]],"-")</f>
        <v/>
      </c>
      <c r="AF286" s="1406">
        <f>IF(Y286="","-",YEAR(stayCity[[#This Row],[in]]))</f>
        <v/>
      </c>
      <c r="AG286" s="1398" t="inlineStr">
        <is>
          <t>.</t>
        </is>
      </c>
      <c r="AH286" s="1402" t="n"/>
      <c r="AI286" s="1420" t="n"/>
      <c r="AJ286" s="1420" t="n"/>
      <c r="AK286" s="1400">
        <f>IF(AH286="","-",AH286)</f>
        <v/>
      </c>
      <c r="AL286" s="1405">
        <f>AI286</f>
        <v/>
      </c>
      <c r="AM286" s="1405">
        <f>AJ286</f>
        <v/>
      </c>
      <c r="AN286" s="1400">
        <f>stayCtry[[#This Row],[out]]-stayCtry[[#This Row],[in]]</f>
        <v/>
      </c>
      <c r="AO286" s="1406">
        <f>IF(AI286&lt;&gt;"",AO285+1,AO285)</f>
        <v/>
      </c>
      <c r="AP286" s="1398" t="inlineStr">
        <is>
          <t>.</t>
        </is>
      </c>
      <c r="AQ286" s="1402" t="n"/>
      <c r="AR286" s="1403" t="n"/>
      <c r="AS286" s="1403" t="n"/>
      <c r="AT286" s="1400">
        <f>AQ286</f>
        <v/>
      </c>
      <c r="AU286" s="1405">
        <f>AR286</f>
        <v/>
      </c>
      <c r="AV286" s="1405">
        <f>AS286</f>
        <v/>
      </c>
      <c r="AW286" s="1400">
        <f>stayCont[[#This Row],[out]]-stayCont[[#This Row],[in]]</f>
        <v/>
      </c>
      <c r="AX286" s="1406">
        <f>IF(AR286&lt;&gt;"",AX285+1,AX285)</f>
        <v/>
      </c>
      <c r="AY286" s="1398" t="inlineStr">
        <is>
          <t>.</t>
        </is>
      </c>
      <c r="AZ286" s="1402" t="n"/>
      <c r="BA286" s="1403" t="n"/>
      <c r="BB286" s="1403" t="n"/>
      <c r="BC286" s="1405">
        <f>AZ286</f>
        <v/>
      </c>
      <c r="BD286" s="1405">
        <f>BA286</f>
        <v/>
      </c>
      <c r="BE286" s="1405">
        <f>BB286</f>
        <v/>
      </c>
      <c r="BF286" s="1400">
        <f>stayWB[[#This Row],[out]]-stayWB[[#This Row],[in]]</f>
        <v/>
      </c>
      <c r="BG286" s="1400">
        <f>IF(BB286&lt;&gt;"",BG285+1,BG285)</f>
        <v/>
      </c>
      <c r="BH286" s="1398" t="inlineStr">
        <is>
          <t>.</t>
        </is>
      </c>
      <c r="BI286" s="1402" t="n"/>
      <c r="BJ286" s="1402" t="n"/>
      <c r="BK286" s="1400">
        <f>BI286</f>
        <v/>
      </c>
      <c r="BL286" s="1409">
        <f>BJ286</f>
        <v/>
      </c>
      <c r="BM286" s="1378" t="inlineStr">
        <is>
          <t>.</t>
        </is>
      </c>
      <c r="BN286" s="1411" t="n"/>
      <c r="BO286" s="1400">
        <f>BN286</f>
        <v/>
      </c>
      <c r="BP286" s="1398" t="inlineStr">
        <is>
          <t>.</t>
        </is>
      </c>
      <c r="BQ286" s="1400">
        <f>IF(BR286&lt;&gt;"",BQ285+1,BQ285)</f>
        <v/>
      </c>
      <c r="BR286" s="1411" t="inlineStr">
        <is>
          <t>Rio</t>
        </is>
      </c>
      <c r="BS286" s="1411" t="inlineStr">
        <is>
          <t>SSA</t>
        </is>
      </c>
      <c r="BT286" s="1412" t="inlineStr">
        <is>
          <t>Rio-SSA</t>
        </is>
      </c>
      <c r="BU286" s="1412" t="n">
        <v>42035</v>
      </c>
      <c r="BV286" s="1398" t="inlineStr">
        <is>
          <t>.</t>
        </is>
      </c>
      <c r="BW286" s="1392" t="n"/>
      <c r="BX286" s="1392" t="n"/>
      <c r="BY286" s="1392" t="n"/>
      <c r="BZ286" s="1416" t="n"/>
      <c r="CA286" s="1392" t="n"/>
      <c r="CB286" s="1392" t="n"/>
      <c r="CC286" s="1392" t="n"/>
      <c r="CD286" s="1392" t="n"/>
      <c r="CE286" s="1392" t="n"/>
      <c r="CF286" s="1392" t="n"/>
      <c r="CG286" s="1392" t="n"/>
      <c r="CH286" s="1392" t="n"/>
      <c r="CI286" s="1392" t="n"/>
      <c r="CJ286" s="1392" t="n"/>
      <c r="CK286" s="1392" t="n"/>
      <c r="CL286" s="1392" t="n"/>
    </row>
    <row r="287">
      <c r="A287" s="5" t="inlineStr">
        <is>
          <t>.</t>
        </is>
      </c>
      <c r="B287" s="5" t="inlineStr">
        <is>
          <t>.</t>
        </is>
      </c>
      <c r="C287" s="1378">
        <f>IF(raw[[#This Row],[city]]="","-",IF(raw[[#This Row],[city]]="TODAY","-",C286+1))</f>
        <v/>
      </c>
      <c r="D287" s="1393" t="inlineStr">
        <is>
          <t>SP</t>
        </is>
      </c>
      <c r="E287" s="1394" t="n">
        <v>34135</v>
      </c>
      <c r="F287" s="1394" t="n">
        <v>34140</v>
      </c>
      <c r="G287" s="1393" t="inlineStr">
        <is>
          <t>-</t>
        </is>
      </c>
      <c r="H287" s="1393">
        <f>H286</f>
        <v/>
      </c>
      <c r="I287" s="1393" t="inlineStr">
        <is>
          <t>-</t>
        </is>
      </c>
      <c r="J287" s="1393" t="inlineStr">
        <is>
          <t>-</t>
        </is>
      </c>
      <c r="K287" s="1395">
        <f>IF(raw[[#This Row],[city]]&lt;&gt;"",_xlfn.XLOOKUP($D287,ccc[city],ccc[prov],"-"),"-")</f>
        <v/>
      </c>
      <c r="L287" s="1395">
        <f>IF(raw[[#This Row],[city]]&lt;&gt;"",_xlfn.XLOOKUP($D287,ccc[city],ccc[ctry],"-"),"-")</f>
        <v/>
      </c>
      <c r="M287" s="1395">
        <f>IF(raw[[#This Row],[city]]&lt;&gt;"",_xlfn.XLOOKUP($D287,ccc[city],ccc[cont],"-"),"-")</f>
        <v/>
      </c>
      <c r="N287" s="1396">
        <f>IF(raw[[#This Row],[city]]="","-",IF(raw[[#This Row],[cont]]="B",raw[[#This Row],[cont]],"W"))</f>
        <v/>
      </c>
      <c r="O287" s="1397">
        <f>IF(raw[[#This Row],[out]]=0,0,IF(raw[[#This Row],[out]]=raw[[#This Row],[in]],0.01,raw[[#This Row],[out]]-raw[[#This Row],[in]]))</f>
        <v/>
      </c>
      <c r="P287" s="1397">
        <f>IF(raw[[#This Row],[in]]=0,0,MONTH(raw[[#This Row],[in]]))</f>
        <v/>
      </c>
      <c r="Q287" s="1397">
        <f>IF(raw[[#This Row],[in]]=0,0,YEAR(raw[[#This Row],[in]]))</f>
        <v/>
      </c>
      <c r="R287" s="1397">
        <f>INT(raw[[#This Row],[yr]]/10)*10</f>
        <v/>
      </c>
      <c r="S287" s="1395">
        <f>IF(raw[[#This Row],[city]]="","-",IF(raw[[#This Row],[city]]&lt;&gt;_xlfn.XLOOKUP(raw[[#This Row],[home]],homes[home],homes[city],"-"),1,0))</f>
        <v/>
      </c>
      <c r="T287" s="1398" t="inlineStr">
        <is>
          <t>.</t>
        </is>
      </c>
      <c r="U287" s="1399">
        <f>IF(raw[[#This Row],[wb]]="w",raw[[#This Row],[stay]]+U286,U286)</f>
        <v/>
      </c>
      <c r="V287" s="1400">
        <f>IF(raw[[#This Row],[out]]=0,V286,(raw[[#This Row],[out]]-E$5))</f>
        <v/>
      </c>
      <c r="W287" s="1401">
        <f>U287/V287</f>
        <v/>
      </c>
      <c r="X287" s="1378" t="inlineStr">
        <is>
          <t>.</t>
        </is>
      </c>
      <c r="Y287" s="1402">
        <f/>
        <v/>
      </c>
      <c r="Z287" s="1403">
        <f/>
        <v/>
      </c>
      <c r="AA287" s="1403">
        <f/>
        <v/>
      </c>
      <c r="AB287" s="1400">
        <f t="array" ref="AB287">_xlfn.LET(_xlpm.S,_xlfn.ANCHORARRAY($Y$4),_xlpm.r,ROWS(stayCity[[#Headers],[city]]:stayCity[[#This Row],[city]])-1,IF(_xlpm.r&lt;=ROWS(_xlpm.S),INDEX(_xlpm.S,_xlpm.r,1),""))</f>
        <v/>
      </c>
      <c r="AC287" s="1405">
        <f t="array" ref="AC287">_xlfn.LET(_xlpm.S,_xlfn.ANCHORARRAY($Y$4),_xlpm.r,ROWS(stayCity[[#Headers],[city]]:stayCity[[#This Row],[city]])-1,IF(_xlpm.r&lt;=ROWS(_xlpm.S),INDEX(_xlpm.S,_xlpm.r,2),""))</f>
        <v/>
      </c>
      <c r="AD287" s="1405">
        <f t="array" ref="AD287">_xlfn.LET(_xlpm.S,_xlfn.ANCHORARRAY($Y$4),_xlpm.r,ROWS(stayCity[[#Headers],[city]]:stayCity[[#This Row],[city]])-1,IF(_xlpm.r&lt;=ROWS(_xlpm.S),INDEX(_xlpm.S,_xlpm.r,3),""))</f>
        <v/>
      </c>
      <c r="AE287" s="1400">
        <f>IF(stayCity[[#This Row],[out]]&lt;&gt;"",stayCity[[#This Row],[out]]-stayCity[[#This Row],[in]],"-")</f>
        <v/>
      </c>
      <c r="AF287" s="1406">
        <f>IF(Y287="","-",YEAR(stayCity[[#This Row],[in]]))</f>
        <v/>
      </c>
      <c r="AG287" s="1398" t="inlineStr">
        <is>
          <t>.</t>
        </is>
      </c>
      <c r="AH287" s="1402" t="n"/>
      <c r="AI287" s="1420" t="n"/>
      <c r="AJ287" s="1420" t="n"/>
      <c r="AK287" s="1400">
        <f>IF(AH287="","-",AH287)</f>
        <v/>
      </c>
      <c r="AL287" s="1405">
        <f>AI287</f>
        <v/>
      </c>
      <c r="AM287" s="1405">
        <f>AJ287</f>
        <v/>
      </c>
      <c r="AN287" s="1400">
        <f>stayCtry[[#This Row],[out]]-stayCtry[[#This Row],[in]]</f>
        <v/>
      </c>
      <c r="AO287" s="1406">
        <f>IF(AI287&lt;&gt;"",AO286+1,AO286)</f>
        <v/>
      </c>
      <c r="AP287" s="1398" t="inlineStr">
        <is>
          <t>.</t>
        </is>
      </c>
      <c r="AQ287" s="1402" t="n"/>
      <c r="AR287" s="1403" t="n"/>
      <c r="AS287" s="1403" t="n"/>
      <c r="AT287" s="1400">
        <f>AQ287</f>
        <v/>
      </c>
      <c r="AU287" s="1405">
        <f>AR287</f>
        <v/>
      </c>
      <c r="AV287" s="1405">
        <f>AS287</f>
        <v/>
      </c>
      <c r="AW287" s="1400">
        <f>stayCont[[#This Row],[out]]-stayCont[[#This Row],[in]]</f>
        <v/>
      </c>
      <c r="AX287" s="1406">
        <f>IF(AR287&lt;&gt;"",AX286+1,AX286)</f>
        <v/>
      </c>
      <c r="AY287" s="1398" t="inlineStr">
        <is>
          <t>.</t>
        </is>
      </c>
      <c r="AZ287" s="1402" t="n"/>
      <c r="BA287" s="1403" t="n"/>
      <c r="BB287" s="1403" t="n"/>
      <c r="BC287" s="1405">
        <f>AZ287</f>
        <v/>
      </c>
      <c r="BD287" s="1405">
        <f>BA287</f>
        <v/>
      </c>
      <c r="BE287" s="1405">
        <f>BB287</f>
        <v/>
      </c>
      <c r="BF287" s="1400">
        <f>stayWB[[#This Row],[out]]-stayWB[[#This Row],[in]]</f>
        <v/>
      </c>
      <c r="BG287" s="1400">
        <f>IF(BB287&lt;&gt;"",BG286+1,BG286)</f>
        <v/>
      </c>
      <c r="BH287" s="1398" t="inlineStr">
        <is>
          <t>.</t>
        </is>
      </c>
      <c r="BI287" s="1402" t="n"/>
      <c r="BJ287" s="1402" t="n"/>
      <c r="BK287" s="1400">
        <f>BI287</f>
        <v/>
      </c>
      <c r="BL287" s="1409">
        <f>BJ287</f>
        <v/>
      </c>
      <c r="BM287" s="1378" t="inlineStr">
        <is>
          <t>.</t>
        </is>
      </c>
      <c r="BN287" s="1411" t="n"/>
      <c r="BO287" s="1400">
        <f>BN287</f>
        <v/>
      </c>
      <c r="BP287" s="1398" t="inlineStr">
        <is>
          <t>.</t>
        </is>
      </c>
      <c r="BQ287" s="1400">
        <f>IF(BR287&lt;&gt;"",BQ286+1,BQ286)</f>
        <v/>
      </c>
      <c r="BR287" s="1411" t="inlineStr">
        <is>
          <t>SSA</t>
        </is>
      </c>
      <c r="BS287" s="1411" t="inlineStr">
        <is>
          <t>SP</t>
        </is>
      </c>
      <c r="BT287" s="1412" t="inlineStr">
        <is>
          <t>SSA-SP</t>
        </is>
      </c>
      <c r="BU287" s="1412" t="n">
        <v>42088</v>
      </c>
      <c r="BV287" s="1398" t="inlineStr">
        <is>
          <t>.</t>
        </is>
      </c>
      <c r="BW287" s="1392" t="n"/>
      <c r="BX287" s="1392" t="n"/>
      <c r="BY287" s="1392" t="n"/>
      <c r="BZ287" s="1416" t="n"/>
      <c r="CA287" s="1392" t="n"/>
      <c r="CB287" s="1392" t="n"/>
      <c r="CC287" s="1392" t="n"/>
      <c r="CD287" s="1392" t="n"/>
      <c r="CE287" s="1392" t="n"/>
      <c r="CF287" s="1392" t="n"/>
      <c r="CG287" s="1392" t="n"/>
      <c r="CH287" s="1392" t="n"/>
      <c r="CI287" s="1392" t="n"/>
      <c r="CJ287" s="1392" t="n"/>
      <c r="CK287" s="1392" t="n"/>
      <c r="CL287" s="1392" t="n"/>
    </row>
    <row r="288">
      <c r="A288" s="5" t="inlineStr">
        <is>
          <t>.</t>
        </is>
      </c>
      <c r="B288" s="5" t="inlineStr">
        <is>
          <t>.</t>
        </is>
      </c>
      <c r="C288" s="1378">
        <f>IF(raw[[#This Row],[city]]="","-",IF(raw[[#This Row],[city]]="TODAY","-",C287+1))</f>
        <v/>
      </c>
      <c r="D288" s="1393" t="inlineStr">
        <is>
          <t>Rio</t>
        </is>
      </c>
      <c r="E288" s="1394" t="n">
        <v>34140</v>
      </c>
      <c r="F288" s="1394" t="n">
        <v>34148</v>
      </c>
      <c r="G288" s="1393" t="inlineStr">
        <is>
          <t>-</t>
        </is>
      </c>
      <c r="H288" s="1393">
        <f>H287</f>
        <v/>
      </c>
      <c r="I288" s="1393" t="inlineStr">
        <is>
          <t>Meier</t>
        </is>
      </c>
      <c r="J288" s="1393" t="inlineStr">
        <is>
          <t>-</t>
        </is>
      </c>
      <c r="K288" s="1395">
        <f>IF(raw[[#This Row],[city]]&lt;&gt;"",_xlfn.XLOOKUP($D288,ccc[city],ccc[prov],"-"),"-")</f>
        <v/>
      </c>
      <c r="L288" s="1395">
        <f>IF(raw[[#This Row],[city]]&lt;&gt;"",_xlfn.XLOOKUP($D288,ccc[city],ccc[ctry],"-"),"-")</f>
        <v/>
      </c>
      <c r="M288" s="1395">
        <f>IF(raw[[#This Row],[city]]&lt;&gt;"",_xlfn.XLOOKUP($D288,ccc[city],ccc[cont],"-"),"-")</f>
        <v/>
      </c>
      <c r="N288" s="1396">
        <f>IF(raw[[#This Row],[city]]="","-",IF(raw[[#This Row],[cont]]="B",raw[[#This Row],[cont]],"W"))</f>
        <v/>
      </c>
      <c r="O288" s="1397">
        <f>IF(raw[[#This Row],[out]]=0,0,IF(raw[[#This Row],[out]]=raw[[#This Row],[in]],0.01,raw[[#This Row],[out]]-raw[[#This Row],[in]]))</f>
        <v/>
      </c>
      <c r="P288" s="1397">
        <f>IF(raw[[#This Row],[in]]=0,0,MONTH(raw[[#This Row],[in]]))</f>
        <v/>
      </c>
      <c r="Q288" s="1397">
        <f>IF(raw[[#This Row],[in]]=0,0,YEAR(raw[[#This Row],[in]]))</f>
        <v/>
      </c>
      <c r="R288" s="1397">
        <f>INT(raw[[#This Row],[yr]]/10)*10</f>
        <v/>
      </c>
      <c r="S288" s="1395">
        <f>IF(raw[[#This Row],[city]]="","-",IF(raw[[#This Row],[city]]&lt;&gt;_xlfn.XLOOKUP(raw[[#This Row],[home]],homes[home],homes[city],"-"),1,0))</f>
        <v/>
      </c>
      <c r="T288" s="1398" t="inlineStr">
        <is>
          <t>.</t>
        </is>
      </c>
      <c r="U288" s="1399">
        <f>IF(raw[[#This Row],[wb]]="w",raw[[#This Row],[stay]]+U287,U287)</f>
        <v/>
      </c>
      <c r="V288" s="1400">
        <f>IF(raw[[#This Row],[out]]=0,V287,(raw[[#This Row],[out]]-E$5))</f>
        <v/>
      </c>
      <c r="W288" s="1401">
        <f>U288/V288</f>
        <v/>
      </c>
      <c r="X288" s="1378" t="inlineStr">
        <is>
          <t>.</t>
        </is>
      </c>
      <c r="Y288" s="1402">
        <f/>
        <v/>
      </c>
      <c r="Z288" s="1403">
        <f/>
        <v/>
      </c>
      <c r="AA288" s="1403">
        <f/>
        <v/>
      </c>
      <c r="AB288" s="1400">
        <f t="array" ref="AB288">_xlfn.LET(_xlpm.S,_xlfn.ANCHORARRAY($Y$4),_xlpm.r,ROWS(stayCity[[#Headers],[city]]:stayCity[[#This Row],[city]])-1,IF(_xlpm.r&lt;=ROWS(_xlpm.S),INDEX(_xlpm.S,_xlpm.r,1),""))</f>
        <v/>
      </c>
      <c r="AC288" s="1405">
        <f t="array" ref="AC288">_xlfn.LET(_xlpm.S,_xlfn.ANCHORARRAY($Y$4),_xlpm.r,ROWS(stayCity[[#Headers],[city]]:stayCity[[#This Row],[city]])-1,IF(_xlpm.r&lt;=ROWS(_xlpm.S),INDEX(_xlpm.S,_xlpm.r,2),""))</f>
        <v/>
      </c>
      <c r="AD288" s="1405">
        <f t="array" ref="AD288">_xlfn.LET(_xlpm.S,_xlfn.ANCHORARRAY($Y$4),_xlpm.r,ROWS(stayCity[[#Headers],[city]]:stayCity[[#This Row],[city]])-1,IF(_xlpm.r&lt;=ROWS(_xlpm.S),INDEX(_xlpm.S,_xlpm.r,3),""))</f>
        <v/>
      </c>
      <c r="AE288" s="1400">
        <f>IF(stayCity[[#This Row],[out]]&lt;&gt;"",stayCity[[#This Row],[out]]-stayCity[[#This Row],[in]],"-")</f>
        <v/>
      </c>
      <c r="AF288" s="1406">
        <f>IF(Y288="","-",YEAR(stayCity[[#This Row],[in]]))</f>
        <v/>
      </c>
      <c r="AG288" s="1398" t="inlineStr">
        <is>
          <t>.</t>
        </is>
      </c>
      <c r="AH288" s="1402" t="n"/>
      <c r="AI288" s="1420" t="n"/>
      <c r="AJ288" s="1420" t="n"/>
      <c r="AK288" s="1400">
        <f>IF(AH288="","-",AH288)</f>
        <v/>
      </c>
      <c r="AL288" s="1405">
        <f>AI288</f>
        <v/>
      </c>
      <c r="AM288" s="1405">
        <f>AJ288</f>
        <v/>
      </c>
      <c r="AN288" s="1400">
        <f>stayCtry[[#This Row],[out]]-stayCtry[[#This Row],[in]]</f>
        <v/>
      </c>
      <c r="AO288" s="1406">
        <f>IF(AI288&lt;&gt;"",AO287+1,AO287)</f>
        <v/>
      </c>
      <c r="AP288" s="1398" t="inlineStr">
        <is>
          <t>.</t>
        </is>
      </c>
      <c r="AQ288" s="1402" t="n"/>
      <c r="AR288" s="1403" t="n"/>
      <c r="AS288" s="1403" t="n"/>
      <c r="AT288" s="1400">
        <f>AQ288</f>
        <v/>
      </c>
      <c r="AU288" s="1405">
        <f>AR288</f>
        <v/>
      </c>
      <c r="AV288" s="1405">
        <f>AS288</f>
        <v/>
      </c>
      <c r="AW288" s="1400">
        <f>stayCont[[#This Row],[out]]-stayCont[[#This Row],[in]]</f>
        <v/>
      </c>
      <c r="AX288" s="1406">
        <f>IF(AR288&lt;&gt;"",AX287+1,AX287)</f>
        <v/>
      </c>
      <c r="AY288" s="1398" t="inlineStr">
        <is>
          <t>.</t>
        </is>
      </c>
      <c r="AZ288" s="1402" t="n"/>
      <c r="BA288" s="1403" t="n"/>
      <c r="BB288" s="1403" t="n"/>
      <c r="BC288" s="1405">
        <f>AZ288</f>
        <v/>
      </c>
      <c r="BD288" s="1405">
        <f>BA288</f>
        <v/>
      </c>
      <c r="BE288" s="1405">
        <f>BB288</f>
        <v/>
      </c>
      <c r="BF288" s="1400">
        <f>stayWB[[#This Row],[out]]-stayWB[[#This Row],[in]]</f>
        <v/>
      </c>
      <c r="BG288" s="1400">
        <f>IF(BB288&lt;&gt;"",BG287+1,BG287)</f>
        <v/>
      </c>
      <c r="BH288" s="1398" t="inlineStr">
        <is>
          <t>.</t>
        </is>
      </c>
      <c r="BI288" s="1402" t="n"/>
      <c r="BJ288" s="1402" t="n"/>
      <c r="BK288" s="1400">
        <f>BI288</f>
        <v/>
      </c>
      <c r="BL288" s="1409">
        <f>BJ288</f>
        <v/>
      </c>
      <c r="BM288" s="1378" t="inlineStr">
        <is>
          <t>.</t>
        </is>
      </c>
      <c r="BN288" s="1411" t="n"/>
      <c r="BO288" s="1400">
        <f>BN288</f>
        <v/>
      </c>
      <c r="BP288" s="1398" t="inlineStr">
        <is>
          <t>.</t>
        </is>
      </c>
      <c r="BQ288" s="1400">
        <f>IF(BR288&lt;&gt;"",BQ287+1,BQ287)</f>
        <v/>
      </c>
      <c r="BR288" s="1411" t="inlineStr">
        <is>
          <t>SP</t>
        </is>
      </c>
      <c r="BS288" s="1411" t="inlineStr">
        <is>
          <t>Rio</t>
        </is>
      </c>
      <c r="BT288" s="1412" t="inlineStr">
        <is>
          <t>SP-Rio</t>
        </is>
      </c>
      <c r="BU288" s="1412" t="n">
        <v>42091</v>
      </c>
      <c r="BV288" s="1398" t="inlineStr">
        <is>
          <t>.</t>
        </is>
      </c>
      <c r="BW288" s="1392" t="n"/>
      <c r="BX288" s="1392" t="n"/>
      <c r="BY288" s="1392" t="n"/>
      <c r="BZ288" s="1416" t="n"/>
      <c r="CA288" s="1392" t="n"/>
      <c r="CB288" s="1392" t="n"/>
      <c r="CC288" s="1392" t="n"/>
      <c r="CD288" s="1392" t="n"/>
      <c r="CE288" s="1392" t="n"/>
      <c r="CF288" s="1392" t="n"/>
      <c r="CG288" s="1392" t="n"/>
      <c r="CH288" s="1392" t="n"/>
      <c r="CI288" s="1392" t="n"/>
      <c r="CJ288" s="1392" t="n"/>
      <c r="CK288" s="1392" t="n"/>
      <c r="CL288" s="1392" t="n"/>
    </row>
    <row r="289">
      <c r="A289" s="5" t="inlineStr">
        <is>
          <t>.</t>
        </is>
      </c>
      <c r="B289" s="5" t="inlineStr">
        <is>
          <t>.</t>
        </is>
      </c>
      <c r="C289" s="1378">
        <f>IF(raw[[#This Row],[city]]="","-",IF(raw[[#This Row],[city]]="TODAY","-",C288+1))</f>
        <v/>
      </c>
      <c r="D289" s="1393" t="inlineStr">
        <is>
          <t>SP</t>
        </is>
      </c>
      <c r="E289" s="1394" t="n">
        <v>34148</v>
      </c>
      <c r="F289" s="1394" t="n">
        <v>34151</v>
      </c>
      <c r="G289" s="1393" t="n">
        <v>1</v>
      </c>
      <c r="H289" s="1393">
        <f>H288</f>
        <v/>
      </c>
      <c r="I289" s="1393" t="inlineStr">
        <is>
          <t>-</t>
        </is>
      </c>
      <c r="J289" s="1393" t="inlineStr">
        <is>
          <t>-</t>
        </is>
      </c>
      <c r="K289" s="1395">
        <f>IF(raw[[#This Row],[city]]&lt;&gt;"",_xlfn.XLOOKUP($D289,ccc[city],ccc[prov],"-"),"-")</f>
        <v/>
      </c>
      <c r="L289" s="1395">
        <f>IF(raw[[#This Row],[city]]&lt;&gt;"",_xlfn.XLOOKUP($D289,ccc[city],ccc[ctry],"-"),"-")</f>
        <v/>
      </c>
      <c r="M289" s="1395">
        <f>IF(raw[[#This Row],[city]]&lt;&gt;"",_xlfn.XLOOKUP($D289,ccc[city],ccc[cont],"-"),"-")</f>
        <v/>
      </c>
      <c r="N289" s="1396">
        <f>IF(raw[[#This Row],[city]]="","-",IF(raw[[#This Row],[cont]]="B",raw[[#This Row],[cont]],"W"))</f>
        <v/>
      </c>
      <c r="O289" s="1397">
        <f>IF(raw[[#This Row],[out]]=0,0,IF(raw[[#This Row],[out]]=raw[[#This Row],[in]],0.01,raw[[#This Row],[out]]-raw[[#This Row],[in]]))</f>
        <v/>
      </c>
      <c r="P289" s="1397">
        <f>IF(raw[[#This Row],[in]]=0,0,MONTH(raw[[#This Row],[in]]))</f>
        <v/>
      </c>
      <c r="Q289" s="1397">
        <f>IF(raw[[#This Row],[in]]=0,0,YEAR(raw[[#This Row],[in]]))</f>
        <v/>
      </c>
      <c r="R289" s="1397">
        <f>INT(raw[[#This Row],[yr]]/10)*10</f>
        <v/>
      </c>
      <c r="S289" s="1395">
        <f>IF(raw[[#This Row],[city]]="","-",IF(raw[[#This Row],[city]]&lt;&gt;_xlfn.XLOOKUP(raw[[#This Row],[home]],homes[home],homes[city],"-"),1,0))</f>
        <v/>
      </c>
      <c r="T289" s="1398" t="inlineStr">
        <is>
          <t>.</t>
        </is>
      </c>
      <c r="U289" s="1399">
        <f>IF(raw[[#This Row],[wb]]="w",raw[[#This Row],[stay]]+U288,U288)</f>
        <v/>
      </c>
      <c r="V289" s="1400">
        <f>IF(raw[[#This Row],[out]]=0,V288,(raw[[#This Row],[out]]-E$5))</f>
        <v/>
      </c>
      <c r="W289" s="1401">
        <f>U289/V289</f>
        <v/>
      </c>
      <c r="X289" s="1378" t="inlineStr">
        <is>
          <t>.</t>
        </is>
      </c>
      <c r="Y289" s="1402">
        <f/>
        <v/>
      </c>
      <c r="Z289" s="1403">
        <f/>
        <v/>
      </c>
      <c r="AA289" s="1403">
        <f/>
        <v/>
      </c>
      <c r="AB289" s="1400">
        <f t="array" ref="AB289">_xlfn.LET(_xlpm.S,_xlfn.ANCHORARRAY($Y$4),_xlpm.r,ROWS(stayCity[[#Headers],[city]]:stayCity[[#This Row],[city]])-1,IF(_xlpm.r&lt;=ROWS(_xlpm.S),INDEX(_xlpm.S,_xlpm.r,1),""))</f>
        <v/>
      </c>
      <c r="AC289" s="1405">
        <f t="array" ref="AC289">_xlfn.LET(_xlpm.S,_xlfn.ANCHORARRAY($Y$4),_xlpm.r,ROWS(stayCity[[#Headers],[city]]:stayCity[[#This Row],[city]])-1,IF(_xlpm.r&lt;=ROWS(_xlpm.S),INDEX(_xlpm.S,_xlpm.r,2),""))</f>
        <v/>
      </c>
      <c r="AD289" s="1405">
        <f t="array" ref="AD289">_xlfn.LET(_xlpm.S,_xlfn.ANCHORARRAY($Y$4),_xlpm.r,ROWS(stayCity[[#Headers],[city]]:stayCity[[#This Row],[city]])-1,IF(_xlpm.r&lt;=ROWS(_xlpm.S),INDEX(_xlpm.S,_xlpm.r,3),""))</f>
        <v/>
      </c>
      <c r="AE289" s="1400">
        <f>IF(stayCity[[#This Row],[out]]&lt;&gt;"",stayCity[[#This Row],[out]]-stayCity[[#This Row],[in]],"-")</f>
        <v/>
      </c>
      <c r="AF289" s="1406">
        <f>IF(Y289="","-",YEAR(stayCity[[#This Row],[in]]))</f>
        <v/>
      </c>
      <c r="AG289" s="1398" t="inlineStr">
        <is>
          <t>.</t>
        </is>
      </c>
      <c r="AH289" s="1402" t="n"/>
      <c r="AI289" s="1420" t="n"/>
      <c r="AJ289" s="1420" t="n"/>
      <c r="AK289" s="1400">
        <f>IF(AH289="","-",AH289)</f>
        <v/>
      </c>
      <c r="AL289" s="1405">
        <f>AI289</f>
        <v/>
      </c>
      <c r="AM289" s="1405">
        <f>AJ289</f>
        <v/>
      </c>
      <c r="AN289" s="1400">
        <f>stayCtry[[#This Row],[out]]-stayCtry[[#This Row],[in]]</f>
        <v/>
      </c>
      <c r="AO289" s="1406">
        <f>IF(AI289&lt;&gt;"",AO288+1,AO288)</f>
        <v/>
      </c>
      <c r="AP289" s="1398" t="inlineStr">
        <is>
          <t>.</t>
        </is>
      </c>
      <c r="AQ289" s="1402" t="n"/>
      <c r="AR289" s="1403" t="n"/>
      <c r="AS289" s="1403" t="n"/>
      <c r="AT289" s="1400">
        <f>AQ289</f>
        <v/>
      </c>
      <c r="AU289" s="1405">
        <f>AR289</f>
        <v/>
      </c>
      <c r="AV289" s="1405">
        <f>AS289</f>
        <v/>
      </c>
      <c r="AW289" s="1400">
        <f>stayCont[[#This Row],[out]]-stayCont[[#This Row],[in]]</f>
        <v/>
      </c>
      <c r="AX289" s="1406">
        <f>IF(AR289&lt;&gt;"",AX288+1,AX288)</f>
        <v/>
      </c>
      <c r="AY289" s="1398" t="inlineStr">
        <is>
          <t>.</t>
        </is>
      </c>
      <c r="AZ289" s="1402" t="n"/>
      <c r="BA289" s="1403" t="n"/>
      <c r="BB289" s="1403" t="n"/>
      <c r="BC289" s="1405">
        <f>AZ289</f>
        <v/>
      </c>
      <c r="BD289" s="1405">
        <f>BA289</f>
        <v/>
      </c>
      <c r="BE289" s="1405">
        <f>BB289</f>
        <v/>
      </c>
      <c r="BF289" s="1400">
        <f>stayWB[[#This Row],[out]]-stayWB[[#This Row],[in]]</f>
        <v/>
      </c>
      <c r="BG289" s="1400">
        <f>IF(BB289&lt;&gt;"",BG288+1,BG288)</f>
        <v/>
      </c>
      <c r="BH289" s="1398" t="inlineStr">
        <is>
          <t>.</t>
        </is>
      </c>
      <c r="BI289" s="1402" t="n"/>
      <c r="BJ289" s="1402" t="n"/>
      <c r="BK289" s="1400">
        <f>BI289</f>
        <v/>
      </c>
      <c r="BL289" s="1409">
        <f>BJ289</f>
        <v/>
      </c>
      <c r="BM289" s="1378" t="inlineStr">
        <is>
          <t>.</t>
        </is>
      </c>
      <c r="BN289" s="1411" t="n"/>
      <c r="BO289" s="1400">
        <f>BN289</f>
        <v/>
      </c>
      <c r="BP289" s="1398" t="inlineStr">
        <is>
          <t>.</t>
        </is>
      </c>
      <c r="BQ289" s="1400">
        <f>IF(BR289&lt;&gt;"",BQ288+1,BQ288)</f>
        <v/>
      </c>
      <c r="BR289" s="1411" t="inlineStr">
        <is>
          <t>Rio</t>
        </is>
      </c>
      <c r="BS289" s="1411" t="inlineStr">
        <is>
          <t>SSA</t>
        </is>
      </c>
      <c r="BT289" s="1412" t="inlineStr">
        <is>
          <t>Rio-SSA</t>
        </is>
      </c>
      <c r="BU289" s="1412" t="n">
        <v>42100</v>
      </c>
      <c r="BV289" s="1398" t="inlineStr">
        <is>
          <t>.</t>
        </is>
      </c>
      <c r="BW289" s="1392" t="n"/>
      <c r="BX289" s="1392" t="n"/>
      <c r="BY289" s="1392" t="n"/>
      <c r="BZ289" s="1416" t="n"/>
      <c r="CA289" s="1392" t="n"/>
      <c r="CB289" s="1392" t="n"/>
      <c r="CC289" s="1392" t="n"/>
      <c r="CD289" s="1392" t="n"/>
      <c r="CE289" s="1392" t="n"/>
      <c r="CF289" s="1392" t="n"/>
      <c r="CG289" s="1392" t="n"/>
      <c r="CH289" s="1392" t="n"/>
      <c r="CI289" s="1392" t="n"/>
      <c r="CJ289" s="1392" t="n"/>
      <c r="CK289" s="1392" t="n"/>
      <c r="CL289" s="1392" t="n"/>
    </row>
    <row r="290">
      <c r="A290" s="5" t="inlineStr">
        <is>
          <t>.</t>
        </is>
      </c>
      <c r="B290" s="5" t="inlineStr">
        <is>
          <t>.</t>
        </is>
      </c>
      <c r="C290" s="1378">
        <f>IF(raw[[#This Row],[city]]="","-",IF(raw[[#This Row],[city]]="TODAY","-",C289+1))</f>
        <v/>
      </c>
      <c r="D290" s="1393" t="inlineStr">
        <is>
          <t>SSA</t>
        </is>
      </c>
      <c r="E290" s="1394" t="n">
        <v>34151</v>
      </c>
      <c r="F290" s="1394" t="n">
        <v>34182</v>
      </c>
      <c r="G290" s="1393" t="inlineStr">
        <is>
          <t>-</t>
        </is>
      </c>
      <c r="H290" s="1393">
        <f>H289</f>
        <v/>
      </c>
      <c r="I290" s="1393" t="inlineStr">
        <is>
          <t>Greenfeld</t>
        </is>
      </c>
      <c r="J290" s="1393" t="inlineStr">
        <is>
          <t>-</t>
        </is>
      </c>
      <c r="K290" s="1395">
        <f>IF(raw[[#This Row],[city]]&lt;&gt;"",_xlfn.XLOOKUP($D290,ccc[city],ccc[prov],"-"),"-")</f>
        <v/>
      </c>
      <c r="L290" s="1395">
        <f>IF(raw[[#This Row],[city]]&lt;&gt;"",_xlfn.XLOOKUP($D290,ccc[city],ccc[ctry],"-"),"-")</f>
        <v/>
      </c>
      <c r="M290" s="1395">
        <f>IF(raw[[#This Row],[city]]&lt;&gt;"",_xlfn.XLOOKUP($D290,ccc[city],ccc[cont],"-"),"-")</f>
        <v/>
      </c>
      <c r="N290" s="1396">
        <f>IF(raw[[#This Row],[city]]="","-",IF(raw[[#This Row],[cont]]="B",raw[[#This Row],[cont]],"W"))</f>
        <v/>
      </c>
      <c r="O290" s="1397">
        <f>IF(raw[[#This Row],[out]]=0,0,IF(raw[[#This Row],[out]]=raw[[#This Row],[in]],0.01,raw[[#This Row],[out]]-raw[[#This Row],[in]]))</f>
        <v/>
      </c>
      <c r="P290" s="1397">
        <f>IF(raw[[#This Row],[in]]=0,0,MONTH(raw[[#This Row],[in]]))</f>
        <v/>
      </c>
      <c r="Q290" s="1397">
        <f>IF(raw[[#This Row],[in]]=0,0,YEAR(raw[[#This Row],[in]]))</f>
        <v/>
      </c>
      <c r="R290" s="1397">
        <f>INT(raw[[#This Row],[yr]]/10)*10</f>
        <v/>
      </c>
      <c r="S290" s="1395">
        <f>IF(raw[[#This Row],[city]]="","-",IF(raw[[#This Row],[city]]&lt;&gt;_xlfn.XLOOKUP(raw[[#This Row],[home]],homes[home],homes[city],"-"),1,0))</f>
        <v/>
      </c>
      <c r="T290" s="1398" t="inlineStr">
        <is>
          <t>.</t>
        </is>
      </c>
      <c r="U290" s="1399">
        <f>IF(raw[[#This Row],[wb]]="w",raw[[#This Row],[stay]]+U289,U289)</f>
        <v/>
      </c>
      <c r="V290" s="1400">
        <f>IF(raw[[#This Row],[out]]=0,V289,(raw[[#This Row],[out]]-E$5))</f>
        <v/>
      </c>
      <c r="W290" s="1401">
        <f>U290/V290</f>
        <v/>
      </c>
      <c r="X290" s="1378" t="inlineStr">
        <is>
          <t>.</t>
        </is>
      </c>
      <c r="Y290" s="1402">
        <f/>
        <v/>
      </c>
      <c r="Z290" s="1403">
        <f/>
        <v/>
      </c>
      <c r="AA290" s="1403">
        <f/>
        <v/>
      </c>
      <c r="AB290" s="1400">
        <f t="array" ref="AB290">_xlfn.LET(_xlpm.S,_xlfn.ANCHORARRAY($Y$4),_xlpm.r,ROWS(stayCity[[#Headers],[city]]:stayCity[[#This Row],[city]])-1,IF(_xlpm.r&lt;=ROWS(_xlpm.S),INDEX(_xlpm.S,_xlpm.r,1),""))</f>
        <v/>
      </c>
      <c r="AC290" s="1405">
        <f t="array" ref="AC290">_xlfn.LET(_xlpm.S,_xlfn.ANCHORARRAY($Y$4),_xlpm.r,ROWS(stayCity[[#Headers],[city]]:stayCity[[#This Row],[city]])-1,IF(_xlpm.r&lt;=ROWS(_xlpm.S),INDEX(_xlpm.S,_xlpm.r,2),""))</f>
        <v/>
      </c>
      <c r="AD290" s="1405">
        <f t="array" ref="AD290">_xlfn.LET(_xlpm.S,_xlfn.ANCHORARRAY($Y$4),_xlpm.r,ROWS(stayCity[[#Headers],[city]]:stayCity[[#This Row],[city]])-1,IF(_xlpm.r&lt;=ROWS(_xlpm.S),INDEX(_xlpm.S,_xlpm.r,3),""))</f>
        <v/>
      </c>
      <c r="AE290" s="1400">
        <f>IF(stayCity[[#This Row],[out]]&lt;&gt;"",stayCity[[#This Row],[out]]-stayCity[[#This Row],[in]],"-")</f>
        <v/>
      </c>
      <c r="AF290" s="1406">
        <f>IF(Y290="","-",YEAR(stayCity[[#This Row],[in]]))</f>
        <v/>
      </c>
      <c r="AG290" s="1398" t="inlineStr">
        <is>
          <t>.</t>
        </is>
      </c>
      <c r="AH290" s="1402" t="n"/>
      <c r="AI290" s="1420" t="n"/>
      <c r="AJ290" s="1420" t="n"/>
      <c r="AK290" s="1400">
        <f>IF(AH290="","-",AH290)</f>
        <v/>
      </c>
      <c r="AL290" s="1405">
        <f>AI290</f>
        <v/>
      </c>
      <c r="AM290" s="1405">
        <f>AJ290</f>
        <v/>
      </c>
      <c r="AN290" s="1400">
        <f>stayCtry[[#This Row],[out]]-stayCtry[[#This Row],[in]]</f>
        <v/>
      </c>
      <c r="AO290" s="1406">
        <f>IF(AI290&lt;&gt;"",AO289+1,AO289)</f>
        <v/>
      </c>
      <c r="AP290" s="1398" t="inlineStr">
        <is>
          <t>.</t>
        </is>
      </c>
      <c r="AQ290" s="1402" t="n"/>
      <c r="AR290" s="1403" t="n"/>
      <c r="AS290" s="1403" t="n"/>
      <c r="AT290" s="1400">
        <f>AQ290</f>
        <v/>
      </c>
      <c r="AU290" s="1405">
        <f>AR290</f>
        <v/>
      </c>
      <c r="AV290" s="1405">
        <f>AS290</f>
        <v/>
      </c>
      <c r="AW290" s="1400">
        <f>stayCont[[#This Row],[out]]-stayCont[[#This Row],[in]]</f>
        <v/>
      </c>
      <c r="AX290" s="1406">
        <f>IF(AR290&lt;&gt;"",AX289+1,AX289)</f>
        <v/>
      </c>
      <c r="AY290" s="1398" t="inlineStr">
        <is>
          <t>.</t>
        </is>
      </c>
      <c r="AZ290" s="1402" t="n"/>
      <c r="BA290" s="1403" t="n"/>
      <c r="BB290" s="1403" t="n"/>
      <c r="BC290" s="1405">
        <f>AZ290</f>
        <v/>
      </c>
      <c r="BD290" s="1405">
        <f>BA290</f>
        <v/>
      </c>
      <c r="BE290" s="1405">
        <f>BB290</f>
        <v/>
      </c>
      <c r="BF290" s="1400">
        <f>stayWB[[#This Row],[out]]-stayWB[[#This Row],[in]]</f>
        <v/>
      </c>
      <c r="BG290" s="1400">
        <f>IF(BB290&lt;&gt;"",BG289+1,BG289)</f>
        <v/>
      </c>
      <c r="BH290" s="1398" t="inlineStr">
        <is>
          <t>.</t>
        </is>
      </c>
      <c r="BI290" s="1402" t="n"/>
      <c r="BJ290" s="1402" t="n"/>
      <c r="BK290" s="1400">
        <f>BI290</f>
        <v/>
      </c>
      <c r="BL290" s="1409">
        <f>BJ290</f>
        <v/>
      </c>
      <c r="BM290" s="1378" t="inlineStr">
        <is>
          <t>.</t>
        </is>
      </c>
      <c r="BN290" s="1411" t="n"/>
      <c r="BO290" s="1400">
        <f>BN290</f>
        <v/>
      </c>
      <c r="BP290" s="1398" t="inlineStr">
        <is>
          <t>.</t>
        </is>
      </c>
      <c r="BQ290" s="1400">
        <f>IF(BR290&lt;&gt;"",BQ289+1,BQ289)</f>
        <v/>
      </c>
      <c r="BR290" s="1411" t="inlineStr">
        <is>
          <t>SSA</t>
        </is>
      </c>
      <c r="BS290" s="1411" t="inlineStr">
        <is>
          <t>Miami</t>
        </is>
      </c>
      <c r="BT290" s="1412" t="inlineStr">
        <is>
          <t>SSA-Miami</t>
        </is>
      </c>
      <c r="BU290" s="1412" t="n">
        <v>42115</v>
      </c>
      <c r="BV290" s="1398" t="inlineStr">
        <is>
          <t>.</t>
        </is>
      </c>
      <c r="BW290" s="1392" t="n"/>
      <c r="BX290" s="1392" t="n"/>
      <c r="BY290" s="1392" t="n"/>
      <c r="BZ290" s="1416" t="n"/>
      <c r="CA290" s="1392" t="n"/>
      <c r="CB290" s="1392" t="n"/>
      <c r="CC290" s="1392" t="n"/>
      <c r="CD290" s="1392" t="n"/>
      <c r="CE290" s="1392" t="n"/>
      <c r="CF290" s="1392" t="n"/>
      <c r="CG290" s="1392" t="n"/>
      <c r="CH290" s="1392" t="n"/>
      <c r="CI290" s="1392" t="n"/>
      <c r="CJ290" s="1392" t="n"/>
      <c r="CK290" s="1392" t="n"/>
      <c r="CL290" s="1392" t="n"/>
    </row>
    <row r="291">
      <c r="A291" s="5" t="inlineStr">
        <is>
          <t>.</t>
        </is>
      </c>
      <c r="B291" s="5" t="inlineStr">
        <is>
          <t>.</t>
        </is>
      </c>
      <c r="C291" s="1378">
        <f>IF(raw[[#This Row],[city]]="","-",IF(raw[[#This Row],[city]]="TODAY","-",C290+1))</f>
        <v/>
      </c>
      <c r="D291" s="1393" t="inlineStr">
        <is>
          <t>SSA</t>
        </is>
      </c>
      <c r="E291" s="1394" t="n">
        <v>34182</v>
      </c>
      <c r="F291" s="1394" t="n">
        <v>34186</v>
      </c>
      <c r="G291" s="1393" t="n">
        <v>1</v>
      </c>
      <c r="H291" s="1393">
        <f>H290</f>
        <v/>
      </c>
      <c r="I291" s="1393" t="inlineStr">
        <is>
          <t>Greenfeld</t>
        </is>
      </c>
      <c r="J291" s="1393" t="inlineStr">
        <is>
          <t>-</t>
        </is>
      </c>
      <c r="K291" s="1395">
        <f>IF(raw[[#This Row],[city]]&lt;&gt;"",_xlfn.XLOOKUP($D291,ccc[city],ccc[prov],"-"),"-")</f>
        <v/>
      </c>
      <c r="L291" s="1395">
        <f>IF(raw[[#This Row],[city]]&lt;&gt;"",_xlfn.XLOOKUP($D291,ccc[city],ccc[ctry],"-"),"-")</f>
        <v/>
      </c>
      <c r="M291" s="1395">
        <f>IF(raw[[#This Row],[city]]&lt;&gt;"",_xlfn.XLOOKUP($D291,ccc[city],ccc[cont],"-"),"-")</f>
        <v/>
      </c>
      <c r="N291" s="1396">
        <f>IF(raw[[#This Row],[city]]="","-",IF(raw[[#This Row],[cont]]="B",raw[[#This Row],[cont]],"W"))</f>
        <v/>
      </c>
      <c r="O291" s="1397">
        <f>IF(raw[[#This Row],[out]]=0,0,IF(raw[[#This Row],[out]]=raw[[#This Row],[in]],0.01,raw[[#This Row],[out]]-raw[[#This Row],[in]]))</f>
        <v/>
      </c>
      <c r="P291" s="1397">
        <f>IF(raw[[#This Row],[in]]=0,0,MONTH(raw[[#This Row],[in]]))</f>
        <v/>
      </c>
      <c r="Q291" s="1397">
        <f>IF(raw[[#This Row],[in]]=0,0,YEAR(raw[[#This Row],[in]]))</f>
        <v/>
      </c>
      <c r="R291" s="1397">
        <f>INT(raw[[#This Row],[yr]]/10)*10</f>
        <v/>
      </c>
      <c r="S291" s="1395">
        <f>IF(raw[[#This Row],[city]]="","-",IF(raw[[#This Row],[city]]&lt;&gt;_xlfn.XLOOKUP(raw[[#This Row],[home]],homes[home],homes[city],"-"),1,0))</f>
        <v/>
      </c>
      <c r="T291" s="1398" t="inlineStr">
        <is>
          <t>.</t>
        </is>
      </c>
      <c r="U291" s="1399">
        <f>IF(raw[[#This Row],[wb]]="w",raw[[#This Row],[stay]]+U290,U290)</f>
        <v/>
      </c>
      <c r="V291" s="1400">
        <f>IF(raw[[#This Row],[out]]=0,V290,(raw[[#This Row],[out]]-E$5))</f>
        <v/>
      </c>
      <c r="W291" s="1401">
        <f>U291/V291</f>
        <v/>
      </c>
      <c r="X291" s="1378" t="inlineStr">
        <is>
          <t>.</t>
        </is>
      </c>
      <c r="Y291" s="1402">
        <f/>
        <v/>
      </c>
      <c r="Z291" s="1403">
        <f/>
        <v/>
      </c>
      <c r="AA291" s="1403">
        <f/>
        <v/>
      </c>
      <c r="AB291" s="1400">
        <f t="array" ref="AB291">_xlfn.LET(_xlpm.S,_xlfn.ANCHORARRAY($Y$4),_xlpm.r,ROWS(stayCity[[#Headers],[city]]:stayCity[[#This Row],[city]])-1,IF(_xlpm.r&lt;=ROWS(_xlpm.S),INDEX(_xlpm.S,_xlpm.r,1),""))</f>
        <v/>
      </c>
      <c r="AC291" s="1405">
        <f t="array" ref="AC291">_xlfn.LET(_xlpm.S,_xlfn.ANCHORARRAY($Y$4),_xlpm.r,ROWS(stayCity[[#Headers],[city]]:stayCity[[#This Row],[city]])-1,IF(_xlpm.r&lt;=ROWS(_xlpm.S),INDEX(_xlpm.S,_xlpm.r,2),""))</f>
        <v/>
      </c>
      <c r="AD291" s="1405">
        <f t="array" ref="AD291">_xlfn.LET(_xlpm.S,_xlfn.ANCHORARRAY($Y$4),_xlpm.r,ROWS(stayCity[[#Headers],[city]]:stayCity[[#This Row],[city]])-1,IF(_xlpm.r&lt;=ROWS(_xlpm.S),INDEX(_xlpm.S,_xlpm.r,3),""))</f>
        <v/>
      </c>
      <c r="AE291" s="1400">
        <f>IF(stayCity[[#This Row],[out]]&lt;&gt;"",stayCity[[#This Row],[out]]-stayCity[[#This Row],[in]],"-")</f>
        <v/>
      </c>
      <c r="AF291" s="1406">
        <f>IF(Y291="","-",YEAR(stayCity[[#This Row],[in]]))</f>
        <v/>
      </c>
      <c r="AG291" s="1398" t="inlineStr">
        <is>
          <t>.</t>
        </is>
      </c>
      <c r="AH291" s="1402" t="n"/>
      <c r="AI291" s="1420" t="n"/>
      <c r="AJ291" s="1420" t="n"/>
      <c r="AK291" s="1400">
        <f>IF(AH291="","-",AH291)</f>
        <v/>
      </c>
      <c r="AL291" s="1405">
        <f>AI291</f>
        <v/>
      </c>
      <c r="AM291" s="1405">
        <f>AJ291</f>
        <v/>
      </c>
      <c r="AN291" s="1400">
        <f>stayCtry[[#This Row],[out]]-stayCtry[[#This Row],[in]]</f>
        <v/>
      </c>
      <c r="AO291" s="1406">
        <f>IF(AI291&lt;&gt;"",AO290+1,AO290)</f>
        <v/>
      </c>
      <c r="AP291" s="1398" t="inlineStr">
        <is>
          <t>.</t>
        </is>
      </c>
      <c r="AQ291" s="1402" t="n"/>
      <c r="AR291" s="1403" t="n"/>
      <c r="AS291" s="1403" t="n"/>
      <c r="AT291" s="1400">
        <f>AQ291</f>
        <v/>
      </c>
      <c r="AU291" s="1405">
        <f>AR291</f>
        <v/>
      </c>
      <c r="AV291" s="1405">
        <f>AS291</f>
        <v/>
      </c>
      <c r="AW291" s="1400">
        <f>stayCont[[#This Row],[out]]-stayCont[[#This Row],[in]]</f>
        <v/>
      </c>
      <c r="AX291" s="1406">
        <f>IF(AR291&lt;&gt;"",AX290+1,AX290)</f>
        <v/>
      </c>
      <c r="AY291" s="1398" t="inlineStr">
        <is>
          <t>.</t>
        </is>
      </c>
      <c r="AZ291" s="1402" t="n"/>
      <c r="BA291" s="1403" t="n"/>
      <c r="BB291" s="1403" t="n"/>
      <c r="BC291" s="1405">
        <f>AZ291</f>
        <v/>
      </c>
      <c r="BD291" s="1405">
        <f>BA291</f>
        <v/>
      </c>
      <c r="BE291" s="1405">
        <f>BB291</f>
        <v/>
      </c>
      <c r="BF291" s="1400">
        <f>stayWB[[#This Row],[out]]-stayWB[[#This Row],[in]]</f>
        <v/>
      </c>
      <c r="BG291" s="1400">
        <f>IF(BB291&lt;&gt;"",BG290+1,BG290)</f>
        <v/>
      </c>
      <c r="BH291" s="1398" t="inlineStr">
        <is>
          <t>.</t>
        </is>
      </c>
      <c r="BI291" s="1402" t="n"/>
      <c r="BJ291" s="1402" t="n"/>
      <c r="BK291" s="1400">
        <f>BI291</f>
        <v/>
      </c>
      <c r="BL291" s="1409">
        <f>BJ291</f>
        <v/>
      </c>
      <c r="BM291" s="1378" t="inlineStr">
        <is>
          <t>.</t>
        </is>
      </c>
      <c r="BN291" s="1411" t="n"/>
      <c r="BO291" s="1400">
        <f>BN291</f>
        <v/>
      </c>
      <c r="BP291" s="1398" t="inlineStr">
        <is>
          <t>.</t>
        </is>
      </c>
      <c r="BQ291" s="1400">
        <f>IF(BR291&lt;&gt;"",BQ290+1,BQ290)</f>
        <v/>
      </c>
      <c r="BR291" s="1411" t="inlineStr">
        <is>
          <t>Miami</t>
        </is>
      </c>
      <c r="BS291" s="1411" t="inlineStr">
        <is>
          <t>Montreal</t>
        </is>
      </c>
      <c r="BT291" s="1412" t="inlineStr">
        <is>
          <t>Miami-Montreal</t>
        </is>
      </c>
      <c r="BU291" s="1412" t="n">
        <v>42116</v>
      </c>
      <c r="BV291" s="1398" t="inlineStr">
        <is>
          <t>.</t>
        </is>
      </c>
      <c r="BW291" s="1392" t="n"/>
      <c r="BX291" s="1392" t="n"/>
      <c r="BY291" s="1392" t="n"/>
      <c r="BZ291" s="1416" t="n"/>
      <c r="CA291" s="1392" t="n"/>
      <c r="CB291" s="1392" t="n"/>
      <c r="CC291" s="1392" t="n"/>
      <c r="CD291" s="1392" t="n"/>
      <c r="CE291" s="1392" t="n"/>
      <c r="CF291" s="1392" t="n"/>
      <c r="CG291" s="1392" t="n"/>
      <c r="CH291" s="1392" t="n"/>
      <c r="CI291" s="1392" t="n"/>
      <c r="CJ291" s="1392" t="n"/>
      <c r="CK291" s="1392" t="n"/>
      <c r="CL291" s="1392" t="n"/>
    </row>
    <row r="292">
      <c r="A292" s="5" t="inlineStr">
        <is>
          <t>.</t>
        </is>
      </c>
      <c r="B292" s="5" t="inlineStr">
        <is>
          <t>.</t>
        </is>
      </c>
      <c r="C292" s="1378">
        <f>IF(raw[[#This Row],[city]]="","-",IF(raw[[#This Row],[city]]="TODAY","-",C291+1))</f>
        <v/>
      </c>
      <c r="D292" s="1393" t="inlineStr">
        <is>
          <t>SP</t>
        </is>
      </c>
      <c r="E292" s="1394" t="n">
        <v>34186</v>
      </c>
      <c r="F292" s="1394" t="n">
        <v>34200</v>
      </c>
      <c r="G292" s="1393" t="n">
        <v>1</v>
      </c>
      <c r="H292" s="1393">
        <f>H291</f>
        <v/>
      </c>
      <c r="I292" s="1393" t="inlineStr">
        <is>
          <t>-</t>
        </is>
      </c>
      <c r="J292" s="1393" t="inlineStr">
        <is>
          <t>-</t>
        </is>
      </c>
      <c r="K292" s="1395">
        <f>IF(raw[[#This Row],[city]]&lt;&gt;"",_xlfn.XLOOKUP($D292,ccc[city],ccc[prov],"-"),"-")</f>
        <v/>
      </c>
      <c r="L292" s="1395">
        <f>IF(raw[[#This Row],[city]]&lt;&gt;"",_xlfn.XLOOKUP($D292,ccc[city],ccc[ctry],"-"),"-")</f>
        <v/>
      </c>
      <c r="M292" s="1395">
        <f>IF(raw[[#This Row],[city]]&lt;&gt;"",_xlfn.XLOOKUP($D292,ccc[city],ccc[cont],"-"),"-")</f>
        <v/>
      </c>
      <c r="N292" s="1396">
        <f>IF(raw[[#This Row],[city]]="","-",IF(raw[[#This Row],[cont]]="B",raw[[#This Row],[cont]],"W"))</f>
        <v/>
      </c>
      <c r="O292" s="1397">
        <f>IF(raw[[#This Row],[out]]=0,0,IF(raw[[#This Row],[out]]=raw[[#This Row],[in]],0.01,raw[[#This Row],[out]]-raw[[#This Row],[in]]))</f>
        <v/>
      </c>
      <c r="P292" s="1397">
        <f>IF(raw[[#This Row],[in]]=0,0,MONTH(raw[[#This Row],[in]]))</f>
        <v/>
      </c>
      <c r="Q292" s="1397">
        <f>IF(raw[[#This Row],[in]]=0,0,YEAR(raw[[#This Row],[in]]))</f>
        <v/>
      </c>
      <c r="R292" s="1397">
        <f>INT(raw[[#This Row],[yr]]/10)*10</f>
        <v/>
      </c>
      <c r="S292" s="1395">
        <f>IF(raw[[#This Row],[city]]="","-",IF(raw[[#This Row],[city]]&lt;&gt;_xlfn.XLOOKUP(raw[[#This Row],[home]],homes[home],homes[city],"-"),1,0))</f>
        <v/>
      </c>
      <c r="T292" s="1398" t="inlineStr">
        <is>
          <t>.</t>
        </is>
      </c>
      <c r="U292" s="1399">
        <f>IF(raw[[#This Row],[wb]]="w",raw[[#This Row],[stay]]+U291,U291)</f>
        <v/>
      </c>
      <c r="V292" s="1400">
        <f>IF(raw[[#This Row],[out]]=0,V291,(raw[[#This Row],[out]]-E$5))</f>
        <v/>
      </c>
      <c r="W292" s="1401">
        <f>U292/V292</f>
        <v/>
      </c>
      <c r="X292" s="1378" t="inlineStr">
        <is>
          <t>.</t>
        </is>
      </c>
      <c r="Y292" s="1402">
        <f/>
        <v/>
      </c>
      <c r="Z292" s="1403">
        <f/>
        <v/>
      </c>
      <c r="AA292" s="1403">
        <f/>
        <v/>
      </c>
      <c r="AB292" s="1400">
        <f t="array" ref="AB292">_xlfn.LET(_xlpm.S,_xlfn.ANCHORARRAY($Y$4),_xlpm.r,ROWS(stayCity[[#Headers],[city]]:stayCity[[#This Row],[city]])-1,IF(_xlpm.r&lt;=ROWS(_xlpm.S),INDEX(_xlpm.S,_xlpm.r,1),""))</f>
        <v/>
      </c>
      <c r="AC292" s="1405">
        <f t="array" ref="AC292">_xlfn.LET(_xlpm.S,_xlfn.ANCHORARRAY($Y$4),_xlpm.r,ROWS(stayCity[[#Headers],[city]]:stayCity[[#This Row],[city]])-1,IF(_xlpm.r&lt;=ROWS(_xlpm.S),INDEX(_xlpm.S,_xlpm.r,2),""))</f>
        <v/>
      </c>
      <c r="AD292" s="1405">
        <f t="array" ref="AD292">_xlfn.LET(_xlpm.S,_xlfn.ANCHORARRAY($Y$4),_xlpm.r,ROWS(stayCity[[#Headers],[city]]:stayCity[[#This Row],[city]])-1,IF(_xlpm.r&lt;=ROWS(_xlpm.S),INDEX(_xlpm.S,_xlpm.r,3),""))</f>
        <v/>
      </c>
      <c r="AE292" s="1400">
        <f>IF(stayCity[[#This Row],[out]]&lt;&gt;"",stayCity[[#This Row],[out]]-stayCity[[#This Row],[in]],"-")</f>
        <v/>
      </c>
      <c r="AF292" s="1406">
        <f>IF(Y292="","-",YEAR(stayCity[[#This Row],[in]]))</f>
        <v/>
      </c>
      <c r="AG292" s="1398" t="inlineStr">
        <is>
          <t>.</t>
        </is>
      </c>
      <c r="AH292" s="1402" t="n"/>
      <c r="AI292" s="1420" t="n"/>
      <c r="AJ292" s="1420" t="n"/>
      <c r="AK292" s="1400">
        <f>IF(AH292="","-",AH292)</f>
        <v/>
      </c>
      <c r="AL292" s="1405">
        <f>AI292</f>
        <v/>
      </c>
      <c r="AM292" s="1405">
        <f>AJ292</f>
        <v/>
      </c>
      <c r="AN292" s="1400">
        <f>stayCtry[[#This Row],[out]]-stayCtry[[#This Row],[in]]</f>
        <v/>
      </c>
      <c r="AO292" s="1406">
        <f>IF(AI292&lt;&gt;"",AO291+1,AO291)</f>
        <v/>
      </c>
      <c r="AP292" s="1398" t="inlineStr">
        <is>
          <t>.</t>
        </is>
      </c>
      <c r="AQ292" s="1402" t="n"/>
      <c r="AR292" s="1403" t="n"/>
      <c r="AS292" s="1403" t="n"/>
      <c r="AT292" s="1400">
        <f>AQ292</f>
        <v/>
      </c>
      <c r="AU292" s="1405">
        <f>AR292</f>
        <v/>
      </c>
      <c r="AV292" s="1405">
        <f>AS292</f>
        <v/>
      </c>
      <c r="AW292" s="1400">
        <f>stayCont[[#This Row],[out]]-stayCont[[#This Row],[in]]</f>
        <v/>
      </c>
      <c r="AX292" s="1406">
        <f>IF(AR292&lt;&gt;"",AX291+1,AX291)</f>
        <v/>
      </c>
      <c r="AY292" s="1398" t="inlineStr">
        <is>
          <t>.</t>
        </is>
      </c>
      <c r="AZ292" s="1402" t="n"/>
      <c r="BA292" s="1403" t="n"/>
      <c r="BB292" s="1403" t="n"/>
      <c r="BC292" s="1405">
        <f>AZ292</f>
        <v/>
      </c>
      <c r="BD292" s="1405">
        <f>BA292</f>
        <v/>
      </c>
      <c r="BE292" s="1405">
        <f>BB292</f>
        <v/>
      </c>
      <c r="BF292" s="1400">
        <f>stayWB[[#This Row],[out]]-stayWB[[#This Row],[in]]</f>
        <v/>
      </c>
      <c r="BG292" s="1400">
        <f>IF(BB292&lt;&gt;"",BG291+1,BG291)</f>
        <v/>
      </c>
      <c r="BH292" s="1398" t="inlineStr">
        <is>
          <t>.</t>
        </is>
      </c>
      <c r="BI292" s="1402" t="n"/>
      <c r="BJ292" s="1402" t="n"/>
      <c r="BK292" s="1400">
        <f>BI292</f>
        <v/>
      </c>
      <c r="BL292" s="1409">
        <f>BJ292</f>
        <v/>
      </c>
      <c r="BM292" s="1378" t="inlineStr">
        <is>
          <t>.</t>
        </is>
      </c>
      <c r="BN292" s="1411" t="n"/>
      <c r="BO292" s="1400">
        <f>BN292</f>
        <v/>
      </c>
      <c r="BP292" s="1398" t="inlineStr">
        <is>
          <t>.</t>
        </is>
      </c>
      <c r="BQ292" s="1400">
        <f>IF(BR292&lt;&gt;"",BQ291+1,BQ291)</f>
        <v/>
      </c>
      <c r="BR292" s="1411" t="inlineStr">
        <is>
          <t>Montreal</t>
        </is>
      </c>
      <c r="BS292" s="1411" t="inlineStr">
        <is>
          <t>Halifax</t>
        </is>
      </c>
      <c r="BT292" s="1412" t="inlineStr">
        <is>
          <t>Montreal-Halifax</t>
        </is>
      </c>
      <c r="BU292" s="1412" t="n">
        <v>42328</v>
      </c>
      <c r="BV292" s="1398" t="inlineStr">
        <is>
          <t>.</t>
        </is>
      </c>
      <c r="BW292" s="1392" t="n"/>
      <c r="BX292" s="1392" t="n"/>
      <c r="BY292" s="1392" t="n"/>
      <c r="BZ292" s="1416" t="n"/>
      <c r="CA292" s="1392" t="n"/>
      <c r="CB292" s="1392" t="n"/>
      <c r="CC292" s="1392" t="n"/>
      <c r="CD292" s="1392" t="n"/>
      <c r="CE292" s="1392" t="n"/>
      <c r="CF292" s="1392" t="n"/>
      <c r="CG292" s="1392" t="n"/>
      <c r="CH292" s="1392" t="n"/>
      <c r="CI292" s="1392" t="n"/>
      <c r="CJ292" s="1392" t="n"/>
      <c r="CK292" s="1392" t="n"/>
      <c r="CL292" s="1392" t="n"/>
    </row>
    <row r="293">
      <c r="A293" s="5" t="inlineStr">
        <is>
          <t>.</t>
        </is>
      </c>
      <c r="B293" s="5" t="inlineStr">
        <is>
          <t>.</t>
        </is>
      </c>
      <c r="C293" s="1378">
        <f>IF(raw[[#This Row],[city]]="","-",IF(raw[[#This Row],[city]]="TODAY","-",C292+1))</f>
        <v/>
      </c>
      <c r="D293" s="1393" t="inlineStr">
        <is>
          <t>SSA</t>
        </is>
      </c>
      <c r="E293" s="1394" t="n">
        <v>34200</v>
      </c>
      <c r="F293" s="1394" t="n">
        <v>34213</v>
      </c>
      <c r="G293" s="1393" t="n">
        <v>1</v>
      </c>
      <c r="H293" s="1393">
        <f>H292</f>
        <v/>
      </c>
      <c r="I293" s="1393" t="inlineStr">
        <is>
          <t>Greenfeld</t>
        </is>
      </c>
      <c r="J293" s="1393" t="inlineStr">
        <is>
          <t>BDAY</t>
        </is>
      </c>
      <c r="K293" s="1395">
        <f>IF(raw[[#This Row],[city]]&lt;&gt;"",_xlfn.XLOOKUP($D293,ccc[city],ccc[prov],"-"),"-")</f>
        <v/>
      </c>
      <c r="L293" s="1395">
        <f>IF(raw[[#This Row],[city]]&lt;&gt;"",_xlfn.XLOOKUP($D293,ccc[city],ccc[ctry],"-"),"-")</f>
        <v/>
      </c>
      <c r="M293" s="1395">
        <f>IF(raw[[#This Row],[city]]&lt;&gt;"",_xlfn.XLOOKUP($D293,ccc[city],ccc[cont],"-"),"-")</f>
        <v/>
      </c>
      <c r="N293" s="1396">
        <f>IF(raw[[#This Row],[city]]="","-",IF(raw[[#This Row],[cont]]="B",raw[[#This Row],[cont]],"W"))</f>
        <v/>
      </c>
      <c r="O293" s="1397">
        <f>IF(raw[[#This Row],[out]]=0,0,IF(raw[[#This Row],[out]]=raw[[#This Row],[in]],0.01,raw[[#This Row],[out]]-raw[[#This Row],[in]]))</f>
        <v/>
      </c>
      <c r="P293" s="1397">
        <f>IF(raw[[#This Row],[in]]=0,0,MONTH(raw[[#This Row],[in]]))</f>
        <v/>
      </c>
      <c r="Q293" s="1397">
        <f>IF(raw[[#This Row],[in]]=0,0,YEAR(raw[[#This Row],[in]]))</f>
        <v/>
      </c>
      <c r="R293" s="1397">
        <f>INT(raw[[#This Row],[yr]]/10)*10</f>
        <v/>
      </c>
      <c r="S293" s="1395">
        <f>IF(raw[[#This Row],[city]]="","-",IF(raw[[#This Row],[city]]&lt;&gt;_xlfn.XLOOKUP(raw[[#This Row],[home]],homes[home],homes[city],"-"),1,0))</f>
        <v/>
      </c>
      <c r="T293" s="1398" t="inlineStr">
        <is>
          <t>.</t>
        </is>
      </c>
      <c r="U293" s="1399">
        <f>IF(raw[[#This Row],[wb]]="w",raw[[#This Row],[stay]]+U292,U292)</f>
        <v/>
      </c>
      <c r="V293" s="1400">
        <f>IF(raw[[#This Row],[out]]=0,V292,(raw[[#This Row],[out]]-E$5))</f>
        <v/>
      </c>
      <c r="W293" s="1401">
        <f>U293/V293</f>
        <v/>
      </c>
      <c r="X293" s="1378" t="inlineStr">
        <is>
          <t>.</t>
        </is>
      </c>
      <c r="Y293" s="1402">
        <f/>
        <v/>
      </c>
      <c r="Z293" s="1403">
        <f/>
        <v/>
      </c>
      <c r="AA293" s="1403">
        <f/>
        <v/>
      </c>
      <c r="AB293" s="1400">
        <f t="array" ref="AB293">_xlfn.LET(_xlpm.S,_xlfn.ANCHORARRAY($Y$4),_xlpm.r,ROWS(stayCity[[#Headers],[city]]:stayCity[[#This Row],[city]])-1,IF(_xlpm.r&lt;=ROWS(_xlpm.S),INDEX(_xlpm.S,_xlpm.r,1),""))</f>
        <v/>
      </c>
      <c r="AC293" s="1405">
        <f t="array" ref="AC293">_xlfn.LET(_xlpm.S,_xlfn.ANCHORARRAY($Y$4),_xlpm.r,ROWS(stayCity[[#Headers],[city]]:stayCity[[#This Row],[city]])-1,IF(_xlpm.r&lt;=ROWS(_xlpm.S),INDEX(_xlpm.S,_xlpm.r,2),""))</f>
        <v/>
      </c>
      <c r="AD293" s="1405">
        <f t="array" ref="AD293">_xlfn.LET(_xlpm.S,_xlfn.ANCHORARRAY($Y$4),_xlpm.r,ROWS(stayCity[[#Headers],[city]]:stayCity[[#This Row],[city]])-1,IF(_xlpm.r&lt;=ROWS(_xlpm.S),INDEX(_xlpm.S,_xlpm.r,3),""))</f>
        <v/>
      </c>
      <c r="AE293" s="1400">
        <f>IF(stayCity[[#This Row],[out]]&lt;&gt;"",stayCity[[#This Row],[out]]-stayCity[[#This Row],[in]],"-")</f>
        <v/>
      </c>
      <c r="AF293" s="1406">
        <f>IF(Y293="","-",YEAR(stayCity[[#This Row],[in]]))</f>
        <v/>
      </c>
      <c r="AG293" s="1398" t="inlineStr">
        <is>
          <t>.</t>
        </is>
      </c>
      <c r="AH293" s="1402" t="n"/>
      <c r="AI293" s="1420" t="n"/>
      <c r="AJ293" s="1420" t="n"/>
      <c r="AK293" s="1400">
        <f>IF(AH293="","-",AH293)</f>
        <v/>
      </c>
      <c r="AL293" s="1405">
        <f>AI293</f>
        <v/>
      </c>
      <c r="AM293" s="1405">
        <f>AJ293</f>
        <v/>
      </c>
      <c r="AN293" s="1400">
        <f>stayCtry[[#This Row],[out]]-stayCtry[[#This Row],[in]]</f>
        <v/>
      </c>
      <c r="AO293" s="1406">
        <f>IF(AI293&lt;&gt;"",AO292+1,AO292)</f>
        <v/>
      </c>
      <c r="AP293" s="1398" t="inlineStr">
        <is>
          <t>.</t>
        </is>
      </c>
      <c r="AQ293" s="1402" t="n"/>
      <c r="AR293" s="1403" t="n"/>
      <c r="AS293" s="1403" t="n"/>
      <c r="AT293" s="1400">
        <f>AQ293</f>
        <v/>
      </c>
      <c r="AU293" s="1405">
        <f>AR293</f>
        <v/>
      </c>
      <c r="AV293" s="1405">
        <f>AS293</f>
        <v/>
      </c>
      <c r="AW293" s="1400">
        <f>stayCont[[#This Row],[out]]-stayCont[[#This Row],[in]]</f>
        <v/>
      </c>
      <c r="AX293" s="1406">
        <f>IF(AR293&lt;&gt;"",AX292+1,AX292)</f>
        <v/>
      </c>
      <c r="AY293" s="1398" t="inlineStr">
        <is>
          <t>.</t>
        </is>
      </c>
      <c r="AZ293" s="1402" t="n"/>
      <c r="BA293" s="1403" t="n"/>
      <c r="BB293" s="1403" t="n"/>
      <c r="BC293" s="1405">
        <f>AZ293</f>
        <v/>
      </c>
      <c r="BD293" s="1405">
        <f>BA293</f>
        <v/>
      </c>
      <c r="BE293" s="1405">
        <f>BB293</f>
        <v/>
      </c>
      <c r="BF293" s="1400">
        <f>stayWB[[#This Row],[out]]-stayWB[[#This Row],[in]]</f>
        <v/>
      </c>
      <c r="BG293" s="1400">
        <f>IF(BB293&lt;&gt;"",BG292+1,BG292)</f>
        <v/>
      </c>
      <c r="BH293" s="1398" t="inlineStr">
        <is>
          <t>.</t>
        </is>
      </c>
      <c r="BI293" s="1402" t="n"/>
      <c r="BJ293" s="1402" t="n"/>
      <c r="BK293" s="1400">
        <f>BI293</f>
        <v/>
      </c>
      <c r="BL293" s="1409">
        <f>BJ293</f>
        <v/>
      </c>
      <c r="BM293" s="1378" t="inlineStr">
        <is>
          <t>.</t>
        </is>
      </c>
      <c r="BN293" s="1411" t="n"/>
      <c r="BO293" s="1400">
        <f>BN293</f>
        <v/>
      </c>
      <c r="BP293" s="1398" t="inlineStr">
        <is>
          <t>.</t>
        </is>
      </c>
      <c r="BQ293" s="1400">
        <f>IF(BR293&lt;&gt;"",BQ292+1,BQ292)</f>
        <v/>
      </c>
      <c r="BR293" s="1411" t="inlineStr">
        <is>
          <t>Halifax</t>
        </is>
      </c>
      <c r="BS293" s="1411" t="inlineStr">
        <is>
          <t>Montreal</t>
        </is>
      </c>
      <c r="BT293" s="1412" t="inlineStr">
        <is>
          <t>Halifax-Montreal</t>
        </is>
      </c>
      <c r="BU293" s="1412" t="n">
        <v>42329</v>
      </c>
      <c r="BV293" s="1398" t="inlineStr">
        <is>
          <t>.</t>
        </is>
      </c>
      <c r="BW293" s="1392" t="n"/>
      <c r="BX293" s="1392" t="n"/>
      <c r="BY293" s="1392" t="n"/>
      <c r="BZ293" s="1416" t="n"/>
      <c r="CA293" s="1392" t="n"/>
      <c r="CB293" s="1392" t="n"/>
      <c r="CC293" s="1392" t="n"/>
      <c r="CD293" s="1392" t="n"/>
      <c r="CE293" s="1392" t="n"/>
      <c r="CF293" s="1392" t="n"/>
      <c r="CG293" s="1392" t="n"/>
      <c r="CH293" s="1392" t="n"/>
      <c r="CI293" s="1392" t="n"/>
      <c r="CJ293" s="1392" t="n"/>
      <c r="CK293" s="1392" t="n"/>
      <c r="CL293" s="1392" t="n"/>
    </row>
    <row r="294">
      <c r="A294" s="5" t="inlineStr">
        <is>
          <t>.</t>
        </is>
      </c>
      <c r="B294" s="5" t="inlineStr">
        <is>
          <t>.</t>
        </is>
      </c>
      <c r="C294" s="1378">
        <f>IF(raw[[#This Row],[city]]="","-",IF(raw[[#This Row],[city]]="TODAY","-",C293+1))</f>
        <v/>
      </c>
      <c r="D294" s="1393" t="inlineStr">
        <is>
          <t>SP</t>
        </is>
      </c>
      <c r="E294" s="1394" t="n">
        <v>34213</v>
      </c>
      <c r="F294" s="1394" t="n">
        <v>34243</v>
      </c>
      <c r="G294" s="1393" t="inlineStr">
        <is>
          <t>-</t>
        </is>
      </c>
      <c r="H294" s="1393">
        <f>H293</f>
        <v/>
      </c>
      <c r="I294" s="1393" t="inlineStr">
        <is>
          <t>-</t>
        </is>
      </c>
      <c r="J294" s="1393" t="inlineStr">
        <is>
          <t>-</t>
        </is>
      </c>
      <c r="K294" s="1395">
        <f>IF(raw[[#This Row],[city]]&lt;&gt;"",_xlfn.XLOOKUP($D294,ccc[city],ccc[prov],"-"),"-")</f>
        <v/>
      </c>
      <c r="L294" s="1395">
        <f>IF(raw[[#This Row],[city]]&lt;&gt;"",_xlfn.XLOOKUP($D294,ccc[city],ccc[ctry],"-"),"-")</f>
        <v/>
      </c>
      <c r="M294" s="1395">
        <f>IF(raw[[#This Row],[city]]&lt;&gt;"",_xlfn.XLOOKUP($D294,ccc[city],ccc[cont],"-"),"-")</f>
        <v/>
      </c>
      <c r="N294" s="1396">
        <f>IF(raw[[#This Row],[city]]="","-",IF(raw[[#This Row],[cont]]="B",raw[[#This Row],[cont]],"W"))</f>
        <v/>
      </c>
      <c r="O294" s="1397">
        <f>IF(raw[[#This Row],[out]]=0,0,IF(raw[[#This Row],[out]]=raw[[#This Row],[in]],0.01,raw[[#This Row],[out]]-raw[[#This Row],[in]]))</f>
        <v/>
      </c>
      <c r="P294" s="1397">
        <f>IF(raw[[#This Row],[in]]=0,0,MONTH(raw[[#This Row],[in]]))</f>
        <v/>
      </c>
      <c r="Q294" s="1397">
        <f>IF(raw[[#This Row],[in]]=0,0,YEAR(raw[[#This Row],[in]]))</f>
        <v/>
      </c>
      <c r="R294" s="1397">
        <f>INT(raw[[#This Row],[yr]]/10)*10</f>
        <v/>
      </c>
      <c r="S294" s="1395">
        <f>IF(raw[[#This Row],[city]]="","-",IF(raw[[#This Row],[city]]&lt;&gt;_xlfn.XLOOKUP(raw[[#This Row],[home]],homes[home],homes[city],"-"),1,0))</f>
        <v/>
      </c>
      <c r="T294" s="1398" t="inlineStr">
        <is>
          <t>.</t>
        </is>
      </c>
      <c r="U294" s="1399">
        <f>IF(raw[[#This Row],[wb]]="w",raw[[#This Row],[stay]]+U293,U293)</f>
        <v/>
      </c>
      <c r="V294" s="1400">
        <f>IF(raw[[#This Row],[out]]=0,V293,(raw[[#This Row],[out]]-E$5))</f>
        <v/>
      </c>
      <c r="W294" s="1401">
        <f>U294/V294</f>
        <v/>
      </c>
      <c r="X294" s="1378" t="inlineStr">
        <is>
          <t>.</t>
        </is>
      </c>
      <c r="Y294" s="1402">
        <f/>
        <v/>
      </c>
      <c r="Z294" s="1403">
        <f/>
        <v/>
      </c>
      <c r="AA294" s="1403">
        <f/>
        <v/>
      </c>
      <c r="AB294" s="1400">
        <f t="array" ref="AB294">_xlfn.LET(_xlpm.S,_xlfn.ANCHORARRAY($Y$4),_xlpm.r,ROWS(stayCity[[#Headers],[city]]:stayCity[[#This Row],[city]])-1,IF(_xlpm.r&lt;=ROWS(_xlpm.S),INDEX(_xlpm.S,_xlpm.r,1),""))</f>
        <v/>
      </c>
      <c r="AC294" s="1405">
        <f t="array" ref="AC294">_xlfn.LET(_xlpm.S,_xlfn.ANCHORARRAY($Y$4),_xlpm.r,ROWS(stayCity[[#Headers],[city]]:stayCity[[#This Row],[city]])-1,IF(_xlpm.r&lt;=ROWS(_xlpm.S),INDEX(_xlpm.S,_xlpm.r,2),""))</f>
        <v/>
      </c>
      <c r="AD294" s="1405">
        <f t="array" ref="AD294">_xlfn.LET(_xlpm.S,_xlfn.ANCHORARRAY($Y$4),_xlpm.r,ROWS(stayCity[[#Headers],[city]]:stayCity[[#This Row],[city]])-1,IF(_xlpm.r&lt;=ROWS(_xlpm.S),INDEX(_xlpm.S,_xlpm.r,3),""))</f>
        <v/>
      </c>
      <c r="AE294" s="1400">
        <f>IF(stayCity[[#This Row],[out]]&lt;&gt;"",stayCity[[#This Row],[out]]-stayCity[[#This Row],[in]],"-")</f>
        <v/>
      </c>
      <c r="AF294" s="1406">
        <f>IF(Y294="","-",YEAR(stayCity[[#This Row],[in]]))</f>
        <v/>
      </c>
      <c r="AG294" s="1398" t="inlineStr">
        <is>
          <t>.</t>
        </is>
      </c>
      <c r="AH294" s="1402" t="n"/>
      <c r="AI294" s="1420" t="n"/>
      <c r="AJ294" s="1420" t="n"/>
      <c r="AK294" s="1400">
        <f>IF(AH294="","-",AH294)</f>
        <v/>
      </c>
      <c r="AL294" s="1405">
        <f>AI294</f>
        <v/>
      </c>
      <c r="AM294" s="1405">
        <f>AJ294</f>
        <v/>
      </c>
      <c r="AN294" s="1400">
        <f>stayCtry[[#This Row],[out]]-stayCtry[[#This Row],[in]]</f>
        <v/>
      </c>
      <c r="AO294" s="1406">
        <f>IF(AI294&lt;&gt;"",AO293+1,AO293)</f>
        <v/>
      </c>
      <c r="AP294" s="1398" t="inlineStr">
        <is>
          <t>.</t>
        </is>
      </c>
      <c r="AQ294" s="1402" t="n"/>
      <c r="AR294" s="1403" t="n"/>
      <c r="AS294" s="1403" t="n"/>
      <c r="AT294" s="1400">
        <f>AQ294</f>
        <v/>
      </c>
      <c r="AU294" s="1405">
        <f>AR294</f>
        <v/>
      </c>
      <c r="AV294" s="1405">
        <f>AS294</f>
        <v/>
      </c>
      <c r="AW294" s="1400">
        <f>stayCont[[#This Row],[out]]-stayCont[[#This Row],[in]]</f>
        <v/>
      </c>
      <c r="AX294" s="1406">
        <f>IF(AR294&lt;&gt;"",AX293+1,AX293)</f>
        <v/>
      </c>
      <c r="AY294" s="1398" t="inlineStr">
        <is>
          <t>.</t>
        </is>
      </c>
      <c r="AZ294" s="1402" t="n"/>
      <c r="BA294" s="1403" t="n"/>
      <c r="BB294" s="1403" t="n"/>
      <c r="BC294" s="1405">
        <f>AZ294</f>
        <v/>
      </c>
      <c r="BD294" s="1405">
        <f>BA294</f>
        <v/>
      </c>
      <c r="BE294" s="1405">
        <f>BB294</f>
        <v/>
      </c>
      <c r="BF294" s="1400">
        <f>stayWB[[#This Row],[out]]-stayWB[[#This Row],[in]]</f>
        <v/>
      </c>
      <c r="BG294" s="1400">
        <f>IF(BB294&lt;&gt;"",BG293+1,BG293)</f>
        <v/>
      </c>
      <c r="BH294" s="1398" t="inlineStr">
        <is>
          <t>.</t>
        </is>
      </c>
      <c r="BI294" s="1402" t="n"/>
      <c r="BJ294" s="1402" t="n"/>
      <c r="BK294" s="1400">
        <f>BI294</f>
        <v/>
      </c>
      <c r="BL294" s="1409">
        <f>BJ294</f>
        <v/>
      </c>
      <c r="BM294" s="1378" t="inlineStr">
        <is>
          <t>.</t>
        </is>
      </c>
      <c r="BN294" s="1411" t="n"/>
      <c r="BO294" s="1400">
        <f>BN294</f>
        <v/>
      </c>
      <c r="BP294" s="1398" t="inlineStr">
        <is>
          <t>.</t>
        </is>
      </c>
      <c r="BQ294" s="1400">
        <f>IF(BR294&lt;&gt;"",BQ293+1,BQ293)</f>
        <v/>
      </c>
      <c r="BR294" s="1411" t="inlineStr">
        <is>
          <t>Montreal</t>
        </is>
      </c>
      <c r="BS294" s="1411" t="inlineStr">
        <is>
          <t>NYC</t>
        </is>
      </c>
      <c r="BT294" s="1412" t="inlineStr">
        <is>
          <t>Montreal-NYC</t>
        </is>
      </c>
      <c r="BU294" s="1412" t="n">
        <v>42375</v>
      </c>
      <c r="BV294" s="1398" t="inlineStr">
        <is>
          <t>.</t>
        </is>
      </c>
      <c r="BW294" s="1392" t="n"/>
      <c r="BX294" s="1392" t="n"/>
      <c r="BY294" s="1392" t="n"/>
      <c r="BZ294" s="1416" t="n"/>
      <c r="CA294" s="1392" t="n"/>
      <c r="CB294" s="1392" t="n"/>
      <c r="CC294" s="1392" t="n"/>
      <c r="CD294" s="1392" t="n"/>
      <c r="CE294" s="1392" t="n"/>
      <c r="CF294" s="1392" t="n"/>
      <c r="CG294" s="1392" t="n"/>
      <c r="CH294" s="1392" t="n"/>
      <c r="CI294" s="1392" t="n"/>
      <c r="CJ294" s="1392" t="n"/>
      <c r="CK294" s="1392" t="n"/>
      <c r="CL294" s="1392" t="n"/>
    </row>
    <row r="295">
      <c r="A295" s="5" t="inlineStr">
        <is>
          <t>.</t>
        </is>
      </c>
      <c r="B295" s="5" t="inlineStr">
        <is>
          <t>.</t>
        </is>
      </c>
      <c r="C295" s="1378">
        <f>IF(raw[[#This Row],[city]]="","-",IF(raw[[#This Row],[city]]="TODAY","-",C294+1))</f>
        <v/>
      </c>
      <c r="D295" s="1393" t="inlineStr">
        <is>
          <t>SP</t>
        </is>
      </c>
      <c r="E295" s="1394" t="n">
        <v>34243</v>
      </c>
      <c r="F295" s="1394" t="n">
        <v>34274</v>
      </c>
      <c r="G295" s="1393" t="inlineStr">
        <is>
          <t>-</t>
        </is>
      </c>
      <c r="H295" s="1393">
        <f>H294</f>
        <v/>
      </c>
      <c r="I295" s="1393" t="inlineStr">
        <is>
          <t>-</t>
        </is>
      </c>
      <c r="J295" s="1393" t="inlineStr">
        <is>
          <t>-</t>
        </is>
      </c>
      <c r="K295" s="1395">
        <f>IF(raw[[#This Row],[city]]&lt;&gt;"",_xlfn.XLOOKUP($D295,ccc[city],ccc[prov],"-"),"-")</f>
        <v/>
      </c>
      <c r="L295" s="1395">
        <f>IF(raw[[#This Row],[city]]&lt;&gt;"",_xlfn.XLOOKUP($D295,ccc[city],ccc[ctry],"-"),"-")</f>
        <v/>
      </c>
      <c r="M295" s="1395">
        <f>IF(raw[[#This Row],[city]]&lt;&gt;"",_xlfn.XLOOKUP($D295,ccc[city],ccc[cont],"-"),"-")</f>
        <v/>
      </c>
      <c r="N295" s="1396">
        <f>IF(raw[[#This Row],[city]]="","-",IF(raw[[#This Row],[cont]]="B",raw[[#This Row],[cont]],"W"))</f>
        <v/>
      </c>
      <c r="O295" s="1397">
        <f>IF(raw[[#This Row],[out]]=0,0,IF(raw[[#This Row],[out]]=raw[[#This Row],[in]],0.01,raw[[#This Row],[out]]-raw[[#This Row],[in]]))</f>
        <v/>
      </c>
      <c r="P295" s="1397">
        <f>IF(raw[[#This Row],[in]]=0,0,MONTH(raw[[#This Row],[in]]))</f>
        <v/>
      </c>
      <c r="Q295" s="1397">
        <f>IF(raw[[#This Row],[in]]=0,0,YEAR(raw[[#This Row],[in]]))</f>
        <v/>
      </c>
      <c r="R295" s="1397">
        <f>INT(raw[[#This Row],[yr]]/10)*10</f>
        <v/>
      </c>
      <c r="S295" s="1395">
        <f>IF(raw[[#This Row],[city]]="","-",IF(raw[[#This Row],[city]]&lt;&gt;_xlfn.XLOOKUP(raw[[#This Row],[home]],homes[home],homes[city],"-"),1,0))</f>
        <v/>
      </c>
      <c r="T295" s="1398" t="inlineStr">
        <is>
          <t>.</t>
        </is>
      </c>
      <c r="U295" s="1399">
        <f>IF(raw[[#This Row],[wb]]="w",raw[[#This Row],[stay]]+U294,U294)</f>
        <v/>
      </c>
      <c r="V295" s="1400">
        <f>IF(raw[[#This Row],[out]]=0,V294,(raw[[#This Row],[out]]-E$5))</f>
        <v/>
      </c>
      <c r="W295" s="1401">
        <f>U295/V295</f>
        <v/>
      </c>
      <c r="X295" s="1378" t="inlineStr">
        <is>
          <t>.</t>
        </is>
      </c>
      <c r="Y295" s="1402">
        <f/>
        <v/>
      </c>
      <c r="Z295" s="1403">
        <f/>
        <v/>
      </c>
      <c r="AA295" s="1403">
        <f/>
        <v/>
      </c>
      <c r="AB295" s="1400">
        <f t="array" ref="AB295">_xlfn.LET(_xlpm.S,_xlfn.ANCHORARRAY($Y$4),_xlpm.r,ROWS(stayCity[[#Headers],[city]]:stayCity[[#This Row],[city]])-1,IF(_xlpm.r&lt;=ROWS(_xlpm.S),INDEX(_xlpm.S,_xlpm.r,1),""))</f>
        <v/>
      </c>
      <c r="AC295" s="1405">
        <f t="array" ref="AC295">_xlfn.LET(_xlpm.S,_xlfn.ANCHORARRAY($Y$4),_xlpm.r,ROWS(stayCity[[#Headers],[city]]:stayCity[[#This Row],[city]])-1,IF(_xlpm.r&lt;=ROWS(_xlpm.S),INDEX(_xlpm.S,_xlpm.r,2),""))</f>
        <v/>
      </c>
      <c r="AD295" s="1405">
        <f t="array" ref="AD295">_xlfn.LET(_xlpm.S,_xlfn.ANCHORARRAY($Y$4),_xlpm.r,ROWS(stayCity[[#Headers],[city]]:stayCity[[#This Row],[city]])-1,IF(_xlpm.r&lt;=ROWS(_xlpm.S),INDEX(_xlpm.S,_xlpm.r,3),""))</f>
        <v/>
      </c>
      <c r="AE295" s="1400">
        <f>IF(stayCity[[#This Row],[out]]&lt;&gt;"",stayCity[[#This Row],[out]]-stayCity[[#This Row],[in]],"-")</f>
        <v/>
      </c>
      <c r="AF295" s="1406">
        <f>IF(Y295="","-",YEAR(stayCity[[#This Row],[in]]))</f>
        <v/>
      </c>
      <c r="AG295" s="1398" t="inlineStr">
        <is>
          <t>.</t>
        </is>
      </c>
      <c r="AH295" s="1402" t="n"/>
      <c r="AI295" s="1420" t="n"/>
      <c r="AJ295" s="1420" t="n"/>
      <c r="AK295" s="1400">
        <f>IF(AH295="","-",AH295)</f>
        <v/>
      </c>
      <c r="AL295" s="1405">
        <f>AI295</f>
        <v/>
      </c>
      <c r="AM295" s="1405">
        <f>AJ295</f>
        <v/>
      </c>
      <c r="AN295" s="1400">
        <f>stayCtry[[#This Row],[out]]-stayCtry[[#This Row],[in]]</f>
        <v/>
      </c>
      <c r="AO295" s="1406">
        <f>IF(AI295&lt;&gt;"",AO294+1,AO294)</f>
        <v/>
      </c>
      <c r="AP295" s="1398" t="inlineStr">
        <is>
          <t>.</t>
        </is>
      </c>
      <c r="AQ295" s="1402" t="n"/>
      <c r="AR295" s="1403" t="n"/>
      <c r="AS295" s="1403" t="n"/>
      <c r="AT295" s="1400">
        <f>AQ295</f>
        <v/>
      </c>
      <c r="AU295" s="1405">
        <f>AR295</f>
        <v/>
      </c>
      <c r="AV295" s="1405">
        <f>AS295</f>
        <v/>
      </c>
      <c r="AW295" s="1400">
        <f>stayCont[[#This Row],[out]]-stayCont[[#This Row],[in]]</f>
        <v/>
      </c>
      <c r="AX295" s="1406">
        <f>IF(AR295&lt;&gt;"",AX294+1,AX294)</f>
        <v/>
      </c>
      <c r="AY295" s="1398" t="inlineStr">
        <is>
          <t>.</t>
        </is>
      </c>
      <c r="AZ295" s="1402" t="n"/>
      <c r="BA295" s="1403" t="n"/>
      <c r="BB295" s="1403" t="n"/>
      <c r="BC295" s="1405">
        <f>AZ295</f>
        <v/>
      </c>
      <c r="BD295" s="1405">
        <f>BA295</f>
        <v/>
      </c>
      <c r="BE295" s="1405">
        <f>BB295</f>
        <v/>
      </c>
      <c r="BF295" s="1400">
        <f>stayWB[[#This Row],[out]]-stayWB[[#This Row],[in]]</f>
        <v/>
      </c>
      <c r="BG295" s="1400">
        <f>IF(BB295&lt;&gt;"",BG294+1,BG294)</f>
        <v/>
      </c>
      <c r="BH295" s="1398" t="inlineStr">
        <is>
          <t>.</t>
        </is>
      </c>
      <c r="BI295" s="1402" t="n"/>
      <c r="BJ295" s="1402" t="n"/>
      <c r="BK295" s="1400">
        <f>BI295</f>
        <v/>
      </c>
      <c r="BL295" s="1409">
        <f>BJ295</f>
        <v/>
      </c>
      <c r="BM295" s="1378" t="inlineStr">
        <is>
          <t>.</t>
        </is>
      </c>
      <c r="BN295" s="1411" t="n"/>
      <c r="BO295" s="1400">
        <f>BN295</f>
        <v/>
      </c>
      <c r="BP295" s="1398" t="inlineStr">
        <is>
          <t>.</t>
        </is>
      </c>
      <c r="BQ295" s="1400">
        <f>IF(BR295&lt;&gt;"",BQ294+1,BQ294)</f>
        <v/>
      </c>
      <c r="BR295" s="1411" t="inlineStr">
        <is>
          <t>NYC</t>
        </is>
      </c>
      <c r="BS295" s="1411" t="inlineStr">
        <is>
          <t>Orlando</t>
        </is>
      </c>
      <c r="BT295" s="1412" t="inlineStr">
        <is>
          <t>NYC-Orlando</t>
        </is>
      </c>
      <c r="BU295" s="1412" t="n">
        <v>42375</v>
      </c>
      <c r="BV295" s="1398" t="inlineStr">
        <is>
          <t>.</t>
        </is>
      </c>
      <c r="BW295" s="1392" t="n"/>
      <c r="BX295" s="1392" t="n"/>
      <c r="BY295" s="1392" t="n"/>
      <c r="BZ295" s="1416" t="n"/>
      <c r="CA295" s="1392" t="n"/>
      <c r="CB295" s="1392" t="n"/>
      <c r="CC295" s="1392" t="n"/>
      <c r="CD295" s="1392" t="n"/>
      <c r="CE295" s="1392" t="n"/>
      <c r="CF295" s="1392" t="n"/>
      <c r="CG295" s="1392" t="n"/>
      <c r="CH295" s="1392" t="n"/>
      <c r="CI295" s="1392" t="n"/>
      <c r="CJ295" s="1392" t="n"/>
      <c r="CK295" s="1392" t="n"/>
      <c r="CL295" s="1392" t="n"/>
    </row>
    <row r="296">
      <c r="A296" s="5" t="inlineStr">
        <is>
          <t>.</t>
        </is>
      </c>
      <c r="B296" s="5" t="inlineStr">
        <is>
          <t>.</t>
        </is>
      </c>
      <c r="C296" s="1378">
        <f>IF(raw[[#This Row],[city]]="","-",IF(raw[[#This Row],[city]]="TODAY","-",C295+1))</f>
        <v/>
      </c>
      <c r="D296" s="1393" t="inlineStr">
        <is>
          <t>SP</t>
        </is>
      </c>
      <c r="E296" s="1394" t="n">
        <v>34274</v>
      </c>
      <c r="F296" s="1394" t="n">
        <v>34289</v>
      </c>
      <c r="G296" s="1393" t="n">
        <v>1</v>
      </c>
      <c r="H296" s="1393">
        <f>H295</f>
        <v/>
      </c>
      <c r="I296" s="1393" t="inlineStr">
        <is>
          <t>-</t>
        </is>
      </c>
      <c r="J296" s="1393" t="inlineStr">
        <is>
          <t>-</t>
        </is>
      </c>
      <c r="K296" s="1395">
        <f>IF(raw[[#This Row],[city]]&lt;&gt;"",_xlfn.XLOOKUP($D296,ccc[city],ccc[prov],"-"),"-")</f>
        <v/>
      </c>
      <c r="L296" s="1395">
        <f>IF(raw[[#This Row],[city]]&lt;&gt;"",_xlfn.XLOOKUP($D296,ccc[city],ccc[ctry],"-"),"-")</f>
        <v/>
      </c>
      <c r="M296" s="1395">
        <f>IF(raw[[#This Row],[city]]&lt;&gt;"",_xlfn.XLOOKUP($D296,ccc[city],ccc[cont],"-"),"-")</f>
        <v/>
      </c>
      <c r="N296" s="1396">
        <f>IF(raw[[#This Row],[city]]="","-",IF(raw[[#This Row],[cont]]="B",raw[[#This Row],[cont]],"W"))</f>
        <v/>
      </c>
      <c r="O296" s="1397">
        <f>IF(raw[[#This Row],[out]]=0,0,IF(raw[[#This Row],[out]]=raw[[#This Row],[in]],0.01,raw[[#This Row],[out]]-raw[[#This Row],[in]]))</f>
        <v/>
      </c>
      <c r="P296" s="1397">
        <f>IF(raw[[#This Row],[in]]=0,0,MONTH(raw[[#This Row],[in]]))</f>
        <v/>
      </c>
      <c r="Q296" s="1397">
        <f>IF(raw[[#This Row],[in]]=0,0,YEAR(raw[[#This Row],[in]]))</f>
        <v/>
      </c>
      <c r="R296" s="1397">
        <f>INT(raw[[#This Row],[yr]]/10)*10</f>
        <v/>
      </c>
      <c r="S296" s="1395">
        <f>IF(raw[[#This Row],[city]]="","-",IF(raw[[#This Row],[city]]&lt;&gt;_xlfn.XLOOKUP(raw[[#This Row],[home]],homes[home],homes[city],"-"),1,0))</f>
        <v/>
      </c>
      <c r="T296" s="1398" t="inlineStr">
        <is>
          <t>.</t>
        </is>
      </c>
      <c r="U296" s="1399">
        <f>IF(raw[[#This Row],[wb]]="w",raw[[#This Row],[stay]]+U295,U295)</f>
        <v/>
      </c>
      <c r="V296" s="1400">
        <f>IF(raw[[#This Row],[out]]=0,V295,(raw[[#This Row],[out]]-E$5))</f>
        <v/>
      </c>
      <c r="W296" s="1401">
        <f>U296/V296</f>
        <v/>
      </c>
      <c r="X296" s="1378" t="inlineStr">
        <is>
          <t>.</t>
        </is>
      </c>
      <c r="Y296" s="1402">
        <f/>
        <v/>
      </c>
      <c r="Z296" s="1403">
        <f/>
        <v/>
      </c>
      <c r="AA296" s="1403">
        <f/>
        <v/>
      </c>
      <c r="AB296" s="1400">
        <f t="array" ref="AB296">_xlfn.LET(_xlpm.S,_xlfn.ANCHORARRAY($Y$4),_xlpm.r,ROWS(stayCity[[#Headers],[city]]:stayCity[[#This Row],[city]])-1,IF(_xlpm.r&lt;=ROWS(_xlpm.S),INDEX(_xlpm.S,_xlpm.r,1),""))</f>
        <v/>
      </c>
      <c r="AC296" s="1405">
        <f t="array" ref="AC296">_xlfn.LET(_xlpm.S,_xlfn.ANCHORARRAY($Y$4),_xlpm.r,ROWS(stayCity[[#Headers],[city]]:stayCity[[#This Row],[city]])-1,IF(_xlpm.r&lt;=ROWS(_xlpm.S),INDEX(_xlpm.S,_xlpm.r,2),""))</f>
        <v/>
      </c>
      <c r="AD296" s="1405">
        <f t="array" ref="AD296">_xlfn.LET(_xlpm.S,_xlfn.ANCHORARRAY($Y$4),_xlpm.r,ROWS(stayCity[[#Headers],[city]]:stayCity[[#This Row],[city]])-1,IF(_xlpm.r&lt;=ROWS(_xlpm.S),INDEX(_xlpm.S,_xlpm.r,3),""))</f>
        <v/>
      </c>
      <c r="AE296" s="1400">
        <f>IF(stayCity[[#This Row],[out]]&lt;&gt;"",stayCity[[#This Row],[out]]-stayCity[[#This Row],[in]],"-")</f>
        <v/>
      </c>
      <c r="AF296" s="1406">
        <f>IF(Y296="","-",YEAR(stayCity[[#This Row],[in]]))</f>
        <v/>
      </c>
      <c r="AG296" s="1398" t="inlineStr">
        <is>
          <t>.</t>
        </is>
      </c>
      <c r="AH296" s="1402" t="n"/>
      <c r="AI296" s="1420" t="n"/>
      <c r="AJ296" s="1420" t="n"/>
      <c r="AK296" s="1400">
        <f>IF(AH296="","-",AH296)</f>
        <v/>
      </c>
      <c r="AL296" s="1405">
        <f>AI296</f>
        <v/>
      </c>
      <c r="AM296" s="1405">
        <f>AJ296</f>
        <v/>
      </c>
      <c r="AN296" s="1400">
        <f>stayCtry[[#This Row],[out]]-stayCtry[[#This Row],[in]]</f>
        <v/>
      </c>
      <c r="AO296" s="1406">
        <f>IF(AI296&lt;&gt;"",AO295+1,AO295)</f>
        <v/>
      </c>
      <c r="AP296" s="1398" t="inlineStr">
        <is>
          <t>.</t>
        </is>
      </c>
      <c r="AQ296" s="1402" t="n"/>
      <c r="AR296" s="1403" t="n"/>
      <c r="AS296" s="1403" t="n"/>
      <c r="AT296" s="1400">
        <f>AQ296</f>
        <v/>
      </c>
      <c r="AU296" s="1405">
        <f>AR296</f>
        <v/>
      </c>
      <c r="AV296" s="1405">
        <f>AS296</f>
        <v/>
      </c>
      <c r="AW296" s="1400">
        <f>stayCont[[#This Row],[out]]-stayCont[[#This Row],[in]]</f>
        <v/>
      </c>
      <c r="AX296" s="1406">
        <f>IF(AR296&lt;&gt;"",AX295+1,AX295)</f>
        <v/>
      </c>
      <c r="AY296" s="1398" t="inlineStr">
        <is>
          <t>.</t>
        </is>
      </c>
      <c r="AZ296" s="1402" t="n"/>
      <c r="BA296" s="1403" t="n"/>
      <c r="BB296" s="1403" t="n"/>
      <c r="BC296" s="1405">
        <f>AZ296</f>
        <v/>
      </c>
      <c r="BD296" s="1405">
        <f>BA296</f>
        <v/>
      </c>
      <c r="BE296" s="1405">
        <f>BB296</f>
        <v/>
      </c>
      <c r="BF296" s="1400">
        <f>stayWB[[#This Row],[out]]-stayWB[[#This Row],[in]]</f>
        <v/>
      </c>
      <c r="BG296" s="1400">
        <f>IF(BB296&lt;&gt;"",BG295+1,BG295)</f>
        <v/>
      </c>
      <c r="BH296" s="1398" t="inlineStr">
        <is>
          <t>.</t>
        </is>
      </c>
      <c r="BI296" s="1402" t="n"/>
      <c r="BJ296" s="1402" t="n"/>
      <c r="BK296" s="1400">
        <f>BI296</f>
        <v/>
      </c>
      <c r="BL296" s="1409">
        <f>BJ296</f>
        <v/>
      </c>
      <c r="BM296" s="1378" t="inlineStr">
        <is>
          <t>.</t>
        </is>
      </c>
      <c r="BN296" s="1411" t="n"/>
      <c r="BO296" s="1400">
        <f>BN296</f>
        <v/>
      </c>
      <c r="BP296" s="1398" t="inlineStr">
        <is>
          <t>.</t>
        </is>
      </c>
      <c r="BQ296" s="1400">
        <f>IF(BR296&lt;&gt;"",BQ295+1,BQ295)</f>
        <v/>
      </c>
      <c r="BR296" s="1411" t="inlineStr">
        <is>
          <t>Orlando</t>
        </is>
      </c>
      <c r="BS296" s="1411" t="inlineStr">
        <is>
          <t>Detroit</t>
        </is>
      </c>
      <c r="BT296" s="1412" t="inlineStr">
        <is>
          <t>Orlando-Detroit</t>
        </is>
      </c>
      <c r="BU296" s="1412" t="n">
        <v>42388</v>
      </c>
      <c r="BV296" s="1398" t="inlineStr">
        <is>
          <t>.</t>
        </is>
      </c>
      <c r="BW296" s="1392" t="n"/>
      <c r="BX296" s="1392" t="n"/>
      <c r="BY296" s="1392" t="n"/>
      <c r="BZ296" s="1416" t="n"/>
      <c r="CA296" s="1392" t="n"/>
      <c r="CB296" s="1392" t="n"/>
      <c r="CC296" s="1392" t="n"/>
      <c r="CD296" s="1392" t="n"/>
      <c r="CE296" s="1392" t="n"/>
      <c r="CF296" s="1392" t="n"/>
      <c r="CG296" s="1392" t="n"/>
      <c r="CH296" s="1392" t="n"/>
      <c r="CI296" s="1392" t="n"/>
      <c r="CJ296" s="1392" t="n"/>
      <c r="CK296" s="1392" t="n"/>
      <c r="CL296" s="1392" t="n"/>
    </row>
    <row r="297">
      <c r="A297" s="5" t="inlineStr">
        <is>
          <t>.</t>
        </is>
      </c>
      <c r="B297" s="5" t="inlineStr">
        <is>
          <t>.</t>
        </is>
      </c>
      <c r="C297" s="1378">
        <f>IF(raw[[#This Row],[city]]="","-",IF(raw[[#This Row],[city]]="TODAY","-",C296+1))</f>
        <v/>
      </c>
      <c r="D297" s="1393" t="inlineStr">
        <is>
          <t>SSA</t>
        </is>
      </c>
      <c r="E297" s="1394" t="n">
        <v>34289</v>
      </c>
      <c r="F297" s="1394" t="n">
        <v>34304</v>
      </c>
      <c r="G297" s="1393" t="inlineStr">
        <is>
          <t>-</t>
        </is>
      </c>
      <c r="H297" s="1393">
        <f>H296</f>
        <v/>
      </c>
      <c r="I297" s="1393" t="inlineStr">
        <is>
          <t>Greenfeld</t>
        </is>
      </c>
      <c r="J297" s="1393" t="inlineStr">
        <is>
          <t>-</t>
        </is>
      </c>
      <c r="K297" s="1395">
        <f>IF(raw[[#This Row],[city]]&lt;&gt;"",_xlfn.XLOOKUP($D297,ccc[city],ccc[prov],"-"),"-")</f>
        <v/>
      </c>
      <c r="L297" s="1395">
        <f>IF(raw[[#This Row],[city]]&lt;&gt;"",_xlfn.XLOOKUP($D297,ccc[city],ccc[ctry],"-"),"-")</f>
        <v/>
      </c>
      <c r="M297" s="1395">
        <f>IF(raw[[#This Row],[city]]&lt;&gt;"",_xlfn.XLOOKUP($D297,ccc[city],ccc[cont],"-"),"-")</f>
        <v/>
      </c>
      <c r="N297" s="1396">
        <f>IF(raw[[#This Row],[city]]="","-",IF(raw[[#This Row],[cont]]="B",raw[[#This Row],[cont]],"W"))</f>
        <v/>
      </c>
      <c r="O297" s="1397">
        <f>IF(raw[[#This Row],[out]]=0,0,IF(raw[[#This Row],[out]]=raw[[#This Row],[in]],0.01,raw[[#This Row],[out]]-raw[[#This Row],[in]]))</f>
        <v/>
      </c>
      <c r="P297" s="1397">
        <f>IF(raw[[#This Row],[in]]=0,0,MONTH(raw[[#This Row],[in]]))</f>
        <v/>
      </c>
      <c r="Q297" s="1397">
        <f>IF(raw[[#This Row],[in]]=0,0,YEAR(raw[[#This Row],[in]]))</f>
        <v/>
      </c>
      <c r="R297" s="1397">
        <f>INT(raw[[#This Row],[yr]]/10)*10</f>
        <v/>
      </c>
      <c r="S297" s="1395">
        <f>IF(raw[[#This Row],[city]]="","-",IF(raw[[#This Row],[city]]&lt;&gt;_xlfn.XLOOKUP(raw[[#This Row],[home]],homes[home],homes[city],"-"),1,0))</f>
        <v/>
      </c>
      <c r="T297" s="1398" t="inlineStr">
        <is>
          <t>.</t>
        </is>
      </c>
      <c r="U297" s="1399">
        <f>IF(raw[[#This Row],[wb]]="w",raw[[#This Row],[stay]]+U296,U296)</f>
        <v/>
      </c>
      <c r="V297" s="1400">
        <f>IF(raw[[#This Row],[out]]=0,V296,(raw[[#This Row],[out]]-E$5))</f>
        <v/>
      </c>
      <c r="W297" s="1401">
        <f>U297/V297</f>
        <v/>
      </c>
      <c r="X297" s="1378" t="inlineStr">
        <is>
          <t>.</t>
        </is>
      </c>
      <c r="Y297" s="1402">
        <f/>
        <v/>
      </c>
      <c r="Z297" s="1403">
        <f/>
        <v/>
      </c>
      <c r="AA297" s="1403">
        <f/>
        <v/>
      </c>
      <c r="AB297" s="1400">
        <f t="array" ref="AB297">_xlfn.LET(_xlpm.S,_xlfn.ANCHORARRAY($Y$4),_xlpm.r,ROWS(stayCity[[#Headers],[city]]:stayCity[[#This Row],[city]])-1,IF(_xlpm.r&lt;=ROWS(_xlpm.S),INDEX(_xlpm.S,_xlpm.r,1),""))</f>
        <v/>
      </c>
      <c r="AC297" s="1405">
        <f t="array" ref="AC297">_xlfn.LET(_xlpm.S,_xlfn.ANCHORARRAY($Y$4),_xlpm.r,ROWS(stayCity[[#Headers],[city]]:stayCity[[#This Row],[city]])-1,IF(_xlpm.r&lt;=ROWS(_xlpm.S),INDEX(_xlpm.S,_xlpm.r,2),""))</f>
        <v/>
      </c>
      <c r="AD297" s="1405">
        <f t="array" ref="AD297">_xlfn.LET(_xlpm.S,_xlfn.ANCHORARRAY($Y$4),_xlpm.r,ROWS(stayCity[[#Headers],[city]]:stayCity[[#This Row],[city]])-1,IF(_xlpm.r&lt;=ROWS(_xlpm.S),INDEX(_xlpm.S,_xlpm.r,3),""))</f>
        <v/>
      </c>
      <c r="AE297" s="1400">
        <f>IF(stayCity[[#This Row],[out]]&lt;&gt;"",stayCity[[#This Row],[out]]-stayCity[[#This Row],[in]],"-")</f>
        <v/>
      </c>
      <c r="AF297" s="1406">
        <f>IF(Y297="","-",YEAR(stayCity[[#This Row],[in]]))</f>
        <v/>
      </c>
      <c r="AG297" s="1398" t="inlineStr">
        <is>
          <t>.</t>
        </is>
      </c>
      <c r="AH297" s="1402" t="n"/>
      <c r="AI297" s="1420" t="n"/>
      <c r="AJ297" s="1420" t="n"/>
      <c r="AK297" s="1400">
        <f>IF(AH297="","-",AH297)</f>
        <v/>
      </c>
      <c r="AL297" s="1405">
        <f>AI297</f>
        <v/>
      </c>
      <c r="AM297" s="1405">
        <f>AJ297</f>
        <v/>
      </c>
      <c r="AN297" s="1400">
        <f>stayCtry[[#This Row],[out]]-stayCtry[[#This Row],[in]]</f>
        <v/>
      </c>
      <c r="AO297" s="1406">
        <f>IF(AI297&lt;&gt;"",AO296+1,AO296)</f>
        <v/>
      </c>
      <c r="AP297" s="1398" t="inlineStr">
        <is>
          <t>.</t>
        </is>
      </c>
      <c r="AQ297" s="1402" t="n"/>
      <c r="AR297" s="1403" t="n"/>
      <c r="AS297" s="1403" t="n"/>
      <c r="AT297" s="1400">
        <f>AQ297</f>
        <v/>
      </c>
      <c r="AU297" s="1405">
        <f>AR297</f>
        <v/>
      </c>
      <c r="AV297" s="1405">
        <f>AS297</f>
        <v/>
      </c>
      <c r="AW297" s="1400">
        <f>stayCont[[#This Row],[out]]-stayCont[[#This Row],[in]]</f>
        <v/>
      </c>
      <c r="AX297" s="1406">
        <f>IF(AR297&lt;&gt;"",AX296+1,AX296)</f>
        <v/>
      </c>
      <c r="AY297" s="1398" t="inlineStr">
        <is>
          <t>.</t>
        </is>
      </c>
      <c r="AZ297" s="1402" t="n"/>
      <c r="BA297" s="1403" t="n"/>
      <c r="BB297" s="1403" t="n"/>
      <c r="BC297" s="1405">
        <f>AZ297</f>
        <v/>
      </c>
      <c r="BD297" s="1405">
        <f>BA297</f>
        <v/>
      </c>
      <c r="BE297" s="1405">
        <f>BB297</f>
        <v/>
      </c>
      <c r="BF297" s="1400">
        <f>stayWB[[#This Row],[out]]-stayWB[[#This Row],[in]]</f>
        <v/>
      </c>
      <c r="BG297" s="1400">
        <f>IF(BB297&lt;&gt;"",BG296+1,BG296)</f>
        <v/>
      </c>
      <c r="BH297" s="1398" t="inlineStr">
        <is>
          <t>.</t>
        </is>
      </c>
      <c r="BI297" s="1402" t="n"/>
      <c r="BJ297" s="1402" t="n"/>
      <c r="BK297" s="1400">
        <f>BI297</f>
        <v/>
      </c>
      <c r="BL297" s="1409">
        <f>BJ297</f>
        <v/>
      </c>
      <c r="BM297" s="1378" t="inlineStr">
        <is>
          <t>.</t>
        </is>
      </c>
      <c r="BN297" s="1411" t="n"/>
      <c r="BO297" s="1400">
        <f>BN297</f>
        <v/>
      </c>
      <c r="BP297" s="1398" t="inlineStr">
        <is>
          <t>.</t>
        </is>
      </c>
      <c r="BQ297" s="1400">
        <f>IF(BR297&lt;&gt;"",BQ296+1,BQ296)</f>
        <v/>
      </c>
      <c r="BR297" s="1411" t="inlineStr">
        <is>
          <t>Detroit</t>
        </is>
      </c>
      <c r="BS297" s="1411" t="inlineStr">
        <is>
          <t>Montreal</t>
        </is>
      </c>
      <c r="BT297" s="1412" t="inlineStr">
        <is>
          <t>Detroit-Montreal</t>
        </is>
      </c>
      <c r="BU297" s="1412" t="n">
        <v>42388</v>
      </c>
      <c r="BV297" s="1398" t="inlineStr">
        <is>
          <t>.</t>
        </is>
      </c>
      <c r="BW297" s="1392" t="n"/>
      <c r="BX297" s="1392" t="n"/>
      <c r="BY297" s="1392" t="n"/>
      <c r="BZ297" s="1416" t="n"/>
      <c r="CA297" s="1392" t="n"/>
      <c r="CB297" s="1392" t="n"/>
      <c r="CC297" s="1392" t="n"/>
      <c r="CD297" s="1392" t="n"/>
      <c r="CE297" s="1392" t="n"/>
      <c r="CF297" s="1392" t="n"/>
      <c r="CG297" s="1392" t="n"/>
      <c r="CH297" s="1392" t="n"/>
      <c r="CI297" s="1392" t="n"/>
      <c r="CJ297" s="1392" t="n"/>
      <c r="CK297" s="1392" t="n"/>
      <c r="CL297" s="1392" t="n"/>
    </row>
    <row r="298">
      <c r="A298" s="5" t="inlineStr">
        <is>
          <t>.</t>
        </is>
      </c>
      <c r="B298" s="5" t="inlineStr">
        <is>
          <t>.</t>
        </is>
      </c>
      <c r="C298" s="1378">
        <f>IF(raw[[#This Row],[city]]="","-",IF(raw[[#This Row],[city]]="TODAY","-",C297+1))</f>
        <v/>
      </c>
      <c r="D298" s="1393" t="inlineStr">
        <is>
          <t>SSA</t>
        </is>
      </c>
      <c r="E298" s="1394" t="n">
        <v>34304</v>
      </c>
      <c r="F298" s="1394" t="n">
        <v>34332</v>
      </c>
      <c r="G298" s="1393" t="inlineStr">
        <is>
          <t>-</t>
        </is>
      </c>
      <c r="H298" s="1393">
        <f>H297</f>
        <v/>
      </c>
      <c r="I298" s="1393" t="inlineStr">
        <is>
          <t>Greenfeld</t>
        </is>
      </c>
      <c r="J298" s="1393" t="inlineStr">
        <is>
          <t>-</t>
        </is>
      </c>
      <c r="K298" s="1395">
        <f>IF(raw[[#This Row],[city]]&lt;&gt;"",_xlfn.XLOOKUP($D298,ccc[city],ccc[prov],"-"),"-")</f>
        <v/>
      </c>
      <c r="L298" s="1395">
        <f>IF(raw[[#This Row],[city]]&lt;&gt;"",_xlfn.XLOOKUP($D298,ccc[city],ccc[ctry],"-"),"-")</f>
        <v/>
      </c>
      <c r="M298" s="1395">
        <f>IF(raw[[#This Row],[city]]&lt;&gt;"",_xlfn.XLOOKUP($D298,ccc[city],ccc[cont],"-"),"-")</f>
        <v/>
      </c>
      <c r="N298" s="1396">
        <f>IF(raw[[#This Row],[city]]="","-",IF(raw[[#This Row],[cont]]="B",raw[[#This Row],[cont]],"W"))</f>
        <v/>
      </c>
      <c r="O298" s="1397">
        <f>IF(raw[[#This Row],[out]]=0,0,IF(raw[[#This Row],[out]]=raw[[#This Row],[in]],0.01,raw[[#This Row],[out]]-raw[[#This Row],[in]]))</f>
        <v/>
      </c>
      <c r="P298" s="1397">
        <f>IF(raw[[#This Row],[in]]=0,0,MONTH(raw[[#This Row],[in]]))</f>
        <v/>
      </c>
      <c r="Q298" s="1397">
        <f>IF(raw[[#This Row],[in]]=0,0,YEAR(raw[[#This Row],[in]]))</f>
        <v/>
      </c>
      <c r="R298" s="1397">
        <f>INT(raw[[#This Row],[yr]]/10)*10</f>
        <v/>
      </c>
      <c r="S298" s="1395">
        <f>IF(raw[[#This Row],[city]]="","-",IF(raw[[#This Row],[city]]&lt;&gt;_xlfn.XLOOKUP(raw[[#This Row],[home]],homes[home],homes[city],"-"),1,0))</f>
        <v/>
      </c>
      <c r="T298" s="1398" t="inlineStr">
        <is>
          <t>.</t>
        </is>
      </c>
      <c r="U298" s="1399">
        <f>IF(raw[[#This Row],[wb]]="w",raw[[#This Row],[stay]]+U297,U297)</f>
        <v/>
      </c>
      <c r="V298" s="1400">
        <f>IF(raw[[#This Row],[out]]=0,V297,(raw[[#This Row],[out]]-E$5))</f>
        <v/>
      </c>
      <c r="W298" s="1401">
        <f>U298/V298</f>
        <v/>
      </c>
      <c r="X298" s="1378" t="inlineStr">
        <is>
          <t>.</t>
        </is>
      </c>
      <c r="Y298" s="1402">
        <f/>
        <v/>
      </c>
      <c r="Z298" s="1403">
        <f/>
        <v/>
      </c>
      <c r="AA298" s="1403">
        <f/>
        <v/>
      </c>
      <c r="AB298" s="1400">
        <f t="array" ref="AB298">_xlfn.LET(_xlpm.S,_xlfn.ANCHORARRAY($Y$4),_xlpm.r,ROWS(stayCity[[#Headers],[city]]:stayCity[[#This Row],[city]])-1,IF(_xlpm.r&lt;=ROWS(_xlpm.S),INDEX(_xlpm.S,_xlpm.r,1),""))</f>
        <v/>
      </c>
      <c r="AC298" s="1405">
        <f t="array" ref="AC298">_xlfn.LET(_xlpm.S,_xlfn.ANCHORARRAY($Y$4),_xlpm.r,ROWS(stayCity[[#Headers],[city]]:stayCity[[#This Row],[city]])-1,IF(_xlpm.r&lt;=ROWS(_xlpm.S),INDEX(_xlpm.S,_xlpm.r,2),""))</f>
        <v/>
      </c>
      <c r="AD298" s="1405">
        <f t="array" ref="AD298">_xlfn.LET(_xlpm.S,_xlfn.ANCHORARRAY($Y$4),_xlpm.r,ROWS(stayCity[[#Headers],[city]]:stayCity[[#This Row],[city]])-1,IF(_xlpm.r&lt;=ROWS(_xlpm.S),INDEX(_xlpm.S,_xlpm.r,3),""))</f>
        <v/>
      </c>
      <c r="AE298" s="1400">
        <f>IF(stayCity[[#This Row],[out]]&lt;&gt;"",stayCity[[#This Row],[out]]-stayCity[[#This Row],[in]],"-")</f>
        <v/>
      </c>
      <c r="AF298" s="1406">
        <f>IF(Y298="","-",YEAR(stayCity[[#This Row],[in]]))</f>
        <v/>
      </c>
      <c r="AG298" s="1398" t="inlineStr">
        <is>
          <t>.</t>
        </is>
      </c>
      <c r="AH298" s="1402" t="n"/>
      <c r="AI298" s="1420" t="n"/>
      <c r="AJ298" s="1420" t="n"/>
      <c r="AK298" s="1400">
        <f>IF(AH298="","-",AH298)</f>
        <v/>
      </c>
      <c r="AL298" s="1405">
        <f>AI298</f>
        <v/>
      </c>
      <c r="AM298" s="1405">
        <f>AJ298</f>
        <v/>
      </c>
      <c r="AN298" s="1400">
        <f>stayCtry[[#This Row],[out]]-stayCtry[[#This Row],[in]]</f>
        <v/>
      </c>
      <c r="AO298" s="1406">
        <f>IF(AI298&lt;&gt;"",AO297+1,AO297)</f>
        <v/>
      </c>
      <c r="AP298" s="1398" t="inlineStr">
        <is>
          <t>.</t>
        </is>
      </c>
      <c r="AQ298" s="1402" t="n"/>
      <c r="AR298" s="1403" t="n"/>
      <c r="AS298" s="1403" t="n"/>
      <c r="AT298" s="1400">
        <f>AQ298</f>
        <v/>
      </c>
      <c r="AU298" s="1405">
        <f>AR298</f>
        <v/>
      </c>
      <c r="AV298" s="1405">
        <f>AS298</f>
        <v/>
      </c>
      <c r="AW298" s="1400">
        <f>stayCont[[#This Row],[out]]-stayCont[[#This Row],[in]]</f>
        <v/>
      </c>
      <c r="AX298" s="1406">
        <f>IF(AR298&lt;&gt;"",AX297+1,AX297)</f>
        <v/>
      </c>
      <c r="AY298" s="1398" t="inlineStr">
        <is>
          <t>.</t>
        </is>
      </c>
      <c r="AZ298" s="1402" t="n"/>
      <c r="BA298" s="1403" t="n"/>
      <c r="BB298" s="1403" t="n"/>
      <c r="BC298" s="1405">
        <f>AZ298</f>
        <v/>
      </c>
      <c r="BD298" s="1405">
        <f>BA298</f>
        <v/>
      </c>
      <c r="BE298" s="1405">
        <f>BB298</f>
        <v/>
      </c>
      <c r="BF298" s="1400">
        <f>stayWB[[#This Row],[out]]-stayWB[[#This Row],[in]]</f>
        <v/>
      </c>
      <c r="BG298" s="1400">
        <f>IF(BB298&lt;&gt;"",BG297+1,BG297)</f>
        <v/>
      </c>
      <c r="BH298" s="1398" t="inlineStr">
        <is>
          <t>.</t>
        </is>
      </c>
      <c r="BI298" s="1402" t="n"/>
      <c r="BJ298" s="1402" t="n"/>
      <c r="BK298" s="1400">
        <f>BI298</f>
        <v/>
      </c>
      <c r="BL298" s="1409">
        <f>BJ298</f>
        <v/>
      </c>
      <c r="BM298" s="1378" t="inlineStr">
        <is>
          <t>.</t>
        </is>
      </c>
      <c r="BN298" s="1411" t="n"/>
      <c r="BO298" s="1400">
        <f>BN298</f>
        <v/>
      </c>
      <c r="BP298" s="1398" t="inlineStr">
        <is>
          <t>.</t>
        </is>
      </c>
      <c r="BQ298" s="1400">
        <f>IF(BR298&lt;&gt;"",BQ297+1,BQ297)</f>
        <v/>
      </c>
      <c r="BR298" s="1411" t="inlineStr">
        <is>
          <t>Montreal</t>
        </is>
      </c>
      <c r="BS298" s="1411" t="inlineStr">
        <is>
          <t>Vancouver</t>
        </is>
      </c>
      <c r="BT298" s="1412" t="inlineStr">
        <is>
          <t>Montreal-Vancouver</t>
        </is>
      </c>
      <c r="BU298" s="1412" t="n">
        <v>42507</v>
      </c>
      <c r="BV298" s="1398" t="inlineStr">
        <is>
          <t>.</t>
        </is>
      </c>
      <c r="BW298" s="1392" t="n"/>
      <c r="BX298" s="1392" t="n"/>
      <c r="BY298" s="1392" t="n"/>
      <c r="BZ298" s="1416" t="n"/>
      <c r="CA298" s="1392" t="n"/>
      <c r="CB298" s="1392" t="n"/>
      <c r="CC298" s="1392" t="n"/>
      <c r="CD298" s="1392" t="n"/>
      <c r="CE298" s="1392" t="n"/>
      <c r="CF298" s="1392" t="n"/>
      <c r="CG298" s="1392" t="n"/>
      <c r="CH298" s="1392" t="n"/>
      <c r="CI298" s="1392" t="n"/>
      <c r="CJ298" s="1392" t="n"/>
      <c r="CK298" s="1392" t="n"/>
      <c r="CL298" s="1392" t="n"/>
    </row>
    <row r="299">
      <c r="A299" s="5" t="inlineStr">
        <is>
          <t>.</t>
        </is>
      </c>
      <c r="B299" s="5" t="inlineStr">
        <is>
          <t>.</t>
        </is>
      </c>
      <c r="C299" s="1378">
        <f>IF(raw[[#This Row],[city]]="","-",IF(raw[[#This Row],[city]]="TODAY","-",C298+1))</f>
        <v/>
      </c>
      <c r="D299" s="1393" t="inlineStr">
        <is>
          <t>Boipeba</t>
        </is>
      </c>
      <c r="E299" s="1394" t="n">
        <v>34332</v>
      </c>
      <c r="F299" s="1394" t="n">
        <v>34335</v>
      </c>
      <c r="G299" s="1393" t="inlineStr">
        <is>
          <t>-</t>
        </is>
      </c>
      <c r="H299" s="1393">
        <f>H298</f>
        <v/>
      </c>
      <c r="I299" s="1393" t="inlineStr">
        <is>
          <t>-</t>
        </is>
      </c>
      <c r="J299" s="1393" t="inlineStr">
        <is>
          <t>-</t>
        </is>
      </c>
      <c r="K299" s="1395">
        <f>IF(raw[[#This Row],[city]]&lt;&gt;"",_xlfn.XLOOKUP($D299,ccc[city],ccc[prov],"-"),"-")</f>
        <v/>
      </c>
      <c r="L299" s="1395">
        <f>IF(raw[[#This Row],[city]]&lt;&gt;"",_xlfn.XLOOKUP($D299,ccc[city],ccc[ctry],"-"),"-")</f>
        <v/>
      </c>
      <c r="M299" s="1395">
        <f>IF(raw[[#This Row],[city]]&lt;&gt;"",_xlfn.XLOOKUP($D299,ccc[city],ccc[cont],"-"),"-")</f>
        <v/>
      </c>
      <c r="N299" s="1396">
        <f>IF(raw[[#This Row],[city]]="","-",IF(raw[[#This Row],[cont]]="B",raw[[#This Row],[cont]],"W"))</f>
        <v/>
      </c>
      <c r="O299" s="1397">
        <f>IF(raw[[#This Row],[out]]=0,0,IF(raw[[#This Row],[out]]=raw[[#This Row],[in]],0.01,raw[[#This Row],[out]]-raw[[#This Row],[in]]))</f>
        <v/>
      </c>
      <c r="P299" s="1397">
        <f>IF(raw[[#This Row],[in]]=0,0,MONTH(raw[[#This Row],[in]]))</f>
        <v/>
      </c>
      <c r="Q299" s="1397">
        <f>IF(raw[[#This Row],[in]]=0,0,YEAR(raw[[#This Row],[in]]))</f>
        <v/>
      </c>
      <c r="R299" s="1397">
        <f>INT(raw[[#This Row],[yr]]/10)*10</f>
        <v/>
      </c>
      <c r="S299" s="1395">
        <f>IF(raw[[#This Row],[city]]="","-",IF(raw[[#This Row],[city]]&lt;&gt;_xlfn.XLOOKUP(raw[[#This Row],[home]],homes[home],homes[city],"-"),1,0))</f>
        <v/>
      </c>
      <c r="T299" s="1398" t="inlineStr">
        <is>
          <t>.</t>
        </is>
      </c>
      <c r="U299" s="1399">
        <f>IF(raw[[#This Row],[wb]]="w",raw[[#This Row],[stay]]+U298,U298)</f>
        <v/>
      </c>
      <c r="V299" s="1400">
        <f>IF(raw[[#This Row],[out]]=0,V298,(raw[[#This Row],[out]]-E$5))</f>
        <v/>
      </c>
      <c r="W299" s="1401">
        <f>U299/V299</f>
        <v/>
      </c>
      <c r="X299" s="1378" t="inlineStr">
        <is>
          <t>.</t>
        </is>
      </c>
      <c r="Y299" s="1402">
        <f/>
        <v/>
      </c>
      <c r="Z299" s="1403">
        <f/>
        <v/>
      </c>
      <c r="AA299" s="1403">
        <f/>
        <v/>
      </c>
      <c r="AB299" s="1400">
        <f t="array" ref="AB299">_xlfn.LET(_xlpm.S,_xlfn.ANCHORARRAY($Y$4),_xlpm.r,ROWS(stayCity[[#Headers],[city]]:stayCity[[#This Row],[city]])-1,IF(_xlpm.r&lt;=ROWS(_xlpm.S),INDEX(_xlpm.S,_xlpm.r,1),""))</f>
        <v/>
      </c>
      <c r="AC299" s="1405">
        <f t="array" ref="AC299">_xlfn.LET(_xlpm.S,_xlfn.ANCHORARRAY($Y$4),_xlpm.r,ROWS(stayCity[[#Headers],[city]]:stayCity[[#This Row],[city]])-1,IF(_xlpm.r&lt;=ROWS(_xlpm.S),INDEX(_xlpm.S,_xlpm.r,2),""))</f>
        <v/>
      </c>
      <c r="AD299" s="1405">
        <f t="array" ref="AD299">_xlfn.LET(_xlpm.S,_xlfn.ANCHORARRAY($Y$4),_xlpm.r,ROWS(stayCity[[#Headers],[city]]:stayCity[[#This Row],[city]])-1,IF(_xlpm.r&lt;=ROWS(_xlpm.S),INDEX(_xlpm.S,_xlpm.r,3),""))</f>
        <v/>
      </c>
      <c r="AE299" s="1400">
        <f>IF(stayCity[[#This Row],[out]]&lt;&gt;"",stayCity[[#This Row],[out]]-stayCity[[#This Row],[in]],"-")</f>
        <v/>
      </c>
      <c r="AF299" s="1406">
        <f>IF(Y299="","-",YEAR(stayCity[[#This Row],[in]]))</f>
        <v/>
      </c>
      <c r="AG299" s="1398" t="inlineStr">
        <is>
          <t>.</t>
        </is>
      </c>
      <c r="AH299" s="1402" t="n"/>
      <c r="AI299" s="1420" t="n"/>
      <c r="AJ299" s="1420" t="n"/>
      <c r="AK299" s="1400">
        <f>IF(AH299="","-",AH299)</f>
        <v/>
      </c>
      <c r="AL299" s="1405">
        <f>AI299</f>
        <v/>
      </c>
      <c r="AM299" s="1405">
        <f>AJ299</f>
        <v/>
      </c>
      <c r="AN299" s="1400">
        <f>stayCtry[[#This Row],[out]]-stayCtry[[#This Row],[in]]</f>
        <v/>
      </c>
      <c r="AO299" s="1406">
        <f>IF(AI299&lt;&gt;"",AO298+1,AO298)</f>
        <v/>
      </c>
      <c r="AP299" s="1398" t="inlineStr">
        <is>
          <t>.</t>
        </is>
      </c>
      <c r="AQ299" s="1402" t="n"/>
      <c r="AR299" s="1403" t="n"/>
      <c r="AS299" s="1403" t="n"/>
      <c r="AT299" s="1400">
        <f>AQ299</f>
        <v/>
      </c>
      <c r="AU299" s="1405">
        <f>AR299</f>
        <v/>
      </c>
      <c r="AV299" s="1405">
        <f>AS299</f>
        <v/>
      </c>
      <c r="AW299" s="1400">
        <f>stayCont[[#This Row],[out]]-stayCont[[#This Row],[in]]</f>
        <v/>
      </c>
      <c r="AX299" s="1406">
        <f>IF(AR299&lt;&gt;"",AX298+1,AX298)</f>
        <v/>
      </c>
      <c r="AY299" s="1398" t="inlineStr">
        <is>
          <t>.</t>
        </is>
      </c>
      <c r="AZ299" s="1402" t="n"/>
      <c r="BA299" s="1403" t="n"/>
      <c r="BB299" s="1403" t="n"/>
      <c r="BC299" s="1405">
        <f>AZ299</f>
        <v/>
      </c>
      <c r="BD299" s="1405">
        <f>BA299</f>
        <v/>
      </c>
      <c r="BE299" s="1405">
        <f>BB299</f>
        <v/>
      </c>
      <c r="BF299" s="1400">
        <f>stayWB[[#This Row],[out]]-stayWB[[#This Row],[in]]</f>
        <v/>
      </c>
      <c r="BG299" s="1400">
        <f>IF(BB299&lt;&gt;"",BG298+1,BG298)</f>
        <v/>
      </c>
      <c r="BH299" s="1398" t="inlineStr">
        <is>
          <t>.</t>
        </is>
      </c>
      <c r="BI299" s="1402" t="n"/>
      <c r="BJ299" s="1402" t="n"/>
      <c r="BK299" s="1400">
        <f>BI299</f>
        <v/>
      </c>
      <c r="BL299" s="1409">
        <f>BJ299</f>
        <v/>
      </c>
      <c r="BM299" s="1378" t="inlineStr">
        <is>
          <t>.</t>
        </is>
      </c>
      <c r="BN299" s="1411" t="n"/>
      <c r="BO299" s="1400">
        <f>BN299</f>
        <v/>
      </c>
      <c r="BP299" s="1398" t="inlineStr">
        <is>
          <t>.</t>
        </is>
      </c>
      <c r="BQ299" s="1400">
        <f>IF(BR299&lt;&gt;"",BQ298+1,BQ298)</f>
        <v/>
      </c>
      <c r="BR299" s="1411" t="inlineStr">
        <is>
          <t>Vancouver</t>
        </is>
      </c>
      <c r="BS299" s="1411" t="inlineStr">
        <is>
          <t>Beijing</t>
        </is>
      </c>
      <c r="BT299" s="1412" t="inlineStr">
        <is>
          <t>Vancouver-Beijing</t>
        </is>
      </c>
      <c r="BU299" s="1412" t="n">
        <v>42507</v>
      </c>
      <c r="BV299" s="1398" t="inlineStr">
        <is>
          <t>.</t>
        </is>
      </c>
      <c r="BW299" s="1392" t="n"/>
      <c r="BX299" s="1392" t="n"/>
      <c r="BY299" s="1392" t="n"/>
      <c r="BZ299" s="1416" t="n"/>
      <c r="CA299" s="1392" t="n"/>
      <c r="CB299" s="1392" t="n"/>
      <c r="CC299" s="1392" t="n"/>
      <c r="CD299" s="1392" t="n"/>
      <c r="CE299" s="1392" t="n"/>
      <c r="CF299" s="1392" t="n"/>
      <c r="CG299" s="1392" t="n"/>
      <c r="CH299" s="1392" t="n"/>
      <c r="CI299" s="1392" t="n"/>
      <c r="CJ299" s="1392" t="n"/>
      <c r="CK299" s="1392" t="n"/>
      <c r="CL299" s="1392" t="n"/>
    </row>
    <row r="300">
      <c r="A300" s="5" t="inlineStr">
        <is>
          <t>.</t>
        </is>
      </c>
      <c r="B300" s="5" t="inlineStr">
        <is>
          <t>.</t>
        </is>
      </c>
      <c r="C300" s="1378">
        <f>IF(raw[[#This Row],[city]]="","-",IF(raw[[#This Row],[city]]="TODAY","-",C299+1))</f>
        <v/>
      </c>
      <c r="D300" s="1393" t="inlineStr">
        <is>
          <t>Boipeba</t>
        </is>
      </c>
      <c r="E300" s="1394" t="n">
        <v>34335</v>
      </c>
      <c r="F300" s="1394" t="n">
        <v>34336</v>
      </c>
      <c r="G300" s="1393" t="inlineStr">
        <is>
          <t>-</t>
        </is>
      </c>
      <c r="H300" s="1393">
        <f>H299</f>
        <v/>
      </c>
      <c r="I300" s="1393" t="inlineStr">
        <is>
          <t>-</t>
        </is>
      </c>
      <c r="J300" s="1393" t="inlineStr">
        <is>
          <t>REV</t>
        </is>
      </c>
      <c r="K300" s="1395">
        <f>IF(raw[[#This Row],[city]]&lt;&gt;"",_xlfn.XLOOKUP($D300,ccc[city],ccc[prov],"-"),"-")</f>
        <v/>
      </c>
      <c r="L300" s="1395">
        <f>IF(raw[[#This Row],[city]]&lt;&gt;"",_xlfn.XLOOKUP($D300,ccc[city],ccc[ctry],"-"),"-")</f>
        <v/>
      </c>
      <c r="M300" s="1395">
        <f>IF(raw[[#This Row],[city]]&lt;&gt;"",_xlfn.XLOOKUP($D300,ccc[city],ccc[cont],"-"),"-")</f>
        <v/>
      </c>
      <c r="N300" s="1396">
        <f>IF(raw[[#This Row],[city]]="","-",IF(raw[[#This Row],[cont]]="B",raw[[#This Row],[cont]],"W"))</f>
        <v/>
      </c>
      <c r="O300" s="1397">
        <f>IF(raw[[#This Row],[out]]=0,0,IF(raw[[#This Row],[out]]=raw[[#This Row],[in]],0.01,raw[[#This Row],[out]]-raw[[#This Row],[in]]))</f>
        <v/>
      </c>
      <c r="P300" s="1397">
        <f>IF(raw[[#This Row],[in]]=0,0,MONTH(raw[[#This Row],[in]]))</f>
        <v/>
      </c>
      <c r="Q300" s="1397">
        <f>IF(raw[[#This Row],[in]]=0,0,YEAR(raw[[#This Row],[in]]))</f>
        <v/>
      </c>
      <c r="R300" s="1397">
        <f>INT(raw[[#This Row],[yr]]/10)*10</f>
        <v/>
      </c>
      <c r="S300" s="1395">
        <f>IF(raw[[#This Row],[city]]="","-",IF(raw[[#This Row],[city]]&lt;&gt;_xlfn.XLOOKUP(raw[[#This Row],[home]],homes[home],homes[city],"-"),1,0))</f>
        <v/>
      </c>
      <c r="T300" s="1398" t="inlineStr">
        <is>
          <t>.</t>
        </is>
      </c>
      <c r="U300" s="1399">
        <f>IF(raw[[#This Row],[wb]]="w",raw[[#This Row],[stay]]+U299,U299)</f>
        <v/>
      </c>
      <c r="V300" s="1400">
        <f>IF(raw[[#This Row],[out]]=0,V299,(raw[[#This Row],[out]]-E$5))</f>
        <v/>
      </c>
      <c r="W300" s="1401">
        <f>U300/V300</f>
        <v/>
      </c>
      <c r="X300" s="1378" t="inlineStr">
        <is>
          <t>.</t>
        </is>
      </c>
      <c r="Y300" s="1402">
        <f/>
        <v/>
      </c>
      <c r="Z300" s="1403">
        <f/>
        <v/>
      </c>
      <c r="AA300" s="1403">
        <f/>
        <v/>
      </c>
      <c r="AB300" s="1400">
        <f t="array" ref="AB300">_xlfn.LET(_xlpm.S,_xlfn.ANCHORARRAY($Y$4),_xlpm.r,ROWS(stayCity[[#Headers],[city]]:stayCity[[#This Row],[city]])-1,IF(_xlpm.r&lt;=ROWS(_xlpm.S),INDEX(_xlpm.S,_xlpm.r,1),""))</f>
        <v/>
      </c>
      <c r="AC300" s="1405">
        <f t="array" ref="AC300">_xlfn.LET(_xlpm.S,_xlfn.ANCHORARRAY($Y$4),_xlpm.r,ROWS(stayCity[[#Headers],[city]]:stayCity[[#This Row],[city]])-1,IF(_xlpm.r&lt;=ROWS(_xlpm.S),INDEX(_xlpm.S,_xlpm.r,2),""))</f>
        <v/>
      </c>
      <c r="AD300" s="1405">
        <f t="array" ref="AD300">_xlfn.LET(_xlpm.S,_xlfn.ANCHORARRAY($Y$4),_xlpm.r,ROWS(stayCity[[#Headers],[city]]:stayCity[[#This Row],[city]])-1,IF(_xlpm.r&lt;=ROWS(_xlpm.S),INDEX(_xlpm.S,_xlpm.r,3),""))</f>
        <v/>
      </c>
      <c r="AE300" s="1400">
        <f>IF(stayCity[[#This Row],[out]]&lt;&gt;"",stayCity[[#This Row],[out]]-stayCity[[#This Row],[in]],"-")</f>
        <v/>
      </c>
      <c r="AF300" s="1406">
        <f>IF(Y300="","-",YEAR(stayCity[[#This Row],[in]]))</f>
        <v/>
      </c>
      <c r="AG300" s="1398" t="inlineStr">
        <is>
          <t>.</t>
        </is>
      </c>
      <c r="AH300" s="1402" t="n"/>
      <c r="AI300" s="1420" t="n"/>
      <c r="AJ300" s="1420" t="n"/>
      <c r="AK300" s="1400">
        <f>IF(AH300="","-",AH300)</f>
        <v/>
      </c>
      <c r="AL300" s="1405">
        <f>AI300</f>
        <v/>
      </c>
      <c r="AM300" s="1405">
        <f>AJ300</f>
        <v/>
      </c>
      <c r="AN300" s="1400">
        <f>stayCtry[[#This Row],[out]]-stayCtry[[#This Row],[in]]</f>
        <v/>
      </c>
      <c r="AO300" s="1406">
        <f>IF(AI300&lt;&gt;"",AO299+1,AO299)</f>
        <v/>
      </c>
      <c r="AP300" s="1398" t="inlineStr">
        <is>
          <t>.</t>
        </is>
      </c>
      <c r="AQ300" s="1402" t="n"/>
      <c r="AR300" s="1403" t="n"/>
      <c r="AS300" s="1403" t="n"/>
      <c r="AT300" s="1400">
        <f>AQ300</f>
        <v/>
      </c>
      <c r="AU300" s="1405">
        <f>AR300</f>
        <v/>
      </c>
      <c r="AV300" s="1405">
        <f>AS300</f>
        <v/>
      </c>
      <c r="AW300" s="1400">
        <f>stayCont[[#This Row],[out]]-stayCont[[#This Row],[in]]</f>
        <v/>
      </c>
      <c r="AX300" s="1406">
        <f>IF(AR300&lt;&gt;"",AX299+1,AX299)</f>
        <v/>
      </c>
      <c r="AY300" s="1398" t="inlineStr">
        <is>
          <t>.</t>
        </is>
      </c>
      <c r="AZ300" s="1402" t="n"/>
      <c r="BA300" s="1403" t="n"/>
      <c r="BB300" s="1403" t="n"/>
      <c r="BC300" s="1405">
        <f>AZ300</f>
        <v/>
      </c>
      <c r="BD300" s="1405">
        <f>BA300</f>
        <v/>
      </c>
      <c r="BE300" s="1405">
        <f>BB300</f>
        <v/>
      </c>
      <c r="BF300" s="1400">
        <f>stayWB[[#This Row],[out]]-stayWB[[#This Row],[in]]</f>
        <v/>
      </c>
      <c r="BG300" s="1400">
        <f>IF(BB300&lt;&gt;"",BG299+1,BG299)</f>
        <v/>
      </c>
      <c r="BH300" s="1398" t="inlineStr">
        <is>
          <t>.</t>
        </is>
      </c>
      <c r="BI300" s="1402" t="n"/>
      <c r="BJ300" s="1402" t="n"/>
      <c r="BK300" s="1400">
        <f>BI300</f>
        <v/>
      </c>
      <c r="BL300" s="1409">
        <f>BJ300</f>
        <v/>
      </c>
      <c r="BM300" s="1378" t="inlineStr">
        <is>
          <t>.</t>
        </is>
      </c>
      <c r="BN300" s="1411" t="n"/>
      <c r="BO300" s="1400">
        <f>BN300</f>
        <v/>
      </c>
      <c r="BP300" s="1398" t="inlineStr">
        <is>
          <t>.</t>
        </is>
      </c>
      <c r="BQ300" s="1400">
        <f>IF(BR300&lt;&gt;"",BQ299+1,BQ299)</f>
        <v/>
      </c>
      <c r="BR300" s="1411" t="inlineStr">
        <is>
          <t>Beijing</t>
        </is>
      </c>
      <c r="BS300" s="1411" t="inlineStr">
        <is>
          <t>Xi'An</t>
        </is>
      </c>
      <c r="BT300" s="1412" t="inlineStr">
        <is>
          <t>Beijing-Xi'An</t>
        </is>
      </c>
      <c r="BU300" s="1412" t="n">
        <v>42514</v>
      </c>
      <c r="BV300" s="1398" t="inlineStr">
        <is>
          <t>.</t>
        </is>
      </c>
      <c r="BW300" s="1392" t="n"/>
      <c r="BX300" s="1392" t="n"/>
      <c r="BY300" s="1392" t="n"/>
      <c r="BZ300" s="1416" t="n"/>
      <c r="CA300" s="1392" t="n"/>
      <c r="CB300" s="1392" t="n"/>
      <c r="CC300" s="1392" t="n"/>
      <c r="CD300" s="1392" t="n"/>
      <c r="CE300" s="1392" t="n"/>
      <c r="CF300" s="1392" t="n"/>
      <c r="CG300" s="1392" t="n"/>
      <c r="CH300" s="1392" t="n"/>
      <c r="CI300" s="1392" t="n"/>
      <c r="CJ300" s="1392" t="n"/>
      <c r="CK300" s="1392" t="n"/>
      <c r="CL300" s="1392" t="n"/>
    </row>
    <row r="301">
      <c r="A301" s="5" t="inlineStr">
        <is>
          <t>.</t>
        </is>
      </c>
      <c r="B301" s="5" t="inlineStr">
        <is>
          <t>.</t>
        </is>
      </c>
      <c r="C301" s="1378">
        <f>IF(raw[[#This Row],[city]]="","-",IF(raw[[#This Row],[city]]="TODAY","-",C300+1))</f>
        <v/>
      </c>
      <c r="D301" s="1393" t="inlineStr">
        <is>
          <t>SSA</t>
        </is>
      </c>
      <c r="E301" s="1394" t="n">
        <v>34336</v>
      </c>
      <c r="F301" s="1394" t="n">
        <v>34366</v>
      </c>
      <c r="G301" s="1393" t="inlineStr">
        <is>
          <t>-</t>
        </is>
      </c>
      <c r="H301" s="1393">
        <f>H300</f>
        <v/>
      </c>
      <c r="I301" s="1393" t="inlineStr">
        <is>
          <t>Ondina</t>
        </is>
      </c>
      <c r="J301" s="1393" t="inlineStr">
        <is>
          <t>-</t>
        </is>
      </c>
      <c r="K301" s="1395">
        <f>IF(raw[[#This Row],[city]]&lt;&gt;"",_xlfn.XLOOKUP($D301,ccc[city],ccc[prov],"-"),"-")</f>
        <v/>
      </c>
      <c r="L301" s="1395">
        <f>IF(raw[[#This Row],[city]]&lt;&gt;"",_xlfn.XLOOKUP($D301,ccc[city],ccc[ctry],"-"),"-")</f>
        <v/>
      </c>
      <c r="M301" s="1395">
        <f>IF(raw[[#This Row],[city]]&lt;&gt;"",_xlfn.XLOOKUP($D301,ccc[city],ccc[cont],"-"),"-")</f>
        <v/>
      </c>
      <c r="N301" s="1396">
        <f>IF(raw[[#This Row],[city]]="","-",IF(raw[[#This Row],[cont]]="B",raw[[#This Row],[cont]],"W"))</f>
        <v/>
      </c>
      <c r="O301" s="1397">
        <f>IF(raw[[#This Row],[out]]=0,0,IF(raw[[#This Row],[out]]=raw[[#This Row],[in]],0.01,raw[[#This Row],[out]]-raw[[#This Row],[in]]))</f>
        <v/>
      </c>
      <c r="P301" s="1397">
        <f>IF(raw[[#This Row],[in]]=0,0,MONTH(raw[[#This Row],[in]]))</f>
        <v/>
      </c>
      <c r="Q301" s="1397">
        <f>IF(raw[[#This Row],[in]]=0,0,YEAR(raw[[#This Row],[in]]))</f>
        <v/>
      </c>
      <c r="R301" s="1397">
        <f>INT(raw[[#This Row],[yr]]/10)*10</f>
        <v/>
      </c>
      <c r="S301" s="1395">
        <f>IF(raw[[#This Row],[city]]="","-",IF(raw[[#This Row],[city]]&lt;&gt;_xlfn.XLOOKUP(raw[[#This Row],[home]],homes[home],homes[city],"-"),1,0))</f>
        <v/>
      </c>
      <c r="T301" s="1398" t="inlineStr">
        <is>
          <t>.</t>
        </is>
      </c>
      <c r="U301" s="1399">
        <f>IF(raw[[#This Row],[wb]]="w",raw[[#This Row],[stay]]+U300,U300)</f>
        <v/>
      </c>
      <c r="V301" s="1400">
        <f>IF(raw[[#This Row],[out]]=0,V300,(raw[[#This Row],[out]]-E$5))</f>
        <v/>
      </c>
      <c r="W301" s="1401">
        <f>U301/V301</f>
        <v/>
      </c>
      <c r="X301" s="1378" t="inlineStr">
        <is>
          <t>.</t>
        </is>
      </c>
      <c r="Y301" s="1402">
        <f/>
        <v/>
      </c>
      <c r="Z301" s="1403">
        <f/>
        <v/>
      </c>
      <c r="AA301" s="1403">
        <f/>
        <v/>
      </c>
      <c r="AB301" s="1400">
        <f t="array" ref="AB301">_xlfn.LET(_xlpm.S,_xlfn.ANCHORARRAY($Y$4),_xlpm.r,ROWS(stayCity[[#Headers],[city]]:stayCity[[#This Row],[city]])-1,IF(_xlpm.r&lt;=ROWS(_xlpm.S),INDEX(_xlpm.S,_xlpm.r,1),""))</f>
        <v/>
      </c>
      <c r="AC301" s="1405">
        <f t="array" ref="AC301">_xlfn.LET(_xlpm.S,_xlfn.ANCHORARRAY($Y$4),_xlpm.r,ROWS(stayCity[[#Headers],[city]]:stayCity[[#This Row],[city]])-1,IF(_xlpm.r&lt;=ROWS(_xlpm.S),INDEX(_xlpm.S,_xlpm.r,2),""))</f>
        <v/>
      </c>
      <c r="AD301" s="1405">
        <f t="array" ref="AD301">_xlfn.LET(_xlpm.S,_xlfn.ANCHORARRAY($Y$4),_xlpm.r,ROWS(stayCity[[#Headers],[city]]:stayCity[[#This Row],[city]])-1,IF(_xlpm.r&lt;=ROWS(_xlpm.S),INDEX(_xlpm.S,_xlpm.r,3),""))</f>
        <v/>
      </c>
      <c r="AE301" s="1400">
        <f>IF(stayCity[[#This Row],[out]]&lt;&gt;"",stayCity[[#This Row],[out]]-stayCity[[#This Row],[in]],"-")</f>
        <v/>
      </c>
      <c r="AF301" s="1406">
        <f>IF(Y301="","-",YEAR(stayCity[[#This Row],[in]]))</f>
        <v/>
      </c>
      <c r="AG301" s="1398" t="inlineStr">
        <is>
          <t>.</t>
        </is>
      </c>
      <c r="AH301" s="1402" t="n"/>
      <c r="AI301" s="1420" t="n"/>
      <c r="AJ301" s="1420" t="n"/>
      <c r="AK301" s="1400">
        <f>IF(AH301="","-",AH301)</f>
        <v/>
      </c>
      <c r="AL301" s="1405">
        <f>AI301</f>
        <v/>
      </c>
      <c r="AM301" s="1405">
        <f>AJ301</f>
        <v/>
      </c>
      <c r="AN301" s="1400">
        <f>stayCtry[[#This Row],[out]]-stayCtry[[#This Row],[in]]</f>
        <v/>
      </c>
      <c r="AO301" s="1406">
        <f>IF(AI301&lt;&gt;"",AO300+1,AO300)</f>
        <v/>
      </c>
      <c r="AP301" s="1398" t="inlineStr">
        <is>
          <t>.</t>
        </is>
      </c>
      <c r="AQ301" s="1402" t="n"/>
      <c r="AR301" s="1403" t="n"/>
      <c r="AS301" s="1403" t="n"/>
      <c r="AT301" s="1400">
        <f>AQ301</f>
        <v/>
      </c>
      <c r="AU301" s="1405">
        <f>AR301</f>
        <v/>
      </c>
      <c r="AV301" s="1405">
        <f>AS301</f>
        <v/>
      </c>
      <c r="AW301" s="1400">
        <f>stayCont[[#This Row],[out]]-stayCont[[#This Row],[in]]</f>
        <v/>
      </c>
      <c r="AX301" s="1406">
        <f>IF(AR301&lt;&gt;"",AX300+1,AX300)</f>
        <v/>
      </c>
      <c r="AY301" s="1398" t="inlineStr">
        <is>
          <t>.</t>
        </is>
      </c>
      <c r="AZ301" s="1402" t="n"/>
      <c r="BA301" s="1403" t="n"/>
      <c r="BB301" s="1403" t="n"/>
      <c r="BC301" s="1405">
        <f>AZ301</f>
        <v/>
      </c>
      <c r="BD301" s="1405">
        <f>BA301</f>
        <v/>
      </c>
      <c r="BE301" s="1405">
        <f>BB301</f>
        <v/>
      </c>
      <c r="BF301" s="1400">
        <f>stayWB[[#This Row],[out]]-stayWB[[#This Row],[in]]</f>
        <v/>
      </c>
      <c r="BG301" s="1400">
        <f>IF(BB301&lt;&gt;"",BG300+1,BG300)</f>
        <v/>
      </c>
      <c r="BH301" s="1398" t="inlineStr">
        <is>
          <t>.</t>
        </is>
      </c>
      <c r="BI301" s="1402" t="n"/>
      <c r="BJ301" s="1402" t="n"/>
      <c r="BK301" s="1400">
        <f>BI301</f>
        <v/>
      </c>
      <c r="BL301" s="1409">
        <f>BJ301</f>
        <v/>
      </c>
      <c r="BM301" s="1378" t="inlineStr">
        <is>
          <t>.</t>
        </is>
      </c>
      <c r="BN301" s="1411" t="n"/>
      <c r="BO301" s="1400">
        <f>BN301</f>
        <v/>
      </c>
      <c r="BP301" s="1398" t="inlineStr">
        <is>
          <t>.</t>
        </is>
      </c>
      <c r="BQ301" s="1400">
        <f>IF(BR301&lt;&gt;"",BQ300+1,BQ300)</f>
        <v/>
      </c>
      <c r="BR301" s="1411" t="inlineStr">
        <is>
          <t>Xi'An</t>
        </is>
      </c>
      <c r="BS301" s="1411" t="inlineStr">
        <is>
          <t>Beijing</t>
        </is>
      </c>
      <c r="BT301" s="1412" t="inlineStr">
        <is>
          <t>Xi'An-Beijing</t>
        </is>
      </c>
      <c r="BU301" s="1412" t="n">
        <v>42516</v>
      </c>
      <c r="BV301" s="1398" t="inlineStr">
        <is>
          <t>.</t>
        </is>
      </c>
      <c r="BW301" s="1392" t="n"/>
      <c r="BX301" s="1392" t="n"/>
      <c r="BY301" s="1392" t="n"/>
      <c r="BZ301" s="1416" t="n"/>
      <c r="CA301" s="1392" t="n"/>
      <c r="CB301" s="1392" t="n"/>
      <c r="CC301" s="1392" t="n"/>
      <c r="CD301" s="1392" t="n"/>
      <c r="CE301" s="1392" t="n"/>
      <c r="CF301" s="1392" t="n"/>
      <c r="CG301" s="1392" t="n"/>
      <c r="CH301" s="1392" t="n"/>
      <c r="CI301" s="1392" t="n"/>
      <c r="CJ301" s="1392" t="n"/>
      <c r="CK301" s="1392" t="n"/>
      <c r="CL301" s="1392" t="n"/>
    </row>
    <row r="302">
      <c r="A302" s="5" t="inlineStr">
        <is>
          <t>.</t>
        </is>
      </c>
      <c r="B302" s="5" t="inlineStr">
        <is>
          <t>.</t>
        </is>
      </c>
      <c r="C302" s="1378">
        <f>IF(raw[[#This Row],[city]]="","-",IF(raw[[#This Row],[city]]="TODAY","-",C301+1))</f>
        <v/>
      </c>
      <c r="D302" s="1393" t="inlineStr">
        <is>
          <t>SSA</t>
        </is>
      </c>
      <c r="E302" s="1394" t="n">
        <v>34366</v>
      </c>
      <c r="F302" s="1394" t="n">
        <v>34394</v>
      </c>
      <c r="G302" s="1393" t="n">
        <v>1</v>
      </c>
      <c r="H302" s="1393">
        <f>H301</f>
        <v/>
      </c>
      <c r="I302" s="1393" t="inlineStr">
        <is>
          <t>Ondina</t>
        </is>
      </c>
      <c r="J302" s="1393" t="inlineStr">
        <is>
          <t>-</t>
        </is>
      </c>
      <c r="K302" s="1395">
        <f>IF(raw[[#This Row],[city]]&lt;&gt;"",_xlfn.XLOOKUP($D302,ccc[city],ccc[prov],"-"),"-")</f>
        <v/>
      </c>
      <c r="L302" s="1395">
        <f>IF(raw[[#This Row],[city]]&lt;&gt;"",_xlfn.XLOOKUP($D302,ccc[city],ccc[ctry],"-"),"-")</f>
        <v/>
      </c>
      <c r="M302" s="1395">
        <f>IF(raw[[#This Row],[city]]&lt;&gt;"",_xlfn.XLOOKUP($D302,ccc[city],ccc[cont],"-"),"-")</f>
        <v/>
      </c>
      <c r="N302" s="1396">
        <f>IF(raw[[#This Row],[city]]="","-",IF(raw[[#This Row],[cont]]="B",raw[[#This Row],[cont]],"W"))</f>
        <v/>
      </c>
      <c r="O302" s="1397">
        <f>IF(raw[[#This Row],[out]]=0,0,IF(raw[[#This Row],[out]]=raw[[#This Row],[in]],0.01,raw[[#This Row],[out]]-raw[[#This Row],[in]]))</f>
        <v/>
      </c>
      <c r="P302" s="1397">
        <f>IF(raw[[#This Row],[in]]=0,0,MONTH(raw[[#This Row],[in]]))</f>
        <v/>
      </c>
      <c r="Q302" s="1397">
        <f>IF(raw[[#This Row],[in]]=0,0,YEAR(raw[[#This Row],[in]]))</f>
        <v/>
      </c>
      <c r="R302" s="1397">
        <f>INT(raw[[#This Row],[yr]]/10)*10</f>
        <v/>
      </c>
      <c r="S302" s="1395">
        <f>IF(raw[[#This Row],[city]]="","-",IF(raw[[#This Row],[city]]&lt;&gt;_xlfn.XLOOKUP(raw[[#This Row],[home]],homes[home],homes[city],"-"),1,0))</f>
        <v/>
      </c>
      <c r="T302" s="1398" t="inlineStr">
        <is>
          <t>.</t>
        </is>
      </c>
      <c r="U302" s="1399">
        <f>IF(raw[[#This Row],[wb]]="w",raw[[#This Row],[stay]]+U301,U301)</f>
        <v/>
      </c>
      <c r="V302" s="1400">
        <f>IF(raw[[#This Row],[out]]=0,V301,(raw[[#This Row],[out]]-E$5))</f>
        <v/>
      </c>
      <c r="W302" s="1401">
        <f>U302/V302</f>
        <v/>
      </c>
      <c r="X302" s="1378" t="inlineStr">
        <is>
          <t>.</t>
        </is>
      </c>
      <c r="Y302" s="1402">
        <f/>
        <v/>
      </c>
      <c r="Z302" s="1403">
        <f/>
        <v/>
      </c>
      <c r="AA302" s="1403">
        <f/>
        <v/>
      </c>
      <c r="AB302" s="1400">
        <f t="array" ref="AB302">_xlfn.LET(_xlpm.S,_xlfn.ANCHORARRAY($Y$4),_xlpm.r,ROWS(stayCity[[#Headers],[city]]:stayCity[[#This Row],[city]])-1,IF(_xlpm.r&lt;=ROWS(_xlpm.S),INDEX(_xlpm.S,_xlpm.r,1),""))</f>
        <v/>
      </c>
      <c r="AC302" s="1405">
        <f t="array" ref="AC302">_xlfn.LET(_xlpm.S,_xlfn.ANCHORARRAY($Y$4),_xlpm.r,ROWS(stayCity[[#Headers],[city]]:stayCity[[#This Row],[city]])-1,IF(_xlpm.r&lt;=ROWS(_xlpm.S),INDEX(_xlpm.S,_xlpm.r,2),""))</f>
        <v/>
      </c>
      <c r="AD302" s="1405">
        <f t="array" ref="AD302">_xlfn.LET(_xlpm.S,_xlfn.ANCHORARRAY($Y$4),_xlpm.r,ROWS(stayCity[[#Headers],[city]]:stayCity[[#This Row],[city]])-1,IF(_xlpm.r&lt;=ROWS(_xlpm.S),INDEX(_xlpm.S,_xlpm.r,3),""))</f>
        <v/>
      </c>
      <c r="AE302" s="1400">
        <f>IF(stayCity[[#This Row],[out]]&lt;&gt;"",stayCity[[#This Row],[out]]-stayCity[[#This Row],[in]],"-")</f>
        <v/>
      </c>
      <c r="AF302" s="1406">
        <f>IF(Y302="","-",YEAR(stayCity[[#This Row],[in]]))</f>
        <v/>
      </c>
      <c r="AG302" s="1398" t="inlineStr">
        <is>
          <t>.</t>
        </is>
      </c>
      <c r="AH302" s="1402" t="n"/>
      <c r="AI302" s="1420" t="n"/>
      <c r="AJ302" s="1420" t="n"/>
      <c r="AK302" s="1400">
        <f>IF(AH302="","-",AH302)</f>
        <v/>
      </c>
      <c r="AL302" s="1405">
        <f>AI302</f>
        <v/>
      </c>
      <c r="AM302" s="1405">
        <f>AJ302</f>
        <v/>
      </c>
      <c r="AN302" s="1400">
        <f>stayCtry[[#This Row],[out]]-stayCtry[[#This Row],[in]]</f>
        <v/>
      </c>
      <c r="AO302" s="1406">
        <f>IF(AI302&lt;&gt;"",AO301+1,AO301)</f>
        <v/>
      </c>
      <c r="AP302" s="1398" t="inlineStr">
        <is>
          <t>.</t>
        </is>
      </c>
      <c r="AQ302" s="1402" t="n"/>
      <c r="AR302" s="1403" t="n"/>
      <c r="AS302" s="1403" t="n"/>
      <c r="AT302" s="1400">
        <f>AQ302</f>
        <v/>
      </c>
      <c r="AU302" s="1405">
        <f>AR302</f>
        <v/>
      </c>
      <c r="AV302" s="1405">
        <f>AS302</f>
        <v/>
      </c>
      <c r="AW302" s="1400">
        <f>stayCont[[#This Row],[out]]-stayCont[[#This Row],[in]]</f>
        <v/>
      </c>
      <c r="AX302" s="1406">
        <f>IF(AR302&lt;&gt;"",AX301+1,AX301)</f>
        <v/>
      </c>
      <c r="AY302" s="1398" t="inlineStr">
        <is>
          <t>.</t>
        </is>
      </c>
      <c r="AZ302" s="1402" t="n"/>
      <c r="BA302" s="1403" t="n"/>
      <c r="BB302" s="1403" t="n"/>
      <c r="BC302" s="1405">
        <f>AZ302</f>
        <v/>
      </c>
      <c r="BD302" s="1405">
        <f>BA302</f>
        <v/>
      </c>
      <c r="BE302" s="1405">
        <f>BB302</f>
        <v/>
      </c>
      <c r="BF302" s="1400">
        <f>stayWB[[#This Row],[out]]-stayWB[[#This Row],[in]]</f>
        <v/>
      </c>
      <c r="BG302" s="1400">
        <f>IF(BB302&lt;&gt;"",BG301+1,BG301)</f>
        <v/>
      </c>
      <c r="BH302" s="1398" t="inlineStr">
        <is>
          <t>.</t>
        </is>
      </c>
      <c r="BI302" s="1402" t="n"/>
      <c r="BJ302" s="1402" t="n"/>
      <c r="BK302" s="1400">
        <f>BI302</f>
        <v/>
      </c>
      <c r="BL302" s="1409">
        <f>BJ302</f>
        <v/>
      </c>
      <c r="BM302" s="1378" t="inlineStr">
        <is>
          <t>.</t>
        </is>
      </c>
      <c r="BN302" s="1411" t="n"/>
      <c r="BO302" s="1400">
        <f>BN302</f>
        <v/>
      </c>
      <c r="BP302" s="1398" t="inlineStr">
        <is>
          <t>.</t>
        </is>
      </c>
      <c r="BQ302" s="1400">
        <f>IF(BR302&lt;&gt;"",BQ301+1,BQ301)</f>
        <v/>
      </c>
      <c r="BR302" s="1411" t="inlineStr">
        <is>
          <t>Beijing</t>
        </is>
      </c>
      <c r="BS302" s="1411" t="inlineStr">
        <is>
          <t>Toronto</t>
        </is>
      </c>
      <c r="BT302" s="1412" t="inlineStr">
        <is>
          <t>Beijing-Toronto</t>
        </is>
      </c>
      <c r="BU302" s="1412" t="n">
        <v>42516</v>
      </c>
      <c r="BV302" s="1398" t="inlineStr">
        <is>
          <t>.</t>
        </is>
      </c>
      <c r="BW302" s="1392" t="n"/>
      <c r="BX302" s="1392" t="n"/>
      <c r="BY302" s="1392" t="n"/>
      <c r="BZ302" s="1416" t="n"/>
      <c r="CA302" s="1392" t="n"/>
      <c r="CB302" s="1392" t="n"/>
      <c r="CC302" s="1392" t="n"/>
      <c r="CD302" s="1392" t="n"/>
      <c r="CE302" s="1392" t="n"/>
      <c r="CF302" s="1392" t="n"/>
      <c r="CG302" s="1392" t="n"/>
      <c r="CH302" s="1392" t="n"/>
      <c r="CI302" s="1392" t="n"/>
      <c r="CJ302" s="1392" t="n"/>
      <c r="CK302" s="1392" t="n"/>
      <c r="CL302" s="1392" t="n"/>
    </row>
    <row r="303">
      <c r="A303" s="5" t="inlineStr">
        <is>
          <t>.</t>
        </is>
      </c>
      <c r="B303" s="5" t="inlineStr">
        <is>
          <t>.</t>
        </is>
      </c>
      <c r="C303" s="1378">
        <f>IF(raw[[#This Row],[city]]="","-",IF(raw[[#This Row],[city]]="TODAY","-",C302+1))</f>
        <v/>
      </c>
      <c r="D303" s="1393" t="inlineStr">
        <is>
          <t>SP</t>
        </is>
      </c>
      <c r="E303" s="1394" t="n">
        <v>34394</v>
      </c>
      <c r="F303" s="1394" t="n">
        <v>34425</v>
      </c>
      <c r="G303" s="1393" t="inlineStr">
        <is>
          <t>-</t>
        </is>
      </c>
      <c r="H303" s="1393">
        <f>H302</f>
        <v/>
      </c>
      <c r="I303" s="1393" t="inlineStr">
        <is>
          <t>-</t>
        </is>
      </c>
      <c r="J303" s="1393" t="inlineStr">
        <is>
          <t>-</t>
        </is>
      </c>
      <c r="K303" s="1395">
        <f>IF(raw[[#This Row],[city]]&lt;&gt;"",_xlfn.XLOOKUP($D303,ccc[city],ccc[prov],"-"),"-")</f>
        <v/>
      </c>
      <c r="L303" s="1395">
        <f>IF(raw[[#This Row],[city]]&lt;&gt;"",_xlfn.XLOOKUP($D303,ccc[city],ccc[ctry],"-"),"-")</f>
        <v/>
      </c>
      <c r="M303" s="1395">
        <f>IF(raw[[#This Row],[city]]&lt;&gt;"",_xlfn.XLOOKUP($D303,ccc[city],ccc[cont],"-"),"-")</f>
        <v/>
      </c>
      <c r="N303" s="1396">
        <f>IF(raw[[#This Row],[city]]="","-",IF(raw[[#This Row],[cont]]="B",raw[[#This Row],[cont]],"W"))</f>
        <v/>
      </c>
      <c r="O303" s="1397">
        <f>IF(raw[[#This Row],[out]]=0,0,IF(raw[[#This Row],[out]]=raw[[#This Row],[in]],0.01,raw[[#This Row],[out]]-raw[[#This Row],[in]]))</f>
        <v/>
      </c>
      <c r="P303" s="1397">
        <f>IF(raw[[#This Row],[in]]=0,0,MONTH(raw[[#This Row],[in]]))</f>
        <v/>
      </c>
      <c r="Q303" s="1397">
        <f>IF(raw[[#This Row],[in]]=0,0,YEAR(raw[[#This Row],[in]]))</f>
        <v/>
      </c>
      <c r="R303" s="1397">
        <f>INT(raw[[#This Row],[yr]]/10)*10</f>
        <v/>
      </c>
      <c r="S303" s="1395">
        <f>IF(raw[[#This Row],[city]]="","-",IF(raw[[#This Row],[city]]&lt;&gt;_xlfn.XLOOKUP(raw[[#This Row],[home]],homes[home],homes[city],"-"),1,0))</f>
        <v/>
      </c>
      <c r="T303" s="1398" t="inlineStr">
        <is>
          <t>.</t>
        </is>
      </c>
      <c r="U303" s="1399">
        <f>IF(raw[[#This Row],[wb]]="w",raw[[#This Row],[stay]]+U302,U302)</f>
        <v/>
      </c>
      <c r="V303" s="1400">
        <f>IF(raw[[#This Row],[out]]=0,V302,(raw[[#This Row],[out]]-E$5))</f>
        <v/>
      </c>
      <c r="W303" s="1401">
        <f>U303/V303</f>
        <v/>
      </c>
      <c r="X303" s="1378" t="inlineStr">
        <is>
          <t>.</t>
        </is>
      </c>
      <c r="Y303" s="1402">
        <f/>
        <v/>
      </c>
      <c r="Z303" s="1403">
        <f/>
        <v/>
      </c>
      <c r="AA303" s="1403">
        <f/>
        <v/>
      </c>
      <c r="AB303" s="1400">
        <f t="array" ref="AB303">_xlfn.LET(_xlpm.S,_xlfn.ANCHORARRAY($Y$4),_xlpm.r,ROWS(stayCity[[#Headers],[city]]:stayCity[[#This Row],[city]])-1,IF(_xlpm.r&lt;=ROWS(_xlpm.S),INDEX(_xlpm.S,_xlpm.r,1),""))</f>
        <v/>
      </c>
      <c r="AC303" s="1405">
        <f t="array" ref="AC303">_xlfn.LET(_xlpm.S,_xlfn.ANCHORARRAY($Y$4),_xlpm.r,ROWS(stayCity[[#Headers],[city]]:stayCity[[#This Row],[city]])-1,IF(_xlpm.r&lt;=ROWS(_xlpm.S),INDEX(_xlpm.S,_xlpm.r,2),""))</f>
        <v/>
      </c>
      <c r="AD303" s="1405">
        <f t="array" ref="AD303">_xlfn.LET(_xlpm.S,_xlfn.ANCHORARRAY($Y$4),_xlpm.r,ROWS(stayCity[[#Headers],[city]]:stayCity[[#This Row],[city]])-1,IF(_xlpm.r&lt;=ROWS(_xlpm.S),INDEX(_xlpm.S,_xlpm.r,3),""))</f>
        <v/>
      </c>
      <c r="AE303" s="1400">
        <f>IF(stayCity[[#This Row],[out]]&lt;&gt;"",stayCity[[#This Row],[out]]-stayCity[[#This Row],[in]],"-")</f>
        <v/>
      </c>
      <c r="AF303" s="1406">
        <f>IF(Y303="","-",YEAR(stayCity[[#This Row],[in]]))</f>
        <v/>
      </c>
      <c r="AG303" s="1398" t="inlineStr">
        <is>
          <t>.</t>
        </is>
      </c>
      <c r="AH303" s="1402" t="n"/>
      <c r="AI303" s="1420" t="n"/>
      <c r="AJ303" s="1420" t="n"/>
      <c r="AK303" s="1400">
        <f>IF(AH303="","-",AH303)</f>
        <v/>
      </c>
      <c r="AL303" s="1405">
        <f>AI303</f>
        <v/>
      </c>
      <c r="AM303" s="1405">
        <f>AJ303</f>
        <v/>
      </c>
      <c r="AN303" s="1400">
        <f>stayCtry[[#This Row],[out]]-stayCtry[[#This Row],[in]]</f>
        <v/>
      </c>
      <c r="AO303" s="1406">
        <f>IF(AI303&lt;&gt;"",AO302+1,AO302)</f>
        <v/>
      </c>
      <c r="AP303" s="1398" t="inlineStr">
        <is>
          <t>.</t>
        </is>
      </c>
      <c r="AQ303" s="1402" t="n"/>
      <c r="AR303" s="1403" t="n"/>
      <c r="AS303" s="1403" t="n"/>
      <c r="AT303" s="1400">
        <f>AQ303</f>
        <v/>
      </c>
      <c r="AU303" s="1405">
        <f>AR303</f>
        <v/>
      </c>
      <c r="AV303" s="1405">
        <f>AS303</f>
        <v/>
      </c>
      <c r="AW303" s="1400">
        <f>stayCont[[#This Row],[out]]-stayCont[[#This Row],[in]]</f>
        <v/>
      </c>
      <c r="AX303" s="1406">
        <f>IF(AR303&lt;&gt;"",AX302+1,AX302)</f>
        <v/>
      </c>
      <c r="AY303" s="1398" t="inlineStr">
        <is>
          <t>.</t>
        </is>
      </c>
      <c r="AZ303" s="1402" t="n"/>
      <c r="BA303" s="1403" t="n"/>
      <c r="BB303" s="1403" t="n"/>
      <c r="BC303" s="1405">
        <f>AZ303</f>
        <v/>
      </c>
      <c r="BD303" s="1405">
        <f>BA303</f>
        <v/>
      </c>
      <c r="BE303" s="1405">
        <f>BB303</f>
        <v/>
      </c>
      <c r="BF303" s="1400">
        <f>stayWB[[#This Row],[out]]-stayWB[[#This Row],[in]]</f>
        <v/>
      </c>
      <c r="BG303" s="1400">
        <f>IF(BB303&lt;&gt;"",BG302+1,BG302)</f>
        <v/>
      </c>
      <c r="BH303" s="1398" t="inlineStr">
        <is>
          <t>.</t>
        </is>
      </c>
      <c r="BI303" s="1402" t="n"/>
      <c r="BJ303" s="1402" t="n"/>
      <c r="BK303" s="1400">
        <f>BI303</f>
        <v/>
      </c>
      <c r="BL303" s="1409">
        <f>BJ303</f>
        <v/>
      </c>
      <c r="BM303" s="1378" t="inlineStr">
        <is>
          <t>.</t>
        </is>
      </c>
      <c r="BN303" s="1411" t="n"/>
      <c r="BO303" s="1400">
        <f>BN303</f>
        <v/>
      </c>
      <c r="BP303" s="1398" t="inlineStr">
        <is>
          <t>.</t>
        </is>
      </c>
      <c r="BQ303" s="1400">
        <f>IF(BR303&lt;&gt;"",BQ302+1,BQ302)</f>
        <v/>
      </c>
      <c r="BR303" s="1411" t="inlineStr">
        <is>
          <t>Toronto</t>
        </is>
      </c>
      <c r="BS303" s="1411" t="inlineStr">
        <is>
          <t>Montreal</t>
        </is>
      </c>
      <c r="BT303" s="1412" t="inlineStr">
        <is>
          <t>Toronto-Montreal</t>
        </is>
      </c>
      <c r="BU303" s="1412" t="n">
        <v>42516</v>
      </c>
      <c r="BV303" s="1398" t="inlineStr">
        <is>
          <t>.</t>
        </is>
      </c>
      <c r="BW303" s="1392" t="n"/>
      <c r="BX303" s="1392" t="n"/>
      <c r="BY303" s="1392" t="n"/>
      <c r="BZ303" s="1416" t="n"/>
      <c r="CA303" s="1392" t="n"/>
      <c r="CB303" s="1392" t="n"/>
      <c r="CC303" s="1392" t="n"/>
      <c r="CD303" s="1392" t="n"/>
      <c r="CE303" s="1392" t="n"/>
      <c r="CF303" s="1392" t="n"/>
      <c r="CG303" s="1392" t="n"/>
      <c r="CH303" s="1392" t="n"/>
      <c r="CI303" s="1392" t="n"/>
      <c r="CJ303" s="1392" t="n"/>
      <c r="CK303" s="1392" t="n"/>
      <c r="CL303" s="1392" t="n"/>
    </row>
    <row r="304">
      <c r="A304" s="5" t="inlineStr">
        <is>
          <t>.</t>
        </is>
      </c>
      <c r="B304" s="5" t="inlineStr">
        <is>
          <t>.</t>
        </is>
      </c>
      <c r="C304" s="1378">
        <f>IF(raw[[#This Row],[city]]="","-",IF(raw[[#This Row],[city]]="TODAY","-",C303+1))</f>
        <v/>
      </c>
      <c r="D304" s="1393" t="inlineStr">
        <is>
          <t>SP</t>
        </is>
      </c>
      <c r="E304" s="1394" t="n">
        <v>34425</v>
      </c>
      <c r="F304" s="1394" t="n">
        <v>34455</v>
      </c>
      <c r="G304" s="1393" t="inlineStr">
        <is>
          <t>-</t>
        </is>
      </c>
      <c r="H304" s="1393">
        <f>H303</f>
        <v/>
      </c>
      <c r="I304" s="1393" t="inlineStr">
        <is>
          <t>-</t>
        </is>
      </c>
      <c r="J304" s="1393" t="inlineStr">
        <is>
          <t>-</t>
        </is>
      </c>
      <c r="K304" s="1395">
        <f>IF(raw[[#This Row],[city]]&lt;&gt;"",_xlfn.XLOOKUP($D304,ccc[city],ccc[prov],"-"),"-")</f>
        <v/>
      </c>
      <c r="L304" s="1395">
        <f>IF(raw[[#This Row],[city]]&lt;&gt;"",_xlfn.XLOOKUP($D304,ccc[city],ccc[ctry],"-"),"-")</f>
        <v/>
      </c>
      <c r="M304" s="1395">
        <f>IF(raw[[#This Row],[city]]&lt;&gt;"",_xlfn.XLOOKUP($D304,ccc[city],ccc[cont],"-"),"-")</f>
        <v/>
      </c>
      <c r="N304" s="1396">
        <f>IF(raw[[#This Row],[city]]="","-",IF(raw[[#This Row],[cont]]="B",raw[[#This Row],[cont]],"W"))</f>
        <v/>
      </c>
      <c r="O304" s="1397">
        <f>IF(raw[[#This Row],[out]]=0,0,IF(raw[[#This Row],[out]]=raw[[#This Row],[in]],0.01,raw[[#This Row],[out]]-raw[[#This Row],[in]]))</f>
        <v/>
      </c>
      <c r="P304" s="1397">
        <f>IF(raw[[#This Row],[in]]=0,0,MONTH(raw[[#This Row],[in]]))</f>
        <v/>
      </c>
      <c r="Q304" s="1397">
        <f>IF(raw[[#This Row],[in]]=0,0,YEAR(raw[[#This Row],[in]]))</f>
        <v/>
      </c>
      <c r="R304" s="1397">
        <f>INT(raw[[#This Row],[yr]]/10)*10</f>
        <v/>
      </c>
      <c r="S304" s="1395">
        <f>IF(raw[[#This Row],[city]]="","-",IF(raw[[#This Row],[city]]&lt;&gt;_xlfn.XLOOKUP(raw[[#This Row],[home]],homes[home],homes[city],"-"),1,0))</f>
        <v/>
      </c>
      <c r="T304" s="1398" t="inlineStr">
        <is>
          <t>.</t>
        </is>
      </c>
      <c r="U304" s="1399">
        <f>IF(raw[[#This Row],[wb]]="w",raw[[#This Row],[stay]]+U303,U303)</f>
        <v/>
      </c>
      <c r="V304" s="1400">
        <f>IF(raw[[#This Row],[out]]=0,V303,(raw[[#This Row],[out]]-E$5))</f>
        <v/>
      </c>
      <c r="W304" s="1401">
        <f>U304/V304</f>
        <v/>
      </c>
      <c r="X304" s="1378" t="inlineStr">
        <is>
          <t>.</t>
        </is>
      </c>
      <c r="Y304" s="1402">
        <f/>
        <v/>
      </c>
      <c r="Z304" s="1403">
        <f/>
        <v/>
      </c>
      <c r="AA304" s="1403">
        <f/>
        <v/>
      </c>
      <c r="AB304" s="1400">
        <f t="array" ref="AB304">_xlfn.LET(_xlpm.S,_xlfn.ANCHORARRAY($Y$4),_xlpm.r,ROWS(stayCity[[#Headers],[city]]:stayCity[[#This Row],[city]])-1,IF(_xlpm.r&lt;=ROWS(_xlpm.S),INDEX(_xlpm.S,_xlpm.r,1),""))</f>
        <v/>
      </c>
      <c r="AC304" s="1405">
        <f t="array" ref="AC304">_xlfn.LET(_xlpm.S,_xlfn.ANCHORARRAY($Y$4),_xlpm.r,ROWS(stayCity[[#Headers],[city]]:stayCity[[#This Row],[city]])-1,IF(_xlpm.r&lt;=ROWS(_xlpm.S),INDEX(_xlpm.S,_xlpm.r,2),""))</f>
        <v/>
      </c>
      <c r="AD304" s="1405">
        <f t="array" ref="AD304">_xlfn.LET(_xlpm.S,_xlfn.ANCHORARRAY($Y$4),_xlpm.r,ROWS(stayCity[[#Headers],[city]]:stayCity[[#This Row],[city]])-1,IF(_xlpm.r&lt;=ROWS(_xlpm.S),INDEX(_xlpm.S,_xlpm.r,3),""))</f>
        <v/>
      </c>
      <c r="AE304" s="1400">
        <f>IF(stayCity[[#This Row],[out]]&lt;&gt;"",stayCity[[#This Row],[out]]-stayCity[[#This Row],[in]],"-")</f>
        <v/>
      </c>
      <c r="AF304" s="1406">
        <f>IF(Y304="","-",YEAR(stayCity[[#This Row],[in]]))</f>
        <v/>
      </c>
      <c r="AG304" s="1398" t="inlineStr">
        <is>
          <t>.</t>
        </is>
      </c>
      <c r="AH304" s="1402" t="n"/>
      <c r="AI304" s="1420" t="n"/>
      <c r="AJ304" s="1420" t="n"/>
      <c r="AK304" s="1400">
        <f>IF(AH304="","-",AH304)</f>
        <v/>
      </c>
      <c r="AL304" s="1405">
        <f>AI304</f>
        <v/>
      </c>
      <c r="AM304" s="1405">
        <f>AJ304</f>
        <v/>
      </c>
      <c r="AN304" s="1400">
        <f>stayCtry[[#This Row],[out]]-stayCtry[[#This Row],[in]]</f>
        <v/>
      </c>
      <c r="AO304" s="1406">
        <f>IF(AI304&lt;&gt;"",AO303+1,AO303)</f>
        <v/>
      </c>
      <c r="AP304" s="1398" t="inlineStr">
        <is>
          <t>.</t>
        </is>
      </c>
      <c r="AQ304" s="1402" t="n"/>
      <c r="AR304" s="1403" t="n"/>
      <c r="AS304" s="1403" t="n"/>
      <c r="AT304" s="1400">
        <f>AQ304</f>
        <v/>
      </c>
      <c r="AU304" s="1405">
        <f>AR304</f>
        <v/>
      </c>
      <c r="AV304" s="1405">
        <f>AS304</f>
        <v/>
      </c>
      <c r="AW304" s="1400">
        <f>stayCont[[#This Row],[out]]-stayCont[[#This Row],[in]]</f>
        <v/>
      </c>
      <c r="AX304" s="1406">
        <f>IF(AR304&lt;&gt;"",AX303+1,AX303)</f>
        <v/>
      </c>
      <c r="AY304" s="1398" t="inlineStr">
        <is>
          <t>.</t>
        </is>
      </c>
      <c r="AZ304" s="1402" t="n"/>
      <c r="BA304" s="1403" t="n"/>
      <c r="BB304" s="1403" t="n"/>
      <c r="BC304" s="1405">
        <f>AZ304</f>
        <v/>
      </c>
      <c r="BD304" s="1405">
        <f>BA304</f>
        <v/>
      </c>
      <c r="BE304" s="1405">
        <f>BB304</f>
        <v/>
      </c>
      <c r="BF304" s="1400">
        <f>stayWB[[#This Row],[out]]-stayWB[[#This Row],[in]]</f>
        <v/>
      </c>
      <c r="BG304" s="1400">
        <f>IF(BB304&lt;&gt;"",BG303+1,BG303)</f>
        <v/>
      </c>
      <c r="BH304" s="1398" t="inlineStr">
        <is>
          <t>.</t>
        </is>
      </c>
      <c r="BI304" s="1402" t="n"/>
      <c r="BJ304" s="1402" t="n"/>
      <c r="BK304" s="1400">
        <f>BI304</f>
        <v/>
      </c>
      <c r="BL304" s="1409">
        <f>BJ304</f>
        <v/>
      </c>
      <c r="BM304" s="1378" t="inlineStr">
        <is>
          <t>.</t>
        </is>
      </c>
      <c r="BN304" s="1411" t="n"/>
      <c r="BO304" s="1400">
        <f>BN304</f>
        <v/>
      </c>
      <c r="BP304" s="1398" t="inlineStr">
        <is>
          <t>.</t>
        </is>
      </c>
      <c r="BQ304" s="1400">
        <f>IF(BR304&lt;&gt;"",BQ303+1,BQ303)</f>
        <v/>
      </c>
      <c r="BR304" s="1411" t="inlineStr">
        <is>
          <t>Montreal</t>
        </is>
      </c>
      <c r="BS304" s="1411" t="inlineStr">
        <is>
          <t>London</t>
        </is>
      </c>
      <c r="BT304" s="1412" t="inlineStr">
        <is>
          <t>Montreal-London</t>
        </is>
      </c>
      <c r="BU304" s="1412" t="n">
        <v>43051</v>
      </c>
      <c r="BV304" s="1398" t="inlineStr">
        <is>
          <t>.</t>
        </is>
      </c>
      <c r="BW304" s="1392" t="n"/>
      <c r="BX304" s="1392" t="n"/>
      <c r="BY304" s="1392" t="n"/>
      <c r="BZ304" s="1416" t="n"/>
      <c r="CA304" s="1392" t="n"/>
      <c r="CB304" s="1392" t="n"/>
      <c r="CC304" s="1392" t="n"/>
      <c r="CD304" s="1392" t="n"/>
      <c r="CE304" s="1392" t="n"/>
      <c r="CF304" s="1392" t="n"/>
      <c r="CG304" s="1392" t="n"/>
      <c r="CH304" s="1392" t="n"/>
      <c r="CI304" s="1392" t="n"/>
      <c r="CJ304" s="1392" t="n"/>
      <c r="CK304" s="1392" t="n"/>
      <c r="CL304" s="1392" t="n"/>
    </row>
    <row r="305">
      <c r="A305" s="5" t="inlineStr">
        <is>
          <t>.</t>
        </is>
      </c>
      <c r="B305" s="5" t="inlineStr">
        <is>
          <t>.</t>
        </is>
      </c>
      <c r="C305" s="1378">
        <f>IF(raw[[#This Row],[city]]="","-",IF(raw[[#This Row],[city]]="TODAY","-",C304+1))</f>
        <v/>
      </c>
      <c r="D305" s="1393" t="inlineStr">
        <is>
          <t>SP</t>
        </is>
      </c>
      <c r="E305" s="1394" t="n">
        <v>34455</v>
      </c>
      <c r="F305" s="1394" t="n">
        <v>34478</v>
      </c>
      <c r="G305" s="1393" t="n">
        <v>1</v>
      </c>
      <c r="H305" s="1393">
        <f>H304</f>
        <v/>
      </c>
      <c r="I305" s="1393" t="inlineStr">
        <is>
          <t>-</t>
        </is>
      </c>
      <c r="J305" s="1393" t="inlineStr">
        <is>
          <t>-</t>
        </is>
      </c>
      <c r="K305" s="1395">
        <f>IF(raw[[#This Row],[city]]&lt;&gt;"",_xlfn.XLOOKUP($D305,ccc[city],ccc[prov],"-"),"-")</f>
        <v/>
      </c>
      <c r="L305" s="1395">
        <f>IF(raw[[#This Row],[city]]&lt;&gt;"",_xlfn.XLOOKUP($D305,ccc[city],ccc[ctry],"-"),"-")</f>
        <v/>
      </c>
      <c r="M305" s="1395">
        <f>IF(raw[[#This Row],[city]]&lt;&gt;"",_xlfn.XLOOKUP($D305,ccc[city],ccc[cont],"-"),"-")</f>
        <v/>
      </c>
      <c r="N305" s="1396">
        <f>IF(raw[[#This Row],[city]]="","-",IF(raw[[#This Row],[cont]]="B",raw[[#This Row],[cont]],"W"))</f>
        <v/>
      </c>
      <c r="O305" s="1397">
        <f>IF(raw[[#This Row],[out]]=0,0,IF(raw[[#This Row],[out]]=raw[[#This Row],[in]],0.01,raw[[#This Row],[out]]-raw[[#This Row],[in]]))</f>
        <v/>
      </c>
      <c r="P305" s="1397">
        <f>IF(raw[[#This Row],[in]]=0,0,MONTH(raw[[#This Row],[in]]))</f>
        <v/>
      </c>
      <c r="Q305" s="1397">
        <f>IF(raw[[#This Row],[in]]=0,0,YEAR(raw[[#This Row],[in]]))</f>
        <v/>
      </c>
      <c r="R305" s="1397">
        <f>INT(raw[[#This Row],[yr]]/10)*10</f>
        <v/>
      </c>
      <c r="S305" s="1395">
        <f>IF(raw[[#This Row],[city]]="","-",IF(raw[[#This Row],[city]]&lt;&gt;_xlfn.XLOOKUP(raw[[#This Row],[home]],homes[home],homes[city],"-"),1,0))</f>
        <v/>
      </c>
      <c r="T305" s="1398" t="inlineStr">
        <is>
          <t>.</t>
        </is>
      </c>
      <c r="U305" s="1399">
        <f>IF(raw[[#This Row],[wb]]="w",raw[[#This Row],[stay]]+U304,U304)</f>
        <v/>
      </c>
      <c r="V305" s="1400">
        <f>IF(raw[[#This Row],[out]]=0,V304,(raw[[#This Row],[out]]-E$5))</f>
        <v/>
      </c>
      <c r="W305" s="1401">
        <f>U305/V305</f>
        <v/>
      </c>
      <c r="X305" s="1378" t="inlineStr">
        <is>
          <t>.</t>
        </is>
      </c>
      <c r="Y305" s="1402">
        <f/>
        <v/>
      </c>
      <c r="Z305" s="1403">
        <f/>
        <v/>
      </c>
      <c r="AA305" s="1403">
        <f/>
        <v/>
      </c>
      <c r="AB305" s="1400">
        <f t="array" ref="AB305">_xlfn.LET(_xlpm.S,_xlfn.ANCHORARRAY($Y$4),_xlpm.r,ROWS(stayCity[[#Headers],[city]]:stayCity[[#This Row],[city]])-1,IF(_xlpm.r&lt;=ROWS(_xlpm.S),INDEX(_xlpm.S,_xlpm.r,1),""))</f>
        <v/>
      </c>
      <c r="AC305" s="1405">
        <f t="array" ref="AC305">_xlfn.LET(_xlpm.S,_xlfn.ANCHORARRAY($Y$4),_xlpm.r,ROWS(stayCity[[#Headers],[city]]:stayCity[[#This Row],[city]])-1,IF(_xlpm.r&lt;=ROWS(_xlpm.S),INDEX(_xlpm.S,_xlpm.r,2),""))</f>
        <v/>
      </c>
      <c r="AD305" s="1405">
        <f t="array" ref="AD305">_xlfn.LET(_xlpm.S,_xlfn.ANCHORARRAY($Y$4),_xlpm.r,ROWS(stayCity[[#Headers],[city]]:stayCity[[#This Row],[city]])-1,IF(_xlpm.r&lt;=ROWS(_xlpm.S),INDEX(_xlpm.S,_xlpm.r,3),""))</f>
        <v/>
      </c>
      <c r="AE305" s="1400">
        <f>IF(stayCity[[#This Row],[out]]&lt;&gt;"",stayCity[[#This Row],[out]]-stayCity[[#This Row],[in]],"-")</f>
        <v/>
      </c>
      <c r="AF305" s="1406">
        <f>IF(Y305="","-",YEAR(stayCity[[#This Row],[in]]))</f>
        <v/>
      </c>
      <c r="AG305" s="1398" t="inlineStr">
        <is>
          <t>.</t>
        </is>
      </c>
      <c r="AH305" s="1402" t="n"/>
      <c r="AI305" s="1420" t="n"/>
      <c r="AJ305" s="1420" t="n"/>
      <c r="AK305" s="1400">
        <f>IF(AH305="","-",AH305)</f>
        <v/>
      </c>
      <c r="AL305" s="1405">
        <f>AI305</f>
        <v/>
      </c>
      <c r="AM305" s="1405">
        <f>AJ305</f>
        <v/>
      </c>
      <c r="AN305" s="1400">
        <f>stayCtry[[#This Row],[out]]-stayCtry[[#This Row],[in]]</f>
        <v/>
      </c>
      <c r="AO305" s="1406">
        <f>IF(AI305&lt;&gt;"",AO304+1,AO304)</f>
        <v/>
      </c>
      <c r="AP305" s="1398" t="inlineStr">
        <is>
          <t>.</t>
        </is>
      </c>
      <c r="AQ305" s="1402" t="n"/>
      <c r="AR305" s="1403" t="n"/>
      <c r="AS305" s="1403" t="n"/>
      <c r="AT305" s="1400">
        <f>AQ305</f>
        <v/>
      </c>
      <c r="AU305" s="1405">
        <f>AR305</f>
        <v/>
      </c>
      <c r="AV305" s="1405">
        <f>AS305</f>
        <v/>
      </c>
      <c r="AW305" s="1400">
        <f>stayCont[[#This Row],[out]]-stayCont[[#This Row],[in]]</f>
        <v/>
      </c>
      <c r="AX305" s="1406">
        <f>IF(AR305&lt;&gt;"",AX304+1,AX304)</f>
        <v/>
      </c>
      <c r="AY305" s="1398" t="inlineStr">
        <is>
          <t>.</t>
        </is>
      </c>
      <c r="AZ305" s="1402" t="n"/>
      <c r="BA305" s="1403" t="n"/>
      <c r="BB305" s="1403" t="n"/>
      <c r="BC305" s="1405">
        <f>AZ305</f>
        <v/>
      </c>
      <c r="BD305" s="1405">
        <f>BA305</f>
        <v/>
      </c>
      <c r="BE305" s="1405">
        <f>BB305</f>
        <v/>
      </c>
      <c r="BF305" s="1400">
        <f>stayWB[[#This Row],[out]]-stayWB[[#This Row],[in]]</f>
        <v/>
      </c>
      <c r="BG305" s="1400">
        <f>IF(BB305&lt;&gt;"",BG304+1,BG304)</f>
        <v/>
      </c>
      <c r="BH305" s="1398" t="inlineStr">
        <is>
          <t>.</t>
        </is>
      </c>
      <c r="BI305" s="1402" t="n"/>
      <c r="BJ305" s="1402" t="n"/>
      <c r="BK305" s="1400">
        <f>BI305</f>
        <v/>
      </c>
      <c r="BL305" s="1421">
        <f>BJ305</f>
        <v/>
      </c>
      <c r="BM305" s="1378" t="inlineStr">
        <is>
          <t>.</t>
        </is>
      </c>
      <c r="BN305" s="1411" t="n"/>
      <c r="BO305" s="1400">
        <f>BN305</f>
        <v/>
      </c>
      <c r="BP305" s="1398" t="inlineStr">
        <is>
          <t>.</t>
        </is>
      </c>
      <c r="BQ305" s="1400">
        <f>IF(BR305&lt;&gt;"",BQ304+1,BQ304)</f>
        <v/>
      </c>
      <c r="BR305" s="1411" t="inlineStr">
        <is>
          <t>London</t>
        </is>
      </c>
      <c r="BS305" s="1411" t="inlineStr">
        <is>
          <t>Montreal</t>
        </is>
      </c>
      <c r="BT305" s="1412" t="inlineStr">
        <is>
          <t>London-Montreal</t>
        </is>
      </c>
      <c r="BU305" s="1412" t="n">
        <v>43061</v>
      </c>
      <c r="BV305" s="1398" t="inlineStr">
        <is>
          <t>.</t>
        </is>
      </c>
      <c r="BW305" s="1392" t="n"/>
      <c r="BX305" s="1392" t="n"/>
      <c r="BY305" s="1392" t="n"/>
      <c r="BZ305" s="1416" t="n"/>
      <c r="CA305" s="1392" t="n"/>
      <c r="CB305" s="1392" t="n"/>
      <c r="CC305" s="1392" t="n"/>
      <c r="CD305" s="1392" t="n"/>
      <c r="CE305" s="1392" t="n"/>
      <c r="CF305" s="1392" t="n"/>
      <c r="CG305" s="1392" t="n"/>
      <c r="CH305" s="1392" t="n"/>
      <c r="CI305" s="1392" t="n"/>
      <c r="CJ305" s="1392" t="n"/>
      <c r="CK305" s="1392" t="n"/>
      <c r="CL305" s="1392" t="n"/>
    </row>
    <row r="306">
      <c r="A306" s="5" t="inlineStr">
        <is>
          <t>.</t>
        </is>
      </c>
      <c r="B306" s="5" t="inlineStr">
        <is>
          <t>.</t>
        </is>
      </c>
      <c r="C306" s="1378">
        <f>IF(raw[[#This Row],[city]]="","-",IF(raw[[#This Row],[city]]="TODAY","-",C305+1))</f>
        <v/>
      </c>
      <c r="D306" s="1393" t="inlineStr">
        <is>
          <t>SSA</t>
        </is>
      </c>
      <c r="E306" s="1394" t="n">
        <v>34478</v>
      </c>
      <c r="F306" s="1394" t="n">
        <v>34486</v>
      </c>
      <c r="G306" s="1393" t="n">
        <v>1</v>
      </c>
      <c r="H306" s="1393">
        <f>H305</f>
        <v/>
      </c>
      <c r="I306" s="1393" t="inlineStr">
        <is>
          <t>Ondina</t>
        </is>
      </c>
      <c r="J306" s="1393" t="inlineStr">
        <is>
          <t>-</t>
        </is>
      </c>
      <c r="K306" s="1395">
        <f>IF(raw[[#This Row],[city]]&lt;&gt;"",_xlfn.XLOOKUP($D306,ccc[city],ccc[prov],"-"),"-")</f>
        <v/>
      </c>
      <c r="L306" s="1395">
        <f>IF(raw[[#This Row],[city]]&lt;&gt;"",_xlfn.XLOOKUP($D306,ccc[city],ccc[ctry],"-"),"-")</f>
        <v/>
      </c>
      <c r="M306" s="1395">
        <f>IF(raw[[#This Row],[city]]&lt;&gt;"",_xlfn.XLOOKUP($D306,ccc[city],ccc[cont],"-"),"-")</f>
        <v/>
      </c>
      <c r="N306" s="1396">
        <f>IF(raw[[#This Row],[city]]="","-",IF(raw[[#This Row],[cont]]="B",raw[[#This Row],[cont]],"W"))</f>
        <v/>
      </c>
      <c r="O306" s="1397">
        <f>IF(raw[[#This Row],[out]]=0,0,IF(raw[[#This Row],[out]]=raw[[#This Row],[in]],0.01,raw[[#This Row],[out]]-raw[[#This Row],[in]]))</f>
        <v/>
      </c>
      <c r="P306" s="1397">
        <f>IF(raw[[#This Row],[in]]=0,0,MONTH(raw[[#This Row],[in]]))</f>
        <v/>
      </c>
      <c r="Q306" s="1397">
        <f>IF(raw[[#This Row],[in]]=0,0,YEAR(raw[[#This Row],[in]]))</f>
        <v/>
      </c>
      <c r="R306" s="1397">
        <f>INT(raw[[#This Row],[yr]]/10)*10</f>
        <v/>
      </c>
      <c r="S306" s="1395">
        <f>IF(raw[[#This Row],[city]]="","-",IF(raw[[#This Row],[city]]&lt;&gt;_xlfn.XLOOKUP(raw[[#This Row],[home]],homes[home],homes[city],"-"),1,0))</f>
        <v/>
      </c>
      <c r="T306" s="1398" t="inlineStr">
        <is>
          <t>.</t>
        </is>
      </c>
      <c r="U306" s="1399">
        <f>IF(raw[[#This Row],[wb]]="w",raw[[#This Row],[stay]]+U305,U305)</f>
        <v/>
      </c>
      <c r="V306" s="1400">
        <f>IF(raw[[#This Row],[out]]=0,V305,(raw[[#This Row],[out]]-E$5))</f>
        <v/>
      </c>
      <c r="W306" s="1401">
        <f>U306/V306</f>
        <v/>
      </c>
      <c r="X306" s="1378" t="inlineStr">
        <is>
          <t>.</t>
        </is>
      </c>
      <c r="Y306" s="1402">
        <f/>
        <v/>
      </c>
      <c r="Z306" s="1403">
        <f/>
        <v/>
      </c>
      <c r="AA306" s="1403">
        <f/>
        <v/>
      </c>
      <c r="AB306" s="1400">
        <f t="array" ref="AB306">_xlfn.LET(_xlpm.S,_xlfn.ANCHORARRAY($Y$4),_xlpm.r,ROWS(stayCity[[#Headers],[city]]:stayCity[[#This Row],[city]])-1,IF(_xlpm.r&lt;=ROWS(_xlpm.S),INDEX(_xlpm.S,_xlpm.r,1),""))</f>
        <v/>
      </c>
      <c r="AC306" s="1405">
        <f t="array" ref="AC306">_xlfn.LET(_xlpm.S,_xlfn.ANCHORARRAY($Y$4),_xlpm.r,ROWS(stayCity[[#Headers],[city]]:stayCity[[#This Row],[city]])-1,IF(_xlpm.r&lt;=ROWS(_xlpm.S),INDEX(_xlpm.S,_xlpm.r,2),""))</f>
        <v/>
      </c>
      <c r="AD306" s="1405">
        <f t="array" ref="AD306">_xlfn.LET(_xlpm.S,_xlfn.ANCHORARRAY($Y$4),_xlpm.r,ROWS(stayCity[[#Headers],[city]]:stayCity[[#This Row],[city]])-1,IF(_xlpm.r&lt;=ROWS(_xlpm.S),INDEX(_xlpm.S,_xlpm.r,3),""))</f>
        <v/>
      </c>
      <c r="AE306" s="1400">
        <f>IF(stayCity[[#This Row],[out]]&lt;&gt;"",stayCity[[#This Row],[out]]-stayCity[[#This Row],[in]],"-")</f>
        <v/>
      </c>
      <c r="AF306" s="1406">
        <f>IF(Y306="","-",YEAR(stayCity[[#This Row],[in]]))</f>
        <v/>
      </c>
      <c r="AG306" s="1392" t="n"/>
      <c r="AH306" s="1392" t="n"/>
      <c r="AI306" s="1392" t="n"/>
      <c r="AJ306" s="1392" t="n"/>
      <c r="AK306" s="1392" t="n"/>
      <c r="AL306" s="1392" t="n"/>
      <c r="AM306" s="1392" t="n"/>
      <c r="AN306" s="1392" t="n"/>
      <c r="AO306" s="1392" t="n"/>
      <c r="AP306" s="1392" t="n"/>
      <c r="AQ306" s="1392" t="n"/>
      <c r="AR306" s="1392" t="n"/>
      <c r="AS306" s="1422" t="n"/>
      <c r="AT306" s="1392" t="n"/>
      <c r="AU306" s="1392" t="n"/>
      <c r="AV306" s="1392" t="n"/>
      <c r="AW306" s="1392" t="n"/>
      <c r="AX306" s="1392" t="n"/>
      <c r="AY306" s="1392" t="n"/>
      <c r="AZ306" s="1392" t="n"/>
      <c r="BA306" s="1392" t="n"/>
      <c r="BB306" s="1422" t="n"/>
      <c r="BC306" s="1392" t="n"/>
      <c r="BD306" s="1392" t="n"/>
      <c r="BE306" s="1392" t="n"/>
      <c r="BF306" s="1392" t="n"/>
      <c r="BG306" s="1392" t="n"/>
      <c r="BH306" s="1392" t="n"/>
      <c r="BI306" s="1392" t="n"/>
      <c r="BJ306" s="1392" t="n"/>
      <c r="BK306" s="1392" t="n"/>
      <c r="BL306" s="1392" t="n"/>
      <c r="BM306" s="1392" t="n"/>
      <c r="BN306" s="1392" t="n"/>
      <c r="BO306" s="1392" t="n"/>
      <c r="BP306" s="1398" t="inlineStr">
        <is>
          <t>.</t>
        </is>
      </c>
      <c r="BQ306" s="1400">
        <f>IF(BR306&lt;&gt;"",BQ305+1,BQ305)</f>
        <v/>
      </c>
      <c r="BR306" s="1411" t="inlineStr">
        <is>
          <t>Montreal</t>
        </is>
      </c>
      <c r="BS306" s="1411" t="inlineStr">
        <is>
          <t>Detroit</t>
        </is>
      </c>
      <c r="BT306" s="1412" t="inlineStr">
        <is>
          <t>Montreal-Detroit</t>
        </is>
      </c>
      <c r="BU306" s="1412" t="n">
        <v>43125</v>
      </c>
      <c r="BV306" s="1398" t="inlineStr">
        <is>
          <t>.</t>
        </is>
      </c>
      <c r="BW306" s="1392" t="n"/>
      <c r="BX306" s="1392" t="n"/>
      <c r="BY306" s="1392" t="n"/>
      <c r="BZ306" s="1416" t="n"/>
      <c r="CA306" s="1392" t="n"/>
      <c r="CB306" s="1392" t="n"/>
      <c r="CC306" s="1392" t="n"/>
      <c r="CD306" s="1392" t="n"/>
      <c r="CE306" s="1392" t="n"/>
      <c r="CF306" s="1392" t="n"/>
      <c r="CG306" s="1392" t="n"/>
      <c r="CH306" s="1392" t="n"/>
      <c r="CI306" s="1392" t="n"/>
      <c r="CJ306" s="1392" t="n"/>
      <c r="CK306" s="1392" t="n"/>
      <c r="CL306" s="1392" t="n"/>
    </row>
    <row r="307">
      <c r="A307" s="5" t="inlineStr">
        <is>
          <t>.</t>
        </is>
      </c>
      <c r="B307" s="5" t="inlineStr">
        <is>
          <t>.</t>
        </is>
      </c>
      <c r="C307" s="1378">
        <f>IF(raw[[#This Row],[city]]="","-",IF(raw[[#This Row],[city]]="TODAY","-",C306+1))</f>
        <v/>
      </c>
      <c r="D307" s="1393" t="inlineStr">
        <is>
          <t>SP</t>
        </is>
      </c>
      <c r="E307" s="1394" t="n">
        <v>34486</v>
      </c>
      <c r="F307" s="1394" t="n">
        <v>34516</v>
      </c>
      <c r="G307" s="1393" t="inlineStr">
        <is>
          <t>-</t>
        </is>
      </c>
      <c r="H307" s="1393">
        <f>H306</f>
        <v/>
      </c>
      <c r="I307" s="1393" t="inlineStr">
        <is>
          <t>-</t>
        </is>
      </c>
      <c r="J307" s="1393" t="inlineStr">
        <is>
          <t>-</t>
        </is>
      </c>
      <c r="K307" s="1395">
        <f>IF(raw[[#This Row],[city]]&lt;&gt;"",_xlfn.XLOOKUP($D307,ccc[city],ccc[prov],"-"),"-")</f>
        <v/>
      </c>
      <c r="L307" s="1395">
        <f>IF(raw[[#This Row],[city]]&lt;&gt;"",_xlfn.XLOOKUP($D307,ccc[city],ccc[ctry],"-"),"-")</f>
        <v/>
      </c>
      <c r="M307" s="1395">
        <f>IF(raw[[#This Row],[city]]&lt;&gt;"",_xlfn.XLOOKUP($D307,ccc[city],ccc[cont],"-"),"-")</f>
        <v/>
      </c>
      <c r="N307" s="1396">
        <f>IF(raw[[#This Row],[city]]="","-",IF(raw[[#This Row],[cont]]="B",raw[[#This Row],[cont]],"W"))</f>
        <v/>
      </c>
      <c r="O307" s="1397">
        <f>IF(raw[[#This Row],[out]]=0,0,IF(raw[[#This Row],[out]]=raw[[#This Row],[in]],0.01,raw[[#This Row],[out]]-raw[[#This Row],[in]]))</f>
        <v/>
      </c>
      <c r="P307" s="1397">
        <f>IF(raw[[#This Row],[in]]=0,0,MONTH(raw[[#This Row],[in]]))</f>
        <v/>
      </c>
      <c r="Q307" s="1397">
        <f>IF(raw[[#This Row],[in]]=0,0,YEAR(raw[[#This Row],[in]]))</f>
        <v/>
      </c>
      <c r="R307" s="1397">
        <f>INT(raw[[#This Row],[yr]]/10)*10</f>
        <v/>
      </c>
      <c r="S307" s="1395">
        <f>IF(raw[[#This Row],[city]]="","-",IF(raw[[#This Row],[city]]&lt;&gt;_xlfn.XLOOKUP(raw[[#This Row],[home]],homes[home],homes[city],"-"),1,0))</f>
        <v/>
      </c>
      <c r="T307" s="1398" t="inlineStr">
        <is>
          <t>.</t>
        </is>
      </c>
      <c r="U307" s="1399">
        <f>IF(raw[[#This Row],[wb]]="w",raw[[#This Row],[stay]]+U306,U306)</f>
        <v/>
      </c>
      <c r="V307" s="1400">
        <f>IF(raw[[#This Row],[out]]=0,V306,(raw[[#This Row],[out]]-E$5))</f>
        <v/>
      </c>
      <c r="W307" s="1401">
        <f>U307/V307</f>
        <v/>
      </c>
      <c r="X307" s="1378" t="inlineStr">
        <is>
          <t>.</t>
        </is>
      </c>
      <c r="Y307" s="1402">
        <f/>
        <v/>
      </c>
      <c r="Z307" s="1403">
        <f/>
        <v/>
      </c>
      <c r="AA307" s="1403">
        <f/>
        <v/>
      </c>
      <c r="AB307" s="1400">
        <f t="array" ref="AB307">_xlfn.LET(_xlpm.S,_xlfn.ANCHORARRAY($Y$4),_xlpm.r,ROWS(stayCity[[#Headers],[city]]:stayCity[[#This Row],[city]])-1,IF(_xlpm.r&lt;=ROWS(_xlpm.S),INDEX(_xlpm.S,_xlpm.r,1),""))</f>
        <v/>
      </c>
      <c r="AC307" s="1405">
        <f t="array" ref="AC307">_xlfn.LET(_xlpm.S,_xlfn.ANCHORARRAY($Y$4),_xlpm.r,ROWS(stayCity[[#Headers],[city]]:stayCity[[#This Row],[city]])-1,IF(_xlpm.r&lt;=ROWS(_xlpm.S),INDEX(_xlpm.S,_xlpm.r,2),""))</f>
        <v/>
      </c>
      <c r="AD307" s="1405">
        <f t="array" ref="AD307">_xlfn.LET(_xlpm.S,_xlfn.ANCHORARRAY($Y$4),_xlpm.r,ROWS(stayCity[[#Headers],[city]]:stayCity[[#This Row],[city]])-1,IF(_xlpm.r&lt;=ROWS(_xlpm.S),INDEX(_xlpm.S,_xlpm.r,3),""))</f>
        <v/>
      </c>
      <c r="AE307" s="1400">
        <f>IF(stayCity[[#This Row],[out]]&lt;&gt;"",stayCity[[#This Row],[out]]-stayCity[[#This Row],[in]],"-")</f>
        <v/>
      </c>
      <c r="AF307" s="1406">
        <f>IF(Y307="","-",YEAR(stayCity[[#This Row],[in]]))</f>
        <v/>
      </c>
      <c r="AG307" s="1392" t="n"/>
      <c r="AH307" s="1392" t="n"/>
      <c r="AI307" s="1392" t="n"/>
      <c r="AJ307" s="1392" t="n"/>
      <c r="AK307" s="1392" t="n"/>
      <c r="AL307" s="1392" t="n"/>
      <c r="AM307" s="1392" t="n"/>
      <c r="AN307" s="1392" t="n"/>
      <c r="AO307" s="1392" t="n"/>
      <c r="AP307" s="1392" t="n"/>
      <c r="AQ307" s="1392" t="n"/>
      <c r="AR307" s="1392" t="n"/>
      <c r="AS307" s="1422" t="n"/>
      <c r="AT307" s="1392" t="n"/>
      <c r="AU307" s="1392" t="n"/>
      <c r="AV307" s="1392" t="n"/>
      <c r="AW307" s="1392" t="n"/>
      <c r="AX307" s="1392" t="n"/>
      <c r="AY307" s="1392" t="n"/>
      <c r="AZ307" s="1392" t="n"/>
      <c r="BA307" s="1392" t="n"/>
      <c r="BB307" s="1422" t="n"/>
      <c r="BC307" s="1392" t="n"/>
      <c r="BD307" s="1392" t="n"/>
      <c r="BE307" s="1392" t="n"/>
      <c r="BF307" s="1392" t="n"/>
      <c r="BG307" s="1392" t="n"/>
      <c r="BH307" s="1392" t="n"/>
      <c r="BI307" s="1392" t="n"/>
      <c r="BJ307" s="1392" t="n"/>
      <c r="BK307" s="1392" t="n"/>
      <c r="BL307" s="1392" t="n"/>
      <c r="BM307" s="1392" t="n"/>
      <c r="BN307" s="1392" t="n"/>
      <c r="BO307" s="1392" t="n"/>
      <c r="BP307" s="1398" t="inlineStr">
        <is>
          <t>.</t>
        </is>
      </c>
      <c r="BQ307" s="1400">
        <f>IF(BR307&lt;&gt;"",BQ306+1,BQ306)</f>
        <v/>
      </c>
      <c r="BR307" s="1411" t="inlineStr">
        <is>
          <t>Detroit</t>
        </is>
      </c>
      <c r="BS307" s="1411" t="inlineStr">
        <is>
          <t>Orlando</t>
        </is>
      </c>
      <c r="BT307" s="1412" t="inlineStr">
        <is>
          <t>Detroit-Orlando</t>
        </is>
      </c>
      <c r="BU307" s="1412" t="n">
        <v>43125</v>
      </c>
      <c r="BV307" s="1398" t="inlineStr">
        <is>
          <t>.</t>
        </is>
      </c>
      <c r="BW307" s="1392" t="n"/>
      <c r="BX307" s="1392" t="n"/>
      <c r="BY307" s="1392" t="n"/>
      <c r="BZ307" s="1416" t="n"/>
      <c r="CA307" s="1392" t="n"/>
      <c r="CB307" s="1392" t="n"/>
      <c r="CC307" s="1392" t="n"/>
      <c r="CD307" s="1392" t="n"/>
      <c r="CE307" s="1392" t="n"/>
      <c r="CF307" s="1392" t="n"/>
      <c r="CG307" s="1392" t="n"/>
      <c r="CH307" s="1392" t="n"/>
      <c r="CI307" s="1392" t="n"/>
      <c r="CJ307" s="1392" t="n"/>
      <c r="CK307" s="1392" t="n"/>
      <c r="CL307" s="1392" t="n"/>
    </row>
    <row r="308">
      <c r="A308" s="5" t="inlineStr">
        <is>
          <t>.</t>
        </is>
      </c>
      <c r="B308" s="5" t="inlineStr">
        <is>
          <t>.</t>
        </is>
      </c>
      <c r="C308" s="1378">
        <f>IF(raw[[#This Row],[city]]="","-",IF(raw[[#This Row],[city]]="TODAY","-",C307+1))</f>
        <v/>
      </c>
      <c r="D308" s="1393" t="inlineStr">
        <is>
          <t>SP</t>
        </is>
      </c>
      <c r="E308" s="1394" t="n">
        <v>34517</v>
      </c>
      <c r="F308" s="1394" t="n">
        <v>34524</v>
      </c>
      <c r="G308" s="1393" t="n">
        <v>1</v>
      </c>
      <c r="H308" s="1393">
        <f>H307</f>
        <v/>
      </c>
      <c r="I308" s="1393" t="inlineStr">
        <is>
          <t>-</t>
        </is>
      </c>
      <c r="J308" s="1393" t="inlineStr">
        <is>
          <t>-</t>
        </is>
      </c>
      <c r="K308" s="1395">
        <f>IF(raw[[#This Row],[city]]&lt;&gt;"",_xlfn.XLOOKUP($D308,ccc[city],ccc[prov],"-"),"-")</f>
        <v/>
      </c>
      <c r="L308" s="1395">
        <f>IF(raw[[#This Row],[city]]&lt;&gt;"",_xlfn.XLOOKUP($D308,ccc[city],ccc[ctry],"-"),"-")</f>
        <v/>
      </c>
      <c r="M308" s="1395">
        <f>IF(raw[[#This Row],[city]]&lt;&gt;"",_xlfn.XLOOKUP($D308,ccc[city],ccc[cont],"-"),"-")</f>
        <v/>
      </c>
      <c r="N308" s="1396">
        <f>IF(raw[[#This Row],[city]]="","-",IF(raw[[#This Row],[cont]]="B",raw[[#This Row],[cont]],"W"))</f>
        <v/>
      </c>
      <c r="O308" s="1397">
        <f>IF(raw[[#This Row],[out]]=0,0,IF(raw[[#This Row],[out]]=raw[[#This Row],[in]],0.01,raw[[#This Row],[out]]-raw[[#This Row],[in]]))</f>
        <v/>
      </c>
      <c r="P308" s="1397">
        <f>IF(raw[[#This Row],[in]]=0,0,MONTH(raw[[#This Row],[in]]))</f>
        <v/>
      </c>
      <c r="Q308" s="1397">
        <f>IF(raw[[#This Row],[in]]=0,0,YEAR(raw[[#This Row],[in]]))</f>
        <v/>
      </c>
      <c r="R308" s="1397">
        <f>INT(raw[[#This Row],[yr]]/10)*10</f>
        <v/>
      </c>
      <c r="S308" s="1395">
        <f>IF(raw[[#This Row],[city]]="","-",IF(raw[[#This Row],[city]]&lt;&gt;_xlfn.XLOOKUP(raw[[#This Row],[home]],homes[home],homes[city],"-"),1,0))</f>
        <v/>
      </c>
      <c r="T308" s="1398" t="inlineStr">
        <is>
          <t>.</t>
        </is>
      </c>
      <c r="U308" s="1399">
        <f>IF(raw[[#This Row],[wb]]="w",raw[[#This Row],[stay]]+U307,U307)</f>
        <v/>
      </c>
      <c r="V308" s="1400">
        <f>IF(raw[[#This Row],[out]]=0,V307,(raw[[#This Row],[out]]-E$5))</f>
        <v/>
      </c>
      <c r="W308" s="1401">
        <f>U308/V308</f>
        <v/>
      </c>
      <c r="X308" s="1378" t="inlineStr">
        <is>
          <t>.</t>
        </is>
      </c>
      <c r="Y308" s="1402">
        <f/>
        <v/>
      </c>
      <c r="Z308" s="1403">
        <f/>
        <v/>
      </c>
      <c r="AA308" s="1403">
        <f/>
        <v/>
      </c>
      <c r="AB308" s="1400">
        <f t="array" ref="AB308">_xlfn.LET(_xlpm.S,_xlfn.ANCHORARRAY($Y$4),_xlpm.r,ROWS(stayCity[[#Headers],[city]]:stayCity[[#This Row],[city]])-1,IF(_xlpm.r&lt;=ROWS(_xlpm.S),INDEX(_xlpm.S,_xlpm.r,1),""))</f>
        <v/>
      </c>
      <c r="AC308" s="1405">
        <f t="array" ref="AC308">_xlfn.LET(_xlpm.S,_xlfn.ANCHORARRAY($Y$4),_xlpm.r,ROWS(stayCity[[#Headers],[city]]:stayCity[[#This Row],[city]])-1,IF(_xlpm.r&lt;=ROWS(_xlpm.S),INDEX(_xlpm.S,_xlpm.r,2),""))</f>
        <v/>
      </c>
      <c r="AD308" s="1405">
        <f t="array" ref="AD308">_xlfn.LET(_xlpm.S,_xlfn.ANCHORARRAY($Y$4),_xlpm.r,ROWS(stayCity[[#Headers],[city]]:stayCity[[#This Row],[city]])-1,IF(_xlpm.r&lt;=ROWS(_xlpm.S),INDEX(_xlpm.S,_xlpm.r,3),""))</f>
        <v/>
      </c>
      <c r="AE308" s="1400">
        <f>IF(stayCity[[#This Row],[out]]&lt;&gt;"",stayCity[[#This Row],[out]]-stayCity[[#This Row],[in]],"-")</f>
        <v/>
      </c>
      <c r="AF308" s="1406">
        <f>IF(Y308="","-",YEAR(stayCity[[#This Row],[in]]))</f>
        <v/>
      </c>
      <c r="AG308" s="1392" t="n"/>
      <c r="AH308" s="1392" t="n"/>
      <c r="AI308" s="1392" t="n"/>
      <c r="AJ308" s="1392" t="n"/>
      <c r="AK308" s="1392" t="n"/>
      <c r="AL308" s="1392" t="n"/>
      <c r="AM308" s="1392" t="n"/>
      <c r="AN308" s="1392" t="n"/>
      <c r="AO308" s="1392" t="n"/>
      <c r="AP308" s="1392" t="n"/>
      <c r="AQ308" s="1392" t="n"/>
      <c r="AR308" s="1392" t="n"/>
      <c r="AS308" s="1422" t="n"/>
      <c r="AT308" s="1392" t="n"/>
      <c r="AU308" s="1392" t="n"/>
      <c r="AV308" s="1392" t="n"/>
      <c r="AW308" s="1392" t="n"/>
      <c r="AX308" s="1392" t="n"/>
      <c r="AY308" s="1392" t="n"/>
      <c r="AZ308" s="1392" t="n"/>
      <c r="BA308" s="1392" t="n"/>
      <c r="BB308" s="1422" t="n"/>
      <c r="BC308" s="1392" t="n"/>
      <c r="BD308" s="1392" t="n"/>
      <c r="BE308" s="1392" t="n"/>
      <c r="BF308" s="1392" t="n"/>
      <c r="BG308" s="1392" t="n"/>
      <c r="BH308" s="1392" t="n"/>
      <c r="BI308" s="1392" t="n"/>
      <c r="BJ308" s="1392" t="n"/>
      <c r="BK308" s="1392" t="n"/>
      <c r="BL308" s="1392" t="n"/>
      <c r="BM308" s="1392" t="n"/>
      <c r="BN308" s="1392" t="n"/>
      <c r="BO308" s="1392" t="n"/>
      <c r="BP308" s="1398" t="inlineStr">
        <is>
          <t>.</t>
        </is>
      </c>
      <c r="BQ308" s="1400">
        <f>IF(BR308&lt;&gt;"",BQ307+1,BQ307)</f>
        <v/>
      </c>
      <c r="BR308" s="1411" t="inlineStr">
        <is>
          <t>Orlando</t>
        </is>
      </c>
      <c r="BS308" s="1411" t="inlineStr">
        <is>
          <t>NYC</t>
        </is>
      </c>
      <c r="BT308" s="1412" t="inlineStr">
        <is>
          <t>Orlando-NYC</t>
        </is>
      </c>
      <c r="BU308" s="1412" t="n">
        <v>43136</v>
      </c>
      <c r="BV308" s="1398" t="inlineStr">
        <is>
          <t>.</t>
        </is>
      </c>
      <c r="BW308" s="1392" t="n"/>
      <c r="BX308" s="1392" t="n"/>
      <c r="BY308" s="1392" t="n"/>
      <c r="BZ308" s="1416" t="n"/>
      <c r="CA308" s="1392" t="n"/>
      <c r="CB308" s="1392" t="n"/>
      <c r="CC308" s="1392" t="n"/>
      <c r="CD308" s="1392" t="n"/>
      <c r="CE308" s="1392" t="n"/>
      <c r="CF308" s="1392" t="n"/>
      <c r="CG308" s="1392" t="n"/>
      <c r="CH308" s="1392" t="n"/>
      <c r="CI308" s="1392" t="n"/>
      <c r="CJ308" s="1392" t="n"/>
      <c r="CK308" s="1392" t="n"/>
      <c r="CL308" s="1392" t="n"/>
    </row>
    <row r="309">
      <c r="A309" s="5" t="inlineStr">
        <is>
          <t>.</t>
        </is>
      </c>
      <c r="B309" s="5" t="inlineStr">
        <is>
          <t>.</t>
        </is>
      </c>
      <c r="C309" s="1378">
        <f>IF(raw[[#This Row],[city]]="","-",IF(raw[[#This Row],[city]]="TODAY","-",C308+1))</f>
        <v/>
      </c>
      <c r="D309" s="1393" t="inlineStr">
        <is>
          <t>SSA</t>
        </is>
      </c>
      <c r="E309" s="1394" t="n">
        <v>34524</v>
      </c>
      <c r="F309" s="1394" t="n">
        <v>34548</v>
      </c>
      <c r="G309" s="1393" t="n">
        <v>1</v>
      </c>
      <c r="H309" s="1393">
        <f>H308</f>
        <v/>
      </c>
      <c r="I309" s="1393" t="inlineStr">
        <is>
          <t>Ondina</t>
        </is>
      </c>
      <c r="J309" s="1393" t="inlineStr">
        <is>
          <t>-</t>
        </is>
      </c>
      <c r="K309" s="1395">
        <f>IF(raw[[#This Row],[city]]&lt;&gt;"",_xlfn.XLOOKUP($D309,ccc[city],ccc[prov],"-"),"-")</f>
        <v/>
      </c>
      <c r="L309" s="1395">
        <f>IF(raw[[#This Row],[city]]&lt;&gt;"",_xlfn.XLOOKUP($D309,ccc[city],ccc[ctry],"-"),"-")</f>
        <v/>
      </c>
      <c r="M309" s="1395">
        <f>IF(raw[[#This Row],[city]]&lt;&gt;"",_xlfn.XLOOKUP($D309,ccc[city],ccc[cont],"-"),"-")</f>
        <v/>
      </c>
      <c r="N309" s="1396">
        <f>IF(raw[[#This Row],[city]]="","-",IF(raw[[#This Row],[cont]]="B",raw[[#This Row],[cont]],"W"))</f>
        <v/>
      </c>
      <c r="O309" s="1397">
        <f>IF(raw[[#This Row],[out]]=0,0,IF(raw[[#This Row],[out]]=raw[[#This Row],[in]],0.01,raw[[#This Row],[out]]-raw[[#This Row],[in]]))</f>
        <v/>
      </c>
      <c r="P309" s="1397">
        <f>IF(raw[[#This Row],[in]]=0,0,MONTH(raw[[#This Row],[in]]))</f>
        <v/>
      </c>
      <c r="Q309" s="1397">
        <f>IF(raw[[#This Row],[in]]=0,0,YEAR(raw[[#This Row],[in]]))</f>
        <v/>
      </c>
      <c r="R309" s="1397">
        <f>INT(raw[[#This Row],[yr]]/10)*10</f>
        <v/>
      </c>
      <c r="S309" s="1395">
        <f>IF(raw[[#This Row],[city]]="","-",IF(raw[[#This Row],[city]]&lt;&gt;_xlfn.XLOOKUP(raw[[#This Row],[home]],homes[home],homes[city],"-"),1,0))</f>
        <v/>
      </c>
      <c r="T309" s="1398" t="inlineStr">
        <is>
          <t>.</t>
        </is>
      </c>
      <c r="U309" s="1399">
        <f>IF(raw[[#This Row],[wb]]="w",raw[[#This Row],[stay]]+U308,U308)</f>
        <v/>
      </c>
      <c r="V309" s="1400">
        <f>IF(raw[[#This Row],[out]]=0,V308,(raw[[#This Row],[out]]-E$5))</f>
        <v/>
      </c>
      <c r="W309" s="1401">
        <f>U309/V309</f>
        <v/>
      </c>
      <c r="X309" s="1378" t="inlineStr">
        <is>
          <t>.</t>
        </is>
      </c>
      <c r="Y309" s="1402">
        <f/>
        <v/>
      </c>
      <c r="Z309" s="1403">
        <f/>
        <v/>
      </c>
      <c r="AA309" s="1403">
        <f/>
        <v/>
      </c>
      <c r="AB309" s="1400">
        <f t="array" ref="AB309">_xlfn.LET(_xlpm.S,_xlfn.ANCHORARRAY($Y$4),_xlpm.r,ROWS(stayCity[[#Headers],[city]]:stayCity[[#This Row],[city]])-1,IF(_xlpm.r&lt;=ROWS(_xlpm.S),INDEX(_xlpm.S,_xlpm.r,1),""))</f>
        <v/>
      </c>
      <c r="AC309" s="1405">
        <f t="array" ref="AC309">_xlfn.LET(_xlpm.S,_xlfn.ANCHORARRAY($Y$4),_xlpm.r,ROWS(stayCity[[#Headers],[city]]:stayCity[[#This Row],[city]])-1,IF(_xlpm.r&lt;=ROWS(_xlpm.S),INDEX(_xlpm.S,_xlpm.r,2),""))</f>
        <v/>
      </c>
      <c r="AD309" s="1405">
        <f t="array" ref="AD309">_xlfn.LET(_xlpm.S,_xlfn.ANCHORARRAY($Y$4),_xlpm.r,ROWS(stayCity[[#Headers],[city]]:stayCity[[#This Row],[city]])-1,IF(_xlpm.r&lt;=ROWS(_xlpm.S),INDEX(_xlpm.S,_xlpm.r,3),""))</f>
        <v/>
      </c>
      <c r="AE309" s="1400">
        <f>IF(stayCity[[#This Row],[out]]&lt;&gt;"",stayCity[[#This Row],[out]]-stayCity[[#This Row],[in]],"-")</f>
        <v/>
      </c>
      <c r="AF309" s="1406">
        <f>IF(Y309="","-",YEAR(stayCity[[#This Row],[in]]))</f>
        <v/>
      </c>
      <c r="AG309" s="1392" t="n"/>
      <c r="AH309" s="1392" t="n"/>
      <c r="AI309" s="1392" t="n"/>
      <c r="AJ309" s="1392" t="n"/>
      <c r="AK309" s="1392" t="n"/>
      <c r="AL309" s="1392" t="n"/>
      <c r="AM309" s="1392" t="n"/>
      <c r="AN309" s="1392" t="n"/>
      <c r="AO309" s="1392" t="n"/>
      <c r="AP309" s="1392" t="n"/>
      <c r="AQ309" s="1392" t="n"/>
      <c r="AR309" s="1392" t="n"/>
      <c r="AS309" s="1422" t="n"/>
      <c r="AT309" s="1392" t="n"/>
      <c r="AU309" s="1392" t="n"/>
      <c r="AV309" s="1392" t="n"/>
      <c r="AW309" s="1392" t="n"/>
      <c r="AX309" s="1392" t="n"/>
      <c r="AY309" s="1392" t="n"/>
      <c r="AZ309" s="1392" t="n"/>
      <c r="BA309" s="1392" t="n"/>
      <c r="BB309" s="1422" t="n"/>
      <c r="BC309" s="1392" t="n"/>
      <c r="BD309" s="1392" t="n"/>
      <c r="BE309" s="1392" t="n"/>
      <c r="BF309" s="1392" t="n"/>
      <c r="BG309" s="1392" t="n"/>
      <c r="BH309" s="1392" t="n"/>
      <c r="BI309" s="1392" t="n"/>
      <c r="BJ309" s="1392" t="n"/>
      <c r="BK309" s="1392" t="n"/>
      <c r="BL309" s="1392" t="n"/>
      <c r="BM309" s="1392" t="n"/>
      <c r="BN309" s="1392" t="n"/>
      <c r="BO309" s="1392" t="n"/>
      <c r="BP309" s="1398" t="inlineStr">
        <is>
          <t>.</t>
        </is>
      </c>
      <c r="BQ309" s="1400">
        <f>IF(BR309&lt;&gt;"",BQ308+1,BQ308)</f>
        <v/>
      </c>
      <c r="BR309" s="1411" t="inlineStr">
        <is>
          <t>NYC</t>
        </is>
      </c>
      <c r="BS309" s="1411" t="inlineStr">
        <is>
          <t>Montreal</t>
        </is>
      </c>
      <c r="BT309" s="1412" t="inlineStr">
        <is>
          <t>NYC-Montreal</t>
        </is>
      </c>
      <c r="BU309" s="1412" t="n">
        <v>43136</v>
      </c>
      <c r="BV309" s="1398" t="inlineStr">
        <is>
          <t>.</t>
        </is>
      </c>
      <c r="BW309" s="1392" t="n"/>
      <c r="BX309" s="1392" t="n"/>
      <c r="BY309" s="1392" t="n"/>
      <c r="BZ309" s="1416" t="n"/>
      <c r="CA309" s="1392" t="n"/>
      <c r="CB309" s="1392" t="n"/>
      <c r="CC309" s="1392" t="n"/>
      <c r="CD309" s="1392" t="n"/>
      <c r="CE309" s="1392" t="n"/>
      <c r="CF309" s="1392" t="n"/>
      <c r="CG309" s="1392" t="n"/>
      <c r="CH309" s="1392" t="n"/>
      <c r="CI309" s="1392" t="n"/>
      <c r="CJ309" s="1392" t="n"/>
      <c r="CK309" s="1392" t="n"/>
      <c r="CL309" s="1392" t="n"/>
    </row>
    <row r="310">
      <c r="A310" s="5" t="inlineStr">
        <is>
          <t>.</t>
        </is>
      </c>
      <c r="B310" s="5" t="inlineStr">
        <is>
          <t>.</t>
        </is>
      </c>
      <c r="C310" s="1378">
        <f>IF(raw[[#This Row],[city]]="","-",IF(raw[[#This Row],[city]]="TODAY","-",C309+1))</f>
        <v/>
      </c>
      <c r="D310" s="1393" t="inlineStr">
        <is>
          <t>SP</t>
        </is>
      </c>
      <c r="E310" s="1394" t="n">
        <v>34548</v>
      </c>
      <c r="F310" s="1394" t="n">
        <v>34564</v>
      </c>
      <c r="G310" s="1393" t="n">
        <v>1</v>
      </c>
      <c r="H310" s="1393">
        <f>H309</f>
        <v/>
      </c>
      <c r="I310" s="1393" t="inlineStr">
        <is>
          <t>-</t>
        </is>
      </c>
      <c r="J310" s="1393" t="inlineStr">
        <is>
          <t>-</t>
        </is>
      </c>
      <c r="K310" s="1395">
        <f>IF(raw[[#This Row],[city]]&lt;&gt;"",_xlfn.XLOOKUP($D310,ccc[city],ccc[prov],"-"),"-")</f>
        <v/>
      </c>
      <c r="L310" s="1395">
        <f>IF(raw[[#This Row],[city]]&lt;&gt;"",_xlfn.XLOOKUP($D310,ccc[city],ccc[ctry],"-"),"-")</f>
        <v/>
      </c>
      <c r="M310" s="1395">
        <f>IF(raw[[#This Row],[city]]&lt;&gt;"",_xlfn.XLOOKUP($D310,ccc[city],ccc[cont],"-"),"-")</f>
        <v/>
      </c>
      <c r="N310" s="1396">
        <f>IF(raw[[#This Row],[city]]="","-",IF(raw[[#This Row],[cont]]="B",raw[[#This Row],[cont]],"W"))</f>
        <v/>
      </c>
      <c r="O310" s="1397">
        <f>IF(raw[[#This Row],[out]]=0,0,IF(raw[[#This Row],[out]]=raw[[#This Row],[in]],0.01,raw[[#This Row],[out]]-raw[[#This Row],[in]]))</f>
        <v/>
      </c>
      <c r="P310" s="1397">
        <f>IF(raw[[#This Row],[in]]=0,0,MONTH(raw[[#This Row],[in]]))</f>
        <v/>
      </c>
      <c r="Q310" s="1397">
        <f>IF(raw[[#This Row],[in]]=0,0,YEAR(raw[[#This Row],[in]]))</f>
        <v/>
      </c>
      <c r="R310" s="1397">
        <f>INT(raw[[#This Row],[yr]]/10)*10</f>
        <v/>
      </c>
      <c r="S310" s="1395">
        <f>IF(raw[[#This Row],[city]]="","-",IF(raw[[#This Row],[city]]&lt;&gt;_xlfn.XLOOKUP(raw[[#This Row],[home]],homes[home],homes[city],"-"),1,0))</f>
        <v/>
      </c>
      <c r="T310" s="1398" t="inlineStr">
        <is>
          <t>.</t>
        </is>
      </c>
      <c r="U310" s="1399">
        <f>IF(raw[[#This Row],[wb]]="w",raw[[#This Row],[stay]]+U309,U309)</f>
        <v/>
      </c>
      <c r="V310" s="1400">
        <f>IF(raw[[#This Row],[out]]=0,V309,(raw[[#This Row],[out]]-E$5))</f>
        <v/>
      </c>
      <c r="W310" s="1401">
        <f>U310/V310</f>
        <v/>
      </c>
      <c r="X310" s="1378" t="inlineStr">
        <is>
          <t>.</t>
        </is>
      </c>
      <c r="Y310" s="1402">
        <f/>
        <v/>
      </c>
      <c r="Z310" s="1403">
        <f/>
        <v/>
      </c>
      <c r="AA310" s="1403">
        <f/>
        <v/>
      </c>
      <c r="AB310" s="1400">
        <f t="array" ref="AB310">_xlfn.LET(_xlpm.S,_xlfn.ANCHORARRAY($Y$4),_xlpm.r,ROWS(stayCity[[#Headers],[city]]:stayCity[[#This Row],[city]])-1,IF(_xlpm.r&lt;=ROWS(_xlpm.S),INDEX(_xlpm.S,_xlpm.r,1),""))</f>
        <v/>
      </c>
      <c r="AC310" s="1405">
        <f t="array" ref="AC310">_xlfn.LET(_xlpm.S,_xlfn.ANCHORARRAY($Y$4),_xlpm.r,ROWS(stayCity[[#Headers],[city]]:stayCity[[#This Row],[city]])-1,IF(_xlpm.r&lt;=ROWS(_xlpm.S),INDEX(_xlpm.S,_xlpm.r,2),""))</f>
        <v/>
      </c>
      <c r="AD310" s="1405">
        <f t="array" ref="AD310">_xlfn.LET(_xlpm.S,_xlfn.ANCHORARRAY($Y$4),_xlpm.r,ROWS(stayCity[[#Headers],[city]]:stayCity[[#This Row],[city]])-1,IF(_xlpm.r&lt;=ROWS(_xlpm.S),INDEX(_xlpm.S,_xlpm.r,3),""))</f>
        <v/>
      </c>
      <c r="AE310" s="1400">
        <f>IF(stayCity[[#This Row],[out]]&lt;&gt;"",stayCity[[#This Row],[out]]-stayCity[[#This Row],[in]],"-")</f>
        <v/>
      </c>
      <c r="AF310" s="1406">
        <f>IF(Y310="","-",YEAR(stayCity[[#This Row],[in]]))</f>
        <v/>
      </c>
      <c r="AG310" s="1392" t="n"/>
      <c r="AH310" s="1392" t="n"/>
      <c r="AI310" s="1392" t="n"/>
      <c r="AJ310" s="1392" t="n"/>
      <c r="AK310" s="1392" t="n"/>
      <c r="AL310" s="1392" t="n"/>
      <c r="AM310" s="1392" t="n"/>
      <c r="AN310" s="1392" t="n"/>
      <c r="AO310" s="1392" t="n"/>
      <c r="AP310" s="1392" t="n"/>
      <c r="AQ310" s="1392" t="n"/>
      <c r="AR310" s="1392" t="n"/>
      <c r="AS310" s="1422" t="n"/>
      <c r="AT310" s="1392" t="n"/>
      <c r="AU310" s="1392" t="n"/>
      <c r="AV310" s="1392" t="n"/>
      <c r="AW310" s="1392" t="n"/>
      <c r="AX310" s="1392" t="n"/>
      <c r="AY310" s="1392" t="n"/>
      <c r="AZ310" s="1392" t="n"/>
      <c r="BA310" s="1392" t="n"/>
      <c r="BB310" s="1422" t="n"/>
      <c r="BC310" s="1392" t="n"/>
      <c r="BD310" s="1392" t="n"/>
      <c r="BE310" s="1392" t="n"/>
      <c r="BF310" s="1392" t="n"/>
      <c r="BG310" s="1392" t="n"/>
      <c r="BH310" s="1392" t="n"/>
      <c r="BI310" s="1392" t="n"/>
      <c r="BJ310" s="1392" t="n"/>
      <c r="BK310" s="1392" t="n"/>
      <c r="BL310" s="1392" t="n"/>
      <c r="BM310" s="1392" t="n"/>
      <c r="BN310" s="1392" t="n"/>
      <c r="BO310" s="1392" t="n"/>
      <c r="BP310" s="1398" t="inlineStr">
        <is>
          <t>.</t>
        </is>
      </c>
      <c r="BQ310" s="1400">
        <f>IF(BR310&lt;&gt;"",BQ309+1,BQ309)</f>
        <v/>
      </c>
      <c r="BR310" s="1411" t="inlineStr">
        <is>
          <t>Montreal</t>
        </is>
      </c>
      <c r="BS310" s="1411" t="inlineStr">
        <is>
          <t>Lisbon</t>
        </is>
      </c>
      <c r="BT310" s="1412" t="inlineStr">
        <is>
          <t>Montreal-Lisbon</t>
        </is>
      </c>
      <c r="BU310" s="1412" t="n">
        <v>43416</v>
      </c>
      <c r="BV310" s="1398" t="inlineStr">
        <is>
          <t>.</t>
        </is>
      </c>
      <c r="BW310" s="1392" t="n"/>
      <c r="BX310" s="1392" t="n"/>
      <c r="BY310" s="1392" t="n"/>
      <c r="BZ310" s="1416" t="n"/>
      <c r="CA310" s="1392" t="n"/>
      <c r="CB310" s="1392" t="n"/>
      <c r="CC310" s="1392" t="n"/>
      <c r="CD310" s="1392" t="n"/>
      <c r="CE310" s="1392" t="n"/>
      <c r="CF310" s="1392" t="n"/>
      <c r="CG310" s="1392" t="n"/>
      <c r="CH310" s="1392" t="n"/>
      <c r="CI310" s="1392" t="n"/>
      <c r="CJ310" s="1392" t="n"/>
      <c r="CK310" s="1392" t="n"/>
      <c r="CL310" s="1392" t="n"/>
    </row>
    <row r="311">
      <c r="A311" s="5" t="inlineStr">
        <is>
          <t>.</t>
        </is>
      </c>
      <c r="B311" s="5" t="inlineStr">
        <is>
          <t>.</t>
        </is>
      </c>
      <c r="C311" s="1378">
        <f>IF(raw[[#This Row],[city]]="","-",IF(raw[[#This Row],[city]]="TODAY","-",C310+1))</f>
        <v/>
      </c>
      <c r="D311" s="1393" t="inlineStr">
        <is>
          <t>SSA</t>
        </is>
      </c>
      <c r="E311" s="1394" t="n">
        <v>34564</v>
      </c>
      <c r="F311" s="1394" t="n">
        <v>34578</v>
      </c>
      <c r="G311" s="1393" t="n">
        <v>1</v>
      </c>
      <c r="H311" s="1393">
        <f>H310</f>
        <v/>
      </c>
      <c r="I311" s="1393" t="inlineStr">
        <is>
          <t>Ondina</t>
        </is>
      </c>
      <c r="J311" s="1393" t="inlineStr">
        <is>
          <t>BDAY</t>
        </is>
      </c>
      <c r="K311" s="1395">
        <f>IF(raw[[#This Row],[city]]&lt;&gt;"",_xlfn.XLOOKUP($D311,ccc[city],ccc[prov],"-"),"-")</f>
        <v/>
      </c>
      <c r="L311" s="1395">
        <f>IF(raw[[#This Row],[city]]&lt;&gt;"",_xlfn.XLOOKUP($D311,ccc[city],ccc[ctry],"-"),"-")</f>
        <v/>
      </c>
      <c r="M311" s="1395">
        <f>IF(raw[[#This Row],[city]]&lt;&gt;"",_xlfn.XLOOKUP($D311,ccc[city],ccc[cont],"-"),"-")</f>
        <v/>
      </c>
      <c r="N311" s="1396">
        <f>IF(raw[[#This Row],[city]]="","-",IF(raw[[#This Row],[cont]]="B",raw[[#This Row],[cont]],"W"))</f>
        <v/>
      </c>
      <c r="O311" s="1397">
        <f>IF(raw[[#This Row],[out]]=0,0,IF(raw[[#This Row],[out]]=raw[[#This Row],[in]],0.01,raw[[#This Row],[out]]-raw[[#This Row],[in]]))</f>
        <v/>
      </c>
      <c r="P311" s="1397">
        <f>IF(raw[[#This Row],[in]]=0,0,MONTH(raw[[#This Row],[in]]))</f>
        <v/>
      </c>
      <c r="Q311" s="1397">
        <f>IF(raw[[#This Row],[in]]=0,0,YEAR(raw[[#This Row],[in]]))</f>
        <v/>
      </c>
      <c r="R311" s="1397">
        <f>INT(raw[[#This Row],[yr]]/10)*10</f>
        <v/>
      </c>
      <c r="S311" s="1395">
        <f>IF(raw[[#This Row],[city]]="","-",IF(raw[[#This Row],[city]]&lt;&gt;_xlfn.XLOOKUP(raw[[#This Row],[home]],homes[home],homes[city],"-"),1,0))</f>
        <v/>
      </c>
      <c r="T311" s="1398" t="inlineStr">
        <is>
          <t>.</t>
        </is>
      </c>
      <c r="U311" s="1399">
        <f>IF(raw[[#This Row],[wb]]="w",raw[[#This Row],[stay]]+U310,U310)</f>
        <v/>
      </c>
      <c r="V311" s="1400">
        <f>IF(raw[[#This Row],[out]]=0,V310,(raw[[#This Row],[out]]-E$5))</f>
        <v/>
      </c>
      <c r="W311" s="1401">
        <f>U311/V311</f>
        <v/>
      </c>
      <c r="X311" s="1378" t="inlineStr">
        <is>
          <t>.</t>
        </is>
      </c>
      <c r="Y311" s="1402">
        <f/>
        <v/>
      </c>
      <c r="Z311" s="1403">
        <f/>
        <v/>
      </c>
      <c r="AA311" s="1403">
        <f/>
        <v/>
      </c>
      <c r="AB311" s="1400">
        <f t="array" ref="AB311">_xlfn.LET(_xlpm.S,_xlfn.ANCHORARRAY($Y$4),_xlpm.r,ROWS(stayCity[[#Headers],[city]]:stayCity[[#This Row],[city]])-1,IF(_xlpm.r&lt;=ROWS(_xlpm.S),INDEX(_xlpm.S,_xlpm.r,1),""))</f>
        <v/>
      </c>
      <c r="AC311" s="1405">
        <f t="array" ref="AC311">_xlfn.LET(_xlpm.S,_xlfn.ANCHORARRAY($Y$4),_xlpm.r,ROWS(stayCity[[#Headers],[city]]:stayCity[[#This Row],[city]])-1,IF(_xlpm.r&lt;=ROWS(_xlpm.S),INDEX(_xlpm.S,_xlpm.r,2),""))</f>
        <v/>
      </c>
      <c r="AD311" s="1405">
        <f t="array" ref="AD311">_xlfn.LET(_xlpm.S,_xlfn.ANCHORARRAY($Y$4),_xlpm.r,ROWS(stayCity[[#Headers],[city]]:stayCity[[#This Row],[city]])-1,IF(_xlpm.r&lt;=ROWS(_xlpm.S),INDEX(_xlpm.S,_xlpm.r,3),""))</f>
        <v/>
      </c>
      <c r="AE311" s="1400">
        <f>IF(stayCity[[#This Row],[out]]&lt;&gt;"",stayCity[[#This Row],[out]]-stayCity[[#This Row],[in]],"-")</f>
        <v/>
      </c>
      <c r="AF311" s="1406">
        <f>IF(Y311="","-",YEAR(stayCity[[#This Row],[in]]))</f>
        <v/>
      </c>
      <c r="AG311" s="1392" t="n"/>
      <c r="AH311" s="1392" t="n"/>
      <c r="AI311" s="1392" t="n"/>
      <c r="AJ311" s="1392" t="n"/>
      <c r="AK311" s="1392" t="n"/>
      <c r="AL311" s="1392" t="n"/>
      <c r="AM311" s="1392" t="n"/>
      <c r="AN311" s="1392" t="n"/>
      <c r="AO311" s="1392" t="n"/>
      <c r="AP311" s="1392" t="n"/>
      <c r="AQ311" s="1392" t="n"/>
      <c r="AR311" s="1392" t="n"/>
      <c r="AS311" s="1422" t="n"/>
      <c r="AT311" s="1392" t="n"/>
      <c r="AU311" s="1392" t="n"/>
      <c r="AV311" s="1392" t="n"/>
      <c r="AW311" s="1392" t="n"/>
      <c r="AX311" s="1392" t="n"/>
      <c r="AY311" s="1392" t="n"/>
      <c r="AZ311" s="1392" t="n"/>
      <c r="BA311" s="1392" t="n"/>
      <c r="BB311" s="1422" t="n"/>
      <c r="BC311" s="1392" t="n"/>
      <c r="BD311" s="1392" t="n"/>
      <c r="BE311" s="1392" t="n"/>
      <c r="BF311" s="1392" t="n"/>
      <c r="BG311" s="1392" t="n"/>
      <c r="BH311" s="1392" t="n"/>
      <c r="BI311" s="1392" t="n"/>
      <c r="BJ311" s="1392" t="n"/>
      <c r="BK311" s="1392" t="n"/>
      <c r="BL311" s="1392" t="n"/>
      <c r="BM311" s="1392" t="n"/>
      <c r="BN311" s="1392" t="n"/>
      <c r="BO311" s="1392" t="n"/>
      <c r="BP311" s="1398" t="inlineStr">
        <is>
          <t>.</t>
        </is>
      </c>
      <c r="BQ311" s="1400">
        <f>IF(BR311&lt;&gt;"",BQ310+1,BQ310)</f>
        <v/>
      </c>
      <c r="BR311" s="1411" t="inlineStr">
        <is>
          <t>Lisbon</t>
        </is>
      </c>
      <c r="BS311" s="1411" t="inlineStr">
        <is>
          <t>Porto</t>
        </is>
      </c>
      <c r="BT311" s="1412" t="inlineStr">
        <is>
          <t>Lisbon-Porto</t>
        </is>
      </c>
      <c r="BU311" s="1412" t="n">
        <v>43417</v>
      </c>
      <c r="BV311" s="1398" t="inlineStr">
        <is>
          <t>.</t>
        </is>
      </c>
      <c r="BW311" s="1392" t="n"/>
      <c r="BX311" s="1392" t="n"/>
      <c r="BY311" s="1392" t="n"/>
      <c r="BZ311" s="1416" t="n"/>
      <c r="CA311" s="1392" t="n"/>
      <c r="CB311" s="1392" t="n"/>
      <c r="CC311" s="1392" t="n"/>
      <c r="CD311" s="1392" t="n"/>
      <c r="CE311" s="1392" t="n"/>
      <c r="CF311" s="1392" t="n"/>
      <c r="CG311" s="1392" t="n"/>
      <c r="CH311" s="1392" t="n"/>
      <c r="CI311" s="1392" t="n"/>
      <c r="CJ311" s="1392" t="n"/>
      <c r="CK311" s="1392" t="n"/>
      <c r="CL311" s="1392" t="n"/>
    </row>
    <row r="312">
      <c r="A312" s="5" t="inlineStr">
        <is>
          <t>.</t>
        </is>
      </c>
      <c r="B312" s="5" t="inlineStr">
        <is>
          <t>.</t>
        </is>
      </c>
      <c r="C312" s="1378">
        <f>IF(raw[[#This Row],[city]]="","-",IF(raw[[#This Row],[city]]="TODAY","-",C311+1))</f>
        <v/>
      </c>
      <c r="D312" s="1393" t="inlineStr">
        <is>
          <t>SP</t>
        </is>
      </c>
      <c r="E312" s="1394" t="n">
        <v>34578</v>
      </c>
      <c r="F312" s="1394" t="n">
        <v>34608</v>
      </c>
      <c r="G312" s="1393" t="inlineStr">
        <is>
          <t>-</t>
        </is>
      </c>
      <c r="H312" s="1393">
        <f>H311</f>
        <v/>
      </c>
      <c r="I312" s="1393" t="inlineStr">
        <is>
          <t>-</t>
        </is>
      </c>
      <c r="J312" s="1393" t="inlineStr">
        <is>
          <t>-</t>
        </is>
      </c>
      <c r="K312" s="1395">
        <f>IF(raw[[#This Row],[city]]&lt;&gt;"",_xlfn.XLOOKUP($D312,ccc[city],ccc[prov],"-"),"-")</f>
        <v/>
      </c>
      <c r="L312" s="1395">
        <f>IF(raw[[#This Row],[city]]&lt;&gt;"",_xlfn.XLOOKUP($D312,ccc[city],ccc[ctry],"-"),"-")</f>
        <v/>
      </c>
      <c r="M312" s="1395">
        <f>IF(raw[[#This Row],[city]]&lt;&gt;"",_xlfn.XLOOKUP($D312,ccc[city],ccc[cont],"-"),"-")</f>
        <v/>
      </c>
      <c r="N312" s="1396">
        <f>IF(raw[[#This Row],[city]]="","-",IF(raw[[#This Row],[cont]]="B",raw[[#This Row],[cont]],"W"))</f>
        <v/>
      </c>
      <c r="O312" s="1397">
        <f>IF(raw[[#This Row],[out]]=0,0,IF(raw[[#This Row],[out]]=raw[[#This Row],[in]],0.01,raw[[#This Row],[out]]-raw[[#This Row],[in]]))</f>
        <v/>
      </c>
      <c r="P312" s="1397">
        <f>IF(raw[[#This Row],[in]]=0,0,MONTH(raw[[#This Row],[in]]))</f>
        <v/>
      </c>
      <c r="Q312" s="1397">
        <f>IF(raw[[#This Row],[in]]=0,0,YEAR(raw[[#This Row],[in]]))</f>
        <v/>
      </c>
      <c r="R312" s="1397">
        <f>INT(raw[[#This Row],[yr]]/10)*10</f>
        <v/>
      </c>
      <c r="S312" s="1395">
        <f>IF(raw[[#This Row],[city]]="","-",IF(raw[[#This Row],[city]]&lt;&gt;_xlfn.XLOOKUP(raw[[#This Row],[home]],homes[home],homes[city],"-"),1,0))</f>
        <v/>
      </c>
      <c r="T312" s="1398" t="inlineStr">
        <is>
          <t>.</t>
        </is>
      </c>
      <c r="U312" s="1399">
        <f>IF(raw[[#This Row],[wb]]="w",raw[[#This Row],[stay]]+U311,U311)</f>
        <v/>
      </c>
      <c r="V312" s="1400">
        <f>IF(raw[[#This Row],[out]]=0,V311,(raw[[#This Row],[out]]-E$5))</f>
        <v/>
      </c>
      <c r="W312" s="1401">
        <f>U312/V312</f>
        <v/>
      </c>
      <c r="X312" s="1378" t="inlineStr">
        <is>
          <t>.</t>
        </is>
      </c>
      <c r="Y312" s="1402">
        <f/>
        <v/>
      </c>
      <c r="Z312" s="1403">
        <f/>
        <v/>
      </c>
      <c r="AA312" s="1403">
        <f/>
        <v/>
      </c>
      <c r="AB312" s="1400">
        <f t="array" ref="AB312">_xlfn.LET(_xlpm.S,_xlfn.ANCHORARRAY($Y$4),_xlpm.r,ROWS(stayCity[[#Headers],[city]]:stayCity[[#This Row],[city]])-1,IF(_xlpm.r&lt;=ROWS(_xlpm.S),INDEX(_xlpm.S,_xlpm.r,1),""))</f>
        <v/>
      </c>
      <c r="AC312" s="1405">
        <f t="array" ref="AC312">_xlfn.LET(_xlpm.S,_xlfn.ANCHORARRAY($Y$4),_xlpm.r,ROWS(stayCity[[#Headers],[city]]:stayCity[[#This Row],[city]])-1,IF(_xlpm.r&lt;=ROWS(_xlpm.S),INDEX(_xlpm.S,_xlpm.r,2),""))</f>
        <v/>
      </c>
      <c r="AD312" s="1405">
        <f t="array" ref="AD312">_xlfn.LET(_xlpm.S,_xlfn.ANCHORARRAY($Y$4),_xlpm.r,ROWS(stayCity[[#Headers],[city]]:stayCity[[#This Row],[city]])-1,IF(_xlpm.r&lt;=ROWS(_xlpm.S),INDEX(_xlpm.S,_xlpm.r,3),""))</f>
        <v/>
      </c>
      <c r="AE312" s="1400">
        <f>IF(stayCity[[#This Row],[out]]&lt;&gt;"",stayCity[[#This Row],[out]]-stayCity[[#This Row],[in]],"-")</f>
        <v/>
      </c>
      <c r="AF312" s="1406">
        <f>IF(Y312="","-",YEAR(stayCity[[#This Row],[in]]))</f>
        <v/>
      </c>
      <c r="AG312" s="1392" t="n"/>
      <c r="AH312" s="1392" t="n"/>
      <c r="AI312" s="1392" t="n"/>
      <c r="AJ312" s="1392" t="n"/>
      <c r="AK312" s="1392" t="n"/>
      <c r="AL312" s="1392" t="n"/>
      <c r="AM312" s="1392" t="n"/>
      <c r="AN312" s="1392" t="n"/>
      <c r="AO312" s="1392" t="n"/>
      <c r="AP312" s="1392" t="n"/>
      <c r="AQ312" s="1392" t="n"/>
      <c r="AR312" s="1392" t="n"/>
      <c r="AS312" s="1422" t="n"/>
      <c r="AT312" s="1392" t="n"/>
      <c r="AU312" s="1392" t="n"/>
      <c r="AV312" s="1392" t="n"/>
      <c r="AW312" s="1392" t="n"/>
      <c r="AX312" s="1392" t="n"/>
      <c r="AY312" s="1392" t="n"/>
      <c r="AZ312" s="1392" t="n"/>
      <c r="BA312" s="1392" t="n"/>
      <c r="BB312" s="1422" t="n"/>
      <c r="BC312" s="1392" t="n"/>
      <c r="BD312" s="1392" t="n"/>
      <c r="BE312" s="1392" t="n"/>
      <c r="BF312" s="1392" t="n"/>
      <c r="BG312" s="1392" t="n"/>
      <c r="BH312" s="1392" t="n"/>
      <c r="BI312" s="1392" t="n"/>
      <c r="BJ312" s="1392" t="n"/>
      <c r="BK312" s="1392" t="n"/>
      <c r="BL312" s="1392" t="n"/>
      <c r="BM312" s="1392" t="n"/>
      <c r="BN312" s="1392" t="n"/>
      <c r="BO312" s="1392" t="n"/>
      <c r="BP312" s="1398" t="inlineStr">
        <is>
          <t>.</t>
        </is>
      </c>
      <c r="BQ312" s="1400">
        <f>IF(BR312&lt;&gt;"",BQ311+1,BQ311)</f>
        <v/>
      </c>
      <c r="BR312" s="1411" t="inlineStr">
        <is>
          <t>Santiago</t>
        </is>
      </c>
      <c r="BS312" s="1411" t="inlineStr">
        <is>
          <t>Barcelona</t>
        </is>
      </c>
      <c r="BT312" s="1412" t="inlineStr">
        <is>
          <t>Santiago-Barcelona</t>
        </is>
      </c>
      <c r="BU312" s="1412" t="n">
        <v>43430</v>
      </c>
      <c r="BV312" s="1398" t="inlineStr">
        <is>
          <t>.</t>
        </is>
      </c>
      <c r="BW312" s="1392" t="n"/>
      <c r="BX312" s="1392" t="n"/>
      <c r="BY312" s="1392" t="n"/>
      <c r="BZ312" s="1416" t="n"/>
      <c r="CA312" s="1392" t="n"/>
      <c r="CB312" s="1392" t="n"/>
      <c r="CC312" s="1392" t="n"/>
      <c r="CD312" s="1392" t="n"/>
      <c r="CE312" s="1392" t="n"/>
      <c r="CF312" s="1392" t="n"/>
      <c r="CG312" s="1392" t="n"/>
      <c r="CH312" s="1392" t="n"/>
      <c r="CI312" s="1392" t="n"/>
      <c r="CJ312" s="1392" t="n"/>
      <c r="CK312" s="1392" t="n"/>
      <c r="CL312" s="1392" t="n"/>
    </row>
    <row r="313">
      <c r="A313" s="5" t="inlineStr">
        <is>
          <t>.</t>
        </is>
      </c>
      <c r="B313" s="5" t="inlineStr">
        <is>
          <t>.</t>
        </is>
      </c>
      <c r="C313" s="1378">
        <f>IF(raw[[#This Row],[city]]="","-",IF(raw[[#This Row],[city]]="TODAY","-",C312+1))</f>
        <v/>
      </c>
      <c r="D313" s="1393" t="inlineStr">
        <is>
          <t>SP</t>
        </is>
      </c>
      <c r="E313" s="1394" t="n">
        <v>34608</v>
      </c>
      <c r="F313" s="1394" t="n">
        <v>34639</v>
      </c>
      <c r="G313" s="1393" t="inlineStr">
        <is>
          <t>-</t>
        </is>
      </c>
      <c r="H313" s="1393">
        <f>H312</f>
        <v/>
      </c>
      <c r="I313" s="1393" t="inlineStr">
        <is>
          <t>-</t>
        </is>
      </c>
      <c r="J313" s="1393" t="inlineStr">
        <is>
          <t>-</t>
        </is>
      </c>
      <c r="K313" s="1395">
        <f>IF(raw[[#This Row],[city]]&lt;&gt;"",_xlfn.XLOOKUP($D313,ccc[city],ccc[prov],"-"),"-")</f>
        <v/>
      </c>
      <c r="L313" s="1395">
        <f>IF(raw[[#This Row],[city]]&lt;&gt;"",_xlfn.XLOOKUP($D313,ccc[city],ccc[ctry],"-"),"-")</f>
        <v/>
      </c>
      <c r="M313" s="1395">
        <f>IF(raw[[#This Row],[city]]&lt;&gt;"",_xlfn.XLOOKUP($D313,ccc[city],ccc[cont],"-"),"-")</f>
        <v/>
      </c>
      <c r="N313" s="1396">
        <f>IF(raw[[#This Row],[city]]="","-",IF(raw[[#This Row],[cont]]="B",raw[[#This Row],[cont]],"W"))</f>
        <v/>
      </c>
      <c r="O313" s="1397">
        <f>IF(raw[[#This Row],[out]]=0,0,IF(raw[[#This Row],[out]]=raw[[#This Row],[in]],0.01,raw[[#This Row],[out]]-raw[[#This Row],[in]]))</f>
        <v/>
      </c>
      <c r="P313" s="1397">
        <f>IF(raw[[#This Row],[in]]=0,0,MONTH(raw[[#This Row],[in]]))</f>
        <v/>
      </c>
      <c r="Q313" s="1397">
        <f>IF(raw[[#This Row],[in]]=0,0,YEAR(raw[[#This Row],[in]]))</f>
        <v/>
      </c>
      <c r="R313" s="1397">
        <f>INT(raw[[#This Row],[yr]]/10)*10</f>
        <v/>
      </c>
      <c r="S313" s="1395">
        <f>IF(raw[[#This Row],[city]]="","-",IF(raw[[#This Row],[city]]&lt;&gt;_xlfn.XLOOKUP(raw[[#This Row],[home]],homes[home],homes[city],"-"),1,0))</f>
        <v/>
      </c>
      <c r="T313" s="1398" t="inlineStr">
        <is>
          <t>.</t>
        </is>
      </c>
      <c r="U313" s="1399">
        <f>IF(raw[[#This Row],[wb]]="w",raw[[#This Row],[stay]]+U312,U312)</f>
        <v/>
      </c>
      <c r="V313" s="1400">
        <f>IF(raw[[#This Row],[out]]=0,V312,(raw[[#This Row],[out]]-E$5))</f>
        <v/>
      </c>
      <c r="W313" s="1401">
        <f>U313/V313</f>
        <v/>
      </c>
      <c r="X313" s="1378" t="inlineStr">
        <is>
          <t>.</t>
        </is>
      </c>
      <c r="Y313" s="1402">
        <f/>
        <v/>
      </c>
      <c r="Z313" s="1403">
        <f/>
        <v/>
      </c>
      <c r="AA313" s="1403">
        <f/>
        <v/>
      </c>
      <c r="AB313" s="1400">
        <f t="array" ref="AB313">_xlfn.LET(_xlpm.S,_xlfn.ANCHORARRAY($Y$4),_xlpm.r,ROWS(stayCity[[#Headers],[city]]:stayCity[[#This Row],[city]])-1,IF(_xlpm.r&lt;=ROWS(_xlpm.S),INDEX(_xlpm.S,_xlpm.r,1),""))</f>
        <v/>
      </c>
      <c r="AC313" s="1405">
        <f t="array" ref="AC313">_xlfn.LET(_xlpm.S,_xlfn.ANCHORARRAY($Y$4),_xlpm.r,ROWS(stayCity[[#Headers],[city]]:stayCity[[#This Row],[city]])-1,IF(_xlpm.r&lt;=ROWS(_xlpm.S),INDEX(_xlpm.S,_xlpm.r,2),""))</f>
        <v/>
      </c>
      <c r="AD313" s="1405">
        <f t="array" ref="AD313">_xlfn.LET(_xlpm.S,_xlfn.ANCHORARRAY($Y$4),_xlpm.r,ROWS(stayCity[[#Headers],[city]]:stayCity[[#This Row],[city]])-1,IF(_xlpm.r&lt;=ROWS(_xlpm.S),INDEX(_xlpm.S,_xlpm.r,3),""))</f>
        <v/>
      </c>
      <c r="AE313" s="1400">
        <f>IF(stayCity[[#This Row],[out]]&lt;&gt;"",stayCity[[#This Row],[out]]-stayCity[[#This Row],[in]],"-")</f>
        <v/>
      </c>
      <c r="AF313" s="1406">
        <f>IF(Y313="","-",YEAR(stayCity[[#This Row],[in]]))</f>
        <v/>
      </c>
      <c r="AG313" s="1392" t="n"/>
      <c r="AH313" s="1392" t="n"/>
      <c r="AI313" s="1392" t="n"/>
      <c r="AJ313" s="1392" t="n"/>
      <c r="AK313" s="1392" t="n"/>
      <c r="AL313" s="1392" t="n"/>
      <c r="AM313" s="1392" t="n"/>
      <c r="AN313" s="1392" t="n"/>
      <c r="AO313" s="1392" t="n"/>
      <c r="AP313" s="1392" t="n"/>
      <c r="AQ313" s="1392" t="n"/>
      <c r="AR313" s="1392" t="n"/>
      <c r="AS313" s="1422" t="n"/>
      <c r="AT313" s="1392" t="n"/>
      <c r="AU313" s="1392" t="n"/>
      <c r="AV313" s="1392" t="n"/>
      <c r="AW313" s="1392" t="n"/>
      <c r="AX313" s="1392" t="n"/>
      <c r="AY313" s="1392" t="n"/>
      <c r="AZ313" s="1392" t="n"/>
      <c r="BA313" s="1392" t="n"/>
      <c r="BB313" s="1422" t="n"/>
      <c r="BC313" s="1392" t="n"/>
      <c r="BD313" s="1392" t="n"/>
      <c r="BE313" s="1392" t="n"/>
      <c r="BF313" s="1392" t="n"/>
      <c r="BG313" s="1392" t="n"/>
      <c r="BH313" s="1392" t="n"/>
      <c r="BI313" s="1392" t="n"/>
      <c r="BJ313" s="1392" t="n"/>
      <c r="BK313" s="1392" t="n"/>
      <c r="BL313" s="1392" t="n"/>
      <c r="BM313" s="1392" t="n"/>
      <c r="BN313" s="1392" t="n"/>
      <c r="BO313" s="1392" t="n"/>
      <c r="BP313" s="1398" t="inlineStr">
        <is>
          <t>.</t>
        </is>
      </c>
      <c r="BQ313" s="1400">
        <f>IF(BR313&lt;&gt;"",BQ312+1,BQ312)</f>
        <v/>
      </c>
      <c r="BR313" s="1411" t="inlineStr">
        <is>
          <t>Barcelona</t>
        </is>
      </c>
      <c r="BS313" s="1411" t="inlineStr">
        <is>
          <t>Porto</t>
        </is>
      </c>
      <c r="BT313" s="1412" t="inlineStr">
        <is>
          <t>Barcelona-Porto</t>
        </is>
      </c>
      <c r="BU313" s="1412" t="n">
        <v>43433</v>
      </c>
      <c r="BV313" s="1398" t="inlineStr">
        <is>
          <t>.</t>
        </is>
      </c>
      <c r="BW313" s="1392" t="n"/>
      <c r="BX313" s="1392" t="n"/>
      <c r="BY313" s="1392" t="n"/>
      <c r="BZ313" s="1416" t="n"/>
      <c r="CA313" s="1392" t="n"/>
      <c r="CB313" s="1392" t="n"/>
      <c r="CC313" s="1392" t="n"/>
      <c r="CD313" s="1392" t="n"/>
      <c r="CE313" s="1392" t="n"/>
      <c r="CF313" s="1392" t="n"/>
      <c r="CG313" s="1392" t="n"/>
      <c r="CH313" s="1392" t="n"/>
      <c r="CI313" s="1392" t="n"/>
      <c r="CJ313" s="1392" t="n"/>
      <c r="CK313" s="1392" t="n"/>
      <c r="CL313" s="1392" t="n"/>
    </row>
    <row r="314">
      <c r="A314" s="5" t="inlineStr">
        <is>
          <t>.</t>
        </is>
      </c>
      <c r="B314" s="5" t="inlineStr">
        <is>
          <t>.</t>
        </is>
      </c>
      <c r="C314" s="1378">
        <f>IF(raw[[#This Row],[city]]="","-",IF(raw[[#This Row],[city]]="TODAY","-",C313+1))</f>
        <v/>
      </c>
      <c r="D314" s="1393" t="inlineStr">
        <is>
          <t>SP</t>
        </is>
      </c>
      <c r="E314" s="1394" t="n">
        <v>34639</v>
      </c>
      <c r="F314" s="1394" t="n">
        <v>34669</v>
      </c>
      <c r="G314" s="1393" t="n">
        <v>1</v>
      </c>
      <c r="H314" s="1393">
        <f>H313</f>
        <v/>
      </c>
      <c r="I314" s="1393" t="inlineStr">
        <is>
          <t>-</t>
        </is>
      </c>
      <c r="J314" s="1393" t="inlineStr">
        <is>
          <t>-</t>
        </is>
      </c>
      <c r="K314" s="1395">
        <f>IF(raw[[#This Row],[city]]&lt;&gt;"",_xlfn.XLOOKUP($D314,ccc[city],ccc[prov],"-"),"-")</f>
        <v/>
      </c>
      <c r="L314" s="1395">
        <f>IF(raw[[#This Row],[city]]&lt;&gt;"",_xlfn.XLOOKUP($D314,ccc[city],ccc[ctry],"-"),"-")</f>
        <v/>
      </c>
      <c r="M314" s="1395">
        <f>IF(raw[[#This Row],[city]]&lt;&gt;"",_xlfn.XLOOKUP($D314,ccc[city],ccc[cont],"-"),"-")</f>
        <v/>
      </c>
      <c r="N314" s="1396">
        <f>IF(raw[[#This Row],[city]]="","-",IF(raw[[#This Row],[cont]]="B",raw[[#This Row],[cont]],"W"))</f>
        <v/>
      </c>
      <c r="O314" s="1397">
        <f>IF(raw[[#This Row],[out]]=0,0,IF(raw[[#This Row],[out]]=raw[[#This Row],[in]],0.01,raw[[#This Row],[out]]-raw[[#This Row],[in]]))</f>
        <v/>
      </c>
      <c r="P314" s="1397">
        <f>IF(raw[[#This Row],[in]]=0,0,MONTH(raw[[#This Row],[in]]))</f>
        <v/>
      </c>
      <c r="Q314" s="1397">
        <f>IF(raw[[#This Row],[in]]=0,0,YEAR(raw[[#This Row],[in]]))</f>
        <v/>
      </c>
      <c r="R314" s="1397">
        <f>INT(raw[[#This Row],[yr]]/10)*10</f>
        <v/>
      </c>
      <c r="S314" s="1395">
        <f>IF(raw[[#This Row],[city]]="","-",IF(raw[[#This Row],[city]]&lt;&gt;_xlfn.XLOOKUP(raw[[#This Row],[home]],homes[home],homes[city],"-"),1,0))</f>
        <v/>
      </c>
      <c r="T314" s="1398" t="inlineStr">
        <is>
          <t>.</t>
        </is>
      </c>
      <c r="U314" s="1399">
        <f>IF(raw[[#This Row],[wb]]="w",raw[[#This Row],[stay]]+U313,U313)</f>
        <v/>
      </c>
      <c r="V314" s="1400">
        <f>IF(raw[[#This Row],[out]]=0,V313,(raw[[#This Row],[out]]-E$5))</f>
        <v/>
      </c>
      <c r="W314" s="1401">
        <f>U314/V314</f>
        <v/>
      </c>
      <c r="X314" s="1378" t="inlineStr">
        <is>
          <t>.</t>
        </is>
      </c>
      <c r="Y314" s="1402">
        <f/>
        <v/>
      </c>
      <c r="Z314" s="1403">
        <f/>
        <v/>
      </c>
      <c r="AA314" s="1403">
        <f/>
        <v/>
      </c>
      <c r="AB314" s="1400">
        <f t="array" ref="AB314">_xlfn.LET(_xlpm.S,_xlfn.ANCHORARRAY($Y$4),_xlpm.r,ROWS(stayCity[[#Headers],[city]]:stayCity[[#This Row],[city]])-1,IF(_xlpm.r&lt;=ROWS(_xlpm.S),INDEX(_xlpm.S,_xlpm.r,1),""))</f>
        <v/>
      </c>
      <c r="AC314" s="1405">
        <f t="array" ref="AC314">_xlfn.LET(_xlpm.S,_xlfn.ANCHORARRAY($Y$4),_xlpm.r,ROWS(stayCity[[#Headers],[city]]:stayCity[[#This Row],[city]])-1,IF(_xlpm.r&lt;=ROWS(_xlpm.S),INDEX(_xlpm.S,_xlpm.r,2),""))</f>
        <v/>
      </c>
      <c r="AD314" s="1405">
        <f t="array" ref="AD314">_xlfn.LET(_xlpm.S,_xlfn.ANCHORARRAY($Y$4),_xlpm.r,ROWS(stayCity[[#Headers],[city]]:stayCity[[#This Row],[city]])-1,IF(_xlpm.r&lt;=ROWS(_xlpm.S),INDEX(_xlpm.S,_xlpm.r,3),""))</f>
        <v/>
      </c>
      <c r="AE314" s="1400">
        <f>IF(stayCity[[#This Row],[out]]&lt;&gt;"",stayCity[[#This Row],[out]]-stayCity[[#This Row],[in]],"-")</f>
        <v/>
      </c>
      <c r="AF314" s="1406">
        <f>IF(Y314="","-",YEAR(stayCity[[#This Row],[in]]))</f>
        <v/>
      </c>
      <c r="AG314" s="1392" t="n"/>
      <c r="AH314" s="1392" t="n"/>
      <c r="AI314" s="1392" t="n"/>
      <c r="AJ314" s="1392" t="n"/>
      <c r="AK314" s="1392" t="n"/>
      <c r="AL314" s="1392" t="n"/>
      <c r="AM314" s="1392" t="n"/>
      <c r="AN314" s="1392" t="n"/>
      <c r="AO314" s="1392" t="n"/>
      <c r="AP314" s="1392" t="n"/>
      <c r="AQ314" s="1392" t="n"/>
      <c r="AR314" s="1392" t="n"/>
      <c r="AS314" s="1422" t="n"/>
      <c r="AT314" s="1392" t="n"/>
      <c r="AU314" s="1392" t="n"/>
      <c r="AV314" s="1392" t="n"/>
      <c r="AW314" s="1392" t="n"/>
      <c r="AX314" s="1392" t="n"/>
      <c r="AY314" s="1392" t="n"/>
      <c r="AZ314" s="1392" t="n"/>
      <c r="BA314" s="1392" t="n"/>
      <c r="BB314" s="1422" t="n"/>
      <c r="BC314" s="1392" t="n"/>
      <c r="BD314" s="1392" t="n"/>
      <c r="BE314" s="1392" t="n"/>
      <c r="BF314" s="1392" t="n"/>
      <c r="BG314" s="1392" t="n"/>
      <c r="BH314" s="1392" t="n"/>
      <c r="BI314" s="1392" t="n"/>
      <c r="BJ314" s="1392" t="n"/>
      <c r="BK314" s="1392" t="n"/>
      <c r="BL314" s="1392" t="n"/>
      <c r="BM314" s="1392" t="n"/>
      <c r="BN314" s="1392" t="n"/>
      <c r="BO314" s="1392" t="n"/>
      <c r="BP314" s="1398" t="inlineStr">
        <is>
          <t>.</t>
        </is>
      </c>
      <c r="BQ314" s="1400">
        <f>IF(BR314&lt;&gt;"",BQ313+1,BQ313)</f>
        <v/>
      </c>
      <c r="BR314" s="1411" t="inlineStr">
        <is>
          <t>Porto</t>
        </is>
      </c>
      <c r="BS314" s="1411" t="inlineStr">
        <is>
          <t>Lisbon</t>
        </is>
      </c>
      <c r="BT314" s="1411" t="inlineStr">
        <is>
          <t>Porto-Lisbon</t>
        </is>
      </c>
      <c r="BU314" s="1412" t="n">
        <v>43433</v>
      </c>
      <c r="BV314" s="1398" t="inlineStr">
        <is>
          <t>.</t>
        </is>
      </c>
      <c r="BW314" s="1392" t="n"/>
      <c r="BX314" s="1392" t="n"/>
      <c r="BY314" s="1392" t="n"/>
      <c r="BZ314" s="1416" t="n"/>
      <c r="CA314" s="1392" t="n"/>
      <c r="CB314" s="1392" t="n"/>
      <c r="CC314" s="1392" t="n"/>
      <c r="CD314" s="1392" t="n"/>
      <c r="CE314" s="1392" t="n"/>
      <c r="CF314" s="1392" t="n"/>
      <c r="CG314" s="1392" t="n"/>
      <c r="CH314" s="1392" t="n"/>
      <c r="CI314" s="1392" t="n"/>
      <c r="CJ314" s="1392" t="n"/>
      <c r="CK314" s="1392" t="n"/>
      <c r="CL314" s="1392" t="n"/>
    </row>
    <row r="315">
      <c r="A315" s="5" t="inlineStr">
        <is>
          <t>.</t>
        </is>
      </c>
      <c r="B315" s="5" t="inlineStr">
        <is>
          <t>.</t>
        </is>
      </c>
      <c r="C315" s="1378">
        <f>IF(raw[[#This Row],[city]]="","-",IF(raw[[#This Row],[city]]="TODAY","-",C314+1))</f>
        <v/>
      </c>
      <c r="D315" s="1393" t="inlineStr">
        <is>
          <t>SSA</t>
        </is>
      </c>
      <c r="E315" s="1394" t="n">
        <v>34669</v>
      </c>
      <c r="F315" s="1394" t="n">
        <v>34700</v>
      </c>
      <c r="G315" s="1393" t="inlineStr">
        <is>
          <t>-</t>
        </is>
      </c>
      <c r="H315" s="1393">
        <f>H314</f>
        <v/>
      </c>
      <c r="I315" s="1393" t="inlineStr">
        <is>
          <t>Ondina</t>
        </is>
      </c>
      <c r="J315" s="1393" t="inlineStr">
        <is>
          <t>-</t>
        </is>
      </c>
      <c r="K315" s="1395">
        <f>IF(raw[[#This Row],[city]]&lt;&gt;"",_xlfn.XLOOKUP($D315,ccc[city],ccc[prov],"-"),"-")</f>
        <v/>
      </c>
      <c r="L315" s="1395">
        <f>IF(raw[[#This Row],[city]]&lt;&gt;"",_xlfn.XLOOKUP($D315,ccc[city],ccc[ctry],"-"),"-")</f>
        <v/>
      </c>
      <c r="M315" s="1395">
        <f>IF(raw[[#This Row],[city]]&lt;&gt;"",_xlfn.XLOOKUP($D315,ccc[city],ccc[cont],"-"),"-")</f>
        <v/>
      </c>
      <c r="N315" s="1396">
        <f>IF(raw[[#This Row],[city]]="","-",IF(raw[[#This Row],[cont]]="B",raw[[#This Row],[cont]],"W"))</f>
        <v/>
      </c>
      <c r="O315" s="1397">
        <f>IF(raw[[#This Row],[out]]=0,0,IF(raw[[#This Row],[out]]=raw[[#This Row],[in]],0.01,raw[[#This Row],[out]]-raw[[#This Row],[in]]))</f>
        <v/>
      </c>
      <c r="P315" s="1397">
        <f>IF(raw[[#This Row],[in]]=0,0,MONTH(raw[[#This Row],[in]]))</f>
        <v/>
      </c>
      <c r="Q315" s="1397">
        <f>IF(raw[[#This Row],[in]]=0,0,YEAR(raw[[#This Row],[in]]))</f>
        <v/>
      </c>
      <c r="R315" s="1397">
        <f>INT(raw[[#This Row],[yr]]/10)*10</f>
        <v/>
      </c>
      <c r="S315" s="1395">
        <f>IF(raw[[#This Row],[city]]="","-",IF(raw[[#This Row],[city]]&lt;&gt;_xlfn.XLOOKUP(raw[[#This Row],[home]],homes[home],homes[city],"-"),1,0))</f>
        <v/>
      </c>
      <c r="T315" s="1398" t="inlineStr">
        <is>
          <t>.</t>
        </is>
      </c>
      <c r="U315" s="1399">
        <f>IF(raw[[#This Row],[wb]]="w",raw[[#This Row],[stay]]+U314,U314)</f>
        <v/>
      </c>
      <c r="V315" s="1400">
        <f>IF(raw[[#This Row],[out]]=0,V314,(raw[[#This Row],[out]]-E$5))</f>
        <v/>
      </c>
      <c r="W315" s="1401">
        <f>U315/V315</f>
        <v/>
      </c>
      <c r="X315" s="1378" t="inlineStr">
        <is>
          <t>.</t>
        </is>
      </c>
      <c r="Y315" s="1402">
        <f/>
        <v/>
      </c>
      <c r="Z315" s="1403">
        <f/>
        <v/>
      </c>
      <c r="AA315" s="1403">
        <f/>
        <v/>
      </c>
      <c r="AB315" s="1400">
        <f t="array" ref="AB315">_xlfn.LET(_xlpm.S,_xlfn.ANCHORARRAY($Y$4),_xlpm.r,ROWS(stayCity[[#Headers],[city]]:stayCity[[#This Row],[city]])-1,IF(_xlpm.r&lt;=ROWS(_xlpm.S),INDEX(_xlpm.S,_xlpm.r,1),""))</f>
        <v/>
      </c>
      <c r="AC315" s="1405">
        <f t="array" ref="AC315">_xlfn.LET(_xlpm.S,_xlfn.ANCHORARRAY($Y$4),_xlpm.r,ROWS(stayCity[[#Headers],[city]]:stayCity[[#This Row],[city]])-1,IF(_xlpm.r&lt;=ROWS(_xlpm.S),INDEX(_xlpm.S,_xlpm.r,2),""))</f>
        <v/>
      </c>
      <c r="AD315" s="1405">
        <f t="array" ref="AD315">_xlfn.LET(_xlpm.S,_xlfn.ANCHORARRAY($Y$4),_xlpm.r,ROWS(stayCity[[#Headers],[city]]:stayCity[[#This Row],[city]])-1,IF(_xlpm.r&lt;=ROWS(_xlpm.S),INDEX(_xlpm.S,_xlpm.r,3),""))</f>
        <v/>
      </c>
      <c r="AE315" s="1400">
        <f>IF(stayCity[[#This Row],[out]]&lt;&gt;"",stayCity[[#This Row],[out]]-stayCity[[#This Row],[in]],"-")</f>
        <v/>
      </c>
      <c r="AF315" s="1406">
        <f>IF(Y315="","-",YEAR(stayCity[[#This Row],[in]]))</f>
        <v/>
      </c>
      <c r="AG315" s="1392" t="n"/>
      <c r="AH315" s="1392" t="n"/>
      <c r="AI315" s="1392" t="n"/>
      <c r="AJ315" s="1392" t="n"/>
      <c r="AK315" s="1392" t="n"/>
      <c r="AL315" s="1392" t="n"/>
      <c r="AM315" s="1392" t="n"/>
      <c r="AN315" s="1392" t="n"/>
      <c r="AO315" s="1392" t="n"/>
      <c r="AP315" s="1392" t="n"/>
      <c r="AQ315" s="1392" t="n"/>
      <c r="AR315" s="1392" t="n"/>
      <c r="AS315" s="1422" t="n"/>
      <c r="AT315" s="1392" t="n"/>
      <c r="AU315" s="1392" t="n"/>
      <c r="AV315" s="1392" t="n"/>
      <c r="AW315" s="1392" t="n"/>
      <c r="AX315" s="1392" t="n"/>
      <c r="AY315" s="1392" t="n"/>
      <c r="AZ315" s="1392" t="n"/>
      <c r="BA315" s="1392" t="n"/>
      <c r="BB315" s="1422" t="n"/>
      <c r="BC315" s="1392" t="n"/>
      <c r="BD315" s="1392" t="n"/>
      <c r="BE315" s="1392" t="n"/>
      <c r="BF315" s="1392" t="n"/>
      <c r="BG315" s="1392" t="n"/>
      <c r="BH315" s="1392" t="n"/>
      <c r="BI315" s="1392" t="n"/>
      <c r="BJ315" s="1392" t="n"/>
      <c r="BK315" s="1392" t="n"/>
      <c r="BL315" s="1392" t="n"/>
      <c r="BM315" s="1392" t="n"/>
      <c r="BN315" s="1392" t="n"/>
      <c r="BO315" s="1392" t="n"/>
      <c r="BP315" s="1398" t="inlineStr">
        <is>
          <t>.</t>
        </is>
      </c>
      <c r="BQ315" s="1400">
        <f>IF(BR315&lt;&gt;"",BQ314+1,BQ314)</f>
        <v/>
      </c>
      <c r="BR315" s="1411" t="inlineStr">
        <is>
          <t>Lisbon</t>
        </is>
      </c>
      <c r="BS315" s="1411" t="inlineStr">
        <is>
          <t>Toronto</t>
        </is>
      </c>
      <c r="BT315" s="1411" t="inlineStr">
        <is>
          <t>Lisbon-Toronto</t>
        </is>
      </c>
      <c r="BU315" s="1412" t="n">
        <v>43434</v>
      </c>
      <c r="BV315" s="1398" t="inlineStr">
        <is>
          <t>.</t>
        </is>
      </c>
      <c r="BW315" s="1392" t="n"/>
      <c r="BX315" s="1392" t="n"/>
      <c r="BY315" s="1392" t="n"/>
      <c r="BZ315" s="1416" t="n"/>
      <c r="CA315" s="1392" t="n"/>
      <c r="CB315" s="1392" t="n"/>
      <c r="CC315" s="1392" t="n"/>
      <c r="CD315" s="1392" t="n"/>
      <c r="CE315" s="1392" t="n"/>
      <c r="CF315" s="1392" t="n"/>
      <c r="CG315" s="1392" t="n"/>
      <c r="CH315" s="1392" t="n"/>
      <c r="CI315" s="1392" t="n"/>
      <c r="CJ315" s="1392" t="n"/>
      <c r="CK315" s="1392" t="n"/>
      <c r="CL315" s="1392" t="n"/>
    </row>
    <row r="316">
      <c r="A316" s="5" t="inlineStr">
        <is>
          <t>.</t>
        </is>
      </c>
      <c r="B316" s="5" t="inlineStr">
        <is>
          <t>.</t>
        </is>
      </c>
      <c r="C316" s="1378">
        <f>IF(raw[[#This Row],[city]]="","-",IF(raw[[#This Row],[city]]="TODAY","-",C315+1))</f>
        <v/>
      </c>
      <c r="D316" s="1393" t="inlineStr">
        <is>
          <t>SSA</t>
        </is>
      </c>
      <c r="E316" s="1394" t="n">
        <v>34700</v>
      </c>
      <c r="F316" s="1394" t="n">
        <v>34727</v>
      </c>
      <c r="G316" s="1393" t="n">
        <v>1</v>
      </c>
      <c r="H316" s="1393">
        <f>H315</f>
        <v/>
      </c>
      <c r="I316" s="1393" t="inlineStr">
        <is>
          <t>Ondina</t>
        </is>
      </c>
      <c r="J316" s="1393" t="inlineStr">
        <is>
          <t>REV</t>
        </is>
      </c>
      <c r="K316" s="1395">
        <f>IF(raw[[#This Row],[city]]&lt;&gt;"",_xlfn.XLOOKUP($D316,ccc[city],ccc[prov],"-"),"-")</f>
        <v/>
      </c>
      <c r="L316" s="1395">
        <f>IF(raw[[#This Row],[city]]&lt;&gt;"",_xlfn.XLOOKUP($D316,ccc[city],ccc[ctry],"-"),"-")</f>
        <v/>
      </c>
      <c r="M316" s="1395">
        <f>IF(raw[[#This Row],[city]]&lt;&gt;"",_xlfn.XLOOKUP($D316,ccc[city],ccc[cont],"-"),"-")</f>
        <v/>
      </c>
      <c r="N316" s="1396">
        <f>IF(raw[[#This Row],[city]]="","-",IF(raw[[#This Row],[cont]]="B",raw[[#This Row],[cont]],"W"))</f>
        <v/>
      </c>
      <c r="O316" s="1397">
        <f>IF(raw[[#This Row],[out]]=0,0,IF(raw[[#This Row],[out]]=raw[[#This Row],[in]],0.01,raw[[#This Row],[out]]-raw[[#This Row],[in]]))</f>
        <v/>
      </c>
      <c r="P316" s="1397">
        <f>IF(raw[[#This Row],[in]]=0,0,MONTH(raw[[#This Row],[in]]))</f>
        <v/>
      </c>
      <c r="Q316" s="1397">
        <f>IF(raw[[#This Row],[in]]=0,0,YEAR(raw[[#This Row],[in]]))</f>
        <v/>
      </c>
      <c r="R316" s="1397">
        <f>INT(raw[[#This Row],[yr]]/10)*10</f>
        <v/>
      </c>
      <c r="S316" s="1395">
        <f>IF(raw[[#This Row],[city]]="","-",IF(raw[[#This Row],[city]]&lt;&gt;_xlfn.XLOOKUP(raw[[#This Row],[home]],homes[home],homes[city],"-"),1,0))</f>
        <v/>
      </c>
      <c r="T316" s="1398" t="inlineStr">
        <is>
          <t>.</t>
        </is>
      </c>
      <c r="U316" s="1399">
        <f>IF(raw[[#This Row],[wb]]="w",raw[[#This Row],[stay]]+U315,U315)</f>
        <v/>
      </c>
      <c r="V316" s="1400">
        <f>IF(raw[[#This Row],[out]]=0,V315,(raw[[#This Row],[out]]-E$5))</f>
        <v/>
      </c>
      <c r="W316" s="1401">
        <f>U316/V316</f>
        <v/>
      </c>
      <c r="X316" s="1378" t="inlineStr">
        <is>
          <t>.</t>
        </is>
      </c>
      <c r="Y316" s="1402">
        <f/>
        <v/>
      </c>
      <c r="Z316" s="1403">
        <f/>
        <v/>
      </c>
      <c r="AA316" s="1403">
        <f/>
        <v/>
      </c>
      <c r="AB316" s="1400">
        <f t="array" ref="AB316">_xlfn.LET(_xlpm.S,_xlfn.ANCHORARRAY($Y$4),_xlpm.r,ROWS(stayCity[[#Headers],[city]]:stayCity[[#This Row],[city]])-1,IF(_xlpm.r&lt;=ROWS(_xlpm.S),INDEX(_xlpm.S,_xlpm.r,1),""))</f>
        <v/>
      </c>
      <c r="AC316" s="1405">
        <f t="array" ref="AC316">_xlfn.LET(_xlpm.S,_xlfn.ANCHORARRAY($Y$4),_xlpm.r,ROWS(stayCity[[#Headers],[city]]:stayCity[[#This Row],[city]])-1,IF(_xlpm.r&lt;=ROWS(_xlpm.S),INDEX(_xlpm.S,_xlpm.r,2),""))</f>
        <v/>
      </c>
      <c r="AD316" s="1405">
        <f t="array" ref="AD316">_xlfn.LET(_xlpm.S,_xlfn.ANCHORARRAY($Y$4),_xlpm.r,ROWS(stayCity[[#Headers],[city]]:stayCity[[#This Row],[city]])-1,IF(_xlpm.r&lt;=ROWS(_xlpm.S),INDEX(_xlpm.S,_xlpm.r,3),""))</f>
        <v/>
      </c>
      <c r="AE316" s="1400">
        <f>IF(stayCity[[#This Row],[out]]&lt;&gt;"",stayCity[[#This Row],[out]]-stayCity[[#This Row],[in]],"-")</f>
        <v/>
      </c>
      <c r="AF316" s="1406">
        <f>IF(Y316="","-",YEAR(stayCity[[#This Row],[in]]))</f>
        <v/>
      </c>
      <c r="AG316" s="1392" t="n"/>
      <c r="AH316" s="1392" t="n"/>
      <c r="AI316" s="1392" t="n"/>
      <c r="AJ316" s="1392" t="n"/>
      <c r="AK316" s="1392" t="n"/>
      <c r="AL316" s="1392" t="n"/>
      <c r="AM316" s="1392" t="n"/>
      <c r="AN316" s="1392" t="n"/>
      <c r="AO316" s="1392" t="n"/>
      <c r="AP316" s="1392" t="n"/>
      <c r="AQ316" s="1392" t="n"/>
      <c r="AR316" s="1392" t="n"/>
      <c r="AS316" s="1422" t="n"/>
      <c r="AT316" s="1392" t="n"/>
      <c r="AU316" s="1392" t="n"/>
      <c r="AV316" s="1392" t="n"/>
      <c r="AW316" s="1392" t="n"/>
      <c r="AX316" s="1392" t="n"/>
      <c r="AY316" s="1392" t="n"/>
      <c r="AZ316" s="1392" t="n"/>
      <c r="BA316" s="1392" t="n"/>
      <c r="BB316" s="1422" t="n"/>
      <c r="BC316" s="1392" t="n"/>
      <c r="BD316" s="1392" t="n"/>
      <c r="BE316" s="1392" t="n"/>
      <c r="BF316" s="1392" t="n"/>
      <c r="BG316" s="1392" t="n"/>
      <c r="BH316" s="1392" t="n"/>
      <c r="BI316" s="1392" t="n"/>
      <c r="BJ316" s="1392" t="n"/>
      <c r="BK316" s="1392" t="n"/>
      <c r="BL316" s="1392" t="n"/>
      <c r="BM316" s="1392" t="n"/>
      <c r="BN316" s="1392" t="n"/>
      <c r="BO316" s="1392" t="n"/>
      <c r="BP316" s="1398" t="inlineStr">
        <is>
          <t>.</t>
        </is>
      </c>
      <c r="BQ316" s="1400">
        <f>IF(BR316&lt;&gt;"",BQ315+1,BQ315)</f>
        <v/>
      </c>
      <c r="BR316" s="1411" t="inlineStr">
        <is>
          <t>Toronto</t>
        </is>
      </c>
      <c r="BS316" s="1411" t="inlineStr">
        <is>
          <t>Montreal</t>
        </is>
      </c>
      <c r="BT316" s="1411" t="inlineStr">
        <is>
          <t>Toronto-Montreal</t>
        </is>
      </c>
      <c r="BU316" s="1412" t="n">
        <v>43434</v>
      </c>
      <c r="BV316" s="1398" t="inlineStr">
        <is>
          <t>.</t>
        </is>
      </c>
      <c r="BW316" s="1392" t="n"/>
      <c r="BX316" s="1392" t="n"/>
      <c r="BY316" s="1392" t="n"/>
      <c r="BZ316" s="1416" t="n"/>
      <c r="CA316" s="1392" t="n"/>
      <c r="CB316" s="1392" t="n"/>
      <c r="CC316" s="1392" t="n"/>
      <c r="CD316" s="1392" t="n"/>
      <c r="CE316" s="1392" t="n"/>
      <c r="CF316" s="1392" t="n"/>
      <c r="CG316" s="1392" t="n"/>
      <c r="CH316" s="1392" t="n"/>
      <c r="CI316" s="1392" t="n"/>
      <c r="CJ316" s="1392" t="n"/>
      <c r="CK316" s="1392" t="n"/>
      <c r="CL316" s="1392" t="n"/>
    </row>
    <row r="317">
      <c r="A317" s="5" t="inlineStr">
        <is>
          <t>.</t>
        </is>
      </c>
      <c r="B317" s="5" t="inlineStr">
        <is>
          <t>.</t>
        </is>
      </c>
      <c r="C317" s="1378">
        <f>IF(raw[[#This Row],[city]]="","-",IF(raw[[#This Row],[city]]="TODAY","-",C316+1))</f>
        <v/>
      </c>
      <c r="D317" s="1393" t="inlineStr">
        <is>
          <t>AIR</t>
        </is>
      </c>
      <c r="E317" s="1394" t="n">
        <v>34727</v>
      </c>
      <c r="F317" s="1394" t="n">
        <v>34728</v>
      </c>
      <c r="G317" s="1393" t="inlineStr">
        <is>
          <t>x</t>
        </is>
      </c>
      <c r="H317" s="1393">
        <f>H316</f>
        <v/>
      </c>
      <c r="I317" s="1393" t="inlineStr">
        <is>
          <t>-</t>
        </is>
      </c>
      <c r="J317" s="1393" t="inlineStr">
        <is>
          <t>-</t>
        </is>
      </c>
      <c r="K317" s="1395">
        <f>IF(raw[[#This Row],[city]]&lt;&gt;"",_xlfn.XLOOKUP($D317,ccc[city],ccc[prov],"-"),"-")</f>
        <v/>
      </c>
      <c r="L317" s="1395">
        <f>IF(raw[[#This Row],[city]]&lt;&gt;"",_xlfn.XLOOKUP($D317,ccc[city],ccc[ctry],"-"),"-")</f>
        <v/>
      </c>
      <c r="M317" s="1395">
        <f>IF(raw[[#This Row],[city]]&lt;&gt;"",_xlfn.XLOOKUP($D317,ccc[city],ccc[cont],"-"),"-")</f>
        <v/>
      </c>
      <c r="N317" s="1396">
        <f>IF(raw[[#This Row],[city]]="","-",IF(raw[[#This Row],[cont]]="B",raw[[#This Row],[cont]],"W"))</f>
        <v/>
      </c>
      <c r="O317" s="1397">
        <f>IF(raw[[#This Row],[out]]=0,0,IF(raw[[#This Row],[out]]=raw[[#This Row],[in]],0.01,raw[[#This Row],[out]]-raw[[#This Row],[in]]))</f>
        <v/>
      </c>
      <c r="P317" s="1397">
        <f>IF(raw[[#This Row],[in]]=0,0,MONTH(raw[[#This Row],[in]]))</f>
        <v/>
      </c>
      <c r="Q317" s="1397">
        <f>IF(raw[[#This Row],[in]]=0,0,YEAR(raw[[#This Row],[in]]))</f>
        <v/>
      </c>
      <c r="R317" s="1397">
        <f>INT(raw[[#This Row],[yr]]/10)*10</f>
        <v/>
      </c>
      <c r="S317" s="1395">
        <f>IF(raw[[#This Row],[city]]="","-",IF(raw[[#This Row],[city]]&lt;&gt;_xlfn.XLOOKUP(raw[[#This Row],[home]],homes[home],homes[city],"-"),1,0))</f>
        <v/>
      </c>
      <c r="T317" s="1398" t="inlineStr">
        <is>
          <t>.</t>
        </is>
      </c>
      <c r="U317" s="1399">
        <f>IF(raw[[#This Row],[wb]]="w",raw[[#This Row],[stay]]+U316,U316)</f>
        <v/>
      </c>
      <c r="V317" s="1400">
        <f>IF(raw[[#This Row],[out]]=0,V316,(raw[[#This Row],[out]]-E$5))</f>
        <v/>
      </c>
      <c r="W317" s="1401">
        <f>U317/V317</f>
        <v/>
      </c>
      <c r="X317" s="1378" t="inlineStr">
        <is>
          <t>.</t>
        </is>
      </c>
      <c r="Y317" s="1402">
        <f/>
        <v/>
      </c>
      <c r="Z317" s="1403">
        <f/>
        <v/>
      </c>
      <c r="AA317" s="1403">
        <f/>
        <v/>
      </c>
      <c r="AB317" s="1400">
        <f t="array" ref="AB317">_xlfn.LET(_xlpm.S,_xlfn.ANCHORARRAY($Y$4),_xlpm.r,ROWS(stayCity[[#Headers],[city]]:stayCity[[#This Row],[city]])-1,IF(_xlpm.r&lt;=ROWS(_xlpm.S),INDEX(_xlpm.S,_xlpm.r,1),""))</f>
        <v/>
      </c>
      <c r="AC317" s="1405">
        <f t="array" ref="AC317">_xlfn.LET(_xlpm.S,_xlfn.ANCHORARRAY($Y$4),_xlpm.r,ROWS(stayCity[[#Headers],[city]]:stayCity[[#This Row],[city]])-1,IF(_xlpm.r&lt;=ROWS(_xlpm.S),INDEX(_xlpm.S,_xlpm.r,2),""))</f>
        <v/>
      </c>
      <c r="AD317" s="1405">
        <f t="array" ref="AD317">_xlfn.LET(_xlpm.S,_xlfn.ANCHORARRAY($Y$4),_xlpm.r,ROWS(stayCity[[#Headers],[city]]:stayCity[[#This Row],[city]])-1,IF(_xlpm.r&lt;=ROWS(_xlpm.S),INDEX(_xlpm.S,_xlpm.r,3),""))</f>
        <v/>
      </c>
      <c r="AE317" s="1400">
        <f>IF(stayCity[[#This Row],[out]]&lt;&gt;"",stayCity[[#This Row],[out]]-stayCity[[#This Row],[in]],"-")</f>
        <v/>
      </c>
      <c r="AF317" s="1406">
        <f>IF(Y317="","-",YEAR(stayCity[[#This Row],[in]]))</f>
        <v/>
      </c>
      <c r="AG317" s="1392" t="n"/>
      <c r="AH317" s="1392" t="n"/>
      <c r="AI317" s="1392" t="n"/>
      <c r="AJ317" s="1392" t="n"/>
      <c r="AK317" s="1392" t="n"/>
      <c r="AL317" s="1392" t="n"/>
      <c r="AM317" s="1392" t="n"/>
      <c r="AN317" s="1392" t="n"/>
      <c r="AO317" s="1392" t="n"/>
      <c r="AP317" s="1392" t="n"/>
      <c r="AQ317" s="1392" t="n"/>
      <c r="AR317" s="1392" t="n"/>
      <c r="AS317" s="1422" t="n"/>
      <c r="AT317" s="1392" t="n"/>
      <c r="AU317" s="1392" t="n"/>
      <c r="AV317" s="1392" t="n"/>
      <c r="AW317" s="1392" t="n"/>
      <c r="AX317" s="1392" t="n"/>
      <c r="AY317" s="1392" t="n"/>
      <c r="AZ317" s="1392" t="n"/>
      <c r="BA317" s="1392" t="n"/>
      <c r="BB317" s="1422" t="n"/>
      <c r="BC317" s="1392" t="n"/>
      <c r="BD317" s="1392" t="n"/>
      <c r="BE317" s="1392" t="n"/>
      <c r="BF317" s="1392" t="n"/>
      <c r="BG317" s="1392" t="n"/>
      <c r="BH317" s="1392" t="n"/>
      <c r="BI317" s="1392" t="n"/>
      <c r="BJ317" s="1392" t="n"/>
      <c r="BK317" s="1392" t="n"/>
      <c r="BL317" s="1392" t="n"/>
      <c r="BM317" s="1392" t="n"/>
      <c r="BN317" s="1392" t="n"/>
      <c r="BO317" s="1392" t="n"/>
      <c r="BP317" s="1398" t="inlineStr">
        <is>
          <t>.</t>
        </is>
      </c>
      <c r="BQ317" s="1400">
        <f>IF(BR317&lt;&gt;"",BQ316+1,BQ316)</f>
        <v/>
      </c>
      <c r="BR317" s="1411" t="inlineStr">
        <is>
          <t>Montreal</t>
        </is>
      </c>
      <c r="BS317" s="1411" t="inlineStr">
        <is>
          <t>Panama</t>
        </is>
      </c>
      <c r="BT317" s="1411" t="inlineStr">
        <is>
          <t>Montreal-Panama</t>
        </is>
      </c>
      <c r="BU317" s="1412" t="n">
        <v>43515</v>
      </c>
      <c r="BV317" s="1398" t="inlineStr">
        <is>
          <t>.</t>
        </is>
      </c>
      <c r="BW317" s="1392" t="n"/>
      <c r="BX317" s="1392" t="n"/>
      <c r="BY317" s="1392" t="n"/>
      <c r="BZ317" s="1416" t="n"/>
      <c r="CA317" s="1392" t="n"/>
      <c r="CB317" s="1392" t="n"/>
      <c r="CC317" s="1392" t="n"/>
      <c r="CD317" s="1392" t="n"/>
      <c r="CE317" s="1392" t="n"/>
      <c r="CF317" s="1392" t="n"/>
      <c r="CG317" s="1392" t="n"/>
      <c r="CH317" s="1392" t="n"/>
      <c r="CI317" s="1392" t="n"/>
      <c r="CJ317" s="1392" t="n"/>
      <c r="CK317" s="1392" t="n"/>
      <c r="CL317" s="1392" t="n"/>
    </row>
    <row r="318">
      <c r="A318" s="5" t="inlineStr">
        <is>
          <t>.</t>
        </is>
      </c>
      <c r="B318" s="5" t="inlineStr">
        <is>
          <t>.</t>
        </is>
      </c>
      <c r="C318" s="1378">
        <f>IF(raw[[#This Row],[city]]="","-",IF(raw[[#This Row],[city]]="TODAY","-",C317+1))</f>
        <v/>
      </c>
      <c r="D318" s="1393" t="inlineStr">
        <is>
          <t>Lisbon</t>
        </is>
      </c>
      <c r="E318" s="1394" t="n">
        <v>34728</v>
      </c>
      <c r="F318" s="1394" t="n">
        <v>34728</v>
      </c>
      <c r="G318" s="1393" t="inlineStr">
        <is>
          <t>-</t>
        </is>
      </c>
      <c r="H318" s="1393">
        <f>H317</f>
        <v/>
      </c>
      <c r="I318" s="1393" t="inlineStr">
        <is>
          <t>-</t>
        </is>
      </c>
      <c r="J318" s="1393" t="inlineStr">
        <is>
          <t>-</t>
        </is>
      </c>
      <c r="K318" s="1395">
        <f>IF(raw[[#This Row],[city]]&lt;&gt;"",_xlfn.XLOOKUP($D318,ccc[city],ccc[prov],"-"),"-")</f>
        <v/>
      </c>
      <c r="L318" s="1395">
        <f>IF(raw[[#This Row],[city]]&lt;&gt;"",_xlfn.XLOOKUP($D318,ccc[city],ccc[ctry],"-"),"-")</f>
        <v/>
      </c>
      <c r="M318" s="1395">
        <f>IF(raw[[#This Row],[city]]&lt;&gt;"",_xlfn.XLOOKUP($D318,ccc[city],ccc[cont],"-"),"-")</f>
        <v/>
      </c>
      <c r="N318" s="1396">
        <f>IF(raw[[#This Row],[city]]="","-",IF(raw[[#This Row],[cont]]="B",raw[[#This Row],[cont]],"W"))</f>
        <v/>
      </c>
      <c r="O318" s="1397">
        <f>IF(raw[[#This Row],[out]]=0,0,IF(raw[[#This Row],[out]]=raw[[#This Row],[in]],0.01,raw[[#This Row],[out]]-raw[[#This Row],[in]]))</f>
        <v/>
      </c>
      <c r="P318" s="1397">
        <f>IF(raw[[#This Row],[in]]=0,0,MONTH(raw[[#This Row],[in]]))</f>
        <v/>
      </c>
      <c r="Q318" s="1397">
        <f>IF(raw[[#This Row],[in]]=0,0,YEAR(raw[[#This Row],[in]]))</f>
        <v/>
      </c>
      <c r="R318" s="1397">
        <f>INT(raw[[#This Row],[yr]]/10)*10</f>
        <v/>
      </c>
      <c r="S318" s="1395">
        <f>IF(raw[[#This Row],[city]]="","-",IF(raw[[#This Row],[city]]&lt;&gt;_xlfn.XLOOKUP(raw[[#This Row],[home]],homes[home],homes[city],"-"),1,0))</f>
        <v/>
      </c>
      <c r="T318" s="1398" t="inlineStr">
        <is>
          <t>.</t>
        </is>
      </c>
      <c r="U318" s="1399">
        <f>IF(raw[[#This Row],[wb]]="w",raw[[#This Row],[stay]]+U317,U317)</f>
        <v/>
      </c>
      <c r="V318" s="1400">
        <f>IF(raw[[#This Row],[out]]=0,V317,(raw[[#This Row],[out]]-E$5))</f>
        <v/>
      </c>
      <c r="W318" s="1401">
        <f>U318/V318</f>
        <v/>
      </c>
      <c r="X318" s="1378" t="inlineStr">
        <is>
          <t>.</t>
        </is>
      </c>
      <c r="Y318" s="1402">
        <f/>
        <v/>
      </c>
      <c r="Z318" s="1403">
        <f/>
        <v/>
      </c>
      <c r="AA318" s="1403">
        <f/>
        <v/>
      </c>
      <c r="AB318" s="1400">
        <f t="array" ref="AB318">_xlfn.LET(_xlpm.S,_xlfn.ANCHORARRAY($Y$4),_xlpm.r,ROWS(stayCity[[#Headers],[city]]:stayCity[[#This Row],[city]])-1,IF(_xlpm.r&lt;=ROWS(_xlpm.S),INDEX(_xlpm.S,_xlpm.r,1),""))</f>
        <v/>
      </c>
      <c r="AC318" s="1405">
        <f t="array" ref="AC318">_xlfn.LET(_xlpm.S,_xlfn.ANCHORARRAY($Y$4),_xlpm.r,ROWS(stayCity[[#Headers],[city]]:stayCity[[#This Row],[city]])-1,IF(_xlpm.r&lt;=ROWS(_xlpm.S),INDEX(_xlpm.S,_xlpm.r,2),""))</f>
        <v/>
      </c>
      <c r="AD318" s="1405">
        <f t="array" ref="AD318">_xlfn.LET(_xlpm.S,_xlfn.ANCHORARRAY($Y$4),_xlpm.r,ROWS(stayCity[[#Headers],[city]]:stayCity[[#This Row],[city]])-1,IF(_xlpm.r&lt;=ROWS(_xlpm.S),INDEX(_xlpm.S,_xlpm.r,3),""))</f>
        <v/>
      </c>
      <c r="AE318" s="1400">
        <f>IF(stayCity[[#This Row],[out]]&lt;&gt;"",stayCity[[#This Row],[out]]-stayCity[[#This Row],[in]],"-")</f>
        <v/>
      </c>
      <c r="AF318" s="1406">
        <f>IF(Y318="","-",YEAR(stayCity[[#This Row],[in]]))</f>
        <v/>
      </c>
      <c r="AG318" s="1392" t="n"/>
      <c r="AH318" s="1392" t="n"/>
      <c r="AI318" s="1392" t="n"/>
      <c r="AJ318" s="1392" t="n"/>
      <c r="AK318" s="1392" t="n"/>
      <c r="AL318" s="1392" t="n"/>
      <c r="AM318" s="1392" t="n"/>
      <c r="AN318" s="1392" t="n"/>
      <c r="AO318" s="1392" t="n"/>
      <c r="AP318" s="1392" t="n"/>
      <c r="AQ318" s="1392" t="n"/>
      <c r="AR318" s="1392" t="n"/>
      <c r="AS318" s="1422" t="n"/>
      <c r="AT318" s="1392" t="n"/>
      <c r="AU318" s="1392" t="n"/>
      <c r="AV318" s="1392" t="n"/>
      <c r="AW318" s="1392" t="n"/>
      <c r="AX318" s="1392" t="n"/>
      <c r="AY318" s="1392" t="n"/>
      <c r="AZ318" s="1392" t="n"/>
      <c r="BA318" s="1392" t="n"/>
      <c r="BB318" s="1422" t="n"/>
      <c r="BC318" s="1392" t="n"/>
      <c r="BD318" s="1392" t="n"/>
      <c r="BE318" s="1392" t="n"/>
      <c r="BF318" s="1392" t="n"/>
      <c r="BG318" s="1392" t="n"/>
      <c r="BH318" s="1392" t="n"/>
      <c r="BI318" s="1392" t="n"/>
      <c r="BJ318" s="1392" t="n"/>
      <c r="BK318" s="1392" t="n"/>
      <c r="BL318" s="1392" t="n"/>
      <c r="BM318" s="1392" t="n"/>
      <c r="BN318" s="1392" t="n"/>
      <c r="BO318" s="1392" t="n"/>
      <c r="BP318" s="1398" t="inlineStr">
        <is>
          <t>.</t>
        </is>
      </c>
      <c r="BQ318" s="1400">
        <f>IF(BR318&lt;&gt;"",BQ317+1,BQ317)</f>
        <v/>
      </c>
      <c r="BR318" s="1411" t="inlineStr">
        <is>
          <t>Panama</t>
        </is>
      </c>
      <c r="BS318" s="1411" t="inlineStr">
        <is>
          <t>SSA</t>
        </is>
      </c>
      <c r="BT318" s="1411" t="inlineStr">
        <is>
          <t>Panama-SSA</t>
        </is>
      </c>
      <c r="BU318" s="1412" t="n">
        <v>43515</v>
      </c>
      <c r="BV318" s="1398" t="inlineStr">
        <is>
          <t>.</t>
        </is>
      </c>
      <c r="BW318" s="1392" t="n"/>
      <c r="BX318" s="1392" t="n"/>
      <c r="BY318" s="1392" t="n"/>
      <c r="BZ318" s="1416" t="n"/>
      <c r="CA318" s="1392" t="n"/>
      <c r="CB318" s="1392" t="n"/>
      <c r="CC318" s="1392" t="n"/>
      <c r="CD318" s="1392" t="n"/>
      <c r="CE318" s="1392" t="n"/>
      <c r="CF318" s="1392" t="n"/>
      <c r="CG318" s="1392" t="n"/>
      <c r="CH318" s="1392" t="n"/>
      <c r="CI318" s="1392" t="n"/>
      <c r="CJ318" s="1392" t="n"/>
      <c r="CK318" s="1392" t="n"/>
      <c r="CL318" s="1392" t="n"/>
    </row>
    <row r="319">
      <c r="A319" s="5" t="inlineStr">
        <is>
          <t>.</t>
        </is>
      </c>
      <c r="B319" s="5" t="inlineStr">
        <is>
          <t>.</t>
        </is>
      </c>
      <c r="C319" s="1378">
        <f>IF(raw[[#This Row],[city]]="","-",IF(raw[[#This Row],[city]]="TODAY","-",C318+1))</f>
        <v/>
      </c>
      <c r="D319" s="1393" t="inlineStr">
        <is>
          <t>Evora</t>
        </is>
      </c>
      <c r="E319" s="1394" t="n">
        <v>34728</v>
      </c>
      <c r="F319" s="1394" t="n">
        <v>34729</v>
      </c>
      <c r="G319" s="1393" t="inlineStr">
        <is>
          <t>-</t>
        </is>
      </c>
      <c r="H319" s="1393">
        <f>H318</f>
        <v/>
      </c>
      <c r="I319" s="1393" t="inlineStr">
        <is>
          <t>-</t>
        </is>
      </c>
      <c r="J319" s="1393" t="inlineStr">
        <is>
          <t>-</t>
        </is>
      </c>
      <c r="K319" s="1395">
        <f>IF(raw[[#This Row],[city]]&lt;&gt;"",_xlfn.XLOOKUP($D319,ccc[city],ccc[prov],"-"),"-")</f>
        <v/>
      </c>
      <c r="L319" s="1395">
        <f>IF(raw[[#This Row],[city]]&lt;&gt;"",_xlfn.XLOOKUP($D319,ccc[city],ccc[ctry],"-"),"-")</f>
        <v/>
      </c>
      <c r="M319" s="1395">
        <f>IF(raw[[#This Row],[city]]&lt;&gt;"",_xlfn.XLOOKUP($D319,ccc[city],ccc[cont],"-"),"-")</f>
        <v/>
      </c>
      <c r="N319" s="1396">
        <f>IF(raw[[#This Row],[city]]="","-",IF(raw[[#This Row],[cont]]="B",raw[[#This Row],[cont]],"W"))</f>
        <v/>
      </c>
      <c r="O319" s="1397">
        <f>IF(raw[[#This Row],[out]]=0,0,IF(raw[[#This Row],[out]]=raw[[#This Row],[in]],0.01,raw[[#This Row],[out]]-raw[[#This Row],[in]]))</f>
        <v/>
      </c>
      <c r="P319" s="1397">
        <f>IF(raw[[#This Row],[in]]=0,0,MONTH(raw[[#This Row],[in]]))</f>
        <v/>
      </c>
      <c r="Q319" s="1397">
        <f>IF(raw[[#This Row],[in]]=0,0,YEAR(raw[[#This Row],[in]]))</f>
        <v/>
      </c>
      <c r="R319" s="1397">
        <f>INT(raw[[#This Row],[yr]]/10)*10</f>
        <v/>
      </c>
      <c r="S319" s="1395">
        <f>IF(raw[[#This Row],[city]]="","-",IF(raw[[#This Row],[city]]&lt;&gt;_xlfn.XLOOKUP(raw[[#This Row],[home]],homes[home],homes[city],"-"),1,0))</f>
        <v/>
      </c>
      <c r="T319" s="1398" t="inlineStr">
        <is>
          <t>.</t>
        </is>
      </c>
      <c r="U319" s="1399">
        <f>IF(raw[[#This Row],[wb]]="w",raw[[#This Row],[stay]]+U318,U318)</f>
        <v/>
      </c>
      <c r="V319" s="1400">
        <f>IF(raw[[#This Row],[out]]=0,V318,(raw[[#This Row],[out]]-E$5))</f>
        <v/>
      </c>
      <c r="W319" s="1401">
        <f>U319/V319</f>
        <v/>
      </c>
      <c r="X319" s="1378" t="inlineStr">
        <is>
          <t>.</t>
        </is>
      </c>
      <c r="Y319" s="1402">
        <f/>
        <v/>
      </c>
      <c r="Z319" s="1403">
        <f/>
        <v/>
      </c>
      <c r="AA319" s="1403">
        <f/>
        <v/>
      </c>
      <c r="AB319" s="1400">
        <f t="array" ref="AB319">_xlfn.LET(_xlpm.S,_xlfn.ANCHORARRAY($Y$4),_xlpm.r,ROWS(stayCity[[#Headers],[city]]:stayCity[[#This Row],[city]])-1,IF(_xlpm.r&lt;=ROWS(_xlpm.S),INDEX(_xlpm.S,_xlpm.r,1),""))</f>
        <v/>
      </c>
      <c r="AC319" s="1405">
        <f t="array" ref="AC319">_xlfn.LET(_xlpm.S,_xlfn.ANCHORARRAY($Y$4),_xlpm.r,ROWS(stayCity[[#Headers],[city]]:stayCity[[#This Row],[city]])-1,IF(_xlpm.r&lt;=ROWS(_xlpm.S),INDEX(_xlpm.S,_xlpm.r,2),""))</f>
        <v/>
      </c>
      <c r="AD319" s="1405">
        <f t="array" ref="AD319">_xlfn.LET(_xlpm.S,_xlfn.ANCHORARRAY($Y$4),_xlpm.r,ROWS(stayCity[[#Headers],[city]]:stayCity[[#This Row],[city]])-1,IF(_xlpm.r&lt;=ROWS(_xlpm.S),INDEX(_xlpm.S,_xlpm.r,3),""))</f>
        <v/>
      </c>
      <c r="AE319" s="1400">
        <f>IF(stayCity[[#This Row],[out]]&lt;&gt;"",stayCity[[#This Row],[out]]-stayCity[[#This Row],[in]],"-")</f>
        <v/>
      </c>
      <c r="AF319" s="1406">
        <f>IF(Y319="","-",YEAR(stayCity[[#This Row],[in]]))</f>
        <v/>
      </c>
      <c r="AG319" s="1392" t="n"/>
      <c r="AH319" s="1392" t="n"/>
      <c r="AI319" s="1392" t="n"/>
      <c r="AJ319" s="1392" t="n"/>
      <c r="AK319" s="1392" t="n"/>
      <c r="AL319" s="1392" t="n"/>
      <c r="AM319" s="1392" t="n"/>
      <c r="AN319" s="1392" t="n"/>
      <c r="AO319" s="1392" t="n"/>
      <c r="AP319" s="1392" t="n"/>
      <c r="AQ319" s="1392" t="n"/>
      <c r="AR319" s="1392" t="n"/>
      <c r="AS319" s="1422" t="n"/>
      <c r="AT319" s="1392" t="n"/>
      <c r="AU319" s="1392" t="n"/>
      <c r="AV319" s="1392" t="n"/>
      <c r="AW319" s="1392" t="n"/>
      <c r="AX319" s="1392" t="n"/>
      <c r="AY319" s="1392" t="n"/>
      <c r="AZ319" s="1392" t="n"/>
      <c r="BA319" s="1392" t="n"/>
      <c r="BB319" s="1422" t="n"/>
      <c r="BC319" s="1392" t="n"/>
      <c r="BD319" s="1392" t="n"/>
      <c r="BE319" s="1392" t="n"/>
      <c r="BF319" s="1392" t="n"/>
      <c r="BG319" s="1392" t="n"/>
      <c r="BH319" s="1392" t="n"/>
      <c r="BI319" s="1392" t="n"/>
      <c r="BJ319" s="1392" t="n"/>
      <c r="BK319" s="1392" t="n"/>
      <c r="BL319" s="1392" t="n"/>
      <c r="BM319" s="1392" t="n"/>
      <c r="BN319" s="1392" t="n"/>
      <c r="BO319" s="1392" t="n"/>
      <c r="BP319" s="1398" t="inlineStr">
        <is>
          <t>.</t>
        </is>
      </c>
      <c r="BQ319" s="1400">
        <f>IF(BR319&lt;&gt;"",BQ318+1,BQ318)</f>
        <v/>
      </c>
      <c r="BR319" s="1411" t="inlineStr">
        <is>
          <t>SSA</t>
        </is>
      </c>
      <c r="BS319" s="1411" t="inlineStr">
        <is>
          <t>Rio</t>
        </is>
      </c>
      <c r="BT319" s="1411" t="inlineStr">
        <is>
          <t>SSA-Rio</t>
        </is>
      </c>
      <c r="BU319" s="1412" t="n">
        <v>43538</v>
      </c>
      <c r="BV319" s="1398" t="inlineStr">
        <is>
          <t>.</t>
        </is>
      </c>
      <c r="BW319" s="1392" t="n"/>
      <c r="BX319" s="1392" t="n"/>
      <c r="BY319" s="1392" t="n"/>
      <c r="BZ319" s="1416" t="n"/>
      <c r="CA319" s="1392" t="n"/>
      <c r="CB319" s="1392" t="n"/>
      <c r="CC319" s="1392" t="n"/>
      <c r="CD319" s="1392" t="n"/>
      <c r="CE319" s="1392" t="n"/>
      <c r="CF319" s="1392" t="n"/>
      <c r="CG319" s="1392" t="n"/>
      <c r="CH319" s="1392" t="n"/>
      <c r="CI319" s="1392" t="n"/>
      <c r="CJ319" s="1392" t="n"/>
      <c r="CK319" s="1392" t="n"/>
      <c r="CL319" s="1392" t="n"/>
    </row>
    <row r="320">
      <c r="A320" s="5" t="inlineStr">
        <is>
          <t>.</t>
        </is>
      </c>
      <c r="B320" s="5" t="inlineStr">
        <is>
          <t>.</t>
        </is>
      </c>
      <c r="C320" s="1378">
        <f>IF(raw[[#This Row],[city]]="","-",IF(raw[[#This Row],[city]]="TODAY","-",C319+1))</f>
        <v/>
      </c>
      <c r="D320" s="1393" t="inlineStr">
        <is>
          <t>Sevilla</t>
        </is>
      </c>
      <c r="E320" s="1394" t="n">
        <v>34729</v>
      </c>
      <c r="F320" s="1394" t="n">
        <v>34731</v>
      </c>
      <c r="G320" s="1393" t="inlineStr">
        <is>
          <t>-</t>
        </is>
      </c>
      <c r="H320" s="1393">
        <f>H319</f>
        <v/>
      </c>
      <c r="I320" s="1393" t="inlineStr">
        <is>
          <t>-</t>
        </is>
      </c>
      <c r="J320" s="1393" t="inlineStr">
        <is>
          <t>-</t>
        </is>
      </c>
      <c r="K320" s="1395">
        <f>IF(raw[[#This Row],[city]]&lt;&gt;"",_xlfn.XLOOKUP($D320,ccc[city],ccc[prov],"-"),"-")</f>
        <v/>
      </c>
      <c r="L320" s="1395">
        <f>IF(raw[[#This Row],[city]]&lt;&gt;"",_xlfn.XLOOKUP($D320,ccc[city],ccc[ctry],"-"),"-")</f>
        <v/>
      </c>
      <c r="M320" s="1395">
        <f>IF(raw[[#This Row],[city]]&lt;&gt;"",_xlfn.XLOOKUP($D320,ccc[city],ccc[cont],"-"),"-")</f>
        <v/>
      </c>
      <c r="N320" s="1396">
        <f>IF(raw[[#This Row],[city]]="","-",IF(raw[[#This Row],[cont]]="B",raw[[#This Row],[cont]],"W"))</f>
        <v/>
      </c>
      <c r="O320" s="1397">
        <f>IF(raw[[#This Row],[out]]=0,0,IF(raw[[#This Row],[out]]=raw[[#This Row],[in]],0.01,raw[[#This Row],[out]]-raw[[#This Row],[in]]))</f>
        <v/>
      </c>
      <c r="P320" s="1397">
        <f>IF(raw[[#This Row],[in]]=0,0,MONTH(raw[[#This Row],[in]]))</f>
        <v/>
      </c>
      <c r="Q320" s="1397">
        <f>IF(raw[[#This Row],[in]]=0,0,YEAR(raw[[#This Row],[in]]))</f>
        <v/>
      </c>
      <c r="R320" s="1397">
        <f>INT(raw[[#This Row],[yr]]/10)*10</f>
        <v/>
      </c>
      <c r="S320" s="1395">
        <f>IF(raw[[#This Row],[city]]="","-",IF(raw[[#This Row],[city]]&lt;&gt;_xlfn.XLOOKUP(raw[[#This Row],[home]],homes[home],homes[city],"-"),1,0))</f>
        <v/>
      </c>
      <c r="T320" s="1398" t="inlineStr">
        <is>
          <t>.</t>
        </is>
      </c>
      <c r="U320" s="1399">
        <f>IF(raw[[#This Row],[wb]]="w",raw[[#This Row],[stay]]+U319,U319)</f>
        <v/>
      </c>
      <c r="V320" s="1400">
        <f>IF(raw[[#This Row],[out]]=0,V319,(raw[[#This Row],[out]]-E$5))</f>
        <v/>
      </c>
      <c r="W320" s="1401">
        <f>U320/V320</f>
        <v/>
      </c>
      <c r="X320" s="1378" t="inlineStr">
        <is>
          <t>.</t>
        </is>
      </c>
      <c r="Y320" s="1402">
        <f/>
        <v/>
      </c>
      <c r="Z320" s="1403">
        <f/>
        <v/>
      </c>
      <c r="AA320" s="1403">
        <f/>
        <v/>
      </c>
      <c r="AB320" s="1400">
        <f t="array" ref="AB320">_xlfn.LET(_xlpm.S,_xlfn.ANCHORARRAY($Y$4),_xlpm.r,ROWS(stayCity[[#Headers],[city]]:stayCity[[#This Row],[city]])-1,IF(_xlpm.r&lt;=ROWS(_xlpm.S),INDEX(_xlpm.S,_xlpm.r,1),""))</f>
        <v/>
      </c>
      <c r="AC320" s="1405">
        <f t="array" ref="AC320">_xlfn.LET(_xlpm.S,_xlfn.ANCHORARRAY($Y$4),_xlpm.r,ROWS(stayCity[[#Headers],[city]]:stayCity[[#This Row],[city]])-1,IF(_xlpm.r&lt;=ROWS(_xlpm.S),INDEX(_xlpm.S,_xlpm.r,2),""))</f>
        <v/>
      </c>
      <c r="AD320" s="1405">
        <f t="array" ref="AD320">_xlfn.LET(_xlpm.S,_xlfn.ANCHORARRAY($Y$4),_xlpm.r,ROWS(stayCity[[#Headers],[city]]:stayCity[[#This Row],[city]])-1,IF(_xlpm.r&lt;=ROWS(_xlpm.S),INDEX(_xlpm.S,_xlpm.r,3),""))</f>
        <v/>
      </c>
      <c r="AE320" s="1400">
        <f>IF(stayCity[[#This Row],[out]]&lt;&gt;"",stayCity[[#This Row],[out]]-stayCity[[#This Row],[in]],"-")</f>
        <v/>
      </c>
      <c r="AF320" s="1406">
        <f>IF(Y320="","-",YEAR(stayCity[[#This Row],[in]]))</f>
        <v/>
      </c>
      <c r="AG320" s="1392" t="n"/>
      <c r="AH320" s="1392" t="n"/>
      <c r="AI320" s="1392" t="n"/>
      <c r="AJ320" s="1392" t="n"/>
      <c r="AK320" s="1392" t="n"/>
      <c r="AL320" s="1392" t="n"/>
      <c r="AM320" s="1392" t="n"/>
      <c r="AN320" s="1392" t="n"/>
      <c r="AO320" s="1392" t="n"/>
      <c r="AP320" s="1392" t="n"/>
      <c r="AQ320" s="1392" t="n"/>
      <c r="AR320" s="1392" t="n"/>
      <c r="AS320" s="1422" t="n"/>
      <c r="AT320" s="1392" t="n"/>
      <c r="AU320" s="1392" t="n"/>
      <c r="AV320" s="1392" t="n"/>
      <c r="AW320" s="1392" t="n"/>
      <c r="AX320" s="1392" t="n"/>
      <c r="AY320" s="1392" t="n"/>
      <c r="AZ320" s="1392" t="n"/>
      <c r="BA320" s="1392" t="n"/>
      <c r="BB320" s="1422" t="n"/>
      <c r="BC320" s="1392" t="n"/>
      <c r="BD320" s="1392" t="n"/>
      <c r="BE320" s="1392" t="n"/>
      <c r="BF320" s="1392" t="n"/>
      <c r="BG320" s="1392" t="n"/>
      <c r="BH320" s="1392" t="n"/>
      <c r="BI320" s="1392" t="n"/>
      <c r="BJ320" s="1392" t="n"/>
      <c r="BK320" s="1392" t="n"/>
      <c r="BL320" s="1392" t="n"/>
      <c r="BM320" s="1392" t="n"/>
      <c r="BN320" s="1392" t="n"/>
      <c r="BO320" s="1392" t="n"/>
      <c r="BP320" s="1398" t="inlineStr">
        <is>
          <t>.</t>
        </is>
      </c>
      <c r="BQ320" s="1400">
        <f>IF(BR320&lt;&gt;"",BQ319+1,BQ319)</f>
        <v/>
      </c>
      <c r="BR320" s="1411" t="inlineStr">
        <is>
          <t>Rio</t>
        </is>
      </c>
      <c r="BS320" s="1411" t="inlineStr">
        <is>
          <t>SSA</t>
        </is>
      </c>
      <c r="BT320" s="1411" t="inlineStr">
        <is>
          <t>Rio-SSA</t>
        </is>
      </c>
      <c r="BU320" s="1412" t="n">
        <v>43539</v>
      </c>
      <c r="BV320" s="1398" t="inlineStr">
        <is>
          <t>.</t>
        </is>
      </c>
      <c r="BW320" s="1392" t="n"/>
      <c r="BX320" s="1392" t="n"/>
      <c r="BY320" s="1392" t="n"/>
      <c r="BZ320" s="1416" t="n"/>
      <c r="CA320" s="1392" t="n"/>
      <c r="CB320" s="1392" t="n"/>
      <c r="CC320" s="1392" t="n"/>
      <c r="CD320" s="1392" t="n"/>
      <c r="CE320" s="1392" t="n"/>
      <c r="CF320" s="1392" t="n"/>
      <c r="CG320" s="1392" t="n"/>
      <c r="CH320" s="1392" t="n"/>
      <c r="CI320" s="1392" t="n"/>
      <c r="CJ320" s="1392" t="n"/>
      <c r="CK320" s="1392" t="n"/>
      <c r="CL320" s="1392" t="n"/>
    </row>
    <row r="321">
      <c r="A321" s="5" t="inlineStr">
        <is>
          <t>.</t>
        </is>
      </c>
      <c r="B321" s="5" t="inlineStr">
        <is>
          <t>.</t>
        </is>
      </c>
      <c r="C321" s="1378">
        <f>IF(raw[[#This Row],[city]]="","-",IF(raw[[#This Row],[city]]="TODAY","-",C320+1))</f>
        <v/>
      </c>
      <c r="D321" s="1393" t="inlineStr">
        <is>
          <t>Cadiz</t>
        </is>
      </c>
      <c r="E321" s="1394" t="n">
        <v>34731</v>
      </c>
      <c r="F321" s="1394" t="n">
        <v>34732</v>
      </c>
      <c r="G321" s="1393" t="inlineStr">
        <is>
          <t>-</t>
        </is>
      </c>
      <c r="H321" s="1393">
        <f>H320</f>
        <v/>
      </c>
      <c r="I321" s="1393" t="inlineStr">
        <is>
          <t>-</t>
        </is>
      </c>
      <c r="J321" s="1393" t="inlineStr">
        <is>
          <t>-</t>
        </is>
      </c>
      <c r="K321" s="1395">
        <f>IF(raw[[#This Row],[city]]&lt;&gt;"",_xlfn.XLOOKUP($D321,ccc[city],ccc[prov],"-"),"-")</f>
        <v/>
      </c>
      <c r="L321" s="1395">
        <f>IF(raw[[#This Row],[city]]&lt;&gt;"",_xlfn.XLOOKUP($D321,ccc[city],ccc[ctry],"-"),"-")</f>
        <v/>
      </c>
      <c r="M321" s="1395">
        <f>IF(raw[[#This Row],[city]]&lt;&gt;"",_xlfn.XLOOKUP($D321,ccc[city],ccc[cont],"-"),"-")</f>
        <v/>
      </c>
      <c r="N321" s="1396">
        <f>IF(raw[[#This Row],[city]]="","-",IF(raw[[#This Row],[cont]]="B",raw[[#This Row],[cont]],"W"))</f>
        <v/>
      </c>
      <c r="O321" s="1397">
        <f>IF(raw[[#This Row],[out]]=0,0,IF(raw[[#This Row],[out]]=raw[[#This Row],[in]],0.01,raw[[#This Row],[out]]-raw[[#This Row],[in]]))</f>
        <v/>
      </c>
      <c r="P321" s="1397">
        <f>IF(raw[[#This Row],[in]]=0,0,MONTH(raw[[#This Row],[in]]))</f>
        <v/>
      </c>
      <c r="Q321" s="1397">
        <f>IF(raw[[#This Row],[in]]=0,0,YEAR(raw[[#This Row],[in]]))</f>
        <v/>
      </c>
      <c r="R321" s="1397">
        <f>INT(raw[[#This Row],[yr]]/10)*10</f>
        <v/>
      </c>
      <c r="S321" s="1395">
        <f>IF(raw[[#This Row],[city]]="","-",IF(raw[[#This Row],[city]]&lt;&gt;_xlfn.XLOOKUP(raw[[#This Row],[home]],homes[home],homes[city],"-"),1,0))</f>
        <v/>
      </c>
      <c r="T321" s="1398" t="inlineStr">
        <is>
          <t>.</t>
        </is>
      </c>
      <c r="U321" s="1399">
        <f>IF(raw[[#This Row],[wb]]="w",raw[[#This Row],[stay]]+U320,U320)</f>
        <v/>
      </c>
      <c r="V321" s="1400">
        <f>IF(raw[[#This Row],[out]]=0,V320,(raw[[#This Row],[out]]-E$5))</f>
        <v/>
      </c>
      <c r="W321" s="1401">
        <f>U321/V321</f>
        <v/>
      </c>
      <c r="X321" s="1378" t="inlineStr">
        <is>
          <t>.</t>
        </is>
      </c>
      <c r="Y321" s="1402">
        <f/>
        <v/>
      </c>
      <c r="Z321" s="1403">
        <f/>
        <v/>
      </c>
      <c r="AA321" s="1403">
        <f/>
        <v/>
      </c>
      <c r="AB321" s="1400">
        <f t="array" ref="AB321">_xlfn.LET(_xlpm.S,_xlfn.ANCHORARRAY($Y$4),_xlpm.r,ROWS(stayCity[[#Headers],[city]]:stayCity[[#This Row],[city]])-1,IF(_xlpm.r&lt;=ROWS(_xlpm.S),INDEX(_xlpm.S,_xlpm.r,1),""))</f>
        <v/>
      </c>
      <c r="AC321" s="1405">
        <f t="array" ref="AC321">_xlfn.LET(_xlpm.S,_xlfn.ANCHORARRAY($Y$4),_xlpm.r,ROWS(stayCity[[#Headers],[city]]:stayCity[[#This Row],[city]])-1,IF(_xlpm.r&lt;=ROWS(_xlpm.S),INDEX(_xlpm.S,_xlpm.r,2),""))</f>
        <v/>
      </c>
      <c r="AD321" s="1405">
        <f t="array" ref="AD321">_xlfn.LET(_xlpm.S,_xlfn.ANCHORARRAY($Y$4),_xlpm.r,ROWS(stayCity[[#Headers],[city]]:stayCity[[#This Row],[city]])-1,IF(_xlpm.r&lt;=ROWS(_xlpm.S),INDEX(_xlpm.S,_xlpm.r,3),""))</f>
        <v/>
      </c>
      <c r="AE321" s="1400">
        <f>IF(stayCity[[#This Row],[out]]&lt;&gt;"",stayCity[[#This Row],[out]]-stayCity[[#This Row],[in]],"-")</f>
        <v/>
      </c>
      <c r="AF321" s="1406">
        <f>IF(Y321="","-",YEAR(stayCity[[#This Row],[in]]))</f>
        <v/>
      </c>
      <c r="AG321" s="1392" t="n"/>
      <c r="AH321" s="1392" t="n"/>
      <c r="AI321" s="1392" t="n"/>
      <c r="AJ321" s="1392" t="n"/>
      <c r="AK321" s="1392" t="n"/>
      <c r="AL321" s="1392" t="n"/>
      <c r="AM321" s="1392" t="n"/>
      <c r="AN321" s="1392" t="n"/>
      <c r="AO321" s="1392" t="n"/>
      <c r="AP321" s="1392" t="n"/>
      <c r="AQ321" s="1392" t="n"/>
      <c r="AR321" s="1392" t="n"/>
      <c r="AS321" s="1422" t="n"/>
      <c r="AT321" s="1392" t="n"/>
      <c r="AU321" s="1392" t="n"/>
      <c r="AV321" s="1392" t="n"/>
      <c r="AW321" s="1392" t="n"/>
      <c r="AX321" s="1392" t="n"/>
      <c r="AY321" s="1392" t="n"/>
      <c r="AZ321" s="1392" t="n"/>
      <c r="BA321" s="1392" t="n"/>
      <c r="BB321" s="1422" t="n"/>
      <c r="BC321" s="1392" t="n"/>
      <c r="BD321" s="1392" t="n"/>
      <c r="BE321" s="1392" t="n"/>
      <c r="BF321" s="1392" t="n"/>
      <c r="BG321" s="1392" t="n"/>
      <c r="BH321" s="1392" t="n"/>
      <c r="BI321" s="1392" t="n"/>
      <c r="BJ321" s="1392" t="n"/>
      <c r="BK321" s="1392" t="n"/>
      <c r="BL321" s="1392" t="n"/>
      <c r="BM321" s="1392" t="n"/>
      <c r="BN321" s="1392" t="n"/>
      <c r="BO321" s="1392" t="n"/>
      <c r="BP321" s="1398" t="inlineStr">
        <is>
          <t>.</t>
        </is>
      </c>
      <c r="BQ321" s="1400">
        <f>IF(BR321&lt;&gt;"",BQ320+1,BQ320)</f>
        <v/>
      </c>
      <c r="BR321" s="1411" t="inlineStr">
        <is>
          <t>SSA</t>
        </is>
      </c>
      <c r="BS321" s="1411" t="inlineStr">
        <is>
          <t>Rio</t>
        </is>
      </c>
      <c r="BT321" s="1411" t="inlineStr">
        <is>
          <t>SSA-Rio</t>
        </is>
      </c>
      <c r="BU321" s="1412" t="n">
        <v>43547</v>
      </c>
      <c r="BV321" s="1398" t="inlineStr">
        <is>
          <t>.</t>
        </is>
      </c>
      <c r="BW321" s="1392" t="n"/>
      <c r="BX321" s="1392" t="n"/>
      <c r="BY321" s="1392" t="n"/>
      <c r="BZ321" s="1416" t="n"/>
      <c r="CA321" s="1392" t="n"/>
      <c r="CB321" s="1392" t="n"/>
      <c r="CC321" s="1392" t="n"/>
      <c r="CD321" s="1392" t="n"/>
      <c r="CE321" s="1392" t="n"/>
      <c r="CF321" s="1392" t="n"/>
      <c r="CG321" s="1392" t="n"/>
      <c r="CH321" s="1392" t="n"/>
      <c r="CI321" s="1392" t="n"/>
      <c r="CJ321" s="1392" t="n"/>
      <c r="CK321" s="1392" t="n"/>
      <c r="CL321" s="1392" t="n"/>
    </row>
    <row r="322">
      <c r="A322" s="5" t="inlineStr">
        <is>
          <t>.</t>
        </is>
      </c>
      <c r="B322" s="5" t="inlineStr">
        <is>
          <t>.</t>
        </is>
      </c>
      <c r="C322" s="1378">
        <f>IF(raw[[#This Row],[city]]="","-",IF(raw[[#This Row],[city]]="TODAY","-",C321+1))</f>
        <v/>
      </c>
      <c r="D322" s="1393" t="inlineStr">
        <is>
          <t>Belo Claudio</t>
        </is>
      </c>
      <c r="E322" s="1394" t="n">
        <v>34732</v>
      </c>
      <c r="F322" s="1394" t="n">
        <v>34732</v>
      </c>
      <c r="G322" s="1393" t="inlineStr">
        <is>
          <t>-</t>
        </is>
      </c>
      <c r="H322" s="1393">
        <f>H321</f>
        <v/>
      </c>
      <c r="I322" s="1393" t="inlineStr">
        <is>
          <t>-</t>
        </is>
      </c>
      <c r="J322" s="1393" t="inlineStr">
        <is>
          <t>-</t>
        </is>
      </c>
      <c r="K322" s="1395">
        <f>IF(raw[[#This Row],[city]]&lt;&gt;"",_xlfn.XLOOKUP($D322,ccc[city],ccc[prov],"-"),"-")</f>
        <v/>
      </c>
      <c r="L322" s="1395">
        <f>IF(raw[[#This Row],[city]]&lt;&gt;"",_xlfn.XLOOKUP($D322,ccc[city],ccc[ctry],"-"),"-")</f>
        <v/>
      </c>
      <c r="M322" s="1395">
        <f>IF(raw[[#This Row],[city]]&lt;&gt;"",_xlfn.XLOOKUP($D322,ccc[city],ccc[cont],"-"),"-")</f>
        <v/>
      </c>
      <c r="N322" s="1396">
        <f>IF(raw[[#This Row],[city]]="","-",IF(raw[[#This Row],[cont]]="B",raw[[#This Row],[cont]],"W"))</f>
        <v/>
      </c>
      <c r="O322" s="1397">
        <f>IF(raw[[#This Row],[out]]=0,0,IF(raw[[#This Row],[out]]=raw[[#This Row],[in]],0.01,raw[[#This Row],[out]]-raw[[#This Row],[in]]))</f>
        <v/>
      </c>
      <c r="P322" s="1397">
        <f>IF(raw[[#This Row],[in]]=0,0,MONTH(raw[[#This Row],[in]]))</f>
        <v/>
      </c>
      <c r="Q322" s="1397">
        <f>IF(raw[[#This Row],[in]]=0,0,YEAR(raw[[#This Row],[in]]))</f>
        <v/>
      </c>
      <c r="R322" s="1397">
        <f>INT(raw[[#This Row],[yr]]/10)*10</f>
        <v/>
      </c>
      <c r="S322" s="1395">
        <f>IF(raw[[#This Row],[city]]="","-",IF(raw[[#This Row],[city]]&lt;&gt;_xlfn.XLOOKUP(raw[[#This Row],[home]],homes[home],homes[city],"-"),1,0))</f>
        <v/>
      </c>
      <c r="T322" s="1398" t="inlineStr">
        <is>
          <t>.</t>
        </is>
      </c>
      <c r="U322" s="1399">
        <f>IF(raw[[#This Row],[wb]]="w",raw[[#This Row],[stay]]+U321,U321)</f>
        <v/>
      </c>
      <c r="V322" s="1400">
        <f>IF(raw[[#This Row],[out]]=0,V321,(raw[[#This Row],[out]]-E$5))</f>
        <v/>
      </c>
      <c r="W322" s="1401">
        <f>U322/V322</f>
        <v/>
      </c>
      <c r="X322" s="1378" t="inlineStr">
        <is>
          <t>.</t>
        </is>
      </c>
      <c r="Y322" s="1402">
        <f/>
        <v/>
      </c>
      <c r="Z322" s="1403">
        <f/>
        <v/>
      </c>
      <c r="AA322" s="1403">
        <f/>
        <v/>
      </c>
      <c r="AB322" s="1400">
        <f t="array" ref="AB322">_xlfn.LET(_xlpm.S,_xlfn.ANCHORARRAY($Y$4),_xlpm.r,ROWS(stayCity[[#Headers],[city]]:stayCity[[#This Row],[city]])-1,IF(_xlpm.r&lt;=ROWS(_xlpm.S),INDEX(_xlpm.S,_xlpm.r,1),""))</f>
        <v/>
      </c>
      <c r="AC322" s="1405">
        <f t="array" ref="AC322">_xlfn.LET(_xlpm.S,_xlfn.ANCHORARRAY($Y$4),_xlpm.r,ROWS(stayCity[[#Headers],[city]]:stayCity[[#This Row],[city]])-1,IF(_xlpm.r&lt;=ROWS(_xlpm.S),INDEX(_xlpm.S,_xlpm.r,2),""))</f>
        <v/>
      </c>
      <c r="AD322" s="1405">
        <f t="array" ref="AD322">_xlfn.LET(_xlpm.S,_xlfn.ANCHORARRAY($Y$4),_xlpm.r,ROWS(stayCity[[#Headers],[city]]:stayCity[[#This Row],[city]])-1,IF(_xlpm.r&lt;=ROWS(_xlpm.S),INDEX(_xlpm.S,_xlpm.r,3),""))</f>
        <v/>
      </c>
      <c r="AE322" s="1400">
        <f>IF(stayCity[[#This Row],[out]]&lt;&gt;"",stayCity[[#This Row],[out]]-stayCity[[#This Row],[in]],"-")</f>
        <v/>
      </c>
      <c r="AF322" s="1406">
        <f>IF(Y322="","-",YEAR(stayCity[[#This Row],[in]]))</f>
        <v/>
      </c>
      <c r="AG322" s="1392" t="n"/>
      <c r="AH322" s="1392" t="n"/>
      <c r="AI322" s="1392" t="n"/>
      <c r="AJ322" s="1392" t="n"/>
      <c r="AK322" s="1392" t="n"/>
      <c r="AL322" s="1392" t="n"/>
      <c r="AM322" s="1392" t="n"/>
      <c r="AN322" s="1392" t="n"/>
      <c r="AO322" s="1392" t="n"/>
      <c r="AP322" s="1392" t="n"/>
      <c r="AQ322" s="1392" t="n"/>
      <c r="AR322" s="1392" t="n"/>
      <c r="AS322" s="1422" t="n"/>
      <c r="AT322" s="1392" t="n"/>
      <c r="AU322" s="1392" t="n"/>
      <c r="AV322" s="1392" t="n"/>
      <c r="AW322" s="1392" t="n"/>
      <c r="AX322" s="1392" t="n"/>
      <c r="AY322" s="1392" t="n"/>
      <c r="AZ322" s="1392" t="n"/>
      <c r="BA322" s="1392" t="n"/>
      <c r="BB322" s="1422" t="n"/>
      <c r="BC322" s="1392" t="n"/>
      <c r="BD322" s="1392" t="n"/>
      <c r="BE322" s="1392" t="n"/>
      <c r="BF322" s="1392" t="n"/>
      <c r="BG322" s="1392" t="n"/>
      <c r="BH322" s="1392" t="n"/>
      <c r="BI322" s="1392" t="n"/>
      <c r="BJ322" s="1392" t="n"/>
      <c r="BK322" s="1392" t="n"/>
      <c r="BL322" s="1392" t="n"/>
      <c r="BM322" s="1392" t="n"/>
      <c r="BN322" s="1392" t="n"/>
      <c r="BO322" s="1392" t="n"/>
      <c r="BP322" s="1398" t="inlineStr">
        <is>
          <t>.</t>
        </is>
      </c>
      <c r="BQ322" s="1400">
        <f>IF(BR322&lt;&gt;"",BQ321+1,BQ321)</f>
        <v/>
      </c>
      <c r="BR322" s="1411" t="inlineStr">
        <is>
          <t>Rio</t>
        </is>
      </c>
      <c r="BS322" s="1411" t="inlineStr">
        <is>
          <t>Atlanta</t>
        </is>
      </c>
      <c r="BT322" s="1411" t="inlineStr">
        <is>
          <t>Rio-Atlanta</t>
        </is>
      </c>
      <c r="BU322" s="1412" t="n">
        <v>43550</v>
      </c>
      <c r="BV322" s="1398" t="inlineStr">
        <is>
          <t>.</t>
        </is>
      </c>
      <c r="BW322" s="1392" t="n"/>
      <c r="BX322" s="1392" t="n"/>
      <c r="BY322" s="1392" t="n"/>
      <c r="BZ322" s="1416" t="n"/>
      <c r="CA322" s="1392" t="n"/>
      <c r="CB322" s="1392" t="n"/>
      <c r="CC322" s="1392" t="n"/>
      <c r="CD322" s="1392" t="n"/>
      <c r="CE322" s="1392" t="n"/>
      <c r="CF322" s="1392" t="n"/>
      <c r="CG322" s="1392" t="n"/>
      <c r="CH322" s="1392" t="n"/>
      <c r="CI322" s="1392" t="n"/>
      <c r="CJ322" s="1392" t="n"/>
      <c r="CK322" s="1392" t="n"/>
      <c r="CL322" s="1392" t="n"/>
    </row>
    <row r="323">
      <c r="A323" s="5" t="inlineStr">
        <is>
          <t>.</t>
        </is>
      </c>
      <c r="B323" s="5" t="inlineStr">
        <is>
          <t>.</t>
        </is>
      </c>
      <c r="C323" s="1378">
        <f>IF(raw[[#This Row],[city]]="","-",IF(raw[[#This Row],[city]]="TODAY","-",C322+1))</f>
        <v/>
      </c>
      <c r="D323" s="1393" t="inlineStr">
        <is>
          <t>Gibraltar</t>
        </is>
      </c>
      <c r="E323" s="1394" t="n">
        <v>34732</v>
      </c>
      <c r="F323" s="1394" t="n">
        <v>34732</v>
      </c>
      <c r="G323" s="1393" t="inlineStr">
        <is>
          <t>-</t>
        </is>
      </c>
      <c r="H323" s="1393">
        <f>H322</f>
        <v/>
      </c>
      <c r="I323" s="1393" t="inlineStr">
        <is>
          <t>-</t>
        </is>
      </c>
      <c r="J323" s="1393" t="inlineStr">
        <is>
          <t>-</t>
        </is>
      </c>
      <c r="K323" s="1395">
        <f>IF(raw[[#This Row],[city]]&lt;&gt;"",_xlfn.XLOOKUP($D323,ccc[city],ccc[prov],"-"),"-")</f>
        <v/>
      </c>
      <c r="L323" s="1395">
        <f>IF(raw[[#This Row],[city]]&lt;&gt;"",_xlfn.XLOOKUP($D323,ccc[city],ccc[ctry],"-"),"-")</f>
        <v/>
      </c>
      <c r="M323" s="1395">
        <f>IF(raw[[#This Row],[city]]&lt;&gt;"",_xlfn.XLOOKUP($D323,ccc[city],ccc[cont],"-"),"-")</f>
        <v/>
      </c>
      <c r="N323" s="1396">
        <f>IF(raw[[#This Row],[city]]="","-",IF(raw[[#This Row],[cont]]="B",raw[[#This Row],[cont]],"W"))</f>
        <v/>
      </c>
      <c r="O323" s="1397">
        <f>IF(raw[[#This Row],[out]]=0,0,IF(raw[[#This Row],[out]]=raw[[#This Row],[in]],0.01,raw[[#This Row],[out]]-raw[[#This Row],[in]]))</f>
        <v/>
      </c>
      <c r="P323" s="1397">
        <f>IF(raw[[#This Row],[in]]=0,0,MONTH(raw[[#This Row],[in]]))</f>
        <v/>
      </c>
      <c r="Q323" s="1397">
        <f>IF(raw[[#This Row],[in]]=0,0,YEAR(raw[[#This Row],[in]]))</f>
        <v/>
      </c>
      <c r="R323" s="1397">
        <f>INT(raw[[#This Row],[yr]]/10)*10</f>
        <v/>
      </c>
      <c r="S323" s="1395">
        <f>IF(raw[[#This Row],[city]]="","-",IF(raw[[#This Row],[city]]&lt;&gt;_xlfn.XLOOKUP(raw[[#This Row],[home]],homes[home],homes[city],"-"),1,0))</f>
        <v/>
      </c>
      <c r="T323" s="1398" t="inlineStr">
        <is>
          <t>.</t>
        </is>
      </c>
      <c r="U323" s="1399">
        <f>IF(raw[[#This Row],[wb]]="w",raw[[#This Row],[stay]]+U322,U322)</f>
        <v/>
      </c>
      <c r="V323" s="1400">
        <f>IF(raw[[#This Row],[out]]=0,V322,(raw[[#This Row],[out]]-E$5))</f>
        <v/>
      </c>
      <c r="W323" s="1401">
        <f>U323/V323</f>
        <v/>
      </c>
      <c r="X323" s="1378" t="inlineStr">
        <is>
          <t>.</t>
        </is>
      </c>
      <c r="Y323" s="1402">
        <f/>
        <v/>
      </c>
      <c r="Z323" s="1403">
        <f/>
        <v/>
      </c>
      <c r="AA323" s="1403">
        <f/>
        <v/>
      </c>
      <c r="AB323" s="1400">
        <f t="array" ref="AB323">_xlfn.LET(_xlpm.S,_xlfn.ANCHORARRAY($Y$4),_xlpm.r,ROWS(stayCity[[#Headers],[city]]:stayCity[[#This Row],[city]])-1,IF(_xlpm.r&lt;=ROWS(_xlpm.S),INDEX(_xlpm.S,_xlpm.r,1),""))</f>
        <v/>
      </c>
      <c r="AC323" s="1405">
        <f t="array" ref="AC323">_xlfn.LET(_xlpm.S,_xlfn.ANCHORARRAY($Y$4),_xlpm.r,ROWS(stayCity[[#Headers],[city]]:stayCity[[#This Row],[city]])-1,IF(_xlpm.r&lt;=ROWS(_xlpm.S),INDEX(_xlpm.S,_xlpm.r,2),""))</f>
        <v/>
      </c>
      <c r="AD323" s="1405">
        <f t="array" ref="AD323">_xlfn.LET(_xlpm.S,_xlfn.ANCHORARRAY($Y$4),_xlpm.r,ROWS(stayCity[[#Headers],[city]]:stayCity[[#This Row],[city]])-1,IF(_xlpm.r&lt;=ROWS(_xlpm.S),INDEX(_xlpm.S,_xlpm.r,3),""))</f>
        <v/>
      </c>
      <c r="AE323" s="1400">
        <f>IF(stayCity[[#This Row],[out]]&lt;&gt;"",stayCity[[#This Row],[out]]-stayCity[[#This Row],[in]],"-")</f>
        <v/>
      </c>
      <c r="AF323" s="1406">
        <f>IF(Y323="","-",YEAR(stayCity[[#This Row],[in]]))</f>
        <v/>
      </c>
      <c r="AG323" s="1392" t="n"/>
      <c r="AH323" s="1392" t="n"/>
      <c r="AI323" s="1392" t="n"/>
      <c r="AJ323" s="1392" t="n"/>
      <c r="AK323" s="1392" t="n"/>
      <c r="AL323" s="1392" t="n"/>
      <c r="AM323" s="1392" t="n"/>
      <c r="AN323" s="1392" t="n"/>
      <c r="AO323" s="1392" t="n"/>
      <c r="AP323" s="1392" t="n"/>
      <c r="AQ323" s="1392" t="n"/>
      <c r="AR323" s="1392" t="n"/>
      <c r="AS323" s="1422" t="n"/>
      <c r="AT323" s="1392" t="n"/>
      <c r="AU323" s="1392" t="n"/>
      <c r="AV323" s="1392" t="n"/>
      <c r="AW323" s="1392" t="n"/>
      <c r="AX323" s="1392" t="n"/>
      <c r="AY323" s="1392" t="n"/>
      <c r="AZ323" s="1392" t="n"/>
      <c r="BA323" s="1392" t="n"/>
      <c r="BB323" s="1422" t="n"/>
      <c r="BC323" s="1392" t="n"/>
      <c r="BD323" s="1392" t="n"/>
      <c r="BE323" s="1392" t="n"/>
      <c r="BF323" s="1392" t="n"/>
      <c r="BG323" s="1392" t="n"/>
      <c r="BH323" s="1392" t="n"/>
      <c r="BI323" s="1392" t="n"/>
      <c r="BJ323" s="1392" t="n"/>
      <c r="BK323" s="1392" t="n"/>
      <c r="BL323" s="1392" t="n"/>
      <c r="BM323" s="1392" t="n"/>
      <c r="BN323" s="1392" t="n"/>
      <c r="BO323" s="1392" t="n"/>
      <c r="BP323" s="1398" t="inlineStr">
        <is>
          <t>.</t>
        </is>
      </c>
      <c r="BQ323" s="1400">
        <f>IF(BR323&lt;&gt;"",BQ322+1,BQ322)</f>
        <v/>
      </c>
      <c r="BR323" s="1411" t="inlineStr">
        <is>
          <t>Atlanta</t>
        </is>
      </c>
      <c r="BS323" s="1411" t="inlineStr">
        <is>
          <t>Montreal</t>
        </is>
      </c>
      <c r="BT323" s="1411" t="inlineStr">
        <is>
          <t>Atlanta-Montreal</t>
        </is>
      </c>
      <c r="BU323" s="1412" t="n">
        <v>43551</v>
      </c>
      <c r="BV323" s="1398" t="inlineStr">
        <is>
          <t>.</t>
        </is>
      </c>
      <c r="BW323" s="1392" t="n"/>
      <c r="BX323" s="1392" t="n"/>
      <c r="BY323" s="1392" t="n"/>
      <c r="BZ323" s="1416" t="n"/>
      <c r="CA323" s="1392" t="n"/>
      <c r="CB323" s="1392" t="n"/>
      <c r="CC323" s="1392" t="n"/>
      <c r="CD323" s="1392" t="n"/>
      <c r="CE323" s="1392" t="n"/>
      <c r="CF323" s="1392" t="n"/>
      <c r="CG323" s="1392" t="n"/>
      <c r="CH323" s="1392" t="n"/>
      <c r="CI323" s="1392" t="n"/>
      <c r="CJ323" s="1392" t="n"/>
      <c r="CK323" s="1392" t="n"/>
      <c r="CL323" s="1392" t="n"/>
    </row>
    <row r="324">
      <c r="A324" s="5" t="inlineStr">
        <is>
          <t>.</t>
        </is>
      </c>
      <c r="B324" s="5" t="inlineStr">
        <is>
          <t>.</t>
        </is>
      </c>
      <c r="C324" s="1378">
        <f>IF(raw[[#This Row],[city]]="","-",IF(raw[[#This Row],[city]]="TODAY","-",C323+1))</f>
        <v/>
      </c>
      <c r="D324" s="1393" t="inlineStr">
        <is>
          <t>Tangier</t>
        </is>
      </c>
      <c r="E324" s="1394" t="n">
        <v>34732</v>
      </c>
      <c r="F324" s="1394" t="n">
        <v>34732</v>
      </c>
      <c r="G324" s="1393" t="inlineStr">
        <is>
          <t>-</t>
        </is>
      </c>
      <c r="H324" s="1393">
        <f>H323</f>
        <v/>
      </c>
      <c r="I324" s="1393" t="inlineStr">
        <is>
          <t>-</t>
        </is>
      </c>
      <c r="J324" s="1393" t="inlineStr">
        <is>
          <t>-</t>
        </is>
      </c>
      <c r="K324" s="1395">
        <f>IF(raw[[#This Row],[city]]&lt;&gt;"",_xlfn.XLOOKUP($D324,ccc[city],ccc[prov],"-"),"-")</f>
        <v/>
      </c>
      <c r="L324" s="1395">
        <f>IF(raw[[#This Row],[city]]&lt;&gt;"",_xlfn.XLOOKUP($D324,ccc[city],ccc[ctry],"-"),"-")</f>
        <v/>
      </c>
      <c r="M324" s="1395">
        <f>IF(raw[[#This Row],[city]]&lt;&gt;"",_xlfn.XLOOKUP($D324,ccc[city],ccc[cont],"-"),"-")</f>
        <v/>
      </c>
      <c r="N324" s="1396">
        <f>IF(raw[[#This Row],[city]]="","-",IF(raw[[#This Row],[cont]]="B",raw[[#This Row],[cont]],"W"))</f>
        <v/>
      </c>
      <c r="O324" s="1397">
        <f>IF(raw[[#This Row],[out]]=0,0,IF(raw[[#This Row],[out]]=raw[[#This Row],[in]],0.01,raw[[#This Row],[out]]-raw[[#This Row],[in]]))</f>
        <v/>
      </c>
      <c r="P324" s="1397">
        <f>IF(raw[[#This Row],[in]]=0,0,MONTH(raw[[#This Row],[in]]))</f>
        <v/>
      </c>
      <c r="Q324" s="1397">
        <f>IF(raw[[#This Row],[in]]=0,0,YEAR(raw[[#This Row],[in]]))</f>
        <v/>
      </c>
      <c r="R324" s="1397">
        <f>INT(raw[[#This Row],[yr]]/10)*10</f>
        <v/>
      </c>
      <c r="S324" s="1395">
        <f>IF(raw[[#This Row],[city]]="","-",IF(raw[[#This Row],[city]]&lt;&gt;_xlfn.XLOOKUP(raw[[#This Row],[home]],homes[home],homes[city],"-"),1,0))</f>
        <v/>
      </c>
      <c r="T324" s="1398" t="inlineStr">
        <is>
          <t>.</t>
        </is>
      </c>
      <c r="U324" s="1399">
        <f>IF(raw[[#This Row],[wb]]="w",raw[[#This Row],[stay]]+U323,U323)</f>
        <v/>
      </c>
      <c r="V324" s="1400">
        <f>IF(raw[[#This Row],[out]]=0,V323,(raw[[#This Row],[out]]-E$5))</f>
        <v/>
      </c>
      <c r="W324" s="1401">
        <f>U324/V324</f>
        <v/>
      </c>
      <c r="X324" s="1378" t="inlineStr">
        <is>
          <t>.</t>
        </is>
      </c>
      <c r="Y324" s="1402">
        <f/>
        <v/>
      </c>
      <c r="Z324" s="1403">
        <f/>
        <v/>
      </c>
      <c r="AA324" s="1403">
        <f/>
        <v/>
      </c>
      <c r="AB324" s="1400">
        <f t="array" ref="AB324">_xlfn.LET(_xlpm.S,_xlfn.ANCHORARRAY($Y$4),_xlpm.r,ROWS(stayCity[[#Headers],[city]]:stayCity[[#This Row],[city]])-1,IF(_xlpm.r&lt;=ROWS(_xlpm.S),INDEX(_xlpm.S,_xlpm.r,1),""))</f>
        <v/>
      </c>
      <c r="AC324" s="1405">
        <f t="array" ref="AC324">_xlfn.LET(_xlpm.S,_xlfn.ANCHORARRAY($Y$4),_xlpm.r,ROWS(stayCity[[#Headers],[city]]:stayCity[[#This Row],[city]])-1,IF(_xlpm.r&lt;=ROWS(_xlpm.S),INDEX(_xlpm.S,_xlpm.r,2),""))</f>
        <v/>
      </c>
      <c r="AD324" s="1405">
        <f t="array" ref="AD324">_xlfn.LET(_xlpm.S,_xlfn.ANCHORARRAY($Y$4),_xlpm.r,ROWS(stayCity[[#Headers],[city]]:stayCity[[#This Row],[city]])-1,IF(_xlpm.r&lt;=ROWS(_xlpm.S),INDEX(_xlpm.S,_xlpm.r,3),""))</f>
        <v/>
      </c>
      <c r="AE324" s="1400">
        <f>IF(stayCity[[#This Row],[out]]&lt;&gt;"",stayCity[[#This Row],[out]]-stayCity[[#This Row],[in]],"-")</f>
        <v/>
      </c>
      <c r="AF324" s="1406">
        <f>IF(Y324="","-",YEAR(stayCity[[#This Row],[in]]))</f>
        <v/>
      </c>
      <c r="AG324" s="1392" t="n"/>
      <c r="AH324" s="1392" t="n"/>
      <c r="AI324" s="1392" t="n"/>
      <c r="AJ324" s="1392" t="n"/>
      <c r="AK324" s="1392" t="n"/>
      <c r="AL324" s="1392" t="n"/>
      <c r="AM324" s="1392" t="n"/>
      <c r="AN324" s="1392" t="n"/>
      <c r="AO324" s="1392" t="n"/>
      <c r="AP324" s="1392" t="n"/>
      <c r="AQ324" s="1392" t="n"/>
      <c r="AR324" s="1392" t="n"/>
      <c r="AS324" s="1422" t="n"/>
      <c r="AT324" s="1392" t="n"/>
      <c r="AU324" s="1392" t="n"/>
      <c r="AV324" s="1392" t="n"/>
      <c r="AW324" s="1392" t="n"/>
      <c r="AX324" s="1392" t="n"/>
      <c r="AY324" s="1392" t="n"/>
      <c r="AZ324" s="1392" t="n"/>
      <c r="BA324" s="1392" t="n"/>
      <c r="BB324" s="1422" t="n"/>
      <c r="BC324" s="1392" t="n"/>
      <c r="BD324" s="1392" t="n"/>
      <c r="BE324" s="1392" t="n"/>
      <c r="BF324" s="1392" t="n"/>
      <c r="BG324" s="1392" t="n"/>
      <c r="BH324" s="1392" t="n"/>
      <c r="BI324" s="1392" t="n"/>
      <c r="BJ324" s="1392" t="n"/>
      <c r="BK324" s="1392" t="n"/>
      <c r="BL324" s="1392" t="n"/>
      <c r="BM324" s="1392" t="n"/>
      <c r="BN324" s="1392" t="n"/>
      <c r="BO324" s="1392" t="n"/>
      <c r="BP324" s="1398" t="inlineStr">
        <is>
          <t>.</t>
        </is>
      </c>
      <c r="BQ324" s="1400">
        <f>IF(BR324&lt;&gt;"",BQ323+1,BQ323)</f>
        <v/>
      </c>
      <c r="BR324" s="1411" t="inlineStr">
        <is>
          <t>Montreal</t>
        </is>
      </c>
      <c r="BS324" s="1411" t="inlineStr">
        <is>
          <t>Panama</t>
        </is>
      </c>
      <c r="BT324" s="1411" t="inlineStr">
        <is>
          <t>Montreal-Panama</t>
        </is>
      </c>
      <c r="BU324" s="1412" t="n">
        <v>43641</v>
      </c>
      <c r="BV324" s="1398" t="inlineStr">
        <is>
          <t>.</t>
        </is>
      </c>
      <c r="BW324" s="1392" t="n"/>
      <c r="BX324" s="1392" t="n"/>
      <c r="BY324" s="1392" t="n"/>
      <c r="BZ324" s="1416" t="n"/>
      <c r="CA324" s="1392" t="n"/>
      <c r="CB324" s="1392" t="n"/>
      <c r="CC324" s="1392" t="n"/>
      <c r="CD324" s="1392" t="n"/>
      <c r="CE324" s="1392" t="n"/>
      <c r="CF324" s="1392" t="n"/>
      <c r="CG324" s="1392" t="n"/>
      <c r="CH324" s="1392" t="n"/>
      <c r="CI324" s="1392" t="n"/>
      <c r="CJ324" s="1392" t="n"/>
      <c r="CK324" s="1392" t="n"/>
      <c r="CL324" s="1392" t="n"/>
    </row>
    <row r="325">
      <c r="A325" s="5" t="inlineStr">
        <is>
          <t>.</t>
        </is>
      </c>
      <c r="B325" s="5" t="inlineStr">
        <is>
          <t>.</t>
        </is>
      </c>
      <c r="C325" s="1378">
        <f>IF(raw[[#This Row],[city]]="","-",IF(raw[[#This Row],[city]]="TODAY","-",C324+1))</f>
        <v/>
      </c>
      <c r="D325" s="1393" t="inlineStr">
        <is>
          <t>Algineres</t>
        </is>
      </c>
      <c r="E325" s="1394" t="n">
        <v>34732</v>
      </c>
      <c r="F325" s="1394" t="n">
        <v>34732</v>
      </c>
      <c r="G325" s="1393" t="inlineStr">
        <is>
          <t>-</t>
        </is>
      </c>
      <c r="H325" s="1393">
        <f>H324</f>
        <v/>
      </c>
      <c r="I325" s="1393" t="inlineStr">
        <is>
          <t>-</t>
        </is>
      </c>
      <c r="J325" s="1393" t="inlineStr">
        <is>
          <t>-</t>
        </is>
      </c>
      <c r="K325" s="1395">
        <f>IF(raw[[#This Row],[city]]&lt;&gt;"",_xlfn.XLOOKUP($D325,ccc[city],ccc[prov],"-"),"-")</f>
        <v/>
      </c>
      <c r="L325" s="1395">
        <f>IF(raw[[#This Row],[city]]&lt;&gt;"",_xlfn.XLOOKUP($D325,ccc[city],ccc[ctry],"-"),"-")</f>
        <v/>
      </c>
      <c r="M325" s="1395">
        <f>IF(raw[[#This Row],[city]]&lt;&gt;"",_xlfn.XLOOKUP($D325,ccc[city],ccc[cont],"-"),"-")</f>
        <v/>
      </c>
      <c r="N325" s="1396">
        <f>IF(raw[[#This Row],[city]]="","-",IF(raw[[#This Row],[cont]]="B",raw[[#This Row],[cont]],"W"))</f>
        <v/>
      </c>
      <c r="O325" s="1397">
        <f>IF(raw[[#This Row],[out]]=0,0,IF(raw[[#This Row],[out]]=raw[[#This Row],[in]],0.01,raw[[#This Row],[out]]-raw[[#This Row],[in]]))</f>
        <v/>
      </c>
      <c r="P325" s="1397">
        <f>IF(raw[[#This Row],[in]]=0,0,MONTH(raw[[#This Row],[in]]))</f>
        <v/>
      </c>
      <c r="Q325" s="1397">
        <f>IF(raw[[#This Row],[in]]=0,0,YEAR(raw[[#This Row],[in]]))</f>
        <v/>
      </c>
      <c r="R325" s="1397">
        <f>INT(raw[[#This Row],[yr]]/10)*10</f>
        <v/>
      </c>
      <c r="S325" s="1395">
        <f>IF(raw[[#This Row],[city]]="","-",IF(raw[[#This Row],[city]]&lt;&gt;_xlfn.XLOOKUP(raw[[#This Row],[home]],homes[home],homes[city],"-"),1,0))</f>
        <v/>
      </c>
      <c r="T325" s="1398" t="inlineStr">
        <is>
          <t>.</t>
        </is>
      </c>
      <c r="U325" s="1399">
        <f>IF(raw[[#This Row],[wb]]="w",raw[[#This Row],[stay]]+U324,U324)</f>
        <v/>
      </c>
      <c r="V325" s="1400">
        <f>IF(raw[[#This Row],[out]]=0,V324,(raw[[#This Row],[out]]-E$5))</f>
        <v/>
      </c>
      <c r="W325" s="1401">
        <f>U325/V325</f>
        <v/>
      </c>
      <c r="X325" s="1378" t="inlineStr">
        <is>
          <t>.</t>
        </is>
      </c>
      <c r="Y325" s="1402">
        <f/>
        <v/>
      </c>
      <c r="Z325" s="1403">
        <f/>
        <v/>
      </c>
      <c r="AA325" s="1403">
        <f/>
        <v/>
      </c>
      <c r="AB325" s="1400">
        <f t="array" ref="AB325">_xlfn.LET(_xlpm.S,_xlfn.ANCHORARRAY($Y$4),_xlpm.r,ROWS(stayCity[[#Headers],[city]]:stayCity[[#This Row],[city]])-1,IF(_xlpm.r&lt;=ROWS(_xlpm.S),INDEX(_xlpm.S,_xlpm.r,1),""))</f>
        <v/>
      </c>
      <c r="AC325" s="1405">
        <f t="array" ref="AC325">_xlfn.LET(_xlpm.S,_xlfn.ANCHORARRAY($Y$4),_xlpm.r,ROWS(stayCity[[#Headers],[city]]:stayCity[[#This Row],[city]])-1,IF(_xlpm.r&lt;=ROWS(_xlpm.S),INDEX(_xlpm.S,_xlpm.r,2),""))</f>
        <v/>
      </c>
      <c r="AD325" s="1405">
        <f t="array" ref="AD325">_xlfn.LET(_xlpm.S,_xlfn.ANCHORARRAY($Y$4),_xlpm.r,ROWS(stayCity[[#Headers],[city]]:stayCity[[#This Row],[city]])-1,IF(_xlpm.r&lt;=ROWS(_xlpm.S),INDEX(_xlpm.S,_xlpm.r,3),""))</f>
        <v/>
      </c>
      <c r="AE325" s="1400">
        <f>IF(stayCity[[#This Row],[out]]&lt;&gt;"",stayCity[[#This Row],[out]]-stayCity[[#This Row],[in]],"-")</f>
        <v/>
      </c>
      <c r="AF325" s="1406">
        <f>IF(Y325="","-",YEAR(stayCity[[#This Row],[in]]))</f>
        <v/>
      </c>
      <c r="AG325" s="1392" t="n"/>
      <c r="AH325" s="1392" t="n"/>
      <c r="AI325" s="1392" t="n"/>
      <c r="AJ325" s="1392" t="n"/>
      <c r="AK325" s="1392" t="n"/>
      <c r="AL325" s="1392" t="n"/>
      <c r="AM325" s="1392" t="n"/>
      <c r="AN325" s="1392" t="n"/>
      <c r="AO325" s="1392" t="n"/>
      <c r="AP325" s="1392" t="n"/>
      <c r="AQ325" s="1392" t="n"/>
      <c r="AR325" s="1392" t="n"/>
      <c r="AS325" s="1422" t="n"/>
      <c r="AT325" s="1392" t="n"/>
      <c r="AU325" s="1392" t="n"/>
      <c r="AV325" s="1392" t="n"/>
      <c r="AW325" s="1392" t="n"/>
      <c r="AX325" s="1392" t="n"/>
      <c r="AY325" s="1392" t="n"/>
      <c r="AZ325" s="1392" t="n"/>
      <c r="BA325" s="1392" t="n"/>
      <c r="BB325" s="1422" t="n"/>
      <c r="BC325" s="1392" t="n"/>
      <c r="BD325" s="1392" t="n"/>
      <c r="BE325" s="1392" t="n"/>
      <c r="BF325" s="1392" t="n"/>
      <c r="BG325" s="1392" t="n"/>
      <c r="BH325" s="1392" t="n"/>
      <c r="BI325" s="1392" t="n"/>
      <c r="BJ325" s="1392" t="n"/>
      <c r="BK325" s="1392" t="n"/>
      <c r="BL325" s="1392" t="n"/>
      <c r="BM325" s="1392" t="n"/>
      <c r="BN325" s="1392" t="n"/>
      <c r="BO325" s="1392" t="n"/>
      <c r="BP325" s="1398" t="inlineStr">
        <is>
          <t>.</t>
        </is>
      </c>
      <c r="BQ325" s="1400">
        <f>IF(BR325&lt;&gt;"",BQ324+1,BQ324)</f>
        <v/>
      </c>
      <c r="BR325" s="1411" t="inlineStr">
        <is>
          <t>Panama</t>
        </is>
      </c>
      <c r="BS325" s="1411" t="inlineStr">
        <is>
          <t>SSA</t>
        </is>
      </c>
      <c r="BT325" s="1411" t="inlineStr">
        <is>
          <t>Panama-SSA</t>
        </is>
      </c>
      <c r="BU325" s="1412" t="n">
        <v>43641</v>
      </c>
      <c r="BV325" s="1398" t="inlineStr">
        <is>
          <t>.</t>
        </is>
      </c>
      <c r="BW325" s="1392" t="n"/>
      <c r="BX325" s="1392" t="n"/>
      <c r="BY325" s="1392" t="n"/>
      <c r="BZ325" s="1416" t="n"/>
      <c r="CA325" s="1392" t="n"/>
      <c r="CB325" s="1392" t="n"/>
      <c r="CC325" s="1392" t="n"/>
      <c r="CD325" s="1392" t="n"/>
      <c r="CE325" s="1392" t="n"/>
      <c r="CF325" s="1392" t="n"/>
      <c r="CG325" s="1392" t="n"/>
      <c r="CH325" s="1392" t="n"/>
      <c r="CI325" s="1392" t="n"/>
      <c r="CJ325" s="1392" t="n"/>
      <c r="CK325" s="1392" t="n"/>
      <c r="CL325" s="1392" t="n"/>
    </row>
    <row r="326">
      <c r="A326" s="5" t="inlineStr">
        <is>
          <t>.</t>
        </is>
      </c>
      <c r="B326" s="5" t="inlineStr">
        <is>
          <t>.</t>
        </is>
      </c>
      <c r="C326" s="1378">
        <f>IF(raw[[#This Row],[city]]="","-",IF(raw[[#This Row],[city]]="TODAY","-",C325+1))</f>
        <v/>
      </c>
      <c r="D326" s="1393" t="inlineStr">
        <is>
          <t>Gibraltar</t>
        </is>
      </c>
      <c r="E326" s="1394" t="n">
        <v>34732</v>
      </c>
      <c r="F326" s="1394" t="n">
        <v>34733</v>
      </c>
      <c r="G326" s="1393" t="inlineStr">
        <is>
          <t>-</t>
        </is>
      </c>
      <c r="H326" s="1393">
        <f>H325</f>
        <v/>
      </c>
      <c r="I326" s="1393" t="inlineStr">
        <is>
          <t>-</t>
        </is>
      </c>
      <c r="J326" s="1393" t="inlineStr">
        <is>
          <t>-</t>
        </is>
      </c>
      <c r="K326" s="1395">
        <f>IF(raw[[#This Row],[city]]&lt;&gt;"",_xlfn.XLOOKUP($D326,ccc[city],ccc[prov],"-"),"-")</f>
        <v/>
      </c>
      <c r="L326" s="1395">
        <f>IF(raw[[#This Row],[city]]&lt;&gt;"",_xlfn.XLOOKUP($D326,ccc[city],ccc[ctry],"-"),"-")</f>
        <v/>
      </c>
      <c r="M326" s="1395">
        <f>IF(raw[[#This Row],[city]]&lt;&gt;"",_xlfn.XLOOKUP($D326,ccc[city],ccc[cont],"-"),"-")</f>
        <v/>
      </c>
      <c r="N326" s="1396">
        <f>IF(raw[[#This Row],[city]]="","-",IF(raw[[#This Row],[cont]]="B",raw[[#This Row],[cont]],"W"))</f>
        <v/>
      </c>
      <c r="O326" s="1397">
        <f>IF(raw[[#This Row],[out]]=0,0,IF(raw[[#This Row],[out]]=raw[[#This Row],[in]],0.01,raw[[#This Row],[out]]-raw[[#This Row],[in]]))</f>
        <v/>
      </c>
      <c r="P326" s="1397">
        <f>IF(raw[[#This Row],[in]]=0,0,MONTH(raw[[#This Row],[in]]))</f>
        <v/>
      </c>
      <c r="Q326" s="1397">
        <f>IF(raw[[#This Row],[in]]=0,0,YEAR(raw[[#This Row],[in]]))</f>
        <v/>
      </c>
      <c r="R326" s="1397">
        <f>INT(raw[[#This Row],[yr]]/10)*10</f>
        <v/>
      </c>
      <c r="S326" s="1395">
        <f>IF(raw[[#This Row],[city]]="","-",IF(raw[[#This Row],[city]]&lt;&gt;_xlfn.XLOOKUP(raw[[#This Row],[home]],homes[home],homes[city],"-"),1,0))</f>
        <v/>
      </c>
      <c r="T326" s="1398" t="inlineStr">
        <is>
          <t>.</t>
        </is>
      </c>
      <c r="U326" s="1399">
        <f>IF(raw[[#This Row],[wb]]="w",raw[[#This Row],[stay]]+U325,U325)</f>
        <v/>
      </c>
      <c r="V326" s="1400">
        <f>IF(raw[[#This Row],[out]]=0,V325,(raw[[#This Row],[out]]-E$5))</f>
        <v/>
      </c>
      <c r="W326" s="1401">
        <f>U326/V326</f>
        <v/>
      </c>
      <c r="X326" s="1378" t="inlineStr">
        <is>
          <t>.</t>
        </is>
      </c>
      <c r="Y326" s="1402">
        <f/>
        <v/>
      </c>
      <c r="Z326" s="1403">
        <f/>
        <v/>
      </c>
      <c r="AA326" s="1403">
        <f/>
        <v/>
      </c>
      <c r="AB326" s="1400">
        <f t="array" ref="AB326">_xlfn.LET(_xlpm.S,_xlfn.ANCHORARRAY($Y$4),_xlpm.r,ROWS(stayCity[[#Headers],[city]]:stayCity[[#This Row],[city]])-1,IF(_xlpm.r&lt;=ROWS(_xlpm.S),INDEX(_xlpm.S,_xlpm.r,1),""))</f>
        <v/>
      </c>
      <c r="AC326" s="1405">
        <f t="array" ref="AC326">_xlfn.LET(_xlpm.S,_xlfn.ANCHORARRAY($Y$4),_xlpm.r,ROWS(stayCity[[#Headers],[city]]:stayCity[[#This Row],[city]])-1,IF(_xlpm.r&lt;=ROWS(_xlpm.S),INDEX(_xlpm.S,_xlpm.r,2),""))</f>
        <v/>
      </c>
      <c r="AD326" s="1405">
        <f t="array" ref="AD326">_xlfn.LET(_xlpm.S,_xlfn.ANCHORARRAY($Y$4),_xlpm.r,ROWS(stayCity[[#Headers],[city]]:stayCity[[#This Row],[city]])-1,IF(_xlpm.r&lt;=ROWS(_xlpm.S),INDEX(_xlpm.S,_xlpm.r,3),""))</f>
        <v/>
      </c>
      <c r="AE326" s="1400">
        <f>IF(stayCity[[#This Row],[out]]&lt;&gt;"",stayCity[[#This Row],[out]]-stayCity[[#This Row],[in]],"-")</f>
        <v/>
      </c>
      <c r="AF326" s="1406">
        <f>IF(Y326="","-",YEAR(stayCity[[#This Row],[in]]))</f>
        <v/>
      </c>
      <c r="AG326" s="1392" t="n"/>
      <c r="AH326" s="1392" t="n"/>
      <c r="AI326" s="1392" t="n"/>
      <c r="AJ326" s="1392" t="n"/>
      <c r="AK326" s="1392" t="n"/>
      <c r="AL326" s="1392" t="n"/>
      <c r="AM326" s="1392" t="n"/>
      <c r="AN326" s="1392" t="n"/>
      <c r="AO326" s="1392" t="n"/>
      <c r="AP326" s="1392" t="n"/>
      <c r="AQ326" s="1392" t="n"/>
      <c r="AR326" s="1392" t="n"/>
      <c r="AS326" s="1422" t="n"/>
      <c r="AT326" s="1392" t="n"/>
      <c r="AU326" s="1392" t="n"/>
      <c r="AV326" s="1392" t="n"/>
      <c r="AW326" s="1392" t="n"/>
      <c r="AX326" s="1392" t="n"/>
      <c r="AY326" s="1392" t="n"/>
      <c r="AZ326" s="1392" t="n"/>
      <c r="BA326" s="1392" t="n"/>
      <c r="BB326" s="1422" t="n"/>
      <c r="BC326" s="1392" t="n"/>
      <c r="BD326" s="1392" t="n"/>
      <c r="BE326" s="1392" t="n"/>
      <c r="BF326" s="1392" t="n"/>
      <c r="BG326" s="1392" t="n"/>
      <c r="BH326" s="1392" t="n"/>
      <c r="BI326" s="1392" t="n"/>
      <c r="BJ326" s="1392" t="n"/>
      <c r="BK326" s="1392" t="n"/>
      <c r="BL326" s="1392" t="n"/>
      <c r="BM326" s="1392" t="n"/>
      <c r="BN326" s="1392" t="n"/>
      <c r="BO326" s="1392" t="n"/>
      <c r="BP326" s="1398" t="inlineStr">
        <is>
          <t>.</t>
        </is>
      </c>
      <c r="BQ326" s="1400">
        <f>IF(BR326&lt;&gt;"",BQ325+1,BQ325)</f>
        <v/>
      </c>
      <c r="BR326" s="1411" t="inlineStr">
        <is>
          <t>SSA</t>
        </is>
      </c>
      <c r="BS326" s="1411" t="inlineStr">
        <is>
          <t>Rio</t>
        </is>
      </c>
      <c r="BT326" s="1411" t="inlineStr">
        <is>
          <t>SSA-Rio</t>
        </is>
      </c>
      <c r="BU326" s="1412" t="n">
        <v>43667</v>
      </c>
      <c r="BV326" s="1398" t="inlineStr">
        <is>
          <t>.</t>
        </is>
      </c>
      <c r="BW326" s="1392" t="n"/>
      <c r="BX326" s="1392" t="n"/>
      <c r="BY326" s="1392" t="n"/>
      <c r="BZ326" s="1416" t="n"/>
      <c r="CA326" s="1392" t="n"/>
      <c r="CB326" s="1392" t="n"/>
      <c r="CC326" s="1392" t="n"/>
      <c r="CD326" s="1392" t="n"/>
      <c r="CE326" s="1392" t="n"/>
      <c r="CF326" s="1392" t="n"/>
      <c r="CG326" s="1392" t="n"/>
      <c r="CH326" s="1392" t="n"/>
      <c r="CI326" s="1392" t="n"/>
      <c r="CJ326" s="1392" t="n"/>
      <c r="CK326" s="1392" t="n"/>
      <c r="CL326" s="1392" t="n"/>
    </row>
    <row r="327">
      <c r="A327" s="5" t="inlineStr">
        <is>
          <t>.</t>
        </is>
      </c>
      <c r="B327" s="5" t="inlineStr">
        <is>
          <t>.</t>
        </is>
      </c>
      <c r="C327" s="1378">
        <f>IF(raw[[#This Row],[city]]="","-",IF(raw[[#This Row],[city]]="TODAY","-",C326+1))</f>
        <v/>
      </c>
      <c r="D327" s="1393" t="inlineStr">
        <is>
          <t>Malaga</t>
        </is>
      </c>
      <c r="E327" s="1394" t="n">
        <v>34733</v>
      </c>
      <c r="F327" s="1394" t="n">
        <v>34734</v>
      </c>
      <c r="G327" s="1393" t="inlineStr">
        <is>
          <t>-</t>
        </is>
      </c>
      <c r="H327" s="1393">
        <f>H326</f>
        <v/>
      </c>
      <c r="I327" s="1393" t="inlineStr">
        <is>
          <t>-</t>
        </is>
      </c>
      <c r="J327" s="1393" t="inlineStr">
        <is>
          <t>-</t>
        </is>
      </c>
      <c r="K327" s="1395">
        <f>IF(raw[[#This Row],[city]]&lt;&gt;"",_xlfn.XLOOKUP($D327,ccc[city],ccc[prov],"-"),"-")</f>
        <v/>
      </c>
      <c r="L327" s="1395">
        <f>IF(raw[[#This Row],[city]]&lt;&gt;"",_xlfn.XLOOKUP($D327,ccc[city],ccc[ctry],"-"),"-")</f>
        <v/>
      </c>
      <c r="M327" s="1395">
        <f>IF(raw[[#This Row],[city]]&lt;&gt;"",_xlfn.XLOOKUP($D327,ccc[city],ccc[cont],"-"),"-")</f>
        <v/>
      </c>
      <c r="N327" s="1396">
        <f>IF(raw[[#This Row],[city]]="","-",IF(raw[[#This Row],[cont]]="B",raw[[#This Row],[cont]],"W"))</f>
        <v/>
      </c>
      <c r="O327" s="1397">
        <f>IF(raw[[#This Row],[out]]=0,0,IF(raw[[#This Row],[out]]=raw[[#This Row],[in]],0.01,raw[[#This Row],[out]]-raw[[#This Row],[in]]))</f>
        <v/>
      </c>
      <c r="P327" s="1397">
        <f>IF(raw[[#This Row],[in]]=0,0,MONTH(raw[[#This Row],[in]]))</f>
        <v/>
      </c>
      <c r="Q327" s="1397">
        <f>IF(raw[[#This Row],[in]]=0,0,YEAR(raw[[#This Row],[in]]))</f>
        <v/>
      </c>
      <c r="R327" s="1397">
        <f>INT(raw[[#This Row],[yr]]/10)*10</f>
        <v/>
      </c>
      <c r="S327" s="1395">
        <f>IF(raw[[#This Row],[city]]="","-",IF(raw[[#This Row],[city]]&lt;&gt;_xlfn.XLOOKUP(raw[[#This Row],[home]],homes[home],homes[city],"-"),1,0))</f>
        <v/>
      </c>
      <c r="T327" s="1398" t="inlineStr">
        <is>
          <t>.</t>
        </is>
      </c>
      <c r="U327" s="1399">
        <f>IF(raw[[#This Row],[wb]]="w",raw[[#This Row],[stay]]+U326,U326)</f>
        <v/>
      </c>
      <c r="V327" s="1400">
        <f>IF(raw[[#This Row],[out]]=0,V326,(raw[[#This Row],[out]]-E$5))</f>
        <v/>
      </c>
      <c r="W327" s="1401">
        <f>U327/V327</f>
        <v/>
      </c>
      <c r="X327" s="1378" t="inlineStr">
        <is>
          <t>.</t>
        </is>
      </c>
      <c r="Y327" s="1402">
        <f/>
        <v/>
      </c>
      <c r="Z327" s="1403">
        <f/>
        <v/>
      </c>
      <c r="AA327" s="1403">
        <f/>
        <v/>
      </c>
      <c r="AB327" s="1400">
        <f t="array" ref="AB327">_xlfn.LET(_xlpm.S,_xlfn.ANCHORARRAY($Y$4),_xlpm.r,ROWS(stayCity[[#Headers],[city]]:stayCity[[#This Row],[city]])-1,IF(_xlpm.r&lt;=ROWS(_xlpm.S),INDEX(_xlpm.S,_xlpm.r,1),""))</f>
        <v/>
      </c>
      <c r="AC327" s="1405">
        <f t="array" ref="AC327">_xlfn.LET(_xlpm.S,_xlfn.ANCHORARRAY($Y$4),_xlpm.r,ROWS(stayCity[[#Headers],[city]]:stayCity[[#This Row],[city]])-1,IF(_xlpm.r&lt;=ROWS(_xlpm.S),INDEX(_xlpm.S,_xlpm.r,2),""))</f>
        <v/>
      </c>
      <c r="AD327" s="1405">
        <f t="array" ref="AD327">_xlfn.LET(_xlpm.S,_xlfn.ANCHORARRAY($Y$4),_xlpm.r,ROWS(stayCity[[#Headers],[city]]:stayCity[[#This Row],[city]])-1,IF(_xlpm.r&lt;=ROWS(_xlpm.S),INDEX(_xlpm.S,_xlpm.r,3),""))</f>
        <v/>
      </c>
      <c r="AE327" s="1400">
        <f>IF(stayCity[[#This Row],[out]]&lt;&gt;"",stayCity[[#This Row],[out]]-stayCity[[#This Row],[in]],"-")</f>
        <v/>
      </c>
      <c r="AF327" s="1406">
        <f>IF(Y327="","-",YEAR(stayCity[[#This Row],[in]]))</f>
        <v/>
      </c>
      <c r="AG327" s="1392" t="n"/>
      <c r="AH327" s="1392" t="n"/>
      <c r="AI327" s="1392" t="n"/>
      <c r="AJ327" s="1392" t="n"/>
      <c r="AK327" s="1392" t="n"/>
      <c r="AL327" s="1392" t="n"/>
      <c r="AM327" s="1392" t="n"/>
      <c r="AN327" s="1392" t="n"/>
      <c r="AO327" s="1392" t="n"/>
      <c r="AP327" s="1392" t="n"/>
      <c r="AQ327" s="1392" t="n"/>
      <c r="AR327" s="1392" t="n"/>
      <c r="AS327" s="1422" t="n"/>
      <c r="AT327" s="1392" t="n"/>
      <c r="AU327" s="1392" t="n"/>
      <c r="AV327" s="1392" t="n"/>
      <c r="AW327" s="1392" t="n"/>
      <c r="AX327" s="1392" t="n"/>
      <c r="AY327" s="1392" t="n"/>
      <c r="AZ327" s="1392" t="n"/>
      <c r="BA327" s="1392" t="n"/>
      <c r="BB327" s="1422" t="n"/>
      <c r="BC327" s="1392" t="n"/>
      <c r="BD327" s="1392" t="n"/>
      <c r="BE327" s="1392" t="n"/>
      <c r="BF327" s="1392" t="n"/>
      <c r="BG327" s="1392" t="n"/>
      <c r="BH327" s="1392" t="n"/>
      <c r="BI327" s="1392" t="n"/>
      <c r="BJ327" s="1392" t="n"/>
      <c r="BK327" s="1392" t="n"/>
      <c r="BL327" s="1392" t="n"/>
      <c r="BM327" s="1392" t="n"/>
      <c r="BN327" s="1392" t="n"/>
      <c r="BO327" s="1392" t="n"/>
      <c r="BP327" s="1398" t="inlineStr">
        <is>
          <t>.</t>
        </is>
      </c>
      <c r="BQ327" s="1400">
        <f>IF(BR327&lt;&gt;"",BQ326+1,BQ326)</f>
        <v/>
      </c>
      <c r="BR327" s="1411" t="inlineStr">
        <is>
          <t>Rio</t>
        </is>
      </c>
      <c r="BS327" s="1411" t="inlineStr">
        <is>
          <t>SSA</t>
        </is>
      </c>
      <c r="BT327" s="1411" t="inlineStr">
        <is>
          <t>Rio-SSA</t>
        </is>
      </c>
      <c r="BU327" s="1412" t="n">
        <v>43670</v>
      </c>
      <c r="BV327" s="1398" t="inlineStr">
        <is>
          <t>.</t>
        </is>
      </c>
      <c r="BW327" s="1392" t="n"/>
      <c r="BX327" s="1392" t="n"/>
      <c r="BY327" s="1392" t="n"/>
      <c r="BZ327" s="1416" t="n"/>
      <c r="CA327" s="1392" t="n"/>
      <c r="CB327" s="1392" t="n"/>
      <c r="CC327" s="1392" t="n"/>
      <c r="CD327" s="1392" t="n"/>
      <c r="CE327" s="1392" t="n"/>
      <c r="CF327" s="1392" t="n"/>
      <c r="CG327" s="1392" t="n"/>
      <c r="CH327" s="1392" t="n"/>
      <c r="CI327" s="1392" t="n"/>
      <c r="CJ327" s="1392" t="n"/>
      <c r="CK327" s="1392" t="n"/>
      <c r="CL327" s="1392" t="n"/>
    </row>
    <row r="328">
      <c r="A328" s="5" t="inlineStr">
        <is>
          <t>.</t>
        </is>
      </c>
      <c r="B328" s="5" t="inlineStr">
        <is>
          <t>.</t>
        </is>
      </c>
      <c r="C328" s="1378">
        <f>IF(raw[[#This Row],[city]]="","-",IF(raw[[#This Row],[city]]="TODAY","-",C327+1))</f>
        <v/>
      </c>
      <c r="D328" s="1393" t="inlineStr">
        <is>
          <t>Granada</t>
        </is>
      </c>
      <c r="E328" s="1394" t="n">
        <v>34734</v>
      </c>
      <c r="F328" s="1394" t="n">
        <v>34735</v>
      </c>
      <c r="G328" s="1393" t="inlineStr">
        <is>
          <t>-</t>
        </is>
      </c>
      <c r="H328" s="1393">
        <f>H327</f>
        <v/>
      </c>
      <c r="I328" s="1393" t="inlineStr">
        <is>
          <t>-</t>
        </is>
      </c>
      <c r="J328" s="1393" t="inlineStr">
        <is>
          <t>-</t>
        </is>
      </c>
      <c r="K328" s="1395">
        <f>IF(raw[[#This Row],[city]]&lt;&gt;"",_xlfn.XLOOKUP($D328,ccc[city],ccc[prov],"-"),"-")</f>
        <v/>
      </c>
      <c r="L328" s="1395">
        <f>IF(raw[[#This Row],[city]]&lt;&gt;"",_xlfn.XLOOKUP($D328,ccc[city],ccc[ctry],"-"),"-")</f>
        <v/>
      </c>
      <c r="M328" s="1395">
        <f>IF(raw[[#This Row],[city]]&lt;&gt;"",_xlfn.XLOOKUP($D328,ccc[city],ccc[cont],"-"),"-")</f>
        <v/>
      </c>
      <c r="N328" s="1396">
        <f>IF(raw[[#This Row],[city]]="","-",IF(raw[[#This Row],[cont]]="B",raw[[#This Row],[cont]],"W"))</f>
        <v/>
      </c>
      <c r="O328" s="1397">
        <f>IF(raw[[#This Row],[out]]=0,0,IF(raw[[#This Row],[out]]=raw[[#This Row],[in]],0.01,raw[[#This Row],[out]]-raw[[#This Row],[in]]))</f>
        <v/>
      </c>
      <c r="P328" s="1397">
        <f>IF(raw[[#This Row],[in]]=0,0,MONTH(raw[[#This Row],[in]]))</f>
        <v/>
      </c>
      <c r="Q328" s="1397">
        <f>IF(raw[[#This Row],[in]]=0,0,YEAR(raw[[#This Row],[in]]))</f>
        <v/>
      </c>
      <c r="R328" s="1397">
        <f>INT(raw[[#This Row],[yr]]/10)*10</f>
        <v/>
      </c>
      <c r="S328" s="1395">
        <f>IF(raw[[#This Row],[city]]="","-",IF(raw[[#This Row],[city]]&lt;&gt;_xlfn.XLOOKUP(raw[[#This Row],[home]],homes[home],homes[city],"-"),1,0))</f>
        <v/>
      </c>
      <c r="T328" s="1398" t="inlineStr">
        <is>
          <t>.</t>
        </is>
      </c>
      <c r="U328" s="1399">
        <f>IF(raw[[#This Row],[wb]]="w",raw[[#This Row],[stay]]+U327,U327)</f>
        <v/>
      </c>
      <c r="V328" s="1400">
        <f>IF(raw[[#This Row],[out]]=0,V327,(raw[[#This Row],[out]]-E$5))</f>
        <v/>
      </c>
      <c r="W328" s="1401">
        <f>U328/V328</f>
        <v/>
      </c>
      <c r="X328" s="1378" t="inlineStr">
        <is>
          <t>.</t>
        </is>
      </c>
      <c r="Y328" s="1402">
        <f/>
        <v/>
      </c>
      <c r="Z328" s="1403">
        <f/>
        <v/>
      </c>
      <c r="AA328" s="1403">
        <f/>
        <v/>
      </c>
      <c r="AB328" s="1400">
        <f t="array" ref="AB328">_xlfn.LET(_xlpm.S,_xlfn.ANCHORARRAY($Y$4),_xlpm.r,ROWS(stayCity[[#Headers],[city]]:stayCity[[#This Row],[city]])-1,IF(_xlpm.r&lt;=ROWS(_xlpm.S),INDEX(_xlpm.S,_xlpm.r,1),""))</f>
        <v/>
      </c>
      <c r="AC328" s="1405">
        <f t="array" ref="AC328">_xlfn.LET(_xlpm.S,_xlfn.ANCHORARRAY($Y$4),_xlpm.r,ROWS(stayCity[[#Headers],[city]]:stayCity[[#This Row],[city]])-1,IF(_xlpm.r&lt;=ROWS(_xlpm.S),INDEX(_xlpm.S,_xlpm.r,2),""))</f>
        <v/>
      </c>
      <c r="AD328" s="1405">
        <f t="array" ref="AD328">_xlfn.LET(_xlpm.S,_xlfn.ANCHORARRAY($Y$4),_xlpm.r,ROWS(stayCity[[#Headers],[city]]:stayCity[[#This Row],[city]])-1,IF(_xlpm.r&lt;=ROWS(_xlpm.S),INDEX(_xlpm.S,_xlpm.r,3),""))</f>
        <v/>
      </c>
      <c r="AE328" s="1400">
        <f>IF(stayCity[[#This Row],[out]]&lt;&gt;"",stayCity[[#This Row],[out]]-stayCity[[#This Row],[in]],"-")</f>
        <v/>
      </c>
      <c r="AF328" s="1406">
        <f>IF(Y328="","-",YEAR(stayCity[[#This Row],[in]]))</f>
        <v/>
      </c>
      <c r="AG328" s="1392" t="n"/>
      <c r="AH328" s="1392" t="n"/>
      <c r="AI328" s="1392" t="n"/>
      <c r="AJ328" s="1392" t="n"/>
      <c r="AK328" s="1392" t="n"/>
      <c r="AL328" s="1392" t="n"/>
      <c r="AM328" s="1392" t="n"/>
      <c r="AN328" s="1392" t="n"/>
      <c r="AO328" s="1392" t="n"/>
      <c r="AP328" s="1392" t="n"/>
      <c r="AQ328" s="1392" t="n"/>
      <c r="AR328" s="1392" t="n"/>
      <c r="AS328" s="1422" t="n"/>
      <c r="AT328" s="1392" t="n"/>
      <c r="AU328" s="1392" t="n"/>
      <c r="AV328" s="1392" t="n"/>
      <c r="AW328" s="1392" t="n"/>
      <c r="AX328" s="1392" t="n"/>
      <c r="AY328" s="1392" t="n"/>
      <c r="AZ328" s="1392" t="n"/>
      <c r="BA328" s="1392" t="n"/>
      <c r="BB328" s="1422" t="n"/>
      <c r="BC328" s="1392" t="n"/>
      <c r="BD328" s="1392" t="n"/>
      <c r="BE328" s="1392" t="n"/>
      <c r="BF328" s="1392" t="n"/>
      <c r="BG328" s="1392" t="n"/>
      <c r="BH328" s="1392" t="n"/>
      <c r="BI328" s="1392" t="n"/>
      <c r="BJ328" s="1392" t="n"/>
      <c r="BK328" s="1392" t="n"/>
      <c r="BL328" s="1392" t="n"/>
      <c r="BM328" s="1392" t="n"/>
      <c r="BN328" s="1392" t="n"/>
      <c r="BO328" s="1392" t="n"/>
      <c r="BP328" s="1398" t="inlineStr">
        <is>
          <t>.</t>
        </is>
      </c>
      <c r="BQ328" s="1400">
        <f>IF(BR328&lt;&gt;"",BQ327+1,BQ327)</f>
        <v/>
      </c>
      <c r="BR328" s="1411" t="inlineStr">
        <is>
          <t>SSA</t>
        </is>
      </c>
      <c r="BS328" s="1411" t="inlineStr">
        <is>
          <t>Panama</t>
        </is>
      </c>
      <c r="BT328" s="1411" t="inlineStr">
        <is>
          <t>SSA-Panama</t>
        </is>
      </c>
      <c r="BU328" s="1412" t="n">
        <v>43673</v>
      </c>
      <c r="BV328" s="1398" t="inlineStr">
        <is>
          <t>.</t>
        </is>
      </c>
      <c r="BW328" s="1392" t="n"/>
      <c r="BX328" s="1392" t="n"/>
      <c r="BY328" s="1392" t="n"/>
      <c r="BZ328" s="1416" t="n"/>
      <c r="CA328" s="1392" t="n"/>
      <c r="CB328" s="1392" t="n"/>
      <c r="CC328" s="1392" t="n"/>
      <c r="CD328" s="1392" t="n"/>
      <c r="CE328" s="1392" t="n"/>
      <c r="CF328" s="1392" t="n"/>
      <c r="CG328" s="1392" t="n"/>
      <c r="CH328" s="1392" t="n"/>
      <c r="CI328" s="1392" t="n"/>
      <c r="CJ328" s="1392" t="n"/>
      <c r="CK328" s="1392" t="n"/>
      <c r="CL328" s="1392" t="n"/>
    </row>
    <row r="329">
      <c r="A329" s="5" t="inlineStr">
        <is>
          <t>.</t>
        </is>
      </c>
      <c r="B329" s="5" t="inlineStr">
        <is>
          <t>.</t>
        </is>
      </c>
      <c r="C329" s="1378">
        <f>IF(raw[[#This Row],[city]]="","-",IF(raw[[#This Row],[city]]="TODAY","-",C328+1))</f>
        <v/>
      </c>
      <c r="D329" s="1393" t="inlineStr">
        <is>
          <t>Alicante</t>
        </is>
      </c>
      <c r="E329" s="1394" t="n">
        <v>34735</v>
      </c>
      <c r="F329" s="1394" t="n">
        <v>34735</v>
      </c>
      <c r="G329" s="1393" t="inlineStr">
        <is>
          <t>-</t>
        </is>
      </c>
      <c r="H329" s="1393">
        <f>H328</f>
        <v/>
      </c>
      <c r="I329" s="1393" t="n"/>
      <c r="J329" s="1393" t="inlineStr">
        <is>
          <t>-</t>
        </is>
      </c>
      <c r="K329" s="1395">
        <f>IF(raw[[#This Row],[city]]&lt;&gt;"",_xlfn.XLOOKUP($D329,ccc[city],ccc[prov],"-"),"-")</f>
        <v/>
      </c>
      <c r="L329" s="1395">
        <f>IF(raw[[#This Row],[city]]&lt;&gt;"",_xlfn.XLOOKUP($D329,ccc[city],ccc[ctry],"-"),"-")</f>
        <v/>
      </c>
      <c r="M329" s="1395">
        <f>IF(raw[[#This Row],[city]]&lt;&gt;"",_xlfn.XLOOKUP($D329,ccc[city],ccc[cont],"-"),"-")</f>
        <v/>
      </c>
      <c r="N329" s="1396">
        <f>IF(raw[[#This Row],[city]]="","-",IF(raw[[#This Row],[cont]]="B",raw[[#This Row],[cont]],"W"))</f>
        <v/>
      </c>
      <c r="O329" s="1397">
        <f>IF(raw[[#This Row],[out]]=0,0,IF(raw[[#This Row],[out]]=raw[[#This Row],[in]],0.01,raw[[#This Row],[out]]-raw[[#This Row],[in]]))</f>
        <v/>
      </c>
      <c r="P329" s="1397">
        <f>IF(raw[[#This Row],[in]]=0,0,MONTH(raw[[#This Row],[in]]))</f>
        <v/>
      </c>
      <c r="Q329" s="1397">
        <f>IF(raw[[#This Row],[in]]=0,0,YEAR(raw[[#This Row],[in]]))</f>
        <v/>
      </c>
      <c r="R329" s="1397">
        <f>INT(raw[[#This Row],[yr]]/10)*10</f>
        <v/>
      </c>
      <c r="S329" s="1395">
        <f>IF(raw[[#This Row],[city]]="","-",IF(raw[[#This Row],[city]]&lt;&gt;_xlfn.XLOOKUP(raw[[#This Row],[home]],homes[home],homes[city],"-"),1,0))</f>
        <v/>
      </c>
      <c r="T329" s="1398" t="inlineStr">
        <is>
          <t>.</t>
        </is>
      </c>
      <c r="U329" s="1399">
        <f>IF(raw[[#This Row],[wb]]="w",raw[[#This Row],[stay]]+U328,U328)</f>
        <v/>
      </c>
      <c r="V329" s="1400">
        <f>IF(raw[[#This Row],[out]]=0,V328,(raw[[#This Row],[out]]-E$5))</f>
        <v/>
      </c>
      <c r="W329" s="1401">
        <f>U329/V329</f>
        <v/>
      </c>
      <c r="X329" s="1378" t="inlineStr">
        <is>
          <t>.</t>
        </is>
      </c>
      <c r="Y329" s="1402">
        <f/>
        <v/>
      </c>
      <c r="Z329" s="1403">
        <f/>
        <v/>
      </c>
      <c r="AA329" s="1403">
        <f/>
        <v/>
      </c>
      <c r="AB329" s="1400">
        <f t="array" ref="AB329">_xlfn.LET(_xlpm.S,_xlfn.ANCHORARRAY($Y$4),_xlpm.r,ROWS(stayCity[[#Headers],[city]]:stayCity[[#This Row],[city]])-1,IF(_xlpm.r&lt;=ROWS(_xlpm.S),INDEX(_xlpm.S,_xlpm.r,1),""))</f>
        <v/>
      </c>
      <c r="AC329" s="1405">
        <f t="array" ref="AC329">_xlfn.LET(_xlpm.S,_xlfn.ANCHORARRAY($Y$4),_xlpm.r,ROWS(stayCity[[#Headers],[city]]:stayCity[[#This Row],[city]])-1,IF(_xlpm.r&lt;=ROWS(_xlpm.S),INDEX(_xlpm.S,_xlpm.r,2),""))</f>
        <v/>
      </c>
      <c r="AD329" s="1405">
        <f t="array" ref="AD329">_xlfn.LET(_xlpm.S,_xlfn.ANCHORARRAY($Y$4),_xlpm.r,ROWS(stayCity[[#Headers],[city]]:stayCity[[#This Row],[city]])-1,IF(_xlpm.r&lt;=ROWS(_xlpm.S),INDEX(_xlpm.S,_xlpm.r,3),""))</f>
        <v/>
      </c>
      <c r="AE329" s="1400">
        <f>IF(stayCity[[#This Row],[out]]&lt;&gt;"",stayCity[[#This Row],[out]]-stayCity[[#This Row],[in]],"-")</f>
        <v/>
      </c>
      <c r="AF329" s="1406">
        <f>IF(Y329="","-",YEAR(stayCity[[#This Row],[in]]))</f>
        <v/>
      </c>
      <c r="AG329" s="1392" t="n"/>
      <c r="AH329" s="1392" t="n"/>
      <c r="AI329" s="1392" t="n"/>
      <c r="AJ329" s="1392" t="n"/>
      <c r="AK329" s="1392" t="n"/>
      <c r="AL329" s="1392" t="n"/>
      <c r="AM329" s="1392" t="n"/>
      <c r="AN329" s="1392" t="n"/>
      <c r="AO329" s="1392" t="n"/>
      <c r="AP329" s="1392" t="n"/>
      <c r="AQ329" s="1392" t="n"/>
      <c r="AR329" s="1392" t="n"/>
      <c r="AS329" s="1422" t="n"/>
      <c r="AT329" s="1392" t="n"/>
      <c r="AU329" s="1392" t="n"/>
      <c r="AV329" s="1392" t="n"/>
      <c r="AW329" s="1392" t="n"/>
      <c r="AX329" s="1392" t="n"/>
      <c r="AY329" s="1392" t="n"/>
      <c r="AZ329" s="1392" t="n"/>
      <c r="BA329" s="1392" t="n"/>
      <c r="BB329" s="1422" t="n"/>
      <c r="BC329" s="1392" t="n"/>
      <c r="BD329" s="1392" t="n"/>
      <c r="BE329" s="1392" t="n"/>
      <c r="BF329" s="1392" t="n"/>
      <c r="BG329" s="1392" t="n"/>
      <c r="BH329" s="1392" t="n"/>
      <c r="BI329" s="1392" t="n"/>
      <c r="BJ329" s="1392" t="n"/>
      <c r="BK329" s="1392" t="n"/>
      <c r="BL329" s="1392" t="n"/>
      <c r="BM329" s="1392" t="n"/>
      <c r="BN329" s="1392" t="n"/>
      <c r="BO329" s="1392" t="n"/>
      <c r="BP329" s="1398" t="inlineStr">
        <is>
          <t>.</t>
        </is>
      </c>
      <c r="BQ329" s="1400">
        <f>IF(BR329&lt;&gt;"",BQ328+1,BQ328)</f>
        <v/>
      </c>
      <c r="BR329" s="1411" t="inlineStr">
        <is>
          <t>Panama</t>
        </is>
      </c>
      <c r="BS329" s="1411" t="inlineStr">
        <is>
          <t>Montreal</t>
        </is>
      </c>
      <c r="BT329" s="1411" t="inlineStr">
        <is>
          <t>Panama-Montreal</t>
        </is>
      </c>
      <c r="BU329" s="1412" t="n">
        <v>43673</v>
      </c>
      <c r="BV329" s="1398" t="inlineStr">
        <is>
          <t>.</t>
        </is>
      </c>
      <c r="BW329" s="1392" t="n"/>
      <c r="BX329" s="1392" t="n"/>
      <c r="BY329" s="1392" t="n"/>
      <c r="BZ329" s="1416" t="n"/>
      <c r="CA329" s="1392" t="n"/>
      <c r="CB329" s="1392" t="n"/>
      <c r="CC329" s="1392" t="n"/>
      <c r="CD329" s="1392" t="n"/>
      <c r="CE329" s="1392" t="n"/>
      <c r="CF329" s="1392" t="n"/>
      <c r="CG329" s="1392" t="n"/>
      <c r="CH329" s="1392" t="n"/>
      <c r="CI329" s="1392" t="n"/>
      <c r="CJ329" s="1392" t="n"/>
      <c r="CK329" s="1392" t="n"/>
      <c r="CL329" s="1392" t="n"/>
    </row>
    <row r="330">
      <c r="A330" s="5" t="inlineStr">
        <is>
          <t>.</t>
        </is>
      </c>
      <c r="B330" s="5" t="inlineStr">
        <is>
          <t>.</t>
        </is>
      </c>
      <c r="C330" s="1378">
        <f>IF(raw[[#This Row],[city]]="","-",IF(raw[[#This Row],[city]]="TODAY","-",C329+1))</f>
        <v/>
      </c>
      <c r="D330" s="1393" t="inlineStr">
        <is>
          <t>Peniscola</t>
        </is>
      </c>
      <c r="E330" s="1394" t="n">
        <v>34735</v>
      </c>
      <c r="F330" s="1394" t="n">
        <v>34736</v>
      </c>
      <c r="G330" s="1393" t="inlineStr">
        <is>
          <t>-</t>
        </is>
      </c>
      <c r="H330" s="1393">
        <f>H329</f>
        <v/>
      </c>
      <c r="I330" s="1393" t="inlineStr">
        <is>
          <t>-</t>
        </is>
      </c>
      <c r="J330" s="1393" t="inlineStr">
        <is>
          <t>-</t>
        </is>
      </c>
      <c r="K330" s="1395">
        <f>IF(raw[[#This Row],[city]]&lt;&gt;"",_xlfn.XLOOKUP($D330,ccc[city],ccc[prov],"-"),"-")</f>
        <v/>
      </c>
      <c r="L330" s="1395">
        <f>IF(raw[[#This Row],[city]]&lt;&gt;"",_xlfn.XLOOKUP($D330,ccc[city],ccc[ctry],"-"),"-")</f>
        <v/>
      </c>
      <c r="M330" s="1395">
        <f>IF(raw[[#This Row],[city]]&lt;&gt;"",_xlfn.XLOOKUP($D330,ccc[city],ccc[cont],"-"),"-")</f>
        <v/>
      </c>
      <c r="N330" s="1396">
        <f>IF(raw[[#This Row],[city]]="","-",IF(raw[[#This Row],[cont]]="B",raw[[#This Row],[cont]],"W"))</f>
        <v/>
      </c>
      <c r="O330" s="1397">
        <f>IF(raw[[#This Row],[out]]=0,0,IF(raw[[#This Row],[out]]=raw[[#This Row],[in]],0.01,raw[[#This Row],[out]]-raw[[#This Row],[in]]))</f>
        <v/>
      </c>
      <c r="P330" s="1397">
        <f>IF(raw[[#This Row],[in]]=0,0,MONTH(raw[[#This Row],[in]]))</f>
        <v/>
      </c>
      <c r="Q330" s="1397">
        <f>IF(raw[[#This Row],[in]]=0,0,YEAR(raw[[#This Row],[in]]))</f>
        <v/>
      </c>
      <c r="R330" s="1397">
        <f>INT(raw[[#This Row],[yr]]/10)*10</f>
        <v/>
      </c>
      <c r="S330" s="1395">
        <f>IF(raw[[#This Row],[city]]="","-",IF(raw[[#This Row],[city]]&lt;&gt;_xlfn.XLOOKUP(raw[[#This Row],[home]],homes[home],homes[city],"-"),1,0))</f>
        <v/>
      </c>
      <c r="T330" s="1398" t="inlineStr">
        <is>
          <t>.</t>
        </is>
      </c>
      <c r="U330" s="1399">
        <f>IF(raw[[#This Row],[wb]]="w",raw[[#This Row],[stay]]+U329,U329)</f>
        <v/>
      </c>
      <c r="V330" s="1400">
        <f>IF(raw[[#This Row],[out]]=0,V329,(raw[[#This Row],[out]]-E$5))</f>
        <v/>
      </c>
      <c r="W330" s="1401">
        <f>U330/V330</f>
        <v/>
      </c>
      <c r="X330" s="1378" t="inlineStr">
        <is>
          <t>.</t>
        </is>
      </c>
      <c r="Y330" s="1402">
        <f/>
        <v/>
      </c>
      <c r="Z330" s="1403">
        <f/>
        <v/>
      </c>
      <c r="AA330" s="1403">
        <f/>
        <v/>
      </c>
      <c r="AB330" s="1400">
        <f t="array" ref="AB330">_xlfn.LET(_xlpm.S,_xlfn.ANCHORARRAY($Y$4),_xlpm.r,ROWS(stayCity[[#Headers],[city]]:stayCity[[#This Row],[city]])-1,IF(_xlpm.r&lt;=ROWS(_xlpm.S),INDEX(_xlpm.S,_xlpm.r,1),""))</f>
        <v/>
      </c>
      <c r="AC330" s="1405">
        <f t="array" ref="AC330">_xlfn.LET(_xlpm.S,_xlfn.ANCHORARRAY($Y$4),_xlpm.r,ROWS(stayCity[[#Headers],[city]]:stayCity[[#This Row],[city]])-1,IF(_xlpm.r&lt;=ROWS(_xlpm.S),INDEX(_xlpm.S,_xlpm.r,2),""))</f>
        <v/>
      </c>
      <c r="AD330" s="1405">
        <f t="array" ref="AD330">_xlfn.LET(_xlpm.S,_xlfn.ANCHORARRAY($Y$4),_xlpm.r,ROWS(stayCity[[#Headers],[city]]:stayCity[[#This Row],[city]])-1,IF(_xlpm.r&lt;=ROWS(_xlpm.S),INDEX(_xlpm.S,_xlpm.r,3),""))</f>
        <v/>
      </c>
      <c r="AE330" s="1400">
        <f>IF(stayCity[[#This Row],[out]]&lt;&gt;"",stayCity[[#This Row],[out]]-stayCity[[#This Row],[in]],"-")</f>
        <v/>
      </c>
      <c r="AF330" s="1406">
        <f>IF(Y330="","-",YEAR(stayCity[[#This Row],[in]]))</f>
        <v/>
      </c>
      <c r="AG330" s="1392" t="n"/>
      <c r="AH330" s="1392" t="n"/>
      <c r="AI330" s="1392" t="n"/>
      <c r="AJ330" s="1392" t="n"/>
      <c r="AK330" s="1392" t="n"/>
      <c r="AL330" s="1392" t="n"/>
      <c r="AM330" s="1392" t="n"/>
      <c r="AN330" s="1392" t="n"/>
      <c r="AO330" s="1392" t="n"/>
      <c r="AP330" s="1392" t="n"/>
      <c r="AQ330" s="1392" t="n"/>
      <c r="AR330" s="1392" t="n"/>
      <c r="AS330" s="1422" t="n"/>
      <c r="AT330" s="1392" t="n"/>
      <c r="AU330" s="1392" t="n"/>
      <c r="AV330" s="1392" t="n"/>
      <c r="AW330" s="1392" t="n"/>
      <c r="AX330" s="1392" t="n"/>
      <c r="AY330" s="1392" t="n"/>
      <c r="AZ330" s="1392" t="n"/>
      <c r="BA330" s="1392" t="n"/>
      <c r="BB330" s="1422" t="n"/>
      <c r="BC330" s="1392" t="n"/>
      <c r="BD330" s="1392" t="n"/>
      <c r="BE330" s="1392" t="n"/>
      <c r="BF330" s="1392" t="n"/>
      <c r="BG330" s="1392" t="n"/>
      <c r="BH330" s="1392" t="n"/>
      <c r="BI330" s="1392" t="n"/>
      <c r="BJ330" s="1392" t="n"/>
      <c r="BK330" s="1392" t="n"/>
      <c r="BL330" s="1392" t="n"/>
      <c r="BM330" s="1392" t="n"/>
      <c r="BN330" s="1392" t="n"/>
      <c r="BO330" s="1392" t="n"/>
      <c r="BP330" s="1398" t="inlineStr">
        <is>
          <t>.</t>
        </is>
      </c>
      <c r="BQ330" s="1400">
        <f>IF(BR330&lt;&gt;"",BQ329+1,BQ329)</f>
        <v/>
      </c>
      <c r="BR330" s="1411" t="inlineStr">
        <is>
          <t>Montreal</t>
        </is>
      </c>
      <c r="BS330" s="1411" t="inlineStr">
        <is>
          <t>London</t>
        </is>
      </c>
      <c r="BT330" s="1411" t="inlineStr">
        <is>
          <t>Montreal-London</t>
        </is>
      </c>
      <c r="BU330" s="1412" t="n">
        <v>43781</v>
      </c>
      <c r="BV330" s="1398" t="inlineStr">
        <is>
          <t>.</t>
        </is>
      </c>
      <c r="BW330" s="1392" t="n"/>
      <c r="BX330" s="1392" t="n"/>
      <c r="BY330" s="1392" t="n"/>
      <c r="BZ330" s="1416" t="n"/>
      <c r="CA330" s="1392" t="n"/>
      <c r="CB330" s="1392" t="n"/>
      <c r="CC330" s="1392" t="n"/>
      <c r="CD330" s="1392" t="n"/>
      <c r="CE330" s="1392" t="n"/>
      <c r="CF330" s="1392" t="n"/>
      <c r="CG330" s="1392" t="n"/>
      <c r="CH330" s="1392" t="n"/>
      <c r="CI330" s="1392" t="n"/>
      <c r="CJ330" s="1392" t="n"/>
      <c r="CK330" s="1392" t="n"/>
      <c r="CL330" s="1392" t="n"/>
    </row>
    <row r="331">
      <c r="A331" s="5" t="inlineStr">
        <is>
          <t>.</t>
        </is>
      </c>
      <c r="B331" s="5" t="inlineStr">
        <is>
          <t>.</t>
        </is>
      </c>
      <c r="C331" s="1378">
        <f>IF(raw[[#This Row],[city]]="","-",IF(raw[[#This Row],[city]]="TODAY","-",C330+1))</f>
        <v/>
      </c>
      <c r="D331" s="1393" t="inlineStr">
        <is>
          <t>Barcelona</t>
        </is>
      </c>
      <c r="E331" s="1394" t="n">
        <v>34736</v>
      </c>
      <c r="F331" s="1394" t="n">
        <v>34739</v>
      </c>
      <c r="G331" s="1393" t="inlineStr">
        <is>
          <t>-</t>
        </is>
      </c>
      <c r="H331" s="1393">
        <f>H330</f>
        <v/>
      </c>
      <c r="I331" s="1393" t="inlineStr">
        <is>
          <t>-</t>
        </is>
      </c>
      <c r="J331" s="1393" t="inlineStr">
        <is>
          <t>-</t>
        </is>
      </c>
      <c r="K331" s="1395">
        <f>IF(raw[[#This Row],[city]]&lt;&gt;"",_xlfn.XLOOKUP($D331,ccc[city],ccc[prov],"-"),"-")</f>
        <v/>
      </c>
      <c r="L331" s="1395">
        <f>IF(raw[[#This Row],[city]]&lt;&gt;"",_xlfn.XLOOKUP($D331,ccc[city],ccc[ctry],"-"),"-")</f>
        <v/>
      </c>
      <c r="M331" s="1395">
        <f>IF(raw[[#This Row],[city]]&lt;&gt;"",_xlfn.XLOOKUP($D331,ccc[city],ccc[cont],"-"),"-")</f>
        <v/>
      </c>
      <c r="N331" s="1396">
        <f>IF(raw[[#This Row],[city]]="","-",IF(raw[[#This Row],[cont]]="B",raw[[#This Row],[cont]],"W"))</f>
        <v/>
      </c>
      <c r="O331" s="1397">
        <f>IF(raw[[#This Row],[out]]=0,0,IF(raw[[#This Row],[out]]=raw[[#This Row],[in]],0.01,raw[[#This Row],[out]]-raw[[#This Row],[in]]))</f>
        <v/>
      </c>
      <c r="P331" s="1397">
        <f>IF(raw[[#This Row],[in]]=0,0,MONTH(raw[[#This Row],[in]]))</f>
        <v/>
      </c>
      <c r="Q331" s="1397">
        <f>IF(raw[[#This Row],[in]]=0,0,YEAR(raw[[#This Row],[in]]))</f>
        <v/>
      </c>
      <c r="R331" s="1397">
        <f>INT(raw[[#This Row],[yr]]/10)*10</f>
        <v/>
      </c>
      <c r="S331" s="1395">
        <f>IF(raw[[#This Row],[city]]="","-",IF(raw[[#This Row],[city]]&lt;&gt;_xlfn.XLOOKUP(raw[[#This Row],[home]],homes[home],homes[city],"-"),1,0))</f>
        <v/>
      </c>
      <c r="T331" s="1398" t="inlineStr">
        <is>
          <t>.</t>
        </is>
      </c>
      <c r="U331" s="1399">
        <f>IF(raw[[#This Row],[wb]]="w",raw[[#This Row],[stay]]+U330,U330)</f>
        <v/>
      </c>
      <c r="V331" s="1400">
        <f>IF(raw[[#This Row],[out]]=0,V330,(raw[[#This Row],[out]]-E$5))</f>
        <v/>
      </c>
      <c r="W331" s="1401">
        <f>U331/V331</f>
        <v/>
      </c>
      <c r="X331" s="1378" t="inlineStr">
        <is>
          <t>.</t>
        </is>
      </c>
      <c r="Y331" s="1402">
        <f/>
        <v/>
      </c>
      <c r="Z331" s="1403">
        <f/>
        <v/>
      </c>
      <c r="AA331" s="1403">
        <f/>
        <v/>
      </c>
      <c r="AB331" s="1400">
        <f t="array" ref="AB331">_xlfn.LET(_xlpm.S,_xlfn.ANCHORARRAY($Y$4),_xlpm.r,ROWS(stayCity[[#Headers],[city]]:stayCity[[#This Row],[city]])-1,IF(_xlpm.r&lt;=ROWS(_xlpm.S),INDEX(_xlpm.S,_xlpm.r,1),""))</f>
        <v/>
      </c>
      <c r="AC331" s="1405">
        <f t="array" ref="AC331">_xlfn.LET(_xlpm.S,_xlfn.ANCHORARRAY($Y$4),_xlpm.r,ROWS(stayCity[[#Headers],[city]]:stayCity[[#This Row],[city]])-1,IF(_xlpm.r&lt;=ROWS(_xlpm.S),INDEX(_xlpm.S,_xlpm.r,2),""))</f>
        <v/>
      </c>
      <c r="AD331" s="1405">
        <f t="array" ref="AD331">_xlfn.LET(_xlpm.S,_xlfn.ANCHORARRAY($Y$4),_xlpm.r,ROWS(stayCity[[#Headers],[city]]:stayCity[[#This Row],[city]])-1,IF(_xlpm.r&lt;=ROWS(_xlpm.S),INDEX(_xlpm.S,_xlpm.r,3),""))</f>
        <v/>
      </c>
      <c r="AE331" s="1400">
        <f>IF(stayCity[[#This Row],[out]]&lt;&gt;"",stayCity[[#This Row],[out]]-stayCity[[#This Row],[in]],"-")</f>
        <v/>
      </c>
      <c r="AF331" s="1406">
        <f>IF(Y331="","-",YEAR(stayCity[[#This Row],[in]]))</f>
        <v/>
      </c>
      <c r="AG331" s="1392" t="n"/>
      <c r="AH331" s="1392" t="n"/>
      <c r="AI331" s="1392" t="n"/>
      <c r="AJ331" s="1392" t="n"/>
      <c r="AK331" s="1392" t="n"/>
      <c r="AL331" s="1392" t="n"/>
      <c r="AM331" s="1392" t="n"/>
      <c r="AN331" s="1392" t="n"/>
      <c r="AO331" s="1392" t="n"/>
      <c r="AP331" s="1392" t="n"/>
      <c r="AQ331" s="1392" t="n"/>
      <c r="AR331" s="1392" t="n"/>
      <c r="AS331" s="1422" t="n"/>
      <c r="AT331" s="1392" t="n"/>
      <c r="AU331" s="1392" t="n"/>
      <c r="AV331" s="1392" t="n"/>
      <c r="AW331" s="1392" t="n"/>
      <c r="AX331" s="1392" t="n"/>
      <c r="AY331" s="1392" t="n"/>
      <c r="AZ331" s="1392" t="n"/>
      <c r="BA331" s="1392" t="n"/>
      <c r="BB331" s="1422" t="n"/>
      <c r="BC331" s="1392" t="n"/>
      <c r="BD331" s="1392" t="n"/>
      <c r="BE331" s="1392" t="n"/>
      <c r="BF331" s="1392" t="n"/>
      <c r="BG331" s="1392" t="n"/>
      <c r="BH331" s="1392" t="n"/>
      <c r="BI331" s="1392" t="n"/>
      <c r="BJ331" s="1392" t="n"/>
      <c r="BK331" s="1392" t="n"/>
      <c r="BL331" s="1392" t="n"/>
      <c r="BM331" s="1392" t="n"/>
      <c r="BN331" s="1392" t="n"/>
      <c r="BO331" s="1392" t="n"/>
      <c r="BP331" s="1398" t="inlineStr">
        <is>
          <t>.</t>
        </is>
      </c>
      <c r="BQ331" s="1400">
        <f>IF(BR331&lt;&gt;"",BQ330+1,BQ330)</f>
        <v/>
      </c>
      <c r="BR331" s="1411" t="inlineStr">
        <is>
          <t>London</t>
        </is>
      </c>
      <c r="BS331" s="1411" t="inlineStr">
        <is>
          <t>Montreal</t>
        </is>
      </c>
      <c r="BT331" s="1411" t="inlineStr">
        <is>
          <t>London-Montreal</t>
        </is>
      </c>
      <c r="BU331" s="1412" t="n">
        <v>43793</v>
      </c>
      <c r="BV331" s="1398" t="inlineStr">
        <is>
          <t>.</t>
        </is>
      </c>
      <c r="BW331" s="1392" t="n"/>
      <c r="BX331" s="1392" t="n"/>
      <c r="BY331" s="1392" t="n"/>
      <c r="BZ331" s="1416" t="n"/>
      <c r="CA331" s="1392" t="n"/>
      <c r="CB331" s="1392" t="n"/>
      <c r="CC331" s="1392" t="n"/>
      <c r="CD331" s="1392" t="n"/>
      <c r="CE331" s="1392" t="n"/>
      <c r="CF331" s="1392" t="n"/>
      <c r="CG331" s="1392" t="n"/>
      <c r="CH331" s="1392" t="n"/>
      <c r="CI331" s="1392" t="n"/>
      <c r="CJ331" s="1392" t="n"/>
      <c r="CK331" s="1392" t="n"/>
      <c r="CL331" s="1392" t="n"/>
    </row>
    <row r="332">
      <c r="A332" s="5" t="inlineStr">
        <is>
          <t>.</t>
        </is>
      </c>
      <c r="B332" s="5" t="inlineStr">
        <is>
          <t>.</t>
        </is>
      </c>
      <c r="C332" s="1378">
        <f>IF(raw[[#This Row],[city]]="","-",IF(raw[[#This Row],[city]]="TODAY","-",C331+1))</f>
        <v/>
      </c>
      <c r="D332" s="1393" t="inlineStr">
        <is>
          <t>Zaragoza</t>
        </is>
      </c>
      <c r="E332" s="1394" t="n">
        <v>34739</v>
      </c>
      <c r="F332" s="1394" t="n">
        <v>34739</v>
      </c>
      <c r="G332" s="1393" t="inlineStr">
        <is>
          <t>-</t>
        </is>
      </c>
      <c r="H332" s="1393">
        <f>H331</f>
        <v/>
      </c>
      <c r="I332" s="1393" t="n"/>
      <c r="J332" s="1393" t="inlineStr">
        <is>
          <t>-</t>
        </is>
      </c>
      <c r="K332" s="1395">
        <f>IF(raw[[#This Row],[city]]&lt;&gt;"",_xlfn.XLOOKUP($D332,ccc[city],ccc[prov],"-"),"-")</f>
        <v/>
      </c>
      <c r="L332" s="1395">
        <f>IF(raw[[#This Row],[city]]&lt;&gt;"",_xlfn.XLOOKUP($D332,ccc[city],ccc[ctry],"-"),"-")</f>
        <v/>
      </c>
      <c r="M332" s="1395">
        <f>IF(raw[[#This Row],[city]]&lt;&gt;"",_xlfn.XLOOKUP($D332,ccc[city],ccc[cont],"-"),"-")</f>
        <v/>
      </c>
      <c r="N332" s="1396">
        <f>IF(raw[[#This Row],[city]]="","-",IF(raw[[#This Row],[cont]]="B",raw[[#This Row],[cont]],"W"))</f>
        <v/>
      </c>
      <c r="O332" s="1397">
        <f>IF(raw[[#This Row],[out]]=0,0,IF(raw[[#This Row],[out]]=raw[[#This Row],[in]],0.01,raw[[#This Row],[out]]-raw[[#This Row],[in]]))</f>
        <v/>
      </c>
      <c r="P332" s="1397">
        <f>IF(raw[[#This Row],[in]]=0,0,MONTH(raw[[#This Row],[in]]))</f>
        <v/>
      </c>
      <c r="Q332" s="1397">
        <f>IF(raw[[#This Row],[in]]=0,0,YEAR(raw[[#This Row],[in]]))</f>
        <v/>
      </c>
      <c r="R332" s="1397">
        <f>INT(raw[[#This Row],[yr]]/10)*10</f>
        <v/>
      </c>
      <c r="S332" s="1395">
        <f>IF(raw[[#This Row],[city]]="","-",IF(raw[[#This Row],[city]]&lt;&gt;_xlfn.XLOOKUP(raw[[#This Row],[home]],homes[home],homes[city],"-"),1,0))</f>
        <v/>
      </c>
      <c r="T332" s="1398" t="inlineStr">
        <is>
          <t>.</t>
        </is>
      </c>
      <c r="U332" s="1399">
        <f>IF(raw[[#This Row],[wb]]="w",raw[[#This Row],[stay]]+U331,U331)</f>
        <v/>
      </c>
      <c r="V332" s="1400">
        <f>IF(raw[[#This Row],[out]]=0,V331,(raw[[#This Row],[out]]-E$5))</f>
        <v/>
      </c>
      <c r="W332" s="1401">
        <f>U332/V332</f>
        <v/>
      </c>
      <c r="X332" s="1378" t="inlineStr">
        <is>
          <t>.</t>
        </is>
      </c>
      <c r="Y332" s="1402">
        <f/>
        <v/>
      </c>
      <c r="Z332" s="1403">
        <f/>
        <v/>
      </c>
      <c r="AA332" s="1403">
        <f/>
        <v/>
      </c>
      <c r="AB332" s="1400">
        <f t="array" ref="AB332">_xlfn.LET(_xlpm.S,_xlfn.ANCHORARRAY($Y$4),_xlpm.r,ROWS(stayCity[[#Headers],[city]]:stayCity[[#This Row],[city]])-1,IF(_xlpm.r&lt;=ROWS(_xlpm.S),INDEX(_xlpm.S,_xlpm.r,1),""))</f>
        <v/>
      </c>
      <c r="AC332" s="1405">
        <f t="array" ref="AC332">_xlfn.LET(_xlpm.S,_xlfn.ANCHORARRAY($Y$4),_xlpm.r,ROWS(stayCity[[#Headers],[city]]:stayCity[[#This Row],[city]])-1,IF(_xlpm.r&lt;=ROWS(_xlpm.S),INDEX(_xlpm.S,_xlpm.r,2),""))</f>
        <v/>
      </c>
      <c r="AD332" s="1405">
        <f t="array" ref="AD332">_xlfn.LET(_xlpm.S,_xlfn.ANCHORARRAY($Y$4),_xlpm.r,ROWS(stayCity[[#Headers],[city]]:stayCity[[#This Row],[city]])-1,IF(_xlpm.r&lt;=ROWS(_xlpm.S),INDEX(_xlpm.S,_xlpm.r,3),""))</f>
        <v/>
      </c>
      <c r="AE332" s="1400">
        <f>IF(stayCity[[#This Row],[out]]&lt;&gt;"",stayCity[[#This Row],[out]]-stayCity[[#This Row],[in]],"-")</f>
        <v/>
      </c>
      <c r="AF332" s="1406">
        <f>IF(Y332="","-",YEAR(stayCity[[#This Row],[in]]))</f>
        <v/>
      </c>
      <c r="AG332" s="1392" t="n"/>
      <c r="AH332" s="1392" t="n"/>
      <c r="AI332" s="1392" t="n"/>
      <c r="AJ332" s="1392" t="n"/>
      <c r="AK332" s="1392" t="n"/>
      <c r="AL332" s="1392" t="n"/>
      <c r="AM332" s="1392" t="n"/>
      <c r="AN332" s="1392" t="n"/>
      <c r="AO332" s="1392" t="n"/>
      <c r="AP332" s="1392" t="n"/>
      <c r="AQ332" s="1392" t="n"/>
      <c r="AR332" s="1392" t="n"/>
      <c r="AS332" s="1422" t="n"/>
      <c r="AT332" s="1392" t="n"/>
      <c r="AU332" s="1392" t="n"/>
      <c r="AV332" s="1392" t="n"/>
      <c r="AW332" s="1392" t="n"/>
      <c r="AX332" s="1392" t="n"/>
      <c r="AY332" s="1392" t="n"/>
      <c r="AZ332" s="1392" t="n"/>
      <c r="BA332" s="1392" t="n"/>
      <c r="BB332" s="1422" t="n"/>
      <c r="BC332" s="1392" t="n"/>
      <c r="BD332" s="1392" t="n"/>
      <c r="BE332" s="1392" t="n"/>
      <c r="BF332" s="1392" t="n"/>
      <c r="BG332" s="1392" t="n"/>
      <c r="BH332" s="1392" t="n"/>
      <c r="BI332" s="1392" t="n"/>
      <c r="BJ332" s="1392" t="n"/>
      <c r="BK332" s="1392" t="n"/>
      <c r="BL332" s="1392" t="n"/>
      <c r="BM332" s="1392" t="n"/>
      <c r="BN332" s="1392" t="n"/>
      <c r="BO332" s="1392" t="n"/>
      <c r="BP332" s="1398" t="inlineStr">
        <is>
          <t>.</t>
        </is>
      </c>
      <c r="BQ332" s="1400">
        <f>IF(BR332&lt;&gt;"",BQ331+1,BQ331)</f>
        <v/>
      </c>
      <c r="BR332" s="1411" t="inlineStr">
        <is>
          <t>Montreal</t>
        </is>
      </c>
      <c r="BS332" s="1411" t="inlineStr">
        <is>
          <t>SP</t>
        </is>
      </c>
      <c r="BT332" s="1411" t="inlineStr">
        <is>
          <t>Montreal-SP</t>
        </is>
      </c>
      <c r="BU332" s="1412" t="n">
        <v>43868</v>
      </c>
      <c r="BV332" s="1398" t="inlineStr">
        <is>
          <t>.</t>
        </is>
      </c>
      <c r="BW332" s="1392" t="n"/>
      <c r="BX332" s="1392" t="n"/>
      <c r="BY332" s="1392" t="n"/>
      <c r="BZ332" s="1416" t="n"/>
      <c r="CA332" s="1392" t="n"/>
      <c r="CB332" s="1392" t="n"/>
      <c r="CC332" s="1392" t="n"/>
      <c r="CD332" s="1392" t="n"/>
      <c r="CE332" s="1392" t="n"/>
      <c r="CF332" s="1392" t="n"/>
      <c r="CG332" s="1392" t="n"/>
      <c r="CH332" s="1392" t="n"/>
      <c r="CI332" s="1392" t="n"/>
      <c r="CJ332" s="1392" t="n"/>
      <c r="CK332" s="1392" t="n"/>
      <c r="CL332" s="1392" t="n"/>
    </row>
    <row r="333">
      <c r="A333" s="5" t="inlineStr">
        <is>
          <t>.</t>
        </is>
      </c>
      <c r="B333" s="5" t="inlineStr">
        <is>
          <t>.</t>
        </is>
      </c>
      <c r="C333" s="1378">
        <f>IF(raw[[#This Row],[city]]="","-",IF(raw[[#This Row],[city]]="TODAY","-",C332+1))</f>
        <v/>
      </c>
      <c r="D333" s="1393" t="inlineStr">
        <is>
          <t>Madrid</t>
        </is>
      </c>
      <c r="E333" s="1394" t="n">
        <v>34739</v>
      </c>
      <c r="F333" s="1394" t="n">
        <v>34742</v>
      </c>
      <c r="G333" s="1393" t="inlineStr">
        <is>
          <t>-</t>
        </is>
      </c>
      <c r="H333" s="1393">
        <f>H332</f>
        <v/>
      </c>
      <c r="I333" s="1393" t="inlineStr">
        <is>
          <t>-</t>
        </is>
      </c>
      <c r="J333" s="1393" t="inlineStr">
        <is>
          <t>-</t>
        </is>
      </c>
      <c r="K333" s="1395">
        <f>IF(raw[[#This Row],[city]]&lt;&gt;"",_xlfn.XLOOKUP($D333,ccc[city],ccc[prov],"-"),"-")</f>
        <v/>
      </c>
      <c r="L333" s="1395">
        <f>IF(raw[[#This Row],[city]]&lt;&gt;"",_xlfn.XLOOKUP($D333,ccc[city],ccc[ctry],"-"),"-")</f>
        <v/>
      </c>
      <c r="M333" s="1395">
        <f>IF(raw[[#This Row],[city]]&lt;&gt;"",_xlfn.XLOOKUP($D333,ccc[city],ccc[cont],"-"),"-")</f>
        <v/>
      </c>
      <c r="N333" s="1396">
        <f>IF(raw[[#This Row],[city]]="","-",IF(raw[[#This Row],[cont]]="B",raw[[#This Row],[cont]],"W"))</f>
        <v/>
      </c>
      <c r="O333" s="1397">
        <f>IF(raw[[#This Row],[out]]=0,0,IF(raw[[#This Row],[out]]=raw[[#This Row],[in]],0.01,raw[[#This Row],[out]]-raw[[#This Row],[in]]))</f>
        <v/>
      </c>
      <c r="P333" s="1397">
        <f>IF(raw[[#This Row],[in]]=0,0,MONTH(raw[[#This Row],[in]]))</f>
        <v/>
      </c>
      <c r="Q333" s="1397">
        <f>IF(raw[[#This Row],[in]]=0,0,YEAR(raw[[#This Row],[in]]))</f>
        <v/>
      </c>
      <c r="R333" s="1397">
        <f>INT(raw[[#This Row],[yr]]/10)*10</f>
        <v/>
      </c>
      <c r="S333" s="1395">
        <f>IF(raw[[#This Row],[city]]="","-",IF(raw[[#This Row],[city]]&lt;&gt;_xlfn.XLOOKUP(raw[[#This Row],[home]],homes[home],homes[city],"-"),1,0))</f>
        <v/>
      </c>
      <c r="T333" s="1398" t="inlineStr">
        <is>
          <t>.</t>
        </is>
      </c>
      <c r="U333" s="1399">
        <f>IF(raw[[#This Row],[wb]]="w",raw[[#This Row],[stay]]+U332,U332)</f>
        <v/>
      </c>
      <c r="V333" s="1400">
        <f>IF(raw[[#This Row],[out]]=0,V332,(raw[[#This Row],[out]]-E$5))</f>
        <v/>
      </c>
      <c r="W333" s="1401">
        <f>U333/V333</f>
        <v/>
      </c>
      <c r="X333" s="1378" t="inlineStr">
        <is>
          <t>.</t>
        </is>
      </c>
      <c r="Y333" s="1402">
        <f/>
        <v/>
      </c>
      <c r="Z333" s="1403">
        <f/>
        <v/>
      </c>
      <c r="AA333" s="1403">
        <f/>
        <v/>
      </c>
      <c r="AB333" s="1400">
        <f t="array" ref="AB333">_xlfn.LET(_xlpm.S,_xlfn.ANCHORARRAY($Y$4),_xlpm.r,ROWS(stayCity[[#Headers],[city]]:stayCity[[#This Row],[city]])-1,IF(_xlpm.r&lt;=ROWS(_xlpm.S),INDEX(_xlpm.S,_xlpm.r,1),""))</f>
        <v/>
      </c>
      <c r="AC333" s="1405">
        <f t="array" ref="AC333">_xlfn.LET(_xlpm.S,_xlfn.ANCHORARRAY($Y$4),_xlpm.r,ROWS(stayCity[[#Headers],[city]]:stayCity[[#This Row],[city]])-1,IF(_xlpm.r&lt;=ROWS(_xlpm.S),INDEX(_xlpm.S,_xlpm.r,2),""))</f>
        <v/>
      </c>
      <c r="AD333" s="1405">
        <f t="array" ref="AD333">_xlfn.LET(_xlpm.S,_xlfn.ANCHORARRAY($Y$4),_xlpm.r,ROWS(stayCity[[#Headers],[city]]:stayCity[[#This Row],[city]])-1,IF(_xlpm.r&lt;=ROWS(_xlpm.S),INDEX(_xlpm.S,_xlpm.r,3),""))</f>
        <v/>
      </c>
      <c r="AE333" s="1400">
        <f>IF(stayCity[[#This Row],[out]]&lt;&gt;"",stayCity[[#This Row],[out]]-stayCity[[#This Row],[in]],"-")</f>
        <v/>
      </c>
      <c r="AF333" s="1406">
        <f>IF(Y333="","-",YEAR(stayCity[[#This Row],[in]]))</f>
        <v/>
      </c>
      <c r="AG333" s="1392" t="n"/>
      <c r="AH333" s="1392" t="n"/>
      <c r="AI333" s="1392" t="n"/>
      <c r="AJ333" s="1392" t="n"/>
      <c r="AK333" s="1392" t="n"/>
      <c r="AL333" s="1392" t="n"/>
      <c r="AM333" s="1392" t="n"/>
      <c r="AN333" s="1392" t="n"/>
      <c r="AO333" s="1392" t="n"/>
      <c r="AP333" s="1392" t="n"/>
      <c r="AQ333" s="1392" t="n"/>
      <c r="AR333" s="1392" t="n"/>
      <c r="AS333" s="1422" t="n"/>
      <c r="AT333" s="1392" t="n"/>
      <c r="AU333" s="1392" t="n"/>
      <c r="AV333" s="1392" t="n"/>
      <c r="AW333" s="1392" t="n"/>
      <c r="AX333" s="1392" t="n"/>
      <c r="AY333" s="1392" t="n"/>
      <c r="AZ333" s="1392" t="n"/>
      <c r="BA333" s="1392" t="n"/>
      <c r="BB333" s="1422" t="n"/>
      <c r="BC333" s="1392" t="n"/>
      <c r="BD333" s="1392" t="n"/>
      <c r="BE333" s="1392" t="n"/>
      <c r="BF333" s="1392" t="n"/>
      <c r="BG333" s="1392" t="n"/>
      <c r="BH333" s="1392" t="n"/>
      <c r="BI333" s="1392" t="n"/>
      <c r="BJ333" s="1392" t="n"/>
      <c r="BK333" s="1392" t="n"/>
      <c r="BL333" s="1392" t="n"/>
      <c r="BM333" s="1392" t="n"/>
      <c r="BN333" s="1392" t="n"/>
      <c r="BO333" s="1392" t="n"/>
      <c r="BP333" s="1398" t="inlineStr">
        <is>
          <t>.</t>
        </is>
      </c>
      <c r="BQ333" s="1400">
        <f>IF(BR333&lt;&gt;"",BQ332+1,BQ332)</f>
        <v/>
      </c>
      <c r="BR333" s="1411" t="inlineStr">
        <is>
          <t>SP</t>
        </is>
      </c>
      <c r="BS333" s="1411" t="inlineStr">
        <is>
          <t>SSA</t>
        </is>
      </c>
      <c r="BT333" s="1411" t="inlineStr">
        <is>
          <t>SP-SSA</t>
        </is>
      </c>
      <c r="BU333" s="1412" t="n">
        <v>43874</v>
      </c>
      <c r="BV333" s="1398" t="inlineStr">
        <is>
          <t>.</t>
        </is>
      </c>
      <c r="BW333" s="1392" t="n"/>
      <c r="BX333" s="1392" t="n"/>
      <c r="BY333" s="1392" t="n"/>
      <c r="BZ333" s="1416" t="n"/>
      <c r="CA333" s="1392" t="n"/>
      <c r="CB333" s="1392" t="n"/>
      <c r="CC333" s="1392" t="n"/>
      <c r="CD333" s="1392" t="n"/>
      <c r="CE333" s="1392" t="n"/>
      <c r="CF333" s="1392" t="n"/>
      <c r="CG333" s="1392" t="n"/>
      <c r="CH333" s="1392" t="n"/>
      <c r="CI333" s="1392" t="n"/>
      <c r="CJ333" s="1392" t="n"/>
      <c r="CK333" s="1392" t="n"/>
      <c r="CL333" s="1392" t="n"/>
    </row>
    <row r="334">
      <c r="A334" s="5" t="inlineStr">
        <is>
          <t>.</t>
        </is>
      </c>
      <c r="B334" s="5" t="inlineStr">
        <is>
          <t>.</t>
        </is>
      </c>
      <c r="C334" s="1378">
        <f>IF(raw[[#This Row],[city]]="","-",IF(raw[[#This Row],[city]]="TODAY","-",C333+1))</f>
        <v/>
      </c>
      <c r="D334" s="1393" t="inlineStr">
        <is>
          <t>Toledo</t>
        </is>
      </c>
      <c r="E334" s="1394" t="n">
        <v>34742</v>
      </c>
      <c r="F334" s="1394" t="n">
        <v>34743</v>
      </c>
      <c r="G334" s="1393" t="inlineStr">
        <is>
          <t>-</t>
        </is>
      </c>
      <c r="H334" s="1393">
        <f>H333</f>
        <v/>
      </c>
      <c r="I334" s="1393" t="inlineStr">
        <is>
          <t>-</t>
        </is>
      </c>
      <c r="J334" s="1393" t="inlineStr">
        <is>
          <t>-</t>
        </is>
      </c>
      <c r="K334" s="1395">
        <f>IF(raw[[#This Row],[city]]&lt;&gt;"",_xlfn.XLOOKUP($D334,ccc[city],ccc[prov],"-"),"-")</f>
        <v/>
      </c>
      <c r="L334" s="1395">
        <f>IF(raw[[#This Row],[city]]&lt;&gt;"",_xlfn.XLOOKUP($D334,ccc[city],ccc[ctry],"-"),"-")</f>
        <v/>
      </c>
      <c r="M334" s="1395">
        <f>IF(raw[[#This Row],[city]]&lt;&gt;"",_xlfn.XLOOKUP($D334,ccc[city],ccc[cont],"-"),"-")</f>
        <v/>
      </c>
      <c r="N334" s="1396">
        <f>IF(raw[[#This Row],[city]]="","-",IF(raw[[#This Row],[cont]]="B",raw[[#This Row],[cont]],"W"))</f>
        <v/>
      </c>
      <c r="O334" s="1397">
        <f>IF(raw[[#This Row],[out]]=0,0,IF(raw[[#This Row],[out]]=raw[[#This Row],[in]],0.01,raw[[#This Row],[out]]-raw[[#This Row],[in]]))</f>
        <v/>
      </c>
      <c r="P334" s="1397">
        <f>IF(raw[[#This Row],[in]]=0,0,MONTH(raw[[#This Row],[in]]))</f>
        <v/>
      </c>
      <c r="Q334" s="1397">
        <f>IF(raw[[#This Row],[in]]=0,0,YEAR(raw[[#This Row],[in]]))</f>
        <v/>
      </c>
      <c r="R334" s="1397">
        <f>INT(raw[[#This Row],[yr]]/10)*10</f>
        <v/>
      </c>
      <c r="S334" s="1395">
        <f>IF(raw[[#This Row],[city]]="","-",IF(raw[[#This Row],[city]]&lt;&gt;_xlfn.XLOOKUP(raw[[#This Row],[home]],homes[home],homes[city],"-"),1,0))</f>
        <v/>
      </c>
      <c r="T334" s="1398" t="inlineStr">
        <is>
          <t>.</t>
        </is>
      </c>
      <c r="U334" s="1399">
        <f>IF(raw[[#This Row],[wb]]="w",raw[[#This Row],[stay]]+U333,U333)</f>
        <v/>
      </c>
      <c r="V334" s="1400">
        <f>IF(raw[[#This Row],[out]]=0,V333,(raw[[#This Row],[out]]-E$5))</f>
        <v/>
      </c>
      <c r="W334" s="1401">
        <f>U334/V334</f>
        <v/>
      </c>
      <c r="X334" s="1378" t="inlineStr">
        <is>
          <t>.</t>
        </is>
      </c>
      <c r="Y334" s="1402">
        <f/>
        <v/>
      </c>
      <c r="Z334" s="1403">
        <f/>
        <v/>
      </c>
      <c r="AA334" s="1403">
        <f/>
        <v/>
      </c>
      <c r="AB334" s="1400">
        <f t="array" ref="AB334">_xlfn.LET(_xlpm.S,_xlfn.ANCHORARRAY($Y$4),_xlpm.r,ROWS(stayCity[[#Headers],[city]]:stayCity[[#This Row],[city]])-1,IF(_xlpm.r&lt;=ROWS(_xlpm.S),INDEX(_xlpm.S,_xlpm.r,1),""))</f>
        <v/>
      </c>
      <c r="AC334" s="1405">
        <f t="array" ref="AC334">_xlfn.LET(_xlpm.S,_xlfn.ANCHORARRAY($Y$4),_xlpm.r,ROWS(stayCity[[#Headers],[city]]:stayCity[[#This Row],[city]])-1,IF(_xlpm.r&lt;=ROWS(_xlpm.S),INDEX(_xlpm.S,_xlpm.r,2),""))</f>
        <v/>
      </c>
      <c r="AD334" s="1405">
        <f t="array" ref="AD334">_xlfn.LET(_xlpm.S,_xlfn.ANCHORARRAY($Y$4),_xlpm.r,ROWS(stayCity[[#Headers],[city]]:stayCity[[#This Row],[city]])-1,IF(_xlpm.r&lt;=ROWS(_xlpm.S),INDEX(_xlpm.S,_xlpm.r,3),""))</f>
        <v/>
      </c>
      <c r="AE334" s="1400">
        <f>IF(stayCity[[#This Row],[out]]&lt;&gt;"",stayCity[[#This Row],[out]]-stayCity[[#This Row],[in]],"-")</f>
        <v/>
      </c>
      <c r="AF334" s="1406">
        <f>IF(Y334="","-",YEAR(stayCity[[#This Row],[in]]))</f>
        <v/>
      </c>
      <c r="AG334" s="1392" t="n"/>
      <c r="AH334" s="1392" t="n"/>
      <c r="AI334" s="1392" t="n"/>
      <c r="AJ334" s="1392" t="n"/>
      <c r="AK334" s="1392" t="n"/>
      <c r="AL334" s="1392" t="n"/>
      <c r="AM334" s="1392" t="n"/>
      <c r="AN334" s="1392" t="n"/>
      <c r="AO334" s="1392" t="n"/>
      <c r="AP334" s="1392" t="n"/>
      <c r="AQ334" s="1392" t="n"/>
      <c r="AR334" s="1392" t="n"/>
      <c r="AS334" s="1422" t="n"/>
      <c r="AT334" s="1392" t="n"/>
      <c r="AU334" s="1392" t="n"/>
      <c r="AV334" s="1392" t="n"/>
      <c r="AW334" s="1392" t="n"/>
      <c r="AX334" s="1392" t="n"/>
      <c r="AY334" s="1392" t="n"/>
      <c r="AZ334" s="1392" t="n"/>
      <c r="BA334" s="1392" t="n"/>
      <c r="BB334" s="1422" t="n"/>
      <c r="BC334" s="1392" t="n"/>
      <c r="BD334" s="1392" t="n"/>
      <c r="BE334" s="1392" t="n"/>
      <c r="BF334" s="1392" t="n"/>
      <c r="BG334" s="1392" t="n"/>
      <c r="BH334" s="1392" t="n"/>
      <c r="BI334" s="1392" t="n"/>
      <c r="BJ334" s="1392" t="n"/>
      <c r="BK334" s="1392" t="n"/>
      <c r="BL334" s="1392" t="n"/>
      <c r="BM334" s="1392" t="n"/>
      <c r="BN334" s="1392" t="n"/>
      <c r="BO334" s="1392" t="n"/>
      <c r="BP334" s="1398" t="inlineStr">
        <is>
          <t>.</t>
        </is>
      </c>
      <c r="BQ334" s="1400">
        <f>IF(BR334&lt;&gt;"",BQ333+1,BQ333)</f>
        <v/>
      </c>
      <c r="BR334" s="1411" t="inlineStr">
        <is>
          <t>SSA</t>
        </is>
      </c>
      <c r="BS334" s="1411" t="inlineStr">
        <is>
          <t>Rio</t>
        </is>
      </c>
      <c r="BT334" s="1411" t="inlineStr">
        <is>
          <t>SSA-Rio</t>
        </is>
      </c>
      <c r="BU334" s="1412" t="n">
        <v>43879</v>
      </c>
      <c r="BV334" s="1398" t="inlineStr">
        <is>
          <t>.</t>
        </is>
      </c>
      <c r="BW334" s="1392" t="n"/>
      <c r="BX334" s="1392" t="n"/>
      <c r="BY334" s="1392" t="n"/>
      <c r="BZ334" s="1416" t="n"/>
      <c r="CA334" s="1392" t="n"/>
      <c r="CB334" s="1392" t="n"/>
      <c r="CC334" s="1392" t="n"/>
      <c r="CD334" s="1392" t="n"/>
      <c r="CE334" s="1392" t="n"/>
      <c r="CF334" s="1392" t="n"/>
      <c r="CG334" s="1392" t="n"/>
      <c r="CH334" s="1392" t="n"/>
      <c r="CI334" s="1392" t="n"/>
      <c r="CJ334" s="1392" t="n"/>
      <c r="CK334" s="1392" t="n"/>
      <c r="CL334" s="1392" t="n"/>
    </row>
    <row r="335">
      <c r="A335" s="5" t="inlineStr">
        <is>
          <t>.</t>
        </is>
      </c>
      <c r="B335" s="5" t="inlineStr">
        <is>
          <t>.</t>
        </is>
      </c>
      <c r="C335" s="1378">
        <f>IF(raw[[#This Row],[city]]="","-",IF(raw[[#This Row],[city]]="TODAY","-",C334+1))</f>
        <v/>
      </c>
      <c r="D335" s="1393" t="inlineStr">
        <is>
          <t>Madrid</t>
        </is>
      </c>
      <c r="E335" s="1394" t="n">
        <v>34743</v>
      </c>
      <c r="F335" s="1394" t="n">
        <v>34745</v>
      </c>
      <c r="G335" s="1393" t="inlineStr">
        <is>
          <t>-</t>
        </is>
      </c>
      <c r="H335" s="1393">
        <f>H334</f>
        <v/>
      </c>
      <c r="I335" s="1393" t="inlineStr">
        <is>
          <t>-</t>
        </is>
      </c>
      <c r="J335" s="1393" t="inlineStr">
        <is>
          <t>-</t>
        </is>
      </c>
      <c r="K335" s="1395">
        <f>IF(raw[[#This Row],[city]]&lt;&gt;"",_xlfn.XLOOKUP($D335,ccc[city],ccc[prov],"-"),"-")</f>
        <v/>
      </c>
      <c r="L335" s="1395">
        <f>IF(raw[[#This Row],[city]]&lt;&gt;"",_xlfn.XLOOKUP($D335,ccc[city],ccc[ctry],"-"),"-")</f>
        <v/>
      </c>
      <c r="M335" s="1395">
        <f>IF(raw[[#This Row],[city]]&lt;&gt;"",_xlfn.XLOOKUP($D335,ccc[city],ccc[cont],"-"),"-")</f>
        <v/>
      </c>
      <c r="N335" s="1396">
        <f>IF(raw[[#This Row],[city]]="","-",IF(raw[[#This Row],[cont]]="B",raw[[#This Row],[cont]],"W"))</f>
        <v/>
      </c>
      <c r="O335" s="1397">
        <f>IF(raw[[#This Row],[out]]=0,0,IF(raw[[#This Row],[out]]=raw[[#This Row],[in]],0.01,raw[[#This Row],[out]]-raw[[#This Row],[in]]))</f>
        <v/>
      </c>
      <c r="P335" s="1397">
        <f>IF(raw[[#This Row],[in]]=0,0,MONTH(raw[[#This Row],[in]]))</f>
        <v/>
      </c>
      <c r="Q335" s="1397">
        <f>IF(raw[[#This Row],[in]]=0,0,YEAR(raw[[#This Row],[in]]))</f>
        <v/>
      </c>
      <c r="R335" s="1397">
        <f>INT(raw[[#This Row],[yr]]/10)*10</f>
        <v/>
      </c>
      <c r="S335" s="1395">
        <f>IF(raw[[#This Row],[city]]="","-",IF(raw[[#This Row],[city]]&lt;&gt;_xlfn.XLOOKUP(raw[[#This Row],[home]],homes[home],homes[city],"-"),1,0))</f>
        <v/>
      </c>
      <c r="T335" s="1398" t="inlineStr">
        <is>
          <t>.</t>
        </is>
      </c>
      <c r="U335" s="1399">
        <f>IF(raw[[#This Row],[wb]]="w",raw[[#This Row],[stay]]+U334,U334)</f>
        <v/>
      </c>
      <c r="V335" s="1400">
        <f>IF(raw[[#This Row],[out]]=0,V334,(raw[[#This Row],[out]]-E$5))</f>
        <v/>
      </c>
      <c r="W335" s="1401">
        <f>U335/V335</f>
        <v/>
      </c>
      <c r="X335" s="1378" t="inlineStr">
        <is>
          <t>.</t>
        </is>
      </c>
      <c r="Y335" s="1402">
        <f/>
        <v/>
      </c>
      <c r="Z335" s="1403">
        <f/>
        <v/>
      </c>
      <c r="AA335" s="1403">
        <f/>
        <v/>
      </c>
      <c r="AB335" s="1400">
        <f t="array" ref="AB335">_xlfn.LET(_xlpm.S,_xlfn.ANCHORARRAY($Y$4),_xlpm.r,ROWS(stayCity[[#Headers],[city]]:stayCity[[#This Row],[city]])-1,IF(_xlpm.r&lt;=ROWS(_xlpm.S),INDEX(_xlpm.S,_xlpm.r,1),""))</f>
        <v/>
      </c>
      <c r="AC335" s="1405">
        <f t="array" ref="AC335">_xlfn.LET(_xlpm.S,_xlfn.ANCHORARRAY($Y$4),_xlpm.r,ROWS(stayCity[[#Headers],[city]]:stayCity[[#This Row],[city]])-1,IF(_xlpm.r&lt;=ROWS(_xlpm.S),INDEX(_xlpm.S,_xlpm.r,2),""))</f>
        <v/>
      </c>
      <c r="AD335" s="1405">
        <f t="array" ref="AD335">_xlfn.LET(_xlpm.S,_xlfn.ANCHORARRAY($Y$4),_xlpm.r,ROWS(stayCity[[#Headers],[city]]:stayCity[[#This Row],[city]])-1,IF(_xlpm.r&lt;=ROWS(_xlpm.S),INDEX(_xlpm.S,_xlpm.r,3),""))</f>
        <v/>
      </c>
      <c r="AE335" s="1400">
        <f>IF(stayCity[[#This Row],[out]]&lt;&gt;"",stayCity[[#This Row],[out]]-stayCity[[#This Row],[in]],"-")</f>
        <v/>
      </c>
      <c r="AF335" s="1406">
        <f>IF(Y335="","-",YEAR(stayCity[[#This Row],[in]]))</f>
        <v/>
      </c>
      <c r="AG335" s="1392" t="n"/>
      <c r="AH335" s="1392" t="n"/>
      <c r="AI335" s="1392" t="n"/>
      <c r="AJ335" s="1392" t="n"/>
      <c r="AK335" s="1392" t="n"/>
      <c r="AL335" s="1392" t="n"/>
      <c r="AM335" s="1392" t="n"/>
      <c r="AN335" s="1392" t="n"/>
      <c r="AO335" s="1392" t="n"/>
      <c r="AP335" s="1392" t="n"/>
      <c r="AQ335" s="1392" t="n"/>
      <c r="AR335" s="1392" t="n"/>
      <c r="AS335" s="1422" t="n"/>
      <c r="AT335" s="1392" t="n"/>
      <c r="AU335" s="1392" t="n"/>
      <c r="AV335" s="1392" t="n"/>
      <c r="AW335" s="1392" t="n"/>
      <c r="AX335" s="1392" t="n"/>
      <c r="AY335" s="1392" t="n"/>
      <c r="AZ335" s="1392" t="n"/>
      <c r="BA335" s="1392" t="n"/>
      <c r="BB335" s="1422" t="n"/>
      <c r="BC335" s="1392" t="n"/>
      <c r="BD335" s="1392" t="n"/>
      <c r="BE335" s="1392" t="n"/>
      <c r="BF335" s="1392" t="n"/>
      <c r="BG335" s="1392" t="n"/>
      <c r="BH335" s="1392" t="n"/>
      <c r="BI335" s="1392" t="n"/>
      <c r="BJ335" s="1392" t="n"/>
      <c r="BK335" s="1392" t="n"/>
      <c r="BL335" s="1392" t="n"/>
      <c r="BM335" s="1392" t="n"/>
      <c r="BN335" s="1392" t="n"/>
      <c r="BO335" s="1392" t="n"/>
      <c r="BP335" s="1398" t="inlineStr">
        <is>
          <t>.</t>
        </is>
      </c>
      <c r="BQ335" s="1400">
        <f>IF(BR335&lt;&gt;"",BQ334+1,BQ334)</f>
        <v/>
      </c>
      <c r="BR335" s="1411" t="inlineStr">
        <is>
          <t>Rio</t>
        </is>
      </c>
      <c r="BS335" s="1411" t="inlineStr">
        <is>
          <t>SP</t>
        </is>
      </c>
      <c r="BT335" s="1411" t="inlineStr">
        <is>
          <t>Rio-SP</t>
        </is>
      </c>
      <c r="BU335" s="1412" t="n">
        <v>43887</v>
      </c>
      <c r="BV335" s="1398" t="inlineStr">
        <is>
          <t>.</t>
        </is>
      </c>
      <c r="BW335" s="1392" t="n"/>
      <c r="BX335" s="1392" t="n"/>
      <c r="BY335" s="1392" t="n"/>
      <c r="BZ335" s="1416" t="n"/>
      <c r="CA335" s="1392" t="n"/>
      <c r="CB335" s="1392" t="n"/>
      <c r="CC335" s="1392" t="n"/>
      <c r="CD335" s="1392" t="n"/>
      <c r="CE335" s="1392" t="n"/>
      <c r="CF335" s="1392" t="n"/>
      <c r="CG335" s="1392" t="n"/>
      <c r="CH335" s="1392" t="n"/>
      <c r="CI335" s="1392" t="n"/>
      <c r="CJ335" s="1392" t="n"/>
      <c r="CK335" s="1392" t="n"/>
      <c r="CL335" s="1392" t="n"/>
    </row>
    <row r="336">
      <c r="A336" s="5" t="inlineStr">
        <is>
          <t>.</t>
        </is>
      </c>
      <c r="B336" s="5" t="inlineStr">
        <is>
          <t>.</t>
        </is>
      </c>
      <c r="C336" s="1378">
        <f>IF(raw[[#This Row],[city]]="","-",IF(raw[[#This Row],[city]]="TODAY","-",C335+1))</f>
        <v/>
      </c>
      <c r="D336" s="1393" t="inlineStr">
        <is>
          <t>Vale de los Caidos</t>
        </is>
      </c>
      <c r="E336" s="1394" t="n">
        <v>34745</v>
      </c>
      <c r="F336" s="1394" t="n">
        <v>34745</v>
      </c>
      <c r="G336" s="1393" t="inlineStr">
        <is>
          <t>-</t>
        </is>
      </c>
      <c r="H336" s="1393">
        <f>H335</f>
        <v/>
      </c>
      <c r="I336" s="1393" t="inlineStr">
        <is>
          <t>-</t>
        </is>
      </c>
      <c r="J336" s="1393" t="inlineStr">
        <is>
          <t>-</t>
        </is>
      </c>
      <c r="K336" s="1395">
        <f>IF(raw[[#This Row],[city]]&lt;&gt;"",_xlfn.XLOOKUP($D336,ccc[city],ccc[prov],"-"),"-")</f>
        <v/>
      </c>
      <c r="L336" s="1395">
        <f>IF(raw[[#This Row],[city]]&lt;&gt;"",_xlfn.XLOOKUP($D336,ccc[city],ccc[ctry],"-"),"-")</f>
        <v/>
      </c>
      <c r="M336" s="1395">
        <f>IF(raw[[#This Row],[city]]&lt;&gt;"",_xlfn.XLOOKUP($D336,ccc[city],ccc[cont],"-"),"-")</f>
        <v/>
      </c>
      <c r="N336" s="1396">
        <f>IF(raw[[#This Row],[city]]="","-",IF(raw[[#This Row],[cont]]="B",raw[[#This Row],[cont]],"W"))</f>
        <v/>
      </c>
      <c r="O336" s="1397">
        <f>IF(raw[[#This Row],[out]]=0,0,IF(raw[[#This Row],[out]]=raw[[#This Row],[in]],0.01,raw[[#This Row],[out]]-raw[[#This Row],[in]]))</f>
        <v/>
      </c>
      <c r="P336" s="1397">
        <f>IF(raw[[#This Row],[in]]=0,0,MONTH(raw[[#This Row],[in]]))</f>
        <v/>
      </c>
      <c r="Q336" s="1397">
        <f>IF(raw[[#This Row],[in]]=0,0,YEAR(raw[[#This Row],[in]]))</f>
        <v/>
      </c>
      <c r="R336" s="1397">
        <f>INT(raw[[#This Row],[yr]]/10)*10</f>
        <v/>
      </c>
      <c r="S336" s="1395">
        <f>IF(raw[[#This Row],[city]]="","-",IF(raw[[#This Row],[city]]&lt;&gt;_xlfn.XLOOKUP(raw[[#This Row],[home]],homes[home],homes[city],"-"),1,0))</f>
        <v/>
      </c>
      <c r="T336" s="1398" t="inlineStr">
        <is>
          <t>.</t>
        </is>
      </c>
      <c r="U336" s="1399">
        <f>IF(raw[[#This Row],[wb]]="w",raw[[#This Row],[stay]]+U335,U335)</f>
        <v/>
      </c>
      <c r="V336" s="1400">
        <f>IF(raw[[#This Row],[out]]=0,V335,(raw[[#This Row],[out]]-E$5))</f>
        <v/>
      </c>
      <c r="W336" s="1401">
        <f>U336/V336</f>
        <v/>
      </c>
      <c r="X336" s="1378" t="inlineStr">
        <is>
          <t>.</t>
        </is>
      </c>
      <c r="Y336" s="1402">
        <f/>
        <v/>
      </c>
      <c r="Z336" s="1403">
        <f/>
        <v/>
      </c>
      <c r="AA336" s="1403">
        <f/>
        <v/>
      </c>
      <c r="AB336" s="1400">
        <f t="array" ref="AB336">_xlfn.LET(_xlpm.S,_xlfn.ANCHORARRAY($Y$4),_xlpm.r,ROWS(stayCity[[#Headers],[city]]:stayCity[[#This Row],[city]])-1,IF(_xlpm.r&lt;=ROWS(_xlpm.S),INDEX(_xlpm.S,_xlpm.r,1),""))</f>
        <v/>
      </c>
      <c r="AC336" s="1405">
        <f t="array" ref="AC336">_xlfn.LET(_xlpm.S,_xlfn.ANCHORARRAY($Y$4),_xlpm.r,ROWS(stayCity[[#Headers],[city]]:stayCity[[#This Row],[city]])-1,IF(_xlpm.r&lt;=ROWS(_xlpm.S),INDEX(_xlpm.S,_xlpm.r,2),""))</f>
        <v/>
      </c>
      <c r="AD336" s="1405">
        <f t="array" ref="AD336">_xlfn.LET(_xlpm.S,_xlfn.ANCHORARRAY($Y$4),_xlpm.r,ROWS(stayCity[[#Headers],[city]]:stayCity[[#This Row],[city]])-1,IF(_xlpm.r&lt;=ROWS(_xlpm.S),INDEX(_xlpm.S,_xlpm.r,3),""))</f>
        <v/>
      </c>
      <c r="AE336" s="1400">
        <f>IF(stayCity[[#This Row],[out]]&lt;&gt;"",stayCity[[#This Row],[out]]-stayCity[[#This Row],[in]],"-")</f>
        <v/>
      </c>
      <c r="AF336" s="1406">
        <f>IF(Y336="","-",YEAR(stayCity[[#This Row],[in]]))</f>
        <v/>
      </c>
      <c r="AG336" s="1392" t="n"/>
      <c r="AH336" s="1392" t="n"/>
      <c r="AI336" s="1392" t="n"/>
      <c r="AJ336" s="1392" t="n"/>
      <c r="AK336" s="1392" t="n"/>
      <c r="AL336" s="1392" t="n"/>
      <c r="AM336" s="1392" t="n"/>
      <c r="AN336" s="1392" t="n"/>
      <c r="AO336" s="1392" t="n"/>
      <c r="AP336" s="1392" t="n"/>
      <c r="AQ336" s="1392" t="n"/>
      <c r="AR336" s="1392" t="n"/>
      <c r="AS336" s="1422" t="n"/>
      <c r="AT336" s="1392" t="n"/>
      <c r="AU336" s="1392" t="n"/>
      <c r="AV336" s="1392" t="n"/>
      <c r="AW336" s="1392" t="n"/>
      <c r="AX336" s="1392" t="n"/>
      <c r="AY336" s="1392" t="n"/>
      <c r="AZ336" s="1392" t="n"/>
      <c r="BA336" s="1392" t="n"/>
      <c r="BB336" s="1422" t="n"/>
      <c r="BC336" s="1392" t="n"/>
      <c r="BD336" s="1392" t="n"/>
      <c r="BE336" s="1392" t="n"/>
      <c r="BF336" s="1392" t="n"/>
      <c r="BG336" s="1392" t="n"/>
      <c r="BH336" s="1392" t="n"/>
      <c r="BI336" s="1392" t="n"/>
      <c r="BJ336" s="1392" t="n"/>
      <c r="BK336" s="1392" t="n"/>
      <c r="BL336" s="1392" t="n"/>
      <c r="BM336" s="1392" t="n"/>
      <c r="BN336" s="1392" t="n"/>
      <c r="BO336" s="1392" t="n"/>
      <c r="BP336" s="1398" t="inlineStr">
        <is>
          <t>.</t>
        </is>
      </c>
      <c r="BQ336" s="1400">
        <f>IF(BR336&lt;&gt;"",BQ335+1,BQ335)</f>
        <v/>
      </c>
      <c r="BR336" s="1411" t="inlineStr">
        <is>
          <t>SP</t>
        </is>
      </c>
      <c r="BS336" s="1411" t="inlineStr">
        <is>
          <t>Newark</t>
        </is>
      </c>
      <c r="BT336" s="1411" t="inlineStr">
        <is>
          <t>SP-Newark</t>
        </is>
      </c>
      <c r="BU336" s="1412" t="n">
        <v>43887</v>
      </c>
      <c r="BV336" s="1398" t="inlineStr">
        <is>
          <t>.</t>
        </is>
      </c>
      <c r="BW336" s="1392" t="n"/>
      <c r="BX336" s="1392" t="n"/>
      <c r="BY336" s="1392" t="n"/>
      <c r="BZ336" s="1416" t="n"/>
      <c r="CA336" s="1392" t="n"/>
      <c r="CB336" s="1392" t="n"/>
      <c r="CC336" s="1392" t="n"/>
      <c r="CD336" s="1392" t="n"/>
      <c r="CE336" s="1392" t="n"/>
      <c r="CF336" s="1392" t="n"/>
      <c r="CG336" s="1392" t="n"/>
      <c r="CH336" s="1392" t="n"/>
      <c r="CI336" s="1392" t="n"/>
      <c r="CJ336" s="1392" t="n"/>
      <c r="CK336" s="1392" t="n"/>
      <c r="CL336" s="1392" t="n"/>
    </row>
    <row r="337">
      <c r="A337" s="5" t="inlineStr">
        <is>
          <t>.</t>
        </is>
      </c>
      <c r="B337" s="5" t="inlineStr">
        <is>
          <t>.</t>
        </is>
      </c>
      <c r="C337" s="1378">
        <f>IF(raw[[#This Row],[city]]="","-",IF(raw[[#This Row],[city]]="TODAY","-",C336+1))</f>
        <v/>
      </c>
      <c r="D337" s="1393" t="inlineStr">
        <is>
          <t>Salamanca</t>
        </is>
      </c>
      <c r="E337" s="1394" t="n">
        <v>34745</v>
      </c>
      <c r="F337" s="1394" t="n">
        <v>34746</v>
      </c>
      <c r="G337" s="1393" t="inlineStr">
        <is>
          <t>-</t>
        </is>
      </c>
      <c r="H337" s="1393">
        <f>H336</f>
        <v/>
      </c>
      <c r="I337" s="1393" t="inlineStr">
        <is>
          <t>-</t>
        </is>
      </c>
      <c r="J337" s="1393" t="inlineStr">
        <is>
          <t>-</t>
        </is>
      </c>
      <c r="K337" s="1395">
        <f>IF(raw[[#This Row],[city]]&lt;&gt;"",_xlfn.XLOOKUP($D337,ccc[city],ccc[prov],"-"),"-")</f>
        <v/>
      </c>
      <c r="L337" s="1395">
        <f>IF(raw[[#This Row],[city]]&lt;&gt;"",_xlfn.XLOOKUP($D337,ccc[city],ccc[ctry],"-"),"-")</f>
        <v/>
      </c>
      <c r="M337" s="1395">
        <f>IF(raw[[#This Row],[city]]&lt;&gt;"",_xlfn.XLOOKUP($D337,ccc[city],ccc[cont],"-"),"-")</f>
        <v/>
      </c>
      <c r="N337" s="1396">
        <f>IF(raw[[#This Row],[city]]="","-",IF(raw[[#This Row],[cont]]="B",raw[[#This Row],[cont]],"W"))</f>
        <v/>
      </c>
      <c r="O337" s="1397">
        <f>IF(raw[[#This Row],[out]]=0,0,IF(raw[[#This Row],[out]]=raw[[#This Row],[in]],0.01,raw[[#This Row],[out]]-raw[[#This Row],[in]]))</f>
        <v/>
      </c>
      <c r="P337" s="1397">
        <f>IF(raw[[#This Row],[in]]=0,0,MONTH(raw[[#This Row],[in]]))</f>
        <v/>
      </c>
      <c r="Q337" s="1397">
        <f>IF(raw[[#This Row],[in]]=0,0,YEAR(raw[[#This Row],[in]]))</f>
        <v/>
      </c>
      <c r="R337" s="1397">
        <f>INT(raw[[#This Row],[yr]]/10)*10</f>
        <v/>
      </c>
      <c r="S337" s="1395">
        <f>IF(raw[[#This Row],[city]]="","-",IF(raw[[#This Row],[city]]&lt;&gt;_xlfn.XLOOKUP(raw[[#This Row],[home]],homes[home],homes[city],"-"),1,0))</f>
        <v/>
      </c>
      <c r="T337" s="1398" t="inlineStr">
        <is>
          <t>.</t>
        </is>
      </c>
      <c r="U337" s="1399">
        <f>IF(raw[[#This Row],[wb]]="w",raw[[#This Row],[stay]]+U336,U336)</f>
        <v/>
      </c>
      <c r="V337" s="1400">
        <f>IF(raw[[#This Row],[out]]=0,V336,(raw[[#This Row],[out]]-E$5))</f>
        <v/>
      </c>
      <c r="W337" s="1401">
        <f>U337/V337</f>
        <v/>
      </c>
      <c r="X337" s="1378" t="inlineStr">
        <is>
          <t>.</t>
        </is>
      </c>
      <c r="Y337" s="1402">
        <f/>
        <v/>
      </c>
      <c r="Z337" s="1403">
        <f/>
        <v/>
      </c>
      <c r="AA337" s="1403">
        <f/>
        <v/>
      </c>
      <c r="AB337" s="1400">
        <f t="array" ref="AB337">_xlfn.LET(_xlpm.S,_xlfn.ANCHORARRAY($Y$4),_xlpm.r,ROWS(stayCity[[#Headers],[city]]:stayCity[[#This Row],[city]])-1,IF(_xlpm.r&lt;=ROWS(_xlpm.S),INDEX(_xlpm.S,_xlpm.r,1),""))</f>
        <v/>
      </c>
      <c r="AC337" s="1405">
        <f t="array" ref="AC337">_xlfn.LET(_xlpm.S,_xlfn.ANCHORARRAY($Y$4),_xlpm.r,ROWS(stayCity[[#Headers],[city]]:stayCity[[#This Row],[city]])-1,IF(_xlpm.r&lt;=ROWS(_xlpm.S),INDEX(_xlpm.S,_xlpm.r,2),""))</f>
        <v/>
      </c>
      <c r="AD337" s="1405">
        <f t="array" ref="AD337">_xlfn.LET(_xlpm.S,_xlfn.ANCHORARRAY($Y$4),_xlpm.r,ROWS(stayCity[[#Headers],[city]]:stayCity[[#This Row],[city]])-1,IF(_xlpm.r&lt;=ROWS(_xlpm.S),INDEX(_xlpm.S,_xlpm.r,3),""))</f>
        <v/>
      </c>
      <c r="AE337" s="1400">
        <f>IF(stayCity[[#This Row],[out]]&lt;&gt;"",stayCity[[#This Row],[out]]-stayCity[[#This Row],[in]],"-")</f>
        <v/>
      </c>
      <c r="AF337" s="1406">
        <f>IF(Y337="","-",YEAR(stayCity[[#This Row],[in]]))</f>
        <v/>
      </c>
      <c r="AG337" s="1392" t="n"/>
      <c r="AH337" s="1392" t="n"/>
      <c r="AI337" s="1392" t="n"/>
      <c r="AJ337" s="1392" t="n"/>
      <c r="AK337" s="1392" t="n"/>
      <c r="AL337" s="1392" t="n"/>
      <c r="AM337" s="1392" t="n"/>
      <c r="AN337" s="1392" t="n"/>
      <c r="AO337" s="1392" t="n"/>
      <c r="AP337" s="1392" t="n"/>
      <c r="AQ337" s="1392" t="n"/>
      <c r="AR337" s="1392" t="n"/>
      <c r="AS337" s="1422" t="n"/>
      <c r="AT337" s="1392" t="n"/>
      <c r="AU337" s="1392" t="n"/>
      <c r="AV337" s="1392" t="n"/>
      <c r="AW337" s="1392" t="n"/>
      <c r="AX337" s="1392" t="n"/>
      <c r="AY337" s="1392" t="n"/>
      <c r="AZ337" s="1392" t="n"/>
      <c r="BA337" s="1392" t="n"/>
      <c r="BB337" s="1422" t="n"/>
      <c r="BC337" s="1392" t="n"/>
      <c r="BD337" s="1392" t="n"/>
      <c r="BE337" s="1392" t="n"/>
      <c r="BF337" s="1392" t="n"/>
      <c r="BG337" s="1392" t="n"/>
      <c r="BH337" s="1392" t="n"/>
      <c r="BI337" s="1392" t="n"/>
      <c r="BJ337" s="1392" t="n"/>
      <c r="BK337" s="1392" t="n"/>
      <c r="BL337" s="1392" t="n"/>
      <c r="BM337" s="1392" t="n"/>
      <c r="BN337" s="1392" t="n"/>
      <c r="BO337" s="1392" t="n"/>
      <c r="BP337" s="1398" t="inlineStr">
        <is>
          <t>.</t>
        </is>
      </c>
      <c r="BQ337" s="1400">
        <f>IF(BR337&lt;&gt;"",BQ336+1,BQ336)</f>
        <v/>
      </c>
      <c r="BR337" s="1411" t="inlineStr">
        <is>
          <t>Newark</t>
        </is>
      </c>
      <c r="BS337" s="1411" t="inlineStr">
        <is>
          <t>Washington</t>
        </is>
      </c>
      <c r="BT337" s="1411" t="inlineStr">
        <is>
          <t>Newark-Washington</t>
        </is>
      </c>
      <c r="BU337" s="1412" t="n">
        <v>43888</v>
      </c>
      <c r="BV337" s="1398" t="inlineStr">
        <is>
          <t>.</t>
        </is>
      </c>
      <c r="BW337" s="1392" t="n"/>
      <c r="BX337" s="1392" t="n"/>
      <c r="BY337" s="1392" t="n"/>
      <c r="BZ337" s="1416" t="n"/>
      <c r="CA337" s="1392" t="n"/>
      <c r="CB337" s="1392" t="n"/>
      <c r="CC337" s="1392" t="n"/>
      <c r="CD337" s="1392" t="n"/>
      <c r="CE337" s="1392" t="n"/>
      <c r="CF337" s="1392" t="n"/>
      <c r="CG337" s="1392" t="n"/>
      <c r="CH337" s="1392" t="n"/>
      <c r="CI337" s="1392" t="n"/>
      <c r="CJ337" s="1392" t="n"/>
      <c r="CK337" s="1392" t="n"/>
      <c r="CL337" s="1392" t="n"/>
    </row>
    <row r="338">
      <c r="A338" s="5" t="inlineStr">
        <is>
          <t>.</t>
        </is>
      </c>
      <c r="B338" s="5" t="inlineStr">
        <is>
          <t>.</t>
        </is>
      </c>
      <c r="C338" s="1378">
        <f>IF(raw[[#This Row],[city]]="","-",IF(raw[[#This Row],[city]]="TODAY","-",C337+1))</f>
        <v/>
      </c>
      <c r="D338" s="1393" t="inlineStr">
        <is>
          <t>Avila</t>
        </is>
      </c>
      <c r="E338" s="1394" t="n">
        <v>34746</v>
      </c>
      <c r="F338" s="1394" t="n">
        <v>34747</v>
      </c>
      <c r="G338" s="1393" t="inlineStr">
        <is>
          <t>-</t>
        </is>
      </c>
      <c r="H338" s="1393">
        <f>H337</f>
        <v/>
      </c>
      <c r="I338" s="1393" t="inlineStr">
        <is>
          <t>-</t>
        </is>
      </c>
      <c r="J338" s="1393" t="inlineStr">
        <is>
          <t>-</t>
        </is>
      </c>
      <c r="K338" s="1395">
        <f>IF(raw[[#This Row],[city]]&lt;&gt;"",_xlfn.XLOOKUP($D338,ccc[city],ccc[prov],"-"),"-")</f>
        <v/>
      </c>
      <c r="L338" s="1395">
        <f>IF(raw[[#This Row],[city]]&lt;&gt;"",_xlfn.XLOOKUP($D338,ccc[city],ccc[ctry],"-"),"-")</f>
        <v/>
      </c>
      <c r="M338" s="1395">
        <f>IF(raw[[#This Row],[city]]&lt;&gt;"",_xlfn.XLOOKUP($D338,ccc[city],ccc[cont],"-"),"-")</f>
        <v/>
      </c>
      <c r="N338" s="1396">
        <f>IF(raw[[#This Row],[city]]="","-",IF(raw[[#This Row],[cont]]="B",raw[[#This Row],[cont]],"W"))</f>
        <v/>
      </c>
      <c r="O338" s="1397">
        <f>IF(raw[[#This Row],[out]]=0,0,IF(raw[[#This Row],[out]]=raw[[#This Row],[in]],0.01,raw[[#This Row],[out]]-raw[[#This Row],[in]]))</f>
        <v/>
      </c>
      <c r="P338" s="1397">
        <f>IF(raw[[#This Row],[in]]=0,0,MONTH(raw[[#This Row],[in]]))</f>
        <v/>
      </c>
      <c r="Q338" s="1397">
        <f>IF(raw[[#This Row],[in]]=0,0,YEAR(raw[[#This Row],[in]]))</f>
        <v/>
      </c>
      <c r="R338" s="1397">
        <f>INT(raw[[#This Row],[yr]]/10)*10</f>
        <v/>
      </c>
      <c r="S338" s="1395">
        <f>IF(raw[[#This Row],[city]]="","-",IF(raw[[#This Row],[city]]&lt;&gt;_xlfn.XLOOKUP(raw[[#This Row],[home]],homes[home],homes[city],"-"),1,0))</f>
        <v/>
      </c>
      <c r="T338" s="1398" t="inlineStr">
        <is>
          <t>.</t>
        </is>
      </c>
      <c r="U338" s="1399">
        <f>IF(raw[[#This Row],[wb]]="w",raw[[#This Row],[stay]]+U337,U337)</f>
        <v/>
      </c>
      <c r="V338" s="1400">
        <f>IF(raw[[#This Row],[out]]=0,V337,(raw[[#This Row],[out]]-E$5))</f>
        <v/>
      </c>
      <c r="W338" s="1401">
        <f>U338/V338</f>
        <v/>
      </c>
      <c r="X338" s="1378" t="inlineStr">
        <is>
          <t>.</t>
        </is>
      </c>
      <c r="Y338" s="1402">
        <f/>
        <v/>
      </c>
      <c r="Z338" s="1403">
        <f/>
        <v/>
      </c>
      <c r="AA338" s="1403">
        <f/>
        <v/>
      </c>
      <c r="AB338" s="1400">
        <f t="array" ref="AB338">_xlfn.LET(_xlpm.S,_xlfn.ANCHORARRAY($Y$4),_xlpm.r,ROWS(stayCity[[#Headers],[city]]:stayCity[[#This Row],[city]])-1,IF(_xlpm.r&lt;=ROWS(_xlpm.S),INDEX(_xlpm.S,_xlpm.r,1),""))</f>
        <v/>
      </c>
      <c r="AC338" s="1405">
        <f t="array" ref="AC338">_xlfn.LET(_xlpm.S,_xlfn.ANCHORARRAY($Y$4),_xlpm.r,ROWS(stayCity[[#Headers],[city]]:stayCity[[#This Row],[city]])-1,IF(_xlpm.r&lt;=ROWS(_xlpm.S),INDEX(_xlpm.S,_xlpm.r,2),""))</f>
        <v/>
      </c>
      <c r="AD338" s="1405">
        <f t="array" ref="AD338">_xlfn.LET(_xlpm.S,_xlfn.ANCHORARRAY($Y$4),_xlpm.r,ROWS(stayCity[[#Headers],[city]]:stayCity[[#This Row],[city]])-1,IF(_xlpm.r&lt;=ROWS(_xlpm.S),INDEX(_xlpm.S,_xlpm.r,3),""))</f>
        <v/>
      </c>
      <c r="AE338" s="1400">
        <f>IF(stayCity[[#This Row],[out]]&lt;&gt;"",stayCity[[#This Row],[out]]-stayCity[[#This Row],[in]],"-")</f>
        <v/>
      </c>
      <c r="AF338" s="1406">
        <f>IF(Y338="","-",YEAR(stayCity[[#This Row],[in]]))</f>
        <v/>
      </c>
      <c r="AG338" s="1392" t="n"/>
      <c r="AH338" s="1392" t="n"/>
      <c r="AI338" s="1392" t="n"/>
      <c r="AJ338" s="1392" t="n"/>
      <c r="AK338" s="1392" t="n"/>
      <c r="AL338" s="1392" t="n"/>
      <c r="AM338" s="1392" t="n"/>
      <c r="AN338" s="1392" t="n"/>
      <c r="AO338" s="1392" t="n"/>
      <c r="AP338" s="1392" t="n"/>
      <c r="AQ338" s="1392" t="n"/>
      <c r="AR338" s="1392" t="n"/>
      <c r="AS338" s="1422" t="n"/>
      <c r="AT338" s="1392" t="n"/>
      <c r="AU338" s="1392" t="n"/>
      <c r="AV338" s="1392" t="n"/>
      <c r="AW338" s="1392" t="n"/>
      <c r="AX338" s="1392" t="n"/>
      <c r="AY338" s="1392" t="n"/>
      <c r="AZ338" s="1392" t="n"/>
      <c r="BA338" s="1392" t="n"/>
      <c r="BB338" s="1422" t="n"/>
      <c r="BC338" s="1392" t="n"/>
      <c r="BD338" s="1392" t="n"/>
      <c r="BE338" s="1392" t="n"/>
      <c r="BF338" s="1392" t="n"/>
      <c r="BG338" s="1392" t="n"/>
      <c r="BH338" s="1392" t="n"/>
      <c r="BI338" s="1392" t="n"/>
      <c r="BJ338" s="1392" t="n"/>
      <c r="BK338" s="1392" t="n"/>
      <c r="BL338" s="1392" t="n"/>
      <c r="BM338" s="1392" t="n"/>
      <c r="BN338" s="1392" t="n"/>
      <c r="BO338" s="1392" t="n"/>
      <c r="BP338" s="1398" t="inlineStr">
        <is>
          <t>.</t>
        </is>
      </c>
      <c r="BQ338" s="1400">
        <f>IF(BR338&lt;&gt;"",BQ337+1,BQ337)</f>
        <v/>
      </c>
      <c r="BR338" s="1411" t="inlineStr">
        <is>
          <t>Washington</t>
        </is>
      </c>
      <c r="BS338" s="1411" t="inlineStr">
        <is>
          <t>Montreal</t>
        </is>
      </c>
      <c r="BT338" s="1411" t="inlineStr">
        <is>
          <t>Washington-Montreal</t>
        </is>
      </c>
      <c r="BU338" s="1412" t="n">
        <v>43888</v>
      </c>
      <c r="BV338" s="1398" t="inlineStr">
        <is>
          <t>.</t>
        </is>
      </c>
      <c r="BW338" s="1392" t="n"/>
      <c r="BX338" s="1392" t="n"/>
      <c r="BY338" s="1392" t="n"/>
      <c r="BZ338" s="1416" t="n"/>
      <c r="CA338" s="1392" t="n"/>
      <c r="CB338" s="1392" t="n"/>
      <c r="CC338" s="1392" t="n"/>
      <c r="CD338" s="1392" t="n"/>
      <c r="CE338" s="1392" t="n"/>
      <c r="CF338" s="1392" t="n"/>
      <c r="CG338" s="1392" t="n"/>
      <c r="CH338" s="1392" t="n"/>
      <c r="CI338" s="1392" t="n"/>
      <c r="CJ338" s="1392" t="n"/>
      <c r="CK338" s="1392" t="n"/>
      <c r="CL338" s="1392" t="n"/>
    </row>
    <row r="339">
      <c r="A339" s="5" t="inlineStr">
        <is>
          <t>.</t>
        </is>
      </c>
      <c r="B339" s="5" t="inlineStr">
        <is>
          <t>.</t>
        </is>
      </c>
      <c r="C339" s="1378">
        <f>IF(raw[[#This Row],[city]]="","-",IF(raw[[#This Row],[city]]="TODAY","-",C338+1))</f>
        <v/>
      </c>
      <c r="D339" s="1393" t="inlineStr">
        <is>
          <t>Serra da Estrela</t>
        </is>
      </c>
      <c r="E339" s="1394" t="n">
        <v>34747</v>
      </c>
      <c r="F339" s="1394" t="n">
        <v>34747</v>
      </c>
      <c r="G339" s="1393" t="inlineStr">
        <is>
          <t>-</t>
        </is>
      </c>
      <c r="H339" s="1393">
        <f>H338</f>
        <v/>
      </c>
      <c r="I339" s="1393" t="inlineStr">
        <is>
          <t>-</t>
        </is>
      </c>
      <c r="J339" s="1393" t="inlineStr">
        <is>
          <t>-</t>
        </is>
      </c>
      <c r="K339" s="1395">
        <f>IF(raw[[#This Row],[city]]&lt;&gt;"",_xlfn.XLOOKUP($D339,ccc[city],ccc[prov],"-"),"-")</f>
        <v/>
      </c>
      <c r="L339" s="1395">
        <f>IF(raw[[#This Row],[city]]&lt;&gt;"",_xlfn.XLOOKUP($D339,ccc[city],ccc[ctry],"-"),"-")</f>
        <v/>
      </c>
      <c r="M339" s="1395">
        <f>IF(raw[[#This Row],[city]]&lt;&gt;"",_xlfn.XLOOKUP($D339,ccc[city],ccc[cont],"-"),"-")</f>
        <v/>
      </c>
      <c r="N339" s="1396">
        <f>IF(raw[[#This Row],[city]]="","-",IF(raw[[#This Row],[cont]]="B",raw[[#This Row],[cont]],"W"))</f>
        <v/>
      </c>
      <c r="O339" s="1397">
        <f>IF(raw[[#This Row],[out]]=0,0,IF(raw[[#This Row],[out]]=raw[[#This Row],[in]],0.01,raw[[#This Row],[out]]-raw[[#This Row],[in]]))</f>
        <v/>
      </c>
      <c r="P339" s="1397">
        <f>IF(raw[[#This Row],[in]]=0,0,MONTH(raw[[#This Row],[in]]))</f>
        <v/>
      </c>
      <c r="Q339" s="1397">
        <f>IF(raw[[#This Row],[in]]=0,0,YEAR(raw[[#This Row],[in]]))</f>
        <v/>
      </c>
      <c r="R339" s="1397">
        <f>INT(raw[[#This Row],[yr]]/10)*10</f>
        <v/>
      </c>
      <c r="S339" s="1395">
        <f>IF(raw[[#This Row],[city]]="","-",IF(raw[[#This Row],[city]]&lt;&gt;_xlfn.XLOOKUP(raw[[#This Row],[home]],homes[home],homes[city],"-"),1,0))</f>
        <v/>
      </c>
      <c r="T339" s="1398" t="inlineStr">
        <is>
          <t>.</t>
        </is>
      </c>
      <c r="U339" s="1399">
        <f>IF(raw[[#This Row],[wb]]="w",raw[[#This Row],[stay]]+U338,U338)</f>
        <v/>
      </c>
      <c r="V339" s="1400">
        <f>IF(raw[[#This Row],[out]]=0,V338,(raw[[#This Row],[out]]-E$5))</f>
        <v/>
      </c>
      <c r="W339" s="1401">
        <f>U339/V339</f>
        <v/>
      </c>
      <c r="X339" s="1378" t="inlineStr">
        <is>
          <t>.</t>
        </is>
      </c>
      <c r="Y339" s="1402">
        <f/>
        <v/>
      </c>
      <c r="Z339" s="1403">
        <f/>
        <v/>
      </c>
      <c r="AA339" s="1403">
        <f/>
        <v/>
      </c>
      <c r="AB339" s="1400">
        <f t="array" ref="AB339">_xlfn.LET(_xlpm.S,_xlfn.ANCHORARRAY($Y$4),_xlpm.r,ROWS(stayCity[[#Headers],[city]]:stayCity[[#This Row],[city]])-1,IF(_xlpm.r&lt;=ROWS(_xlpm.S),INDEX(_xlpm.S,_xlpm.r,1),""))</f>
        <v/>
      </c>
      <c r="AC339" s="1405">
        <f t="array" ref="AC339">_xlfn.LET(_xlpm.S,_xlfn.ANCHORARRAY($Y$4),_xlpm.r,ROWS(stayCity[[#Headers],[city]]:stayCity[[#This Row],[city]])-1,IF(_xlpm.r&lt;=ROWS(_xlpm.S),INDEX(_xlpm.S,_xlpm.r,2),""))</f>
        <v/>
      </c>
      <c r="AD339" s="1405">
        <f t="array" ref="AD339">_xlfn.LET(_xlpm.S,_xlfn.ANCHORARRAY($Y$4),_xlpm.r,ROWS(stayCity[[#Headers],[city]]:stayCity[[#This Row],[city]])-1,IF(_xlpm.r&lt;=ROWS(_xlpm.S),INDEX(_xlpm.S,_xlpm.r,3),""))</f>
        <v/>
      </c>
      <c r="AE339" s="1400">
        <f>IF(stayCity[[#This Row],[out]]&lt;&gt;"",stayCity[[#This Row],[out]]-stayCity[[#This Row],[in]],"-")</f>
        <v/>
      </c>
      <c r="AF339" s="1406">
        <f>IF(Y339="","-",YEAR(stayCity[[#This Row],[in]]))</f>
        <v/>
      </c>
      <c r="AG339" s="1392" t="n"/>
      <c r="AH339" s="1392" t="n"/>
      <c r="AI339" s="1392" t="n"/>
      <c r="AJ339" s="1392" t="n"/>
      <c r="AK339" s="1392" t="n"/>
      <c r="AL339" s="1392" t="n"/>
      <c r="AM339" s="1392" t="n"/>
      <c r="AN339" s="1392" t="n"/>
      <c r="AO339" s="1392" t="n"/>
      <c r="AP339" s="1392" t="n"/>
      <c r="AQ339" s="1392" t="n"/>
      <c r="AR339" s="1392" t="n"/>
      <c r="AS339" s="1422" t="n"/>
      <c r="AT339" s="1392" t="n"/>
      <c r="AU339" s="1392" t="n"/>
      <c r="AV339" s="1392" t="n"/>
      <c r="AW339" s="1392" t="n"/>
      <c r="AX339" s="1392" t="n"/>
      <c r="AY339" s="1392" t="n"/>
      <c r="AZ339" s="1392" t="n"/>
      <c r="BA339" s="1392" t="n"/>
      <c r="BB339" s="1422" t="n"/>
      <c r="BC339" s="1392" t="n"/>
      <c r="BD339" s="1392" t="n"/>
      <c r="BE339" s="1392" t="n"/>
      <c r="BF339" s="1392" t="n"/>
      <c r="BG339" s="1392" t="n"/>
      <c r="BH339" s="1392" t="n"/>
      <c r="BI339" s="1392" t="n"/>
      <c r="BJ339" s="1392" t="n"/>
      <c r="BK339" s="1392" t="n"/>
      <c r="BL339" s="1392" t="n"/>
      <c r="BM339" s="1392" t="n"/>
      <c r="BN339" s="1392" t="n"/>
      <c r="BO339" s="1392" t="n"/>
      <c r="BP339" s="1398" t="inlineStr">
        <is>
          <t>.</t>
        </is>
      </c>
      <c r="BQ339" s="1400">
        <f>IF(BR339&lt;&gt;"",BQ338+1,BQ338)</f>
        <v/>
      </c>
      <c r="BR339" s="1411" t="inlineStr">
        <is>
          <t>Montreal</t>
        </is>
      </c>
      <c r="BS339" s="1411" t="inlineStr">
        <is>
          <t>London</t>
        </is>
      </c>
      <c r="BT339" s="1411" t="inlineStr">
        <is>
          <t>Montreal-London</t>
        </is>
      </c>
      <c r="BU339" s="1412" t="n">
        <v>44451</v>
      </c>
      <c r="BV339" s="1398" t="inlineStr">
        <is>
          <t>.</t>
        </is>
      </c>
      <c r="BW339" s="1392" t="n"/>
      <c r="BX339" s="1392" t="n"/>
      <c r="BY339" s="1392" t="n"/>
      <c r="BZ339" s="1416" t="n"/>
      <c r="CA339" s="1392" t="n"/>
      <c r="CB339" s="1392" t="n"/>
      <c r="CC339" s="1392" t="n"/>
      <c r="CD339" s="1392" t="n"/>
      <c r="CE339" s="1392" t="n"/>
      <c r="CF339" s="1392" t="n"/>
      <c r="CG339" s="1392" t="n"/>
      <c r="CH339" s="1392" t="n"/>
      <c r="CI339" s="1392" t="n"/>
      <c r="CJ339" s="1392" t="n"/>
      <c r="CK339" s="1392" t="n"/>
      <c r="CL339" s="1392" t="n"/>
    </row>
    <row r="340">
      <c r="A340" s="5" t="inlineStr">
        <is>
          <t>.</t>
        </is>
      </c>
      <c r="B340" s="5" t="inlineStr">
        <is>
          <t>.</t>
        </is>
      </c>
      <c r="C340" s="1378">
        <f>IF(raw[[#This Row],[city]]="","-",IF(raw[[#This Row],[city]]="TODAY","-",C339+1))</f>
        <v/>
      </c>
      <c r="D340" s="1393" t="inlineStr">
        <is>
          <t>Coimbra</t>
        </is>
      </c>
      <c r="E340" s="1394" t="n">
        <v>34747</v>
      </c>
      <c r="F340" s="1394" t="n">
        <v>34749</v>
      </c>
      <c r="G340" s="1393" t="inlineStr">
        <is>
          <t>-</t>
        </is>
      </c>
      <c r="H340" s="1393">
        <f>H339</f>
        <v/>
      </c>
      <c r="I340" s="1393" t="inlineStr">
        <is>
          <t>-</t>
        </is>
      </c>
      <c r="J340" s="1393" t="inlineStr">
        <is>
          <t>-</t>
        </is>
      </c>
      <c r="K340" s="1395">
        <f>IF(raw[[#This Row],[city]]&lt;&gt;"",_xlfn.XLOOKUP($D340,ccc[city],ccc[prov],"-"),"-")</f>
        <v/>
      </c>
      <c r="L340" s="1395">
        <f>IF(raw[[#This Row],[city]]&lt;&gt;"",_xlfn.XLOOKUP($D340,ccc[city],ccc[ctry],"-"),"-")</f>
        <v/>
      </c>
      <c r="M340" s="1395">
        <f>IF(raw[[#This Row],[city]]&lt;&gt;"",_xlfn.XLOOKUP($D340,ccc[city],ccc[cont],"-"),"-")</f>
        <v/>
      </c>
      <c r="N340" s="1396">
        <f>IF(raw[[#This Row],[city]]="","-",IF(raw[[#This Row],[cont]]="B",raw[[#This Row],[cont]],"W"))</f>
        <v/>
      </c>
      <c r="O340" s="1397">
        <f>IF(raw[[#This Row],[out]]=0,0,IF(raw[[#This Row],[out]]=raw[[#This Row],[in]],0.01,raw[[#This Row],[out]]-raw[[#This Row],[in]]))</f>
        <v/>
      </c>
      <c r="P340" s="1397">
        <f>IF(raw[[#This Row],[in]]=0,0,MONTH(raw[[#This Row],[in]]))</f>
        <v/>
      </c>
      <c r="Q340" s="1397">
        <f>IF(raw[[#This Row],[in]]=0,0,YEAR(raw[[#This Row],[in]]))</f>
        <v/>
      </c>
      <c r="R340" s="1397">
        <f>INT(raw[[#This Row],[yr]]/10)*10</f>
        <v/>
      </c>
      <c r="S340" s="1395">
        <f>IF(raw[[#This Row],[city]]="","-",IF(raw[[#This Row],[city]]&lt;&gt;_xlfn.XLOOKUP(raw[[#This Row],[home]],homes[home],homes[city],"-"),1,0))</f>
        <v/>
      </c>
      <c r="T340" s="1398" t="inlineStr">
        <is>
          <t>.</t>
        </is>
      </c>
      <c r="U340" s="1399">
        <f>IF(raw[[#This Row],[wb]]="w",raw[[#This Row],[stay]]+U339,U339)</f>
        <v/>
      </c>
      <c r="V340" s="1400">
        <f>IF(raw[[#This Row],[out]]=0,V339,(raw[[#This Row],[out]]-E$5))</f>
        <v/>
      </c>
      <c r="W340" s="1401">
        <f>U340/V340</f>
        <v/>
      </c>
      <c r="X340" s="1378" t="inlineStr">
        <is>
          <t>.</t>
        </is>
      </c>
      <c r="Y340" s="1402">
        <f/>
        <v/>
      </c>
      <c r="Z340" s="1403">
        <f/>
        <v/>
      </c>
      <c r="AA340" s="1403">
        <f/>
        <v/>
      </c>
      <c r="AB340" s="1400">
        <f t="array" ref="AB340">_xlfn.LET(_xlpm.S,_xlfn.ANCHORARRAY($Y$4),_xlpm.r,ROWS(stayCity[[#Headers],[city]]:stayCity[[#This Row],[city]])-1,IF(_xlpm.r&lt;=ROWS(_xlpm.S),INDEX(_xlpm.S,_xlpm.r,1),""))</f>
        <v/>
      </c>
      <c r="AC340" s="1405">
        <f t="array" ref="AC340">_xlfn.LET(_xlpm.S,_xlfn.ANCHORARRAY($Y$4),_xlpm.r,ROWS(stayCity[[#Headers],[city]]:stayCity[[#This Row],[city]])-1,IF(_xlpm.r&lt;=ROWS(_xlpm.S),INDEX(_xlpm.S,_xlpm.r,2),""))</f>
        <v/>
      </c>
      <c r="AD340" s="1405">
        <f t="array" ref="AD340">_xlfn.LET(_xlpm.S,_xlfn.ANCHORARRAY($Y$4),_xlpm.r,ROWS(stayCity[[#Headers],[city]]:stayCity[[#This Row],[city]])-1,IF(_xlpm.r&lt;=ROWS(_xlpm.S),INDEX(_xlpm.S,_xlpm.r,3),""))</f>
        <v/>
      </c>
      <c r="AE340" s="1400">
        <f>IF(stayCity[[#This Row],[out]]&lt;&gt;"",stayCity[[#This Row],[out]]-stayCity[[#This Row],[in]],"-")</f>
        <v/>
      </c>
      <c r="AF340" s="1406">
        <f>IF(Y340="","-",YEAR(stayCity[[#This Row],[in]]))</f>
        <v/>
      </c>
      <c r="AG340" s="1392" t="n"/>
      <c r="AH340" s="1392" t="n"/>
      <c r="AI340" s="1392" t="n"/>
      <c r="AJ340" s="1392" t="n"/>
      <c r="AK340" s="1392" t="n"/>
      <c r="AL340" s="1392" t="n"/>
      <c r="AM340" s="1392" t="n"/>
      <c r="AN340" s="1392" t="n"/>
      <c r="AO340" s="1392" t="n"/>
      <c r="AP340" s="1392" t="n"/>
      <c r="AQ340" s="1392" t="n"/>
      <c r="AR340" s="1392" t="n"/>
      <c r="AS340" s="1422" t="n"/>
      <c r="AT340" s="1392" t="n"/>
      <c r="AU340" s="1392" t="n"/>
      <c r="AV340" s="1392" t="n"/>
      <c r="AW340" s="1392" t="n"/>
      <c r="AX340" s="1392" t="n"/>
      <c r="AY340" s="1392" t="n"/>
      <c r="AZ340" s="1392" t="n"/>
      <c r="BA340" s="1392" t="n"/>
      <c r="BB340" s="1422" t="n"/>
      <c r="BC340" s="1392" t="n"/>
      <c r="BD340" s="1392" t="n"/>
      <c r="BE340" s="1392" t="n"/>
      <c r="BF340" s="1392" t="n"/>
      <c r="BG340" s="1392" t="n"/>
      <c r="BH340" s="1392" t="n"/>
      <c r="BI340" s="1392" t="n"/>
      <c r="BJ340" s="1392" t="n"/>
      <c r="BK340" s="1392" t="n"/>
      <c r="BL340" s="1392" t="n"/>
      <c r="BM340" s="1392" t="n"/>
      <c r="BN340" s="1392" t="n"/>
      <c r="BO340" s="1392" t="n"/>
      <c r="BP340" s="1398" t="inlineStr">
        <is>
          <t>.</t>
        </is>
      </c>
      <c r="BQ340" s="1400">
        <f>IF(BR340&lt;&gt;"",BQ339+1,BQ339)</f>
        <v/>
      </c>
      <c r="BR340" s="1411" t="inlineStr">
        <is>
          <t>London</t>
        </is>
      </c>
      <c r="BS340" s="1411" t="inlineStr">
        <is>
          <t>Montreal</t>
        </is>
      </c>
      <c r="BT340" s="1411" t="inlineStr">
        <is>
          <t>London-Montreal</t>
        </is>
      </c>
      <c r="BU340" s="1412" t="n">
        <v>44471</v>
      </c>
      <c r="BV340" s="1398" t="inlineStr">
        <is>
          <t>.</t>
        </is>
      </c>
      <c r="BW340" s="1392" t="n"/>
      <c r="BX340" s="1392" t="n"/>
      <c r="BY340" s="1392" t="n"/>
      <c r="BZ340" s="1416" t="n"/>
      <c r="CA340" s="1392" t="n"/>
      <c r="CB340" s="1392" t="n"/>
      <c r="CC340" s="1392" t="n"/>
      <c r="CD340" s="1392" t="n"/>
      <c r="CE340" s="1392" t="n"/>
      <c r="CF340" s="1392" t="n"/>
      <c r="CG340" s="1392" t="n"/>
      <c r="CH340" s="1392" t="n"/>
      <c r="CI340" s="1392" t="n"/>
      <c r="CJ340" s="1392" t="n"/>
      <c r="CK340" s="1392" t="n"/>
      <c r="CL340" s="1392" t="n"/>
    </row>
    <row r="341">
      <c r="A341" s="5" t="inlineStr">
        <is>
          <t>.</t>
        </is>
      </c>
      <c r="B341" s="5" t="inlineStr">
        <is>
          <t>.</t>
        </is>
      </c>
      <c r="C341" s="1378">
        <f>IF(raw[[#This Row],[city]]="","-",IF(raw[[#This Row],[city]]="TODAY","-",C340+1))</f>
        <v/>
      </c>
      <c r="D341" s="1393" t="inlineStr">
        <is>
          <t>Fatima</t>
        </is>
      </c>
      <c r="E341" s="1394" t="n">
        <v>34749</v>
      </c>
      <c r="F341" s="1394" t="n">
        <v>34749</v>
      </c>
      <c r="G341" s="1393" t="inlineStr">
        <is>
          <t>-</t>
        </is>
      </c>
      <c r="H341" s="1393">
        <f>H340</f>
        <v/>
      </c>
      <c r="I341" s="1393" t="inlineStr">
        <is>
          <t>-</t>
        </is>
      </c>
      <c r="J341" s="1393" t="inlineStr">
        <is>
          <t>-</t>
        </is>
      </c>
      <c r="K341" s="1395">
        <f>IF(raw[[#This Row],[city]]&lt;&gt;"",_xlfn.XLOOKUP($D341,ccc[city],ccc[prov],"-"),"-")</f>
        <v/>
      </c>
      <c r="L341" s="1395">
        <f>IF(raw[[#This Row],[city]]&lt;&gt;"",_xlfn.XLOOKUP($D341,ccc[city],ccc[ctry],"-"),"-")</f>
        <v/>
      </c>
      <c r="M341" s="1395">
        <f>IF(raw[[#This Row],[city]]&lt;&gt;"",_xlfn.XLOOKUP($D341,ccc[city],ccc[cont],"-"),"-")</f>
        <v/>
      </c>
      <c r="N341" s="1396">
        <f>IF(raw[[#This Row],[city]]="","-",IF(raw[[#This Row],[cont]]="B",raw[[#This Row],[cont]],"W"))</f>
        <v/>
      </c>
      <c r="O341" s="1397">
        <f>IF(raw[[#This Row],[out]]=0,0,IF(raw[[#This Row],[out]]=raw[[#This Row],[in]],0.01,raw[[#This Row],[out]]-raw[[#This Row],[in]]))</f>
        <v/>
      </c>
      <c r="P341" s="1397">
        <f>IF(raw[[#This Row],[in]]=0,0,MONTH(raw[[#This Row],[in]]))</f>
        <v/>
      </c>
      <c r="Q341" s="1397">
        <f>IF(raw[[#This Row],[in]]=0,0,YEAR(raw[[#This Row],[in]]))</f>
        <v/>
      </c>
      <c r="R341" s="1397">
        <f>INT(raw[[#This Row],[yr]]/10)*10</f>
        <v/>
      </c>
      <c r="S341" s="1395">
        <f>IF(raw[[#This Row],[city]]="","-",IF(raw[[#This Row],[city]]&lt;&gt;_xlfn.XLOOKUP(raw[[#This Row],[home]],homes[home],homes[city],"-"),1,0))</f>
        <v/>
      </c>
      <c r="T341" s="1398" t="inlineStr">
        <is>
          <t>.</t>
        </is>
      </c>
      <c r="U341" s="1399">
        <f>IF(raw[[#This Row],[wb]]="w",raw[[#This Row],[stay]]+U340,U340)</f>
        <v/>
      </c>
      <c r="V341" s="1400">
        <f>IF(raw[[#This Row],[out]]=0,V340,(raw[[#This Row],[out]]-E$5))</f>
        <v/>
      </c>
      <c r="W341" s="1401">
        <f>U341/V341</f>
        <v/>
      </c>
      <c r="X341" s="1378" t="inlineStr">
        <is>
          <t>.</t>
        </is>
      </c>
      <c r="Y341" s="1402">
        <f/>
        <v/>
      </c>
      <c r="Z341" s="1403">
        <f/>
        <v/>
      </c>
      <c r="AA341" s="1403">
        <f/>
        <v/>
      </c>
      <c r="AB341" s="1400">
        <f t="array" ref="AB341">_xlfn.LET(_xlpm.S,_xlfn.ANCHORARRAY($Y$4),_xlpm.r,ROWS(stayCity[[#Headers],[city]]:stayCity[[#This Row],[city]])-1,IF(_xlpm.r&lt;=ROWS(_xlpm.S),INDEX(_xlpm.S,_xlpm.r,1),""))</f>
        <v/>
      </c>
      <c r="AC341" s="1405">
        <f t="array" ref="AC341">_xlfn.LET(_xlpm.S,_xlfn.ANCHORARRAY($Y$4),_xlpm.r,ROWS(stayCity[[#Headers],[city]]:stayCity[[#This Row],[city]])-1,IF(_xlpm.r&lt;=ROWS(_xlpm.S),INDEX(_xlpm.S,_xlpm.r,2),""))</f>
        <v/>
      </c>
      <c r="AD341" s="1405">
        <f t="array" ref="AD341">_xlfn.LET(_xlpm.S,_xlfn.ANCHORARRAY($Y$4),_xlpm.r,ROWS(stayCity[[#Headers],[city]]:stayCity[[#This Row],[city]])-1,IF(_xlpm.r&lt;=ROWS(_xlpm.S),INDEX(_xlpm.S,_xlpm.r,3),""))</f>
        <v/>
      </c>
      <c r="AE341" s="1400">
        <f>IF(stayCity[[#This Row],[out]]&lt;&gt;"",stayCity[[#This Row],[out]]-stayCity[[#This Row],[in]],"-")</f>
        <v/>
      </c>
      <c r="AF341" s="1406">
        <f>IF(Y341="","-",YEAR(stayCity[[#This Row],[in]]))</f>
        <v/>
      </c>
      <c r="AG341" s="1392" t="n"/>
      <c r="AH341" s="1392" t="n"/>
      <c r="AI341" s="1392" t="n"/>
      <c r="AJ341" s="1392" t="n"/>
      <c r="AK341" s="1392" t="n"/>
      <c r="AL341" s="1392" t="n"/>
      <c r="AM341" s="1392" t="n"/>
      <c r="AN341" s="1392" t="n"/>
      <c r="AO341" s="1392" t="n"/>
      <c r="AP341" s="1392" t="n"/>
      <c r="AQ341" s="1392" t="n"/>
      <c r="AR341" s="1392" t="n"/>
      <c r="AS341" s="1422" t="n"/>
      <c r="AT341" s="1392" t="n"/>
      <c r="AU341" s="1392" t="n"/>
      <c r="AV341" s="1392" t="n"/>
      <c r="AW341" s="1392" t="n"/>
      <c r="AX341" s="1392" t="n"/>
      <c r="AY341" s="1392" t="n"/>
      <c r="AZ341" s="1392" t="n"/>
      <c r="BA341" s="1392" t="n"/>
      <c r="BB341" s="1422" t="n"/>
      <c r="BC341" s="1392" t="n"/>
      <c r="BD341" s="1392" t="n"/>
      <c r="BE341" s="1392" t="n"/>
      <c r="BF341" s="1392" t="n"/>
      <c r="BG341" s="1392" t="n"/>
      <c r="BH341" s="1392" t="n"/>
      <c r="BI341" s="1392" t="n"/>
      <c r="BJ341" s="1392" t="n"/>
      <c r="BK341" s="1392" t="n"/>
      <c r="BL341" s="1392" t="n"/>
      <c r="BM341" s="1392" t="n"/>
      <c r="BN341" s="1392" t="n"/>
      <c r="BO341" s="1392" t="n"/>
      <c r="BP341" s="1398" t="inlineStr">
        <is>
          <t>.</t>
        </is>
      </c>
      <c r="BQ341" s="1400">
        <f>IF(BR341&lt;&gt;"",BQ340+1,BQ340)</f>
        <v/>
      </c>
      <c r="BR341" s="1411" t="inlineStr">
        <is>
          <t>Montreal</t>
        </is>
      </c>
      <c r="BS341" s="1411" t="inlineStr">
        <is>
          <t>Chicago</t>
        </is>
      </c>
      <c r="BT341" s="1411" t="inlineStr">
        <is>
          <t>Montreal-Chicago</t>
        </is>
      </c>
      <c r="BU341" s="1412" t="n">
        <v>44533</v>
      </c>
      <c r="BV341" s="1398" t="inlineStr">
        <is>
          <t>.</t>
        </is>
      </c>
      <c r="BW341" s="1392" t="n"/>
      <c r="BX341" s="1392" t="n"/>
      <c r="BY341" s="1392" t="n"/>
      <c r="BZ341" s="1416" t="n"/>
      <c r="CA341" s="1392" t="n"/>
      <c r="CB341" s="1392" t="n"/>
      <c r="CC341" s="1392" t="n"/>
      <c r="CD341" s="1392" t="n"/>
      <c r="CE341" s="1392" t="n"/>
      <c r="CF341" s="1392" t="n"/>
      <c r="CG341" s="1392" t="n"/>
      <c r="CH341" s="1392" t="n"/>
      <c r="CI341" s="1392" t="n"/>
      <c r="CJ341" s="1392" t="n"/>
      <c r="CK341" s="1392" t="n"/>
      <c r="CL341" s="1392" t="n"/>
    </row>
    <row r="342">
      <c r="A342" s="5" t="inlineStr">
        <is>
          <t>.</t>
        </is>
      </c>
      <c r="B342" s="5" t="inlineStr">
        <is>
          <t>.</t>
        </is>
      </c>
      <c r="C342" s="1378">
        <f>IF(raw[[#This Row],[city]]="","-",IF(raw[[#This Row],[city]]="TODAY","-",C341+1))</f>
        <v/>
      </c>
      <c r="D342" s="1393" t="inlineStr">
        <is>
          <t>Batalha</t>
        </is>
      </c>
      <c r="E342" s="1394" t="n">
        <v>34749</v>
      </c>
      <c r="F342" s="1394" t="n">
        <v>34749</v>
      </c>
      <c r="G342" s="1393" t="inlineStr">
        <is>
          <t>-</t>
        </is>
      </c>
      <c r="H342" s="1393">
        <f>H341</f>
        <v/>
      </c>
      <c r="I342" s="1393" t="inlineStr">
        <is>
          <t>-</t>
        </is>
      </c>
      <c r="J342" s="1393" t="inlineStr">
        <is>
          <t>-</t>
        </is>
      </c>
      <c r="K342" s="1395">
        <f>IF(raw[[#This Row],[city]]&lt;&gt;"",_xlfn.XLOOKUP($D342,ccc[city],ccc[prov],"-"),"-")</f>
        <v/>
      </c>
      <c r="L342" s="1395">
        <f>IF(raw[[#This Row],[city]]&lt;&gt;"",_xlfn.XLOOKUP($D342,ccc[city],ccc[ctry],"-"),"-")</f>
        <v/>
      </c>
      <c r="M342" s="1395">
        <f>IF(raw[[#This Row],[city]]&lt;&gt;"",_xlfn.XLOOKUP($D342,ccc[city],ccc[cont],"-"),"-")</f>
        <v/>
      </c>
      <c r="N342" s="1396">
        <f>IF(raw[[#This Row],[city]]="","-",IF(raw[[#This Row],[cont]]="B",raw[[#This Row],[cont]],"W"))</f>
        <v/>
      </c>
      <c r="O342" s="1397">
        <f>IF(raw[[#This Row],[out]]=0,0,IF(raw[[#This Row],[out]]=raw[[#This Row],[in]],0.01,raw[[#This Row],[out]]-raw[[#This Row],[in]]))</f>
        <v/>
      </c>
      <c r="P342" s="1397">
        <f>IF(raw[[#This Row],[in]]=0,0,MONTH(raw[[#This Row],[in]]))</f>
        <v/>
      </c>
      <c r="Q342" s="1397">
        <f>IF(raw[[#This Row],[in]]=0,0,YEAR(raw[[#This Row],[in]]))</f>
        <v/>
      </c>
      <c r="R342" s="1397">
        <f>INT(raw[[#This Row],[yr]]/10)*10</f>
        <v/>
      </c>
      <c r="S342" s="1395">
        <f>IF(raw[[#This Row],[city]]="","-",IF(raw[[#This Row],[city]]&lt;&gt;_xlfn.XLOOKUP(raw[[#This Row],[home]],homes[home],homes[city],"-"),1,0))</f>
        <v/>
      </c>
      <c r="T342" s="1398" t="inlineStr">
        <is>
          <t>.</t>
        </is>
      </c>
      <c r="U342" s="1399">
        <f>IF(raw[[#This Row],[wb]]="w",raw[[#This Row],[stay]]+U341,U341)</f>
        <v/>
      </c>
      <c r="V342" s="1400">
        <f>IF(raw[[#This Row],[out]]=0,V341,(raw[[#This Row],[out]]-E$5))</f>
        <v/>
      </c>
      <c r="W342" s="1401">
        <f>U342/V342</f>
        <v/>
      </c>
      <c r="X342" s="1378" t="inlineStr">
        <is>
          <t>.</t>
        </is>
      </c>
      <c r="Y342" s="1402">
        <f/>
        <v/>
      </c>
      <c r="Z342" s="1403">
        <f/>
        <v/>
      </c>
      <c r="AA342" s="1403">
        <f/>
        <v/>
      </c>
      <c r="AB342" s="1400">
        <f t="array" ref="AB342">_xlfn.LET(_xlpm.S,_xlfn.ANCHORARRAY($Y$4),_xlpm.r,ROWS(stayCity[[#Headers],[city]]:stayCity[[#This Row],[city]])-1,IF(_xlpm.r&lt;=ROWS(_xlpm.S),INDEX(_xlpm.S,_xlpm.r,1),""))</f>
        <v/>
      </c>
      <c r="AC342" s="1405">
        <f t="array" ref="AC342">_xlfn.LET(_xlpm.S,_xlfn.ANCHORARRAY($Y$4),_xlpm.r,ROWS(stayCity[[#Headers],[city]]:stayCity[[#This Row],[city]])-1,IF(_xlpm.r&lt;=ROWS(_xlpm.S),INDEX(_xlpm.S,_xlpm.r,2),""))</f>
        <v/>
      </c>
      <c r="AD342" s="1405">
        <f t="array" ref="AD342">_xlfn.LET(_xlpm.S,_xlfn.ANCHORARRAY($Y$4),_xlpm.r,ROWS(stayCity[[#Headers],[city]]:stayCity[[#This Row],[city]])-1,IF(_xlpm.r&lt;=ROWS(_xlpm.S),INDEX(_xlpm.S,_xlpm.r,3),""))</f>
        <v/>
      </c>
      <c r="AE342" s="1400">
        <f>IF(stayCity[[#This Row],[out]]&lt;&gt;"",stayCity[[#This Row],[out]]-stayCity[[#This Row],[in]],"-")</f>
        <v/>
      </c>
      <c r="AF342" s="1406">
        <f>IF(Y342="","-",YEAR(stayCity[[#This Row],[in]]))</f>
        <v/>
      </c>
      <c r="AG342" s="1392" t="n"/>
      <c r="AH342" s="1392" t="n"/>
      <c r="AI342" s="1392" t="n"/>
      <c r="AJ342" s="1392" t="n"/>
      <c r="AK342" s="1392" t="n"/>
      <c r="AL342" s="1392" t="n"/>
      <c r="AM342" s="1392" t="n"/>
      <c r="AN342" s="1392" t="n"/>
      <c r="AO342" s="1392" t="n"/>
      <c r="AP342" s="1392" t="n"/>
      <c r="AQ342" s="1392" t="n"/>
      <c r="AR342" s="1392" t="n"/>
      <c r="AS342" s="1422" t="n"/>
      <c r="AT342" s="1392" t="n"/>
      <c r="AU342" s="1392" t="n"/>
      <c r="AV342" s="1392" t="n"/>
      <c r="AW342" s="1392" t="n"/>
      <c r="AX342" s="1392" t="n"/>
      <c r="AY342" s="1392" t="n"/>
      <c r="AZ342" s="1392" t="n"/>
      <c r="BA342" s="1392" t="n"/>
      <c r="BB342" s="1422" t="n"/>
      <c r="BC342" s="1392" t="n"/>
      <c r="BD342" s="1392" t="n"/>
      <c r="BE342" s="1392" t="n"/>
      <c r="BF342" s="1392" t="n"/>
      <c r="BG342" s="1392" t="n"/>
      <c r="BH342" s="1392" t="n"/>
      <c r="BI342" s="1392" t="n"/>
      <c r="BJ342" s="1392" t="n"/>
      <c r="BK342" s="1392" t="n"/>
      <c r="BL342" s="1392" t="n"/>
      <c r="BM342" s="1392" t="n"/>
      <c r="BN342" s="1392" t="n"/>
      <c r="BO342" s="1392" t="n"/>
      <c r="BP342" s="1398" t="inlineStr">
        <is>
          <t>.</t>
        </is>
      </c>
      <c r="BQ342" s="1400">
        <f>IF(BR342&lt;&gt;"",BQ341+1,BQ341)</f>
        <v/>
      </c>
      <c r="BR342" s="1411" t="inlineStr">
        <is>
          <t>Chicago</t>
        </is>
      </c>
      <c r="BS342" s="1411" t="inlineStr">
        <is>
          <t>SP</t>
        </is>
      </c>
      <c r="BT342" s="1411" t="inlineStr">
        <is>
          <t>Chicago-SP</t>
        </is>
      </c>
      <c r="BU342" s="1412" t="n">
        <v>44533</v>
      </c>
      <c r="BV342" s="1398" t="inlineStr">
        <is>
          <t>.</t>
        </is>
      </c>
      <c r="BW342" s="1392" t="n"/>
      <c r="BX342" s="1392" t="n"/>
      <c r="BY342" s="1392" t="n"/>
      <c r="BZ342" s="1416" t="n"/>
      <c r="CA342" s="1392" t="n"/>
      <c r="CB342" s="1392" t="n"/>
      <c r="CC342" s="1392" t="n"/>
      <c r="CD342" s="1392" t="n"/>
      <c r="CE342" s="1392" t="n"/>
      <c r="CF342" s="1392" t="n"/>
      <c r="CG342" s="1392" t="n"/>
      <c r="CH342" s="1392" t="n"/>
      <c r="CI342" s="1392" t="n"/>
      <c r="CJ342" s="1392" t="n"/>
      <c r="CK342" s="1392" t="n"/>
      <c r="CL342" s="1392" t="n"/>
    </row>
    <row r="343">
      <c r="A343" s="5" t="inlineStr">
        <is>
          <t>.</t>
        </is>
      </c>
      <c r="B343" s="5" t="inlineStr">
        <is>
          <t>.</t>
        </is>
      </c>
      <c r="C343" s="1378">
        <f>IF(raw[[#This Row],[city]]="","-",IF(raw[[#This Row],[city]]="TODAY","-",C342+1))</f>
        <v/>
      </c>
      <c r="D343" s="1393" t="inlineStr">
        <is>
          <t>Alcobaça</t>
        </is>
      </c>
      <c r="E343" s="1394" t="n">
        <v>34749</v>
      </c>
      <c r="F343" s="1394" t="n">
        <v>34749</v>
      </c>
      <c r="G343" s="1393" t="inlineStr">
        <is>
          <t>-</t>
        </is>
      </c>
      <c r="H343" s="1393">
        <f>H342</f>
        <v/>
      </c>
      <c r="I343" s="1393" t="inlineStr">
        <is>
          <t>-</t>
        </is>
      </c>
      <c r="J343" s="1393" t="inlineStr">
        <is>
          <t>-</t>
        </is>
      </c>
      <c r="K343" s="1395">
        <f>IF(raw[[#This Row],[city]]&lt;&gt;"",_xlfn.XLOOKUP($D343,ccc[city],ccc[prov],"-"),"-")</f>
        <v/>
      </c>
      <c r="L343" s="1395">
        <f>IF(raw[[#This Row],[city]]&lt;&gt;"",_xlfn.XLOOKUP($D343,ccc[city],ccc[ctry],"-"),"-")</f>
        <v/>
      </c>
      <c r="M343" s="1395">
        <f>IF(raw[[#This Row],[city]]&lt;&gt;"",_xlfn.XLOOKUP($D343,ccc[city],ccc[cont],"-"),"-")</f>
        <v/>
      </c>
      <c r="N343" s="1396">
        <f>IF(raw[[#This Row],[city]]="","-",IF(raw[[#This Row],[cont]]="B",raw[[#This Row],[cont]],"W"))</f>
        <v/>
      </c>
      <c r="O343" s="1397">
        <f>IF(raw[[#This Row],[out]]=0,0,IF(raw[[#This Row],[out]]=raw[[#This Row],[in]],0.01,raw[[#This Row],[out]]-raw[[#This Row],[in]]))</f>
        <v/>
      </c>
      <c r="P343" s="1397">
        <f>IF(raw[[#This Row],[in]]=0,0,MONTH(raw[[#This Row],[in]]))</f>
        <v/>
      </c>
      <c r="Q343" s="1397">
        <f>IF(raw[[#This Row],[in]]=0,0,YEAR(raw[[#This Row],[in]]))</f>
        <v/>
      </c>
      <c r="R343" s="1397">
        <f>INT(raw[[#This Row],[yr]]/10)*10</f>
        <v/>
      </c>
      <c r="S343" s="1395">
        <f>IF(raw[[#This Row],[city]]="","-",IF(raw[[#This Row],[city]]&lt;&gt;_xlfn.XLOOKUP(raw[[#This Row],[home]],homes[home],homes[city],"-"),1,0))</f>
        <v/>
      </c>
      <c r="T343" s="1398" t="inlineStr">
        <is>
          <t>.</t>
        </is>
      </c>
      <c r="U343" s="1399">
        <f>IF(raw[[#This Row],[wb]]="w",raw[[#This Row],[stay]]+U342,U342)</f>
        <v/>
      </c>
      <c r="V343" s="1400">
        <f>IF(raw[[#This Row],[out]]=0,V342,(raw[[#This Row],[out]]-E$5))</f>
        <v/>
      </c>
      <c r="W343" s="1401">
        <f>U343/V343</f>
        <v/>
      </c>
      <c r="X343" s="1378" t="inlineStr">
        <is>
          <t>.</t>
        </is>
      </c>
      <c r="Y343" s="1402">
        <f/>
        <v/>
      </c>
      <c r="Z343" s="1403">
        <f/>
        <v/>
      </c>
      <c r="AA343" s="1403">
        <f/>
        <v/>
      </c>
      <c r="AB343" s="1400">
        <f t="array" ref="AB343">_xlfn.LET(_xlpm.S,_xlfn.ANCHORARRAY($Y$4),_xlpm.r,ROWS(stayCity[[#Headers],[city]]:stayCity[[#This Row],[city]])-1,IF(_xlpm.r&lt;=ROWS(_xlpm.S),INDEX(_xlpm.S,_xlpm.r,1),""))</f>
        <v/>
      </c>
      <c r="AC343" s="1405">
        <f t="array" ref="AC343">_xlfn.LET(_xlpm.S,_xlfn.ANCHORARRAY($Y$4),_xlpm.r,ROWS(stayCity[[#Headers],[city]]:stayCity[[#This Row],[city]])-1,IF(_xlpm.r&lt;=ROWS(_xlpm.S),INDEX(_xlpm.S,_xlpm.r,2),""))</f>
        <v/>
      </c>
      <c r="AD343" s="1405">
        <f t="array" ref="AD343">_xlfn.LET(_xlpm.S,_xlfn.ANCHORARRAY($Y$4),_xlpm.r,ROWS(stayCity[[#Headers],[city]]:stayCity[[#This Row],[city]])-1,IF(_xlpm.r&lt;=ROWS(_xlpm.S),INDEX(_xlpm.S,_xlpm.r,3),""))</f>
        <v/>
      </c>
      <c r="AE343" s="1400">
        <f>IF(stayCity[[#This Row],[out]]&lt;&gt;"",stayCity[[#This Row],[out]]-stayCity[[#This Row],[in]],"-")</f>
        <v/>
      </c>
      <c r="AF343" s="1406">
        <f>IF(Y343="","-",YEAR(stayCity[[#This Row],[in]]))</f>
        <v/>
      </c>
      <c r="AG343" s="1392" t="n"/>
      <c r="AH343" s="1392" t="n"/>
      <c r="AI343" s="1392" t="n"/>
      <c r="AJ343" s="1392" t="n"/>
      <c r="AK343" s="1392" t="n"/>
      <c r="AL343" s="1392" t="n"/>
      <c r="AM343" s="1392" t="n"/>
      <c r="AN343" s="1392" t="n"/>
      <c r="AO343" s="1392" t="n"/>
      <c r="AP343" s="1392" t="n"/>
      <c r="AQ343" s="1392" t="n"/>
      <c r="AR343" s="1392" t="n"/>
      <c r="AS343" s="1422" t="n"/>
      <c r="AT343" s="1392" t="n"/>
      <c r="AU343" s="1392" t="n"/>
      <c r="AV343" s="1392" t="n"/>
      <c r="AW343" s="1392" t="n"/>
      <c r="AX343" s="1392" t="n"/>
      <c r="AY343" s="1392" t="n"/>
      <c r="AZ343" s="1392" t="n"/>
      <c r="BA343" s="1392" t="n"/>
      <c r="BB343" s="1422" t="n"/>
      <c r="BC343" s="1392" t="n"/>
      <c r="BD343" s="1392" t="n"/>
      <c r="BE343" s="1392" t="n"/>
      <c r="BF343" s="1392" t="n"/>
      <c r="BG343" s="1392" t="n"/>
      <c r="BH343" s="1392" t="n"/>
      <c r="BI343" s="1392" t="n"/>
      <c r="BJ343" s="1392" t="n"/>
      <c r="BK343" s="1392" t="n"/>
      <c r="BL343" s="1392" t="n"/>
      <c r="BM343" s="1392" t="n"/>
      <c r="BN343" s="1392" t="n"/>
      <c r="BO343" s="1392" t="n"/>
      <c r="BP343" s="1398" t="inlineStr">
        <is>
          <t>.</t>
        </is>
      </c>
      <c r="BQ343" s="1400">
        <f>IF(BR343&lt;&gt;"",BQ342+1,BQ342)</f>
        <v/>
      </c>
      <c r="BR343" s="1411" t="inlineStr">
        <is>
          <t>SP</t>
        </is>
      </c>
      <c r="BS343" s="1411" t="inlineStr">
        <is>
          <t>SSA</t>
        </is>
      </c>
      <c r="BT343" s="1411" t="inlineStr">
        <is>
          <t>SP-SSA</t>
        </is>
      </c>
      <c r="BU343" s="1412" t="n">
        <v>44534</v>
      </c>
      <c r="BV343" s="1398" t="inlineStr">
        <is>
          <t>.</t>
        </is>
      </c>
      <c r="BW343" s="1392" t="n"/>
      <c r="BX343" s="1392" t="n"/>
      <c r="BY343" s="1392" t="n"/>
      <c r="BZ343" s="1416" t="n"/>
      <c r="CA343" s="1392" t="n"/>
      <c r="CB343" s="1392" t="n"/>
      <c r="CC343" s="1392" t="n"/>
      <c r="CD343" s="1392" t="n"/>
      <c r="CE343" s="1392" t="n"/>
      <c r="CF343" s="1392" t="n"/>
      <c r="CG343" s="1392" t="n"/>
      <c r="CH343" s="1392" t="n"/>
      <c r="CI343" s="1392" t="n"/>
      <c r="CJ343" s="1392" t="n"/>
      <c r="CK343" s="1392" t="n"/>
      <c r="CL343" s="1392" t="n"/>
    </row>
    <row r="344">
      <c r="A344" s="5" t="inlineStr">
        <is>
          <t>.</t>
        </is>
      </c>
      <c r="B344" s="5" t="inlineStr">
        <is>
          <t>.</t>
        </is>
      </c>
      <c r="C344" s="1378">
        <f>IF(raw[[#This Row],[city]]="","-",IF(raw[[#This Row],[city]]="TODAY","-",C343+1))</f>
        <v/>
      </c>
      <c r="D344" s="1393" t="inlineStr">
        <is>
          <t>Nazaré</t>
        </is>
      </c>
      <c r="E344" s="1394" t="n">
        <v>34749</v>
      </c>
      <c r="F344" s="1394" t="n">
        <v>34749</v>
      </c>
      <c r="G344" s="1393" t="inlineStr">
        <is>
          <t>-</t>
        </is>
      </c>
      <c r="H344" s="1393">
        <f>H343</f>
        <v/>
      </c>
      <c r="I344" s="1393" t="n"/>
      <c r="J344" s="1393" t="inlineStr">
        <is>
          <t>-</t>
        </is>
      </c>
      <c r="K344" s="1395">
        <f>IF(raw[[#This Row],[city]]&lt;&gt;"",_xlfn.XLOOKUP($D344,ccc[city],ccc[prov],"-"),"-")</f>
        <v/>
      </c>
      <c r="L344" s="1395">
        <f>IF(raw[[#This Row],[city]]&lt;&gt;"",_xlfn.XLOOKUP($D344,ccc[city],ccc[ctry],"-"),"-")</f>
        <v/>
      </c>
      <c r="M344" s="1395">
        <f>IF(raw[[#This Row],[city]]&lt;&gt;"",_xlfn.XLOOKUP($D344,ccc[city],ccc[cont],"-"),"-")</f>
        <v/>
      </c>
      <c r="N344" s="1396">
        <f>IF(raw[[#This Row],[city]]="","-",IF(raw[[#This Row],[cont]]="B",raw[[#This Row],[cont]],"W"))</f>
        <v/>
      </c>
      <c r="O344" s="1397">
        <f>IF(raw[[#This Row],[out]]=0,0,IF(raw[[#This Row],[out]]=raw[[#This Row],[in]],0.01,raw[[#This Row],[out]]-raw[[#This Row],[in]]))</f>
        <v/>
      </c>
      <c r="P344" s="1397">
        <f>IF(raw[[#This Row],[in]]=0,0,MONTH(raw[[#This Row],[in]]))</f>
        <v/>
      </c>
      <c r="Q344" s="1397">
        <f>IF(raw[[#This Row],[in]]=0,0,YEAR(raw[[#This Row],[in]]))</f>
        <v/>
      </c>
      <c r="R344" s="1397">
        <f>INT(raw[[#This Row],[yr]]/10)*10</f>
        <v/>
      </c>
      <c r="S344" s="1395">
        <f>IF(raw[[#This Row],[city]]="","-",IF(raw[[#This Row],[city]]&lt;&gt;_xlfn.XLOOKUP(raw[[#This Row],[home]],homes[home],homes[city],"-"),1,0))</f>
        <v/>
      </c>
      <c r="T344" s="1398" t="inlineStr">
        <is>
          <t>.</t>
        </is>
      </c>
      <c r="U344" s="1399">
        <f>IF(raw[[#This Row],[wb]]="w",raw[[#This Row],[stay]]+U343,U343)</f>
        <v/>
      </c>
      <c r="V344" s="1400">
        <f>IF(raw[[#This Row],[out]]=0,V343,(raw[[#This Row],[out]]-E$5))</f>
        <v/>
      </c>
      <c r="W344" s="1401">
        <f>U344/V344</f>
        <v/>
      </c>
      <c r="X344" s="1378" t="inlineStr">
        <is>
          <t>.</t>
        </is>
      </c>
      <c r="Y344" s="1402">
        <f/>
        <v/>
      </c>
      <c r="Z344" s="1403">
        <f/>
        <v/>
      </c>
      <c r="AA344" s="1403">
        <f/>
        <v/>
      </c>
      <c r="AB344" s="1400">
        <f t="array" ref="AB344">_xlfn.LET(_xlpm.S,_xlfn.ANCHORARRAY($Y$4),_xlpm.r,ROWS(stayCity[[#Headers],[city]]:stayCity[[#This Row],[city]])-1,IF(_xlpm.r&lt;=ROWS(_xlpm.S),INDEX(_xlpm.S,_xlpm.r,1),""))</f>
        <v/>
      </c>
      <c r="AC344" s="1405">
        <f t="array" ref="AC344">_xlfn.LET(_xlpm.S,_xlfn.ANCHORARRAY($Y$4),_xlpm.r,ROWS(stayCity[[#Headers],[city]]:stayCity[[#This Row],[city]])-1,IF(_xlpm.r&lt;=ROWS(_xlpm.S),INDEX(_xlpm.S,_xlpm.r,2),""))</f>
        <v/>
      </c>
      <c r="AD344" s="1405">
        <f t="array" ref="AD344">_xlfn.LET(_xlpm.S,_xlfn.ANCHORARRAY($Y$4),_xlpm.r,ROWS(stayCity[[#Headers],[city]]:stayCity[[#This Row],[city]])-1,IF(_xlpm.r&lt;=ROWS(_xlpm.S),INDEX(_xlpm.S,_xlpm.r,3),""))</f>
        <v/>
      </c>
      <c r="AE344" s="1400">
        <f>IF(stayCity[[#This Row],[out]]&lt;&gt;"",stayCity[[#This Row],[out]]-stayCity[[#This Row],[in]],"-")</f>
        <v/>
      </c>
      <c r="AF344" s="1406">
        <f>IF(Y344="","-",YEAR(stayCity[[#This Row],[in]]))</f>
        <v/>
      </c>
      <c r="AG344" s="1392" t="n"/>
      <c r="AH344" s="1392" t="n"/>
      <c r="AI344" s="1392" t="n"/>
      <c r="AJ344" s="1392" t="n"/>
      <c r="AK344" s="1392" t="n"/>
      <c r="AL344" s="1392" t="n"/>
      <c r="AM344" s="1392" t="n"/>
      <c r="AN344" s="1392" t="n"/>
      <c r="AO344" s="1392" t="n"/>
      <c r="AP344" s="1392" t="n"/>
      <c r="AQ344" s="1392" t="n"/>
      <c r="AR344" s="1392" t="n"/>
      <c r="AS344" s="1422" t="n"/>
      <c r="AT344" s="1392" t="n"/>
      <c r="AU344" s="1392" t="n"/>
      <c r="AV344" s="1392" t="n"/>
      <c r="AW344" s="1392" t="n"/>
      <c r="AX344" s="1392" t="n"/>
      <c r="AY344" s="1392" t="n"/>
      <c r="AZ344" s="1392" t="n"/>
      <c r="BA344" s="1392" t="n"/>
      <c r="BB344" s="1422" t="n"/>
      <c r="BC344" s="1392" t="n"/>
      <c r="BD344" s="1392" t="n"/>
      <c r="BE344" s="1392" t="n"/>
      <c r="BF344" s="1392" t="n"/>
      <c r="BG344" s="1392" t="n"/>
      <c r="BH344" s="1392" t="n"/>
      <c r="BI344" s="1392" t="n"/>
      <c r="BJ344" s="1392" t="n"/>
      <c r="BK344" s="1392" t="n"/>
      <c r="BL344" s="1392" t="n"/>
      <c r="BM344" s="1392" t="n"/>
      <c r="BN344" s="1392" t="n"/>
      <c r="BO344" s="1392" t="n"/>
      <c r="BP344" s="1398" t="inlineStr">
        <is>
          <t>.</t>
        </is>
      </c>
      <c r="BQ344" s="1400">
        <f>IF(BR344&lt;&gt;"",BQ343+1,BQ343)</f>
        <v/>
      </c>
      <c r="BR344" s="1411" t="inlineStr">
        <is>
          <t>SSA</t>
        </is>
      </c>
      <c r="BS344" s="1411" t="inlineStr">
        <is>
          <t>SP</t>
        </is>
      </c>
      <c r="BT344" s="1411" t="inlineStr">
        <is>
          <t>SSA-SP</t>
        </is>
      </c>
      <c r="BU344" s="1412" t="n">
        <v>44552</v>
      </c>
      <c r="BV344" s="1398" t="inlineStr">
        <is>
          <t>.</t>
        </is>
      </c>
      <c r="BW344" s="1392" t="n"/>
      <c r="BX344" s="1392" t="n"/>
      <c r="BY344" s="1392" t="n"/>
      <c r="BZ344" s="1416" t="n"/>
      <c r="CA344" s="1392" t="n"/>
      <c r="CB344" s="1392" t="n"/>
      <c r="CC344" s="1392" t="n"/>
      <c r="CD344" s="1392" t="n"/>
      <c r="CE344" s="1392" t="n"/>
      <c r="CF344" s="1392" t="n"/>
      <c r="CG344" s="1392" t="n"/>
      <c r="CH344" s="1392" t="n"/>
      <c r="CI344" s="1392" t="n"/>
      <c r="CJ344" s="1392" t="n"/>
      <c r="CK344" s="1392" t="n"/>
      <c r="CL344" s="1392" t="n"/>
    </row>
    <row r="345">
      <c r="A345" s="5" t="inlineStr">
        <is>
          <t>.</t>
        </is>
      </c>
      <c r="B345" s="5" t="inlineStr">
        <is>
          <t>.</t>
        </is>
      </c>
      <c r="C345" s="1378">
        <f>IF(raw[[#This Row],[city]]="","-",IF(raw[[#This Row],[city]]="TODAY","-",C344+1))</f>
        <v/>
      </c>
      <c r="D345" s="1393" t="inlineStr">
        <is>
          <t>Lisbon</t>
        </is>
      </c>
      <c r="E345" s="1394" t="n">
        <v>34749</v>
      </c>
      <c r="F345" s="1394" t="n">
        <v>34751</v>
      </c>
      <c r="G345" s="1393" t="inlineStr">
        <is>
          <t>-</t>
        </is>
      </c>
      <c r="H345" s="1393">
        <f>H344</f>
        <v/>
      </c>
      <c r="I345" s="1393" t="inlineStr">
        <is>
          <t>-</t>
        </is>
      </c>
      <c r="J345" s="1393" t="inlineStr">
        <is>
          <t>-</t>
        </is>
      </c>
      <c r="K345" s="1395">
        <f>IF(raw[[#This Row],[city]]&lt;&gt;"",_xlfn.XLOOKUP($D345,ccc[city],ccc[prov],"-"),"-")</f>
        <v/>
      </c>
      <c r="L345" s="1395">
        <f>IF(raw[[#This Row],[city]]&lt;&gt;"",_xlfn.XLOOKUP($D345,ccc[city],ccc[ctry],"-"),"-")</f>
        <v/>
      </c>
      <c r="M345" s="1395">
        <f>IF(raw[[#This Row],[city]]&lt;&gt;"",_xlfn.XLOOKUP($D345,ccc[city],ccc[cont],"-"),"-")</f>
        <v/>
      </c>
      <c r="N345" s="1396">
        <f>IF(raw[[#This Row],[city]]="","-",IF(raw[[#This Row],[cont]]="B",raw[[#This Row],[cont]],"W"))</f>
        <v/>
      </c>
      <c r="O345" s="1397">
        <f>IF(raw[[#This Row],[out]]=0,0,IF(raw[[#This Row],[out]]=raw[[#This Row],[in]],0.01,raw[[#This Row],[out]]-raw[[#This Row],[in]]))</f>
        <v/>
      </c>
      <c r="P345" s="1397">
        <f>IF(raw[[#This Row],[in]]=0,0,MONTH(raw[[#This Row],[in]]))</f>
        <v/>
      </c>
      <c r="Q345" s="1397">
        <f>IF(raw[[#This Row],[in]]=0,0,YEAR(raw[[#This Row],[in]]))</f>
        <v/>
      </c>
      <c r="R345" s="1397">
        <f>INT(raw[[#This Row],[yr]]/10)*10</f>
        <v/>
      </c>
      <c r="S345" s="1395">
        <f>IF(raw[[#This Row],[city]]="","-",IF(raw[[#This Row],[city]]&lt;&gt;_xlfn.XLOOKUP(raw[[#This Row],[home]],homes[home],homes[city],"-"),1,0))</f>
        <v/>
      </c>
      <c r="T345" s="1398" t="inlineStr">
        <is>
          <t>.</t>
        </is>
      </c>
      <c r="U345" s="1399">
        <f>IF(raw[[#This Row],[wb]]="w",raw[[#This Row],[stay]]+U344,U344)</f>
        <v/>
      </c>
      <c r="V345" s="1400">
        <f>IF(raw[[#This Row],[out]]=0,V344,(raw[[#This Row],[out]]-E$5))</f>
        <v/>
      </c>
      <c r="W345" s="1401">
        <f>U345/V345</f>
        <v/>
      </c>
      <c r="X345" s="1378" t="inlineStr">
        <is>
          <t>.</t>
        </is>
      </c>
      <c r="Y345" s="1402">
        <f/>
        <v/>
      </c>
      <c r="Z345" s="1403">
        <f/>
        <v/>
      </c>
      <c r="AA345" s="1403">
        <f/>
        <v/>
      </c>
      <c r="AB345" s="1400">
        <f t="array" ref="AB345">_xlfn.LET(_xlpm.S,_xlfn.ANCHORARRAY($Y$4),_xlpm.r,ROWS(stayCity[[#Headers],[city]]:stayCity[[#This Row],[city]])-1,IF(_xlpm.r&lt;=ROWS(_xlpm.S),INDEX(_xlpm.S,_xlpm.r,1),""))</f>
        <v/>
      </c>
      <c r="AC345" s="1405">
        <f t="array" ref="AC345">_xlfn.LET(_xlpm.S,_xlfn.ANCHORARRAY($Y$4),_xlpm.r,ROWS(stayCity[[#Headers],[city]]:stayCity[[#This Row],[city]])-1,IF(_xlpm.r&lt;=ROWS(_xlpm.S),INDEX(_xlpm.S,_xlpm.r,2),""))</f>
        <v/>
      </c>
      <c r="AD345" s="1405">
        <f t="array" ref="AD345">_xlfn.LET(_xlpm.S,_xlfn.ANCHORARRAY($Y$4),_xlpm.r,ROWS(stayCity[[#Headers],[city]]:stayCity[[#This Row],[city]])-1,IF(_xlpm.r&lt;=ROWS(_xlpm.S),INDEX(_xlpm.S,_xlpm.r,3),""))</f>
        <v/>
      </c>
      <c r="AE345" s="1400">
        <f>IF(stayCity[[#This Row],[out]]&lt;&gt;"",stayCity[[#This Row],[out]]-stayCity[[#This Row],[in]],"-")</f>
        <v/>
      </c>
      <c r="AF345" s="1406">
        <f>IF(Y345="","-",YEAR(stayCity[[#This Row],[in]]))</f>
        <v/>
      </c>
      <c r="AG345" s="1392" t="n"/>
      <c r="AH345" s="1392" t="n"/>
      <c r="AI345" s="1392" t="n"/>
      <c r="AJ345" s="1392" t="n"/>
      <c r="AK345" s="1392" t="n"/>
      <c r="AL345" s="1392" t="n"/>
      <c r="AM345" s="1392" t="n"/>
      <c r="AN345" s="1392" t="n"/>
      <c r="AO345" s="1392" t="n"/>
      <c r="AP345" s="1392" t="n"/>
      <c r="AQ345" s="1392" t="n"/>
      <c r="AR345" s="1392" t="n"/>
      <c r="AS345" s="1422" t="n"/>
      <c r="AT345" s="1392" t="n"/>
      <c r="AU345" s="1392" t="n"/>
      <c r="AV345" s="1392" t="n"/>
      <c r="AW345" s="1392" t="n"/>
      <c r="AX345" s="1392" t="n"/>
      <c r="AY345" s="1392" t="n"/>
      <c r="AZ345" s="1392" t="n"/>
      <c r="BA345" s="1392" t="n"/>
      <c r="BB345" s="1422" t="n"/>
      <c r="BC345" s="1392" t="n"/>
      <c r="BD345" s="1392" t="n"/>
      <c r="BE345" s="1392" t="n"/>
      <c r="BF345" s="1392" t="n"/>
      <c r="BG345" s="1392" t="n"/>
      <c r="BH345" s="1392" t="n"/>
      <c r="BI345" s="1392" t="n"/>
      <c r="BJ345" s="1392" t="n"/>
      <c r="BK345" s="1392" t="n"/>
      <c r="BL345" s="1392" t="n"/>
      <c r="BM345" s="1392" t="n"/>
      <c r="BN345" s="1392" t="n"/>
      <c r="BO345" s="1392" t="n"/>
      <c r="BP345" s="1398" t="inlineStr">
        <is>
          <t>.</t>
        </is>
      </c>
      <c r="BQ345" s="1400">
        <f>IF(BR345&lt;&gt;"",BQ344+1,BQ344)</f>
        <v/>
      </c>
      <c r="BR345" s="1411" t="inlineStr">
        <is>
          <t>SP</t>
        </is>
      </c>
      <c r="BS345" s="1411" t="inlineStr">
        <is>
          <t>Toronto</t>
        </is>
      </c>
      <c r="BT345" s="1411" t="inlineStr">
        <is>
          <t>SP-Toronto</t>
        </is>
      </c>
      <c r="BU345" s="1412" t="n">
        <v>44552</v>
      </c>
      <c r="BV345" s="1398" t="inlineStr">
        <is>
          <t>.</t>
        </is>
      </c>
      <c r="BW345" s="1392" t="n"/>
      <c r="BX345" s="1392" t="n"/>
      <c r="BY345" s="1392" t="n"/>
      <c r="BZ345" s="1416" t="n"/>
      <c r="CA345" s="1392" t="n"/>
      <c r="CB345" s="1392" t="n"/>
      <c r="CC345" s="1392" t="n"/>
      <c r="CD345" s="1392" t="n"/>
      <c r="CE345" s="1392" t="n"/>
      <c r="CF345" s="1392" t="n"/>
      <c r="CG345" s="1392" t="n"/>
      <c r="CH345" s="1392" t="n"/>
      <c r="CI345" s="1392" t="n"/>
      <c r="CJ345" s="1392" t="n"/>
      <c r="CK345" s="1392" t="n"/>
      <c r="CL345" s="1392" t="n"/>
    </row>
    <row r="346">
      <c r="A346" s="5" t="inlineStr">
        <is>
          <t>.</t>
        </is>
      </c>
      <c r="B346" s="5" t="inlineStr">
        <is>
          <t>.</t>
        </is>
      </c>
      <c r="C346" s="1378">
        <f>IF(raw[[#This Row],[city]]="","-",IF(raw[[#This Row],[city]]="TODAY","-",C345+1))</f>
        <v/>
      </c>
      <c r="D346" s="1393" t="inlineStr">
        <is>
          <t>Cascais</t>
        </is>
      </c>
      <c r="E346" s="1394" t="n">
        <v>34750</v>
      </c>
      <c r="F346" s="1394" t="n">
        <v>34750</v>
      </c>
      <c r="G346" s="1393" t="inlineStr">
        <is>
          <t>-</t>
        </is>
      </c>
      <c r="H346" s="1393">
        <f>H345</f>
        <v/>
      </c>
      <c r="I346" s="1393" t="n"/>
      <c r="J346" s="1393" t="inlineStr">
        <is>
          <t>-</t>
        </is>
      </c>
      <c r="K346" s="1395">
        <f>IF(raw[[#This Row],[city]]&lt;&gt;"",_xlfn.XLOOKUP($D346,ccc[city],ccc[prov],"-"),"-")</f>
        <v/>
      </c>
      <c r="L346" s="1395">
        <f>IF(raw[[#This Row],[city]]&lt;&gt;"",_xlfn.XLOOKUP($D346,ccc[city],ccc[ctry],"-"),"-")</f>
        <v/>
      </c>
      <c r="M346" s="1395">
        <f>IF(raw[[#This Row],[city]]&lt;&gt;"",_xlfn.XLOOKUP($D346,ccc[city],ccc[cont],"-"),"-")</f>
        <v/>
      </c>
      <c r="N346" s="1396">
        <f>IF(raw[[#This Row],[city]]="","-",IF(raw[[#This Row],[cont]]="B",raw[[#This Row],[cont]],"W"))</f>
        <v/>
      </c>
      <c r="O346" s="1397">
        <f>IF(raw[[#This Row],[out]]=0,0,IF(raw[[#This Row],[out]]=raw[[#This Row],[in]],0.01,raw[[#This Row],[out]]-raw[[#This Row],[in]]))</f>
        <v/>
      </c>
      <c r="P346" s="1397">
        <f>IF(raw[[#This Row],[in]]=0,0,MONTH(raw[[#This Row],[in]]))</f>
        <v/>
      </c>
      <c r="Q346" s="1397">
        <f>IF(raw[[#This Row],[in]]=0,0,YEAR(raw[[#This Row],[in]]))</f>
        <v/>
      </c>
      <c r="R346" s="1397">
        <f>INT(raw[[#This Row],[yr]]/10)*10</f>
        <v/>
      </c>
      <c r="S346" s="1395">
        <f>IF(raw[[#This Row],[city]]="","-",IF(raw[[#This Row],[city]]&lt;&gt;_xlfn.XLOOKUP(raw[[#This Row],[home]],homes[home],homes[city],"-"),1,0))</f>
        <v/>
      </c>
      <c r="T346" s="1398" t="inlineStr">
        <is>
          <t>.</t>
        </is>
      </c>
      <c r="U346" s="1399">
        <f>IF(raw[[#This Row],[wb]]="w",raw[[#This Row],[stay]]+U345,U345)</f>
        <v/>
      </c>
      <c r="V346" s="1400">
        <f>IF(raw[[#This Row],[out]]=0,V345,(raw[[#This Row],[out]]-E$5))</f>
        <v/>
      </c>
      <c r="W346" s="1401">
        <f>U346/V346</f>
        <v/>
      </c>
      <c r="X346" s="1378" t="inlineStr">
        <is>
          <t>.</t>
        </is>
      </c>
      <c r="Y346" s="1402">
        <f/>
        <v/>
      </c>
      <c r="Z346" s="1403">
        <f/>
        <v/>
      </c>
      <c r="AA346" s="1403">
        <f/>
        <v/>
      </c>
      <c r="AB346" s="1400">
        <f t="array" ref="AB346">_xlfn.LET(_xlpm.S,_xlfn.ANCHORARRAY($Y$4),_xlpm.r,ROWS(stayCity[[#Headers],[city]]:stayCity[[#This Row],[city]])-1,IF(_xlpm.r&lt;=ROWS(_xlpm.S),INDEX(_xlpm.S,_xlpm.r,1),""))</f>
        <v/>
      </c>
      <c r="AC346" s="1405">
        <f t="array" ref="AC346">_xlfn.LET(_xlpm.S,_xlfn.ANCHORARRAY($Y$4),_xlpm.r,ROWS(stayCity[[#Headers],[city]]:stayCity[[#This Row],[city]])-1,IF(_xlpm.r&lt;=ROWS(_xlpm.S),INDEX(_xlpm.S,_xlpm.r,2),""))</f>
        <v/>
      </c>
      <c r="AD346" s="1405">
        <f t="array" ref="AD346">_xlfn.LET(_xlpm.S,_xlfn.ANCHORARRAY($Y$4),_xlpm.r,ROWS(stayCity[[#Headers],[city]]:stayCity[[#This Row],[city]])-1,IF(_xlpm.r&lt;=ROWS(_xlpm.S),INDEX(_xlpm.S,_xlpm.r,3),""))</f>
        <v/>
      </c>
      <c r="AE346" s="1400">
        <f>IF(stayCity[[#This Row],[out]]&lt;&gt;"",stayCity[[#This Row],[out]]-stayCity[[#This Row],[in]],"-")</f>
        <v/>
      </c>
      <c r="AF346" s="1406">
        <f>IF(Y346="","-",YEAR(stayCity[[#This Row],[in]]))</f>
        <v/>
      </c>
      <c r="AG346" s="1392" t="n"/>
      <c r="AH346" s="1392" t="n"/>
      <c r="AI346" s="1392" t="n"/>
      <c r="AJ346" s="1392" t="n"/>
      <c r="AK346" s="1392" t="n"/>
      <c r="AL346" s="1392" t="n"/>
      <c r="AM346" s="1392" t="n"/>
      <c r="AN346" s="1392" t="n"/>
      <c r="AO346" s="1392" t="n"/>
      <c r="AP346" s="1392" t="n"/>
      <c r="AQ346" s="1392" t="n"/>
      <c r="AR346" s="1392" t="n"/>
      <c r="AS346" s="1422" t="n"/>
      <c r="AT346" s="1392" t="n"/>
      <c r="AU346" s="1392" t="n"/>
      <c r="AV346" s="1392" t="n"/>
      <c r="AW346" s="1392" t="n"/>
      <c r="AX346" s="1392" t="n"/>
      <c r="AY346" s="1392" t="n"/>
      <c r="AZ346" s="1392" t="n"/>
      <c r="BA346" s="1392" t="n"/>
      <c r="BB346" s="1422" t="n"/>
      <c r="BC346" s="1392" t="n"/>
      <c r="BD346" s="1392" t="n"/>
      <c r="BE346" s="1392" t="n"/>
      <c r="BF346" s="1392" t="n"/>
      <c r="BG346" s="1392" t="n"/>
      <c r="BH346" s="1392" t="n"/>
      <c r="BI346" s="1392" t="n"/>
      <c r="BJ346" s="1392" t="n"/>
      <c r="BK346" s="1392" t="n"/>
      <c r="BL346" s="1392" t="n"/>
      <c r="BM346" s="1392" t="n"/>
      <c r="BN346" s="1392" t="n"/>
      <c r="BO346" s="1392" t="n"/>
      <c r="BP346" s="1398" t="inlineStr">
        <is>
          <t>.</t>
        </is>
      </c>
      <c r="BQ346" s="1400">
        <f>IF(BR346&lt;&gt;"",BQ345+1,BQ345)</f>
        <v/>
      </c>
      <c r="BR346" s="1411" t="inlineStr">
        <is>
          <t>Toronto</t>
        </is>
      </c>
      <c r="BS346" s="1411" t="inlineStr">
        <is>
          <t>Montreal</t>
        </is>
      </c>
      <c r="BT346" s="1411" t="inlineStr">
        <is>
          <t>Toronto-Montreal</t>
        </is>
      </c>
      <c r="BU346" s="1412" t="n">
        <v>44553</v>
      </c>
      <c r="BV346" s="1398" t="inlineStr">
        <is>
          <t>.</t>
        </is>
      </c>
      <c r="BW346" s="1392" t="n"/>
      <c r="BX346" s="1392" t="n"/>
      <c r="BY346" s="1392" t="n"/>
      <c r="BZ346" s="1416" t="n"/>
      <c r="CA346" s="1392" t="n"/>
      <c r="CB346" s="1392" t="n"/>
      <c r="CC346" s="1392" t="n"/>
      <c r="CD346" s="1392" t="n"/>
      <c r="CE346" s="1392" t="n"/>
      <c r="CF346" s="1392" t="n"/>
      <c r="CG346" s="1392" t="n"/>
      <c r="CH346" s="1392" t="n"/>
      <c r="CI346" s="1392" t="n"/>
      <c r="CJ346" s="1392" t="n"/>
      <c r="CK346" s="1392" t="n"/>
      <c r="CL346" s="1392" t="n"/>
    </row>
    <row r="347">
      <c r="A347" s="5" t="inlineStr">
        <is>
          <t>.</t>
        </is>
      </c>
      <c r="B347" s="5" t="inlineStr">
        <is>
          <t>.</t>
        </is>
      </c>
      <c r="C347" s="1378">
        <f>IF(raw[[#This Row],[city]]="","-",IF(raw[[#This Row],[city]]="TODAY","-",C346+1))</f>
        <v/>
      </c>
      <c r="D347" s="1393" t="inlineStr">
        <is>
          <t>Sintra</t>
        </is>
      </c>
      <c r="E347" s="1394" t="n">
        <v>34750</v>
      </c>
      <c r="F347" s="1394" t="n">
        <v>34750</v>
      </c>
      <c r="G347" s="1393" t="inlineStr">
        <is>
          <t>-</t>
        </is>
      </c>
      <c r="H347" s="1393">
        <f>H346</f>
        <v/>
      </c>
      <c r="I347" s="1393" t="n"/>
      <c r="J347" s="1393" t="inlineStr">
        <is>
          <t>-</t>
        </is>
      </c>
      <c r="K347" s="1395">
        <f>IF(raw[[#This Row],[city]]&lt;&gt;"",_xlfn.XLOOKUP($D347,ccc[city],ccc[prov],"-"),"-")</f>
        <v/>
      </c>
      <c r="L347" s="1395">
        <f>IF(raw[[#This Row],[city]]&lt;&gt;"",_xlfn.XLOOKUP($D347,ccc[city],ccc[ctry],"-"),"-")</f>
        <v/>
      </c>
      <c r="M347" s="1395">
        <f>IF(raw[[#This Row],[city]]&lt;&gt;"",_xlfn.XLOOKUP($D347,ccc[city],ccc[cont],"-"),"-")</f>
        <v/>
      </c>
      <c r="N347" s="1396">
        <f>IF(raw[[#This Row],[city]]="","-",IF(raw[[#This Row],[cont]]="B",raw[[#This Row],[cont]],"W"))</f>
        <v/>
      </c>
      <c r="O347" s="1397">
        <f>IF(raw[[#This Row],[out]]=0,0,IF(raw[[#This Row],[out]]=raw[[#This Row],[in]],0.01,raw[[#This Row],[out]]-raw[[#This Row],[in]]))</f>
        <v/>
      </c>
      <c r="P347" s="1397">
        <f>IF(raw[[#This Row],[in]]=0,0,MONTH(raw[[#This Row],[in]]))</f>
        <v/>
      </c>
      <c r="Q347" s="1397">
        <f>IF(raw[[#This Row],[in]]=0,0,YEAR(raw[[#This Row],[in]]))</f>
        <v/>
      </c>
      <c r="R347" s="1397">
        <f>INT(raw[[#This Row],[yr]]/10)*10</f>
        <v/>
      </c>
      <c r="S347" s="1395">
        <f>IF(raw[[#This Row],[city]]="","-",IF(raw[[#This Row],[city]]&lt;&gt;_xlfn.XLOOKUP(raw[[#This Row],[home]],homes[home],homes[city],"-"),1,0))</f>
        <v/>
      </c>
      <c r="T347" s="1398" t="inlineStr">
        <is>
          <t>.</t>
        </is>
      </c>
      <c r="U347" s="1399">
        <f>IF(raw[[#This Row],[wb]]="w",raw[[#This Row],[stay]]+U346,U346)</f>
        <v/>
      </c>
      <c r="V347" s="1400">
        <f>IF(raw[[#This Row],[out]]=0,V346,(raw[[#This Row],[out]]-E$5))</f>
        <v/>
      </c>
      <c r="W347" s="1401">
        <f>U347/V347</f>
        <v/>
      </c>
      <c r="X347" s="1378" t="inlineStr">
        <is>
          <t>.</t>
        </is>
      </c>
      <c r="Y347" s="1402">
        <f/>
        <v/>
      </c>
      <c r="Z347" s="1403">
        <f/>
        <v/>
      </c>
      <c r="AA347" s="1403">
        <f/>
        <v/>
      </c>
      <c r="AB347" s="1400">
        <f t="array" ref="AB347">_xlfn.LET(_xlpm.S,_xlfn.ANCHORARRAY($Y$4),_xlpm.r,ROWS(stayCity[[#Headers],[city]]:stayCity[[#This Row],[city]])-1,IF(_xlpm.r&lt;=ROWS(_xlpm.S),INDEX(_xlpm.S,_xlpm.r,1),""))</f>
        <v/>
      </c>
      <c r="AC347" s="1405">
        <f t="array" ref="AC347">_xlfn.LET(_xlpm.S,_xlfn.ANCHORARRAY($Y$4),_xlpm.r,ROWS(stayCity[[#Headers],[city]]:stayCity[[#This Row],[city]])-1,IF(_xlpm.r&lt;=ROWS(_xlpm.S),INDEX(_xlpm.S,_xlpm.r,2),""))</f>
        <v/>
      </c>
      <c r="AD347" s="1405">
        <f t="array" ref="AD347">_xlfn.LET(_xlpm.S,_xlfn.ANCHORARRAY($Y$4),_xlpm.r,ROWS(stayCity[[#Headers],[city]]:stayCity[[#This Row],[city]])-1,IF(_xlpm.r&lt;=ROWS(_xlpm.S),INDEX(_xlpm.S,_xlpm.r,3),""))</f>
        <v/>
      </c>
      <c r="AE347" s="1400">
        <f>IF(stayCity[[#This Row],[out]]&lt;&gt;"",stayCity[[#This Row],[out]]-stayCity[[#This Row],[in]],"-")</f>
        <v/>
      </c>
      <c r="AF347" s="1406">
        <f>IF(Y347="","-",YEAR(stayCity[[#This Row],[in]]))</f>
        <v/>
      </c>
      <c r="AG347" s="1392" t="n"/>
      <c r="AH347" s="1392" t="n"/>
      <c r="AI347" s="1392" t="n"/>
      <c r="AJ347" s="1392" t="n"/>
      <c r="AK347" s="1392" t="n"/>
      <c r="AL347" s="1392" t="n"/>
      <c r="AM347" s="1392" t="n"/>
      <c r="AN347" s="1392" t="n"/>
      <c r="AO347" s="1392" t="n"/>
      <c r="AP347" s="1392" t="n"/>
      <c r="AQ347" s="1392" t="n"/>
      <c r="AR347" s="1392" t="n"/>
      <c r="AS347" s="1422" t="n"/>
      <c r="AT347" s="1392" t="n"/>
      <c r="AU347" s="1392" t="n"/>
      <c r="AV347" s="1392" t="n"/>
      <c r="AW347" s="1392" t="n"/>
      <c r="AX347" s="1392" t="n"/>
      <c r="AY347" s="1392" t="n"/>
      <c r="AZ347" s="1392" t="n"/>
      <c r="BA347" s="1392" t="n"/>
      <c r="BB347" s="1422" t="n"/>
      <c r="BC347" s="1392" t="n"/>
      <c r="BD347" s="1392" t="n"/>
      <c r="BE347" s="1392" t="n"/>
      <c r="BF347" s="1392" t="n"/>
      <c r="BG347" s="1392" t="n"/>
      <c r="BH347" s="1392" t="n"/>
      <c r="BI347" s="1392" t="n"/>
      <c r="BJ347" s="1392" t="n"/>
      <c r="BK347" s="1392" t="n"/>
      <c r="BL347" s="1392" t="n"/>
      <c r="BM347" s="1392" t="n"/>
      <c r="BN347" s="1392" t="n"/>
      <c r="BO347" s="1392" t="n"/>
      <c r="BP347" s="1398" t="inlineStr">
        <is>
          <t>.</t>
        </is>
      </c>
      <c r="BQ347" s="1400">
        <f>IF(BR347&lt;&gt;"",BQ346+1,BQ346)</f>
        <v/>
      </c>
      <c r="BR347" s="1411" t="inlineStr">
        <is>
          <t>Montreal</t>
        </is>
      </c>
      <c r="BS347" s="1411" t="inlineStr">
        <is>
          <t>Lisbon</t>
        </is>
      </c>
      <c r="BT347" s="1411" t="inlineStr">
        <is>
          <t>Montreal-Lisbon</t>
        </is>
      </c>
      <c r="BU347" s="1412" t="n">
        <v>44735</v>
      </c>
      <c r="BV347" s="1398" t="inlineStr">
        <is>
          <t>.</t>
        </is>
      </c>
      <c r="BW347" s="1392" t="n"/>
      <c r="BX347" s="1392" t="n"/>
      <c r="BY347" s="1392" t="n"/>
      <c r="BZ347" s="1416" t="n"/>
      <c r="CA347" s="1392" t="n"/>
      <c r="CB347" s="1392" t="n"/>
      <c r="CC347" s="1392" t="n"/>
      <c r="CD347" s="1392" t="n"/>
      <c r="CE347" s="1392" t="n"/>
      <c r="CF347" s="1392" t="n"/>
      <c r="CG347" s="1392" t="n"/>
      <c r="CH347" s="1392" t="n"/>
      <c r="CI347" s="1392" t="n"/>
      <c r="CJ347" s="1392" t="n"/>
      <c r="CK347" s="1392" t="n"/>
      <c r="CL347" s="1392" t="n"/>
    </row>
    <row r="348">
      <c r="A348" s="5" t="inlineStr">
        <is>
          <t>.</t>
        </is>
      </c>
      <c r="B348" s="5" t="inlineStr">
        <is>
          <t>.</t>
        </is>
      </c>
      <c r="C348" s="1378">
        <f>IF(raw[[#This Row],[city]]="","-",IF(raw[[#This Row],[city]]="TODAY","-",C347+1))</f>
        <v/>
      </c>
      <c r="D348" s="1393" t="inlineStr">
        <is>
          <t>Lisbon</t>
        </is>
      </c>
      <c r="E348" s="1394" t="n">
        <v>34751</v>
      </c>
      <c r="F348" s="1394" t="n">
        <v>34751</v>
      </c>
      <c r="G348" s="1393" t="n">
        <v>1</v>
      </c>
      <c r="H348" s="1393">
        <f>H347</f>
        <v/>
      </c>
      <c r="I348" s="1393" t="n"/>
      <c r="J348" s="1393" t="inlineStr">
        <is>
          <t>-</t>
        </is>
      </c>
      <c r="K348" s="1395">
        <f>IF(raw[[#This Row],[city]]&lt;&gt;"",_xlfn.XLOOKUP($D348,ccc[city],ccc[prov],"-"),"-")</f>
        <v/>
      </c>
      <c r="L348" s="1395">
        <f>IF(raw[[#This Row],[city]]&lt;&gt;"",_xlfn.XLOOKUP($D348,ccc[city],ccc[ctry],"-"),"-")</f>
        <v/>
      </c>
      <c r="M348" s="1395">
        <f>IF(raw[[#This Row],[city]]&lt;&gt;"",_xlfn.XLOOKUP($D348,ccc[city],ccc[cont],"-"),"-")</f>
        <v/>
      </c>
      <c r="N348" s="1396">
        <f>IF(raw[[#This Row],[city]]="","-",IF(raw[[#This Row],[cont]]="B",raw[[#This Row],[cont]],"W"))</f>
        <v/>
      </c>
      <c r="O348" s="1397">
        <f>IF(raw[[#This Row],[out]]=0,0,IF(raw[[#This Row],[out]]=raw[[#This Row],[in]],0.01,raw[[#This Row],[out]]-raw[[#This Row],[in]]))</f>
        <v/>
      </c>
      <c r="P348" s="1397">
        <f>IF(raw[[#This Row],[in]]=0,0,MONTH(raw[[#This Row],[in]]))</f>
        <v/>
      </c>
      <c r="Q348" s="1397">
        <f>IF(raw[[#This Row],[in]]=0,0,YEAR(raw[[#This Row],[in]]))</f>
        <v/>
      </c>
      <c r="R348" s="1397">
        <f>INT(raw[[#This Row],[yr]]/10)*10</f>
        <v/>
      </c>
      <c r="S348" s="1395">
        <f>IF(raw[[#This Row],[city]]="","-",IF(raw[[#This Row],[city]]&lt;&gt;_xlfn.XLOOKUP(raw[[#This Row],[home]],homes[home],homes[city],"-"),1,0))</f>
        <v/>
      </c>
      <c r="T348" s="1398" t="inlineStr">
        <is>
          <t>.</t>
        </is>
      </c>
      <c r="U348" s="1399">
        <f>IF(raw[[#This Row],[wb]]="w",raw[[#This Row],[stay]]+U347,U347)</f>
        <v/>
      </c>
      <c r="V348" s="1400">
        <f>IF(raw[[#This Row],[out]]=0,V347,(raw[[#This Row],[out]]-E$5))</f>
        <v/>
      </c>
      <c r="W348" s="1401">
        <f>U348/V348</f>
        <v/>
      </c>
      <c r="X348" s="1378" t="inlineStr">
        <is>
          <t>.</t>
        </is>
      </c>
      <c r="Y348" s="1402">
        <f/>
        <v/>
      </c>
      <c r="Z348" s="1403">
        <f/>
        <v/>
      </c>
      <c r="AA348" s="1403">
        <f/>
        <v/>
      </c>
      <c r="AB348" s="1400">
        <f t="array" ref="AB348">_xlfn.LET(_xlpm.S,_xlfn.ANCHORARRAY($Y$4),_xlpm.r,ROWS(stayCity[[#Headers],[city]]:stayCity[[#This Row],[city]])-1,IF(_xlpm.r&lt;=ROWS(_xlpm.S),INDEX(_xlpm.S,_xlpm.r,1),""))</f>
        <v/>
      </c>
      <c r="AC348" s="1405">
        <f t="array" ref="AC348">_xlfn.LET(_xlpm.S,_xlfn.ANCHORARRAY($Y$4),_xlpm.r,ROWS(stayCity[[#Headers],[city]]:stayCity[[#This Row],[city]])-1,IF(_xlpm.r&lt;=ROWS(_xlpm.S),INDEX(_xlpm.S,_xlpm.r,2),""))</f>
        <v/>
      </c>
      <c r="AD348" s="1405">
        <f t="array" ref="AD348">_xlfn.LET(_xlpm.S,_xlfn.ANCHORARRAY($Y$4),_xlpm.r,ROWS(stayCity[[#Headers],[city]]:stayCity[[#This Row],[city]])-1,IF(_xlpm.r&lt;=ROWS(_xlpm.S),INDEX(_xlpm.S,_xlpm.r,3),""))</f>
        <v/>
      </c>
      <c r="AE348" s="1400">
        <f>IF(stayCity[[#This Row],[out]]&lt;&gt;"",stayCity[[#This Row],[out]]-stayCity[[#This Row],[in]],"-")</f>
        <v/>
      </c>
      <c r="AF348" s="1406">
        <f>IF(Y348="","-",YEAR(stayCity[[#This Row],[in]]))</f>
        <v/>
      </c>
      <c r="AG348" s="1392" t="n"/>
      <c r="AH348" s="1392" t="n"/>
      <c r="AI348" s="1392" t="n"/>
      <c r="AJ348" s="1392" t="n"/>
      <c r="AK348" s="1392" t="n"/>
      <c r="AL348" s="1392" t="n"/>
      <c r="AM348" s="1392" t="n"/>
      <c r="AN348" s="1392" t="n"/>
      <c r="AO348" s="1392" t="n"/>
      <c r="AP348" s="1392" t="n"/>
      <c r="AQ348" s="1392" t="n"/>
      <c r="AR348" s="1392" t="n"/>
      <c r="AS348" s="1422" t="n"/>
      <c r="AT348" s="1392" t="n"/>
      <c r="AU348" s="1392" t="n"/>
      <c r="AV348" s="1392" t="n"/>
      <c r="AW348" s="1392" t="n"/>
      <c r="AX348" s="1392" t="n"/>
      <c r="AY348" s="1392" t="n"/>
      <c r="AZ348" s="1392" t="n"/>
      <c r="BA348" s="1392" t="n"/>
      <c r="BB348" s="1422" t="n"/>
      <c r="BC348" s="1392" t="n"/>
      <c r="BD348" s="1392" t="n"/>
      <c r="BE348" s="1392" t="n"/>
      <c r="BF348" s="1392" t="n"/>
      <c r="BG348" s="1392" t="n"/>
      <c r="BH348" s="1392" t="n"/>
      <c r="BI348" s="1392" t="n"/>
      <c r="BJ348" s="1392" t="n"/>
      <c r="BK348" s="1392" t="n"/>
      <c r="BL348" s="1392" t="n"/>
      <c r="BM348" s="1392" t="n"/>
      <c r="BN348" s="1392" t="n"/>
      <c r="BO348" s="1392" t="n"/>
      <c r="BP348" s="1398" t="inlineStr">
        <is>
          <t>.</t>
        </is>
      </c>
      <c r="BQ348" s="1400">
        <f>IF(BR348&lt;&gt;"",BQ347+1,BQ347)</f>
        <v/>
      </c>
      <c r="BR348" s="1411" t="inlineStr">
        <is>
          <t>Lisbon</t>
        </is>
      </c>
      <c r="BS348" s="1411" t="inlineStr">
        <is>
          <t>Amsterdam</t>
        </is>
      </c>
      <c r="BT348" s="1411" t="inlineStr">
        <is>
          <t>Lisbon-Amsterdam</t>
        </is>
      </c>
      <c r="BU348" s="1412" t="n">
        <v>44736</v>
      </c>
      <c r="BV348" s="1398" t="inlineStr">
        <is>
          <t>.</t>
        </is>
      </c>
      <c r="BW348" s="1392" t="n"/>
      <c r="BX348" s="1392" t="n"/>
      <c r="BY348" s="1392" t="n"/>
      <c r="BZ348" s="1416" t="n"/>
      <c r="CA348" s="1392" t="n"/>
      <c r="CB348" s="1392" t="n"/>
      <c r="CC348" s="1392" t="n"/>
      <c r="CD348" s="1392" t="n"/>
      <c r="CE348" s="1392" t="n"/>
      <c r="CF348" s="1392" t="n"/>
      <c r="CG348" s="1392" t="n"/>
      <c r="CH348" s="1392" t="n"/>
      <c r="CI348" s="1392" t="n"/>
      <c r="CJ348" s="1392" t="n"/>
      <c r="CK348" s="1392" t="n"/>
      <c r="CL348" s="1392" t="n"/>
    </row>
    <row r="349">
      <c r="A349" s="5" t="inlineStr">
        <is>
          <t>.</t>
        </is>
      </c>
      <c r="B349" s="5" t="inlineStr">
        <is>
          <t>.</t>
        </is>
      </c>
      <c r="C349" s="1378">
        <f>IF(raw[[#This Row],[city]]="","-",IF(raw[[#This Row],[city]]="TODAY","-",C348+1))</f>
        <v/>
      </c>
      <c r="D349" s="1393" t="inlineStr">
        <is>
          <t>AIR</t>
        </is>
      </c>
      <c r="E349" s="1394" t="n">
        <v>34751</v>
      </c>
      <c r="F349" s="1394" t="n">
        <v>34752</v>
      </c>
      <c r="G349" s="1393" t="inlineStr">
        <is>
          <t>x</t>
        </is>
      </c>
      <c r="H349" s="1393">
        <f>H348</f>
        <v/>
      </c>
      <c r="I349" s="1393" t="inlineStr">
        <is>
          <t>-</t>
        </is>
      </c>
      <c r="J349" s="1393" t="inlineStr">
        <is>
          <t>-</t>
        </is>
      </c>
      <c r="K349" s="1395">
        <f>IF(raw[[#This Row],[city]]&lt;&gt;"",_xlfn.XLOOKUP($D349,ccc[city],ccc[prov],"-"),"-")</f>
        <v/>
      </c>
      <c r="L349" s="1395">
        <f>IF(raw[[#This Row],[city]]&lt;&gt;"",_xlfn.XLOOKUP($D349,ccc[city],ccc[ctry],"-"),"-")</f>
        <v/>
      </c>
      <c r="M349" s="1395">
        <f>IF(raw[[#This Row],[city]]&lt;&gt;"",_xlfn.XLOOKUP($D349,ccc[city],ccc[cont],"-"),"-")</f>
        <v/>
      </c>
      <c r="N349" s="1396">
        <f>IF(raw[[#This Row],[city]]="","-",IF(raw[[#This Row],[cont]]="B",raw[[#This Row],[cont]],"W"))</f>
        <v/>
      </c>
      <c r="O349" s="1397">
        <f>IF(raw[[#This Row],[out]]=0,0,IF(raw[[#This Row],[out]]=raw[[#This Row],[in]],0.01,raw[[#This Row],[out]]-raw[[#This Row],[in]]))</f>
        <v/>
      </c>
      <c r="P349" s="1397">
        <f>IF(raw[[#This Row],[in]]=0,0,MONTH(raw[[#This Row],[in]]))</f>
        <v/>
      </c>
      <c r="Q349" s="1397">
        <f>IF(raw[[#This Row],[in]]=0,0,YEAR(raw[[#This Row],[in]]))</f>
        <v/>
      </c>
      <c r="R349" s="1397">
        <f>INT(raw[[#This Row],[yr]]/10)*10</f>
        <v/>
      </c>
      <c r="S349" s="1395">
        <f>IF(raw[[#This Row],[city]]="","-",IF(raw[[#This Row],[city]]&lt;&gt;_xlfn.XLOOKUP(raw[[#This Row],[home]],homes[home],homes[city],"-"),1,0))</f>
        <v/>
      </c>
      <c r="T349" s="1398" t="inlineStr">
        <is>
          <t>.</t>
        </is>
      </c>
      <c r="U349" s="1399">
        <f>IF(raw[[#This Row],[wb]]="w",raw[[#This Row],[stay]]+U348,U348)</f>
        <v/>
      </c>
      <c r="V349" s="1400">
        <f>IF(raw[[#This Row],[out]]=0,V348,(raw[[#This Row],[out]]-E$5))</f>
        <v/>
      </c>
      <c r="W349" s="1401">
        <f>U349/V349</f>
        <v/>
      </c>
      <c r="X349" s="1378" t="inlineStr">
        <is>
          <t>.</t>
        </is>
      </c>
      <c r="Y349" s="1402">
        <f/>
        <v/>
      </c>
      <c r="Z349" s="1403">
        <f/>
        <v/>
      </c>
      <c r="AA349" s="1403">
        <f/>
        <v/>
      </c>
      <c r="AB349" s="1400">
        <f t="array" ref="AB349">_xlfn.LET(_xlpm.S,_xlfn.ANCHORARRAY($Y$4),_xlpm.r,ROWS(stayCity[[#Headers],[city]]:stayCity[[#This Row],[city]])-1,IF(_xlpm.r&lt;=ROWS(_xlpm.S),INDEX(_xlpm.S,_xlpm.r,1),""))</f>
        <v/>
      </c>
      <c r="AC349" s="1405">
        <f t="array" ref="AC349">_xlfn.LET(_xlpm.S,_xlfn.ANCHORARRAY($Y$4),_xlpm.r,ROWS(stayCity[[#Headers],[city]]:stayCity[[#This Row],[city]])-1,IF(_xlpm.r&lt;=ROWS(_xlpm.S),INDEX(_xlpm.S,_xlpm.r,2),""))</f>
        <v/>
      </c>
      <c r="AD349" s="1405">
        <f t="array" ref="AD349">_xlfn.LET(_xlpm.S,_xlfn.ANCHORARRAY($Y$4),_xlpm.r,ROWS(stayCity[[#Headers],[city]]:stayCity[[#This Row],[city]])-1,IF(_xlpm.r&lt;=ROWS(_xlpm.S),INDEX(_xlpm.S,_xlpm.r,3),""))</f>
        <v/>
      </c>
      <c r="AE349" s="1400">
        <f>IF(stayCity[[#This Row],[out]]&lt;&gt;"",stayCity[[#This Row],[out]]-stayCity[[#This Row],[in]],"-")</f>
        <v/>
      </c>
      <c r="AF349" s="1406">
        <f>IF(Y349="","-",YEAR(stayCity[[#This Row],[in]]))</f>
        <v/>
      </c>
      <c r="AG349" s="1392" t="n"/>
      <c r="AH349" s="1392" t="n"/>
      <c r="AI349" s="1392" t="n"/>
      <c r="AJ349" s="1392" t="n"/>
      <c r="AK349" s="1392" t="n"/>
      <c r="AL349" s="1392" t="n"/>
      <c r="AM349" s="1392" t="n"/>
      <c r="AN349" s="1392" t="n"/>
      <c r="AO349" s="1392" t="n"/>
      <c r="AP349" s="1392" t="n"/>
      <c r="AQ349" s="1392" t="n"/>
      <c r="AR349" s="1392" t="n"/>
      <c r="AS349" s="1422" t="n"/>
      <c r="AT349" s="1392" t="n"/>
      <c r="AU349" s="1392" t="n"/>
      <c r="AV349" s="1392" t="n"/>
      <c r="AW349" s="1392" t="n"/>
      <c r="AX349" s="1392" t="n"/>
      <c r="AY349" s="1392" t="n"/>
      <c r="AZ349" s="1392" t="n"/>
      <c r="BA349" s="1392" t="n"/>
      <c r="BB349" s="1422" t="n"/>
      <c r="BC349" s="1392" t="n"/>
      <c r="BD349" s="1392" t="n"/>
      <c r="BE349" s="1392" t="n"/>
      <c r="BF349" s="1392" t="n"/>
      <c r="BG349" s="1392" t="n"/>
      <c r="BH349" s="1392" t="n"/>
      <c r="BI349" s="1392" t="n"/>
      <c r="BJ349" s="1392" t="n"/>
      <c r="BK349" s="1392" t="n"/>
      <c r="BL349" s="1392" t="n"/>
      <c r="BM349" s="1392" t="n"/>
      <c r="BN349" s="1392" t="n"/>
      <c r="BO349" s="1392" t="n"/>
      <c r="BP349" s="1398" t="inlineStr">
        <is>
          <t>.</t>
        </is>
      </c>
      <c r="BQ349" s="1400">
        <f>IF(BR349&lt;&gt;"",BQ348+1,BQ348)</f>
        <v/>
      </c>
      <c r="BR349" s="1411" t="inlineStr">
        <is>
          <t>Rome</t>
        </is>
      </c>
      <c r="BS349" s="1411" t="inlineStr">
        <is>
          <t>Amsterdam</t>
        </is>
      </c>
      <c r="BT349" s="1411" t="inlineStr">
        <is>
          <t>Rome-Amsterdam</t>
        </is>
      </c>
      <c r="BU349" s="1412" t="n">
        <v>44757</v>
      </c>
      <c r="BV349" s="1398" t="inlineStr">
        <is>
          <t>.</t>
        </is>
      </c>
      <c r="BW349" s="1392" t="n"/>
      <c r="BX349" s="1392" t="n"/>
      <c r="BY349" s="1392" t="n"/>
      <c r="BZ349" s="1416" t="n"/>
      <c r="CA349" s="1392" t="n"/>
      <c r="CB349" s="1392" t="n"/>
      <c r="CC349" s="1392" t="n"/>
      <c r="CD349" s="1392" t="n"/>
      <c r="CE349" s="1392" t="n"/>
      <c r="CF349" s="1392" t="n"/>
      <c r="CG349" s="1392" t="n"/>
      <c r="CH349" s="1392" t="n"/>
      <c r="CI349" s="1392" t="n"/>
      <c r="CJ349" s="1392" t="n"/>
      <c r="CK349" s="1392" t="n"/>
      <c r="CL349" s="1392" t="n"/>
    </row>
    <row r="350">
      <c r="A350" s="5" t="inlineStr">
        <is>
          <t>.</t>
        </is>
      </c>
      <c r="B350" s="5" t="inlineStr">
        <is>
          <t>.</t>
        </is>
      </c>
      <c r="C350" s="1378">
        <f>IF(raw[[#This Row],[city]]="","-",IF(raw[[#This Row],[city]]="TODAY","-",C349+1))</f>
        <v/>
      </c>
      <c r="D350" s="1393" t="inlineStr">
        <is>
          <t>SSA</t>
        </is>
      </c>
      <c r="E350" s="1394" t="n">
        <v>34752</v>
      </c>
      <c r="F350" s="1394" t="n">
        <v>34759</v>
      </c>
      <c r="G350" s="1393" t="n">
        <v>1</v>
      </c>
      <c r="H350" s="1393">
        <f>H349</f>
        <v/>
      </c>
      <c r="I350" s="1393" t="inlineStr">
        <is>
          <t>Ondina</t>
        </is>
      </c>
      <c r="J350" s="1393" t="inlineStr">
        <is>
          <t>-</t>
        </is>
      </c>
      <c r="K350" s="1395">
        <f>IF(raw[[#This Row],[city]]&lt;&gt;"",_xlfn.XLOOKUP($D350,ccc[city],ccc[prov],"-"),"-")</f>
        <v/>
      </c>
      <c r="L350" s="1395">
        <f>IF(raw[[#This Row],[city]]&lt;&gt;"",_xlfn.XLOOKUP($D350,ccc[city],ccc[ctry],"-"),"-")</f>
        <v/>
      </c>
      <c r="M350" s="1395">
        <f>IF(raw[[#This Row],[city]]&lt;&gt;"",_xlfn.XLOOKUP($D350,ccc[city],ccc[cont],"-"),"-")</f>
        <v/>
      </c>
      <c r="N350" s="1396">
        <f>IF(raw[[#This Row],[city]]="","-",IF(raw[[#This Row],[cont]]="B",raw[[#This Row],[cont]],"W"))</f>
        <v/>
      </c>
      <c r="O350" s="1397">
        <f>IF(raw[[#This Row],[out]]=0,0,IF(raw[[#This Row],[out]]=raw[[#This Row],[in]],0.01,raw[[#This Row],[out]]-raw[[#This Row],[in]]))</f>
        <v/>
      </c>
      <c r="P350" s="1397">
        <f>IF(raw[[#This Row],[in]]=0,0,MONTH(raw[[#This Row],[in]]))</f>
        <v/>
      </c>
      <c r="Q350" s="1397">
        <f>IF(raw[[#This Row],[in]]=0,0,YEAR(raw[[#This Row],[in]]))</f>
        <v/>
      </c>
      <c r="R350" s="1397">
        <f>INT(raw[[#This Row],[yr]]/10)*10</f>
        <v/>
      </c>
      <c r="S350" s="1395">
        <f>IF(raw[[#This Row],[city]]="","-",IF(raw[[#This Row],[city]]&lt;&gt;_xlfn.XLOOKUP(raw[[#This Row],[home]],homes[home],homes[city],"-"),1,0))</f>
        <v/>
      </c>
      <c r="T350" s="1398" t="inlineStr">
        <is>
          <t>.</t>
        </is>
      </c>
      <c r="U350" s="1399">
        <f>IF(raw[[#This Row],[wb]]="w",raw[[#This Row],[stay]]+U349,U349)</f>
        <v/>
      </c>
      <c r="V350" s="1400">
        <f>IF(raw[[#This Row],[out]]=0,V349,(raw[[#This Row],[out]]-E$5))</f>
        <v/>
      </c>
      <c r="W350" s="1401">
        <f>U350/V350</f>
        <v/>
      </c>
      <c r="X350" s="1378" t="inlineStr">
        <is>
          <t>.</t>
        </is>
      </c>
      <c r="Y350" s="1402">
        <f/>
        <v/>
      </c>
      <c r="Z350" s="1403">
        <f/>
        <v/>
      </c>
      <c r="AA350" s="1403">
        <f/>
        <v/>
      </c>
      <c r="AB350" s="1400">
        <f t="array" ref="AB350">_xlfn.LET(_xlpm.S,_xlfn.ANCHORARRAY($Y$4),_xlpm.r,ROWS(stayCity[[#Headers],[city]]:stayCity[[#This Row],[city]])-1,IF(_xlpm.r&lt;=ROWS(_xlpm.S),INDEX(_xlpm.S,_xlpm.r,1),""))</f>
        <v/>
      </c>
      <c r="AC350" s="1405">
        <f t="array" ref="AC350">_xlfn.LET(_xlpm.S,_xlfn.ANCHORARRAY($Y$4),_xlpm.r,ROWS(stayCity[[#Headers],[city]]:stayCity[[#This Row],[city]])-1,IF(_xlpm.r&lt;=ROWS(_xlpm.S),INDEX(_xlpm.S,_xlpm.r,2),""))</f>
        <v/>
      </c>
      <c r="AD350" s="1405">
        <f t="array" ref="AD350">_xlfn.LET(_xlpm.S,_xlfn.ANCHORARRAY($Y$4),_xlpm.r,ROWS(stayCity[[#Headers],[city]]:stayCity[[#This Row],[city]])-1,IF(_xlpm.r&lt;=ROWS(_xlpm.S),INDEX(_xlpm.S,_xlpm.r,3),""))</f>
        <v/>
      </c>
      <c r="AE350" s="1400">
        <f>IF(stayCity[[#This Row],[out]]&lt;&gt;"",stayCity[[#This Row],[out]]-stayCity[[#This Row],[in]],"-")</f>
        <v/>
      </c>
      <c r="AF350" s="1406">
        <f>IF(Y350="","-",YEAR(stayCity[[#This Row],[in]]))</f>
        <v/>
      </c>
      <c r="AG350" s="1392" t="n"/>
      <c r="AH350" s="1392" t="n"/>
      <c r="AI350" s="1392" t="n"/>
      <c r="AJ350" s="1392" t="n"/>
      <c r="AK350" s="1392" t="n"/>
      <c r="AL350" s="1392" t="n"/>
      <c r="AM350" s="1392" t="n"/>
      <c r="AN350" s="1392" t="n"/>
      <c r="AO350" s="1392" t="n"/>
      <c r="AP350" s="1392" t="n"/>
      <c r="AQ350" s="1392" t="n"/>
      <c r="AR350" s="1392" t="n"/>
      <c r="AS350" s="1422" t="n"/>
      <c r="AT350" s="1392" t="n"/>
      <c r="AU350" s="1392" t="n"/>
      <c r="AV350" s="1392" t="n"/>
      <c r="AW350" s="1392" t="n"/>
      <c r="AX350" s="1392" t="n"/>
      <c r="AY350" s="1392" t="n"/>
      <c r="AZ350" s="1392" t="n"/>
      <c r="BA350" s="1392" t="n"/>
      <c r="BB350" s="1422" t="n"/>
      <c r="BC350" s="1392" t="n"/>
      <c r="BD350" s="1392" t="n"/>
      <c r="BE350" s="1392" t="n"/>
      <c r="BF350" s="1392" t="n"/>
      <c r="BG350" s="1392" t="n"/>
      <c r="BH350" s="1392" t="n"/>
      <c r="BI350" s="1392" t="n"/>
      <c r="BJ350" s="1392" t="n"/>
      <c r="BK350" s="1392" t="n"/>
      <c r="BL350" s="1392" t="n"/>
      <c r="BM350" s="1392" t="n"/>
      <c r="BN350" s="1392" t="n"/>
      <c r="BO350" s="1392" t="n"/>
      <c r="BP350" s="1398" t="inlineStr">
        <is>
          <t>.</t>
        </is>
      </c>
      <c r="BQ350" s="1400">
        <f>IF(BR350&lt;&gt;"",BQ349+1,BQ349)</f>
        <v/>
      </c>
      <c r="BR350" s="1411" t="inlineStr">
        <is>
          <t>Amsterdam</t>
        </is>
      </c>
      <c r="BS350" s="1411" t="inlineStr">
        <is>
          <t>Montreal</t>
        </is>
      </c>
      <c r="BT350" s="1411" t="inlineStr">
        <is>
          <t>Amsterdam-Montreal</t>
        </is>
      </c>
      <c r="BU350" s="1412" t="n">
        <v>44759</v>
      </c>
      <c r="BV350" s="1398" t="inlineStr">
        <is>
          <t>.</t>
        </is>
      </c>
      <c r="BW350" s="1392" t="n"/>
      <c r="BX350" s="1392" t="n"/>
      <c r="BY350" s="1392" t="n"/>
      <c r="BZ350" s="1416" t="n"/>
      <c r="CA350" s="1392" t="n"/>
      <c r="CB350" s="1392" t="n"/>
      <c r="CC350" s="1392" t="n"/>
      <c r="CD350" s="1392" t="n"/>
      <c r="CE350" s="1392" t="n"/>
      <c r="CF350" s="1392" t="n"/>
      <c r="CG350" s="1392" t="n"/>
      <c r="CH350" s="1392" t="n"/>
      <c r="CI350" s="1392" t="n"/>
      <c r="CJ350" s="1392" t="n"/>
      <c r="CK350" s="1392" t="n"/>
      <c r="CL350" s="1392" t="n"/>
    </row>
    <row r="351">
      <c r="A351" s="5" t="inlineStr">
        <is>
          <t>.</t>
        </is>
      </c>
      <c r="B351" s="5" t="inlineStr">
        <is>
          <t>.</t>
        </is>
      </c>
      <c r="C351" s="1378">
        <f>IF(raw[[#This Row],[city]]="","-",IF(raw[[#This Row],[city]]="TODAY","-",C350+1))</f>
        <v/>
      </c>
      <c r="D351" s="1393" t="inlineStr">
        <is>
          <t>SP</t>
        </is>
      </c>
      <c r="E351" s="1394" t="n">
        <v>34759</v>
      </c>
      <c r="F351" s="1394" t="n">
        <v>34790</v>
      </c>
      <c r="G351" s="1393" t="inlineStr">
        <is>
          <t>-</t>
        </is>
      </c>
      <c r="H351" s="1393">
        <f>H350</f>
        <v/>
      </c>
      <c r="I351" s="1393" t="inlineStr">
        <is>
          <t>-</t>
        </is>
      </c>
      <c r="J351" s="1393" t="inlineStr">
        <is>
          <t>-</t>
        </is>
      </c>
      <c r="K351" s="1395">
        <f>IF(raw[[#This Row],[city]]&lt;&gt;"",_xlfn.XLOOKUP($D351,ccc[city],ccc[prov],"-"),"-")</f>
        <v/>
      </c>
      <c r="L351" s="1395">
        <f>IF(raw[[#This Row],[city]]&lt;&gt;"",_xlfn.XLOOKUP($D351,ccc[city],ccc[ctry],"-"),"-")</f>
        <v/>
      </c>
      <c r="M351" s="1395">
        <f>IF(raw[[#This Row],[city]]&lt;&gt;"",_xlfn.XLOOKUP($D351,ccc[city],ccc[cont],"-"),"-")</f>
        <v/>
      </c>
      <c r="N351" s="1396">
        <f>IF(raw[[#This Row],[city]]="","-",IF(raw[[#This Row],[cont]]="B",raw[[#This Row],[cont]],"W"))</f>
        <v/>
      </c>
      <c r="O351" s="1397">
        <f>IF(raw[[#This Row],[out]]=0,0,IF(raw[[#This Row],[out]]=raw[[#This Row],[in]],0.01,raw[[#This Row],[out]]-raw[[#This Row],[in]]))</f>
        <v/>
      </c>
      <c r="P351" s="1397">
        <f>IF(raw[[#This Row],[in]]=0,0,MONTH(raw[[#This Row],[in]]))</f>
        <v/>
      </c>
      <c r="Q351" s="1397">
        <f>IF(raw[[#This Row],[in]]=0,0,YEAR(raw[[#This Row],[in]]))</f>
        <v/>
      </c>
      <c r="R351" s="1397">
        <f>INT(raw[[#This Row],[yr]]/10)*10</f>
        <v/>
      </c>
      <c r="S351" s="1395">
        <f>IF(raw[[#This Row],[city]]="","-",IF(raw[[#This Row],[city]]&lt;&gt;_xlfn.XLOOKUP(raw[[#This Row],[home]],homes[home],homes[city],"-"),1,0))</f>
        <v/>
      </c>
      <c r="T351" s="1398" t="inlineStr">
        <is>
          <t>.</t>
        </is>
      </c>
      <c r="U351" s="1399">
        <f>IF(raw[[#This Row],[wb]]="w",raw[[#This Row],[stay]]+U350,U350)</f>
        <v/>
      </c>
      <c r="V351" s="1400">
        <f>IF(raw[[#This Row],[out]]=0,V350,(raw[[#This Row],[out]]-E$5))</f>
        <v/>
      </c>
      <c r="W351" s="1401">
        <f>U351/V351</f>
        <v/>
      </c>
      <c r="X351" s="1378" t="inlineStr">
        <is>
          <t>.</t>
        </is>
      </c>
      <c r="Y351" s="1402">
        <f/>
        <v/>
      </c>
      <c r="Z351" s="1403">
        <f/>
        <v/>
      </c>
      <c r="AA351" s="1403">
        <f/>
        <v/>
      </c>
      <c r="AB351" s="1400">
        <f t="array" ref="AB351">_xlfn.LET(_xlpm.S,_xlfn.ANCHORARRAY($Y$4),_xlpm.r,ROWS(stayCity[[#Headers],[city]]:stayCity[[#This Row],[city]])-1,IF(_xlpm.r&lt;=ROWS(_xlpm.S),INDEX(_xlpm.S,_xlpm.r,1),""))</f>
        <v/>
      </c>
      <c r="AC351" s="1405">
        <f t="array" ref="AC351">_xlfn.LET(_xlpm.S,_xlfn.ANCHORARRAY($Y$4),_xlpm.r,ROWS(stayCity[[#Headers],[city]]:stayCity[[#This Row],[city]])-1,IF(_xlpm.r&lt;=ROWS(_xlpm.S),INDEX(_xlpm.S,_xlpm.r,2),""))</f>
        <v/>
      </c>
      <c r="AD351" s="1405">
        <f t="array" ref="AD351">_xlfn.LET(_xlpm.S,_xlfn.ANCHORARRAY($Y$4),_xlpm.r,ROWS(stayCity[[#Headers],[city]]:stayCity[[#This Row],[city]])-1,IF(_xlpm.r&lt;=ROWS(_xlpm.S),INDEX(_xlpm.S,_xlpm.r,3),""))</f>
        <v/>
      </c>
      <c r="AE351" s="1400">
        <f>IF(stayCity[[#This Row],[out]]&lt;&gt;"",stayCity[[#This Row],[out]]-stayCity[[#This Row],[in]],"-")</f>
        <v/>
      </c>
      <c r="AF351" s="1406">
        <f>IF(Y351="","-",YEAR(stayCity[[#This Row],[in]]))</f>
        <v/>
      </c>
      <c r="AG351" s="1392" t="n"/>
      <c r="AH351" s="1392" t="n"/>
      <c r="AI351" s="1392" t="n"/>
      <c r="AJ351" s="1392" t="n"/>
      <c r="AK351" s="1392" t="n"/>
      <c r="AL351" s="1392" t="n"/>
      <c r="AM351" s="1392" t="n"/>
      <c r="AN351" s="1392" t="n"/>
      <c r="AO351" s="1392" t="n"/>
      <c r="AP351" s="1392" t="n"/>
      <c r="AQ351" s="1392" t="n"/>
      <c r="AR351" s="1392" t="n"/>
      <c r="AS351" s="1422" t="n"/>
      <c r="AT351" s="1392" t="n"/>
      <c r="AU351" s="1392" t="n"/>
      <c r="AV351" s="1392" t="n"/>
      <c r="AW351" s="1392" t="n"/>
      <c r="AX351" s="1392" t="n"/>
      <c r="AY351" s="1392" t="n"/>
      <c r="AZ351" s="1392" t="n"/>
      <c r="BA351" s="1392" t="n"/>
      <c r="BB351" s="1422" t="n"/>
      <c r="BC351" s="1392" t="n"/>
      <c r="BD351" s="1392" t="n"/>
      <c r="BE351" s="1392" t="n"/>
      <c r="BF351" s="1392" t="n"/>
      <c r="BG351" s="1392" t="n"/>
      <c r="BH351" s="1392" t="n"/>
      <c r="BI351" s="1392" t="n"/>
      <c r="BJ351" s="1392" t="n"/>
      <c r="BK351" s="1392" t="n"/>
      <c r="BL351" s="1392" t="n"/>
      <c r="BM351" s="1392" t="n"/>
      <c r="BN351" s="1392" t="n"/>
      <c r="BO351" s="1392" t="n"/>
      <c r="BP351" s="1398" t="inlineStr">
        <is>
          <t>.</t>
        </is>
      </c>
      <c r="BQ351" s="1400">
        <f>IF(BR351&lt;&gt;"",BQ350+1,BQ350)</f>
        <v/>
      </c>
      <c r="BR351" s="1411" t="inlineStr">
        <is>
          <t>Montreal</t>
        </is>
      </c>
      <c r="BS351" s="1411" t="inlineStr">
        <is>
          <t>SP</t>
        </is>
      </c>
      <c r="BT351" s="1411" t="inlineStr">
        <is>
          <t>Montreal-SP</t>
        </is>
      </c>
      <c r="BU351" s="1412" t="n">
        <v>44827</v>
      </c>
      <c r="BV351" s="1398" t="inlineStr">
        <is>
          <t>.</t>
        </is>
      </c>
      <c r="BW351" s="1392" t="n"/>
      <c r="BX351" s="1392" t="n"/>
      <c r="BY351" s="1392" t="n"/>
      <c r="BZ351" s="1416" t="n"/>
      <c r="CA351" s="1392" t="n"/>
      <c r="CB351" s="1392" t="n"/>
      <c r="CC351" s="1392" t="n"/>
      <c r="CD351" s="1392" t="n"/>
      <c r="CE351" s="1392" t="n"/>
      <c r="CF351" s="1392" t="n"/>
      <c r="CG351" s="1392" t="n"/>
      <c r="CH351" s="1392" t="n"/>
      <c r="CI351" s="1392" t="n"/>
      <c r="CJ351" s="1392" t="n"/>
      <c r="CK351" s="1392" t="n"/>
      <c r="CL351" s="1392" t="n"/>
    </row>
    <row r="352">
      <c r="A352" s="5" t="inlineStr">
        <is>
          <t>.</t>
        </is>
      </c>
      <c r="B352" s="5" t="inlineStr">
        <is>
          <t>.</t>
        </is>
      </c>
      <c r="C352" s="1378">
        <f>IF(raw[[#This Row],[city]]="","-",IF(raw[[#This Row],[city]]="TODAY","-",C351+1))</f>
        <v/>
      </c>
      <c r="D352" s="1393" t="inlineStr">
        <is>
          <t>SP</t>
        </is>
      </c>
      <c r="E352" s="1394" t="n">
        <v>34790</v>
      </c>
      <c r="F352" s="1394" t="n">
        <v>34820</v>
      </c>
      <c r="G352" s="1393" t="inlineStr">
        <is>
          <t>-</t>
        </is>
      </c>
      <c r="H352" s="1393">
        <f>H351</f>
        <v/>
      </c>
      <c r="I352" s="1393" t="inlineStr">
        <is>
          <t>-</t>
        </is>
      </c>
      <c r="J352" s="1393" t="inlineStr">
        <is>
          <t>-</t>
        </is>
      </c>
      <c r="K352" s="1395">
        <f>IF(raw[[#This Row],[city]]&lt;&gt;"",_xlfn.XLOOKUP($D352,ccc[city],ccc[prov],"-"),"-")</f>
        <v/>
      </c>
      <c r="L352" s="1395">
        <f>IF(raw[[#This Row],[city]]&lt;&gt;"",_xlfn.XLOOKUP($D352,ccc[city],ccc[ctry],"-"),"-")</f>
        <v/>
      </c>
      <c r="M352" s="1395">
        <f>IF(raw[[#This Row],[city]]&lt;&gt;"",_xlfn.XLOOKUP($D352,ccc[city],ccc[cont],"-"),"-")</f>
        <v/>
      </c>
      <c r="N352" s="1396">
        <f>IF(raw[[#This Row],[city]]="","-",IF(raw[[#This Row],[cont]]="B",raw[[#This Row],[cont]],"W"))</f>
        <v/>
      </c>
      <c r="O352" s="1397">
        <f>IF(raw[[#This Row],[out]]=0,0,IF(raw[[#This Row],[out]]=raw[[#This Row],[in]],0.01,raw[[#This Row],[out]]-raw[[#This Row],[in]]))</f>
        <v/>
      </c>
      <c r="P352" s="1397">
        <f>IF(raw[[#This Row],[in]]=0,0,MONTH(raw[[#This Row],[in]]))</f>
        <v/>
      </c>
      <c r="Q352" s="1397">
        <f>IF(raw[[#This Row],[in]]=0,0,YEAR(raw[[#This Row],[in]]))</f>
        <v/>
      </c>
      <c r="R352" s="1397">
        <f>INT(raw[[#This Row],[yr]]/10)*10</f>
        <v/>
      </c>
      <c r="S352" s="1395">
        <f>IF(raw[[#This Row],[city]]="","-",IF(raw[[#This Row],[city]]&lt;&gt;_xlfn.XLOOKUP(raw[[#This Row],[home]],homes[home],homes[city],"-"),1,0))</f>
        <v/>
      </c>
      <c r="T352" s="1398" t="inlineStr">
        <is>
          <t>.</t>
        </is>
      </c>
      <c r="U352" s="1399">
        <f>IF(raw[[#This Row],[wb]]="w",raw[[#This Row],[stay]]+U351,U351)</f>
        <v/>
      </c>
      <c r="V352" s="1400">
        <f>IF(raw[[#This Row],[out]]=0,V351,(raw[[#This Row],[out]]-E$5))</f>
        <v/>
      </c>
      <c r="W352" s="1401">
        <f>U352/V352</f>
        <v/>
      </c>
      <c r="X352" s="1378" t="inlineStr">
        <is>
          <t>.</t>
        </is>
      </c>
      <c r="Y352" s="1402">
        <f/>
        <v/>
      </c>
      <c r="Z352" s="1403">
        <f/>
        <v/>
      </c>
      <c r="AA352" s="1403">
        <f/>
        <v/>
      </c>
      <c r="AB352" s="1400">
        <f t="array" ref="AB352">_xlfn.LET(_xlpm.S,_xlfn.ANCHORARRAY($Y$4),_xlpm.r,ROWS(stayCity[[#Headers],[city]]:stayCity[[#This Row],[city]])-1,IF(_xlpm.r&lt;=ROWS(_xlpm.S),INDEX(_xlpm.S,_xlpm.r,1),""))</f>
        <v/>
      </c>
      <c r="AC352" s="1405">
        <f t="array" ref="AC352">_xlfn.LET(_xlpm.S,_xlfn.ANCHORARRAY($Y$4),_xlpm.r,ROWS(stayCity[[#Headers],[city]]:stayCity[[#This Row],[city]])-1,IF(_xlpm.r&lt;=ROWS(_xlpm.S),INDEX(_xlpm.S,_xlpm.r,2),""))</f>
        <v/>
      </c>
      <c r="AD352" s="1405">
        <f t="array" ref="AD352">_xlfn.LET(_xlpm.S,_xlfn.ANCHORARRAY($Y$4),_xlpm.r,ROWS(stayCity[[#Headers],[city]]:stayCity[[#This Row],[city]])-1,IF(_xlpm.r&lt;=ROWS(_xlpm.S),INDEX(_xlpm.S,_xlpm.r,3),""))</f>
        <v/>
      </c>
      <c r="AE352" s="1400">
        <f>IF(stayCity[[#This Row],[out]]&lt;&gt;"",stayCity[[#This Row],[out]]-stayCity[[#This Row],[in]],"-")</f>
        <v/>
      </c>
      <c r="AF352" s="1406">
        <f>IF(Y352="","-",YEAR(stayCity[[#This Row],[in]]))</f>
        <v/>
      </c>
      <c r="AG352" s="1392" t="n"/>
      <c r="AH352" s="1392" t="n"/>
      <c r="AI352" s="1392" t="n"/>
      <c r="AJ352" s="1392" t="n"/>
      <c r="AK352" s="1392" t="n"/>
      <c r="AL352" s="1392" t="n"/>
      <c r="AM352" s="1392" t="n"/>
      <c r="AN352" s="1392" t="n"/>
      <c r="AO352" s="1392" t="n"/>
      <c r="AP352" s="1392" t="n"/>
      <c r="AQ352" s="1392" t="n"/>
      <c r="AR352" s="1392" t="n"/>
      <c r="AS352" s="1422" t="n"/>
      <c r="AT352" s="1392" t="n"/>
      <c r="AU352" s="1392" t="n"/>
      <c r="AV352" s="1392" t="n"/>
      <c r="AW352" s="1392" t="n"/>
      <c r="AX352" s="1392" t="n"/>
      <c r="AY352" s="1392" t="n"/>
      <c r="AZ352" s="1392" t="n"/>
      <c r="BA352" s="1392" t="n"/>
      <c r="BB352" s="1422" t="n"/>
      <c r="BC352" s="1392" t="n"/>
      <c r="BD352" s="1392" t="n"/>
      <c r="BE352" s="1392" t="n"/>
      <c r="BF352" s="1392" t="n"/>
      <c r="BG352" s="1392" t="n"/>
      <c r="BH352" s="1392" t="n"/>
      <c r="BI352" s="1392" t="n"/>
      <c r="BJ352" s="1392" t="n"/>
      <c r="BK352" s="1392" t="n"/>
      <c r="BL352" s="1392" t="n"/>
      <c r="BM352" s="1392" t="n"/>
      <c r="BN352" s="1392" t="n"/>
      <c r="BO352" s="1392" t="n"/>
      <c r="BP352" s="1398" t="inlineStr">
        <is>
          <t>.</t>
        </is>
      </c>
      <c r="BQ352" s="1400">
        <f>IF(BR352&lt;&gt;"",BQ351+1,BQ351)</f>
        <v/>
      </c>
      <c r="BR352" s="1411" t="inlineStr">
        <is>
          <t>SP</t>
        </is>
      </c>
      <c r="BS352" s="1411" t="inlineStr">
        <is>
          <t>SSA</t>
        </is>
      </c>
      <c r="BT352" s="1411" t="inlineStr">
        <is>
          <t>SP-SSA</t>
        </is>
      </c>
      <c r="BU352" s="1412" t="n">
        <v>44828</v>
      </c>
      <c r="BV352" s="1398" t="inlineStr">
        <is>
          <t>.</t>
        </is>
      </c>
      <c r="BW352" s="1392" t="n"/>
      <c r="BX352" s="1392" t="n"/>
      <c r="BY352" s="1392" t="n"/>
      <c r="BZ352" s="1416" t="n"/>
      <c r="CA352" s="1392" t="n"/>
      <c r="CB352" s="1392" t="n"/>
      <c r="CC352" s="1392" t="n"/>
      <c r="CD352" s="1392" t="n"/>
      <c r="CE352" s="1392" t="n"/>
      <c r="CF352" s="1392" t="n"/>
      <c r="CG352" s="1392" t="n"/>
      <c r="CH352" s="1392" t="n"/>
      <c r="CI352" s="1392" t="n"/>
      <c r="CJ352" s="1392" t="n"/>
      <c r="CK352" s="1392" t="n"/>
      <c r="CL352" s="1392" t="n"/>
    </row>
    <row r="353">
      <c r="A353" s="5" t="inlineStr">
        <is>
          <t>.</t>
        </is>
      </c>
      <c r="B353" s="5" t="inlineStr">
        <is>
          <t>.</t>
        </is>
      </c>
      <c r="C353" s="1378">
        <f>IF(raw[[#This Row],[city]]="","-",IF(raw[[#This Row],[city]]="TODAY","-",C352+1))</f>
        <v/>
      </c>
      <c r="D353" s="1393" t="inlineStr">
        <is>
          <t>SP</t>
        </is>
      </c>
      <c r="E353" s="1394" t="n">
        <v>34820</v>
      </c>
      <c r="F353" s="1394" t="n">
        <v>34837</v>
      </c>
      <c r="G353" s="1393" t="inlineStr">
        <is>
          <t>-</t>
        </is>
      </c>
      <c r="H353" s="1393">
        <f>H352</f>
        <v/>
      </c>
      <c r="I353" s="1393" t="inlineStr">
        <is>
          <t>-</t>
        </is>
      </c>
      <c r="J353" s="1393" t="inlineStr">
        <is>
          <t>-</t>
        </is>
      </c>
      <c r="K353" s="1395">
        <f>IF(raw[[#This Row],[city]]&lt;&gt;"",_xlfn.XLOOKUP($D353,ccc[city],ccc[prov],"-"),"-")</f>
        <v/>
      </c>
      <c r="L353" s="1395">
        <f>IF(raw[[#This Row],[city]]&lt;&gt;"",_xlfn.XLOOKUP($D353,ccc[city],ccc[ctry],"-"),"-")</f>
        <v/>
      </c>
      <c r="M353" s="1395">
        <f>IF(raw[[#This Row],[city]]&lt;&gt;"",_xlfn.XLOOKUP($D353,ccc[city],ccc[cont],"-"),"-")</f>
        <v/>
      </c>
      <c r="N353" s="1396">
        <f>IF(raw[[#This Row],[city]]="","-",IF(raw[[#This Row],[cont]]="B",raw[[#This Row],[cont]],"W"))</f>
        <v/>
      </c>
      <c r="O353" s="1397">
        <f>IF(raw[[#This Row],[out]]=0,0,IF(raw[[#This Row],[out]]=raw[[#This Row],[in]],0.01,raw[[#This Row],[out]]-raw[[#This Row],[in]]))</f>
        <v/>
      </c>
      <c r="P353" s="1397">
        <f>IF(raw[[#This Row],[in]]=0,0,MONTH(raw[[#This Row],[in]]))</f>
        <v/>
      </c>
      <c r="Q353" s="1397">
        <f>IF(raw[[#This Row],[in]]=0,0,YEAR(raw[[#This Row],[in]]))</f>
        <v/>
      </c>
      <c r="R353" s="1397">
        <f>INT(raw[[#This Row],[yr]]/10)*10</f>
        <v/>
      </c>
      <c r="S353" s="1395">
        <f>IF(raw[[#This Row],[city]]="","-",IF(raw[[#This Row],[city]]&lt;&gt;_xlfn.XLOOKUP(raw[[#This Row],[home]],homes[home],homes[city],"-"),1,0))</f>
        <v/>
      </c>
      <c r="T353" s="1398" t="inlineStr">
        <is>
          <t>.</t>
        </is>
      </c>
      <c r="U353" s="1399">
        <f>IF(raw[[#This Row],[wb]]="w",raw[[#This Row],[stay]]+U352,U352)</f>
        <v/>
      </c>
      <c r="V353" s="1400">
        <f>IF(raw[[#This Row],[out]]=0,V352,(raw[[#This Row],[out]]-E$5))</f>
        <v/>
      </c>
      <c r="W353" s="1401">
        <f>U353/V353</f>
        <v/>
      </c>
      <c r="X353" s="1378" t="inlineStr">
        <is>
          <t>.</t>
        </is>
      </c>
      <c r="Y353" s="1402">
        <f/>
        <v/>
      </c>
      <c r="Z353" s="1403">
        <f/>
        <v/>
      </c>
      <c r="AA353" s="1403">
        <f/>
        <v/>
      </c>
      <c r="AB353" s="1400">
        <f t="array" ref="AB353">_xlfn.LET(_xlpm.S,_xlfn.ANCHORARRAY($Y$4),_xlpm.r,ROWS(stayCity[[#Headers],[city]]:stayCity[[#This Row],[city]])-1,IF(_xlpm.r&lt;=ROWS(_xlpm.S),INDEX(_xlpm.S,_xlpm.r,1),""))</f>
        <v/>
      </c>
      <c r="AC353" s="1405">
        <f t="array" ref="AC353">_xlfn.LET(_xlpm.S,_xlfn.ANCHORARRAY($Y$4),_xlpm.r,ROWS(stayCity[[#Headers],[city]]:stayCity[[#This Row],[city]])-1,IF(_xlpm.r&lt;=ROWS(_xlpm.S),INDEX(_xlpm.S,_xlpm.r,2),""))</f>
        <v/>
      </c>
      <c r="AD353" s="1405">
        <f t="array" ref="AD353">_xlfn.LET(_xlpm.S,_xlfn.ANCHORARRAY($Y$4),_xlpm.r,ROWS(stayCity[[#Headers],[city]]:stayCity[[#This Row],[city]])-1,IF(_xlpm.r&lt;=ROWS(_xlpm.S),INDEX(_xlpm.S,_xlpm.r,3),""))</f>
        <v/>
      </c>
      <c r="AE353" s="1400">
        <f>IF(stayCity[[#This Row],[out]]&lt;&gt;"",stayCity[[#This Row],[out]]-stayCity[[#This Row],[in]],"-")</f>
        <v/>
      </c>
      <c r="AF353" s="1406">
        <f>IF(Y353="","-",YEAR(stayCity[[#This Row],[in]]))</f>
        <v/>
      </c>
      <c r="AG353" s="1392" t="n"/>
      <c r="AH353" s="1392" t="n"/>
      <c r="AI353" s="1392" t="n"/>
      <c r="AJ353" s="1392" t="n"/>
      <c r="AK353" s="1392" t="n"/>
      <c r="AL353" s="1392" t="n"/>
      <c r="AM353" s="1392" t="n"/>
      <c r="AN353" s="1392" t="n"/>
      <c r="AO353" s="1392" t="n"/>
      <c r="AP353" s="1392" t="n"/>
      <c r="AQ353" s="1392" t="n"/>
      <c r="AR353" s="1392" t="n"/>
      <c r="AS353" s="1422" t="n"/>
      <c r="AT353" s="1392" t="n"/>
      <c r="AU353" s="1392" t="n"/>
      <c r="AV353" s="1392" t="n"/>
      <c r="AW353" s="1392" t="n"/>
      <c r="AX353" s="1392" t="n"/>
      <c r="AY353" s="1392" t="n"/>
      <c r="AZ353" s="1392" t="n"/>
      <c r="BA353" s="1392" t="n"/>
      <c r="BB353" s="1422" t="n"/>
      <c r="BC353" s="1392" t="n"/>
      <c r="BD353" s="1392" t="n"/>
      <c r="BE353" s="1392" t="n"/>
      <c r="BF353" s="1392" t="n"/>
      <c r="BG353" s="1392" t="n"/>
      <c r="BH353" s="1392" t="n"/>
      <c r="BI353" s="1392" t="n"/>
      <c r="BJ353" s="1392" t="n"/>
      <c r="BK353" s="1392" t="n"/>
      <c r="BL353" s="1392" t="n"/>
      <c r="BM353" s="1392" t="n"/>
      <c r="BN353" s="1392" t="n"/>
      <c r="BO353" s="1392" t="n"/>
      <c r="BP353" s="1398" t="inlineStr">
        <is>
          <t>.</t>
        </is>
      </c>
      <c r="BQ353" s="1400">
        <f>IF(BR353&lt;&gt;"",BQ352+1,BQ352)</f>
        <v/>
      </c>
      <c r="BR353" s="1411" t="inlineStr">
        <is>
          <t>Rio</t>
        </is>
      </c>
      <c r="BS353" s="1411" t="inlineStr">
        <is>
          <t>SSA</t>
        </is>
      </c>
      <c r="BT353" s="1411" t="inlineStr">
        <is>
          <t>Rio-SSA</t>
        </is>
      </c>
      <c r="BU353" s="1412" t="n">
        <v>44836</v>
      </c>
      <c r="BV353" s="1398" t="inlineStr">
        <is>
          <t>.</t>
        </is>
      </c>
      <c r="BW353" s="1392" t="n"/>
      <c r="BX353" s="1392" t="n"/>
      <c r="BY353" s="1392" t="n"/>
      <c r="BZ353" s="1416" t="n"/>
      <c r="CA353" s="1392" t="n"/>
      <c r="CB353" s="1392" t="n"/>
      <c r="CC353" s="1392" t="n"/>
      <c r="CD353" s="1392" t="n"/>
      <c r="CE353" s="1392" t="n"/>
      <c r="CF353" s="1392" t="n"/>
      <c r="CG353" s="1392" t="n"/>
      <c r="CH353" s="1392" t="n"/>
      <c r="CI353" s="1392" t="n"/>
      <c r="CJ353" s="1392" t="n"/>
      <c r="CK353" s="1392" t="n"/>
      <c r="CL353" s="1392" t="n"/>
    </row>
    <row r="354">
      <c r="A354" s="5" t="inlineStr">
        <is>
          <t>.</t>
        </is>
      </c>
      <c r="B354" s="5" t="inlineStr">
        <is>
          <t>.</t>
        </is>
      </c>
      <c r="C354" s="1378">
        <f>IF(raw[[#This Row],[city]]="","-",IF(raw[[#This Row],[city]]="TODAY","-",C353+1))</f>
        <v/>
      </c>
      <c r="D354" s="1393" t="inlineStr">
        <is>
          <t>Campinas</t>
        </is>
      </c>
      <c r="E354" s="1394" t="n">
        <v>34837</v>
      </c>
      <c r="F354" s="1394" t="n">
        <v>34838</v>
      </c>
      <c r="G354" s="1393" t="inlineStr">
        <is>
          <t>-</t>
        </is>
      </c>
      <c r="H354" s="1393">
        <f>H353</f>
        <v/>
      </c>
      <c r="I354" s="1393" t="inlineStr">
        <is>
          <t>-</t>
        </is>
      </c>
      <c r="J354" s="1393" t="inlineStr">
        <is>
          <t>-</t>
        </is>
      </c>
      <c r="K354" s="1395">
        <f>IF(raw[[#This Row],[city]]&lt;&gt;"",_xlfn.XLOOKUP($D354,ccc[city],ccc[prov],"-"),"-")</f>
        <v/>
      </c>
      <c r="L354" s="1395">
        <f>IF(raw[[#This Row],[city]]&lt;&gt;"",_xlfn.XLOOKUP($D354,ccc[city],ccc[ctry],"-"),"-")</f>
        <v/>
      </c>
      <c r="M354" s="1395">
        <f>IF(raw[[#This Row],[city]]&lt;&gt;"",_xlfn.XLOOKUP($D354,ccc[city],ccc[cont],"-"),"-")</f>
        <v/>
      </c>
      <c r="N354" s="1396">
        <f>IF(raw[[#This Row],[city]]="","-",IF(raw[[#This Row],[cont]]="B",raw[[#This Row],[cont]],"W"))</f>
        <v/>
      </c>
      <c r="O354" s="1397">
        <f>IF(raw[[#This Row],[out]]=0,0,IF(raw[[#This Row],[out]]=raw[[#This Row],[in]],0.01,raw[[#This Row],[out]]-raw[[#This Row],[in]]))</f>
        <v/>
      </c>
      <c r="P354" s="1397">
        <f>IF(raw[[#This Row],[in]]=0,0,MONTH(raw[[#This Row],[in]]))</f>
        <v/>
      </c>
      <c r="Q354" s="1397">
        <f>IF(raw[[#This Row],[in]]=0,0,YEAR(raw[[#This Row],[in]]))</f>
        <v/>
      </c>
      <c r="R354" s="1397">
        <f>INT(raw[[#This Row],[yr]]/10)*10</f>
        <v/>
      </c>
      <c r="S354" s="1395">
        <f>IF(raw[[#This Row],[city]]="","-",IF(raw[[#This Row],[city]]&lt;&gt;_xlfn.XLOOKUP(raw[[#This Row],[home]],homes[home],homes[city],"-"),1,0))</f>
        <v/>
      </c>
      <c r="T354" s="1398" t="inlineStr">
        <is>
          <t>.</t>
        </is>
      </c>
      <c r="U354" s="1399">
        <f>IF(raw[[#This Row],[wb]]="w",raw[[#This Row],[stay]]+U353,U353)</f>
        <v/>
      </c>
      <c r="V354" s="1400">
        <f>IF(raw[[#This Row],[out]]=0,V353,(raw[[#This Row],[out]]-E$5))</f>
        <v/>
      </c>
      <c r="W354" s="1401">
        <f>U354/V354</f>
        <v/>
      </c>
      <c r="X354" s="1378" t="inlineStr">
        <is>
          <t>.</t>
        </is>
      </c>
      <c r="Y354" s="1402">
        <f/>
        <v/>
      </c>
      <c r="Z354" s="1403">
        <f/>
        <v/>
      </c>
      <c r="AA354" s="1403">
        <f/>
        <v/>
      </c>
      <c r="AB354" s="1400">
        <f t="array" ref="AB354">_xlfn.LET(_xlpm.S,_xlfn.ANCHORARRAY($Y$4),_xlpm.r,ROWS(stayCity[[#Headers],[city]]:stayCity[[#This Row],[city]])-1,IF(_xlpm.r&lt;=ROWS(_xlpm.S),INDEX(_xlpm.S,_xlpm.r,1),""))</f>
        <v/>
      </c>
      <c r="AC354" s="1405">
        <f t="array" ref="AC354">_xlfn.LET(_xlpm.S,_xlfn.ANCHORARRAY($Y$4),_xlpm.r,ROWS(stayCity[[#Headers],[city]]:stayCity[[#This Row],[city]])-1,IF(_xlpm.r&lt;=ROWS(_xlpm.S),INDEX(_xlpm.S,_xlpm.r,2),""))</f>
        <v/>
      </c>
      <c r="AD354" s="1405">
        <f t="array" ref="AD354">_xlfn.LET(_xlpm.S,_xlfn.ANCHORARRAY($Y$4),_xlpm.r,ROWS(stayCity[[#Headers],[city]]:stayCity[[#This Row],[city]])-1,IF(_xlpm.r&lt;=ROWS(_xlpm.S),INDEX(_xlpm.S,_xlpm.r,3),""))</f>
        <v/>
      </c>
      <c r="AE354" s="1400">
        <f>IF(stayCity[[#This Row],[out]]&lt;&gt;"",stayCity[[#This Row],[out]]-stayCity[[#This Row],[in]],"-")</f>
        <v/>
      </c>
      <c r="AF354" s="1406">
        <f>IF(Y354="","-",YEAR(stayCity[[#This Row],[in]]))</f>
        <v/>
      </c>
      <c r="AG354" s="1392" t="n"/>
      <c r="AH354" s="1392" t="n"/>
      <c r="AI354" s="1392" t="n"/>
      <c r="AJ354" s="1392" t="n"/>
      <c r="AK354" s="1392" t="n"/>
      <c r="AL354" s="1392" t="n"/>
      <c r="AM354" s="1392" t="n"/>
      <c r="AN354" s="1392" t="n"/>
      <c r="AO354" s="1392" t="n"/>
      <c r="AP354" s="1392" t="n"/>
      <c r="AQ354" s="1392" t="n"/>
      <c r="AR354" s="1392" t="n"/>
      <c r="AS354" s="1422" t="n"/>
      <c r="AT354" s="1392" t="n"/>
      <c r="AU354" s="1392" t="n"/>
      <c r="AV354" s="1392" t="n"/>
      <c r="AW354" s="1392" t="n"/>
      <c r="AX354" s="1392" t="n"/>
      <c r="AY354" s="1392" t="n"/>
      <c r="AZ354" s="1392" t="n"/>
      <c r="BA354" s="1392" t="n"/>
      <c r="BB354" s="1422" t="n"/>
      <c r="BC354" s="1392" t="n"/>
      <c r="BD354" s="1392" t="n"/>
      <c r="BE354" s="1392" t="n"/>
      <c r="BF354" s="1392" t="n"/>
      <c r="BG354" s="1392" t="n"/>
      <c r="BH354" s="1392" t="n"/>
      <c r="BI354" s="1392" t="n"/>
      <c r="BJ354" s="1392" t="n"/>
      <c r="BK354" s="1392" t="n"/>
      <c r="BL354" s="1392" t="n"/>
      <c r="BM354" s="1392" t="n"/>
      <c r="BN354" s="1392" t="n"/>
      <c r="BO354" s="1392" t="n"/>
      <c r="BP354" s="1398" t="inlineStr">
        <is>
          <t>.</t>
        </is>
      </c>
      <c r="BQ354" s="1400">
        <f>IF(BR354&lt;&gt;"",BQ353+1,BQ353)</f>
        <v/>
      </c>
      <c r="BR354" s="1411" t="inlineStr">
        <is>
          <t>SSA</t>
        </is>
      </c>
      <c r="BS354" s="1411" t="inlineStr">
        <is>
          <t>SP</t>
        </is>
      </c>
      <c r="BT354" s="1411" t="inlineStr">
        <is>
          <t>SSA-SP</t>
        </is>
      </c>
      <c r="BU354" s="1412" t="n">
        <v>44844</v>
      </c>
      <c r="BV354" s="1398" t="inlineStr">
        <is>
          <t>.</t>
        </is>
      </c>
      <c r="BW354" s="1392" t="n"/>
      <c r="BX354" s="1392" t="n"/>
      <c r="BY354" s="1392" t="n"/>
      <c r="BZ354" s="1416" t="n"/>
      <c r="CA354" s="1392" t="n"/>
      <c r="CB354" s="1392" t="n"/>
      <c r="CC354" s="1392" t="n"/>
      <c r="CD354" s="1392" t="n"/>
      <c r="CE354" s="1392" t="n"/>
      <c r="CF354" s="1392" t="n"/>
      <c r="CG354" s="1392" t="n"/>
      <c r="CH354" s="1392" t="n"/>
      <c r="CI354" s="1392" t="n"/>
      <c r="CJ354" s="1392" t="n"/>
      <c r="CK354" s="1392" t="n"/>
      <c r="CL354" s="1392" t="n"/>
    </row>
    <row r="355">
      <c r="A355" s="5" t="inlineStr">
        <is>
          <t>.</t>
        </is>
      </c>
      <c r="B355" s="5" t="inlineStr">
        <is>
          <t>.</t>
        </is>
      </c>
      <c r="C355" s="1378">
        <f>IF(raw[[#This Row],[city]]="","-",IF(raw[[#This Row],[city]]="TODAY","-",C354+1))</f>
        <v/>
      </c>
      <c r="D355" s="1393" t="inlineStr">
        <is>
          <t>SP</t>
        </is>
      </c>
      <c r="E355" s="1394" t="n">
        <v>34838</v>
      </c>
      <c r="F355" s="1394" t="n">
        <v>34851</v>
      </c>
      <c r="G355" s="1393" t="inlineStr">
        <is>
          <t>-</t>
        </is>
      </c>
      <c r="H355" s="1393">
        <f>H354</f>
        <v/>
      </c>
      <c r="I355" s="1393" t="inlineStr">
        <is>
          <t>-</t>
        </is>
      </c>
      <c r="J355" s="1393" t="inlineStr">
        <is>
          <t>-</t>
        </is>
      </c>
      <c r="K355" s="1395">
        <f>IF(raw[[#This Row],[city]]&lt;&gt;"",_xlfn.XLOOKUP($D355,ccc[city],ccc[prov],"-"),"-")</f>
        <v/>
      </c>
      <c r="L355" s="1395">
        <f>IF(raw[[#This Row],[city]]&lt;&gt;"",_xlfn.XLOOKUP($D355,ccc[city],ccc[ctry],"-"),"-")</f>
        <v/>
      </c>
      <c r="M355" s="1395">
        <f>IF(raw[[#This Row],[city]]&lt;&gt;"",_xlfn.XLOOKUP($D355,ccc[city],ccc[cont],"-"),"-")</f>
        <v/>
      </c>
      <c r="N355" s="1396">
        <f>IF(raw[[#This Row],[city]]="","-",IF(raw[[#This Row],[cont]]="B",raw[[#This Row],[cont]],"W"))</f>
        <v/>
      </c>
      <c r="O355" s="1397">
        <f>IF(raw[[#This Row],[out]]=0,0,IF(raw[[#This Row],[out]]=raw[[#This Row],[in]],0.01,raw[[#This Row],[out]]-raw[[#This Row],[in]]))</f>
        <v/>
      </c>
      <c r="P355" s="1397">
        <f>IF(raw[[#This Row],[in]]=0,0,MONTH(raw[[#This Row],[in]]))</f>
        <v/>
      </c>
      <c r="Q355" s="1397">
        <f>IF(raw[[#This Row],[in]]=0,0,YEAR(raw[[#This Row],[in]]))</f>
        <v/>
      </c>
      <c r="R355" s="1397">
        <f>INT(raw[[#This Row],[yr]]/10)*10</f>
        <v/>
      </c>
      <c r="S355" s="1395">
        <f>IF(raw[[#This Row],[city]]="","-",IF(raw[[#This Row],[city]]&lt;&gt;_xlfn.XLOOKUP(raw[[#This Row],[home]],homes[home],homes[city],"-"),1,0))</f>
        <v/>
      </c>
      <c r="T355" s="1398" t="inlineStr">
        <is>
          <t>.</t>
        </is>
      </c>
      <c r="U355" s="1399">
        <f>IF(raw[[#This Row],[wb]]="w",raw[[#This Row],[stay]]+U354,U354)</f>
        <v/>
      </c>
      <c r="V355" s="1400">
        <f>IF(raw[[#This Row],[out]]=0,V354,(raw[[#This Row],[out]]-E$5))</f>
        <v/>
      </c>
      <c r="W355" s="1401">
        <f>U355/V355</f>
        <v/>
      </c>
      <c r="X355" s="1378" t="inlineStr">
        <is>
          <t>.</t>
        </is>
      </c>
      <c r="Y355" s="1402">
        <f/>
        <v/>
      </c>
      <c r="Z355" s="1403">
        <f/>
        <v/>
      </c>
      <c r="AA355" s="1403">
        <f/>
        <v/>
      </c>
      <c r="AB355" s="1400">
        <f t="array" ref="AB355">_xlfn.LET(_xlpm.S,_xlfn.ANCHORARRAY($Y$4),_xlpm.r,ROWS(stayCity[[#Headers],[city]]:stayCity[[#This Row],[city]])-1,IF(_xlpm.r&lt;=ROWS(_xlpm.S),INDEX(_xlpm.S,_xlpm.r,1),""))</f>
        <v/>
      </c>
      <c r="AC355" s="1405">
        <f t="array" ref="AC355">_xlfn.LET(_xlpm.S,_xlfn.ANCHORARRAY($Y$4),_xlpm.r,ROWS(stayCity[[#Headers],[city]]:stayCity[[#This Row],[city]])-1,IF(_xlpm.r&lt;=ROWS(_xlpm.S),INDEX(_xlpm.S,_xlpm.r,2),""))</f>
        <v/>
      </c>
      <c r="AD355" s="1405">
        <f t="array" ref="AD355">_xlfn.LET(_xlpm.S,_xlfn.ANCHORARRAY($Y$4),_xlpm.r,ROWS(stayCity[[#Headers],[city]]:stayCity[[#This Row],[city]])-1,IF(_xlpm.r&lt;=ROWS(_xlpm.S),INDEX(_xlpm.S,_xlpm.r,3),""))</f>
        <v/>
      </c>
      <c r="AE355" s="1400">
        <f>IF(stayCity[[#This Row],[out]]&lt;&gt;"",stayCity[[#This Row],[out]]-stayCity[[#This Row],[in]],"-")</f>
        <v/>
      </c>
      <c r="AF355" s="1406">
        <f>IF(Y355="","-",YEAR(stayCity[[#This Row],[in]]))</f>
        <v/>
      </c>
      <c r="AG355" s="1392" t="n"/>
      <c r="AH355" s="1392" t="n"/>
      <c r="AI355" s="1392" t="n"/>
      <c r="AJ355" s="1392" t="n"/>
      <c r="AK355" s="1392" t="n"/>
      <c r="AL355" s="1392" t="n"/>
      <c r="AM355" s="1392" t="n"/>
      <c r="AN355" s="1392" t="n"/>
      <c r="AO355" s="1392" t="n"/>
      <c r="AP355" s="1392" t="n"/>
      <c r="AQ355" s="1392" t="n"/>
      <c r="AR355" s="1392" t="n"/>
      <c r="AS355" s="1422" t="n"/>
      <c r="AT355" s="1392" t="n"/>
      <c r="AU355" s="1392" t="n"/>
      <c r="AV355" s="1392" t="n"/>
      <c r="AW355" s="1392" t="n"/>
      <c r="AX355" s="1392" t="n"/>
      <c r="AY355" s="1392" t="n"/>
      <c r="AZ355" s="1392" t="n"/>
      <c r="BA355" s="1392" t="n"/>
      <c r="BB355" s="1422" t="n"/>
      <c r="BC355" s="1392" t="n"/>
      <c r="BD355" s="1392" t="n"/>
      <c r="BE355" s="1392" t="n"/>
      <c r="BF355" s="1392" t="n"/>
      <c r="BG355" s="1392" t="n"/>
      <c r="BH355" s="1392" t="n"/>
      <c r="BI355" s="1392" t="n"/>
      <c r="BJ355" s="1392" t="n"/>
      <c r="BK355" s="1392" t="n"/>
      <c r="BL355" s="1392" t="n"/>
      <c r="BM355" s="1392" t="n"/>
      <c r="BN355" s="1392" t="n"/>
      <c r="BO355" s="1392" t="n"/>
      <c r="BP355" s="1398" t="inlineStr">
        <is>
          <t>.</t>
        </is>
      </c>
      <c r="BQ355" s="1400">
        <f>IF(BR355&lt;&gt;"",BQ354+1,BQ354)</f>
        <v/>
      </c>
      <c r="BR355" s="1411" t="inlineStr">
        <is>
          <t>SP</t>
        </is>
      </c>
      <c r="BS355" s="1411" t="inlineStr">
        <is>
          <t>Montreal</t>
        </is>
      </c>
      <c r="BT355" s="1411" t="inlineStr">
        <is>
          <t>SP-Montreal</t>
        </is>
      </c>
      <c r="BU355" s="1412" t="n">
        <v>44844</v>
      </c>
      <c r="BV355" s="1398" t="inlineStr">
        <is>
          <t>.</t>
        </is>
      </c>
      <c r="BW355" s="1392" t="n"/>
      <c r="BX355" s="1392" t="n"/>
      <c r="BY355" s="1392" t="n"/>
      <c r="BZ355" s="1416" t="n"/>
      <c r="CA355" s="1392" t="n"/>
      <c r="CB355" s="1392" t="n"/>
      <c r="CC355" s="1392" t="n"/>
      <c r="CD355" s="1392" t="n"/>
      <c r="CE355" s="1392" t="n"/>
      <c r="CF355" s="1392" t="n"/>
      <c r="CG355" s="1392" t="n"/>
      <c r="CH355" s="1392" t="n"/>
      <c r="CI355" s="1392" t="n"/>
      <c r="CJ355" s="1392" t="n"/>
      <c r="CK355" s="1392" t="n"/>
      <c r="CL355" s="1392" t="n"/>
    </row>
    <row r="356">
      <c r="A356" s="5" t="inlineStr">
        <is>
          <t>.</t>
        </is>
      </c>
      <c r="B356" s="5" t="inlineStr">
        <is>
          <t>.</t>
        </is>
      </c>
      <c r="C356" s="1378">
        <f>IF(raw[[#This Row],[city]]="","-",IF(raw[[#This Row],[city]]="TODAY","-",C355+1))</f>
        <v/>
      </c>
      <c r="D356" s="1393" t="inlineStr">
        <is>
          <t>SP</t>
        </is>
      </c>
      <c r="E356" s="1394" t="n">
        <v>34851</v>
      </c>
      <c r="F356" s="1394" t="n">
        <v>34872</v>
      </c>
      <c r="G356" s="1393" t="n">
        <v>1</v>
      </c>
      <c r="H356" s="1393">
        <f>H355</f>
        <v/>
      </c>
      <c r="I356" s="1393" t="inlineStr">
        <is>
          <t>-</t>
        </is>
      </c>
      <c r="J356" s="1393" t="inlineStr">
        <is>
          <t>-</t>
        </is>
      </c>
      <c r="K356" s="1395">
        <f>IF(raw[[#This Row],[city]]&lt;&gt;"",_xlfn.XLOOKUP($D356,ccc[city],ccc[prov],"-"),"-")</f>
        <v/>
      </c>
      <c r="L356" s="1395">
        <f>IF(raw[[#This Row],[city]]&lt;&gt;"",_xlfn.XLOOKUP($D356,ccc[city],ccc[ctry],"-"),"-")</f>
        <v/>
      </c>
      <c r="M356" s="1395">
        <f>IF(raw[[#This Row],[city]]&lt;&gt;"",_xlfn.XLOOKUP($D356,ccc[city],ccc[cont],"-"),"-")</f>
        <v/>
      </c>
      <c r="N356" s="1396">
        <f>IF(raw[[#This Row],[city]]="","-",IF(raw[[#This Row],[cont]]="B",raw[[#This Row],[cont]],"W"))</f>
        <v/>
      </c>
      <c r="O356" s="1397">
        <f>IF(raw[[#This Row],[out]]=0,0,IF(raw[[#This Row],[out]]=raw[[#This Row],[in]],0.01,raw[[#This Row],[out]]-raw[[#This Row],[in]]))</f>
        <v/>
      </c>
      <c r="P356" s="1397">
        <f>IF(raw[[#This Row],[in]]=0,0,MONTH(raw[[#This Row],[in]]))</f>
        <v/>
      </c>
      <c r="Q356" s="1397">
        <f>IF(raw[[#This Row],[in]]=0,0,YEAR(raw[[#This Row],[in]]))</f>
        <v/>
      </c>
      <c r="R356" s="1397">
        <f>INT(raw[[#This Row],[yr]]/10)*10</f>
        <v/>
      </c>
      <c r="S356" s="1395">
        <f>IF(raw[[#This Row],[city]]="","-",IF(raw[[#This Row],[city]]&lt;&gt;_xlfn.XLOOKUP(raw[[#This Row],[home]],homes[home],homes[city],"-"),1,0))</f>
        <v/>
      </c>
      <c r="T356" s="1398" t="inlineStr">
        <is>
          <t>.</t>
        </is>
      </c>
      <c r="U356" s="1399">
        <f>IF(raw[[#This Row],[wb]]="w",raw[[#This Row],[stay]]+U355,U355)</f>
        <v/>
      </c>
      <c r="V356" s="1400">
        <f>IF(raw[[#This Row],[out]]=0,V355,(raw[[#This Row],[out]]-E$5))</f>
        <v/>
      </c>
      <c r="W356" s="1401">
        <f>U356/V356</f>
        <v/>
      </c>
      <c r="X356" s="1378" t="inlineStr">
        <is>
          <t>.</t>
        </is>
      </c>
      <c r="Y356" s="1402">
        <f/>
        <v/>
      </c>
      <c r="Z356" s="1403">
        <f/>
        <v/>
      </c>
      <c r="AA356" s="1403">
        <f/>
        <v/>
      </c>
      <c r="AB356" s="1400">
        <f t="array" ref="AB356">_xlfn.LET(_xlpm.S,_xlfn.ANCHORARRAY($Y$4),_xlpm.r,ROWS(stayCity[[#Headers],[city]]:stayCity[[#This Row],[city]])-1,IF(_xlpm.r&lt;=ROWS(_xlpm.S),INDEX(_xlpm.S,_xlpm.r,1),""))</f>
        <v/>
      </c>
      <c r="AC356" s="1405">
        <f t="array" ref="AC356">_xlfn.LET(_xlpm.S,_xlfn.ANCHORARRAY($Y$4),_xlpm.r,ROWS(stayCity[[#Headers],[city]]:stayCity[[#This Row],[city]])-1,IF(_xlpm.r&lt;=ROWS(_xlpm.S),INDEX(_xlpm.S,_xlpm.r,2),""))</f>
        <v/>
      </c>
      <c r="AD356" s="1405">
        <f t="array" ref="AD356">_xlfn.LET(_xlpm.S,_xlfn.ANCHORARRAY($Y$4),_xlpm.r,ROWS(stayCity[[#Headers],[city]]:stayCity[[#This Row],[city]])-1,IF(_xlpm.r&lt;=ROWS(_xlpm.S),INDEX(_xlpm.S,_xlpm.r,3),""))</f>
        <v/>
      </c>
      <c r="AE356" s="1400">
        <f>IF(stayCity[[#This Row],[out]]&lt;&gt;"",stayCity[[#This Row],[out]]-stayCity[[#This Row],[in]],"-")</f>
        <v/>
      </c>
      <c r="AF356" s="1406">
        <f>IF(Y356="","-",YEAR(stayCity[[#This Row],[in]]))</f>
        <v/>
      </c>
      <c r="AG356" s="1392" t="n"/>
      <c r="AH356" s="1392" t="n"/>
      <c r="AI356" s="1392" t="n"/>
      <c r="AJ356" s="1392" t="n"/>
      <c r="AK356" s="1392" t="n"/>
      <c r="AL356" s="1392" t="n"/>
      <c r="AM356" s="1392" t="n"/>
      <c r="AN356" s="1392" t="n"/>
      <c r="AO356" s="1392" t="n"/>
      <c r="AP356" s="1392" t="n"/>
      <c r="AQ356" s="1392" t="n"/>
      <c r="AR356" s="1392" t="n"/>
      <c r="AS356" s="1422" t="n"/>
      <c r="AT356" s="1392" t="n"/>
      <c r="AU356" s="1392" t="n"/>
      <c r="AV356" s="1392" t="n"/>
      <c r="AW356" s="1392" t="n"/>
      <c r="AX356" s="1392" t="n"/>
      <c r="AY356" s="1392" t="n"/>
      <c r="AZ356" s="1392" t="n"/>
      <c r="BA356" s="1392" t="n"/>
      <c r="BB356" s="1422" t="n"/>
      <c r="BC356" s="1392" t="n"/>
      <c r="BD356" s="1392" t="n"/>
      <c r="BE356" s="1392" t="n"/>
      <c r="BF356" s="1392" t="n"/>
      <c r="BG356" s="1392" t="n"/>
      <c r="BH356" s="1392" t="n"/>
      <c r="BI356" s="1392" t="n"/>
      <c r="BJ356" s="1392" t="n"/>
      <c r="BK356" s="1392" t="n"/>
      <c r="BL356" s="1392" t="n"/>
      <c r="BM356" s="1392" t="n"/>
      <c r="BN356" s="1392" t="n"/>
      <c r="BO356" s="1392" t="n"/>
      <c r="BP356" s="1398" t="inlineStr">
        <is>
          <t>.</t>
        </is>
      </c>
      <c r="BQ356" s="1400">
        <f>IF(BR356&lt;&gt;"",BQ355+1,BQ355)</f>
        <v/>
      </c>
      <c r="BR356" s="1411" t="inlineStr">
        <is>
          <t>Montreal</t>
        </is>
      </c>
      <c r="BS356" s="1411" t="inlineStr">
        <is>
          <t>Philadelphia</t>
        </is>
      </c>
      <c r="BT356" s="1411" t="inlineStr">
        <is>
          <t>Montreal-Philadelphia</t>
        </is>
      </c>
      <c r="BU356" s="1412" t="n">
        <v>45038</v>
      </c>
      <c r="BV356" s="1398" t="inlineStr">
        <is>
          <t>.</t>
        </is>
      </c>
      <c r="BW356" s="1392" t="n"/>
      <c r="BX356" s="1392" t="n"/>
      <c r="BY356" s="1392" t="n"/>
      <c r="BZ356" s="1416" t="n"/>
      <c r="CA356" s="1392" t="n"/>
      <c r="CB356" s="1392" t="n"/>
      <c r="CC356" s="1392" t="n"/>
      <c r="CD356" s="1392" t="n"/>
      <c r="CE356" s="1392" t="n"/>
      <c r="CF356" s="1392" t="n"/>
      <c r="CG356" s="1392" t="n"/>
      <c r="CH356" s="1392" t="n"/>
      <c r="CI356" s="1392" t="n"/>
      <c r="CJ356" s="1392" t="n"/>
      <c r="CK356" s="1392" t="n"/>
      <c r="CL356" s="1392" t="n"/>
    </row>
    <row r="357">
      <c r="A357" s="5" t="inlineStr">
        <is>
          <t>.</t>
        </is>
      </c>
      <c r="B357" s="5" t="inlineStr">
        <is>
          <t>.</t>
        </is>
      </c>
      <c r="C357" s="1378">
        <f>IF(raw[[#This Row],[city]]="","-",IF(raw[[#This Row],[city]]="TODAY","-",C356+1))</f>
        <v/>
      </c>
      <c r="D357" s="1393" t="inlineStr">
        <is>
          <t>SSA</t>
        </is>
      </c>
      <c r="E357" s="1394" t="n">
        <v>34872</v>
      </c>
      <c r="F357" s="1394" t="n">
        <v>34873</v>
      </c>
      <c r="G357" s="1393" t="inlineStr">
        <is>
          <t>-</t>
        </is>
      </c>
      <c r="H357" s="1393">
        <f>H356</f>
        <v/>
      </c>
      <c r="I357" s="1393" t="inlineStr">
        <is>
          <t>Ondina</t>
        </is>
      </c>
      <c r="J357" s="1393" t="inlineStr">
        <is>
          <t>-</t>
        </is>
      </c>
      <c r="K357" s="1395">
        <f>IF(raw[[#This Row],[city]]&lt;&gt;"",_xlfn.XLOOKUP($D357,ccc[city],ccc[prov],"-"),"-")</f>
        <v/>
      </c>
      <c r="L357" s="1395">
        <f>IF(raw[[#This Row],[city]]&lt;&gt;"",_xlfn.XLOOKUP($D357,ccc[city],ccc[ctry],"-"),"-")</f>
        <v/>
      </c>
      <c r="M357" s="1395">
        <f>IF(raw[[#This Row],[city]]&lt;&gt;"",_xlfn.XLOOKUP($D357,ccc[city],ccc[cont],"-"),"-")</f>
        <v/>
      </c>
      <c r="N357" s="1396">
        <f>IF(raw[[#This Row],[city]]="","-",IF(raw[[#This Row],[cont]]="B",raw[[#This Row],[cont]],"W"))</f>
        <v/>
      </c>
      <c r="O357" s="1397">
        <f>IF(raw[[#This Row],[out]]=0,0,IF(raw[[#This Row],[out]]=raw[[#This Row],[in]],0.01,raw[[#This Row],[out]]-raw[[#This Row],[in]]))</f>
        <v/>
      </c>
      <c r="P357" s="1397">
        <f>IF(raw[[#This Row],[in]]=0,0,MONTH(raw[[#This Row],[in]]))</f>
        <v/>
      </c>
      <c r="Q357" s="1397">
        <f>IF(raw[[#This Row],[in]]=0,0,YEAR(raw[[#This Row],[in]]))</f>
        <v/>
      </c>
      <c r="R357" s="1397">
        <f>INT(raw[[#This Row],[yr]]/10)*10</f>
        <v/>
      </c>
      <c r="S357" s="1395">
        <f>IF(raw[[#This Row],[city]]="","-",IF(raw[[#This Row],[city]]&lt;&gt;_xlfn.XLOOKUP(raw[[#This Row],[home]],homes[home],homes[city],"-"),1,0))</f>
        <v/>
      </c>
      <c r="T357" s="1398" t="inlineStr">
        <is>
          <t>.</t>
        </is>
      </c>
      <c r="U357" s="1399">
        <f>IF(raw[[#This Row],[wb]]="w",raw[[#This Row],[stay]]+U356,U356)</f>
        <v/>
      </c>
      <c r="V357" s="1400">
        <f>IF(raw[[#This Row],[out]]=0,V356,(raw[[#This Row],[out]]-E$5))</f>
        <v/>
      </c>
      <c r="W357" s="1401">
        <f>U357/V357</f>
        <v/>
      </c>
      <c r="X357" s="1378" t="inlineStr">
        <is>
          <t>.</t>
        </is>
      </c>
      <c r="Y357" s="1402">
        <f/>
        <v/>
      </c>
      <c r="Z357" s="1403">
        <f/>
        <v/>
      </c>
      <c r="AA357" s="1403">
        <f/>
        <v/>
      </c>
      <c r="AB357" s="1400">
        <f t="array" ref="AB357">_xlfn.LET(_xlpm.S,_xlfn.ANCHORARRAY($Y$4),_xlpm.r,ROWS(stayCity[[#Headers],[city]]:stayCity[[#This Row],[city]])-1,IF(_xlpm.r&lt;=ROWS(_xlpm.S),INDEX(_xlpm.S,_xlpm.r,1),""))</f>
        <v/>
      </c>
      <c r="AC357" s="1405">
        <f t="array" ref="AC357">_xlfn.LET(_xlpm.S,_xlfn.ANCHORARRAY($Y$4),_xlpm.r,ROWS(stayCity[[#Headers],[city]]:stayCity[[#This Row],[city]])-1,IF(_xlpm.r&lt;=ROWS(_xlpm.S),INDEX(_xlpm.S,_xlpm.r,2),""))</f>
        <v/>
      </c>
      <c r="AD357" s="1405">
        <f t="array" ref="AD357">_xlfn.LET(_xlpm.S,_xlfn.ANCHORARRAY($Y$4),_xlpm.r,ROWS(stayCity[[#Headers],[city]]:stayCity[[#This Row],[city]])-1,IF(_xlpm.r&lt;=ROWS(_xlpm.S),INDEX(_xlpm.S,_xlpm.r,3),""))</f>
        <v/>
      </c>
      <c r="AE357" s="1400">
        <f>IF(stayCity[[#This Row],[out]]&lt;&gt;"",stayCity[[#This Row],[out]]-stayCity[[#This Row],[in]],"-")</f>
        <v/>
      </c>
      <c r="AF357" s="1406">
        <f>IF(Y357="","-",YEAR(stayCity[[#This Row],[in]]))</f>
        <v/>
      </c>
      <c r="AG357" s="1392" t="n"/>
      <c r="AH357" s="1392" t="n"/>
      <c r="AI357" s="1392" t="n"/>
      <c r="AJ357" s="1392" t="n"/>
      <c r="AK357" s="1392" t="n"/>
      <c r="AL357" s="1392" t="n"/>
      <c r="AM357" s="1392" t="n"/>
      <c r="AN357" s="1392" t="n"/>
      <c r="AO357" s="1392" t="n"/>
      <c r="AP357" s="1392" t="n"/>
      <c r="AQ357" s="1392" t="n"/>
      <c r="AR357" s="1392" t="n"/>
      <c r="AS357" s="1422" t="n"/>
      <c r="AT357" s="1392" t="n"/>
      <c r="AU357" s="1392" t="n"/>
      <c r="AV357" s="1392" t="n"/>
      <c r="AW357" s="1392" t="n"/>
      <c r="AX357" s="1392" t="n"/>
      <c r="AY357" s="1392" t="n"/>
      <c r="AZ357" s="1392" t="n"/>
      <c r="BA357" s="1392" t="n"/>
      <c r="BB357" s="1422" t="n"/>
      <c r="BC357" s="1392" t="n"/>
      <c r="BD357" s="1392" t="n"/>
      <c r="BE357" s="1392" t="n"/>
      <c r="BF357" s="1392" t="n"/>
      <c r="BG357" s="1392" t="n"/>
      <c r="BH357" s="1392" t="n"/>
      <c r="BI357" s="1392" t="n"/>
      <c r="BJ357" s="1392" t="n"/>
      <c r="BK357" s="1392" t="n"/>
      <c r="BL357" s="1392" t="n"/>
      <c r="BM357" s="1392" t="n"/>
      <c r="BN357" s="1392" t="n"/>
      <c r="BO357" s="1392" t="n"/>
      <c r="BP357" s="1398" t="inlineStr">
        <is>
          <t>.</t>
        </is>
      </c>
      <c r="BQ357" s="1400">
        <f>IF(BR357&lt;&gt;"",BQ356+1,BQ356)</f>
        <v/>
      </c>
      <c r="BR357" s="1411" t="inlineStr">
        <is>
          <t>Philadelphia</t>
        </is>
      </c>
      <c r="BS357" s="1411" t="inlineStr">
        <is>
          <t>Miami</t>
        </is>
      </c>
      <c r="BT357" s="1411" t="inlineStr">
        <is>
          <t>Philadelphia-Miami</t>
        </is>
      </c>
      <c r="BU357" s="1412" t="n">
        <v>45038</v>
      </c>
      <c r="BV357" s="1398" t="inlineStr">
        <is>
          <t>.</t>
        </is>
      </c>
      <c r="BW357" s="1392" t="n"/>
      <c r="BX357" s="1392" t="n"/>
      <c r="BY357" s="1392" t="n"/>
      <c r="BZ357" s="1416" t="n"/>
      <c r="CA357" s="1392" t="n"/>
      <c r="CB357" s="1392" t="n"/>
      <c r="CC357" s="1392" t="n"/>
      <c r="CD357" s="1392" t="n"/>
      <c r="CE357" s="1392" t="n"/>
      <c r="CF357" s="1392" t="n"/>
      <c r="CG357" s="1392" t="n"/>
      <c r="CH357" s="1392" t="n"/>
      <c r="CI357" s="1392" t="n"/>
      <c r="CJ357" s="1392" t="n"/>
      <c r="CK357" s="1392" t="n"/>
      <c r="CL357" s="1392" t="n"/>
    </row>
    <row r="358">
      <c r="A358" s="5" t="inlineStr">
        <is>
          <t>.</t>
        </is>
      </c>
      <c r="B358" s="5" t="inlineStr">
        <is>
          <t>.</t>
        </is>
      </c>
      <c r="C358" s="1378">
        <f>IF(raw[[#This Row],[city]]="","-",IF(raw[[#This Row],[city]]="TODAY","-",C357+1))</f>
        <v/>
      </c>
      <c r="D358" s="1393" t="inlineStr">
        <is>
          <t>Castro Alves</t>
        </is>
      </c>
      <c r="E358" s="1394" t="n">
        <v>34873</v>
      </c>
      <c r="F358" s="1394" t="n">
        <v>34876</v>
      </c>
      <c r="G358" s="1393" t="inlineStr">
        <is>
          <t>-</t>
        </is>
      </c>
      <c r="H358" s="1393">
        <f>H357</f>
        <v/>
      </c>
      <c r="I358" s="1393" t="inlineStr">
        <is>
          <t>-</t>
        </is>
      </c>
      <c r="J358" s="1393" t="inlineStr">
        <is>
          <t>-</t>
        </is>
      </c>
      <c r="K358" s="1395">
        <f>IF(raw[[#This Row],[city]]&lt;&gt;"",_xlfn.XLOOKUP($D358,ccc[city],ccc[prov],"-"),"-")</f>
        <v/>
      </c>
      <c r="L358" s="1395">
        <f>IF(raw[[#This Row],[city]]&lt;&gt;"",_xlfn.XLOOKUP($D358,ccc[city],ccc[ctry],"-"),"-")</f>
        <v/>
      </c>
      <c r="M358" s="1395">
        <f>IF(raw[[#This Row],[city]]&lt;&gt;"",_xlfn.XLOOKUP($D358,ccc[city],ccc[cont],"-"),"-")</f>
        <v/>
      </c>
      <c r="N358" s="1396">
        <f>IF(raw[[#This Row],[city]]="","-",IF(raw[[#This Row],[cont]]="B",raw[[#This Row],[cont]],"W"))</f>
        <v/>
      </c>
      <c r="O358" s="1397">
        <f>IF(raw[[#This Row],[out]]=0,0,IF(raw[[#This Row],[out]]=raw[[#This Row],[in]],0.01,raw[[#This Row],[out]]-raw[[#This Row],[in]]))</f>
        <v/>
      </c>
      <c r="P358" s="1397">
        <f>IF(raw[[#This Row],[in]]=0,0,MONTH(raw[[#This Row],[in]]))</f>
        <v/>
      </c>
      <c r="Q358" s="1397">
        <f>IF(raw[[#This Row],[in]]=0,0,YEAR(raw[[#This Row],[in]]))</f>
        <v/>
      </c>
      <c r="R358" s="1397">
        <f>INT(raw[[#This Row],[yr]]/10)*10</f>
        <v/>
      </c>
      <c r="S358" s="1395">
        <f>IF(raw[[#This Row],[city]]="","-",IF(raw[[#This Row],[city]]&lt;&gt;_xlfn.XLOOKUP(raw[[#This Row],[home]],homes[home],homes[city],"-"),1,0))</f>
        <v/>
      </c>
      <c r="T358" s="1398" t="inlineStr">
        <is>
          <t>.</t>
        </is>
      </c>
      <c r="U358" s="1399">
        <f>IF(raw[[#This Row],[wb]]="w",raw[[#This Row],[stay]]+U357,U357)</f>
        <v/>
      </c>
      <c r="V358" s="1400">
        <f>IF(raw[[#This Row],[out]]=0,V357,(raw[[#This Row],[out]]-E$5))</f>
        <v/>
      </c>
      <c r="W358" s="1401">
        <f>U358/V358</f>
        <v/>
      </c>
      <c r="X358" s="1378" t="inlineStr">
        <is>
          <t>.</t>
        </is>
      </c>
      <c r="Y358" s="1402">
        <f/>
        <v/>
      </c>
      <c r="Z358" s="1403">
        <f/>
        <v/>
      </c>
      <c r="AA358" s="1403">
        <f/>
        <v/>
      </c>
      <c r="AB358" s="1400">
        <f t="array" ref="AB358">_xlfn.LET(_xlpm.S,_xlfn.ANCHORARRAY($Y$4),_xlpm.r,ROWS(stayCity[[#Headers],[city]]:stayCity[[#This Row],[city]])-1,IF(_xlpm.r&lt;=ROWS(_xlpm.S),INDEX(_xlpm.S,_xlpm.r,1),""))</f>
        <v/>
      </c>
      <c r="AC358" s="1405">
        <f t="array" ref="AC358">_xlfn.LET(_xlpm.S,_xlfn.ANCHORARRAY($Y$4),_xlpm.r,ROWS(stayCity[[#Headers],[city]]:stayCity[[#This Row],[city]])-1,IF(_xlpm.r&lt;=ROWS(_xlpm.S),INDEX(_xlpm.S,_xlpm.r,2),""))</f>
        <v/>
      </c>
      <c r="AD358" s="1405">
        <f t="array" ref="AD358">_xlfn.LET(_xlpm.S,_xlfn.ANCHORARRAY($Y$4),_xlpm.r,ROWS(stayCity[[#Headers],[city]]:stayCity[[#This Row],[city]])-1,IF(_xlpm.r&lt;=ROWS(_xlpm.S),INDEX(_xlpm.S,_xlpm.r,3),""))</f>
        <v/>
      </c>
      <c r="AE358" s="1400">
        <f>IF(stayCity[[#This Row],[out]]&lt;&gt;"",stayCity[[#This Row],[out]]-stayCity[[#This Row],[in]],"-")</f>
        <v/>
      </c>
      <c r="AF358" s="1406">
        <f>IF(Y358="","-",YEAR(stayCity[[#This Row],[in]]))</f>
        <v/>
      </c>
      <c r="AG358" s="1392" t="n"/>
      <c r="AH358" s="1392" t="n"/>
      <c r="AI358" s="1392" t="n"/>
      <c r="AJ358" s="1392" t="n"/>
      <c r="AK358" s="1392" t="n"/>
      <c r="AL358" s="1392" t="n"/>
      <c r="AM358" s="1392" t="n"/>
      <c r="AN358" s="1392" t="n"/>
      <c r="AO358" s="1392" t="n"/>
      <c r="AP358" s="1392" t="n"/>
      <c r="AQ358" s="1392" t="n"/>
      <c r="AR358" s="1392" t="n"/>
      <c r="AS358" s="1422" t="n"/>
      <c r="AT358" s="1392" t="n"/>
      <c r="AU358" s="1392" t="n"/>
      <c r="AV358" s="1392" t="n"/>
      <c r="AW358" s="1392" t="n"/>
      <c r="AX358" s="1392" t="n"/>
      <c r="AY358" s="1392" t="n"/>
      <c r="AZ358" s="1392" t="n"/>
      <c r="BA358" s="1392" t="n"/>
      <c r="BB358" s="1422" t="n"/>
      <c r="BC358" s="1392" t="n"/>
      <c r="BD358" s="1392" t="n"/>
      <c r="BE358" s="1392" t="n"/>
      <c r="BF358" s="1392" t="n"/>
      <c r="BG358" s="1392" t="n"/>
      <c r="BH358" s="1392" t="n"/>
      <c r="BI358" s="1392" t="n"/>
      <c r="BJ358" s="1392" t="n"/>
      <c r="BK358" s="1392" t="n"/>
      <c r="BL358" s="1392" t="n"/>
      <c r="BM358" s="1392" t="n"/>
      <c r="BN358" s="1392" t="n"/>
      <c r="BO358" s="1392" t="n"/>
      <c r="BP358" s="1398" t="inlineStr">
        <is>
          <t>.</t>
        </is>
      </c>
      <c r="BQ358" s="1400">
        <f>IF(BR358&lt;&gt;"",BQ357+1,BQ357)</f>
        <v/>
      </c>
      <c r="BR358" s="1411" t="inlineStr">
        <is>
          <t>Miami</t>
        </is>
      </c>
      <c r="BS358" s="1411" t="inlineStr">
        <is>
          <t>Montreal</t>
        </is>
      </c>
      <c r="BT358" s="1411" t="inlineStr">
        <is>
          <t>Miami-Montreal</t>
        </is>
      </c>
      <c r="BU358" s="1412" t="n">
        <v>45045</v>
      </c>
      <c r="BV358" s="1398" t="inlineStr">
        <is>
          <t>.</t>
        </is>
      </c>
      <c r="BW358" s="1392" t="n"/>
      <c r="BX358" s="1392" t="n"/>
      <c r="BY358" s="1392" t="n"/>
      <c r="BZ358" s="1416" t="n"/>
      <c r="CA358" s="1392" t="n"/>
      <c r="CB358" s="1392" t="n"/>
      <c r="CC358" s="1392" t="n"/>
      <c r="CD358" s="1392" t="n"/>
      <c r="CE358" s="1392" t="n"/>
      <c r="CF358" s="1392" t="n"/>
      <c r="CG358" s="1392" t="n"/>
      <c r="CH358" s="1392" t="n"/>
      <c r="CI358" s="1392" t="n"/>
      <c r="CJ358" s="1392" t="n"/>
      <c r="CK358" s="1392" t="n"/>
      <c r="CL358" s="1392" t="n"/>
    </row>
    <row r="359">
      <c r="A359" s="5" t="inlineStr">
        <is>
          <t>.</t>
        </is>
      </c>
      <c r="B359" s="5" t="inlineStr">
        <is>
          <t>.</t>
        </is>
      </c>
      <c r="C359" s="1378">
        <f>IF(raw[[#This Row],[city]]="","-",IF(raw[[#This Row],[city]]="TODAY","-",C358+1))</f>
        <v/>
      </c>
      <c r="D359" s="1393" t="inlineStr">
        <is>
          <t>SSA</t>
        </is>
      </c>
      <c r="E359" s="1394" t="n">
        <v>34876</v>
      </c>
      <c r="F359" s="1394" t="n">
        <v>34881</v>
      </c>
      <c r="G359" s="1393" t="inlineStr">
        <is>
          <t>-</t>
        </is>
      </c>
      <c r="H359" s="1393">
        <f>H358</f>
        <v/>
      </c>
      <c r="I359" s="1393" t="inlineStr">
        <is>
          <t>Ondina</t>
        </is>
      </c>
      <c r="J359" s="1393" t="inlineStr">
        <is>
          <t>-</t>
        </is>
      </c>
      <c r="K359" s="1395">
        <f>IF(raw[[#This Row],[city]]&lt;&gt;"",_xlfn.XLOOKUP($D359,ccc[city],ccc[prov],"-"),"-")</f>
        <v/>
      </c>
      <c r="L359" s="1395">
        <f>IF(raw[[#This Row],[city]]&lt;&gt;"",_xlfn.XLOOKUP($D359,ccc[city],ccc[ctry],"-"),"-")</f>
        <v/>
      </c>
      <c r="M359" s="1395">
        <f>IF(raw[[#This Row],[city]]&lt;&gt;"",_xlfn.XLOOKUP($D359,ccc[city],ccc[cont],"-"),"-")</f>
        <v/>
      </c>
      <c r="N359" s="1396">
        <f>IF(raw[[#This Row],[city]]="","-",IF(raw[[#This Row],[cont]]="B",raw[[#This Row],[cont]],"W"))</f>
        <v/>
      </c>
      <c r="O359" s="1397">
        <f>IF(raw[[#This Row],[out]]=0,0,IF(raw[[#This Row],[out]]=raw[[#This Row],[in]],0.01,raw[[#This Row],[out]]-raw[[#This Row],[in]]))</f>
        <v/>
      </c>
      <c r="P359" s="1397">
        <f>IF(raw[[#This Row],[in]]=0,0,MONTH(raw[[#This Row],[in]]))</f>
        <v/>
      </c>
      <c r="Q359" s="1397">
        <f>IF(raw[[#This Row],[in]]=0,0,YEAR(raw[[#This Row],[in]]))</f>
        <v/>
      </c>
      <c r="R359" s="1397">
        <f>INT(raw[[#This Row],[yr]]/10)*10</f>
        <v/>
      </c>
      <c r="S359" s="1395">
        <f>IF(raw[[#This Row],[city]]="","-",IF(raw[[#This Row],[city]]&lt;&gt;_xlfn.XLOOKUP(raw[[#This Row],[home]],homes[home],homes[city],"-"),1,0))</f>
        <v/>
      </c>
      <c r="T359" s="1398" t="inlineStr">
        <is>
          <t>.</t>
        </is>
      </c>
      <c r="U359" s="1399">
        <f>IF(raw[[#This Row],[wb]]="w",raw[[#This Row],[stay]]+U358,U358)</f>
        <v/>
      </c>
      <c r="V359" s="1400">
        <f>IF(raw[[#This Row],[out]]=0,V358,(raw[[#This Row],[out]]-E$5))</f>
        <v/>
      </c>
      <c r="W359" s="1401">
        <f>U359/V359</f>
        <v/>
      </c>
      <c r="X359" s="1378" t="inlineStr">
        <is>
          <t>.</t>
        </is>
      </c>
      <c r="Y359" s="1402">
        <f/>
        <v/>
      </c>
      <c r="Z359" s="1403">
        <f/>
        <v/>
      </c>
      <c r="AA359" s="1403">
        <f/>
        <v/>
      </c>
      <c r="AB359" s="1400">
        <f t="array" ref="AB359">_xlfn.LET(_xlpm.S,_xlfn.ANCHORARRAY($Y$4),_xlpm.r,ROWS(stayCity[[#Headers],[city]]:stayCity[[#This Row],[city]])-1,IF(_xlpm.r&lt;=ROWS(_xlpm.S),INDEX(_xlpm.S,_xlpm.r,1),""))</f>
        <v/>
      </c>
      <c r="AC359" s="1405">
        <f t="array" ref="AC359">_xlfn.LET(_xlpm.S,_xlfn.ANCHORARRAY($Y$4),_xlpm.r,ROWS(stayCity[[#Headers],[city]]:stayCity[[#This Row],[city]])-1,IF(_xlpm.r&lt;=ROWS(_xlpm.S),INDEX(_xlpm.S,_xlpm.r,2),""))</f>
        <v/>
      </c>
      <c r="AD359" s="1405">
        <f t="array" ref="AD359">_xlfn.LET(_xlpm.S,_xlfn.ANCHORARRAY($Y$4),_xlpm.r,ROWS(stayCity[[#Headers],[city]]:stayCity[[#This Row],[city]])-1,IF(_xlpm.r&lt;=ROWS(_xlpm.S),INDEX(_xlpm.S,_xlpm.r,3),""))</f>
        <v/>
      </c>
      <c r="AE359" s="1400">
        <f>IF(stayCity[[#This Row],[out]]&lt;&gt;"",stayCity[[#This Row],[out]]-stayCity[[#This Row],[in]],"-")</f>
        <v/>
      </c>
      <c r="AF359" s="1406">
        <f>IF(Y359="","-",YEAR(stayCity[[#This Row],[in]]))</f>
        <v/>
      </c>
      <c r="AG359" s="1392" t="n"/>
      <c r="AH359" s="1392" t="n"/>
      <c r="AI359" s="1392" t="n"/>
      <c r="AJ359" s="1392" t="n"/>
      <c r="AK359" s="1392" t="n"/>
      <c r="AL359" s="1392" t="n"/>
      <c r="AM359" s="1392" t="n"/>
      <c r="AN359" s="1392" t="n"/>
      <c r="AO359" s="1392" t="n"/>
      <c r="AP359" s="1392" t="n"/>
      <c r="AQ359" s="1392" t="n"/>
      <c r="AR359" s="1392" t="n"/>
      <c r="AS359" s="1422" t="n"/>
      <c r="AT359" s="1392" t="n"/>
      <c r="AU359" s="1392" t="n"/>
      <c r="AV359" s="1392" t="n"/>
      <c r="AW359" s="1392" t="n"/>
      <c r="AX359" s="1392" t="n"/>
      <c r="AY359" s="1392" t="n"/>
      <c r="AZ359" s="1392" t="n"/>
      <c r="BA359" s="1392" t="n"/>
      <c r="BB359" s="1422" t="n"/>
      <c r="BC359" s="1392" t="n"/>
      <c r="BD359" s="1392" t="n"/>
      <c r="BE359" s="1392" t="n"/>
      <c r="BF359" s="1392" t="n"/>
      <c r="BG359" s="1392" t="n"/>
      <c r="BH359" s="1392" t="n"/>
      <c r="BI359" s="1392" t="n"/>
      <c r="BJ359" s="1392" t="n"/>
      <c r="BK359" s="1392" t="n"/>
      <c r="BL359" s="1392" t="n"/>
      <c r="BM359" s="1392" t="n"/>
      <c r="BN359" s="1392" t="n"/>
      <c r="BO359" s="1392" t="n"/>
      <c r="BP359" s="1398" t="inlineStr">
        <is>
          <t>.</t>
        </is>
      </c>
      <c r="BQ359" s="1400">
        <f>IF(BR359&lt;&gt;"",BQ358+1,BQ358)</f>
        <v/>
      </c>
      <c r="BR359" s="1411" t="inlineStr">
        <is>
          <t>Montreal</t>
        </is>
      </c>
      <c r="BS359" s="1411" t="inlineStr">
        <is>
          <t>Lisbon</t>
        </is>
      </c>
      <c r="BT359" s="1411" t="inlineStr">
        <is>
          <t>Montreal-Lisbon</t>
        </is>
      </c>
      <c r="BU359" s="1412" t="n">
        <v>45119</v>
      </c>
      <c r="BV359" s="1398" t="inlineStr">
        <is>
          <t>.</t>
        </is>
      </c>
      <c r="BW359" s="1392" t="n"/>
      <c r="BX359" s="1392" t="n"/>
      <c r="BY359" s="1392" t="n"/>
      <c r="BZ359" s="1416" t="n"/>
      <c r="CA359" s="1392" t="n"/>
      <c r="CB359" s="1392" t="n"/>
      <c r="CC359" s="1392" t="n"/>
      <c r="CD359" s="1392" t="n"/>
      <c r="CE359" s="1392" t="n"/>
      <c r="CF359" s="1392" t="n"/>
      <c r="CG359" s="1392" t="n"/>
      <c r="CH359" s="1392" t="n"/>
      <c r="CI359" s="1392" t="n"/>
      <c r="CJ359" s="1392" t="n"/>
      <c r="CK359" s="1392" t="n"/>
      <c r="CL359" s="1392" t="n"/>
    </row>
    <row r="360">
      <c r="A360" s="5" t="inlineStr">
        <is>
          <t>.</t>
        </is>
      </c>
      <c r="B360" s="5" t="inlineStr">
        <is>
          <t>.</t>
        </is>
      </c>
      <c r="C360" s="1378">
        <f>IF(raw[[#This Row],[city]]="","-",IF(raw[[#This Row],[city]]="TODAY","-",C359+1))</f>
        <v/>
      </c>
      <c r="D360" s="1393" t="inlineStr">
        <is>
          <t>SSA</t>
        </is>
      </c>
      <c r="E360" s="1394" t="n">
        <v>34881</v>
      </c>
      <c r="F360" s="1394" t="n">
        <v>34906</v>
      </c>
      <c r="G360" s="1393" t="n">
        <v>1</v>
      </c>
      <c r="H360" s="1393">
        <f>H359</f>
        <v/>
      </c>
      <c r="I360" s="1393" t="inlineStr">
        <is>
          <t>Ondina</t>
        </is>
      </c>
      <c r="J360" s="1393" t="inlineStr">
        <is>
          <t>-</t>
        </is>
      </c>
      <c r="K360" s="1395">
        <f>IF(raw[[#This Row],[city]]&lt;&gt;"",_xlfn.XLOOKUP($D360,ccc[city],ccc[prov],"-"),"-")</f>
        <v/>
      </c>
      <c r="L360" s="1395">
        <f>IF(raw[[#This Row],[city]]&lt;&gt;"",_xlfn.XLOOKUP($D360,ccc[city],ccc[ctry],"-"),"-")</f>
        <v/>
      </c>
      <c r="M360" s="1395">
        <f>IF(raw[[#This Row],[city]]&lt;&gt;"",_xlfn.XLOOKUP($D360,ccc[city],ccc[cont],"-"),"-")</f>
        <v/>
      </c>
      <c r="N360" s="1396">
        <f>IF(raw[[#This Row],[city]]="","-",IF(raw[[#This Row],[cont]]="B",raw[[#This Row],[cont]],"W"))</f>
        <v/>
      </c>
      <c r="O360" s="1397">
        <f>IF(raw[[#This Row],[out]]=0,0,IF(raw[[#This Row],[out]]=raw[[#This Row],[in]],0.01,raw[[#This Row],[out]]-raw[[#This Row],[in]]))</f>
        <v/>
      </c>
      <c r="P360" s="1397">
        <f>IF(raw[[#This Row],[in]]=0,0,MONTH(raw[[#This Row],[in]]))</f>
        <v/>
      </c>
      <c r="Q360" s="1397">
        <f>IF(raw[[#This Row],[in]]=0,0,YEAR(raw[[#This Row],[in]]))</f>
        <v/>
      </c>
      <c r="R360" s="1397">
        <f>INT(raw[[#This Row],[yr]]/10)*10</f>
        <v/>
      </c>
      <c r="S360" s="1395">
        <f>IF(raw[[#This Row],[city]]="","-",IF(raw[[#This Row],[city]]&lt;&gt;_xlfn.XLOOKUP(raw[[#This Row],[home]],homes[home],homes[city],"-"),1,0))</f>
        <v/>
      </c>
      <c r="T360" s="1398" t="inlineStr">
        <is>
          <t>.</t>
        </is>
      </c>
      <c r="U360" s="1399">
        <f>IF(raw[[#This Row],[wb]]="w",raw[[#This Row],[stay]]+U359,U359)</f>
        <v/>
      </c>
      <c r="V360" s="1400">
        <f>IF(raw[[#This Row],[out]]=0,V359,(raw[[#This Row],[out]]-E$5))</f>
        <v/>
      </c>
      <c r="W360" s="1401">
        <f>U360/V360</f>
        <v/>
      </c>
      <c r="X360" s="1378" t="inlineStr">
        <is>
          <t>.</t>
        </is>
      </c>
      <c r="Y360" s="1402">
        <f/>
        <v/>
      </c>
      <c r="Z360" s="1403">
        <f/>
        <v/>
      </c>
      <c r="AA360" s="1403">
        <f/>
        <v/>
      </c>
      <c r="AB360" s="1400">
        <f t="array" ref="AB360">_xlfn.LET(_xlpm.S,_xlfn.ANCHORARRAY($Y$4),_xlpm.r,ROWS(stayCity[[#Headers],[city]]:stayCity[[#This Row],[city]])-1,IF(_xlpm.r&lt;=ROWS(_xlpm.S),INDEX(_xlpm.S,_xlpm.r,1),""))</f>
        <v/>
      </c>
      <c r="AC360" s="1405">
        <f t="array" ref="AC360">_xlfn.LET(_xlpm.S,_xlfn.ANCHORARRAY($Y$4),_xlpm.r,ROWS(stayCity[[#Headers],[city]]:stayCity[[#This Row],[city]])-1,IF(_xlpm.r&lt;=ROWS(_xlpm.S),INDEX(_xlpm.S,_xlpm.r,2),""))</f>
        <v/>
      </c>
      <c r="AD360" s="1405">
        <f t="array" ref="AD360">_xlfn.LET(_xlpm.S,_xlfn.ANCHORARRAY($Y$4),_xlpm.r,ROWS(stayCity[[#Headers],[city]]:stayCity[[#This Row],[city]])-1,IF(_xlpm.r&lt;=ROWS(_xlpm.S),INDEX(_xlpm.S,_xlpm.r,3),""))</f>
        <v/>
      </c>
      <c r="AE360" s="1400">
        <f>IF(stayCity[[#This Row],[out]]&lt;&gt;"",stayCity[[#This Row],[out]]-stayCity[[#This Row],[in]],"-")</f>
        <v/>
      </c>
      <c r="AF360" s="1406">
        <f>IF(Y360="","-",YEAR(stayCity[[#This Row],[in]]))</f>
        <v/>
      </c>
      <c r="AG360" s="1392" t="n"/>
      <c r="AH360" s="1392" t="n"/>
      <c r="AI360" s="1392" t="n"/>
      <c r="AJ360" s="1392" t="n"/>
      <c r="AK360" s="1392" t="n"/>
      <c r="AL360" s="1392" t="n"/>
      <c r="AM360" s="1392" t="n"/>
      <c r="AN360" s="1392" t="n"/>
      <c r="AO360" s="1392" t="n"/>
      <c r="AP360" s="1392" t="n"/>
      <c r="AQ360" s="1392" t="n"/>
      <c r="AR360" s="1392" t="n"/>
      <c r="AS360" s="1422" t="n"/>
      <c r="AT360" s="1392" t="n"/>
      <c r="AU360" s="1392" t="n"/>
      <c r="AV360" s="1392" t="n"/>
      <c r="AW360" s="1392" t="n"/>
      <c r="AX360" s="1392" t="n"/>
      <c r="AY360" s="1392" t="n"/>
      <c r="AZ360" s="1392" t="n"/>
      <c r="BA360" s="1392" t="n"/>
      <c r="BB360" s="1422" t="n"/>
      <c r="BC360" s="1392" t="n"/>
      <c r="BD360" s="1392" t="n"/>
      <c r="BE360" s="1392" t="n"/>
      <c r="BF360" s="1392" t="n"/>
      <c r="BG360" s="1392" t="n"/>
      <c r="BH360" s="1392" t="n"/>
      <c r="BI360" s="1392" t="n"/>
      <c r="BJ360" s="1392" t="n"/>
      <c r="BK360" s="1392" t="n"/>
      <c r="BL360" s="1392" t="n"/>
      <c r="BM360" s="1392" t="n"/>
      <c r="BN360" s="1392" t="n"/>
      <c r="BO360" s="1392" t="n"/>
      <c r="BP360" s="1398" t="inlineStr">
        <is>
          <t>.</t>
        </is>
      </c>
      <c r="BQ360" s="1400">
        <f>IF(BR360&lt;&gt;"",BQ359+1,BQ359)</f>
        <v/>
      </c>
      <c r="BR360" s="1411" t="inlineStr">
        <is>
          <t>Lisbon</t>
        </is>
      </c>
      <c r="BS360" s="1411" t="inlineStr">
        <is>
          <t>Paris</t>
        </is>
      </c>
      <c r="BT360" s="1411" t="inlineStr">
        <is>
          <t>Lisbon-Paris</t>
        </is>
      </c>
      <c r="BU360" s="1412" t="n">
        <v>45120</v>
      </c>
      <c r="BV360" s="1398" t="inlineStr">
        <is>
          <t>.</t>
        </is>
      </c>
      <c r="BW360" s="1392" t="n"/>
      <c r="BX360" s="1392" t="n"/>
      <c r="BY360" s="1392" t="n"/>
      <c r="BZ360" s="1416" t="n"/>
      <c r="CA360" s="1392" t="n"/>
      <c r="CB360" s="1392" t="n"/>
      <c r="CC360" s="1392" t="n"/>
      <c r="CD360" s="1392" t="n"/>
      <c r="CE360" s="1392" t="n"/>
      <c r="CF360" s="1392" t="n"/>
      <c r="CG360" s="1392" t="n"/>
      <c r="CH360" s="1392" t="n"/>
      <c r="CI360" s="1392" t="n"/>
      <c r="CJ360" s="1392" t="n"/>
      <c r="CK360" s="1392" t="n"/>
      <c r="CL360" s="1392" t="n"/>
    </row>
    <row r="361">
      <c r="A361" s="5" t="inlineStr">
        <is>
          <t>.</t>
        </is>
      </c>
      <c r="B361" s="5" t="inlineStr">
        <is>
          <t>.</t>
        </is>
      </c>
      <c r="C361" s="1378">
        <f>IF(raw[[#This Row],[city]]="","-",IF(raw[[#This Row],[city]]="TODAY","-",C360+1))</f>
        <v/>
      </c>
      <c r="D361" s="1393" t="inlineStr">
        <is>
          <t>SP</t>
        </is>
      </c>
      <c r="E361" s="1394" t="n">
        <v>34906</v>
      </c>
      <c r="F361" s="1394" t="n">
        <v>34908</v>
      </c>
      <c r="G361" s="1393" t="inlineStr">
        <is>
          <t>-</t>
        </is>
      </c>
      <c r="H361" s="1393">
        <f>H360</f>
        <v/>
      </c>
      <c r="I361" s="1393" t="inlineStr">
        <is>
          <t>-</t>
        </is>
      </c>
      <c r="J361" s="1393" t="inlineStr">
        <is>
          <t>-</t>
        </is>
      </c>
      <c r="K361" s="1395">
        <f>IF(raw[[#This Row],[city]]&lt;&gt;"",_xlfn.XLOOKUP($D361,ccc[city],ccc[prov],"-"),"-")</f>
        <v/>
      </c>
      <c r="L361" s="1395">
        <f>IF(raw[[#This Row],[city]]&lt;&gt;"",_xlfn.XLOOKUP($D361,ccc[city],ccc[ctry],"-"),"-")</f>
        <v/>
      </c>
      <c r="M361" s="1395">
        <f>IF(raw[[#This Row],[city]]&lt;&gt;"",_xlfn.XLOOKUP($D361,ccc[city],ccc[cont],"-"),"-")</f>
        <v/>
      </c>
      <c r="N361" s="1396">
        <f>IF(raw[[#This Row],[city]]="","-",IF(raw[[#This Row],[cont]]="B",raw[[#This Row],[cont]],"W"))</f>
        <v/>
      </c>
      <c r="O361" s="1397">
        <f>IF(raw[[#This Row],[out]]=0,0,IF(raw[[#This Row],[out]]=raw[[#This Row],[in]],0.01,raw[[#This Row],[out]]-raw[[#This Row],[in]]))</f>
        <v/>
      </c>
      <c r="P361" s="1397">
        <f>IF(raw[[#This Row],[in]]=0,0,MONTH(raw[[#This Row],[in]]))</f>
        <v/>
      </c>
      <c r="Q361" s="1397">
        <f>IF(raw[[#This Row],[in]]=0,0,YEAR(raw[[#This Row],[in]]))</f>
        <v/>
      </c>
      <c r="R361" s="1397">
        <f>INT(raw[[#This Row],[yr]]/10)*10</f>
        <v/>
      </c>
      <c r="S361" s="1395">
        <f>IF(raw[[#This Row],[city]]="","-",IF(raw[[#This Row],[city]]&lt;&gt;_xlfn.XLOOKUP(raw[[#This Row],[home]],homes[home],homes[city],"-"),1,0))</f>
        <v/>
      </c>
      <c r="T361" s="1398" t="inlineStr">
        <is>
          <t>.</t>
        </is>
      </c>
      <c r="U361" s="1399">
        <f>IF(raw[[#This Row],[wb]]="w",raw[[#This Row],[stay]]+U360,U360)</f>
        <v/>
      </c>
      <c r="V361" s="1400">
        <f>IF(raw[[#This Row],[out]]=0,V360,(raw[[#This Row],[out]]-E$5))</f>
        <v/>
      </c>
      <c r="W361" s="1401">
        <f>U361/V361</f>
        <v/>
      </c>
      <c r="X361" s="1378" t="inlineStr">
        <is>
          <t>.</t>
        </is>
      </c>
      <c r="Y361" s="1402">
        <f/>
        <v/>
      </c>
      <c r="Z361" s="1403">
        <f/>
        <v/>
      </c>
      <c r="AA361" s="1403">
        <f/>
        <v/>
      </c>
      <c r="AB361" s="1400">
        <f t="array" ref="AB361">_xlfn.LET(_xlpm.S,_xlfn.ANCHORARRAY($Y$4),_xlpm.r,ROWS(stayCity[[#Headers],[city]]:stayCity[[#This Row],[city]])-1,IF(_xlpm.r&lt;=ROWS(_xlpm.S),INDEX(_xlpm.S,_xlpm.r,1),""))</f>
        <v/>
      </c>
      <c r="AC361" s="1405">
        <f t="array" ref="AC361">_xlfn.LET(_xlpm.S,_xlfn.ANCHORARRAY($Y$4),_xlpm.r,ROWS(stayCity[[#Headers],[city]]:stayCity[[#This Row],[city]])-1,IF(_xlpm.r&lt;=ROWS(_xlpm.S),INDEX(_xlpm.S,_xlpm.r,2),""))</f>
        <v/>
      </c>
      <c r="AD361" s="1405">
        <f t="array" ref="AD361">_xlfn.LET(_xlpm.S,_xlfn.ANCHORARRAY($Y$4),_xlpm.r,ROWS(stayCity[[#Headers],[city]]:stayCity[[#This Row],[city]])-1,IF(_xlpm.r&lt;=ROWS(_xlpm.S),INDEX(_xlpm.S,_xlpm.r,3),""))</f>
        <v/>
      </c>
      <c r="AE361" s="1400">
        <f>IF(stayCity[[#This Row],[out]]&lt;&gt;"",stayCity[[#This Row],[out]]-stayCity[[#This Row],[in]],"-")</f>
        <v/>
      </c>
      <c r="AF361" s="1406">
        <f>IF(Y361="","-",YEAR(stayCity[[#This Row],[in]]))</f>
        <v/>
      </c>
      <c r="AG361" s="1392" t="n"/>
      <c r="AH361" s="1392" t="n"/>
      <c r="AI361" s="1392" t="n"/>
      <c r="AJ361" s="1392" t="n"/>
      <c r="AK361" s="1392" t="n"/>
      <c r="AL361" s="1392" t="n"/>
      <c r="AM361" s="1392" t="n"/>
      <c r="AN361" s="1392" t="n"/>
      <c r="AO361" s="1392" t="n"/>
      <c r="AP361" s="1392" t="n"/>
      <c r="AQ361" s="1392" t="n"/>
      <c r="AR361" s="1392" t="n"/>
      <c r="AS361" s="1422" t="n"/>
      <c r="AT361" s="1392" t="n"/>
      <c r="AU361" s="1392" t="n"/>
      <c r="AV361" s="1392" t="n"/>
      <c r="AW361" s="1392" t="n"/>
      <c r="AX361" s="1392" t="n"/>
      <c r="AY361" s="1392" t="n"/>
      <c r="AZ361" s="1392" t="n"/>
      <c r="BA361" s="1392" t="n"/>
      <c r="BB361" s="1422" t="n"/>
      <c r="BC361" s="1392" t="n"/>
      <c r="BD361" s="1392" t="n"/>
      <c r="BE361" s="1392" t="n"/>
      <c r="BF361" s="1392" t="n"/>
      <c r="BG361" s="1392" t="n"/>
      <c r="BH361" s="1392" t="n"/>
      <c r="BI361" s="1392" t="n"/>
      <c r="BJ361" s="1392" t="n"/>
      <c r="BK361" s="1392" t="n"/>
      <c r="BL361" s="1392" t="n"/>
      <c r="BM361" s="1392" t="n"/>
      <c r="BN361" s="1392" t="n"/>
      <c r="BO361" s="1392" t="n"/>
      <c r="BP361" s="1398" t="inlineStr">
        <is>
          <t>.</t>
        </is>
      </c>
      <c r="BQ361" s="1400">
        <f>IF(BR361&lt;&gt;"",BQ360+1,BQ360)</f>
        <v/>
      </c>
      <c r="BR361" s="1411" t="inlineStr">
        <is>
          <t>Paris</t>
        </is>
      </c>
      <c r="BS361" s="1411" t="inlineStr">
        <is>
          <t>Lisbon</t>
        </is>
      </c>
      <c r="BT361" s="1411" t="inlineStr">
        <is>
          <t>Paris-Lisbon</t>
        </is>
      </c>
      <c r="BU361" s="1412" t="n">
        <v>45139</v>
      </c>
      <c r="BV361" s="1398" t="inlineStr">
        <is>
          <t>.</t>
        </is>
      </c>
      <c r="BW361" s="1392" t="n"/>
      <c r="BX361" s="1392" t="n"/>
      <c r="BY361" s="1392" t="n"/>
      <c r="BZ361" s="1416" t="n"/>
      <c r="CA361" s="1392" t="n"/>
      <c r="CB361" s="1392" t="n"/>
      <c r="CC361" s="1392" t="n"/>
      <c r="CD361" s="1392" t="n"/>
      <c r="CE361" s="1392" t="n"/>
      <c r="CF361" s="1392" t="n"/>
      <c r="CG361" s="1392" t="n"/>
      <c r="CH361" s="1392" t="n"/>
      <c r="CI361" s="1392" t="n"/>
      <c r="CJ361" s="1392" t="n"/>
      <c r="CK361" s="1392" t="n"/>
      <c r="CL361" s="1392" t="n"/>
    </row>
    <row r="362">
      <c r="A362" s="5" t="inlineStr">
        <is>
          <t>.</t>
        </is>
      </c>
      <c r="B362" s="5" t="inlineStr">
        <is>
          <t>.</t>
        </is>
      </c>
      <c r="C362" s="1378">
        <f>IF(raw[[#This Row],[city]]="","-",IF(raw[[#This Row],[city]]="TODAY","-",C361+1))</f>
        <v/>
      </c>
      <c r="D362" s="1393" t="inlineStr">
        <is>
          <t>SP</t>
        </is>
      </c>
      <c r="E362" s="1394" t="n">
        <v>34908</v>
      </c>
      <c r="F362" s="1394" t="n">
        <v>34912</v>
      </c>
      <c r="G362" s="1393" t="inlineStr">
        <is>
          <t>-</t>
        </is>
      </c>
      <c r="H362" s="1393">
        <f>H361</f>
        <v/>
      </c>
      <c r="I362" s="1393" t="n"/>
      <c r="J362" s="1393" t="inlineStr">
        <is>
          <t>-</t>
        </is>
      </c>
      <c r="K362" s="1395">
        <f>IF(raw[[#This Row],[city]]&lt;&gt;"",_xlfn.XLOOKUP($D362,ccc[city],ccc[prov],"-"),"-")</f>
        <v/>
      </c>
      <c r="L362" s="1395">
        <f>IF(raw[[#This Row],[city]]&lt;&gt;"",_xlfn.XLOOKUP($D362,ccc[city],ccc[ctry],"-"),"-")</f>
        <v/>
      </c>
      <c r="M362" s="1395">
        <f>IF(raw[[#This Row],[city]]&lt;&gt;"",_xlfn.XLOOKUP($D362,ccc[city],ccc[cont],"-"),"-")</f>
        <v/>
      </c>
      <c r="N362" s="1396">
        <f>IF(raw[[#This Row],[city]]="","-",IF(raw[[#This Row],[cont]]="B",raw[[#This Row],[cont]],"W"))</f>
        <v/>
      </c>
      <c r="O362" s="1397">
        <f>IF(raw[[#This Row],[out]]=0,0,IF(raw[[#This Row],[out]]=raw[[#This Row],[in]],0.01,raw[[#This Row],[out]]-raw[[#This Row],[in]]))</f>
        <v/>
      </c>
      <c r="P362" s="1397">
        <f>IF(raw[[#This Row],[in]]=0,0,MONTH(raw[[#This Row],[in]]))</f>
        <v/>
      </c>
      <c r="Q362" s="1397">
        <f>IF(raw[[#This Row],[in]]=0,0,YEAR(raw[[#This Row],[in]]))</f>
        <v/>
      </c>
      <c r="R362" s="1397">
        <f>INT(raw[[#This Row],[yr]]/10)*10</f>
        <v/>
      </c>
      <c r="S362" s="1395">
        <f>IF(raw[[#This Row],[city]]="","-",IF(raw[[#This Row],[city]]&lt;&gt;_xlfn.XLOOKUP(raw[[#This Row],[home]],homes[home],homes[city],"-"),1,0))</f>
        <v/>
      </c>
      <c r="T362" s="1398" t="inlineStr">
        <is>
          <t>.</t>
        </is>
      </c>
      <c r="U362" s="1399">
        <f>IF(raw[[#This Row],[wb]]="w",raw[[#This Row],[stay]]+U361,U361)</f>
        <v/>
      </c>
      <c r="V362" s="1400">
        <f>IF(raw[[#This Row],[out]]=0,V361,(raw[[#This Row],[out]]-E$5))</f>
        <v/>
      </c>
      <c r="W362" s="1401">
        <f>U362/V362</f>
        <v/>
      </c>
      <c r="X362" s="1378" t="inlineStr">
        <is>
          <t>.</t>
        </is>
      </c>
      <c r="Y362" s="1402">
        <f/>
        <v/>
      </c>
      <c r="Z362" s="1403">
        <f/>
        <v/>
      </c>
      <c r="AA362" s="1403">
        <f/>
        <v/>
      </c>
      <c r="AB362" s="1400">
        <f t="array" ref="AB362">_xlfn.LET(_xlpm.S,_xlfn.ANCHORARRAY($Y$4),_xlpm.r,ROWS(stayCity[[#Headers],[city]]:stayCity[[#This Row],[city]])-1,IF(_xlpm.r&lt;=ROWS(_xlpm.S),INDEX(_xlpm.S,_xlpm.r,1),""))</f>
        <v/>
      </c>
      <c r="AC362" s="1405">
        <f t="array" ref="AC362">_xlfn.LET(_xlpm.S,_xlfn.ANCHORARRAY($Y$4),_xlpm.r,ROWS(stayCity[[#Headers],[city]]:stayCity[[#This Row],[city]])-1,IF(_xlpm.r&lt;=ROWS(_xlpm.S),INDEX(_xlpm.S,_xlpm.r,2),""))</f>
        <v/>
      </c>
      <c r="AD362" s="1405">
        <f t="array" ref="AD362">_xlfn.LET(_xlpm.S,_xlfn.ANCHORARRAY($Y$4),_xlpm.r,ROWS(stayCity[[#Headers],[city]]:stayCity[[#This Row],[city]])-1,IF(_xlpm.r&lt;=ROWS(_xlpm.S),INDEX(_xlpm.S,_xlpm.r,3),""))</f>
        <v/>
      </c>
      <c r="AE362" s="1400">
        <f>IF(stayCity[[#This Row],[out]]&lt;&gt;"",stayCity[[#This Row],[out]]-stayCity[[#This Row],[in]],"-")</f>
        <v/>
      </c>
      <c r="AF362" s="1406">
        <f>IF(Y362="","-",YEAR(stayCity[[#This Row],[in]]))</f>
        <v/>
      </c>
      <c r="AG362" s="1392" t="n"/>
      <c r="AH362" s="1392" t="n"/>
      <c r="AI362" s="1392" t="n"/>
      <c r="AJ362" s="1392" t="n"/>
      <c r="AK362" s="1392" t="n"/>
      <c r="AL362" s="1392" t="n"/>
      <c r="AM362" s="1392" t="n"/>
      <c r="AN362" s="1392" t="n"/>
      <c r="AO362" s="1392" t="n"/>
      <c r="AP362" s="1392" t="n"/>
      <c r="AQ362" s="1392" t="n"/>
      <c r="AR362" s="1392" t="n"/>
      <c r="AS362" s="1422" t="n"/>
      <c r="AT362" s="1392" t="n"/>
      <c r="AU362" s="1392" t="n"/>
      <c r="AV362" s="1392" t="n"/>
      <c r="AW362" s="1392" t="n"/>
      <c r="AX362" s="1392" t="n"/>
      <c r="AY362" s="1392" t="n"/>
      <c r="AZ362" s="1392" t="n"/>
      <c r="BA362" s="1392" t="n"/>
      <c r="BB362" s="1422" t="n"/>
      <c r="BC362" s="1392" t="n"/>
      <c r="BD362" s="1392" t="n"/>
      <c r="BE362" s="1392" t="n"/>
      <c r="BF362" s="1392" t="n"/>
      <c r="BG362" s="1392" t="n"/>
      <c r="BH362" s="1392" t="n"/>
      <c r="BI362" s="1392" t="n"/>
      <c r="BJ362" s="1392" t="n"/>
      <c r="BK362" s="1392" t="n"/>
      <c r="BL362" s="1392" t="n"/>
      <c r="BM362" s="1392" t="n"/>
      <c r="BN362" s="1392" t="n"/>
      <c r="BO362" s="1392" t="n"/>
      <c r="BP362" s="1398" t="inlineStr">
        <is>
          <t>.</t>
        </is>
      </c>
      <c r="BQ362" s="1400">
        <f>IF(BR362&lt;&gt;"",BQ361+1,BQ361)</f>
        <v/>
      </c>
      <c r="BR362" s="1411" t="inlineStr">
        <is>
          <t>Lisbon</t>
        </is>
      </c>
      <c r="BS362" s="1411" t="inlineStr">
        <is>
          <t>SSA</t>
        </is>
      </c>
      <c r="BT362" s="1411" t="inlineStr">
        <is>
          <t>Lisbon-SSA</t>
        </is>
      </c>
      <c r="BU362" s="1412" t="n">
        <v>45139</v>
      </c>
      <c r="BV362" s="1398" t="inlineStr">
        <is>
          <t>.</t>
        </is>
      </c>
      <c r="BW362" s="1392" t="n"/>
      <c r="BX362" s="1392" t="n"/>
      <c r="BY362" s="1392" t="n"/>
      <c r="BZ362" s="1416" t="n"/>
      <c r="CA362" s="1392" t="n"/>
      <c r="CB362" s="1392" t="n"/>
      <c r="CC362" s="1392" t="n"/>
      <c r="CD362" s="1392" t="n"/>
      <c r="CE362" s="1392" t="n"/>
      <c r="CF362" s="1392" t="n"/>
      <c r="CG362" s="1392" t="n"/>
      <c r="CH362" s="1392" t="n"/>
      <c r="CI362" s="1392" t="n"/>
      <c r="CJ362" s="1392" t="n"/>
      <c r="CK362" s="1392" t="n"/>
      <c r="CL362" s="1392" t="n"/>
    </row>
    <row r="363">
      <c r="A363" s="5" t="inlineStr">
        <is>
          <t>.</t>
        </is>
      </c>
      <c r="B363" s="5" t="inlineStr">
        <is>
          <t>.</t>
        </is>
      </c>
      <c r="C363" s="1378">
        <f>IF(raw[[#This Row],[city]]="","-",IF(raw[[#This Row],[city]]="TODAY","-",C362+1))</f>
        <v/>
      </c>
      <c r="D363" s="1393" t="inlineStr">
        <is>
          <t>SP</t>
        </is>
      </c>
      <c r="E363" s="1394" t="n">
        <v>34912</v>
      </c>
      <c r="F363" s="1394" t="n">
        <v>34943</v>
      </c>
      <c r="G363" s="1393" t="inlineStr">
        <is>
          <t>-</t>
        </is>
      </c>
      <c r="H363" s="1393" t="inlineStr">
        <is>
          <t>Casa Branca</t>
        </is>
      </c>
      <c r="I363" s="1393" t="inlineStr">
        <is>
          <t>-</t>
        </is>
      </c>
      <c r="J363" s="1393" t="inlineStr">
        <is>
          <t>BDAY</t>
        </is>
      </c>
      <c r="K363" s="1395">
        <f>IF(raw[[#This Row],[city]]&lt;&gt;"",_xlfn.XLOOKUP($D363,ccc[city],ccc[prov],"-"),"-")</f>
        <v/>
      </c>
      <c r="L363" s="1395">
        <f>IF(raw[[#This Row],[city]]&lt;&gt;"",_xlfn.XLOOKUP($D363,ccc[city],ccc[ctry],"-"),"-")</f>
        <v/>
      </c>
      <c r="M363" s="1395">
        <f>IF(raw[[#This Row],[city]]&lt;&gt;"",_xlfn.XLOOKUP($D363,ccc[city],ccc[cont],"-"),"-")</f>
        <v/>
      </c>
      <c r="N363" s="1396">
        <f>IF(raw[[#This Row],[city]]="","-",IF(raw[[#This Row],[cont]]="B",raw[[#This Row],[cont]],"W"))</f>
        <v/>
      </c>
      <c r="O363" s="1397">
        <f>IF(raw[[#This Row],[out]]=0,0,IF(raw[[#This Row],[out]]=raw[[#This Row],[in]],0.01,raw[[#This Row],[out]]-raw[[#This Row],[in]]))</f>
        <v/>
      </c>
      <c r="P363" s="1397">
        <f>IF(raw[[#This Row],[in]]=0,0,MONTH(raw[[#This Row],[in]]))</f>
        <v/>
      </c>
      <c r="Q363" s="1397">
        <f>IF(raw[[#This Row],[in]]=0,0,YEAR(raw[[#This Row],[in]]))</f>
        <v/>
      </c>
      <c r="R363" s="1397">
        <f>INT(raw[[#This Row],[yr]]/10)*10</f>
        <v/>
      </c>
      <c r="S363" s="1395">
        <f>IF(raw[[#This Row],[city]]="","-",IF(raw[[#This Row],[city]]&lt;&gt;_xlfn.XLOOKUP(raw[[#This Row],[home]],homes[home],homes[city],"-"),1,0))</f>
        <v/>
      </c>
      <c r="T363" s="1398" t="inlineStr">
        <is>
          <t>.</t>
        </is>
      </c>
      <c r="U363" s="1399">
        <f>IF(raw[[#This Row],[wb]]="w",raw[[#This Row],[stay]]+U362,U362)</f>
        <v/>
      </c>
      <c r="V363" s="1400">
        <f>IF(raw[[#This Row],[out]]=0,V362,(raw[[#This Row],[out]]-E$5))</f>
        <v/>
      </c>
      <c r="W363" s="1401">
        <f>U363/V363</f>
        <v/>
      </c>
      <c r="X363" s="1378" t="inlineStr">
        <is>
          <t>.</t>
        </is>
      </c>
      <c r="Y363" s="1402">
        <f/>
        <v/>
      </c>
      <c r="Z363" s="1403">
        <f/>
        <v/>
      </c>
      <c r="AA363" s="1403">
        <f/>
        <v/>
      </c>
      <c r="AB363" s="1400">
        <f t="array" ref="AB363">_xlfn.LET(_xlpm.S,_xlfn.ANCHORARRAY($Y$4),_xlpm.r,ROWS(stayCity[[#Headers],[city]]:stayCity[[#This Row],[city]])-1,IF(_xlpm.r&lt;=ROWS(_xlpm.S),INDEX(_xlpm.S,_xlpm.r,1),""))</f>
        <v/>
      </c>
      <c r="AC363" s="1405">
        <f t="array" ref="AC363">_xlfn.LET(_xlpm.S,_xlfn.ANCHORARRAY($Y$4),_xlpm.r,ROWS(stayCity[[#Headers],[city]]:stayCity[[#This Row],[city]])-1,IF(_xlpm.r&lt;=ROWS(_xlpm.S),INDEX(_xlpm.S,_xlpm.r,2),""))</f>
        <v/>
      </c>
      <c r="AD363" s="1405">
        <f t="array" ref="AD363">_xlfn.LET(_xlpm.S,_xlfn.ANCHORARRAY($Y$4),_xlpm.r,ROWS(stayCity[[#Headers],[city]]:stayCity[[#This Row],[city]])-1,IF(_xlpm.r&lt;=ROWS(_xlpm.S),INDEX(_xlpm.S,_xlpm.r,3),""))</f>
        <v/>
      </c>
      <c r="AE363" s="1400">
        <f>IF(stayCity[[#This Row],[out]]&lt;&gt;"",stayCity[[#This Row],[out]]-stayCity[[#This Row],[in]],"-")</f>
        <v/>
      </c>
      <c r="AF363" s="1406">
        <f>IF(Y363="","-",YEAR(stayCity[[#This Row],[in]]))</f>
        <v/>
      </c>
      <c r="AG363" s="1392" t="n"/>
      <c r="AH363" s="1392" t="n"/>
      <c r="AI363" s="1392" t="n"/>
      <c r="AJ363" s="1392" t="n"/>
      <c r="AK363" s="1392" t="n"/>
      <c r="AL363" s="1392" t="n"/>
      <c r="AM363" s="1392" t="n"/>
      <c r="AN363" s="1392" t="n"/>
      <c r="AO363" s="1392" t="n"/>
      <c r="AP363" s="1392" t="n"/>
      <c r="AQ363" s="1392" t="n"/>
      <c r="AR363" s="1392" t="n"/>
      <c r="AS363" s="1422" t="n"/>
      <c r="AT363" s="1392" t="n"/>
      <c r="AU363" s="1392" t="n"/>
      <c r="AV363" s="1392" t="n"/>
      <c r="AW363" s="1392" t="n"/>
      <c r="AX363" s="1392" t="n"/>
      <c r="AY363" s="1392" t="n"/>
      <c r="AZ363" s="1392" t="n"/>
      <c r="BA363" s="1392" t="n"/>
      <c r="BB363" s="1422" t="n"/>
      <c r="BC363" s="1392" t="n"/>
      <c r="BD363" s="1392" t="n"/>
      <c r="BE363" s="1392" t="n"/>
      <c r="BF363" s="1392" t="n"/>
      <c r="BG363" s="1392" t="n"/>
      <c r="BH363" s="1392" t="n"/>
      <c r="BI363" s="1392" t="n"/>
      <c r="BJ363" s="1392" t="n"/>
      <c r="BK363" s="1392" t="n"/>
      <c r="BL363" s="1392" t="n"/>
      <c r="BM363" s="1392" t="n"/>
      <c r="BN363" s="1392" t="n"/>
      <c r="BO363" s="1392" t="n"/>
      <c r="BP363" s="1398" t="inlineStr">
        <is>
          <t>.</t>
        </is>
      </c>
      <c r="BQ363" s="1400">
        <f>IF(BR363&lt;&gt;"",BQ362+1,BQ362)</f>
        <v/>
      </c>
      <c r="BR363" s="1411" t="inlineStr">
        <is>
          <t>SSA</t>
        </is>
      </c>
      <c r="BS363" s="1411" t="inlineStr">
        <is>
          <t>SP</t>
        </is>
      </c>
      <c r="BT363" s="1411" t="inlineStr">
        <is>
          <t>SSA-SP</t>
        </is>
      </c>
      <c r="BU363" s="1412" t="n">
        <v>45173</v>
      </c>
      <c r="BV363" s="1398" t="inlineStr">
        <is>
          <t>.</t>
        </is>
      </c>
      <c r="BW363" s="1392" t="n"/>
      <c r="BX363" s="1392" t="n"/>
      <c r="BY363" s="1392" t="n"/>
      <c r="BZ363" s="1416" t="n"/>
      <c r="CA363" s="1392" t="n"/>
      <c r="CB363" s="1392" t="n"/>
      <c r="CC363" s="1392" t="n"/>
      <c r="CD363" s="1392" t="n"/>
      <c r="CE363" s="1392" t="n"/>
      <c r="CF363" s="1392" t="n"/>
      <c r="CG363" s="1392" t="n"/>
      <c r="CH363" s="1392" t="n"/>
      <c r="CI363" s="1392" t="n"/>
      <c r="CJ363" s="1392" t="n"/>
      <c r="CK363" s="1392" t="n"/>
      <c r="CL363" s="1392" t="n"/>
    </row>
    <row r="364">
      <c r="A364" s="5" t="inlineStr">
        <is>
          <t>.</t>
        </is>
      </c>
      <c r="B364" s="5" t="inlineStr">
        <is>
          <t>.</t>
        </is>
      </c>
      <c r="C364" s="1378">
        <f>IF(raw[[#This Row],[city]]="","-",IF(raw[[#This Row],[city]]="TODAY","-",C363+1))</f>
        <v/>
      </c>
      <c r="D364" s="1393" t="inlineStr">
        <is>
          <t>SP</t>
        </is>
      </c>
      <c r="E364" s="1394" t="n">
        <v>34943</v>
      </c>
      <c r="F364" s="1394" t="n">
        <v>34973</v>
      </c>
      <c r="G364" s="1393" t="inlineStr">
        <is>
          <t>-</t>
        </is>
      </c>
      <c r="H364" s="1393">
        <f>H363</f>
        <v/>
      </c>
      <c r="I364" s="1393" t="inlineStr">
        <is>
          <t>-</t>
        </is>
      </c>
      <c r="J364" s="1393" t="inlineStr">
        <is>
          <t>-</t>
        </is>
      </c>
      <c r="K364" s="1395">
        <f>IF(raw[[#This Row],[city]]&lt;&gt;"",_xlfn.XLOOKUP($D364,ccc[city],ccc[prov],"-"),"-")</f>
        <v/>
      </c>
      <c r="L364" s="1395">
        <f>IF(raw[[#This Row],[city]]&lt;&gt;"",_xlfn.XLOOKUP($D364,ccc[city],ccc[ctry],"-"),"-")</f>
        <v/>
      </c>
      <c r="M364" s="1395">
        <f>IF(raw[[#This Row],[city]]&lt;&gt;"",_xlfn.XLOOKUP($D364,ccc[city],ccc[cont],"-"),"-")</f>
        <v/>
      </c>
      <c r="N364" s="1396">
        <f>IF(raw[[#This Row],[city]]="","-",IF(raw[[#This Row],[cont]]="B",raw[[#This Row],[cont]],"W"))</f>
        <v/>
      </c>
      <c r="O364" s="1397">
        <f>IF(raw[[#This Row],[out]]=0,0,IF(raw[[#This Row],[out]]=raw[[#This Row],[in]],0.01,raw[[#This Row],[out]]-raw[[#This Row],[in]]))</f>
        <v/>
      </c>
      <c r="P364" s="1397">
        <f>IF(raw[[#This Row],[in]]=0,0,MONTH(raw[[#This Row],[in]]))</f>
        <v/>
      </c>
      <c r="Q364" s="1397">
        <f>IF(raw[[#This Row],[in]]=0,0,YEAR(raw[[#This Row],[in]]))</f>
        <v/>
      </c>
      <c r="R364" s="1397">
        <f>INT(raw[[#This Row],[yr]]/10)*10</f>
        <v/>
      </c>
      <c r="S364" s="1395">
        <f>IF(raw[[#This Row],[city]]="","-",IF(raw[[#This Row],[city]]&lt;&gt;_xlfn.XLOOKUP(raw[[#This Row],[home]],homes[home],homes[city],"-"),1,0))</f>
        <v/>
      </c>
      <c r="T364" s="1398" t="inlineStr">
        <is>
          <t>.</t>
        </is>
      </c>
      <c r="U364" s="1399">
        <f>IF(raw[[#This Row],[wb]]="w",raw[[#This Row],[stay]]+U363,U363)</f>
        <v/>
      </c>
      <c r="V364" s="1400">
        <f>IF(raw[[#This Row],[out]]=0,V363,(raw[[#This Row],[out]]-E$5))</f>
        <v/>
      </c>
      <c r="W364" s="1401">
        <f>U364/V364</f>
        <v/>
      </c>
      <c r="X364" s="1378" t="inlineStr">
        <is>
          <t>.</t>
        </is>
      </c>
      <c r="Y364" s="1402">
        <f/>
        <v/>
      </c>
      <c r="Z364" s="1403">
        <f/>
        <v/>
      </c>
      <c r="AA364" s="1403">
        <f/>
        <v/>
      </c>
      <c r="AB364" s="1400">
        <f t="array" ref="AB364">_xlfn.LET(_xlpm.S,_xlfn.ANCHORARRAY($Y$4),_xlpm.r,ROWS(stayCity[[#Headers],[city]]:stayCity[[#This Row],[city]])-1,IF(_xlpm.r&lt;=ROWS(_xlpm.S),INDEX(_xlpm.S,_xlpm.r,1),""))</f>
        <v/>
      </c>
      <c r="AC364" s="1405">
        <f t="array" ref="AC364">_xlfn.LET(_xlpm.S,_xlfn.ANCHORARRAY($Y$4),_xlpm.r,ROWS(stayCity[[#Headers],[city]]:stayCity[[#This Row],[city]])-1,IF(_xlpm.r&lt;=ROWS(_xlpm.S),INDEX(_xlpm.S,_xlpm.r,2),""))</f>
        <v/>
      </c>
      <c r="AD364" s="1405">
        <f t="array" ref="AD364">_xlfn.LET(_xlpm.S,_xlfn.ANCHORARRAY($Y$4),_xlpm.r,ROWS(stayCity[[#Headers],[city]]:stayCity[[#This Row],[city]])-1,IF(_xlpm.r&lt;=ROWS(_xlpm.S),INDEX(_xlpm.S,_xlpm.r,3),""))</f>
        <v/>
      </c>
      <c r="AE364" s="1400">
        <f>IF(stayCity[[#This Row],[out]]&lt;&gt;"",stayCity[[#This Row],[out]]-stayCity[[#This Row],[in]],"-")</f>
        <v/>
      </c>
      <c r="AF364" s="1406">
        <f>IF(Y364="","-",YEAR(stayCity[[#This Row],[in]]))</f>
        <v/>
      </c>
      <c r="AG364" s="1392" t="n"/>
      <c r="AH364" s="1392" t="n"/>
      <c r="AI364" s="1392" t="n"/>
      <c r="AJ364" s="1392" t="n"/>
      <c r="AK364" s="1392" t="n"/>
      <c r="AL364" s="1392" t="n"/>
      <c r="AM364" s="1392" t="n"/>
      <c r="AN364" s="1392" t="n"/>
      <c r="AO364" s="1392" t="n"/>
      <c r="AP364" s="1392" t="n"/>
      <c r="AQ364" s="1392" t="n"/>
      <c r="AR364" s="1392" t="n"/>
      <c r="AS364" s="1422" t="n"/>
      <c r="AT364" s="1392" t="n"/>
      <c r="AU364" s="1392" t="n"/>
      <c r="AV364" s="1392" t="n"/>
      <c r="AW364" s="1392" t="n"/>
      <c r="AX364" s="1392" t="n"/>
      <c r="AY364" s="1392" t="n"/>
      <c r="AZ364" s="1392" t="n"/>
      <c r="BA364" s="1392" t="n"/>
      <c r="BB364" s="1422" t="n"/>
      <c r="BC364" s="1392" t="n"/>
      <c r="BD364" s="1392" t="n"/>
      <c r="BE364" s="1392" t="n"/>
      <c r="BF364" s="1392" t="n"/>
      <c r="BG364" s="1392" t="n"/>
      <c r="BH364" s="1392" t="n"/>
      <c r="BI364" s="1392" t="n"/>
      <c r="BJ364" s="1392" t="n"/>
      <c r="BK364" s="1392" t="n"/>
      <c r="BL364" s="1392" t="n"/>
      <c r="BM364" s="1392" t="n"/>
      <c r="BN364" s="1392" t="n"/>
      <c r="BO364" s="1392" t="n"/>
      <c r="BP364" s="1398" t="inlineStr">
        <is>
          <t>.</t>
        </is>
      </c>
      <c r="BQ364" s="1400">
        <f>IF(BR364&lt;&gt;"",BQ363+1,BQ363)</f>
        <v/>
      </c>
      <c r="BR364" s="1411" t="inlineStr">
        <is>
          <t>SP</t>
        </is>
      </c>
      <c r="BS364" s="1411" t="inlineStr">
        <is>
          <t>Atlanta</t>
        </is>
      </c>
      <c r="BT364" s="1411" t="inlineStr">
        <is>
          <t>SP-Atlanta</t>
        </is>
      </c>
      <c r="BU364" s="1412" t="n">
        <v>45173</v>
      </c>
      <c r="BV364" s="1398" t="inlineStr">
        <is>
          <t>.</t>
        </is>
      </c>
      <c r="BW364" s="1392" t="n"/>
      <c r="BX364" s="1392" t="n"/>
      <c r="BY364" s="1392" t="n"/>
      <c r="BZ364" s="1416" t="n"/>
      <c r="CA364" s="1392" t="n"/>
      <c r="CB364" s="1392" t="n"/>
      <c r="CC364" s="1392" t="n"/>
      <c r="CD364" s="1392" t="n"/>
      <c r="CE364" s="1392" t="n"/>
      <c r="CF364" s="1392" t="n"/>
      <c r="CG364" s="1392" t="n"/>
      <c r="CH364" s="1392" t="n"/>
      <c r="CI364" s="1392" t="n"/>
      <c r="CJ364" s="1392" t="n"/>
      <c r="CK364" s="1392" t="n"/>
      <c r="CL364" s="1392" t="n"/>
    </row>
    <row r="365">
      <c r="A365" s="5" t="inlineStr">
        <is>
          <t>.</t>
        </is>
      </c>
      <c r="B365" s="5" t="inlineStr">
        <is>
          <t>.</t>
        </is>
      </c>
      <c r="C365" s="1378">
        <f>IF(raw[[#This Row],[city]]="","-",IF(raw[[#This Row],[city]]="TODAY","-",C364+1))</f>
        <v/>
      </c>
      <c r="D365" s="1393" t="inlineStr">
        <is>
          <t>Campinas</t>
        </is>
      </c>
      <c r="E365" s="1394" t="n">
        <v>34973</v>
      </c>
      <c r="F365" s="1394" t="n">
        <v>34974</v>
      </c>
      <c r="G365" s="1393" t="inlineStr">
        <is>
          <t>-</t>
        </is>
      </c>
      <c r="H365" s="1393">
        <f>H364</f>
        <v/>
      </c>
      <c r="I365" s="1393" t="inlineStr">
        <is>
          <t>-</t>
        </is>
      </c>
      <c r="J365" s="1393" t="inlineStr">
        <is>
          <t>-</t>
        </is>
      </c>
      <c r="K365" s="1395">
        <f>IF(raw[[#This Row],[city]]&lt;&gt;"",_xlfn.XLOOKUP($D365,ccc[city],ccc[prov],"-"),"-")</f>
        <v/>
      </c>
      <c r="L365" s="1395">
        <f>IF(raw[[#This Row],[city]]&lt;&gt;"",_xlfn.XLOOKUP($D365,ccc[city],ccc[ctry],"-"),"-")</f>
        <v/>
      </c>
      <c r="M365" s="1395">
        <f>IF(raw[[#This Row],[city]]&lt;&gt;"",_xlfn.XLOOKUP($D365,ccc[city],ccc[cont],"-"),"-")</f>
        <v/>
      </c>
      <c r="N365" s="1396">
        <f>IF(raw[[#This Row],[city]]="","-",IF(raw[[#This Row],[cont]]="B",raw[[#This Row],[cont]],"W"))</f>
        <v/>
      </c>
      <c r="O365" s="1397">
        <f>IF(raw[[#This Row],[out]]=0,0,IF(raw[[#This Row],[out]]=raw[[#This Row],[in]],0.01,raw[[#This Row],[out]]-raw[[#This Row],[in]]))</f>
        <v/>
      </c>
      <c r="P365" s="1397">
        <f>IF(raw[[#This Row],[in]]=0,0,MONTH(raw[[#This Row],[in]]))</f>
        <v/>
      </c>
      <c r="Q365" s="1397">
        <f>IF(raw[[#This Row],[in]]=0,0,YEAR(raw[[#This Row],[in]]))</f>
        <v/>
      </c>
      <c r="R365" s="1397">
        <f>INT(raw[[#This Row],[yr]]/10)*10</f>
        <v/>
      </c>
      <c r="S365" s="1395">
        <f>IF(raw[[#This Row],[city]]="","-",IF(raw[[#This Row],[city]]&lt;&gt;_xlfn.XLOOKUP(raw[[#This Row],[home]],homes[home],homes[city],"-"),1,0))</f>
        <v/>
      </c>
      <c r="T365" s="1398" t="inlineStr">
        <is>
          <t>.</t>
        </is>
      </c>
      <c r="U365" s="1399">
        <f>IF(raw[[#This Row],[wb]]="w",raw[[#This Row],[stay]]+U364,U364)</f>
        <v/>
      </c>
      <c r="V365" s="1400">
        <f>IF(raw[[#This Row],[out]]=0,V364,(raw[[#This Row],[out]]-E$5))</f>
        <v/>
      </c>
      <c r="W365" s="1401">
        <f>U365/V365</f>
        <v/>
      </c>
      <c r="X365" s="1378" t="inlineStr">
        <is>
          <t>.</t>
        </is>
      </c>
      <c r="Y365" s="1402">
        <f/>
        <v/>
      </c>
      <c r="Z365" s="1403">
        <f/>
        <v/>
      </c>
      <c r="AA365" s="1403">
        <f/>
        <v/>
      </c>
      <c r="AB365" s="1400">
        <f t="array" ref="AB365">_xlfn.LET(_xlpm.S,_xlfn.ANCHORARRAY($Y$4),_xlpm.r,ROWS(stayCity[[#Headers],[city]]:stayCity[[#This Row],[city]])-1,IF(_xlpm.r&lt;=ROWS(_xlpm.S),INDEX(_xlpm.S,_xlpm.r,1),""))</f>
        <v/>
      </c>
      <c r="AC365" s="1405">
        <f t="array" ref="AC365">_xlfn.LET(_xlpm.S,_xlfn.ANCHORARRAY($Y$4),_xlpm.r,ROWS(stayCity[[#Headers],[city]]:stayCity[[#This Row],[city]])-1,IF(_xlpm.r&lt;=ROWS(_xlpm.S),INDEX(_xlpm.S,_xlpm.r,2),""))</f>
        <v/>
      </c>
      <c r="AD365" s="1405">
        <f t="array" ref="AD365">_xlfn.LET(_xlpm.S,_xlfn.ANCHORARRAY($Y$4),_xlpm.r,ROWS(stayCity[[#Headers],[city]]:stayCity[[#This Row],[city]])-1,IF(_xlpm.r&lt;=ROWS(_xlpm.S),INDEX(_xlpm.S,_xlpm.r,3),""))</f>
        <v/>
      </c>
      <c r="AE365" s="1400">
        <f>IF(stayCity[[#This Row],[out]]&lt;&gt;"",stayCity[[#This Row],[out]]-stayCity[[#This Row],[in]],"-")</f>
        <v/>
      </c>
      <c r="AF365" s="1406">
        <f>IF(Y365="","-",YEAR(stayCity[[#This Row],[in]]))</f>
        <v/>
      </c>
      <c r="AG365" s="1392" t="n"/>
      <c r="AH365" s="1392" t="n"/>
      <c r="AI365" s="1392" t="n"/>
      <c r="AJ365" s="1392" t="n"/>
      <c r="AK365" s="1392" t="n"/>
      <c r="AL365" s="1392" t="n"/>
      <c r="AM365" s="1392" t="n"/>
      <c r="AN365" s="1392" t="n"/>
      <c r="AO365" s="1392" t="n"/>
      <c r="AP365" s="1392" t="n"/>
      <c r="AQ365" s="1392" t="n"/>
      <c r="AR365" s="1392" t="n"/>
      <c r="AS365" s="1422" t="n"/>
      <c r="AT365" s="1392" t="n"/>
      <c r="AU365" s="1392" t="n"/>
      <c r="AV365" s="1392" t="n"/>
      <c r="AW365" s="1392" t="n"/>
      <c r="AX365" s="1392" t="n"/>
      <c r="AY365" s="1392" t="n"/>
      <c r="AZ365" s="1392" t="n"/>
      <c r="BA365" s="1392" t="n"/>
      <c r="BB365" s="1422" t="n"/>
      <c r="BC365" s="1392" t="n"/>
      <c r="BD365" s="1392" t="n"/>
      <c r="BE365" s="1392" t="n"/>
      <c r="BF365" s="1392" t="n"/>
      <c r="BG365" s="1392" t="n"/>
      <c r="BH365" s="1392" t="n"/>
      <c r="BI365" s="1392" t="n"/>
      <c r="BJ365" s="1392" t="n"/>
      <c r="BK365" s="1392" t="n"/>
      <c r="BL365" s="1392" t="n"/>
      <c r="BM365" s="1392" t="n"/>
      <c r="BN365" s="1392" t="n"/>
      <c r="BO365" s="1392" t="n"/>
      <c r="BP365" s="1398" t="inlineStr">
        <is>
          <t>.</t>
        </is>
      </c>
      <c r="BQ365" s="1400">
        <f>IF(BR365&lt;&gt;"",BQ364+1,BQ364)</f>
        <v/>
      </c>
      <c r="BR365" s="1411" t="inlineStr">
        <is>
          <t>Atlanta</t>
        </is>
      </c>
      <c r="BS365" s="1411" t="inlineStr">
        <is>
          <t>Montreal</t>
        </is>
      </c>
      <c r="BT365" s="1411" t="inlineStr">
        <is>
          <t>Atlanta-Montreal</t>
        </is>
      </c>
      <c r="BU365" s="1412" t="n">
        <v>45174</v>
      </c>
      <c r="BV365" s="1398" t="inlineStr">
        <is>
          <t>.</t>
        </is>
      </c>
      <c r="BW365" s="1392" t="n"/>
      <c r="BX365" s="1392" t="n"/>
      <c r="BY365" s="1392" t="n"/>
      <c r="BZ365" s="1416" t="n"/>
      <c r="CA365" s="1392" t="n"/>
      <c r="CB365" s="1392" t="n"/>
      <c r="CC365" s="1392" t="n"/>
      <c r="CD365" s="1392" t="n"/>
      <c r="CE365" s="1392" t="n"/>
      <c r="CF365" s="1392" t="n"/>
      <c r="CG365" s="1392" t="n"/>
      <c r="CH365" s="1392" t="n"/>
      <c r="CI365" s="1392" t="n"/>
      <c r="CJ365" s="1392" t="n"/>
      <c r="CK365" s="1392" t="n"/>
      <c r="CL365" s="1392" t="n"/>
    </row>
    <row r="366">
      <c r="A366" s="5" t="inlineStr">
        <is>
          <t>.</t>
        </is>
      </c>
      <c r="B366" s="5" t="inlineStr">
        <is>
          <t>.</t>
        </is>
      </c>
      <c r="C366" s="1378">
        <f>IF(raw[[#This Row],[city]]="","-",IF(raw[[#This Row],[city]]="TODAY","-",C365+1))</f>
        <v/>
      </c>
      <c r="D366" s="1393" t="inlineStr">
        <is>
          <t>SP</t>
        </is>
      </c>
      <c r="E366" s="1394" t="n">
        <v>34974</v>
      </c>
      <c r="F366" s="1394" t="n">
        <v>35004</v>
      </c>
      <c r="G366" s="1393" t="inlineStr">
        <is>
          <t>-</t>
        </is>
      </c>
      <c r="H366" s="1393">
        <f>H365</f>
        <v/>
      </c>
      <c r="I366" s="1393" t="inlineStr">
        <is>
          <t>-</t>
        </is>
      </c>
      <c r="J366" s="1393" t="inlineStr">
        <is>
          <t>-</t>
        </is>
      </c>
      <c r="K366" s="1395">
        <f>IF(raw[[#This Row],[city]]&lt;&gt;"",_xlfn.XLOOKUP($D366,ccc[city],ccc[prov],"-"),"-")</f>
        <v/>
      </c>
      <c r="L366" s="1395">
        <f>IF(raw[[#This Row],[city]]&lt;&gt;"",_xlfn.XLOOKUP($D366,ccc[city],ccc[ctry],"-"),"-")</f>
        <v/>
      </c>
      <c r="M366" s="1395">
        <f>IF(raw[[#This Row],[city]]&lt;&gt;"",_xlfn.XLOOKUP($D366,ccc[city],ccc[cont],"-"),"-")</f>
        <v/>
      </c>
      <c r="N366" s="1396">
        <f>IF(raw[[#This Row],[city]]="","-",IF(raw[[#This Row],[cont]]="B",raw[[#This Row],[cont]],"W"))</f>
        <v/>
      </c>
      <c r="O366" s="1397">
        <f>IF(raw[[#This Row],[out]]=0,0,IF(raw[[#This Row],[out]]=raw[[#This Row],[in]],0.01,raw[[#This Row],[out]]-raw[[#This Row],[in]]))</f>
        <v/>
      </c>
      <c r="P366" s="1397">
        <f>IF(raw[[#This Row],[in]]=0,0,MONTH(raw[[#This Row],[in]]))</f>
        <v/>
      </c>
      <c r="Q366" s="1397">
        <f>IF(raw[[#This Row],[in]]=0,0,YEAR(raw[[#This Row],[in]]))</f>
        <v/>
      </c>
      <c r="R366" s="1397">
        <f>INT(raw[[#This Row],[yr]]/10)*10</f>
        <v/>
      </c>
      <c r="S366" s="1395">
        <f>IF(raw[[#This Row],[city]]="","-",IF(raw[[#This Row],[city]]&lt;&gt;_xlfn.XLOOKUP(raw[[#This Row],[home]],homes[home],homes[city],"-"),1,0))</f>
        <v/>
      </c>
      <c r="T366" s="1398" t="inlineStr">
        <is>
          <t>.</t>
        </is>
      </c>
      <c r="U366" s="1399">
        <f>IF(raw[[#This Row],[wb]]="w",raw[[#This Row],[stay]]+U365,U365)</f>
        <v/>
      </c>
      <c r="V366" s="1400">
        <f>IF(raw[[#This Row],[out]]=0,V365,(raw[[#This Row],[out]]-E$5))</f>
        <v/>
      </c>
      <c r="W366" s="1401">
        <f>U366/V366</f>
        <v/>
      </c>
      <c r="X366" s="1378" t="inlineStr">
        <is>
          <t>.</t>
        </is>
      </c>
      <c r="Y366" s="1402">
        <f/>
        <v/>
      </c>
      <c r="Z366" s="1403">
        <f/>
        <v/>
      </c>
      <c r="AA366" s="1403">
        <f/>
        <v/>
      </c>
      <c r="AB366" s="1400">
        <f t="array" ref="AB366">_xlfn.LET(_xlpm.S,_xlfn.ANCHORARRAY($Y$4),_xlpm.r,ROWS(stayCity[[#Headers],[city]]:stayCity[[#This Row],[city]])-1,IF(_xlpm.r&lt;=ROWS(_xlpm.S),INDEX(_xlpm.S,_xlpm.r,1),""))</f>
        <v/>
      </c>
      <c r="AC366" s="1405">
        <f t="array" ref="AC366">_xlfn.LET(_xlpm.S,_xlfn.ANCHORARRAY($Y$4),_xlpm.r,ROWS(stayCity[[#Headers],[city]]:stayCity[[#This Row],[city]])-1,IF(_xlpm.r&lt;=ROWS(_xlpm.S),INDEX(_xlpm.S,_xlpm.r,2),""))</f>
        <v/>
      </c>
      <c r="AD366" s="1405">
        <f t="array" ref="AD366">_xlfn.LET(_xlpm.S,_xlfn.ANCHORARRAY($Y$4),_xlpm.r,ROWS(stayCity[[#Headers],[city]]:stayCity[[#This Row],[city]])-1,IF(_xlpm.r&lt;=ROWS(_xlpm.S),INDEX(_xlpm.S,_xlpm.r,3),""))</f>
        <v/>
      </c>
      <c r="AE366" s="1400">
        <f>IF(stayCity[[#This Row],[out]]&lt;&gt;"",stayCity[[#This Row],[out]]-stayCity[[#This Row],[in]],"-")</f>
        <v/>
      </c>
      <c r="AF366" s="1406">
        <f>IF(Y366="","-",YEAR(stayCity[[#This Row],[in]]))</f>
        <v/>
      </c>
      <c r="AG366" s="1392" t="n"/>
      <c r="AH366" s="1392" t="n"/>
      <c r="AI366" s="1392" t="n"/>
      <c r="AJ366" s="1392" t="n"/>
      <c r="AK366" s="1392" t="n"/>
      <c r="AL366" s="1392" t="n"/>
      <c r="AM366" s="1392" t="n"/>
      <c r="AN366" s="1392" t="n"/>
      <c r="AO366" s="1392" t="n"/>
      <c r="AP366" s="1392" t="n"/>
      <c r="AQ366" s="1392" t="n"/>
      <c r="AR366" s="1392" t="n"/>
      <c r="AS366" s="1422" t="n"/>
      <c r="AT366" s="1392" t="n"/>
      <c r="AU366" s="1392" t="n"/>
      <c r="AV366" s="1392" t="n"/>
      <c r="AW366" s="1392" t="n"/>
      <c r="AX366" s="1392" t="n"/>
      <c r="AY366" s="1392" t="n"/>
      <c r="AZ366" s="1392" t="n"/>
      <c r="BA366" s="1392" t="n"/>
      <c r="BB366" s="1422" t="n"/>
      <c r="BC366" s="1392" t="n"/>
      <c r="BD366" s="1392" t="n"/>
      <c r="BE366" s="1392" t="n"/>
      <c r="BF366" s="1392" t="n"/>
      <c r="BG366" s="1392" t="n"/>
      <c r="BH366" s="1392" t="n"/>
      <c r="BI366" s="1392" t="n"/>
      <c r="BJ366" s="1392" t="n"/>
      <c r="BK366" s="1392" t="n"/>
      <c r="BL366" s="1392" t="n"/>
      <c r="BM366" s="1392" t="n"/>
      <c r="BN366" s="1392" t="n"/>
      <c r="BO366" s="1392" t="n"/>
      <c r="BP366" s="1398" t="inlineStr">
        <is>
          <t>.</t>
        </is>
      </c>
      <c r="BQ366" s="1400">
        <f>IF(BR366&lt;&gt;"",BQ365+1,BQ365)</f>
        <v/>
      </c>
      <c r="BR366" s="1411" t="inlineStr">
        <is>
          <t>Montreal</t>
        </is>
      </c>
      <c r="BS366" s="1411" t="inlineStr">
        <is>
          <t>Chicago</t>
        </is>
      </c>
      <c r="BT366" s="1411" t="inlineStr">
        <is>
          <t>Montreal-Chicago</t>
        </is>
      </c>
      <c r="BU366" s="1412" t="n">
        <v>45468</v>
      </c>
      <c r="BV366" s="1398" t="inlineStr">
        <is>
          <t>.</t>
        </is>
      </c>
      <c r="BW366" s="1392" t="n"/>
      <c r="BX366" s="1392" t="n"/>
      <c r="BY366" s="1392" t="n"/>
      <c r="BZ366" s="1416" t="n"/>
      <c r="CA366" s="1392" t="n"/>
      <c r="CB366" s="1392" t="n"/>
      <c r="CC366" s="1392" t="n"/>
      <c r="CD366" s="1392" t="n"/>
      <c r="CE366" s="1392" t="n"/>
      <c r="CF366" s="1392" t="n"/>
      <c r="CG366" s="1392" t="n"/>
      <c r="CH366" s="1392" t="n"/>
      <c r="CI366" s="1392" t="n"/>
      <c r="CJ366" s="1392" t="n"/>
      <c r="CK366" s="1392" t="n"/>
      <c r="CL366" s="1392" t="n"/>
    </row>
    <row r="367">
      <c r="A367" s="5" t="inlineStr">
        <is>
          <t>.</t>
        </is>
      </c>
      <c r="B367" s="5" t="inlineStr">
        <is>
          <t>.</t>
        </is>
      </c>
      <c r="C367" s="1378">
        <f>IF(raw[[#This Row],[city]]="","-",IF(raw[[#This Row],[city]]="TODAY","-",C366+1))</f>
        <v/>
      </c>
      <c r="D367" s="1393" t="inlineStr">
        <is>
          <t>Peruibe</t>
        </is>
      </c>
      <c r="E367" s="1394" t="n">
        <v>35004</v>
      </c>
      <c r="F367" s="1394" t="n">
        <v>35006</v>
      </c>
      <c r="G367" s="1393" t="inlineStr">
        <is>
          <t>-</t>
        </is>
      </c>
      <c r="H367" s="1393">
        <f>H366</f>
        <v/>
      </c>
      <c r="I367" s="1393" t="inlineStr">
        <is>
          <t>-</t>
        </is>
      </c>
      <c r="J367" s="1393" t="inlineStr">
        <is>
          <t>-</t>
        </is>
      </c>
      <c r="K367" s="1395">
        <f>IF(raw[[#This Row],[city]]&lt;&gt;"",_xlfn.XLOOKUP($D367,ccc[city],ccc[prov],"-"),"-")</f>
        <v/>
      </c>
      <c r="L367" s="1395">
        <f>IF(raw[[#This Row],[city]]&lt;&gt;"",_xlfn.XLOOKUP($D367,ccc[city],ccc[ctry],"-"),"-")</f>
        <v/>
      </c>
      <c r="M367" s="1395">
        <f>IF(raw[[#This Row],[city]]&lt;&gt;"",_xlfn.XLOOKUP($D367,ccc[city],ccc[cont],"-"),"-")</f>
        <v/>
      </c>
      <c r="N367" s="1396">
        <f>IF(raw[[#This Row],[city]]="","-",IF(raw[[#This Row],[cont]]="B",raw[[#This Row],[cont]],"W"))</f>
        <v/>
      </c>
      <c r="O367" s="1397">
        <f>IF(raw[[#This Row],[out]]=0,0,IF(raw[[#This Row],[out]]=raw[[#This Row],[in]],0.01,raw[[#This Row],[out]]-raw[[#This Row],[in]]))</f>
        <v/>
      </c>
      <c r="P367" s="1397">
        <f>IF(raw[[#This Row],[in]]=0,0,MONTH(raw[[#This Row],[in]]))</f>
        <v/>
      </c>
      <c r="Q367" s="1397">
        <f>IF(raw[[#This Row],[in]]=0,0,YEAR(raw[[#This Row],[in]]))</f>
        <v/>
      </c>
      <c r="R367" s="1397">
        <f>INT(raw[[#This Row],[yr]]/10)*10</f>
        <v/>
      </c>
      <c r="S367" s="1395">
        <f>IF(raw[[#This Row],[city]]="","-",IF(raw[[#This Row],[city]]&lt;&gt;_xlfn.XLOOKUP(raw[[#This Row],[home]],homes[home],homes[city],"-"),1,0))</f>
        <v/>
      </c>
      <c r="T367" s="1398" t="inlineStr">
        <is>
          <t>.</t>
        </is>
      </c>
      <c r="U367" s="1399">
        <f>IF(raw[[#This Row],[wb]]="w",raw[[#This Row],[stay]]+U366,U366)</f>
        <v/>
      </c>
      <c r="V367" s="1400">
        <f>IF(raw[[#This Row],[out]]=0,V366,(raw[[#This Row],[out]]-E$5))</f>
        <v/>
      </c>
      <c r="W367" s="1401">
        <f>U367/V367</f>
        <v/>
      </c>
      <c r="X367" s="1378" t="inlineStr">
        <is>
          <t>.</t>
        </is>
      </c>
      <c r="Y367" s="1402">
        <f/>
        <v/>
      </c>
      <c r="Z367" s="1403">
        <f/>
        <v/>
      </c>
      <c r="AA367" s="1403">
        <f/>
        <v/>
      </c>
      <c r="AB367" s="1400">
        <f t="array" ref="AB367">_xlfn.LET(_xlpm.S,_xlfn.ANCHORARRAY($Y$4),_xlpm.r,ROWS(stayCity[[#Headers],[city]]:stayCity[[#This Row],[city]])-1,IF(_xlpm.r&lt;=ROWS(_xlpm.S),INDEX(_xlpm.S,_xlpm.r,1),""))</f>
        <v/>
      </c>
      <c r="AC367" s="1405">
        <f t="array" ref="AC367">_xlfn.LET(_xlpm.S,_xlfn.ANCHORARRAY($Y$4),_xlpm.r,ROWS(stayCity[[#Headers],[city]]:stayCity[[#This Row],[city]])-1,IF(_xlpm.r&lt;=ROWS(_xlpm.S),INDEX(_xlpm.S,_xlpm.r,2),""))</f>
        <v/>
      </c>
      <c r="AD367" s="1405">
        <f t="array" ref="AD367">_xlfn.LET(_xlpm.S,_xlfn.ANCHORARRAY($Y$4),_xlpm.r,ROWS(stayCity[[#Headers],[city]]:stayCity[[#This Row],[city]])-1,IF(_xlpm.r&lt;=ROWS(_xlpm.S),INDEX(_xlpm.S,_xlpm.r,3),""))</f>
        <v/>
      </c>
      <c r="AE367" s="1400">
        <f>IF(stayCity[[#This Row],[out]]&lt;&gt;"",stayCity[[#This Row],[out]]-stayCity[[#This Row],[in]],"-")</f>
        <v/>
      </c>
      <c r="AF367" s="1406">
        <f>IF(Y367="","-",YEAR(stayCity[[#This Row],[in]]))</f>
        <v/>
      </c>
      <c r="AG367" s="1392" t="n"/>
      <c r="AH367" s="1392" t="n"/>
      <c r="AI367" s="1392" t="n"/>
      <c r="AJ367" s="1392" t="n"/>
      <c r="AK367" s="1392" t="n"/>
      <c r="AL367" s="1392" t="n"/>
      <c r="AM367" s="1392" t="n"/>
      <c r="AN367" s="1392" t="n"/>
      <c r="AO367" s="1392" t="n"/>
      <c r="AP367" s="1392" t="n"/>
      <c r="AQ367" s="1392" t="n"/>
      <c r="AR367" s="1392" t="n"/>
      <c r="AS367" s="1422" t="n"/>
      <c r="AT367" s="1392" t="n"/>
      <c r="AU367" s="1392" t="n"/>
      <c r="AV367" s="1392" t="n"/>
      <c r="AW367" s="1392" t="n"/>
      <c r="AX367" s="1392" t="n"/>
      <c r="AY367" s="1392" t="n"/>
      <c r="AZ367" s="1392" t="n"/>
      <c r="BA367" s="1392" t="n"/>
      <c r="BB367" s="1422" t="n"/>
      <c r="BC367" s="1392" t="n"/>
      <c r="BD367" s="1392" t="n"/>
      <c r="BE367" s="1392" t="n"/>
      <c r="BF367" s="1392" t="n"/>
      <c r="BG367" s="1392" t="n"/>
      <c r="BH367" s="1392" t="n"/>
      <c r="BI367" s="1392" t="n"/>
      <c r="BJ367" s="1392" t="n"/>
      <c r="BK367" s="1392" t="n"/>
      <c r="BL367" s="1392" t="n"/>
      <c r="BM367" s="1392" t="n"/>
      <c r="BN367" s="1392" t="n"/>
      <c r="BO367" s="1392" t="n"/>
      <c r="BP367" s="1398" t="inlineStr">
        <is>
          <t>.</t>
        </is>
      </c>
      <c r="BQ367" s="1400">
        <f>IF(BR367&lt;&gt;"",BQ366+1,BQ366)</f>
        <v/>
      </c>
      <c r="BR367" s="1411" t="inlineStr">
        <is>
          <t>Chicago</t>
        </is>
      </c>
      <c r="BS367" s="1411" t="inlineStr">
        <is>
          <t>SP</t>
        </is>
      </c>
      <c r="BT367" s="1411" t="inlineStr">
        <is>
          <t>Chicago-SP</t>
        </is>
      </c>
      <c r="BU367" s="1412" t="n">
        <v>45468</v>
      </c>
      <c r="BV367" s="1398" t="inlineStr">
        <is>
          <t>.</t>
        </is>
      </c>
      <c r="BW367" s="1392" t="n"/>
      <c r="BX367" s="1392" t="n"/>
      <c r="BY367" s="1392" t="n"/>
      <c r="BZ367" s="1416" t="n"/>
      <c r="CA367" s="1392" t="n"/>
      <c r="CB367" s="1392" t="n"/>
      <c r="CC367" s="1392" t="n"/>
      <c r="CD367" s="1392" t="n"/>
      <c r="CE367" s="1392" t="n"/>
      <c r="CF367" s="1392" t="n"/>
      <c r="CG367" s="1392" t="n"/>
      <c r="CH367" s="1392" t="n"/>
      <c r="CI367" s="1392" t="n"/>
      <c r="CJ367" s="1392" t="n"/>
      <c r="CK367" s="1392" t="n"/>
      <c r="CL367" s="1392" t="n"/>
    </row>
    <row r="368">
      <c r="A368" s="5" t="inlineStr">
        <is>
          <t>.</t>
        </is>
      </c>
      <c r="B368" s="5" t="inlineStr">
        <is>
          <t>.</t>
        </is>
      </c>
      <c r="C368" s="1378">
        <f>IF(raw[[#This Row],[city]]="","-",IF(raw[[#This Row],[city]]="TODAY","-",C367+1))</f>
        <v/>
      </c>
      <c r="D368" s="1393" t="inlineStr">
        <is>
          <t>SP</t>
        </is>
      </c>
      <c r="E368" s="1394" t="n">
        <v>35006</v>
      </c>
      <c r="F368" s="1394" t="n">
        <v>35034</v>
      </c>
      <c r="G368" s="1393" t="inlineStr">
        <is>
          <t>-</t>
        </is>
      </c>
      <c r="H368" s="1393">
        <f>H367</f>
        <v/>
      </c>
      <c r="I368" s="1393" t="inlineStr">
        <is>
          <t>-</t>
        </is>
      </c>
      <c r="J368" s="1393" t="inlineStr">
        <is>
          <t>-</t>
        </is>
      </c>
      <c r="K368" s="1395">
        <f>IF(raw[[#This Row],[city]]&lt;&gt;"",_xlfn.XLOOKUP($D368,ccc[city],ccc[prov],"-"),"-")</f>
        <v/>
      </c>
      <c r="L368" s="1395">
        <f>IF(raw[[#This Row],[city]]&lt;&gt;"",_xlfn.XLOOKUP($D368,ccc[city],ccc[ctry],"-"),"-")</f>
        <v/>
      </c>
      <c r="M368" s="1395">
        <f>IF(raw[[#This Row],[city]]&lt;&gt;"",_xlfn.XLOOKUP($D368,ccc[city],ccc[cont],"-"),"-")</f>
        <v/>
      </c>
      <c r="N368" s="1396">
        <f>IF(raw[[#This Row],[city]]="","-",IF(raw[[#This Row],[cont]]="B",raw[[#This Row],[cont]],"W"))</f>
        <v/>
      </c>
      <c r="O368" s="1397">
        <f>IF(raw[[#This Row],[out]]=0,0,IF(raw[[#This Row],[out]]=raw[[#This Row],[in]],0.01,raw[[#This Row],[out]]-raw[[#This Row],[in]]))</f>
        <v/>
      </c>
      <c r="P368" s="1397">
        <f>IF(raw[[#This Row],[in]]=0,0,MONTH(raw[[#This Row],[in]]))</f>
        <v/>
      </c>
      <c r="Q368" s="1397">
        <f>IF(raw[[#This Row],[in]]=0,0,YEAR(raw[[#This Row],[in]]))</f>
        <v/>
      </c>
      <c r="R368" s="1397">
        <f>INT(raw[[#This Row],[yr]]/10)*10</f>
        <v/>
      </c>
      <c r="S368" s="1395">
        <f>IF(raw[[#This Row],[city]]="","-",IF(raw[[#This Row],[city]]&lt;&gt;_xlfn.XLOOKUP(raw[[#This Row],[home]],homes[home],homes[city],"-"),1,0))</f>
        <v/>
      </c>
      <c r="T368" s="1398" t="inlineStr">
        <is>
          <t>.</t>
        </is>
      </c>
      <c r="U368" s="1399">
        <f>IF(raw[[#This Row],[wb]]="w",raw[[#This Row],[stay]]+U367,U367)</f>
        <v/>
      </c>
      <c r="V368" s="1400">
        <f>IF(raw[[#This Row],[out]]=0,V367,(raw[[#This Row],[out]]-E$5))</f>
        <v/>
      </c>
      <c r="W368" s="1401">
        <f>U368/V368</f>
        <v/>
      </c>
      <c r="X368" s="1378" t="inlineStr">
        <is>
          <t>.</t>
        </is>
      </c>
      <c r="Y368" s="1402">
        <f/>
        <v/>
      </c>
      <c r="Z368" s="1403">
        <f/>
        <v/>
      </c>
      <c r="AA368" s="1403">
        <f/>
        <v/>
      </c>
      <c r="AB368" s="1400">
        <f t="array" ref="AB368">_xlfn.LET(_xlpm.S,_xlfn.ANCHORARRAY($Y$4),_xlpm.r,ROWS(stayCity[[#Headers],[city]]:stayCity[[#This Row],[city]])-1,IF(_xlpm.r&lt;=ROWS(_xlpm.S),INDEX(_xlpm.S,_xlpm.r,1),""))</f>
        <v/>
      </c>
      <c r="AC368" s="1405">
        <f t="array" ref="AC368">_xlfn.LET(_xlpm.S,_xlfn.ANCHORARRAY($Y$4),_xlpm.r,ROWS(stayCity[[#Headers],[city]]:stayCity[[#This Row],[city]])-1,IF(_xlpm.r&lt;=ROWS(_xlpm.S),INDEX(_xlpm.S,_xlpm.r,2),""))</f>
        <v/>
      </c>
      <c r="AD368" s="1405">
        <f t="array" ref="AD368">_xlfn.LET(_xlpm.S,_xlfn.ANCHORARRAY($Y$4),_xlpm.r,ROWS(stayCity[[#Headers],[city]]:stayCity[[#This Row],[city]])-1,IF(_xlpm.r&lt;=ROWS(_xlpm.S),INDEX(_xlpm.S,_xlpm.r,3),""))</f>
        <v/>
      </c>
      <c r="AE368" s="1400">
        <f>IF(stayCity[[#This Row],[out]]&lt;&gt;"",stayCity[[#This Row],[out]]-stayCity[[#This Row],[in]],"-")</f>
        <v/>
      </c>
      <c r="AF368" s="1406">
        <f>IF(Y368="","-",YEAR(stayCity[[#This Row],[in]]))</f>
        <v/>
      </c>
      <c r="AG368" s="1392" t="n"/>
      <c r="AH368" s="1392" t="n"/>
      <c r="AI368" s="1392" t="n"/>
      <c r="AJ368" s="1392" t="n"/>
      <c r="AK368" s="1392" t="n"/>
      <c r="AL368" s="1392" t="n"/>
      <c r="AM368" s="1392" t="n"/>
      <c r="AN368" s="1392" t="n"/>
      <c r="AO368" s="1392" t="n"/>
      <c r="AP368" s="1392" t="n"/>
      <c r="AQ368" s="1392" t="n"/>
      <c r="AR368" s="1392" t="n"/>
      <c r="AS368" s="1422" t="n"/>
      <c r="AT368" s="1392" t="n"/>
      <c r="AU368" s="1392" t="n"/>
      <c r="AV368" s="1392" t="n"/>
      <c r="AW368" s="1392" t="n"/>
      <c r="AX368" s="1392" t="n"/>
      <c r="AY368" s="1392" t="n"/>
      <c r="AZ368" s="1392" t="n"/>
      <c r="BA368" s="1392" t="n"/>
      <c r="BB368" s="1422" t="n"/>
      <c r="BC368" s="1392" t="n"/>
      <c r="BD368" s="1392" t="n"/>
      <c r="BE368" s="1392" t="n"/>
      <c r="BF368" s="1392" t="n"/>
      <c r="BG368" s="1392" t="n"/>
      <c r="BH368" s="1392" t="n"/>
      <c r="BI368" s="1392" t="n"/>
      <c r="BJ368" s="1392" t="n"/>
      <c r="BK368" s="1392" t="n"/>
      <c r="BL368" s="1392" t="n"/>
      <c r="BM368" s="1392" t="n"/>
      <c r="BN368" s="1392" t="n"/>
      <c r="BO368" s="1392" t="n"/>
      <c r="BP368" s="1398" t="inlineStr">
        <is>
          <t>.</t>
        </is>
      </c>
      <c r="BQ368" s="1400">
        <f>IF(BR368&lt;&gt;"",BQ367+1,BQ367)</f>
        <v/>
      </c>
      <c r="BR368" s="1411" t="inlineStr">
        <is>
          <t>SP</t>
        </is>
      </c>
      <c r="BS368" s="1411" t="inlineStr">
        <is>
          <t>BH</t>
        </is>
      </c>
      <c r="BT368" s="1411" t="inlineStr">
        <is>
          <t>SP-BH</t>
        </is>
      </c>
      <c r="BU368" s="1412" t="n">
        <v>45469</v>
      </c>
      <c r="BV368" s="1398" t="inlineStr">
        <is>
          <t>.</t>
        </is>
      </c>
      <c r="BW368" s="1392" t="n"/>
      <c r="BX368" s="1392" t="n"/>
      <c r="BY368" s="1392" t="n"/>
      <c r="BZ368" s="1416" t="n"/>
      <c r="CA368" s="1392" t="n"/>
      <c r="CB368" s="1392" t="n"/>
      <c r="CC368" s="1392" t="n"/>
      <c r="CD368" s="1392" t="n"/>
      <c r="CE368" s="1392" t="n"/>
      <c r="CF368" s="1392" t="n"/>
      <c r="CG368" s="1392" t="n"/>
      <c r="CH368" s="1392" t="n"/>
      <c r="CI368" s="1392" t="n"/>
      <c r="CJ368" s="1392" t="n"/>
      <c r="CK368" s="1392" t="n"/>
      <c r="CL368" s="1392" t="n"/>
    </row>
    <row r="369">
      <c r="A369" s="5" t="inlineStr">
        <is>
          <t>.</t>
        </is>
      </c>
      <c r="B369" s="5" t="inlineStr">
        <is>
          <t>.</t>
        </is>
      </c>
      <c r="C369" s="1378">
        <f>IF(raw[[#This Row],[city]]="","-",IF(raw[[#This Row],[city]]="TODAY","-",C368+1))</f>
        <v/>
      </c>
      <c r="D369" s="1393" t="inlineStr">
        <is>
          <t>SP</t>
        </is>
      </c>
      <c r="E369" s="1394" t="n">
        <v>35034</v>
      </c>
      <c r="F369" s="1394" t="n">
        <v>35046</v>
      </c>
      <c r="G369" s="1393" t="n">
        <v>1</v>
      </c>
      <c r="H369" s="1393">
        <f>H368</f>
        <v/>
      </c>
      <c r="I369" s="1393" t="inlineStr">
        <is>
          <t>-</t>
        </is>
      </c>
      <c r="J369" s="1393" t="inlineStr">
        <is>
          <t>-</t>
        </is>
      </c>
      <c r="K369" s="1395">
        <f>IF(raw[[#This Row],[city]]&lt;&gt;"",_xlfn.XLOOKUP($D369,ccc[city],ccc[prov],"-"),"-")</f>
        <v/>
      </c>
      <c r="L369" s="1395">
        <f>IF(raw[[#This Row],[city]]&lt;&gt;"",_xlfn.XLOOKUP($D369,ccc[city],ccc[ctry],"-"),"-")</f>
        <v/>
      </c>
      <c r="M369" s="1395">
        <f>IF(raw[[#This Row],[city]]&lt;&gt;"",_xlfn.XLOOKUP($D369,ccc[city],ccc[cont],"-"),"-")</f>
        <v/>
      </c>
      <c r="N369" s="1396">
        <f>IF(raw[[#This Row],[city]]="","-",IF(raw[[#This Row],[cont]]="B",raw[[#This Row],[cont]],"W"))</f>
        <v/>
      </c>
      <c r="O369" s="1397">
        <f>IF(raw[[#This Row],[out]]=0,0,IF(raw[[#This Row],[out]]=raw[[#This Row],[in]],0.01,raw[[#This Row],[out]]-raw[[#This Row],[in]]))</f>
        <v/>
      </c>
      <c r="P369" s="1397">
        <f>IF(raw[[#This Row],[in]]=0,0,MONTH(raw[[#This Row],[in]]))</f>
        <v/>
      </c>
      <c r="Q369" s="1397">
        <f>IF(raw[[#This Row],[in]]=0,0,YEAR(raw[[#This Row],[in]]))</f>
        <v/>
      </c>
      <c r="R369" s="1397">
        <f>INT(raw[[#This Row],[yr]]/10)*10</f>
        <v/>
      </c>
      <c r="S369" s="1395">
        <f>IF(raw[[#This Row],[city]]="","-",IF(raw[[#This Row],[city]]&lt;&gt;_xlfn.XLOOKUP(raw[[#This Row],[home]],homes[home],homes[city],"-"),1,0))</f>
        <v/>
      </c>
      <c r="T369" s="1398" t="inlineStr">
        <is>
          <t>.</t>
        </is>
      </c>
      <c r="U369" s="1399">
        <f>IF(raw[[#This Row],[wb]]="w",raw[[#This Row],[stay]]+U368,U368)</f>
        <v/>
      </c>
      <c r="V369" s="1400">
        <f>IF(raw[[#This Row],[out]]=0,V368,(raw[[#This Row],[out]]-E$5))</f>
        <v/>
      </c>
      <c r="W369" s="1401">
        <f>U369/V369</f>
        <v/>
      </c>
      <c r="X369" s="1378" t="inlineStr">
        <is>
          <t>.</t>
        </is>
      </c>
      <c r="Y369" s="1402">
        <f/>
        <v/>
      </c>
      <c r="Z369" s="1403">
        <f/>
        <v/>
      </c>
      <c r="AA369" s="1403">
        <f/>
        <v/>
      </c>
      <c r="AB369" s="1400">
        <f t="array" ref="AB369">_xlfn.LET(_xlpm.S,_xlfn.ANCHORARRAY($Y$4),_xlpm.r,ROWS(stayCity[[#Headers],[city]]:stayCity[[#This Row],[city]])-1,IF(_xlpm.r&lt;=ROWS(_xlpm.S),INDEX(_xlpm.S,_xlpm.r,1),""))</f>
        <v/>
      </c>
      <c r="AC369" s="1405">
        <f t="array" ref="AC369">_xlfn.LET(_xlpm.S,_xlfn.ANCHORARRAY($Y$4),_xlpm.r,ROWS(stayCity[[#Headers],[city]]:stayCity[[#This Row],[city]])-1,IF(_xlpm.r&lt;=ROWS(_xlpm.S),INDEX(_xlpm.S,_xlpm.r,2),""))</f>
        <v/>
      </c>
      <c r="AD369" s="1405">
        <f t="array" ref="AD369">_xlfn.LET(_xlpm.S,_xlfn.ANCHORARRAY($Y$4),_xlpm.r,ROWS(stayCity[[#Headers],[city]]:stayCity[[#This Row],[city]])-1,IF(_xlpm.r&lt;=ROWS(_xlpm.S),INDEX(_xlpm.S,_xlpm.r,3),""))</f>
        <v/>
      </c>
      <c r="AE369" s="1400">
        <f>IF(stayCity[[#This Row],[out]]&lt;&gt;"",stayCity[[#This Row],[out]]-stayCity[[#This Row],[in]],"-")</f>
        <v/>
      </c>
      <c r="AF369" s="1406">
        <f>IF(Y369="","-",YEAR(stayCity[[#This Row],[in]]))</f>
        <v/>
      </c>
      <c r="AG369" s="1392" t="n"/>
      <c r="AH369" s="1392" t="n"/>
      <c r="AI369" s="1392" t="n"/>
      <c r="AJ369" s="1392" t="n"/>
      <c r="AK369" s="1392" t="n"/>
      <c r="AL369" s="1392" t="n"/>
      <c r="AM369" s="1392" t="n"/>
      <c r="AN369" s="1392" t="n"/>
      <c r="AO369" s="1392" t="n"/>
      <c r="AP369" s="1392" t="n"/>
      <c r="AQ369" s="1392" t="n"/>
      <c r="AR369" s="1392" t="n"/>
      <c r="AS369" s="1422" t="n"/>
      <c r="AT369" s="1392" t="n"/>
      <c r="AU369" s="1392" t="n"/>
      <c r="AV369" s="1392" t="n"/>
      <c r="AW369" s="1392" t="n"/>
      <c r="AX369" s="1392" t="n"/>
      <c r="AY369" s="1392" t="n"/>
      <c r="AZ369" s="1392" t="n"/>
      <c r="BA369" s="1392" t="n"/>
      <c r="BB369" s="1422" t="n"/>
      <c r="BC369" s="1392" t="n"/>
      <c r="BD369" s="1392" t="n"/>
      <c r="BE369" s="1392" t="n"/>
      <c r="BF369" s="1392" t="n"/>
      <c r="BG369" s="1392" t="n"/>
      <c r="BH369" s="1392" t="n"/>
      <c r="BI369" s="1392" t="n"/>
      <c r="BJ369" s="1392" t="n"/>
      <c r="BK369" s="1392" t="n"/>
      <c r="BL369" s="1392" t="n"/>
      <c r="BM369" s="1392" t="n"/>
      <c r="BN369" s="1392" t="n"/>
      <c r="BO369" s="1392" t="n"/>
      <c r="BP369" s="1398" t="inlineStr">
        <is>
          <t>.</t>
        </is>
      </c>
      <c r="BQ369" s="1400">
        <f>IF(BR369&lt;&gt;"",BQ368+1,BQ368)</f>
        <v/>
      </c>
      <c r="BR369" s="1411" t="inlineStr">
        <is>
          <t>BH</t>
        </is>
      </c>
      <c r="BS369" s="1411" t="inlineStr">
        <is>
          <t>SSA</t>
        </is>
      </c>
      <c r="BT369" s="1411" t="inlineStr">
        <is>
          <t>BH-SSA</t>
        </is>
      </c>
      <c r="BU369" s="1412" t="n">
        <v>45471</v>
      </c>
      <c r="BV369" s="1398" t="inlineStr">
        <is>
          <t>.</t>
        </is>
      </c>
      <c r="BW369" s="1392" t="n"/>
      <c r="BX369" s="1392" t="n"/>
      <c r="BY369" s="1392" t="n"/>
      <c r="BZ369" s="1416" t="n"/>
      <c r="CA369" s="1392" t="n"/>
      <c r="CB369" s="1392" t="n"/>
      <c r="CC369" s="1392" t="n"/>
      <c r="CD369" s="1392" t="n"/>
      <c r="CE369" s="1392" t="n"/>
      <c r="CF369" s="1392" t="n"/>
      <c r="CG369" s="1392" t="n"/>
      <c r="CH369" s="1392" t="n"/>
      <c r="CI369" s="1392" t="n"/>
      <c r="CJ369" s="1392" t="n"/>
      <c r="CK369" s="1392" t="n"/>
      <c r="CL369" s="1392" t="n"/>
    </row>
    <row r="370">
      <c r="A370" s="5" t="inlineStr">
        <is>
          <t>.</t>
        </is>
      </c>
      <c r="B370" s="5" t="inlineStr">
        <is>
          <t>.</t>
        </is>
      </c>
      <c r="C370" s="1378">
        <f>IF(raw[[#This Row],[city]]="","-",IF(raw[[#This Row],[city]]="TODAY","-",C369+1))</f>
        <v/>
      </c>
      <c r="D370" s="1393" t="inlineStr">
        <is>
          <t>SSA</t>
        </is>
      </c>
      <c r="E370" s="1394" t="n">
        <v>35046</v>
      </c>
      <c r="F370" s="1394" t="n">
        <v>35065</v>
      </c>
      <c r="G370" s="1393" t="inlineStr">
        <is>
          <t>-</t>
        </is>
      </c>
      <c r="H370" s="1393" t="inlineStr">
        <is>
          <t>Ondina</t>
        </is>
      </c>
      <c r="I370" s="1393" t="inlineStr">
        <is>
          <t>-</t>
        </is>
      </c>
      <c r="J370" s="1393" t="inlineStr">
        <is>
          <t>-</t>
        </is>
      </c>
      <c r="K370" s="1395">
        <f>IF(raw[[#This Row],[city]]&lt;&gt;"",_xlfn.XLOOKUP($D370,ccc[city],ccc[prov],"-"),"-")</f>
        <v/>
      </c>
      <c r="L370" s="1395">
        <f>IF(raw[[#This Row],[city]]&lt;&gt;"",_xlfn.XLOOKUP($D370,ccc[city],ccc[ctry],"-"),"-")</f>
        <v/>
      </c>
      <c r="M370" s="1395">
        <f>IF(raw[[#This Row],[city]]&lt;&gt;"",_xlfn.XLOOKUP($D370,ccc[city],ccc[cont],"-"),"-")</f>
        <v/>
      </c>
      <c r="N370" s="1396">
        <f>IF(raw[[#This Row],[city]]="","-",IF(raw[[#This Row],[cont]]="B",raw[[#This Row],[cont]],"W"))</f>
        <v/>
      </c>
      <c r="O370" s="1397">
        <f>IF(raw[[#This Row],[out]]=0,0,IF(raw[[#This Row],[out]]=raw[[#This Row],[in]],0.01,raw[[#This Row],[out]]-raw[[#This Row],[in]]))</f>
        <v/>
      </c>
      <c r="P370" s="1397">
        <f>IF(raw[[#This Row],[in]]=0,0,MONTH(raw[[#This Row],[in]]))</f>
        <v/>
      </c>
      <c r="Q370" s="1397">
        <f>IF(raw[[#This Row],[in]]=0,0,YEAR(raw[[#This Row],[in]]))</f>
        <v/>
      </c>
      <c r="R370" s="1397">
        <f>INT(raw[[#This Row],[yr]]/10)*10</f>
        <v/>
      </c>
      <c r="S370" s="1395">
        <f>IF(raw[[#This Row],[city]]="","-",IF(raw[[#This Row],[city]]&lt;&gt;_xlfn.XLOOKUP(raw[[#This Row],[home]],homes[home],homes[city],"-"),1,0))</f>
        <v/>
      </c>
      <c r="T370" s="1398" t="inlineStr">
        <is>
          <t>.</t>
        </is>
      </c>
      <c r="U370" s="1399">
        <f>IF(raw[[#This Row],[wb]]="w",raw[[#This Row],[stay]]+U369,U369)</f>
        <v/>
      </c>
      <c r="V370" s="1400">
        <f>IF(raw[[#This Row],[out]]=0,V369,(raw[[#This Row],[out]]-E$5))</f>
        <v/>
      </c>
      <c r="W370" s="1401">
        <f>U370/V370</f>
        <v/>
      </c>
      <c r="X370" s="1378" t="inlineStr">
        <is>
          <t>.</t>
        </is>
      </c>
      <c r="Y370" s="1402">
        <f/>
        <v/>
      </c>
      <c r="Z370" s="1403">
        <f/>
        <v/>
      </c>
      <c r="AA370" s="1403">
        <f/>
        <v/>
      </c>
      <c r="AB370" s="1400">
        <f t="array" ref="AB370">_xlfn.LET(_xlpm.S,_xlfn.ANCHORARRAY($Y$4),_xlpm.r,ROWS(stayCity[[#Headers],[city]]:stayCity[[#This Row],[city]])-1,IF(_xlpm.r&lt;=ROWS(_xlpm.S),INDEX(_xlpm.S,_xlpm.r,1),""))</f>
        <v/>
      </c>
      <c r="AC370" s="1405">
        <f t="array" ref="AC370">_xlfn.LET(_xlpm.S,_xlfn.ANCHORARRAY($Y$4),_xlpm.r,ROWS(stayCity[[#Headers],[city]]:stayCity[[#This Row],[city]])-1,IF(_xlpm.r&lt;=ROWS(_xlpm.S),INDEX(_xlpm.S,_xlpm.r,2),""))</f>
        <v/>
      </c>
      <c r="AD370" s="1405">
        <f t="array" ref="AD370">_xlfn.LET(_xlpm.S,_xlfn.ANCHORARRAY($Y$4),_xlpm.r,ROWS(stayCity[[#Headers],[city]]:stayCity[[#This Row],[city]])-1,IF(_xlpm.r&lt;=ROWS(_xlpm.S),INDEX(_xlpm.S,_xlpm.r,3),""))</f>
        <v/>
      </c>
      <c r="AE370" s="1400">
        <f>IF(stayCity[[#This Row],[out]]&lt;&gt;"",stayCity[[#This Row],[out]]-stayCity[[#This Row],[in]],"-")</f>
        <v/>
      </c>
      <c r="AF370" s="1406">
        <f>IF(Y370="","-",YEAR(stayCity[[#This Row],[in]]))</f>
        <v/>
      </c>
      <c r="AG370" s="1392" t="n"/>
      <c r="AH370" s="1392" t="n"/>
      <c r="AI370" s="1392" t="n"/>
      <c r="AJ370" s="1392" t="n"/>
      <c r="AK370" s="1392" t="n"/>
      <c r="AL370" s="1392" t="n"/>
      <c r="AM370" s="1392" t="n"/>
      <c r="AN370" s="1392" t="n"/>
      <c r="AO370" s="1392" t="n"/>
      <c r="AP370" s="1392" t="n"/>
      <c r="AQ370" s="1392" t="n"/>
      <c r="AR370" s="1392" t="n"/>
      <c r="AS370" s="1422" t="n"/>
      <c r="AT370" s="1392" t="n"/>
      <c r="AU370" s="1392" t="n"/>
      <c r="AV370" s="1392" t="n"/>
      <c r="AW370" s="1392" t="n"/>
      <c r="AX370" s="1392" t="n"/>
      <c r="AY370" s="1392" t="n"/>
      <c r="AZ370" s="1392" t="n"/>
      <c r="BA370" s="1392" t="n"/>
      <c r="BB370" s="1422" t="n"/>
      <c r="BC370" s="1392" t="n"/>
      <c r="BD370" s="1392" t="n"/>
      <c r="BE370" s="1392" t="n"/>
      <c r="BF370" s="1392" t="n"/>
      <c r="BG370" s="1392" t="n"/>
      <c r="BH370" s="1392" t="n"/>
      <c r="BI370" s="1392" t="n"/>
      <c r="BJ370" s="1392" t="n"/>
      <c r="BK370" s="1392" t="n"/>
      <c r="BL370" s="1392" t="n"/>
      <c r="BM370" s="1392" t="n"/>
      <c r="BN370" s="1392" t="n"/>
      <c r="BO370" s="1392" t="n"/>
      <c r="BP370" s="1398" t="inlineStr">
        <is>
          <t>.</t>
        </is>
      </c>
      <c r="BQ370" s="1400">
        <f>IF(BR370&lt;&gt;"",BQ369+1,BQ369)</f>
        <v/>
      </c>
      <c r="BR370" s="1411" t="inlineStr">
        <is>
          <t>SSA</t>
        </is>
      </c>
      <c r="BS370" s="1411" t="inlineStr">
        <is>
          <t>SP</t>
        </is>
      </c>
      <c r="BT370" s="1411" t="inlineStr">
        <is>
          <t>SSA-SP</t>
        </is>
      </c>
      <c r="BU370" s="1412" t="n">
        <v>45489</v>
      </c>
      <c r="BV370" s="1398" t="inlineStr">
        <is>
          <t>.</t>
        </is>
      </c>
      <c r="BW370" s="1392" t="n"/>
      <c r="BX370" s="1392" t="n"/>
      <c r="BY370" s="1392" t="n"/>
      <c r="BZ370" s="1416" t="n"/>
      <c r="CA370" s="1392" t="n"/>
      <c r="CB370" s="1392" t="n"/>
      <c r="CC370" s="1392" t="n"/>
      <c r="CD370" s="1392" t="n"/>
      <c r="CE370" s="1392" t="n"/>
      <c r="CF370" s="1392" t="n"/>
      <c r="CG370" s="1392" t="n"/>
      <c r="CH370" s="1392" t="n"/>
      <c r="CI370" s="1392" t="n"/>
      <c r="CJ370" s="1392" t="n"/>
      <c r="CK370" s="1392" t="n"/>
      <c r="CL370" s="1392" t="n"/>
    </row>
    <row r="371">
      <c r="A371" s="5" t="inlineStr">
        <is>
          <t>.</t>
        </is>
      </c>
      <c r="B371" s="5" t="inlineStr">
        <is>
          <t>.</t>
        </is>
      </c>
      <c r="C371" s="1378">
        <f>IF(raw[[#This Row],[city]]="","-",IF(raw[[#This Row],[city]]="TODAY","-",C370+1))</f>
        <v/>
      </c>
      <c r="D371" s="1393" t="inlineStr">
        <is>
          <t>SSA</t>
        </is>
      </c>
      <c r="E371" s="1394" t="n">
        <v>35065</v>
      </c>
      <c r="F371" s="1394" t="n">
        <v>35096</v>
      </c>
      <c r="G371" s="1393" t="inlineStr">
        <is>
          <t>-</t>
        </is>
      </c>
      <c r="H371" s="1393" t="inlineStr">
        <is>
          <t>Ondina</t>
        </is>
      </c>
      <c r="I371" s="1393" t="inlineStr">
        <is>
          <t>-</t>
        </is>
      </c>
      <c r="J371" s="1393" t="inlineStr">
        <is>
          <t>REV</t>
        </is>
      </c>
      <c r="K371" s="1395">
        <f>IF(raw[[#This Row],[city]]&lt;&gt;"",_xlfn.XLOOKUP($D371,ccc[city],ccc[prov],"-"),"-")</f>
        <v/>
      </c>
      <c r="L371" s="1395">
        <f>IF(raw[[#This Row],[city]]&lt;&gt;"",_xlfn.XLOOKUP($D371,ccc[city],ccc[ctry],"-"),"-")</f>
        <v/>
      </c>
      <c r="M371" s="1395">
        <f>IF(raw[[#This Row],[city]]&lt;&gt;"",_xlfn.XLOOKUP($D371,ccc[city],ccc[cont],"-"),"-")</f>
        <v/>
      </c>
      <c r="N371" s="1396">
        <f>IF(raw[[#This Row],[city]]="","-",IF(raw[[#This Row],[cont]]="B",raw[[#This Row],[cont]],"W"))</f>
        <v/>
      </c>
      <c r="O371" s="1397">
        <f>IF(raw[[#This Row],[out]]=0,0,IF(raw[[#This Row],[out]]=raw[[#This Row],[in]],0.01,raw[[#This Row],[out]]-raw[[#This Row],[in]]))</f>
        <v/>
      </c>
      <c r="P371" s="1397">
        <f>IF(raw[[#This Row],[in]]=0,0,MONTH(raw[[#This Row],[in]]))</f>
        <v/>
      </c>
      <c r="Q371" s="1397">
        <f>IF(raw[[#This Row],[in]]=0,0,YEAR(raw[[#This Row],[in]]))</f>
        <v/>
      </c>
      <c r="R371" s="1397">
        <f>INT(raw[[#This Row],[yr]]/10)*10</f>
        <v/>
      </c>
      <c r="S371" s="1395">
        <f>IF(raw[[#This Row],[city]]="","-",IF(raw[[#This Row],[city]]&lt;&gt;_xlfn.XLOOKUP(raw[[#This Row],[home]],homes[home],homes[city],"-"),1,0))</f>
        <v/>
      </c>
      <c r="T371" s="1398" t="inlineStr">
        <is>
          <t>.</t>
        </is>
      </c>
      <c r="U371" s="1399">
        <f>IF(raw[[#This Row],[wb]]="w",raw[[#This Row],[stay]]+U370,U370)</f>
        <v/>
      </c>
      <c r="V371" s="1400">
        <f>IF(raw[[#This Row],[out]]=0,V370,(raw[[#This Row],[out]]-E$5))</f>
        <v/>
      </c>
      <c r="W371" s="1401">
        <f>U371/V371</f>
        <v/>
      </c>
      <c r="X371" s="1378" t="inlineStr">
        <is>
          <t>.</t>
        </is>
      </c>
      <c r="Y371" s="1402">
        <f/>
        <v/>
      </c>
      <c r="Z371" s="1403">
        <f/>
        <v/>
      </c>
      <c r="AA371" s="1403">
        <f/>
        <v/>
      </c>
      <c r="AB371" s="1400">
        <f t="array" ref="AB371">_xlfn.LET(_xlpm.S,_xlfn.ANCHORARRAY($Y$4),_xlpm.r,ROWS(stayCity[[#Headers],[city]]:stayCity[[#This Row],[city]])-1,IF(_xlpm.r&lt;=ROWS(_xlpm.S),INDEX(_xlpm.S,_xlpm.r,1),""))</f>
        <v/>
      </c>
      <c r="AC371" s="1405">
        <f t="array" ref="AC371">_xlfn.LET(_xlpm.S,_xlfn.ANCHORARRAY($Y$4),_xlpm.r,ROWS(stayCity[[#Headers],[city]]:stayCity[[#This Row],[city]])-1,IF(_xlpm.r&lt;=ROWS(_xlpm.S),INDEX(_xlpm.S,_xlpm.r,2),""))</f>
        <v/>
      </c>
      <c r="AD371" s="1405">
        <f t="array" ref="AD371">_xlfn.LET(_xlpm.S,_xlfn.ANCHORARRAY($Y$4),_xlpm.r,ROWS(stayCity[[#Headers],[city]]:stayCity[[#This Row],[city]])-1,IF(_xlpm.r&lt;=ROWS(_xlpm.S),INDEX(_xlpm.S,_xlpm.r,3),""))</f>
        <v/>
      </c>
      <c r="AE371" s="1400">
        <f>IF(stayCity[[#This Row],[out]]&lt;&gt;"",stayCity[[#This Row],[out]]-stayCity[[#This Row],[in]],"-")</f>
        <v/>
      </c>
      <c r="AF371" s="1406">
        <f>IF(Y371="","-",YEAR(stayCity[[#This Row],[in]]))</f>
        <v/>
      </c>
      <c r="AG371" s="1392" t="n"/>
      <c r="AH371" s="1392" t="n"/>
      <c r="AI371" s="1392" t="n"/>
      <c r="AJ371" s="1392" t="n"/>
      <c r="AK371" s="1392" t="n"/>
      <c r="AL371" s="1392" t="n"/>
      <c r="AM371" s="1392" t="n"/>
      <c r="AN371" s="1392" t="n"/>
      <c r="AO371" s="1392" t="n"/>
      <c r="AP371" s="1392" t="n"/>
      <c r="AQ371" s="1392" t="n"/>
      <c r="AR371" s="1392" t="n"/>
      <c r="AS371" s="1422" t="n"/>
      <c r="AT371" s="1392" t="n"/>
      <c r="AU371" s="1392" t="n"/>
      <c r="AV371" s="1392" t="n"/>
      <c r="AW371" s="1392" t="n"/>
      <c r="AX371" s="1392" t="n"/>
      <c r="AY371" s="1392" t="n"/>
      <c r="AZ371" s="1392" t="n"/>
      <c r="BA371" s="1392" t="n"/>
      <c r="BB371" s="1422" t="n"/>
      <c r="BC371" s="1392" t="n"/>
      <c r="BD371" s="1392" t="n"/>
      <c r="BE371" s="1392" t="n"/>
      <c r="BF371" s="1392" t="n"/>
      <c r="BG371" s="1392" t="n"/>
      <c r="BH371" s="1392" t="n"/>
      <c r="BI371" s="1392" t="n"/>
      <c r="BJ371" s="1392" t="n"/>
      <c r="BK371" s="1392" t="n"/>
      <c r="BL371" s="1392" t="n"/>
      <c r="BM371" s="1392" t="n"/>
      <c r="BN371" s="1392" t="n"/>
      <c r="BO371" s="1392" t="n"/>
      <c r="BP371" s="1398" t="inlineStr">
        <is>
          <t>.</t>
        </is>
      </c>
      <c r="BQ371" s="1400">
        <f>IF(BR371&lt;&gt;"",BQ370+1,BQ370)</f>
        <v/>
      </c>
      <c r="BR371" s="1411" t="inlineStr">
        <is>
          <t>SP</t>
        </is>
      </c>
      <c r="BS371" s="1411" t="inlineStr">
        <is>
          <t>Washington</t>
        </is>
      </c>
      <c r="BT371" s="1411" t="inlineStr">
        <is>
          <t>SP-Washington</t>
        </is>
      </c>
      <c r="BU371" s="1412" t="n">
        <v>45489</v>
      </c>
      <c r="BV371" s="1398" t="inlineStr">
        <is>
          <t>.</t>
        </is>
      </c>
      <c r="BW371" s="1392" t="n"/>
      <c r="BX371" s="1392" t="n"/>
      <c r="BY371" s="1392" t="n"/>
      <c r="BZ371" s="1416" t="n"/>
      <c r="CA371" s="1392" t="n"/>
      <c r="CB371" s="1392" t="n"/>
      <c r="CC371" s="1392" t="n"/>
      <c r="CD371" s="1392" t="n"/>
      <c r="CE371" s="1392" t="n"/>
      <c r="CF371" s="1392" t="n"/>
      <c r="CG371" s="1392" t="n"/>
      <c r="CH371" s="1392" t="n"/>
      <c r="CI371" s="1392" t="n"/>
      <c r="CJ371" s="1392" t="n"/>
      <c r="CK371" s="1392" t="n"/>
      <c r="CL371" s="1392" t="n"/>
    </row>
    <row r="372">
      <c r="A372" s="5" t="inlineStr">
        <is>
          <t>.</t>
        </is>
      </c>
      <c r="B372" s="5" t="inlineStr">
        <is>
          <t>.</t>
        </is>
      </c>
      <c r="C372" s="1378">
        <f>IF(raw[[#This Row],[city]]="","-",IF(raw[[#This Row],[city]]="TODAY","-",C371+1))</f>
        <v/>
      </c>
      <c r="D372" s="1393" t="inlineStr">
        <is>
          <t>SSA</t>
        </is>
      </c>
      <c r="E372" s="1394" t="n">
        <v>35096</v>
      </c>
      <c r="F372" s="1394" t="n">
        <v>35106</v>
      </c>
      <c r="G372" s="1393" t="inlineStr">
        <is>
          <t>-</t>
        </is>
      </c>
      <c r="H372" s="1393">
        <f>H371</f>
        <v/>
      </c>
      <c r="I372" s="1393" t="inlineStr">
        <is>
          <t>-</t>
        </is>
      </c>
      <c r="J372" s="1393" t="inlineStr">
        <is>
          <t>-</t>
        </is>
      </c>
      <c r="K372" s="1395">
        <f>IF(raw[[#This Row],[city]]&lt;&gt;"",_xlfn.XLOOKUP($D372,ccc[city],ccc[prov],"-"),"-")</f>
        <v/>
      </c>
      <c r="L372" s="1395">
        <f>IF(raw[[#This Row],[city]]&lt;&gt;"",_xlfn.XLOOKUP($D372,ccc[city],ccc[ctry],"-"),"-")</f>
        <v/>
      </c>
      <c r="M372" s="1395">
        <f>IF(raw[[#This Row],[city]]&lt;&gt;"",_xlfn.XLOOKUP($D372,ccc[city],ccc[cont],"-"),"-")</f>
        <v/>
      </c>
      <c r="N372" s="1396">
        <f>IF(raw[[#This Row],[city]]="","-",IF(raw[[#This Row],[cont]]="B",raw[[#This Row],[cont]],"W"))</f>
        <v/>
      </c>
      <c r="O372" s="1397">
        <f>IF(raw[[#This Row],[out]]=0,0,IF(raw[[#This Row],[out]]=raw[[#This Row],[in]],0.01,raw[[#This Row],[out]]-raw[[#This Row],[in]]))</f>
        <v/>
      </c>
      <c r="P372" s="1397">
        <f>IF(raw[[#This Row],[in]]=0,0,MONTH(raw[[#This Row],[in]]))</f>
        <v/>
      </c>
      <c r="Q372" s="1397">
        <f>IF(raw[[#This Row],[in]]=0,0,YEAR(raw[[#This Row],[in]]))</f>
        <v/>
      </c>
      <c r="R372" s="1397">
        <f>INT(raw[[#This Row],[yr]]/10)*10</f>
        <v/>
      </c>
      <c r="S372" s="1395">
        <f>IF(raw[[#This Row],[city]]="","-",IF(raw[[#This Row],[city]]&lt;&gt;_xlfn.XLOOKUP(raw[[#This Row],[home]],homes[home],homes[city],"-"),1,0))</f>
        <v/>
      </c>
      <c r="T372" s="1398" t="inlineStr">
        <is>
          <t>.</t>
        </is>
      </c>
      <c r="U372" s="1399">
        <f>IF(raw[[#This Row],[wb]]="w",raw[[#This Row],[stay]]+U371,U371)</f>
        <v/>
      </c>
      <c r="V372" s="1400">
        <f>IF(raw[[#This Row],[out]]=0,V371,(raw[[#This Row],[out]]-E$5))</f>
        <v/>
      </c>
      <c r="W372" s="1401">
        <f>U372/V372</f>
        <v/>
      </c>
      <c r="X372" s="1378" t="inlineStr">
        <is>
          <t>.</t>
        </is>
      </c>
      <c r="Y372" s="1402">
        <f/>
        <v/>
      </c>
      <c r="Z372" s="1403">
        <f/>
        <v/>
      </c>
      <c r="AA372" s="1403">
        <f/>
        <v/>
      </c>
      <c r="AB372" s="1400">
        <f t="array" ref="AB372">_xlfn.LET(_xlpm.S,_xlfn.ANCHORARRAY($Y$4),_xlpm.r,ROWS(stayCity[[#Headers],[city]]:stayCity[[#This Row],[city]])-1,IF(_xlpm.r&lt;=ROWS(_xlpm.S),INDEX(_xlpm.S,_xlpm.r,1),""))</f>
        <v/>
      </c>
      <c r="AC372" s="1405">
        <f t="array" ref="AC372">_xlfn.LET(_xlpm.S,_xlfn.ANCHORARRAY($Y$4),_xlpm.r,ROWS(stayCity[[#Headers],[city]]:stayCity[[#This Row],[city]])-1,IF(_xlpm.r&lt;=ROWS(_xlpm.S),INDEX(_xlpm.S,_xlpm.r,2),""))</f>
        <v/>
      </c>
      <c r="AD372" s="1405">
        <f t="array" ref="AD372">_xlfn.LET(_xlpm.S,_xlfn.ANCHORARRAY($Y$4),_xlpm.r,ROWS(stayCity[[#Headers],[city]]:stayCity[[#This Row],[city]])-1,IF(_xlpm.r&lt;=ROWS(_xlpm.S),INDEX(_xlpm.S,_xlpm.r,3),""))</f>
        <v/>
      </c>
      <c r="AE372" s="1400">
        <f>IF(stayCity[[#This Row],[out]]&lt;&gt;"",stayCity[[#This Row],[out]]-stayCity[[#This Row],[in]],"-")</f>
        <v/>
      </c>
      <c r="AF372" s="1406">
        <f>IF(Y372="","-",YEAR(stayCity[[#This Row],[in]]))</f>
        <v/>
      </c>
      <c r="AG372" s="1392" t="n"/>
      <c r="AH372" s="1392" t="n"/>
      <c r="AI372" s="1392" t="n"/>
      <c r="AJ372" s="1392" t="n"/>
      <c r="AK372" s="1392" t="n"/>
      <c r="AL372" s="1392" t="n"/>
      <c r="AM372" s="1392" t="n"/>
      <c r="AN372" s="1392" t="n"/>
      <c r="AO372" s="1392" t="n"/>
      <c r="AP372" s="1392" t="n"/>
      <c r="AQ372" s="1392" t="n"/>
      <c r="AR372" s="1392" t="n"/>
      <c r="AS372" s="1422" t="n"/>
      <c r="AT372" s="1392" t="n"/>
      <c r="AU372" s="1392" t="n"/>
      <c r="AV372" s="1392" t="n"/>
      <c r="AW372" s="1392" t="n"/>
      <c r="AX372" s="1392" t="n"/>
      <c r="AY372" s="1392" t="n"/>
      <c r="AZ372" s="1392" t="n"/>
      <c r="BA372" s="1392" t="n"/>
      <c r="BB372" s="1422" t="n"/>
      <c r="BC372" s="1392" t="n"/>
      <c r="BD372" s="1392" t="n"/>
      <c r="BE372" s="1392" t="n"/>
      <c r="BF372" s="1392" t="n"/>
      <c r="BG372" s="1392" t="n"/>
      <c r="BH372" s="1392" t="n"/>
      <c r="BI372" s="1392" t="n"/>
      <c r="BJ372" s="1392" t="n"/>
      <c r="BK372" s="1392" t="n"/>
      <c r="BL372" s="1392" t="n"/>
      <c r="BM372" s="1392" t="n"/>
      <c r="BN372" s="1392" t="n"/>
      <c r="BO372" s="1392" t="n"/>
      <c r="BP372" s="1398" t="inlineStr">
        <is>
          <t>.</t>
        </is>
      </c>
      <c r="BQ372" s="1400">
        <f>IF(BR372&lt;&gt;"",BQ371+1,BQ371)</f>
        <v/>
      </c>
      <c r="BR372" s="1411" t="inlineStr">
        <is>
          <t>Washington</t>
        </is>
      </c>
      <c r="BS372" s="1411" t="inlineStr">
        <is>
          <t>Montreal</t>
        </is>
      </c>
      <c r="BT372" s="1411" t="inlineStr">
        <is>
          <t>Washington-Montreal</t>
        </is>
      </c>
      <c r="BU372" s="1412" t="n">
        <v>45490</v>
      </c>
      <c r="BV372" s="1398" t="inlineStr">
        <is>
          <t>.</t>
        </is>
      </c>
      <c r="BW372" s="1392" t="n"/>
      <c r="BX372" s="1392" t="n"/>
      <c r="BY372" s="1392" t="n"/>
      <c r="BZ372" s="1416" t="n"/>
      <c r="CA372" s="1392" t="n"/>
      <c r="CB372" s="1392" t="n"/>
      <c r="CC372" s="1392" t="n"/>
      <c r="CD372" s="1392" t="n"/>
      <c r="CE372" s="1392" t="n"/>
      <c r="CF372" s="1392" t="n"/>
      <c r="CG372" s="1392" t="n"/>
      <c r="CH372" s="1392" t="n"/>
      <c r="CI372" s="1392" t="n"/>
      <c r="CJ372" s="1392" t="n"/>
      <c r="CK372" s="1392" t="n"/>
      <c r="CL372" s="1392" t="n"/>
    </row>
    <row r="373">
      <c r="A373" s="5" t="inlineStr">
        <is>
          <t>.</t>
        </is>
      </c>
      <c r="B373" s="5" t="inlineStr">
        <is>
          <t>.</t>
        </is>
      </c>
      <c r="C373" s="1378">
        <f>IF(raw[[#This Row],[city]]="","-",IF(raw[[#This Row],[city]]="TODAY","-",C372+1))</f>
        <v/>
      </c>
      <c r="D373" s="1393" t="inlineStr">
        <is>
          <t>Maceió</t>
        </is>
      </c>
      <c r="E373" s="1394" t="n">
        <v>35106</v>
      </c>
      <c r="F373" s="1394" t="n">
        <v>35109</v>
      </c>
      <c r="G373" s="1393" t="inlineStr">
        <is>
          <t>-</t>
        </is>
      </c>
      <c r="H373" s="1393">
        <f>H372</f>
        <v/>
      </c>
      <c r="I373" s="1393" t="inlineStr">
        <is>
          <t>-</t>
        </is>
      </c>
      <c r="J373" s="1393" t="inlineStr">
        <is>
          <t>-</t>
        </is>
      </c>
      <c r="K373" s="1395">
        <f>IF(raw[[#This Row],[city]]&lt;&gt;"",_xlfn.XLOOKUP($D373,ccc[city],ccc[prov],"-"),"-")</f>
        <v/>
      </c>
      <c r="L373" s="1395">
        <f>IF(raw[[#This Row],[city]]&lt;&gt;"",_xlfn.XLOOKUP($D373,ccc[city],ccc[ctry],"-"),"-")</f>
        <v/>
      </c>
      <c r="M373" s="1395">
        <f>IF(raw[[#This Row],[city]]&lt;&gt;"",_xlfn.XLOOKUP($D373,ccc[city],ccc[cont],"-"),"-")</f>
        <v/>
      </c>
      <c r="N373" s="1396">
        <f>IF(raw[[#This Row],[city]]="","-",IF(raw[[#This Row],[cont]]="B",raw[[#This Row],[cont]],"W"))</f>
        <v/>
      </c>
      <c r="O373" s="1397">
        <f>IF(raw[[#This Row],[out]]=0,0,IF(raw[[#This Row],[out]]=raw[[#This Row],[in]],0.01,raw[[#This Row],[out]]-raw[[#This Row],[in]]))</f>
        <v/>
      </c>
      <c r="P373" s="1397">
        <f>IF(raw[[#This Row],[in]]=0,0,MONTH(raw[[#This Row],[in]]))</f>
        <v/>
      </c>
      <c r="Q373" s="1397">
        <f>IF(raw[[#This Row],[in]]=0,0,YEAR(raw[[#This Row],[in]]))</f>
        <v/>
      </c>
      <c r="R373" s="1397">
        <f>INT(raw[[#This Row],[yr]]/10)*10</f>
        <v/>
      </c>
      <c r="S373" s="1395">
        <f>IF(raw[[#This Row],[city]]="","-",IF(raw[[#This Row],[city]]&lt;&gt;_xlfn.XLOOKUP(raw[[#This Row],[home]],homes[home],homes[city],"-"),1,0))</f>
        <v/>
      </c>
      <c r="T373" s="1398" t="inlineStr">
        <is>
          <t>.</t>
        </is>
      </c>
      <c r="U373" s="1399">
        <f>IF(raw[[#This Row],[wb]]="w",raw[[#This Row],[stay]]+U372,U372)</f>
        <v/>
      </c>
      <c r="V373" s="1400">
        <f>IF(raw[[#This Row],[out]]=0,V372,(raw[[#This Row],[out]]-E$5))</f>
        <v/>
      </c>
      <c r="W373" s="1401">
        <f>U373/V373</f>
        <v/>
      </c>
      <c r="X373" s="1378" t="inlineStr">
        <is>
          <t>.</t>
        </is>
      </c>
      <c r="Y373" s="1402">
        <f/>
        <v/>
      </c>
      <c r="Z373" s="1403">
        <f/>
        <v/>
      </c>
      <c r="AA373" s="1403">
        <f/>
        <v/>
      </c>
      <c r="AB373" s="1400">
        <f t="array" ref="AB373">_xlfn.LET(_xlpm.S,_xlfn.ANCHORARRAY($Y$4),_xlpm.r,ROWS(stayCity[[#Headers],[city]]:stayCity[[#This Row],[city]])-1,IF(_xlpm.r&lt;=ROWS(_xlpm.S),INDEX(_xlpm.S,_xlpm.r,1),""))</f>
        <v/>
      </c>
      <c r="AC373" s="1405">
        <f t="array" ref="AC373">_xlfn.LET(_xlpm.S,_xlfn.ANCHORARRAY($Y$4),_xlpm.r,ROWS(stayCity[[#Headers],[city]]:stayCity[[#This Row],[city]])-1,IF(_xlpm.r&lt;=ROWS(_xlpm.S),INDEX(_xlpm.S,_xlpm.r,2),""))</f>
        <v/>
      </c>
      <c r="AD373" s="1405">
        <f t="array" ref="AD373">_xlfn.LET(_xlpm.S,_xlfn.ANCHORARRAY($Y$4),_xlpm.r,ROWS(stayCity[[#Headers],[city]]:stayCity[[#This Row],[city]])-1,IF(_xlpm.r&lt;=ROWS(_xlpm.S),INDEX(_xlpm.S,_xlpm.r,3),""))</f>
        <v/>
      </c>
      <c r="AE373" s="1400">
        <f>IF(stayCity[[#This Row],[out]]&lt;&gt;"",stayCity[[#This Row],[out]]-stayCity[[#This Row],[in]],"-")</f>
        <v/>
      </c>
      <c r="AF373" s="1406">
        <f>IF(Y373="","-",YEAR(stayCity[[#This Row],[in]]))</f>
        <v/>
      </c>
      <c r="AG373" s="1392" t="n"/>
      <c r="AH373" s="1392" t="n"/>
      <c r="AI373" s="1392" t="n"/>
      <c r="AJ373" s="1392" t="n"/>
      <c r="AK373" s="1392" t="n"/>
      <c r="AL373" s="1392" t="n"/>
      <c r="AM373" s="1392" t="n"/>
      <c r="AN373" s="1392" t="n"/>
      <c r="AO373" s="1392" t="n"/>
      <c r="AP373" s="1392" t="n"/>
      <c r="AQ373" s="1392" t="n"/>
      <c r="AR373" s="1392" t="n"/>
      <c r="AS373" s="1422" t="n"/>
      <c r="AT373" s="1392" t="n"/>
      <c r="AU373" s="1392" t="n"/>
      <c r="AV373" s="1392" t="n"/>
      <c r="AW373" s="1392" t="n"/>
      <c r="AX373" s="1392" t="n"/>
      <c r="AY373" s="1392" t="n"/>
      <c r="AZ373" s="1392" t="n"/>
      <c r="BA373" s="1392" t="n"/>
      <c r="BB373" s="1422" t="n"/>
      <c r="BC373" s="1392" t="n"/>
      <c r="BD373" s="1392" t="n"/>
      <c r="BE373" s="1392" t="n"/>
      <c r="BF373" s="1392" t="n"/>
      <c r="BG373" s="1392" t="n"/>
      <c r="BH373" s="1392" t="n"/>
      <c r="BI373" s="1392" t="n"/>
      <c r="BJ373" s="1392" t="n"/>
      <c r="BK373" s="1392" t="n"/>
      <c r="BL373" s="1392" t="n"/>
      <c r="BM373" s="1392" t="n"/>
      <c r="BN373" s="1392" t="n"/>
      <c r="BO373" s="1392" t="n"/>
      <c r="BP373" s="1398" t="inlineStr">
        <is>
          <t>.</t>
        </is>
      </c>
      <c r="BQ373" s="1400">
        <f>IF(BR373&lt;&gt;"",BQ372+1,BQ372)</f>
        <v/>
      </c>
      <c r="BR373" s="1411" t="inlineStr">
        <is>
          <t>Montreal</t>
        </is>
      </c>
      <c r="BS373" s="1411" t="inlineStr">
        <is>
          <t>Madrid</t>
        </is>
      </c>
      <c r="BT373" s="1411" t="inlineStr">
        <is>
          <t>Montreal-Madrid</t>
        </is>
      </c>
      <c r="BU373" s="1412" t="n">
        <v>45519</v>
      </c>
      <c r="BV373" s="1398" t="inlineStr">
        <is>
          <t>.</t>
        </is>
      </c>
      <c r="BW373" s="1392" t="n"/>
      <c r="BX373" s="1392" t="n"/>
      <c r="BY373" s="1392" t="n"/>
      <c r="BZ373" s="1416" t="n"/>
      <c r="CA373" s="1392" t="n"/>
      <c r="CB373" s="1392" t="n"/>
      <c r="CC373" s="1392" t="n"/>
      <c r="CD373" s="1392" t="n"/>
      <c r="CE373" s="1392" t="n"/>
      <c r="CF373" s="1392" t="n"/>
      <c r="CG373" s="1392" t="n"/>
      <c r="CH373" s="1392" t="n"/>
      <c r="CI373" s="1392" t="n"/>
      <c r="CJ373" s="1392" t="n"/>
      <c r="CK373" s="1392" t="n"/>
      <c r="CL373" s="1392" t="n"/>
    </row>
    <row r="374">
      <c r="A374" s="5" t="inlineStr">
        <is>
          <t>.</t>
        </is>
      </c>
      <c r="B374" s="5" t="inlineStr">
        <is>
          <t>.</t>
        </is>
      </c>
      <c r="C374" s="1378">
        <f>IF(raw[[#This Row],[city]]="","-",IF(raw[[#This Row],[city]]="TODAY","-",C373+1))</f>
        <v/>
      </c>
      <c r="D374" s="1393" t="inlineStr">
        <is>
          <t>SSA</t>
        </is>
      </c>
      <c r="E374" s="1394" t="n">
        <v>35109</v>
      </c>
      <c r="F374" s="1394" t="n">
        <v>35121</v>
      </c>
      <c r="G374" s="1393" t="n">
        <v>1</v>
      </c>
      <c r="H374" s="1393">
        <f>H373</f>
        <v/>
      </c>
      <c r="I374" s="1393" t="inlineStr">
        <is>
          <t>-</t>
        </is>
      </c>
      <c r="J374" s="1393" t="inlineStr">
        <is>
          <t>-</t>
        </is>
      </c>
      <c r="K374" s="1395">
        <f>IF(raw[[#This Row],[city]]&lt;&gt;"",_xlfn.XLOOKUP($D374,ccc[city],ccc[prov],"-"),"-")</f>
        <v/>
      </c>
      <c r="L374" s="1395">
        <f>IF(raw[[#This Row],[city]]&lt;&gt;"",_xlfn.XLOOKUP($D374,ccc[city],ccc[ctry],"-"),"-")</f>
        <v/>
      </c>
      <c r="M374" s="1395">
        <f>IF(raw[[#This Row],[city]]&lt;&gt;"",_xlfn.XLOOKUP($D374,ccc[city],ccc[cont],"-"),"-")</f>
        <v/>
      </c>
      <c r="N374" s="1396">
        <f>IF(raw[[#This Row],[city]]="","-",IF(raw[[#This Row],[cont]]="B",raw[[#This Row],[cont]],"W"))</f>
        <v/>
      </c>
      <c r="O374" s="1397">
        <f>IF(raw[[#This Row],[out]]=0,0,IF(raw[[#This Row],[out]]=raw[[#This Row],[in]],0.01,raw[[#This Row],[out]]-raw[[#This Row],[in]]))</f>
        <v/>
      </c>
      <c r="P374" s="1397">
        <f>IF(raw[[#This Row],[in]]=0,0,MONTH(raw[[#This Row],[in]]))</f>
        <v/>
      </c>
      <c r="Q374" s="1397">
        <f>IF(raw[[#This Row],[in]]=0,0,YEAR(raw[[#This Row],[in]]))</f>
        <v/>
      </c>
      <c r="R374" s="1397">
        <f>INT(raw[[#This Row],[yr]]/10)*10</f>
        <v/>
      </c>
      <c r="S374" s="1395">
        <f>IF(raw[[#This Row],[city]]="","-",IF(raw[[#This Row],[city]]&lt;&gt;_xlfn.XLOOKUP(raw[[#This Row],[home]],homes[home],homes[city],"-"),1,0))</f>
        <v/>
      </c>
      <c r="T374" s="1398" t="inlineStr">
        <is>
          <t>.</t>
        </is>
      </c>
      <c r="U374" s="1399">
        <f>IF(raw[[#This Row],[wb]]="w",raw[[#This Row],[stay]]+U373,U373)</f>
        <v/>
      </c>
      <c r="V374" s="1400">
        <f>IF(raw[[#This Row],[out]]=0,V373,(raw[[#This Row],[out]]-E$5))</f>
        <v/>
      </c>
      <c r="W374" s="1401">
        <f>U374/V374</f>
        <v/>
      </c>
      <c r="X374" s="1378" t="inlineStr">
        <is>
          <t>.</t>
        </is>
      </c>
      <c r="Y374" s="1402">
        <f/>
        <v/>
      </c>
      <c r="Z374" s="1403">
        <f/>
        <v/>
      </c>
      <c r="AA374" s="1403">
        <f/>
        <v/>
      </c>
      <c r="AB374" s="1400">
        <f t="array" ref="AB374">_xlfn.LET(_xlpm.S,_xlfn.ANCHORARRAY($Y$4),_xlpm.r,ROWS(stayCity[[#Headers],[city]]:stayCity[[#This Row],[city]])-1,IF(_xlpm.r&lt;=ROWS(_xlpm.S),INDEX(_xlpm.S,_xlpm.r,1),""))</f>
        <v/>
      </c>
      <c r="AC374" s="1405">
        <f t="array" ref="AC374">_xlfn.LET(_xlpm.S,_xlfn.ANCHORARRAY($Y$4),_xlpm.r,ROWS(stayCity[[#Headers],[city]]:stayCity[[#This Row],[city]])-1,IF(_xlpm.r&lt;=ROWS(_xlpm.S),INDEX(_xlpm.S,_xlpm.r,2),""))</f>
        <v/>
      </c>
      <c r="AD374" s="1405">
        <f t="array" ref="AD374">_xlfn.LET(_xlpm.S,_xlfn.ANCHORARRAY($Y$4),_xlpm.r,ROWS(stayCity[[#Headers],[city]]:stayCity[[#This Row],[city]])-1,IF(_xlpm.r&lt;=ROWS(_xlpm.S),INDEX(_xlpm.S,_xlpm.r,3),""))</f>
        <v/>
      </c>
      <c r="AE374" s="1400">
        <f>IF(stayCity[[#This Row],[out]]&lt;&gt;"",stayCity[[#This Row],[out]]-stayCity[[#This Row],[in]],"-")</f>
        <v/>
      </c>
      <c r="AF374" s="1406">
        <f>IF(Y374="","-",YEAR(stayCity[[#This Row],[in]]))</f>
        <v/>
      </c>
      <c r="AG374" s="1392" t="n"/>
      <c r="AH374" s="1392" t="n"/>
      <c r="AI374" s="1392" t="n"/>
      <c r="AJ374" s="1392" t="n"/>
      <c r="AK374" s="1392" t="n"/>
      <c r="AL374" s="1392" t="n"/>
      <c r="AM374" s="1392" t="n"/>
      <c r="AN374" s="1392" t="n"/>
      <c r="AO374" s="1392" t="n"/>
      <c r="AP374" s="1392" t="n"/>
      <c r="AQ374" s="1392" t="n"/>
      <c r="AR374" s="1392" t="n"/>
      <c r="AS374" s="1422" t="n"/>
      <c r="AT374" s="1392" t="n"/>
      <c r="AU374" s="1392" t="n"/>
      <c r="AV374" s="1392" t="n"/>
      <c r="AW374" s="1392" t="n"/>
      <c r="AX374" s="1392" t="n"/>
      <c r="AY374" s="1392" t="n"/>
      <c r="AZ374" s="1392" t="n"/>
      <c r="BA374" s="1392" t="n"/>
      <c r="BB374" s="1422" t="n"/>
      <c r="BC374" s="1392" t="n"/>
      <c r="BD374" s="1392" t="n"/>
      <c r="BE374" s="1392" t="n"/>
      <c r="BF374" s="1392" t="n"/>
      <c r="BG374" s="1392" t="n"/>
      <c r="BH374" s="1392" t="n"/>
      <c r="BI374" s="1392" t="n"/>
      <c r="BJ374" s="1392" t="n"/>
      <c r="BK374" s="1392" t="n"/>
      <c r="BL374" s="1392" t="n"/>
      <c r="BM374" s="1392" t="n"/>
      <c r="BN374" s="1392" t="n"/>
      <c r="BO374" s="1392" t="n"/>
      <c r="BP374" s="1398" t="inlineStr">
        <is>
          <t>.</t>
        </is>
      </c>
      <c r="BQ374" s="1400">
        <f>IF(BR374&lt;&gt;"",BQ373+1,BQ373)</f>
        <v/>
      </c>
      <c r="BR374" s="1411" t="inlineStr">
        <is>
          <t>Madrid</t>
        </is>
      </c>
      <c r="BS374" s="1411" t="inlineStr">
        <is>
          <t>Lisbon</t>
        </is>
      </c>
      <c r="BT374" s="1411" t="inlineStr">
        <is>
          <t>Madrid-Lisbon</t>
        </is>
      </c>
      <c r="BU374" s="1412" t="n">
        <v>45527</v>
      </c>
      <c r="BV374" s="1398" t="inlineStr">
        <is>
          <t>.</t>
        </is>
      </c>
      <c r="BW374" s="1392" t="n"/>
      <c r="BX374" s="1392" t="n"/>
      <c r="BY374" s="1392" t="n"/>
      <c r="BZ374" s="1416" t="n"/>
      <c r="CA374" s="1392" t="n"/>
      <c r="CB374" s="1392" t="n"/>
      <c r="CC374" s="1392" t="n"/>
      <c r="CD374" s="1392" t="n"/>
      <c r="CE374" s="1392" t="n"/>
      <c r="CF374" s="1392" t="n"/>
      <c r="CG374" s="1392" t="n"/>
      <c r="CH374" s="1392" t="n"/>
      <c r="CI374" s="1392" t="n"/>
      <c r="CJ374" s="1392" t="n"/>
      <c r="CK374" s="1392" t="n"/>
      <c r="CL374" s="1392" t="n"/>
    </row>
    <row r="375">
      <c r="A375" s="5" t="inlineStr">
        <is>
          <t>.</t>
        </is>
      </c>
      <c r="B375" s="5" t="inlineStr">
        <is>
          <t>.</t>
        </is>
      </c>
      <c r="C375" s="1378">
        <f>IF(raw[[#This Row],[city]]="","-",IF(raw[[#This Row],[city]]="TODAY","-",C374+1))</f>
        <v/>
      </c>
      <c r="D375" s="1393" t="inlineStr">
        <is>
          <t>SP</t>
        </is>
      </c>
      <c r="E375" s="1394" t="n">
        <v>35121</v>
      </c>
      <c r="F375" s="1394" t="n">
        <v>35125</v>
      </c>
      <c r="G375" s="1393" t="inlineStr">
        <is>
          <t>-</t>
        </is>
      </c>
      <c r="H375" s="1393" t="inlineStr">
        <is>
          <t>Transit</t>
        </is>
      </c>
      <c r="I375" s="1393" t="inlineStr">
        <is>
          <t>Salto Grande</t>
        </is>
      </c>
      <c r="J375" s="1393" t="inlineStr">
        <is>
          <t>-</t>
        </is>
      </c>
      <c r="K375" s="1395">
        <f>IF(raw[[#This Row],[city]]&lt;&gt;"",_xlfn.XLOOKUP($D375,ccc[city],ccc[prov],"-"),"-")</f>
        <v/>
      </c>
      <c r="L375" s="1395">
        <f>IF(raw[[#This Row],[city]]&lt;&gt;"",_xlfn.XLOOKUP($D375,ccc[city],ccc[ctry],"-"),"-")</f>
        <v/>
      </c>
      <c r="M375" s="1395">
        <f>IF(raw[[#This Row],[city]]&lt;&gt;"",_xlfn.XLOOKUP($D375,ccc[city],ccc[cont],"-"),"-")</f>
        <v/>
      </c>
      <c r="N375" s="1396">
        <f>IF(raw[[#This Row],[city]]="","-",IF(raw[[#This Row],[cont]]="B",raw[[#This Row],[cont]],"W"))</f>
        <v/>
      </c>
      <c r="O375" s="1397">
        <f>IF(raw[[#This Row],[out]]=0,0,IF(raw[[#This Row],[out]]=raw[[#This Row],[in]],0.01,raw[[#This Row],[out]]-raw[[#This Row],[in]]))</f>
        <v/>
      </c>
      <c r="P375" s="1397">
        <f>IF(raw[[#This Row],[in]]=0,0,MONTH(raw[[#This Row],[in]]))</f>
        <v/>
      </c>
      <c r="Q375" s="1397">
        <f>IF(raw[[#This Row],[in]]=0,0,YEAR(raw[[#This Row],[in]]))</f>
        <v/>
      </c>
      <c r="R375" s="1397">
        <f>INT(raw[[#This Row],[yr]]/10)*10</f>
        <v/>
      </c>
      <c r="S375" s="1395">
        <f>IF(raw[[#This Row],[city]]="","-",IF(raw[[#This Row],[city]]&lt;&gt;_xlfn.XLOOKUP(raw[[#This Row],[home]],homes[home],homes[city],"-"),1,0))</f>
        <v/>
      </c>
      <c r="T375" s="1398" t="inlineStr">
        <is>
          <t>.</t>
        </is>
      </c>
      <c r="U375" s="1399">
        <f>IF(raw[[#This Row],[wb]]="w",raw[[#This Row],[stay]]+U374,U374)</f>
        <v/>
      </c>
      <c r="V375" s="1400">
        <f>IF(raw[[#This Row],[out]]=0,V374,(raw[[#This Row],[out]]-E$5))</f>
        <v/>
      </c>
      <c r="W375" s="1401">
        <f>U375/V375</f>
        <v/>
      </c>
      <c r="X375" s="1378" t="inlineStr">
        <is>
          <t>.</t>
        </is>
      </c>
      <c r="Y375" s="1402">
        <f/>
        <v/>
      </c>
      <c r="Z375" s="1403">
        <f/>
        <v/>
      </c>
      <c r="AA375" s="1403">
        <f/>
        <v/>
      </c>
      <c r="AB375" s="1400">
        <f t="array" ref="AB375">_xlfn.LET(_xlpm.S,_xlfn.ANCHORARRAY($Y$4),_xlpm.r,ROWS(stayCity[[#Headers],[city]]:stayCity[[#This Row],[city]])-1,IF(_xlpm.r&lt;=ROWS(_xlpm.S),INDEX(_xlpm.S,_xlpm.r,1),""))</f>
        <v/>
      </c>
      <c r="AC375" s="1405">
        <f t="array" ref="AC375">_xlfn.LET(_xlpm.S,_xlfn.ANCHORARRAY($Y$4),_xlpm.r,ROWS(stayCity[[#Headers],[city]]:stayCity[[#This Row],[city]])-1,IF(_xlpm.r&lt;=ROWS(_xlpm.S),INDEX(_xlpm.S,_xlpm.r,2),""))</f>
        <v/>
      </c>
      <c r="AD375" s="1405">
        <f t="array" ref="AD375">_xlfn.LET(_xlpm.S,_xlfn.ANCHORARRAY($Y$4),_xlpm.r,ROWS(stayCity[[#Headers],[city]]:stayCity[[#This Row],[city]])-1,IF(_xlpm.r&lt;=ROWS(_xlpm.S),INDEX(_xlpm.S,_xlpm.r,3),""))</f>
        <v/>
      </c>
      <c r="AE375" s="1400">
        <f>IF(stayCity[[#This Row],[out]]&lt;&gt;"",stayCity[[#This Row],[out]]-stayCity[[#This Row],[in]],"-")</f>
        <v/>
      </c>
      <c r="AF375" s="1406">
        <f>IF(Y375="","-",YEAR(stayCity[[#This Row],[in]]))</f>
        <v/>
      </c>
      <c r="AG375" s="1392" t="n"/>
      <c r="AH375" s="1392" t="n"/>
      <c r="AI375" s="1392" t="n"/>
      <c r="AJ375" s="1392" t="n"/>
      <c r="AK375" s="1392" t="n"/>
      <c r="AL375" s="1392" t="n"/>
      <c r="AM375" s="1392" t="n"/>
      <c r="AN375" s="1392" t="n"/>
      <c r="AO375" s="1392" t="n"/>
      <c r="AP375" s="1392" t="n"/>
      <c r="AQ375" s="1392" t="n"/>
      <c r="AR375" s="1392" t="n"/>
      <c r="AS375" s="1422" t="n"/>
      <c r="AT375" s="1392" t="n"/>
      <c r="AU375" s="1392" t="n"/>
      <c r="AV375" s="1392" t="n"/>
      <c r="AW375" s="1392" t="n"/>
      <c r="AX375" s="1392" t="n"/>
      <c r="AY375" s="1392" t="n"/>
      <c r="AZ375" s="1392" t="n"/>
      <c r="BA375" s="1392" t="n"/>
      <c r="BB375" s="1422" t="n"/>
      <c r="BC375" s="1392" t="n"/>
      <c r="BD375" s="1392" t="n"/>
      <c r="BE375" s="1392" t="n"/>
      <c r="BF375" s="1392" t="n"/>
      <c r="BG375" s="1392" t="n"/>
      <c r="BH375" s="1392" t="n"/>
      <c r="BI375" s="1392" t="n"/>
      <c r="BJ375" s="1392" t="n"/>
      <c r="BK375" s="1392" t="n"/>
      <c r="BL375" s="1392" t="n"/>
      <c r="BM375" s="1392" t="n"/>
      <c r="BN375" s="1392" t="n"/>
      <c r="BO375" s="1392" t="n"/>
      <c r="BP375" s="1398" t="inlineStr">
        <is>
          <t>.</t>
        </is>
      </c>
      <c r="BQ375" s="1400">
        <f>IF(BR375&lt;&gt;"",BQ374+1,BQ374)</f>
        <v/>
      </c>
      <c r="BR375" s="1411" t="inlineStr">
        <is>
          <t>Lisbon</t>
        </is>
      </c>
      <c r="BS375" s="1411" t="inlineStr">
        <is>
          <t>Montreal</t>
        </is>
      </c>
      <c r="BT375" s="1411" t="inlineStr">
        <is>
          <t>Lisbon-Montreal</t>
        </is>
      </c>
      <c r="BU375" s="1412" t="n">
        <v>45535</v>
      </c>
      <c r="BV375" s="1398" t="inlineStr">
        <is>
          <t>.</t>
        </is>
      </c>
      <c r="BW375" s="1392" t="n"/>
      <c r="BX375" s="1392" t="n"/>
      <c r="BY375" s="1392" t="n"/>
      <c r="BZ375" s="1416" t="n"/>
      <c r="CA375" s="1392" t="n"/>
      <c r="CB375" s="1392" t="n"/>
      <c r="CC375" s="1392" t="n"/>
      <c r="CD375" s="1392" t="n"/>
      <c r="CE375" s="1392" t="n"/>
      <c r="CF375" s="1392" t="n"/>
      <c r="CG375" s="1392" t="n"/>
      <c r="CH375" s="1392" t="n"/>
      <c r="CI375" s="1392" t="n"/>
      <c r="CJ375" s="1392" t="n"/>
      <c r="CK375" s="1392" t="n"/>
      <c r="CL375" s="1392" t="n"/>
    </row>
    <row r="376">
      <c r="A376" s="5" t="inlineStr">
        <is>
          <t>.</t>
        </is>
      </c>
      <c r="B376" s="5" t="inlineStr">
        <is>
          <t>.</t>
        </is>
      </c>
      <c r="C376" s="1378">
        <f>IF(raw[[#This Row],[city]]="","-",IF(raw[[#This Row],[city]]="TODAY","-",C375+1))</f>
        <v/>
      </c>
      <c r="D376" s="1393" t="inlineStr">
        <is>
          <t>SP</t>
        </is>
      </c>
      <c r="E376" s="1394" t="n">
        <v>35125</v>
      </c>
      <c r="F376" s="1394" t="n">
        <v>35150</v>
      </c>
      <c r="G376" s="1393" t="inlineStr">
        <is>
          <t>-</t>
        </is>
      </c>
      <c r="H376" s="1393">
        <f>H375</f>
        <v/>
      </c>
      <c r="I376" s="1393" t="inlineStr">
        <is>
          <t>Salto Grande</t>
        </is>
      </c>
      <c r="J376" s="1393" t="inlineStr">
        <is>
          <t>-</t>
        </is>
      </c>
      <c r="K376" s="1395">
        <f>IF(raw[[#This Row],[city]]&lt;&gt;"",_xlfn.XLOOKUP($D376,ccc[city],ccc[prov],"-"),"-")</f>
        <v/>
      </c>
      <c r="L376" s="1395">
        <f>IF(raw[[#This Row],[city]]&lt;&gt;"",_xlfn.XLOOKUP($D376,ccc[city],ccc[ctry],"-"),"-")</f>
        <v/>
      </c>
      <c r="M376" s="1395">
        <f>IF(raw[[#This Row],[city]]&lt;&gt;"",_xlfn.XLOOKUP($D376,ccc[city],ccc[cont],"-"),"-")</f>
        <v/>
      </c>
      <c r="N376" s="1396">
        <f>IF(raw[[#This Row],[city]]="","-",IF(raw[[#This Row],[cont]]="B",raw[[#This Row],[cont]],"W"))</f>
        <v/>
      </c>
      <c r="O376" s="1397">
        <f>IF(raw[[#This Row],[out]]=0,0,IF(raw[[#This Row],[out]]=raw[[#This Row],[in]],0.01,raw[[#This Row],[out]]-raw[[#This Row],[in]]))</f>
        <v/>
      </c>
      <c r="P376" s="1397">
        <f>IF(raw[[#This Row],[in]]=0,0,MONTH(raw[[#This Row],[in]]))</f>
        <v/>
      </c>
      <c r="Q376" s="1397">
        <f>IF(raw[[#This Row],[in]]=0,0,YEAR(raw[[#This Row],[in]]))</f>
        <v/>
      </c>
      <c r="R376" s="1397">
        <f>INT(raw[[#This Row],[yr]]/10)*10</f>
        <v/>
      </c>
      <c r="S376" s="1395">
        <f>IF(raw[[#This Row],[city]]="","-",IF(raw[[#This Row],[city]]&lt;&gt;_xlfn.XLOOKUP(raw[[#This Row],[home]],homes[home],homes[city],"-"),1,0))</f>
        <v/>
      </c>
      <c r="T376" s="1398" t="inlineStr">
        <is>
          <t>.</t>
        </is>
      </c>
      <c r="U376" s="1399">
        <f>IF(raw[[#This Row],[wb]]="w",raw[[#This Row],[stay]]+U375,U375)</f>
        <v/>
      </c>
      <c r="V376" s="1400">
        <f>IF(raw[[#This Row],[out]]=0,V375,(raw[[#This Row],[out]]-E$5))</f>
        <v/>
      </c>
      <c r="W376" s="1401">
        <f>U376/V376</f>
        <v/>
      </c>
      <c r="X376" s="1378" t="inlineStr">
        <is>
          <t>.</t>
        </is>
      </c>
      <c r="Y376" s="1402">
        <f/>
        <v/>
      </c>
      <c r="Z376" s="1403">
        <f/>
        <v/>
      </c>
      <c r="AA376" s="1403">
        <f/>
        <v/>
      </c>
      <c r="AB376" s="1400">
        <f t="array" ref="AB376">_xlfn.LET(_xlpm.S,_xlfn.ANCHORARRAY($Y$4),_xlpm.r,ROWS(stayCity[[#Headers],[city]]:stayCity[[#This Row],[city]])-1,IF(_xlpm.r&lt;=ROWS(_xlpm.S),INDEX(_xlpm.S,_xlpm.r,1),""))</f>
        <v/>
      </c>
      <c r="AC376" s="1405">
        <f t="array" ref="AC376">_xlfn.LET(_xlpm.S,_xlfn.ANCHORARRAY($Y$4),_xlpm.r,ROWS(stayCity[[#Headers],[city]]:stayCity[[#This Row],[city]])-1,IF(_xlpm.r&lt;=ROWS(_xlpm.S),INDEX(_xlpm.S,_xlpm.r,2),""))</f>
        <v/>
      </c>
      <c r="AD376" s="1405">
        <f t="array" ref="AD376">_xlfn.LET(_xlpm.S,_xlfn.ANCHORARRAY($Y$4),_xlpm.r,ROWS(stayCity[[#Headers],[city]]:stayCity[[#This Row],[city]])-1,IF(_xlpm.r&lt;=ROWS(_xlpm.S),INDEX(_xlpm.S,_xlpm.r,3),""))</f>
        <v/>
      </c>
      <c r="AE376" s="1400">
        <f>IF(stayCity[[#This Row],[out]]&lt;&gt;"",stayCity[[#This Row],[out]]-stayCity[[#This Row],[in]],"-")</f>
        <v/>
      </c>
      <c r="AF376" s="1406">
        <f>IF(Y376="","-",YEAR(stayCity[[#This Row],[in]]))</f>
        <v/>
      </c>
      <c r="AG376" s="1392" t="n"/>
      <c r="AH376" s="1392" t="n"/>
      <c r="AI376" s="1392" t="n"/>
      <c r="AJ376" s="1392" t="n"/>
      <c r="AK376" s="1392" t="n"/>
      <c r="AL376" s="1392" t="n"/>
      <c r="AM376" s="1392" t="n"/>
      <c r="AN376" s="1392" t="n"/>
      <c r="AO376" s="1392" t="n"/>
      <c r="AP376" s="1392" t="n"/>
      <c r="AQ376" s="1392" t="n"/>
      <c r="AR376" s="1392" t="n"/>
      <c r="AS376" s="1422" t="n"/>
      <c r="AT376" s="1392" t="n"/>
      <c r="AU376" s="1392" t="n"/>
      <c r="AV376" s="1392" t="n"/>
      <c r="AW376" s="1392" t="n"/>
      <c r="AX376" s="1392" t="n"/>
      <c r="AY376" s="1392" t="n"/>
      <c r="AZ376" s="1392" t="n"/>
      <c r="BA376" s="1392" t="n"/>
      <c r="BB376" s="1422" t="n"/>
      <c r="BC376" s="1392" t="n"/>
      <c r="BD376" s="1392" t="n"/>
      <c r="BE376" s="1392" t="n"/>
      <c r="BF376" s="1392" t="n"/>
      <c r="BG376" s="1392" t="n"/>
      <c r="BH376" s="1392" t="n"/>
      <c r="BI376" s="1392" t="n"/>
      <c r="BJ376" s="1392" t="n"/>
      <c r="BK376" s="1392" t="n"/>
      <c r="BL376" s="1392" t="n"/>
      <c r="BM376" s="1392" t="n"/>
      <c r="BN376" s="1392" t="n"/>
      <c r="BO376" s="1392" t="n"/>
      <c r="BP376" s="1398" t="inlineStr">
        <is>
          <t>.</t>
        </is>
      </c>
      <c r="BQ376" s="1400">
        <f>IF(BR376&lt;&gt;"",BQ375+1,BQ375)</f>
        <v/>
      </c>
      <c r="BR376" s="1411" t="inlineStr">
        <is>
          <t>Montreal</t>
        </is>
      </c>
      <c r="BS376" s="1411" t="inlineStr">
        <is>
          <t>London</t>
        </is>
      </c>
      <c r="BT376" s="1411" t="inlineStr">
        <is>
          <t>Montreal-London</t>
        </is>
      </c>
      <c r="BU376" s="1412" t="n">
        <v>45539</v>
      </c>
      <c r="BV376" s="1398" t="inlineStr">
        <is>
          <t>.</t>
        </is>
      </c>
      <c r="BW376" s="1392" t="n"/>
      <c r="BX376" s="1392" t="n"/>
      <c r="BY376" s="1392" t="n"/>
      <c r="BZ376" s="1416" t="n"/>
      <c r="CA376" s="1392" t="n"/>
      <c r="CB376" s="1392" t="n"/>
      <c r="CC376" s="1392" t="n"/>
      <c r="CD376" s="1392" t="n"/>
      <c r="CE376" s="1392" t="n"/>
      <c r="CF376" s="1392" t="n"/>
      <c r="CG376" s="1392" t="n"/>
      <c r="CH376" s="1392" t="n"/>
      <c r="CI376" s="1392" t="n"/>
      <c r="CJ376" s="1392" t="n"/>
      <c r="CK376" s="1392" t="n"/>
      <c r="CL376" s="1392" t="n"/>
    </row>
    <row r="377">
      <c r="A377" s="5" t="inlineStr">
        <is>
          <t>.</t>
        </is>
      </c>
      <c r="B377" s="5" t="inlineStr">
        <is>
          <t>.</t>
        </is>
      </c>
      <c r="C377" s="1378">
        <f>IF(raw[[#This Row],[city]]="","-",IF(raw[[#This Row],[city]]="TODAY","-",C376+1))</f>
        <v/>
      </c>
      <c r="D377" s="1393" t="inlineStr">
        <is>
          <t>Campinas</t>
        </is>
      </c>
      <c r="E377" s="1394" t="n">
        <v>35139</v>
      </c>
      <c r="F377" s="1394" t="n">
        <v>35139</v>
      </c>
      <c r="G377" s="1393" t="inlineStr">
        <is>
          <t>-</t>
        </is>
      </c>
      <c r="H377" s="1393">
        <f>H376</f>
        <v/>
      </c>
      <c r="I377" s="1393" t="inlineStr">
        <is>
          <t>-</t>
        </is>
      </c>
      <c r="J377" s="1393" t="inlineStr">
        <is>
          <t>-</t>
        </is>
      </c>
      <c r="K377" s="1395">
        <f>IF(raw[[#This Row],[city]]&lt;&gt;"",_xlfn.XLOOKUP($D377,ccc[city],ccc[prov],"-"),"-")</f>
        <v/>
      </c>
      <c r="L377" s="1395">
        <f>IF(raw[[#This Row],[city]]&lt;&gt;"",_xlfn.XLOOKUP($D377,ccc[city],ccc[ctry],"-"),"-")</f>
        <v/>
      </c>
      <c r="M377" s="1395">
        <f>IF(raw[[#This Row],[city]]&lt;&gt;"",_xlfn.XLOOKUP($D377,ccc[city],ccc[cont],"-"),"-")</f>
        <v/>
      </c>
      <c r="N377" s="1396">
        <f>IF(raw[[#This Row],[city]]="","-",IF(raw[[#This Row],[cont]]="B",raw[[#This Row],[cont]],"W"))</f>
        <v/>
      </c>
      <c r="O377" s="1397">
        <f>IF(raw[[#This Row],[out]]=0,0,IF(raw[[#This Row],[out]]=raw[[#This Row],[in]],0.01,raw[[#This Row],[out]]-raw[[#This Row],[in]]))</f>
        <v/>
      </c>
      <c r="P377" s="1397">
        <f>IF(raw[[#This Row],[in]]=0,0,MONTH(raw[[#This Row],[in]]))</f>
        <v/>
      </c>
      <c r="Q377" s="1397">
        <f>IF(raw[[#This Row],[in]]=0,0,YEAR(raw[[#This Row],[in]]))</f>
        <v/>
      </c>
      <c r="R377" s="1397">
        <f>INT(raw[[#This Row],[yr]]/10)*10</f>
        <v/>
      </c>
      <c r="S377" s="1395">
        <f>IF(raw[[#This Row],[city]]="","-",IF(raw[[#This Row],[city]]&lt;&gt;_xlfn.XLOOKUP(raw[[#This Row],[home]],homes[home],homes[city],"-"),1,0))</f>
        <v/>
      </c>
      <c r="T377" s="1398" t="inlineStr">
        <is>
          <t>.</t>
        </is>
      </c>
      <c r="U377" s="1399">
        <f>IF(raw[[#This Row],[wb]]="w",raw[[#This Row],[stay]]+U376,U376)</f>
        <v/>
      </c>
      <c r="V377" s="1400">
        <f>IF(raw[[#This Row],[out]]=0,V376,(raw[[#This Row],[out]]-E$5))</f>
        <v/>
      </c>
      <c r="W377" s="1401">
        <f>U377/V377</f>
        <v/>
      </c>
      <c r="X377" s="1378" t="inlineStr">
        <is>
          <t>.</t>
        </is>
      </c>
      <c r="Y377" s="1402">
        <f/>
        <v/>
      </c>
      <c r="Z377" s="1403">
        <f/>
        <v/>
      </c>
      <c r="AA377" s="1403">
        <f/>
        <v/>
      </c>
      <c r="AB377" s="1400">
        <f t="array" ref="AB377">_xlfn.LET(_xlpm.S,_xlfn.ANCHORARRAY($Y$4),_xlpm.r,ROWS(stayCity[[#Headers],[city]]:stayCity[[#This Row],[city]])-1,IF(_xlpm.r&lt;=ROWS(_xlpm.S),INDEX(_xlpm.S,_xlpm.r,1),""))</f>
        <v/>
      </c>
      <c r="AC377" s="1405">
        <f t="array" ref="AC377">_xlfn.LET(_xlpm.S,_xlfn.ANCHORARRAY($Y$4),_xlpm.r,ROWS(stayCity[[#Headers],[city]]:stayCity[[#This Row],[city]])-1,IF(_xlpm.r&lt;=ROWS(_xlpm.S),INDEX(_xlpm.S,_xlpm.r,2),""))</f>
        <v/>
      </c>
      <c r="AD377" s="1405">
        <f t="array" ref="AD377">_xlfn.LET(_xlpm.S,_xlfn.ANCHORARRAY($Y$4),_xlpm.r,ROWS(stayCity[[#Headers],[city]]:stayCity[[#This Row],[city]])-1,IF(_xlpm.r&lt;=ROWS(_xlpm.S),INDEX(_xlpm.S,_xlpm.r,3),""))</f>
        <v/>
      </c>
      <c r="AE377" s="1400">
        <f>IF(stayCity[[#This Row],[out]]&lt;&gt;"",stayCity[[#This Row],[out]]-stayCity[[#This Row],[in]],"-")</f>
        <v/>
      </c>
      <c r="AF377" s="1406">
        <f>IF(Y377="","-",YEAR(stayCity[[#This Row],[in]]))</f>
        <v/>
      </c>
      <c r="AG377" s="1392" t="n"/>
      <c r="AH377" s="1392" t="n"/>
      <c r="AI377" s="1392" t="n"/>
      <c r="AJ377" s="1392" t="n"/>
      <c r="AK377" s="1392" t="n"/>
      <c r="AL377" s="1392" t="n"/>
      <c r="AM377" s="1392" t="n"/>
      <c r="AN377" s="1392" t="n"/>
      <c r="AO377" s="1392" t="n"/>
      <c r="AP377" s="1392" t="n"/>
      <c r="AQ377" s="1392" t="n"/>
      <c r="AR377" s="1392" t="n"/>
      <c r="AS377" s="1422" t="n"/>
      <c r="AT377" s="1392" t="n"/>
      <c r="AU377" s="1392" t="n"/>
      <c r="AV377" s="1392" t="n"/>
      <c r="AW377" s="1392" t="n"/>
      <c r="AX377" s="1392" t="n"/>
      <c r="AY377" s="1392" t="n"/>
      <c r="AZ377" s="1392" t="n"/>
      <c r="BA377" s="1392" t="n"/>
      <c r="BB377" s="1422" t="n"/>
      <c r="BC377" s="1392" t="n"/>
      <c r="BD377" s="1392" t="n"/>
      <c r="BE377" s="1392" t="n"/>
      <c r="BF377" s="1392" t="n"/>
      <c r="BG377" s="1392" t="n"/>
      <c r="BH377" s="1392" t="n"/>
      <c r="BI377" s="1392" t="n"/>
      <c r="BJ377" s="1392" t="n"/>
      <c r="BK377" s="1392" t="n"/>
      <c r="BL377" s="1392" t="n"/>
      <c r="BM377" s="1392" t="n"/>
      <c r="BN377" s="1392" t="n"/>
      <c r="BO377" s="1392" t="n"/>
      <c r="BP377" s="1398" t="inlineStr">
        <is>
          <t>.</t>
        </is>
      </c>
      <c r="BQ377" s="1400">
        <f>IF(BR377&lt;&gt;"",BQ376+1,BQ376)</f>
        <v/>
      </c>
      <c r="BR377" s="1411" t="inlineStr">
        <is>
          <t>London</t>
        </is>
      </c>
      <c r="BS377" s="1411" t="inlineStr">
        <is>
          <t>Montreal</t>
        </is>
      </c>
      <c r="BT377" s="1411" t="inlineStr">
        <is>
          <t>London-Montreal</t>
        </is>
      </c>
      <c r="BU377" s="1412" t="n">
        <v>45548</v>
      </c>
      <c r="BV377" s="1398" t="inlineStr">
        <is>
          <t>.</t>
        </is>
      </c>
      <c r="BW377" s="1392" t="n"/>
      <c r="BX377" s="1392" t="n"/>
      <c r="BY377" s="1392" t="n"/>
      <c r="BZ377" s="1416" t="n"/>
      <c r="CA377" s="1392" t="n"/>
      <c r="CB377" s="1392" t="n"/>
      <c r="CC377" s="1392" t="n"/>
      <c r="CD377" s="1392" t="n"/>
      <c r="CE377" s="1392" t="n"/>
      <c r="CF377" s="1392" t="n"/>
      <c r="CG377" s="1392" t="n"/>
      <c r="CH377" s="1392" t="n"/>
      <c r="CI377" s="1392" t="n"/>
      <c r="CJ377" s="1392" t="n"/>
      <c r="CK377" s="1392" t="n"/>
      <c r="CL377" s="1392" t="n"/>
    </row>
    <row r="378">
      <c r="A378" s="5" t="inlineStr">
        <is>
          <t>.</t>
        </is>
      </c>
      <c r="B378" s="5" t="inlineStr">
        <is>
          <t>.</t>
        </is>
      </c>
      <c r="C378" s="1378">
        <f>IF(raw[[#This Row],[city]]="","-",IF(raw[[#This Row],[city]]="TODAY","-",C377+1))</f>
        <v/>
      </c>
      <c r="D378" s="1393" t="inlineStr">
        <is>
          <t>SP</t>
        </is>
      </c>
      <c r="E378" s="1394" t="n">
        <v>35150</v>
      </c>
      <c r="F378" s="1394" t="n">
        <v>35150</v>
      </c>
      <c r="G378" s="1393" t="inlineStr">
        <is>
          <t>-</t>
        </is>
      </c>
      <c r="H378" s="1393">
        <f>H377</f>
        <v/>
      </c>
      <c r="I378" s="1393" t="inlineStr">
        <is>
          <t>Salto Grande</t>
        </is>
      </c>
      <c r="J378" s="1393" t="inlineStr">
        <is>
          <t>-</t>
        </is>
      </c>
      <c r="K378" s="1395">
        <f>IF(raw[[#This Row],[city]]&lt;&gt;"",_xlfn.XLOOKUP($D378,ccc[city],ccc[prov],"-"),"-")</f>
        <v/>
      </c>
      <c r="L378" s="1395">
        <f>IF(raw[[#This Row],[city]]&lt;&gt;"",_xlfn.XLOOKUP($D378,ccc[city],ccc[ctry],"-"),"-")</f>
        <v/>
      </c>
      <c r="M378" s="1395">
        <f>IF(raw[[#This Row],[city]]&lt;&gt;"",_xlfn.XLOOKUP($D378,ccc[city],ccc[cont],"-"),"-")</f>
        <v/>
      </c>
      <c r="N378" s="1396">
        <f>IF(raw[[#This Row],[city]]="","-",IF(raw[[#This Row],[cont]]="B",raw[[#This Row],[cont]],"W"))</f>
        <v/>
      </c>
      <c r="O378" s="1397">
        <f>IF(raw[[#This Row],[out]]=0,0,IF(raw[[#This Row],[out]]=raw[[#This Row],[in]],0.01,raw[[#This Row],[out]]-raw[[#This Row],[in]]))</f>
        <v/>
      </c>
      <c r="P378" s="1397">
        <f>IF(raw[[#This Row],[in]]=0,0,MONTH(raw[[#This Row],[in]]))</f>
        <v/>
      </c>
      <c r="Q378" s="1397">
        <f>IF(raw[[#This Row],[in]]=0,0,YEAR(raw[[#This Row],[in]]))</f>
        <v/>
      </c>
      <c r="R378" s="1397">
        <f>INT(raw[[#This Row],[yr]]/10)*10</f>
        <v/>
      </c>
      <c r="S378" s="1395">
        <f>IF(raw[[#This Row],[city]]="","-",IF(raw[[#This Row],[city]]&lt;&gt;_xlfn.XLOOKUP(raw[[#This Row],[home]],homes[home],homes[city],"-"),1,0))</f>
        <v/>
      </c>
      <c r="T378" s="1398" t="inlineStr">
        <is>
          <t>.</t>
        </is>
      </c>
      <c r="U378" s="1399">
        <f>IF(raw[[#This Row],[wb]]="w",raw[[#This Row],[stay]]+U377,U377)</f>
        <v/>
      </c>
      <c r="V378" s="1400">
        <f>IF(raw[[#This Row],[out]]=0,V377,(raw[[#This Row],[out]]-E$5))</f>
        <v/>
      </c>
      <c r="W378" s="1401">
        <f>U378/V378</f>
        <v/>
      </c>
      <c r="X378" s="1378" t="inlineStr">
        <is>
          <t>.</t>
        </is>
      </c>
      <c r="Y378" s="1402">
        <f/>
        <v/>
      </c>
      <c r="Z378" s="1403">
        <f/>
        <v/>
      </c>
      <c r="AA378" s="1403">
        <f/>
        <v/>
      </c>
      <c r="AB378" s="1400">
        <f t="array" ref="AB378">_xlfn.LET(_xlpm.S,_xlfn.ANCHORARRAY($Y$4),_xlpm.r,ROWS(stayCity[[#Headers],[city]]:stayCity[[#This Row],[city]])-1,IF(_xlpm.r&lt;=ROWS(_xlpm.S),INDEX(_xlpm.S,_xlpm.r,1),""))</f>
        <v/>
      </c>
      <c r="AC378" s="1405">
        <f t="array" ref="AC378">_xlfn.LET(_xlpm.S,_xlfn.ANCHORARRAY($Y$4),_xlpm.r,ROWS(stayCity[[#Headers],[city]]:stayCity[[#This Row],[city]])-1,IF(_xlpm.r&lt;=ROWS(_xlpm.S),INDEX(_xlpm.S,_xlpm.r,2),""))</f>
        <v/>
      </c>
      <c r="AD378" s="1405">
        <f t="array" ref="AD378">_xlfn.LET(_xlpm.S,_xlfn.ANCHORARRAY($Y$4),_xlpm.r,ROWS(stayCity[[#Headers],[city]]:stayCity[[#This Row],[city]])-1,IF(_xlpm.r&lt;=ROWS(_xlpm.S),INDEX(_xlpm.S,_xlpm.r,3),""))</f>
        <v/>
      </c>
      <c r="AE378" s="1400">
        <f>IF(stayCity[[#This Row],[out]]&lt;&gt;"",stayCity[[#This Row],[out]]-stayCity[[#This Row],[in]],"-")</f>
        <v/>
      </c>
      <c r="AF378" s="1406">
        <f>IF(Y378="","-",YEAR(stayCity[[#This Row],[in]]))</f>
        <v/>
      </c>
      <c r="AG378" s="1392" t="n"/>
      <c r="AH378" s="1392" t="n"/>
      <c r="AI378" s="1392" t="n"/>
      <c r="AJ378" s="1392" t="n"/>
      <c r="AK378" s="1392" t="n"/>
      <c r="AL378" s="1392" t="n"/>
      <c r="AM378" s="1392" t="n"/>
      <c r="AN378" s="1392" t="n"/>
      <c r="AO378" s="1392" t="n"/>
      <c r="AP378" s="1392" t="n"/>
      <c r="AQ378" s="1392" t="n"/>
      <c r="AR378" s="1392" t="n"/>
      <c r="AS378" s="1422" t="n"/>
      <c r="AT378" s="1392" t="n"/>
      <c r="AU378" s="1392" t="n"/>
      <c r="AV378" s="1392" t="n"/>
      <c r="AW378" s="1392" t="n"/>
      <c r="AX378" s="1392" t="n"/>
      <c r="AY378" s="1392" t="n"/>
      <c r="AZ378" s="1392" t="n"/>
      <c r="BA378" s="1392" t="n"/>
      <c r="BB378" s="1422" t="n"/>
      <c r="BC378" s="1392" t="n"/>
      <c r="BD378" s="1392" t="n"/>
      <c r="BE378" s="1392" t="n"/>
      <c r="BF378" s="1392" t="n"/>
      <c r="BG378" s="1392" t="n"/>
      <c r="BH378" s="1392" t="n"/>
      <c r="BI378" s="1392" t="n"/>
      <c r="BJ378" s="1392" t="n"/>
      <c r="BK378" s="1392" t="n"/>
      <c r="BL378" s="1392" t="n"/>
      <c r="BM378" s="1392" t="n"/>
      <c r="BN378" s="1392" t="n"/>
      <c r="BO378" s="1392" t="n"/>
      <c r="BP378" s="1398" t="inlineStr">
        <is>
          <t>.</t>
        </is>
      </c>
      <c r="BQ378" s="1400">
        <f>IF(BR378&lt;&gt;"",BQ377+1,BQ377)</f>
        <v/>
      </c>
      <c r="BR378" s="1411" t="inlineStr">
        <is>
          <t>Montreal</t>
        </is>
      </c>
      <c r="BS378" s="1411" t="inlineStr">
        <is>
          <t>Chicago</t>
        </is>
      </c>
      <c r="BT378" s="1411" t="inlineStr">
        <is>
          <t>Montreal-Chicago</t>
        </is>
      </c>
      <c r="BU378" s="1412" t="n">
        <v>45579</v>
      </c>
      <c r="BV378" s="1398" t="inlineStr">
        <is>
          <t>.</t>
        </is>
      </c>
      <c r="BW378" s="1392" t="n"/>
      <c r="BX378" s="1392" t="n"/>
      <c r="BY378" s="1392" t="n"/>
      <c r="BZ378" s="1416" t="n"/>
      <c r="CA378" s="1392" t="n"/>
      <c r="CB378" s="1392" t="n"/>
      <c r="CC378" s="1392" t="n"/>
      <c r="CD378" s="1392" t="n"/>
      <c r="CE378" s="1392" t="n"/>
      <c r="CF378" s="1392" t="n"/>
      <c r="CG378" s="1392" t="n"/>
      <c r="CH378" s="1392" t="n"/>
      <c r="CI378" s="1392" t="n"/>
      <c r="CJ378" s="1392" t="n"/>
      <c r="CK378" s="1392" t="n"/>
      <c r="CL378" s="1392" t="n"/>
    </row>
    <row r="379">
      <c r="A379" s="5" t="inlineStr">
        <is>
          <t>.</t>
        </is>
      </c>
      <c r="B379" s="5" t="inlineStr">
        <is>
          <t>.</t>
        </is>
      </c>
      <c r="C379" s="1378">
        <f>IF(raw[[#This Row],[city]]="","-",IF(raw[[#This Row],[city]]="TODAY","-",C378+1))</f>
        <v/>
      </c>
      <c r="D379" s="1393" t="inlineStr">
        <is>
          <t>Rio</t>
        </is>
      </c>
      <c r="E379" s="1394" t="n">
        <v>35150</v>
      </c>
      <c r="F379" s="1394" t="n">
        <v>35151</v>
      </c>
      <c r="G379" s="1393" t="n">
        <v>1</v>
      </c>
      <c r="H379" s="1393">
        <f>H378</f>
        <v/>
      </c>
      <c r="I379" s="1393" t="inlineStr">
        <is>
          <t>Meier</t>
        </is>
      </c>
      <c r="J379" s="1393" t="inlineStr">
        <is>
          <t>-</t>
        </is>
      </c>
      <c r="K379" s="1395">
        <f>IF(raw[[#This Row],[city]]&lt;&gt;"",_xlfn.XLOOKUP($D379,ccc[city],ccc[prov],"-"),"-")</f>
        <v/>
      </c>
      <c r="L379" s="1395">
        <f>IF(raw[[#This Row],[city]]&lt;&gt;"",_xlfn.XLOOKUP($D379,ccc[city],ccc[ctry],"-"),"-")</f>
        <v/>
      </c>
      <c r="M379" s="1395">
        <f>IF(raw[[#This Row],[city]]&lt;&gt;"",_xlfn.XLOOKUP($D379,ccc[city],ccc[cont],"-"),"-")</f>
        <v/>
      </c>
      <c r="N379" s="1396">
        <f>IF(raw[[#This Row],[city]]="","-",IF(raw[[#This Row],[cont]]="B",raw[[#This Row],[cont]],"W"))</f>
        <v/>
      </c>
      <c r="O379" s="1397">
        <f>IF(raw[[#This Row],[out]]=0,0,IF(raw[[#This Row],[out]]=raw[[#This Row],[in]],0.01,raw[[#This Row],[out]]-raw[[#This Row],[in]]))</f>
        <v/>
      </c>
      <c r="P379" s="1397">
        <f>IF(raw[[#This Row],[in]]=0,0,MONTH(raw[[#This Row],[in]]))</f>
        <v/>
      </c>
      <c r="Q379" s="1397">
        <f>IF(raw[[#This Row],[in]]=0,0,YEAR(raw[[#This Row],[in]]))</f>
        <v/>
      </c>
      <c r="R379" s="1397">
        <f>INT(raw[[#This Row],[yr]]/10)*10</f>
        <v/>
      </c>
      <c r="S379" s="1395">
        <f>IF(raw[[#This Row],[city]]="","-",IF(raw[[#This Row],[city]]&lt;&gt;_xlfn.XLOOKUP(raw[[#This Row],[home]],homes[home],homes[city],"-"),1,0))</f>
        <v/>
      </c>
      <c r="T379" s="1398" t="inlineStr">
        <is>
          <t>.</t>
        </is>
      </c>
      <c r="U379" s="1399">
        <f>IF(raw[[#This Row],[wb]]="w",raw[[#This Row],[stay]]+U378,U378)</f>
        <v/>
      </c>
      <c r="V379" s="1400">
        <f>IF(raw[[#This Row],[out]]=0,V378,(raw[[#This Row],[out]]-E$5))</f>
        <v/>
      </c>
      <c r="W379" s="1401">
        <f>U379/V379</f>
        <v/>
      </c>
      <c r="X379" s="1378" t="inlineStr">
        <is>
          <t>.</t>
        </is>
      </c>
      <c r="Y379" s="1402">
        <f/>
        <v/>
      </c>
      <c r="Z379" s="1403">
        <f/>
        <v/>
      </c>
      <c r="AA379" s="1403">
        <f/>
        <v/>
      </c>
      <c r="AB379" s="1400">
        <f t="array" ref="AB379">_xlfn.LET(_xlpm.S,_xlfn.ANCHORARRAY($Y$4),_xlpm.r,ROWS(stayCity[[#Headers],[city]]:stayCity[[#This Row],[city]])-1,IF(_xlpm.r&lt;=ROWS(_xlpm.S),INDEX(_xlpm.S,_xlpm.r,1),""))</f>
        <v/>
      </c>
      <c r="AC379" s="1405">
        <f t="array" ref="AC379">_xlfn.LET(_xlpm.S,_xlfn.ANCHORARRAY($Y$4),_xlpm.r,ROWS(stayCity[[#Headers],[city]]:stayCity[[#This Row],[city]])-1,IF(_xlpm.r&lt;=ROWS(_xlpm.S),INDEX(_xlpm.S,_xlpm.r,2),""))</f>
        <v/>
      </c>
      <c r="AD379" s="1405">
        <f t="array" ref="AD379">_xlfn.LET(_xlpm.S,_xlfn.ANCHORARRAY($Y$4),_xlpm.r,ROWS(stayCity[[#Headers],[city]]:stayCity[[#This Row],[city]])-1,IF(_xlpm.r&lt;=ROWS(_xlpm.S),INDEX(_xlpm.S,_xlpm.r,3),""))</f>
        <v/>
      </c>
      <c r="AE379" s="1400">
        <f>IF(stayCity[[#This Row],[out]]&lt;&gt;"",stayCity[[#This Row],[out]]-stayCity[[#This Row],[in]],"-")</f>
        <v/>
      </c>
      <c r="AF379" s="1406">
        <f>IF(Y379="","-",YEAR(stayCity[[#This Row],[in]]))</f>
        <v/>
      </c>
      <c r="AG379" s="1392" t="n"/>
      <c r="AH379" s="1392" t="n"/>
      <c r="AI379" s="1392" t="n"/>
      <c r="AJ379" s="1392" t="n"/>
      <c r="AK379" s="1392" t="n"/>
      <c r="AL379" s="1392" t="n"/>
      <c r="AM379" s="1392" t="n"/>
      <c r="AN379" s="1392" t="n"/>
      <c r="AO379" s="1392" t="n"/>
      <c r="AP379" s="1392" t="n"/>
      <c r="AQ379" s="1392" t="n"/>
      <c r="AR379" s="1392" t="n"/>
      <c r="AS379" s="1422" t="n"/>
      <c r="AT379" s="1392" t="n"/>
      <c r="AU379" s="1392" t="n"/>
      <c r="AV379" s="1392" t="n"/>
      <c r="AW379" s="1392" t="n"/>
      <c r="AX379" s="1392" t="n"/>
      <c r="AY379" s="1392" t="n"/>
      <c r="AZ379" s="1392" t="n"/>
      <c r="BA379" s="1392" t="n"/>
      <c r="BB379" s="1422" t="n"/>
      <c r="BC379" s="1392" t="n"/>
      <c r="BD379" s="1392" t="n"/>
      <c r="BE379" s="1392" t="n"/>
      <c r="BF379" s="1392" t="n"/>
      <c r="BG379" s="1392" t="n"/>
      <c r="BH379" s="1392" t="n"/>
      <c r="BI379" s="1392" t="n"/>
      <c r="BJ379" s="1392" t="n"/>
      <c r="BK379" s="1392" t="n"/>
      <c r="BL379" s="1392" t="n"/>
      <c r="BM379" s="1392" t="n"/>
      <c r="BN379" s="1392" t="n"/>
      <c r="BO379" s="1392" t="n"/>
      <c r="BP379" s="1398" t="inlineStr">
        <is>
          <t>.</t>
        </is>
      </c>
      <c r="BQ379" s="1400">
        <f>IF(BR379&lt;&gt;"",BQ378+1,BQ378)</f>
        <v/>
      </c>
      <c r="BR379" s="1411" t="inlineStr">
        <is>
          <t>Chicago</t>
        </is>
      </c>
      <c r="BS379" s="1411" t="inlineStr">
        <is>
          <t>SP</t>
        </is>
      </c>
      <c r="BT379" s="1411" t="inlineStr">
        <is>
          <t>Chicago-SP</t>
        </is>
      </c>
      <c r="BU379" s="1412" t="n">
        <v>45579</v>
      </c>
      <c r="BV379" s="1398" t="inlineStr">
        <is>
          <t>.</t>
        </is>
      </c>
      <c r="BW379" s="1392" t="n"/>
      <c r="BX379" s="1392" t="n"/>
      <c r="BY379" s="1392" t="n"/>
      <c r="BZ379" s="1416" t="n"/>
      <c r="CA379" s="1392" t="n"/>
      <c r="CB379" s="1392" t="n"/>
      <c r="CC379" s="1392" t="n"/>
      <c r="CD379" s="1392" t="n"/>
      <c r="CE379" s="1392" t="n"/>
      <c r="CF379" s="1392" t="n"/>
      <c r="CG379" s="1392" t="n"/>
      <c r="CH379" s="1392" t="n"/>
      <c r="CI379" s="1392" t="n"/>
      <c r="CJ379" s="1392" t="n"/>
      <c r="CK379" s="1392" t="n"/>
      <c r="CL379" s="1392" t="n"/>
    </row>
    <row r="380">
      <c r="A380" s="5" t="inlineStr">
        <is>
          <t>.</t>
        </is>
      </c>
      <c r="B380" s="5" t="inlineStr">
        <is>
          <t>.</t>
        </is>
      </c>
      <c r="C380" s="1378">
        <f>IF(raw[[#This Row],[city]]="","-",IF(raw[[#This Row],[city]]="TODAY","-",C379+1))</f>
        <v/>
      </c>
      <c r="D380" s="1393" t="inlineStr">
        <is>
          <t>SP</t>
        </is>
      </c>
      <c r="E380" s="1394" t="n">
        <v>35151</v>
      </c>
      <c r="F380" s="1394" t="n">
        <v>35152</v>
      </c>
      <c r="G380" s="1393" t="n">
        <v>1</v>
      </c>
      <c r="H380" s="1393">
        <f>H379</f>
        <v/>
      </c>
      <c r="I380" s="1393" t="inlineStr">
        <is>
          <t>Salto Grande</t>
        </is>
      </c>
      <c r="J380" s="1393" t="inlineStr">
        <is>
          <t>-</t>
        </is>
      </c>
      <c r="K380" s="1395">
        <f>IF(raw[[#This Row],[city]]&lt;&gt;"",_xlfn.XLOOKUP($D380,ccc[city],ccc[prov],"-"),"-")</f>
        <v/>
      </c>
      <c r="L380" s="1395">
        <f>IF(raw[[#This Row],[city]]&lt;&gt;"",_xlfn.XLOOKUP($D380,ccc[city],ccc[ctry],"-"),"-")</f>
        <v/>
      </c>
      <c r="M380" s="1395">
        <f>IF(raw[[#This Row],[city]]&lt;&gt;"",_xlfn.XLOOKUP($D380,ccc[city],ccc[cont],"-"),"-")</f>
        <v/>
      </c>
      <c r="N380" s="1396">
        <f>IF(raw[[#This Row],[city]]="","-",IF(raw[[#This Row],[cont]]="B",raw[[#This Row],[cont]],"W"))</f>
        <v/>
      </c>
      <c r="O380" s="1397">
        <f>IF(raw[[#This Row],[out]]=0,0,IF(raw[[#This Row],[out]]=raw[[#This Row],[in]],0.01,raw[[#This Row],[out]]-raw[[#This Row],[in]]))</f>
        <v/>
      </c>
      <c r="P380" s="1397">
        <f>IF(raw[[#This Row],[in]]=0,0,MONTH(raw[[#This Row],[in]]))</f>
        <v/>
      </c>
      <c r="Q380" s="1397">
        <f>IF(raw[[#This Row],[in]]=0,0,YEAR(raw[[#This Row],[in]]))</f>
        <v/>
      </c>
      <c r="R380" s="1397">
        <f>INT(raw[[#This Row],[yr]]/10)*10</f>
        <v/>
      </c>
      <c r="S380" s="1395">
        <f>IF(raw[[#This Row],[city]]="","-",IF(raw[[#This Row],[city]]&lt;&gt;_xlfn.XLOOKUP(raw[[#This Row],[home]],homes[home],homes[city],"-"),1,0))</f>
        <v/>
      </c>
      <c r="T380" s="1398" t="inlineStr">
        <is>
          <t>.</t>
        </is>
      </c>
      <c r="U380" s="1399">
        <f>IF(raw[[#This Row],[wb]]="w",raw[[#This Row],[stay]]+U379,U379)</f>
        <v/>
      </c>
      <c r="V380" s="1400">
        <f>IF(raw[[#This Row],[out]]=0,V379,(raw[[#This Row],[out]]-E$5))</f>
        <v/>
      </c>
      <c r="W380" s="1401">
        <f>U380/V380</f>
        <v/>
      </c>
      <c r="X380" s="1378" t="inlineStr">
        <is>
          <t>.</t>
        </is>
      </c>
      <c r="Y380" s="1402">
        <f/>
        <v/>
      </c>
      <c r="Z380" s="1403">
        <f/>
        <v/>
      </c>
      <c r="AA380" s="1403">
        <f/>
        <v/>
      </c>
      <c r="AB380" s="1400">
        <f t="array" ref="AB380">_xlfn.LET(_xlpm.S,_xlfn.ANCHORARRAY($Y$4),_xlpm.r,ROWS(stayCity[[#Headers],[city]]:stayCity[[#This Row],[city]])-1,IF(_xlpm.r&lt;=ROWS(_xlpm.S),INDEX(_xlpm.S,_xlpm.r,1),""))</f>
        <v/>
      </c>
      <c r="AC380" s="1405">
        <f t="array" ref="AC380">_xlfn.LET(_xlpm.S,_xlfn.ANCHORARRAY($Y$4),_xlpm.r,ROWS(stayCity[[#Headers],[city]]:stayCity[[#This Row],[city]])-1,IF(_xlpm.r&lt;=ROWS(_xlpm.S),INDEX(_xlpm.S,_xlpm.r,2),""))</f>
        <v/>
      </c>
      <c r="AD380" s="1405">
        <f t="array" ref="AD380">_xlfn.LET(_xlpm.S,_xlfn.ANCHORARRAY($Y$4),_xlpm.r,ROWS(stayCity[[#Headers],[city]]:stayCity[[#This Row],[city]])-1,IF(_xlpm.r&lt;=ROWS(_xlpm.S),INDEX(_xlpm.S,_xlpm.r,3),""))</f>
        <v/>
      </c>
      <c r="AE380" s="1400">
        <f>IF(stayCity[[#This Row],[out]]&lt;&gt;"",stayCity[[#This Row],[out]]-stayCity[[#This Row],[in]],"-")</f>
        <v/>
      </c>
      <c r="AF380" s="1406">
        <f>IF(Y380="","-",YEAR(stayCity[[#This Row],[in]]))</f>
        <v/>
      </c>
      <c r="AG380" s="1392" t="n"/>
      <c r="AH380" s="1392" t="n"/>
      <c r="AI380" s="1392" t="n"/>
      <c r="AJ380" s="1392" t="n"/>
      <c r="AK380" s="1392" t="n"/>
      <c r="AL380" s="1392" t="n"/>
      <c r="AM380" s="1392" t="n"/>
      <c r="AN380" s="1392" t="n"/>
      <c r="AO380" s="1392" t="n"/>
      <c r="AP380" s="1392" t="n"/>
      <c r="AQ380" s="1392" t="n"/>
      <c r="AR380" s="1392" t="n"/>
      <c r="AS380" s="1422" t="n"/>
      <c r="AT380" s="1392" t="n"/>
      <c r="AU380" s="1392" t="n"/>
      <c r="AV380" s="1392" t="n"/>
      <c r="AW380" s="1392" t="n"/>
      <c r="AX380" s="1392" t="n"/>
      <c r="AY380" s="1392" t="n"/>
      <c r="AZ380" s="1392" t="n"/>
      <c r="BA380" s="1392" t="n"/>
      <c r="BB380" s="1422" t="n"/>
      <c r="BC380" s="1392" t="n"/>
      <c r="BD380" s="1392" t="n"/>
      <c r="BE380" s="1392" t="n"/>
      <c r="BF380" s="1392" t="n"/>
      <c r="BG380" s="1392" t="n"/>
      <c r="BH380" s="1392" t="n"/>
      <c r="BI380" s="1392" t="n"/>
      <c r="BJ380" s="1392" t="n"/>
      <c r="BK380" s="1392" t="n"/>
      <c r="BL380" s="1392" t="n"/>
      <c r="BM380" s="1392" t="n"/>
      <c r="BN380" s="1392" t="n"/>
      <c r="BO380" s="1392" t="n"/>
      <c r="BP380" s="1398" t="inlineStr">
        <is>
          <t>.</t>
        </is>
      </c>
      <c r="BQ380" s="1400">
        <f>IF(BR380&lt;&gt;"",BQ379+1,BQ379)</f>
        <v/>
      </c>
      <c r="BR380" s="1411" t="inlineStr">
        <is>
          <t>SP</t>
        </is>
      </c>
      <c r="BS380" s="1411" t="inlineStr">
        <is>
          <t>SSA</t>
        </is>
      </c>
      <c r="BT380" s="1411" t="inlineStr">
        <is>
          <t>SP-SSA</t>
        </is>
      </c>
      <c r="BU380" s="1412" t="n">
        <v>45580</v>
      </c>
      <c r="BV380" s="1398" t="inlineStr">
        <is>
          <t>.</t>
        </is>
      </c>
      <c r="BW380" s="1392" t="n"/>
      <c r="BX380" s="1392" t="n"/>
      <c r="BY380" s="1392" t="n"/>
      <c r="BZ380" s="1416" t="n"/>
      <c r="CA380" s="1392" t="n"/>
      <c r="CB380" s="1392" t="n"/>
      <c r="CC380" s="1392" t="n"/>
      <c r="CD380" s="1392" t="n"/>
      <c r="CE380" s="1392" t="n"/>
      <c r="CF380" s="1392" t="n"/>
      <c r="CG380" s="1392" t="n"/>
      <c r="CH380" s="1392" t="n"/>
      <c r="CI380" s="1392" t="n"/>
      <c r="CJ380" s="1392" t="n"/>
      <c r="CK380" s="1392" t="n"/>
      <c r="CL380" s="1392" t="n"/>
    </row>
    <row r="381">
      <c r="A381" s="5" t="inlineStr">
        <is>
          <t>.</t>
        </is>
      </c>
      <c r="B381" s="5" t="inlineStr">
        <is>
          <t>.</t>
        </is>
      </c>
      <c r="C381" s="1378">
        <f>IF(raw[[#This Row],[city]]="","-",IF(raw[[#This Row],[city]]="TODAY","-",C380+1))</f>
        <v/>
      </c>
      <c r="D381" s="1393" t="inlineStr">
        <is>
          <t>AIR</t>
        </is>
      </c>
      <c r="E381" s="1394" t="n">
        <v>35152</v>
      </c>
      <c r="F381" s="1394" t="n">
        <v>35153</v>
      </c>
      <c r="G381" s="1393" t="inlineStr">
        <is>
          <t>x</t>
        </is>
      </c>
      <c r="H381" s="1393">
        <f>H380</f>
        <v/>
      </c>
      <c r="I381" s="1393" t="inlineStr">
        <is>
          <t>-</t>
        </is>
      </c>
      <c r="J381" s="1393" t="inlineStr">
        <is>
          <t>-</t>
        </is>
      </c>
      <c r="K381" s="1395">
        <f>IF(raw[[#This Row],[city]]&lt;&gt;"",_xlfn.XLOOKUP($D381,ccc[city],ccc[prov],"-"),"-")</f>
        <v/>
      </c>
      <c r="L381" s="1395">
        <f>IF(raw[[#This Row],[city]]&lt;&gt;"",_xlfn.XLOOKUP($D381,ccc[city],ccc[ctry],"-"),"-")</f>
        <v/>
      </c>
      <c r="M381" s="1395">
        <f>IF(raw[[#This Row],[city]]&lt;&gt;"",_xlfn.XLOOKUP($D381,ccc[city],ccc[cont],"-"),"-")</f>
        <v/>
      </c>
      <c r="N381" s="1396">
        <f>IF(raw[[#This Row],[city]]="","-",IF(raw[[#This Row],[cont]]="B",raw[[#This Row],[cont]],"W"))</f>
        <v/>
      </c>
      <c r="O381" s="1397">
        <f>IF(raw[[#This Row],[out]]=0,0,IF(raw[[#This Row],[out]]=raw[[#This Row],[in]],0.01,raw[[#This Row],[out]]-raw[[#This Row],[in]]))</f>
        <v/>
      </c>
      <c r="P381" s="1397">
        <f>IF(raw[[#This Row],[in]]=0,0,MONTH(raw[[#This Row],[in]]))</f>
        <v/>
      </c>
      <c r="Q381" s="1397">
        <f>IF(raw[[#This Row],[in]]=0,0,YEAR(raw[[#This Row],[in]]))</f>
        <v/>
      </c>
      <c r="R381" s="1397">
        <f>INT(raw[[#This Row],[yr]]/10)*10</f>
        <v/>
      </c>
      <c r="S381" s="1395">
        <f>IF(raw[[#This Row],[city]]="","-",IF(raw[[#This Row],[city]]&lt;&gt;_xlfn.XLOOKUP(raw[[#This Row],[home]],homes[home],homes[city],"-"),1,0))</f>
        <v/>
      </c>
      <c r="T381" s="1398" t="inlineStr">
        <is>
          <t>.</t>
        </is>
      </c>
      <c r="U381" s="1399">
        <f>IF(raw[[#This Row],[wb]]="w",raw[[#This Row],[stay]]+U380,U380)</f>
        <v/>
      </c>
      <c r="V381" s="1400">
        <f>IF(raw[[#This Row],[out]]=0,V380,(raw[[#This Row],[out]]-E$5))</f>
        <v/>
      </c>
      <c r="W381" s="1401">
        <f>U381/V381</f>
        <v/>
      </c>
      <c r="X381" s="1378" t="inlineStr">
        <is>
          <t>.</t>
        </is>
      </c>
      <c r="Y381" s="1402">
        <f/>
        <v/>
      </c>
      <c r="Z381" s="1403">
        <f/>
        <v/>
      </c>
      <c r="AA381" s="1403">
        <f/>
        <v/>
      </c>
      <c r="AB381" s="1400">
        <f t="array" ref="AB381">_xlfn.LET(_xlpm.S,_xlfn.ANCHORARRAY($Y$4),_xlpm.r,ROWS(stayCity[[#Headers],[city]]:stayCity[[#This Row],[city]])-1,IF(_xlpm.r&lt;=ROWS(_xlpm.S),INDEX(_xlpm.S,_xlpm.r,1),""))</f>
        <v/>
      </c>
      <c r="AC381" s="1405">
        <f t="array" ref="AC381">_xlfn.LET(_xlpm.S,_xlfn.ANCHORARRAY($Y$4),_xlpm.r,ROWS(stayCity[[#Headers],[city]]:stayCity[[#This Row],[city]])-1,IF(_xlpm.r&lt;=ROWS(_xlpm.S),INDEX(_xlpm.S,_xlpm.r,2),""))</f>
        <v/>
      </c>
      <c r="AD381" s="1405">
        <f t="array" ref="AD381">_xlfn.LET(_xlpm.S,_xlfn.ANCHORARRAY($Y$4),_xlpm.r,ROWS(stayCity[[#Headers],[city]]:stayCity[[#This Row],[city]])-1,IF(_xlpm.r&lt;=ROWS(_xlpm.S),INDEX(_xlpm.S,_xlpm.r,3),""))</f>
        <v/>
      </c>
      <c r="AE381" s="1400">
        <f>IF(stayCity[[#This Row],[out]]&lt;&gt;"",stayCity[[#This Row],[out]]-stayCity[[#This Row],[in]],"-")</f>
        <v/>
      </c>
      <c r="AF381" s="1406">
        <f>IF(Y381="","-",YEAR(stayCity[[#This Row],[in]]))</f>
        <v/>
      </c>
      <c r="AG381" s="1392" t="n"/>
      <c r="AH381" s="1392" t="n"/>
      <c r="AI381" s="1392" t="n"/>
      <c r="AJ381" s="1392" t="n"/>
      <c r="AK381" s="1392" t="n"/>
      <c r="AL381" s="1392" t="n"/>
      <c r="AM381" s="1392" t="n"/>
      <c r="AN381" s="1392" t="n"/>
      <c r="AO381" s="1392" t="n"/>
      <c r="AP381" s="1392" t="n"/>
      <c r="AQ381" s="1392" t="n"/>
      <c r="AR381" s="1392" t="n"/>
      <c r="AS381" s="1422" t="n"/>
      <c r="AT381" s="1392" t="n"/>
      <c r="AU381" s="1392" t="n"/>
      <c r="AV381" s="1392" t="n"/>
      <c r="AW381" s="1392" t="n"/>
      <c r="AX381" s="1392" t="n"/>
      <c r="AY381" s="1392" t="n"/>
      <c r="AZ381" s="1392" t="n"/>
      <c r="BA381" s="1392" t="n"/>
      <c r="BB381" s="1422" t="n"/>
      <c r="BC381" s="1392" t="n"/>
      <c r="BD381" s="1392" t="n"/>
      <c r="BE381" s="1392" t="n"/>
      <c r="BF381" s="1392" t="n"/>
      <c r="BG381" s="1392" t="n"/>
      <c r="BH381" s="1392" t="n"/>
      <c r="BI381" s="1392" t="n"/>
      <c r="BJ381" s="1392" t="n"/>
      <c r="BK381" s="1392" t="n"/>
      <c r="BL381" s="1392" t="n"/>
      <c r="BM381" s="1392" t="n"/>
      <c r="BN381" s="1392" t="n"/>
      <c r="BO381" s="1392" t="n"/>
      <c r="BP381" s="1398" t="inlineStr">
        <is>
          <t>.</t>
        </is>
      </c>
      <c r="BQ381" s="1400">
        <f>IF(BR381&lt;&gt;"",BQ380+1,BQ380)</f>
        <v/>
      </c>
      <c r="BR381" s="1411" t="inlineStr">
        <is>
          <t>SSA</t>
        </is>
      </c>
      <c r="BS381" s="1411" t="inlineStr">
        <is>
          <t>SP</t>
        </is>
      </c>
      <c r="BT381" s="1411" t="inlineStr">
        <is>
          <t>SSA-SP</t>
        </is>
      </c>
      <c r="BU381" s="1412" t="n">
        <v>45598</v>
      </c>
      <c r="BV381" s="1398" t="inlineStr">
        <is>
          <t>.</t>
        </is>
      </c>
      <c r="BW381" s="1392" t="n"/>
      <c r="BX381" s="1392" t="n"/>
      <c r="BY381" s="1392" t="n"/>
      <c r="BZ381" s="1416" t="n"/>
      <c r="CA381" s="1392" t="n"/>
      <c r="CB381" s="1392" t="n"/>
      <c r="CC381" s="1392" t="n"/>
      <c r="CD381" s="1392" t="n"/>
      <c r="CE381" s="1392" t="n"/>
      <c r="CF381" s="1392" t="n"/>
      <c r="CG381" s="1392" t="n"/>
      <c r="CH381" s="1392" t="n"/>
      <c r="CI381" s="1392" t="n"/>
      <c r="CJ381" s="1392" t="n"/>
      <c r="CK381" s="1392" t="n"/>
      <c r="CL381" s="1392" t="n"/>
    </row>
    <row r="382">
      <c r="A382" s="5" t="inlineStr">
        <is>
          <t>.</t>
        </is>
      </c>
      <c r="B382" s="5" t="inlineStr">
        <is>
          <t>.</t>
        </is>
      </c>
      <c r="C382" s="1378">
        <f>IF(raw[[#This Row],[city]]="","-",IF(raw[[#This Row],[city]]="TODAY","-",C381+1))</f>
        <v/>
      </c>
      <c r="D382" s="1393" t="inlineStr">
        <is>
          <t>London</t>
        </is>
      </c>
      <c r="E382" s="1394" t="n">
        <v>35153</v>
      </c>
      <c r="F382" s="1394" t="n">
        <v>35156</v>
      </c>
      <c r="G382" s="1393" t="inlineStr">
        <is>
          <t>-</t>
        </is>
      </c>
      <c r="H382" s="1393" t="inlineStr">
        <is>
          <t>Norbury</t>
        </is>
      </c>
      <c r="I382" s="1393" t="inlineStr">
        <is>
          <t>-</t>
        </is>
      </c>
      <c r="J382" s="1393" t="inlineStr">
        <is>
          <t>-</t>
        </is>
      </c>
      <c r="K382" s="1395">
        <f>IF(raw[[#This Row],[city]]&lt;&gt;"",_xlfn.XLOOKUP($D382,ccc[city],ccc[prov],"-"),"-")</f>
        <v/>
      </c>
      <c r="L382" s="1395">
        <f>IF(raw[[#This Row],[city]]&lt;&gt;"",_xlfn.XLOOKUP($D382,ccc[city],ccc[ctry],"-"),"-")</f>
        <v/>
      </c>
      <c r="M382" s="1395">
        <f>IF(raw[[#This Row],[city]]&lt;&gt;"",_xlfn.XLOOKUP($D382,ccc[city],ccc[cont],"-"),"-")</f>
        <v/>
      </c>
      <c r="N382" s="1396">
        <f>IF(raw[[#This Row],[city]]="","-",IF(raw[[#This Row],[cont]]="B",raw[[#This Row],[cont]],"W"))</f>
        <v/>
      </c>
      <c r="O382" s="1397">
        <f>IF(raw[[#This Row],[out]]=0,0,IF(raw[[#This Row],[out]]=raw[[#This Row],[in]],0.01,raw[[#This Row],[out]]-raw[[#This Row],[in]]))</f>
        <v/>
      </c>
      <c r="P382" s="1397">
        <f>IF(raw[[#This Row],[in]]=0,0,MONTH(raw[[#This Row],[in]]))</f>
        <v/>
      </c>
      <c r="Q382" s="1397">
        <f>IF(raw[[#This Row],[in]]=0,0,YEAR(raw[[#This Row],[in]]))</f>
        <v/>
      </c>
      <c r="R382" s="1397">
        <f>INT(raw[[#This Row],[yr]]/10)*10</f>
        <v/>
      </c>
      <c r="S382" s="1395">
        <f>IF(raw[[#This Row],[city]]="","-",IF(raw[[#This Row],[city]]&lt;&gt;_xlfn.XLOOKUP(raw[[#This Row],[home]],homes[home],homes[city],"-"),1,0))</f>
        <v/>
      </c>
      <c r="T382" s="1398" t="inlineStr">
        <is>
          <t>.</t>
        </is>
      </c>
      <c r="U382" s="1399">
        <f>IF(raw[[#This Row],[wb]]="w",raw[[#This Row],[stay]]+U381,U381)</f>
        <v/>
      </c>
      <c r="V382" s="1400">
        <f>IF(raw[[#This Row],[out]]=0,V381,(raw[[#This Row],[out]]-E$5))</f>
        <v/>
      </c>
      <c r="W382" s="1401">
        <f>U382/V382</f>
        <v/>
      </c>
      <c r="X382" s="1378" t="inlineStr">
        <is>
          <t>.</t>
        </is>
      </c>
      <c r="Y382" s="1402">
        <f/>
        <v/>
      </c>
      <c r="Z382" s="1403">
        <f/>
        <v/>
      </c>
      <c r="AA382" s="1403">
        <f/>
        <v/>
      </c>
      <c r="AB382" s="1400">
        <f t="array" ref="AB382">_xlfn.LET(_xlpm.S,_xlfn.ANCHORARRAY($Y$4),_xlpm.r,ROWS(stayCity[[#Headers],[city]]:stayCity[[#This Row],[city]])-1,IF(_xlpm.r&lt;=ROWS(_xlpm.S),INDEX(_xlpm.S,_xlpm.r,1),""))</f>
        <v/>
      </c>
      <c r="AC382" s="1405">
        <f t="array" ref="AC382">_xlfn.LET(_xlpm.S,_xlfn.ANCHORARRAY($Y$4),_xlpm.r,ROWS(stayCity[[#Headers],[city]]:stayCity[[#This Row],[city]])-1,IF(_xlpm.r&lt;=ROWS(_xlpm.S),INDEX(_xlpm.S,_xlpm.r,2),""))</f>
        <v/>
      </c>
      <c r="AD382" s="1405">
        <f t="array" ref="AD382">_xlfn.LET(_xlpm.S,_xlfn.ANCHORARRAY($Y$4),_xlpm.r,ROWS(stayCity[[#Headers],[city]]:stayCity[[#This Row],[city]])-1,IF(_xlpm.r&lt;=ROWS(_xlpm.S),INDEX(_xlpm.S,_xlpm.r,3),""))</f>
        <v/>
      </c>
      <c r="AE382" s="1400">
        <f>IF(stayCity[[#This Row],[out]]&lt;&gt;"",stayCity[[#This Row],[out]]-stayCity[[#This Row],[in]],"-")</f>
        <v/>
      </c>
      <c r="AF382" s="1406">
        <f>IF(Y382="","-",YEAR(stayCity[[#This Row],[in]]))</f>
        <v/>
      </c>
      <c r="AG382" s="1392" t="n"/>
      <c r="AH382" s="1392" t="n"/>
      <c r="AI382" s="1392" t="n"/>
      <c r="AJ382" s="1392" t="n"/>
      <c r="AK382" s="1392" t="n"/>
      <c r="AL382" s="1392" t="n"/>
      <c r="AM382" s="1392" t="n"/>
      <c r="AN382" s="1392" t="n"/>
      <c r="AO382" s="1392" t="n"/>
      <c r="AP382" s="1392" t="n"/>
      <c r="AQ382" s="1392" t="n"/>
      <c r="AR382" s="1392" t="n"/>
      <c r="AS382" s="1422" t="n"/>
      <c r="AT382" s="1392" t="n"/>
      <c r="AU382" s="1392" t="n"/>
      <c r="AV382" s="1392" t="n"/>
      <c r="AW382" s="1392" t="n"/>
      <c r="AX382" s="1392" t="n"/>
      <c r="AY382" s="1392" t="n"/>
      <c r="AZ382" s="1392" t="n"/>
      <c r="BA382" s="1392" t="n"/>
      <c r="BB382" s="1422" t="n"/>
      <c r="BC382" s="1392" t="n"/>
      <c r="BD382" s="1392" t="n"/>
      <c r="BE382" s="1392" t="n"/>
      <c r="BF382" s="1392" t="n"/>
      <c r="BG382" s="1392" t="n"/>
      <c r="BH382" s="1392" t="n"/>
      <c r="BI382" s="1392" t="n"/>
      <c r="BJ382" s="1392" t="n"/>
      <c r="BK382" s="1392" t="n"/>
      <c r="BL382" s="1392" t="n"/>
      <c r="BM382" s="1392" t="n"/>
      <c r="BN382" s="1392" t="n"/>
      <c r="BO382" s="1392" t="n"/>
      <c r="BP382" s="1398" t="inlineStr">
        <is>
          <t>.</t>
        </is>
      </c>
      <c r="BQ382" s="1400">
        <f>IF(BR382&lt;&gt;"",BQ381+1,BQ381)</f>
        <v/>
      </c>
      <c r="BR382" s="1411" t="inlineStr">
        <is>
          <t>SP</t>
        </is>
      </c>
      <c r="BS382" s="1411" t="inlineStr">
        <is>
          <t>Washington</t>
        </is>
      </c>
      <c r="BT382" s="1411" t="inlineStr">
        <is>
          <t>SP-Washington</t>
        </is>
      </c>
      <c r="BU382" s="1412" t="n">
        <v>45598</v>
      </c>
      <c r="BV382" s="1398" t="inlineStr">
        <is>
          <t>.</t>
        </is>
      </c>
      <c r="BW382" s="1392" t="n"/>
      <c r="BX382" s="1392" t="n"/>
      <c r="BY382" s="1392" t="n"/>
      <c r="BZ382" s="1416" t="n"/>
      <c r="CA382" s="1392" t="n"/>
      <c r="CB382" s="1392" t="n"/>
      <c r="CC382" s="1392" t="n"/>
      <c r="CD382" s="1392" t="n"/>
      <c r="CE382" s="1392" t="n"/>
      <c r="CF382" s="1392" t="n"/>
      <c r="CG382" s="1392" t="n"/>
      <c r="CH382" s="1392" t="n"/>
      <c r="CI382" s="1392" t="n"/>
      <c r="CJ382" s="1392" t="n"/>
      <c r="CK382" s="1392" t="n"/>
      <c r="CL382" s="1392" t="n"/>
    </row>
    <row r="383">
      <c r="A383" s="5" t="inlineStr">
        <is>
          <t>.</t>
        </is>
      </c>
      <c r="B383" s="5" t="inlineStr">
        <is>
          <t>.</t>
        </is>
      </c>
      <c r="C383" s="1378">
        <f>IF(raw[[#This Row],[city]]="","-",IF(raw[[#This Row],[city]]="TODAY","-",C382+1))</f>
        <v/>
      </c>
      <c r="D383" s="1393" t="inlineStr">
        <is>
          <t>London</t>
        </is>
      </c>
      <c r="E383" s="1394" t="n">
        <v>35156</v>
      </c>
      <c r="F383" s="1394" t="n">
        <v>35186</v>
      </c>
      <c r="G383" s="1393" t="inlineStr">
        <is>
          <t>-</t>
        </is>
      </c>
      <c r="H383" s="1393" t="inlineStr">
        <is>
          <t>Norbury</t>
        </is>
      </c>
      <c r="I383" s="1393" t="inlineStr">
        <is>
          <t>-</t>
        </is>
      </c>
      <c r="J383" s="1393" t="inlineStr">
        <is>
          <t>-</t>
        </is>
      </c>
      <c r="K383" s="1395">
        <f>IF(raw[[#This Row],[city]]&lt;&gt;"",_xlfn.XLOOKUP($D383,ccc[city],ccc[prov],"-"),"-")</f>
        <v/>
      </c>
      <c r="L383" s="1395">
        <f>IF(raw[[#This Row],[city]]&lt;&gt;"",_xlfn.XLOOKUP($D383,ccc[city],ccc[ctry],"-"),"-")</f>
        <v/>
      </c>
      <c r="M383" s="1395">
        <f>IF(raw[[#This Row],[city]]&lt;&gt;"",_xlfn.XLOOKUP($D383,ccc[city],ccc[cont],"-"),"-")</f>
        <v/>
      </c>
      <c r="N383" s="1396">
        <f>IF(raw[[#This Row],[city]]="","-",IF(raw[[#This Row],[cont]]="B",raw[[#This Row],[cont]],"W"))</f>
        <v/>
      </c>
      <c r="O383" s="1397">
        <f>IF(raw[[#This Row],[out]]=0,0,IF(raw[[#This Row],[out]]=raw[[#This Row],[in]],0.01,raw[[#This Row],[out]]-raw[[#This Row],[in]]))</f>
        <v/>
      </c>
      <c r="P383" s="1397">
        <f>IF(raw[[#This Row],[in]]=0,0,MONTH(raw[[#This Row],[in]]))</f>
        <v/>
      </c>
      <c r="Q383" s="1397">
        <f>IF(raw[[#This Row],[in]]=0,0,YEAR(raw[[#This Row],[in]]))</f>
        <v/>
      </c>
      <c r="R383" s="1397">
        <f>INT(raw[[#This Row],[yr]]/10)*10</f>
        <v/>
      </c>
      <c r="S383" s="1395">
        <f>IF(raw[[#This Row],[city]]="","-",IF(raw[[#This Row],[city]]&lt;&gt;_xlfn.XLOOKUP(raw[[#This Row],[home]],homes[home],homes[city],"-"),1,0))</f>
        <v/>
      </c>
      <c r="T383" s="1398" t="inlineStr">
        <is>
          <t>.</t>
        </is>
      </c>
      <c r="U383" s="1399">
        <f>IF(raw[[#This Row],[wb]]="w",raw[[#This Row],[stay]]+U382,U382)</f>
        <v/>
      </c>
      <c r="V383" s="1400">
        <f>IF(raw[[#This Row],[out]]=0,V382,(raw[[#This Row],[out]]-E$5))</f>
        <v/>
      </c>
      <c r="W383" s="1401">
        <f>U383/V383</f>
        <v/>
      </c>
      <c r="X383" s="1378" t="inlineStr">
        <is>
          <t>.</t>
        </is>
      </c>
      <c r="Y383" s="1402">
        <f/>
        <v/>
      </c>
      <c r="Z383" s="1403">
        <f/>
        <v/>
      </c>
      <c r="AA383" s="1403">
        <f/>
        <v/>
      </c>
      <c r="AB383" s="1400">
        <f t="array" ref="AB383">_xlfn.LET(_xlpm.S,_xlfn.ANCHORARRAY($Y$4),_xlpm.r,ROWS(stayCity[[#Headers],[city]]:stayCity[[#This Row],[city]])-1,IF(_xlpm.r&lt;=ROWS(_xlpm.S),INDEX(_xlpm.S,_xlpm.r,1),""))</f>
        <v/>
      </c>
      <c r="AC383" s="1405">
        <f t="array" ref="AC383">_xlfn.LET(_xlpm.S,_xlfn.ANCHORARRAY($Y$4),_xlpm.r,ROWS(stayCity[[#Headers],[city]]:stayCity[[#This Row],[city]])-1,IF(_xlpm.r&lt;=ROWS(_xlpm.S),INDEX(_xlpm.S,_xlpm.r,2),""))</f>
        <v/>
      </c>
      <c r="AD383" s="1405">
        <f t="array" ref="AD383">_xlfn.LET(_xlpm.S,_xlfn.ANCHORARRAY($Y$4),_xlpm.r,ROWS(stayCity[[#Headers],[city]]:stayCity[[#This Row],[city]])-1,IF(_xlpm.r&lt;=ROWS(_xlpm.S),INDEX(_xlpm.S,_xlpm.r,3),""))</f>
        <v/>
      </c>
      <c r="AE383" s="1400">
        <f>IF(stayCity[[#This Row],[out]]&lt;&gt;"",stayCity[[#This Row],[out]]-stayCity[[#This Row],[in]],"-")</f>
        <v/>
      </c>
      <c r="AF383" s="1406">
        <f>IF(Y383="","-",YEAR(stayCity[[#This Row],[in]]))</f>
        <v/>
      </c>
      <c r="AG383" s="1392" t="n"/>
      <c r="AH383" s="1392" t="n"/>
      <c r="AI383" s="1392" t="n"/>
      <c r="AJ383" s="1392" t="n"/>
      <c r="AK383" s="1392" t="n"/>
      <c r="AL383" s="1392" t="n"/>
      <c r="AM383" s="1392" t="n"/>
      <c r="AN383" s="1392" t="n"/>
      <c r="AO383" s="1392" t="n"/>
      <c r="AP383" s="1392" t="n"/>
      <c r="AQ383" s="1392" t="n"/>
      <c r="AR383" s="1392" t="n"/>
      <c r="AS383" s="1422" t="n"/>
      <c r="AT383" s="1392" t="n"/>
      <c r="AU383" s="1392" t="n"/>
      <c r="AV383" s="1392" t="n"/>
      <c r="AW383" s="1392" t="n"/>
      <c r="AX383" s="1392" t="n"/>
      <c r="AY383" s="1392" t="n"/>
      <c r="AZ383" s="1392" t="n"/>
      <c r="BA383" s="1392" t="n"/>
      <c r="BB383" s="1422" t="n"/>
      <c r="BC383" s="1392" t="n"/>
      <c r="BD383" s="1392" t="n"/>
      <c r="BE383" s="1392" t="n"/>
      <c r="BF383" s="1392" t="n"/>
      <c r="BG383" s="1392" t="n"/>
      <c r="BH383" s="1392" t="n"/>
      <c r="BI383" s="1392" t="n"/>
      <c r="BJ383" s="1392" t="n"/>
      <c r="BK383" s="1392" t="n"/>
      <c r="BL383" s="1392" t="n"/>
      <c r="BM383" s="1392" t="n"/>
      <c r="BN383" s="1392" t="n"/>
      <c r="BO383" s="1392" t="n"/>
      <c r="BP383" s="1398" t="inlineStr">
        <is>
          <t>.</t>
        </is>
      </c>
      <c r="BQ383" s="1400">
        <f>IF(BR383&lt;&gt;"",BQ382+1,BQ382)</f>
        <v/>
      </c>
      <c r="BR383" s="1411" t="inlineStr">
        <is>
          <t>Washington</t>
        </is>
      </c>
      <c r="BS383" s="1411" t="inlineStr">
        <is>
          <t>Montreal</t>
        </is>
      </c>
      <c r="BT383" s="1411" t="inlineStr">
        <is>
          <t>Washington-Montreal</t>
        </is>
      </c>
      <c r="BU383" s="1412" t="n">
        <v>45599</v>
      </c>
      <c r="BV383" s="1398" t="inlineStr">
        <is>
          <t>.</t>
        </is>
      </c>
      <c r="BW383" s="1392" t="n"/>
      <c r="BX383" s="1392" t="n"/>
      <c r="BY383" s="1392" t="n"/>
      <c r="BZ383" s="1416" t="n"/>
      <c r="CA383" s="1392" t="n"/>
      <c r="CB383" s="1392" t="n"/>
      <c r="CC383" s="1392" t="n"/>
      <c r="CD383" s="1392" t="n"/>
      <c r="CE383" s="1392" t="n"/>
      <c r="CF383" s="1392" t="n"/>
      <c r="CG383" s="1392" t="n"/>
      <c r="CH383" s="1392" t="n"/>
      <c r="CI383" s="1392" t="n"/>
      <c r="CJ383" s="1392" t="n"/>
      <c r="CK383" s="1392" t="n"/>
      <c r="CL383" s="1392" t="n"/>
    </row>
    <row r="384">
      <c r="A384" s="5" t="inlineStr">
        <is>
          <t>.</t>
        </is>
      </c>
      <c r="B384" s="5" t="inlineStr">
        <is>
          <t>.</t>
        </is>
      </c>
      <c r="C384" s="1378">
        <f>IF(raw[[#This Row],[city]]="","-",IF(raw[[#This Row],[city]]="TODAY","-",C383+1))</f>
        <v/>
      </c>
      <c r="D384" s="1393" t="inlineStr">
        <is>
          <t>Bournemouth</t>
        </is>
      </c>
      <c r="E384" s="1394" t="n">
        <v>35186</v>
      </c>
      <c r="F384" s="1394" t="n">
        <v>35186</v>
      </c>
      <c r="G384" s="1393" t="inlineStr">
        <is>
          <t>-</t>
        </is>
      </c>
      <c r="H384" s="1393" t="inlineStr">
        <is>
          <t>Norbury</t>
        </is>
      </c>
      <c r="I384" s="1393" t="inlineStr">
        <is>
          <t>-</t>
        </is>
      </c>
      <c r="J384" s="1393" t="inlineStr">
        <is>
          <t>-</t>
        </is>
      </c>
      <c r="K384" s="1395">
        <f>IF(raw[[#This Row],[city]]&lt;&gt;"",_xlfn.XLOOKUP($D384,ccc[city],ccc[prov],"-"),"-")</f>
        <v/>
      </c>
      <c r="L384" s="1395">
        <f>IF(raw[[#This Row],[city]]&lt;&gt;"",_xlfn.XLOOKUP($D384,ccc[city],ccc[ctry],"-"),"-")</f>
        <v/>
      </c>
      <c r="M384" s="1395">
        <f>IF(raw[[#This Row],[city]]&lt;&gt;"",_xlfn.XLOOKUP($D384,ccc[city],ccc[cont],"-"),"-")</f>
        <v/>
      </c>
      <c r="N384" s="1396">
        <f>IF(raw[[#This Row],[city]]="","-",IF(raw[[#This Row],[cont]]="B",raw[[#This Row],[cont]],"W"))</f>
        <v/>
      </c>
      <c r="O384" s="1397">
        <f>IF(raw[[#This Row],[out]]=0,0,IF(raw[[#This Row],[out]]=raw[[#This Row],[in]],0.01,raw[[#This Row],[out]]-raw[[#This Row],[in]]))</f>
        <v/>
      </c>
      <c r="P384" s="1397">
        <f>IF(raw[[#This Row],[in]]=0,0,MONTH(raw[[#This Row],[in]]))</f>
        <v/>
      </c>
      <c r="Q384" s="1397">
        <f>IF(raw[[#This Row],[in]]=0,0,YEAR(raw[[#This Row],[in]]))</f>
        <v/>
      </c>
      <c r="R384" s="1397">
        <f>INT(raw[[#This Row],[yr]]/10)*10</f>
        <v/>
      </c>
      <c r="S384" s="1395">
        <f>IF(raw[[#This Row],[city]]="","-",IF(raw[[#This Row],[city]]&lt;&gt;_xlfn.XLOOKUP(raw[[#This Row],[home]],homes[home],homes[city],"-"),1,0))</f>
        <v/>
      </c>
      <c r="T384" s="1398" t="inlineStr">
        <is>
          <t>.</t>
        </is>
      </c>
      <c r="U384" s="1399">
        <f>IF(raw[[#This Row],[wb]]="w",raw[[#This Row],[stay]]+U383,U383)</f>
        <v/>
      </c>
      <c r="V384" s="1400">
        <f>IF(raw[[#This Row],[out]]=0,V383,(raw[[#This Row],[out]]-E$5))</f>
        <v/>
      </c>
      <c r="W384" s="1401">
        <f>U384/V384</f>
        <v/>
      </c>
      <c r="X384" s="1378" t="inlineStr">
        <is>
          <t>.</t>
        </is>
      </c>
      <c r="Y384" s="1402">
        <f/>
        <v/>
      </c>
      <c r="Z384" s="1403">
        <f/>
        <v/>
      </c>
      <c r="AA384" s="1403">
        <f/>
        <v/>
      </c>
      <c r="AB384" s="1400">
        <f t="array" ref="AB384">_xlfn.LET(_xlpm.S,_xlfn.ANCHORARRAY($Y$4),_xlpm.r,ROWS(stayCity[[#Headers],[city]]:stayCity[[#This Row],[city]])-1,IF(_xlpm.r&lt;=ROWS(_xlpm.S),INDEX(_xlpm.S,_xlpm.r,1),""))</f>
        <v/>
      </c>
      <c r="AC384" s="1405">
        <f t="array" ref="AC384">_xlfn.LET(_xlpm.S,_xlfn.ANCHORARRAY($Y$4),_xlpm.r,ROWS(stayCity[[#Headers],[city]]:stayCity[[#This Row],[city]])-1,IF(_xlpm.r&lt;=ROWS(_xlpm.S),INDEX(_xlpm.S,_xlpm.r,2),""))</f>
        <v/>
      </c>
      <c r="AD384" s="1405">
        <f t="array" ref="AD384">_xlfn.LET(_xlpm.S,_xlfn.ANCHORARRAY($Y$4),_xlpm.r,ROWS(stayCity[[#Headers],[city]]:stayCity[[#This Row],[city]])-1,IF(_xlpm.r&lt;=ROWS(_xlpm.S),INDEX(_xlpm.S,_xlpm.r,3),""))</f>
        <v/>
      </c>
      <c r="AE384" s="1400">
        <f>IF(stayCity[[#This Row],[out]]&lt;&gt;"",stayCity[[#This Row],[out]]-stayCity[[#This Row],[in]],"-")</f>
        <v/>
      </c>
      <c r="AF384" s="1406">
        <f>IF(Y384="","-",YEAR(stayCity[[#This Row],[in]]))</f>
        <v/>
      </c>
      <c r="AG384" s="1392" t="n"/>
      <c r="AH384" s="1392" t="n"/>
      <c r="AI384" s="1392" t="n"/>
      <c r="AJ384" s="1392" t="n"/>
      <c r="AK384" s="1392" t="n"/>
      <c r="AL384" s="1392" t="n"/>
      <c r="AM384" s="1392" t="n"/>
      <c r="AN384" s="1392" t="n"/>
      <c r="AO384" s="1392" t="n"/>
      <c r="AP384" s="1392" t="n"/>
      <c r="AQ384" s="1392" t="n"/>
      <c r="AR384" s="1392" t="n"/>
      <c r="AS384" s="1422" t="n"/>
      <c r="AT384" s="1392" t="n"/>
      <c r="AU384" s="1392" t="n"/>
      <c r="AV384" s="1392" t="n"/>
      <c r="AW384" s="1392" t="n"/>
      <c r="AX384" s="1392" t="n"/>
      <c r="AY384" s="1392" t="n"/>
      <c r="AZ384" s="1392" t="n"/>
      <c r="BA384" s="1392" t="n"/>
      <c r="BB384" s="1422" t="n"/>
      <c r="BC384" s="1392" t="n"/>
      <c r="BD384" s="1392" t="n"/>
      <c r="BE384" s="1392" t="n"/>
      <c r="BF384" s="1392" t="n"/>
      <c r="BG384" s="1392" t="n"/>
      <c r="BH384" s="1392" t="n"/>
      <c r="BI384" s="1392" t="n"/>
      <c r="BJ384" s="1392" t="n"/>
      <c r="BK384" s="1392" t="n"/>
      <c r="BL384" s="1392" t="n"/>
      <c r="BM384" s="1392" t="n"/>
      <c r="BN384" s="1392" t="n"/>
      <c r="BO384" s="1392" t="n"/>
      <c r="BP384" s="1398" t="inlineStr">
        <is>
          <t>.</t>
        </is>
      </c>
      <c r="BQ384" s="1400">
        <f>IF(BR384&lt;&gt;"",BQ383+1,BQ383)</f>
        <v/>
      </c>
      <c r="BR384" s="1411" t="inlineStr">
        <is>
          <t>Montreal</t>
        </is>
      </c>
      <c r="BS384" s="1411" t="inlineStr">
        <is>
          <t>Porto</t>
        </is>
      </c>
      <c r="BT384" s="1411" t="inlineStr">
        <is>
          <t>Montreal-Porto</t>
        </is>
      </c>
      <c r="BU384" s="1412" t="n">
        <v>45838</v>
      </c>
      <c r="BV384" s="1398" t="inlineStr">
        <is>
          <t>.</t>
        </is>
      </c>
      <c r="BW384" s="1392" t="n"/>
      <c r="BX384" s="1392" t="n"/>
      <c r="BY384" s="1392" t="n"/>
      <c r="BZ384" s="1416" t="n"/>
      <c r="CA384" s="1392" t="n"/>
      <c r="CB384" s="1392" t="n"/>
      <c r="CC384" s="1392" t="n"/>
      <c r="CD384" s="1392" t="n"/>
      <c r="CE384" s="1392" t="n"/>
      <c r="CF384" s="1392" t="n"/>
      <c r="CG384" s="1392" t="n"/>
      <c r="CH384" s="1392" t="n"/>
      <c r="CI384" s="1392" t="n"/>
      <c r="CJ384" s="1392" t="n"/>
      <c r="CK384" s="1392" t="n"/>
      <c r="CL384" s="1392" t="n"/>
    </row>
    <row r="385">
      <c r="A385" s="5" t="inlineStr">
        <is>
          <t>.</t>
        </is>
      </c>
      <c r="B385" s="5" t="inlineStr">
        <is>
          <t>.</t>
        </is>
      </c>
      <c r="C385" s="1378">
        <f>IF(raw[[#This Row],[city]]="","-",IF(raw[[#This Row],[city]]="TODAY","-",C384+1))</f>
        <v/>
      </c>
      <c r="D385" s="1393" t="inlineStr">
        <is>
          <t>Stonehenge</t>
        </is>
      </c>
      <c r="E385" s="1394" t="n">
        <v>35186</v>
      </c>
      <c r="F385" s="1394" t="n">
        <v>35186</v>
      </c>
      <c r="G385" s="1393" t="inlineStr">
        <is>
          <t>-</t>
        </is>
      </c>
      <c r="H385" s="1393" t="inlineStr">
        <is>
          <t>Norbury</t>
        </is>
      </c>
      <c r="I385" s="1393" t="inlineStr">
        <is>
          <t>-</t>
        </is>
      </c>
      <c r="J385" s="1393" t="inlineStr">
        <is>
          <t>-</t>
        </is>
      </c>
      <c r="K385" s="1395">
        <f>IF(raw[[#This Row],[city]]&lt;&gt;"",_xlfn.XLOOKUP($D385,ccc[city],ccc[prov],"-"),"-")</f>
        <v/>
      </c>
      <c r="L385" s="1395">
        <f>IF(raw[[#This Row],[city]]&lt;&gt;"",_xlfn.XLOOKUP($D385,ccc[city],ccc[ctry],"-"),"-")</f>
        <v/>
      </c>
      <c r="M385" s="1395">
        <f>IF(raw[[#This Row],[city]]&lt;&gt;"",_xlfn.XLOOKUP($D385,ccc[city],ccc[cont],"-"),"-")</f>
        <v/>
      </c>
      <c r="N385" s="1396">
        <f>IF(raw[[#This Row],[city]]="","-",IF(raw[[#This Row],[cont]]="B",raw[[#This Row],[cont]],"W"))</f>
        <v/>
      </c>
      <c r="O385" s="1397">
        <f>IF(raw[[#This Row],[out]]=0,0,IF(raw[[#This Row],[out]]=raw[[#This Row],[in]],0.01,raw[[#This Row],[out]]-raw[[#This Row],[in]]))</f>
        <v/>
      </c>
      <c r="P385" s="1397">
        <f>IF(raw[[#This Row],[in]]=0,0,MONTH(raw[[#This Row],[in]]))</f>
        <v/>
      </c>
      <c r="Q385" s="1397">
        <f>IF(raw[[#This Row],[in]]=0,0,YEAR(raw[[#This Row],[in]]))</f>
        <v/>
      </c>
      <c r="R385" s="1397">
        <f>INT(raw[[#This Row],[yr]]/10)*10</f>
        <v/>
      </c>
      <c r="S385" s="1395">
        <f>IF(raw[[#This Row],[city]]="","-",IF(raw[[#This Row],[city]]&lt;&gt;_xlfn.XLOOKUP(raw[[#This Row],[home]],homes[home],homes[city],"-"),1,0))</f>
        <v/>
      </c>
      <c r="T385" s="1398" t="inlineStr">
        <is>
          <t>.</t>
        </is>
      </c>
      <c r="U385" s="1399">
        <f>IF(raw[[#This Row],[wb]]="w",raw[[#This Row],[stay]]+U384,U384)</f>
        <v/>
      </c>
      <c r="V385" s="1400">
        <f>IF(raw[[#This Row],[out]]=0,V384,(raw[[#This Row],[out]]-E$5))</f>
        <v/>
      </c>
      <c r="W385" s="1401">
        <f>U385/V385</f>
        <v/>
      </c>
      <c r="X385" s="1378" t="inlineStr">
        <is>
          <t>.</t>
        </is>
      </c>
      <c r="Y385" s="1402">
        <f/>
        <v/>
      </c>
      <c r="Z385" s="1403">
        <f/>
        <v/>
      </c>
      <c r="AA385" s="1403">
        <f/>
        <v/>
      </c>
      <c r="AB385" s="1400">
        <f t="array" ref="AB385">_xlfn.LET(_xlpm.S,_xlfn.ANCHORARRAY($Y$4),_xlpm.r,ROWS(stayCity[[#Headers],[city]]:stayCity[[#This Row],[city]])-1,IF(_xlpm.r&lt;=ROWS(_xlpm.S),INDEX(_xlpm.S,_xlpm.r,1),""))</f>
        <v/>
      </c>
      <c r="AC385" s="1405">
        <f t="array" ref="AC385">_xlfn.LET(_xlpm.S,_xlfn.ANCHORARRAY($Y$4),_xlpm.r,ROWS(stayCity[[#Headers],[city]]:stayCity[[#This Row],[city]])-1,IF(_xlpm.r&lt;=ROWS(_xlpm.S),INDEX(_xlpm.S,_xlpm.r,2),""))</f>
        <v/>
      </c>
      <c r="AD385" s="1405">
        <f t="array" ref="AD385">_xlfn.LET(_xlpm.S,_xlfn.ANCHORARRAY($Y$4),_xlpm.r,ROWS(stayCity[[#Headers],[city]]:stayCity[[#This Row],[city]])-1,IF(_xlpm.r&lt;=ROWS(_xlpm.S),INDEX(_xlpm.S,_xlpm.r,3),""))</f>
        <v/>
      </c>
      <c r="AE385" s="1400">
        <f>IF(stayCity[[#This Row],[out]]&lt;&gt;"",stayCity[[#This Row],[out]]-stayCity[[#This Row],[in]],"-")</f>
        <v/>
      </c>
      <c r="AF385" s="1406">
        <f>IF(Y385="","-",YEAR(stayCity[[#This Row],[in]]))</f>
        <v/>
      </c>
      <c r="AG385" s="1392" t="n"/>
      <c r="AH385" s="1392" t="n"/>
      <c r="AI385" s="1392" t="n"/>
      <c r="AJ385" s="1392" t="n"/>
      <c r="AK385" s="1392" t="n"/>
      <c r="AL385" s="1392" t="n"/>
      <c r="AM385" s="1392" t="n"/>
      <c r="AN385" s="1392" t="n"/>
      <c r="AO385" s="1392" t="n"/>
      <c r="AP385" s="1392" t="n"/>
      <c r="AQ385" s="1392" t="n"/>
      <c r="AR385" s="1392" t="n"/>
      <c r="AS385" s="1422" t="n"/>
      <c r="AT385" s="1392" t="n"/>
      <c r="AU385" s="1392" t="n"/>
      <c r="AV385" s="1392" t="n"/>
      <c r="AW385" s="1392" t="n"/>
      <c r="AX385" s="1392" t="n"/>
      <c r="AY385" s="1392" t="n"/>
      <c r="AZ385" s="1392" t="n"/>
      <c r="BA385" s="1392" t="n"/>
      <c r="BB385" s="1422" t="n"/>
      <c r="BC385" s="1392" t="n"/>
      <c r="BD385" s="1392" t="n"/>
      <c r="BE385" s="1392" t="n"/>
      <c r="BF385" s="1392" t="n"/>
      <c r="BG385" s="1392" t="n"/>
      <c r="BH385" s="1392" t="n"/>
      <c r="BI385" s="1392" t="n"/>
      <c r="BJ385" s="1392" t="n"/>
      <c r="BK385" s="1392" t="n"/>
      <c r="BL385" s="1392" t="n"/>
      <c r="BM385" s="1392" t="n"/>
      <c r="BN385" s="1392" t="n"/>
      <c r="BO385" s="1392" t="n"/>
      <c r="BP385" s="1398" t="inlineStr">
        <is>
          <t>.</t>
        </is>
      </c>
      <c r="BQ385" s="1400">
        <f>IF(BR385&lt;&gt;"",BQ384+1,BQ384)</f>
        <v/>
      </c>
      <c r="BR385" s="1411" t="inlineStr">
        <is>
          <t>Porto</t>
        </is>
      </c>
      <c r="BS385" s="1411" t="inlineStr">
        <is>
          <t>London</t>
        </is>
      </c>
      <c r="BT385" s="1411" t="inlineStr">
        <is>
          <t>Porto-London</t>
        </is>
      </c>
      <c r="BU385" s="1412" t="n">
        <v>45893</v>
      </c>
      <c r="BV385" s="1398" t="inlineStr">
        <is>
          <t>.</t>
        </is>
      </c>
      <c r="BW385" s="1392" t="n"/>
      <c r="BX385" s="1392" t="n"/>
      <c r="BY385" s="1392" t="n"/>
      <c r="BZ385" s="1416" t="n"/>
      <c r="CA385" s="1392" t="n"/>
      <c r="CB385" s="1392" t="n"/>
      <c r="CC385" s="1392" t="n"/>
      <c r="CD385" s="1392" t="n"/>
      <c r="CE385" s="1392" t="n"/>
      <c r="CF385" s="1392" t="n"/>
      <c r="CG385" s="1392" t="n"/>
      <c r="CH385" s="1392" t="n"/>
      <c r="CI385" s="1392" t="n"/>
      <c r="CJ385" s="1392" t="n"/>
      <c r="CK385" s="1392" t="n"/>
      <c r="CL385" s="1392" t="n"/>
    </row>
    <row r="386">
      <c r="A386" s="5" t="inlineStr">
        <is>
          <t>.</t>
        </is>
      </c>
      <c r="B386" s="5" t="inlineStr">
        <is>
          <t>.</t>
        </is>
      </c>
      <c r="C386" s="1378">
        <f>IF(raw[[#This Row],[city]]="","-",IF(raw[[#This Row],[city]]="TODAY","-",C385+1))</f>
        <v/>
      </c>
      <c r="D386" s="1393" t="inlineStr">
        <is>
          <t>London</t>
        </is>
      </c>
      <c r="E386" s="1394" t="n">
        <v>35186</v>
      </c>
      <c r="F386" s="1394" t="n">
        <v>35195</v>
      </c>
      <c r="G386" s="1393" t="inlineStr">
        <is>
          <t>-</t>
        </is>
      </c>
      <c r="H386" s="1393" t="inlineStr">
        <is>
          <t>Norbury</t>
        </is>
      </c>
      <c r="I386" s="1393" t="inlineStr">
        <is>
          <t>-</t>
        </is>
      </c>
      <c r="J386" s="1393" t="inlineStr">
        <is>
          <t>-</t>
        </is>
      </c>
      <c r="K386" s="1395">
        <f>IF(raw[[#This Row],[city]]&lt;&gt;"",_xlfn.XLOOKUP($D386,ccc[city],ccc[prov],"-"),"-")</f>
        <v/>
      </c>
      <c r="L386" s="1395">
        <f>IF(raw[[#This Row],[city]]&lt;&gt;"",_xlfn.XLOOKUP($D386,ccc[city],ccc[ctry],"-"),"-")</f>
        <v/>
      </c>
      <c r="M386" s="1395">
        <f>IF(raw[[#This Row],[city]]&lt;&gt;"",_xlfn.XLOOKUP($D386,ccc[city],ccc[cont],"-"),"-")</f>
        <v/>
      </c>
      <c r="N386" s="1396">
        <f>IF(raw[[#This Row],[city]]="","-",IF(raw[[#This Row],[cont]]="B",raw[[#This Row],[cont]],"W"))</f>
        <v/>
      </c>
      <c r="O386" s="1397">
        <f>IF(raw[[#This Row],[out]]=0,0,IF(raw[[#This Row],[out]]=raw[[#This Row],[in]],0.01,raw[[#This Row],[out]]-raw[[#This Row],[in]]))</f>
        <v/>
      </c>
      <c r="P386" s="1397">
        <f>IF(raw[[#This Row],[in]]=0,0,MONTH(raw[[#This Row],[in]]))</f>
        <v/>
      </c>
      <c r="Q386" s="1397">
        <f>IF(raw[[#This Row],[in]]=0,0,YEAR(raw[[#This Row],[in]]))</f>
        <v/>
      </c>
      <c r="R386" s="1397">
        <f>INT(raw[[#This Row],[yr]]/10)*10</f>
        <v/>
      </c>
      <c r="S386" s="1395">
        <f>IF(raw[[#This Row],[city]]="","-",IF(raw[[#This Row],[city]]&lt;&gt;_xlfn.XLOOKUP(raw[[#This Row],[home]],homes[home],homes[city],"-"),1,0))</f>
        <v/>
      </c>
      <c r="T386" s="1398" t="inlineStr">
        <is>
          <t>.</t>
        </is>
      </c>
      <c r="U386" s="1399">
        <f>IF(raw[[#This Row],[wb]]="w",raw[[#This Row],[stay]]+U385,U385)</f>
        <v/>
      </c>
      <c r="V386" s="1400">
        <f>IF(raw[[#This Row],[out]]=0,V385,(raw[[#This Row],[out]]-E$5))</f>
        <v/>
      </c>
      <c r="W386" s="1401">
        <f>U386/V386</f>
        <v/>
      </c>
      <c r="X386" s="1378" t="inlineStr">
        <is>
          <t>.</t>
        </is>
      </c>
      <c r="Y386" s="1402">
        <f/>
        <v/>
      </c>
      <c r="Z386" s="1403">
        <f/>
        <v/>
      </c>
      <c r="AA386" s="1403">
        <f/>
        <v/>
      </c>
      <c r="AB386" s="1400">
        <f t="array" ref="AB386">_xlfn.LET(_xlpm.S,_xlfn.ANCHORARRAY($Y$4),_xlpm.r,ROWS(stayCity[[#Headers],[city]]:stayCity[[#This Row],[city]])-1,IF(_xlpm.r&lt;=ROWS(_xlpm.S),INDEX(_xlpm.S,_xlpm.r,1),""))</f>
        <v/>
      </c>
      <c r="AC386" s="1405">
        <f t="array" ref="AC386">_xlfn.LET(_xlpm.S,_xlfn.ANCHORARRAY($Y$4),_xlpm.r,ROWS(stayCity[[#Headers],[city]]:stayCity[[#This Row],[city]])-1,IF(_xlpm.r&lt;=ROWS(_xlpm.S),INDEX(_xlpm.S,_xlpm.r,2),""))</f>
        <v/>
      </c>
      <c r="AD386" s="1405">
        <f t="array" ref="AD386">_xlfn.LET(_xlpm.S,_xlfn.ANCHORARRAY($Y$4),_xlpm.r,ROWS(stayCity[[#Headers],[city]]:stayCity[[#This Row],[city]])-1,IF(_xlpm.r&lt;=ROWS(_xlpm.S),INDEX(_xlpm.S,_xlpm.r,3),""))</f>
        <v/>
      </c>
      <c r="AE386" s="1400">
        <f>IF(stayCity[[#This Row],[out]]&lt;&gt;"",stayCity[[#This Row],[out]]-stayCity[[#This Row],[in]],"-")</f>
        <v/>
      </c>
      <c r="AF386" s="1406">
        <f>IF(Y386="","-",YEAR(stayCity[[#This Row],[in]]))</f>
        <v/>
      </c>
      <c r="AG386" s="1392" t="n"/>
      <c r="AH386" s="1392" t="n"/>
      <c r="AI386" s="1392" t="n"/>
      <c r="AJ386" s="1392" t="n"/>
      <c r="AK386" s="1392" t="n"/>
      <c r="AL386" s="1392" t="n"/>
      <c r="AM386" s="1392" t="n"/>
      <c r="AN386" s="1392" t="n"/>
      <c r="AO386" s="1392" t="n"/>
      <c r="AP386" s="1392" t="n"/>
      <c r="AQ386" s="1392" t="n"/>
      <c r="AR386" s="1392" t="n"/>
      <c r="AS386" s="1422" t="n"/>
      <c r="AT386" s="1392" t="n"/>
      <c r="AU386" s="1392" t="n"/>
      <c r="AV386" s="1392" t="n"/>
      <c r="AW386" s="1392" t="n"/>
      <c r="AX386" s="1392" t="n"/>
      <c r="AY386" s="1392" t="n"/>
      <c r="AZ386" s="1392" t="n"/>
      <c r="BA386" s="1392" t="n"/>
      <c r="BB386" s="1422" t="n"/>
      <c r="BC386" s="1392" t="n"/>
      <c r="BD386" s="1392" t="n"/>
      <c r="BE386" s="1392" t="n"/>
      <c r="BF386" s="1392" t="n"/>
      <c r="BG386" s="1392" t="n"/>
      <c r="BH386" s="1392" t="n"/>
      <c r="BI386" s="1392" t="n"/>
      <c r="BJ386" s="1392" t="n"/>
      <c r="BK386" s="1392" t="n"/>
      <c r="BL386" s="1392" t="n"/>
      <c r="BM386" s="1392" t="n"/>
      <c r="BN386" s="1392" t="n"/>
      <c r="BO386" s="1392" t="n"/>
      <c r="BP386" s="1398" t="inlineStr">
        <is>
          <t>.</t>
        </is>
      </c>
      <c r="BQ386" s="1400">
        <f>IF(BR386&lt;&gt;"",BQ385+1,BQ385)</f>
        <v/>
      </c>
      <c r="BR386" s="1411" t="inlineStr">
        <is>
          <t>London</t>
        </is>
      </c>
      <c r="BS386" s="1411" t="inlineStr">
        <is>
          <t>Porto</t>
        </is>
      </c>
      <c r="BT386" s="1411" t="inlineStr">
        <is>
          <t>London-Porto</t>
        </is>
      </c>
      <c r="BU386" s="1412" t="n">
        <v>45898</v>
      </c>
      <c r="BV386" s="1398" t="inlineStr">
        <is>
          <t>.</t>
        </is>
      </c>
      <c r="BW386" s="1392" t="n"/>
      <c r="BX386" s="1392" t="n"/>
      <c r="BY386" s="1392" t="n"/>
      <c r="BZ386" s="1416" t="n"/>
      <c r="CA386" s="1392" t="n"/>
      <c r="CB386" s="1392" t="n"/>
      <c r="CC386" s="1392" t="n"/>
      <c r="CD386" s="1392" t="n"/>
      <c r="CE386" s="1392" t="n"/>
      <c r="CF386" s="1392" t="n"/>
      <c r="CG386" s="1392" t="n"/>
      <c r="CH386" s="1392" t="n"/>
      <c r="CI386" s="1392" t="n"/>
      <c r="CJ386" s="1392" t="n"/>
      <c r="CK386" s="1392" t="n"/>
      <c r="CL386" s="1392" t="n"/>
    </row>
    <row r="387">
      <c r="A387" s="5" t="inlineStr">
        <is>
          <t>.</t>
        </is>
      </c>
      <c r="B387" s="5" t="inlineStr">
        <is>
          <t>.</t>
        </is>
      </c>
      <c r="C387" s="1378">
        <f>IF(raw[[#This Row],[city]]="","-",IF(raw[[#This Row],[city]]="TODAY","-",C386+1))</f>
        <v/>
      </c>
      <c r="D387" s="1393" t="inlineStr">
        <is>
          <t>London</t>
        </is>
      </c>
      <c r="E387" s="1394" t="n">
        <v>35195</v>
      </c>
      <c r="F387" s="1394" t="n">
        <v>35202</v>
      </c>
      <c r="G387" s="1393" t="inlineStr">
        <is>
          <t>-</t>
        </is>
      </c>
      <c r="H387" s="1393" t="inlineStr">
        <is>
          <t>Hampstead</t>
        </is>
      </c>
      <c r="I387" s="1393" t="inlineStr">
        <is>
          <t>-</t>
        </is>
      </c>
      <c r="J387" s="1393" t="inlineStr">
        <is>
          <t>-</t>
        </is>
      </c>
      <c r="K387" s="1395">
        <f>IF(raw[[#This Row],[city]]&lt;&gt;"",_xlfn.XLOOKUP($D387,ccc[city],ccc[prov],"-"),"-")</f>
        <v/>
      </c>
      <c r="L387" s="1395">
        <f>IF(raw[[#This Row],[city]]&lt;&gt;"",_xlfn.XLOOKUP($D387,ccc[city],ccc[ctry],"-"),"-")</f>
        <v/>
      </c>
      <c r="M387" s="1395">
        <f>IF(raw[[#This Row],[city]]&lt;&gt;"",_xlfn.XLOOKUP($D387,ccc[city],ccc[cont],"-"),"-")</f>
        <v/>
      </c>
      <c r="N387" s="1396">
        <f>IF(raw[[#This Row],[city]]="","-",IF(raw[[#This Row],[cont]]="B",raw[[#This Row],[cont]],"W"))</f>
        <v/>
      </c>
      <c r="O387" s="1397">
        <f>IF(raw[[#This Row],[out]]=0,0,IF(raw[[#This Row],[out]]=raw[[#This Row],[in]],0.01,raw[[#This Row],[out]]-raw[[#This Row],[in]]))</f>
        <v/>
      </c>
      <c r="P387" s="1397">
        <f>IF(raw[[#This Row],[in]]=0,0,MONTH(raw[[#This Row],[in]]))</f>
        <v/>
      </c>
      <c r="Q387" s="1397">
        <f>IF(raw[[#This Row],[in]]=0,0,YEAR(raw[[#This Row],[in]]))</f>
        <v/>
      </c>
      <c r="R387" s="1397">
        <f>INT(raw[[#This Row],[yr]]/10)*10</f>
        <v/>
      </c>
      <c r="S387" s="1395">
        <f>IF(raw[[#This Row],[city]]="","-",IF(raw[[#This Row],[city]]&lt;&gt;_xlfn.XLOOKUP(raw[[#This Row],[home]],homes[home],homes[city],"-"),1,0))</f>
        <v/>
      </c>
      <c r="T387" s="1398" t="inlineStr">
        <is>
          <t>.</t>
        </is>
      </c>
      <c r="U387" s="1399">
        <f>IF(raw[[#This Row],[wb]]="w",raw[[#This Row],[stay]]+U386,U386)</f>
        <v/>
      </c>
      <c r="V387" s="1400">
        <f>IF(raw[[#This Row],[out]]=0,V386,(raw[[#This Row],[out]]-E$5))</f>
        <v/>
      </c>
      <c r="W387" s="1401">
        <f>U387/V387</f>
        <v/>
      </c>
      <c r="X387" s="1378" t="inlineStr">
        <is>
          <t>.</t>
        </is>
      </c>
      <c r="Y387" s="1402">
        <f/>
        <v/>
      </c>
      <c r="Z387" s="1403">
        <f/>
        <v/>
      </c>
      <c r="AA387" s="1403">
        <f/>
        <v/>
      </c>
      <c r="AB387" s="1400">
        <f t="array" ref="AB387">_xlfn.LET(_xlpm.S,_xlfn.ANCHORARRAY($Y$4),_xlpm.r,ROWS(stayCity[[#Headers],[city]]:stayCity[[#This Row],[city]])-1,IF(_xlpm.r&lt;=ROWS(_xlpm.S),INDEX(_xlpm.S,_xlpm.r,1),""))</f>
        <v/>
      </c>
      <c r="AC387" s="1405">
        <f t="array" ref="AC387">_xlfn.LET(_xlpm.S,_xlfn.ANCHORARRAY($Y$4),_xlpm.r,ROWS(stayCity[[#Headers],[city]]:stayCity[[#This Row],[city]])-1,IF(_xlpm.r&lt;=ROWS(_xlpm.S),INDEX(_xlpm.S,_xlpm.r,2),""))</f>
        <v/>
      </c>
      <c r="AD387" s="1405">
        <f t="array" ref="AD387">_xlfn.LET(_xlpm.S,_xlfn.ANCHORARRAY($Y$4),_xlpm.r,ROWS(stayCity[[#Headers],[city]]:stayCity[[#This Row],[city]])-1,IF(_xlpm.r&lt;=ROWS(_xlpm.S),INDEX(_xlpm.S,_xlpm.r,3),""))</f>
        <v/>
      </c>
      <c r="AE387" s="1400">
        <f>IF(stayCity[[#This Row],[out]]&lt;&gt;"",stayCity[[#This Row],[out]]-stayCity[[#This Row],[in]],"-")</f>
        <v/>
      </c>
      <c r="AF387" s="1406">
        <f>IF(Y387="","-",YEAR(stayCity[[#This Row],[in]]))</f>
        <v/>
      </c>
      <c r="AG387" s="1392" t="n"/>
      <c r="AH387" s="1392" t="n"/>
      <c r="AI387" s="1392" t="n"/>
      <c r="AJ387" s="1392" t="n"/>
      <c r="AK387" s="1392" t="n"/>
      <c r="AL387" s="1392" t="n"/>
      <c r="AM387" s="1392" t="n"/>
      <c r="AN387" s="1392" t="n"/>
      <c r="AO387" s="1392" t="n"/>
      <c r="AP387" s="1392" t="n"/>
      <c r="AQ387" s="1392" t="n"/>
      <c r="AR387" s="1392" t="n"/>
      <c r="AS387" s="1422" t="n"/>
      <c r="AT387" s="1392" t="n"/>
      <c r="AU387" s="1392" t="n"/>
      <c r="AV387" s="1392" t="n"/>
      <c r="AW387" s="1392" t="n"/>
      <c r="AX387" s="1392" t="n"/>
      <c r="AY387" s="1392" t="n"/>
      <c r="AZ387" s="1392" t="n"/>
      <c r="BA387" s="1392" t="n"/>
      <c r="BB387" s="1422" t="n"/>
      <c r="BC387" s="1392" t="n"/>
      <c r="BD387" s="1392" t="n"/>
      <c r="BE387" s="1392" t="n"/>
      <c r="BF387" s="1392" t="n"/>
      <c r="BG387" s="1392" t="n"/>
      <c r="BH387" s="1392" t="n"/>
      <c r="BI387" s="1392" t="n"/>
      <c r="BJ387" s="1392" t="n"/>
      <c r="BK387" s="1392" t="n"/>
      <c r="BL387" s="1392" t="n"/>
      <c r="BM387" s="1392" t="n"/>
      <c r="BN387" s="1392" t="n"/>
      <c r="BO387" s="1392" t="n"/>
      <c r="BP387" s="1398" t="inlineStr">
        <is>
          <t>.</t>
        </is>
      </c>
      <c r="BQ387" s="1400">
        <f>IF(BR387&lt;&gt;"",BQ386+1,BQ386)</f>
        <v/>
      </c>
      <c r="BR387" s="1411" t="inlineStr">
        <is>
          <t>Porto</t>
        </is>
      </c>
      <c r="BS387" s="1411" t="inlineStr">
        <is>
          <t>Montreal</t>
        </is>
      </c>
      <c r="BT387" s="1411" t="inlineStr">
        <is>
          <t>Porto-Montreal</t>
        </is>
      </c>
      <c r="BU387" s="1412" t="n">
        <v>45914</v>
      </c>
      <c r="BV387" s="1398" t="inlineStr">
        <is>
          <t>.</t>
        </is>
      </c>
      <c r="BW387" s="1392" t="n"/>
      <c r="BX387" s="1392" t="n"/>
      <c r="BY387" s="1392" t="n"/>
      <c r="BZ387" s="1416" t="n"/>
      <c r="CA387" s="1392" t="n"/>
      <c r="CB387" s="1392" t="n"/>
      <c r="CC387" s="1392" t="n"/>
      <c r="CD387" s="1392" t="n"/>
      <c r="CE387" s="1392" t="n"/>
      <c r="CF387" s="1392" t="n"/>
      <c r="CG387" s="1392" t="n"/>
      <c r="CH387" s="1392" t="n"/>
      <c r="CI387" s="1392" t="n"/>
      <c r="CJ387" s="1392" t="n"/>
      <c r="CK387" s="1392" t="n"/>
      <c r="CL387" s="1392" t="n"/>
    </row>
    <row r="388">
      <c r="A388" s="5" t="inlineStr">
        <is>
          <t>.</t>
        </is>
      </c>
      <c r="B388" s="5" t="inlineStr">
        <is>
          <t>.</t>
        </is>
      </c>
      <c r="C388" s="1378">
        <f>IF(raw[[#This Row],[city]]="","-",IF(raw[[#This Row],[city]]="TODAY","-",C387+1))</f>
        <v/>
      </c>
      <c r="D388" s="1393" t="inlineStr">
        <is>
          <t>Brighton</t>
        </is>
      </c>
      <c r="E388" s="1394" t="n">
        <v>35202</v>
      </c>
      <c r="F388" s="1394" t="n">
        <v>35203</v>
      </c>
      <c r="G388" s="1393" t="inlineStr">
        <is>
          <t>-</t>
        </is>
      </c>
      <c r="H388" s="1393" t="inlineStr">
        <is>
          <t>Hampstead</t>
        </is>
      </c>
      <c r="I388" s="1393" t="inlineStr">
        <is>
          <t>-</t>
        </is>
      </c>
      <c r="J388" s="1393" t="inlineStr">
        <is>
          <t>-</t>
        </is>
      </c>
      <c r="K388" s="1395">
        <f>IF(raw[[#This Row],[city]]&lt;&gt;"",_xlfn.XLOOKUP($D388,ccc[city],ccc[prov],"-"),"-")</f>
        <v/>
      </c>
      <c r="L388" s="1395">
        <f>IF(raw[[#This Row],[city]]&lt;&gt;"",_xlfn.XLOOKUP($D388,ccc[city],ccc[ctry],"-"),"-")</f>
        <v/>
      </c>
      <c r="M388" s="1395">
        <f>IF(raw[[#This Row],[city]]&lt;&gt;"",_xlfn.XLOOKUP($D388,ccc[city],ccc[cont],"-"),"-")</f>
        <v/>
      </c>
      <c r="N388" s="1396">
        <f>IF(raw[[#This Row],[city]]="","-",IF(raw[[#This Row],[cont]]="B",raw[[#This Row],[cont]],"W"))</f>
        <v/>
      </c>
      <c r="O388" s="1397">
        <f>IF(raw[[#This Row],[out]]=0,0,IF(raw[[#This Row],[out]]=raw[[#This Row],[in]],0.01,raw[[#This Row],[out]]-raw[[#This Row],[in]]))</f>
        <v/>
      </c>
      <c r="P388" s="1397">
        <f>IF(raw[[#This Row],[in]]=0,0,MONTH(raw[[#This Row],[in]]))</f>
        <v/>
      </c>
      <c r="Q388" s="1397">
        <f>IF(raw[[#This Row],[in]]=0,0,YEAR(raw[[#This Row],[in]]))</f>
        <v/>
      </c>
      <c r="R388" s="1397">
        <f>INT(raw[[#This Row],[yr]]/10)*10</f>
        <v/>
      </c>
      <c r="S388" s="1395">
        <f>IF(raw[[#This Row],[city]]="","-",IF(raw[[#This Row],[city]]&lt;&gt;_xlfn.XLOOKUP(raw[[#This Row],[home]],homes[home],homes[city],"-"),1,0))</f>
        <v/>
      </c>
      <c r="T388" s="1398" t="inlineStr">
        <is>
          <t>.</t>
        </is>
      </c>
      <c r="U388" s="1399">
        <f>IF(raw[[#This Row],[wb]]="w",raw[[#This Row],[stay]]+U387,U387)</f>
        <v/>
      </c>
      <c r="V388" s="1400">
        <f>IF(raw[[#This Row],[out]]=0,V387,(raw[[#This Row],[out]]-E$5))</f>
        <v/>
      </c>
      <c r="W388" s="1401">
        <f>U388/V388</f>
        <v/>
      </c>
      <c r="X388" s="1378" t="inlineStr">
        <is>
          <t>.</t>
        </is>
      </c>
      <c r="Y388" s="1402">
        <f/>
        <v/>
      </c>
      <c r="Z388" s="1403">
        <f/>
        <v/>
      </c>
      <c r="AA388" s="1403">
        <f/>
        <v/>
      </c>
      <c r="AB388" s="1400">
        <f t="array" ref="AB388">_xlfn.LET(_xlpm.S,_xlfn.ANCHORARRAY($Y$4),_xlpm.r,ROWS(stayCity[[#Headers],[city]]:stayCity[[#This Row],[city]])-1,IF(_xlpm.r&lt;=ROWS(_xlpm.S),INDEX(_xlpm.S,_xlpm.r,1),""))</f>
        <v/>
      </c>
      <c r="AC388" s="1405">
        <f t="array" ref="AC388">_xlfn.LET(_xlpm.S,_xlfn.ANCHORARRAY($Y$4),_xlpm.r,ROWS(stayCity[[#Headers],[city]]:stayCity[[#This Row],[city]])-1,IF(_xlpm.r&lt;=ROWS(_xlpm.S),INDEX(_xlpm.S,_xlpm.r,2),""))</f>
        <v/>
      </c>
      <c r="AD388" s="1405">
        <f t="array" ref="AD388">_xlfn.LET(_xlpm.S,_xlfn.ANCHORARRAY($Y$4),_xlpm.r,ROWS(stayCity[[#Headers],[city]]:stayCity[[#This Row],[city]])-1,IF(_xlpm.r&lt;=ROWS(_xlpm.S),INDEX(_xlpm.S,_xlpm.r,3),""))</f>
        <v/>
      </c>
      <c r="AE388" s="1400">
        <f>IF(stayCity[[#This Row],[out]]&lt;&gt;"",stayCity[[#This Row],[out]]-stayCity[[#This Row],[in]],"-")</f>
        <v/>
      </c>
      <c r="AF388" s="1406">
        <f>IF(Y388="","-",YEAR(stayCity[[#This Row],[in]]))</f>
        <v/>
      </c>
      <c r="AG388" s="1392" t="n"/>
      <c r="AH388" s="1392" t="n"/>
      <c r="AI388" s="1392" t="n"/>
      <c r="AJ388" s="1392" t="n"/>
      <c r="AK388" s="1392" t="n"/>
      <c r="AL388" s="1392" t="n"/>
      <c r="AM388" s="1392" t="n"/>
      <c r="AN388" s="1392" t="n"/>
      <c r="AO388" s="1392" t="n"/>
      <c r="AP388" s="1392" t="n"/>
      <c r="AQ388" s="1392" t="n"/>
      <c r="AR388" s="1392" t="n"/>
      <c r="AS388" s="1422" t="n"/>
      <c r="AT388" s="1392" t="n"/>
      <c r="AU388" s="1392" t="n"/>
      <c r="AV388" s="1392" t="n"/>
      <c r="AW388" s="1392" t="n"/>
      <c r="AX388" s="1392" t="n"/>
      <c r="AY388" s="1392" t="n"/>
      <c r="AZ388" s="1392" t="n"/>
      <c r="BA388" s="1392" t="n"/>
      <c r="BB388" s="1422" t="n"/>
      <c r="BC388" s="1392" t="n"/>
      <c r="BD388" s="1392" t="n"/>
      <c r="BE388" s="1392" t="n"/>
      <c r="BF388" s="1392" t="n"/>
      <c r="BG388" s="1392" t="n"/>
      <c r="BH388" s="1392" t="n"/>
      <c r="BI388" s="1392" t="n"/>
      <c r="BJ388" s="1392" t="n"/>
      <c r="BK388" s="1392" t="n"/>
      <c r="BL388" s="1392" t="n"/>
      <c r="BM388" s="1392" t="n"/>
      <c r="BN388" s="1392" t="n"/>
      <c r="BO388" s="1392" t="n"/>
      <c r="BP388" s="1398" t="inlineStr">
        <is>
          <t>.</t>
        </is>
      </c>
      <c r="BQ388" s="1400">
        <f>IF(BR388&lt;&gt;"",BQ387+1,BQ387)</f>
        <v/>
      </c>
      <c r="BR388" s="1411" t="inlineStr">
        <is>
          <t>Montreal</t>
        </is>
      </c>
      <c r="BS388" s="1411" t="inlineStr">
        <is>
          <t>Porto</t>
        </is>
      </c>
      <c r="BT388" s="1411" t="inlineStr">
        <is>
          <t>Montreal-Porto</t>
        </is>
      </c>
      <c r="BU388" s="1412" t="n">
        <v>45920</v>
      </c>
      <c r="BV388" s="1398" t="inlineStr">
        <is>
          <t>.</t>
        </is>
      </c>
      <c r="BW388" s="1392" t="n"/>
      <c r="BX388" s="1392" t="n"/>
      <c r="BY388" s="1392" t="n"/>
      <c r="BZ388" s="1416" t="n"/>
      <c r="CA388" s="1392" t="n"/>
      <c r="CB388" s="1392" t="n"/>
      <c r="CC388" s="1392" t="n"/>
      <c r="CD388" s="1392" t="n"/>
      <c r="CE388" s="1392" t="n"/>
      <c r="CF388" s="1392" t="n"/>
      <c r="CG388" s="1392" t="n"/>
      <c r="CH388" s="1392" t="n"/>
      <c r="CI388" s="1392" t="n"/>
      <c r="CJ388" s="1392" t="n"/>
      <c r="CK388" s="1392" t="n"/>
      <c r="CL388" s="1392" t="n"/>
    </row>
    <row r="389">
      <c r="A389" s="5" t="inlineStr">
        <is>
          <t>.</t>
        </is>
      </c>
      <c r="B389" s="5" t="inlineStr">
        <is>
          <t>.</t>
        </is>
      </c>
      <c r="C389" s="1378">
        <f>IF(raw[[#This Row],[city]]="","-",IF(raw[[#This Row],[city]]="TODAY","-",C388+1))</f>
        <v/>
      </c>
      <c r="D389" s="1393" t="inlineStr">
        <is>
          <t>Exeter</t>
        </is>
      </c>
      <c r="E389" s="1394" t="n">
        <v>35203</v>
      </c>
      <c r="F389" s="1394" t="n">
        <v>35203</v>
      </c>
      <c r="G389" s="1393" t="inlineStr">
        <is>
          <t>-</t>
        </is>
      </c>
      <c r="H389" s="1393">
        <f>H388</f>
        <v/>
      </c>
      <c r="I389" s="1393" t="inlineStr">
        <is>
          <t>-</t>
        </is>
      </c>
      <c r="J389" s="1393" t="inlineStr">
        <is>
          <t>-</t>
        </is>
      </c>
      <c r="K389" s="1395">
        <f>IF(raw[[#This Row],[city]]&lt;&gt;"",_xlfn.XLOOKUP($D389,ccc[city],ccc[prov],"-"),"-")</f>
        <v/>
      </c>
      <c r="L389" s="1395">
        <f>IF(raw[[#This Row],[city]]&lt;&gt;"",_xlfn.XLOOKUP($D389,ccc[city],ccc[ctry],"-"),"-")</f>
        <v/>
      </c>
      <c r="M389" s="1395">
        <f>IF(raw[[#This Row],[city]]&lt;&gt;"",_xlfn.XLOOKUP($D389,ccc[city],ccc[cont],"-"),"-")</f>
        <v/>
      </c>
      <c r="N389" s="1396">
        <f>IF(raw[[#This Row],[city]]="","-",IF(raw[[#This Row],[cont]]="B",raw[[#This Row],[cont]],"W"))</f>
        <v/>
      </c>
      <c r="O389" s="1397">
        <f>IF(raw[[#This Row],[out]]=0,0,IF(raw[[#This Row],[out]]=raw[[#This Row],[in]],0.01,raw[[#This Row],[out]]-raw[[#This Row],[in]]))</f>
        <v/>
      </c>
      <c r="P389" s="1397">
        <f>IF(raw[[#This Row],[in]]=0,0,MONTH(raw[[#This Row],[in]]))</f>
        <v/>
      </c>
      <c r="Q389" s="1397">
        <f>IF(raw[[#This Row],[in]]=0,0,YEAR(raw[[#This Row],[in]]))</f>
        <v/>
      </c>
      <c r="R389" s="1397">
        <f>INT(raw[[#This Row],[yr]]/10)*10</f>
        <v/>
      </c>
      <c r="S389" s="1395">
        <f>IF(raw[[#This Row],[city]]="","-",IF(raw[[#This Row],[city]]&lt;&gt;_xlfn.XLOOKUP(raw[[#This Row],[home]],homes[home],homes[city],"-"),1,0))</f>
        <v/>
      </c>
      <c r="T389" s="1398" t="inlineStr">
        <is>
          <t>.</t>
        </is>
      </c>
      <c r="U389" s="1399">
        <f>IF(raw[[#This Row],[wb]]="w",raw[[#This Row],[stay]]+U388,U388)</f>
        <v/>
      </c>
      <c r="V389" s="1400">
        <f>IF(raw[[#This Row],[out]]=0,V388,(raw[[#This Row],[out]]-E$5))</f>
        <v/>
      </c>
      <c r="W389" s="1401">
        <f>U389/V389</f>
        <v/>
      </c>
      <c r="X389" s="1378" t="inlineStr">
        <is>
          <t>.</t>
        </is>
      </c>
      <c r="Y389" s="1402">
        <f/>
        <v/>
      </c>
      <c r="Z389" s="1403">
        <f/>
        <v/>
      </c>
      <c r="AA389" s="1403">
        <f/>
        <v/>
      </c>
      <c r="AB389" s="1400">
        <f t="array" ref="AB389">_xlfn.LET(_xlpm.S,_xlfn.ANCHORARRAY($Y$4),_xlpm.r,ROWS(stayCity[[#Headers],[city]]:stayCity[[#This Row],[city]])-1,IF(_xlpm.r&lt;=ROWS(_xlpm.S),INDEX(_xlpm.S,_xlpm.r,1),""))</f>
        <v/>
      </c>
      <c r="AC389" s="1405">
        <f t="array" ref="AC389">_xlfn.LET(_xlpm.S,_xlfn.ANCHORARRAY($Y$4),_xlpm.r,ROWS(stayCity[[#Headers],[city]]:stayCity[[#This Row],[city]])-1,IF(_xlpm.r&lt;=ROWS(_xlpm.S),INDEX(_xlpm.S,_xlpm.r,2),""))</f>
        <v/>
      </c>
      <c r="AD389" s="1405">
        <f t="array" ref="AD389">_xlfn.LET(_xlpm.S,_xlfn.ANCHORARRAY($Y$4),_xlpm.r,ROWS(stayCity[[#Headers],[city]]:stayCity[[#This Row],[city]])-1,IF(_xlpm.r&lt;=ROWS(_xlpm.S),INDEX(_xlpm.S,_xlpm.r,3),""))</f>
        <v/>
      </c>
      <c r="AE389" s="1400">
        <f>IF(stayCity[[#This Row],[out]]&lt;&gt;"",stayCity[[#This Row],[out]]-stayCity[[#This Row],[in]],"-")</f>
        <v/>
      </c>
      <c r="AF389" s="1406">
        <f>IF(Y389="","-",YEAR(stayCity[[#This Row],[in]]))</f>
        <v/>
      </c>
      <c r="AG389" s="1392" t="n"/>
      <c r="AH389" s="1392" t="n"/>
      <c r="AI389" s="1392" t="n"/>
      <c r="AJ389" s="1392" t="n"/>
      <c r="AK389" s="1392" t="n"/>
      <c r="AL389" s="1392" t="n"/>
      <c r="AM389" s="1392" t="n"/>
      <c r="AN389" s="1392" t="n"/>
      <c r="AO389" s="1392" t="n"/>
      <c r="AP389" s="1392" t="n"/>
      <c r="AQ389" s="1392" t="n"/>
      <c r="AR389" s="1392" t="n"/>
      <c r="AS389" s="1422" t="n"/>
      <c r="AT389" s="1392" t="n"/>
      <c r="AU389" s="1392" t="n"/>
      <c r="AV389" s="1392" t="n"/>
      <c r="AW389" s="1392" t="n"/>
      <c r="AX389" s="1392" t="n"/>
      <c r="AY389" s="1392" t="n"/>
      <c r="AZ389" s="1392" t="n"/>
      <c r="BA389" s="1392" t="n"/>
      <c r="BB389" s="1422" t="n"/>
      <c r="BC389" s="1392" t="n"/>
      <c r="BD389" s="1392" t="n"/>
      <c r="BE389" s="1392" t="n"/>
      <c r="BF389" s="1392" t="n"/>
      <c r="BG389" s="1392" t="n"/>
      <c r="BH389" s="1392" t="n"/>
      <c r="BI389" s="1392" t="n"/>
      <c r="BJ389" s="1392" t="n"/>
      <c r="BK389" s="1392" t="n"/>
      <c r="BL389" s="1392" t="n"/>
      <c r="BM389" s="1392" t="n"/>
      <c r="BN389" s="1392" t="n"/>
      <c r="BO389" s="1392" t="n"/>
      <c r="BP389" s="1398" t="inlineStr">
        <is>
          <t>.</t>
        </is>
      </c>
      <c r="BQ389" s="1400">
        <f>IF(BR389&lt;&gt;"",BQ388+1,BQ388)</f>
        <v/>
      </c>
      <c r="BR389" s="1411" t="inlineStr">
        <is>
          <t>Porto</t>
        </is>
      </c>
      <c r="BS389" s="1411" t="inlineStr">
        <is>
          <t>Paris</t>
        </is>
      </c>
      <c r="BT389" s="1411" t="inlineStr">
        <is>
          <t>Porto-Paris</t>
        </is>
      </c>
      <c r="BU389" s="1412" t="n">
        <v>46085</v>
      </c>
      <c r="BV389" s="1398" t="inlineStr">
        <is>
          <t>.</t>
        </is>
      </c>
      <c r="BW389" s="1392" t="n"/>
      <c r="BX389" s="1392" t="n"/>
      <c r="BY389" s="1392" t="n"/>
      <c r="BZ389" s="1416" t="n"/>
      <c r="CA389" s="1392" t="n"/>
      <c r="CB389" s="1392" t="n"/>
      <c r="CC389" s="1392" t="n"/>
      <c r="CD389" s="1392" t="n"/>
      <c r="CE389" s="1392" t="n"/>
      <c r="CF389" s="1392" t="n"/>
      <c r="CG389" s="1392" t="n"/>
      <c r="CH389" s="1392" t="n"/>
      <c r="CI389" s="1392" t="n"/>
      <c r="CJ389" s="1392" t="n"/>
      <c r="CK389" s="1392" t="n"/>
      <c r="CL389" s="1392" t="n"/>
    </row>
    <row r="390">
      <c r="A390" s="5" t="inlineStr">
        <is>
          <t>.</t>
        </is>
      </c>
      <c r="B390" s="5" t="inlineStr">
        <is>
          <t>.</t>
        </is>
      </c>
      <c r="C390" s="1378">
        <f>IF(raw[[#This Row],[city]]="","-",IF(raw[[#This Row],[city]]="TODAY","-",C389+1))</f>
        <v/>
      </c>
      <c r="D390" s="1393" t="inlineStr">
        <is>
          <t>Plymouth</t>
        </is>
      </c>
      <c r="E390" s="1394" t="n">
        <v>35203</v>
      </c>
      <c r="F390" s="1394" t="n">
        <v>35203</v>
      </c>
      <c r="G390" s="1393" t="inlineStr">
        <is>
          <t>-</t>
        </is>
      </c>
      <c r="H390" s="1393">
        <f>H389</f>
        <v/>
      </c>
      <c r="I390" s="1393" t="inlineStr">
        <is>
          <t>-</t>
        </is>
      </c>
      <c r="J390" s="1393" t="inlineStr">
        <is>
          <t>-</t>
        </is>
      </c>
      <c r="K390" s="1395">
        <f>IF(raw[[#This Row],[city]]&lt;&gt;"",_xlfn.XLOOKUP($D390,ccc[city],ccc[prov],"-"),"-")</f>
        <v/>
      </c>
      <c r="L390" s="1395">
        <f>IF(raw[[#This Row],[city]]&lt;&gt;"",_xlfn.XLOOKUP($D390,ccc[city],ccc[ctry],"-"),"-")</f>
        <v/>
      </c>
      <c r="M390" s="1395">
        <f>IF(raw[[#This Row],[city]]&lt;&gt;"",_xlfn.XLOOKUP($D390,ccc[city],ccc[cont],"-"),"-")</f>
        <v/>
      </c>
      <c r="N390" s="1396">
        <f>IF(raw[[#This Row],[city]]="","-",IF(raw[[#This Row],[cont]]="B",raw[[#This Row],[cont]],"W"))</f>
        <v/>
      </c>
      <c r="O390" s="1397">
        <f>IF(raw[[#This Row],[out]]=0,0,IF(raw[[#This Row],[out]]=raw[[#This Row],[in]],0.01,raw[[#This Row],[out]]-raw[[#This Row],[in]]))</f>
        <v/>
      </c>
      <c r="P390" s="1397">
        <f>IF(raw[[#This Row],[in]]=0,0,MONTH(raw[[#This Row],[in]]))</f>
        <v/>
      </c>
      <c r="Q390" s="1397">
        <f>IF(raw[[#This Row],[in]]=0,0,YEAR(raw[[#This Row],[in]]))</f>
        <v/>
      </c>
      <c r="R390" s="1397">
        <f>INT(raw[[#This Row],[yr]]/10)*10</f>
        <v/>
      </c>
      <c r="S390" s="1395">
        <f>IF(raw[[#This Row],[city]]="","-",IF(raw[[#This Row],[city]]&lt;&gt;_xlfn.XLOOKUP(raw[[#This Row],[home]],homes[home],homes[city],"-"),1,0))</f>
        <v/>
      </c>
      <c r="T390" s="1398" t="inlineStr">
        <is>
          <t>.</t>
        </is>
      </c>
      <c r="U390" s="1399">
        <f>IF(raw[[#This Row],[wb]]="w",raw[[#This Row],[stay]]+U389,U389)</f>
        <v/>
      </c>
      <c r="V390" s="1400">
        <f>IF(raw[[#This Row],[out]]=0,V389,(raw[[#This Row],[out]]-E$5))</f>
        <v/>
      </c>
      <c r="W390" s="1401">
        <f>U390/V390</f>
        <v/>
      </c>
      <c r="X390" s="1378" t="inlineStr">
        <is>
          <t>.</t>
        </is>
      </c>
      <c r="Y390" s="1402">
        <f/>
        <v/>
      </c>
      <c r="Z390" s="1403">
        <f/>
        <v/>
      </c>
      <c r="AA390" s="1403">
        <f/>
        <v/>
      </c>
      <c r="AB390" s="1400">
        <f t="array" ref="AB390">_xlfn.LET(_xlpm.S,_xlfn.ANCHORARRAY($Y$4),_xlpm.r,ROWS(stayCity[[#Headers],[city]]:stayCity[[#This Row],[city]])-1,IF(_xlpm.r&lt;=ROWS(_xlpm.S),INDEX(_xlpm.S,_xlpm.r,1),""))</f>
        <v/>
      </c>
      <c r="AC390" s="1405">
        <f t="array" ref="AC390">_xlfn.LET(_xlpm.S,_xlfn.ANCHORARRAY($Y$4),_xlpm.r,ROWS(stayCity[[#Headers],[city]]:stayCity[[#This Row],[city]])-1,IF(_xlpm.r&lt;=ROWS(_xlpm.S),INDEX(_xlpm.S,_xlpm.r,2),""))</f>
        <v/>
      </c>
      <c r="AD390" s="1405">
        <f t="array" ref="AD390">_xlfn.LET(_xlpm.S,_xlfn.ANCHORARRAY($Y$4),_xlpm.r,ROWS(stayCity[[#Headers],[city]]:stayCity[[#This Row],[city]])-1,IF(_xlpm.r&lt;=ROWS(_xlpm.S),INDEX(_xlpm.S,_xlpm.r,3),""))</f>
        <v/>
      </c>
      <c r="AE390" s="1400">
        <f>IF(stayCity[[#This Row],[out]]&lt;&gt;"",stayCity[[#This Row],[out]]-stayCity[[#This Row],[in]],"-")</f>
        <v/>
      </c>
      <c r="AF390" s="1406">
        <f>IF(Y390="","-",YEAR(stayCity[[#This Row],[in]]))</f>
        <v/>
      </c>
      <c r="AG390" s="1392" t="n"/>
      <c r="AH390" s="1392" t="n"/>
      <c r="AI390" s="1392" t="n"/>
      <c r="AJ390" s="1392" t="n"/>
      <c r="AK390" s="1392" t="n"/>
      <c r="AL390" s="1392" t="n"/>
      <c r="AM390" s="1392" t="n"/>
      <c r="AN390" s="1392" t="n"/>
      <c r="AO390" s="1392" t="n"/>
      <c r="AP390" s="1392" t="n"/>
      <c r="AQ390" s="1392" t="n"/>
      <c r="AR390" s="1392" t="n"/>
      <c r="AS390" s="1422" t="n"/>
      <c r="AT390" s="1392" t="n"/>
      <c r="AU390" s="1392" t="n"/>
      <c r="AV390" s="1392" t="n"/>
      <c r="AW390" s="1392" t="n"/>
      <c r="AX390" s="1392" t="n"/>
      <c r="AY390" s="1392" t="n"/>
      <c r="AZ390" s="1392" t="n"/>
      <c r="BA390" s="1392" t="n"/>
      <c r="BB390" s="1422" t="n"/>
      <c r="BC390" s="1392" t="n"/>
      <c r="BD390" s="1392" t="n"/>
      <c r="BE390" s="1392" t="n"/>
      <c r="BF390" s="1392" t="n"/>
      <c r="BG390" s="1392" t="n"/>
      <c r="BH390" s="1392" t="n"/>
      <c r="BI390" s="1392" t="n"/>
      <c r="BJ390" s="1392" t="n"/>
      <c r="BK390" s="1392" t="n"/>
      <c r="BL390" s="1392" t="n"/>
      <c r="BM390" s="1392" t="n"/>
      <c r="BN390" s="1392" t="n"/>
      <c r="BO390" s="1392" t="n"/>
      <c r="BP390" s="1398" t="inlineStr">
        <is>
          <t>.</t>
        </is>
      </c>
      <c r="BQ390" s="1400">
        <f>IF(BR390&lt;&gt;"",BQ389+1,BQ389)</f>
        <v/>
      </c>
      <c r="BR390" s="1411" t="inlineStr">
        <is>
          <t>Paris</t>
        </is>
      </c>
      <c r="BS390" s="1411" t="inlineStr">
        <is>
          <t>Porto</t>
        </is>
      </c>
      <c r="BT390" s="1411" t="inlineStr">
        <is>
          <t>Paris-Porto</t>
        </is>
      </c>
      <c r="BU390" s="1412" t="n">
        <v>46088</v>
      </c>
      <c r="BV390" s="1398" t="inlineStr">
        <is>
          <t>.</t>
        </is>
      </c>
      <c r="BW390" s="1392" t="n"/>
      <c r="BX390" s="1392" t="n"/>
      <c r="BY390" s="1392" t="n"/>
      <c r="BZ390" s="1416" t="n"/>
      <c r="CA390" s="1392" t="n"/>
      <c r="CB390" s="1392" t="n"/>
      <c r="CC390" s="1392" t="n"/>
      <c r="CD390" s="1392" t="n"/>
      <c r="CE390" s="1392" t="n"/>
      <c r="CF390" s="1392" t="n"/>
      <c r="CG390" s="1392" t="n"/>
      <c r="CH390" s="1392" t="n"/>
      <c r="CI390" s="1392" t="n"/>
      <c r="CJ390" s="1392" t="n"/>
      <c r="CK390" s="1392" t="n"/>
      <c r="CL390" s="1392" t="n"/>
    </row>
    <row r="391">
      <c r="A391" s="5" t="inlineStr">
        <is>
          <t>.</t>
        </is>
      </c>
      <c r="B391" s="5" t="inlineStr">
        <is>
          <t>.</t>
        </is>
      </c>
      <c r="C391" s="1378">
        <f>IF(raw[[#This Row],[city]]="","-",IF(raw[[#This Row],[city]]="TODAY","-",C390+1))</f>
        <v/>
      </c>
      <c r="D391" s="1393" t="inlineStr">
        <is>
          <t>St. Ives</t>
        </is>
      </c>
      <c r="E391" s="1394" t="n">
        <v>35203</v>
      </c>
      <c r="F391" s="1394" t="n">
        <v>35203</v>
      </c>
      <c r="G391" s="1393" t="inlineStr">
        <is>
          <t>-</t>
        </is>
      </c>
      <c r="H391" s="1393">
        <f>H390</f>
        <v/>
      </c>
      <c r="I391" s="1393" t="inlineStr">
        <is>
          <t>-</t>
        </is>
      </c>
      <c r="J391" s="1393" t="inlineStr">
        <is>
          <t>-</t>
        </is>
      </c>
      <c r="K391" s="1395">
        <f>IF(raw[[#This Row],[city]]&lt;&gt;"",_xlfn.XLOOKUP($D391,ccc[city],ccc[prov],"-"),"-")</f>
        <v/>
      </c>
      <c r="L391" s="1395">
        <f>IF(raw[[#This Row],[city]]&lt;&gt;"",_xlfn.XLOOKUP($D391,ccc[city],ccc[ctry],"-"),"-")</f>
        <v/>
      </c>
      <c r="M391" s="1395">
        <f>IF(raw[[#This Row],[city]]&lt;&gt;"",_xlfn.XLOOKUP($D391,ccc[city],ccc[cont],"-"),"-")</f>
        <v/>
      </c>
      <c r="N391" s="1396">
        <f>IF(raw[[#This Row],[city]]="","-",IF(raw[[#This Row],[cont]]="B",raw[[#This Row],[cont]],"W"))</f>
        <v/>
      </c>
      <c r="O391" s="1397">
        <f>IF(raw[[#This Row],[out]]=0,0,IF(raw[[#This Row],[out]]=raw[[#This Row],[in]],0.01,raw[[#This Row],[out]]-raw[[#This Row],[in]]))</f>
        <v/>
      </c>
      <c r="P391" s="1397">
        <f>IF(raw[[#This Row],[in]]=0,0,MONTH(raw[[#This Row],[in]]))</f>
        <v/>
      </c>
      <c r="Q391" s="1397">
        <f>IF(raw[[#This Row],[in]]=0,0,YEAR(raw[[#This Row],[in]]))</f>
        <v/>
      </c>
      <c r="R391" s="1397">
        <f>INT(raw[[#This Row],[yr]]/10)*10</f>
        <v/>
      </c>
      <c r="S391" s="1395">
        <f>IF(raw[[#This Row],[city]]="","-",IF(raw[[#This Row],[city]]&lt;&gt;_xlfn.XLOOKUP(raw[[#This Row],[home]],homes[home],homes[city],"-"),1,0))</f>
        <v/>
      </c>
      <c r="T391" s="1398" t="inlineStr">
        <is>
          <t>.</t>
        </is>
      </c>
      <c r="U391" s="1399">
        <f>IF(raw[[#This Row],[wb]]="w",raw[[#This Row],[stay]]+U390,U390)</f>
        <v/>
      </c>
      <c r="V391" s="1400">
        <f>IF(raw[[#This Row],[out]]=0,V390,(raw[[#This Row],[out]]-E$5))</f>
        <v/>
      </c>
      <c r="W391" s="1401">
        <f>U391/V391</f>
        <v/>
      </c>
      <c r="X391" s="1378" t="inlineStr">
        <is>
          <t>.</t>
        </is>
      </c>
      <c r="Y391" s="1402">
        <f/>
        <v/>
      </c>
      <c r="Z391" s="1403">
        <f/>
        <v/>
      </c>
      <c r="AA391" s="1403">
        <f/>
        <v/>
      </c>
      <c r="AB391" s="1400">
        <f t="array" ref="AB391">_xlfn.LET(_xlpm.S,_xlfn.ANCHORARRAY($Y$4),_xlpm.r,ROWS(stayCity[[#Headers],[city]]:stayCity[[#This Row],[city]])-1,IF(_xlpm.r&lt;=ROWS(_xlpm.S),INDEX(_xlpm.S,_xlpm.r,1),""))</f>
        <v/>
      </c>
      <c r="AC391" s="1405">
        <f t="array" ref="AC391">_xlfn.LET(_xlpm.S,_xlfn.ANCHORARRAY($Y$4),_xlpm.r,ROWS(stayCity[[#Headers],[city]]:stayCity[[#This Row],[city]])-1,IF(_xlpm.r&lt;=ROWS(_xlpm.S),INDEX(_xlpm.S,_xlpm.r,2),""))</f>
        <v/>
      </c>
      <c r="AD391" s="1405">
        <f t="array" ref="AD391">_xlfn.LET(_xlpm.S,_xlfn.ANCHORARRAY($Y$4),_xlpm.r,ROWS(stayCity[[#Headers],[city]]:stayCity[[#This Row],[city]])-1,IF(_xlpm.r&lt;=ROWS(_xlpm.S),INDEX(_xlpm.S,_xlpm.r,3),""))</f>
        <v/>
      </c>
      <c r="AE391" s="1400">
        <f>IF(stayCity[[#This Row],[out]]&lt;&gt;"",stayCity[[#This Row],[out]]-stayCity[[#This Row],[in]],"-")</f>
        <v/>
      </c>
      <c r="AF391" s="1406">
        <f>IF(Y391="","-",YEAR(stayCity[[#This Row],[in]]))</f>
        <v/>
      </c>
      <c r="AG391" s="1392" t="n"/>
      <c r="AH391" s="1392" t="n"/>
      <c r="AI391" s="1392" t="n"/>
      <c r="AJ391" s="1392" t="n"/>
      <c r="AK391" s="1392" t="n"/>
      <c r="AL391" s="1392" t="n"/>
      <c r="AM391" s="1392" t="n"/>
      <c r="AN391" s="1392" t="n"/>
      <c r="AO391" s="1392" t="n"/>
      <c r="AP391" s="1392" t="n"/>
      <c r="AQ391" s="1392" t="n"/>
      <c r="AR391" s="1392" t="n"/>
      <c r="AS391" s="1422" t="n"/>
      <c r="AT391" s="1392" t="n"/>
      <c r="AU391" s="1392" t="n"/>
      <c r="AV391" s="1392" t="n"/>
      <c r="AW391" s="1392" t="n"/>
      <c r="AX391" s="1392" t="n"/>
      <c r="AY391" s="1392" t="n"/>
      <c r="AZ391" s="1392" t="n"/>
      <c r="BA391" s="1392" t="n"/>
      <c r="BB391" s="1422" t="n"/>
      <c r="BC391" s="1392" t="n"/>
      <c r="BD391" s="1392" t="n"/>
      <c r="BE391" s="1392" t="n"/>
      <c r="BF391" s="1392" t="n"/>
      <c r="BG391" s="1392" t="n"/>
      <c r="BH391" s="1392" t="n"/>
      <c r="BI391" s="1392" t="n"/>
      <c r="BJ391" s="1392" t="n"/>
      <c r="BK391" s="1392" t="n"/>
      <c r="BL391" s="1392" t="n"/>
      <c r="BM391" s="1392" t="n"/>
      <c r="BN391" s="1392" t="n"/>
      <c r="BO391" s="1392" t="n"/>
      <c r="BP391" s="1398" t="inlineStr">
        <is>
          <t>.</t>
        </is>
      </c>
      <c r="BQ391" s="1400">
        <f>IF(BR391&lt;&gt;"",BQ390+1,BQ390)</f>
        <v/>
      </c>
      <c r="BR391" s="1411" t="inlineStr">
        <is>
          <t>Porto</t>
        </is>
      </c>
      <c r="BS391" s="1411" t="inlineStr">
        <is>
          <t>Rome</t>
        </is>
      </c>
      <c r="BT391" s="1411" t="inlineStr">
        <is>
          <t>Porto-Rome</t>
        </is>
      </c>
      <c r="BU391" s="1412" t="n">
        <v>46106</v>
      </c>
      <c r="BV391" s="1398" t="inlineStr">
        <is>
          <t>.</t>
        </is>
      </c>
      <c r="BW391" s="1392" t="n"/>
      <c r="BX391" s="1392" t="n"/>
      <c r="BY391" s="1392" t="n"/>
      <c r="BZ391" s="1416" t="n"/>
      <c r="CA391" s="1392" t="n"/>
      <c r="CB391" s="1392" t="n"/>
      <c r="CC391" s="1392" t="n"/>
      <c r="CD391" s="1392" t="n"/>
      <c r="CE391" s="1392" t="n"/>
      <c r="CF391" s="1392" t="n"/>
      <c r="CG391" s="1392" t="n"/>
      <c r="CH391" s="1392" t="n"/>
      <c r="CI391" s="1392" t="n"/>
      <c r="CJ391" s="1392" t="n"/>
      <c r="CK391" s="1392" t="n"/>
      <c r="CL391" s="1392" t="n"/>
    </row>
    <row r="392">
      <c r="A392" s="5" t="inlineStr">
        <is>
          <t>.</t>
        </is>
      </c>
      <c r="B392" s="5" t="inlineStr">
        <is>
          <t>.</t>
        </is>
      </c>
      <c r="C392" s="1378">
        <f>IF(raw[[#This Row],[city]]="","-",IF(raw[[#This Row],[city]]="TODAY","-",C391+1))</f>
        <v/>
      </c>
      <c r="D392" s="1393" t="inlineStr">
        <is>
          <t>Penzance</t>
        </is>
      </c>
      <c r="E392" s="1394" t="n">
        <v>35203</v>
      </c>
      <c r="F392" s="1394" t="n">
        <v>35203</v>
      </c>
      <c r="G392" s="1393" t="inlineStr">
        <is>
          <t>-</t>
        </is>
      </c>
      <c r="H392" s="1393">
        <f>H391</f>
        <v/>
      </c>
      <c r="I392" s="1393" t="inlineStr">
        <is>
          <t>-</t>
        </is>
      </c>
      <c r="J392" s="1393" t="inlineStr">
        <is>
          <t>-</t>
        </is>
      </c>
      <c r="K392" s="1395">
        <f>IF(raw[[#This Row],[city]]&lt;&gt;"",_xlfn.XLOOKUP($D392,ccc[city],ccc[prov],"-"),"-")</f>
        <v/>
      </c>
      <c r="L392" s="1395">
        <f>IF(raw[[#This Row],[city]]&lt;&gt;"",_xlfn.XLOOKUP($D392,ccc[city],ccc[ctry],"-"),"-")</f>
        <v/>
      </c>
      <c r="M392" s="1395">
        <f>IF(raw[[#This Row],[city]]&lt;&gt;"",_xlfn.XLOOKUP($D392,ccc[city],ccc[cont],"-"),"-")</f>
        <v/>
      </c>
      <c r="N392" s="1396">
        <f>IF(raw[[#This Row],[city]]="","-",IF(raw[[#This Row],[cont]]="B",raw[[#This Row],[cont]],"W"))</f>
        <v/>
      </c>
      <c r="O392" s="1397">
        <f>IF(raw[[#This Row],[out]]=0,0,IF(raw[[#This Row],[out]]=raw[[#This Row],[in]],0.01,raw[[#This Row],[out]]-raw[[#This Row],[in]]))</f>
        <v/>
      </c>
      <c r="P392" s="1397">
        <f>IF(raw[[#This Row],[in]]=0,0,MONTH(raw[[#This Row],[in]]))</f>
        <v/>
      </c>
      <c r="Q392" s="1397">
        <f>IF(raw[[#This Row],[in]]=0,0,YEAR(raw[[#This Row],[in]]))</f>
        <v/>
      </c>
      <c r="R392" s="1397">
        <f>INT(raw[[#This Row],[yr]]/10)*10</f>
        <v/>
      </c>
      <c r="S392" s="1395">
        <f>IF(raw[[#This Row],[city]]="","-",IF(raw[[#This Row],[city]]&lt;&gt;_xlfn.XLOOKUP(raw[[#This Row],[home]],homes[home],homes[city],"-"),1,0))</f>
        <v/>
      </c>
      <c r="T392" s="1398" t="inlineStr">
        <is>
          <t>.</t>
        </is>
      </c>
      <c r="U392" s="1399">
        <f>IF(raw[[#This Row],[wb]]="w",raw[[#This Row],[stay]]+U391,U391)</f>
        <v/>
      </c>
      <c r="V392" s="1400">
        <f>IF(raw[[#This Row],[out]]=0,V391,(raw[[#This Row],[out]]-E$5))</f>
        <v/>
      </c>
      <c r="W392" s="1401">
        <f>U392/V392</f>
        <v/>
      </c>
      <c r="X392" s="1378" t="inlineStr">
        <is>
          <t>.</t>
        </is>
      </c>
      <c r="Y392" s="1402">
        <f/>
        <v/>
      </c>
      <c r="Z392" s="1403">
        <f/>
        <v/>
      </c>
      <c r="AA392" s="1403">
        <f/>
        <v/>
      </c>
      <c r="AB392" s="1400">
        <f t="array" ref="AB392">_xlfn.LET(_xlpm.S,_xlfn.ANCHORARRAY($Y$4),_xlpm.r,ROWS(stayCity[[#Headers],[city]]:stayCity[[#This Row],[city]])-1,IF(_xlpm.r&lt;=ROWS(_xlpm.S),INDEX(_xlpm.S,_xlpm.r,1),""))</f>
        <v/>
      </c>
      <c r="AC392" s="1405">
        <f t="array" ref="AC392">_xlfn.LET(_xlpm.S,_xlfn.ANCHORARRAY($Y$4),_xlpm.r,ROWS(stayCity[[#Headers],[city]]:stayCity[[#This Row],[city]])-1,IF(_xlpm.r&lt;=ROWS(_xlpm.S),INDEX(_xlpm.S,_xlpm.r,2),""))</f>
        <v/>
      </c>
      <c r="AD392" s="1405">
        <f t="array" ref="AD392">_xlfn.LET(_xlpm.S,_xlfn.ANCHORARRAY($Y$4),_xlpm.r,ROWS(stayCity[[#Headers],[city]]:stayCity[[#This Row],[city]])-1,IF(_xlpm.r&lt;=ROWS(_xlpm.S),INDEX(_xlpm.S,_xlpm.r,3),""))</f>
        <v/>
      </c>
      <c r="AE392" s="1400">
        <f>IF(stayCity[[#This Row],[out]]&lt;&gt;"",stayCity[[#This Row],[out]]-stayCity[[#This Row],[in]],"-")</f>
        <v/>
      </c>
      <c r="AF392" s="1406">
        <f>IF(Y392="","-",YEAR(stayCity[[#This Row],[in]]))</f>
        <v/>
      </c>
      <c r="AG392" s="1392" t="n"/>
      <c r="AH392" s="1392" t="n"/>
      <c r="AI392" s="1392" t="n"/>
      <c r="AJ392" s="1392" t="n"/>
      <c r="AK392" s="1392" t="n"/>
      <c r="AL392" s="1392" t="n"/>
      <c r="AM392" s="1392" t="n"/>
      <c r="AN392" s="1392" t="n"/>
      <c r="AO392" s="1392" t="n"/>
      <c r="AP392" s="1392" t="n"/>
      <c r="AQ392" s="1392" t="n"/>
      <c r="AR392" s="1392" t="n"/>
      <c r="AS392" s="1422" t="n"/>
      <c r="AT392" s="1392" t="n"/>
      <c r="AU392" s="1392" t="n"/>
      <c r="AV392" s="1392" t="n"/>
      <c r="AW392" s="1392" t="n"/>
      <c r="AX392" s="1392" t="n"/>
      <c r="AY392" s="1392" t="n"/>
      <c r="AZ392" s="1392" t="n"/>
      <c r="BA392" s="1392" t="n"/>
      <c r="BB392" s="1422" t="n"/>
      <c r="BC392" s="1392" t="n"/>
      <c r="BD392" s="1392" t="n"/>
      <c r="BE392" s="1392" t="n"/>
      <c r="BF392" s="1392" t="n"/>
      <c r="BG392" s="1392" t="n"/>
      <c r="BH392" s="1392" t="n"/>
      <c r="BI392" s="1392" t="n"/>
      <c r="BJ392" s="1392" t="n"/>
      <c r="BK392" s="1392" t="n"/>
      <c r="BL392" s="1392" t="n"/>
      <c r="BM392" s="1392" t="n"/>
      <c r="BN392" s="1392" t="n"/>
      <c r="BO392" s="1392" t="n"/>
      <c r="BP392" s="1398" t="inlineStr">
        <is>
          <t>.</t>
        </is>
      </c>
      <c r="BQ392" s="1400">
        <f>IF(BR392&lt;&gt;"",BQ391+1,BQ391)</f>
        <v/>
      </c>
      <c r="BR392" s="1411" t="inlineStr">
        <is>
          <t>Rome</t>
        </is>
      </c>
      <c r="BS392" s="1411" t="inlineStr">
        <is>
          <t>Porto</t>
        </is>
      </c>
      <c r="BT392" s="1411" t="inlineStr">
        <is>
          <t>Rome-Porto</t>
        </is>
      </c>
      <c r="BU392" s="1412" t="n">
        <v>46111</v>
      </c>
      <c r="BV392" s="1398" t="inlineStr">
        <is>
          <t>.</t>
        </is>
      </c>
      <c r="BW392" s="1392" t="n"/>
      <c r="BX392" s="1392" t="n"/>
      <c r="BY392" s="1392" t="n"/>
      <c r="BZ392" s="1416" t="n"/>
      <c r="CA392" s="1392" t="n"/>
      <c r="CB392" s="1392" t="n"/>
      <c r="CC392" s="1392" t="n"/>
      <c r="CD392" s="1392" t="n"/>
      <c r="CE392" s="1392" t="n"/>
      <c r="CF392" s="1392" t="n"/>
      <c r="CG392" s="1392" t="n"/>
      <c r="CH392" s="1392" t="n"/>
      <c r="CI392" s="1392" t="n"/>
      <c r="CJ392" s="1392" t="n"/>
      <c r="CK392" s="1392" t="n"/>
      <c r="CL392" s="1392" t="n"/>
    </row>
    <row r="393">
      <c r="A393" s="5" t="inlineStr">
        <is>
          <t>.</t>
        </is>
      </c>
      <c r="B393" s="5" t="inlineStr">
        <is>
          <t>.</t>
        </is>
      </c>
      <c r="C393" s="1378">
        <f>IF(raw[[#This Row],[city]]="","-",IF(raw[[#This Row],[city]]="TODAY","-",C392+1))</f>
        <v/>
      </c>
      <c r="D393" s="1393" t="inlineStr">
        <is>
          <t>Newquay</t>
        </is>
      </c>
      <c r="E393" s="1394" t="n">
        <v>35203</v>
      </c>
      <c r="F393" s="1394" t="n">
        <v>35205</v>
      </c>
      <c r="G393" s="1393" t="inlineStr">
        <is>
          <t>-</t>
        </is>
      </c>
      <c r="H393" s="1393">
        <f>H392</f>
        <v/>
      </c>
      <c r="I393" s="1393" t="inlineStr">
        <is>
          <t>-</t>
        </is>
      </c>
      <c r="J393" s="1393" t="inlineStr">
        <is>
          <t>-</t>
        </is>
      </c>
      <c r="K393" s="1395">
        <f>IF(raw[[#This Row],[city]]&lt;&gt;"",_xlfn.XLOOKUP($D393,ccc[city],ccc[prov],"-"),"-")</f>
        <v/>
      </c>
      <c r="L393" s="1395">
        <f>IF(raw[[#This Row],[city]]&lt;&gt;"",_xlfn.XLOOKUP($D393,ccc[city],ccc[ctry],"-"),"-")</f>
        <v/>
      </c>
      <c r="M393" s="1395">
        <f>IF(raw[[#This Row],[city]]&lt;&gt;"",_xlfn.XLOOKUP($D393,ccc[city],ccc[cont],"-"),"-")</f>
        <v/>
      </c>
      <c r="N393" s="1396">
        <f>IF(raw[[#This Row],[city]]="","-",IF(raw[[#This Row],[cont]]="B",raw[[#This Row],[cont]],"W"))</f>
        <v/>
      </c>
      <c r="O393" s="1397">
        <f>IF(raw[[#This Row],[out]]=0,0,IF(raw[[#This Row],[out]]=raw[[#This Row],[in]],0.01,raw[[#This Row],[out]]-raw[[#This Row],[in]]))</f>
        <v/>
      </c>
      <c r="P393" s="1397">
        <f>IF(raw[[#This Row],[in]]=0,0,MONTH(raw[[#This Row],[in]]))</f>
        <v/>
      </c>
      <c r="Q393" s="1397">
        <f>IF(raw[[#This Row],[in]]=0,0,YEAR(raw[[#This Row],[in]]))</f>
        <v/>
      </c>
      <c r="R393" s="1397">
        <f>INT(raw[[#This Row],[yr]]/10)*10</f>
        <v/>
      </c>
      <c r="S393" s="1395">
        <f>IF(raw[[#This Row],[city]]="","-",IF(raw[[#This Row],[city]]&lt;&gt;_xlfn.XLOOKUP(raw[[#This Row],[home]],homes[home],homes[city],"-"),1,0))</f>
        <v/>
      </c>
      <c r="T393" s="1398" t="inlineStr">
        <is>
          <t>.</t>
        </is>
      </c>
      <c r="U393" s="1399">
        <f>IF(raw[[#This Row],[wb]]="w",raw[[#This Row],[stay]]+U392,U392)</f>
        <v/>
      </c>
      <c r="V393" s="1400">
        <f>IF(raw[[#This Row],[out]]=0,V392,(raw[[#This Row],[out]]-E$5))</f>
        <v/>
      </c>
      <c r="W393" s="1401">
        <f>U393/V393</f>
        <v/>
      </c>
      <c r="X393" s="1378" t="inlineStr">
        <is>
          <t>.</t>
        </is>
      </c>
      <c r="Y393" s="1402">
        <f/>
        <v/>
      </c>
      <c r="Z393" s="1403">
        <f/>
        <v/>
      </c>
      <c r="AA393" s="1403">
        <f/>
        <v/>
      </c>
      <c r="AB393" s="1400">
        <f t="array" ref="AB393">_xlfn.LET(_xlpm.S,_xlfn.ANCHORARRAY($Y$4),_xlpm.r,ROWS(stayCity[[#Headers],[city]]:stayCity[[#This Row],[city]])-1,IF(_xlpm.r&lt;=ROWS(_xlpm.S),INDEX(_xlpm.S,_xlpm.r,1),""))</f>
        <v/>
      </c>
      <c r="AC393" s="1405">
        <f t="array" ref="AC393">_xlfn.LET(_xlpm.S,_xlfn.ANCHORARRAY($Y$4),_xlpm.r,ROWS(stayCity[[#Headers],[city]]:stayCity[[#This Row],[city]])-1,IF(_xlpm.r&lt;=ROWS(_xlpm.S),INDEX(_xlpm.S,_xlpm.r,2),""))</f>
        <v/>
      </c>
      <c r="AD393" s="1405">
        <f t="array" ref="AD393">_xlfn.LET(_xlpm.S,_xlfn.ANCHORARRAY($Y$4),_xlpm.r,ROWS(stayCity[[#Headers],[city]]:stayCity[[#This Row],[city]])-1,IF(_xlpm.r&lt;=ROWS(_xlpm.S),INDEX(_xlpm.S,_xlpm.r,3),""))</f>
        <v/>
      </c>
      <c r="AE393" s="1400">
        <f>IF(stayCity[[#This Row],[out]]&lt;&gt;"",stayCity[[#This Row],[out]]-stayCity[[#This Row],[in]],"-")</f>
        <v/>
      </c>
      <c r="AF393" s="1406">
        <f>IF(Y393="","-",YEAR(stayCity[[#This Row],[in]]))</f>
        <v/>
      </c>
      <c r="AG393" s="1392" t="n"/>
      <c r="AH393" s="1392" t="n"/>
      <c r="AI393" s="1392" t="n"/>
      <c r="AJ393" s="1392" t="n"/>
      <c r="AK393" s="1392" t="n"/>
      <c r="AL393" s="1392" t="n"/>
      <c r="AM393" s="1392" t="n"/>
      <c r="AN393" s="1392" t="n"/>
      <c r="AO393" s="1392" t="n"/>
      <c r="AP393" s="1392" t="n"/>
      <c r="AQ393" s="1392" t="n"/>
      <c r="AR393" s="1392" t="n"/>
      <c r="AS393" s="1422" t="n"/>
      <c r="AT393" s="1392" t="n"/>
      <c r="AU393" s="1392" t="n"/>
      <c r="AV393" s="1392" t="n"/>
      <c r="AW393" s="1392" t="n"/>
      <c r="AX393" s="1392" t="n"/>
      <c r="AY393" s="1392" t="n"/>
      <c r="AZ393" s="1392" t="n"/>
      <c r="BA393" s="1392" t="n"/>
      <c r="BB393" s="1422" t="n"/>
      <c r="BC393" s="1392" t="n"/>
      <c r="BD393" s="1392" t="n"/>
      <c r="BE393" s="1392" t="n"/>
      <c r="BF393" s="1392" t="n"/>
      <c r="BG393" s="1392" t="n"/>
      <c r="BH393" s="1392" t="n"/>
      <c r="BI393" s="1392" t="n"/>
      <c r="BJ393" s="1392" t="n"/>
      <c r="BK393" s="1392" t="n"/>
      <c r="BL393" s="1392" t="n"/>
      <c r="BM393" s="1392" t="n"/>
      <c r="BN393" s="1392" t="n"/>
      <c r="BO393" s="1392" t="n"/>
      <c r="BP393" s="1398" t="inlineStr">
        <is>
          <t>.</t>
        </is>
      </c>
      <c r="BQ393" s="1400">
        <f>IF(BR393&lt;&gt;"",BQ392+1,BQ392)</f>
        <v/>
      </c>
      <c r="BR393" s="1411" t="inlineStr">
        <is>
          <t>Porto</t>
        </is>
      </c>
      <c r="BS393" s="1411" t="inlineStr">
        <is>
          <t>Paris</t>
        </is>
      </c>
      <c r="BT393" s="1411" t="inlineStr">
        <is>
          <t>Porto-Paris</t>
        </is>
      </c>
      <c r="BU393" s="1412" t="n">
        <v>46152</v>
      </c>
      <c r="BV393" s="1398" t="inlineStr">
        <is>
          <t>.</t>
        </is>
      </c>
      <c r="BW393" s="1392" t="n"/>
      <c r="BX393" s="1392" t="n"/>
      <c r="BY393" s="1392" t="n"/>
      <c r="BZ393" s="1416" t="n"/>
      <c r="CA393" s="1392" t="n"/>
      <c r="CB393" s="1392" t="n"/>
      <c r="CC393" s="1392" t="n"/>
      <c r="CD393" s="1392" t="n"/>
      <c r="CE393" s="1392" t="n"/>
      <c r="CF393" s="1392" t="n"/>
      <c r="CG393" s="1392" t="n"/>
      <c r="CH393" s="1392" t="n"/>
      <c r="CI393" s="1392" t="n"/>
      <c r="CJ393" s="1392" t="n"/>
      <c r="CK393" s="1392" t="n"/>
      <c r="CL393" s="1392" t="n"/>
    </row>
    <row r="394">
      <c r="A394" s="5" t="inlineStr">
        <is>
          <t>.</t>
        </is>
      </c>
      <c r="B394" s="5" t="inlineStr">
        <is>
          <t>.</t>
        </is>
      </c>
      <c r="C394" s="1378">
        <f>IF(raw[[#This Row],[city]]="","-",IF(raw[[#This Row],[city]]="TODAY","-",C393+1))</f>
        <v/>
      </c>
      <c r="D394" s="1393" t="inlineStr">
        <is>
          <t>Bath</t>
        </is>
      </c>
      <c r="E394" s="1394" t="n">
        <v>35205</v>
      </c>
      <c r="F394" s="1394" t="n">
        <v>35205</v>
      </c>
      <c r="G394" s="1393" t="inlineStr">
        <is>
          <t>-</t>
        </is>
      </c>
      <c r="H394" s="1393">
        <f>H393</f>
        <v/>
      </c>
      <c r="I394" s="1393" t="inlineStr">
        <is>
          <t>-</t>
        </is>
      </c>
      <c r="J394" s="1393" t="inlineStr">
        <is>
          <t>-</t>
        </is>
      </c>
      <c r="K394" s="1395">
        <f>IF(raw[[#This Row],[city]]&lt;&gt;"",_xlfn.XLOOKUP($D394,ccc[city],ccc[prov],"-"),"-")</f>
        <v/>
      </c>
      <c r="L394" s="1395">
        <f>IF(raw[[#This Row],[city]]&lt;&gt;"",_xlfn.XLOOKUP($D394,ccc[city],ccc[ctry],"-"),"-")</f>
        <v/>
      </c>
      <c r="M394" s="1395">
        <f>IF(raw[[#This Row],[city]]&lt;&gt;"",_xlfn.XLOOKUP($D394,ccc[city],ccc[cont],"-"),"-")</f>
        <v/>
      </c>
      <c r="N394" s="1396">
        <f>IF(raw[[#This Row],[city]]="","-",IF(raw[[#This Row],[cont]]="B",raw[[#This Row],[cont]],"W"))</f>
        <v/>
      </c>
      <c r="O394" s="1397">
        <f>IF(raw[[#This Row],[out]]=0,0,IF(raw[[#This Row],[out]]=raw[[#This Row],[in]],0.01,raw[[#This Row],[out]]-raw[[#This Row],[in]]))</f>
        <v/>
      </c>
      <c r="P394" s="1397">
        <f>IF(raw[[#This Row],[in]]=0,0,MONTH(raw[[#This Row],[in]]))</f>
        <v/>
      </c>
      <c r="Q394" s="1397">
        <f>IF(raw[[#This Row],[in]]=0,0,YEAR(raw[[#This Row],[in]]))</f>
        <v/>
      </c>
      <c r="R394" s="1397">
        <f>INT(raw[[#This Row],[yr]]/10)*10</f>
        <v/>
      </c>
      <c r="S394" s="1395">
        <f>IF(raw[[#This Row],[city]]="","-",IF(raw[[#This Row],[city]]&lt;&gt;_xlfn.XLOOKUP(raw[[#This Row],[home]],homes[home],homes[city],"-"),1,0))</f>
        <v/>
      </c>
      <c r="T394" s="1398" t="inlineStr">
        <is>
          <t>.</t>
        </is>
      </c>
      <c r="U394" s="1399">
        <f>IF(raw[[#This Row],[wb]]="w",raw[[#This Row],[stay]]+U393,U393)</f>
        <v/>
      </c>
      <c r="V394" s="1400">
        <f>IF(raw[[#This Row],[out]]=0,V393,(raw[[#This Row],[out]]-E$5))</f>
        <v/>
      </c>
      <c r="W394" s="1401">
        <f>U394/V394</f>
        <v/>
      </c>
      <c r="X394" s="1378" t="inlineStr">
        <is>
          <t>.</t>
        </is>
      </c>
      <c r="Y394" s="1402">
        <f/>
        <v/>
      </c>
      <c r="Z394" s="1403">
        <f/>
        <v/>
      </c>
      <c r="AA394" s="1403">
        <f/>
        <v/>
      </c>
      <c r="AB394" s="1400">
        <f t="array" ref="AB394">_xlfn.LET(_xlpm.S,_xlfn.ANCHORARRAY($Y$4),_xlpm.r,ROWS(stayCity[[#Headers],[city]]:stayCity[[#This Row],[city]])-1,IF(_xlpm.r&lt;=ROWS(_xlpm.S),INDEX(_xlpm.S,_xlpm.r,1),""))</f>
        <v/>
      </c>
      <c r="AC394" s="1405">
        <f t="array" ref="AC394">_xlfn.LET(_xlpm.S,_xlfn.ANCHORARRAY($Y$4),_xlpm.r,ROWS(stayCity[[#Headers],[city]]:stayCity[[#This Row],[city]])-1,IF(_xlpm.r&lt;=ROWS(_xlpm.S),INDEX(_xlpm.S,_xlpm.r,2),""))</f>
        <v/>
      </c>
      <c r="AD394" s="1405">
        <f t="array" ref="AD394">_xlfn.LET(_xlpm.S,_xlfn.ANCHORARRAY($Y$4),_xlpm.r,ROWS(stayCity[[#Headers],[city]]:stayCity[[#This Row],[city]])-1,IF(_xlpm.r&lt;=ROWS(_xlpm.S),INDEX(_xlpm.S,_xlpm.r,3),""))</f>
        <v/>
      </c>
      <c r="AE394" s="1400">
        <f>IF(stayCity[[#This Row],[out]]&lt;&gt;"",stayCity[[#This Row],[out]]-stayCity[[#This Row],[in]],"-")</f>
        <v/>
      </c>
      <c r="AF394" s="1406">
        <f>IF(Y394="","-",YEAR(stayCity[[#This Row],[in]]))</f>
        <v/>
      </c>
      <c r="AG394" s="1392" t="n"/>
      <c r="AH394" s="1392" t="n"/>
      <c r="AI394" s="1392" t="n"/>
      <c r="AJ394" s="1392" t="n"/>
      <c r="AK394" s="1392" t="n"/>
      <c r="AL394" s="1392" t="n"/>
      <c r="AM394" s="1392" t="n"/>
      <c r="AN394" s="1392" t="n"/>
      <c r="AO394" s="1392" t="n"/>
      <c r="AP394" s="1392" t="n"/>
      <c r="AQ394" s="1392" t="n"/>
      <c r="AR394" s="1392" t="n"/>
      <c r="AS394" s="1422" t="n"/>
      <c r="AT394" s="1392" t="n"/>
      <c r="AU394" s="1392" t="n"/>
      <c r="AV394" s="1392" t="n"/>
      <c r="AW394" s="1392" t="n"/>
      <c r="AX394" s="1392" t="n"/>
      <c r="AY394" s="1392" t="n"/>
      <c r="AZ394" s="1392" t="n"/>
      <c r="BA394" s="1392" t="n"/>
      <c r="BB394" s="1422" t="n"/>
      <c r="BC394" s="1392" t="n"/>
      <c r="BD394" s="1392" t="n"/>
      <c r="BE394" s="1392" t="n"/>
      <c r="BF394" s="1392" t="n"/>
      <c r="BG394" s="1392" t="n"/>
      <c r="BH394" s="1392" t="n"/>
      <c r="BI394" s="1392" t="n"/>
      <c r="BJ394" s="1392" t="n"/>
      <c r="BK394" s="1392" t="n"/>
      <c r="BL394" s="1392" t="n"/>
      <c r="BM394" s="1392" t="n"/>
      <c r="BN394" s="1392" t="n"/>
      <c r="BO394" s="1392" t="n"/>
      <c r="BP394" s="1398" t="inlineStr">
        <is>
          <t>.</t>
        </is>
      </c>
      <c r="BQ394" s="1400">
        <f>IF(BR394&lt;&gt;"",BQ393+1,BQ393)</f>
        <v/>
      </c>
      <c r="BR394" s="1411" t="inlineStr">
        <is>
          <t>Paris</t>
        </is>
      </c>
      <c r="BS394" s="1411" t="inlineStr">
        <is>
          <t>SSA</t>
        </is>
      </c>
      <c r="BT394" s="1411" t="inlineStr">
        <is>
          <t>Paris-SSA</t>
        </is>
      </c>
      <c r="BU394" s="1412" t="n">
        <v>46153</v>
      </c>
      <c r="BV394" s="1398" t="inlineStr">
        <is>
          <t>.</t>
        </is>
      </c>
      <c r="BW394" s="1392" t="n"/>
      <c r="BX394" s="1392" t="n"/>
      <c r="BY394" s="1392" t="n"/>
      <c r="BZ394" s="1416" t="n"/>
      <c r="CA394" s="1392" t="n"/>
      <c r="CB394" s="1392" t="n"/>
      <c r="CC394" s="1392" t="n"/>
      <c r="CD394" s="1392" t="n"/>
      <c r="CE394" s="1392" t="n"/>
      <c r="CF394" s="1392" t="n"/>
      <c r="CG394" s="1392" t="n"/>
      <c r="CH394" s="1392" t="n"/>
      <c r="CI394" s="1392" t="n"/>
      <c r="CJ394" s="1392" t="n"/>
      <c r="CK394" s="1392" t="n"/>
      <c r="CL394" s="1392" t="n"/>
    </row>
    <row r="395">
      <c r="A395" s="5" t="inlineStr">
        <is>
          <t>.</t>
        </is>
      </c>
      <c r="B395" s="5" t="inlineStr">
        <is>
          <t>.</t>
        </is>
      </c>
      <c r="C395" s="1378">
        <f>IF(raw[[#This Row],[city]]="","-",IF(raw[[#This Row],[city]]="TODAY","-",C394+1))</f>
        <v/>
      </c>
      <c r="D395" s="1393" t="inlineStr">
        <is>
          <t>London</t>
        </is>
      </c>
      <c r="E395" s="1394" t="n">
        <v>35205</v>
      </c>
      <c r="F395" s="1394" t="n">
        <v>35217</v>
      </c>
      <c r="G395" s="1393" t="inlineStr">
        <is>
          <t>-</t>
        </is>
      </c>
      <c r="H395" s="1393">
        <f>H394</f>
        <v/>
      </c>
      <c r="I395" s="1393" t="inlineStr">
        <is>
          <t>-</t>
        </is>
      </c>
      <c r="J395" s="1393" t="inlineStr">
        <is>
          <t>-</t>
        </is>
      </c>
      <c r="K395" s="1395">
        <f>IF(raw[[#This Row],[city]]&lt;&gt;"",_xlfn.XLOOKUP($D395,ccc[city],ccc[prov],"-"),"-")</f>
        <v/>
      </c>
      <c r="L395" s="1395">
        <f>IF(raw[[#This Row],[city]]&lt;&gt;"",_xlfn.XLOOKUP($D395,ccc[city],ccc[ctry],"-"),"-")</f>
        <v/>
      </c>
      <c r="M395" s="1395">
        <f>IF(raw[[#This Row],[city]]&lt;&gt;"",_xlfn.XLOOKUP($D395,ccc[city],ccc[cont],"-"),"-")</f>
        <v/>
      </c>
      <c r="N395" s="1396">
        <f>IF(raw[[#This Row],[city]]="","-",IF(raw[[#This Row],[cont]]="B",raw[[#This Row],[cont]],"W"))</f>
        <v/>
      </c>
      <c r="O395" s="1397">
        <f>IF(raw[[#This Row],[out]]=0,0,IF(raw[[#This Row],[out]]=raw[[#This Row],[in]],0.01,raw[[#This Row],[out]]-raw[[#This Row],[in]]))</f>
        <v/>
      </c>
      <c r="P395" s="1397">
        <f>IF(raw[[#This Row],[in]]=0,0,MONTH(raw[[#This Row],[in]]))</f>
        <v/>
      </c>
      <c r="Q395" s="1397">
        <f>IF(raw[[#This Row],[in]]=0,0,YEAR(raw[[#This Row],[in]]))</f>
        <v/>
      </c>
      <c r="R395" s="1397">
        <f>INT(raw[[#This Row],[yr]]/10)*10</f>
        <v/>
      </c>
      <c r="S395" s="1395">
        <f>IF(raw[[#This Row],[city]]="","-",IF(raw[[#This Row],[city]]&lt;&gt;_xlfn.XLOOKUP(raw[[#This Row],[home]],homes[home],homes[city],"-"),1,0))</f>
        <v/>
      </c>
      <c r="T395" s="1398" t="inlineStr">
        <is>
          <t>.</t>
        </is>
      </c>
      <c r="U395" s="1399">
        <f>IF(raw[[#This Row],[wb]]="w",raw[[#This Row],[stay]]+U394,U394)</f>
        <v/>
      </c>
      <c r="V395" s="1400">
        <f>IF(raw[[#This Row],[out]]=0,V394,(raw[[#This Row],[out]]-E$5))</f>
        <v/>
      </c>
      <c r="W395" s="1401">
        <f>U395/V395</f>
        <v/>
      </c>
      <c r="X395" s="1378" t="inlineStr">
        <is>
          <t>.</t>
        </is>
      </c>
      <c r="Y395" s="1402">
        <f/>
        <v/>
      </c>
      <c r="Z395" s="1403">
        <f/>
        <v/>
      </c>
      <c r="AA395" s="1403">
        <f/>
        <v/>
      </c>
      <c r="AB395" s="1400">
        <f t="array" ref="AB395">_xlfn.LET(_xlpm.S,_xlfn.ANCHORARRAY($Y$4),_xlpm.r,ROWS(stayCity[[#Headers],[city]]:stayCity[[#This Row],[city]])-1,IF(_xlpm.r&lt;=ROWS(_xlpm.S),INDEX(_xlpm.S,_xlpm.r,1),""))</f>
        <v/>
      </c>
      <c r="AC395" s="1405">
        <f t="array" ref="AC395">_xlfn.LET(_xlpm.S,_xlfn.ANCHORARRAY($Y$4),_xlpm.r,ROWS(stayCity[[#Headers],[city]]:stayCity[[#This Row],[city]])-1,IF(_xlpm.r&lt;=ROWS(_xlpm.S),INDEX(_xlpm.S,_xlpm.r,2),""))</f>
        <v/>
      </c>
      <c r="AD395" s="1405">
        <f t="array" ref="AD395">_xlfn.LET(_xlpm.S,_xlfn.ANCHORARRAY($Y$4),_xlpm.r,ROWS(stayCity[[#Headers],[city]]:stayCity[[#This Row],[city]])-1,IF(_xlpm.r&lt;=ROWS(_xlpm.S),INDEX(_xlpm.S,_xlpm.r,3),""))</f>
        <v/>
      </c>
      <c r="AE395" s="1400">
        <f>IF(stayCity[[#This Row],[out]]&lt;&gt;"",stayCity[[#This Row],[out]]-stayCity[[#This Row],[in]],"-")</f>
        <v/>
      </c>
      <c r="AF395" s="1406">
        <f>IF(Y395="","-",YEAR(stayCity[[#This Row],[in]]))</f>
        <v/>
      </c>
      <c r="AG395" s="1392" t="n"/>
      <c r="AH395" s="1392" t="n"/>
      <c r="AI395" s="1392" t="n"/>
      <c r="AJ395" s="1392" t="n"/>
      <c r="AK395" s="1392" t="n"/>
      <c r="AL395" s="1392" t="n"/>
      <c r="AM395" s="1392" t="n"/>
      <c r="AN395" s="1392" t="n"/>
      <c r="AO395" s="1392" t="n"/>
      <c r="AP395" s="1392" t="n"/>
      <c r="AQ395" s="1392" t="n"/>
      <c r="AR395" s="1392" t="n"/>
      <c r="AS395" s="1422" t="n"/>
      <c r="AT395" s="1392" t="n"/>
      <c r="AU395" s="1392" t="n"/>
      <c r="AV395" s="1392" t="n"/>
      <c r="AW395" s="1392" t="n"/>
      <c r="AX395" s="1392" t="n"/>
      <c r="AY395" s="1392" t="n"/>
      <c r="AZ395" s="1392" t="n"/>
      <c r="BA395" s="1392" t="n"/>
      <c r="BB395" s="1422" t="n"/>
      <c r="BC395" s="1392" t="n"/>
      <c r="BD395" s="1392" t="n"/>
      <c r="BE395" s="1392" t="n"/>
      <c r="BF395" s="1392" t="n"/>
      <c r="BG395" s="1392" t="n"/>
      <c r="BH395" s="1392" t="n"/>
      <c r="BI395" s="1392" t="n"/>
      <c r="BJ395" s="1392" t="n"/>
      <c r="BK395" s="1392" t="n"/>
      <c r="BL395" s="1392" t="n"/>
      <c r="BM395" s="1392" t="n"/>
      <c r="BN395" s="1392" t="n"/>
      <c r="BO395" s="1392" t="n"/>
      <c r="BP395" s="1398" t="inlineStr">
        <is>
          <t>.</t>
        </is>
      </c>
      <c r="BQ395" s="1400">
        <f>IF(BR395&lt;&gt;"",BQ394+1,BQ394)</f>
        <v/>
      </c>
      <c r="BR395" s="1411" t="inlineStr">
        <is>
          <t>SSA</t>
        </is>
      </c>
      <c r="BS395" s="1411" t="inlineStr">
        <is>
          <t>Paris</t>
        </is>
      </c>
      <c r="BT395" s="1411" t="inlineStr">
        <is>
          <t>SSA-Paris</t>
        </is>
      </c>
      <c r="BU395" s="1412" t="n">
        <v>46160</v>
      </c>
      <c r="BV395" s="1398" t="inlineStr">
        <is>
          <t>.</t>
        </is>
      </c>
      <c r="BW395" s="1392" t="n"/>
      <c r="BX395" s="1392" t="n"/>
      <c r="BY395" s="1392" t="n"/>
      <c r="BZ395" s="1416" t="n"/>
      <c r="CA395" s="1392" t="n"/>
      <c r="CB395" s="1392" t="n"/>
      <c r="CC395" s="1392" t="n"/>
      <c r="CD395" s="1392" t="n"/>
      <c r="CE395" s="1392" t="n"/>
      <c r="CF395" s="1392" t="n"/>
      <c r="CG395" s="1392" t="n"/>
      <c r="CH395" s="1392" t="n"/>
      <c r="CI395" s="1392" t="n"/>
      <c r="CJ395" s="1392" t="n"/>
      <c r="CK395" s="1392" t="n"/>
      <c r="CL395" s="1392" t="n"/>
    </row>
    <row r="396">
      <c r="A396" s="5" t="inlineStr">
        <is>
          <t>.</t>
        </is>
      </c>
      <c r="B396" s="5" t="inlineStr">
        <is>
          <t>.</t>
        </is>
      </c>
      <c r="C396" s="1378">
        <f>IF(raw[[#This Row],[city]]="","-",IF(raw[[#This Row],[city]]="TODAY","-",C395+1))</f>
        <v/>
      </c>
      <c r="D396" s="1393" t="inlineStr">
        <is>
          <t>London</t>
        </is>
      </c>
      <c r="E396" s="1394" t="n">
        <v>35217</v>
      </c>
      <c r="F396" s="1394" t="n">
        <v>35236</v>
      </c>
      <c r="G396" s="1393" t="n">
        <v>1</v>
      </c>
      <c r="H396" s="1393">
        <f>H395</f>
        <v/>
      </c>
      <c r="I396" s="1393" t="inlineStr">
        <is>
          <t>-</t>
        </is>
      </c>
      <c r="J396" s="1393" t="inlineStr">
        <is>
          <t>-</t>
        </is>
      </c>
      <c r="K396" s="1395">
        <f>IF(raw[[#This Row],[city]]&lt;&gt;"",_xlfn.XLOOKUP($D396,ccc[city],ccc[prov],"-"),"-")</f>
        <v/>
      </c>
      <c r="L396" s="1395">
        <f>IF(raw[[#This Row],[city]]&lt;&gt;"",_xlfn.XLOOKUP($D396,ccc[city],ccc[ctry],"-"),"-")</f>
        <v/>
      </c>
      <c r="M396" s="1395">
        <f>IF(raw[[#This Row],[city]]&lt;&gt;"",_xlfn.XLOOKUP($D396,ccc[city],ccc[cont],"-"),"-")</f>
        <v/>
      </c>
      <c r="N396" s="1396">
        <f>IF(raw[[#This Row],[city]]="","-",IF(raw[[#This Row],[cont]]="B",raw[[#This Row],[cont]],"W"))</f>
        <v/>
      </c>
      <c r="O396" s="1397">
        <f>IF(raw[[#This Row],[out]]=0,0,IF(raw[[#This Row],[out]]=raw[[#This Row],[in]],0.01,raw[[#This Row],[out]]-raw[[#This Row],[in]]))</f>
        <v/>
      </c>
      <c r="P396" s="1397">
        <f>IF(raw[[#This Row],[in]]=0,0,MONTH(raw[[#This Row],[in]]))</f>
        <v/>
      </c>
      <c r="Q396" s="1397">
        <f>IF(raw[[#This Row],[in]]=0,0,YEAR(raw[[#This Row],[in]]))</f>
        <v/>
      </c>
      <c r="R396" s="1397">
        <f>INT(raw[[#This Row],[yr]]/10)*10</f>
        <v/>
      </c>
      <c r="S396" s="1395">
        <f>IF(raw[[#This Row],[city]]="","-",IF(raw[[#This Row],[city]]&lt;&gt;_xlfn.XLOOKUP(raw[[#This Row],[home]],homes[home],homes[city],"-"),1,0))</f>
        <v/>
      </c>
      <c r="T396" s="1398" t="inlineStr">
        <is>
          <t>.</t>
        </is>
      </c>
      <c r="U396" s="1399">
        <f>IF(raw[[#This Row],[wb]]="w",raw[[#This Row],[stay]]+U395,U395)</f>
        <v/>
      </c>
      <c r="V396" s="1400">
        <f>IF(raw[[#This Row],[out]]=0,V395,(raw[[#This Row],[out]]-E$5))</f>
        <v/>
      </c>
      <c r="W396" s="1401">
        <f>U396/V396</f>
        <v/>
      </c>
      <c r="X396" s="1378" t="inlineStr">
        <is>
          <t>.</t>
        </is>
      </c>
      <c r="Y396" s="1402">
        <f/>
        <v/>
      </c>
      <c r="Z396" s="1403">
        <f/>
        <v/>
      </c>
      <c r="AA396" s="1403">
        <f/>
        <v/>
      </c>
      <c r="AB396" s="1400">
        <f t="array" ref="AB396">_xlfn.LET(_xlpm.S,_xlfn.ANCHORARRAY($Y$4),_xlpm.r,ROWS(stayCity[[#Headers],[city]]:stayCity[[#This Row],[city]])-1,IF(_xlpm.r&lt;=ROWS(_xlpm.S),INDEX(_xlpm.S,_xlpm.r,1),""))</f>
        <v/>
      </c>
      <c r="AC396" s="1405">
        <f t="array" ref="AC396">_xlfn.LET(_xlpm.S,_xlfn.ANCHORARRAY($Y$4),_xlpm.r,ROWS(stayCity[[#Headers],[city]]:stayCity[[#This Row],[city]])-1,IF(_xlpm.r&lt;=ROWS(_xlpm.S),INDEX(_xlpm.S,_xlpm.r,2),""))</f>
        <v/>
      </c>
      <c r="AD396" s="1405">
        <f t="array" ref="AD396">_xlfn.LET(_xlpm.S,_xlfn.ANCHORARRAY($Y$4),_xlpm.r,ROWS(stayCity[[#Headers],[city]]:stayCity[[#This Row],[city]])-1,IF(_xlpm.r&lt;=ROWS(_xlpm.S),INDEX(_xlpm.S,_xlpm.r,3),""))</f>
        <v/>
      </c>
      <c r="AE396" s="1400">
        <f>IF(stayCity[[#This Row],[out]]&lt;&gt;"",stayCity[[#This Row],[out]]-stayCity[[#This Row],[in]],"-")</f>
        <v/>
      </c>
      <c r="AF396" s="1406">
        <f>IF(Y396="","-",YEAR(stayCity[[#This Row],[in]]))</f>
        <v/>
      </c>
      <c r="AG396" s="1392" t="n"/>
      <c r="AH396" s="1392" t="n"/>
      <c r="AI396" s="1392" t="n"/>
      <c r="AJ396" s="1392" t="n"/>
      <c r="AK396" s="1392" t="n"/>
      <c r="AL396" s="1392" t="n"/>
      <c r="AM396" s="1392" t="n"/>
      <c r="AN396" s="1392" t="n"/>
      <c r="AO396" s="1392" t="n"/>
      <c r="AP396" s="1392" t="n"/>
      <c r="AQ396" s="1392" t="n"/>
      <c r="AR396" s="1392" t="n"/>
      <c r="AS396" s="1422" t="n"/>
      <c r="AT396" s="1392" t="n"/>
      <c r="AU396" s="1392" t="n"/>
      <c r="AV396" s="1392" t="n"/>
      <c r="AW396" s="1392" t="n"/>
      <c r="AX396" s="1392" t="n"/>
      <c r="AY396" s="1392" t="n"/>
      <c r="AZ396" s="1392" t="n"/>
      <c r="BA396" s="1392" t="n"/>
      <c r="BB396" s="1422" t="n"/>
      <c r="BC396" s="1392" t="n"/>
      <c r="BD396" s="1392" t="n"/>
      <c r="BE396" s="1392" t="n"/>
      <c r="BF396" s="1392" t="n"/>
      <c r="BG396" s="1392" t="n"/>
      <c r="BH396" s="1392" t="n"/>
      <c r="BI396" s="1392" t="n"/>
      <c r="BJ396" s="1392" t="n"/>
      <c r="BK396" s="1392" t="n"/>
      <c r="BL396" s="1392" t="n"/>
      <c r="BM396" s="1392" t="n"/>
      <c r="BN396" s="1392" t="n"/>
      <c r="BO396" s="1392" t="n"/>
      <c r="BP396" s="1398" t="inlineStr">
        <is>
          <t>.</t>
        </is>
      </c>
      <c r="BQ396" s="1400">
        <f>IF(BR396&lt;&gt;"",BQ395+1,BQ395)</f>
        <v/>
      </c>
      <c r="BR396" s="1411" t="inlineStr">
        <is>
          <t>Paris</t>
        </is>
      </c>
      <c r="BS396" s="1411" t="inlineStr">
        <is>
          <t>Porto</t>
        </is>
      </c>
      <c r="BT396" s="1411" t="inlineStr">
        <is>
          <t>Paris-Porto</t>
        </is>
      </c>
      <c r="BU396" s="1412" t="n">
        <v>46161</v>
      </c>
      <c r="BV396" s="1398" t="inlineStr">
        <is>
          <t>.</t>
        </is>
      </c>
      <c r="BW396" s="1392" t="n"/>
      <c r="BX396" s="1392" t="n"/>
      <c r="BY396" s="1392" t="n"/>
      <c r="BZ396" s="1416" t="n"/>
      <c r="CA396" s="1392" t="n"/>
      <c r="CB396" s="1392" t="n"/>
      <c r="CC396" s="1392" t="n"/>
      <c r="CD396" s="1392" t="n"/>
      <c r="CE396" s="1392" t="n"/>
      <c r="CF396" s="1392" t="n"/>
      <c r="CG396" s="1392" t="n"/>
      <c r="CH396" s="1392" t="n"/>
      <c r="CI396" s="1392" t="n"/>
      <c r="CJ396" s="1392" t="n"/>
      <c r="CK396" s="1392" t="n"/>
      <c r="CL396" s="1392" t="n"/>
    </row>
    <row r="397">
      <c r="A397" s="5" t="inlineStr">
        <is>
          <t>.</t>
        </is>
      </c>
      <c r="B397" s="5" t="inlineStr">
        <is>
          <t>.</t>
        </is>
      </c>
      <c r="C397" s="1378">
        <f>IF(raw[[#This Row],[city]]="","-",IF(raw[[#This Row],[city]]="TODAY","-",C396+1))</f>
        <v/>
      </c>
      <c r="D397" s="1393" t="inlineStr">
        <is>
          <t>Stockholm</t>
        </is>
      </c>
      <c r="E397" s="1394" t="n">
        <v>35236</v>
      </c>
      <c r="F397" s="1394" t="n">
        <v>35236</v>
      </c>
      <c r="G397" s="1393" t="inlineStr">
        <is>
          <t>-</t>
        </is>
      </c>
      <c r="H397" s="1393">
        <f>H396</f>
        <v/>
      </c>
      <c r="I397" s="1393" t="inlineStr">
        <is>
          <t>-</t>
        </is>
      </c>
      <c r="J397" s="1393" t="inlineStr">
        <is>
          <t>-</t>
        </is>
      </c>
      <c r="K397" s="1395">
        <f>IF(raw[[#This Row],[city]]&lt;&gt;"",_xlfn.XLOOKUP($D397,ccc[city],ccc[prov],"-"),"-")</f>
        <v/>
      </c>
      <c r="L397" s="1395">
        <f>IF(raw[[#This Row],[city]]&lt;&gt;"",_xlfn.XLOOKUP($D397,ccc[city],ccc[ctry],"-"),"-")</f>
        <v/>
      </c>
      <c r="M397" s="1395">
        <f>IF(raw[[#This Row],[city]]&lt;&gt;"",_xlfn.XLOOKUP($D397,ccc[city],ccc[cont],"-"),"-")</f>
        <v/>
      </c>
      <c r="N397" s="1396">
        <f>IF(raw[[#This Row],[city]]="","-",IF(raw[[#This Row],[cont]]="B",raw[[#This Row],[cont]],"W"))</f>
        <v/>
      </c>
      <c r="O397" s="1397">
        <f>IF(raw[[#This Row],[out]]=0,0,IF(raw[[#This Row],[out]]=raw[[#This Row],[in]],0.01,raw[[#This Row],[out]]-raw[[#This Row],[in]]))</f>
        <v/>
      </c>
      <c r="P397" s="1397">
        <f>IF(raw[[#This Row],[in]]=0,0,MONTH(raw[[#This Row],[in]]))</f>
        <v/>
      </c>
      <c r="Q397" s="1397">
        <f>IF(raw[[#This Row],[in]]=0,0,YEAR(raw[[#This Row],[in]]))</f>
        <v/>
      </c>
      <c r="R397" s="1397">
        <f>INT(raw[[#This Row],[yr]]/10)*10</f>
        <v/>
      </c>
      <c r="S397" s="1395">
        <f>IF(raw[[#This Row],[city]]="","-",IF(raw[[#This Row],[city]]&lt;&gt;_xlfn.XLOOKUP(raw[[#This Row],[home]],homes[home],homes[city],"-"),1,0))</f>
        <v/>
      </c>
      <c r="T397" s="1398" t="inlineStr">
        <is>
          <t>.</t>
        </is>
      </c>
      <c r="U397" s="1399">
        <f>IF(raw[[#This Row],[wb]]="w",raw[[#This Row],[stay]]+U396,U396)</f>
        <v/>
      </c>
      <c r="V397" s="1400">
        <f>IF(raw[[#This Row],[out]]=0,V396,(raw[[#This Row],[out]]-E$5))</f>
        <v/>
      </c>
      <c r="W397" s="1401">
        <f>U397/V397</f>
        <v/>
      </c>
      <c r="X397" s="1378" t="inlineStr">
        <is>
          <t>.</t>
        </is>
      </c>
      <c r="Y397" s="1402">
        <f/>
        <v/>
      </c>
      <c r="Z397" s="1403">
        <f/>
        <v/>
      </c>
      <c r="AA397" s="1403">
        <f/>
        <v/>
      </c>
      <c r="AB397" s="1400">
        <f t="array" ref="AB397">_xlfn.LET(_xlpm.S,_xlfn.ANCHORARRAY($Y$4),_xlpm.r,ROWS(stayCity[[#Headers],[city]]:stayCity[[#This Row],[city]])-1,IF(_xlpm.r&lt;=ROWS(_xlpm.S),INDEX(_xlpm.S,_xlpm.r,1),""))</f>
        <v/>
      </c>
      <c r="AC397" s="1405">
        <f t="array" ref="AC397">_xlfn.LET(_xlpm.S,_xlfn.ANCHORARRAY($Y$4),_xlpm.r,ROWS(stayCity[[#Headers],[city]]:stayCity[[#This Row],[city]])-1,IF(_xlpm.r&lt;=ROWS(_xlpm.S),INDEX(_xlpm.S,_xlpm.r,2),""))</f>
        <v/>
      </c>
      <c r="AD397" s="1405">
        <f t="array" ref="AD397">_xlfn.LET(_xlpm.S,_xlfn.ANCHORARRAY($Y$4),_xlpm.r,ROWS(stayCity[[#Headers],[city]]:stayCity[[#This Row],[city]])-1,IF(_xlpm.r&lt;=ROWS(_xlpm.S),INDEX(_xlpm.S,_xlpm.r,3),""))</f>
        <v/>
      </c>
      <c r="AE397" s="1400">
        <f>IF(stayCity[[#This Row],[out]]&lt;&gt;"",stayCity[[#This Row],[out]]-stayCity[[#This Row],[in]],"-")</f>
        <v/>
      </c>
      <c r="AF397" s="1406">
        <f>IF(Y397="","-",YEAR(stayCity[[#This Row],[in]]))</f>
        <v/>
      </c>
      <c r="AG397" s="1392" t="n"/>
      <c r="AH397" s="1392" t="n"/>
      <c r="AI397" s="1392" t="n"/>
      <c r="AJ397" s="1392" t="n"/>
      <c r="AK397" s="1392" t="n"/>
      <c r="AL397" s="1392" t="n"/>
      <c r="AM397" s="1392" t="n"/>
      <c r="AN397" s="1392" t="n"/>
      <c r="AO397" s="1392" t="n"/>
      <c r="AP397" s="1392" t="n"/>
      <c r="AQ397" s="1392" t="n"/>
      <c r="AR397" s="1392" t="n"/>
      <c r="AS397" s="1422" t="n"/>
      <c r="AT397" s="1392" t="n"/>
      <c r="AU397" s="1392" t="n"/>
      <c r="AV397" s="1392" t="n"/>
      <c r="AW397" s="1392" t="n"/>
      <c r="AX397" s="1392" t="n"/>
      <c r="AY397" s="1392" t="n"/>
      <c r="AZ397" s="1392" t="n"/>
      <c r="BA397" s="1392" t="n"/>
      <c r="BB397" s="1422" t="n"/>
      <c r="BC397" s="1392" t="n"/>
      <c r="BD397" s="1392" t="n"/>
      <c r="BE397" s="1392" t="n"/>
      <c r="BF397" s="1392" t="n"/>
      <c r="BG397" s="1392" t="n"/>
      <c r="BH397" s="1392" t="n"/>
      <c r="BI397" s="1392" t="n"/>
      <c r="BJ397" s="1392" t="n"/>
      <c r="BK397" s="1392" t="n"/>
      <c r="BL397" s="1392" t="n"/>
      <c r="BM397" s="1392" t="n"/>
      <c r="BN397" s="1392" t="n"/>
      <c r="BO397" s="1392" t="n"/>
      <c r="BP397" s="1398" t="inlineStr">
        <is>
          <t>.</t>
        </is>
      </c>
      <c r="BQ397" s="1400">
        <f>IF(BR397&lt;&gt;"",BQ396+1,BQ396)</f>
        <v/>
      </c>
      <c r="BR397" s="1411" t="n"/>
      <c r="BS397" s="1411" t="n"/>
      <c r="BT397" s="1411" t="n"/>
      <c r="BU397" s="1412" t="n"/>
      <c r="BV397" s="1398" t="inlineStr">
        <is>
          <t>.</t>
        </is>
      </c>
      <c r="BW397" s="1392" t="n"/>
      <c r="BX397" s="1392" t="n"/>
      <c r="BY397" s="1392" t="n"/>
      <c r="BZ397" s="1416" t="n"/>
      <c r="CA397" s="1392" t="n"/>
      <c r="CB397" s="1392" t="n"/>
      <c r="CC397" s="1392" t="n"/>
      <c r="CD397" s="1392" t="n"/>
      <c r="CE397" s="1392" t="n"/>
      <c r="CF397" s="1392" t="n"/>
      <c r="CG397" s="1392" t="n"/>
      <c r="CH397" s="1392" t="n"/>
      <c r="CI397" s="1392" t="n"/>
      <c r="CJ397" s="1392" t="n"/>
      <c r="CK397" s="1392" t="n"/>
      <c r="CL397" s="1392" t="n"/>
    </row>
    <row r="398">
      <c r="A398" s="5" t="inlineStr">
        <is>
          <t>.</t>
        </is>
      </c>
      <c r="B398" s="5" t="inlineStr">
        <is>
          <t>.</t>
        </is>
      </c>
      <c r="C398" s="1378">
        <f>IF(raw[[#This Row],[city]]="","-",IF(raw[[#This Row],[city]]="TODAY","-",C397+1))</f>
        <v/>
      </c>
      <c r="D398" s="1393" t="inlineStr">
        <is>
          <t>SEA SWE</t>
        </is>
      </c>
      <c r="E398" s="1394" t="n">
        <v>35236</v>
      </c>
      <c r="F398" s="1394" t="n">
        <v>35237</v>
      </c>
      <c r="G398" s="1393" t="inlineStr">
        <is>
          <t>-</t>
        </is>
      </c>
      <c r="H398" s="1393">
        <f>H397</f>
        <v/>
      </c>
      <c r="I398" s="1393" t="inlineStr">
        <is>
          <t>-</t>
        </is>
      </c>
      <c r="J398" s="1393" t="inlineStr">
        <is>
          <t>-</t>
        </is>
      </c>
      <c r="K398" s="1395">
        <f>IF(raw[[#This Row],[city]]&lt;&gt;"",_xlfn.XLOOKUP($D398,ccc[city],ccc[prov],"-"),"-")</f>
        <v/>
      </c>
      <c r="L398" s="1395">
        <f>IF(raw[[#This Row],[city]]&lt;&gt;"",_xlfn.XLOOKUP($D398,ccc[city],ccc[ctry],"-"),"-")</f>
        <v/>
      </c>
      <c r="M398" s="1395">
        <f>IF(raw[[#This Row],[city]]&lt;&gt;"",_xlfn.XLOOKUP($D398,ccc[city],ccc[cont],"-"),"-")</f>
        <v/>
      </c>
      <c r="N398" s="1396">
        <f>IF(raw[[#This Row],[city]]="","-",IF(raw[[#This Row],[cont]]="B",raw[[#This Row],[cont]],"W"))</f>
        <v/>
      </c>
      <c r="O398" s="1397">
        <f>IF(raw[[#This Row],[out]]=0,0,IF(raw[[#This Row],[out]]=raw[[#This Row],[in]],0.01,raw[[#This Row],[out]]-raw[[#This Row],[in]]))</f>
        <v/>
      </c>
      <c r="P398" s="1397">
        <f>IF(raw[[#This Row],[in]]=0,0,MONTH(raw[[#This Row],[in]]))</f>
        <v/>
      </c>
      <c r="Q398" s="1397">
        <f>IF(raw[[#This Row],[in]]=0,0,YEAR(raw[[#This Row],[in]]))</f>
        <v/>
      </c>
      <c r="R398" s="1397">
        <f>INT(raw[[#This Row],[yr]]/10)*10</f>
        <v/>
      </c>
      <c r="S398" s="1395">
        <f>IF(raw[[#This Row],[city]]="","-",IF(raw[[#This Row],[city]]&lt;&gt;_xlfn.XLOOKUP(raw[[#This Row],[home]],homes[home],homes[city],"-"),1,0))</f>
        <v/>
      </c>
      <c r="T398" s="1398" t="inlineStr">
        <is>
          <t>.</t>
        </is>
      </c>
      <c r="U398" s="1399">
        <f>IF(raw[[#This Row],[wb]]="w",raw[[#This Row],[stay]]+U397,U397)</f>
        <v/>
      </c>
      <c r="V398" s="1400">
        <f>IF(raw[[#This Row],[out]]=0,V397,(raw[[#This Row],[out]]-E$5))</f>
        <v/>
      </c>
      <c r="W398" s="1401">
        <f>U398/V398</f>
        <v/>
      </c>
      <c r="X398" s="1378" t="inlineStr">
        <is>
          <t>.</t>
        </is>
      </c>
      <c r="Y398" s="1402">
        <f/>
        <v/>
      </c>
      <c r="Z398" s="1403">
        <f/>
        <v/>
      </c>
      <c r="AA398" s="1403">
        <f/>
        <v/>
      </c>
      <c r="AB398" s="1400">
        <f t="array" ref="AB398">_xlfn.LET(_xlpm.S,_xlfn.ANCHORARRAY($Y$4),_xlpm.r,ROWS(stayCity[[#Headers],[city]]:stayCity[[#This Row],[city]])-1,IF(_xlpm.r&lt;=ROWS(_xlpm.S),INDEX(_xlpm.S,_xlpm.r,1),""))</f>
        <v/>
      </c>
      <c r="AC398" s="1405">
        <f t="array" ref="AC398">_xlfn.LET(_xlpm.S,_xlfn.ANCHORARRAY($Y$4),_xlpm.r,ROWS(stayCity[[#Headers],[city]]:stayCity[[#This Row],[city]])-1,IF(_xlpm.r&lt;=ROWS(_xlpm.S),INDEX(_xlpm.S,_xlpm.r,2),""))</f>
        <v/>
      </c>
      <c r="AD398" s="1405">
        <f t="array" ref="AD398">_xlfn.LET(_xlpm.S,_xlfn.ANCHORARRAY($Y$4),_xlpm.r,ROWS(stayCity[[#Headers],[city]]:stayCity[[#This Row],[city]])-1,IF(_xlpm.r&lt;=ROWS(_xlpm.S),INDEX(_xlpm.S,_xlpm.r,3),""))</f>
        <v/>
      </c>
      <c r="AE398" s="1400">
        <f>IF(stayCity[[#This Row],[out]]&lt;&gt;"",stayCity[[#This Row],[out]]-stayCity[[#This Row],[in]],"-")</f>
        <v/>
      </c>
      <c r="AF398" s="1406">
        <f>IF(Y398="","-",YEAR(stayCity[[#This Row],[in]]))</f>
        <v/>
      </c>
      <c r="AG398" s="1392" t="n"/>
      <c r="AH398" s="1392" t="n"/>
      <c r="AI398" s="1392" t="n"/>
      <c r="AJ398" s="1392" t="n"/>
      <c r="AK398" s="1392" t="n"/>
      <c r="AL398" s="1392" t="n"/>
      <c r="AM398" s="1392" t="n"/>
      <c r="AN398" s="1392" t="n"/>
      <c r="AO398" s="1392" t="n"/>
      <c r="AP398" s="1392" t="n"/>
      <c r="AQ398" s="1392" t="n"/>
      <c r="AR398" s="1392" t="n"/>
      <c r="AS398" s="1422" t="n"/>
      <c r="AT398" s="1392" t="n"/>
      <c r="AU398" s="1392" t="n"/>
      <c r="AV398" s="1392" t="n"/>
      <c r="AW398" s="1392" t="n"/>
      <c r="AX398" s="1392" t="n"/>
      <c r="AY398" s="1392" t="n"/>
      <c r="AZ398" s="1392" t="n"/>
      <c r="BA398" s="1392" t="n"/>
      <c r="BB398" s="1422" t="n"/>
      <c r="BC398" s="1392" t="n"/>
      <c r="BD398" s="1392" t="n"/>
      <c r="BE398" s="1392" t="n"/>
      <c r="BF398" s="1392" t="n"/>
      <c r="BG398" s="1392" t="n"/>
      <c r="BH398" s="1392" t="n"/>
      <c r="BI398" s="1392" t="n"/>
      <c r="BJ398" s="1392" t="n"/>
      <c r="BK398" s="1392" t="n"/>
      <c r="BL398" s="1392" t="n"/>
      <c r="BM398" s="1392" t="n"/>
      <c r="BN398" s="1392" t="n"/>
      <c r="BO398" s="1392" t="n"/>
      <c r="BP398" s="1398" t="inlineStr">
        <is>
          <t>.</t>
        </is>
      </c>
      <c r="BQ398" s="1400">
        <f>IF(BR398&lt;&gt;"",BQ397+1,BQ397)</f>
        <v/>
      </c>
      <c r="BR398" s="1411" t="n"/>
      <c r="BS398" s="1411" t="n"/>
      <c r="BT398" s="1411" t="n"/>
      <c r="BU398" s="1412" t="n"/>
      <c r="BV398" s="1398" t="inlineStr">
        <is>
          <t>.</t>
        </is>
      </c>
      <c r="BW398" s="1392" t="n"/>
      <c r="BX398" s="1392" t="n"/>
      <c r="BY398" s="1392" t="n"/>
      <c r="BZ398" s="1416" t="n"/>
      <c r="CA398" s="1392" t="n"/>
      <c r="CB398" s="1392" t="n"/>
      <c r="CC398" s="1392" t="n"/>
      <c r="CD398" s="1392" t="n"/>
      <c r="CE398" s="1392" t="n"/>
      <c r="CF398" s="1392" t="n"/>
      <c r="CG398" s="1392" t="n"/>
      <c r="CH398" s="1392" t="n"/>
      <c r="CI398" s="1392" t="n"/>
      <c r="CJ398" s="1392" t="n"/>
      <c r="CK398" s="1392" t="n"/>
      <c r="CL398" s="1392" t="n"/>
    </row>
    <row r="399">
      <c r="A399" s="5" t="inlineStr">
        <is>
          <t>.</t>
        </is>
      </c>
      <c r="B399" s="5" t="inlineStr">
        <is>
          <t>.</t>
        </is>
      </c>
      <c r="C399" s="1378">
        <f>IF(raw[[#This Row],[city]]="","-",IF(raw[[#This Row],[city]]="TODAY","-",C398+1))</f>
        <v/>
      </c>
      <c r="D399" s="1393" t="inlineStr">
        <is>
          <t>Helsink</t>
        </is>
      </c>
      <c r="E399" s="1394" t="n">
        <v>35237</v>
      </c>
      <c r="F399" s="1394" t="n">
        <v>35237</v>
      </c>
      <c r="G399" s="1393" t="inlineStr">
        <is>
          <t>-</t>
        </is>
      </c>
      <c r="H399" s="1393">
        <f>H398</f>
        <v/>
      </c>
      <c r="I399" s="1393" t="inlineStr">
        <is>
          <t>-</t>
        </is>
      </c>
      <c r="J399" s="1393" t="inlineStr">
        <is>
          <t>-</t>
        </is>
      </c>
      <c r="K399" s="1395">
        <f>IF(raw[[#This Row],[city]]&lt;&gt;"",_xlfn.XLOOKUP($D399,ccc[city],ccc[prov],"-"),"-")</f>
        <v/>
      </c>
      <c r="L399" s="1395">
        <f>IF(raw[[#This Row],[city]]&lt;&gt;"",_xlfn.XLOOKUP($D399,ccc[city],ccc[ctry],"-"),"-")</f>
        <v/>
      </c>
      <c r="M399" s="1395">
        <f>IF(raw[[#This Row],[city]]&lt;&gt;"",_xlfn.XLOOKUP($D399,ccc[city],ccc[cont],"-"),"-")</f>
        <v/>
      </c>
      <c r="N399" s="1396">
        <f>IF(raw[[#This Row],[city]]="","-",IF(raw[[#This Row],[cont]]="B",raw[[#This Row],[cont]],"W"))</f>
        <v/>
      </c>
      <c r="O399" s="1397">
        <f>IF(raw[[#This Row],[out]]=0,0,IF(raw[[#This Row],[out]]=raw[[#This Row],[in]],0.01,raw[[#This Row],[out]]-raw[[#This Row],[in]]))</f>
        <v/>
      </c>
      <c r="P399" s="1397">
        <f>IF(raw[[#This Row],[in]]=0,0,MONTH(raw[[#This Row],[in]]))</f>
        <v/>
      </c>
      <c r="Q399" s="1397">
        <f>IF(raw[[#This Row],[in]]=0,0,YEAR(raw[[#This Row],[in]]))</f>
        <v/>
      </c>
      <c r="R399" s="1397">
        <f>INT(raw[[#This Row],[yr]]/10)*10</f>
        <v/>
      </c>
      <c r="S399" s="1395">
        <f>IF(raw[[#This Row],[city]]="","-",IF(raw[[#This Row],[city]]&lt;&gt;_xlfn.XLOOKUP(raw[[#This Row],[home]],homes[home],homes[city],"-"),1,0))</f>
        <v/>
      </c>
      <c r="T399" s="1398" t="inlineStr">
        <is>
          <t>.</t>
        </is>
      </c>
      <c r="U399" s="1399">
        <f>IF(raw[[#This Row],[wb]]="w",raw[[#This Row],[stay]]+U398,U398)</f>
        <v/>
      </c>
      <c r="V399" s="1400">
        <f>IF(raw[[#This Row],[out]]=0,V398,(raw[[#This Row],[out]]-E$5))</f>
        <v/>
      </c>
      <c r="W399" s="1401">
        <f>U399/V399</f>
        <v/>
      </c>
      <c r="X399" s="1378" t="inlineStr">
        <is>
          <t>.</t>
        </is>
      </c>
      <c r="Y399" s="1402">
        <f/>
        <v/>
      </c>
      <c r="Z399" s="1403">
        <f/>
        <v/>
      </c>
      <c r="AA399" s="1403">
        <f/>
        <v/>
      </c>
      <c r="AB399" s="1400">
        <f t="array" ref="AB399">_xlfn.LET(_xlpm.S,_xlfn.ANCHORARRAY($Y$4),_xlpm.r,ROWS(stayCity[[#Headers],[city]]:stayCity[[#This Row],[city]])-1,IF(_xlpm.r&lt;=ROWS(_xlpm.S),INDEX(_xlpm.S,_xlpm.r,1),""))</f>
        <v/>
      </c>
      <c r="AC399" s="1405">
        <f t="array" ref="AC399">_xlfn.LET(_xlpm.S,_xlfn.ANCHORARRAY($Y$4),_xlpm.r,ROWS(stayCity[[#Headers],[city]]:stayCity[[#This Row],[city]])-1,IF(_xlpm.r&lt;=ROWS(_xlpm.S),INDEX(_xlpm.S,_xlpm.r,2),""))</f>
        <v/>
      </c>
      <c r="AD399" s="1405">
        <f t="array" ref="AD399">_xlfn.LET(_xlpm.S,_xlfn.ANCHORARRAY($Y$4),_xlpm.r,ROWS(stayCity[[#Headers],[city]]:stayCity[[#This Row],[city]])-1,IF(_xlpm.r&lt;=ROWS(_xlpm.S),INDEX(_xlpm.S,_xlpm.r,3),""))</f>
        <v/>
      </c>
      <c r="AE399" s="1400">
        <f>IF(stayCity[[#This Row],[out]]&lt;&gt;"",stayCity[[#This Row],[out]]-stayCity[[#This Row],[in]],"-")</f>
        <v/>
      </c>
      <c r="AF399" s="1406">
        <f>IF(Y399="","-",YEAR(stayCity[[#This Row],[in]]))</f>
        <v/>
      </c>
      <c r="AG399" s="1392" t="n"/>
      <c r="AH399" s="1392" t="n"/>
      <c r="AI399" s="1392" t="n"/>
      <c r="AJ399" s="1392" t="n"/>
      <c r="AK399" s="1392" t="n"/>
      <c r="AL399" s="1392" t="n"/>
      <c r="AM399" s="1392" t="n"/>
      <c r="AN399" s="1392" t="n"/>
      <c r="AO399" s="1392" t="n"/>
      <c r="AP399" s="1392" t="n"/>
      <c r="AQ399" s="1392" t="n"/>
      <c r="AR399" s="1392" t="n"/>
      <c r="AS399" s="1422" t="n"/>
      <c r="AT399" s="1392" t="n"/>
      <c r="AU399" s="1392" t="n"/>
      <c r="AV399" s="1392" t="n"/>
      <c r="AW399" s="1392" t="n"/>
      <c r="AX399" s="1392" t="n"/>
      <c r="AY399" s="1392" t="n"/>
      <c r="AZ399" s="1392" t="n"/>
      <c r="BA399" s="1392" t="n"/>
      <c r="BB399" s="1422" t="n"/>
      <c r="BC399" s="1392" t="n"/>
      <c r="BD399" s="1392" t="n"/>
      <c r="BE399" s="1392" t="n"/>
      <c r="BF399" s="1392" t="n"/>
      <c r="BG399" s="1392" t="n"/>
      <c r="BH399" s="1392" t="n"/>
      <c r="BI399" s="1392" t="n"/>
      <c r="BJ399" s="1392" t="n"/>
      <c r="BK399" s="1392" t="n"/>
      <c r="BL399" s="1392" t="n"/>
      <c r="BM399" s="1392" t="n"/>
      <c r="BN399" s="1392" t="n"/>
      <c r="BO399" s="1392" t="n"/>
      <c r="BP399" s="1398" t="inlineStr">
        <is>
          <t>.</t>
        </is>
      </c>
      <c r="BQ399" s="1400">
        <f>IF(BR399&lt;&gt;"",BQ398+1,BQ398)</f>
        <v/>
      </c>
      <c r="BR399" s="1411" t="n"/>
      <c r="BS399" s="1411" t="n"/>
      <c r="BT399" s="1411" t="n"/>
      <c r="BU399" s="1412" t="n"/>
      <c r="BV399" s="1398" t="inlineStr">
        <is>
          <t>.</t>
        </is>
      </c>
      <c r="BW399" s="1392" t="n"/>
      <c r="BX399" s="1392" t="n"/>
      <c r="BY399" s="1392" t="n"/>
      <c r="BZ399" s="1416" t="n"/>
      <c r="CA399" s="1392" t="n"/>
      <c r="CB399" s="1392" t="n"/>
      <c r="CC399" s="1392" t="n"/>
      <c r="CD399" s="1392" t="n"/>
      <c r="CE399" s="1392" t="n"/>
      <c r="CF399" s="1392" t="n"/>
      <c r="CG399" s="1392" t="n"/>
      <c r="CH399" s="1392" t="n"/>
      <c r="CI399" s="1392" t="n"/>
      <c r="CJ399" s="1392" t="n"/>
      <c r="CK399" s="1392" t="n"/>
      <c r="CL399" s="1392" t="n"/>
    </row>
    <row r="400">
      <c r="A400" s="5" t="inlineStr">
        <is>
          <t>.</t>
        </is>
      </c>
      <c r="B400" s="5" t="inlineStr">
        <is>
          <t>.</t>
        </is>
      </c>
      <c r="C400" s="1378">
        <f>IF(raw[[#This Row],[city]]="","-",IF(raw[[#This Row],[city]]="TODAY","-",C399+1))</f>
        <v/>
      </c>
      <c r="D400" s="1393" t="inlineStr">
        <is>
          <t>LAKE COTTAGE</t>
        </is>
      </c>
      <c r="E400" s="1394" t="n">
        <v>35237</v>
      </c>
      <c r="F400" s="1394" t="n">
        <v>35239</v>
      </c>
      <c r="G400" s="1393" t="inlineStr">
        <is>
          <t>-</t>
        </is>
      </c>
      <c r="H400" s="1393">
        <f>H399</f>
        <v/>
      </c>
      <c r="I400" s="1393" t="inlineStr">
        <is>
          <t>-</t>
        </is>
      </c>
      <c r="J400" s="1393" t="inlineStr">
        <is>
          <t>-</t>
        </is>
      </c>
      <c r="K400" s="1395">
        <f>IF(raw[[#This Row],[city]]&lt;&gt;"",_xlfn.XLOOKUP($D400,ccc[city],ccc[prov],"-"),"-")</f>
        <v/>
      </c>
      <c r="L400" s="1395">
        <f>IF(raw[[#This Row],[city]]&lt;&gt;"",_xlfn.XLOOKUP($D400,ccc[city],ccc[ctry],"-"),"-")</f>
        <v/>
      </c>
      <c r="M400" s="1395">
        <f>IF(raw[[#This Row],[city]]&lt;&gt;"",_xlfn.XLOOKUP($D400,ccc[city],ccc[cont],"-"),"-")</f>
        <v/>
      </c>
      <c r="N400" s="1396">
        <f>IF(raw[[#This Row],[city]]="","-",IF(raw[[#This Row],[cont]]="B",raw[[#This Row],[cont]],"W"))</f>
        <v/>
      </c>
      <c r="O400" s="1397">
        <f>IF(raw[[#This Row],[out]]=0,0,IF(raw[[#This Row],[out]]=raw[[#This Row],[in]],0.01,raw[[#This Row],[out]]-raw[[#This Row],[in]]))</f>
        <v/>
      </c>
      <c r="P400" s="1397">
        <f>IF(raw[[#This Row],[in]]=0,0,MONTH(raw[[#This Row],[in]]))</f>
        <v/>
      </c>
      <c r="Q400" s="1397">
        <f>IF(raw[[#This Row],[in]]=0,0,YEAR(raw[[#This Row],[in]]))</f>
        <v/>
      </c>
      <c r="R400" s="1397">
        <f>INT(raw[[#This Row],[yr]]/10)*10</f>
        <v/>
      </c>
      <c r="S400" s="1395">
        <f>IF(raw[[#This Row],[city]]="","-",IF(raw[[#This Row],[city]]&lt;&gt;_xlfn.XLOOKUP(raw[[#This Row],[home]],homes[home],homes[city],"-"),1,0))</f>
        <v/>
      </c>
      <c r="T400" s="1398" t="inlineStr">
        <is>
          <t>.</t>
        </is>
      </c>
      <c r="U400" s="1399">
        <f>IF(raw[[#This Row],[wb]]="w",raw[[#This Row],[stay]]+U399,U399)</f>
        <v/>
      </c>
      <c r="V400" s="1400">
        <f>IF(raw[[#This Row],[out]]=0,V399,(raw[[#This Row],[out]]-E$5))</f>
        <v/>
      </c>
      <c r="W400" s="1401">
        <f>U400/V400</f>
        <v/>
      </c>
      <c r="X400" s="1378" t="inlineStr">
        <is>
          <t>.</t>
        </is>
      </c>
      <c r="Y400" s="1402">
        <f/>
        <v/>
      </c>
      <c r="Z400" s="1403">
        <f/>
        <v/>
      </c>
      <c r="AA400" s="1403">
        <f/>
        <v/>
      </c>
      <c r="AB400" s="1400">
        <f t="array" ref="AB400">_xlfn.LET(_xlpm.S,_xlfn.ANCHORARRAY($Y$4),_xlpm.r,ROWS(stayCity[[#Headers],[city]]:stayCity[[#This Row],[city]])-1,IF(_xlpm.r&lt;=ROWS(_xlpm.S),INDEX(_xlpm.S,_xlpm.r,1),""))</f>
        <v/>
      </c>
      <c r="AC400" s="1405">
        <f t="array" ref="AC400">_xlfn.LET(_xlpm.S,_xlfn.ANCHORARRAY($Y$4),_xlpm.r,ROWS(stayCity[[#Headers],[city]]:stayCity[[#This Row],[city]])-1,IF(_xlpm.r&lt;=ROWS(_xlpm.S),INDEX(_xlpm.S,_xlpm.r,2),""))</f>
        <v/>
      </c>
      <c r="AD400" s="1405">
        <f t="array" ref="AD400">_xlfn.LET(_xlpm.S,_xlfn.ANCHORARRAY($Y$4),_xlpm.r,ROWS(stayCity[[#Headers],[city]]:stayCity[[#This Row],[city]])-1,IF(_xlpm.r&lt;=ROWS(_xlpm.S),INDEX(_xlpm.S,_xlpm.r,3),""))</f>
        <v/>
      </c>
      <c r="AE400" s="1400">
        <f>IF(stayCity[[#This Row],[out]]&lt;&gt;"",stayCity[[#This Row],[out]]-stayCity[[#This Row],[in]],"-")</f>
        <v/>
      </c>
      <c r="AF400" s="1406">
        <f>IF(Y400="","-",YEAR(stayCity[[#This Row],[in]]))</f>
        <v/>
      </c>
      <c r="AG400" s="1392" t="n"/>
      <c r="AH400" s="1392" t="n"/>
      <c r="AI400" s="1392" t="n"/>
      <c r="AJ400" s="1392" t="n"/>
      <c r="AK400" s="1392" t="n"/>
      <c r="AL400" s="1392" t="n"/>
      <c r="AM400" s="1392" t="n"/>
      <c r="AN400" s="1392" t="n"/>
      <c r="AO400" s="1392" t="n"/>
      <c r="AP400" s="1392" t="n"/>
      <c r="AQ400" s="1392" t="n"/>
      <c r="AR400" s="1392" t="n"/>
      <c r="AS400" s="1422" t="n"/>
      <c r="AT400" s="1392" t="n"/>
      <c r="AU400" s="1392" t="n"/>
      <c r="AV400" s="1392" t="n"/>
      <c r="AW400" s="1392" t="n"/>
      <c r="AX400" s="1392" t="n"/>
      <c r="AY400" s="1392" t="n"/>
      <c r="AZ400" s="1392" t="n"/>
      <c r="BA400" s="1392" t="n"/>
      <c r="BB400" s="1422" t="n"/>
      <c r="BC400" s="1392" t="n"/>
      <c r="BD400" s="1392" t="n"/>
      <c r="BE400" s="1392" t="n"/>
      <c r="BF400" s="1392" t="n"/>
      <c r="BG400" s="1392" t="n"/>
      <c r="BH400" s="1392" t="n"/>
      <c r="BI400" s="1392" t="n"/>
      <c r="BJ400" s="1392" t="n"/>
      <c r="BK400" s="1392" t="n"/>
      <c r="BL400" s="1392" t="n"/>
      <c r="BM400" s="1392" t="n"/>
      <c r="BN400" s="1392" t="n"/>
      <c r="BO400" s="1392" t="n"/>
      <c r="BP400" s="1398" t="inlineStr">
        <is>
          <t>.</t>
        </is>
      </c>
      <c r="BQ400" s="1400">
        <f>IF(BR400&lt;&gt;"",BQ399+1,BQ399)</f>
        <v/>
      </c>
      <c r="BR400" s="1411" t="n"/>
      <c r="BS400" s="1411" t="n"/>
      <c r="BT400" s="1411" t="n"/>
      <c r="BU400" s="1412" t="n"/>
      <c r="BV400" s="1398" t="inlineStr">
        <is>
          <t>.</t>
        </is>
      </c>
      <c r="BW400" s="1392" t="n"/>
      <c r="BX400" s="1392" t="n"/>
      <c r="BY400" s="1392" t="n"/>
      <c r="BZ400" s="1416" t="n"/>
      <c r="CA400" s="1392" t="n"/>
      <c r="CB400" s="1392" t="n"/>
      <c r="CC400" s="1392" t="n"/>
      <c r="CD400" s="1392" t="n"/>
      <c r="CE400" s="1392" t="n"/>
      <c r="CF400" s="1392" t="n"/>
      <c r="CG400" s="1392" t="n"/>
      <c r="CH400" s="1392" t="n"/>
      <c r="CI400" s="1392" t="n"/>
      <c r="CJ400" s="1392" t="n"/>
      <c r="CK400" s="1392" t="n"/>
      <c r="CL400" s="1392" t="n"/>
    </row>
    <row r="401">
      <c r="A401" s="5" t="inlineStr">
        <is>
          <t>.</t>
        </is>
      </c>
      <c r="B401" s="5" t="inlineStr">
        <is>
          <t>.</t>
        </is>
      </c>
      <c r="C401" s="1378">
        <f>IF(raw[[#This Row],[city]]="","-",IF(raw[[#This Row],[city]]="TODAY","-",C400+1))</f>
        <v/>
      </c>
      <c r="D401" s="1393" t="inlineStr">
        <is>
          <t>Tampere</t>
        </is>
      </c>
      <c r="E401" s="1394" t="n">
        <v>35239</v>
      </c>
      <c r="F401" s="1394" t="n">
        <v>35241</v>
      </c>
      <c r="G401" s="1393" t="inlineStr">
        <is>
          <t>-</t>
        </is>
      </c>
      <c r="H401" s="1393">
        <f>H400</f>
        <v/>
      </c>
      <c r="I401" s="1393" t="inlineStr">
        <is>
          <t>-</t>
        </is>
      </c>
      <c r="J401" s="1393" t="inlineStr">
        <is>
          <t>-</t>
        </is>
      </c>
      <c r="K401" s="1395">
        <f>IF(raw[[#This Row],[city]]&lt;&gt;"",_xlfn.XLOOKUP($D401,ccc[city],ccc[prov],"-"),"-")</f>
        <v/>
      </c>
      <c r="L401" s="1395">
        <f>IF(raw[[#This Row],[city]]&lt;&gt;"",_xlfn.XLOOKUP($D401,ccc[city],ccc[ctry],"-"),"-")</f>
        <v/>
      </c>
      <c r="M401" s="1395">
        <f>IF(raw[[#This Row],[city]]&lt;&gt;"",_xlfn.XLOOKUP($D401,ccc[city],ccc[cont],"-"),"-")</f>
        <v/>
      </c>
      <c r="N401" s="1396">
        <f>IF(raw[[#This Row],[city]]="","-",IF(raw[[#This Row],[cont]]="B",raw[[#This Row],[cont]],"W"))</f>
        <v/>
      </c>
      <c r="O401" s="1397">
        <f>IF(raw[[#This Row],[out]]=0,0,IF(raw[[#This Row],[out]]=raw[[#This Row],[in]],0.01,raw[[#This Row],[out]]-raw[[#This Row],[in]]))</f>
        <v/>
      </c>
      <c r="P401" s="1397">
        <f>IF(raw[[#This Row],[in]]=0,0,MONTH(raw[[#This Row],[in]]))</f>
        <v/>
      </c>
      <c r="Q401" s="1397">
        <f>IF(raw[[#This Row],[in]]=0,0,YEAR(raw[[#This Row],[in]]))</f>
        <v/>
      </c>
      <c r="R401" s="1397">
        <f>INT(raw[[#This Row],[yr]]/10)*10</f>
        <v/>
      </c>
      <c r="S401" s="1395">
        <f>IF(raw[[#This Row],[city]]="","-",IF(raw[[#This Row],[city]]&lt;&gt;_xlfn.XLOOKUP(raw[[#This Row],[home]],homes[home],homes[city],"-"),1,0))</f>
        <v/>
      </c>
      <c r="T401" s="1398" t="inlineStr">
        <is>
          <t>.</t>
        </is>
      </c>
      <c r="U401" s="1399">
        <f>IF(raw[[#This Row],[wb]]="w",raw[[#This Row],[stay]]+U400,U400)</f>
        <v/>
      </c>
      <c r="V401" s="1400">
        <f>IF(raw[[#This Row],[out]]=0,V400,(raw[[#This Row],[out]]-E$5))</f>
        <v/>
      </c>
      <c r="W401" s="1401">
        <f>U401/V401</f>
        <v/>
      </c>
      <c r="X401" s="1378" t="inlineStr">
        <is>
          <t>.</t>
        </is>
      </c>
      <c r="Y401" s="1402">
        <f/>
        <v/>
      </c>
      <c r="Z401" s="1403">
        <f/>
        <v/>
      </c>
      <c r="AA401" s="1403">
        <f/>
        <v/>
      </c>
      <c r="AB401" s="1400">
        <f t="array" ref="AB401">_xlfn.LET(_xlpm.S,_xlfn.ANCHORARRAY($Y$4),_xlpm.r,ROWS(stayCity[[#Headers],[city]]:stayCity[[#This Row],[city]])-1,IF(_xlpm.r&lt;=ROWS(_xlpm.S),INDEX(_xlpm.S,_xlpm.r,1),""))</f>
        <v/>
      </c>
      <c r="AC401" s="1405">
        <f t="array" ref="AC401">_xlfn.LET(_xlpm.S,_xlfn.ANCHORARRAY($Y$4),_xlpm.r,ROWS(stayCity[[#Headers],[city]]:stayCity[[#This Row],[city]])-1,IF(_xlpm.r&lt;=ROWS(_xlpm.S),INDEX(_xlpm.S,_xlpm.r,2),""))</f>
        <v/>
      </c>
      <c r="AD401" s="1405">
        <f t="array" ref="AD401">_xlfn.LET(_xlpm.S,_xlfn.ANCHORARRAY($Y$4),_xlpm.r,ROWS(stayCity[[#Headers],[city]]:stayCity[[#This Row],[city]])-1,IF(_xlpm.r&lt;=ROWS(_xlpm.S),INDEX(_xlpm.S,_xlpm.r,3),""))</f>
        <v/>
      </c>
      <c r="AE401" s="1400">
        <f>IF(stayCity[[#This Row],[out]]&lt;&gt;"",stayCity[[#This Row],[out]]-stayCity[[#This Row],[in]],"-")</f>
        <v/>
      </c>
      <c r="AF401" s="1406">
        <f>IF(Y401="","-",YEAR(stayCity[[#This Row],[in]]))</f>
        <v/>
      </c>
      <c r="AG401" s="1392" t="n"/>
      <c r="AH401" s="1392" t="n"/>
      <c r="AI401" s="1392" t="n"/>
      <c r="AJ401" s="1392" t="n"/>
      <c r="AK401" s="1392" t="n"/>
      <c r="AL401" s="1392" t="n"/>
      <c r="AM401" s="1392" t="n"/>
      <c r="AN401" s="1392" t="n"/>
      <c r="AO401" s="1392" t="n"/>
      <c r="AP401" s="1392" t="n"/>
      <c r="AQ401" s="1392" t="n"/>
      <c r="AR401" s="1392" t="n"/>
      <c r="AS401" s="1422" t="n"/>
      <c r="AT401" s="1392" t="n"/>
      <c r="AU401" s="1392" t="n"/>
      <c r="AV401" s="1392" t="n"/>
      <c r="AW401" s="1392" t="n"/>
      <c r="AX401" s="1392" t="n"/>
      <c r="AY401" s="1392" t="n"/>
      <c r="AZ401" s="1392" t="n"/>
      <c r="BA401" s="1392" t="n"/>
      <c r="BB401" s="1422" t="n"/>
      <c r="BC401" s="1392" t="n"/>
      <c r="BD401" s="1392" t="n"/>
      <c r="BE401" s="1392" t="n"/>
      <c r="BF401" s="1392" t="n"/>
      <c r="BG401" s="1392" t="n"/>
      <c r="BH401" s="1392" t="n"/>
      <c r="BI401" s="1392" t="n"/>
      <c r="BJ401" s="1392" t="n"/>
      <c r="BK401" s="1392" t="n"/>
      <c r="BL401" s="1392" t="n"/>
      <c r="BM401" s="1392" t="n"/>
      <c r="BN401" s="1392" t="n"/>
      <c r="BO401" s="1392" t="n"/>
      <c r="BP401" s="1398" t="inlineStr">
        <is>
          <t>.</t>
        </is>
      </c>
      <c r="BQ401" s="1400">
        <f>IF(BR401&lt;&gt;"",BQ400+1,BQ400)</f>
        <v/>
      </c>
      <c r="BR401" s="1411" t="n"/>
      <c r="BS401" s="1411" t="n"/>
      <c r="BT401" s="1411" t="n"/>
      <c r="BU401" s="1412" t="n"/>
      <c r="BV401" s="1398" t="inlineStr">
        <is>
          <t>.</t>
        </is>
      </c>
      <c r="BW401" s="1392" t="n"/>
      <c r="BX401" s="1392" t="n"/>
      <c r="BY401" s="1392" t="n"/>
      <c r="BZ401" s="1416" t="n"/>
      <c r="CA401" s="1392" t="n"/>
      <c r="CB401" s="1392" t="n"/>
      <c r="CC401" s="1392" t="n"/>
      <c r="CD401" s="1392" t="n"/>
      <c r="CE401" s="1392" t="n"/>
      <c r="CF401" s="1392" t="n"/>
      <c r="CG401" s="1392" t="n"/>
      <c r="CH401" s="1392" t="n"/>
      <c r="CI401" s="1392" t="n"/>
      <c r="CJ401" s="1392" t="n"/>
      <c r="CK401" s="1392" t="n"/>
      <c r="CL401" s="1392" t="n"/>
    </row>
    <row r="402">
      <c r="A402" s="5" t="inlineStr">
        <is>
          <t>.</t>
        </is>
      </c>
      <c r="B402" s="5" t="inlineStr">
        <is>
          <t>.</t>
        </is>
      </c>
      <c r="C402" s="1378">
        <f>IF(raw[[#This Row],[city]]="","-",IF(raw[[#This Row],[city]]="TODAY","-",C401+1))</f>
        <v/>
      </c>
      <c r="D402" s="1393" t="inlineStr">
        <is>
          <t>Helsink</t>
        </is>
      </c>
      <c r="E402" s="1394" t="n">
        <v>35241</v>
      </c>
      <c r="F402" s="1394" t="n">
        <v>35242</v>
      </c>
      <c r="G402" s="1393" t="inlineStr">
        <is>
          <t>-</t>
        </is>
      </c>
      <c r="H402" s="1393">
        <f>H401</f>
        <v/>
      </c>
      <c r="I402" s="1393" t="inlineStr">
        <is>
          <t>-</t>
        </is>
      </c>
      <c r="J402" s="1393" t="inlineStr">
        <is>
          <t>-</t>
        </is>
      </c>
      <c r="K402" s="1395">
        <f>IF(raw[[#This Row],[city]]&lt;&gt;"",_xlfn.XLOOKUP($D402,ccc[city],ccc[prov],"-"),"-")</f>
        <v/>
      </c>
      <c r="L402" s="1395">
        <f>IF(raw[[#This Row],[city]]&lt;&gt;"",_xlfn.XLOOKUP($D402,ccc[city],ccc[ctry],"-"),"-")</f>
        <v/>
      </c>
      <c r="M402" s="1395">
        <f>IF(raw[[#This Row],[city]]&lt;&gt;"",_xlfn.XLOOKUP($D402,ccc[city],ccc[cont],"-"),"-")</f>
        <v/>
      </c>
      <c r="N402" s="1396">
        <f>IF(raw[[#This Row],[city]]="","-",IF(raw[[#This Row],[cont]]="B",raw[[#This Row],[cont]],"W"))</f>
        <v/>
      </c>
      <c r="O402" s="1397">
        <f>IF(raw[[#This Row],[out]]=0,0,IF(raw[[#This Row],[out]]=raw[[#This Row],[in]],0.01,raw[[#This Row],[out]]-raw[[#This Row],[in]]))</f>
        <v/>
      </c>
      <c r="P402" s="1397">
        <f>IF(raw[[#This Row],[in]]=0,0,MONTH(raw[[#This Row],[in]]))</f>
        <v/>
      </c>
      <c r="Q402" s="1397">
        <f>IF(raw[[#This Row],[in]]=0,0,YEAR(raw[[#This Row],[in]]))</f>
        <v/>
      </c>
      <c r="R402" s="1397">
        <f>INT(raw[[#This Row],[yr]]/10)*10</f>
        <v/>
      </c>
      <c r="S402" s="1395">
        <f>IF(raw[[#This Row],[city]]="","-",IF(raw[[#This Row],[city]]&lt;&gt;_xlfn.XLOOKUP(raw[[#This Row],[home]],homes[home],homes[city],"-"),1,0))</f>
        <v/>
      </c>
      <c r="T402" s="1398" t="inlineStr">
        <is>
          <t>.</t>
        </is>
      </c>
      <c r="U402" s="1399">
        <f>IF(raw[[#This Row],[wb]]="w",raw[[#This Row],[stay]]+U401,U401)</f>
        <v/>
      </c>
      <c r="V402" s="1400">
        <f>IF(raw[[#This Row],[out]]=0,V401,(raw[[#This Row],[out]]-E$5))</f>
        <v/>
      </c>
      <c r="W402" s="1401">
        <f>U402/V402</f>
        <v/>
      </c>
      <c r="X402" s="1378" t="inlineStr">
        <is>
          <t>.</t>
        </is>
      </c>
      <c r="Y402" s="1402">
        <f/>
        <v/>
      </c>
      <c r="Z402" s="1403">
        <f/>
        <v/>
      </c>
      <c r="AA402" s="1403">
        <f/>
        <v/>
      </c>
      <c r="AB402" s="1400">
        <f t="array" ref="AB402">_xlfn.LET(_xlpm.S,_xlfn.ANCHORARRAY($Y$4),_xlpm.r,ROWS(stayCity[[#Headers],[city]]:stayCity[[#This Row],[city]])-1,IF(_xlpm.r&lt;=ROWS(_xlpm.S),INDEX(_xlpm.S,_xlpm.r,1),""))</f>
        <v/>
      </c>
      <c r="AC402" s="1405">
        <f t="array" ref="AC402">_xlfn.LET(_xlpm.S,_xlfn.ANCHORARRAY($Y$4),_xlpm.r,ROWS(stayCity[[#Headers],[city]]:stayCity[[#This Row],[city]])-1,IF(_xlpm.r&lt;=ROWS(_xlpm.S),INDEX(_xlpm.S,_xlpm.r,2),""))</f>
        <v/>
      </c>
      <c r="AD402" s="1405">
        <f t="array" ref="AD402">_xlfn.LET(_xlpm.S,_xlfn.ANCHORARRAY($Y$4),_xlpm.r,ROWS(stayCity[[#Headers],[city]]:stayCity[[#This Row],[city]])-1,IF(_xlpm.r&lt;=ROWS(_xlpm.S),INDEX(_xlpm.S,_xlpm.r,3),""))</f>
        <v/>
      </c>
      <c r="AE402" s="1400">
        <f>IF(stayCity[[#This Row],[out]]&lt;&gt;"",stayCity[[#This Row],[out]]-stayCity[[#This Row],[in]],"-")</f>
        <v/>
      </c>
      <c r="AF402" s="1406">
        <f>IF(Y402="","-",YEAR(stayCity[[#This Row],[in]]))</f>
        <v/>
      </c>
      <c r="AG402" s="1392" t="n"/>
      <c r="AH402" s="1392" t="n"/>
      <c r="AI402" s="1392" t="n"/>
      <c r="AJ402" s="1392" t="n"/>
      <c r="AK402" s="1392" t="n"/>
      <c r="AL402" s="1392" t="n"/>
      <c r="AM402" s="1392" t="n"/>
      <c r="AN402" s="1392" t="n"/>
      <c r="AO402" s="1392" t="n"/>
      <c r="AP402" s="1392" t="n"/>
      <c r="AQ402" s="1392" t="n"/>
      <c r="AR402" s="1392" t="n"/>
      <c r="AS402" s="1422" t="n"/>
      <c r="AT402" s="1392" t="n"/>
      <c r="AU402" s="1392" t="n"/>
      <c r="AV402" s="1392" t="n"/>
      <c r="AW402" s="1392" t="n"/>
      <c r="AX402" s="1392" t="n"/>
      <c r="AY402" s="1392" t="n"/>
      <c r="AZ402" s="1392" t="n"/>
      <c r="BA402" s="1392" t="n"/>
      <c r="BB402" s="1422" t="n"/>
      <c r="BC402" s="1392" t="n"/>
      <c r="BD402" s="1392" t="n"/>
      <c r="BE402" s="1392" t="n"/>
      <c r="BF402" s="1392" t="n"/>
      <c r="BG402" s="1392" t="n"/>
      <c r="BH402" s="1392" t="n"/>
      <c r="BI402" s="1392" t="n"/>
      <c r="BJ402" s="1392" t="n"/>
      <c r="BK402" s="1392" t="n"/>
      <c r="BL402" s="1392" t="n"/>
      <c r="BM402" s="1392" t="n"/>
      <c r="BN402" s="1392" t="n"/>
      <c r="BO402" s="1392" t="n"/>
      <c r="BP402" s="1398" t="inlineStr">
        <is>
          <t>.</t>
        </is>
      </c>
      <c r="BQ402" s="1400">
        <f>IF(BR402&lt;&gt;"",BQ401+1,BQ401)</f>
        <v/>
      </c>
      <c r="BR402" s="1411" t="n"/>
      <c r="BS402" s="1411" t="n"/>
      <c r="BT402" s="1411" t="n"/>
      <c r="BU402" s="1412" t="n"/>
      <c r="BV402" s="1398" t="inlineStr">
        <is>
          <t>.</t>
        </is>
      </c>
      <c r="BW402" s="1392" t="n"/>
      <c r="BX402" s="1392" t="n"/>
      <c r="BY402" s="1392" t="n"/>
      <c r="BZ402" s="1416" t="n"/>
      <c r="CA402" s="1392" t="n"/>
      <c r="CB402" s="1392" t="n"/>
      <c r="CC402" s="1392" t="n"/>
      <c r="CD402" s="1392" t="n"/>
      <c r="CE402" s="1392" t="n"/>
      <c r="CF402" s="1392" t="n"/>
      <c r="CG402" s="1392" t="n"/>
      <c r="CH402" s="1392" t="n"/>
      <c r="CI402" s="1392" t="n"/>
      <c r="CJ402" s="1392" t="n"/>
      <c r="CK402" s="1392" t="n"/>
      <c r="CL402" s="1392" t="n"/>
    </row>
    <row r="403">
      <c r="A403" s="5" t="inlineStr">
        <is>
          <t>.</t>
        </is>
      </c>
      <c r="B403" s="5" t="inlineStr">
        <is>
          <t>.</t>
        </is>
      </c>
      <c r="C403" s="1378">
        <f>IF(raw[[#This Row],[city]]="","-",IF(raw[[#This Row],[city]]="TODAY","-",C402+1))</f>
        <v/>
      </c>
      <c r="D403" s="1393" t="inlineStr">
        <is>
          <t>SEA FIN</t>
        </is>
      </c>
      <c r="E403" s="1394" t="n">
        <v>35242</v>
      </c>
      <c r="F403" s="1394" t="n">
        <v>35243</v>
      </c>
      <c r="G403" s="1393" t="inlineStr">
        <is>
          <t>-</t>
        </is>
      </c>
      <c r="H403" s="1393">
        <f>H402</f>
        <v/>
      </c>
      <c r="I403" s="1393" t="inlineStr">
        <is>
          <t>-</t>
        </is>
      </c>
      <c r="J403" s="1393" t="inlineStr">
        <is>
          <t>-</t>
        </is>
      </c>
      <c r="K403" s="1395">
        <f>IF(raw[[#This Row],[city]]&lt;&gt;"",_xlfn.XLOOKUP($D403,ccc[city],ccc[prov],"-"),"-")</f>
        <v/>
      </c>
      <c r="L403" s="1395">
        <f>IF(raw[[#This Row],[city]]&lt;&gt;"",_xlfn.XLOOKUP($D403,ccc[city],ccc[ctry],"-"),"-")</f>
        <v/>
      </c>
      <c r="M403" s="1395">
        <f>IF(raw[[#This Row],[city]]&lt;&gt;"",_xlfn.XLOOKUP($D403,ccc[city],ccc[cont],"-"),"-")</f>
        <v/>
      </c>
      <c r="N403" s="1396">
        <f>IF(raw[[#This Row],[city]]="","-",IF(raw[[#This Row],[cont]]="B",raw[[#This Row],[cont]],"W"))</f>
        <v/>
      </c>
      <c r="O403" s="1397">
        <f>IF(raw[[#This Row],[out]]=0,0,IF(raw[[#This Row],[out]]=raw[[#This Row],[in]],0.01,raw[[#This Row],[out]]-raw[[#This Row],[in]]))</f>
        <v/>
      </c>
      <c r="P403" s="1397">
        <f>IF(raw[[#This Row],[in]]=0,0,MONTH(raw[[#This Row],[in]]))</f>
        <v/>
      </c>
      <c r="Q403" s="1397">
        <f>IF(raw[[#This Row],[in]]=0,0,YEAR(raw[[#This Row],[in]]))</f>
        <v/>
      </c>
      <c r="R403" s="1397">
        <f>INT(raw[[#This Row],[yr]]/10)*10</f>
        <v/>
      </c>
      <c r="S403" s="1395">
        <f>IF(raw[[#This Row],[city]]="","-",IF(raw[[#This Row],[city]]&lt;&gt;_xlfn.XLOOKUP(raw[[#This Row],[home]],homes[home],homes[city],"-"),1,0))</f>
        <v/>
      </c>
      <c r="T403" s="1398" t="inlineStr">
        <is>
          <t>.</t>
        </is>
      </c>
      <c r="U403" s="1399">
        <f>IF(raw[[#This Row],[wb]]="w",raw[[#This Row],[stay]]+U402,U402)</f>
        <v/>
      </c>
      <c r="V403" s="1400">
        <f>IF(raw[[#This Row],[out]]=0,V402,(raw[[#This Row],[out]]-E$5))</f>
        <v/>
      </c>
      <c r="W403" s="1401">
        <f>U403/V403</f>
        <v/>
      </c>
      <c r="X403" s="1378" t="inlineStr">
        <is>
          <t>.</t>
        </is>
      </c>
      <c r="Y403" s="1402">
        <f/>
        <v/>
      </c>
      <c r="Z403" s="1403">
        <f/>
        <v/>
      </c>
      <c r="AA403" s="1403">
        <f/>
        <v/>
      </c>
      <c r="AB403" s="1400">
        <f t="array" ref="AB403">_xlfn.LET(_xlpm.S,_xlfn.ANCHORARRAY($Y$4),_xlpm.r,ROWS(stayCity[[#Headers],[city]]:stayCity[[#This Row],[city]])-1,IF(_xlpm.r&lt;=ROWS(_xlpm.S),INDEX(_xlpm.S,_xlpm.r,1),""))</f>
        <v/>
      </c>
      <c r="AC403" s="1405">
        <f t="array" ref="AC403">_xlfn.LET(_xlpm.S,_xlfn.ANCHORARRAY($Y$4),_xlpm.r,ROWS(stayCity[[#Headers],[city]]:stayCity[[#This Row],[city]])-1,IF(_xlpm.r&lt;=ROWS(_xlpm.S),INDEX(_xlpm.S,_xlpm.r,2),""))</f>
        <v/>
      </c>
      <c r="AD403" s="1405">
        <f t="array" ref="AD403">_xlfn.LET(_xlpm.S,_xlfn.ANCHORARRAY($Y$4),_xlpm.r,ROWS(stayCity[[#Headers],[city]]:stayCity[[#This Row],[city]])-1,IF(_xlpm.r&lt;=ROWS(_xlpm.S),INDEX(_xlpm.S,_xlpm.r,3),""))</f>
        <v/>
      </c>
      <c r="AE403" s="1400">
        <f>IF(stayCity[[#This Row],[out]]&lt;&gt;"",stayCity[[#This Row],[out]]-stayCity[[#This Row],[in]],"-")</f>
        <v/>
      </c>
      <c r="AF403" s="1406">
        <f>IF(Y403="","-",YEAR(stayCity[[#This Row],[in]]))</f>
        <v/>
      </c>
      <c r="AG403" s="1392" t="n"/>
      <c r="AH403" s="1392" t="n"/>
      <c r="AI403" s="1392" t="n"/>
      <c r="AJ403" s="1392" t="n"/>
      <c r="AK403" s="1392" t="n"/>
      <c r="AL403" s="1392" t="n"/>
      <c r="AM403" s="1392" t="n"/>
      <c r="AN403" s="1392" t="n"/>
      <c r="AO403" s="1392" t="n"/>
      <c r="AP403" s="1392" t="n"/>
      <c r="AQ403" s="1392" t="n"/>
      <c r="AR403" s="1392" t="n"/>
      <c r="AS403" s="1422" t="n"/>
      <c r="AT403" s="1392" t="n"/>
      <c r="AU403" s="1392" t="n"/>
      <c r="AV403" s="1392" t="n"/>
      <c r="AW403" s="1392" t="n"/>
      <c r="AX403" s="1392" t="n"/>
      <c r="AY403" s="1392" t="n"/>
      <c r="AZ403" s="1392" t="n"/>
      <c r="BA403" s="1392" t="n"/>
      <c r="BB403" s="1422" t="n"/>
      <c r="BC403" s="1392" t="n"/>
      <c r="BD403" s="1392" t="n"/>
      <c r="BE403" s="1392" t="n"/>
      <c r="BF403" s="1392" t="n"/>
      <c r="BG403" s="1392" t="n"/>
      <c r="BH403" s="1392" t="n"/>
      <c r="BI403" s="1392" t="n"/>
      <c r="BJ403" s="1392" t="n"/>
      <c r="BK403" s="1392" t="n"/>
      <c r="BL403" s="1392" t="n"/>
      <c r="BM403" s="1392" t="n"/>
      <c r="BN403" s="1392" t="n"/>
      <c r="BO403" s="1392" t="n"/>
      <c r="BP403" s="1398" t="inlineStr">
        <is>
          <t>.</t>
        </is>
      </c>
      <c r="BQ403" s="1400">
        <f>IF(BR403&lt;&gt;"",BQ402+1,BQ402)</f>
        <v/>
      </c>
      <c r="BR403" s="1411" t="n"/>
      <c r="BS403" s="1411" t="n"/>
      <c r="BT403" s="1411" t="n"/>
      <c r="BU403" s="1412" t="n"/>
      <c r="BV403" s="1398" t="inlineStr">
        <is>
          <t>.</t>
        </is>
      </c>
      <c r="BW403" s="1392" t="n"/>
      <c r="BX403" s="1392" t="n"/>
      <c r="BY403" s="1392" t="n"/>
      <c r="BZ403" s="1416" t="n"/>
      <c r="CA403" s="1392" t="n"/>
      <c r="CB403" s="1392" t="n"/>
      <c r="CC403" s="1392" t="n"/>
      <c r="CD403" s="1392" t="n"/>
      <c r="CE403" s="1392" t="n"/>
      <c r="CF403" s="1392" t="n"/>
      <c r="CG403" s="1392" t="n"/>
      <c r="CH403" s="1392" t="n"/>
      <c r="CI403" s="1392" t="n"/>
      <c r="CJ403" s="1392" t="n"/>
      <c r="CK403" s="1392" t="n"/>
      <c r="CL403" s="1392" t="n"/>
    </row>
    <row r="404">
      <c r="A404" s="5" t="inlineStr">
        <is>
          <t>.</t>
        </is>
      </c>
      <c r="B404" s="5" t="inlineStr">
        <is>
          <t>.</t>
        </is>
      </c>
      <c r="C404" s="1378">
        <f>IF(raw[[#This Row],[city]]="","-",IF(raw[[#This Row],[city]]="TODAY","-",C403+1))</f>
        <v/>
      </c>
      <c r="D404" s="1393" t="inlineStr">
        <is>
          <t>Stockholm</t>
        </is>
      </c>
      <c r="E404" s="1394" t="n">
        <v>35243</v>
      </c>
      <c r="F404" s="1394" t="n">
        <v>35243</v>
      </c>
      <c r="G404" s="1393" t="n">
        <v>1</v>
      </c>
      <c r="H404" s="1393">
        <f>H403</f>
        <v/>
      </c>
      <c r="I404" s="1393" t="inlineStr">
        <is>
          <t>-</t>
        </is>
      </c>
      <c r="J404" s="1393" t="inlineStr">
        <is>
          <t>-</t>
        </is>
      </c>
      <c r="K404" s="1395">
        <f>IF(raw[[#This Row],[city]]&lt;&gt;"",_xlfn.XLOOKUP($D404,ccc[city],ccc[prov],"-"),"-")</f>
        <v/>
      </c>
      <c r="L404" s="1395">
        <f>IF(raw[[#This Row],[city]]&lt;&gt;"",_xlfn.XLOOKUP($D404,ccc[city],ccc[ctry],"-"),"-")</f>
        <v/>
      </c>
      <c r="M404" s="1395">
        <f>IF(raw[[#This Row],[city]]&lt;&gt;"",_xlfn.XLOOKUP($D404,ccc[city],ccc[cont],"-"),"-")</f>
        <v/>
      </c>
      <c r="N404" s="1396">
        <f>IF(raw[[#This Row],[city]]="","-",IF(raw[[#This Row],[cont]]="B",raw[[#This Row],[cont]],"W"))</f>
        <v/>
      </c>
      <c r="O404" s="1397">
        <f>IF(raw[[#This Row],[out]]=0,0,IF(raw[[#This Row],[out]]=raw[[#This Row],[in]],0.01,raw[[#This Row],[out]]-raw[[#This Row],[in]]))</f>
        <v/>
      </c>
      <c r="P404" s="1397">
        <f>IF(raw[[#This Row],[in]]=0,0,MONTH(raw[[#This Row],[in]]))</f>
        <v/>
      </c>
      <c r="Q404" s="1397">
        <f>IF(raw[[#This Row],[in]]=0,0,YEAR(raw[[#This Row],[in]]))</f>
        <v/>
      </c>
      <c r="R404" s="1397">
        <f>INT(raw[[#This Row],[yr]]/10)*10</f>
        <v/>
      </c>
      <c r="S404" s="1395">
        <f>IF(raw[[#This Row],[city]]="","-",IF(raw[[#This Row],[city]]&lt;&gt;_xlfn.XLOOKUP(raw[[#This Row],[home]],homes[home],homes[city],"-"),1,0))</f>
        <v/>
      </c>
      <c r="T404" s="1398" t="inlineStr">
        <is>
          <t>.</t>
        </is>
      </c>
      <c r="U404" s="1399">
        <f>IF(raw[[#This Row],[wb]]="w",raw[[#This Row],[stay]]+U403,U403)</f>
        <v/>
      </c>
      <c r="V404" s="1400">
        <f>IF(raw[[#This Row],[out]]=0,V403,(raw[[#This Row],[out]]-E$5))</f>
        <v/>
      </c>
      <c r="W404" s="1401">
        <f>U404/V404</f>
        <v/>
      </c>
      <c r="X404" s="1378" t="inlineStr">
        <is>
          <t>.</t>
        </is>
      </c>
      <c r="Y404" s="1402">
        <f/>
        <v/>
      </c>
      <c r="Z404" s="1403">
        <f/>
        <v/>
      </c>
      <c r="AA404" s="1403">
        <f/>
        <v/>
      </c>
      <c r="AB404" s="1400">
        <f t="array" ref="AB404">_xlfn.LET(_xlpm.S,_xlfn.ANCHORARRAY($Y$4),_xlpm.r,ROWS(stayCity[[#Headers],[city]]:stayCity[[#This Row],[city]])-1,IF(_xlpm.r&lt;=ROWS(_xlpm.S),INDEX(_xlpm.S,_xlpm.r,1),""))</f>
        <v/>
      </c>
      <c r="AC404" s="1405">
        <f t="array" ref="AC404">_xlfn.LET(_xlpm.S,_xlfn.ANCHORARRAY($Y$4),_xlpm.r,ROWS(stayCity[[#Headers],[city]]:stayCity[[#This Row],[city]])-1,IF(_xlpm.r&lt;=ROWS(_xlpm.S),INDEX(_xlpm.S,_xlpm.r,2),""))</f>
        <v/>
      </c>
      <c r="AD404" s="1405">
        <f t="array" ref="AD404">_xlfn.LET(_xlpm.S,_xlfn.ANCHORARRAY($Y$4),_xlpm.r,ROWS(stayCity[[#Headers],[city]]:stayCity[[#This Row],[city]])-1,IF(_xlpm.r&lt;=ROWS(_xlpm.S),INDEX(_xlpm.S,_xlpm.r,3),""))</f>
        <v/>
      </c>
      <c r="AE404" s="1400">
        <f>IF(stayCity[[#This Row],[out]]&lt;&gt;"",stayCity[[#This Row],[out]]-stayCity[[#This Row],[in]],"-")</f>
        <v/>
      </c>
      <c r="AF404" s="1406">
        <f>IF(Y404="","-",YEAR(stayCity[[#This Row],[in]]))</f>
        <v/>
      </c>
      <c r="AG404" s="1392" t="n"/>
      <c r="AH404" s="1392" t="n"/>
      <c r="AI404" s="1392" t="n"/>
      <c r="AJ404" s="1392" t="n"/>
      <c r="AK404" s="1392" t="n"/>
      <c r="AL404" s="1392" t="n"/>
      <c r="AM404" s="1392" t="n"/>
      <c r="AN404" s="1392" t="n"/>
      <c r="AO404" s="1392" t="n"/>
      <c r="AP404" s="1392" t="n"/>
      <c r="AQ404" s="1392" t="n"/>
      <c r="AR404" s="1392" t="n"/>
      <c r="AS404" s="1422" t="n"/>
      <c r="AT404" s="1392" t="n"/>
      <c r="AU404" s="1392" t="n"/>
      <c r="AV404" s="1392" t="n"/>
      <c r="AW404" s="1392" t="n"/>
      <c r="AX404" s="1392" t="n"/>
      <c r="AY404" s="1392" t="n"/>
      <c r="AZ404" s="1392" t="n"/>
      <c r="BA404" s="1392" t="n"/>
      <c r="BB404" s="1422" t="n"/>
      <c r="BC404" s="1392" t="n"/>
      <c r="BD404" s="1392" t="n"/>
      <c r="BE404" s="1392" t="n"/>
      <c r="BF404" s="1392" t="n"/>
      <c r="BG404" s="1392" t="n"/>
      <c r="BH404" s="1392" t="n"/>
      <c r="BI404" s="1392" t="n"/>
      <c r="BJ404" s="1392" t="n"/>
      <c r="BK404" s="1392" t="n"/>
      <c r="BL404" s="1392" t="n"/>
      <c r="BM404" s="1392" t="n"/>
      <c r="BN404" s="1392" t="n"/>
      <c r="BO404" s="1392" t="n"/>
      <c r="BP404" s="1398" t="inlineStr">
        <is>
          <t>.</t>
        </is>
      </c>
      <c r="BQ404" s="1400">
        <f>IF(BR404&lt;&gt;"",BQ403+1,BQ403)</f>
        <v/>
      </c>
      <c r="BR404" s="1411" t="n"/>
      <c r="BS404" s="1411" t="n"/>
      <c r="BT404" s="1411" t="n"/>
      <c r="BU404" s="1412" t="n"/>
      <c r="BV404" s="1398" t="inlineStr">
        <is>
          <t>.</t>
        </is>
      </c>
      <c r="BW404" s="1392" t="n"/>
      <c r="BX404" s="1392" t="n"/>
      <c r="BY404" s="1392" t="n"/>
      <c r="BZ404" s="1416" t="n"/>
      <c r="CA404" s="1392" t="n"/>
      <c r="CB404" s="1392" t="n"/>
      <c r="CC404" s="1392" t="n"/>
      <c r="CD404" s="1392" t="n"/>
      <c r="CE404" s="1392" t="n"/>
      <c r="CF404" s="1392" t="n"/>
      <c r="CG404" s="1392" t="n"/>
      <c r="CH404" s="1392" t="n"/>
      <c r="CI404" s="1392" t="n"/>
      <c r="CJ404" s="1392" t="n"/>
      <c r="CK404" s="1392" t="n"/>
      <c r="CL404" s="1392" t="n"/>
    </row>
    <row r="405">
      <c r="A405" s="5" t="inlineStr">
        <is>
          <t>.</t>
        </is>
      </c>
      <c r="B405" s="5" t="inlineStr">
        <is>
          <t>.</t>
        </is>
      </c>
      <c r="C405" s="1378">
        <f>IF(raw[[#This Row],[city]]="","-",IF(raw[[#This Row],[city]]="TODAY","-",C404+1))</f>
        <v/>
      </c>
      <c r="D405" s="1393" t="inlineStr">
        <is>
          <t>London</t>
        </is>
      </c>
      <c r="E405" s="1394" t="n">
        <v>35243</v>
      </c>
      <c r="F405" s="1394" t="n">
        <v>35247</v>
      </c>
      <c r="G405" s="1393" t="inlineStr">
        <is>
          <t>-</t>
        </is>
      </c>
      <c r="H405" s="1393">
        <f>H404</f>
        <v/>
      </c>
      <c r="I405" s="1393" t="inlineStr">
        <is>
          <t>-</t>
        </is>
      </c>
      <c r="J405" s="1393" t="inlineStr">
        <is>
          <t>-</t>
        </is>
      </c>
      <c r="K405" s="1395">
        <f>IF(raw[[#This Row],[city]]&lt;&gt;"",_xlfn.XLOOKUP($D405,ccc[city],ccc[prov],"-"),"-")</f>
        <v/>
      </c>
      <c r="L405" s="1395">
        <f>IF(raw[[#This Row],[city]]&lt;&gt;"",_xlfn.XLOOKUP($D405,ccc[city],ccc[ctry],"-"),"-")</f>
        <v/>
      </c>
      <c r="M405" s="1395">
        <f>IF(raw[[#This Row],[city]]&lt;&gt;"",_xlfn.XLOOKUP($D405,ccc[city],ccc[cont],"-"),"-")</f>
        <v/>
      </c>
      <c r="N405" s="1396">
        <f>IF(raw[[#This Row],[city]]="","-",IF(raw[[#This Row],[cont]]="B",raw[[#This Row],[cont]],"W"))</f>
        <v/>
      </c>
      <c r="O405" s="1397">
        <f>IF(raw[[#This Row],[out]]=0,0,IF(raw[[#This Row],[out]]=raw[[#This Row],[in]],0.01,raw[[#This Row],[out]]-raw[[#This Row],[in]]))</f>
        <v/>
      </c>
      <c r="P405" s="1397">
        <f>IF(raw[[#This Row],[in]]=0,0,MONTH(raw[[#This Row],[in]]))</f>
        <v/>
      </c>
      <c r="Q405" s="1397">
        <f>IF(raw[[#This Row],[in]]=0,0,YEAR(raw[[#This Row],[in]]))</f>
        <v/>
      </c>
      <c r="R405" s="1397">
        <f>INT(raw[[#This Row],[yr]]/10)*10</f>
        <v/>
      </c>
      <c r="S405" s="1395">
        <f>IF(raw[[#This Row],[city]]="","-",IF(raw[[#This Row],[city]]&lt;&gt;_xlfn.XLOOKUP(raw[[#This Row],[home]],homes[home],homes[city],"-"),1,0))</f>
        <v/>
      </c>
      <c r="T405" s="1398" t="inlineStr">
        <is>
          <t>.</t>
        </is>
      </c>
      <c r="U405" s="1399">
        <f>IF(raw[[#This Row],[wb]]="w",raw[[#This Row],[stay]]+U404,U404)</f>
        <v/>
      </c>
      <c r="V405" s="1400">
        <f>IF(raw[[#This Row],[out]]=0,V404,(raw[[#This Row],[out]]-E$5))</f>
        <v/>
      </c>
      <c r="W405" s="1401">
        <f>U405/V405</f>
        <v/>
      </c>
      <c r="X405" s="1378" t="inlineStr">
        <is>
          <t>.</t>
        </is>
      </c>
      <c r="Y405" s="1402">
        <f/>
        <v/>
      </c>
      <c r="Z405" s="1403">
        <f/>
        <v/>
      </c>
      <c r="AA405" s="1403">
        <f/>
        <v/>
      </c>
      <c r="AB405" s="1400">
        <f t="array" ref="AB405">_xlfn.LET(_xlpm.S,_xlfn.ANCHORARRAY($Y$4),_xlpm.r,ROWS(stayCity[[#Headers],[city]]:stayCity[[#This Row],[city]])-1,IF(_xlpm.r&lt;=ROWS(_xlpm.S),INDEX(_xlpm.S,_xlpm.r,1),""))</f>
        <v/>
      </c>
      <c r="AC405" s="1405">
        <f t="array" ref="AC405">_xlfn.LET(_xlpm.S,_xlfn.ANCHORARRAY($Y$4),_xlpm.r,ROWS(stayCity[[#Headers],[city]]:stayCity[[#This Row],[city]])-1,IF(_xlpm.r&lt;=ROWS(_xlpm.S),INDEX(_xlpm.S,_xlpm.r,2),""))</f>
        <v/>
      </c>
      <c r="AD405" s="1405">
        <f t="array" ref="AD405">_xlfn.LET(_xlpm.S,_xlfn.ANCHORARRAY($Y$4),_xlpm.r,ROWS(stayCity[[#Headers],[city]]:stayCity[[#This Row],[city]])-1,IF(_xlpm.r&lt;=ROWS(_xlpm.S),INDEX(_xlpm.S,_xlpm.r,3),""))</f>
        <v/>
      </c>
      <c r="AE405" s="1400">
        <f>IF(stayCity[[#This Row],[out]]&lt;&gt;"",stayCity[[#This Row],[out]]-stayCity[[#This Row],[in]],"-")</f>
        <v/>
      </c>
      <c r="AF405" s="1406">
        <f>IF(Y405="","-",YEAR(stayCity[[#This Row],[in]]))</f>
        <v/>
      </c>
      <c r="AG405" s="1392" t="n"/>
      <c r="AH405" s="1392" t="n"/>
      <c r="AI405" s="1392" t="n"/>
      <c r="AJ405" s="1392" t="n"/>
      <c r="AK405" s="1392" t="n"/>
      <c r="AL405" s="1392" t="n"/>
      <c r="AM405" s="1392" t="n"/>
      <c r="AN405" s="1392" t="n"/>
      <c r="AO405" s="1392" t="n"/>
      <c r="AP405" s="1392" t="n"/>
      <c r="AQ405" s="1392" t="n"/>
      <c r="AR405" s="1392" t="n"/>
      <c r="AS405" s="1422" t="n"/>
      <c r="AT405" s="1392" t="n"/>
      <c r="AU405" s="1392" t="n"/>
      <c r="AV405" s="1392" t="n"/>
      <c r="AW405" s="1392" t="n"/>
      <c r="AX405" s="1392" t="n"/>
      <c r="AY405" s="1392" t="n"/>
      <c r="AZ405" s="1392" t="n"/>
      <c r="BA405" s="1392" t="n"/>
      <c r="BB405" s="1422" t="n"/>
      <c r="BC405" s="1392" t="n"/>
      <c r="BD405" s="1392" t="n"/>
      <c r="BE405" s="1392" t="n"/>
      <c r="BF405" s="1392" t="n"/>
      <c r="BG405" s="1392" t="n"/>
      <c r="BH405" s="1392" t="n"/>
      <c r="BI405" s="1392" t="n"/>
      <c r="BJ405" s="1392" t="n"/>
      <c r="BK405" s="1392" t="n"/>
      <c r="BL405" s="1392" t="n"/>
      <c r="BM405" s="1392" t="n"/>
      <c r="BN405" s="1392" t="n"/>
      <c r="BO405" s="1392" t="n"/>
      <c r="BP405" s="1398" t="inlineStr">
        <is>
          <t>.</t>
        </is>
      </c>
      <c r="BQ405" s="1400">
        <f>IF(BR405&lt;&gt;"",BQ404+1,BQ404)</f>
        <v/>
      </c>
      <c r="BR405" s="1411" t="n"/>
      <c r="BS405" s="1411" t="n"/>
      <c r="BT405" s="1411" t="n"/>
      <c r="BU405" s="1412" t="n"/>
      <c r="BV405" s="1398" t="inlineStr">
        <is>
          <t>.</t>
        </is>
      </c>
      <c r="BW405" s="1392" t="n"/>
      <c r="BX405" s="1392" t="n"/>
      <c r="BY405" s="1392" t="n"/>
      <c r="BZ405" s="1416" t="n"/>
      <c r="CA405" s="1392" t="n"/>
      <c r="CB405" s="1392" t="n"/>
      <c r="CC405" s="1392" t="n"/>
      <c r="CD405" s="1392" t="n"/>
      <c r="CE405" s="1392" t="n"/>
      <c r="CF405" s="1392" t="n"/>
      <c r="CG405" s="1392" t="n"/>
      <c r="CH405" s="1392" t="n"/>
      <c r="CI405" s="1392" t="n"/>
      <c r="CJ405" s="1392" t="n"/>
      <c r="CK405" s="1392" t="n"/>
      <c r="CL405" s="1392" t="n"/>
    </row>
    <row r="406">
      <c r="A406" s="5" t="inlineStr">
        <is>
          <t>.</t>
        </is>
      </c>
      <c r="B406" s="5" t="inlineStr">
        <is>
          <t>.</t>
        </is>
      </c>
      <c r="C406" s="1378">
        <f>IF(raw[[#This Row],[city]]="","-",IF(raw[[#This Row],[city]]="TODAY","-",C405+1))</f>
        <v/>
      </c>
      <c r="D406" s="1393" t="inlineStr">
        <is>
          <t>London</t>
        </is>
      </c>
      <c r="E406" s="1394" t="n">
        <v>35247</v>
      </c>
      <c r="F406" s="1394" t="n">
        <v>35278</v>
      </c>
      <c r="G406" s="1393" t="inlineStr">
        <is>
          <t>-</t>
        </is>
      </c>
      <c r="H406" s="1393">
        <f>H405</f>
        <v/>
      </c>
      <c r="I406" s="1393" t="inlineStr">
        <is>
          <t>-</t>
        </is>
      </c>
      <c r="J406" s="1393" t="inlineStr">
        <is>
          <t>-</t>
        </is>
      </c>
      <c r="K406" s="1395">
        <f>IF(raw[[#This Row],[city]]&lt;&gt;"",_xlfn.XLOOKUP($D406,ccc[city],ccc[prov],"-"),"-")</f>
        <v/>
      </c>
      <c r="L406" s="1395">
        <f>IF(raw[[#This Row],[city]]&lt;&gt;"",_xlfn.XLOOKUP($D406,ccc[city],ccc[ctry],"-"),"-")</f>
        <v/>
      </c>
      <c r="M406" s="1395">
        <f>IF(raw[[#This Row],[city]]&lt;&gt;"",_xlfn.XLOOKUP($D406,ccc[city],ccc[cont],"-"),"-")</f>
        <v/>
      </c>
      <c r="N406" s="1396">
        <f>IF(raw[[#This Row],[city]]="","-",IF(raw[[#This Row],[cont]]="B",raw[[#This Row],[cont]],"W"))</f>
        <v/>
      </c>
      <c r="O406" s="1397">
        <f>IF(raw[[#This Row],[out]]=0,0,IF(raw[[#This Row],[out]]=raw[[#This Row],[in]],0.01,raw[[#This Row],[out]]-raw[[#This Row],[in]]))</f>
        <v/>
      </c>
      <c r="P406" s="1397">
        <f>IF(raw[[#This Row],[in]]=0,0,MONTH(raw[[#This Row],[in]]))</f>
        <v/>
      </c>
      <c r="Q406" s="1397">
        <f>IF(raw[[#This Row],[in]]=0,0,YEAR(raw[[#This Row],[in]]))</f>
        <v/>
      </c>
      <c r="R406" s="1397">
        <f>INT(raw[[#This Row],[yr]]/10)*10</f>
        <v/>
      </c>
      <c r="S406" s="1395">
        <f>IF(raw[[#This Row],[city]]="","-",IF(raw[[#This Row],[city]]&lt;&gt;_xlfn.XLOOKUP(raw[[#This Row],[home]],homes[home],homes[city],"-"),1,0))</f>
        <v/>
      </c>
      <c r="T406" s="1398" t="inlineStr">
        <is>
          <t>.</t>
        </is>
      </c>
      <c r="U406" s="1399">
        <f>IF(raw[[#This Row],[wb]]="w",raw[[#This Row],[stay]]+U405,U405)</f>
        <v/>
      </c>
      <c r="V406" s="1400">
        <f>IF(raw[[#This Row],[out]]=0,V405,(raw[[#This Row],[out]]-E$5))</f>
        <v/>
      </c>
      <c r="W406" s="1401">
        <f>U406/V406</f>
        <v/>
      </c>
      <c r="X406" s="1378" t="inlineStr">
        <is>
          <t>.</t>
        </is>
      </c>
      <c r="Y406" s="1402">
        <f/>
        <v/>
      </c>
      <c r="Z406" s="1403">
        <f/>
        <v/>
      </c>
      <c r="AA406" s="1403">
        <f/>
        <v/>
      </c>
      <c r="AB406" s="1400">
        <f t="array" ref="AB406">_xlfn.LET(_xlpm.S,_xlfn.ANCHORARRAY($Y$4),_xlpm.r,ROWS(stayCity[[#Headers],[city]]:stayCity[[#This Row],[city]])-1,IF(_xlpm.r&lt;=ROWS(_xlpm.S),INDEX(_xlpm.S,_xlpm.r,1),""))</f>
        <v/>
      </c>
      <c r="AC406" s="1405">
        <f t="array" ref="AC406">_xlfn.LET(_xlpm.S,_xlfn.ANCHORARRAY($Y$4),_xlpm.r,ROWS(stayCity[[#Headers],[city]]:stayCity[[#This Row],[city]])-1,IF(_xlpm.r&lt;=ROWS(_xlpm.S),INDEX(_xlpm.S,_xlpm.r,2),""))</f>
        <v/>
      </c>
      <c r="AD406" s="1405">
        <f t="array" ref="AD406">_xlfn.LET(_xlpm.S,_xlfn.ANCHORARRAY($Y$4),_xlpm.r,ROWS(stayCity[[#Headers],[city]]:stayCity[[#This Row],[city]])-1,IF(_xlpm.r&lt;=ROWS(_xlpm.S),INDEX(_xlpm.S,_xlpm.r,3),""))</f>
        <v/>
      </c>
      <c r="AE406" s="1400">
        <f>IF(stayCity[[#This Row],[out]]&lt;&gt;"",stayCity[[#This Row],[out]]-stayCity[[#This Row],[in]],"-")</f>
        <v/>
      </c>
      <c r="AF406" s="1406">
        <f>IF(Y406="","-",YEAR(stayCity[[#This Row],[in]]))</f>
        <v/>
      </c>
      <c r="AG406" s="1392" t="n"/>
      <c r="AH406" s="1392" t="n"/>
      <c r="AI406" s="1392" t="n"/>
      <c r="AJ406" s="1392" t="n"/>
      <c r="AK406" s="1392" t="n"/>
      <c r="AL406" s="1392" t="n"/>
      <c r="AM406" s="1392" t="n"/>
      <c r="AN406" s="1392" t="n"/>
      <c r="AO406" s="1392" t="n"/>
      <c r="AP406" s="1392" t="n"/>
      <c r="AQ406" s="1392" t="n"/>
      <c r="AR406" s="1392" t="n"/>
      <c r="AS406" s="1422" t="n"/>
      <c r="AT406" s="1392" t="n"/>
      <c r="AU406" s="1392" t="n"/>
      <c r="AV406" s="1392" t="n"/>
      <c r="AW406" s="1392" t="n"/>
      <c r="AX406" s="1392" t="n"/>
      <c r="AY406" s="1392" t="n"/>
      <c r="AZ406" s="1392" t="n"/>
      <c r="BA406" s="1392" t="n"/>
      <c r="BB406" s="1422" t="n"/>
      <c r="BC406" s="1392" t="n"/>
      <c r="BD406" s="1392" t="n"/>
      <c r="BE406" s="1392" t="n"/>
      <c r="BF406" s="1392" t="n"/>
      <c r="BG406" s="1392" t="n"/>
      <c r="BH406" s="1392" t="n"/>
      <c r="BI406" s="1392" t="n"/>
      <c r="BJ406" s="1392" t="n"/>
      <c r="BK406" s="1392" t="n"/>
      <c r="BL406" s="1392" t="n"/>
      <c r="BM406" s="1392" t="n"/>
      <c r="BN406" s="1392" t="n"/>
      <c r="BO406" s="1392" t="n"/>
      <c r="BP406" s="1398" t="inlineStr">
        <is>
          <t>.</t>
        </is>
      </c>
      <c r="BQ406" s="1400">
        <f>IF(BR406&lt;&gt;"",BQ405+1,BQ405)</f>
        <v/>
      </c>
      <c r="BR406" s="1411" t="n"/>
      <c r="BS406" s="1411" t="n"/>
      <c r="BT406" s="1411" t="n"/>
      <c r="BU406" s="1412" t="n"/>
      <c r="BV406" s="1398" t="inlineStr">
        <is>
          <t>.</t>
        </is>
      </c>
      <c r="BW406" s="1392" t="n"/>
      <c r="BX406" s="1392" t="n"/>
      <c r="BY406" s="1392" t="n"/>
      <c r="BZ406" s="1416" t="n"/>
      <c r="CA406" s="1392" t="n"/>
      <c r="CB406" s="1392" t="n"/>
      <c r="CC406" s="1392" t="n"/>
      <c r="CD406" s="1392" t="n"/>
      <c r="CE406" s="1392" t="n"/>
      <c r="CF406" s="1392" t="n"/>
      <c r="CG406" s="1392" t="n"/>
      <c r="CH406" s="1392" t="n"/>
      <c r="CI406" s="1392" t="n"/>
      <c r="CJ406" s="1392" t="n"/>
      <c r="CK406" s="1392" t="n"/>
      <c r="CL406" s="1392" t="n"/>
    </row>
    <row r="407">
      <c r="A407" s="5" t="inlineStr">
        <is>
          <t>.</t>
        </is>
      </c>
      <c r="B407" s="5" t="inlineStr">
        <is>
          <t>.</t>
        </is>
      </c>
      <c r="C407" s="1378">
        <f>IF(raw[[#This Row],[city]]="","-",IF(raw[[#This Row],[city]]="TODAY","-",C406+1))</f>
        <v/>
      </c>
      <c r="D407" s="1393" t="inlineStr">
        <is>
          <t>WALES 1</t>
        </is>
      </c>
      <c r="E407" s="1394" t="n">
        <v>35278</v>
      </c>
      <c r="F407" s="1394" t="n">
        <v>35279</v>
      </c>
      <c r="G407" s="1393" t="inlineStr">
        <is>
          <t>-</t>
        </is>
      </c>
      <c r="H407" s="1393">
        <f>H406</f>
        <v/>
      </c>
      <c r="I407" s="1393" t="inlineStr">
        <is>
          <t>-</t>
        </is>
      </c>
      <c r="J407" s="1393" t="inlineStr">
        <is>
          <t>-</t>
        </is>
      </c>
      <c r="K407" s="1395">
        <f>IF(raw[[#This Row],[city]]&lt;&gt;"",_xlfn.XLOOKUP($D407,ccc[city],ccc[prov],"-"),"-")</f>
        <v/>
      </c>
      <c r="L407" s="1395">
        <f>IF(raw[[#This Row],[city]]&lt;&gt;"",_xlfn.XLOOKUP($D407,ccc[city],ccc[ctry],"-"),"-")</f>
        <v/>
      </c>
      <c r="M407" s="1395">
        <f>IF(raw[[#This Row],[city]]&lt;&gt;"",_xlfn.XLOOKUP($D407,ccc[city],ccc[cont],"-"),"-")</f>
        <v/>
      </c>
      <c r="N407" s="1396">
        <f>IF(raw[[#This Row],[city]]="","-",IF(raw[[#This Row],[cont]]="B",raw[[#This Row],[cont]],"W"))</f>
        <v/>
      </c>
      <c r="O407" s="1397">
        <f>IF(raw[[#This Row],[out]]=0,0,IF(raw[[#This Row],[out]]=raw[[#This Row],[in]],0.01,raw[[#This Row],[out]]-raw[[#This Row],[in]]))</f>
        <v/>
      </c>
      <c r="P407" s="1397">
        <f>IF(raw[[#This Row],[in]]=0,0,MONTH(raw[[#This Row],[in]]))</f>
        <v/>
      </c>
      <c r="Q407" s="1397">
        <f>IF(raw[[#This Row],[in]]=0,0,YEAR(raw[[#This Row],[in]]))</f>
        <v/>
      </c>
      <c r="R407" s="1397">
        <f>INT(raw[[#This Row],[yr]]/10)*10</f>
        <v/>
      </c>
      <c r="S407" s="1395">
        <f>IF(raw[[#This Row],[city]]="","-",IF(raw[[#This Row],[city]]&lt;&gt;_xlfn.XLOOKUP(raw[[#This Row],[home]],homes[home],homes[city],"-"),1,0))</f>
        <v/>
      </c>
      <c r="T407" s="1398" t="inlineStr">
        <is>
          <t>.</t>
        </is>
      </c>
      <c r="U407" s="1399">
        <f>IF(raw[[#This Row],[wb]]="w",raw[[#This Row],[stay]]+U406,U406)</f>
        <v/>
      </c>
      <c r="V407" s="1400">
        <f>IF(raw[[#This Row],[out]]=0,V406,(raw[[#This Row],[out]]-E$5))</f>
        <v/>
      </c>
      <c r="W407" s="1401">
        <f>U407/V407</f>
        <v/>
      </c>
      <c r="X407" s="1378" t="inlineStr">
        <is>
          <t>.</t>
        </is>
      </c>
      <c r="Y407" s="1402">
        <f/>
        <v/>
      </c>
      <c r="Z407" s="1403">
        <f/>
        <v/>
      </c>
      <c r="AA407" s="1403">
        <f/>
        <v/>
      </c>
      <c r="AB407" s="1400">
        <f t="array" ref="AB407">_xlfn.LET(_xlpm.S,_xlfn.ANCHORARRAY($Y$4),_xlpm.r,ROWS(stayCity[[#Headers],[city]]:stayCity[[#This Row],[city]])-1,IF(_xlpm.r&lt;=ROWS(_xlpm.S),INDEX(_xlpm.S,_xlpm.r,1),""))</f>
        <v/>
      </c>
      <c r="AC407" s="1405">
        <f t="array" ref="AC407">_xlfn.LET(_xlpm.S,_xlfn.ANCHORARRAY($Y$4),_xlpm.r,ROWS(stayCity[[#Headers],[city]]:stayCity[[#This Row],[city]])-1,IF(_xlpm.r&lt;=ROWS(_xlpm.S),INDEX(_xlpm.S,_xlpm.r,2),""))</f>
        <v/>
      </c>
      <c r="AD407" s="1405">
        <f t="array" ref="AD407">_xlfn.LET(_xlpm.S,_xlfn.ANCHORARRAY($Y$4),_xlpm.r,ROWS(stayCity[[#Headers],[city]]:stayCity[[#This Row],[city]])-1,IF(_xlpm.r&lt;=ROWS(_xlpm.S),INDEX(_xlpm.S,_xlpm.r,3),""))</f>
        <v/>
      </c>
      <c r="AE407" s="1400">
        <f>IF(stayCity[[#This Row],[out]]&lt;&gt;"",stayCity[[#This Row],[out]]-stayCity[[#This Row],[in]],"-")</f>
        <v/>
      </c>
      <c r="AF407" s="1406">
        <f>IF(Y407="","-",YEAR(stayCity[[#This Row],[in]]))</f>
        <v/>
      </c>
      <c r="AG407" s="1392" t="n"/>
      <c r="AH407" s="1392" t="n"/>
      <c r="AI407" s="1392" t="n"/>
      <c r="AJ407" s="1392" t="n"/>
      <c r="AK407" s="1392" t="n"/>
      <c r="AL407" s="1392" t="n"/>
      <c r="AM407" s="1392" t="n"/>
      <c r="AN407" s="1392" t="n"/>
      <c r="AO407" s="1392" t="n"/>
      <c r="AP407" s="1392" t="n"/>
      <c r="AQ407" s="1392" t="n"/>
      <c r="AR407" s="1392" t="n"/>
      <c r="AS407" s="1422" t="n"/>
      <c r="AT407" s="1392" t="n"/>
      <c r="AU407" s="1392" t="n"/>
      <c r="AV407" s="1392" t="n"/>
      <c r="AW407" s="1392" t="n"/>
      <c r="AX407" s="1392" t="n"/>
      <c r="AY407" s="1392" t="n"/>
      <c r="AZ407" s="1392" t="n"/>
      <c r="BA407" s="1392" t="n"/>
      <c r="BB407" s="1422" t="n"/>
      <c r="BC407" s="1392" t="n"/>
      <c r="BD407" s="1392" t="n"/>
      <c r="BE407" s="1392" t="n"/>
      <c r="BF407" s="1392" t="n"/>
      <c r="BG407" s="1392" t="n"/>
      <c r="BH407" s="1392" t="n"/>
      <c r="BI407" s="1392" t="n"/>
      <c r="BJ407" s="1392" t="n"/>
      <c r="BK407" s="1392" t="n"/>
      <c r="BL407" s="1392" t="n"/>
      <c r="BM407" s="1392" t="n"/>
      <c r="BN407" s="1392" t="n"/>
      <c r="BO407" s="1392" t="n"/>
      <c r="BP407" s="1398" t="inlineStr">
        <is>
          <t>.</t>
        </is>
      </c>
      <c r="BQ407" s="1400">
        <f>IF(BR407&lt;&gt;"",BQ406+1,BQ406)</f>
        <v/>
      </c>
      <c r="BR407" s="1411" t="n"/>
      <c r="BS407" s="1411" t="n"/>
      <c r="BT407" s="1411" t="n"/>
      <c r="BU407" s="1412" t="n"/>
      <c r="BV407" s="1398" t="inlineStr">
        <is>
          <t>.</t>
        </is>
      </c>
      <c r="BW407" s="1392" t="n"/>
      <c r="BX407" s="1392" t="n"/>
      <c r="BY407" s="1392" t="n"/>
      <c r="BZ407" s="1416" t="n"/>
      <c r="CA407" s="1392" t="n"/>
      <c r="CB407" s="1392" t="n"/>
      <c r="CC407" s="1392" t="n"/>
      <c r="CD407" s="1392" t="n"/>
      <c r="CE407" s="1392" t="n"/>
      <c r="CF407" s="1392" t="n"/>
      <c r="CG407" s="1392" t="n"/>
      <c r="CH407" s="1392" t="n"/>
      <c r="CI407" s="1392" t="n"/>
      <c r="CJ407" s="1392" t="n"/>
      <c r="CK407" s="1392" t="n"/>
      <c r="CL407" s="1392" t="n"/>
    </row>
    <row r="408">
      <c r="A408" s="5" t="inlineStr">
        <is>
          <t>.</t>
        </is>
      </c>
      <c r="B408" s="5" t="inlineStr">
        <is>
          <t>.</t>
        </is>
      </c>
      <c r="C408" s="1378">
        <f>IF(raw[[#This Row],[city]]="","-",IF(raw[[#This Row],[city]]="TODAY","-",C407+1))</f>
        <v/>
      </c>
      <c r="D408" s="1393" t="inlineStr">
        <is>
          <t>WALES 2</t>
        </is>
      </c>
      <c r="E408" s="1394" t="n">
        <v>35279</v>
      </c>
      <c r="F408" s="1394" t="n">
        <v>35280</v>
      </c>
      <c r="G408" s="1393" t="inlineStr">
        <is>
          <t>-</t>
        </is>
      </c>
      <c r="H408" s="1393">
        <f>H407</f>
        <v/>
      </c>
      <c r="I408" s="1393" t="inlineStr">
        <is>
          <t>-</t>
        </is>
      </c>
      <c r="J408" s="1393" t="inlineStr">
        <is>
          <t>-</t>
        </is>
      </c>
      <c r="K408" s="1395">
        <f>IF(raw[[#This Row],[city]]&lt;&gt;"",_xlfn.XLOOKUP($D408,ccc[city],ccc[prov],"-"),"-")</f>
        <v/>
      </c>
      <c r="L408" s="1395">
        <f>IF(raw[[#This Row],[city]]&lt;&gt;"",_xlfn.XLOOKUP($D408,ccc[city],ccc[ctry],"-"),"-")</f>
        <v/>
      </c>
      <c r="M408" s="1395">
        <f>IF(raw[[#This Row],[city]]&lt;&gt;"",_xlfn.XLOOKUP($D408,ccc[city],ccc[cont],"-"),"-")</f>
        <v/>
      </c>
      <c r="N408" s="1396">
        <f>IF(raw[[#This Row],[city]]="","-",IF(raw[[#This Row],[cont]]="B",raw[[#This Row],[cont]],"W"))</f>
        <v/>
      </c>
      <c r="O408" s="1397">
        <f>IF(raw[[#This Row],[out]]=0,0,IF(raw[[#This Row],[out]]=raw[[#This Row],[in]],0.01,raw[[#This Row],[out]]-raw[[#This Row],[in]]))</f>
        <v/>
      </c>
      <c r="P408" s="1397">
        <f>IF(raw[[#This Row],[in]]=0,0,MONTH(raw[[#This Row],[in]]))</f>
        <v/>
      </c>
      <c r="Q408" s="1397">
        <f>IF(raw[[#This Row],[in]]=0,0,YEAR(raw[[#This Row],[in]]))</f>
        <v/>
      </c>
      <c r="R408" s="1397">
        <f>INT(raw[[#This Row],[yr]]/10)*10</f>
        <v/>
      </c>
      <c r="S408" s="1395">
        <f>IF(raw[[#This Row],[city]]="","-",IF(raw[[#This Row],[city]]&lt;&gt;_xlfn.XLOOKUP(raw[[#This Row],[home]],homes[home],homes[city],"-"),1,0))</f>
        <v/>
      </c>
      <c r="T408" s="1398" t="inlineStr">
        <is>
          <t>.</t>
        </is>
      </c>
      <c r="U408" s="1399">
        <f>IF(raw[[#This Row],[wb]]="w",raw[[#This Row],[stay]]+U407,U407)</f>
        <v/>
      </c>
      <c r="V408" s="1400">
        <f>IF(raw[[#This Row],[out]]=0,V407,(raw[[#This Row],[out]]-E$5))</f>
        <v/>
      </c>
      <c r="W408" s="1401">
        <f>U408/V408</f>
        <v/>
      </c>
      <c r="X408" s="1378" t="inlineStr">
        <is>
          <t>.</t>
        </is>
      </c>
      <c r="Y408" s="1402">
        <f/>
        <v/>
      </c>
      <c r="Z408" s="1403">
        <f/>
        <v/>
      </c>
      <c r="AA408" s="1403">
        <f/>
        <v/>
      </c>
      <c r="AB408" s="1400">
        <f t="array" ref="AB408">_xlfn.LET(_xlpm.S,_xlfn.ANCHORARRAY($Y$4),_xlpm.r,ROWS(stayCity[[#Headers],[city]]:stayCity[[#This Row],[city]])-1,IF(_xlpm.r&lt;=ROWS(_xlpm.S),INDEX(_xlpm.S,_xlpm.r,1),""))</f>
        <v/>
      </c>
      <c r="AC408" s="1405">
        <f t="array" ref="AC408">_xlfn.LET(_xlpm.S,_xlfn.ANCHORARRAY($Y$4),_xlpm.r,ROWS(stayCity[[#Headers],[city]]:stayCity[[#This Row],[city]])-1,IF(_xlpm.r&lt;=ROWS(_xlpm.S),INDEX(_xlpm.S,_xlpm.r,2),""))</f>
        <v/>
      </c>
      <c r="AD408" s="1405">
        <f t="array" ref="AD408">_xlfn.LET(_xlpm.S,_xlfn.ANCHORARRAY($Y$4),_xlpm.r,ROWS(stayCity[[#Headers],[city]]:stayCity[[#This Row],[city]])-1,IF(_xlpm.r&lt;=ROWS(_xlpm.S),INDEX(_xlpm.S,_xlpm.r,3),""))</f>
        <v/>
      </c>
      <c r="AE408" s="1400">
        <f>IF(stayCity[[#This Row],[out]]&lt;&gt;"",stayCity[[#This Row],[out]]-stayCity[[#This Row],[in]],"-")</f>
        <v/>
      </c>
      <c r="AF408" s="1406">
        <f>IF(Y408="","-",YEAR(stayCity[[#This Row],[in]]))</f>
        <v/>
      </c>
      <c r="AG408" s="1392" t="n"/>
      <c r="AH408" s="1392" t="n"/>
      <c r="AI408" s="1392" t="n"/>
      <c r="AJ408" s="1392" t="n"/>
      <c r="AK408" s="1392" t="n"/>
      <c r="AL408" s="1392" t="n"/>
      <c r="AM408" s="1392" t="n"/>
      <c r="AN408" s="1392" t="n"/>
      <c r="AO408" s="1392" t="n"/>
      <c r="AP408" s="1392" t="n"/>
      <c r="AQ408" s="1392" t="n"/>
      <c r="AR408" s="1392" t="n"/>
      <c r="AS408" s="1422" t="n"/>
      <c r="AT408" s="1392" t="n"/>
      <c r="AU408" s="1392" t="n"/>
      <c r="AV408" s="1392" t="n"/>
      <c r="AW408" s="1392" t="n"/>
      <c r="AX408" s="1392" t="n"/>
      <c r="AY408" s="1392" t="n"/>
      <c r="AZ408" s="1392" t="n"/>
      <c r="BA408" s="1392" t="n"/>
      <c r="BB408" s="1422" t="n"/>
      <c r="BC408" s="1392" t="n"/>
      <c r="BD408" s="1392" t="n"/>
      <c r="BE408" s="1392" t="n"/>
      <c r="BF408" s="1392" t="n"/>
      <c r="BG408" s="1392" t="n"/>
      <c r="BH408" s="1392" t="n"/>
      <c r="BI408" s="1392" t="n"/>
      <c r="BJ408" s="1392" t="n"/>
      <c r="BK408" s="1392" t="n"/>
      <c r="BL408" s="1392" t="n"/>
      <c r="BM408" s="1392" t="n"/>
      <c r="BN408" s="1392" t="n"/>
      <c r="BO408" s="1392" t="n"/>
      <c r="BP408" s="1398" t="inlineStr">
        <is>
          <t>.</t>
        </is>
      </c>
      <c r="BQ408" s="1400">
        <f>IF(BR408&lt;&gt;"",BQ407+1,BQ407)</f>
        <v/>
      </c>
      <c r="BR408" s="1411" t="n"/>
      <c r="BS408" s="1411" t="n"/>
      <c r="BT408" s="1411" t="n"/>
      <c r="BU408" s="1412" t="n"/>
      <c r="BV408" s="1398" t="inlineStr">
        <is>
          <t>.</t>
        </is>
      </c>
      <c r="BW408" s="1392" t="n"/>
      <c r="BX408" s="1392" t="n"/>
      <c r="BY408" s="1392" t="n"/>
      <c r="BZ408" s="1416" t="n"/>
      <c r="CA408" s="1392" t="n"/>
      <c r="CB408" s="1392" t="n"/>
      <c r="CC408" s="1392" t="n"/>
      <c r="CD408" s="1392" t="n"/>
      <c r="CE408" s="1392" t="n"/>
      <c r="CF408" s="1392" t="n"/>
      <c r="CG408" s="1392" t="n"/>
      <c r="CH408" s="1392" t="n"/>
      <c r="CI408" s="1392" t="n"/>
      <c r="CJ408" s="1392" t="n"/>
      <c r="CK408" s="1392" t="n"/>
      <c r="CL408" s="1392" t="n"/>
    </row>
    <row r="409">
      <c r="A409" s="5" t="inlineStr">
        <is>
          <t>.</t>
        </is>
      </c>
      <c r="B409" s="5" t="inlineStr">
        <is>
          <t>.</t>
        </is>
      </c>
      <c r="C409" s="1378">
        <f>IF(raw[[#This Row],[city]]="","-",IF(raw[[#This Row],[city]]="TODAY","-",C408+1))</f>
        <v/>
      </c>
      <c r="D409" s="1393" t="inlineStr">
        <is>
          <t>London</t>
        </is>
      </c>
      <c r="E409" s="1394" t="n">
        <v>35280</v>
      </c>
      <c r="F409" s="1394" t="n">
        <v>35309</v>
      </c>
      <c r="G409" s="1393" t="inlineStr">
        <is>
          <t>-</t>
        </is>
      </c>
      <c r="H409" s="1393">
        <f>H408</f>
        <v/>
      </c>
      <c r="I409" s="1393" t="inlineStr">
        <is>
          <t>-</t>
        </is>
      </c>
      <c r="J409" s="1393" t="inlineStr">
        <is>
          <t>BDAY</t>
        </is>
      </c>
      <c r="K409" s="1395">
        <f>IF(raw[[#This Row],[city]]&lt;&gt;"",_xlfn.XLOOKUP($D409,ccc[city],ccc[prov],"-"),"-")</f>
        <v/>
      </c>
      <c r="L409" s="1395">
        <f>IF(raw[[#This Row],[city]]&lt;&gt;"",_xlfn.XLOOKUP($D409,ccc[city],ccc[ctry],"-"),"-")</f>
        <v/>
      </c>
      <c r="M409" s="1395">
        <f>IF(raw[[#This Row],[city]]&lt;&gt;"",_xlfn.XLOOKUP($D409,ccc[city],ccc[cont],"-"),"-")</f>
        <v/>
      </c>
      <c r="N409" s="1396">
        <f>IF(raw[[#This Row],[city]]="","-",IF(raw[[#This Row],[cont]]="B",raw[[#This Row],[cont]],"W"))</f>
        <v/>
      </c>
      <c r="O409" s="1397">
        <f>IF(raw[[#This Row],[out]]=0,0,IF(raw[[#This Row],[out]]=raw[[#This Row],[in]],0.01,raw[[#This Row],[out]]-raw[[#This Row],[in]]))</f>
        <v/>
      </c>
      <c r="P409" s="1397">
        <f>IF(raw[[#This Row],[in]]=0,0,MONTH(raw[[#This Row],[in]]))</f>
        <v/>
      </c>
      <c r="Q409" s="1397">
        <f>IF(raw[[#This Row],[in]]=0,0,YEAR(raw[[#This Row],[in]]))</f>
        <v/>
      </c>
      <c r="R409" s="1397">
        <f>INT(raw[[#This Row],[yr]]/10)*10</f>
        <v/>
      </c>
      <c r="S409" s="1395">
        <f>IF(raw[[#This Row],[city]]="","-",IF(raw[[#This Row],[city]]&lt;&gt;_xlfn.XLOOKUP(raw[[#This Row],[home]],homes[home],homes[city],"-"),1,0))</f>
        <v/>
      </c>
      <c r="T409" s="1398" t="inlineStr">
        <is>
          <t>.</t>
        </is>
      </c>
      <c r="U409" s="1399">
        <f>IF(raw[[#This Row],[wb]]="w",raw[[#This Row],[stay]]+U408,U408)</f>
        <v/>
      </c>
      <c r="V409" s="1400">
        <f>IF(raw[[#This Row],[out]]=0,V408,(raw[[#This Row],[out]]-E$5))</f>
        <v/>
      </c>
      <c r="W409" s="1401">
        <f>U409/V409</f>
        <v/>
      </c>
      <c r="X409" s="1378" t="inlineStr">
        <is>
          <t>.</t>
        </is>
      </c>
      <c r="Y409" s="1402">
        <f/>
        <v/>
      </c>
      <c r="Z409" s="1403">
        <f/>
        <v/>
      </c>
      <c r="AA409" s="1403">
        <f/>
        <v/>
      </c>
      <c r="AB409" s="1400">
        <f t="array" ref="AB409">_xlfn.LET(_xlpm.S,_xlfn.ANCHORARRAY($Y$4),_xlpm.r,ROWS(stayCity[[#Headers],[city]]:stayCity[[#This Row],[city]])-1,IF(_xlpm.r&lt;=ROWS(_xlpm.S),INDEX(_xlpm.S,_xlpm.r,1),""))</f>
        <v/>
      </c>
      <c r="AC409" s="1405">
        <f t="array" ref="AC409">_xlfn.LET(_xlpm.S,_xlfn.ANCHORARRAY($Y$4),_xlpm.r,ROWS(stayCity[[#Headers],[city]]:stayCity[[#This Row],[city]])-1,IF(_xlpm.r&lt;=ROWS(_xlpm.S),INDEX(_xlpm.S,_xlpm.r,2),""))</f>
        <v/>
      </c>
      <c r="AD409" s="1405">
        <f t="array" ref="AD409">_xlfn.LET(_xlpm.S,_xlfn.ANCHORARRAY($Y$4),_xlpm.r,ROWS(stayCity[[#Headers],[city]]:stayCity[[#This Row],[city]])-1,IF(_xlpm.r&lt;=ROWS(_xlpm.S),INDEX(_xlpm.S,_xlpm.r,3),""))</f>
        <v/>
      </c>
      <c r="AE409" s="1400">
        <f>IF(stayCity[[#This Row],[out]]&lt;&gt;"",stayCity[[#This Row],[out]]-stayCity[[#This Row],[in]],"-")</f>
        <v/>
      </c>
      <c r="AF409" s="1406">
        <f>IF(Y409="","-",YEAR(stayCity[[#This Row],[in]]))</f>
        <v/>
      </c>
      <c r="AG409" s="1392" t="n"/>
      <c r="AH409" s="1392" t="n"/>
      <c r="AI409" s="1392" t="n"/>
      <c r="AJ409" s="1392" t="n"/>
      <c r="AK409" s="1392" t="n"/>
      <c r="AL409" s="1392" t="n"/>
      <c r="AM409" s="1392" t="n"/>
      <c r="AN409" s="1392" t="n"/>
      <c r="AO409" s="1392" t="n"/>
      <c r="AP409" s="1392" t="n"/>
      <c r="AQ409" s="1392" t="n"/>
      <c r="AR409" s="1392" t="n"/>
      <c r="AS409" s="1422" t="n"/>
      <c r="AT409" s="1392" t="n"/>
      <c r="AU409" s="1392" t="n"/>
      <c r="AV409" s="1392" t="n"/>
      <c r="AW409" s="1392" t="n"/>
      <c r="AX409" s="1392" t="n"/>
      <c r="AY409" s="1392" t="n"/>
      <c r="AZ409" s="1392" t="n"/>
      <c r="BA409" s="1392" t="n"/>
      <c r="BB409" s="1422" t="n"/>
      <c r="BC409" s="1392" t="n"/>
      <c r="BD409" s="1392" t="n"/>
      <c r="BE409" s="1392" t="n"/>
      <c r="BF409" s="1392" t="n"/>
      <c r="BG409" s="1392" t="n"/>
      <c r="BH409" s="1392" t="n"/>
      <c r="BI409" s="1392" t="n"/>
      <c r="BJ409" s="1392" t="n"/>
      <c r="BK409" s="1392" t="n"/>
      <c r="BL409" s="1392" t="n"/>
      <c r="BM409" s="1392" t="n"/>
      <c r="BN409" s="1392" t="n"/>
      <c r="BO409" s="1392" t="n"/>
      <c r="BP409" s="1398" t="inlineStr">
        <is>
          <t>.</t>
        </is>
      </c>
      <c r="BQ409" s="1400">
        <f>IF(BR409&lt;&gt;"",BQ408+1,BQ408)</f>
        <v/>
      </c>
      <c r="BR409" s="1411" t="n"/>
      <c r="BS409" s="1411" t="n"/>
      <c r="BT409" s="1411" t="n"/>
      <c r="BU409" s="1412" t="n"/>
      <c r="BV409" s="1398" t="inlineStr">
        <is>
          <t>.</t>
        </is>
      </c>
      <c r="BW409" s="1392" t="n"/>
      <c r="BX409" s="1392" t="n"/>
      <c r="BY409" s="1392" t="n"/>
      <c r="BZ409" s="1416" t="n"/>
      <c r="CA409" s="1392" t="n"/>
      <c r="CB409" s="1392" t="n"/>
      <c r="CC409" s="1392" t="n"/>
      <c r="CD409" s="1392" t="n"/>
      <c r="CE409" s="1392" t="n"/>
      <c r="CF409" s="1392" t="n"/>
      <c r="CG409" s="1392" t="n"/>
      <c r="CH409" s="1392" t="n"/>
      <c r="CI409" s="1392" t="n"/>
      <c r="CJ409" s="1392" t="n"/>
      <c r="CK409" s="1392" t="n"/>
      <c r="CL409" s="1392" t="n"/>
    </row>
    <row r="410">
      <c r="A410" s="5" t="inlineStr">
        <is>
          <t>.</t>
        </is>
      </c>
      <c r="B410" s="5" t="inlineStr">
        <is>
          <t>.</t>
        </is>
      </c>
      <c r="C410" s="1378">
        <f>IF(raw[[#This Row],[city]]="","-",IF(raw[[#This Row],[city]]="TODAY","-",C409+1))</f>
        <v/>
      </c>
      <c r="D410" s="1393" t="inlineStr">
        <is>
          <t>London</t>
        </is>
      </c>
      <c r="E410" s="1394" t="n">
        <v>35309</v>
      </c>
      <c r="F410" s="1394" t="n">
        <v>35323</v>
      </c>
      <c r="G410" s="1393" t="inlineStr">
        <is>
          <t>-</t>
        </is>
      </c>
      <c r="H410" s="1393">
        <f>H409</f>
        <v/>
      </c>
      <c r="I410" s="1393" t="inlineStr">
        <is>
          <t>-</t>
        </is>
      </c>
      <c r="J410" s="1393" t="inlineStr">
        <is>
          <t>-</t>
        </is>
      </c>
      <c r="K410" s="1395">
        <f>IF(raw[[#This Row],[city]]&lt;&gt;"",_xlfn.XLOOKUP($D410,ccc[city],ccc[prov],"-"),"-")</f>
        <v/>
      </c>
      <c r="L410" s="1395">
        <f>IF(raw[[#This Row],[city]]&lt;&gt;"",_xlfn.XLOOKUP($D410,ccc[city],ccc[ctry],"-"),"-")</f>
        <v/>
      </c>
      <c r="M410" s="1395">
        <f>IF(raw[[#This Row],[city]]&lt;&gt;"",_xlfn.XLOOKUP($D410,ccc[city],ccc[cont],"-"),"-")</f>
        <v/>
      </c>
      <c r="N410" s="1396">
        <f>IF(raw[[#This Row],[city]]="","-",IF(raw[[#This Row],[cont]]="B",raw[[#This Row],[cont]],"W"))</f>
        <v/>
      </c>
      <c r="O410" s="1397">
        <f>IF(raw[[#This Row],[out]]=0,0,IF(raw[[#This Row],[out]]=raw[[#This Row],[in]],0.01,raw[[#This Row],[out]]-raw[[#This Row],[in]]))</f>
        <v/>
      </c>
      <c r="P410" s="1397">
        <f>IF(raw[[#This Row],[in]]=0,0,MONTH(raw[[#This Row],[in]]))</f>
        <v/>
      </c>
      <c r="Q410" s="1397">
        <f>IF(raw[[#This Row],[in]]=0,0,YEAR(raw[[#This Row],[in]]))</f>
        <v/>
      </c>
      <c r="R410" s="1397">
        <f>INT(raw[[#This Row],[yr]]/10)*10</f>
        <v/>
      </c>
      <c r="S410" s="1395">
        <f>IF(raw[[#This Row],[city]]="","-",IF(raw[[#This Row],[city]]&lt;&gt;_xlfn.XLOOKUP(raw[[#This Row],[home]],homes[home],homes[city],"-"),1,0))</f>
        <v/>
      </c>
      <c r="T410" s="1398" t="inlineStr">
        <is>
          <t>.</t>
        </is>
      </c>
      <c r="U410" s="1399">
        <f>IF(raw[[#This Row],[wb]]="w",raw[[#This Row],[stay]]+U409,U409)</f>
        <v/>
      </c>
      <c r="V410" s="1400">
        <f>IF(raw[[#This Row],[out]]=0,V409,(raw[[#This Row],[out]]-E$5))</f>
        <v/>
      </c>
      <c r="W410" s="1401">
        <f>U410/V410</f>
        <v/>
      </c>
      <c r="X410" s="1378" t="inlineStr">
        <is>
          <t>.</t>
        </is>
      </c>
      <c r="Y410" s="1402">
        <f/>
        <v/>
      </c>
      <c r="Z410" s="1403">
        <f/>
        <v/>
      </c>
      <c r="AA410" s="1403">
        <f/>
        <v/>
      </c>
      <c r="AB410" s="1400">
        <f t="array" ref="AB410">_xlfn.LET(_xlpm.S,_xlfn.ANCHORARRAY($Y$4),_xlpm.r,ROWS(stayCity[[#Headers],[city]]:stayCity[[#This Row],[city]])-1,IF(_xlpm.r&lt;=ROWS(_xlpm.S),INDEX(_xlpm.S,_xlpm.r,1),""))</f>
        <v/>
      </c>
      <c r="AC410" s="1405">
        <f t="array" ref="AC410">_xlfn.LET(_xlpm.S,_xlfn.ANCHORARRAY($Y$4),_xlpm.r,ROWS(stayCity[[#Headers],[city]]:stayCity[[#This Row],[city]])-1,IF(_xlpm.r&lt;=ROWS(_xlpm.S),INDEX(_xlpm.S,_xlpm.r,2),""))</f>
        <v/>
      </c>
      <c r="AD410" s="1405">
        <f t="array" ref="AD410">_xlfn.LET(_xlpm.S,_xlfn.ANCHORARRAY($Y$4),_xlpm.r,ROWS(stayCity[[#Headers],[city]]:stayCity[[#This Row],[city]])-1,IF(_xlpm.r&lt;=ROWS(_xlpm.S),INDEX(_xlpm.S,_xlpm.r,3),""))</f>
        <v/>
      </c>
      <c r="AE410" s="1400">
        <f>IF(stayCity[[#This Row],[out]]&lt;&gt;"",stayCity[[#This Row],[out]]-stayCity[[#This Row],[in]],"-")</f>
        <v/>
      </c>
      <c r="AF410" s="1406">
        <f>IF(Y410="","-",YEAR(stayCity[[#This Row],[in]]))</f>
        <v/>
      </c>
      <c r="AG410" s="1392" t="n"/>
      <c r="AH410" s="1392" t="n"/>
      <c r="AI410" s="1392" t="n"/>
      <c r="AJ410" s="1392" t="n"/>
      <c r="AK410" s="1392" t="n"/>
      <c r="AL410" s="1392" t="n"/>
      <c r="AM410" s="1392" t="n"/>
      <c r="AN410" s="1392" t="n"/>
      <c r="AO410" s="1392" t="n"/>
      <c r="AP410" s="1392" t="n"/>
      <c r="AQ410" s="1392" t="n"/>
      <c r="AR410" s="1392" t="n"/>
      <c r="AS410" s="1422" t="n"/>
      <c r="AT410" s="1392" t="n"/>
      <c r="AU410" s="1392" t="n"/>
      <c r="AV410" s="1392" t="n"/>
      <c r="AW410" s="1392" t="n"/>
      <c r="AX410" s="1392" t="n"/>
      <c r="AY410" s="1392" t="n"/>
      <c r="AZ410" s="1392" t="n"/>
      <c r="BA410" s="1392" t="n"/>
      <c r="BB410" s="1422" t="n"/>
      <c r="BC410" s="1392" t="n"/>
      <c r="BD410" s="1392" t="n"/>
      <c r="BE410" s="1392" t="n"/>
      <c r="BF410" s="1392" t="n"/>
      <c r="BG410" s="1392" t="n"/>
      <c r="BH410" s="1392" t="n"/>
      <c r="BI410" s="1392" t="n"/>
      <c r="BJ410" s="1392" t="n"/>
      <c r="BK410" s="1392" t="n"/>
      <c r="BL410" s="1392" t="n"/>
      <c r="BM410" s="1392" t="n"/>
      <c r="BN410" s="1392" t="n"/>
      <c r="BO410" s="1392" t="n"/>
      <c r="BP410" s="1398" t="inlineStr">
        <is>
          <t>.</t>
        </is>
      </c>
      <c r="BQ410" s="1400">
        <f>IF(BR410&lt;&gt;"",BQ409+1,BQ409)</f>
        <v/>
      </c>
      <c r="BR410" s="1411" t="n"/>
      <c r="BS410" s="1411" t="n"/>
      <c r="BT410" s="1411" t="n"/>
      <c r="BU410" s="1412" t="n"/>
      <c r="BV410" s="1398" t="inlineStr">
        <is>
          <t>.</t>
        </is>
      </c>
      <c r="BW410" s="1392" t="n"/>
      <c r="BX410" s="1392" t="n"/>
      <c r="BY410" s="1392" t="n"/>
      <c r="BZ410" s="1416" t="n"/>
      <c r="CA410" s="1392" t="n"/>
      <c r="CB410" s="1392" t="n"/>
      <c r="CC410" s="1392" t="n"/>
      <c r="CD410" s="1392" t="n"/>
      <c r="CE410" s="1392" t="n"/>
      <c r="CF410" s="1392" t="n"/>
      <c r="CG410" s="1392" t="n"/>
      <c r="CH410" s="1392" t="n"/>
      <c r="CI410" s="1392" t="n"/>
      <c r="CJ410" s="1392" t="n"/>
      <c r="CK410" s="1392" t="n"/>
      <c r="CL410" s="1392" t="n"/>
    </row>
    <row r="411">
      <c r="A411" s="5" t="inlineStr">
        <is>
          <t>.</t>
        </is>
      </c>
      <c r="B411" s="5" t="inlineStr">
        <is>
          <t>.</t>
        </is>
      </c>
      <c r="C411" s="1378">
        <f>IF(raw[[#This Row],[city]]="","-",IF(raw[[#This Row],[city]]="TODAY","-",C410+1))</f>
        <v/>
      </c>
      <c r="D411" s="1393" t="inlineStr">
        <is>
          <t>Paris</t>
        </is>
      </c>
      <c r="E411" s="1394" t="n">
        <v>35323</v>
      </c>
      <c r="F411" s="1394" t="n">
        <v>35334</v>
      </c>
      <c r="G411" s="1393" t="inlineStr">
        <is>
          <t>-</t>
        </is>
      </c>
      <c r="H411" s="1393" t="inlineStr">
        <is>
          <t>Bobigny</t>
        </is>
      </c>
      <c r="I411" s="1393" t="inlineStr">
        <is>
          <t>-</t>
        </is>
      </c>
      <c r="J411" s="1393" t="inlineStr">
        <is>
          <t>-</t>
        </is>
      </c>
      <c r="K411" s="1395">
        <f>IF(raw[[#This Row],[city]]&lt;&gt;"",_xlfn.XLOOKUP($D411,ccc[city],ccc[prov],"-"),"-")</f>
        <v/>
      </c>
      <c r="L411" s="1395">
        <f>IF(raw[[#This Row],[city]]&lt;&gt;"",_xlfn.XLOOKUP($D411,ccc[city],ccc[ctry],"-"),"-")</f>
        <v/>
      </c>
      <c r="M411" s="1395">
        <f>IF(raw[[#This Row],[city]]&lt;&gt;"",_xlfn.XLOOKUP($D411,ccc[city],ccc[cont],"-"),"-")</f>
        <v/>
      </c>
      <c r="N411" s="1396">
        <f>IF(raw[[#This Row],[city]]="","-",IF(raw[[#This Row],[cont]]="B",raw[[#This Row],[cont]],"W"))</f>
        <v/>
      </c>
      <c r="O411" s="1397">
        <f>IF(raw[[#This Row],[out]]=0,0,IF(raw[[#This Row],[out]]=raw[[#This Row],[in]],0.01,raw[[#This Row],[out]]-raw[[#This Row],[in]]))</f>
        <v/>
      </c>
      <c r="P411" s="1397">
        <f>IF(raw[[#This Row],[in]]=0,0,MONTH(raw[[#This Row],[in]]))</f>
        <v/>
      </c>
      <c r="Q411" s="1397">
        <f>IF(raw[[#This Row],[in]]=0,0,YEAR(raw[[#This Row],[in]]))</f>
        <v/>
      </c>
      <c r="R411" s="1397">
        <f>INT(raw[[#This Row],[yr]]/10)*10</f>
        <v/>
      </c>
      <c r="S411" s="1395">
        <f>IF(raw[[#This Row],[city]]="","-",IF(raw[[#This Row],[city]]&lt;&gt;_xlfn.XLOOKUP(raw[[#This Row],[home]],homes[home],homes[city],"-"),1,0))</f>
        <v/>
      </c>
      <c r="T411" s="1398" t="inlineStr">
        <is>
          <t>.</t>
        </is>
      </c>
      <c r="U411" s="1399">
        <f>IF(raw[[#This Row],[wb]]="w",raw[[#This Row],[stay]]+U410,U410)</f>
        <v/>
      </c>
      <c r="V411" s="1400">
        <f>IF(raw[[#This Row],[out]]=0,V410,(raw[[#This Row],[out]]-E$5))</f>
        <v/>
      </c>
      <c r="W411" s="1401">
        <f>U411/V411</f>
        <v/>
      </c>
      <c r="X411" s="1378" t="inlineStr">
        <is>
          <t>.</t>
        </is>
      </c>
      <c r="Y411" s="1402">
        <f/>
        <v/>
      </c>
      <c r="Z411" s="1403">
        <f/>
        <v/>
      </c>
      <c r="AA411" s="1403">
        <f/>
        <v/>
      </c>
      <c r="AB411" s="1400">
        <f t="array" ref="AB411">_xlfn.LET(_xlpm.S,_xlfn.ANCHORARRAY($Y$4),_xlpm.r,ROWS(stayCity[[#Headers],[city]]:stayCity[[#This Row],[city]])-1,IF(_xlpm.r&lt;=ROWS(_xlpm.S),INDEX(_xlpm.S,_xlpm.r,1),""))</f>
        <v/>
      </c>
      <c r="AC411" s="1405">
        <f t="array" ref="AC411">_xlfn.LET(_xlpm.S,_xlfn.ANCHORARRAY($Y$4),_xlpm.r,ROWS(stayCity[[#Headers],[city]]:stayCity[[#This Row],[city]])-1,IF(_xlpm.r&lt;=ROWS(_xlpm.S),INDEX(_xlpm.S,_xlpm.r,2),""))</f>
        <v/>
      </c>
      <c r="AD411" s="1405">
        <f t="array" ref="AD411">_xlfn.LET(_xlpm.S,_xlfn.ANCHORARRAY($Y$4),_xlpm.r,ROWS(stayCity[[#Headers],[city]]:stayCity[[#This Row],[city]])-1,IF(_xlpm.r&lt;=ROWS(_xlpm.S),INDEX(_xlpm.S,_xlpm.r,3),""))</f>
        <v/>
      </c>
      <c r="AE411" s="1400">
        <f>IF(stayCity[[#This Row],[out]]&lt;&gt;"",stayCity[[#This Row],[out]]-stayCity[[#This Row],[in]],"-")</f>
        <v/>
      </c>
      <c r="AF411" s="1406">
        <f>IF(Y411="","-",YEAR(stayCity[[#This Row],[in]]))</f>
        <v/>
      </c>
      <c r="AG411" s="1392" t="n"/>
      <c r="AH411" s="1392" t="n"/>
      <c r="AI411" s="1392" t="n"/>
      <c r="AJ411" s="1392" t="n"/>
      <c r="AK411" s="1392" t="n"/>
      <c r="AL411" s="1392" t="n"/>
      <c r="AM411" s="1392" t="n"/>
      <c r="AN411" s="1392" t="n"/>
      <c r="AO411" s="1392" t="n"/>
      <c r="AP411" s="1392" t="n"/>
      <c r="AQ411" s="1392" t="n"/>
      <c r="AR411" s="1392" t="n"/>
      <c r="AS411" s="1422" t="n"/>
      <c r="AT411" s="1392" t="n"/>
      <c r="AU411" s="1392" t="n"/>
      <c r="AV411" s="1392" t="n"/>
      <c r="AW411" s="1392" t="n"/>
      <c r="AX411" s="1392" t="n"/>
      <c r="AY411" s="1392" t="n"/>
      <c r="AZ411" s="1392" t="n"/>
      <c r="BA411" s="1392" t="n"/>
      <c r="BB411" s="1422" t="n"/>
      <c r="BC411" s="1392" t="n"/>
      <c r="BD411" s="1392" t="n"/>
      <c r="BE411" s="1392" t="n"/>
      <c r="BF411" s="1392" t="n"/>
      <c r="BG411" s="1392" t="n"/>
      <c r="BH411" s="1392" t="n"/>
      <c r="BI411" s="1392" t="n"/>
      <c r="BJ411" s="1392" t="n"/>
      <c r="BK411" s="1392" t="n"/>
      <c r="BL411" s="1392" t="n"/>
      <c r="BM411" s="1392" t="n"/>
      <c r="BN411" s="1392" t="n"/>
      <c r="BO411" s="1392" t="n"/>
      <c r="BP411" s="1398" t="inlineStr">
        <is>
          <t>.</t>
        </is>
      </c>
      <c r="BQ411" s="1400">
        <f>IF(BR411&lt;&gt;"",BQ410+1,BQ410)</f>
        <v/>
      </c>
      <c r="BR411" s="1411" t="n"/>
      <c r="BS411" s="1411" t="n"/>
      <c r="BT411" s="1411" t="n"/>
      <c r="BU411" s="1412" t="n"/>
      <c r="BV411" s="1398" t="inlineStr">
        <is>
          <t>.</t>
        </is>
      </c>
      <c r="BW411" s="1392" t="n"/>
      <c r="BX411" s="1392" t="n"/>
      <c r="BY411" s="1392" t="n"/>
      <c r="BZ411" s="1416" t="n"/>
      <c r="CA411" s="1392" t="n"/>
      <c r="CB411" s="1392" t="n"/>
      <c r="CC411" s="1392" t="n"/>
      <c r="CD411" s="1392" t="n"/>
      <c r="CE411" s="1392" t="n"/>
      <c r="CF411" s="1392" t="n"/>
      <c r="CG411" s="1392" t="n"/>
      <c r="CH411" s="1392" t="n"/>
      <c r="CI411" s="1392" t="n"/>
      <c r="CJ411" s="1392" t="n"/>
      <c r="CK411" s="1392" t="n"/>
      <c r="CL411" s="1392" t="n"/>
    </row>
    <row r="412">
      <c r="A412" s="5" t="inlineStr">
        <is>
          <t>.</t>
        </is>
      </c>
      <c r="B412" s="5" t="inlineStr">
        <is>
          <t>.</t>
        </is>
      </c>
      <c r="C412" s="1378">
        <f>IF(raw[[#This Row],[city]]="","-",IF(raw[[#This Row],[city]]="TODAY","-",C411+1))</f>
        <v/>
      </c>
      <c r="D412" s="1393" t="inlineStr">
        <is>
          <t>Amsterdam</t>
        </is>
      </c>
      <c r="E412" s="1394" t="n">
        <v>35334</v>
      </c>
      <c r="F412" s="1394" t="n">
        <v>35337</v>
      </c>
      <c r="G412" s="1393" t="inlineStr">
        <is>
          <t>-</t>
        </is>
      </c>
      <c r="H412" s="1393" t="inlineStr">
        <is>
          <t>Bobigny</t>
        </is>
      </c>
      <c r="I412" s="1393" t="inlineStr">
        <is>
          <t>-</t>
        </is>
      </c>
      <c r="J412" s="1393" t="inlineStr">
        <is>
          <t>-</t>
        </is>
      </c>
      <c r="K412" s="1395">
        <f>IF(raw[[#This Row],[city]]&lt;&gt;"",_xlfn.XLOOKUP($D412,ccc[city],ccc[prov],"-"),"-")</f>
        <v/>
      </c>
      <c r="L412" s="1395">
        <f>IF(raw[[#This Row],[city]]&lt;&gt;"",_xlfn.XLOOKUP($D412,ccc[city],ccc[ctry],"-"),"-")</f>
        <v/>
      </c>
      <c r="M412" s="1395">
        <f>IF(raw[[#This Row],[city]]&lt;&gt;"",_xlfn.XLOOKUP($D412,ccc[city],ccc[cont],"-"),"-")</f>
        <v/>
      </c>
      <c r="N412" s="1396">
        <f>IF(raw[[#This Row],[city]]="","-",IF(raw[[#This Row],[cont]]="B",raw[[#This Row],[cont]],"W"))</f>
        <v/>
      </c>
      <c r="O412" s="1397">
        <f>IF(raw[[#This Row],[out]]=0,0,IF(raw[[#This Row],[out]]=raw[[#This Row],[in]],0.01,raw[[#This Row],[out]]-raw[[#This Row],[in]]))</f>
        <v/>
      </c>
      <c r="P412" s="1397">
        <f>IF(raw[[#This Row],[in]]=0,0,MONTH(raw[[#This Row],[in]]))</f>
        <v/>
      </c>
      <c r="Q412" s="1397">
        <f>IF(raw[[#This Row],[in]]=0,0,YEAR(raw[[#This Row],[in]]))</f>
        <v/>
      </c>
      <c r="R412" s="1397">
        <f>INT(raw[[#This Row],[yr]]/10)*10</f>
        <v/>
      </c>
      <c r="S412" s="1395">
        <f>IF(raw[[#This Row],[city]]="","-",IF(raw[[#This Row],[city]]&lt;&gt;_xlfn.XLOOKUP(raw[[#This Row],[home]],homes[home],homes[city],"-"),1,0))</f>
        <v/>
      </c>
      <c r="T412" s="1398" t="inlineStr">
        <is>
          <t>.</t>
        </is>
      </c>
      <c r="U412" s="1399">
        <f>IF(raw[[#This Row],[wb]]="w",raw[[#This Row],[stay]]+U411,U411)</f>
        <v/>
      </c>
      <c r="V412" s="1400">
        <f>IF(raw[[#This Row],[out]]=0,V411,(raw[[#This Row],[out]]-E$5))</f>
        <v/>
      </c>
      <c r="W412" s="1401">
        <f>U412/V412</f>
        <v/>
      </c>
      <c r="X412" s="1378" t="inlineStr">
        <is>
          <t>.</t>
        </is>
      </c>
      <c r="Y412" s="1402">
        <f/>
        <v/>
      </c>
      <c r="Z412" s="1403">
        <f/>
        <v/>
      </c>
      <c r="AA412" s="1403">
        <f/>
        <v/>
      </c>
      <c r="AB412" s="1400">
        <f t="array" ref="AB412">_xlfn.LET(_xlpm.S,_xlfn.ANCHORARRAY($Y$4),_xlpm.r,ROWS(stayCity[[#Headers],[city]]:stayCity[[#This Row],[city]])-1,IF(_xlpm.r&lt;=ROWS(_xlpm.S),INDEX(_xlpm.S,_xlpm.r,1),""))</f>
        <v/>
      </c>
      <c r="AC412" s="1405">
        <f t="array" ref="AC412">_xlfn.LET(_xlpm.S,_xlfn.ANCHORARRAY($Y$4),_xlpm.r,ROWS(stayCity[[#Headers],[city]]:stayCity[[#This Row],[city]])-1,IF(_xlpm.r&lt;=ROWS(_xlpm.S),INDEX(_xlpm.S,_xlpm.r,2),""))</f>
        <v/>
      </c>
      <c r="AD412" s="1405">
        <f t="array" ref="AD412">_xlfn.LET(_xlpm.S,_xlfn.ANCHORARRAY($Y$4),_xlpm.r,ROWS(stayCity[[#Headers],[city]]:stayCity[[#This Row],[city]])-1,IF(_xlpm.r&lt;=ROWS(_xlpm.S),INDEX(_xlpm.S,_xlpm.r,3),""))</f>
        <v/>
      </c>
      <c r="AE412" s="1400">
        <f>IF(stayCity[[#This Row],[out]]&lt;&gt;"",stayCity[[#This Row],[out]]-stayCity[[#This Row],[in]],"-")</f>
        <v/>
      </c>
      <c r="AF412" s="1406">
        <f>IF(Y412="","-",YEAR(stayCity[[#This Row],[in]]))</f>
        <v/>
      </c>
      <c r="AG412" s="1392" t="n"/>
      <c r="AH412" s="1392" t="n"/>
      <c r="AI412" s="1392" t="n"/>
      <c r="AJ412" s="1392" t="n"/>
      <c r="AK412" s="1392" t="n"/>
      <c r="AL412" s="1392" t="n"/>
      <c r="AM412" s="1392" t="n"/>
      <c r="AN412" s="1392" t="n"/>
      <c r="AO412" s="1392" t="n"/>
      <c r="AP412" s="1392" t="n"/>
      <c r="AQ412" s="1392" t="n"/>
      <c r="AR412" s="1392" t="n"/>
      <c r="AS412" s="1422" t="n"/>
      <c r="AT412" s="1392" t="n"/>
      <c r="AU412" s="1392" t="n"/>
      <c r="AV412" s="1392" t="n"/>
      <c r="AW412" s="1392" t="n"/>
      <c r="AX412" s="1392" t="n"/>
      <c r="AY412" s="1392" t="n"/>
      <c r="AZ412" s="1392" t="n"/>
      <c r="BA412" s="1392" t="n"/>
      <c r="BB412" s="1422" t="n"/>
      <c r="BC412" s="1392" t="n"/>
      <c r="BD412" s="1392" t="n"/>
      <c r="BE412" s="1392" t="n"/>
      <c r="BF412" s="1392" t="n"/>
      <c r="BG412" s="1392" t="n"/>
      <c r="BH412" s="1392" t="n"/>
      <c r="BI412" s="1392" t="n"/>
      <c r="BJ412" s="1392" t="n"/>
      <c r="BK412" s="1392" t="n"/>
      <c r="BL412" s="1392" t="n"/>
      <c r="BM412" s="1392" t="n"/>
      <c r="BN412" s="1392" t="n"/>
      <c r="BO412" s="1392" t="n"/>
      <c r="BP412" s="1398" t="inlineStr">
        <is>
          <t>.</t>
        </is>
      </c>
      <c r="BQ412" s="1400">
        <f>IF(BR412&lt;&gt;"",BQ411+1,BQ411)</f>
        <v/>
      </c>
      <c r="BR412" s="1411" t="n"/>
      <c r="BS412" s="1411" t="n"/>
      <c r="BT412" s="1411" t="n"/>
      <c r="BU412" s="1412" t="n"/>
      <c r="BV412" s="1398" t="inlineStr">
        <is>
          <t>.</t>
        </is>
      </c>
      <c r="BW412" s="1392" t="n"/>
      <c r="BX412" s="1392" t="n"/>
      <c r="BY412" s="1392" t="n"/>
      <c r="BZ412" s="1416" t="n"/>
      <c r="CA412" s="1392" t="n"/>
      <c r="CB412" s="1392" t="n"/>
      <c r="CC412" s="1392" t="n"/>
      <c r="CD412" s="1392" t="n"/>
      <c r="CE412" s="1392" t="n"/>
      <c r="CF412" s="1392" t="n"/>
      <c r="CG412" s="1392" t="n"/>
      <c r="CH412" s="1392" t="n"/>
      <c r="CI412" s="1392" t="n"/>
      <c r="CJ412" s="1392" t="n"/>
      <c r="CK412" s="1392" t="n"/>
      <c r="CL412" s="1392" t="n"/>
    </row>
    <row r="413">
      <c r="A413" s="5" t="inlineStr">
        <is>
          <t>.</t>
        </is>
      </c>
      <c r="B413" s="5" t="inlineStr">
        <is>
          <t>.</t>
        </is>
      </c>
      <c r="C413" s="1378">
        <f>IF(raw[[#This Row],[city]]="","-",IF(raw[[#This Row],[city]]="TODAY","-",C412+1))</f>
        <v/>
      </c>
      <c r="D413" s="1393" t="inlineStr">
        <is>
          <t>Paris</t>
        </is>
      </c>
      <c r="E413" s="1394" t="n">
        <v>35337</v>
      </c>
      <c r="F413" s="1394" t="n">
        <v>35339</v>
      </c>
      <c r="G413" s="1393" t="inlineStr">
        <is>
          <t>-</t>
        </is>
      </c>
      <c r="H413" s="1393" t="inlineStr">
        <is>
          <t>Bobigny</t>
        </is>
      </c>
      <c r="I413" s="1393" t="inlineStr">
        <is>
          <t>-</t>
        </is>
      </c>
      <c r="J413" s="1393" t="inlineStr">
        <is>
          <t>-</t>
        </is>
      </c>
      <c r="K413" s="1395">
        <f>IF(raw[[#This Row],[city]]&lt;&gt;"",_xlfn.XLOOKUP($D413,ccc[city],ccc[prov],"-"),"-")</f>
        <v/>
      </c>
      <c r="L413" s="1395">
        <f>IF(raw[[#This Row],[city]]&lt;&gt;"",_xlfn.XLOOKUP($D413,ccc[city],ccc[ctry],"-"),"-")</f>
        <v/>
      </c>
      <c r="M413" s="1395">
        <f>IF(raw[[#This Row],[city]]&lt;&gt;"",_xlfn.XLOOKUP($D413,ccc[city],ccc[cont],"-"),"-")</f>
        <v/>
      </c>
      <c r="N413" s="1396">
        <f>IF(raw[[#This Row],[city]]="","-",IF(raw[[#This Row],[cont]]="B",raw[[#This Row],[cont]],"W"))</f>
        <v/>
      </c>
      <c r="O413" s="1397">
        <f>IF(raw[[#This Row],[out]]=0,0,IF(raw[[#This Row],[out]]=raw[[#This Row],[in]],0.01,raw[[#This Row],[out]]-raw[[#This Row],[in]]))</f>
        <v/>
      </c>
      <c r="P413" s="1397">
        <f>IF(raw[[#This Row],[in]]=0,0,MONTH(raw[[#This Row],[in]]))</f>
        <v/>
      </c>
      <c r="Q413" s="1397">
        <f>IF(raw[[#This Row],[in]]=0,0,YEAR(raw[[#This Row],[in]]))</f>
        <v/>
      </c>
      <c r="R413" s="1397">
        <f>INT(raw[[#This Row],[yr]]/10)*10</f>
        <v/>
      </c>
      <c r="S413" s="1395">
        <f>IF(raw[[#This Row],[city]]="","-",IF(raw[[#This Row],[city]]&lt;&gt;_xlfn.XLOOKUP(raw[[#This Row],[home]],homes[home],homes[city],"-"),1,0))</f>
        <v/>
      </c>
      <c r="T413" s="1398" t="inlineStr">
        <is>
          <t>.</t>
        </is>
      </c>
      <c r="U413" s="1399">
        <f>IF(raw[[#This Row],[wb]]="w",raw[[#This Row],[stay]]+U412,U412)</f>
        <v/>
      </c>
      <c r="V413" s="1400">
        <f>IF(raw[[#This Row],[out]]=0,V412,(raw[[#This Row],[out]]-E$5))</f>
        <v/>
      </c>
      <c r="W413" s="1401">
        <f>U413/V413</f>
        <v/>
      </c>
      <c r="X413" s="1378" t="inlineStr">
        <is>
          <t>.</t>
        </is>
      </c>
      <c r="Y413" s="1402">
        <f/>
        <v/>
      </c>
      <c r="Z413" s="1403">
        <f/>
        <v/>
      </c>
      <c r="AA413" s="1403">
        <f/>
        <v/>
      </c>
      <c r="AB413" s="1400">
        <f t="array" ref="AB413">_xlfn.LET(_xlpm.S,_xlfn.ANCHORARRAY($Y$4),_xlpm.r,ROWS(stayCity[[#Headers],[city]]:stayCity[[#This Row],[city]])-1,IF(_xlpm.r&lt;=ROWS(_xlpm.S),INDEX(_xlpm.S,_xlpm.r,1),""))</f>
        <v/>
      </c>
      <c r="AC413" s="1405">
        <f t="array" ref="AC413">_xlfn.LET(_xlpm.S,_xlfn.ANCHORARRAY($Y$4),_xlpm.r,ROWS(stayCity[[#Headers],[city]]:stayCity[[#This Row],[city]])-1,IF(_xlpm.r&lt;=ROWS(_xlpm.S),INDEX(_xlpm.S,_xlpm.r,2),""))</f>
        <v/>
      </c>
      <c r="AD413" s="1405">
        <f t="array" ref="AD413">_xlfn.LET(_xlpm.S,_xlfn.ANCHORARRAY($Y$4),_xlpm.r,ROWS(stayCity[[#Headers],[city]]:stayCity[[#This Row],[city]])-1,IF(_xlpm.r&lt;=ROWS(_xlpm.S),INDEX(_xlpm.S,_xlpm.r,3),""))</f>
        <v/>
      </c>
      <c r="AE413" s="1400">
        <f>IF(stayCity[[#This Row],[out]]&lt;&gt;"",stayCity[[#This Row],[out]]-stayCity[[#This Row],[in]],"-")</f>
        <v/>
      </c>
      <c r="AF413" s="1406">
        <f>IF(Y413="","-",YEAR(stayCity[[#This Row],[in]]))</f>
        <v/>
      </c>
      <c r="AG413" s="1392" t="n"/>
      <c r="AH413" s="1392" t="n"/>
      <c r="AI413" s="1392" t="n"/>
      <c r="AJ413" s="1392" t="n"/>
      <c r="AK413" s="1392" t="n"/>
      <c r="AL413" s="1392" t="n"/>
      <c r="AM413" s="1392" t="n"/>
      <c r="AN413" s="1392" t="n"/>
      <c r="AO413" s="1392" t="n"/>
      <c r="AP413" s="1392" t="n"/>
      <c r="AQ413" s="1392" t="n"/>
      <c r="AR413" s="1392" t="n"/>
      <c r="AS413" s="1422" t="n"/>
      <c r="AT413" s="1392" t="n"/>
      <c r="AU413" s="1392" t="n"/>
      <c r="AV413" s="1392" t="n"/>
      <c r="AW413" s="1392" t="n"/>
      <c r="AX413" s="1392" t="n"/>
      <c r="AY413" s="1392" t="n"/>
      <c r="AZ413" s="1392" t="n"/>
      <c r="BA413" s="1392" t="n"/>
      <c r="BB413" s="1422" t="n"/>
      <c r="BC413" s="1392" t="n"/>
      <c r="BD413" s="1392" t="n"/>
      <c r="BE413" s="1392" t="n"/>
      <c r="BF413" s="1392" t="n"/>
      <c r="BG413" s="1392" t="n"/>
      <c r="BH413" s="1392" t="n"/>
      <c r="BI413" s="1392" t="n"/>
      <c r="BJ413" s="1392" t="n"/>
      <c r="BK413" s="1392" t="n"/>
      <c r="BL413" s="1392" t="n"/>
      <c r="BM413" s="1392" t="n"/>
      <c r="BN413" s="1392" t="n"/>
      <c r="BO413" s="1392" t="n"/>
      <c r="BP413" s="1392" t="n"/>
      <c r="BQ413" s="1392" t="n"/>
      <c r="BR413" s="1392" t="n"/>
      <c r="BS413" s="1392" t="n"/>
      <c r="BT413" s="1392" t="n"/>
      <c r="BU413" s="1416" t="n"/>
      <c r="BV413" s="1392" t="n"/>
      <c r="BW413" s="1392" t="n"/>
      <c r="BX413" s="1392" t="n"/>
      <c r="BY413" s="1392" t="n"/>
      <c r="BZ413" s="1416" t="n"/>
      <c r="CA413" s="1392" t="n"/>
      <c r="CB413" s="1392" t="n"/>
      <c r="CC413" s="1392" t="n"/>
      <c r="CD413" s="1392" t="n"/>
      <c r="CE413" s="1392" t="n"/>
      <c r="CF413" s="1392" t="n"/>
      <c r="CG413" s="1392" t="n"/>
      <c r="CH413" s="1392" t="n"/>
      <c r="CI413" s="1392" t="n"/>
      <c r="CJ413" s="1392" t="n"/>
      <c r="CK413" s="1392" t="n"/>
      <c r="CL413" s="1392" t="n"/>
    </row>
    <row r="414">
      <c r="A414" s="5" t="inlineStr">
        <is>
          <t>.</t>
        </is>
      </c>
      <c r="B414" s="5" t="inlineStr">
        <is>
          <t>.</t>
        </is>
      </c>
      <c r="C414" s="1378">
        <f>IF(raw[[#This Row],[city]]="","-",IF(raw[[#This Row],[city]]="TODAY","-",C413+1))</f>
        <v/>
      </c>
      <c r="D414" s="1393" t="inlineStr">
        <is>
          <t>Paris</t>
        </is>
      </c>
      <c r="E414" s="1394" t="n">
        <v>35339</v>
      </c>
      <c r="F414" s="1394" t="n">
        <v>35370</v>
      </c>
      <c r="G414" s="1393" t="inlineStr">
        <is>
          <t>-</t>
        </is>
      </c>
      <c r="H414" s="1393" t="inlineStr">
        <is>
          <t>Bobigny</t>
        </is>
      </c>
      <c r="I414" s="1393" t="inlineStr">
        <is>
          <t>-</t>
        </is>
      </c>
      <c r="J414" s="1393" t="inlineStr">
        <is>
          <t>-</t>
        </is>
      </c>
      <c r="K414" s="1395">
        <f>IF(raw[[#This Row],[city]]&lt;&gt;"",_xlfn.XLOOKUP($D414,ccc[city],ccc[prov],"-"),"-")</f>
        <v/>
      </c>
      <c r="L414" s="1395">
        <f>IF(raw[[#This Row],[city]]&lt;&gt;"",_xlfn.XLOOKUP($D414,ccc[city],ccc[ctry],"-"),"-")</f>
        <v/>
      </c>
      <c r="M414" s="1395">
        <f>IF(raw[[#This Row],[city]]&lt;&gt;"",_xlfn.XLOOKUP($D414,ccc[city],ccc[cont],"-"),"-")</f>
        <v/>
      </c>
      <c r="N414" s="1396">
        <f>IF(raw[[#This Row],[city]]="","-",IF(raw[[#This Row],[cont]]="B",raw[[#This Row],[cont]],"W"))</f>
        <v/>
      </c>
      <c r="O414" s="1397">
        <f>IF(raw[[#This Row],[out]]=0,0,IF(raw[[#This Row],[out]]=raw[[#This Row],[in]],0.01,raw[[#This Row],[out]]-raw[[#This Row],[in]]))</f>
        <v/>
      </c>
      <c r="P414" s="1397">
        <f>IF(raw[[#This Row],[in]]=0,0,MONTH(raw[[#This Row],[in]]))</f>
        <v/>
      </c>
      <c r="Q414" s="1397">
        <f>IF(raw[[#This Row],[in]]=0,0,YEAR(raw[[#This Row],[in]]))</f>
        <v/>
      </c>
      <c r="R414" s="1397">
        <f>INT(raw[[#This Row],[yr]]/10)*10</f>
        <v/>
      </c>
      <c r="S414" s="1395">
        <f>IF(raw[[#This Row],[city]]="","-",IF(raw[[#This Row],[city]]&lt;&gt;_xlfn.XLOOKUP(raw[[#This Row],[home]],homes[home],homes[city],"-"),1,0))</f>
        <v/>
      </c>
      <c r="T414" s="1398" t="inlineStr">
        <is>
          <t>.</t>
        </is>
      </c>
      <c r="U414" s="1399">
        <f>IF(raw[[#This Row],[wb]]="w",raw[[#This Row],[stay]]+U413,U413)</f>
        <v/>
      </c>
      <c r="V414" s="1400">
        <f>IF(raw[[#This Row],[out]]=0,V413,(raw[[#This Row],[out]]-E$5))</f>
        <v/>
      </c>
      <c r="W414" s="1401">
        <f>U414/V414</f>
        <v/>
      </c>
      <c r="X414" s="1378" t="inlineStr">
        <is>
          <t>.</t>
        </is>
      </c>
      <c r="Y414" s="1402">
        <f/>
        <v/>
      </c>
      <c r="Z414" s="1403">
        <f/>
        <v/>
      </c>
      <c r="AA414" s="1403">
        <f/>
        <v/>
      </c>
      <c r="AB414" s="1400">
        <f t="array" ref="AB414">_xlfn.LET(_xlpm.S,_xlfn.ANCHORARRAY($Y$4),_xlpm.r,ROWS(stayCity[[#Headers],[city]]:stayCity[[#This Row],[city]])-1,IF(_xlpm.r&lt;=ROWS(_xlpm.S),INDEX(_xlpm.S,_xlpm.r,1),""))</f>
        <v/>
      </c>
      <c r="AC414" s="1405">
        <f t="array" ref="AC414">_xlfn.LET(_xlpm.S,_xlfn.ANCHORARRAY($Y$4),_xlpm.r,ROWS(stayCity[[#Headers],[city]]:stayCity[[#This Row],[city]])-1,IF(_xlpm.r&lt;=ROWS(_xlpm.S),INDEX(_xlpm.S,_xlpm.r,2),""))</f>
        <v/>
      </c>
      <c r="AD414" s="1405">
        <f t="array" ref="AD414">_xlfn.LET(_xlpm.S,_xlfn.ANCHORARRAY($Y$4),_xlpm.r,ROWS(stayCity[[#Headers],[city]]:stayCity[[#This Row],[city]])-1,IF(_xlpm.r&lt;=ROWS(_xlpm.S),INDEX(_xlpm.S,_xlpm.r,3),""))</f>
        <v/>
      </c>
      <c r="AE414" s="1400">
        <f>IF(stayCity[[#This Row],[out]]&lt;&gt;"",stayCity[[#This Row],[out]]-stayCity[[#This Row],[in]],"-")</f>
        <v/>
      </c>
      <c r="AF414" s="1406">
        <f>IF(Y414="","-",YEAR(stayCity[[#This Row],[in]]))</f>
        <v/>
      </c>
      <c r="AG414" s="1392" t="n"/>
      <c r="AH414" s="1392" t="n"/>
      <c r="AI414" s="1392" t="n"/>
      <c r="AJ414" s="1392" t="n"/>
      <c r="AK414" s="1392" t="n"/>
      <c r="AL414" s="1392" t="n"/>
      <c r="AM414" s="1392" t="n"/>
      <c r="AN414" s="1392" t="n"/>
      <c r="AO414" s="1392" t="n"/>
      <c r="AP414" s="1392" t="n"/>
      <c r="AQ414" s="1392" t="n"/>
      <c r="AR414" s="1392" t="n"/>
      <c r="AS414" s="1422" t="n"/>
      <c r="AT414" s="1392" t="n"/>
      <c r="AU414" s="1392" t="n"/>
      <c r="AV414" s="1392" t="n"/>
      <c r="AW414" s="1392" t="n"/>
      <c r="AX414" s="1392" t="n"/>
      <c r="AY414" s="1392" t="n"/>
      <c r="AZ414" s="1392" t="n"/>
      <c r="BA414" s="1392" t="n"/>
      <c r="BB414" s="1422" t="n"/>
      <c r="BC414" s="1392" t="n"/>
      <c r="BD414" s="1392" t="n"/>
      <c r="BE414" s="1392" t="n"/>
      <c r="BF414" s="1392" t="n"/>
      <c r="BG414" s="1392" t="n"/>
      <c r="BH414" s="1392" t="n"/>
      <c r="BI414" s="1392" t="n"/>
      <c r="BJ414" s="1392" t="n"/>
      <c r="BK414" s="1392" t="n"/>
      <c r="BL414" s="1392" t="n"/>
      <c r="BM414" s="1392" t="n"/>
      <c r="BN414" s="1392" t="n"/>
      <c r="BO414" s="1392" t="n"/>
      <c r="BP414" s="1392" t="n"/>
      <c r="BQ414" s="1392" t="n"/>
      <c r="BR414" s="1392" t="n"/>
      <c r="BS414" s="1392" t="n"/>
      <c r="BT414" s="1392" t="n"/>
      <c r="BU414" s="1416" t="n"/>
      <c r="BV414" s="1392" t="n"/>
      <c r="BW414" s="1392" t="n"/>
      <c r="BX414" s="1392" t="n"/>
      <c r="BY414" s="1392" t="n"/>
      <c r="BZ414" s="1416" t="n"/>
      <c r="CA414" s="1392" t="n"/>
      <c r="CB414" s="1392" t="n"/>
      <c r="CC414" s="1392" t="n"/>
      <c r="CD414" s="1392" t="n"/>
      <c r="CE414" s="1392" t="n"/>
      <c r="CF414" s="1392" t="n"/>
      <c r="CG414" s="1392" t="n"/>
      <c r="CH414" s="1392" t="n"/>
      <c r="CI414" s="1392" t="n"/>
      <c r="CJ414" s="1392" t="n"/>
      <c r="CK414" s="1392" t="n"/>
      <c r="CL414" s="1392" t="n"/>
    </row>
    <row r="415">
      <c r="A415" s="5" t="inlineStr">
        <is>
          <t>.</t>
        </is>
      </c>
      <c r="B415" s="5" t="inlineStr">
        <is>
          <t>.</t>
        </is>
      </c>
      <c r="C415" s="1378">
        <f>IF(raw[[#This Row],[city]]="","-",IF(raw[[#This Row],[city]]="TODAY","-",C414+1))</f>
        <v/>
      </c>
      <c r="D415" s="1393" t="inlineStr">
        <is>
          <t>Paris</t>
        </is>
      </c>
      <c r="E415" s="1394" t="n">
        <v>35370</v>
      </c>
      <c r="F415" s="1394" t="n">
        <v>35384</v>
      </c>
      <c r="G415" s="1393" t="inlineStr">
        <is>
          <t>-</t>
        </is>
      </c>
      <c r="H415" s="1393" t="inlineStr">
        <is>
          <t>Bobigny</t>
        </is>
      </c>
      <c r="I415" s="1393" t="inlineStr">
        <is>
          <t>-</t>
        </is>
      </c>
      <c r="J415" s="1393" t="inlineStr">
        <is>
          <t>-</t>
        </is>
      </c>
      <c r="K415" s="1395">
        <f>IF(raw[[#This Row],[city]]&lt;&gt;"",_xlfn.XLOOKUP($D415,ccc[city],ccc[prov],"-"),"-")</f>
        <v/>
      </c>
      <c r="L415" s="1395">
        <f>IF(raw[[#This Row],[city]]&lt;&gt;"",_xlfn.XLOOKUP($D415,ccc[city],ccc[ctry],"-"),"-")</f>
        <v/>
      </c>
      <c r="M415" s="1395">
        <f>IF(raw[[#This Row],[city]]&lt;&gt;"",_xlfn.XLOOKUP($D415,ccc[city],ccc[cont],"-"),"-")</f>
        <v/>
      </c>
      <c r="N415" s="1396">
        <f>IF(raw[[#This Row],[city]]="","-",IF(raw[[#This Row],[cont]]="B",raw[[#This Row],[cont]],"W"))</f>
        <v/>
      </c>
      <c r="O415" s="1397">
        <f>IF(raw[[#This Row],[out]]=0,0,IF(raw[[#This Row],[out]]=raw[[#This Row],[in]],0.01,raw[[#This Row],[out]]-raw[[#This Row],[in]]))</f>
        <v/>
      </c>
      <c r="P415" s="1397">
        <f>IF(raw[[#This Row],[in]]=0,0,MONTH(raw[[#This Row],[in]]))</f>
        <v/>
      </c>
      <c r="Q415" s="1397">
        <f>IF(raw[[#This Row],[in]]=0,0,YEAR(raw[[#This Row],[in]]))</f>
        <v/>
      </c>
      <c r="R415" s="1397">
        <f>INT(raw[[#This Row],[yr]]/10)*10</f>
        <v/>
      </c>
      <c r="S415" s="1395">
        <f>IF(raw[[#This Row],[city]]="","-",IF(raw[[#This Row],[city]]&lt;&gt;_xlfn.XLOOKUP(raw[[#This Row],[home]],homes[home],homes[city],"-"),1,0))</f>
        <v/>
      </c>
      <c r="T415" s="1398" t="inlineStr">
        <is>
          <t>.</t>
        </is>
      </c>
      <c r="U415" s="1399">
        <f>IF(raw[[#This Row],[wb]]="w",raw[[#This Row],[stay]]+U414,U414)</f>
        <v/>
      </c>
      <c r="V415" s="1400">
        <f>IF(raw[[#This Row],[out]]=0,V414,(raw[[#This Row],[out]]-E$5))</f>
        <v/>
      </c>
      <c r="W415" s="1401">
        <f>U415/V415</f>
        <v/>
      </c>
      <c r="X415" s="1378" t="inlineStr">
        <is>
          <t>.</t>
        </is>
      </c>
      <c r="Y415" s="1402">
        <f/>
        <v/>
      </c>
      <c r="Z415" s="1403">
        <f/>
        <v/>
      </c>
      <c r="AA415" s="1403">
        <f/>
        <v/>
      </c>
      <c r="AB415" s="1400">
        <f t="array" ref="AB415">_xlfn.LET(_xlpm.S,_xlfn.ANCHORARRAY($Y$4),_xlpm.r,ROWS(stayCity[[#Headers],[city]]:stayCity[[#This Row],[city]])-1,IF(_xlpm.r&lt;=ROWS(_xlpm.S),INDEX(_xlpm.S,_xlpm.r,1),""))</f>
        <v/>
      </c>
      <c r="AC415" s="1405">
        <f t="array" ref="AC415">_xlfn.LET(_xlpm.S,_xlfn.ANCHORARRAY($Y$4),_xlpm.r,ROWS(stayCity[[#Headers],[city]]:stayCity[[#This Row],[city]])-1,IF(_xlpm.r&lt;=ROWS(_xlpm.S),INDEX(_xlpm.S,_xlpm.r,2),""))</f>
        <v/>
      </c>
      <c r="AD415" s="1405">
        <f t="array" ref="AD415">_xlfn.LET(_xlpm.S,_xlfn.ANCHORARRAY($Y$4),_xlpm.r,ROWS(stayCity[[#Headers],[city]]:stayCity[[#This Row],[city]])-1,IF(_xlpm.r&lt;=ROWS(_xlpm.S),INDEX(_xlpm.S,_xlpm.r,3),""))</f>
        <v/>
      </c>
      <c r="AE415" s="1400">
        <f>IF(stayCity[[#This Row],[out]]&lt;&gt;"",stayCity[[#This Row],[out]]-stayCity[[#This Row],[in]],"-")</f>
        <v/>
      </c>
      <c r="AF415" s="1406">
        <f>IF(Y415="","-",YEAR(stayCity[[#This Row],[in]]))</f>
        <v/>
      </c>
      <c r="AG415" s="1392" t="n"/>
      <c r="AH415" s="1392" t="n"/>
      <c r="AI415" s="1392" t="n"/>
      <c r="AJ415" s="1392" t="n"/>
      <c r="AK415" s="1392" t="n"/>
      <c r="AL415" s="1392" t="n"/>
      <c r="AM415" s="1392" t="n"/>
      <c r="AN415" s="1392" t="n"/>
      <c r="AO415" s="1392" t="n"/>
      <c r="AP415" s="1392" t="n"/>
      <c r="AQ415" s="1392" t="n"/>
      <c r="AR415" s="1392" t="n"/>
      <c r="AS415" s="1422" t="n"/>
      <c r="AT415" s="1392" t="n"/>
      <c r="AU415" s="1392" t="n"/>
      <c r="AV415" s="1392" t="n"/>
      <c r="AW415" s="1392" t="n"/>
      <c r="AX415" s="1392" t="n"/>
      <c r="AY415" s="1392" t="n"/>
      <c r="AZ415" s="1392" t="n"/>
      <c r="BA415" s="1392" t="n"/>
      <c r="BB415" s="1422" t="n"/>
      <c r="BC415" s="1392" t="n"/>
      <c r="BD415" s="1392" t="n"/>
      <c r="BE415" s="1392" t="n"/>
      <c r="BF415" s="1392" t="n"/>
      <c r="BG415" s="1392" t="n"/>
      <c r="BH415" s="1392" t="n"/>
      <c r="BI415" s="1392" t="n"/>
      <c r="BJ415" s="1392" t="n"/>
      <c r="BK415" s="1392" t="n"/>
      <c r="BL415" s="1392" t="n"/>
      <c r="BM415" s="1392" t="n"/>
      <c r="BN415" s="1392" t="n"/>
      <c r="BO415" s="1392" t="n"/>
      <c r="BP415" s="1392" t="n"/>
      <c r="BQ415" s="1392" t="n"/>
      <c r="BR415" s="1392" t="n"/>
      <c r="BS415" s="1392" t="n"/>
      <c r="BT415" s="1392" t="n"/>
      <c r="BU415" s="1416" t="n"/>
      <c r="BV415" s="1392" t="n"/>
      <c r="BW415" s="1392" t="n"/>
      <c r="BX415" s="1392" t="n"/>
      <c r="BY415" s="1392" t="n"/>
      <c r="BZ415" s="1416" t="n"/>
      <c r="CA415" s="1392" t="n"/>
      <c r="CB415" s="1392" t="n"/>
      <c r="CC415" s="1392" t="n"/>
      <c r="CD415" s="1392" t="n"/>
      <c r="CE415" s="1392" t="n"/>
      <c r="CF415" s="1392" t="n"/>
      <c r="CG415" s="1392" t="n"/>
      <c r="CH415" s="1392" t="n"/>
      <c r="CI415" s="1392" t="n"/>
      <c r="CJ415" s="1392" t="n"/>
      <c r="CK415" s="1392" t="n"/>
      <c r="CL415" s="1392" t="n"/>
    </row>
    <row r="416">
      <c r="A416" s="5" t="inlineStr">
        <is>
          <t>.</t>
        </is>
      </c>
      <c r="B416" s="5" t="inlineStr">
        <is>
          <t>.</t>
        </is>
      </c>
      <c r="C416" s="1378">
        <f>IF(raw[[#This Row],[city]]="","-",IF(raw[[#This Row],[city]]="TODAY","-",C415+1))</f>
        <v/>
      </c>
      <c r="D416" s="1393" t="inlineStr">
        <is>
          <t>London</t>
        </is>
      </c>
      <c r="E416" s="1394" t="n">
        <v>35384</v>
      </c>
      <c r="F416" s="1394" t="n">
        <v>35390</v>
      </c>
      <c r="G416" s="1393" t="n">
        <v>1</v>
      </c>
      <c r="H416" s="1393" t="inlineStr">
        <is>
          <t>Transit</t>
        </is>
      </c>
      <c r="I416" s="1393" t="inlineStr">
        <is>
          <t>Thomas/Barnfield</t>
        </is>
      </c>
      <c r="J416" s="1393" t="inlineStr">
        <is>
          <t>-</t>
        </is>
      </c>
      <c r="K416" s="1395">
        <f>IF(raw[[#This Row],[city]]&lt;&gt;"",_xlfn.XLOOKUP($D416,ccc[city],ccc[prov],"-"),"-")</f>
        <v/>
      </c>
      <c r="L416" s="1395">
        <f>IF(raw[[#This Row],[city]]&lt;&gt;"",_xlfn.XLOOKUP($D416,ccc[city],ccc[ctry],"-"),"-")</f>
        <v/>
      </c>
      <c r="M416" s="1395">
        <f>IF(raw[[#This Row],[city]]&lt;&gt;"",_xlfn.XLOOKUP($D416,ccc[city],ccc[cont],"-"),"-")</f>
        <v/>
      </c>
      <c r="N416" s="1396">
        <f>IF(raw[[#This Row],[city]]="","-",IF(raw[[#This Row],[cont]]="B",raw[[#This Row],[cont]],"W"))</f>
        <v/>
      </c>
      <c r="O416" s="1397">
        <f>IF(raw[[#This Row],[out]]=0,0,IF(raw[[#This Row],[out]]=raw[[#This Row],[in]],0.01,raw[[#This Row],[out]]-raw[[#This Row],[in]]))</f>
        <v/>
      </c>
      <c r="P416" s="1397">
        <f>IF(raw[[#This Row],[in]]=0,0,MONTH(raw[[#This Row],[in]]))</f>
        <v/>
      </c>
      <c r="Q416" s="1397">
        <f>IF(raw[[#This Row],[in]]=0,0,YEAR(raw[[#This Row],[in]]))</f>
        <v/>
      </c>
      <c r="R416" s="1397">
        <f>INT(raw[[#This Row],[yr]]/10)*10</f>
        <v/>
      </c>
      <c r="S416" s="1395">
        <f>IF(raw[[#This Row],[city]]="","-",IF(raw[[#This Row],[city]]&lt;&gt;_xlfn.XLOOKUP(raw[[#This Row],[home]],homes[home],homes[city],"-"),1,0))</f>
        <v/>
      </c>
      <c r="T416" s="1398" t="inlineStr">
        <is>
          <t>.</t>
        </is>
      </c>
      <c r="U416" s="1399">
        <f>IF(raw[[#This Row],[wb]]="w",raw[[#This Row],[stay]]+U415,U415)</f>
        <v/>
      </c>
      <c r="V416" s="1400">
        <f>IF(raw[[#This Row],[out]]=0,V415,(raw[[#This Row],[out]]-E$5))</f>
        <v/>
      </c>
      <c r="W416" s="1401">
        <f>U416/V416</f>
        <v/>
      </c>
      <c r="X416" s="1378" t="inlineStr">
        <is>
          <t>.</t>
        </is>
      </c>
      <c r="Y416" s="1402">
        <f/>
        <v/>
      </c>
      <c r="Z416" s="1403">
        <f/>
        <v/>
      </c>
      <c r="AA416" s="1403">
        <f/>
        <v/>
      </c>
      <c r="AB416" s="1400">
        <f t="array" ref="AB416">_xlfn.LET(_xlpm.S,_xlfn.ANCHORARRAY($Y$4),_xlpm.r,ROWS(stayCity[[#Headers],[city]]:stayCity[[#This Row],[city]])-1,IF(_xlpm.r&lt;=ROWS(_xlpm.S),INDEX(_xlpm.S,_xlpm.r,1),""))</f>
        <v/>
      </c>
      <c r="AC416" s="1405">
        <f t="array" ref="AC416">_xlfn.LET(_xlpm.S,_xlfn.ANCHORARRAY($Y$4),_xlpm.r,ROWS(stayCity[[#Headers],[city]]:stayCity[[#This Row],[city]])-1,IF(_xlpm.r&lt;=ROWS(_xlpm.S),INDEX(_xlpm.S,_xlpm.r,2),""))</f>
        <v/>
      </c>
      <c r="AD416" s="1405">
        <f t="array" ref="AD416">_xlfn.LET(_xlpm.S,_xlfn.ANCHORARRAY($Y$4),_xlpm.r,ROWS(stayCity[[#Headers],[city]]:stayCity[[#This Row],[city]])-1,IF(_xlpm.r&lt;=ROWS(_xlpm.S),INDEX(_xlpm.S,_xlpm.r,3),""))</f>
        <v/>
      </c>
      <c r="AE416" s="1400">
        <f>IF(stayCity[[#This Row],[out]]&lt;&gt;"",stayCity[[#This Row],[out]]-stayCity[[#This Row],[in]],"-")</f>
        <v/>
      </c>
      <c r="AF416" s="1406">
        <f>IF(Y416="","-",YEAR(stayCity[[#This Row],[in]]))</f>
        <v/>
      </c>
      <c r="AG416" s="1392" t="n"/>
      <c r="AH416" s="1392" t="n"/>
      <c r="AI416" s="1392" t="n"/>
      <c r="AJ416" s="1392" t="n"/>
      <c r="AK416" s="1392" t="n"/>
      <c r="AL416" s="1392" t="n"/>
      <c r="AM416" s="1392" t="n"/>
      <c r="AN416" s="1392" t="n"/>
      <c r="AO416" s="1392" t="n"/>
      <c r="AP416" s="1392" t="n"/>
      <c r="AQ416" s="1392" t="n"/>
      <c r="AR416" s="1392" t="n"/>
      <c r="AS416" s="1422" t="n"/>
      <c r="AT416" s="1392" t="n"/>
      <c r="AU416" s="1392" t="n"/>
      <c r="AV416" s="1392" t="n"/>
      <c r="AW416" s="1392" t="n"/>
      <c r="AX416" s="1392" t="n"/>
      <c r="AY416" s="1392" t="n"/>
      <c r="AZ416" s="1392" t="n"/>
      <c r="BA416" s="1392" t="n"/>
      <c r="BB416" s="1422" t="n"/>
      <c r="BC416" s="1392" t="n"/>
      <c r="BD416" s="1392" t="n"/>
      <c r="BE416" s="1392" t="n"/>
      <c r="BF416" s="1392" t="n"/>
      <c r="BG416" s="1392" t="n"/>
      <c r="BH416" s="1392" t="n"/>
      <c r="BI416" s="1392" t="n"/>
      <c r="BJ416" s="1392" t="n"/>
      <c r="BK416" s="1392" t="n"/>
      <c r="BL416" s="1392" t="n"/>
      <c r="BM416" s="1392" t="n"/>
      <c r="BN416" s="1392" t="n"/>
      <c r="BO416" s="1392" t="n"/>
      <c r="BP416" s="1392" t="n"/>
      <c r="BQ416" s="1392" t="n"/>
      <c r="BR416" s="1392" t="n"/>
      <c r="BS416" s="1392" t="n"/>
      <c r="BT416" s="1392" t="n"/>
      <c r="BU416" s="1416" t="n"/>
      <c r="BV416" s="1392" t="n"/>
      <c r="BW416" s="1392" t="n"/>
      <c r="BX416" s="1392" t="n"/>
      <c r="BY416" s="1392" t="n"/>
      <c r="BZ416" s="1416" t="n"/>
      <c r="CA416" s="1392" t="n"/>
      <c r="CB416" s="1392" t="n"/>
      <c r="CC416" s="1392" t="n"/>
      <c r="CD416" s="1392" t="n"/>
      <c r="CE416" s="1392" t="n"/>
      <c r="CF416" s="1392" t="n"/>
      <c r="CG416" s="1392" t="n"/>
      <c r="CH416" s="1392" t="n"/>
      <c r="CI416" s="1392" t="n"/>
      <c r="CJ416" s="1392" t="n"/>
      <c r="CK416" s="1392" t="n"/>
      <c r="CL416" s="1392" t="n"/>
    </row>
    <row r="417">
      <c r="A417" s="5" t="inlineStr">
        <is>
          <t>.</t>
        </is>
      </c>
      <c r="B417" s="5" t="inlineStr">
        <is>
          <t>.</t>
        </is>
      </c>
      <c r="C417" s="1378">
        <f>IF(raw[[#This Row],[city]]="","-",IF(raw[[#This Row],[city]]="TODAY","-",C416+1))</f>
        <v/>
      </c>
      <c r="D417" s="1393" t="inlineStr">
        <is>
          <t>AIR</t>
        </is>
      </c>
      <c r="E417" s="1394" t="n">
        <v>35390</v>
      </c>
      <c r="F417" s="1394" t="n">
        <v>35391</v>
      </c>
      <c r="G417" s="1393" t="inlineStr">
        <is>
          <t>x</t>
        </is>
      </c>
      <c r="H417" s="1393" t="inlineStr">
        <is>
          <t>Transit</t>
        </is>
      </c>
      <c r="I417" s="1393" t="inlineStr">
        <is>
          <t>-</t>
        </is>
      </c>
      <c r="J417" s="1393" t="inlineStr">
        <is>
          <t>-</t>
        </is>
      </c>
      <c r="K417" s="1395">
        <f>IF(raw[[#This Row],[city]]&lt;&gt;"",_xlfn.XLOOKUP($D417,ccc[city],ccc[prov],"-"),"-")</f>
        <v/>
      </c>
      <c r="L417" s="1395">
        <f>IF(raw[[#This Row],[city]]&lt;&gt;"",_xlfn.XLOOKUP($D417,ccc[city],ccc[ctry],"-"),"-")</f>
        <v/>
      </c>
      <c r="M417" s="1395">
        <f>IF(raw[[#This Row],[city]]&lt;&gt;"",_xlfn.XLOOKUP($D417,ccc[city],ccc[cont],"-"),"-")</f>
        <v/>
      </c>
      <c r="N417" s="1396">
        <f>IF(raw[[#This Row],[city]]="","-",IF(raw[[#This Row],[cont]]="B",raw[[#This Row],[cont]],"W"))</f>
        <v/>
      </c>
      <c r="O417" s="1397">
        <f>IF(raw[[#This Row],[out]]=0,0,IF(raw[[#This Row],[out]]=raw[[#This Row],[in]],0.01,raw[[#This Row],[out]]-raw[[#This Row],[in]]))</f>
        <v/>
      </c>
      <c r="P417" s="1397">
        <f>IF(raw[[#This Row],[in]]=0,0,MONTH(raw[[#This Row],[in]]))</f>
        <v/>
      </c>
      <c r="Q417" s="1397">
        <f>IF(raw[[#This Row],[in]]=0,0,YEAR(raw[[#This Row],[in]]))</f>
        <v/>
      </c>
      <c r="R417" s="1397">
        <f>INT(raw[[#This Row],[yr]]/10)*10</f>
        <v/>
      </c>
      <c r="S417" s="1395">
        <f>IF(raw[[#This Row],[city]]="","-",IF(raw[[#This Row],[city]]&lt;&gt;_xlfn.XLOOKUP(raw[[#This Row],[home]],homes[home],homes[city],"-"),1,0))</f>
        <v/>
      </c>
      <c r="T417" s="1398" t="inlineStr">
        <is>
          <t>.</t>
        </is>
      </c>
      <c r="U417" s="1399">
        <f>IF(raw[[#This Row],[wb]]="w",raw[[#This Row],[stay]]+U416,U416)</f>
        <v/>
      </c>
      <c r="V417" s="1400">
        <f>IF(raw[[#This Row],[out]]=0,V416,(raw[[#This Row],[out]]-E$5))</f>
        <v/>
      </c>
      <c r="W417" s="1401">
        <f>U417/V417</f>
        <v/>
      </c>
      <c r="X417" s="1378" t="inlineStr">
        <is>
          <t>.</t>
        </is>
      </c>
      <c r="Y417" s="1402">
        <f/>
        <v/>
      </c>
      <c r="Z417" s="1403">
        <f/>
        <v/>
      </c>
      <c r="AA417" s="1403">
        <f/>
        <v/>
      </c>
      <c r="AB417" s="1400">
        <f t="array" ref="AB417">_xlfn.LET(_xlpm.S,_xlfn.ANCHORARRAY($Y$4),_xlpm.r,ROWS(stayCity[[#Headers],[city]]:stayCity[[#This Row],[city]])-1,IF(_xlpm.r&lt;=ROWS(_xlpm.S),INDEX(_xlpm.S,_xlpm.r,1),""))</f>
        <v/>
      </c>
      <c r="AC417" s="1405">
        <f t="array" ref="AC417">_xlfn.LET(_xlpm.S,_xlfn.ANCHORARRAY($Y$4),_xlpm.r,ROWS(stayCity[[#Headers],[city]]:stayCity[[#This Row],[city]])-1,IF(_xlpm.r&lt;=ROWS(_xlpm.S),INDEX(_xlpm.S,_xlpm.r,2),""))</f>
        <v/>
      </c>
      <c r="AD417" s="1405">
        <f t="array" ref="AD417">_xlfn.LET(_xlpm.S,_xlfn.ANCHORARRAY($Y$4),_xlpm.r,ROWS(stayCity[[#Headers],[city]]:stayCity[[#This Row],[city]])-1,IF(_xlpm.r&lt;=ROWS(_xlpm.S),INDEX(_xlpm.S,_xlpm.r,3),""))</f>
        <v/>
      </c>
      <c r="AE417" s="1400">
        <f>IF(stayCity[[#This Row],[out]]&lt;&gt;"",stayCity[[#This Row],[out]]-stayCity[[#This Row],[in]],"-")</f>
        <v/>
      </c>
      <c r="AF417" s="1406">
        <f>IF(Y417="","-",YEAR(stayCity[[#This Row],[in]]))</f>
        <v/>
      </c>
      <c r="AG417" s="1392" t="n"/>
      <c r="AH417" s="1392" t="n"/>
      <c r="AI417" s="1392" t="n"/>
      <c r="AJ417" s="1392" t="n"/>
      <c r="AK417" s="1392" t="n"/>
      <c r="AL417" s="1392" t="n"/>
      <c r="AM417" s="1392" t="n"/>
      <c r="AN417" s="1392" t="n"/>
      <c r="AO417" s="1392" t="n"/>
      <c r="AP417" s="1392" t="n"/>
      <c r="AQ417" s="1392" t="n"/>
      <c r="AR417" s="1392" t="n"/>
      <c r="AS417" s="1422" t="n"/>
      <c r="AT417" s="1392" t="n"/>
      <c r="AU417" s="1392" t="n"/>
      <c r="AV417" s="1392" t="n"/>
      <c r="AW417" s="1392" t="n"/>
      <c r="AX417" s="1392" t="n"/>
      <c r="AY417" s="1392" t="n"/>
      <c r="AZ417" s="1392" t="n"/>
      <c r="BA417" s="1392" t="n"/>
      <c r="BB417" s="1422" t="n"/>
      <c r="BC417" s="1392" t="n"/>
      <c r="BD417" s="1392" t="n"/>
      <c r="BE417" s="1392" t="n"/>
      <c r="BF417" s="1392" t="n"/>
      <c r="BG417" s="1392" t="n"/>
      <c r="BH417" s="1392" t="n"/>
      <c r="BI417" s="1392" t="n"/>
      <c r="BJ417" s="1392" t="n"/>
      <c r="BK417" s="1392" t="n"/>
      <c r="BL417" s="1392" t="n"/>
      <c r="BM417" s="1392" t="n"/>
      <c r="BN417" s="1392" t="n"/>
      <c r="BO417" s="1392" t="n"/>
      <c r="BP417" s="1392" t="n"/>
      <c r="BQ417" s="1392" t="n"/>
      <c r="BR417" s="1392" t="n"/>
      <c r="BS417" s="1392" t="n"/>
      <c r="BT417" s="1392" t="n"/>
      <c r="BU417" s="1416" t="n"/>
      <c r="BV417" s="1392" t="n"/>
      <c r="BW417" s="1392" t="n"/>
      <c r="BX417" s="1392" t="n"/>
      <c r="BY417" s="1392" t="n"/>
      <c r="BZ417" s="1416" t="n"/>
      <c r="CA417" s="1392" t="n"/>
      <c r="CB417" s="1392" t="n"/>
      <c r="CC417" s="1392" t="n"/>
      <c r="CD417" s="1392" t="n"/>
      <c r="CE417" s="1392" t="n"/>
      <c r="CF417" s="1392" t="n"/>
      <c r="CG417" s="1392" t="n"/>
      <c r="CH417" s="1392" t="n"/>
      <c r="CI417" s="1392" t="n"/>
      <c r="CJ417" s="1392" t="n"/>
      <c r="CK417" s="1392" t="n"/>
      <c r="CL417" s="1392" t="n"/>
    </row>
    <row r="418">
      <c r="A418" s="5" t="inlineStr">
        <is>
          <t>.</t>
        </is>
      </c>
      <c r="B418" s="5" t="inlineStr">
        <is>
          <t>.</t>
        </is>
      </c>
      <c r="C418" s="1378">
        <f>IF(raw[[#This Row],[city]]="","-",IF(raw[[#This Row],[city]]="TODAY","-",C417+1))</f>
        <v/>
      </c>
      <c r="D418" s="1393" t="inlineStr">
        <is>
          <t>SP</t>
        </is>
      </c>
      <c r="E418" s="1394" t="n">
        <v>35391</v>
      </c>
      <c r="F418" s="1394" t="n">
        <v>35397</v>
      </c>
      <c r="G418" s="1393" t="n">
        <v>1</v>
      </c>
      <c r="H418" s="1393" t="inlineStr">
        <is>
          <t>Transit</t>
        </is>
      </c>
      <c r="I418" s="1393" t="inlineStr">
        <is>
          <t>Salto Grande</t>
        </is>
      </c>
      <c r="J418" s="1393" t="inlineStr">
        <is>
          <t>-</t>
        </is>
      </c>
      <c r="K418" s="1395">
        <f>IF(raw[[#This Row],[city]]&lt;&gt;"",_xlfn.XLOOKUP($D418,ccc[city],ccc[prov],"-"),"-")</f>
        <v/>
      </c>
      <c r="L418" s="1395">
        <f>IF(raw[[#This Row],[city]]&lt;&gt;"",_xlfn.XLOOKUP($D418,ccc[city],ccc[ctry],"-"),"-")</f>
        <v/>
      </c>
      <c r="M418" s="1395">
        <f>IF(raw[[#This Row],[city]]&lt;&gt;"",_xlfn.XLOOKUP($D418,ccc[city],ccc[cont],"-"),"-")</f>
        <v/>
      </c>
      <c r="N418" s="1396">
        <f>IF(raw[[#This Row],[city]]="","-",IF(raw[[#This Row],[cont]]="B",raw[[#This Row],[cont]],"W"))</f>
        <v/>
      </c>
      <c r="O418" s="1397">
        <f>IF(raw[[#This Row],[out]]=0,0,IF(raw[[#This Row],[out]]=raw[[#This Row],[in]],0.01,raw[[#This Row],[out]]-raw[[#This Row],[in]]))</f>
        <v/>
      </c>
      <c r="P418" s="1397">
        <f>IF(raw[[#This Row],[in]]=0,0,MONTH(raw[[#This Row],[in]]))</f>
        <v/>
      </c>
      <c r="Q418" s="1397">
        <f>IF(raw[[#This Row],[in]]=0,0,YEAR(raw[[#This Row],[in]]))</f>
        <v/>
      </c>
      <c r="R418" s="1397">
        <f>INT(raw[[#This Row],[yr]]/10)*10</f>
        <v/>
      </c>
      <c r="S418" s="1395">
        <f>IF(raw[[#This Row],[city]]="","-",IF(raw[[#This Row],[city]]&lt;&gt;_xlfn.XLOOKUP(raw[[#This Row],[home]],homes[home],homes[city],"-"),1,0))</f>
        <v/>
      </c>
      <c r="T418" s="1398" t="inlineStr">
        <is>
          <t>.</t>
        </is>
      </c>
      <c r="U418" s="1399">
        <f>IF(raw[[#This Row],[wb]]="w",raw[[#This Row],[stay]]+U417,U417)</f>
        <v/>
      </c>
      <c r="V418" s="1400">
        <f>IF(raw[[#This Row],[out]]=0,V417,(raw[[#This Row],[out]]-E$5))</f>
        <v/>
      </c>
      <c r="W418" s="1401">
        <f>U418/V418</f>
        <v/>
      </c>
      <c r="X418" s="1378" t="inlineStr">
        <is>
          <t>.</t>
        </is>
      </c>
      <c r="Y418" s="1402">
        <f/>
        <v/>
      </c>
      <c r="Z418" s="1403">
        <f/>
        <v/>
      </c>
      <c r="AA418" s="1403">
        <f/>
        <v/>
      </c>
      <c r="AB418" s="1400">
        <f t="array" ref="AB418">_xlfn.LET(_xlpm.S,_xlfn.ANCHORARRAY($Y$4),_xlpm.r,ROWS(stayCity[[#Headers],[city]]:stayCity[[#This Row],[city]])-1,IF(_xlpm.r&lt;=ROWS(_xlpm.S),INDEX(_xlpm.S,_xlpm.r,1),""))</f>
        <v/>
      </c>
      <c r="AC418" s="1405">
        <f t="array" ref="AC418">_xlfn.LET(_xlpm.S,_xlfn.ANCHORARRAY($Y$4),_xlpm.r,ROWS(stayCity[[#Headers],[city]]:stayCity[[#This Row],[city]])-1,IF(_xlpm.r&lt;=ROWS(_xlpm.S),INDEX(_xlpm.S,_xlpm.r,2),""))</f>
        <v/>
      </c>
      <c r="AD418" s="1405">
        <f t="array" ref="AD418">_xlfn.LET(_xlpm.S,_xlfn.ANCHORARRAY($Y$4),_xlpm.r,ROWS(stayCity[[#Headers],[city]]:stayCity[[#This Row],[city]])-1,IF(_xlpm.r&lt;=ROWS(_xlpm.S),INDEX(_xlpm.S,_xlpm.r,3),""))</f>
        <v/>
      </c>
      <c r="AE418" s="1400">
        <f>IF(stayCity[[#This Row],[out]]&lt;&gt;"",stayCity[[#This Row],[out]]-stayCity[[#This Row],[in]],"-")</f>
        <v/>
      </c>
      <c r="AF418" s="1406">
        <f>IF(Y418="","-",YEAR(stayCity[[#This Row],[in]]))</f>
        <v/>
      </c>
      <c r="AG418" s="1392" t="n"/>
      <c r="AH418" s="1392" t="n"/>
      <c r="AI418" s="1392" t="n"/>
      <c r="AJ418" s="1392" t="n"/>
      <c r="AK418" s="1392" t="n"/>
      <c r="AL418" s="1392" t="n"/>
      <c r="AM418" s="1392" t="n"/>
      <c r="AN418" s="1392" t="n"/>
      <c r="AO418" s="1392" t="n"/>
      <c r="AP418" s="1392" t="n"/>
      <c r="AQ418" s="1392" t="n"/>
      <c r="AR418" s="1392" t="n"/>
      <c r="AS418" s="1422" t="n"/>
      <c r="AT418" s="1392" t="n"/>
      <c r="AU418" s="1392" t="n"/>
      <c r="AV418" s="1392" t="n"/>
      <c r="AW418" s="1392" t="n"/>
      <c r="AX418" s="1392" t="n"/>
      <c r="AY418" s="1392" t="n"/>
      <c r="AZ418" s="1392" t="n"/>
      <c r="BA418" s="1392" t="n"/>
      <c r="BB418" s="1422" t="n"/>
      <c r="BC418" s="1392" t="n"/>
      <c r="BD418" s="1392" t="n"/>
      <c r="BE418" s="1392" t="n"/>
      <c r="BF418" s="1392" t="n"/>
      <c r="BG418" s="1392" t="n"/>
      <c r="BH418" s="1392" t="n"/>
      <c r="BI418" s="1392" t="n"/>
      <c r="BJ418" s="1392" t="n"/>
      <c r="BK418" s="1392" t="n"/>
      <c r="BL418" s="1392" t="n"/>
      <c r="BM418" s="1392" t="n"/>
      <c r="BN418" s="1392" t="n"/>
      <c r="BO418" s="1392" t="n"/>
      <c r="BP418" s="1392" t="n"/>
      <c r="BQ418" s="1392" t="n"/>
      <c r="BR418" s="1392" t="n"/>
      <c r="BS418" s="1392" t="n"/>
      <c r="BT418" s="1392" t="n"/>
      <c r="BU418" s="1416" t="n"/>
      <c r="BV418" s="1392" t="n"/>
      <c r="BW418" s="1392" t="n"/>
      <c r="BX418" s="1392" t="n"/>
      <c r="BY418" s="1392" t="n"/>
      <c r="BZ418" s="1416" t="n"/>
      <c r="CA418" s="1392" t="n"/>
      <c r="CB418" s="1392" t="n"/>
      <c r="CC418" s="1392" t="n"/>
      <c r="CD418" s="1392" t="n"/>
      <c r="CE418" s="1392" t="n"/>
      <c r="CF418" s="1392" t="n"/>
      <c r="CG418" s="1392" t="n"/>
      <c r="CH418" s="1392" t="n"/>
      <c r="CI418" s="1392" t="n"/>
      <c r="CJ418" s="1392" t="n"/>
      <c r="CK418" s="1392" t="n"/>
      <c r="CL418" s="1392" t="n"/>
    </row>
    <row r="419">
      <c r="A419" s="5" t="inlineStr">
        <is>
          <t>.</t>
        </is>
      </c>
      <c r="B419" s="5" t="inlineStr">
        <is>
          <t>.</t>
        </is>
      </c>
      <c r="C419" s="1378">
        <f>IF(raw[[#This Row],[city]]="","-",IF(raw[[#This Row],[city]]="TODAY","-",C418+1))</f>
        <v/>
      </c>
      <c r="D419" s="1393" t="inlineStr">
        <is>
          <t>SSA</t>
        </is>
      </c>
      <c r="E419" s="1394" t="n">
        <v>35397</v>
      </c>
      <c r="F419" s="1394" t="n">
        <v>35400</v>
      </c>
      <c r="G419" s="1393" t="inlineStr">
        <is>
          <t>-</t>
        </is>
      </c>
      <c r="H419" s="1393" t="inlineStr">
        <is>
          <t>Transit</t>
        </is>
      </c>
      <c r="I419" s="1393" t="inlineStr">
        <is>
          <t>-</t>
        </is>
      </c>
      <c r="J419" s="1393" t="inlineStr">
        <is>
          <t>-</t>
        </is>
      </c>
      <c r="K419" s="1395">
        <f>IF(raw[[#This Row],[city]]&lt;&gt;"",_xlfn.XLOOKUP($D419,ccc[city],ccc[prov],"-"),"-")</f>
        <v/>
      </c>
      <c r="L419" s="1395">
        <f>IF(raw[[#This Row],[city]]&lt;&gt;"",_xlfn.XLOOKUP($D419,ccc[city],ccc[ctry],"-"),"-")</f>
        <v/>
      </c>
      <c r="M419" s="1395">
        <f>IF(raw[[#This Row],[city]]&lt;&gt;"",_xlfn.XLOOKUP($D419,ccc[city],ccc[cont],"-"),"-")</f>
        <v/>
      </c>
      <c r="N419" s="1396">
        <f>IF(raw[[#This Row],[city]]="","-",IF(raw[[#This Row],[cont]]="B",raw[[#This Row],[cont]],"W"))</f>
        <v/>
      </c>
      <c r="O419" s="1397">
        <f>IF(raw[[#This Row],[out]]=0,0,IF(raw[[#This Row],[out]]=raw[[#This Row],[in]],0.01,raw[[#This Row],[out]]-raw[[#This Row],[in]]))</f>
        <v/>
      </c>
      <c r="P419" s="1397">
        <f>IF(raw[[#This Row],[in]]=0,0,MONTH(raw[[#This Row],[in]]))</f>
        <v/>
      </c>
      <c r="Q419" s="1397">
        <f>IF(raw[[#This Row],[in]]=0,0,YEAR(raw[[#This Row],[in]]))</f>
        <v/>
      </c>
      <c r="R419" s="1397">
        <f>INT(raw[[#This Row],[yr]]/10)*10</f>
        <v/>
      </c>
      <c r="S419" s="1395">
        <f>IF(raw[[#This Row],[city]]="","-",IF(raw[[#This Row],[city]]&lt;&gt;_xlfn.XLOOKUP(raw[[#This Row],[home]],homes[home],homes[city],"-"),1,0))</f>
        <v/>
      </c>
      <c r="T419" s="1398" t="inlineStr">
        <is>
          <t>.</t>
        </is>
      </c>
      <c r="U419" s="1399">
        <f>IF(raw[[#This Row],[wb]]="w",raw[[#This Row],[stay]]+U418,U418)</f>
        <v/>
      </c>
      <c r="V419" s="1400">
        <f>IF(raw[[#This Row],[out]]=0,V418,(raw[[#This Row],[out]]-E$5))</f>
        <v/>
      </c>
      <c r="W419" s="1401">
        <f>U419/V419</f>
        <v/>
      </c>
      <c r="X419" s="1378" t="inlineStr">
        <is>
          <t>.</t>
        </is>
      </c>
      <c r="Y419" s="1402">
        <f/>
        <v/>
      </c>
      <c r="Z419" s="1403">
        <f/>
        <v/>
      </c>
      <c r="AA419" s="1403">
        <f/>
        <v/>
      </c>
      <c r="AB419" s="1400">
        <f t="array" ref="AB419">_xlfn.LET(_xlpm.S,_xlfn.ANCHORARRAY($Y$4),_xlpm.r,ROWS(stayCity[[#Headers],[city]]:stayCity[[#This Row],[city]])-1,IF(_xlpm.r&lt;=ROWS(_xlpm.S),INDEX(_xlpm.S,_xlpm.r,1),""))</f>
        <v/>
      </c>
      <c r="AC419" s="1405">
        <f t="array" ref="AC419">_xlfn.LET(_xlpm.S,_xlfn.ANCHORARRAY($Y$4),_xlpm.r,ROWS(stayCity[[#Headers],[city]]:stayCity[[#This Row],[city]])-1,IF(_xlpm.r&lt;=ROWS(_xlpm.S),INDEX(_xlpm.S,_xlpm.r,2),""))</f>
        <v/>
      </c>
      <c r="AD419" s="1405">
        <f t="array" ref="AD419">_xlfn.LET(_xlpm.S,_xlfn.ANCHORARRAY($Y$4),_xlpm.r,ROWS(stayCity[[#Headers],[city]]:stayCity[[#This Row],[city]])-1,IF(_xlpm.r&lt;=ROWS(_xlpm.S),INDEX(_xlpm.S,_xlpm.r,3),""))</f>
        <v/>
      </c>
      <c r="AE419" s="1400">
        <f>IF(stayCity[[#This Row],[out]]&lt;&gt;"",stayCity[[#This Row],[out]]-stayCity[[#This Row],[in]],"-")</f>
        <v/>
      </c>
      <c r="AF419" s="1406">
        <f>IF(Y419="","-",YEAR(stayCity[[#This Row],[in]]))</f>
        <v/>
      </c>
      <c r="AG419" s="1392" t="n"/>
      <c r="AH419" s="1392" t="n"/>
      <c r="AI419" s="1392" t="n"/>
      <c r="AJ419" s="1392" t="n"/>
      <c r="AK419" s="1392" t="n"/>
      <c r="AL419" s="1392" t="n"/>
      <c r="AM419" s="1392" t="n"/>
      <c r="AN419" s="1392" t="n"/>
      <c r="AO419" s="1392" t="n"/>
      <c r="AP419" s="1392" t="n"/>
      <c r="AQ419" s="1392" t="n"/>
      <c r="AR419" s="1392" t="n"/>
      <c r="AS419" s="1422" t="n"/>
      <c r="AT419" s="1392" t="n"/>
      <c r="AU419" s="1392" t="n"/>
      <c r="AV419" s="1392" t="n"/>
      <c r="AW419" s="1392" t="n"/>
      <c r="AX419" s="1392" t="n"/>
      <c r="AY419" s="1392" t="n"/>
      <c r="AZ419" s="1392" t="n"/>
      <c r="BA419" s="1392" t="n"/>
      <c r="BB419" s="1422" t="n"/>
      <c r="BC419" s="1392" t="n"/>
      <c r="BD419" s="1392" t="n"/>
      <c r="BE419" s="1392" t="n"/>
      <c r="BF419" s="1392" t="n"/>
      <c r="BG419" s="1392" t="n"/>
      <c r="BH419" s="1392" t="n"/>
      <c r="BI419" s="1392" t="n"/>
      <c r="BJ419" s="1392" t="n"/>
      <c r="BK419" s="1392" t="n"/>
      <c r="BL419" s="1392" t="n"/>
      <c r="BM419" s="1392" t="n"/>
      <c r="BN419" s="1392" t="n"/>
      <c r="BO419" s="1392" t="n"/>
      <c r="BP419" s="1392" t="n"/>
      <c r="BQ419" s="1392" t="n"/>
      <c r="BR419" s="1392" t="n"/>
      <c r="BS419" s="1392" t="n"/>
      <c r="BT419" s="1392" t="n"/>
      <c r="BU419" s="1416" t="n"/>
      <c r="BV419" s="1392" t="n"/>
      <c r="BW419" s="1392" t="n"/>
      <c r="BX419" s="1392" t="n"/>
      <c r="BY419" s="1392" t="n"/>
      <c r="BZ419" s="1416" t="n"/>
      <c r="CA419" s="1392" t="n"/>
      <c r="CB419" s="1392" t="n"/>
      <c r="CC419" s="1392" t="n"/>
      <c r="CD419" s="1392" t="n"/>
      <c r="CE419" s="1392" t="n"/>
      <c r="CF419" s="1392" t="n"/>
      <c r="CG419" s="1392" t="n"/>
      <c r="CH419" s="1392" t="n"/>
      <c r="CI419" s="1392" t="n"/>
      <c r="CJ419" s="1392" t="n"/>
      <c r="CK419" s="1392" t="n"/>
      <c r="CL419" s="1392" t="n"/>
    </row>
    <row r="420">
      <c r="A420" s="5" t="inlineStr">
        <is>
          <t>.</t>
        </is>
      </c>
      <c r="B420" s="5" t="inlineStr">
        <is>
          <t>.</t>
        </is>
      </c>
      <c r="C420" s="1378">
        <f>IF(raw[[#This Row],[city]]="","-",IF(raw[[#This Row],[city]]="TODAY","-",C419+1))</f>
        <v/>
      </c>
      <c r="D420" s="1393" t="inlineStr">
        <is>
          <t>SSA</t>
        </is>
      </c>
      <c r="E420" s="1394" t="n">
        <v>35400</v>
      </c>
      <c r="F420" s="1394" t="n">
        <v>35428</v>
      </c>
      <c r="G420" s="1393" t="inlineStr">
        <is>
          <t>-</t>
        </is>
      </c>
      <c r="H420" s="1393" t="inlineStr">
        <is>
          <t>Ondina</t>
        </is>
      </c>
      <c r="I420" s="1393" t="inlineStr">
        <is>
          <t>-</t>
        </is>
      </c>
      <c r="J420" s="1393" t="inlineStr">
        <is>
          <t>-</t>
        </is>
      </c>
      <c r="K420" s="1395">
        <f>IF(raw[[#This Row],[city]]&lt;&gt;"",_xlfn.XLOOKUP($D420,ccc[city],ccc[prov],"-"),"-")</f>
        <v/>
      </c>
      <c r="L420" s="1395">
        <f>IF(raw[[#This Row],[city]]&lt;&gt;"",_xlfn.XLOOKUP($D420,ccc[city],ccc[ctry],"-"),"-")</f>
        <v/>
      </c>
      <c r="M420" s="1395">
        <f>IF(raw[[#This Row],[city]]&lt;&gt;"",_xlfn.XLOOKUP($D420,ccc[city],ccc[cont],"-"),"-")</f>
        <v/>
      </c>
      <c r="N420" s="1396">
        <f>IF(raw[[#This Row],[city]]="","-",IF(raw[[#This Row],[cont]]="B",raw[[#This Row],[cont]],"W"))</f>
        <v/>
      </c>
      <c r="O420" s="1397">
        <f>IF(raw[[#This Row],[out]]=0,0,IF(raw[[#This Row],[out]]=raw[[#This Row],[in]],0.01,raw[[#This Row],[out]]-raw[[#This Row],[in]]))</f>
        <v/>
      </c>
      <c r="P420" s="1397">
        <f>IF(raw[[#This Row],[in]]=0,0,MONTH(raw[[#This Row],[in]]))</f>
        <v/>
      </c>
      <c r="Q420" s="1397">
        <f>IF(raw[[#This Row],[in]]=0,0,YEAR(raw[[#This Row],[in]]))</f>
        <v/>
      </c>
      <c r="R420" s="1397">
        <f>INT(raw[[#This Row],[yr]]/10)*10</f>
        <v/>
      </c>
      <c r="S420" s="1395">
        <f>IF(raw[[#This Row],[city]]="","-",IF(raw[[#This Row],[city]]&lt;&gt;_xlfn.XLOOKUP(raw[[#This Row],[home]],homes[home],homes[city],"-"),1,0))</f>
        <v/>
      </c>
      <c r="T420" s="1398" t="inlineStr">
        <is>
          <t>.</t>
        </is>
      </c>
      <c r="U420" s="1399">
        <f>IF(raw[[#This Row],[wb]]="w",raw[[#This Row],[stay]]+U419,U419)</f>
        <v/>
      </c>
      <c r="V420" s="1400">
        <f>IF(raw[[#This Row],[out]]=0,V419,(raw[[#This Row],[out]]-E$5))</f>
        <v/>
      </c>
      <c r="W420" s="1401">
        <f>U420/V420</f>
        <v/>
      </c>
      <c r="X420" s="1378" t="inlineStr">
        <is>
          <t>.</t>
        </is>
      </c>
      <c r="Y420" s="1402">
        <f/>
        <v/>
      </c>
      <c r="Z420" s="1403">
        <f/>
        <v/>
      </c>
      <c r="AA420" s="1403">
        <f/>
        <v/>
      </c>
      <c r="AB420" s="1400">
        <f t="array" ref="AB420">_xlfn.LET(_xlpm.S,_xlfn.ANCHORARRAY($Y$4),_xlpm.r,ROWS(stayCity[[#Headers],[city]]:stayCity[[#This Row],[city]])-1,IF(_xlpm.r&lt;=ROWS(_xlpm.S),INDEX(_xlpm.S,_xlpm.r,1),""))</f>
        <v/>
      </c>
      <c r="AC420" s="1405">
        <f t="array" ref="AC420">_xlfn.LET(_xlpm.S,_xlfn.ANCHORARRAY($Y$4),_xlpm.r,ROWS(stayCity[[#Headers],[city]]:stayCity[[#This Row],[city]])-1,IF(_xlpm.r&lt;=ROWS(_xlpm.S),INDEX(_xlpm.S,_xlpm.r,2),""))</f>
        <v/>
      </c>
      <c r="AD420" s="1405">
        <f t="array" ref="AD420">_xlfn.LET(_xlpm.S,_xlfn.ANCHORARRAY($Y$4),_xlpm.r,ROWS(stayCity[[#Headers],[city]]:stayCity[[#This Row],[city]])-1,IF(_xlpm.r&lt;=ROWS(_xlpm.S),INDEX(_xlpm.S,_xlpm.r,3),""))</f>
        <v/>
      </c>
      <c r="AE420" s="1400">
        <f>IF(stayCity[[#This Row],[out]]&lt;&gt;"",stayCity[[#This Row],[out]]-stayCity[[#This Row],[in]],"-")</f>
        <v/>
      </c>
      <c r="AF420" s="1406">
        <f>IF(Y420="","-",YEAR(stayCity[[#This Row],[in]]))</f>
        <v/>
      </c>
      <c r="AG420" s="1392" t="n"/>
      <c r="AH420" s="1392" t="n"/>
      <c r="AI420" s="1392" t="n"/>
      <c r="AJ420" s="1392" t="n"/>
      <c r="AK420" s="1392" t="n"/>
      <c r="AL420" s="1392" t="n"/>
      <c r="AM420" s="1392" t="n"/>
      <c r="AN420" s="1392" t="n"/>
      <c r="AO420" s="1392" t="n"/>
      <c r="AP420" s="1392" t="n"/>
      <c r="AQ420" s="1392" t="n"/>
      <c r="AR420" s="1392" t="n"/>
      <c r="AS420" s="1422" t="n"/>
      <c r="AT420" s="1392" t="n"/>
      <c r="AU420" s="1392" t="n"/>
      <c r="AV420" s="1392" t="n"/>
      <c r="AW420" s="1392" t="n"/>
      <c r="AX420" s="1392" t="n"/>
      <c r="AY420" s="1392" t="n"/>
      <c r="AZ420" s="1392" t="n"/>
      <c r="BA420" s="1392" t="n"/>
      <c r="BB420" s="1422" t="n"/>
      <c r="BC420" s="1392" t="n"/>
      <c r="BD420" s="1392" t="n"/>
      <c r="BE420" s="1392" t="n"/>
      <c r="BF420" s="1392" t="n"/>
      <c r="BG420" s="1392" t="n"/>
      <c r="BH420" s="1392" t="n"/>
      <c r="BI420" s="1392" t="n"/>
      <c r="BJ420" s="1392" t="n"/>
      <c r="BK420" s="1392" t="n"/>
      <c r="BL420" s="1392" t="n"/>
      <c r="BM420" s="1392" t="n"/>
      <c r="BN420" s="1392" t="n"/>
      <c r="BO420" s="1392" t="n"/>
      <c r="BP420" s="1392" t="n"/>
      <c r="BQ420" s="1392" t="n"/>
      <c r="BR420" s="1392" t="n"/>
      <c r="BS420" s="1392" t="n"/>
      <c r="BT420" s="1392" t="n"/>
      <c r="BU420" s="1416" t="n"/>
      <c r="BV420" s="1392" t="n"/>
      <c r="BW420" s="1392" t="n"/>
      <c r="BX420" s="1392" t="n"/>
      <c r="BY420" s="1392" t="n"/>
      <c r="BZ420" s="1416" t="n"/>
      <c r="CA420" s="1392" t="n"/>
      <c r="CB420" s="1392" t="n"/>
      <c r="CC420" s="1392" t="n"/>
      <c r="CD420" s="1392" t="n"/>
      <c r="CE420" s="1392" t="n"/>
      <c r="CF420" s="1392" t="n"/>
      <c r="CG420" s="1392" t="n"/>
      <c r="CH420" s="1392" t="n"/>
      <c r="CI420" s="1392" t="n"/>
      <c r="CJ420" s="1392" t="n"/>
      <c r="CK420" s="1392" t="n"/>
      <c r="CL420" s="1392" t="n"/>
    </row>
    <row r="421">
      <c r="A421" s="5" t="inlineStr">
        <is>
          <t>.</t>
        </is>
      </c>
      <c r="B421" s="5" t="inlineStr">
        <is>
          <t>.</t>
        </is>
      </c>
      <c r="C421" s="1378">
        <f>IF(raw[[#This Row],[city]]="","-",IF(raw[[#This Row],[city]]="TODAY","-",C420+1))</f>
        <v/>
      </c>
      <c r="D421" s="1393" t="inlineStr">
        <is>
          <t>Morro de SP</t>
        </is>
      </c>
      <c r="E421" s="1394" t="n">
        <v>35428</v>
      </c>
      <c r="F421" s="1394" t="n">
        <v>35431</v>
      </c>
      <c r="G421" s="1393" t="inlineStr">
        <is>
          <t>-</t>
        </is>
      </c>
      <c r="H421" s="1393">
        <f>H420</f>
        <v/>
      </c>
      <c r="I421" s="1393" t="inlineStr">
        <is>
          <t>-</t>
        </is>
      </c>
      <c r="J421" s="1393" t="inlineStr">
        <is>
          <t>-</t>
        </is>
      </c>
      <c r="K421" s="1395">
        <f>IF(raw[[#This Row],[city]]&lt;&gt;"",_xlfn.XLOOKUP($D421,ccc[city],ccc[prov],"-"),"-")</f>
        <v/>
      </c>
      <c r="L421" s="1395">
        <f>IF(raw[[#This Row],[city]]&lt;&gt;"",_xlfn.XLOOKUP($D421,ccc[city],ccc[ctry],"-"),"-")</f>
        <v/>
      </c>
      <c r="M421" s="1395">
        <f>IF(raw[[#This Row],[city]]&lt;&gt;"",_xlfn.XLOOKUP($D421,ccc[city],ccc[cont],"-"),"-")</f>
        <v/>
      </c>
      <c r="N421" s="1396">
        <f>IF(raw[[#This Row],[city]]="","-",IF(raw[[#This Row],[cont]]="B",raw[[#This Row],[cont]],"W"))</f>
        <v/>
      </c>
      <c r="O421" s="1397">
        <f>IF(raw[[#This Row],[out]]=0,0,IF(raw[[#This Row],[out]]=raw[[#This Row],[in]],0.01,raw[[#This Row],[out]]-raw[[#This Row],[in]]))</f>
        <v/>
      </c>
      <c r="P421" s="1397">
        <f>IF(raw[[#This Row],[in]]=0,0,MONTH(raw[[#This Row],[in]]))</f>
        <v/>
      </c>
      <c r="Q421" s="1397">
        <f>IF(raw[[#This Row],[in]]=0,0,YEAR(raw[[#This Row],[in]]))</f>
        <v/>
      </c>
      <c r="R421" s="1397">
        <f>INT(raw[[#This Row],[yr]]/10)*10</f>
        <v/>
      </c>
      <c r="S421" s="1395">
        <f>IF(raw[[#This Row],[city]]="","-",IF(raw[[#This Row],[city]]&lt;&gt;_xlfn.XLOOKUP(raw[[#This Row],[home]],homes[home],homes[city],"-"),1,0))</f>
        <v/>
      </c>
      <c r="T421" s="1398" t="inlineStr">
        <is>
          <t>.</t>
        </is>
      </c>
      <c r="U421" s="1399">
        <f>IF(raw[[#This Row],[wb]]="w",raw[[#This Row],[stay]]+U420,U420)</f>
        <v/>
      </c>
      <c r="V421" s="1400">
        <f>IF(raw[[#This Row],[out]]=0,V420,(raw[[#This Row],[out]]-E$5))</f>
        <v/>
      </c>
      <c r="W421" s="1401">
        <f>U421/V421</f>
        <v/>
      </c>
      <c r="X421" s="1378" t="inlineStr">
        <is>
          <t>.</t>
        </is>
      </c>
      <c r="Y421" s="1402">
        <f/>
        <v/>
      </c>
      <c r="Z421" s="1403">
        <f/>
        <v/>
      </c>
      <c r="AA421" s="1403">
        <f/>
        <v/>
      </c>
      <c r="AB421" s="1400">
        <f t="array" ref="AB421">_xlfn.LET(_xlpm.S,_xlfn.ANCHORARRAY($Y$4),_xlpm.r,ROWS(stayCity[[#Headers],[city]]:stayCity[[#This Row],[city]])-1,IF(_xlpm.r&lt;=ROWS(_xlpm.S),INDEX(_xlpm.S,_xlpm.r,1),""))</f>
        <v/>
      </c>
      <c r="AC421" s="1405">
        <f t="array" ref="AC421">_xlfn.LET(_xlpm.S,_xlfn.ANCHORARRAY($Y$4),_xlpm.r,ROWS(stayCity[[#Headers],[city]]:stayCity[[#This Row],[city]])-1,IF(_xlpm.r&lt;=ROWS(_xlpm.S),INDEX(_xlpm.S,_xlpm.r,2),""))</f>
        <v/>
      </c>
      <c r="AD421" s="1405">
        <f t="array" ref="AD421">_xlfn.LET(_xlpm.S,_xlfn.ANCHORARRAY($Y$4),_xlpm.r,ROWS(stayCity[[#Headers],[city]]:stayCity[[#This Row],[city]])-1,IF(_xlpm.r&lt;=ROWS(_xlpm.S),INDEX(_xlpm.S,_xlpm.r,3),""))</f>
        <v/>
      </c>
      <c r="AE421" s="1400">
        <f>IF(stayCity[[#This Row],[out]]&lt;&gt;"",stayCity[[#This Row],[out]]-stayCity[[#This Row],[in]],"-")</f>
        <v/>
      </c>
      <c r="AF421" s="1406">
        <f>IF(Y421="","-",YEAR(stayCity[[#This Row],[in]]))</f>
        <v/>
      </c>
      <c r="AG421" s="1392" t="n"/>
      <c r="AH421" s="1392" t="n"/>
      <c r="AI421" s="1392" t="n"/>
      <c r="AJ421" s="1392" t="n"/>
      <c r="AK421" s="1392" t="n"/>
      <c r="AL421" s="1392" t="n"/>
      <c r="AM421" s="1392" t="n"/>
      <c r="AN421" s="1392" t="n"/>
      <c r="AO421" s="1392" t="n"/>
      <c r="AP421" s="1392" t="n"/>
      <c r="AQ421" s="1392" t="n"/>
      <c r="AR421" s="1392" t="n"/>
      <c r="AS421" s="1422" t="n"/>
      <c r="AT421" s="1392" t="n"/>
      <c r="AU421" s="1392" t="n"/>
      <c r="AV421" s="1392" t="n"/>
      <c r="AW421" s="1392" t="n"/>
      <c r="AX421" s="1392" t="n"/>
      <c r="AY421" s="1392" t="n"/>
      <c r="AZ421" s="1392" t="n"/>
      <c r="BA421" s="1392" t="n"/>
      <c r="BB421" s="1422" t="n"/>
      <c r="BC421" s="1392" t="n"/>
      <c r="BD421" s="1392" t="n"/>
      <c r="BE421" s="1392" t="n"/>
      <c r="BF421" s="1392" t="n"/>
      <c r="BG421" s="1392" t="n"/>
      <c r="BH421" s="1392" t="n"/>
      <c r="BI421" s="1392" t="n"/>
      <c r="BJ421" s="1392" t="n"/>
      <c r="BK421" s="1392" t="n"/>
      <c r="BL421" s="1392" t="n"/>
      <c r="BM421" s="1392" t="n"/>
      <c r="BN421" s="1392" t="n"/>
      <c r="BO421" s="1392" t="n"/>
      <c r="BP421" s="1392" t="n"/>
      <c r="BQ421" s="1392" t="n"/>
      <c r="BR421" s="1392" t="n"/>
      <c r="BS421" s="1392" t="n"/>
      <c r="BT421" s="1392" t="n"/>
      <c r="BU421" s="1416" t="n"/>
      <c r="BV421" s="1392" t="n"/>
      <c r="BW421" s="1392" t="n"/>
      <c r="BX421" s="1392" t="n"/>
      <c r="BY421" s="1392" t="n"/>
      <c r="BZ421" s="1416" t="n"/>
      <c r="CA421" s="1392" t="n"/>
      <c r="CB421" s="1392" t="n"/>
      <c r="CC421" s="1392" t="n"/>
      <c r="CD421" s="1392" t="n"/>
      <c r="CE421" s="1392" t="n"/>
      <c r="CF421" s="1392" t="n"/>
      <c r="CG421" s="1392" t="n"/>
      <c r="CH421" s="1392" t="n"/>
      <c r="CI421" s="1392" t="n"/>
      <c r="CJ421" s="1392" t="n"/>
      <c r="CK421" s="1392" t="n"/>
      <c r="CL421" s="1392" t="n"/>
    </row>
    <row r="422">
      <c r="A422" s="5" t="inlineStr">
        <is>
          <t>.</t>
        </is>
      </c>
      <c r="B422" s="5" t="inlineStr">
        <is>
          <t>.</t>
        </is>
      </c>
      <c r="C422" s="1378">
        <f>IF(raw[[#This Row],[city]]="","-",IF(raw[[#This Row],[city]]="TODAY","-",C421+1))</f>
        <v/>
      </c>
      <c r="D422" s="1393" t="inlineStr">
        <is>
          <t>Morro de SP</t>
        </is>
      </c>
      <c r="E422" s="1394" t="n">
        <v>35431</v>
      </c>
      <c r="F422" s="1394" t="n">
        <v>35432</v>
      </c>
      <c r="G422" s="1393" t="inlineStr">
        <is>
          <t>-</t>
        </is>
      </c>
      <c r="H422" s="1393">
        <f>H421</f>
        <v/>
      </c>
      <c r="I422" s="1393" t="inlineStr">
        <is>
          <t>-</t>
        </is>
      </c>
      <c r="J422" s="1393" t="inlineStr">
        <is>
          <t>REV</t>
        </is>
      </c>
      <c r="K422" s="1395">
        <f>IF(raw[[#This Row],[city]]&lt;&gt;"",_xlfn.XLOOKUP($D422,ccc[city],ccc[prov],"-"),"-")</f>
        <v/>
      </c>
      <c r="L422" s="1395">
        <f>IF(raw[[#This Row],[city]]&lt;&gt;"",_xlfn.XLOOKUP($D422,ccc[city],ccc[ctry],"-"),"-")</f>
        <v/>
      </c>
      <c r="M422" s="1395">
        <f>IF(raw[[#This Row],[city]]&lt;&gt;"",_xlfn.XLOOKUP($D422,ccc[city],ccc[cont],"-"),"-")</f>
        <v/>
      </c>
      <c r="N422" s="1396">
        <f>IF(raw[[#This Row],[city]]="","-",IF(raw[[#This Row],[cont]]="B",raw[[#This Row],[cont]],"W"))</f>
        <v/>
      </c>
      <c r="O422" s="1397">
        <f>IF(raw[[#This Row],[out]]=0,0,IF(raw[[#This Row],[out]]=raw[[#This Row],[in]],0.01,raw[[#This Row],[out]]-raw[[#This Row],[in]]))</f>
        <v/>
      </c>
      <c r="P422" s="1397">
        <f>IF(raw[[#This Row],[in]]=0,0,MONTH(raw[[#This Row],[in]]))</f>
        <v/>
      </c>
      <c r="Q422" s="1397">
        <f>IF(raw[[#This Row],[in]]=0,0,YEAR(raw[[#This Row],[in]]))</f>
        <v/>
      </c>
      <c r="R422" s="1397">
        <f>INT(raw[[#This Row],[yr]]/10)*10</f>
        <v/>
      </c>
      <c r="S422" s="1395">
        <f>IF(raw[[#This Row],[city]]="","-",IF(raw[[#This Row],[city]]&lt;&gt;_xlfn.XLOOKUP(raw[[#This Row],[home]],homes[home],homes[city],"-"),1,0))</f>
        <v/>
      </c>
      <c r="T422" s="1398" t="inlineStr">
        <is>
          <t>.</t>
        </is>
      </c>
      <c r="U422" s="1399">
        <f>IF(raw[[#This Row],[wb]]="w",raw[[#This Row],[stay]]+U421,U421)</f>
        <v/>
      </c>
      <c r="V422" s="1400">
        <f>IF(raw[[#This Row],[out]]=0,V421,(raw[[#This Row],[out]]-E$5))</f>
        <v/>
      </c>
      <c r="W422" s="1401">
        <f>U422/V422</f>
        <v/>
      </c>
      <c r="X422" s="1378" t="inlineStr">
        <is>
          <t>.</t>
        </is>
      </c>
      <c r="Y422" s="1402">
        <f/>
        <v/>
      </c>
      <c r="Z422" s="1403">
        <f/>
        <v/>
      </c>
      <c r="AA422" s="1403">
        <f/>
        <v/>
      </c>
      <c r="AB422" s="1400">
        <f t="array" ref="AB422">_xlfn.LET(_xlpm.S,_xlfn.ANCHORARRAY($Y$4),_xlpm.r,ROWS(stayCity[[#Headers],[city]]:stayCity[[#This Row],[city]])-1,IF(_xlpm.r&lt;=ROWS(_xlpm.S),INDEX(_xlpm.S,_xlpm.r,1),""))</f>
        <v/>
      </c>
      <c r="AC422" s="1405">
        <f t="array" ref="AC422">_xlfn.LET(_xlpm.S,_xlfn.ANCHORARRAY($Y$4),_xlpm.r,ROWS(stayCity[[#Headers],[city]]:stayCity[[#This Row],[city]])-1,IF(_xlpm.r&lt;=ROWS(_xlpm.S),INDEX(_xlpm.S,_xlpm.r,2),""))</f>
        <v/>
      </c>
      <c r="AD422" s="1405">
        <f t="array" ref="AD422">_xlfn.LET(_xlpm.S,_xlfn.ANCHORARRAY($Y$4),_xlpm.r,ROWS(stayCity[[#Headers],[city]]:stayCity[[#This Row],[city]])-1,IF(_xlpm.r&lt;=ROWS(_xlpm.S),INDEX(_xlpm.S,_xlpm.r,3),""))</f>
        <v/>
      </c>
      <c r="AE422" s="1400">
        <f>IF(stayCity[[#This Row],[out]]&lt;&gt;"",stayCity[[#This Row],[out]]-stayCity[[#This Row],[in]],"-")</f>
        <v/>
      </c>
      <c r="AF422" s="1406">
        <f>IF(Y422="","-",YEAR(stayCity[[#This Row],[in]]))</f>
        <v/>
      </c>
      <c r="AG422" s="1392" t="n"/>
      <c r="AH422" s="1392" t="n"/>
      <c r="AI422" s="1392" t="n"/>
      <c r="AJ422" s="1392" t="n"/>
      <c r="AK422" s="1392" t="n"/>
      <c r="AL422" s="1392" t="n"/>
      <c r="AM422" s="1392" t="n"/>
      <c r="AN422" s="1392" t="n"/>
      <c r="AO422" s="1392" t="n"/>
      <c r="AP422" s="1392" t="n"/>
      <c r="AQ422" s="1392" t="n"/>
      <c r="AR422" s="1392" t="n"/>
      <c r="AS422" s="1422" t="n"/>
      <c r="AT422" s="1392" t="n"/>
      <c r="AU422" s="1392" t="n"/>
      <c r="AV422" s="1392" t="n"/>
      <c r="AW422" s="1392" t="n"/>
      <c r="AX422" s="1392" t="n"/>
      <c r="AY422" s="1392" t="n"/>
      <c r="AZ422" s="1392" t="n"/>
      <c r="BA422" s="1392" t="n"/>
      <c r="BB422" s="1422" t="n"/>
      <c r="BC422" s="1392" t="n"/>
      <c r="BD422" s="1392" t="n"/>
      <c r="BE422" s="1392" t="n"/>
      <c r="BF422" s="1392" t="n"/>
      <c r="BG422" s="1392" t="n"/>
      <c r="BH422" s="1392" t="n"/>
      <c r="BI422" s="1392" t="n"/>
      <c r="BJ422" s="1392" t="n"/>
      <c r="BK422" s="1392" t="n"/>
      <c r="BL422" s="1392" t="n"/>
      <c r="BM422" s="1392" t="n"/>
      <c r="BN422" s="1392" t="n"/>
      <c r="BO422" s="1392" t="n"/>
      <c r="BP422" s="1392" t="n"/>
      <c r="BQ422" s="1392" t="n"/>
      <c r="BR422" s="1392" t="n"/>
      <c r="BS422" s="1392" t="n"/>
      <c r="BT422" s="1392" t="n"/>
      <c r="BU422" s="1416" t="n"/>
      <c r="BV422" s="1392" t="n"/>
      <c r="BW422" s="1392" t="n"/>
      <c r="BX422" s="1392" t="n"/>
      <c r="BY422" s="1392" t="n"/>
      <c r="BZ422" s="1416" t="n"/>
      <c r="CA422" s="1392" t="n"/>
      <c r="CB422" s="1392" t="n"/>
      <c r="CC422" s="1392" t="n"/>
      <c r="CD422" s="1392" t="n"/>
      <c r="CE422" s="1392" t="n"/>
      <c r="CF422" s="1392" t="n"/>
      <c r="CG422" s="1392" t="n"/>
      <c r="CH422" s="1392" t="n"/>
      <c r="CI422" s="1392" t="n"/>
      <c r="CJ422" s="1392" t="n"/>
      <c r="CK422" s="1392" t="n"/>
      <c r="CL422" s="1392" t="n"/>
    </row>
    <row r="423">
      <c r="A423" s="5" t="inlineStr">
        <is>
          <t>.</t>
        </is>
      </c>
      <c r="B423" s="5" t="inlineStr">
        <is>
          <t>.</t>
        </is>
      </c>
      <c r="C423" s="1378">
        <f>IF(raw[[#This Row],[city]]="","-",IF(raw[[#This Row],[city]]="TODAY","-",C422+1))</f>
        <v/>
      </c>
      <c r="D423" s="1393" t="inlineStr">
        <is>
          <t>SSA</t>
        </is>
      </c>
      <c r="E423" s="1394" t="n">
        <v>35432</v>
      </c>
      <c r="F423" s="1394" t="n">
        <v>35462</v>
      </c>
      <c r="G423" s="1393" t="inlineStr">
        <is>
          <t>-</t>
        </is>
      </c>
      <c r="H423" s="1393">
        <f>H422</f>
        <v/>
      </c>
      <c r="I423" s="1393" t="inlineStr">
        <is>
          <t>-</t>
        </is>
      </c>
      <c r="J423" s="1393" t="inlineStr">
        <is>
          <t>-</t>
        </is>
      </c>
      <c r="K423" s="1395">
        <f>IF(raw[[#This Row],[city]]&lt;&gt;"",_xlfn.XLOOKUP($D423,ccc[city],ccc[prov],"-"),"-")</f>
        <v/>
      </c>
      <c r="L423" s="1395">
        <f>IF(raw[[#This Row],[city]]&lt;&gt;"",_xlfn.XLOOKUP($D423,ccc[city],ccc[ctry],"-"),"-")</f>
        <v/>
      </c>
      <c r="M423" s="1395">
        <f>IF(raw[[#This Row],[city]]&lt;&gt;"",_xlfn.XLOOKUP($D423,ccc[city],ccc[cont],"-"),"-")</f>
        <v/>
      </c>
      <c r="N423" s="1396">
        <f>IF(raw[[#This Row],[city]]="","-",IF(raw[[#This Row],[cont]]="B",raw[[#This Row],[cont]],"W"))</f>
        <v/>
      </c>
      <c r="O423" s="1397">
        <f>IF(raw[[#This Row],[out]]=0,0,IF(raw[[#This Row],[out]]=raw[[#This Row],[in]],0.01,raw[[#This Row],[out]]-raw[[#This Row],[in]]))</f>
        <v/>
      </c>
      <c r="P423" s="1397">
        <f>IF(raw[[#This Row],[in]]=0,0,MONTH(raw[[#This Row],[in]]))</f>
        <v/>
      </c>
      <c r="Q423" s="1397">
        <f>IF(raw[[#This Row],[in]]=0,0,YEAR(raw[[#This Row],[in]]))</f>
        <v/>
      </c>
      <c r="R423" s="1397">
        <f>INT(raw[[#This Row],[yr]]/10)*10</f>
        <v/>
      </c>
      <c r="S423" s="1395">
        <f>IF(raw[[#This Row],[city]]="","-",IF(raw[[#This Row],[city]]&lt;&gt;_xlfn.XLOOKUP(raw[[#This Row],[home]],homes[home],homes[city],"-"),1,0))</f>
        <v/>
      </c>
      <c r="T423" s="1398" t="inlineStr">
        <is>
          <t>.</t>
        </is>
      </c>
      <c r="U423" s="1399">
        <f>IF(raw[[#This Row],[wb]]="w",raw[[#This Row],[stay]]+U422,U422)</f>
        <v/>
      </c>
      <c r="V423" s="1400">
        <f>IF(raw[[#This Row],[out]]=0,V422,(raw[[#This Row],[out]]-E$5))</f>
        <v/>
      </c>
      <c r="W423" s="1401">
        <f>U423/V423</f>
        <v/>
      </c>
      <c r="X423" s="1378" t="inlineStr">
        <is>
          <t>.</t>
        </is>
      </c>
      <c r="Y423" s="1402">
        <f/>
        <v/>
      </c>
      <c r="Z423" s="1403">
        <f/>
        <v/>
      </c>
      <c r="AA423" s="1403">
        <f/>
        <v/>
      </c>
      <c r="AB423" s="1400">
        <f t="array" ref="AB423">_xlfn.LET(_xlpm.S,_xlfn.ANCHORARRAY($Y$4),_xlpm.r,ROWS(stayCity[[#Headers],[city]]:stayCity[[#This Row],[city]])-1,IF(_xlpm.r&lt;=ROWS(_xlpm.S),INDEX(_xlpm.S,_xlpm.r,1),""))</f>
        <v/>
      </c>
      <c r="AC423" s="1405">
        <f t="array" ref="AC423">_xlfn.LET(_xlpm.S,_xlfn.ANCHORARRAY($Y$4),_xlpm.r,ROWS(stayCity[[#Headers],[city]]:stayCity[[#This Row],[city]])-1,IF(_xlpm.r&lt;=ROWS(_xlpm.S),INDEX(_xlpm.S,_xlpm.r,2),""))</f>
        <v/>
      </c>
      <c r="AD423" s="1405">
        <f t="array" ref="AD423">_xlfn.LET(_xlpm.S,_xlfn.ANCHORARRAY($Y$4),_xlpm.r,ROWS(stayCity[[#Headers],[city]]:stayCity[[#This Row],[city]])-1,IF(_xlpm.r&lt;=ROWS(_xlpm.S),INDEX(_xlpm.S,_xlpm.r,3),""))</f>
        <v/>
      </c>
      <c r="AE423" s="1400">
        <f>IF(stayCity[[#This Row],[out]]&lt;&gt;"",stayCity[[#This Row],[out]]-stayCity[[#This Row],[in]],"-")</f>
        <v/>
      </c>
      <c r="AF423" s="1406">
        <f>IF(Y423="","-",YEAR(stayCity[[#This Row],[in]]))</f>
        <v/>
      </c>
      <c r="AG423" s="1392" t="n"/>
      <c r="AH423" s="1392" t="n"/>
      <c r="AI423" s="1392" t="n"/>
      <c r="AJ423" s="1392" t="n"/>
      <c r="AK423" s="1392" t="n"/>
      <c r="AL423" s="1392" t="n"/>
      <c r="AM423" s="1392" t="n"/>
      <c r="AN423" s="1392" t="n"/>
      <c r="AO423" s="1392" t="n"/>
      <c r="AP423" s="1392" t="n"/>
      <c r="AQ423" s="1392" t="n"/>
      <c r="AR423" s="1392" t="n"/>
      <c r="AS423" s="1422" t="n"/>
      <c r="AT423" s="1392" t="n"/>
      <c r="AU423" s="1392" t="n"/>
      <c r="AV423" s="1392" t="n"/>
      <c r="AW423" s="1392" t="n"/>
      <c r="AX423" s="1392" t="n"/>
      <c r="AY423" s="1392" t="n"/>
      <c r="AZ423" s="1392" t="n"/>
      <c r="BA423" s="1392" t="n"/>
      <c r="BB423" s="1422" t="n"/>
      <c r="BC423" s="1392" t="n"/>
      <c r="BD423" s="1392" t="n"/>
      <c r="BE423" s="1392" t="n"/>
      <c r="BF423" s="1392" t="n"/>
      <c r="BG423" s="1392" t="n"/>
      <c r="BH423" s="1392" t="n"/>
      <c r="BI423" s="1392" t="n"/>
      <c r="BJ423" s="1392" t="n"/>
      <c r="BK423" s="1392" t="n"/>
      <c r="BL423" s="1392" t="n"/>
      <c r="BM423" s="1392" t="n"/>
      <c r="BN423" s="1392" t="n"/>
      <c r="BO423" s="1392" t="n"/>
      <c r="BP423" s="1392" t="n"/>
      <c r="BQ423" s="1392" t="n"/>
      <c r="BR423" s="1392" t="n"/>
      <c r="BS423" s="1392" t="n"/>
      <c r="BT423" s="1392" t="n"/>
      <c r="BU423" s="1416" t="n"/>
      <c r="BV423" s="1392" t="n"/>
      <c r="BW423" s="1392" t="n"/>
      <c r="BX423" s="1392" t="n"/>
      <c r="BY423" s="1392" t="n"/>
      <c r="BZ423" s="1416" t="n"/>
      <c r="CA423" s="1392" t="n"/>
      <c r="CB423" s="1392" t="n"/>
      <c r="CC423" s="1392" t="n"/>
      <c r="CD423" s="1392" t="n"/>
      <c r="CE423" s="1392" t="n"/>
      <c r="CF423" s="1392" t="n"/>
      <c r="CG423" s="1392" t="n"/>
      <c r="CH423" s="1392" t="n"/>
      <c r="CI423" s="1392" t="n"/>
      <c r="CJ423" s="1392" t="n"/>
      <c r="CK423" s="1392" t="n"/>
      <c r="CL423" s="1392" t="n"/>
    </row>
    <row r="424">
      <c r="A424" s="5" t="inlineStr">
        <is>
          <t>.</t>
        </is>
      </c>
      <c r="B424" s="5" t="inlineStr">
        <is>
          <t>.</t>
        </is>
      </c>
      <c r="C424" s="1378">
        <f>IF(raw[[#This Row],[city]]="","-",IF(raw[[#This Row],[city]]="TODAY","-",C423+1))</f>
        <v/>
      </c>
      <c r="D424" s="1393" t="inlineStr">
        <is>
          <t>Aracaju</t>
        </is>
      </c>
      <c r="E424" s="1394" t="n">
        <v>35462</v>
      </c>
      <c r="F424" s="1394" t="n">
        <v>35466</v>
      </c>
      <c r="G424" s="1393" t="inlineStr">
        <is>
          <t>-</t>
        </is>
      </c>
      <c r="H424" s="1393">
        <f>H423</f>
        <v/>
      </c>
      <c r="I424" s="1393" t="inlineStr">
        <is>
          <t>-</t>
        </is>
      </c>
      <c r="J424" s="1393" t="inlineStr">
        <is>
          <t>-</t>
        </is>
      </c>
      <c r="K424" s="1395">
        <f>IF(raw[[#This Row],[city]]&lt;&gt;"",_xlfn.XLOOKUP($D424,ccc[city],ccc[prov],"-"),"-")</f>
        <v/>
      </c>
      <c r="L424" s="1395">
        <f>IF(raw[[#This Row],[city]]&lt;&gt;"",_xlfn.XLOOKUP($D424,ccc[city],ccc[ctry],"-"),"-")</f>
        <v/>
      </c>
      <c r="M424" s="1395">
        <f>IF(raw[[#This Row],[city]]&lt;&gt;"",_xlfn.XLOOKUP($D424,ccc[city],ccc[cont],"-"),"-")</f>
        <v/>
      </c>
      <c r="N424" s="1396">
        <f>IF(raw[[#This Row],[city]]="","-",IF(raw[[#This Row],[cont]]="B",raw[[#This Row],[cont]],"W"))</f>
        <v/>
      </c>
      <c r="O424" s="1397">
        <f>IF(raw[[#This Row],[out]]=0,0,IF(raw[[#This Row],[out]]=raw[[#This Row],[in]],0.01,raw[[#This Row],[out]]-raw[[#This Row],[in]]))</f>
        <v/>
      </c>
      <c r="P424" s="1397">
        <f>IF(raw[[#This Row],[in]]=0,0,MONTH(raw[[#This Row],[in]]))</f>
        <v/>
      </c>
      <c r="Q424" s="1397">
        <f>IF(raw[[#This Row],[in]]=0,0,YEAR(raw[[#This Row],[in]]))</f>
        <v/>
      </c>
      <c r="R424" s="1397">
        <f>INT(raw[[#This Row],[yr]]/10)*10</f>
        <v/>
      </c>
      <c r="S424" s="1395">
        <f>IF(raw[[#This Row],[city]]="","-",IF(raw[[#This Row],[city]]&lt;&gt;_xlfn.XLOOKUP(raw[[#This Row],[home]],homes[home],homes[city],"-"),1,0))</f>
        <v/>
      </c>
      <c r="T424" s="1398" t="inlineStr">
        <is>
          <t>.</t>
        </is>
      </c>
      <c r="U424" s="1399">
        <f>IF(raw[[#This Row],[wb]]="w",raw[[#This Row],[stay]]+U423,U423)</f>
        <v/>
      </c>
      <c r="V424" s="1400">
        <f>IF(raw[[#This Row],[out]]=0,V423,(raw[[#This Row],[out]]-E$5))</f>
        <v/>
      </c>
      <c r="W424" s="1401">
        <f>U424/V424</f>
        <v/>
      </c>
      <c r="X424" s="1378" t="inlineStr">
        <is>
          <t>.</t>
        </is>
      </c>
      <c r="Y424" s="1402">
        <f/>
        <v/>
      </c>
      <c r="Z424" s="1403">
        <f/>
        <v/>
      </c>
      <c r="AA424" s="1403">
        <f/>
        <v/>
      </c>
      <c r="AB424" s="1400">
        <f t="array" ref="AB424">_xlfn.LET(_xlpm.S,_xlfn.ANCHORARRAY($Y$4),_xlpm.r,ROWS(stayCity[[#Headers],[city]]:stayCity[[#This Row],[city]])-1,IF(_xlpm.r&lt;=ROWS(_xlpm.S),INDEX(_xlpm.S,_xlpm.r,1),""))</f>
        <v/>
      </c>
      <c r="AC424" s="1405">
        <f t="array" ref="AC424">_xlfn.LET(_xlpm.S,_xlfn.ANCHORARRAY($Y$4),_xlpm.r,ROWS(stayCity[[#Headers],[city]]:stayCity[[#This Row],[city]])-1,IF(_xlpm.r&lt;=ROWS(_xlpm.S),INDEX(_xlpm.S,_xlpm.r,2),""))</f>
        <v/>
      </c>
      <c r="AD424" s="1405">
        <f t="array" ref="AD424">_xlfn.LET(_xlpm.S,_xlfn.ANCHORARRAY($Y$4),_xlpm.r,ROWS(stayCity[[#Headers],[city]]:stayCity[[#This Row],[city]])-1,IF(_xlpm.r&lt;=ROWS(_xlpm.S),INDEX(_xlpm.S,_xlpm.r,3),""))</f>
        <v/>
      </c>
      <c r="AE424" s="1400">
        <f>IF(stayCity[[#This Row],[out]]&lt;&gt;"",stayCity[[#This Row],[out]]-stayCity[[#This Row],[in]],"-")</f>
        <v/>
      </c>
      <c r="AF424" s="1406">
        <f>IF(Y424="","-",YEAR(stayCity[[#This Row],[in]]))</f>
        <v/>
      </c>
      <c r="AG424" s="1392" t="n"/>
      <c r="AH424" s="1392" t="n"/>
      <c r="AI424" s="1392" t="n"/>
      <c r="AJ424" s="1392" t="n"/>
      <c r="AK424" s="1392" t="n"/>
      <c r="AL424" s="1392" t="n"/>
      <c r="AM424" s="1392" t="n"/>
      <c r="AN424" s="1392" t="n"/>
      <c r="AO424" s="1392" t="n"/>
      <c r="AP424" s="1392" t="n"/>
      <c r="AQ424" s="1392" t="n"/>
      <c r="AR424" s="1392" t="n"/>
      <c r="AS424" s="1422" t="n"/>
      <c r="AT424" s="1392" t="n"/>
      <c r="AU424" s="1392" t="n"/>
      <c r="AV424" s="1392" t="n"/>
      <c r="AW424" s="1392" t="n"/>
      <c r="AX424" s="1392" t="n"/>
      <c r="AY424" s="1392" t="n"/>
      <c r="AZ424" s="1392" t="n"/>
      <c r="BA424" s="1392" t="n"/>
      <c r="BB424" s="1422" t="n"/>
      <c r="BC424" s="1392" t="n"/>
      <c r="BD424" s="1392" t="n"/>
      <c r="BE424" s="1392" t="n"/>
      <c r="BF424" s="1392" t="n"/>
      <c r="BG424" s="1392" t="n"/>
      <c r="BH424" s="1392" t="n"/>
      <c r="BI424" s="1392" t="n"/>
      <c r="BJ424" s="1392" t="n"/>
      <c r="BK424" s="1392" t="n"/>
      <c r="BL424" s="1392" t="n"/>
      <c r="BM424" s="1392" t="n"/>
      <c r="BN424" s="1392" t="n"/>
      <c r="BO424" s="1392" t="n"/>
      <c r="BP424" s="1392" t="n"/>
      <c r="BQ424" s="1392" t="n"/>
      <c r="BR424" s="1392" t="n"/>
      <c r="BS424" s="1392" t="n"/>
      <c r="BT424" s="1392" t="n"/>
      <c r="BU424" s="1416" t="n"/>
      <c r="BV424" s="1392" t="n"/>
      <c r="BW424" s="1392" t="n"/>
      <c r="BX424" s="1392" t="n"/>
      <c r="BY424" s="1392" t="n"/>
      <c r="BZ424" s="1416" t="n"/>
      <c r="CA424" s="1392" t="n"/>
      <c r="CB424" s="1392" t="n"/>
      <c r="CC424" s="1392" t="n"/>
      <c r="CD424" s="1392" t="n"/>
      <c r="CE424" s="1392" t="n"/>
      <c r="CF424" s="1392" t="n"/>
      <c r="CG424" s="1392" t="n"/>
      <c r="CH424" s="1392" t="n"/>
      <c r="CI424" s="1392" t="n"/>
      <c r="CJ424" s="1392" t="n"/>
      <c r="CK424" s="1392" t="n"/>
      <c r="CL424" s="1392" t="n"/>
    </row>
    <row r="425">
      <c r="A425" s="5" t="inlineStr">
        <is>
          <t>.</t>
        </is>
      </c>
      <c r="B425" s="5" t="inlineStr">
        <is>
          <t>.</t>
        </is>
      </c>
      <c r="C425" s="1378">
        <f>IF(raw[[#This Row],[city]]="","-",IF(raw[[#This Row],[city]]="TODAY","-",C424+1))</f>
        <v/>
      </c>
      <c r="D425" s="1393" t="inlineStr">
        <is>
          <t>SSA</t>
        </is>
      </c>
      <c r="E425" s="1394" t="n">
        <v>35466</v>
      </c>
      <c r="F425" s="1394" t="n">
        <v>35490</v>
      </c>
      <c r="G425" s="1393" t="inlineStr">
        <is>
          <t>-</t>
        </is>
      </c>
      <c r="H425" s="1393">
        <f>H424</f>
        <v/>
      </c>
      <c r="I425" s="1393" t="inlineStr">
        <is>
          <t>-</t>
        </is>
      </c>
      <c r="J425" s="1393" t="inlineStr">
        <is>
          <t>-</t>
        </is>
      </c>
      <c r="K425" s="1395">
        <f>IF(raw[[#This Row],[city]]&lt;&gt;"",_xlfn.XLOOKUP($D425,ccc[city],ccc[prov],"-"),"-")</f>
        <v/>
      </c>
      <c r="L425" s="1395">
        <f>IF(raw[[#This Row],[city]]&lt;&gt;"",_xlfn.XLOOKUP($D425,ccc[city],ccc[ctry],"-"),"-")</f>
        <v/>
      </c>
      <c r="M425" s="1395">
        <f>IF(raw[[#This Row],[city]]&lt;&gt;"",_xlfn.XLOOKUP($D425,ccc[city],ccc[cont],"-"),"-")</f>
        <v/>
      </c>
      <c r="N425" s="1396">
        <f>IF(raw[[#This Row],[city]]="","-",IF(raw[[#This Row],[cont]]="B",raw[[#This Row],[cont]],"W"))</f>
        <v/>
      </c>
      <c r="O425" s="1397">
        <f>IF(raw[[#This Row],[out]]=0,0,IF(raw[[#This Row],[out]]=raw[[#This Row],[in]],0.01,raw[[#This Row],[out]]-raw[[#This Row],[in]]))</f>
        <v/>
      </c>
      <c r="P425" s="1397">
        <f>IF(raw[[#This Row],[in]]=0,0,MONTH(raw[[#This Row],[in]]))</f>
        <v/>
      </c>
      <c r="Q425" s="1397">
        <f>IF(raw[[#This Row],[in]]=0,0,YEAR(raw[[#This Row],[in]]))</f>
        <v/>
      </c>
      <c r="R425" s="1397">
        <f>INT(raw[[#This Row],[yr]]/10)*10</f>
        <v/>
      </c>
      <c r="S425" s="1395">
        <f>IF(raw[[#This Row],[city]]="","-",IF(raw[[#This Row],[city]]&lt;&gt;_xlfn.XLOOKUP(raw[[#This Row],[home]],homes[home],homes[city],"-"),1,0))</f>
        <v/>
      </c>
      <c r="T425" s="1398" t="inlineStr">
        <is>
          <t>.</t>
        </is>
      </c>
      <c r="U425" s="1399">
        <f>IF(raw[[#This Row],[wb]]="w",raw[[#This Row],[stay]]+U424,U424)</f>
        <v/>
      </c>
      <c r="V425" s="1400">
        <f>IF(raw[[#This Row],[out]]=0,V424,(raw[[#This Row],[out]]-E$5))</f>
        <v/>
      </c>
      <c r="W425" s="1401">
        <f>U425/V425</f>
        <v/>
      </c>
      <c r="X425" s="1378" t="inlineStr">
        <is>
          <t>.</t>
        </is>
      </c>
      <c r="Y425" s="1402">
        <f/>
        <v/>
      </c>
      <c r="Z425" s="1403">
        <f/>
        <v/>
      </c>
      <c r="AA425" s="1403">
        <f/>
        <v/>
      </c>
      <c r="AB425" s="1400">
        <f t="array" ref="AB425">_xlfn.LET(_xlpm.S,_xlfn.ANCHORARRAY($Y$4),_xlpm.r,ROWS(stayCity[[#Headers],[city]]:stayCity[[#This Row],[city]])-1,IF(_xlpm.r&lt;=ROWS(_xlpm.S),INDEX(_xlpm.S,_xlpm.r,1),""))</f>
        <v/>
      </c>
      <c r="AC425" s="1405">
        <f t="array" ref="AC425">_xlfn.LET(_xlpm.S,_xlfn.ANCHORARRAY($Y$4),_xlpm.r,ROWS(stayCity[[#Headers],[city]]:stayCity[[#This Row],[city]])-1,IF(_xlpm.r&lt;=ROWS(_xlpm.S),INDEX(_xlpm.S,_xlpm.r,2),""))</f>
        <v/>
      </c>
      <c r="AD425" s="1405">
        <f t="array" ref="AD425">_xlfn.LET(_xlpm.S,_xlfn.ANCHORARRAY($Y$4),_xlpm.r,ROWS(stayCity[[#Headers],[city]]:stayCity[[#This Row],[city]])-1,IF(_xlpm.r&lt;=ROWS(_xlpm.S),INDEX(_xlpm.S,_xlpm.r,3),""))</f>
        <v/>
      </c>
      <c r="AE425" s="1400">
        <f>IF(stayCity[[#This Row],[out]]&lt;&gt;"",stayCity[[#This Row],[out]]-stayCity[[#This Row],[in]],"-")</f>
        <v/>
      </c>
      <c r="AF425" s="1406">
        <f>IF(Y425="","-",YEAR(stayCity[[#This Row],[in]]))</f>
        <v/>
      </c>
      <c r="AG425" s="1392" t="n"/>
      <c r="AH425" s="1392" t="n"/>
      <c r="AI425" s="1392" t="n"/>
      <c r="AJ425" s="1392" t="n"/>
      <c r="AK425" s="1392" t="n"/>
      <c r="AL425" s="1392" t="n"/>
      <c r="AM425" s="1392" t="n"/>
      <c r="AN425" s="1392" t="n"/>
      <c r="AO425" s="1392" t="n"/>
      <c r="AP425" s="1392" t="n"/>
      <c r="AQ425" s="1392" t="n"/>
      <c r="AR425" s="1392" t="n"/>
      <c r="AS425" s="1422" t="n"/>
      <c r="AT425" s="1392" t="n"/>
      <c r="AU425" s="1392" t="n"/>
      <c r="AV425" s="1392" t="n"/>
      <c r="AW425" s="1392" t="n"/>
      <c r="AX425" s="1392" t="n"/>
      <c r="AY425" s="1392" t="n"/>
      <c r="AZ425" s="1392" t="n"/>
      <c r="BA425" s="1392" t="n"/>
      <c r="BB425" s="1422" t="n"/>
      <c r="BC425" s="1392" t="n"/>
      <c r="BD425" s="1392" t="n"/>
      <c r="BE425" s="1392" t="n"/>
      <c r="BF425" s="1392" t="n"/>
      <c r="BG425" s="1392" t="n"/>
      <c r="BH425" s="1392" t="n"/>
      <c r="BI425" s="1392" t="n"/>
      <c r="BJ425" s="1392" t="n"/>
      <c r="BK425" s="1392" t="n"/>
      <c r="BL425" s="1392" t="n"/>
      <c r="BM425" s="1392" t="n"/>
      <c r="BN425" s="1392" t="n"/>
      <c r="BO425" s="1392" t="n"/>
      <c r="BP425" s="1392" t="n"/>
      <c r="BQ425" s="1392" t="n"/>
      <c r="BR425" s="1392" t="n"/>
      <c r="BS425" s="1392" t="n"/>
      <c r="BT425" s="1392" t="n"/>
      <c r="BU425" s="1416" t="n"/>
      <c r="BV425" s="1392" t="n"/>
      <c r="BW425" s="1392" t="n"/>
      <c r="BX425" s="1392" t="n"/>
      <c r="BY425" s="1392" t="n"/>
      <c r="BZ425" s="1416" t="n"/>
      <c r="CA425" s="1392" t="n"/>
      <c r="CB425" s="1392" t="n"/>
      <c r="CC425" s="1392" t="n"/>
      <c r="CD425" s="1392" t="n"/>
      <c r="CE425" s="1392" t="n"/>
      <c r="CF425" s="1392" t="n"/>
      <c r="CG425" s="1392" t="n"/>
      <c r="CH425" s="1392" t="n"/>
      <c r="CI425" s="1392" t="n"/>
      <c r="CJ425" s="1392" t="n"/>
      <c r="CK425" s="1392" t="n"/>
      <c r="CL425" s="1392" t="n"/>
    </row>
    <row r="426">
      <c r="A426" s="5" t="inlineStr">
        <is>
          <t>.</t>
        </is>
      </c>
      <c r="B426" s="5" t="inlineStr">
        <is>
          <t>.</t>
        </is>
      </c>
      <c r="C426" s="1378">
        <f>IF(raw[[#This Row],[city]]="","-",IF(raw[[#This Row],[city]]="TODAY","-",C425+1))</f>
        <v/>
      </c>
      <c r="D426" s="1393" t="inlineStr">
        <is>
          <t>SSA</t>
        </is>
      </c>
      <c r="E426" s="1394" t="n">
        <v>35490</v>
      </c>
      <c r="F426" s="1394" t="n">
        <v>35521</v>
      </c>
      <c r="G426" s="1393" t="inlineStr">
        <is>
          <t>-</t>
        </is>
      </c>
      <c r="H426" s="1393">
        <f>H425</f>
        <v/>
      </c>
      <c r="I426" s="1393" t="inlineStr">
        <is>
          <t>-</t>
        </is>
      </c>
      <c r="J426" s="1393" t="inlineStr">
        <is>
          <t>-</t>
        </is>
      </c>
      <c r="K426" s="1395">
        <f>IF(raw[[#This Row],[city]]&lt;&gt;"",_xlfn.XLOOKUP($D426,ccc[city],ccc[prov],"-"),"-")</f>
        <v/>
      </c>
      <c r="L426" s="1395">
        <f>IF(raw[[#This Row],[city]]&lt;&gt;"",_xlfn.XLOOKUP($D426,ccc[city],ccc[ctry],"-"),"-")</f>
        <v/>
      </c>
      <c r="M426" s="1395">
        <f>IF(raw[[#This Row],[city]]&lt;&gt;"",_xlfn.XLOOKUP($D426,ccc[city],ccc[cont],"-"),"-")</f>
        <v/>
      </c>
      <c r="N426" s="1396">
        <f>IF(raw[[#This Row],[city]]="","-",IF(raw[[#This Row],[cont]]="B",raw[[#This Row],[cont]],"W"))</f>
        <v/>
      </c>
      <c r="O426" s="1397">
        <f>IF(raw[[#This Row],[out]]=0,0,IF(raw[[#This Row],[out]]=raw[[#This Row],[in]],0.01,raw[[#This Row],[out]]-raw[[#This Row],[in]]))</f>
        <v/>
      </c>
      <c r="P426" s="1397">
        <f>IF(raw[[#This Row],[in]]=0,0,MONTH(raw[[#This Row],[in]]))</f>
        <v/>
      </c>
      <c r="Q426" s="1397">
        <f>IF(raw[[#This Row],[in]]=0,0,YEAR(raw[[#This Row],[in]]))</f>
        <v/>
      </c>
      <c r="R426" s="1397">
        <f>INT(raw[[#This Row],[yr]]/10)*10</f>
        <v/>
      </c>
      <c r="S426" s="1395">
        <f>IF(raw[[#This Row],[city]]="","-",IF(raw[[#This Row],[city]]&lt;&gt;_xlfn.XLOOKUP(raw[[#This Row],[home]],homes[home],homes[city],"-"),1,0))</f>
        <v/>
      </c>
      <c r="T426" s="1398" t="inlineStr">
        <is>
          <t>.</t>
        </is>
      </c>
      <c r="U426" s="1399">
        <f>IF(raw[[#This Row],[wb]]="w",raw[[#This Row],[stay]]+U425,U425)</f>
        <v/>
      </c>
      <c r="V426" s="1400">
        <f>IF(raw[[#This Row],[out]]=0,V425,(raw[[#This Row],[out]]-E$5))</f>
        <v/>
      </c>
      <c r="W426" s="1401">
        <f>U426/V426</f>
        <v/>
      </c>
      <c r="X426" s="1378" t="inlineStr">
        <is>
          <t>.</t>
        </is>
      </c>
      <c r="Y426" s="1402">
        <f/>
        <v/>
      </c>
      <c r="Z426" s="1403">
        <f/>
        <v/>
      </c>
      <c r="AA426" s="1403">
        <f/>
        <v/>
      </c>
      <c r="AB426" s="1400">
        <f t="array" ref="AB426">_xlfn.LET(_xlpm.S,_xlfn.ANCHORARRAY($Y$4),_xlpm.r,ROWS(stayCity[[#Headers],[city]]:stayCity[[#This Row],[city]])-1,IF(_xlpm.r&lt;=ROWS(_xlpm.S),INDEX(_xlpm.S,_xlpm.r,1),""))</f>
        <v/>
      </c>
      <c r="AC426" s="1405">
        <f t="array" ref="AC426">_xlfn.LET(_xlpm.S,_xlfn.ANCHORARRAY($Y$4),_xlpm.r,ROWS(stayCity[[#Headers],[city]]:stayCity[[#This Row],[city]])-1,IF(_xlpm.r&lt;=ROWS(_xlpm.S),INDEX(_xlpm.S,_xlpm.r,2),""))</f>
        <v/>
      </c>
      <c r="AD426" s="1405">
        <f t="array" ref="AD426">_xlfn.LET(_xlpm.S,_xlfn.ANCHORARRAY($Y$4),_xlpm.r,ROWS(stayCity[[#Headers],[city]]:stayCity[[#This Row],[city]])-1,IF(_xlpm.r&lt;=ROWS(_xlpm.S),INDEX(_xlpm.S,_xlpm.r,3),""))</f>
        <v/>
      </c>
      <c r="AE426" s="1400">
        <f>IF(stayCity[[#This Row],[out]]&lt;&gt;"",stayCity[[#This Row],[out]]-stayCity[[#This Row],[in]],"-")</f>
        <v/>
      </c>
      <c r="AF426" s="1406">
        <f>IF(Y426="","-",YEAR(stayCity[[#This Row],[in]]))</f>
        <v/>
      </c>
      <c r="AG426" s="1392" t="n"/>
      <c r="AH426" s="1392" t="n"/>
      <c r="AI426" s="1392" t="n"/>
      <c r="AJ426" s="1392" t="n"/>
      <c r="AK426" s="1392" t="n"/>
      <c r="AL426" s="1392" t="n"/>
      <c r="AM426" s="1392" t="n"/>
      <c r="AN426" s="1392" t="n"/>
      <c r="AO426" s="1392" t="n"/>
      <c r="AP426" s="1392" t="n"/>
      <c r="AQ426" s="1392" t="n"/>
      <c r="AR426" s="1392" t="n"/>
      <c r="AS426" s="1422" t="n"/>
      <c r="AT426" s="1392" t="n"/>
      <c r="AU426" s="1392" t="n"/>
      <c r="AV426" s="1392" t="n"/>
      <c r="AW426" s="1392" t="n"/>
      <c r="AX426" s="1392" t="n"/>
      <c r="AY426" s="1392" t="n"/>
      <c r="AZ426" s="1392" t="n"/>
      <c r="BA426" s="1392" t="n"/>
      <c r="BB426" s="1422" t="n"/>
      <c r="BC426" s="1392" t="n"/>
      <c r="BD426" s="1392" t="n"/>
      <c r="BE426" s="1392" t="n"/>
      <c r="BF426" s="1392" t="n"/>
      <c r="BG426" s="1392" t="n"/>
      <c r="BH426" s="1392" t="n"/>
      <c r="BI426" s="1392" t="n"/>
      <c r="BJ426" s="1392" t="n"/>
      <c r="BK426" s="1392" t="n"/>
      <c r="BL426" s="1392" t="n"/>
      <c r="BM426" s="1392" t="n"/>
      <c r="BN426" s="1392" t="n"/>
      <c r="BO426" s="1392" t="n"/>
      <c r="BP426" s="1392" t="n"/>
      <c r="BQ426" s="1392" t="n"/>
      <c r="BR426" s="1392" t="n"/>
      <c r="BS426" s="1392" t="n"/>
      <c r="BT426" s="1392" t="n"/>
      <c r="BU426" s="1416" t="n"/>
      <c r="BV426" s="1392" t="n"/>
      <c r="BW426" s="1392" t="n"/>
      <c r="BX426" s="1392" t="n"/>
      <c r="BY426" s="1392" t="n"/>
      <c r="BZ426" s="1416" t="n"/>
      <c r="CA426" s="1392" t="n"/>
      <c r="CB426" s="1392" t="n"/>
      <c r="CC426" s="1392" t="n"/>
      <c r="CD426" s="1392" t="n"/>
      <c r="CE426" s="1392" t="n"/>
      <c r="CF426" s="1392" t="n"/>
      <c r="CG426" s="1392" t="n"/>
      <c r="CH426" s="1392" t="n"/>
      <c r="CI426" s="1392" t="n"/>
      <c r="CJ426" s="1392" t="n"/>
      <c r="CK426" s="1392" t="n"/>
      <c r="CL426" s="1392" t="n"/>
    </row>
    <row r="427">
      <c r="A427" s="5" t="inlineStr">
        <is>
          <t>.</t>
        </is>
      </c>
      <c r="B427" s="5" t="inlineStr">
        <is>
          <t>.</t>
        </is>
      </c>
      <c r="C427" s="1378">
        <f>IF(raw[[#This Row],[city]]="","-",IF(raw[[#This Row],[city]]="TODAY","-",C426+1))</f>
        <v/>
      </c>
      <c r="D427" s="1393" t="inlineStr">
        <is>
          <t>SSA</t>
        </is>
      </c>
      <c r="E427" s="1394" t="n">
        <v>35521</v>
      </c>
      <c r="F427" s="1394" t="n">
        <v>35551</v>
      </c>
      <c r="G427" s="1393" t="inlineStr">
        <is>
          <t>-</t>
        </is>
      </c>
      <c r="H427" s="1393">
        <f>H426</f>
        <v/>
      </c>
      <c r="I427" s="1393" t="inlineStr">
        <is>
          <t>-</t>
        </is>
      </c>
      <c r="J427" s="1393" t="inlineStr">
        <is>
          <t>-</t>
        </is>
      </c>
      <c r="K427" s="1395">
        <f>IF(raw[[#This Row],[city]]&lt;&gt;"",_xlfn.XLOOKUP($D427,ccc[city],ccc[prov],"-"),"-")</f>
        <v/>
      </c>
      <c r="L427" s="1395">
        <f>IF(raw[[#This Row],[city]]&lt;&gt;"",_xlfn.XLOOKUP($D427,ccc[city],ccc[ctry],"-"),"-")</f>
        <v/>
      </c>
      <c r="M427" s="1395">
        <f>IF(raw[[#This Row],[city]]&lt;&gt;"",_xlfn.XLOOKUP($D427,ccc[city],ccc[cont],"-"),"-")</f>
        <v/>
      </c>
      <c r="N427" s="1396">
        <f>IF(raw[[#This Row],[city]]="","-",IF(raw[[#This Row],[cont]]="B",raw[[#This Row],[cont]],"W"))</f>
        <v/>
      </c>
      <c r="O427" s="1397">
        <f>IF(raw[[#This Row],[out]]=0,0,IF(raw[[#This Row],[out]]=raw[[#This Row],[in]],0.01,raw[[#This Row],[out]]-raw[[#This Row],[in]]))</f>
        <v/>
      </c>
      <c r="P427" s="1397">
        <f>IF(raw[[#This Row],[in]]=0,0,MONTH(raw[[#This Row],[in]]))</f>
        <v/>
      </c>
      <c r="Q427" s="1397">
        <f>IF(raw[[#This Row],[in]]=0,0,YEAR(raw[[#This Row],[in]]))</f>
        <v/>
      </c>
      <c r="R427" s="1397">
        <f>INT(raw[[#This Row],[yr]]/10)*10</f>
        <v/>
      </c>
      <c r="S427" s="1395">
        <f>IF(raw[[#This Row],[city]]="","-",IF(raw[[#This Row],[city]]&lt;&gt;_xlfn.XLOOKUP(raw[[#This Row],[home]],homes[home],homes[city],"-"),1,0))</f>
        <v/>
      </c>
      <c r="T427" s="1398" t="inlineStr">
        <is>
          <t>.</t>
        </is>
      </c>
      <c r="U427" s="1399">
        <f>IF(raw[[#This Row],[wb]]="w",raw[[#This Row],[stay]]+U426,U426)</f>
        <v/>
      </c>
      <c r="V427" s="1400">
        <f>IF(raw[[#This Row],[out]]=0,V426,(raw[[#This Row],[out]]-E$5))</f>
        <v/>
      </c>
      <c r="W427" s="1401">
        <f>U427/V427</f>
        <v/>
      </c>
      <c r="X427" s="1378" t="inlineStr">
        <is>
          <t>.</t>
        </is>
      </c>
      <c r="Y427" s="1402">
        <f/>
        <v/>
      </c>
      <c r="Z427" s="1403">
        <f/>
        <v/>
      </c>
      <c r="AA427" s="1403">
        <f/>
        <v/>
      </c>
      <c r="AB427" s="1400">
        <f t="array" ref="AB427">_xlfn.LET(_xlpm.S,_xlfn.ANCHORARRAY($Y$4),_xlpm.r,ROWS(stayCity[[#Headers],[city]]:stayCity[[#This Row],[city]])-1,IF(_xlpm.r&lt;=ROWS(_xlpm.S),INDEX(_xlpm.S,_xlpm.r,1),""))</f>
        <v/>
      </c>
      <c r="AC427" s="1405">
        <f t="array" ref="AC427">_xlfn.LET(_xlpm.S,_xlfn.ANCHORARRAY($Y$4),_xlpm.r,ROWS(stayCity[[#Headers],[city]]:stayCity[[#This Row],[city]])-1,IF(_xlpm.r&lt;=ROWS(_xlpm.S),INDEX(_xlpm.S,_xlpm.r,2),""))</f>
        <v/>
      </c>
      <c r="AD427" s="1405">
        <f t="array" ref="AD427">_xlfn.LET(_xlpm.S,_xlfn.ANCHORARRAY($Y$4),_xlpm.r,ROWS(stayCity[[#Headers],[city]]:stayCity[[#This Row],[city]])-1,IF(_xlpm.r&lt;=ROWS(_xlpm.S),INDEX(_xlpm.S,_xlpm.r,3),""))</f>
        <v/>
      </c>
      <c r="AE427" s="1400">
        <f>IF(stayCity[[#This Row],[out]]&lt;&gt;"",stayCity[[#This Row],[out]]-stayCity[[#This Row],[in]],"-")</f>
        <v/>
      </c>
      <c r="AF427" s="1406">
        <f>IF(Y427="","-",YEAR(stayCity[[#This Row],[in]]))</f>
        <v/>
      </c>
      <c r="AG427" s="1392" t="n"/>
      <c r="AH427" s="1392" t="n"/>
      <c r="AI427" s="1392" t="n"/>
      <c r="AJ427" s="1392" t="n"/>
      <c r="AK427" s="1392" t="n"/>
      <c r="AL427" s="1392" t="n"/>
      <c r="AM427" s="1392" t="n"/>
      <c r="AN427" s="1392" t="n"/>
      <c r="AO427" s="1392" t="n"/>
      <c r="AP427" s="1392" t="n"/>
      <c r="AQ427" s="1392" t="n"/>
      <c r="AR427" s="1392" t="n"/>
      <c r="AS427" s="1422" t="n"/>
      <c r="AT427" s="1392" t="n"/>
      <c r="AU427" s="1392" t="n"/>
      <c r="AV427" s="1392" t="n"/>
      <c r="AW427" s="1392" t="n"/>
      <c r="AX427" s="1392" t="n"/>
      <c r="AY427" s="1392" t="n"/>
      <c r="AZ427" s="1392" t="n"/>
      <c r="BA427" s="1392" t="n"/>
      <c r="BB427" s="1422" t="n"/>
      <c r="BC427" s="1392" t="n"/>
      <c r="BD427" s="1392" t="n"/>
      <c r="BE427" s="1392" t="n"/>
      <c r="BF427" s="1392" t="n"/>
      <c r="BG427" s="1392" t="n"/>
      <c r="BH427" s="1392" t="n"/>
      <c r="BI427" s="1392" t="n"/>
      <c r="BJ427" s="1392" t="n"/>
      <c r="BK427" s="1392" t="n"/>
      <c r="BL427" s="1392" t="n"/>
      <c r="BM427" s="1392" t="n"/>
      <c r="BN427" s="1392" t="n"/>
      <c r="BO427" s="1392" t="n"/>
      <c r="BP427" s="1392" t="n"/>
      <c r="BQ427" s="1392" t="n"/>
      <c r="BR427" s="1392" t="n"/>
      <c r="BS427" s="1392" t="n"/>
      <c r="BT427" s="1392" t="n"/>
      <c r="BU427" s="1416" t="n"/>
      <c r="BV427" s="1392" t="n"/>
      <c r="BW427" s="1392" t="n"/>
      <c r="BX427" s="1392" t="n"/>
      <c r="BY427" s="1392" t="n"/>
      <c r="BZ427" s="1416" t="n"/>
      <c r="CA427" s="1392" t="n"/>
      <c r="CB427" s="1392" t="n"/>
      <c r="CC427" s="1392" t="n"/>
      <c r="CD427" s="1392" t="n"/>
      <c r="CE427" s="1392" t="n"/>
      <c r="CF427" s="1392" t="n"/>
      <c r="CG427" s="1392" t="n"/>
      <c r="CH427" s="1392" t="n"/>
      <c r="CI427" s="1392" t="n"/>
      <c r="CJ427" s="1392" t="n"/>
      <c r="CK427" s="1392" t="n"/>
      <c r="CL427" s="1392" t="n"/>
    </row>
    <row r="428">
      <c r="A428" s="5" t="inlineStr">
        <is>
          <t>.</t>
        </is>
      </c>
      <c r="B428" s="5" t="inlineStr">
        <is>
          <t>.</t>
        </is>
      </c>
      <c r="C428" s="1378">
        <f>IF(raw[[#This Row],[city]]="","-",IF(raw[[#This Row],[city]]="TODAY","-",C427+1))</f>
        <v/>
      </c>
      <c r="D428" s="1393" t="inlineStr">
        <is>
          <t>SSA</t>
        </is>
      </c>
      <c r="E428" s="1394" t="n">
        <v>35551</v>
      </c>
      <c r="F428" s="1394" t="n">
        <v>35582</v>
      </c>
      <c r="G428" s="1393" t="inlineStr">
        <is>
          <t>-</t>
        </is>
      </c>
      <c r="H428" s="1393">
        <f>H427</f>
        <v/>
      </c>
      <c r="I428" s="1393" t="inlineStr">
        <is>
          <t>-</t>
        </is>
      </c>
      <c r="J428" s="1393" t="inlineStr">
        <is>
          <t>-</t>
        </is>
      </c>
      <c r="K428" s="1395">
        <f>IF(raw[[#This Row],[city]]&lt;&gt;"",_xlfn.XLOOKUP($D428,ccc[city],ccc[prov],"-"),"-")</f>
        <v/>
      </c>
      <c r="L428" s="1395">
        <f>IF(raw[[#This Row],[city]]&lt;&gt;"",_xlfn.XLOOKUP($D428,ccc[city],ccc[ctry],"-"),"-")</f>
        <v/>
      </c>
      <c r="M428" s="1395">
        <f>IF(raw[[#This Row],[city]]&lt;&gt;"",_xlfn.XLOOKUP($D428,ccc[city],ccc[cont],"-"),"-")</f>
        <v/>
      </c>
      <c r="N428" s="1396">
        <f>IF(raw[[#This Row],[city]]="","-",IF(raw[[#This Row],[cont]]="B",raw[[#This Row],[cont]],"W"))</f>
        <v/>
      </c>
      <c r="O428" s="1397">
        <f>IF(raw[[#This Row],[out]]=0,0,IF(raw[[#This Row],[out]]=raw[[#This Row],[in]],0.01,raw[[#This Row],[out]]-raw[[#This Row],[in]]))</f>
        <v/>
      </c>
      <c r="P428" s="1397">
        <f>IF(raw[[#This Row],[in]]=0,0,MONTH(raw[[#This Row],[in]]))</f>
        <v/>
      </c>
      <c r="Q428" s="1397">
        <f>IF(raw[[#This Row],[in]]=0,0,YEAR(raw[[#This Row],[in]]))</f>
        <v/>
      </c>
      <c r="R428" s="1397">
        <f>INT(raw[[#This Row],[yr]]/10)*10</f>
        <v/>
      </c>
      <c r="S428" s="1395">
        <f>IF(raw[[#This Row],[city]]="","-",IF(raw[[#This Row],[city]]&lt;&gt;_xlfn.XLOOKUP(raw[[#This Row],[home]],homes[home],homes[city],"-"),1,0))</f>
        <v/>
      </c>
      <c r="T428" s="1398" t="inlineStr">
        <is>
          <t>.</t>
        </is>
      </c>
      <c r="U428" s="1399">
        <f>IF(raw[[#This Row],[wb]]="w",raw[[#This Row],[stay]]+U427,U427)</f>
        <v/>
      </c>
      <c r="V428" s="1400">
        <f>IF(raw[[#This Row],[out]]=0,V427,(raw[[#This Row],[out]]-E$5))</f>
        <v/>
      </c>
      <c r="W428" s="1401">
        <f>U428/V428</f>
        <v/>
      </c>
      <c r="X428" s="1378" t="inlineStr">
        <is>
          <t>.</t>
        </is>
      </c>
      <c r="Y428" s="1402">
        <f/>
        <v/>
      </c>
      <c r="Z428" s="1403">
        <f/>
        <v/>
      </c>
      <c r="AA428" s="1403">
        <f/>
        <v/>
      </c>
      <c r="AB428" s="1400">
        <f t="array" ref="AB428">_xlfn.LET(_xlpm.S,_xlfn.ANCHORARRAY($Y$4),_xlpm.r,ROWS(stayCity[[#Headers],[city]]:stayCity[[#This Row],[city]])-1,IF(_xlpm.r&lt;=ROWS(_xlpm.S),INDEX(_xlpm.S,_xlpm.r,1),""))</f>
        <v/>
      </c>
      <c r="AC428" s="1405">
        <f t="array" ref="AC428">_xlfn.LET(_xlpm.S,_xlfn.ANCHORARRAY($Y$4),_xlpm.r,ROWS(stayCity[[#Headers],[city]]:stayCity[[#This Row],[city]])-1,IF(_xlpm.r&lt;=ROWS(_xlpm.S),INDEX(_xlpm.S,_xlpm.r,2),""))</f>
        <v/>
      </c>
      <c r="AD428" s="1405">
        <f t="array" ref="AD428">_xlfn.LET(_xlpm.S,_xlfn.ANCHORARRAY($Y$4),_xlpm.r,ROWS(stayCity[[#Headers],[city]]:stayCity[[#This Row],[city]])-1,IF(_xlpm.r&lt;=ROWS(_xlpm.S),INDEX(_xlpm.S,_xlpm.r,3),""))</f>
        <v/>
      </c>
      <c r="AE428" s="1400">
        <f>IF(stayCity[[#This Row],[out]]&lt;&gt;"",stayCity[[#This Row],[out]]-stayCity[[#This Row],[in]],"-")</f>
        <v/>
      </c>
      <c r="AF428" s="1406">
        <f>IF(Y428="","-",YEAR(stayCity[[#This Row],[in]]))</f>
        <v/>
      </c>
      <c r="AG428" s="1392" t="n"/>
      <c r="AH428" s="1392" t="n"/>
      <c r="AI428" s="1392" t="n"/>
      <c r="AJ428" s="1392" t="n"/>
      <c r="AK428" s="1392" t="n"/>
      <c r="AL428" s="1392" t="n"/>
      <c r="AM428" s="1392" t="n"/>
      <c r="AN428" s="1392" t="n"/>
      <c r="AO428" s="1392" t="n"/>
      <c r="AP428" s="1392" t="n"/>
      <c r="AQ428" s="1392" t="n"/>
      <c r="AR428" s="1392" t="n"/>
      <c r="AS428" s="1422" t="n"/>
      <c r="AT428" s="1392" t="n"/>
      <c r="AU428" s="1392" t="n"/>
      <c r="AV428" s="1392" t="n"/>
      <c r="AW428" s="1392" t="n"/>
      <c r="AX428" s="1392" t="n"/>
      <c r="AY428" s="1392" t="n"/>
      <c r="AZ428" s="1392" t="n"/>
      <c r="BA428" s="1392" t="n"/>
      <c r="BB428" s="1422" t="n"/>
      <c r="BC428" s="1392" t="n"/>
      <c r="BD428" s="1392" t="n"/>
      <c r="BE428" s="1392" t="n"/>
      <c r="BF428" s="1392" t="n"/>
      <c r="BG428" s="1392" t="n"/>
      <c r="BH428" s="1392" t="n"/>
      <c r="BI428" s="1392" t="n"/>
      <c r="BJ428" s="1392" t="n"/>
      <c r="BK428" s="1392" t="n"/>
      <c r="BL428" s="1392" t="n"/>
      <c r="BM428" s="1392" t="n"/>
      <c r="BN428" s="1392" t="n"/>
      <c r="BO428" s="1392" t="n"/>
      <c r="BP428" s="1392" t="n"/>
      <c r="BQ428" s="1392" t="n"/>
      <c r="BR428" s="1392" t="n"/>
      <c r="BS428" s="1392" t="n"/>
      <c r="BT428" s="1392" t="n"/>
      <c r="BU428" s="1416" t="n"/>
      <c r="BV428" s="1392" t="n"/>
      <c r="BW428" s="1392" t="n"/>
      <c r="BX428" s="1392" t="n"/>
      <c r="BY428" s="1392" t="n"/>
      <c r="BZ428" s="1416" t="n"/>
      <c r="CA428" s="1392" t="n"/>
      <c r="CB428" s="1392" t="n"/>
      <c r="CC428" s="1392" t="n"/>
      <c r="CD428" s="1392" t="n"/>
      <c r="CE428" s="1392" t="n"/>
      <c r="CF428" s="1392" t="n"/>
      <c r="CG428" s="1392" t="n"/>
      <c r="CH428" s="1392" t="n"/>
      <c r="CI428" s="1392" t="n"/>
      <c r="CJ428" s="1392" t="n"/>
      <c r="CK428" s="1392" t="n"/>
      <c r="CL428" s="1392" t="n"/>
    </row>
    <row r="429">
      <c r="A429" s="5" t="inlineStr">
        <is>
          <t>.</t>
        </is>
      </c>
      <c r="B429" s="5" t="inlineStr">
        <is>
          <t>.</t>
        </is>
      </c>
      <c r="C429" s="1378">
        <f>IF(raw[[#This Row],[city]]="","-",IF(raw[[#This Row],[city]]="TODAY","-",C428+1))</f>
        <v/>
      </c>
      <c r="D429" s="1393" t="inlineStr">
        <is>
          <t>SSA</t>
        </is>
      </c>
      <c r="E429" s="1394" t="n">
        <v>35582</v>
      </c>
      <c r="F429" s="1394" t="n">
        <v>35612</v>
      </c>
      <c r="G429" s="1393" t="inlineStr">
        <is>
          <t>-</t>
        </is>
      </c>
      <c r="H429" s="1393">
        <f>H428</f>
        <v/>
      </c>
      <c r="I429" s="1393" t="inlineStr">
        <is>
          <t>-</t>
        </is>
      </c>
      <c r="J429" s="1393" t="inlineStr">
        <is>
          <t>-</t>
        </is>
      </c>
      <c r="K429" s="1395">
        <f>IF(raw[[#This Row],[city]]&lt;&gt;"",_xlfn.XLOOKUP($D429,ccc[city],ccc[prov],"-"),"-")</f>
        <v/>
      </c>
      <c r="L429" s="1395">
        <f>IF(raw[[#This Row],[city]]&lt;&gt;"",_xlfn.XLOOKUP($D429,ccc[city],ccc[ctry],"-"),"-")</f>
        <v/>
      </c>
      <c r="M429" s="1395">
        <f>IF(raw[[#This Row],[city]]&lt;&gt;"",_xlfn.XLOOKUP($D429,ccc[city],ccc[cont],"-"),"-")</f>
        <v/>
      </c>
      <c r="N429" s="1396">
        <f>IF(raw[[#This Row],[city]]="","-",IF(raw[[#This Row],[cont]]="B",raw[[#This Row],[cont]],"W"))</f>
        <v/>
      </c>
      <c r="O429" s="1397">
        <f>IF(raw[[#This Row],[out]]=0,0,IF(raw[[#This Row],[out]]=raw[[#This Row],[in]],0.01,raw[[#This Row],[out]]-raw[[#This Row],[in]]))</f>
        <v/>
      </c>
      <c r="P429" s="1397">
        <f>IF(raw[[#This Row],[in]]=0,0,MONTH(raw[[#This Row],[in]]))</f>
        <v/>
      </c>
      <c r="Q429" s="1397">
        <f>IF(raw[[#This Row],[in]]=0,0,YEAR(raw[[#This Row],[in]]))</f>
        <v/>
      </c>
      <c r="R429" s="1397">
        <f>INT(raw[[#This Row],[yr]]/10)*10</f>
        <v/>
      </c>
      <c r="S429" s="1395">
        <f>IF(raw[[#This Row],[city]]="","-",IF(raw[[#This Row],[city]]&lt;&gt;_xlfn.XLOOKUP(raw[[#This Row],[home]],homes[home],homes[city],"-"),1,0))</f>
        <v/>
      </c>
      <c r="T429" s="1398" t="inlineStr">
        <is>
          <t>.</t>
        </is>
      </c>
      <c r="U429" s="1399">
        <f>IF(raw[[#This Row],[wb]]="w",raw[[#This Row],[stay]]+U428,U428)</f>
        <v/>
      </c>
      <c r="V429" s="1400">
        <f>IF(raw[[#This Row],[out]]=0,V428,(raw[[#This Row],[out]]-E$5))</f>
        <v/>
      </c>
      <c r="W429" s="1401">
        <f>U429/V429</f>
        <v/>
      </c>
      <c r="X429" s="1378" t="inlineStr">
        <is>
          <t>.</t>
        </is>
      </c>
      <c r="Y429" s="1402">
        <f/>
        <v/>
      </c>
      <c r="Z429" s="1403">
        <f/>
        <v/>
      </c>
      <c r="AA429" s="1403">
        <f/>
        <v/>
      </c>
      <c r="AB429" s="1400">
        <f t="array" ref="AB429">_xlfn.LET(_xlpm.S,_xlfn.ANCHORARRAY($Y$4),_xlpm.r,ROWS(stayCity[[#Headers],[city]]:stayCity[[#This Row],[city]])-1,IF(_xlpm.r&lt;=ROWS(_xlpm.S),INDEX(_xlpm.S,_xlpm.r,1),""))</f>
        <v/>
      </c>
      <c r="AC429" s="1405">
        <f t="array" ref="AC429">_xlfn.LET(_xlpm.S,_xlfn.ANCHORARRAY($Y$4),_xlpm.r,ROWS(stayCity[[#Headers],[city]]:stayCity[[#This Row],[city]])-1,IF(_xlpm.r&lt;=ROWS(_xlpm.S),INDEX(_xlpm.S,_xlpm.r,2),""))</f>
        <v/>
      </c>
      <c r="AD429" s="1405">
        <f t="array" ref="AD429">_xlfn.LET(_xlpm.S,_xlfn.ANCHORARRAY($Y$4),_xlpm.r,ROWS(stayCity[[#Headers],[city]]:stayCity[[#This Row],[city]])-1,IF(_xlpm.r&lt;=ROWS(_xlpm.S),INDEX(_xlpm.S,_xlpm.r,3),""))</f>
        <v/>
      </c>
      <c r="AE429" s="1400">
        <f>IF(stayCity[[#This Row],[out]]&lt;&gt;"",stayCity[[#This Row],[out]]-stayCity[[#This Row],[in]],"-")</f>
        <v/>
      </c>
      <c r="AF429" s="1406">
        <f>IF(Y429="","-",YEAR(stayCity[[#This Row],[in]]))</f>
        <v/>
      </c>
      <c r="AG429" s="1392" t="n"/>
      <c r="AH429" s="1392" t="n"/>
      <c r="AI429" s="1392" t="n"/>
      <c r="AJ429" s="1392" t="n"/>
      <c r="AK429" s="1392" t="n"/>
      <c r="AL429" s="1392" t="n"/>
      <c r="AM429" s="1392" t="n"/>
      <c r="AN429" s="1392" t="n"/>
      <c r="AO429" s="1392" t="n"/>
      <c r="AP429" s="1392" t="n"/>
      <c r="AQ429" s="1392" t="n"/>
      <c r="AR429" s="1392" t="n"/>
      <c r="AS429" s="1422" t="n"/>
      <c r="AT429" s="1392" t="n"/>
      <c r="AU429" s="1392" t="n"/>
      <c r="AV429" s="1392" t="n"/>
      <c r="AW429" s="1392" t="n"/>
      <c r="AX429" s="1392" t="n"/>
      <c r="AY429" s="1392" t="n"/>
      <c r="AZ429" s="1392" t="n"/>
      <c r="BA429" s="1392" t="n"/>
      <c r="BB429" s="1422" t="n"/>
      <c r="BC429" s="1392" t="n"/>
      <c r="BD429" s="1392" t="n"/>
      <c r="BE429" s="1392" t="n"/>
      <c r="BF429" s="1392" t="n"/>
      <c r="BG429" s="1392" t="n"/>
      <c r="BH429" s="1392" t="n"/>
      <c r="BI429" s="1392" t="n"/>
      <c r="BJ429" s="1392" t="n"/>
      <c r="BK429" s="1392" t="n"/>
      <c r="BL429" s="1392" t="n"/>
      <c r="BM429" s="1392" t="n"/>
      <c r="BN429" s="1392" t="n"/>
      <c r="BO429" s="1392" t="n"/>
      <c r="BP429" s="1392" t="n"/>
      <c r="BQ429" s="1392" t="n"/>
      <c r="BR429" s="1392" t="n"/>
      <c r="BS429" s="1392" t="n"/>
      <c r="BT429" s="1392" t="n"/>
      <c r="BU429" s="1416" t="n"/>
      <c r="BV429" s="1392" t="n"/>
      <c r="BW429" s="1392" t="n"/>
      <c r="BX429" s="1392" t="n"/>
      <c r="BY429" s="1392" t="n"/>
      <c r="BZ429" s="1416" t="n"/>
      <c r="CA429" s="1392" t="n"/>
      <c r="CB429" s="1392" t="n"/>
      <c r="CC429" s="1392" t="n"/>
      <c r="CD429" s="1392" t="n"/>
      <c r="CE429" s="1392" t="n"/>
      <c r="CF429" s="1392" t="n"/>
      <c r="CG429" s="1392" t="n"/>
      <c r="CH429" s="1392" t="n"/>
      <c r="CI429" s="1392" t="n"/>
      <c r="CJ429" s="1392" t="n"/>
      <c r="CK429" s="1392" t="n"/>
      <c r="CL429" s="1392" t="n"/>
    </row>
    <row r="430">
      <c r="A430" s="5" t="inlineStr">
        <is>
          <t>.</t>
        </is>
      </c>
      <c r="B430" s="5" t="inlineStr">
        <is>
          <t>.</t>
        </is>
      </c>
      <c r="C430" s="1378">
        <f>IF(raw[[#This Row],[city]]="","-",IF(raw[[#This Row],[city]]="TODAY","-",C429+1))</f>
        <v/>
      </c>
      <c r="D430" s="1393" t="inlineStr">
        <is>
          <t>SSA</t>
        </is>
      </c>
      <c r="E430" s="1394" t="n">
        <v>35612</v>
      </c>
      <c r="F430" s="1394" t="n">
        <v>35643</v>
      </c>
      <c r="G430" s="1393" t="inlineStr">
        <is>
          <t>-</t>
        </is>
      </c>
      <c r="H430" s="1393">
        <f>H429</f>
        <v/>
      </c>
      <c r="I430" s="1393" t="inlineStr">
        <is>
          <t>-</t>
        </is>
      </c>
      <c r="J430" s="1393" t="inlineStr">
        <is>
          <t>-</t>
        </is>
      </c>
      <c r="K430" s="1395">
        <f>IF(raw[[#This Row],[city]]&lt;&gt;"",_xlfn.XLOOKUP($D430,ccc[city],ccc[prov],"-"),"-")</f>
        <v/>
      </c>
      <c r="L430" s="1395">
        <f>IF(raw[[#This Row],[city]]&lt;&gt;"",_xlfn.XLOOKUP($D430,ccc[city],ccc[ctry],"-"),"-")</f>
        <v/>
      </c>
      <c r="M430" s="1395">
        <f>IF(raw[[#This Row],[city]]&lt;&gt;"",_xlfn.XLOOKUP($D430,ccc[city],ccc[cont],"-"),"-")</f>
        <v/>
      </c>
      <c r="N430" s="1396">
        <f>IF(raw[[#This Row],[city]]="","-",IF(raw[[#This Row],[cont]]="B",raw[[#This Row],[cont]],"W"))</f>
        <v/>
      </c>
      <c r="O430" s="1397">
        <f>IF(raw[[#This Row],[out]]=0,0,IF(raw[[#This Row],[out]]=raw[[#This Row],[in]],0.01,raw[[#This Row],[out]]-raw[[#This Row],[in]]))</f>
        <v/>
      </c>
      <c r="P430" s="1397">
        <f>IF(raw[[#This Row],[in]]=0,0,MONTH(raw[[#This Row],[in]]))</f>
        <v/>
      </c>
      <c r="Q430" s="1397">
        <f>IF(raw[[#This Row],[in]]=0,0,YEAR(raw[[#This Row],[in]]))</f>
        <v/>
      </c>
      <c r="R430" s="1397">
        <f>INT(raw[[#This Row],[yr]]/10)*10</f>
        <v/>
      </c>
      <c r="S430" s="1395">
        <f>IF(raw[[#This Row],[city]]="","-",IF(raw[[#This Row],[city]]&lt;&gt;_xlfn.XLOOKUP(raw[[#This Row],[home]],homes[home],homes[city],"-"),1,0))</f>
        <v/>
      </c>
      <c r="T430" s="1398" t="inlineStr">
        <is>
          <t>.</t>
        </is>
      </c>
      <c r="U430" s="1399">
        <f>IF(raw[[#This Row],[wb]]="w",raw[[#This Row],[stay]]+U429,U429)</f>
        <v/>
      </c>
      <c r="V430" s="1400">
        <f>IF(raw[[#This Row],[out]]=0,V429,(raw[[#This Row],[out]]-E$5))</f>
        <v/>
      </c>
      <c r="W430" s="1401">
        <f>U430/V430</f>
        <v/>
      </c>
      <c r="X430" s="1378" t="inlineStr">
        <is>
          <t>.</t>
        </is>
      </c>
      <c r="Y430" s="1402">
        <f/>
        <v/>
      </c>
      <c r="Z430" s="1403">
        <f/>
        <v/>
      </c>
      <c r="AA430" s="1403">
        <f/>
        <v/>
      </c>
      <c r="AB430" s="1400">
        <f t="array" ref="AB430">_xlfn.LET(_xlpm.S,_xlfn.ANCHORARRAY($Y$4),_xlpm.r,ROWS(stayCity[[#Headers],[city]]:stayCity[[#This Row],[city]])-1,IF(_xlpm.r&lt;=ROWS(_xlpm.S),INDEX(_xlpm.S,_xlpm.r,1),""))</f>
        <v/>
      </c>
      <c r="AC430" s="1405">
        <f t="array" ref="AC430">_xlfn.LET(_xlpm.S,_xlfn.ANCHORARRAY($Y$4),_xlpm.r,ROWS(stayCity[[#Headers],[city]]:stayCity[[#This Row],[city]])-1,IF(_xlpm.r&lt;=ROWS(_xlpm.S),INDEX(_xlpm.S,_xlpm.r,2),""))</f>
        <v/>
      </c>
      <c r="AD430" s="1405">
        <f t="array" ref="AD430">_xlfn.LET(_xlpm.S,_xlfn.ANCHORARRAY($Y$4),_xlpm.r,ROWS(stayCity[[#Headers],[city]]:stayCity[[#This Row],[city]])-1,IF(_xlpm.r&lt;=ROWS(_xlpm.S),INDEX(_xlpm.S,_xlpm.r,3),""))</f>
        <v/>
      </c>
      <c r="AE430" s="1400">
        <f>IF(stayCity[[#This Row],[out]]&lt;&gt;"",stayCity[[#This Row],[out]]-stayCity[[#This Row],[in]],"-")</f>
        <v/>
      </c>
      <c r="AF430" s="1406">
        <f>IF(Y430="","-",YEAR(stayCity[[#This Row],[in]]))</f>
        <v/>
      </c>
      <c r="AG430" s="1392" t="n"/>
      <c r="AH430" s="1392" t="n"/>
      <c r="AI430" s="1392" t="n"/>
      <c r="AJ430" s="1392" t="n"/>
      <c r="AK430" s="1392" t="n"/>
      <c r="AL430" s="1392" t="n"/>
      <c r="AM430" s="1392" t="n"/>
      <c r="AN430" s="1392" t="n"/>
      <c r="AO430" s="1392" t="n"/>
      <c r="AP430" s="1392" t="n"/>
      <c r="AQ430" s="1392" t="n"/>
      <c r="AR430" s="1392" t="n"/>
      <c r="AS430" s="1422" t="n"/>
      <c r="AT430" s="1392" t="n"/>
      <c r="AU430" s="1392" t="n"/>
      <c r="AV430" s="1392" t="n"/>
      <c r="AW430" s="1392" t="n"/>
      <c r="AX430" s="1392" t="n"/>
      <c r="AY430" s="1392" t="n"/>
      <c r="AZ430" s="1392" t="n"/>
      <c r="BA430" s="1392" t="n"/>
      <c r="BB430" s="1422" t="n"/>
      <c r="BC430" s="1392" t="n"/>
      <c r="BD430" s="1392" t="n"/>
      <c r="BE430" s="1392" t="n"/>
      <c r="BF430" s="1392" t="n"/>
      <c r="BG430" s="1392" t="n"/>
      <c r="BH430" s="1392" t="n"/>
      <c r="BI430" s="1392" t="n"/>
      <c r="BJ430" s="1392" t="n"/>
      <c r="BK430" s="1392" t="n"/>
      <c r="BL430" s="1392" t="n"/>
      <c r="BM430" s="1392" t="n"/>
      <c r="BN430" s="1392" t="n"/>
      <c r="BO430" s="1392" t="n"/>
      <c r="BP430" s="1392" t="n"/>
      <c r="BQ430" s="1392" t="n"/>
      <c r="BR430" s="1392" t="n"/>
      <c r="BS430" s="1392" t="n"/>
      <c r="BT430" s="1392" t="n"/>
      <c r="BU430" s="1416" t="n"/>
      <c r="BV430" s="1392" t="n"/>
      <c r="BW430" s="1392" t="n"/>
      <c r="BX430" s="1392" t="n"/>
      <c r="BY430" s="1392" t="n"/>
      <c r="BZ430" s="1416" t="n"/>
      <c r="CA430" s="1392" t="n"/>
      <c r="CB430" s="1392" t="n"/>
      <c r="CC430" s="1392" t="n"/>
      <c r="CD430" s="1392" t="n"/>
      <c r="CE430" s="1392" t="n"/>
      <c r="CF430" s="1392" t="n"/>
      <c r="CG430" s="1392" t="n"/>
      <c r="CH430" s="1392" t="n"/>
      <c r="CI430" s="1392" t="n"/>
      <c r="CJ430" s="1392" t="n"/>
      <c r="CK430" s="1392" t="n"/>
      <c r="CL430" s="1392" t="n"/>
    </row>
    <row r="431">
      <c r="A431" s="5" t="inlineStr">
        <is>
          <t>.</t>
        </is>
      </c>
      <c r="B431" s="5" t="inlineStr">
        <is>
          <t>.</t>
        </is>
      </c>
      <c r="C431" s="1378">
        <f>IF(raw[[#This Row],[city]]="","-",IF(raw[[#This Row],[city]]="TODAY","-",C430+1))</f>
        <v/>
      </c>
      <c r="D431" s="1393" t="inlineStr">
        <is>
          <t>SSA</t>
        </is>
      </c>
      <c r="E431" s="1394" t="n">
        <v>35643</v>
      </c>
      <c r="F431" s="1394" t="n">
        <v>35656</v>
      </c>
      <c r="G431" s="1393" t="n">
        <v>1</v>
      </c>
      <c r="H431" s="1393">
        <f>H430</f>
        <v/>
      </c>
      <c r="I431" s="1393" t="inlineStr">
        <is>
          <t>-</t>
        </is>
      </c>
      <c r="J431" s="1393" t="inlineStr">
        <is>
          <t>-</t>
        </is>
      </c>
      <c r="K431" s="1395">
        <f>IF(raw[[#This Row],[city]]&lt;&gt;"",_xlfn.XLOOKUP($D431,ccc[city],ccc[prov],"-"),"-")</f>
        <v/>
      </c>
      <c r="L431" s="1395">
        <f>IF(raw[[#This Row],[city]]&lt;&gt;"",_xlfn.XLOOKUP($D431,ccc[city],ccc[ctry],"-"),"-")</f>
        <v/>
      </c>
      <c r="M431" s="1395">
        <f>IF(raw[[#This Row],[city]]&lt;&gt;"",_xlfn.XLOOKUP($D431,ccc[city],ccc[cont],"-"),"-")</f>
        <v/>
      </c>
      <c r="N431" s="1396">
        <f>IF(raw[[#This Row],[city]]="","-",IF(raw[[#This Row],[cont]]="B",raw[[#This Row],[cont]],"W"))</f>
        <v/>
      </c>
      <c r="O431" s="1397">
        <f>IF(raw[[#This Row],[out]]=0,0,IF(raw[[#This Row],[out]]=raw[[#This Row],[in]],0.01,raw[[#This Row],[out]]-raw[[#This Row],[in]]))</f>
        <v/>
      </c>
      <c r="P431" s="1397">
        <f>IF(raw[[#This Row],[in]]=0,0,MONTH(raw[[#This Row],[in]]))</f>
        <v/>
      </c>
      <c r="Q431" s="1397">
        <f>IF(raw[[#This Row],[in]]=0,0,YEAR(raw[[#This Row],[in]]))</f>
        <v/>
      </c>
      <c r="R431" s="1397">
        <f>INT(raw[[#This Row],[yr]]/10)*10</f>
        <v/>
      </c>
      <c r="S431" s="1395">
        <f>IF(raw[[#This Row],[city]]="","-",IF(raw[[#This Row],[city]]&lt;&gt;_xlfn.XLOOKUP(raw[[#This Row],[home]],homes[home],homes[city],"-"),1,0))</f>
        <v/>
      </c>
      <c r="T431" s="1398" t="inlineStr">
        <is>
          <t>.</t>
        </is>
      </c>
      <c r="U431" s="1399">
        <f>IF(raw[[#This Row],[wb]]="w",raw[[#This Row],[stay]]+U430,U430)</f>
        <v/>
      </c>
      <c r="V431" s="1400">
        <f>IF(raw[[#This Row],[out]]=0,V430,(raw[[#This Row],[out]]-E$5))</f>
        <v/>
      </c>
      <c r="W431" s="1401">
        <f>U431/V431</f>
        <v/>
      </c>
      <c r="X431" s="1378" t="inlineStr">
        <is>
          <t>.</t>
        </is>
      </c>
      <c r="Y431" s="1402">
        <f/>
        <v/>
      </c>
      <c r="Z431" s="1403">
        <f/>
        <v/>
      </c>
      <c r="AA431" s="1403">
        <f/>
        <v/>
      </c>
      <c r="AB431" s="1400">
        <f t="array" ref="AB431">_xlfn.LET(_xlpm.S,_xlfn.ANCHORARRAY($Y$4),_xlpm.r,ROWS(stayCity[[#Headers],[city]]:stayCity[[#This Row],[city]])-1,IF(_xlpm.r&lt;=ROWS(_xlpm.S),INDEX(_xlpm.S,_xlpm.r,1),""))</f>
        <v/>
      </c>
      <c r="AC431" s="1405">
        <f t="array" ref="AC431">_xlfn.LET(_xlpm.S,_xlfn.ANCHORARRAY($Y$4),_xlpm.r,ROWS(stayCity[[#Headers],[city]]:stayCity[[#This Row],[city]])-1,IF(_xlpm.r&lt;=ROWS(_xlpm.S),INDEX(_xlpm.S,_xlpm.r,2),""))</f>
        <v/>
      </c>
      <c r="AD431" s="1405">
        <f t="array" ref="AD431">_xlfn.LET(_xlpm.S,_xlfn.ANCHORARRAY($Y$4),_xlpm.r,ROWS(stayCity[[#Headers],[city]]:stayCity[[#This Row],[city]])-1,IF(_xlpm.r&lt;=ROWS(_xlpm.S),INDEX(_xlpm.S,_xlpm.r,3),""))</f>
        <v/>
      </c>
      <c r="AE431" s="1400">
        <f>IF(stayCity[[#This Row],[out]]&lt;&gt;"",stayCity[[#This Row],[out]]-stayCity[[#This Row],[in]],"-")</f>
        <v/>
      </c>
      <c r="AF431" s="1406">
        <f>IF(Y431="","-",YEAR(stayCity[[#This Row],[in]]))</f>
        <v/>
      </c>
      <c r="AG431" s="1392" t="n"/>
      <c r="AH431" s="1392" t="n"/>
      <c r="AI431" s="1392" t="n"/>
      <c r="AJ431" s="1392" t="n"/>
      <c r="AK431" s="1392" t="n"/>
      <c r="AL431" s="1392" t="n"/>
      <c r="AM431" s="1392" t="n"/>
      <c r="AN431" s="1392" t="n"/>
      <c r="AO431" s="1392" t="n"/>
      <c r="AP431" s="1392" t="n"/>
      <c r="AQ431" s="1392" t="n"/>
      <c r="AR431" s="1392" t="n"/>
      <c r="AS431" s="1422" t="n"/>
      <c r="AT431" s="1392" t="n"/>
      <c r="AU431" s="1392" t="n"/>
      <c r="AV431" s="1392" t="n"/>
      <c r="AW431" s="1392" t="n"/>
      <c r="AX431" s="1392" t="n"/>
      <c r="AY431" s="1392" t="n"/>
      <c r="AZ431" s="1392" t="n"/>
      <c r="BA431" s="1392" t="n"/>
      <c r="BB431" s="1422" t="n"/>
      <c r="BC431" s="1392" t="n"/>
      <c r="BD431" s="1392" t="n"/>
      <c r="BE431" s="1392" t="n"/>
      <c r="BF431" s="1392" t="n"/>
      <c r="BG431" s="1392" t="n"/>
      <c r="BH431" s="1392" t="n"/>
      <c r="BI431" s="1392" t="n"/>
      <c r="BJ431" s="1392" t="n"/>
      <c r="BK431" s="1392" t="n"/>
      <c r="BL431" s="1392" t="n"/>
      <c r="BM431" s="1392" t="n"/>
      <c r="BN431" s="1392" t="n"/>
      <c r="BO431" s="1392" t="n"/>
      <c r="BP431" s="1392" t="n"/>
      <c r="BQ431" s="1392" t="n"/>
      <c r="BR431" s="1392" t="n"/>
      <c r="BS431" s="1392" t="n"/>
      <c r="BT431" s="1392" t="n"/>
      <c r="BU431" s="1416" t="n"/>
      <c r="BV431" s="1392" t="n"/>
      <c r="BW431" s="1392" t="n"/>
      <c r="BX431" s="1392" t="n"/>
      <c r="BY431" s="1392" t="n"/>
      <c r="BZ431" s="1416" t="n"/>
      <c r="CA431" s="1392" t="n"/>
      <c r="CB431" s="1392" t="n"/>
      <c r="CC431" s="1392" t="n"/>
      <c r="CD431" s="1392" t="n"/>
      <c r="CE431" s="1392" t="n"/>
      <c r="CF431" s="1392" t="n"/>
      <c r="CG431" s="1392" t="n"/>
      <c r="CH431" s="1392" t="n"/>
      <c r="CI431" s="1392" t="n"/>
      <c r="CJ431" s="1392" t="n"/>
      <c r="CK431" s="1392" t="n"/>
      <c r="CL431" s="1392" t="n"/>
    </row>
    <row r="432">
      <c r="A432" s="5" t="inlineStr">
        <is>
          <t>.</t>
        </is>
      </c>
      <c r="B432" s="5" t="inlineStr">
        <is>
          <t>.</t>
        </is>
      </c>
      <c r="C432" s="1378">
        <f>IF(raw[[#This Row],[city]]="","-",IF(raw[[#This Row],[city]]="TODAY","-",C431+1))</f>
        <v/>
      </c>
      <c r="D432" s="1393" t="inlineStr">
        <is>
          <t>SP</t>
        </is>
      </c>
      <c r="E432" s="1394" t="n">
        <v>35656</v>
      </c>
      <c r="F432" s="1394" t="n">
        <v>35660</v>
      </c>
      <c r="G432" s="1393" t="n">
        <v>1</v>
      </c>
      <c r="H432" s="1393">
        <f>H431</f>
        <v/>
      </c>
      <c r="I432" s="1393" t="inlineStr">
        <is>
          <t>Salto Grande</t>
        </is>
      </c>
      <c r="J432" s="1393" t="inlineStr">
        <is>
          <t>-</t>
        </is>
      </c>
      <c r="K432" s="1395">
        <f>IF(raw[[#This Row],[city]]&lt;&gt;"",_xlfn.XLOOKUP($D432,ccc[city],ccc[prov],"-"),"-")</f>
        <v/>
      </c>
      <c r="L432" s="1395">
        <f>IF(raw[[#This Row],[city]]&lt;&gt;"",_xlfn.XLOOKUP($D432,ccc[city],ccc[ctry],"-"),"-")</f>
        <v/>
      </c>
      <c r="M432" s="1395">
        <f>IF(raw[[#This Row],[city]]&lt;&gt;"",_xlfn.XLOOKUP($D432,ccc[city],ccc[cont],"-"),"-")</f>
        <v/>
      </c>
      <c r="N432" s="1396">
        <f>IF(raw[[#This Row],[city]]="","-",IF(raw[[#This Row],[cont]]="B",raw[[#This Row],[cont]],"W"))</f>
        <v/>
      </c>
      <c r="O432" s="1397">
        <f>IF(raw[[#This Row],[out]]=0,0,IF(raw[[#This Row],[out]]=raw[[#This Row],[in]],0.01,raw[[#This Row],[out]]-raw[[#This Row],[in]]))</f>
        <v/>
      </c>
      <c r="P432" s="1397">
        <f>IF(raw[[#This Row],[in]]=0,0,MONTH(raw[[#This Row],[in]]))</f>
        <v/>
      </c>
      <c r="Q432" s="1397">
        <f>IF(raw[[#This Row],[in]]=0,0,YEAR(raw[[#This Row],[in]]))</f>
        <v/>
      </c>
      <c r="R432" s="1397">
        <f>INT(raw[[#This Row],[yr]]/10)*10</f>
        <v/>
      </c>
      <c r="S432" s="1395">
        <f>IF(raw[[#This Row],[city]]="","-",IF(raw[[#This Row],[city]]&lt;&gt;_xlfn.XLOOKUP(raw[[#This Row],[home]],homes[home],homes[city],"-"),1,0))</f>
        <v/>
      </c>
      <c r="T432" s="1398" t="inlineStr">
        <is>
          <t>.</t>
        </is>
      </c>
      <c r="U432" s="1399">
        <f>IF(raw[[#This Row],[wb]]="w",raw[[#This Row],[stay]]+U431,U431)</f>
        <v/>
      </c>
      <c r="V432" s="1400">
        <f>IF(raw[[#This Row],[out]]=0,V431,(raw[[#This Row],[out]]-E$5))</f>
        <v/>
      </c>
      <c r="W432" s="1401">
        <f>U432/V432</f>
        <v/>
      </c>
      <c r="X432" s="1378" t="inlineStr">
        <is>
          <t>.</t>
        </is>
      </c>
      <c r="Y432" s="1402">
        <f/>
        <v/>
      </c>
      <c r="Z432" s="1403">
        <f/>
        <v/>
      </c>
      <c r="AA432" s="1403">
        <f/>
        <v/>
      </c>
      <c r="AB432" s="1400">
        <f t="array" ref="AB432">_xlfn.LET(_xlpm.S,_xlfn.ANCHORARRAY($Y$4),_xlpm.r,ROWS(stayCity[[#Headers],[city]]:stayCity[[#This Row],[city]])-1,IF(_xlpm.r&lt;=ROWS(_xlpm.S),INDEX(_xlpm.S,_xlpm.r,1),""))</f>
        <v/>
      </c>
      <c r="AC432" s="1405">
        <f t="array" ref="AC432">_xlfn.LET(_xlpm.S,_xlfn.ANCHORARRAY($Y$4),_xlpm.r,ROWS(stayCity[[#Headers],[city]]:stayCity[[#This Row],[city]])-1,IF(_xlpm.r&lt;=ROWS(_xlpm.S),INDEX(_xlpm.S,_xlpm.r,2),""))</f>
        <v/>
      </c>
      <c r="AD432" s="1405">
        <f t="array" ref="AD432">_xlfn.LET(_xlpm.S,_xlfn.ANCHORARRAY($Y$4),_xlpm.r,ROWS(stayCity[[#Headers],[city]]:stayCity[[#This Row],[city]])-1,IF(_xlpm.r&lt;=ROWS(_xlpm.S),INDEX(_xlpm.S,_xlpm.r,3),""))</f>
        <v/>
      </c>
      <c r="AE432" s="1400">
        <f>IF(stayCity[[#This Row],[out]]&lt;&gt;"",stayCity[[#This Row],[out]]-stayCity[[#This Row],[in]],"-")</f>
        <v/>
      </c>
      <c r="AF432" s="1406">
        <f>IF(Y432="","-",YEAR(stayCity[[#This Row],[in]]))</f>
        <v/>
      </c>
      <c r="AG432" s="1392" t="n"/>
      <c r="AH432" s="1392" t="n"/>
      <c r="AI432" s="1392" t="n"/>
      <c r="AJ432" s="1392" t="n"/>
      <c r="AK432" s="1392" t="n"/>
      <c r="AL432" s="1392" t="n"/>
      <c r="AM432" s="1392" t="n"/>
      <c r="AN432" s="1392" t="n"/>
      <c r="AO432" s="1392" t="n"/>
      <c r="AP432" s="1392" t="n"/>
      <c r="AQ432" s="1392" t="n"/>
      <c r="AR432" s="1392" t="n"/>
      <c r="AS432" s="1422" t="n"/>
      <c r="AT432" s="1392" t="n"/>
      <c r="AU432" s="1392" t="n"/>
      <c r="AV432" s="1392" t="n"/>
      <c r="AW432" s="1392" t="n"/>
      <c r="AX432" s="1392" t="n"/>
      <c r="AY432" s="1392" t="n"/>
      <c r="AZ432" s="1392" t="n"/>
      <c r="BA432" s="1392" t="n"/>
      <c r="BB432" s="1422" t="n"/>
      <c r="BC432" s="1392" t="n"/>
      <c r="BD432" s="1392" t="n"/>
      <c r="BE432" s="1392" t="n"/>
      <c r="BF432" s="1392" t="n"/>
      <c r="BG432" s="1392" t="n"/>
      <c r="BH432" s="1392" t="n"/>
      <c r="BI432" s="1392" t="n"/>
      <c r="BJ432" s="1392" t="n"/>
      <c r="BK432" s="1392" t="n"/>
      <c r="BL432" s="1392" t="n"/>
      <c r="BM432" s="1392" t="n"/>
      <c r="BN432" s="1392" t="n"/>
      <c r="BO432" s="1392" t="n"/>
      <c r="BP432" s="1392" t="n"/>
      <c r="BQ432" s="1392" t="n"/>
      <c r="BR432" s="1392" t="n"/>
      <c r="BS432" s="1392" t="n"/>
      <c r="BT432" s="1392" t="n"/>
      <c r="BU432" s="1416" t="n"/>
      <c r="BV432" s="1392" t="n"/>
      <c r="BW432" s="1392" t="n"/>
      <c r="BX432" s="1392" t="n"/>
      <c r="BY432" s="1392" t="n"/>
      <c r="BZ432" s="1416" t="n"/>
      <c r="CA432" s="1392" t="n"/>
      <c r="CB432" s="1392" t="n"/>
      <c r="CC432" s="1392" t="n"/>
      <c r="CD432" s="1392" t="n"/>
      <c r="CE432" s="1392" t="n"/>
      <c r="CF432" s="1392" t="n"/>
      <c r="CG432" s="1392" t="n"/>
      <c r="CH432" s="1392" t="n"/>
      <c r="CI432" s="1392" t="n"/>
      <c r="CJ432" s="1392" t="n"/>
      <c r="CK432" s="1392" t="n"/>
      <c r="CL432" s="1392" t="n"/>
    </row>
    <row r="433">
      <c r="A433" s="5" t="inlineStr">
        <is>
          <t>.</t>
        </is>
      </c>
      <c r="B433" s="5" t="inlineStr">
        <is>
          <t>.</t>
        </is>
      </c>
      <c r="C433" s="1378">
        <f>IF(raw[[#This Row],[city]]="","-",IF(raw[[#This Row],[city]]="TODAY","-",C432+1))</f>
        <v/>
      </c>
      <c r="D433" s="1393" t="inlineStr">
        <is>
          <t>AIR</t>
        </is>
      </c>
      <c r="E433" s="1394" t="n">
        <v>35660</v>
      </c>
      <c r="F433" s="1394" t="n">
        <v>35661</v>
      </c>
      <c r="G433" s="1393" t="inlineStr">
        <is>
          <t>x</t>
        </is>
      </c>
      <c r="H433" s="1393">
        <f>H432</f>
        <v/>
      </c>
      <c r="I433" s="1393" t="inlineStr">
        <is>
          <t>-</t>
        </is>
      </c>
      <c r="J433" s="1393" t="inlineStr">
        <is>
          <t>-</t>
        </is>
      </c>
      <c r="K433" s="1395">
        <f>IF(raw[[#This Row],[city]]&lt;&gt;"",_xlfn.XLOOKUP($D433,ccc[city],ccc[prov],"-"),"-")</f>
        <v/>
      </c>
      <c r="L433" s="1395">
        <f>IF(raw[[#This Row],[city]]&lt;&gt;"",_xlfn.XLOOKUP($D433,ccc[city],ccc[ctry],"-"),"-")</f>
        <v/>
      </c>
      <c r="M433" s="1395">
        <f>IF(raw[[#This Row],[city]]&lt;&gt;"",_xlfn.XLOOKUP($D433,ccc[city],ccc[cont],"-"),"-")</f>
        <v/>
      </c>
      <c r="N433" s="1396">
        <f>IF(raw[[#This Row],[city]]="","-",IF(raw[[#This Row],[cont]]="B",raw[[#This Row],[cont]],"W"))</f>
        <v/>
      </c>
      <c r="O433" s="1397">
        <f>IF(raw[[#This Row],[out]]=0,0,IF(raw[[#This Row],[out]]=raw[[#This Row],[in]],0.01,raw[[#This Row],[out]]-raw[[#This Row],[in]]))</f>
        <v/>
      </c>
      <c r="P433" s="1397">
        <f>IF(raw[[#This Row],[in]]=0,0,MONTH(raw[[#This Row],[in]]))</f>
        <v/>
      </c>
      <c r="Q433" s="1397">
        <f>IF(raw[[#This Row],[in]]=0,0,YEAR(raw[[#This Row],[in]]))</f>
        <v/>
      </c>
      <c r="R433" s="1397">
        <f>INT(raw[[#This Row],[yr]]/10)*10</f>
        <v/>
      </c>
      <c r="S433" s="1395">
        <f>IF(raw[[#This Row],[city]]="","-",IF(raw[[#This Row],[city]]&lt;&gt;_xlfn.XLOOKUP(raw[[#This Row],[home]],homes[home],homes[city],"-"),1,0))</f>
        <v/>
      </c>
      <c r="T433" s="1398" t="inlineStr">
        <is>
          <t>.</t>
        </is>
      </c>
      <c r="U433" s="1399">
        <f>IF(raw[[#This Row],[wb]]="w",raw[[#This Row],[stay]]+U432,U432)</f>
        <v/>
      </c>
      <c r="V433" s="1400">
        <f>IF(raw[[#This Row],[out]]=0,V432,(raw[[#This Row],[out]]-E$5))</f>
        <v/>
      </c>
      <c r="W433" s="1401">
        <f>U433/V433</f>
        <v/>
      </c>
      <c r="X433" s="1378" t="inlineStr">
        <is>
          <t>.</t>
        </is>
      </c>
      <c r="Y433" s="1402">
        <f/>
        <v/>
      </c>
      <c r="Z433" s="1403">
        <f/>
        <v/>
      </c>
      <c r="AA433" s="1403">
        <f/>
        <v/>
      </c>
      <c r="AB433" s="1400">
        <f t="array" ref="AB433">_xlfn.LET(_xlpm.S,_xlfn.ANCHORARRAY($Y$4),_xlpm.r,ROWS(stayCity[[#Headers],[city]]:stayCity[[#This Row],[city]])-1,IF(_xlpm.r&lt;=ROWS(_xlpm.S),INDEX(_xlpm.S,_xlpm.r,1),""))</f>
        <v/>
      </c>
      <c r="AC433" s="1405">
        <f t="array" ref="AC433">_xlfn.LET(_xlpm.S,_xlfn.ANCHORARRAY($Y$4),_xlpm.r,ROWS(stayCity[[#Headers],[city]]:stayCity[[#This Row],[city]])-1,IF(_xlpm.r&lt;=ROWS(_xlpm.S),INDEX(_xlpm.S,_xlpm.r,2),""))</f>
        <v/>
      </c>
      <c r="AD433" s="1405">
        <f t="array" ref="AD433">_xlfn.LET(_xlpm.S,_xlfn.ANCHORARRAY($Y$4),_xlpm.r,ROWS(stayCity[[#Headers],[city]]:stayCity[[#This Row],[city]])-1,IF(_xlpm.r&lt;=ROWS(_xlpm.S),INDEX(_xlpm.S,_xlpm.r,3),""))</f>
        <v/>
      </c>
      <c r="AE433" s="1400">
        <f>IF(stayCity[[#This Row],[out]]&lt;&gt;"",stayCity[[#This Row],[out]]-stayCity[[#This Row],[in]],"-")</f>
        <v/>
      </c>
      <c r="AF433" s="1406">
        <f>IF(Y433="","-",YEAR(stayCity[[#This Row],[in]]))</f>
        <v/>
      </c>
      <c r="AG433" s="1392" t="n"/>
      <c r="AH433" s="1392" t="n"/>
      <c r="AI433" s="1392" t="n"/>
      <c r="AJ433" s="1392" t="n"/>
      <c r="AK433" s="1392" t="n"/>
      <c r="AL433" s="1392" t="n"/>
      <c r="AM433" s="1392" t="n"/>
      <c r="AN433" s="1392" t="n"/>
      <c r="AO433" s="1392" t="n"/>
      <c r="AP433" s="1392" t="n"/>
      <c r="AQ433" s="1392" t="n"/>
      <c r="AR433" s="1392" t="n"/>
      <c r="AS433" s="1422" t="n"/>
      <c r="AT433" s="1392" t="n"/>
      <c r="AU433" s="1392" t="n"/>
      <c r="AV433" s="1392" t="n"/>
      <c r="AW433" s="1392" t="n"/>
      <c r="AX433" s="1392" t="n"/>
      <c r="AY433" s="1392" t="n"/>
      <c r="AZ433" s="1392" t="n"/>
      <c r="BA433" s="1392" t="n"/>
      <c r="BB433" s="1422" t="n"/>
      <c r="BC433" s="1392" t="n"/>
      <c r="BD433" s="1392" t="n"/>
      <c r="BE433" s="1392" t="n"/>
      <c r="BF433" s="1392" t="n"/>
      <c r="BG433" s="1392" t="n"/>
      <c r="BH433" s="1392" t="n"/>
      <c r="BI433" s="1392" t="n"/>
      <c r="BJ433" s="1392" t="n"/>
      <c r="BK433" s="1392" t="n"/>
      <c r="BL433" s="1392" t="n"/>
      <c r="BM433" s="1392" t="n"/>
      <c r="BN433" s="1392" t="n"/>
      <c r="BO433" s="1392" t="n"/>
      <c r="BP433" s="1392" t="n"/>
      <c r="BQ433" s="1392" t="n"/>
      <c r="BR433" s="1392" t="n"/>
      <c r="BS433" s="1392" t="n"/>
      <c r="BT433" s="1392" t="n"/>
      <c r="BU433" s="1416" t="n"/>
      <c r="BV433" s="1392" t="n"/>
      <c r="BW433" s="1392" t="n"/>
      <c r="BX433" s="1392" t="n"/>
      <c r="BY433" s="1392" t="n"/>
      <c r="BZ433" s="1416" t="n"/>
      <c r="CA433" s="1392" t="n"/>
      <c r="CB433" s="1392" t="n"/>
      <c r="CC433" s="1392" t="n"/>
      <c r="CD433" s="1392" t="n"/>
      <c r="CE433" s="1392" t="n"/>
      <c r="CF433" s="1392" t="n"/>
      <c r="CG433" s="1392" t="n"/>
      <c r="CH433" s="1392" t="n"/>
      <c r="CI433" s="1392" t="n"/>
      <c r="CJ433" s="1392" t="n"/>
      <c r="CK433" s="1392" t="n"/>
      <c r="CL433" s="1392" t="n"/>
    </row>
    <row r="434">
      <c r="A434" s="5" t="inlineStr">
        <is>
          <t>.</t>
        </is>
      </c>
      <c r="B434" s="5" t="inlineStr">
        <is>
          <t>.</t>
        </is>
      </c>
      <c r="C434" s="1378">
        <f>IF(raw[[#This Row],[city]]="","-",IF(raw[[#This Row],[city]]="TODAY","-",C433+1))</f>
        <v/>
      </c>
      <c r="D434" s="1393" t="inlineStr">
        <is>
          <t>Frankfurt</t>
        </is>
      </c>
      <c r="E434" s="1394" t="n">
        <v>35661</v>
      </c>
      <c r="F434" s="1394" t="n">
        <v>35661</v>
      </c>
      <c r="G434" s="1393" t="n">
        <v>0.01</v>
      </c>
      <c r="H434" s="1393">
        <f>H433</f>
        <v/>
      </c>
      <c r="I434" s="1393" t="inlineStr">
        <is>
          <t>-</t>
        </is>
      </c>
      <c r="J434" s="1393" t="inlineStr">
        <is>
          <t>-</t>
        </is>
      </c>
      <c r="K434" s="1395">
        <f>IF(raw[[#This Row],[city]]&lt;&gt;"",_xlfn.XLOOKUP($D434,ccc[city],ccc[prov],"-"),"-")</f>
        <v/>
      </c>
      <c r="L434" s="1395">
        <f>IF(raw[[#This Row],[city]]&lt;&gt;"",_xlfn.XLOOKUP($D434,ccc[city],ccc[ctry],"-"),"-")</f>
        <v/>
      </c>
      <c r="M434" s="1395">
        <f>IF(raw[[#This Row],[city]]&lt;&gt;"",_xlfn.XLOOKUP($D434,ccc[city],ccc[cont],"-"),"-")</f>
        <v/>
      </c>
      <c r="N434" s="1396">
        <f>IF(raw[[#This Row],[city]]="","-",IF(raw[[#This Row],[cont]]="B",raw[[#This Row],[cont]],"W"))</f>
        <v/>
      </c>
      <c r="O434" s="1397">
        <f>IF(raw[[#This Row],[out]]=0,0,IF(raw[[#This Row],[out]]=raw[[#This Row],[in]],0.01,raw[[#This Row],[out]]-raw[[#This Row],[in]]))</f>
        <v/>
      </c>
      <c r="P434" s="1397">
        <f>IF(raw[[#This Row],[in]]=0,0,MONTH(raw[[#This Row],[in]]))</f>
        <v/>
      </c>
      <c r="Q434" s="1397">
        <f>IF(raw[[#This Row],[in]]=0,0,YEAR(raw[[#This Row],[in]]))</f>
        <v/>
      </c>
      <c r="R434" s="1397">
        <f>INT(raw[[#This Row],[yr]]/10)*10</f>
        <v/>
      </c>
      <c r="S434" s="1395">
        <f>IF(raw[[#This Row],[city]]="","-",IF(raw[[#This Row],[city]]&lt;&gt;_xlfn.XLOOKUP(raw[[#This Row],[home]],homes[home],homes[city],"-"),1,0))</f>
        <v/>
      </c>
      <c r="T434" s="1398" t="inlineStr">
        <is>
          <t>.</t>
        </is>
      </c>
      <c r="U434" s="1399">
        <f>IF(raw[[#This Row],[wb]]="w",raw[[#This Row],[stay]]+U433,U433)</f>
        <v/>
      </c>
      <c r="V434" s="1400">
        <f>IF(raw[[#This Row],[out]]=0,V433,(raw[[#This Row],[out]]-E$5))</f>
        <v/>
      </c>
      <c r="W434" s="1401">
        <f>U434/V434</f>
        <v/>
      </c>
      <c r="X434" s="1378" t="inlineStr">
        <is>
          <t>.</t>
        </is>
      </c>
      <c r="Y434" s="1402">
        <f/>
        <v/>
      </c>
      <c r="Z434" s="1403">
        <f/>
        <v/>
      </c>
      <c r="AA434" s="1403">
        <f/>
        <v/>
      </c>
      <c r="AB434" s="1400">
        <f t="array" ref="AB434">_xlfn.LET(_xlpm.S,_xlfn.ANCHORARRAY($Y$4),_xlpm.r,ROWS(stayCity[[#Headers],[city]]:stayCity[[#This Row],[city]])-1,IF(_xlpm.r&lt;=ROWS(_xlpm.S),INDEX(_xlpm.S,_xlpm.r,1),""))</f>
        <v/>
      </c>
      <c r="AC434" s="1405">
        <f t="array" ref="AC434">_xlfn.LET(_xlpm.S,_xlfn.ANCHORARRAY($Y$4),_xlpm.r,ROWS(stayCity[[#Headers],[city]]:stayCity[[#This Row],[city]])-1,IF(_xlpm.r&lt;=ROWS(_xlpm.S),INDEX(_xlpm.S,_xlpm.r,2),""))</f>
        <v/>
      </c>
      <c r="AD434" s="1405">
        <f t="array" ref="AD434">_xlfn.LET(_xlpm.S,_xlfn.ANCHORARRAY($Y$4),_xlpm.r,ROWS(stayCity[[#Headers],[city]]:stayCity[[#This Row],[city]])-1,IF(_xlpm.r&lt;=ROWS(_xlpm.S),INDEX(_xlpm.S,_xlpm.r,3),""))</f>
        <v/>
      </c>
      <c r="AE434" s="1400">
        <f>IF(stayCity[[#This Row],[out]]&lt;&gt;"",stayCity[[#This Row],[out]]-stayCity[[#This Row],[in]],"-")</f>
        <v/>
      </c>
      <c r="AF434" s="1406">
        <f>IF(Y434="","-",YEAR(stayCity[[#This Row],[in]]))</f>
        <v/>
      </c>
      <c r="AG434" s="1392" t="n"/>
      <c r="AH434" s="1392" t="n"/>
      <c r="AI434" s="1392" t="n"/>
      <c r="AJ434" s="1392" t="n"/>
      <c r="AK434" s="1392" t="n"/>
      <c r="AL434" s="1392" t="n"/>
      <c r="AM434" s="1392" t="n"/>
      <c r="AN434" s="1392" t="n"/>
      <c r="AO434" s="1392" t="n"/>
      <c r="AP434" s="1392" t="n"/>
      <c r="AQ434" s="1392" t="n"/>
      <c r="AR434" s="1392" t="n"/>
      <c r="AS434" s="1422" t="n"/>
      <c r="AT434" s="1392" t="n"/>
      <c r="AU434" s="1392" t="n"/>
      <c r="AV434" s="1392" t="n"/>
      <c r="AW434" s="1392" t="n"/>
      <c r="AX434" s="1392" t="n"/>
      <c r="AY434" s="1392" t="n"/>
      <c r="AZ434" s="1392" t="n"/>
      <c r="BA434" s="1392" t="n"/>
      <c r="BB434" s="1422" t="n"/>
      <c r="BC434" s="1392" t="n"/>
      <c r="BD434" s="1392" t="n"/>
      <c r="BE434" s="1392" t="n"/>
      <c r="BF434" s="1392" t="n"/>
      <c r="BG434" s="1392" t="n"/>
      <c r="BH434" s="1392" t="n"/>
      <c r="BI434" s="1392" t="n"/>
      <c r="BJ434" s="1392" t="n"/>
      <c r="BK434" s="1392" t="n"/>
      <c r="BL434" s="1392" t="n"/>
      <c r="BM434" s="1392" t="n"/>
      <c r="BN434" s="1392" t="n"/>
      <c r="BO434" s="1392" t="n"/>
      <c r="BP434" s="1392" t="n"/>
      <c r="BQ434" s="1392" t="n"/>
      <c r="BR434" s="1392" t="n"/>
      <c r="BS434" s="1392" t="n"/>
      <c r="BT434" s="1392" t="n"/>
      <c r="BU434" s="1416" t="n"/>
      <c r="BV434" s="1392" t="n"/>
      <c r="BW434" s="1392" t="n"/>
      <c r="BX434" s="1392" t="n"/>
      <c r="BY434" s="1392" t="n"/>
      <c r="BZ434" s="1416" t="n"/>
      <c r="CA434" s="1392" t="n"/>
      <c r="CB434" s="1392" t="n"/>
      <c r="CC434" s="1392" t="n"/>
      <c r="CD434" s="1392" t="n"/>
      <c r="CE434" s="1392" t="n"/>
      <c r="CF434" s="1392" t="n"/>
      <c r="CG434" s="1392" t="n"/>
      <c r="CH434" s="1392" t="n"/>
      <c r="CI434" s="1392" t="n"/>
      <c r="CJ434" s="1392" t="n"/>
      <c r="CK434" s="1392" t="n"/>
      <c r="CL434" s="1392" t="n"/>
    </row>
    <row r="435">
      <c r="A435" s="5" t="inlineStr">
        <is>
          <t>.</t>
        </is>
      </c>
      <c r="B435" s="5" t="inlineStr">
        <is>
          <t>.</t>
        </is>
      </c>
      <c r="C435" s="1378">
        <f>IF(raw[[#This Row],[city]]="","-",IF(raw[[#This Row],[city]]="TODAY","-",C434+1))</f>
        <v/>
      </c>
      <c r="D435" s="1393" t="inlineStr">
        <is>
          <t>Paris</t>
        </is>
      </c>
      <c r="E435" s="1394" t="n">
        <v>35661</v>
      </c>
      <c r="F435" s="1394" t="n">
        <v>35668</v>
      </c>
      <c r="G435" s="1393" t="inlineStr">
        <is>
          <t>-</t>
        </is>
      </c>
      <c r="H435" s="1393" t="inlineStr">
        <is>
          <t>Dunkerque</t>
        </is>
      </c>
      <c r="I435" s="1393" t="inlineStr">
        <is>
          <t>-</t>
        </is>
      </c>
      <c r="J435" s="1393" t="inlineStr">
        <is>
          <t>BDAY</t>
        </is>
      </c>
      <c r="K435" s="1395">
        <f>IF(raw[[#This Row],[city]]&lt;&gt;"",_xlfn.XLOOKUP($D435,ccc[city],ccc[prov],"-"),"-")</f>
        <v/>
      </c>
      <c r="L435" s="1395">
        <f>IF(raw[[#This Row],[city]]&lt;&gt;"",_xlfn.XLOOKUP($D435,ccc[city],ccc[ctry],"-"),"-")</f>
        <v/>
      </c>
      <c r="M435" s="1395">
        <f>IF(raw[[#This Row],[city]]&lt;&gt;"",_xlfn.XLOOKUP($D435,ccc[city],ccc[cont],"-"),"-")</f>
        <v/>
      </c>
      <c r="N435" s="1396">
        <f>IF(raw[[#This Row],[city]]="","-",IF(raw[[#This Row],[cont]]="B",raw[[#This Row],[cont]],"W"))</f>
        <v/>
      </c>
      <c r="O435" s="1397">
        <f>IF(raw[[#This Row],[out]]=0,0,IF(raw[[#This Row],[out]]=raw[[#This Row],[in]],0.01,raw[[#This Row],[out]]-raw[[#This Row],[in]]))</f>
        <v/>
      </c>
      <c r="P435" s="1397">
        <f>IF(raw[[#This Row],[in]]=0,0,MONTH(raw[[#This Row],[in]]))</f>
        <v/>
      </c>
      <c r="Q435" s="1397">
        <f>IF(raw[[#This Row],[in]]=0,0,YEAR(raw[[#This Row],[in]]))</f>
        <v/>
      </c>
      <c r="R435" s="1397">
        <f>INT(raw[[#This Row],[yr]]/10)*10</f>
        <v/>
      </c>
      <c r="S435" s="1395">
        <f>IF(raw[[#This Row],[city]]="","-",IF(raw[[#This Row],[city]]&lt;&gt;_xlfn.XLOOKUP(raw[[#This Row],[home]],homes[home],homes[city],"-"),1,0))</f>
        <v/>
      </c>
      <c r="T435" s="1398" t="inlineStr">
        <is>
          <t>.</t>
        </is>
      </c>
      <c r="U435" s="1399">
        <f>IF(raw[[#This Row],[wb]]="w",raw[[#This Row],[stay]]+U434,U434)</f>
        <v/>
      </c>
      <c r="V435" s="1400">
        <f>IF(raw[[#This Row],[out]]=0,V434,(raw[[#This Row],[out]]-E$5))</f>
        <v/>
      </c>
      <c r="W435" s="1401">
        <f>U435/V435</f>
        <v/>
      </c>
      <c r="X435" s="1378" t="inlineStr">
        <is>
          <t>.</t>
        </is>
      </c>
      <c r="Y435" s="1402">
        <f/>
        <v/>
      </c>
      <c r="Z435" s="1403">
        <f/>
        <v/>
      </c>
      <c r="AA435" s="1403">
        <f/>
        <v/>
      </c>
      <c r="AB435" s="1400">
        <f t="array" ref="AB435">_xlfn.LET(_xlpm.S,_xlfn.ANCHORARRAY($Y$4),_xlpm.r,ROWS(stayCity[[#Headers],[city]]:stayCity[[#This Row],[city]])-1,IF(_xlpm.r&lt;=ROWS(_xlpm.S),INDEX(_xlpm.S,_xlpm.r,1),""))</f>
        <v/>
      </c>
      <c r="AC435" s="1405">
        <f t="array" ref="AC435">_xlfn.LET(_xlpm.S,_xlfn.ANCHORARRAY($Y$4),_xlpm.r,ROWS(stayCity[[#Headers],[city]]:stayCity[[#This Row],[city]])-1,IF(_xlpm.r&lt;=ROWS(_xlpm.S),INDEX(_xlpm.S,_xlpm.r,2),""))</f>
        <v/>
      </c>
      <c r="AD435" s="1405">
        <f t="array" ref="AD435">_xlfn.LET(_xlpm.S,_xlfn.ANCHORARRAY($Y$4),_xlpm.r,ROWS(stayCity[[#Headers],[city]]:stayCity[[#This Row],[city]])-1,IF(_xlpm.r&lt;=ROWS(_xlpm.S),INDEX(_xlpm.S,_xlpm.r,3),""))</f>
        <v/>
      </c>
      <c r="AE435" s="1400">
        <f>IF(stayCity[[#This Row],[out]]&lt;&gt;"",stayCity[[#This Row],[out]]-stayCity[[#This Row],[in]],"-")</f>
        <v/>
      </c>
      <c r="AF435" s="1406">
        <f>IF(Y435="","-",YEAR(stayCity[[#This Row],[in]]))</f>
        <v/>
      </c>
      <c r="AG435" s="1392" t="n"/>
      <c r="AH435" s="1392" t="n"/>
      <c r="AI435" s="1392" t="n"/>
      <c r="AJ435" s="1392" t="n"/>
      <c r="AK435" s="1392" t="n"/>
      <c r="AL435" s="1392" t="n"/>
      <c r="AM435" s="1392" t="n"/>
      <c r="AN435" s="1392" t="n"/>
      <c r="AO435" s="1392" t="n"/>
      <c r="AP435" s="1392" t="n"/>
      <c r="AQ435" s="1392" t="n"/>
      <c r="AR435" s="1392" t="n"/>
      <c r="AS435" s="1422" t="n"/>
      <c r="AT435" s="1392" t="n"/>
      <c r="AU435" s="1392" t="n"/>
      <c r="AV435" s="1392" t="n"/>
      <c r="AW435" s="1392" t="n"/>
      <c r="AX435" s="1392" t="n"/>
      <c r="AY435" s="1392" t="n"/>
      <c r="AZ435" s="1392" t="n"/>
      <c r="BA435" s="1392" t="n"/>
      <c r="BB435" s="1422" t="n"/>
      <c r="BC435" s="1392" t="n"/>
      <c r="BD435" s="1392" t="n"/>
      <c r="BE435" s="1392" t="n"/>
      <c r="BF435" s="1392" t="n"/>
      <c r="BG435" s="1392" t="n"/>
      <c r="BH435" s="1392" t="n"/>
      <c r="BI435" s="1392" t="n"/>
      <c r="BJ435" s="1392" t="n"/>
      <c r="BK435" s="1392" t="n"/>
      <c r="BL435" s="1392" t="n"/>
      <c r="BM435" s="1392" t="n"/>
      <c r="BN435" s="1392" t="n"/>
      <c r="BO435" s="1392" t="n"/>
      <c r="BP435" s="1392" t="n"/>
      <c r="BQ435" s="1392" t="n"/>
      <c r="BR435" s="1392" t="n"/>
      <c r="BS435" s="1392" t="n"/>
      <c r="BT435" s="1392" t="n"/>
      <c r="BU435" s="1416" t="n"/>
      <c r="BV435" s="1392" t="n"/>
      <c r="BW435" s="1392" t="n"/>
      <c r="BX435" s="1392" t="n"/>
      <c r="BY435" s="1392" t="n"/>
      <c r="BZ435" s="1416" t="n"/>
      <c r="CA435" s="1392" t="n"/>
      <c r="CB435" s="1392" t="n"/>
      <c r="CC435" s="1392" t="n"/>
      <c r="CD435" s="1392" t="n"/>
      <c r="CE435" s="1392" t="n"/>
      <c r="CF435" s="1392" t="n"/>
      <c r="CG435" s="1392" t="n"/>
      <c r="CH435" s="1392" t="n"/>
      <c r="CI435" s="1392" t="n"/>
      <c r="CJ435" s="1392" t="n"/>
      <c r="CK435" s="1392" t="n"/>
      <c r="CL435" s="1392" t="n"/>
    </row>
    <row r="436">
      <c r="A436" s="5" t="inlineStr">
        <is>
          <t>.</t>
        </is>
      </c>
      <c r="B436" s="5" t="inlineStr">
        <is>
          <t>.</t>
        </is>
      </c>
      <c r="C436" s="1378">
        <f>IF(raw[[#This Row],[city]]="","-",IF(raw[[#This Row],[city]]="TODAY","-",C435+1))</f>
        <v/>
      </c>
      <c r="D436" s="1393" t="inlineStr">
        <is>
          <t>London</t>
        </is>
      </c>
      <c r="E436" s="1394" t="n">
        <v>35668</v>
      </c>
      <c r="F436" s="1394" t="n">
        <v>35673</v>
      </c>
      <c r="G436" s="1393" t="inlineStr">
        <is>
          <t>-</t>
        </is>
      </c>
      <c r="H436" s="1393" t="inlineStr">
        <is>
          <t>Dunkerque</t>
        </is>
      </c>
      <c r="I436" s="1393" t="inlineStr">
        <is>
          <t>David's</t>
        </is>
      </c>
      <c r="J436" s="1393" t="inlineStr">
        <is>
          <t>-</t>
        </is>
      </c>
      <c r="K436" s="1395">
        <f>IF(raw[[#This Row],[city]]&lt;&gt;"",_xlfn.XLOOKUP($D436,ccc[city],ccc[prov],"-"),"-")</f>
        <v/>
      </c>
      <c r="L436" s="1395">
        <f>IF(raw[[#This Row],[city]]&lt;&gt;"",_xlfn.XLOOKUP($D436,ccc[city],ccc[ctry],"-"),"-")</f>
        <v/>
      </c>
      <c r="M436" s="1395">
        <f>IF(raw[[#This Row],[city]]&lt;&gt;"",_xlfn.XLOOKUP($D436,ccc[city],ccc[cont],"-"),"-")</f>
        <v/>
      </c>
      <c r="N436" s="1396">
        <f>IF(raw[[#This Row],[city]]="","-",IF(raw[[#This Row],[cont]]="B",raw[[#This Row],[cont]],"W"))</f>
        <v/>
      </c>
      <c r="O436" s="1397">
        <f>IF(raw[[#This Row],[out]]=0,0,IF(raw[[#This Row],[out]]=raw[[#This Row],[in]],0.01,raw[[#This Row],[out]]-raw[[#This Row],[in]]))</f>
        <v/>
      </c>
      <c r="P436" s="1397">
        <f>IF(raw[[#This Row],[in]]=0,0,MONTH(raw[[#This Row],[in]]))</f>
        <v/>
      </c>
      <c r="Q436" s="1397">
        <f>IF(raw[[#This Row],[in]]=0,0,YEAR(raw[[#This Row],[in]]))</f>
        <v/>
      </c>
      <c r="R436" s="1397">
        <f>INT(raw[[#This Row],[yr]]/10)*10</f>
        <v/>
      </c>
      <c r="S436" s="1395">
        <f>IF(raw[[#This Row],[city]]="","-",IF(raw[[#This Row],[city]]&lt;&gt;_xlfn.XLOOKUP(raw[[#This Row],[home]],homes[home],homes[city],"-"),1,0))</f>
        <v/>
      </c>
      <c r="T436" s="1398" t="inlineStr">
        <is>
          <t>.</t>
        </is>
      </c>
      <c r="U436" s="1399">
        <f>IF(raw[[#This Row],[wb]]="w",raw[[#This Row],[stay]]+U435,U435)</f>
        <v/>
      </c>
      <c r="V436" s="1400">
        <f>IF(raw[[#This Row],[out]]=0,V435,(raw[[#This Row],[out]]-E$5))</f>
        <v/>
      </c>
      <c r="W436" s="1401">
        <f>U436/V436</f>
        <v/>
      </c>
      <c r="X436" s="1378" t="inlineStr">
        <is>
          <t>.</t>
        </is>
      </c>
      <c r="Y436" s="1402">
        <f/>
        <v/>
      </c>
      <c r="Z436" s="1403">
        <f/>
        <v/>
      </c>
      <c r="AA436" s="1403">
        <f/>
        <v/>
      </c>
      <c r="AB436" s="1400">
        <f t="array" ref="AB436">_xlfn.LET(_xlpm.S,_xlfn.ANCHORARRAY($Y$4),_xlpm.r,ROWS(stayCity[[#Headers],[city]]:stayCity[[#This Row],[city]])-1,IF(_xlpm.r&lt;=ROWS(_xlpm.S),INDEX(_xlpm.S,_xlpm.r,1),""))</f>
        <v/>
      </c>
      <c r="AC436" s="1405">
        <f t="array" ref="AC436">_xlfn.LET(_xlpm.S,_xlfn.ANCHORARRAY($Y$4),_xlpm.r,ROWS(stayCity[[#Headers],[city]]:stayCity[[#This Row],[city]])-1,IF(_xlpm.r&lt;=ROWS(_xlpm.S),INDEX(_xlpm.S,_xlpm.r,2),""))</f>
        <v/>
      </c>
      <c r="AD436" s="1405">
        <f t="array" ref="AD436">_xlfn.LET(_xlpm.S,_xlfn.ANCHORARRAY($Y$4),_xlpm.r,ROWS(stayCity[[#Headers],[city]]:stayCity[[#This Row],[city]])-1,IF(_xlpm.r&lt;=ROWS(_xlpm.S),INDEX(_xlpm.S,_xlpm.r,3),""))</f>
        <v/>
      </c>
      <c r="AE436" s="1400">
        <f>IF(stayCity[[#This Row],[out]]&lt;&gt;"",stayCity[[#This Row],[out]]-stayCity[[#This Row],[in]],"-")</f>
        <v/>
      </c>
      <c r="AF436" s="1406">
        <f>IF(Y436="","-",YEAR(stayCity[[#This Row],[in]]))</f>
        <v/>
      </c>
      <c r="AG436" s="1392" t="n"/>
      <c r="AH436" s="1392" t="n"/>
      <c r="AI436" s="1392" t="n"/>
      <c r="AJ436" s="1392" t="n"/>
      <c r="AK436" s="1392" t="n"/>
      <c r="AL436" s="1392" t="n"/>
      <c r="AM436" s="1392" t="n"/>
      <c r="AN436" s="1392" t="n"/>
      <c r="AO436" s="1392" t="n"/>
      <c r="AP436" s="1392" t="n"/>
      <c r="AQ436" s="1392" t="n"/>
      <c r="AR436" s="1392" t="n"/>
      <c r="AS436" s="1422" t="n"/>
      <c r="AT436" s="1392" t="n"/>
      <c r="AU436" s="1392" t="n"/>
      <c r="AV436" s="1392" t="n"/>
      <c r="AW436" s="1392" t="n"/>
      <c r="AX436" s="1392" t="n"/>
      <c r="AY436" s="1392" t="n"/>
      <c r="AZ436" s="1392" t="n"/>
      <c r="BA436" s="1392" t="n"/>
      <c r="BB436" s="1422" t="n"/>
      <c r="BC436" s="1392" t="n"/>
      <c r="BD436" s="1392" t="n"/>
      <c r="BE436" s="1392" t="n"/>
      <c r="BF436" s="1392" t="n"/>
      <c r="BG436" s="1392" t="n"/>
      <c r="BH436" s="1392" t="n"/>
      <c r="BI436" s="1392" t="n"/>
      <c r="BJ436" s="1392" t="n"/>
      <c r="BK436" s="1392" t="n"/>
      <c r="BL436" s="1392" t="n"/>
      <c r="BM436" s="1392" t="n"/>
      <c r="BN436" s="1392" t="n"/>
      <c r="BO436" s="1392" t="n"/>
      <c r="BP436" s="1392" t="n"/>
      <c r="BQ436" s="1392" t="n"/>
      <c r="BR436" s="1392" t="n"/>
      <c r="BS436" s="1392" t="n"/>
      <c r="BT436" s="1392" t="n"/>
      <c r="BU436" s="1416" t="n"/>
      <c r="BV436" s="1392" t="n"/>
      <c r="BW436" s="1392" t="n"/>
      <c r="BX436" s="1392" t="n"/>
      <c r="BY436" s="1392" t="n"/>
      <c r="BZ436" s="1416" t="n"/>
      <c r="CA436" s="1392" t="n"/>
      <c r="CB436" s="1392" t="n"/>
      <c r="CC436" s="1392" t="n"/>
      <c r="CD436" s="1392" t="n"/>
      <c r="CE436" s="1392" t="n"/>
      <c r="CF436" s="1392" t="n"/>
      <c r="CG436" s="1392" t="n"/>
      <c r="CH436" s="1392" t="n"/>
      <c r="CI436" s="1392" t="n"/>
      <c r="CJ436" s="1392" t="n"/>
      <c r="CK436" s="1392" t="n"/>
      <c r="CL436" s="1392" t="n"/>
    </row>
    <row r="437">
      <c r="A437" s="5" t="inlineStr">
        <is>
          <t>.</t>
        </is>
      </c>
      <c r="B437" s="5" t="inlineStr">
        <is>
          <t>.</t>
        </is>
      </c>
      <c r="C437" s="1378">
        <f>IF(raw[[#This Row],[city]]="","-",IF(raw[[#This Row],[city]]="TODAY","-",C436+1))</f>
        <v/>
      </c>
      <c r="D437" s="1393" t="inlineStr">
        <is>
          <t>Paris</t>
        </is>
      </c>
      <c r="E437" s="1394" t="n">
        <v>35673</v>
      </c>
      <c r="F437" s="1394" t="n">
        <v>35674</v>
      </c>
      <c r="G437" s="1393" t="inlineStr">
        <is>
          <t>-</t>
        </is>
      </c>
      <c r="H437" s="1393">
        <f>H436</f>
        <v/>
      </c>
      <c r="I437" s="1393" t="inlineStr">
        <is>
          <t>-</t>
        </is>
      </c>
      <c r="J437" s="1393" t="inlineStr">
        <is>
          <t>-</t>
        </is>
      </c>
      <c r="K437" s="1395">
        <f>IF(raw[[#This Row],[city]]&lt;&gt;"",_xlfn.XLOOKUP($D437,ccc[city],ccc[prov],"-"),"-")</f>
        <v/>
      </c>
      <c r="L437" s="1395">
        <f>IF(raw[[#This Row],[city]]&lt;&gt;"",_xlfn.XLOOKUP($D437,ccc[city],ccc[ctry],"-"),"-")</f>
        <v/>
      </c>
      <c r="M437" s="1395">
        <f>IF(raw[[#This Row],[city]]&lt;&gt;"",_xlfn.XLOOKUP($D437,ccc[city],ccc[cont],"-"),"-")</f>
        <v/>
      </c>
      <c r="N437" s="1396">
        <f>IF(raw[[#This Row],[city]]="","-",IF(raw[[#This Row],[cont]]="B",raw[[#This Row],[cont]],"W"))</f>
        <v/>
      </c>
      <c r="O437" s="1397">
        <f>IF(raw[[#This Row],[out]]=0,0,IF(raw[[#This Row],[out]]=raw[[#This Row],[in]],0.01,raw[[#This Row],[out]]-raw[[#This Row],[in]]))</f>
        <v/>
      </c>
      <c r="P437" s="1397">
        <f>IF(raw[[#This Row],[in]]=0,0,MONTH(raw[[#This Row],[in]]))</f>
        <v/>
      </c>
      <c r="Q437" s="1397">
        <f>IF(raw[[#This Row],[in]]=0,0,YEAR(raw[[#This Row],[in]]))</f>
        <v/>
      </c>
      <c r="R437" s="1397">
        <f>INT(raw[[#This Row],[yr]]/10)*10</f>
        <v/>
      </c>
      <c r="S437" s="1395">
        <f>IF(raw[[#This Row],[city]]="","-",IF(raw[[#This Row],[city]]&lt;&gt;_xlfn.XLOOKUP(raw[[#This Row],[home]],homes[home],homes[city],"-"),1,0))</f>
        <v/>
      </c>
      <c r="T437" s="1398" t="inlineStr">
        <is>
          <t>.</t>
        </is>
      </c>
      <c r="U437" s="1399">
        <f>IF(raw[[#This Row],[wb]]="w",raw[[#This Row],[stay]]+U436,U436)</f>
        <v/>
      </c>
      <c r="V437" s="1400">
        <f>IF(raw[[#This Row],[out]]=0,V436,(raw[[#This Row],[out]]-E$5))</f>
        <v/>
      </c>
      <c r="W437" s="1401">
        <f>U437/V437</f>
        <v/>
      </c>
      <c r="X437" s="1378" t="inlineStr">
        <is>
          <t>.</t>
        </is>
      </c>
      <c r="Y437" s="1402">
        <f/>
        <v/>
      </c>
      <c r="Z437" s="1403">
        <f/>
        <v/>
      </c>
      <c r="AA437" s="1403">
        <f/>
        <v/>
      </c>
      <c r="AB437" s="1400">
        <f t="array" ref="AB437">_xlfn.LET(_xlpm.S,_xlfn.ANCHORARRAY($Y$4),_xlpm.r,ROWS(stayCity[[#Headers],[city]]:stayCity[[#This Row],[city]])-1,IF(_xlpm.r&lt;=ROWS(_xlpm.S),INDEX(_xlpm.S,_xlpm.r,1),""))</f>
        <v/>
      </c>
      <c r="AC437" s="1405">
        <f t="array" ref="AC437">_xlfn.LET(_xlpm.S,_xlfn.ANCHORARRAY($Y$4),_xlpm.r,ROWS(stayCity[[#Headers],[city]]:stayCity[[#This Row],[city]])-1,IF(_xlpm.r&lt;=ROWS(_xlpm.S),INDEX(_xlpm.S,_xlpm.r,2),""))</f>
        <v/>
      </c>
      <c r="AD437" s="1405">
        <f t="array" ref="AD437">_xlfn.LET(_xlpm.S,_xlfn.ANCHORARRAY($Y$4),_xlpm.r,ROWS(stayCity[[#Headers],[city]]:stayCity[[#This Row],[city]])-1,IF(_xlpm.r&lt;=ROWS(_xlpm.S),INDEX(_xlpm.S,_xlpm.r,3),""))</f>
        <v/>
      </c>
      <c r="AE437" s="1400">
        <f>IF(stayCity[[#This Row],[out]]&lt;&gt;"",stayCity[[#This Row],[out]]-stayCity[[#This Row],[in]],"-")</f>
        <v/>
      </c>
      <c r="AF437" s="1406">
        <f>IF(Y437="","-",YEAR(stayCity[[#This Row],[in]]))</f>
        <v/>
      </c>
      <c r="AG437" s="1392" t="n"/>
      <c r="AH437" s="1392" t="n"/>
      <c r="AI437" s="1392" t="n"/>
      <c r="AJ437" s="1392" t="n"/>
      <c r="AK437" s="1392" t="n"/>
      <c r="AL437" s="1392" t="n"/>
      <c r="AM437" s="1392" t="n"/>
      <c r="AN437" s="1392" t="n"/>
      <c r="AO437" s="1392" t="n"/>
      <c r="AP437" s="1392" t="n"/>
      <c r="AQ437" s="1392" t="n"/>
      <c r="AR437" s="1392" t="n"/>
      <c r="AS437" s="1422" t="n"/>
      <c r="AT437" s="1392" t="n"/>
      <c r="AU437" s="1392" t="n"/>
      <c r="AV437" s="1392" t="n"/>
      <c r="AW437" s="1392" t="n"/>
      <c r="AX437" s="1392" t="n"/>
      <c r="AY437" s="1392" t="n"/>
      <c r="AZ437" s="1392" t="n"/>
      <c r="BA437" s="1392" t="n"/>
      <c r="BB437" s="1422" t="n"/>
      <c r="BC437" s="1392" t="n"/>
      <c r="BD437" s="1392" t="n"/>
      <c r="BE437" s="1392" t="n"/>
      <c r="BF437" s="1392" t="n"/>
      <c r="BG437" s="1392" t="n"/>
      <c r="BH437" s="1392" t="n"/>
      <c r="BI437" s="1392" t="n"/>
      <c r="BJ437" s="1392" t="n"/>
      <c r="BK437" s="1392" t="n"/>
      <c r="BL437" s="1392" t="n"/>
      <c r="BM437" s="1392" t="n"/>
      <c r="BN437" s="1392" t="n"/>
      <c r="BO437" s="1392" t="n"/>
      <c r="BP437" s="1392" t="n"/>
      <c r="BQ437" s="1392" t="n"/>
      <c r="BR437" s="1392" t="n"/>
      <c r="BS437" s="1392" t="n"/>
      <c r="BT437" s="1392" t="n"/>
      <c r="BU437" s="1416" t="n"/>
      <c r="BV437" s="1392" t="n"/>
      <c r="BW437" s="1392" t="n"/>
      <c r="BX437" s="1392" t="n"/>
      <c r="BY437" s="1392" t="n"/>
      <c r="BZ437" s="1416" t="n"/>
      <c r="CA437" s="1392" t="n"/>
      <c r="CB437" s="1392" t="n"/>
      <c r="CC437" s="1392" t="n"/>
      <c r="CD437" s="1392" t="n"/>
      <c r="CE437" s="1392" t="n"/>
      <c r="CF437" s="1392" t="n"/>
      <c r="CG437" s="1392" t="n"/>
      <c r="CH437" s="1392" t="n"/>
      <c r="CI437" s="1392" t="n"/>
      <c r="CJ437" s="1392" t="n"/>
      <c r="CK437" s="1392" t="n"/>
      <c r="CL437" s="1392" t="n"/>
    </row>
    <row r="438">
      <c r="A438" s="5" t="inlineStr">
        <is>
          <t>.</t>
        </is>
      </c>
      <c r="B438" s="5" t="inlineStr">
        <is>
          <t>.</t>
        </is>
      </c>
      <c r="C438" s="1378">
        <f>IF(raw[[#This Row],[city]]="","-",IF(raw[[#This Row],[city]]="TODAY","-",C437+1))</f>
        <v/>
      </c>
      <c r="D438" s="1393" t="inlineStr">
        <is>
          <t>Paris</t>
        </is>
      </c>
      <c r="E438" s="1394" t="n">
        <v>35674</v>
      </c>
      <c r="F438" s="1394" t="n">
        <v>35704</v>
      </c>
      <c r="G438" s="1393" t="inlineStr">
        <is>
          <t>-</t>
        </is>
      </c>
      <c r="H438" s="1393">
        <f>H437</f>
        <v/>
      </c>
      <c r="I438" s="1393" t="inlineStr">
        <is>
          <t>-</t>
        </is>
      </c>
      <c r="J438" s="1393" t="inlineStr">
        <is>
          <t>-</t>
        </is>
      </c>
      <c r="K438" s="1395">
        <f>IF(raw[[#This Row],[city]]&lt;&gt;"",_xlfn.XLOOKUP($D438,ccc[city],ccc[prov],"-"),"-")</f>
        <v/>
      </c>
      <c r="L438" s="1395">
        <f>IF(raw[[#This Row],[city]]&lt;&gt;"",_xlfn.XLOOKUP($D438,ccc[city],ccc[ctry],"-"),"-")</f>
        <v/>
      </c>
      <c r="M438" s="1395">
        <f>IF(raw[[#This Row],[city]]&lt;&gt;"",_xlfn.XLOOKUP($D438,ccc[city],ccc[cont],"-"),"-")</f>
        <v/>
      </c>
      <c r="N438" s="1396">
        <f>IF(raw[[#This Row],[city]]="","-",IF(raw[[#This Row],[cont]]="B",raw[[#This Row],[cont]],"W"))</f>
        <v/>
      </c>
      <c r="O438" s="1397">
        <f>IF(raw[[#This Row],[out]]=0,0,IF(raw[[#This Row],[out]]=raw[[#This Row],[in]],0.01,raw[[#This Row],[out]]-raw[[#This Row],[in]]))</f>
        <v/>
      </c>
      <c r="P438" s="1397">
        <f>IF(raw[[#This Row],[in]]=0,0,MONTH(raw[[#This Row],[in]]))</f>
        <v/>
      </c>
      <c r="Q438" s="1397">
        <f>IF(raw[[#This Row],[in]]=0,0,YEAR(raw[[#This Row],[in]]))</f>
        <v/>
      </c>
      <c r="R438" s="1397">
        <f>INT(raw[[#This Row],[yr]]/10)*10</f>
        <v/>
      </c>
      <c r="S438" s="1395">
        <f>IF(raw[[#This Row],[city]]="","-",IF(raw[[#This Row],[city]]&lt;&gt;_xlfn.XLOOKUP(raw[[#This Row],[home]],homes[home],homes[city],"-"),1,0))</f>
        <v/>
      </c>
      <c r="T438" s="1398" t="inlineStr">
        <is>
          <t>.</t>
        </is>
      </c>
      <c r="U438" s="1399">
        <f>IF(raw[[#This Row],[wb]]="w",raw[[#This Row],[stay]]+U437,U437)</f>
        <v/>
      </c>
      <c r="V438" s="1400">
        <f>IF(raw[[#This Row],[out]]=0,V437,(raw[[#This Row],[out]]-E$5))</f>
        <v/>
      </c>
      <c r="W438" s="1401">
        <f>U438/V438</f>
        <v/>
      </c>
      <c r="X438" s="1378" t="inlineStr">
        <is>
          <t>.</t>
        </is>
      </c>
      <c r="Y438" s="1402">
        <f/>
        <v/>
      </c>
      <c r="Z438" s="1403">
        <f/>
        <v/>
      </c>
      <c r="AA438" s="1403">
        <f/>
        <v/>
      </c>
      <c r="AB438" s="1400">
        <f t="array" ref="AB438">_xlfn.LET(_xlpm.S,_xlfn.ANCHORARRAY($Y$4),_xlpm.r,ROWS(stayCity[[#Headers],[city]]:stayCity[[#This Row],[city]])-1,IF(_xlpm.r&lt;=ROWS(_xlpm.S),INDEX(_xlpm.S,_xlpm.r,1),""))</f>
        <v/>
      </c>
      <c r="AC438" s="1405">
        <f t="array" ref="AC438">_xlfn.LET(_xlpm.S,_xlfn.ANCHORARRAY($Y$4),_xlpm.r,ROWS(stayCity[[#Headers],[city]]:stayCity[[#This Row],[city]])-1,IF(_xlpm.r&lt;=ROWS(_xlpm.S),INDEX(_xlpm.S,_xlpm.r,2),""))</f>
        <v/>
      </c>
      <c r="AD438" s="1405">
        <f t="array" ref="AD438">_xlfn.LET(_xlpm.S,_xlfn.ANCHORARRAY($Y$4),_xlpm.r,ROWS(stayCity[[#Headers],[city]]:stayCity[[#This Row],[city]])-1,IF(_xlpm.r&lt;=ROWS(_xlpm.S),INDEX(_xlpm.S,_xlpm.r,3),""))</f>
        <v/>
      </c>
      <c r="AE438" s="1400">
        <f>IF(stayCity[[#This Row],[out]]&lt;&gt;"",stayCity[[#This Row],[out]]-stayCity[[#This Row],[in]],"-")</f>
        <v/>
      </c>
      <c r="AF438" s="1406">
        <f>IF(Y438="","-",YEAR(stayCity[[#This Row],[in]]))</f>
        <v/>
      </c>
      <c r="AG438" s="1392" t="n"/>
      <c r="AH438" s="1392" t="n"/>
      <c r="AI438" s="1392" t="n"/>
      <c r="AJ438" s="1392" t="n"/>
      <c r="AK438" s="1392" t="n"/>
      <c r="AL438" s="1392" t="n"/>
      <c r="AM438" s="1392" t="n"/>
      <c r="AN438" s="1392" t="n"/>
      <c r="AO438" s="1392" t="n"/>
      <c r="AP438" s="1392" t="n"/>
      <c r="AQ438" s="1392" t="n"/>
      <c r="AR438" s="1392" t="n"/>
      <c r="AS438" s="1422" t="n"/>
      <c r="AT438" s="1392" t="n"/>
      <c r="AU438" s="1392" t="n"/>
      <c r="AV438" s="1392" t="n"/>
      <c r="AW438" s="1392" t="n"/>
      <c r="AX438" s="1392" t="n"/>
      <c r="AY438" s="1392" t="n"/>
      <c r="AZ438" s="1392" t="n"/>
      <c r="BA438" s="1392" t="n"/>
      <c r="BB438" s="1422" t="n"/>
      <c r="BC438" s="1392" t="n"/>
      <c r="BD438" s="1392" t="n"/>
      <c r="BE438" s="1392" t="n"/>
      <c r="BF438" s="1392" t="n"/>
      <c r="BG438" s="1392" t="n"/>
      <c r="BH438" s="1392" t="n"/>
      <c r="BI438" s="1392" t="n"/>
      <c r="BJ438" s="1392" t="n"/>
      <c r="BK438" s="1392" t="n"/>
      <c r="BL438" s="1392" t="n"/>
      <c r="BM438" s="1392" t="n"/>
      <c r="BN438" s="1392" t="n"/>
      <c r="BO438" s="1392" t="n"/>
      <c r="BP438" s="1392" t="n"/>
      <c r="BQ438" s="1392" t="n"/>
      <c r="BR438" s="1392" t="n"/>
      <c r="BS438" s="1392" t="n"/>
      <c r="BT438" s="1392" t="n"/>
      <c r="BU438" s="1416" t="n"/>
      <c r="BV438" s="1392" t="n"/>
      <c r="BW438" s="1392" t="n"/>
      <c r="BX438" s="1392" t="n"/>
      <c r="BY438" s="1392" t="n"/>
      <c r="BZ438" s="1416" t="n"/>
      <c r="CA438" s="1392" t="n"/>
      <c r="CB438" s="1392" t="n"/>
      <c r="CC438" s="1392" t="n"/>
      <c r="CD438" s="1392" t="n"/>
      <c r="CE438" s="1392" t="n"/>
      <c r="CF438" s="1392" t="n"/>
      <c r="CG438" s="1392" t="n"/>
      <c r="CH438" s="1392" t="n"/>
      <c r="CI438" s="1392" t="n"/>
      <c r="CJ438" s="1392" t="n"/>
      <c r="CK438" s="1392" t="n"/>
      <c r="CL438" s="1392" t="n"/>
    </row>
    <row r="439">
      <c r="A439" s="5" t="inlineStr">
        <is>
          <t>.</t>
        </is>
      </c>
      <c r="B439" s="5" t="inlineStr">
        <is>
          <t>.</t>
        </is>
      </c>
      <c r="C439" s="1378">
        <f>IF(raw[[#This Row],[city]]="","-",IF(raw[[#This Row],[city]]="TODAY","-",C438+1))</f>
        <v/>
      </c>
      <c r="D439" s="1393" t="inlineStr">
        <is>
          <t>Paris</t>
        </is>
      </c>
      <c r="E439" s="1394" t="n">
        <v>35704</v>
      </c>
      <c r="F439" s="1394" t="n">
        <v>35735</v>
      </c>
      <c r="G439" s="1393" t="inlineStr">
        <is>
          <t>-</t>
        </is>
      </c>
      <c r="H439" s="1393">
        <f>H438</f>
        <v/>
      </c>
      <c r="I439" s="1393" t="inlineStr">
        <is>
          <t>-</t>
        </is>
      </c>
      <c r="J439" s="1393" t="inlineStr">
        <is>
          <t>-</t>
        </is>
      </c>
      <c r="K439" s="1395">
        <f>IF(raw[[#This Row],[city]]&lt;&gt;"",_xlfn.XLOOKUP($D439,ccc[city],ccc[prov],"-"),"-")</f>
        <v/>
      </c>
      <c r="L439" s="1395">
        <f>IF(raw[[#This Row],[city]]&lt;&gt;"",_xlfn.XLOOKUP($D439,ccc[city],ccc[ctry],"-"),"-")</f>
        <v/>
      </c>
      <c r="M439" s="1395">
        <f>IF(raw[[#This Row],[city]]&lt;&gt;"",_xlfn.XLOOKUP($D439,ccc[city],ccc[cont],"-"),"-")</f>
        <v/>
      </c>
      <c r="N439" s="1396">
        <f>IF(raw[[#This Row],[city]]="","-",IF(raw[[#This Row],[cont]]="B",raw[[#This Row],[cont]],"W"))</f>
        <v/>
      </c>
      <c r="O439" s="1397">
        <f>IF(raw[[#This Row],[out]]=0,0,IF(raw[[#This Row],[out]]=raw[[#This Row],[in]],0.01,raw[[#This Row],[out]]-raw[[#This Row],[in]]))</f>
        <v/>
      </c>
      <c r="P439" s="1397">
        <f>IF(raw[[#This Row],[in]]=0,0,MONTH(raw[[#This Row],[in]]))</f>
        <v/>
      </c>
      <c r="Q439" s="1397">
        <f>IF(raw[[#This Row],[in]]=0,0,YEAR(raw[[#This Row],[in]]))</f>
        <v/>
      </c>
      <c r="R439" s="1397">
        <f>INT(raw[[#This Row],[yr]]/10)*10</f>
        <v/>
      </c>
      <c r="S439" s="1395">
        <f>IF(raw[[#This Row],[city]]="","-",IF(raw[[#This Row],[city]]&lt;&gt;_xlfn.XLOOKUP(raw[[#This Row],[home]],homes[home],homes[city],"-"),1,0))</f>
        <v/>
      </c>
      <c r="T439" s="1398" t="inlineStr">
        <is>
          <t>.</t>
        </is>
      </c>
      <c r="U439" s="1399">
        <f>IF(raw[[#This Row],[wb]]="w",raw[[#This Row],[stay]]+U438,U438)</f>
        <v/>
      </c>
      <c r="V439" s="1400">
        <f>IF(raw[[#This Row],[out]]=0,V438,(raw[[#This Row],[out]]-E$5))</f>
        <v/>
      </c>
      <c r="W439" s="1401">
        <f>U439/V439</f>
        <v/>
      </c>
      <c r="X439" s="1378" t="inlineStr">
        <is>
          <t>.</t>
        </is>
      </c>
      <c r="Y439" s="1402">
        <f/>
        <v/>
      </c>
      <c r="Z439" s="1403">
        <f/>
        <v/>
      </c>
      <c r="AA439" s="1403">
        <f/>
        <v/>
      </c>
      <c r="AB439" s="1400">
        <f t="array" ref="AB439">_xlfn.LET(_xlpm.S,_xlfn.ANCHORARRAY($Y$4),_xlpm.r,ROWS(stayCity[[#Headers],[city]]:stayCity[[#This Row],[city]])-1,IF(_xlpm.r&lt;=ROWS(_xlpm.S),INDEX(_xlpm.S,_xlpm.r,1),""))</f>
        <v/>
      </c>
      <c r="AC439" s="1405">
        <f t="array" ref="AC439">_xlfn.LET(_xlpm.S,_xlfn.ANCHORARRAY($Y$4),_xlpm.r,ROWS(stayCity[[#Headers],[city]]:stayCity[[#This Row],[city]])-1,IF(_xlpm.r&lt;=ROWS(_xlpm.S),INDEX(_xlpm.S,_xlpm.r,2),""))</f>
        <v/>
      </c>
      <c r="AD439" s="1405">
        <f t="array" ref="AD439">_xlfn.LET(_xlpm.S,_xlfn.ANCHORARRAY($Y$4),_xlpm.r,ROWS(stayCity[[#Headers],[city]]:stayCity[[#This Row],[city]])-1,IF(_xlpm.r&lt;=ROWS(_xlpm.S),INDEX(_xlpm.S,_xlpm.r,3),""))</f>
        <v/>
      </c>
      <c r="AE439" s="1400">
        <f>IF(stayCity[[#This Row],[out]]&lt;&gt;"",stayCity[[#This Row],[out]]-stayCity[[#This Row],[in]],"-")</f>
        <v/>
      </c>
      <c r="AF439" s="1406">
        <f>IF(Y439="","-",YEAR(stayCity[[#This Row],[in]]))</f>
        <v/>
      </c>
      <c r="AG439" s="1392" t="n"/>
      <c r="AH439" s="1392" t="n"/>
      <c r="AI439" s="1392" t="n"/>
      <c r="AJ439" s="1392" t="n"/>
      <c r="AK439" s="1392" t="n"/>
      <c r="AL439" s="1392" t="n"/>
      <c r="AM439" s="1392" t="n"/>
      <c r="AN439" s="1392" t="n"/>
      <c r="AO439" s="1392" t="n"/>
      <c r="AP439" s="1392" t="n"/>
      <c r="AQ439" s="1392" t="n"/>
      <c r="AR439" s="1392" t="n"/>
      <c r="AS439" s="1422" t="n"/>
      <c r="AT439" s="1392" t="n"/>
      <c r="AU439" s="1392" t="n"/>
      <c r="AV439" s="1392" t="n"/>
      <c r="AW439" s="1392" t="n"/>
      <c r="AX439" s="1392" t="n"/>
      <c r="AY439" s="1392" t="n"/>
      <c r="AZ439" s="1392" t="n"/>
      <c r="BA439" s="1392" t="n"/>
      <c r="BB439" s="1422" t="n"/>
      <c r="BC439" s="1392" t="n"/>
      <c r="BD439" s="1392" t="n"/>
      <c r="BE439" s="1392" t="n"/>
      <c r="BF439" s="1392" t="n"/>
      <c r="BG439" s="1392" t="n"/>
      <c r="BH439" s="1392" t="n"/>
      <c r="BI439" s="1392" t="n"/>
      <c r="BJ439" s="1392" t="n"/>
      <c r="BK439" s="1392" t="n"/>
      <c r="BL439" s="1392" t="n"/>
      <c r="BM439" s="1392" t="n"/>
      <c r="BN439" s="1392" t="n"/>
      <c r="BO439" s="1392" t="n"/>
      <c r="BP439" s="1392" t="n"/>
      <c r="BQ439" s="1392" t="n"/>
      <c r="BR439" s="1392" t="n"/>
      <c r="BS439" s="1392" t="n"/>
      <c r="BT439" s="1392" t="n"/>
      <c r="BU439" s="1416" t="n"/>
      <c r="BV439" s="1392" t="n"/>
      <c r="BW439" s="1392" t="n"/>
      <c r="BX439" s="1392" t="n"/>
      <c r="BY439" s="1392" t="n"/>
      <c r="BZ439" s="1416" t="n"/>
      <c r="CA439" s="1392" t="n"/>
      <c r="CB439" s="1392" t="n"/>
      <c r="CC439" s="1392" t="n"/>
      <c r="CD439" s="1392" t="n"/>
      <c r="CE439" s="1392" t="n"/>
      <c r="CF439" s="1392" t="n"/>
      <c r="CG439" s="1392" t="n"/>
      <c r="CH439" s="1392" t="n"/>
      <c r="CI439" s="1392" t="n"/>
      <c r="CJ439" s="1392" t="n"/>
      <c r="CK439" s="1392" t="n"/>
      <c r="CL439" s="1392" t="n"/>
    </row>
    <row r="440">
      <c r="A440" s="5" t="inlineStr">
        <is>
          <t>.</t>
        </is>
      </c>
      <c r="B440" s="5" t="inlineStr">
        <is>
          <t>.</t>
        </is>
      </c>
      <c r="C440" s="1378">
        <f>IF(raw[[#This Row],[city]]="","-",IF(raw[[#This Row],[city]]="TODAY","-",C439+1))</f>
        <v/>
      </c>
      <c r="D440" s="1393" t="inlineStr">
        <is>
          <t>Paris</t>
        </is>
      </c>
      <c r="E440" s="1394" t="n">
        <v>35735</v>
      </c>
      <c r="F440" s="1394" t="n">
        <v>35755</v>
      </c>
      <c r="G440" s="1393" t="inlineStr">
        <is>
          <t>-</t>
        </is>
      </c>
      <c r="H440" s="1393">
        <f>H439</f>
        <v/>
      </c>
      <c r="I440" s="1393" t="inlineStr">
        <is>
          <t>-</t>
        </is>
      </c>
      <c r="J440" s="1393" t="inlineStr">
        <is>
          <t>-</t>
        </is>
      </c>
      <c r="K440" s="1395">
        <f>IF(raw[[#This Row],[city]]&lt;&gt;"",_xlfn.XLOOKUP($D440,ccc[city],ccc[prov],"-"),"-")</f>
        <v/>
      </c>
      <c r="L440" s="1395">
        <f>IF(raw[[#This Row],[city]]&lt;&gt;"",_xlfn.XLOOKUP($D440,ccc[city],ccc[ctry],"-"),"-")</f>
        <v/>
      </c>
      <c r="M440" s="1395">
        <f>IF(raw[[#This Row],[city]]&lt;&gt;"",_xlfn.XLOOKUP($D440,ccc[city],ccc[cont],"-"),"-")</f>
        <v/>
      </c>
      <c r="N440" s="1396">
        <f>IF(raw[[#This Row],[city]]="","-",IF(raw[[#This Row],[cont]]="B",raw[[#This Row],[cont]],"W"))</f>
        <v/>
      </c>
      <c r="O440" s="1397">
        <f>IF(raw[[#This Row],[out]]=0,0,IF(raw[[#This Row],[out]]=raw[[#This Row],[in]],0.01,raw[[#This Row],[out]]-raw[[#This Row],[in]]))</f>
        <v/>
      </c>
      <c r="P440" s="1397">
        <f>IF(raw[[#This Row],[in]]=0,0,MONTH(raw[[#This Row],[in]]))</f>
        <v/>
      </c>
      <c r="Q440" s="1397">
        <f>IF(raw[[#This Row],[in]]=0,0,YEAR(raw[[#This Row],[in]]))</f>
        <v/>
      </c>
      <c r="R440" s="1397">
        <f>INT(raw[[#This Row],[yr]]/10)*10</f>
        <v/>
      </c>
      <c r="S440" s="1395">
        <f>IF(raw[[#This Row],[city]]="","-",IF(raw[[#This Row],[city]]&lt;&gt;_xlfn.XLOOKUP(raw[[#This Row],[home]],homes[home],homes[city],"-"),1,0))</f>
        <v/>
      </c>
      <c r="T440" s="1398" t="inlineStr">
        <is>
          <t>.</t>
        </is>
      </c>
      <c r="U440" s="1399">
        <f>IF(raw[[#This Row],[wb]]="w",raw[[#This Row],[stay]]+U439,U439)</f>
        <v/>
      </c>
      <c r="V440" s="1400">
        <f>IF(raw[[#This Row],[out]]=0,V439,(raw[[#This Row],[out]]-E$5))</f>
        <v/>
      </c>
      <c r="W440" s="1401">
        <f>U440/V440</f>
        <v/>
      </c>
      <c r="X440" s="1378" t="inlineStr">
        <is>
          <t>.</t>
        </is>
      </c>
      <c r="Y440" s="1402">
        <f/>
        <v/>
      </c>
      <c r="Z440" s="1403">
        <f/>
        <v/>
      </c>
      <c r="AA440" s="1403">
        <f/>
        <v/>
      </c>
      <c r="AB440" s="1400">
        <f t="array" ref="AB440">_xlfn.LET(_xlpm.S,_xlfn.ANCHORARRAY($Y$4),_xlpm.r,ROWS(stayCity[[#Headers],[city]]:stayCity[[#This Row],[city]])-1,IF(_xlpm.r&lt;=ROWS(_xlpm.S),INDEX(_xlpm.S,_xlpm.r,1),""))</f>
        <v/>
      </c>
      <c r="AC440" s="1405">
        <f t="array" ref="AC440">_xlfn.LET(_xlpm.S,_xlfn.ANCHORARRAY($Y$4),_xlpm.r,ROWS(stayCity[[#Headers],[city]]:stayCity[[#This Row],[city]])-1,IF(_xlpm.r&lt;=ROWS(_xlpm.S),INDEX(_xlpm.S,_xlpm.r,2),""))</f>
        <v/>
      </c>
      <c r="AD440" s="1405">
        <f t="array" ref="AD440">_xlfn.LET(_xlpm.S,_xlfn.ANCHORARRAY($Y$4),_xlpm.r,ROWS(stayCity[[#Headers],[city]]:stayCity[[#This Row],[city]])-1,IF(_xlpm.r&lt;=ROWS(_xlpm.S),INDEX(_xlpm.S,_xlpm.r,3),""))</f>
        <v/>
      </c>
      <c r="AE440" s="1400">
        <f>IF(stayCity[[#This Row],[out]]&lt;&gt;"",stayCity[[#This Row],[out]]-stayCity[[#This Row],[in]],"-")</f>
        <v/>
      </c>
      <c r="AF440" s="1406">
        <f>IF(Y440="","-",YEAR(stayCity[[#This Row],[in]]))</f>
        <v/>
      </c>
      <c r="AG440" s="1392" t="n"/>
      <c r="AH440" s="1392" t="n"/>
      <c r="AI440" s="1392" t="n"/>
      <c r="AJ440" s="1392" t="n"/>
      <c r="AK440" s="1392" t="n"/>
      <c r="AL440" s="1392" t="n"/>
      <c r="AM440" s="1392" t="n"/>
      <c r="AN440" s="1392" t="n"/>
      <c r="AO440" s="1392" t="n"/>
      <c r="AP440" s="1392" t="n"/>
      <c r="AQ440" s="1392" t="n"/>
      <c r="AR440" s="1392" t="n"/>
      <c r="AS440" s="1422" t="n"/>
      <c r="AT440" s="1392" t="n"/>
      <c r="AU440" s="1392" t="n"/>
      <c r="AV440" s="1392" t="n"/>
      <c r="AW440" s="1392" t="n"/>
      <c r="AX440" s="1392" t="n"/>
      <c r="AY440" s="1392" t="n"/>
      <c r="AZ440" s="1392" t="n"/>
      <c r="BA440" s="1392" t="n"/>
      <c r="BB440" s="1422" t="n"/>
      <c r="BC440" s="1392" t="n"/>
      <c r="BD440" s="1392" t="n"/>
      <c r="BE440" s="1392" t="n"/>
      <c r="BF440" s="1392" t="n"/>
      <c r="BG440" s="1392" t="n"/>
      <c r="BH440" s="1392" t="n"/>
      <c r="BI440" s="1392" t="n"/>
      <c r="BJ440" s="1392" t="n"/>
      <c r="BK440" s="1392" t="n"/>
      <c r="BL440" s="1392" t="n"/>
      <c r="BM440" s="1392" t="n"/>
      <c r="BN440" s="1392" t="n"/>
      <c r="BO440" s="1392" t="n"/>
      <c r="BP440" s="1392" t="n"/>
      <c r="BQ440" s="1392" t="n"/>
      <c r="BR440" s="1392" t="n"/>
      <c r="BS440" s="1392" t="n"/>
      <c r="BT440" s="1392" t="n"/>
      <c r="BU440" s="1416" t="n"/>
      <c r="BV440" s="1392" t="n"/>
      <c r="BW440" s="1392" t="n"/>
      <c r="BX440" s="1392" t="n"/>
      <c r="BY440" s="1392" t="n"/>
      <c r="BZ440" s="1416" t="n"/>
      <c r="CA440" s="1392" t="n"/>
      <c r="CB440" s="1392" t="n"/>
      <c r="CC440" s="1392" t="n"/>
      <c r="CD440" s="1392" t="n"/>
      <c r="CE440" s="1392" t="n"/>
      <c r="CF440" s="1392" t="n"/>
      <c r="CG440" s="1392" t="n"/>
      <c r="CH440" s="1392" t="n"/>
      <c r="CI440" s="1392" t="n"/>
      <c r="CJ440" s="1392" t="n"/>
      <c r="CK440" s="1392" t="n"/>
      <c r="CL440" s="1392" t="n"/>
    </row>
    <row r="441">
      <c r="A441" s="5" t="inlineStr">
        <is>
          <t>.</t>
        </is>
      </c>
      <c r="B441" s="5" t="inlineStr">
        <is>
          <t>.</t>
        </is>
      </c>
      <c r="C441" s="1378">
        <f>IF(raw[[#This Row],[city]]="","-",IF(raw[[#This Row],[city]]="TODAY","-",C440+1))</f>
        <v/>
      </c>
      <c r="D441" s="1393" t="inlineStr">
        <is>
          <t>Amsterdam</t>
        </is>
      </c>
      <c r="E441" s="1394" t="n">
        <v>35755</v>
      </c>
      <c r="F441" s="1394" t="n">
        <v>35758</v>
      </c>
      <c r="G441" s="1393" t="inlineStr">
        <is>
          <t>-</t>
        </is>
      </c>
      <c r="H441" s="1393">
        <f>H440</f>
        <v/>
      </c>
      <c r="I441" s="1393" t="inlineStr">
        <is>
          <t>-</t>
        </is>
      </c>
      <c r="J441" s="1393" t="inlineStr">
        <is>
          <t>-</t>
        </is>
      </c>
      <c r="K441" s="1395">
        <f>IF(raw[[#This Row],[city]]&lt;&gt;"",_xlfn.XLOOKUP($D441,ccc[city],ccc[prov],"-"),"-")</f>
        <v/>
      </c>
      <c r="L441" s="1395">
        <f>IF(raw[[#This Row],[city]]&lt;&gt;"",_xlfn.XLOOKUP($D441,ccc[city],ccc[ctry],"-"),"-")</f>
        <v/>
      </c>
      <c r="M441" s="1395">
        <f>IF(raw[[#This Row],[city]]&lt;&gt;"",_xlfn.XLOOKUP($D441,ccc[city],ccc[cont],"-"),"-")</f>
        <v/>
      </c>
      <c r="N441" s="1396">
        <f>IF(raw[[#This Row],[city]]="","-",IF(raw[[#This Row],[cont]]="B",raw[[#This Row],[cont]],"W"))</f>
        <v/>
      </c>
      <c r="O441" s="1397">
        <f>IF(raw[[#This Row],[out]]=0,0,IF(raw[[#This Row],[out]]=raw[[#This Row],[in]],0.01,raw[[#This Row],[out]]-raw[[#This Row],[in]]))</f>
        <v/>
      </c>
      <c r="P441" s="1397">
        <f>IF(raw[[#This Row],[in]]=0,0,MONTH(raw[[#This Row],[in]]))</f>
        <v/>
      </c>
      <c r="Q441" s="1397">
        <f>IF(raw[[#This Row],[in]]=0,0,YEAR(raw[[#This Row],[in]]))</f>
        <v/>
      </c>
      <c r="R441" s="1397">
        <f>INT(raw[[#This Row],[yr]]/10)*10</f>
        <v/>
      </c>
      <c r="S441" s="1395">
        <f>IF(raw[[#This Row],[city]]="","-",IF(raw[[#This Row],[city]]&lt;&gt;_xlfn.XLOOKUP(raw[[#This Row],[home]],homes[home],homes[city],"-"),1,0))</f>
        <v/>
      </c>
      <c r="T441" s="1398" t="inlineStr">
        <is>
          <t>.</t>
        </is>
      </c>
      <c r="U441" s="1399">
        <f>IF(raw[[#This Row],[wb]]="w",raw[[#This Row],[stay]]+U440,U440)</f>
        <v/>
      </c>
      <c r="V441" s="1400">
        <f>IF(raw[[#This Row],[out]]=0,V440,(raw[[#This Row],[out]]-E$5))</f>
        <v/>
      </c>
      <c r="W441" s="1401">
        <f>U441/V441</f>
        <v/>
      </c>
      <c r="X441" s="1378" t="inlineStr">
        <is>
          <t>.</t>
        </is>
      </c>
      <c r="Y441" s="1402">
        <f/>
        <v/>
      </c>
      <c r="Z441" s="1403">
        <f/>
        <v/>
      </c>
      <c r="AA441" s="1403">
        <f/>
        <v/>
      </c>
      <c r="AB441" s="1400">
        <f t="array" ref="AB441">_xlfn.LET(_xlpm.S,_xlfn.ANCHORARRAY($Y$4),_xlpm.r,ROWS(stayCity[[#Headers],[city]]:stayCity[[#This Row],[city]])-1,IF(_xlpm.r&lt;=ROWS(_xlpm.S),INDEX(_xlpm.S,_xlpm.r,1),""))</f>
        <v/>
      </c>
      <c r="AC441" s="1405">
        <f t="array" ref="AC441">_xlfn.LET(_xlpm.S,_xlfn.ANCHORARRAY($Y$4),_xlpm.r,ROWS(stayCity[[#Headers],[city]]:stayCity[[#This Row],[city]])-1,IF(_xlpm.r&lt;=ROWS(_xlpm.S),INDEX(_xlpm.S,_xlpm.r,2),""))</f>
        <v/>
      </c>
      <c r="AD441" s="1405">
        <f t="array" ref="AD441">_xlfn.LET(_xlpm.S,_xlfn.ANCHORARRAY($Y$4),_xlpm.r,ROWS(stayCity[[#Headers],[city]]:stayCity[[#This Row],[city]])-1,IF(_xlpm.r&lt;=ROWS(_xlpm.S),INDEX(_xlpm.S,_xlpm.r,3),""))</f>
        <v/>
      </c>
      <c r="AE441" s="1400">
        <f>IF(stayCity[[#This Row],[out]]&lt;&gt;"",stayCity[[#This Row],[out]]-stayCity[[#This Row],[in]],"-")</f>
        <v/>
      </c>
      <c r="AF441" s="1406">
        <f>IF(Y441="","-",YEAR(stayCity[[#This Row],[in]]))</f>
        <v/>
      </c>
      <c r="AG441" s="1392" t="n"/>
      <c r="AH441" s="1392" t="n"/>
      <c r="AI441" s="1392" t="n"/>
      <c r="AJ441" s="1392" t="n"/>
      <c r="AK441" s="1392" t="n"/>
      <c r="AL441" s="1392" t="n"/>
      <c r="AM441" s="1392" t="n"/>
      <c r="AN441" s="1392" t="n"/>
      <c r="AO441" s="1392" t="n"/>
      <c r="AP441" s="1392" t="n"/>
      <c r="AQ441" s="1392" t="n"/>
      <c r="AR441" s="1392" t="n"/>
      <c r="AS441" s="1422" t="n"/>
      <c r="AT441" s="1392" t="n"/>
      <c r="AU441" s="1392" t="n"/>
      <c r="AV441" s="1392" t="n"/>
      <c r="AW441" s="1392" t="n"/>
      <c r="AX441" s="1392" t="n"/>
      <c r="AY441" s="1392" t="n"/>
      <c r="AZ441" s="1392" t="n"/>
      <c r="BA441" s="1392" t="n"/>
      <c r="BB441" s="1422" t="n"/>
      <c r="BC441" s="1392" t="n"/>
      <c r="BD441" s="1392" t="n"/>
      <c r="BE441" s="1392" t="n"/>
      <c r="BF441" s="1392" t="n"/>
      <c r="BG441" s="1392" t="n"/>
      <c r="BH441" s="1392" t="n"/>
      <c r="BI441" s="1392" t="n"/>
      <c r="BJ441" s="1392" t="n"/>
      <c r="BK441" s="1392" t="n"/>
      <c r="BL441" s="1392" t="n"/>
      <c r="BM441" s="1392" t="n"/>
      <c r="BN441" s="1392" t="n"/>
      <c r="BO441" s="1392" t="n"/>
      <c r="BP441" s="1392" t="n"/>
      <c r="BQ441" s="1392" t="n"/>
      <c r="BR441" s="1392" t="n"/>
      <c r="BS441" s="1392" t="n"/>
      <c r="BT441" s="1392" t="n"/>
      <c r="BU441" s="1416" t="n"/>
      <c r="BV441" s="1392" t="n"/>
      <c r="BW441" s="1392" t="n"/>
      <c r="BX441" s="1392" t="n"/>
      <c r="BY441" s="1392" t="n"/>
      <c r="BZ441" s="1416" t="n"/>
      <c r="CA441" s="1392" t="n"/>
      <c r="CB441" s="1392" t="n"/>
      <c r="CC441" s="1392" t="n"/>
      <c r="CD441" s="1392" t="n"/>
      <c r="CE441" s="1392" t="n"/>
      <c r="CF441" s="1392" t="n"/>
      <c r="CG441" s="1392" t="n"/>
      <c r="CH441" s="1392" t="n"/>
      <c r="CI441" s="1392" t="n"/>
      <c r="CJ441" s="1392" t="n"/>
      <c r="CK441" s="1392" t="n"/>
      <c r="CL441" s="1392" t="n"/>
    </row>
    <row r="442">
      <c r="A442" s="5" t="inlineStr">
        <is>
          <t>.</t>
        </is>
      </c>
      <c r="B442" s="5" t="inlineStr">
        <is>
          <t>.</t>
        </is>
      </c>
      <c r="C442" s="1378">
        <f>IF(raw[[#This Row],[city]]="","-",IF(raw[[#This Row],[city]]="TODAY","-",C441+1))</f>
        <v/>
      </c>
      <c r="D442" s="1393" t="inlineStr">
        <is>
          <t>Paris</t>
        </is>
      </c>
      <c r="E442" s="1394" t="n">
        <v>35758</v>
      </c>
      <c r="F442" s="1394" t="n">
        <v>35765</v>
      </c>
      <c r="G442" s="1393" t="inlineStr">
        <is>
          <t>-</t>
        </is>
      </c>
      <c r="H442" s="1393">
        <f>H441</f>
        <v/>
      </c>
      <c r="I442" s="1393" t="inlineStr">
        <is>
          <t>-</t>
        </is>
      </c>
      <c r="J442" s="1393" t="inlineStr">
        <is>
          <t>-</t>
        </is>
      </c>
      <c r="K442" s="1395">
        <f>IF(raw[[#This Row],[city]]&lt;&gt;"",_xlfn.XLOOKUP($D442,ccc[city],ccc[prov],"-"),"-")</f>
        <v/>
      </c>
      <c r="L442" s="1395">
        <f>IF(raw[[#This Row],[city]]&lt;&gt;"",_xlfn.XLOOKUP($D442,ccc[city],ccc[ctry],"-"),"-")</f>
        <v/>
      </c>
      <c r="M442" s="1395">
        <f>IF(raw[[#This Row],[city]]&lt;&gt;"",_xlfn.XLOOKUP($D442,ccc[city],ccc[cont],"-"),"-")</f>
        <v/>
      </c>
      <c r="N442" s="1396">
        <f>IF(raw[[#This Row],[city]]="","-",IF(raw[[#This Row],[cont]]="B",raw[[#This Row],[cont]],"W"))</f>
        <v/>
      </c>
      <c r="O442" s="1397">
        <f>IF(raw[[#This Row],[out]]=0,0,IF(raw[[#This Row],[out]]=raw[[#This Row],[in]],0.01,raw[[#This Row],[out]]-raw[[#This Row],[in]]))</f>
        <v/>
      </c>
      <c r="P442" s="1397">
        <f>IF(raw[[#This Row],[in]]=0,0,MONTH(raw[[#This Row],[in]]))</f>
        <v/>
      </c>
      <c r="Q442" s="1397">
        <f>IF(raw[[#This Row],[in]]=0,0,YEAR(raw[[#This Row],[in]]))</f>
        <v/>
      </c>
      <c r="R442" s="1397">
        <f>INT(raw[[#This Row],[yr]]/10)*10</f>
        <v/>
      </c>
      <c r="S442" s="1395">
        <f>IF(raw[[#This Row],[city]]="","-",IF(raw[[#This Row],[city]]&lt;&gt;_xlfn.XLOOKUP(raw[[#This Row],[home]],homes[home],homes[city],"-"),1,0))</f>
        <v/>
      </c>
      <c r="T442" s="1398" t="inlineStr">
        <is>
          <t>.</t>
        </is>
      </c>
      <c r="U442" s="1399">
        <f>IF(raw[[#This Row],[wb]]="w",raw[[#This Row],[stay]]+U441,U441)</f>
        <v/>
      </c>
      <c r="V442" s="1400">
        <f>IF(raw[[#This Row],[out]]=0,V441,(raw[[#This Row],[out]]-E$5))</f>
        <v/>
      </c>
      <c r="W442" s="1401">
        <f>U442/V442</f>
        <v/>
      </c>
      <c r="X442" s="1378" t="inlineStr">
        <is>
          <t>.</t>
        </is>
      </c>
      <c r="Y442" s="1402">
        <f/>
        <v/>
      </c>
      <c r="Z442" s="1403">
        <f/>
        <v/>
      </c>
      <c r="AA442" s="1403">
        <f/>
        <v/>
      </c>
      <c r="AB442" s="1400">
        <f t="array" ref="AB442">_xlfn.LET(_xlpm.S,_xlfn.ANCHORARRAY($Y$4),_xlpm.r,ROWS(stayCity[[#Headers],[city]]:stayCity[[#This Row],[city]])-1,IF(_xlpm.r&lt;=ROWS(_xlpm.S),INDEX(_xlpm.S,_xlpm.r,1),""))</f>
        <v/>
      </c>
      <c r="AC442" s="1405">
        <f t="array" ref="AC442">_xlfn.LET(_xlpm.S,_xlfn.ANCHORARRAY($Y$4),_xlpm.r,ROWS(stayCity[[#Headers],[city]]:stayCity[[#This Row],[city]])-1,IF(_xlpm.r&lt;=ROWS(_xlpm.S),INDEX(_xlpm.S,_xlpm.r,2),""))</f>
        <v/>
      </c>
      <c r="AD442" s="1405">
        <f t="array" ref="AD442">_xlfn.LET(_xlpm.S,_xlfn.ANCHORARRAY($Y$4),_xlpm.r,ROWS(stayCity[[#Headers],[city]]:stayCity[[#This Row],[city]])-1,IF(_xlpm.r&lt;=ROWS(_xlpm.S),INDEX(_xlpm.S,_xlpm.r,3),""))</f>
        <v/>
      </c>
      <c r="AE442" s="1400">
        <f>IF(stayCity[[#This Row],[out]]&lt;&gt;"",stayCity[[#This Row],[out]]-stayCity[[#This Row],[in]],"-")</f>
        <v/>
      </c>
      <c r="AF442" s="1406">
        <f>IF(Y442="","-",YEAR(stayCity[[#This Row],[in]]))</f>
        <v/>
      </c>
      <c r="AG442" s="1392" t="n"/>
      <c r="AH442" s="1392" t="n"/>
      <c r="AI442" s="1392" t="n"/>
      <c r="AJ442" s="1392" t="n"/>
      <c r="AK442" s="1392" t="n"/>
      <c r="AL442" s="1392" t="n"/>
      <c r="AM442" s="1392" t="n"/>
      <c r="AN442" s="1392" t="n"/>
      <c r="AO442" s="1392" t="n"/>
      <c r="AP442" s="1392" t="n"/>
      <c r="AQ442" s="1392" t="n"/>
      <c r="AR442" s="1392" t="n"/>
      <c r="AS442" s="1422" t="n"/>
      <c r="AT442" s="1392" t="n"/>
      <c r="AU442" s="1392" t="n"/>
      <c r="AV442" s="1392" t="n"/>
      <c r="AW442" s="1392" t="n"/>
      <c r="AX442" s="1392" t="n"/>
      <c r="AY442" s="1392" t="n"/>
      <c r="AZ442" s="1392" t="n"/>
      <c r="BA442" s="1392" t="n"/>
      <c r="BB442" s="1422" t="n"/>
      <c r="BC442" s="1392" t="n"/>
      <c r="BD442" s="1392" t="n"/>
      <c r="BE442" s="1392" t="n"/>
      <c r="BF442" s="1392" t="n"/>
      <c r="BG442" s="1392" t="n"/>
      <c r="BH442" s="1392" t="n"/>
      <c r="BI442" s="1392" t="n"/>
      <c r="BJ442" s="1392" t="n"/>
      <c r="BK442" s="1392" t="n"/>
      <c r="BL442" s="1392" t="n"/>
      <c r="BM442" s="1392" t="n"/>
      <c r="BN442" s="1392" t="n"/>
      <c r="BO442" s="1392" t="n"/>
      <c r="BP442" s="1392" t="n"/>
      <c r="BQ442" s="1392" t="n"/>
      <c r="BR442" s="1392" t="n"/>
      <c r="BS442" s="1392" t="n"/>
      <c r="BT442" s="1392" t="n"/>
      <c r="BU442" s="1416" t="n"/>
      <c r="BV442" s="1392" t="n"/>
      <c r="BW442" s="1392" t="n"/>
      <c r="BX442" s="1392" t="n"/>
      <c r="BY442" s="1392" t="n"/>
      <c r="BZ442" s="1416" t="n"/>
      <c r="CA442" s="1392" t="n"/>
      <c r="CB442" s="1392" t="n"/>
      <c r="CC442" s="1392" t="n"/>
      <c r="CD442" s="1392" t="n"/>
      <c r="CE442" s="1392" t="n"/>
      <c r="CF442" s="1392" t="n"/>
      <c r="CG442" s="1392" t="n"/>
      <c r="CH442" s="1392" t="n"/>
      <c r="CI442" s="1392" t="n"/>
      <c r="CJ442" s="1392" t="n"/>
      <c r="CK442" s="1392" t="n"/>
      <c r="CL442" s="1392" t="n"/>
    </row>
    <row r="443">
      <c r="A443" s="5" t="inlineStr">
        <is>
          <t>.</t>
        </is>
      </c>
      <c r="B443" s="5" t="inlineStr">
        <is>
          <t>.</t>
        </is>
      </c>
      <c r="C443" s="1378">
        <f>IF(raw[[#This Row],[city]]="","-",IF(raw[[#This Row],[city]]="TODAY","-",C442+1))</f>
        <v/>
      </c>
      <c r="D443" s="1393" t="inlineStr">
        <is>
          <t>Paris</t>
        </is>
      </c>
      <c r="E443" s="1394" t="n">
        <v>35765</v>
      </c>
      <c r="F443" s="1394" t="n">
        <v>35776</v>
      </c>
      <c r="G443" s="1393" t="inlineStr">
        <is>
          <t>-</t>
        </is>
      </c>
      <c r="H443" s="1393">
        <f>H442</f>
        <v/>
      </c>
      <c r="I443" s="1393" t="inlineStr">
        <is>
          <t>-</t>
        </is>
      </c>
      <c r="J443" s="1393" t="inlineStr">
        <is>
          <t>-</t>
        </is>
      </c>
      <c r="K443" s="1395">
        <f>IF(raw[[#This Row],[city]]&lt;&gt;"",_xlfn.XLOOKUP($D443,ccc[city],ccc[prov],"-"),"-")</f>
        <v/>
      </c>
      <c r="L443" s="1395">
        <f>IF(raw[[#This Row],[city]]&lt;&gt;"",_xlfn.XLOOKUP($D443,ccc[city],ccc[ctry],"-"),"-")</f>
        <v/>
      </c>
      <c r="M443" s="1395">
        <f>IF(raw[[#This Row],[city]]&lt;&gt;"",_xlfn.XLOOKUP($D443,ccc[city],ccc[cont],"-"),"-")</f>
        <v/>
      </c>
      <c r="N443" s="1396">
        <f>IF(raw[[#This Row],[city]]="","-",IF(raw[[#This Row],[cont]]="B",raw[[#This Row],[cont]],"W"))</f>
        <v/>
      </c>
      <c r="O443" s="1397">
        <f>IF(raw[[#This Row],[out]]=0,0,IF(raw[[#This Row],[out]]=raw[[#This Row],[in]],0.01,raw[[#This Row],[out]]-raw[[#This Row],[in]]))</f>
        <v/>
      </c>
      <c r="P443" s="1397">
        <f>IF(raw[[#This Row],[in]]=0,0,MONTH(raw[[#This Row],[in]]))</f>
        <v/>
      </c>
      <c r="Q443" s="1397">
        <f>IF(raw[[#This Row],[in]]=0,0,YEAR(raw[[#This Row],[in]]))</f>
        <v/>
      </c>
      <c r="R443" s="1397">
        <f>INT(raw[[#This Row],[yr]]/10)*10</f>
        <v/>
      </c>
      <c r="S443" s="1395">
        <f>IF(raw[[#This Row],[city]]="","-",IF(raw[[#This Row],[city]]&lt;&gt;_xlfn.XLOOKUP(raw[[#This Row],[home]],homes[home],homes[city],"-"),1,0))</f>
        <v/>
      </c>
      <c r="T443" s="1398" t="inlineStr">
        <is>
          <t>.</t>
        </is>
      </c>
      <c r="U443" s="1399">
        <f>IF(raw[[#This Row],[wb]]="w",raw[[#This Row],[stay]]+U442,U442)</f>
        <v/>
      </c>
      <c r="V443" s="1400">
        <f>IF(raw[[#This Row],[out]]=0,V442,(raw[[#This Row],[out]]-E$5))</f>
        <v/>
      </c>
      <c r="W443" s="1401">
        <f>U443/V443</f>
        <v/>
      </c>
      <c r="X443" s="1378" t="inlineStr">
        <is>
          <t>.</t>
        </is>
      </c>
      <c r="Y443" s="1402">
        <f/>
        <v/>
      </c>
      <c r="Z443" s="1403">
        <f/>
        <v/>
      </c>
      <c r="AA443" s="1403">
        <f/>
        <v/>
      </c>
      <c r="AB443" s="1400">
        <f t="array" ref="AB443">_xlfn.LET(_xlpm.S,_xlfn.ANCHORARRAY($Y$4),_xlpm.r,ROWS(stayCity[[#Headers],[city]]:stayCity[[#This Row],[city]])-1,IF(_xlpm.r&lt;=ROWS(_xlpm.S),INDEX(_xlpm.S,_xlpm.r,1),""))</f>
        <v/>
      </c>
      <c r="AC443" s="1405">
        <f t="array" ref="AC443">_xlfn.LET(_xlpm.S,_xlfn.ANCHORARRAY($Y$4),_xlpm.r,ROWS(stayCity[[#Headers],[city]]:stayCity[[#This Row],[city]])-1,IF(_xlpm.r&lt;=ROWS(_xlpm.S),INDEX(_xlpm.S,_xlpm.r,2),""))</f>
        <v/>
      </c>
      <c r="AD443" s="1405">
        <f t="array" ref="AD443">_xlfn.LET(_xlpm.S,_xlfn.ANCHORARRAY($Y$4),_xlpm.r,ROWS(stayCity[[#Headers],[city]]:stayCity[[#This Row],[city]])-1,IF(_xlpm.r&lt;=ROWS(_xlpm.S),INDEX(_xlpm.S,_xlpm.r,3),""))</f>
        <v/>
      </c>
      <c r="AE443" s="1400">
        <f>IF(stayCity[[#This Row],[out]]&lt;&gt;"",stayCity[[#This Row],[out]]-stayCity[[#This Row],[in]],"-")</f>
        <v/>
      </c>
      <c r="AF443" s="1406">
        <f>IF(Y443="","-",YEAR(stayCity[[#This Row],[in]]))</f>
        <v/>
      </c>
      <c r="AG443" s="1392" t="n"/>
      <c r="AH443" s="1392" t="n"/>
      <c r="AI443" s="1392" t="n"/>
      <c r="AJ443" s="1392" t="n"/>
      <c r="AK443" s="1392" t="n"/>
      <c r="AL443" s="1392" t="n"/>
      <c r="AM443" s="1392" t="n"/>
      <c r="AN443" s="1392" t="n"/>
      <c r="AO443" s="1392" t="n"/>
      <c r="AP443" s="1392" t="n"/>
      <c r="AQ443" s="1392" t="n"/>
      <c r="AR443" s="1392" t="n"/>
      <c r="AS443" s="1422" t="n"/>
      <c r="AT443" s="1392" t="n"/>
      <c r="AU443" s="1392" t="n"/>
      <c r="AV443" s="1392" t="n"/>
      <c r="AW443" s="1392" t="n"/>
      <c r="AX443" s="1392" t="n"/>
      <c r="AY443" s="1392" t="n"/>
      <c r="AZ443" s="1392" t="n"/>
      <c r="BA443" s="1392" t="n"/>
      <c r="BB443" s="1422" t="n"/>
      <c r="BC443" s="1392" t="n"/>
      <c r="BD443" s="1392" t="n"/>
      <c r="BE443" s="1392" t="n"/>
      <c r="BF443" s="1392" t="n"/>
      <c r="BG443" s="1392" t="n"/>
      <c r="BH443" s="1392" t="n"/>
      <c r="BI443" s="1392" t="n"/>
      <c r="BJ443" s="1392" t="n"/>
      <c r="BK443" s="1392" t="n"/>
      <c r="BL443" s="1392" t="n"/>
      <c r="BM443" s="1392" t="n"/>
      <c r="BN443" s="1392" t="n"/>
      <c r="BO443" s="1392" t="n"/>
      <c r="BP443" s="1392" t="n"/>
      <c r="BQ443" s="1392" t="n"/>
      <c r="BR443" s="1392" t="n"/>
      <c r="BS443" s="1392" t="n"/>
      <c r="BT443" s="1392" t="n"/>
      <c r="BU443" s="1416" t="n"/>
      <c r="BV443" s="1392" t="n"/>
      <c r="BW443" s="1392" t="n"/>
      <c r="BX443" s="1392" t="n"/>
      <c r="BY443" s="1392" t="n"/>
      <c r="BZ443" s="1416" t="n"/>
      <c r="CA443" s="1392" t="n"/>
      <c r="CB443" s="1392" t="n"/>
      <c r="CC443" s="1392" t="n"/>
      <c r="CD443" s="1392" t="n"/>
      <c r="CE443" s="1392" t="n"/>
      <c r="CF443" s="1392" t="n"/>
      <c r="CG443" s="1392" t="n"/>
      <c r="CH443" s="1392" t="n"/>
      <c r="CI443" s="1392" t="n"/>
      <c r="CJ443" s="1392" t="n"/>
      <c r="CK443" s="1392" t="n"/>
      <c r="CL443" s="1392" t="n"/>
    </row>
    <row r="444">
      <c r="A444" s="5" t="inlineStr">
        <is>
          <t>.</t>
        </is>
      </c>
      <c r="B444" s="5" t="inlineStr">
        <is>
          <t>.</t>
        </is>
      </c>
      <c r="C444" s="1378">
        <f>IF(raw[[#This Row],[city]]="","-",IF(raw[[#This Row],[city]]="TODAY","-",C443+1))</f>
        <v/>
      </c>
      <c r="D444" s="1393" t="inlineStr">
        <is>
          <t>Lucerne</t>
        </is>
      </c>
      <c r="E444" s="1394" t="n">
        <v>35776</v>
      </c>
      <c r="F444" s="1394" t="n">
        <v>35779</v>
      </c>
      <c r="G444" s="1393" t="inlineStr">
        <is>
          <t>-</t>
        </is>
      </c>
      <c r="H444" s="1393">
        <f>H443</f>
        <v/>
      </c>
      <c r="I444" s="1393" t="inlineStr">
        <is>
          <t>-</t>
        </is>
      </c>
      <c r="J444" s="1393" t="inlineStr">
        <is>
          <t>-</t>
        </is>
      </c>
      <c r="K444" s="1395">
        <f>IF(raw[[#This Row],[city]]&lt;&gt;"",_xlfn.XLOOKUP($D444,ccc[city],ccc[prov],"-"),"-")</f>
        <v/>
      </c>
      <c r="L444" s="1395">
        <f>IF(raw[[#This Row],[city]]&lt;&gt;"",_xlfn.XLOOKUP($D444,ccc[city],ccc[ctry],"-"),"-")</f>
        <v/>
      </c>
      <c r="M444" s="1395">
        <f>IF(raw[[#This Row],[city]]&lt;&gt;"",_xlfn.XLOOKUP($D444,ccc[city],ccc[cont],"-"),"-")</f>
        <v/>
      </c>
      <c r="N444" s="1396">
        <f>IF(raw[[#This Row],[city]]="","-",IF(raw[[#This Row],[cont]]="B",raw[[#This Row],[cont]],"W"))</f>
        <v/>
      </c>
      <c r="O444" s="1397">
        <f>IF(raw[[#This Row],[out]]=0,0,IF(raw[[#This Row],[out]]=raw[[#This Row],[in]],0.01,raw[[#This Row],[out]]-raw[[#This Row],[in]]))</f>
        <v/>
      </c>
      <c r="P444" s="1397">
        <f>IF(raw[[#This Row],[in]]=0,0,MONTH(raw[[#This Row],[in]]))</f>
        <v/>
      </c>
      <c r="Q444" s="1397">
        <f>IF(raw[[#This Row],[in]]=0,0,YEAR(raw[[#This Row],[in]]))</f>
        <v/>
      </c>
      <c r="R444" s="1397">
        <f>INT(raw[[#This Row],[yr]]/10)*10</f>
        <v/>
      </c>
      <c r="S444" s="1395">
        <f>IF(raw[[#This Row],[city]]="","-",IF(raw[[#This Row],[city]]&lt;&gt;_xlfn.XLOOKUP(raw[[#This Row],[home]],homes[home],homes[city],"-"),1,0))</f>
        <v/>
      </c>
      <c r="T444" s="1398" t="inlineStr">
        <is>
          <t>.</t>
        </is>
      </c>
      <c r="U444" s="1399">
        <f>IF(raw[[#This Row],[wb]]="w",raw[[#This Row],[stay]]+U443,U443)</f>
        <v/>
      </c>
      <c r="V444" s="1400">
        <f>IF(raw[[#This Row],[out]]=0,V443,(raw[[#This Row],[out]]-E$5))</f>
        <v/>
      </c>
      <c r="W444" s="1401">
        <f>U444/V444</f>
        <v/>
      </c>
      <c r="X444" s="1378" t="inlineStr">
        <is>
          <t>.</t>
        </is>
      </c>
      <c r="Y444" s="1402">
        <f/>
        <v/>
      </c>
      <c r="Z444" s="1403">
        <f/>
        <v/>
      </c>
      <c r="AA444" s="1403">
        <f/>
        <v/>
      </c>
      <c r="AB444" s="1400">
        <f t="array" ref="AB444">_xlfn.LET(_xlpm.S,_xlfn.ANCHORARRAY($Y$4),_xlpm.r,ROWS(stayCity[[#Headers],[city]]:stayCity[[#This Row],[city]])-1,IF(_xlpm.r&lt;=ROWS(_xlpm.S),INDEX(_xlpm.S,_xlpm.r,1),""))</f>
        <v/>
      </c>
      <c r="AC444" s="1405">
        <f t="array" ref="AC444">_xlfn.LET(_xlpm.S,_xlfn.ANCHORARRAY($Y$4),_xlpm.r,ROWS(stayCity[[#Headers],[city]]:stayCity[[#This Row],[city]])-1,IF(_xlpm.r&lt;=ROWS(_xlpm.S),INDEX(_xlpm.S,_xlpm.r,2),""))</f>
        <v/>
      </c>
      <c r="AD444" s="1405">
        <f t="array" ref="AD444">_xlfn.LET(_xlpm.S,_xlfn.ANCHORARRAY($Y$4),_xlpm.r,ROWS(stayCity[[#Headers],[city]]:stayCity[[#This Row],[city]])-1,IF(_xlpm.r&lt;=ROWS(_xlpm.S),INDEX(_xlpm.S,_xlpm.r,3),""))</f>
        <v/>
      </c>
      <c r="AE444" s="1400">
        <f>IF(stayCity[[#This Row],[out]]&lt;&gt;"",stayCity[[#This Row],[out]]-stayCity[[#This Row],[in]],"-")</f>
        <v/>
      </c>
      <c r="AF444" s="1406">
        <f>IF(Y444="","-",YEAR(stayCity[[#This Row],[in]]))</f>
        <v/>
      </c>
      <c r="AG444" s="1392" t="n"/>
      <c r="AH444" s="1392" t="n"/>
      <c r="AI444" s="1392" t="n"/>
      <c r="AJ444" s="1392" t="n"/>
      <c r="AK444" s="1392" t="n"/>
      <c r="AL444" s="1392" t="n"/>
      <c r="AM444" s="1392" t="n"/>
      <c r="AN444" s="1392" t="n"/>
      <c r="AO444" s="1392" t="n"/>
      <c r="AP444" s="1392" t="n"/>
      <c r="AQ444" s="1392" t="n"/>
      <c r="AR444" s="1392" t="n"/>
      <c r="AS444" s="1422" t="n"/>
      <c r="AT444" s="1392" t="n"/>
      <c r="AU444" s="1392" t="n"/>
      <c r="AV444" s="1392" t="n"/>
      <c r="AW444" s="1392" t="n"/>
      <c r="AX444" s="1392" t="n"/>
      <c r="AY444" s="1392" t="n"/>
      <c r="AZ444" s="1392" t="n"/>
      <c r="BA444" s="1392" t="n"/>
      <c r="BB444" s="1422" t="n"/>
      <c r="BC444" s="1392" t="n"/>
      <c r="BD444" s="1392" t="n"/>
      <c r="BE444" s="1392" t="n"/>
      <c r="BF444" s="1392" t="n"/>
      <c r="BG444" s="1392" t="n"/>
      <c r="BH444" s="1392" t="n"/>
      <c r="BI444" s="1392" t="n"/>
      <c r="BJ444" s="1392" t="n"/>
      <c r="BK444" s="1392" t="n"/>
      <c r="BL444" s="1392" t="n"/>
      <c r="BM444" s="1392" t="n"/>
      <c r="BN444" s="1392" t="n"/>
      <c r="BO444" s="1392" t="n"/>
      <c r="BP444" s="1392" t="n"/>
      <c r="BQ444" s="1392" t="n"/>
      <c r="BR444" s="1392" t="n"/>
      <c r="BS444" s="1392" t="n"/>
      <c r="BT444" s="1392" t="n"/>
      <c r="BU444" s="1416" t="n"/>
      <c r="BV444" s="1392" t="n"/>
      <c r="BW444" s="1392" t="n"/>
      <c r="BX444" s="1392" t="n"/>
      <c r="BY444" s="1392" t="n"/>
      <c r="BZ444" s="1416" t="n"/>
      <c r="CA444" s="1392" t="n"/>
      <c r="CB444" s="1392" t="n"/>
      <c r="CC444" s="1392" t="n"/>
      <c r="CD444" s="1392" t="n"/>
      <c r="CE444" s="1392" t="n"/>
      <c r="CF444" s="1392" t="n"/>
      <c r="CG444" s="1392" t="n"/>
      <c r="CH444" s="1392" t="n"/>
      <c r="CI444" s="1392" t="n"/>
      <c r="CJ444" s="1392" t="n"/>
      <c r="CK444" s="1392" t="n"/>
      <c r="CL444" s="1392" t="n"/>
    </row>
    <row r="445">
      <c r="A445" s="5" t="inlineStr">
        <is>
          <t>.</t>
        </is>
      </c>
      <c r="B445" s="5" t="inlineStr">
        <is>
          <t>.</t>
        </is>
      </c>
      <c r="C445" s="1378">
        <f>IF(raw[[#This Row],[city]]="","-",IF(raw[[#This Row],[city]]="TODAY","-",C444+1))</f>
        <v/>
      </c>
      <c r="D445" s="1393" t="inlineStr">
        <is>
          <t>Paris</t>
        </is>
      </c>
      <c r="E445" s="1394" t="n">
        <v>35779</v>
      </c>
      <c r="F445" s="1394" t="n">
        <v>35782</v>
      </c>
      <c r="G445" s="1393" t="n">
        <v>1</v>
      </c>
      <c r="H445" s="1393">
        <f>H444</f>
        <v/>
      </c>
      <c r="I445" s="1393" t="inlineStr">
        <is>
          <t>-</t>
        </is>
      </c>
      <c r="J445" s="1393" t="inlineStr">
        <is>
          <t>-</t>
        </is>
      </c>
      <c r="K445" s="1395">
        <f>IF(raw[[#This Row],[city]]&lt;&gt;"",_xlfn.XLOOKUP($D445,ccc[city],ccc[prov],"-"),"-")</f>
        <v/>
      </c>
      <c r="L445" s="1395">
        <f>IF(raw[[#This Row],[city]]&lt;&gt;"",_xlfn.XLOOKUP($D445,ccc[city],ccc[ctry],"-"),"-")</f>
        <v/>
      </c>
      <c r="M445" s="1395">
        <f>IF(raw[[#This Row],[city]]&lt;&gt;"",_xlfn.XLOOKUP($D445,ccc[city],ccc[cont],"-"),"-")</f>
        <v/>
      </c>
      <c r="N445" s="1396">
        <f>IF(raw[[#This Row],[city]]="","-",IF(raw[[#This Row],[cont]]="B",raw[[#This Row],[cont]],"W"))</f>
        <v/>
      </c>
      <c r="O445" s="1397">
        <f>IF(raw[[#This Row],[out]]=0,0,IF(raw[[#This Row],[out]]=raw[[#This Row],[in]],0.01,raw[[#This Row],[out]]-raw[[#This Row],[in]]))</f>
        <v/>
      </c>
      <c r="P445" s="1397">
        <f>IF(raw[[#This Row],[in]]=0,0,MONTH(raw[[#This Row],[in]]))</f>
        <v/>
      </c>
      <c r="Q445" s="1397">
        <f>IF(raw[[#This Row],[in]]=0,0,YEAR(raw[[#This Row],[in]]))</f>
        <v/>
      </c>
      <c r="R445" s="1397">
        <f>INT(raw[[#This Row],[yr]]/10)*10</f>
        <v/>
      </c>
      <c r="S445" s="1395">
        <f>IF(raw[[#This Row],[city]]="","-",IF(raw[[#This Row],[city]]&lt;&gt;_xlfn.XLOOKUP(raw[[#This Row],[home]],homes[home],homes[city],"-"),1,0))</f>
        <v/>
      </c>
      <c r="T445" s="1398" t="inlineStr">
        <is>
          <t>.</t>
        </is>
      </c>
      <c r="U445" s="1399">
        <f>IF(raw[[#This Row],[wb]]="w",raw[[#This Row],[stay]]+U444,U444)</f>
        <v/>
      </c>
      <c r="V445" s="1400">
        <f>IF(raw[[#This Row],[out]]=0,V444,(raw[[#This Row],[out]]-E$5))</f>
        <v/>
      </c>
      <c r="W445" s="1401">
        <f>U445/V445</f>
        <v/>
      </c>
      <c r="X445" s="1378" t="inlineStr">
        <is>
          <t>.</t>
        </is>
      </c>
      <c r="Y445" s="1402">
        <f/>
        <v/>
      </c>
      <c r="Z445" s="1403">
        <f/>
        <v/>
      </c>
      <c r="AA445" s="1403">
        <f/>
        <v/>
      </c>
      <c r="AB445" s="1400">
        <f t="array" ref="AB445">_xlfn.LET(_xlpm.S,_xlfn.ANCHORARRAY($Y$4),_xlpm.r,ROWS(stayCity[[#Headers],[city]]:stayCity[[#This Row],[city]])-1,IF(_xlpm.r&lt;=ROWS(_xlpm.S),INDEX(_xlpm.S,_xlpm.r,1),""))</f>
        <v/>
      </c>
      <c r="AC445" s="1405">
        <f t="array" ref="AC445">_xlfn.LET(_xlpm.S,_xlfn.ANCHORARRAY($Y$4),_xlpm.r,ROWS(stayCity[[#Headers],[city]]:stayCity[[#This Row],[city]])-1,IF(_xlpm.r&lt;=ROWS(_xlpm.S),INDEX(_xlpm.S,_xlpm.r,2),""))</f>
        <v/>
      </c>
      <c r="AD445" s="1405">
        <f t="array" ref="AD445">_xlfn.LET(_xlpm.S,_xlfn.ANCHORARRAY($Y$4),_xlpm.r,ROWS(stayCity[[#Headers],[city]]:stayCity[[#This Row],[city]])-1,IF(_xlpm.r&lt;=ROWS(_xlpm.S),INDEX(_xlpm.S,_xlpm.r,3),""))</f>
        <v/>
      </c>
      <c r="AE445" s="1400">
        <f>IF(stayCity[[#This Row],[out]]&lt;&gt;"",stayCity[[#This Row],[out]]-stayCity[[#This Row],[in]],"-")</f>
        <v/>
      </c>
      <c r="AF445" s="1406">
        <f>IF(Y445="","-",YEAR(stayCity[[#This Row],[in]]))</f>
        <v/>
      </c>
      <c r="AG445" s="1392" t="n"/>
      <c r="AH445" s="1392" t="n"/>
      <c r="AI445" s="1392" t="n"/>
      <c r="AJ445" s="1392" t="n"/>
      <c r="AK445" s="1392" t="n"/>
      <c r="AL445" s="1392" t="n"/>
      <c r="AM445" s="1392" t="n"/>
      <c r="AN445" s="1392" t="n"/>
      <c r="AO445" s="1392" t="n"/>
      <c r="AP445" s="1392" t="n"/>
      <c r="AQ445" s="1392" t="n"/>
      <c r="AR445" s="1392" t="n"/>
      <c r="AS445" s="1422" t="n"/>
      <c r="AT445" s="1392" t="n"/>
      <c r="AU445" s="1392" t="n"/>
      <c r="AV445" s="1392" t="n"/>
      <c r="AW445" s="1392" t="n"/>
      <c r="AX445" s="1392" t="n"/>
      <c r="AY445" s="1392" t="n"/>
      <c r="AZ445" s="1392" t="n"/>
      <c r="BA445" s="1392" t="n"/>
      <c r="BB445" s="1422" t="n"/>
      <c r="BC445" s="1392" t="n"/>
      <c r="BD445" s="1392" t="n"/>
      <c r="BE445" s="1392" t="n"/>
      <c r="BF445" s="1392" t="n"/>
      <c r="BG445" s="1392" t="n"/>
      <c r="BH445" s="1392" t="n"/>
      <c r="BI445" s="1392" t="n"/>
      <c r="BJ445" s="1392" t="n"/>
      <c r="BK445" s="1392" t="n"/>
      <c r="BL445" s="1392" t="n"/>
      <c r="BM445" s="1392" t="n"/>
      <c r="BN445" s="1392" t="n"/>
      <c r="BO445" s="1392" t="n"/>
      <c r="BP445" s="1392" t="n"/>
      <c r="BQ445" s="1392" t="n"/>
      <c r="BR445" s="1392" t="n"/>
      <c r="BS445" s="1392" t="n"/>
      <c r="BT445" s="1392" t="n"/>
      <c r="BU445" s="1416" t="n"/>
      <c r="BV445" s="1392" t="n"/>
      <c r="BW445" s="1392" t="n"/>
      <c r="BX445" s="1392" t="n"/>
      <c r="BY445" s="1392" t="n"/>
      <c r="BZ445" s="1416" t="n"/>
      <c r="CA445" s="1392" t="n"/>
      <c r="CB445" s="1392" t="n"/>
      <c r="CC445" s="1392" t="n"/>
      <c r="CD445" s="1392" t="n"/>
      <c r="CE445" s="1392" t="n"/>
      <c r="CF445" s="1392" t="n"/>
      <c r="CG445" s="1392" t="n"/>
      <c r="CH445" s="1392" t="n"/>
      <c r="CI445" s="1392" t="n"/>
      <c r="CJ445" s="1392" t="n"/>
      <c r="CK445" s="1392" t="n"/>
      <c r="CL445" s="1392" t="n"/>
    </row>
    <row r="446">
      <c r="A446" s="5" t="inlineStr">
        <is>
          <t>.</t>
        </is>
      </c>
      <c r="B446" s="5" t="inlineStr">
        <is>
          <t>.</t>
        </is>
      </c>
      <c r="C446" s="1378">
        <f>IF(raw[[#This Row],[city]]="","-",IF(raw[[#This Row],[city]]="TODAY","-",C445+1))</f>
        <v/>
      </c>
      <c r="D446" s="1393" t="inlineStr">
        <is>
          <t>Frankfurt</t>
        </is>
      </c>
      <c r="E446" s="1394" t="n">
        <v>35782</v>
      </c>
      <c r="F446" s="1394" t="n">
        <v>35782</v>
      </c>
      <c r="G446" s="1393" t="n">
        <v>0.01</v>
      </c>
      <c r="H446" s="1393">
        <f>H445</f>
        <v/>
      </c>
      <c r="I446" s="1393" t="inlineStr">
        <is>
          <t>-</t>
        </is>
      </c>
      <c r="J446" s="1393" t="inlineStr">
        <is>
          <t>-</t>
        </is>
      </c>
      <c r="K446" s="1395">
        <f>IF(raw[[#This Row],[city]]&lt;&gt;"",_xlfn.XLOOKUP($D446,ccc[city],ccc[prov],"-"),"-")</f>
        <v/>
      </c>
      <c r="L446" s="1395">
        <f>IF(raw[[#This Row],[city]]&lt;&gt;"",_xlfn.XLOOKUP($D446,ccc[city],ccc[ctry],"-"),"-")</f>
        <v/>
      </c>
      <c r="M446" s="1395">
        <f>IF(raw[[#This Row],[city]]&lt;&gt;"",_xlfn.XLOOKUP($D446,ccc[city],ccc[cont],"-"),"-")</f>
        <v/>
      </c>
      <c r="N446" s="1396">
        <f>IF(raw[[#This Row],[city]]="","-",IF(raw[[#This Row],[cont]]="B",raw[[#This Row],[cont]],"W"))</f>
        <v/>
      </c>
      <c r="O446" s="1397">
        <f>IF(raw[[#This Row],[out]]=0,0,IF(raw[[#This Row],[out]]=raw[[#This Row],[in]],0.01,raw[[#This Row],[out]]-raw[[#This Row],[in]]))</f>
        <v/>
      </c>
      <c r="P446" s="1397">
        <f>IF(raw[[#This Row],[in]]=0,0,MONTH(raw[[#This Row],[in]]))</f>
        <v/>
      </c>
      <c r="Q446" s="1397">
        <f>IF(raw[[#This Row],[in]]=0,0,YEAR(raw[[#This Row],[in]]))</f>
        <v/>
      </c>
      <c r="R446" s="1397">
        <f>INT(raw[[#This Row],[yr]]/10)*10</f>
        <v/>
      </c>
      <c r="S446" s="1395">
        <f>IF(raw[[#This Row],[city]]="","-",IF(raw[[#This Row],[city]]&lt;&gt;_xlfn.XLOOKUP(raw[[#This Row],[home]],homes[home],homes[city],"-"),1,0))</f>
        <v/>
      </c>
      <c r="T446" s="1398" t="inlineStr">
        <is>
          <t>.</t>
        </is>
      </c>
      <c r="U446" s="1399">
        <f>IF(raw[[#This Row],[wb]]="w",raw[[#This Row],[stay]]+U445,U445)</f>
        <v/>
      </c>
      <c r="V446" s="1400">
        <f>IF(raw[[#This Row],[out]]=0,V445,(raw[[#This Row],[out]]-E$5))</f>
        <v/>
      </c>
      <c r="W446" s="1401">
        <f>U446/V446</f>
        <v/>
      </c>
      <c r="X446" s="1378" t="inlineStr">
        <is>
          <t>.</t>
        </is>
      </c>
      <c r="Y446" s="1402">
        <f/>
        <v/>
      </c>
      <c r="Z446" s="1403">
        <f/>
        <v/>
      </c>
      <c r="AA446" s="1403">
        <f/>
        <v/>
      </c>
      <c r="AB446" s="1400">
        <f t="array" ref="AB446">_xlfn.LET(_xlpm.S,_xlfn.ANCHORARRAY($Y$4),_xlpm.r,ROWS(stayCity[[#Headers],[city]]:stayCity[[#This Row],[city]])-1,IF(_xlpm.r&lt;=ROWS(_xlpm.S),INDEX(_xlpm.S,_xlpm.r,1),""))</f>
        <v/>
      </c>
      <c r="AC446" s="1405">
        <f t="array" ref="AC446">_xlfn.LET(_xlpm.S,_xlfn.ANCHORARRAY($Y$4),_xlpm.r,ROWS(stayCity[[#Headers],[city]]:stayCity[[#This Row],[city]])-1,IF(_xlpm.r&lt;=ROWS(_xlpm.S),INDEX(_xlpm.S,_xlpm.r,2),""))</f>
        <v/>
      </c>
      <c r="AD446" s="1405">
        <f t="array" ref="AD446">_xlfn.LET(_xlpm.S,_xlfn.ANCHORARRAY($Y$4),_xlpm.r,ROWS(stayCity[[#Headers],[city]]:stayCity[[#This Row],[city]])-1,IF(_xlpm.r&lt;=ROWS(_xlpm.S),INDEX(_xlpm.S,_xlpm.r,3),""))</f>
        <v/>
      </c>
      <c r="AE446" s="1400">
        <f>IF(stayCity[[#This Row],[out]]&lt;&gt;"",stayCity[[#This Row],[out]]-stayCity[[#This Row],[in]],"-")</f>
        <v/>
      </c>
      <c r="AF446" s="1406">
        <f>IF(Y446="","-",YEAR(stayCity[[#This Row],[in]]))</f>
        <v/>
      </c>
      <c r="AG446" s="1392" t="n"/>
      <c r="AH446" s="1392" t="n"/>
      <c r="AI446" s="1392" t="n"/>
      <c r="AJ446" s="1392" t="n"/>
      <c r="AK446" s="1392" t="n"/>
      <c r="AL446" s="1392" t="n"/>
      <c r="AM446" s="1392" t="n"/>
      <c r="AN446" s="1392" t="n"/>
      <c r="AO446" s="1392" t="n"/>
      <c r="AP446" s="1392" t="n"/>
      <c r="AQ446" s="1392" t="n"/>
      <c r="AR446" s="1392" t="n"/>
      <c r="AS446" s="1422" t="n"/>
      <c r="AT446" s="1392" t="n"/>
      <c r="AU446" s="1392" t="n"/>
      <c r="AV446" s="1392" t="n"/>
      <c r="AW446" s="1392" t="n"/>
      <c r="AX446" s="1392" t="n"/>
      <c r="AY446" s="1392" t="n"/>
      <c r="AZ446" s="1392" t="n"/>
      <c r="BA446" s="1392" t="n"/>
      <c r="BB446" s="1422" t="n"/>
      <c r="BC446" s="1392" t="n"/>
      <c r="BD446" s="1392" t="n"/>
      <c r="BE446" s="1392" t="n"/>
      <c r="BF446" s="1392" t="n"/>
      <c r="BG446" s="1392" t="n"/>
      <c r="BH446" s="1392" t="n"/>
      <c r="BI446" s="1392" t="n"/>
      <c r="BJ446" s="1392" t="n"/>
      <c r="BK446" s="1392" t="n"/>
      <c r="BL446" s="1392" t="n"/>
      <c r="BM446" s="1392" t="n"/>
      <c r="BN446" s="1392" t="n"/>
      <c r="BO446" s="1392" t="n"/>
      <c r="BP446" s="1392" t="n"/>
      <c r="BQ446" s="1392" t="n"/>
      <c r="BR446" s="1392" t="n"/>
      <c r="BS446" s="1392" t="n"/>
      <c r="BT446" s="1392" t="n"/>
      <c r="BU446" s="1416" t="n"/>
      <c r="BV446" s="1392" t="n"/>
      <c r="BW446" s="1392" t="n"/>
      <c r="BX446" s="1392" t="n"/>
      <c r="BY446" s="1392" t="n"/>
      <c r="BZ446" s="1416" t="n"/>
      <c r="CA446" s="1392" t="n"/>
      <c r="CB446" s="1392" t="n"/>
      <c r="CC446" s="1392" t="n"/>
      <c r="CD446" s="1392" t="n"/>
      <c r="CE446" s="1392" t="n"/>
      <c r="CF446" s="1392" t="n"/>
      <c r="CG446" s="1392" t="n"/>
      <c r="CH446" s="1392" t="n"/>
      <c r="CI446" s="1392" t="n"/>
      <c r="CJ446" s="1392" t="n"/>
      <c r="CK446" s="1392" t="n"/>
      <c r="CL446" s="1392" t="n"/>
    </row>
    <row r="447">
      <c r="A447" s="5" t="inlineStr">
        <is>
          <t>.</t>
        </is>
      </c>
      <c r="B447" s="5" t="inlineStr">
        <is>
          <t>.</t>
        </is>
      </c>
      <c r="C447" s="1378">
        <f>IF(raw[[#This Row],[city]]="","-",IF(raw[[#This Row],[city]]="TODAY","-",C446+1))</f>
        <v/>
      </c>
      <c r="D447" s="1393" t="inlineStr">
        <is>
          <t>AIR</t>
        </is>
      </c>
      <c r="E447" s="1394" t="n">
        <v>35782</v>
      </c>
      <c r="F447" s="1394" t="n">
        <v>35783</v>
      </c>
      <c r="G447" s="1393" t="inlineStr">
        <is>
          <t>x</t>
        </is>
      </c>
      <c r="H447" s="1393">
        <f>H446</f>
        <v/>
      </c>
      <c r="I447" s="1393" t="inlineStr">
        <is>
          <t>-</t>
        </is>
      </c>
      <c r="J447" s="1393" t="inlineStr">
        <is>
          <t>-</t>
        </is>
      </c>
      <c r="K447" s="1395">
        <f>IF(raw[[#This Row],[city]]&lt;&gt;"",_xlfn.XLOOKUP($D447,ccc[city],ccc[prov],"-"),"-")</f>
        <v/>
      </c>
      <c r="L447" s="1395">
        <f>IF(raw[[#This Row],[city]]&lt;&gt;"",_xlfn.XLOOKUP($D447,ccc[city],ccc[ctry],"-"),"-")</f>
        <v/>
      </c>
      <c r="M447" s="1395">
        <f>IF(raw[[#This Row],[city]]&lt;&gt;"",_xlfn.XLOOKUP($D447,ccc[city],ccc[cont],"-"),"-")</f>
        <v/>
      </c>
      <c r="N447" s="1396">
        <f>IF(raw[[#This Row],[city]]="","-",IF(raw[[#This Row],[cont]]="B",raw[[#This Row],[cont]],"W"))</f>
        <v/>
      </c>
      <c r="O447" s="1397">
        <f>IF(raw[[#This Row],[out]]=0,0,IF(raw[[#This Row],[out]]=raw[[#This Row],[in]],0.01,raw[[#This Row],[out]]-raw[[#This Row],[in]]))</f>
        <v/>
      </c>
      <c r="P447" s="1397">
        <f>IF(raw[[#This Row],[in]]=0,0,MONTH(raw[[#This Row],[in]]))</f>
        <v/>
      </c>
      <c r="Q447" s="1397">
        <f>IF(raw[[#This Row],[in]]=0,0,YEAR(raw[[#This Row],[in]]))</f>
        <v/>
      </c>
      <c r="R447" s="1397">
        <f>INT(raw[[#This Row],[yr]]/10)*10</f>
        <v/>
      </c>
      <c r="S447" s="1395">
        <f>IF(raw[[#This Row],[city]]="","-",IF(raw[[#This Row],[city]]&lt;&gt;_xlfn.XLOOKUP(raw[[#This Row],[home]],homes[home],homes[city],"-"),1,0))</f>
        <v/>
      </c>
      <c r="T447" s="1398" t="inlineStr">
        <is>
          <t>.</t>
        </is>
      </c>
      <c r="U447" s="1399">
        <f>IF(raw[[#This Row],[wb]]="w",raw[[#This Row],[stay]]+U446,U446)</f>
        <v/>
      </c>
      <c r="V447" s="1400">
        <f>IF(raw[[#This Row],[out]]=0,V446,(raw[[#This Row],[out]]-E$5))</f>
        <v/>
      </c>
      <c r="W447" s="1401">
        <f>U447/V447</f>
        <v/>
      </c>
      <c r="X447" s="1378" t="inlineStr">
        <is>
          <t>.</t>
        </is>
      </c>
      <c r="Y447" s="1402">
        <f/>
        <v/>
      </c>
      <c r="Z447" s="1403">
        <f/>
        <v/>
      </c>
      <c r="AA447" s="1403">
        <f/>
        <v/>
      </c>
      <c r="AB447" s="1400">
        <f t="array" ref="AB447">_xlfn.LET(_xlpm.S,_xlfn.ANCHORARRAY($Y$4),_xlpm.r,ROWS(stayCity[[#Headers],[city]]:stayCity[[#This Row],[city]])-1,IF(_xlpm.r&lt;=ROWS(_xlpm.S),INDEX(_xlpm.S,_xlpm.r,1),""))</f>
        <v/>
      </c>
      <c r="AC447" s="1405">
        <f t="array" ref="AC447">_xlfn.LET(_xlpm.S,_xlfn.ANCHORARRAY($Y$4),_xlpm.r,ROWS(stayCity[[#Headers],[city]]:stayCity[[#This Row],[city]])-1,IF(_xlpm.r&lt;=ROWS(_xlpm.S),INDEX(_xlpm.S,_xlpm.r,2),""))</f>
        <v/>
      </c>
      <c r="AD447" s="1405">
        <f t="array" ref="AD447">_xlfn.LET(_xlpm.S,_xlfn.ANCHORARRAY($Y$4),_xlpm.r,ROWS(stayCity[[#Headers],[city]]:stayCity[[#This Row],[city]])-1,IF(_xlpm.r&lt;=ROWS(_xlpm.S),INDEX(_xlpm.S,_xlpm.r,3),""))</f>
        <v/>
      </c>
      <c r="AE447" s="1400">
        <f>IF(stayCity[[#This Row],[out]]&lt;&gt;"",stayCity[[#This Row],[out]]-stayCity[[#This Row],[in]],"-")</f>
        <v/>
      </c>
      <c r="AF447" s="1406">
        <f>IF(Y447="","-",YEAR(stayCity[[#This Row],[in]]))</f>
        <v/>
      </c>
      <c r="AG447" s="1392" t="n"/>
      <c r="AH447" s="1392" t="n"/>
      <c r="AI447" s="1392" t="n"/>
      <c r="AJ447" s="1392" t="n"/>
      <c r="AK447" s="1392" t="n"/>
      <c r="AL447" s="1392" t="n"/>
      <c r="AM447" s="1392" t="n"/>
      <c r="AN447" s="1392" t="n"/>
      <c r="AO447" s="1392" t="n"/>
      <c r="AP447" s="1392" t="n"/>
      <c r="AQ447" s="1392" t="n"/>
      <c r="AR447" s="1392" t="n"/>
      <c r="AS447" s="1422" t="n"/>
      <c r="AT447" s="1392" t="n"/>
      <c r="AU447" s="1392" t="n"/>
      <c r="AV447" s="1392" t="n"/>
      <c r="AW447" s="1392" t="n"/>
      <c r="AX447" s="1392" t="n"/>
      <c r="AY447" s="1392" t="n"/>
      <c r="AZ447" s="1392" t="n"/>
      <c r="BA447" s="1392" t="n"/>
      <c r="BB447" s="1422" t="n"/>
      <c r="BC447" s="1392" t="n"/>
      <c r="BD447" s="1392" t="n"/>
      <c r="BE447" s="1392" t="n"/>
      <c r="BF447" s="1392" t="n"/>
      <c r="BG447" s="1392" t="n"/>
      <c r="BH447" s="1392" t="n"/>
      <c r="BI447" s="1392" t="n"/>
      <c r="BJ447" s="1392" t="n"/>
      <c r="BK447" s="1392" t="n"/>
      <c r="BL447" s="1392" t="n"/>
      <c r="BM447" s="1392" t="n"/>
      <c r="BN447" s="1392" t="n"/>
      <c r="BO447" s="1392" t="n"/>
      <c r="BP447" s="1392" t="n"/>
      <c r="BQ447" s="1392" t="n"/>
      <c r="BR447" s="1392" t="n"/>
      <c r="BS447" s="1392" t="n"/>
      <c r="BT447" s="1392" t="n"/>
      <c r="BU447" s="1416" t="n"/>
      <c r="BV447" s="1392" t="n"/>
      <c r="BW447" s="1392" t="n"/>
      <c r="BX447" s="1392" t="n"/>
      <c r="BY447" s="1392" t="n"/>
      <c r="BZ447" s="1416" t="n"/>
      <c r="CA447" s="1392" t="n"/>
      <c r="CB447" s="1392" t="n"/>
      <c r="CC447" s="1392" t="n"/>
      <c r="CD447" s="1392" t="n"/>
      <c r="CE447" s="1392" t="n"/>
      <c r="CF447" s="1392" t="n"/>
      <c r="CG447" s="1392" t="n"/>
      <c r="CH447" s="1392" t="n"/>
      <c r="CI447" s="1392" t="n"/>
      <c r="CJ447" s="1392" t="n"/>
      <c r="CK447" s="1392" t="n"/>
      <c r="CL447" s="1392" t="n"/>
    </row>
    <row r="448">
      <c r="A448" s="5" t="inlineStr">
        <is>
          <t>.</t>
        </is>
      </c>
      <c r="B448" s="5" t="inlineStr">
        <is>
          <t>.</t>
        </is>
      </c>
      <c r="C448" s="1378">
        <f>IF(raw[[#This Row],[city]]="","-",IF(raw[[#This Row],[city]]="TODAY","-",C447+1))</f>
        <v/>
      </c>
      <c r="D448" s="1393" t="inlineStr">
        <is>
          <t>SSA</t>
        </is>
      </c>
      <c r="E448" s="1394" t="n">
        <v>35783</v>
      </c>
      <c r="F448" s="1394" t="n">
        <v>35792</v>
      </c>
      <c r="G448" s="1393" t="inlineStr">
        <is>
          <t>-</t>
        </is>
      </c>
      <c r="H448" s="1393">
        <f>H447</f>
        <v/>
      </c>
      <c r="I448" s="1393" t="inlineStr">
        <is>
          <t>Ondina</t>
        </is>
      </c>
      <c r="J448" s="1393" t="inlineStr">
        <is>
          <t>-</t>
        </is>
      </c>
      <c r="K448" s="1395">
        <f>IF(raw[[#This Row],[city]]&lt;&gt;"",_xlfn.XLOOKUP($D448,ccc[city],ccc[prov],"-"),"-")</f>
        <v/>
      </c>
      <c r="L448" s="1395">
        <f>IF(raw[[#This Row],[city]]&lt;&gt;"",_xlfn.XLOOKUP($D448,ccc[city],ccc[ctry],"-"),"-")</f>
        <v/>
      </c>
      <c r="M448" s="1395">
        <f>IF(raw[[#This Row],[city]]&lt;&gt;"",_xlfn.XLOOKUP($D448,ccc[city],ccc[cont],"-"),"-")</f>
        <v/>
      </c>
      <c r="N448" s="1396">
        <f>IF(raw[[#This Row],[city]]="","-",IF(raw[[#This Row],[cont]]="B",raw[[#This Row],[cont]],"W"))</f>
        <v/>
      </c>
      <c r="O448" s="1397">
        <f>IF(raw[[#This Row],[out]]=0,0,IF(raw[[#This Row],[out]]=raw[[#This Row],[in]],0.01,raw[[#This Row],[out]]-raw[[#This Row],[in]]))</f>
        <v/>
      </c>
      <c r="P448" s="1397">
        <f>IF(raw[[#This Row],[in]]=0,0,MONTH(raw[[#This Row],[in]]))</f>
        <v/>
      </c>
      <c r="Q448" s="1397">
        <f>IF(raw[[#This Row],[in]]=0,0,YEAR(raw[[#This Row],[in]]))</f>
        <v/>
      </c>
      <c r="R448" s="1397">
        <f>INT(raw[[#This Row],[yr]]/10)*10</f>
        <v/>
      </c>
      <c r="S448" s="1395">
        <f>IF(raw[[#This Row],[city]]="","-",IF(raw[[#This Row],[city]]&lt;&gt;_xlfn.XLOOKUP(raw[[#This Row],[home]],homes[home],homes[city],"-"),1,0))</f>
        <v/>
      </c>
      <c r="T448" s="1398" t="inlineStr">
        <is>
          <t>.</t>
        </is>
      </c>
      <c r="U448" s="1399">
        <f>IF(raw[[#This Row],[wb]]="w",raw[[#This Row],[stay]]+U447,U447)</f>
        <v/>
      </c>
      <c r="V448" s="1400">
        <f>IF(raw[[#This Row],[out]]=0,V447,(raw[[#This Row],[out]]-E$5))</f>
        <v/>
      </c>
      <c r="W448" s="1401">
        <f>U448/V448</f>
        <v/>
      </c>
      <c r="X448" s="1378" t="inlineStr">
        <is>
          <t>.</t>
        </is>
      </c>
      <c r="Y448" s="1402">
        <f/>
        <v/>
      </c>
      <c r="Z448" s="1403">
        <f/>
        <v/>
      </c>
      <c r="AA448" s="1403">
        <f/>
        <v/>
      </c>
      <c r="AB448" s="1400">
        <f t="array" ref="AB448">_xlfn.LET(_xlpm.S,_xlfn.ANCHORARRAY($Y$4),_xlpm.r,ROWS(stayCity[[#Headers],[city]]:stayCity[[#This Row],[city]])-1,IF(_xlpm.r&lt;=ROWS(_xlpm.S),INDEX(_xlpm.S,_xlpm.r,1),""))</f>
        <v/>
      </c>
      <c r="AC448" s="1405">
        <f t="array" ref="AC448">_xlfn.LET(_xlpm.S,_xlfn.ANCHORARRAY($Y$4),_xlpm.r,ROWS(stayCity[[#Headers],[city]]:stayCity[[#This Row],[city]])-1,IF(_xlpm.r&lt;=ROWS(_xlpm.S),INDEX(_xlpm.S,_xlpm.r,2),""))</f>
        <v/>
      </c>
      <c r="AD448" s="1405">
        <f t="array" ref="AD448">_xlfn.LET(_xlpm.S,_xlfn.ANCHORARRAY($Y$4),_xlpm.r,ROWS(stayCity[[#Headers],[city]]:stayCity[[#This Row],[city]])-1,IF(_xlpm.r&lt;=ROWS(_xlpm.S),INDEX(_xlpm.S,_xlpm.r,3),""))</f>
        <v/>
      </c>
      <c r="AE448" s="1400">
        <f>IF(stayCity[[#This Row],[out]]&lt;&gt;"",stayCity[[#This Row],[out]]-stayCity[[#This Row],[in]],"-")</f>
        <v/>
      </c>
      <c r="AF448" s="1406">
        <f>IF(Y448="","-",YEAR(stayCity[[#This Row],[in]]))</f>
        <v/>
      </c>
      <c r="AG448" s="1392" t="n"/>
      <c r="AH448" s="1392" t="n"/>
      <c r="AI448" s="1392" t="n"/>
      <c r="AJ448" s="1392" t="n"/>
      <c r="AK448" s="1392" t="n"/>
      <c r="AL448" s="1392" t="n"/>
      <c r="AM448" s="1392" t="n"/>
      <c r="AN448" s="1392" t="n"/>
      <c r="AO448" s="1392" t="n"/>
      <c r="AP448" s="1392" t="n"/>
      <c r="AQ448" s="1392" t="n"/>
      <c r="AR448" s="1392" t="n"/>
      <c r="AS448" s="1422" t="n"/>
      <c r="AT448" s="1392" t="n"/>
      <c r="AU448" s="1392" t="n"/>
      <c r="AV448" s="1392" t="n"/>
      <c r="AW448" s="1392" t="n"/>
      <c r="AX448" s="1392" t="n"/>
      <c r="AY448" s="1392" t="n"/>
      <c r="AZ448" s="1392" t="n"/>
      <c r="BA448" s="1392" t="n"/>
      <c r="BB448" s="1422" t="n"/>
      <c r="BC448" s="1392" t="n"/>
      <c r="BD448" s="1392" t="n"/>
      <c r="BE448" s="1392" t="n"/>
      <c r="BF448" s="1392" t="n"/>
      <c r="BG448" s="1392" t="n"/>
      <c r="BH448" s="1392" t="n"/>
      <c r="BI448" s="1392" t="n"/>
      <c r="BJ448" s="1392" t="n"/>
      <c r="BK448" s="1392" t="n"/>
      <c r="BL448" s="1392" t="n"/>
      <c r="BM448" s="1392" t="n"/>
      <c r="BN448" s="1392" t="n"/>
      <c r="BO448" s="1392" t="n"/>
      <c r="BP448" s="1392" t="n"/>
      <c r="BQ448" s="1392" t="n"/>
      <c r="BR448" s="1392" t="n"/>
      <c r="BS448" s="1392" t="n"/>
      <c r="BT448" s="1392" t="n"/>
      <c r="BU448" s="1416" t="n"/>
      <c r="BV448" s="1392" t="n"/>
      <c r="BW448" s="1392" t="n"/>
      <c r="BX448" s="1392" t="n"/>
      <c r="BY448" s="1392" t="n"/>
      <c r="BZ448" s="1416" t="n"/>
      <c r="CA448" s="1392" t="n"/>
      <c r="CB448" s="1392" t="n"/>
      <c r="CC448" s="1392" t="n"/>
      <c r="CD448" s="1392" t="n"/>
      <c r="CE448" s="1392" t="n"/>
      <c r="CF448" s="1392" t="n"/>
      <c r="CG448" s="1392" t="n"/>
      <c r="CH448" s="1392" t="n"/>
      <c r="CI448" s="1392" t="n"/>
      <c r="CJ448" s="1392" t="n"/>
      <c r="CK448" s="1392" t="n"/>
      <c r="CL448" s="1392" t="n"/>
    </row>
    <row r="449">
      <c r="A449" s="5" t="inlineStr">
        <is>
          <t>.</t>
        </is>
      </c>
      <c r="B449" s="5" t="inlineStr">
        <is>
          <t>.</t>
        </is>
      </c>
      <c r="C449" s="1378">
        <f>IF(raw[[#This Row],[city]]="","-",IF(raw[[#This Row],[city]]="TODAY","-",C448+1))</f>
        <v/>
      </c>
      <c r="D449" s="1393" t="inlineStr">
        <is>
          <t>Porto Seguro</t>
        </is>
      </c>
      <c r="E449" s="1394" t="n">
        <v>35792</v>
      </c>
      <c r="F449" s="1394" t="n">
        <v>35794</v>
      </c>
      <c r="G449" s="1393" t="inlineStr">
        <is>
          <t>-</t>
        </is>
      </c>
      <c r="H449" s="1393">
        <f>H448</f>
        <v/>
      </c>
      <c r="I449" s="1393" t="inlineStr">
        <is>
          <t>-</t>
        </is>
      </c>
      <c r="J449" s="1393" t="inlineStr">
        <is>
          <t>-</t>
        </is>
      </c>
      <c r="K449" s="1395">
        <f>IF(raw[[#This Row],[city]]&lt;&gt;"",_xlfn.XLOOKUP($D449,ccc[city],ccc[prov],"-"),"-")</f>
        <v/>
      </c>
      <c r="L449" s="1395">
        <f>IF(raw[[#This Row],[city]]&lt;&gt;"",_xlfn.XLOOKUP($D449,ccc[city],ccc[ctry],"-"),"-")</f>
        <v/>
      </c>
      <c r="M449" s="1395">
        <f>IF(raw[[#This Row],[city]]&lt;&gt;"",_xlfn.XLOOKUP($D449,ccc[city],ccc[cont],"-"),"-")</f>
        <v/>
      </c>
      <c r="N449" s="1396">
        <f>IF(raw[[#This Row],[city]]="","-",IF(raw[[#This Row],[cont]]="B",raw[[#This Row],[cont]],"W"))</f>
        <v/>
      </c>
      <c r="O449" s="1397">
        <f>IF(raw[[#This Row],[out]]=0,0,IF(raw[[#This Row],[out]]=raw[[#This Row],[in]],0.01,raw[[#This Row],[out]]-raw[[#This Row],[in]]))</f>
        <v/>
      </c>
      <c r="P449" s="1397">
        <f>IF(raw[[#This Row],[in]]=0,0,MONTH(raw[[#This Row],[in]]))</f>
        <v/>
      </c>
      <c r="Q449" s="1397">
        <f>IF(raw[[#This Row],[in]]=0,0,YEAR(raw[[#This Row],[in]]))</f>
        <v/>
      </c>
      <c r="R449" s="1397">
        <f>INT(raw[[#This Row],[yr]]/10)*10</f>
        <v/>
      </c>
      <c r="S449" s="1395">
        <f>IF(raw[[#This Row],[city]]="","-",IF(raw[[#This Row],[city]]&lt;&gt;_xlfn.XLOOKUP(raw[[#This Row],[home]],homes[home],homes[city],"-"),1,0))</f>
        <v/>
      </c>
      <c r="T449" s="1398" t="inlineStr">
        <is>
          <t>.</t>
        </is>
      </c>
      <c r="U449" s="1399">
        <f>IF(raw[[#This Row],[wb]]="w",raw[[#This Row],[stay]]+U448,U448)</f>
        <v/>
      </c>
      <c r="V449" s="1400">
        <f>IF(raw[[#This Row],[out]]=0,V448,(raw[[#This Row],[out]]-E$5))</f>
        <v/>
      </c>
      <c r="W449" s="1401">
        <f>U449/V449</f>
        <v/>
      </c>
      <c r="X449" s="1378" t="inlineStr">
        <is>
          <t>.</t>
        </is>
      </c>
      <c r="Y449" s="1402">
        <f/>
        <v/>
      </c>
      <c r="Z449" s="1403">
        <f/>
        <v/>
      </c>
      <c r="AA449" s="1403">
        <f/>
        <v/>
      </c>
      <c r="AB449" s="1400">
        <f t="array" ref="AB449">_xlfn.LET(_xlpm.S,_xlfn.ANCHORARRAY($Y$4),_xlpm.r,ROWS(stayCity[[#Headers],[city]]:stayCity[[#This Row],[city]])-1,IF(_xlpm.r&lt;=ROWS(_xlpm.S),INDEX(_xlpm.S,_xlpm.r,1),""))</f>
        <v/>
      </c>
      <c r="AC449" s="1405">
        <f t="array" ref="AC449">_xlfn.LET(_xlpm.S,_xlfn.ANCHORARRAY($Y$4),_xlpm.r,ROWS(stayCity[[#Headers],[city]]:stayCity[[#This Row],[city]])-1,IF(_xlpm.r&lt;=ROWS(_xlpm.S),INDEX(_xlpm.S,_xlpm.r,2),""))</f>
        <v/>
      </c>
      <c r="AD449" s="1405">
        <f t="array" ref="AD449">_xlfn.LET(_xlpm.S,_xlfn.ANCHORARRAY($Y$4),_xlpm.r,ROWS(stayCity[[#Headers],[city]]:stayCity[[#This Row],[city]])-1,IF(_xlpm.r&lt;=ROWS(_xlpm.S),INDEX(_xlpm.S,_xlpm.r,3),""))</f>
        <v/>
      </c>
      <c r="AE449" s="1400">
        <f>IF(stayCity[[#This Row],[out]]&lt;&gt;"",stayCity[[#This Row],[out]]-stayCity[[#This Row],[in]],"-")</f>
        <v/>
      </c>
      <c r="AF449" s="1406">
        <f>IF(Y449="","-",YEAR(stayCity[[#This Row],[in]]))</f>
        <v/>
      </c>
      <c r="AG449" s="1392" t="n"/>
      <c r="AH449" s="1392" t="n"/>
      <c r="AI449" s="1392" t="n"/>
      <c r="AJ449" s="1392" t="n"/>
      <c r="AK449" s="1392" t="n"/>
      <c r="AL449" s="1392" t="n"/>
      <c r="AM449" s="1392" t="n"/>
      <c r="AN449" s="1392" t="n"/>
      <c r="AO449" s="1392" t="n"/>
      <c r="AP449" s="1392" t="n"/>
      <c r="AQ449" s="1392" t="n"/>
      <c r="AR449" s="1392" t="n"/>
      <c r="AS449" s="1422" t="n"/>
      <c r="AT449" s="1392" t="n"/>
      <c r="AU449" s="1392" t="n"/>
      <c r="AV449" s="1392" t="n"/>
      <c r="AW449" s="1392" t="n"/>
      <c r="AX449" s="1392" t="n"/>
      <c r="AY449" s="1392" t="n"/>
      <c r="AZ449" s="1392" t="n"/>
      <c r="BA449" s="1392" t="n"/>
      <c r="BB449" s="1422" t="n"/>
      <c r="BC449" s="1392" t="n"/>
      <c r="BD449" s="1392" t="n"/>
      <c r="BE449" s="1392" t="n"/>
      <c r="BF449" s="1392" t="n"/>
      <c r="BG449" s="1392" t="n"/>
      <c r="BH449" s="1392" t="n"/>
      <c r="BI449" s="1392" t="n"/>
      <c r="BJ449" s="1392" t="n"/>
      <c r="BK449" s="1392" t="n"/>
      <c r="BL449" s="1392" t="n"/>
      <c r="BM449" s="1392" t="n"/>
      <c r="BN449" s="1392" t="n"/>
      <c r="BO449" s="1392" t="n"/>
      <c r="BP449" s="1392" t="n"/>
      <c r="BQ449" s="1392" t="n"/>
      <c r="BR449" s="1392" t="n"/>
      <c r="BS449" s="1392" t="n"/>
      <c r="BT449" s="1392" t="n"/>
      <c r="BU449" s="1416" t="n"/>
      <c r="BV449" s="1392" t="n"/>
      <c r="BW449" s="1392" t="n"/>
      <c r="BX449" s="1392" t="n"/>
      <c r="BY449" s="1392" t="n"/>
      <c r="BZ449" s="1416" t="n"/>
      <c r="CA449" s="1392" t="n"/>
      <c r="CB449" s="1392" t="n"/>
      <c r="CC449" s="1392" t="n"/>
      <c r="CD449" s="1392" t="n"/>
      <c r="CE449" s="1392" t="n"/>
      <c r="CF449" s="1392" t="n"/>
      <c r="CG449" s="1392" t="n"/>
      <c r="CH449" s="1392" t="n"/>
      <c r="CI449" s="1392" t="n"/>
      <c r="CJ449" s="1392" t="n"/>
      <c r="CK449" s="1392" t="n"/>
      <c r="CL449" s="1392" t="n"/>
    </row>
    <row r="450">
      <c r="A450" s="5" t="inlineStr">
        <is>
          <t>.</t>
        </is>
      </c>
      <c r="B450" s="5" t="inlineStr">
        <is>
          <t>.</t>
        </is>
      </c>
      <c r="C450" s="1378">
        <f>IF(raw[[#This Row],[city]]="","-",IF(raw[[#This Row],[city]]="TODAY","-",C449+1))</f>
        <v/>
      </c>
      <c r="D450" s="1393" t="inlineStr">
        <is>
          <t>Arraial d'Ajuda</t>
        </is>
      </c>
      <c r="E450" s="1394" t="n">
        <v>35794</v>
      </c>
      <c r="F450" s="1394" t="n">
        <v>35794</v>
      </c>
      <c r="G450" s="1393" t="inlineStr">
        <is>
          <t>-</t>
        </is>
      </c>
      <c r="H450" s="1393">
        <f>H449</f>
        <v/>
      </c>
      <c r="I450" s="1393" t="inlineStr">
        <is>
          <t>-</t>
        </is>
      </c>
      <c r="J450" s="1393" t="inlineStr">
        <is>
          <t>-</t>
        </is>
      </c>
      <c r="K450" s="1395">
        <f>IF(raw[[#This Row],[city]]&lt;&gt;"",_xlfn.XLOOKUP($D450,ccc[city],ccc[prov],"-"),"-")</f>
        <v/>
      </c>
      <c r="L450" s="1395">
        <f>IF(raw[[#This Row],[city]]&lt;&gt;"",_xlfn.XLOOKUP($D450,ccc[city],ccc[ctry],"-"),"-")</f>
        <v/>
      </c>
      <c r="M450" s="1395">
        <f>IF(raw[[#This Row],[city]]&lt;&gt;"",_xlfn.XLOOKUP($D450,ccc[city],ccc[cont],"-"),"-")</f>
        <v/>
      </c>
      <c r="N450" s="1396">
        <f>IF(raw[[#This Row],[city]]="","-",IF(raw[[#This Row],[cont]]="B",raw[[#This Row],[cont]],"W"))</f>
        <v/>
      </c>
      <c r="O450" s="1397">
        <f>IF(raw[[#This Row],[out]]=0,0,IF(raw[[#This Row],[out]]=raw[[#This Row],[in]],0.01,raw[[#This Row],[out]]-raw[[#This Row],[in]]))</f>
        <v/>
      </c>
      <c r="P450" s="1397">
        <f>IF(raw[[#This Row],[in]]=0,0,MONTH(raw[[#This Row],[in]]))</f>
        <v/>
      </c>
      <c r="Q450" s="1397">
        <f>IF(raw[[#This Row],[in]]=0,0,YEAR(raw[[#This Row],[in]]))</f>
        <v/>
      </c>
      <c r="R450" s="1397">
        <f>INT(raw[[#This Row],[yr]]/10)*10</f>
        <v/>
      </c>
      <c r="S450" s="1395">
        <f>IF(raw[[#This Row],[city]]="","-",IF(raw[[#This Row],[city]]&lt;&gt;_xlfn.XLOOKUP(raw[[#This Row],[home]],homes[home],homes[city],"-"),1,0))</f>
        <v/>
      </c>
      <c r="T450" s="1398" t="inlineStr">
        <is>
          <t>.</t>
        </is>
      </c>
      <c r="U450" s="1399">
        <f>IF(raw[[#This Row],[wb]]="w",raw[[#This Row],[stay]]+U449,U449)</f>
        <v/>
      </c>
      <c r="V450" s="1400">
        <f>IF(raw[[#This Row],[out]]=0,V449,(raw[[#This Row],[out]]-E$5))</f>
        <v/>
      </c>
      <c r="W450" s="1401">
        <f>U450/V450</f>
        <v/>
      </c>
      <c r="X450" s="1378" t="inlineStr">
        <is>
          <t>.</t>
        </is>
      </c>
      <c r="Y450" s="1402">
        <f/>
        <v/>
      </c>
      <c r="Z450" s="1403">
        <f/>
        <v/>
      </c>
      <c r="AA450" s="1403">
        <f/>
        <v/>
      </c>
      <c r="AB450" s="1400">
        <f t="array" ref="AB450">_xlfn.LET(_xlpm.S,_xlfn.ANCHORARRAY($Y$4),_xlpm.r,ROWS(stayCity[[#Headers],[city]]:stayCity[[#This Row],[city]])-1,IF(_xlpm.r&lt;=ROWS(_xlpm.S),INDEX(_xlpm.S,_xlpm.r,1),""))</f>
        <v/>
      </c>
      <c r="AC450" s="1405">
        <f t="array" ref="AC450">_xlfn.LET(_xlpm.S,_xlfn.ANCHORARRAY($Y$4),_xlpm.r,ROWS(stayCity[[#Headers],[city]]:stayCity[[#This Row],[city]])-1,IF(_xlpm.r&lt;=ROWS(_xlpm.S),INDEX(_xlpm.S,_xlpm.r,2),""))</f>
        <v/>
      </c>
      <c r="AD450" s="1405">
        <f t="array" ref="AD450">_xlfn.LET(_xlpm.S,_xlfn.ANCHORARRAY($Y$4),_xlpm.r,ROWS(stayCity[[#Headers],[city]]:stayCity[[#This Row],[city]])-1,IF(_xlpm.r&lt;=ROWS(_xlpm.S),INDEX(_xlpm.S,_xlpm.r,3),""))</f>
        <v/>
      </c>
      <c r="AE450" s="1400">
        <f>IF(stayCity[[#This Row],[out]]&lt;&gt;"",stayCity[[#This Row],[out]]-stayCity[[#This Row],[in]],"-")</f>
        <v/>
      </c>
      <c r="AF450" s="1406">
        <f>IF(Y450="","-",YEAR(stayCity[[#This Row],[in]]))</f>
        <v/>
      </c>
      <c r="AG450" s="1392" t="n"/>
      <c r="AH450" s="1392" t="n"/>
      <c r="AI450" s="1392" t="n"/>
      <c r="AJ450" s="1392" t="n"/>
      <c r="AK450" s="1392" t="n"/>
      <c r="AL450" s="1392" t="n"/>
      <c r="AM450" s="1392" t="n"/>
      <c r="AN450" s="1392" t="n"/>
      <c r="AO450" s="1392" t="n"/>
      <c r="AP450" s="1392" t="n"/>
      <c r="AQ450" s="1392" t="n"/>
      <c r="AR450" s="1392" t="n"/>
      <c r="AS450" s="1422" t="n"/>
      <c r="AT450" s="1392" t="n"/>
      <c r="AU450" s="1392" t="n"/>
      <c r="AV450" s="1392" t="n"/>
      <c r="AW450" s="1392" t="n"/>
      <c r="AX450" s="1392" t="n"/>
      <c r="AY450" s="1392" t="n"/>
      <c r="AZ450" s="1392" t="n"/>
      <c r="BA450" s="1392" t="n"/>
      <c r="BB450" s="1422" t="n"/>
      <c r="BC450" s="1392" t="n"/>
      <c r="BD450" s="1392" t="n"/>
      <c r="BE450" s="1392" t="n"/>
      <c r="BF450" s="1392" t="n"/>
      <c r="BG450" s="1392" t="n"/>
      <c r="BH450" s="1392" t="n"/>
      <c r="BI450" s="1392" t="n"/>
      <c r="BJ450" s="1392" t="n"/>
      <c r="BK450" s="1392" t="n"/>
      <c r="BL450" s="1392" t="n"/>
      <c r="BM450" s="1392" t="n"/>
      <c r="BN450" s="1392" t="n"/>
      <c r="BO450" s="1392" t="n"/>
      <c r="BP450" s="1392" t="n"/>
      <c r="BQ450" s="1392" t="n"/>
      <c r="BR450" s="1392" t="n"/>
      <c r="BS450" s="1392" t="n"/>
      <c r="BT450" s="1392" t="n"/>
      <c r="BU450" s="1416" t="n"/>
      <c r="BV450" s="1392" t="n"/>
      <c r="BW450" s="1392" t="n"/>
      <c r="BX450" s="1392" t="n"/>
      <c r="BY450" s="1392" t="n"/>
      <c r="BZ450" s="1416" t="n"/>
      <c r="CA450" s="1392" t="n"/>
      <c r="CB450" s="1392" t="n"/>
      <c r="CC450" s="1392" t="n"/>
      <c r="CD450" s="1392" t="n"/>
      <c r="CE450" s="1392" t="n"/>
      <c r="CF450" s="1392" t="n"/>
      <c r="CG450" s="1392" t="n"/>
      <c r="CH450" s="1392" t="n"/>
      <c r="CI450" s="1392" t="n"/>
      <c r="CJ450" s="1392" t="n"/>
      <c r="CK450" s="1392" t="n"/>
      <c r="CL450" s="1392" t="n"/>
    </row>
    <row r="451">
      <c r="A451" s="5" t="inlineStr">
        <is>
          <t>.</t>
        </is>
      </c>
      <c r="B451" s="5" t="inlineStr">
        <is>
          <t>.</t>
        </is>
      </c>
      <c r="C451" s="1378">
        <f>IF(raw[[#This Row],[city]]="","-",IF(raw[[#This Row],[city]]="TODAY","-",C450+1))</f>
        <v/>
      </c>
      <c r="D451" s="1393" t="inlineStr">
        <is>
          <t>Porto Seguro</t>
        </is>
      </c>
      <c r="E451" s="1394" t="n">
        <v>35794</v>
      </c>
      <c r="F451" s="1394" t="n">
        <v>35796</v>
      </c>
      <c r="G451" s="1393" t="inlineStr">
        <is>
          <t>-</t>
        </is>
      </c>
      <c r="H451" s="1393">
        <f>H450</f>
        <v/>
      </c>
      <c r="I451" s="1393" t="inlineStr">
        <is>
          <t>-</t>
        </is>
      </c>
      <c r="J451" s="1393" t="inlineStr">
        <is>
          <t>-</t>
        </is>
      </c>
      <c r="K451" s="1395">
        <f>IF(raw[[#This Row],[city]]&lt;&gt;"",_xlfn.XLOOKUP($D451,ccc[city],ccc[prov],"-"),"-")</f>
        <v/>
      </c>
      <c r="L451" s="1395">
        <f>IF(raw[[#This Row],[city]]&lt;&gt;"",_xlfn.XLOOKUP($D451,ccc[city],ccc[ctry],"-"),"-")</f>
        <v/>
      </c>
      <c r="M451" s="1395">
        <f>IF(raw[[#This Row],[city]]&lt;&gt;"",_xlfn.XLOOKUP($D451,ccc[city],ccc[cont],"-"),"-")</f>
        <v/>
      </c>
      <c r="N451" s="1396">
        <f>IF(raw[[#This Row],[city]]="","-",IF(raw[[#This Row],[cont]]="B",raw[[#This Row],[cont]],"W"))</f>
        <v/>
      </c>
      <c r="O451" s="1397">
        <f>IF(raw[[#This Row],[out]]=0,0,IF(raw[[#This Row],[out]]=raw[[#This Row],[in]],0.01,raw[[#This Row],[out]]-raw[[#This Row],[in]]))</f>
        <v/>
      </c>
      <c r="P451" s="1397">
        <f>IF(raw[[#This Row],[in]]=0,0,MONTH(raw[[#This Row],[in]]))</f>
        <v/>
      </c>
      <c r="Q451" s="1397">
        <f>IF(raw[[#This Row],[in]]=0,0,YEAR(raw[[#This Row],[in]]))</f>
        <v/>
      </c>
      <c r="R451" s="1397">
        <f>INT(raw[[#This Row],[yr]]/10)*10</f>
        <v/>
      </c>
      <c r="S451" s="1395">
        <f>IF(raw[[#This Row],[city]]="","-",IF(raw[[#This Row],[city]]&lt;&gt;_xlfn.XLOOKUP(raw[[#This Row],[home]],homes[home],homes[city],"-"),1,0))</f>
        <v/>
      </c>
      <c r="T451" s="1398" t="inlineStr">
        <is>
          <t>.</t>
        </is>
      </c>
      <c r="U451" s="1399">
        <f>IF(raw[[#This Row],[wb]]="w",raw[[#This Row],[stay]]+U450,U450)</f>
        <v/>
      </c>
      <c r="V451" s="1400">
        <f>IF(raw[[#This Row],[out]]=0,V450,(raw[[#This Row],[out]]-E$5))</f>
        <v/>
      </c>
      <c r="W451" s="1401">
        <f>U451/V451</f>
        <v/>
      </c>
      <c r="X451" s="1378" t="inlineStr">
        <is>
          <t>.</t>
        </is>
      </c>
      <c r="Y451" s="1402">
        <f/>
        <v/>
      </c>
      <c r="Z451" s="1403">
        <f/>
        <v/>
      </c>
      <c r="AA451" s="1403">
        <f/>
        <v/>
      </c>
      <c r="AB451" s="1400">
        <f t="array" ref="AB451">_xlfn.LET(_xlpm.S,_xlfn.ANCHORARRAY($Y$4),_xlpm.r,ROWS(stayCity[[#Headers],[city]]:stayCity[[#This Row],[city]])-1,IF(_xlpm.r&lt;=ROWS(_xlpm.S),INDEX(_xlpm.S,_xlpm.r,1),""))</f>
        <v/>
      </c>
      <c r="AC451" s="1405">
        <f t="array" ref="AC451">_xlfn.LET(_xlpm.S,_xlfn.ANCHORARRAY($Y$4),_xlpm.r,ROWS(stayCity[[#Headers],[city]]:stayCity[[#This Row],[city]])-1,IF(_xlpm.r&lt;=ROWS(_xlpm.S),INDEX(_xlpm.S,_xlpm.r,2),""))</f>
        <v/>
      </c>
      <c r="AD451" s="1405">
        <f t="array" ref="AD451">_xlfn.LET(_xlpm.S,_xlfn.ANCHORARRAY($Y$4),_xlpm.r,ROWS(stayCity[[#Headers],[city]]:stayCity[[#This Row],[city]])-1,IF(_xlpm.r&lt;=ROWS(_xlpm.S),INDEX(_xlpm.S,_xlpm.r,3),""))</f>
        <v/>
      </c>
      <c r="AE451" s="1400">
        <f>IF(stayCity[[#This Row],[out]]&lt;&gt;"",stayCity[[#This Row],[out]]-stayCity[[#This Row],[in]],"-")</f>
        <v/>
      </c>
      <c r="AF451" s="1406">
        <f>IF(Y451="","-",YEAR(stayCity[[#This Row],[in]]))</f>
        <v/>
      </c>
      <c r="AG451" s="1392" t="n"/>
      <c r="AH451" s="1392" t="n"/>
      <c r="AI451" s="1392" t="n"/>
      <c r="AJ451" s="1392" t="n"/>
      <c r="AK451" s="1392" t="n"/>
      <c r="AL451" s="1392" t="n"/>
      <c r="AM451" s="1392" t="n"/>
      <c r="AN451" s="1392" t="n"/>
      <c r="AO451" s="1392" t="n"/>
      <c r="AP451" s="1392" t="n"/>
      <c r="AQ451" s="1392" t="n"/>
      <c r="AR451" s="1392" t="n"/>
      <c r="AS451" s="1422" t="n"/>
      <c r="AT451" s="1392" t="n"/>
      <c r="AU451" s="1392" t="n"/>
      <c r="AV451" s="1392" t="n"/>
      <c r="AW451" s="1392" t="n"/>
      <c r="AX451" s="1392" t="n"/>
      <c r="AY451" s="1392" t="n"/>
      <c r="AZ451" s="1392" t="n"/>
      <c r="BA451" s="1392" t="n"/>
      <c r="BB451" s="1422" t="n"/>
      <c r="BC451" s="1392" t="n"/>
      <c r="BD451" s="1392" t="n"/>
      <c r="BE451" s="1392" t="n"/>
      <c r="BF451" s="1392" t="n"/>
      <c r="BG451" s="1392" t="n"/>
      <c r="BH451" s="1392" t="n"/>
      <c r="BI451" s="1392" t="n"/>
      <c r="BJ451" s="1392" t="n"/>
      <c r="BK451" s="1392" t="n"/>
      <c r="BL451" s="1392" t="n"/>
      <c r="BM451" s="1392" t="n"/>
      <c r="BN451" s="1392" t="n"/>
      <c r="BO451" s="1392" t="n"/>
      <c r="BP451" s="1392" t="n"/>
      <c r="BQ451" s="1392" t="n"/>
      <c r="BR451" s="1392" t="n"/>
      <c r="BS451" s="1392" t="n"/>
      <c r="BT451" s="1392" t="n"/>
      <c r="BU451" s="1416" t="n"/>
      <c r="BV451" s="1392" t="n"/>
      <c r="BW451" s="1392" t="n"/>
      <c r="BX451" s="1392" t="n"/>
      <c r="BY451" s="1392" t="n"/>
      <c r="BZ451" s="1416" t="n"/>
      <c r="CA451" s="1392" t="n"/>
      <c r="CB451" s="1392" t="n"/>
      <c r="CC451" s="1392" t="n"/>
      <c r="CD451" s="1392" t="n"/>
      <c r="CE451" s="1392" t="n"/>
      <c r="CF451" s="1392" t="n"/>
      <c r="CG451" s="1392" t="n"/>
      <c r="CH451" s="1392" t="n"/>
      <c r="CI451" s="1392" t="n"/>
      <c r="CJ451" s="1392" t="n"/>
      <c r="CK451" s="1392" t="n"/>
      <c r="CL451" s="1392" t="n"/>
    </row>
    <row r="452">
      <c r="A452" s="5" t="inlineStr">
        <is>
          <t>.</t>
        </is>
      </c>
      <c r="B452" s="5" t="inlineStr">
        <is>
          <t>.</t>
        </is>
      </c>
      <c r="C452" s="1378">
        <f>IF(raw[[#This Row],[city]]="","-",IF(raw[[#This Row],[city]]="TODAY","-",C451+1))</f>
        <v/>
      </c>
      <c r="D452" s="1393" t="inlineStr">
        <is>
          <t>SSA</t>
        </is>
      </c>
      <c r="E452" s="1394" t="n">
        <v>35796</v>
      </c>
      <c r="F452" s="1394" t="n">
        <v>35811</v>
      </c>
      <c r="G452" s="1393" t="n">
        <v>1</v>
      </c>
      <c r="H452" s="1393">
        <f>H451</f>
        <v/>
      </c>
      <c r="I452" s="1393" t="inlineStr">
        <is>
          <t>Ondina</t>
        </is>
      </c>
      <c r="J452" s="1393" t="inlineStr">
        <is>
          <t>REV</t>
        </is>
      </c>
      <c r="K452" s="1395">
        <f>IF(raw[[#This Row],[city]]&lt;&gt;"",_xlfn.XLOOKUP($D452,ccc[city],ccc[prov],"-"),"-")</f>
        <v/>
      </c>
      <c r="L452" s="1395">
        <f>IF(raw[[#This Row],[city]]&lt;&gt;"",_xlfn.XLOOKUP($D452,ccc[city],ccc[ctry],"-"),"-")</f>
        <v/>
      </c>
      <c r="M452" s="1395">
        <f>IF(raw[[#This Row],[city]]&lt;&gt;"",_xlfn.XLOOKUP($D452,ccc[city],ccc[cont],"-"),"-")</f>
        <v/>
      </c>
      <c r="N452" s="1396">
        <f>IF(raw[[#This Row],[city]]="","-",IF(raw[[#This Row],[cont]]="B",raw[[#This Row],[cont]],"W"))</f>
        <v/>
      </c>
      <c r="O452" s="1397">
        <f>IF(raw[[#This Row],[out]]=0,0,IF(raw[[#This Row],[out]]=raw[[#This Row],[in]],0.01,raw[[#This Row],[out]]-raw[[#This Row],[in]]))</f>
        <v/>
      </c>
      <c r="P452" s="1397">
        <f>IF(raw[[#This Row],[in]]=0,0,MONTH(raw[[#This Row],[in]]))</f>
        <v/>
      </c>
      <c r="Q452" s="1397">
        <f>IF(raw[[#This Row],[in]]=0,0,YEAR(raw[[#This Row],[in]]))</f>
        <v/>
      </c>
      <c r="R452" s="1397">
        <f>INT(raw[[#This Row],[yr]]/10)*10</f>
        <v/>
      </c>
      <c r="S452" s="1395">
        <f>IF(raw[[#This Row],[city]]="","-",IF(raw[[#This Row],[city]]&lt;&gt;_xlfn.XLOOKUP(raw[[#This Row],[home]],homes[home],homes[city],"-"),1,0))</f>
        <v/>
      </c>
      <c r="T452" s="1398" t="inlineStr">
        <is>
          <t>.</t>
        </is>
      </c>
      <c r="U452" s="1399">
        <f>IF(raw[[#This Row],[wb]]="w",raw[[#This Row],[stay]]+U451,U451)</f>
        <v/>
      </c>
      <c r="V452" s="1400">
        <f>IF(raw[[#This Row],[out]]=0,V451,(raw[[#This Row],[out]]-E$5))</f>
        <v/>
      </c>
      <c r="W452" s="1401">
        <f>U452/V452</f>
        <v/>
      </c>
      <c r="X452" s="1378" t="inlineStr">
        <is>
          <t>.</t>
        </is>
      </c>
      <c r="Y452" s="1402">
        <f/>
        <v/>
      </c>
      <c r="Z452" s="1403">
        <f/>
        <v/>
      </c>
      <c r="AA452" s="1403">
        <f/>
        <v/>
      </c>
      <c r="AB452" s="1400">
        <f t="array" ref="AB452">_xlfn.LET(_xlpm.S,_xlfn.ANCHORARRAY($Y$4),_xlpm.r,ROWS(stayCity[[#Headers],[city]]:stayCity[[#This Row],[city]])-1,IF(_xlpm.r&lt;=ROWS(_xlpm.S),INDEX(_xlpm.S,_xlpm.r,1),""))</f>
        <v/>
      </c>
      <c r="AC452" s="1405">
        <f t="array" ref="AC452">_xlfn.LET(_xlpm.S,_xlfn.ANCHORARRAY($Y$4),_xlpm.r,ROWS(stayCity[[#Headers],[city]]:stayCity[[#This Row],[city]])-1,IF(_xlpm.r&lt;=ROWS(_xlpm.S),INDEX(_xlpm.S,_xlpm.r,2),""))</f>
        <v/>
      </c>
      <c r="AD452" s="1405">
        <f t="array" ref="AD452">_xlfn.LET(_xlpm.S,_xlfn.ANCHORARRAY($Y$4),_xlpm.r,ROWS(stayCity[[#Headers],[city]]:stayCity[[#This Row],[city]])-1,IF(_xlpm.r&lt;=ROWS(_xlpm.S),INDEX(_xlpm.S,_xlpm.r,3),""))</f>
        <v/>
      </c>
      <c r="AE452" s="1400">
        <f>IF(stayCity[[#This Row],[out]]&lt;&gt;"",stayCity[[#This Row],[out]]-stayCity[[#This Row],[in]],"-")</f>
        <v/>
      </c>
      <c r="AF452" s="1406">
        <f>IF(Y452="","-",YEAR(stayCity[[#This Row],[in]]))</f>
        <v/>
      </c>
      <c r="AG452" s="1392" t="n"/>
      <c r="AH452" s="1392" t="n"/>
      <c r="AI452" s="1392" t="n"/>
      <c r="AJ452" s="1392" t="n"/>
      <c r="AK452" s="1392" t="n"/>
      <c r="AL452" s="1392" t="n"/>
      <c r="AM452" s="1392" t="n"/>
      <c r="AN452" s="1392" t="n"/>
      <c r="AO452" s="1392" t="n"/>
      <c r="AP452" s="1392" t="n"/>
      <c r="AQ452" s="1392" t="n"/>
      <c r="AR452" s="1392" t="n"/>
      <c r="AS452" s="1422" t="n"/>
      <c r="AT452" s="1392" t="n"/>
      <c r="AU452" s="1392" t="n"/>
      <c r="AV452" s="1392" t="n"/>
      <c r="AW452" s="1392" t="n"/>
      <c r="AX452" s="1392" t="n"/>
      <c r="AY452" s="1392" t="n"/>
      <c r="AZ452" s="1392" t="n"/>
      <c r="BA452" s="1392" t="n"/>
      <c r="BB452" s="1422" t="n"/>
      <c r="BC452" s="1392" t="n"/>
      <c r="BD452" s="1392" t="n"/>
      <c r="BE452" s="1392" t="n"/>
      <c r="BF452" s="1392" t="n"/>
      <c r="BG452" s="1392" t="n"/>
      <c r="BH452" s="1392" t="n"/>
      <c r="BI452" s="1392" t="n"/>
      <c r="BJ452" s="1392" t="n"/>
      <c r="BK452" s="1392" t="n"/>
      <c r="BL452" s="1392" t="n"/>
      <c r="BM452" s="1392" t="n"/>
      <c r="BN452" s="1392" t="n"/>
      <c r="BO452" s="1392" t="n"/>
      <c r="BP452" s="1392" t="n"/>
      <c r="BQ452" s="1392" t="n"/>
      <c r="BR452" s="1392" t="n"/>
      <c r="BS452" s="1392" t="n"/>
      <c r="BT452" s="1392" t="n"/>
      <c r="BU452" s="1416" t="n"/>
      <c r="BV452" s="1392" t="n"/>
      <c r="BW452" s="1392" t="n"/>
      <c r="BX452" s="1392" t="n"/>
      <c r="BY452" s="1392" t="n"/>
      <c r="BZ452" s="1416" t="n"/>
      <c r="CA452" s="1392" t="n"/>
      <c r="CB452" s="1392" t="n"/>
      <c r="CC452" s="1392" t="n"/>
      <c r="CD452" s="1392" t="n"/>
      <c r="CE452" s="1392" t="n"/>
      <c r="CF452" s="1392" t="n"/>
      <c r="CG452" s="1392" t="n"/>
      <c r="CH452" s="1392" t="n"/>
      <c r="CI452" s="1392" t="n"/>
      <c r="CJ452" s="1392" t="n"/>
      <c r="CK452" s="1392" t="n"/>
      <c r="CL452" s="1392" t="n"/>
    </row>
    <row r="453">
      <c r="A453" s="5" t="inlineStr">
        <is>
          <t>.</t>
        </is>
      </c>
      <c r="B453" s="5" t="inlineStr">
        <is>
          <t>.</t>
        </is>
      </c>
      <c r="C453" s="1378">
        <f>IF(raw[[#This Row],[city]]="","-",IF(raw[[#This Row],[city]]="TODAY","-",C452+1))</f>
        <v/>
      </c>
      <c r="D453" s="1393" t="inlineStr">
        <is>
          <t>AIR</t>
        </is>
      </c>
      <c r="E453" s="1394" t="n">
        <v>35811</v>
      </c>
      <c r="F453" s="1394" t="n">
        <v>35812</v>
      </c>
      <c r="G453" s="1393" t="inlineStr">
        <is>
          <t>x</t>
        </is>
      </c>
      <c r="H453" s="1393">
        <f>H452</f>
        <v/>
      </c>
      <c r="I453" s="1393" t="inlineStr">
        <is>
          <t>-</t>
        </is>
      </c>
      <c r="J453" s="1393" t="inlineStr">
        <is>
          <t>-</t>
        </is>
      </c>
      <c r="K453" s="1395">
        <f>IF(raw[[#This Row],[city]]&lt;&gt;"",_xlfn.XLOOKUP($D453,ccc[city],ccc[prov],"-"),"-")</f>
        <v/>
      </c>
      <c r="L453" s="1395">
        <f>IF(raw[[#This Row],[city]]&lt;&gt;"",_xlfn.XLOOKUP($D453,ccc[city],ccc[ctry],"-"),"-")</f>
        <v/>
      </c>
      <c r="M453" s="1395">
        <f>IF(raw[[#This Row],[city]]&lt;&gt;"",_xlfn.XLOOKUP($D453,ccc[city],ccc[cont],"-"),"-")</f>
        <v/>
      </c>
      <c r="N453" s="1396">
        <f>IF(raw[[#This Row],[city]]="","-",IF(raw[[#This Row],[cont]]="B",raw[[#This Row],[cont]],"W"))</f>
        <v/>
      </c>
      <c r="O453" s="1397">
        <f>IF(raw[[#This Row],[out]]=0,0,IF(raw[[#This Row],[out]]=raw[[#This Row],[in]],0.01,raw[[#This Row],[out]]-raw[[#This Row],[in]]))</f>
        <v/>
      </c>
      <c r="P453" s="1397">
        <f>IF(raw[[#This Row],[in]]=0,0,MONTH(raw[[#This Row],[in]]))</f>
        <v/>
      </c>
      <c r="Q453" s="1397">
        <f>IF(raw[[#This Row],[in]]=0,0,YEAR(raw[[#This Row],[in]]))</f>
        <v/>
      </c>
      <c r="R453" s="1397">
        <f>INT(raw[[#This Row],[yr]]/10)*10</f>
        <v/>
      </c>
      <c r="S453" s="1395">
        <f>IF(raw[[#This Row],[city]]="","-",IF(raw[[#This Row],[city]]&lt;&gt;_xlfn.XLOOKUP(raw[[#This Row],[home]],homes[home],homes[city],"-"),1,0))</f>
        <v/>
      </c>
      <c r="T453" s="1398" t="inlineStr">
        <is>
          <t>.</t>
        </is>
      </c>
      <c r="U453" s="1399">
        <f>IF(raw[[#This Row],[wb]]="w",raw[[#This Row],[stay]]+U452,U452)</f>
        <v/>
      </c>
      <c r="V453" s="1400">
        <f>IF(raw[[#This Row],[out]]=0,V452,(raw[[#This Row],[out]]-E$5))</f>
        <v/>
      </c>
      <c r="W453" s="1401">
        <f>U453/V453</f>
        <v/>
      </c>
      <c r="X453" s="1378" t="inlineStr">
        <is>
          <t>.</t>
        </is>
      </c>
      <c r="Y453" s="1402">
        <f/>
        <v/>
      </c>
      <c r="Z453" s="1403">
        <f/>
        <v/>
      </c>
      <c r="AA453" s="1403">
        <f/>
        <v/>
      </c>
      <c r="AB453" s="1400">
        <f t="array" ref="AB453">_xlfn.LET(_xlpm.S,_xlfn.ANCHORARRAY($Y$4),_xlpm.r,ROWS(stayCity[[#Headers],[city]]:stayCity[[#This Row],[city]])-1,IF(_xlpm.r&lt;=ROWS(_xlpm.S),INDEX(_xlpm.S,_xlpm.r,1),""))</f>
        <v/>
      </c>
      <c r="AC453" s="1405">
        <f t="array" ref="AC453">_xlfn.LET(_xlpm.S,_xlfn.ANCHORARRAY($Y$4),_xlpm.r,ROWS(stayCity[[#Headers],[city]]:stayCity[[#This Row],[city]])-1,IF(_xlpm.r&lt;=ROWS(_xlpm.S),INDEX(_xlpm.S,_xlpm.r,2),""))</f>
        <v/>
      </c>
      <c r="AD453" s="1405">
        <f t="array" ref="AD453">_xlfn.LET(_xlpm.S,_xlfn.ANCHORARRAY($Y$4),_xlpm.r,ROWS(stayCity[[#Headers],[city]]:stayCity[[#This Row],[city]])-1,IF(_xlpm.r&lt;=ROWS(_xlpm.S),INDEX(_xlpm.S,_xlpm.r,3),""))</f>
        <v/>
      </c>
      <c r="AE453" s="1400">
        <f>IF(stayCity[[#This Row],[out]]&lt;&gt;"",stayCity[[#This Row],[out]]-stayCity[[#This Row],[in]],"-")</f>
        <v/>
      </c>
      <c r="AF453" s="1406">
        <f>IF(Y453="","-",YEAR(stayCity[[#This Row],[in]]))</f>
        <v/>
      </c>
      <c r="AG453" s="1392" t="n"/>
      <c r="AH453" s="1392" t="n"/>
      <c r="AI453" s="1392" t="n"/>
      <c r="AJ453" s="1392" t="n"/>
      <c r="AK453" s="1392" t="n"/>
      <c r="AL453" s="1392" t="n"/>
      <c r="AM453" s="1392" t="n"/>
      <c r="AN453" s="1392" t="n"/>
      <c r="AO453" s="1392" t="n"/>
      <c r="AP453" s="1392" t="n"/>
      <c r="AQ453" s="1392" t="n"/>
      <c r="AR453" s="1392" t="n"/>
      <c r="AS453" s="1422" t="n"/>
      <c r="AT453" s="1392" t="n"/>
      <c r="AU453" s="1392" t="n"/>
      <c r="AV453" s="1392" t="n"/>
      <c r="AW453" s="1392" t="n"/>
      <c r="AX453" s="1392" t="n"/>
      <c r="AY453" s="1392" t="n"/>
      <c r="AZ453" s="1392" t="n"/>
      <c r="BA453" s="1392" t="n"/>
      <c r="BB453" s="1422" t="n"/>
      <c r="BC453" s="1392" t="n"/>
      <c r="BD453" s="1392" t="n"/>
      <c r="BE453" s="1392" t="n"/>
      <c r="BF453" s="1392" t="n"/>
      <c r="BG453" s="1392" t="n"/>
      <c r="BH453" s="1392" t="n"/>
      <c r="BI453" s="1392" t="n"/>
      <c r="BJ453" s="1392" t="n"/>
      <c r="BK453" s="1392" t="n"/>
      <c r="BL453" s="1392" t="n"/>
      <c r="BM453" s="1392" t="n"/>
      <c r="BN453" s="1392" t="n"/>
      <c r="BO453" s="1392" t="n"/>
      <c r="BP453" s="1392" t="n"/>
      <c r="BQ453" s="1392" t="n"/>
      <c r="BR453" s="1392" t="n"/>
      <c r="BS453" s="1392" t="n"/>
      <c r="BT453" s="1392" t="n"/>
      <c r="BU453" s="1416" t="n"/>
      <c r="BV453" s="1392" t="n"/>
      <c r="BW453" s="1392" t="n"/>
      <c r="BX453" s="1392" t="n"/>
      <c r="BY453" s="1392" t="n"/>
      <c r="BZ453" s="1416" t="n"/>
      <c r="CA453" s="1392" t="n"/>
      <c r="CB453" s="1392" t="n"/>
      <c r="CC453" s="1392" t="n"/>
      <c r="CD453" s="1392" t="n"/>
      <c r="CE453" s="1392" t="n"/>
      <c r="CF453" s="1392" t="n"/>
      <c r="CG453" s="1392" t="n"/>
      <c r="CH453" s="1392" t="n"/>
      <c r="CI453" s="1392" t="n"/>
      <c r="CJ453" s="1392" t="n"/>
      <c r="CK453" s="1392" t="n"/>
      <c r="CL453" s="1392" t="n"/>
    </row>
    <row r="454">
      <c r="A454" s="5" t="inlineStr">
        <is>
          <t>.</t>
        </is>
      </c>
      <c r="B454" s="5" t="inlineStr">
        <is>
          <t>.</t>
        </is>
      </c>
      <c r="C454" s="1378">
        <f>IF(raw[[#This Row],[city]]="","-",IF(raw[[#This Row],[city]]="TODAY","-",C453+1))</f>
        <v/>
      </c>
      <c r="D454" s="1393" t="inlineStr">
        <is>
          <t>Frankfurt</t>
        </is>
      </c>
      <c r="E454" s="1394" t="n">
        <v>35812</v>
      </c>
      <c r="F454" s="1394" t="n">
        <v>35812</v>
      </c>
      <c r="G454" s="1393" t="n">
        <v>0.01</v>
      </c>
      <c r="H454" s="1393">
        <f>H453</f>
        <v/>
      </c>
      <c r="I454" s="1393" t="inlineStr">
        <is>
          <t>-</t>
        </is>
      </c>
      <c r="J454" s="1393" t="inlineStr">
        <is>
          <t>-</t>
        </is>
      </c>
      <c r="K454" s="1395">
        <f>IF(raw[[#This Row],[city]]&lt;&gt;"",_xlfn.XLOOKUP($D454,ccc[city],ccc[prov],"-"),"-")</f>
        <v/>
      </c>
      <c r="L454" s="1395">
        <f>IF(raw[[#This Row],[city]]&lt;&gt;"",_xlfn.XLOOKUP($D454,ccc[city],ccc[ctry],"-"),"-")</f>
        <v/>
      </c>
      <c r="M454" s="1395">
        <f>IF(raw[[#This Row],[city]]&lt;&gt;"",_xlfn.XLOOKUP($D454,ccc[city],ccc[cont],"-"),"-")</f>
        <v/>
      </c>
      <c r="N454" s="1396">
        <f>IF(raw[[#This Row],[city]]="","-",IF(raw[[#This Row],[cont]]="B",raw[[#This Row],[cont]],"W"))</f>
        <v/>
      </c>
      <c r="O454" s="1397">
        <f>IF(raw[[#This Row],[out]]=0,0,IF(raw[[#This Row],[out]]=raw[[#This Row],[in]],0.01,raw[[#This Row],[out]]-raw[[#This Row],[in]]))</f>
        <v/>
      </c>
      <c r="P454" s="1397">
        <f>IF(raw[[#This Row],[in]]=0,0,MONTH(raw[[#This Row],[in]]))</f>
        <v/>
      </c>
      <c r="Q454" s="1397">
        <f>IF(raw[[#This Row],[in]]=0,0,YEAR(raw[[#This Row],[in]]))</f>
        <v/>
      </c>
      <c r="R454" s="1397">
        <f>INT(raw[[#This Row],[yr]]/10)*10</f>
        <v/>
      </c>
      <c r="S454" s="1395">
        <f>IF(raw[[#This Row],[city]]="","-",IF(raw[[#This Row],[city]]&lt;&gt;_xlfn.XLOOKUP(raw[[#This Row],[home]],homes[home],homes[city],"-"),1,0))</f>
        <v/>
      </c>
      <c r="T454" s="1398" t="inlineStr">
        <is>
          <t>.</t>
        </is>
      </c>
      <c r="U454" s="1399">
        <f>IF(raw[[#This Row],[wb]]="w",raw[[#This Row],[stay]]+U453,U453)</f>
        <v/>
      </c>
      <c r="V454" s="1400">
        <f>IF(raw[[#This Row],[out]]=0,V453,(raw[[#This Row],[out]]-E$5))</f>
        <v/>
      </c>
      <c r="W454" s="1401">
        <f>U454/V454</f>
        <v/>
      </c>
      <c r="X454" s="1378" t="inlineStr">
        <is>
          <t>.</t>
        </is>
      </c>
      <c r="Y454" s="1402">
        <f/>
        <v/>
      </c>
      <c r="Z454" s="1403">
        <f/>
        <v/>
      </c>
      <c r="AA454" s="1403">
        <f/>
        <v/>
      </c>
      <c r="AB454" s="1400">
        <f t="array" ref="AB454">_xlfn.LET(_xlpm.S,_xlfn.ANCHORARRAY($Y$4),_xlpm.r,ROWS(stayCity[[#Headers],[city]]:stayCity[[#This Row],[city]])-1,IF(_xlpm.r&lt;=ROWS(_xlpm.S),INDEX(_xlpm.S,_xlpm.r,1),""))</f>
        <v/>
      </c>
      <c r="AC454" s="1405">
        <f t="array" ref="AC454">_xlfn.LET(_xlpm.S,_xlfn.ANCHORARRAY($Y$4),_xlpm.r,ROWS(stayCity[[#Headers],[city]]:stayCity[[#This Row],[city]])-1,IF(_xlpm.r&lt;=ROWS(_xlpm.S),INDEX(_xlpm.S,_xlpm.r,2),""))</f>
        <v/>
      </c>
      <c r="AD454" s="1405">
        <f t="array" ref="AD454">_xlfn.LET(_xlpm.S,_xlfn.ANCHORARRAY($Y$4),_xlpm.r,ROWS(stayCity[[#Headers],[city]]:stayCity[[#This Row],[city]])-1,IF(_xlpm.r&lt;=ROWS(_xlpm.S),INDEX(_xlpm.S,_xlpm.r,3),""))</f>
        <v/>
      </c>
      <c r="AE454" s="1400">
        <f>IF(stayCity[[#This Row],[out]]&lt;&gt;"",stayCity[[#This Row],[out]]-stayCity[[#This Row],[in]],"-")</f>
        <v/>
      </c>
      <c r="AF454" s="1406">
        <f>IF(Y454="","-",YEAR(stayCity[[#This Row],[in]]))</f>
        <v/>
      </c>
      <c r="AG454" s="1392" t="n"/>
      <c r="AH454" s="1392" t="n"/>
      <c r="AI454" s="1392" t="n"/>
      <c r="AJ454" s="1392" t="n"/>
      <c r="AK454" s="1392" t="n"/>
      <c r="AL454" s="1392" t="n"/>
      <c r="AM454" s="1392" t="n"/>
      <c r="AN454" s="1392" t="n"/>
      <c r="AO454" s="1392" t="n"/>
      <c r="AP454" s="1392" t="n"/>
      <c r="AQ454" s="1392" t="n"/>
      <c r="AR454" s="1392" t="n"/>
      <c r="AS454" s="1422" t="n"/>
      <c r="AT454" s="1392" t="n"/>
      <c r="AU454" s="1392" t="n"/>
      <c r="AV454" s="1392" t="n"/>
      <c r="AW454" s="1392" t="n"/>
      <c r="AX454" s="1392" t="n"/>
      <c r="AY454" s="1392" t="n"/>
      <c r="AZ454" s="1392" t="n"/>
      <c r="BA454" s="1392" t="n"/>
      <c r="BB454" s="1422" t="n"/>
      <c r="BC454" s="1392" t="n"/>
      <c r="BD454" s="1392" t="n"/>
      <c r="BE454" s="1392" t="n"/>
      <c r="BF454" s="1392" t="n"/>
      <c r="BG454" s="1392" t="n"/>
      <c r="BH454" s="1392" t="n"/>
      <c r="BI454" s="1392" t="n"/>
      <c r="BJ454" s="1392" t="n"/>
      <c r="BK454" s="1392" t="n"/>
      <c r="BL454" s="1392" t="n"/>
      <c r="BM454" s="1392" t="n"/>
      <c r="BN454" s="1392" t="n"/>
      <c r="BO454" s="1392" t="n"/>
      <c r="BP454" s="1392" t="n"/>
      <c r="BQ454" s="1392" t="n"/>
      <c r="BR454" s="1392" t="n"/>
      <c r="BS454" s="1392" t="n"/>
      <c r="BT454" s="1392" t="n"/>
      <c r="BU454" s="1416" t="n"/>
      <c r="BV454" s="1392" t="n"/>
      <c r="BW454" s="1392" t="n"/>
      <c r="BX454" s="1392" t="n"/>
      <c r="BY454" s="1392" t="n"/>
      <c r="BZ454" s="1416" t="n"/>
      <c r="CA454" s="1392" t="n"/>
      <c r="CB454" s="1392" t="n"/>
      <c r="CC454" s="1392" t="n"/>
      <c r="CD454" s="1392" t="n"/>
      <c r="CE454" s="1392" t="n"/>
      <c r="CF454" s="1392" t="n"/>
      <c r="CG454" s="1392" t="n"/>
      <c r="CH454" s="1392" t="n"/>
      <c r="CI454" s="1392" t="n"/>
      <c r="CJ454" s="1392" t="n"/>
      <c r="CK454" s="1392" t="n"/>
      <c r="CL454" s="1392" t="n"/>
    </row>
    <row r="455">
      <c r="A455" s="5" t="inlineStr">
        <is>
          <t>.</t>
        </is>
      </c>
      <c r="B455" s="5" t="inlineStr">
        <is>
          <t>.</t>
        </is>
      </c>
      <c r="C455" s="1378">
        <f>IF(raw[[#This Row],[city]]="","-",IF(raw[[#This Row],[city]]="TODAY","-",C454+1))</f>
        <v/>
      </c>
      <c r="D455" s="1393" t="inlineStr">
        <is>
          <t>Paris</t>
        </is>
      </c>
      <c r="E455" s="1394" t="n">
        <v>35812</v>
      </c>
      <c r="F455" s="1394" t="n">
        <v>35827</v>
      </c>
      <c r="G455" s="1393" t="inlineStr">
        <is>
          <t>-</t>
        </is>
      </c>
      <c r="H455" s="1393">
        <f>H454</f>
        <v/>
      </c>
      <c r="I455" s="1393" t="inlineStr">
        <is>
          <t>-</t>
        </is>
      </c>
      <c r="J455" s="1393" t="inlineStr">
        <is>
          <t>-</t>
        </is>
      </c>
      <c r="K455" s="1395">
        <f>IF(raw[[#This Row],[city]]&lt;&gt;"",_xlfn.XLOOKUP($D455,ccc[city],ccc[prov],"-"),"-")</f>
        <v/>
      </c>
      <c r="L455" s="1395">
        <f>IF(raw[[#This Row],[city]]&lt;&gt;"",_xlfn.XLOOKUP($D455,ccc[city],ccc[ctry],"-"),"-")</f>
        <v/>
      </c>
      <c r="M455" s="1395">
        <f>IF(raw[[#This Row],[city]]&lt;&gt;"",_xlfn.XLOOKUP($D455,ccc[city],ccc[cont],"-"),"-")</f>
        <v/>
      </c>
      <c r="N455" s="1396">
        <f>IF(raw[[#This Row],[city]]="","-",IF(raw[[#This Row],[cont]]="B",raw[[#This Row],[cont]],"W"))</f>
        <v/>
      </c>
      <c r="O455" s="1397">
        <f>IF(raw[[#This Row],[out]]=0,0,IF(raw[[#This Row],[out]]=raw[[#This Row],[in]],0.01,raw[[#This Row],[out]]-raw[[#This Row],[in]]))</f>
        <v/>
      </c>
      <c r="P455" s="1397">
        <f>IF(raw[[#This Row],[in]]=0,0,MONTH(raw[[#This Row],[in]]))</f>
        <v/>
      </c>
      <c r="Q455" s="1397">
        <f>IF(raw[[#This Row],[in]]=0,0,YEAR(raw[[#This Row],[in]]))</f>
        <v/>
      </c>
      <c r="R455" s="1397">
        <f>INT(raw[[#This Row],[yr]]/10)*10</f>
        <v/>
      </c>
      <c r="S455" s="1395">
        <f>IF(raw[[#This Row],[city]]="","-",IF(raw[[#This Row],[city]]&lt;&gt;_xlfn.XLOOKUP(raw[[#This Row],[home]],homes[home],homes[city],"-"),1,0))</f>
        <v/>
      </c>
      <c r="T455" s="1398" t="inlineStr">
        <is>
          <t>.</t>
        </is>
      </c>
      <c r="U455" s="1399">
        <f>IF(raw[[#This Row],[wb]]="w",raw[[#This Row],[stay]]+U454,U454)</f>
        <v/>
      </c>
      <c r="V455" s="1400">
        <f>IF(raw[[#This Row],[out]]=0,V454,(raw[[#This Row],[out]]-E$5))</f>
        <v/>
      </c>
      <c r="W455" s="1401">
        <f>U455/V455</f>
        <v/>
      </c>
      <c r="X455" s="1378" t="inlineStr">
        <is>
          <t>.</t>
        </is>
      </c>
      <c r="Y455" s="1402">
        <f/>
        <v/>
      </c>
      <c r="Z455" s="1403">
        <f/>
        <v/>
      </c>
      <c r="AA455" s="1403">
        <f/>
        <v/>
      </c>
      <c r="AB455" s="1400">
        <f t="array" ref="AB455">_xlfn.LET(_xlpm.S,_xlfn.ANCHORARRAY($Y$4),_xlpm.r,ROWS(stayCity[[#Headers],[city]]:stayCity[[#This Row],[city]])-1,IF(_xlpm.r&lt;=ROWS(_xlpm.S),INDEX(_xlpm.S,_xlpm.r,1),""))</f>
        <v/>
      </c>
      <c r="AC455" s="1405">
        <f t="array" ref="AC455">_xlfn.LET(_xlpm.S,_xlfn.ANCHORARRAY($Y$4),_xlpm.r,ROWS(stayCity[[#Headers],[city]]:stayCity[[#This Row],[city]])-1,IF(_xlpm.r&lt;=ROWS(_xlpm.S),INDEX(_xlpm.S,_xlpm.r,2),""))</f>
        <v/>
      </c>
      <c r="AD455" s="1405">
        <f t="array" ref="AD455">_xlfn.LET(_xlpm.S,_xlfn.ANCHORARRAY($Y$4),_xlpm.r,ROWS(stayCity[[#Headers],[city]]:stayCity[[#This Row],[city]])-1,IF(_xlpm.r&lt;=ROWS(_xlpm.S),INDEX(_xlpm.S,_xlpm.r,3),""))</f>
        <v/>
      </c>
      <c r="AE455" s="1400">
        <f>IF(stayCity[[#This Row],[out]]&lt;&gt;"",stayCity[[#This Row],[out]]-stayCity[[#This Row],[in]],"-")</f>
        <v/>
      </c>
      <c r="AF455" s="1406">
        <f>IF(Y455="","-",YEAR(stayCity[[#This Row],[in]]))</f>
        <v/>
      </c>
      <c r="AG455" s="1392" t="n"/>
      <c r="AH455" s="1392" t="n"/>
      <c r="AI455" s="1392" t="n"/>
      <c r="AJ455" s="1392" t="n"/>
      <c r="AK455" s="1392" t="n"/>
      <c r="AL455" s="1392" t="n"/>
      <c r="AM455" s="1392" t="n"/>
      <c r="AN455" s="1392" t="n"/>
      <c r="AO455" s="1392" t="n"/>
      <c r="AP455" s="1392" t="n"/>
      <c r="AQ455" s="1392" t="n"/>
      <c r="AR455" s="1392" t="n"/>
      <c r="AS455" s="1422" t="n"/>
      <c r="AT455" s="1392" t="n"/>
      <c r="AU455" s="1392" t="n"/>
      <c r="AV455" s="1392" t="n"/>
      <c r="AW455" s="1392" t="n"/>
      <c r="AX455" s="1392" t="n"/>
      <c r="AY455" s="1392" t="n"/>
      <c r="AZ455" s="1392" t="n"/>
      <c r="BA455" s="1392" t="n"/>
      <c r="BB455" s="1422" t="n"/>
      <c r="BC455" s="1392" t="n"/>
      <c r="BD455" s="1392" t="n"/>
      <c r="BE455" s="1392" t="n"/>
      <c r="BF455" s="1392" t="n"/>
      <c r="BG455" s="1392" t="n"/>
      <c r="BH455" s="1392" t="n"/>
      <c r="BI455" s="1392" t="n"/>
      <c r="BJ455" s="1392" t="n"/>
      <c r="BK455" s="1392" t="n"/>
      <c r="BL455" s="1392" t="n"/>
      <c r="BM455" s="1392" t="n"/>
      <c r="BN455" s="1392" t="n"/>
      <c r="BO455" s="1392" t="n"/>
      <c r="BP455" s="1392" t="n"/>
      <c r="BQ455" s="1392" t="n"/>
      <c r="BR455" s="1392" t="n"/>
      <c r="BS455" s="1392" t="n"/>
      <c r="BT455" s="1392" t="n"/>
      <c r="BU455" s="1416" t="n"/>
      <c r="BV455" s="1392" t="n"/>
      <c r="BW455" s="1392" t="n"/>
      <c r="BX455" s="1392" t="n"/>
      <c r="BY455" s="1392" t="n"/>
      <c r="BZ455" s="1416" t="n"/>
      <c r="CA455" s="1392" t="n"/>
      <c r="CB455" s="1392" t="n"/>
      <c r="CC455" s="1392" t="n"/>
      <c r="CD455" s="1392" t="n"/>
      <c r="CE455" s="1392" t="n"/>
      <c r="CF455" s="1392" t="n"/>
      <c r="CG455" s="1392" t="n"/>
      <c r="CH455" s="1392" t="n"/>
      <c r="CI455" s="1392" t="n"/>
      <c r="CJ455" s="1392" t="n"/>
      <c r="CK455" s="1392" t="n"/>
      <c r="CL455" s="1392" t="n"/>
    </row>
    <row r="456">
      <c r="A456" s="5" t="inlineStr">
        <is>
          <t>.</t>
        </is>
      </c>
      <c r="B456" s="5" t="inlineStr">
        <is>
          <t>.</t>
        </is>
      </c>
      <c r="C456" s="1378">
        <f>IF(raw[[#This Row],[city]]="","-",IF(raw[[#This Row],[city]]="TODAY","-",C455+1))</f>
        <v/>
      </c>
      <c r="D456" s="1393" t="inlineStr">
        <is>
          <t>Paris</t>
        </is>
      </c>
      <c r="E456" s="1394" t="n">
        <v>35827</v>
      </c>
      <c r="F456" s="1394" t="n">
        <v>35830</v>
      </c>
      <c r="G456" s="1393" t="n">
        <v>1</v>
      </c>
      <c r="H456" s="1393">
        <f>H455</f>
        <v/>
      </c>
      <c r="I456" s="1393" t="inlineStr">
        <is>
          <t>-</t>
        </is>
      </c>
      <c r="J456" s="1393" t="inlineStr">
        <is>
          <t>-</t>
        </is>
      </c>
      <c r="K456" s="1395">
        <f>IF(raw[[#This Row],[city]]&lt;&gt;"",_xlfn.XLOOKUP($D456,ccc[city],ccc[prov],"-"),"-")</f>
        <v/>
      </c>
      <c r="L456" s="1395">
        <f>IF(raw[[#This Row],[city]]&lt;&gt;"",_xlfn.XLOOKUP($D456,ccc[city],ccc[ctry],"-"),"-")</f>
        <v/>
      </c>
      <c r="M456" s="1395">
        <f>IF(raw[[#This Row],[city]]&lt;&gt;"",_xlfn.XLOOKUP($D456,ccc[city],ccc[cont],"-"),"-")</f>
        <v/>
      </c>
      <c r="N456" s="1396">
        <f>IF(raw[[#This Row],[city]]="","-",IF(raw[[#This Row],[cont]]="B",raw[[#This Row],[cont]],"W"))</f>
        <v/>
      </c>
      <c r="O456" s="1397">
        <f>IF(raw[[#This Row],[out]]=0,0,IF(raw[[#This Row],[out]]=raw[[#This Row],[in]],0.01,raw[[#This Row],[out]]-raw[[#This Row],[in]]))</f>
        <v/>
      </c>
      <c r="P456" s="1397">
        <f>IF(raw[[#This Row],[in]]=0,0,MONTH(raw[[#This Row],[in]]))</f>
        <v/>
      </c>
      <c r="Q456" s="1397">
        <f>IF(raw[[#This Row],[in]]=0,0,YEAR(raw[[#This Row],[in]]))</f>
        <v/>
      </c>
      <c r="R456" s="1397">
        <f>INT(raw[[#This Row],[yr]]/10)*10</f>
        <v/>
      </c>
      <c r="S456" s="1395">
        <f>IF(raw[[#This Row],[city]]="","-",IF(raw[[#This Row],[city]]&lt;&gt;_xlfn.XLOOKUP(raw[[#This Row],[home]],homes[home],homes[city],"-"),1,0))</f>
        <v/>
      </c>
      <c r="T456" s="1398" t="inlineStr">
        <is>
          <t>.</t>
        </is>
      </c>
      <c r="U456" s="1399">
        <f>IF(raw[[#This Row],[wb]]="w",raw[[#This Row],[stay]]+U455,U455)</f>
        <v/>
      </c>
      <c r="V456" s="1400">
        <f>IF(raw[[#This Row],[out]]=0,V455,(raw[[#This Row],[out]]-E$5))</f>
        <v/>
      </c>
      <c r="W456" s="1401">
        <f>U456/V456</f>
        <v/>
      </c>
      <c r="X456" s="1378" t="inlineStr">
        <is>
          <t>.</t>
        </is>
      </c>
      <c r="Y456" s="1402">
        <f/>
        <v/>
      </c>
      <c r="Z456" s="1403">
        <f/>
        <v/>
      </c>
      <c r="AA456" s="1403">
        <f/>
        <v/>
      </c>
      <c r="AB456" s="1400">
        <f t="array" ref="AB456">_xlfn.LET(_xlpm.S,_xlfn.ANCHORARRAY($Y$4),_xlpm.r,ROWS(stayCity[[#Headers],[city]]:stayCity[[#This Row],[city]])-1,IF(_xlpm.r&lt;=ROWS(_xlpm.S),INDEX(_xlpm.S,_xlpm.r,1),""))</f>
        <v/>
      </c>
      <c r="AC456" s="1405">
        <f t="array" ref="AC456">_xlfn.LET(_xlpm.S,_xlfn.ANCHORARRAY($Y$4),_xlpm.r,ROWS(stayCity[[#Headers],[city]]:stayCity[[#This Row],[city]])-1,IF(_xlpm.r&lt;=ROWS(_xlpm.S),INDEX(_xlpm.S,_xlpm.r,2),""))</f>
        <v/>
      </c>
      <c r="AD456" s="1405">
        <f t="array" ref="AD456">_xlfn.LET(_xlpm.S,_xlfn.ANCHORARRAY($Y$4),_xlpm.r,ROWS(stayCity[[#Headers],[city]]:stayCity[[#This Row],[city]])-1,IF(_xlpm.r&lt;=ROWS(_xlpm.S),INDEX(_xlpm.S,_xlpm.r,3),""))</f>
        <v/>
      </c>
      <c r="AE456" s="1400">
        <f>IF(stayCity[[#This Row],[out]]&lt;&gt;"",stayCity[[#This Row],[out]]-stayCity[[#This Row],[in]],"-")</f>
        <v/>
      </c>
      <c r="AF456" s="1406">
        <f>IF(Y456="","-",YEAR(stayCity[[#This Row],[in]]))</f>
        <v/>
      </c>
      <c r="AG456" s="1392" t="n"/>
      <c r="AH456" s="1392" t="n"/>
      <c r="AI456" s="1392" t="n"/>
      <c r="AJ456" s="1392" t="n"/>
      <c r="AK456" s="1392" t="n"/>
      <c r="AL456" s="1392" t="n"/>
      <c r="AM456" s="1392" t="n"/>
      <c r="AN456" s="1392" t="n"/>
      <c r="AO456" s="1392" t="n"/>
      <c r="AP456" s="1392" t="n"/>
      <c r="AQ456" s="1392" t="n"/>
      <c r="AR456" s="1392" t="n"/>
      <c r="AS456" s="1422" t="n"/>
      <c r="AT456" s="1392" t="n"/>
      <c r="AU456" s="1392" t="n"/>
      <c r="AV456" s="1392" t="n"/>
      <c r="AW456" s="1392" t="n"/>
      <c r="AX456" s="1392" t="n"/>
      <c r="AY456" s="1392" t="n"/>
      <c r="AZ456" s="1392" t="n"/>
      <c r="BA456" s="1392" t="n"/>
      <c r="BB456" s="1422" t="n"/>
      <c r="BC456" s="1392" t="n"/>
      <c r="BD456" s="1392" t="n"/>
      <c r="BE456" s="1392" t="n"/>
      <c r="BF456" s="1392" t="n"/>
      <c r="BG456" s="1392" t="n"/>
      <c r="BH456" s="1392" t="n"/>
      <c r="BI456" s="1392" t="n"/>
      <c r="BJ456" s="1392" t="n"/>
      <c r="BK456" s="1392" t="n"/>
      <c r="BL456" s="1392" t="n"/>
      <c r="BM456" s="1392" t="n"/>
      <c r="BN456" s="1392" t="n"/>
      <c r="BO456" s="1392" t="n"/>
      <c r="BP456" s="1392" t="n"/>
      <c r="BQ456" s="1392" t="n"/>
      <c r="BR456" s="1392" t="n"/>
      <c r="BS456" s="1392" t="n"/>
      <c r="BT456" s="1392" t="n"/>
      <c r="BU456" s="1416" t="n"/>
      <c r="BV456" s="1392" t="n"/>
      <c r="BW456" s="1392" t="n"/>
      <c r="BX456" s="1392" t="n"/>
      <c r="BY456" s="1392" t="n"/>
      <c r="BZ456" s="1416" t="n"/>
      <c r="CA456" s="1392" t="n"/>
      <c r="CB456" s="1392" t="n"/>
      <c r="CC456" s="1392" t="n"/>
      <c r="CD456" s="1392" t="n"/>
      <c r="CE456" s="1392" t="n"/>
      <c r="CF456" s="1392" t="n"/>
      <c r="CG456" s="1392" t="n"/>
      <c r="CH456" s="1392" t="n"/>
      <c r="CI456" s="1392" t="n"/>
      <c r="CJ456" s="1392" t="n"/>
      <c r="CK456" s="1392" t="n"/>
      <c r="CL456" s="1392" t="n"/>
    </row>
    <row r="457">
      <c r="A457" s="5" t="inlineStr">
        <is>
          <t>.</t>
        </is>
      </c>
      <c r="B457" s="5" t="inlineStr">
        <is>
          <t>.</t>
        </is>
      </c>
      <c r="C457" s="1378">
        <f>IF(raw[[#This Row],[city]]="","-",IF(raw[[#This Row],[city]]="TODAY","-",C456+1))</f>
        <v/>
      </c>
      <c r="D457" s="1393" t="inlineStr">
        <is>
          <t>Bruxelas</t>
        </is>
      </c>
      <c r="E457" s="1394" t="n">
        <v>35830</v>
      </c>
      <c r="F457" s="1394" t="n">
        <v>35830</v>
      </c>
      <c r="G457" s="1393" t="n">
        <v>0.01</v>
      </c>
      <c r="H457" s="1393">
        <f>H456</f>
        <v/>
      </c>
      <c r="I457" s="1393" t="inlineStr">
        <is>
          <t>-</t>
        </is>
      </c>
      <c r="J457" s="1393" t="inlineStr">
        <is>
          <t>-</t>
        </is>
      </c>
      <c r="K457" s="1395">
        <f>IF(raw[[#This Row],[city]]&lt;&gt;"",_xlfn.XLOOKUP($D457,ccc[city],ccc[prov],"-"),"-")</f>
        <v/>
      </c>
      <c r="L457" s="1395">
        <f>IF(raw[[#This Row],[city]]&lt;&gt;"",_xlfn.XLOOKUP($D457,ccc[city],ccc[ctry],"-"),"-")</f>
        <v/>
      </c>
      <c r="M457" s="1395">
        <f>IF(raw[[#This Row],[city]]&lt;&gt;"",_xlfn.XLOOKUP($D457,ccc[city],ccc[cont],"-"),"-")</f>
        <v/>
      </c>
      <c r="N457" s="1396">
        <f>IF(raw[[#This Row],[city]]="","-",IF(raw[[#This Row],[cont]]="B",raw[[#This Row],[cont]],"W"))</f>
        <v/>
      </c>
      <c r="O457" s="1397">
        <f>IF(raw[[#This Row],[out]]=0,0,IF(raw[[#This Row],[out]]=raw[[#This Row],[in]],0.01,raw[[#This Row],[out]]-raw[[#This Row],[in]]))</f>
        <v/>
      </c>
      <c r="P457" s="1397">
        <f>IF(raw[[#This Row],[in]]=0,0,MONTH(raw[[#This Row],[in]]))</f>
        <v/>
      </c>
      <c r="Q457" s="1397">
        <f>IF(raw[[#This Row],[in]]=0,0,YEAR(raw[[#This Row],[in]]))</f>
        <v/>
      </c>
      <c r="R457" s="1397">
        <f>INT(raw[[#This Row],[yr]]/10)*10</f>
        <v/>
      </c>
      <c r="S457" s="1395">
        <f>IF(raw[[#This Row],[city]]="","-",IF(raw[[#This Row],[city]]&lt;&gt;_xlfn.XLOOKUP(raw[[#This Row],[home]],homes[home],homes[city],"-"),1,0))</f>
        <v/>
      </c>
      <c r="T457" s="1398" t="inlineStr">
        <is>
          <t>.</t>
        </is>
      </c>
      <c r="U457" s="1399">
        <f>IF(raw[[#This Row],[wb]]="w",raw[[#This Row],[stay]]+U456,U456)</f>
        <v/>
      </c>
      <c r="V457" s="1400">
        <f>IF(raw[[#This Row],[out]]=0,V456,(raw[[#This Row],[out]]-E$5))</f>
        <v/>
      </c>
      <c r="W457" s="1401">
        <f>U457/V457</f>
        <v/>
      </c>
      <c r="X457" s="1378" t="inlineStr">
        <is>
          <t>.</t>
        </is>
      </c>
      <c r="Y457" s="1402">
        <f/>
        <v/>
      </c>
      <c r="Z457" s="1403">
        <f/>
        <v/>
      </c>
      <c r="AA457" s="1403">
        <f/>
        <v/>
      </c>
      <c r="AB457" s="1400">
        <f t="array" ref="AB457">_xlfn.LET(_xlpm.S,_xlfn.ANCHORARRAY($Y$4),_xlpm.r,ROWS(stayCity[[#Headers],[city]]:stayCity[[#This Row],[city]])-1,IF(_xlpm.r&lt;=ROWS(_xlpm.S),INDEX(_xlpm.S,_xlpm.r,1),""))</f>
        <v/>
      </c>
      <c r="AC457" s="1405">
        <f t="array" ref="AC457">_xlfn.LET(_xlpm.S,_xlfn.ANCHORARRAY($Y$4),_xlpm.r,ROWS(stayCity[[#Headers],[city]]:stayCity[[#This Row],[city]])-1,IF(_xlpm.r&lt;=ROWS(_xlpm.S),INDEX(_xlpm.S,_xlpm.r,2),""))</f>
        <v/>
      </c>
      <c r="AD457" s="1405">
        <f t="array" ref="AD457">_xlfn.LET(_xlpm.S,_xlfn.ANCHORARRAY($Y$4),_xlpm.r,ROWS(stayCity[[#Headers],[city]]:stayCity[[#This Row],[city]])-1,IF(_xlpm.r&lt;=ROWS(_xlpm.S),INDEX(_xlpm.S,_xlpm.r,3),""))</f>
        <v/>
      </c>
      <c r="AE457" s="1400">
        <f>IF(stayCity[[#This Row],[out]]&lt;&gt;"",stayCity[[#This Row],[out]]-stayCity[[#This Row],[in]],"-")</f>
        <v/>
      </c>
      <c r="AF457" s="1406">
        <f>IF(Y457="","-",YEAR(stayCity[[#This Row],[in]]))</f>
        <v/>
      </c>
      <c r="AG457" s="1392" t="n"/>
      <c r="AH457" s="1392" t="n"/>
      <c r="AI457" s="1392" t="n"/>
      <c r="AJ457" s="1392" t="n"/>
      <c r="AK457" s="1392" t="n"/>
      <c r="AL457" s="1392" t="n"/>
      <c r="AM457" s="1392" t="n"/>
      <c r="AN457" s="1392" t="n"/>
      <c r="AO457" s="1392" t="n"/>
      <c r="AP457" s="1392" t="n"/>
      <c r="AQ457" s="1392" t="n"/>
      <c r="AR457" s="1392" t="n"/>
      <c r="AS457" s="1422" t="n"/>
      <c r="AT457" s="1392" t="n"/>
      <c r="AU457" s="1392" t="n"/>
      <c r="AV457" s="1392" t="n"/>
      <c r="AW457" s="1392" t="n"/>
      <c r="AX457" s="1392" t="n"/>
      <c r="AY457" s="1392" t="n"/>
      <c r="AZ457" s="1392" t="n"/>
      <c r="BA457" s="1392" t="n"/>
      <c r="BB457" s="1422" t="n"/>
      <c r="BC457" s="1392" t="n"/>
      <c r="BD457" s="1392" t="n"/>
      <c r="BE457" s="1392" t="n"/>
      <c r="BF457" s="1392" t="n"/>
      <c r="BG457" s="1392" t="n"/>
      <c r="BH457" s="1392" t="n"/>
      <c r="BI457" s="1392" t="n"/>
      <c r="BJ457" s="1392" t="n"/>
      <c r="BK457" s="1392" t="n"/>
      <c r="BL457" s="1392" t="n"/>
      <c r="BM457" s="1392" t="n"/>
      <c r="BN457" s="1392" t="n"/>
      <c r="BO457" s="1392" t="n"/>
      <c r="BP457" s="1392" t="n"/>
      <c r="BQ457" s="1392" t="n"/>
      <c r="BR457" s="1392" t="n"/>
      <c r="BS457" s="1392" t="n"/>
      <c r="BT457" s="1392" t="n"/>
      <c r="BU457" s="1416" t="n"/>
      <c r="BV457" s="1392" t="n"/>
      <c r="BW457" s="1392" t="n"/>
      <c r="BX457" s="1392" t="n"/>
      <c r="BY457" s="1392" t="n"/>
      <c r="BZ457" s="1416" t="n"/>
      <c r="CA457" s="1392" t="n"/>
      <c r="CB457" s="1392" t="n"/>
      <c r="CC457" s="1392" t="n"/>
      <c r="CD457" s="1392" t="n"/>
      <c r="CE457" s="1392" t="n"/>
      <c r="CF457" s="1392" t="n"/>
      <c r="CG457" s="1392" t="n"/>
      <c r="CH457" s="1392" t="n"/>
      <c r="CI457" s="1392" t="n"/>
      <c r="CJ457" s="1392" t="n"/>
      <c r="CK457" s="1392" t="n"/>
      <c r="CL457" s="1392" t="n"/>
    </row>
    <row r="458">
      <c r="A458" s="5" t="inlineStr">
        <is>
          <t>.</t>
        </is>
      </c>
      <c r="B458" s="5" t="inlineStr">
        <is>
          <t>.</t>
        </is>
      </c>
      <c r="C458" s="1378">
        <f>IF(raw[[#This Row],[city]]="","-",IF(raw[[#This Row],[city]]="TODAY","-",C457+1))</f>
        <v/>
      </c>
      <c r="D458" s="1393" t="inlineStr">
        <is>
          <t>AIR</t>
        </is>
      </c>
      <c r="E458" s="1394" t="n">
        <v>35830</v>
      </c>
      <c r="F458" s="1394" t="n">
        <v>35831</v>
      </c>
      <c r="G458" s="1393" t="inlineStr">
        <is>
          <t>x</t>
        </is>
      </c>
      <c r="H458" s="1393">
        <f>H457</f>
        <v/>
      </c>
      <c r="I458" s="1393" t="inlineStr">
        <is>
          <t>-</t>
        </is>
      </c>
      <c r="J458" s="1393" t="inlineStr">
        <is>
          <t>-</t>
        </is>
      </c>
      <c r="K458" s="1395">
        <f>IF(raw[[#This Row],[city]]&lt;&gt;"",_xlfn.XLOOKUP($D458,ccc[city],ccc[prov],"-"),"-")</f>
        <v/>
      </c>
      <c r="L458" s="1395">
        <f>IF(raw[[#This Row],[city]]&lt;&gt;"",_xlfn.XLOOKUP($D458,ccc[city],ccc[ctry],"-"),"-")</f>
        <v/>
      </c>
      <c r="M458" s="1395">
        <f>IF(raw[[#This Row],[city]]&lt;&gt;"",_xlfn.XLOOKUP($D458,ccc[city],ccc[cont],"-"),"-")</f>
        <v/>
      </c>
      <c r="N458" s="1396">
        <f>IF(raw[[#This Row],[city]]="","-",IF(raw[[#This Row],[cont]]="B",raw[[#This Row],[cont]],"W"))</f>
        <v/>
      </c>
      <c r="O458" s="1397">
        <f>IF(raw[[#This Row],[out]]=0,0,IF(raw[[#This Row],[out]]=raw[[#This Row],[in]],0.01,raw[[#This Row],[out]]-raw[[#This Row],[in]]))</f>
        <v/>
      </c>
      <c r="P458" s="1397">
        <f>IF(raw[[#This Row],[in]]=0,0,MONTH(raw[[#This Row],[in]]))</f>
        <v/>
      </c>
      <c r="Q458" s="1397">
        <f>IF(raw[[#This Row],[in]]=0,0,YEAR(raw[[#This Row],[in]]))</f>
        <v/>
      </c>
      <c r="R458" s="1397">
        <f>INT(raw[[#This Row],[yr]]/10)*10</f>
        <v/>
      </c>
      <c r="S458" s="1395">
        <f>IF(raw[[#This Row],[city]]="","-",IF(raw[[#This Row],[city]]&lt;&gt;_xlfn.XLOOKUP(raw[[#This Row],[home]],homes[home],homes[city],"-"),1,0))</f>
        <v/>
      </c>
      <c r="T458" s="1398" t="inlineStr">
        <is>
          <t>.</t>
        </is>
      </c>
      <c r="U458" s="1399">
        <f>IF(raw[[#This Row],[wb]]="w",raw[[#This Row],[stay]]+U457,U457)</f>
        <v/>
      </c>
      <c r="V458" s="1400">
        <f>IF(raw[[#This Row],[out]]=0,V457,(raw[[#This Row],[out]]-E$5))</f>
        <v/>
      </c>
      <c r="W458" s="1401">
        <f>U458/V458</f>
        <v/>
      </c>
      <c r="X458" s="1378" t="inlineStr">
        <is>
          <t>.</t>
        </is>
      </c>
      <c r="Y458" s="1402">
        <f/>
        <v/>
      </c>
      <c r="Z458" s="1403">
        <f/>
        <v/>
      </c>
      <c r="AA458" s="1403">
        <f/>
        <v/>
      </c>
      <c r="AB458" s="1400">
        <f t="array" ref="AB458">_xlfn.LET(_xlpm.S,_xlfn.ANCHORARRAY($Y$4),_xlpm.r,ROWS(stayCity[[#Headers],[city]]:stayCity[[#This Row],[city]])-1,IF(_xlpm.r&lt;=ROWS(_xlpm.S),INDEX(_xlpm.S,_xlpm.r,1),""))</f>
        <v/>
      </c>
      <c r="AC458" s="1405">
        <f t="array" ref="AC458">_xlfn.LET(_xlpm.S,_xlfn.ANCHORARRAY($Y$4),_xlpm.r,ROWS(stayCity[[#Headers],[city]]:stayCity[[#This Row],[city]])-1,IF(_xlpm.r&lt;=ROWS(_xlpm.S),INDEX(_xlpm.S,_xlpm.r,2),""))</f>
        <v/>
      </c>
      <c r="AD458" s="1405">
        <f t="array" ref="AD458">_xlfn.LET(_xlpm.S,_xlfn.ANCHORARRAY($Y$4),_xlpm.r,ROWS(stayCity[[#Headers],[city]]:stayCity[[#This Row],[city]])-1,IF(_xlpm.r&lt;=ROWS(_xlpm.S),INDEX(_xlpm.S,_xlpm.r,3),""))</f>
        <v/>
      </c>
      <c r="AE458" s="1400">
        <f>IF(stayCity[[#This Row],[out]]&lt;&gt;"",stayCity[[#This Row],[out]]-stayCity[[#This Row],[in]],"-")</f>
        <v/>
      </c>
      <c r="AF458" s="1406">
        <f>IF(Y458="","-",YEAR(stayCity[[#This Row],[in]]))</f>
        <v/>
      </c>
      <c r="AG458" s="1392" t="n"/>
      <c r="AH458" s="1392" t="n"/>
      <c r="AI458" s="1392" t="n"/>
      <c r="AJ458" s="1392" t="n"/>
      <c r="AK458" s="1392" t="n"/>
      <c r="AL458" s="1392" t="n"/>
      <c r="AM458" s="1392" t="n"/>
      <c r="AN458" s="1392" t="n"/>
      <c r="AO458" s="1392" t="n"/>
      <c r="AP458" s="1392" t="n"/>
      <c r="AQ458" s="1392" t="n"/>
      <c r="AR458" s="1392" t="n"/>
      <c r="AS458" s="1422" t="n"/>
      <c r="AT458" s="1392" t="n"/>
      <c r="AU458" s="1392" t="n"/>
      <c r="AV458" s="1392" t="n"/>
      <c r="AW458" s="1392" t="n"/>
      <c r="AX458" s="1392" t="n"/>
      <c r="AY458" s="1392" t="n"/>
      <c r="AZ458" s="1392" t="n"/>
      <c r="BA458" s="1392" t="n"/>
      <c r="BB458" s="1422" t="n"/>
      <c r="BC458" s="1392" t="n"/>
      <c r="BD458" s="1392" t="n"/>
      <c r="BE458" s="1392" t="n"/>
      <c r="BF458" s="1392" t="n"/>
      <c r="BG458" s="1392" t="n"/>
      <c r="BH458" s="1392" t="n"/>
      <c r="BI458" s="1392" t="n"/>
      <c r="BJ458" s="1392" t="n"/>
      <c r="BK458" s="1392" t="n"/>
      <c r="BL458" s="1392" t="n"/>
      <c r="BM458" s="1392" t="n"/>
      <c r="BN458" s="1392" t="n"/>
      <c r="BO458" s="1392" t="n"/>
      <c r="BP458" s="1392" t="n"/>
      <c r="BQ458" s="1392" t="n"/>
      <c r="BR458" s="1392" t="n"/>
      <c r="BS458" s="1392" t="n"/>
      <c r="BT458" s="1392" t="n"/>
      <c r="BU458" s="1416" t="n"/>
      <c r="BV458" s="1392" t="n"/>
      <c r="BW458" s="1392" t="n"/>
      <c r="BX458" s="1392" t="n"/>
      <c r="BY458" s="1392" t="n"/>
      <c r="BZ458" s="1416" t="n"/>
      <c r="CA458" s="1392" t="n"/>
      <c r="CB458" s="1392" t="n"/>
      <c r="CC458" s="1392" t="n"/>
      <c r="CD458" s="1392" t="n"/>
      <c r="CE458" s="1392" t="n"/>
      <c r="CF458" s="1392" t="n"/>
      <c r="CG458" s="1392" t="n"/>
      <c r="CH458" s="1392" t="n"/>
      <c r="CI458" s="1392" t="n"/>
      <c r="CJ458" s="1392" t="n"/>
      <c r="CK458" s="1392" t="n"/>
      <c r="CL458" s="1392" t="n"/>
    </row>
    <row r="459">
      <c r="A459" s="5" t="inlineStr">
        <is>
          <t>.</t>
        </is>
      </c>
      <c r="B459" s="5" t="inlineStr">
        <is>
          <t>.</t>
        </is>
      </c>
      <c r="C459" s="1378">
        <f>IF(raw[[#This Row],[city]]="","-",IF(raw[[#This Row],[city]]="TODAY","-",C458+1))</f>
        <v/>
      </c>
      <c r="D459" s="1393" t="inlineStr">
        <is>
          <t>SSA</t>
        </is>
      </c>
      <c r="E459" s="1394" t="n">
        <v>35831</v>
      </c>
      <c r="F459" s="1394" t="n">
        <v>35855</v>
      </c>
      <c r="G459" s="1393" t="inlineStr">
        <is>
          <t>-</t>
        </is>
      </c>
      <c r="H459" s="1393">
        <f>H458</f>
        <v/>
      </c>
      <c r="I459" s="1393" t="inlineStr">
        <is>
          <t>Ondina</t>
        </is>
      </c>
      <c r="J459" s="1393" t="inlineStr">
        <is>
          <t>-</t>
        </is>
      </c>
      <c r="K459" s="1395">
        <f>IF(raw[[#This Row],[city]]&lt;&gt;"",_xlfn.XLOOKUP($D459,ccc[city],ccc[prov],"-"),"-")</f>
        <v/>
      </c>
      <c r="L459" s="1395">
        <f>IF(raw[[#This Row],[city]]&lt;&gt;"",_xlfn.XLOOKUP($D459,ccc[city],ccc[ctry],"-"),"-")</f>
        <v/>
      </c>
      <c r="M459" s="1395">
        <f>IF(raw[[#This Row],[city]]&lt;&gt;"",_xlfn.XLOOKUP($D459,ccc[city],ccc[cont],"-"),"-")</f>
        <v/>
      </c>
      <c r="N459" s="1396">
        <f>IF(raw[[#This Row],[city]]="","-",IF(raw[[#This Row],[cont]]="B",raw[[#This Row],[cont]],"W"))</f>
        <v/>
      </c>
      <c r="O459" s="1397">
        <f>IF(raw[[#This Row],[out]]=0,0,IF(raw[[#This Row],[out]]=raw[[#This Row],[in]],0.01,raw[[#This Row],[out]]-raw[[#This Row],[in]]))</f>
        <v/>
      </c>
      <c r="P459" s="1397">
        <f>IF(raw[[#This Row],[in]]=0,0,MONTH(raw[[#This Row],[in]]))</f>
        <v/>
      </c>
      <c r="Q459" s="1397">
        <f>IF(raw[[#This Row],[in]]=0,0,YEAR(raw[[#This Row],[in]]))</f>
        <v/>
      </c>
      <c r="R459" s="1397">
        <f>INT(raw[[#This Row],[yr]]/10)*10</f>
        <v/>
      </c>
      <c r="S459" s="1395">
        <f>IF(raw[[#This Row],[city]]="","-",IF(raw[[#This Row],[city]]&lt;&gt;_xlfn.XLOOKUP(raw[[#This Row],[home]],homes[home],homes[city],"-"),1,0))</f>
        <v/>
      </c>
      <c r="T459" s="1398" t="inlineStr">
        <is>
          <t>.</t>
        </is>
      </c>
      <c r="U459" s="1399">
        <f>IF(raw[[#This Row],[wb]]="w",raw[[#This Row],[stay]]+U458,U458)</f>
        <v/>
      </c>
      <c r="V459" s="1400">
        <f>IF(raw[[#This Row],[out]]=0,V458,(raw[[#This Row],[out]]-E$5))</f>
        <v/>
      </c>
      <c r="W459" s="1401">
        <f>U459/V459</f>
        <v/>
      </c>
      <c r="X459" s="1378" t="inlineStr">
        <is>
          <t>.</t>
        </is>
      </c>
      <c r="Y459" s="1402">
        <f/>
        <v/>
      </c>
      <c r="Z459" s="1403">
        <f/>
        <v/>
      </c>
      <c r="AA459" s="1403">
        <f/>
        <v/>
      </c>
      <c r="AB459" s="1400">
        <f t="array" ref="AB459">_xlfn.LET(_xlpm.S,_xlfn.ANCHORARRAY($Y$4),_xlpm.r,ROWS(stayCity[[#Headers],[city]]:stayCity[[#This Row],[city]])-1,IF(_xlpm.r&lt;=ROWS(_xlpm.S),INDEX(_xlpm.S,_xlpm.r,1),""))</f>
        <v/>
      </c>
      <c r="AC459" s="1405">
        <f t="array" ref="AC459">_xlfn.LET(_xlpm.S,_xlfn.ANCHORARRAY($Y$4),_xlpm.r,ROWS(stayCity[[#Headers],[city]]:stayCity[[#This Row],[city]])-1,IF(_xlpm.r&lt;=ROWS(_xlpm.S),INDEX(_xlpm.S,_xlpm.r,2),""))</f>
        <v/>
      </c>
      <c r="AD459" s="1405">
        <f t="array" ref="AD459">_xlfn.LET(_xlpm.S,_xlfn.ANCHORARRAY($Y$4),_xlpm.r,ROWS(stayCity[[#Headers],[city]]:stayCity[[#This Row],[city]])-1,IF(_xlpm.r&lt;=ROWS(_xlpm.S),INDEX(_xlpm.S,_xlpm.r,3),""))</f>
        <v/>
      </c>
      <c r="AE459" s="1400">
        <f>IF(stayCity[[#This Row],[out]]&lt;&gt;"",stayCity[[#This Row],[out]]-stayCity[[#This Row],[in]],"-")</f>
        <v/>
      </c>
      <c r="AF459" s="1406">
        <f>IF(Y459="","-",YEAR(stayCity[[#This Row],[in]]))</f>
        <v/>
      </c>
      <c r="AG459" s="1392" t="n"/>
      <c r="AH459" s="1392" t="n"/>
      <c r="AI459" s="1392" t="n"/>
      <c r="AJ459" s="1392" t="n"/>
      <c r="AK459" s="1392" t="n"/>
      <c r="AL459" s="1392" t="n"/>
      <c r="AM459" s="1392" t="n"/>
      <c r="AN459" s="1392" t="n"/>
      <c r="AO459" s="1392" t="n"/>
      <c r="AP459" s="1392" t="n"/>
      <c r="AQ459" s="1392" t="n"/>
      <c r="AR459" s="1392" t="n"/>
      <c r="AS459" s="1422" t="n"/>
      <c r="AT459" s="1392" t="n"/>
      <c r="AU459" s="1392" t="n"/>
      <c r="AV459" s="1392" t="n"/>
      <c r="AW459" s="1392" t="n"/>
      <c r="AX459" s="1392" t="n"/>
      <c r="AY459" s="1392" t="n"/>
      <c r="AZ459" s="1392" t="n"/>
      <c r="BA459" s="1392" t="n"/>
      <c r="BB459" s="1422" t="n"/>
      <c r="BC459" s="1392" t="n"/>
      <c r="BD459" s="1392" t="n"/>
      <c r="BE459" s="1392" t="n"/>
      <c r="BF459" s="1392" t="n"/>
      <c r="BG459" s="1392" t="n"/>
      <c r="BH459" s="1392" t="n"/>
      <c r="BI459" s="1392" t="n"/>
      <c r="BJ459" s="1392" t="n"/>
      <c r="BK459" s="1392" t="n"/>
      <c r="BL459" s="1392" t="n"/>
      <c r="BM459" s="1392" t="n"/>
      <c r="BN459" s="1392" t="n"/>
      <c r="BO459" s="1392" t="n"/>
      <c r="BP459" s="1392" t="n"/>
      <c r="BQ459" s="1392" t="n"/>
      <c r="BR459" s="1392" t="n"/>
      <c r="BS459" s="1392" t="n"/>
      <c r="BT459" s="1392" t="n"/>
      <c r="BU459" s="1416" t="n"/>
      <c r="BV459" s="1392" t="n"/>
      <c r="BW459" s="1392" t="n"/>
      <c r="BX459" s="1392" t="n"/>
      <c r="BY459" s="1392" t="n"/>
      <c r="BZ459" s="1416" t="n"/>
      <c r="CA459" s="1392" t="n"/>
      <c r="CB459" s="1392" t="n"/>
      <c r="CC459" s="1392" t="n"/>
      <c r="CD459" s="1392" t="n"/>
      <c r="CE459" s="1392" t="n"/>
      <c r="CF459" s="1392" t="n"/>
      <c r="CG459" s="1392" t="n"/>
      <c r="CH459" s="1392" t="n"/>
      <c r="CI459" s="1392" t="n"/>
      <c r="CJ459" s="1392" t="n"/>
      <c r="CK459" s="1392" t="n"/>
      <c r="CL459" s="1392" t="n"/>
    </row>
    <row r="460">
      <c r="A460" s="5" t="inlineStr">
        <is>
          <t>.</t>
        </is>
      </c>
      <c r="B460" s="5" t="inlineStr">
        <is>
          <t>.</t>
        </is>
      </c>
      <c r="C460" s="1378">
        <f>IF(raw[[#This Row],[city]]="","-",IF(raw[[#This Row],[city]]="TODAY","-",C459+1))</f>
        <v/>
      </c>
      <c r="D460" s="1393" t="inlineStr">
        <is>
          <t>SSA</t>
        </is>
      </c>
      <c r="E460" s="1394" t="n">
        <v>35855</v>
      </c>
      <c r="F460" s="1394" t="n">
        <v>35864</v>
      </c>
      <c r="G460" s="1393" t="n">
        <v>1</v>
      </c>
      <c r="H460" s="1393">
        <f>H459</f>
        <v/>
      </c>
      <c r="I460" s="1393" t="inlineStr">
        <is>
          <t>Ondina</t>
        </is>
      </c>
      <c r="J460" s="1393" t="inlineStr">
        <is>
          <t>-</t>
        </is>
      </c>
      <c r="K460" s="1395">
        <f>IF(raw[[#This Row],[city]]&lt;&gt;"",_xlfn.XLOOKUP($D460,ccc[city],ccc[prov],"-"),"-")</f>
        <v/>
      </c>
      <c r="L460" s="1395">
        <f>IF(raw[[#This Row],[city]]&lt;&gt;"",_xlfn.XLOOKUP($D460,ccc[city],ccc[ctry],"-"),"-")</f>
        <v/>
      </c>
      <c r="M460" s="1395">
        <f>IF(raw[[#This Row],[city]]&lt;&gt;"",_xlfn.XLOOKUP($D460,ccc[city],ccc[cont],"-"),"-")</f>
        <v/>
      </c>
      <c r="N460" s="1396">
        <f>IF(raw[[#This Row],[city]]="","-",IF(raw[[#This Row],[cont]]="B",raw[[#This Row],[cont]],"W"))</f>
        <v/>
      </c>
      <c r="O460" s="1397">
        <f>IF(raw[[#This Row],[out]]=0,0,IF(raw[[#This Row],[out]]=raw[[#This Row],[in]],0.01,raw[[#This Row],[out]]-raw[[#This Row],[in]]))</f>
        <v/>
      </c>
      <c r="P460" s="1397">
        <f>IF(raw[[#This Row],[in]]=0,0,MONTH(raw[[#This Row],[in]]))</f>
        <v/>
      </c>
      <c r="Q460" s="1397">
        <f>IF(raw[[#This Row],[in]]=0,0,YEAR(raw[[#This Row],[in]]))</f>
        <v/>
      </c>
      <c r="R460" s="1397">
        <f>INT(raw[[#This Row],[yr]]/10)*10</f>
        <v/>
      </c>
      <c r="S460" s="1395">
        <f>IF(raw[[#This Row],[city]]="","-",IF(raw[[#This Row],[city]]&lt;&gt;_xlfn.XLOOKUP(raw[[#This Row],[home]],homes[home],homes[city],"-"),1,0))</f>
        <v/>
      </c>
      <c r="T460" s="1398" t="inlineStr">
        <is>
          <t>.</t>
        </is>
      </c>
      <c r="U460" s="1399">
        <f>IF(raw[[#This Row],[wb]]="w",raw[[#This Row],[stay]]+U459,U459)</f>
        <v/>
      </c>
      <c r="V460" s="1400">
        <f>IF(raw[[#This Row],[out]]=0,V459,(raw[[#This Row],[out]]-E$5))</f>
        <v/>
      </c>
      <c r="W460" s="1401">
        <f>U460/V460</f>
        <v/>
      </c>
      <c r="X460" s="1378" t="inlineStr">
        <is>
          <t>.</t>
        </is>
      </c>
      <c r="Y460" s="1402">
        <f/>
        <v/>
      </c>
      <c r="Z460" s="1403">
        <f/>
        <v/>
      </c>
      <c r="AA460" s="1403">
        <f/>
        <v/>
      </c>
      <c r="AB460" s="1400">
        <f t="array" ref="AB460">_xlfn.LET(_xlpm.S,_xlfn.ANCHORARRAY($Y$4),_xlpm.r,ROWS(stayCity[[#Headers],[city]]:stayCity[[#This Row],[city]])-1,IF(_xlpm.r&lt;=ROWS(_xlpm.S),INDEX(_xlpm.S,_xlpm.r,1),""))</f>
        <v/>
      </c>
      <c r="AC460" s="1405">
        <f t="array" ref="AC460">_xlfn.LET(_xlpm.S,_xlfn.ANCHORARRAY($Y$4),_xlpm.r,ROWS(stayCity[[#Headers],[city]]:stayCity[[#This Row],[city]])-1,IF(_xlpm.r&lt;=ROWS(_xlpm.S),INDEX(_xlpm.S,_xlpm.r,2),""))</f>
        <v/>
      </c>
      <c r="AD460" s="1405">
        <f t="array" ref="AD460">_xlfn.LET(_xlpm.S,_xlfn.ANCHORARRAY($Y$4),_xlpm.r,ROWS(stayCity[[#Headers],[city]]:stayCity[[#This Row],[city]])-1,IF(_xlpm.r&lt;=ROWS(_xlpm.S),INDEX(_xlpm.S,_xlpm.r,3),""))</f>
        <v/>
      </c>
      <c r="AE460" s="1400">
        <f>IF(stayCity[[#This Row],[out]]&lt;&gt;"",stayCity[[#This Row],[out]]-stayCity[[#This Row],[in]],"-")</f>
        <v/>
      </c>
      <c r="AF460" s="1406">
        <f>IF(Y460="","-",YEAR(stayCity[[#This Row],[in]]))</f>
        <v/>
      </c>
      <c r="AG460" s="1392" t="n"/>
      <c r="AH460" s="1392" t="n"/>
      <c r="AI460" s="1392" t="n"/>
      <c r="AJ460" s="1392" t="n"/>
      <c r="AK460" s="1392" t="n"/>
      <c r="AL460" s="1392" t="n"/>
      <c r="AM460" s="1392" t="n"/>
      <c r="AN460" s="1392" t="n"/>
      <c r="AO460" s="1392" t="n"/>
      <c r="AP460" s="1392" t="n"/>
      <c r="AQ460" s="1392" t="n"/>
      <c r="AR460" s="1392" t="n"/>
      <c r="AS460" s="1422" t="n"/>
      <c r="AT460" s="1392" t="n"/>
      <c r="AU460" s="1392" t="n"/>
      <c r="AV460" s="1392" t="n"/>
      <c r="AW460" s="1392" t="n"/>
      <c r="AX460" s="1392" t="n"/>
      <c r="AY460" s="1392" t="n"/>
      <c r="AZ460" s="1392" t="n"/>
      <c r="BA460" s="1392" t="n"/>
      <c r="BB460" s="1422" t="n"/>
      <c r="BC460" s="1392" t="n"/>
      <c r="BD460" s="1392" t="n"/>
      <c r="BE460" s="1392" t="n"/>
      <c r="BF460" s="1392" t="n"/>
      <c r="BG460" s="1392" t="n"/>
      <c r="BH460" s="1392" t="n"/>
      <c r="BI460" s="1392" t="n"/>
      <c r="BJ460" s="1392" t="n"/>
      <c r="BK460" s="1392" t="n"/>
      <c r="BL460" s="1392" t="n"/>
      <c r="BM460" s="1392" t="n"/>
      <c r="BN460" s="1392" t="n"/>
      <c r="BO460" s="1392" t="n"/>
      <c r="BP460" s="1392" t="n"/>
      <c r="BQ460" s="1392" t="n"/>
      <c r="BR460" s="1392" t="n"/>
      <c r="BS460" s="1392" t="n"/>
      <c r="BT460" s="1392" t="n"/>
      <c r="BU460" s="1416" t="n"/>
      <c r="BV460" s="1392" t="n"/>
      <c r="BW460" s="1392" t="n"/>
      <c r="BX460" s="1392" t="n"/>
      <c r="BY460" s="1392" t="n"/>
      <c r="BZ460" s="1416" t="n"/>
      <c r="CA460" s="1392" t="n"/>
      <c r="CB460" s="1392" t="n"/>
      <c r="CC460" s="1392" t="n"/>
      <c r="CD460" s="1392" t="n"/>
      <c r="CE460" s="1392" t="n"/>
      <c r="CF460" s="1392" t="n"/>
      <c r="CG460" s="1392" t="n"/>
      <c r="CH460" s="1392" t="n"/>
      <c r="CI460" s="1392" t="n"/>
      <c r="CJ460" s="1392" t="n"/>
      <c r="CK460" s="1392" t="n"/>
      <c r="CL460" s="1392" t="n"/>
    </row>
    <row r="461">
      <c r="A461" s="5" t="inlineStr">
        <is>
          <t>.</t>
        </is>
      </c>
      <c r="B461" s="5" t="inlineStr">
        <is>
          <t>.</t>
        </is>
      </c>
      <c r="C461" s="1378">
        <f>IF(raw[[#This Row],[city]]="","-",IF(raw[[#This Row],[city]]="TODAY","-",C460+1))</f>
        <v/>
      </c>
      <c r="D461" s="1393" t="inlineStr">
        <is>
          <t>Bruxelas</t>
        </is>
      </c>
      <c r="E461" s="1394" t="n">
        <v>35864</v>
      </c>
      <c r="F461" s="1394" t="n">
        <v>35864</v>
      </c>
      <c r="G461" s="1393" t="n">
        <v>0.01</v>
      </c>
      <c r="H461" s="1393">
        <f>H460</f>
        <v/>
      </c>
      <c r="I461" s="1393" t="inlineStr">
        <is>
          <t>-</t>
        </is>
      </c>
      <c r="J461" s="1393" t="inlineStr">
        <is>
          <t>-</t>
        </is>
      </c>
      <c r="K461" s="1395">
        <f>IF(raw[[#This Row],[city]]&lt;&gt;"",_xlfn.XLOOKUP($D461,ccc[city],ccc[prov],"-"),"-")</f>
        <v/>
      </c>
      <c r="L461" s="1395">
        <f>IF(raw[[#This Row],[city]]&lt;&gt;"",_xlfn.XLOOKUP($D461,ccc[city],ccc[ctry],"-"),"-")</f>
        <v/>
      </c>
      <c r="M461" s="1395">
        <f>IF(raw[[#This Row],[city]]&lt;&gt;"",_xlfn.XLOOKUP($D461,ccc[city],ccc[cont],"-"),"-")</f>
        <v/>
      </c>
      <c r="N461" s="1396">
        <f>IF(raw[[#This Row],[city]]="","-",IF(raw[[#This Row],[cont]]="B",raw[[#This Row],[cont]],"W"))</f>
        <v/>
      </c>
      <c r="O461" s="1397">
        <f>IF(raw[[#This Row],[out]]=0,0,IF(raw[[#This Row],[out]]=raw[[#This Row],[in]],0.01,raw[[#This Row],[out]]-raw[[#This Row],[in]]))</f>
        <v/>
      </c>
      <c r="P461" s="1397">
        <f>IF(raw[[#This Row],[in]]=0,0,MONTH(raw[[#This Row],[in]]))</f>
        <v/>
      </c>
      <c r="Q461" s="1397">
        <f>IF(raw[[#This Row],[in]]=0,0,YEAR(raw[[#This Row],[in]]))</f>
        <v/>
      </c>
      <c r="R461" s="1397">
        <f>INT(raw[[#This Row],[yr]]/10)*10</f>
        <v/>
      </c>
      <c r="S461" s="1395">
        <f>IF(raw[[#This Row],[city]]="","-",IF(raw[[#This Row],[city]]&lt;&gt;_xlfn.XLOOKUP(raw[[#This Row],[home]],homes[home],homes[city],"-"),1,0))</f>
        <v/>
      </c>
      <c r="T461" s="1398" t="inlineStr">
        <is>
          <t>.</t>
        </is>
      </c>
      <c r="U461" s="1399">
        <f>IF(raw[[#This Row],[wb]]="w",raw[[#This Row],[stay]]+U460,U460)</f>
        <v/>
      </c>
      <c r="V461" s="1400">
        <f>IF(raw[[#This Row],[out]]=0,V460,(raw[[#This Row],[out]]-E$5))</f>
        <v/>
      </c>
      <c r="W461" s="1401">
        <f>U461/V461</f>
        <v/>
      </c>
      <c r="X461" s="1378" t="inlineStr">
        <is>
          <t>.</t>
        </is>
      </c>
      <c r="Y461" s="1402">
        <f/>
        <v/>
      </c>
      <c r="Z461" s="1403">
        <f/>
        <v/>
      </c>
      <c r="AA461" s="1403">
        <f/>
        <v/>
      </c>
      <c r="AB461" s="1400">
        <f t="array" ref="AB461">_xlfn.LET(_xlpm.S,_xlfn.ANCHORARRAY($Y$4),_xlpm.r,ROWS(stayCity[[#Headers],[city]]:stayCity[[#This Row],[city]])-1,IF(_xlpm.r&lt;=ROWS(_xlpm.S),INDEX(_xlpm.S,_xlpm.r,1),""))</f>
        <v/>
      </c>
      <c r="AC461" s="1405">
        <f t="array" ref="AC461">_xlfn.LET(_xlpm.S,_xlfn.ANCHORARRAY($Y$4),_xlpm.r,ROWS(stayCity[[#Headers],[city]]:stayCity[[#This Row],[city]])-1,IF(_xlpm.r&lt;=ROWS(_xlpm.S),INDEX(_xlpm.S,_xlpm.r,2),""))</f>
        <v/>
      </c>
      <c r="AD461" s="1405">
        <f t="array" ref="AD461">_xlfn.LET(_xlpm.S,_xlfn.ANCHORARRAY($Y$4),_xlpm.r,ROWS(stayCity[[#Headers],[city]]:stayCity[[#This Row],[city]])-1,IF(_xlpm.r&lt;=ROWS(_xlpm.S),INDEX(_xlpm.S,_xlpm.r,3),""))</f>
        <v/>
      </c>
      <c r="AE461" s="1400">
        <f>IF(stayCity[[#This Row],[out]]&lt;&gt;"",stayCity[[#This Row],[out]]-stayCity[[#This Row],[in]],"-")</f>
        <v/>
      </c>
      <c r="AF461" s="1406">
        <f>IF(Y461="","-",YEAR(stayCity[[#This Row],[in]]))</f>
        <v/>
      </c>
      <c r="AG461" s="1392" t="n"/>
      <c r="AH461" s="1392" t="n"/>
      <c r="AI461" s="1392" t="n"/>
      <c r="AJ461" s="1392" t="n"/>
      <c r="AK461" s="1392" t="n"/>
      <c r="AL461" s="1392" t="n"/>
      <c r="AM461" s="1392" t="n"/>
      <c r="AN461" s="1392" t="n"/>
      <c r="AO461" s="1392" t="n"/>
      <c r="AP461" s="1392" t="n"/>
      <c r="AQ461" s="1392" t="n"/>
      <c r="AR461" s="1392" t="n"/>
      <c r="AS461" s="1422" t="n"/>
      <c r="AT461" s="1392" t="n"/>
      <c r="AU461" s="1392" t="n"/>
      <c r="AV461" s="1392" t="n"/>
      <c r="AW461" s="1392" t="n"/>
      <c r="AX461" s="1392" t="n"/>
      <c r="AY461" s="1392" t="n"/>
      <c r="AZ461" s="1392" t="n"/>
      <c r="BA461" s="1392" t="n"/>
      <c r="BB461" s="1422" t="n"/>
      <c r="BC461" s="1392" t="n"/>
      <c r="BD461" s="1392" t="n"/>
      <c r="BE461" s="1392" t="n"/>
      <c r="BF461" s="1392" t="n"/>
      <c r="BG461" s="1392" t="n"/>
      <c r="BH461" s="1392" t="n"/>
      <c r="BI461" s="1392" t="n"/>
      <c r="BJ461" s="1392" t="n"/>
      <c r="BK461" s="1392" t="n"/>
      <c r="BL461" s="1392" t="n"/>
      <c r="BM461" s="1392" t="n"/>
      <c r="BN461" s="1392" t="n"/>
      <c r="BO461" s="1392" t="n"/>
      <c r="BP461" s="1392" t="n"/>
      <c r="BQ461" s="1392" t="n"/>
      <c r="BR461" s="1392" t="n"/>
      <c r="BS461" s="1392" t="n"/>
      <c r="BT461" s="1392" t="n"/>
      <c r="BU461" s="1416" t="n"/>
      <c r="BV461" s="1392" t="n"/>
      <c r="BW461" s="1392" t="n"/>
      <c r="BX461" s="1392" t="n"/>
      <c r="BY461" s="1392" t="n"/>
      <c r="BZ461" s="1416" t="n"/>
      <c r="CA461" s="1392" t="n"/>
      <c r="CB461" s="1392" t="n"/>
      <c r="CC461" s="1392" t="n"/>
      <c r="CD461" s="1392" t="n"/>
      <c r="CE461" s="1392" t="n"/>
      <c r="CF461" s="1392" t="n"/>
      <c r="CG461" s="1392" t="n"/>
      <c r="CH461" s="1392" t="n"/>
      <c r="CI461" s="1392" t="n"/>
      <c r="CJ461" s="1392" t="n"/>
      <c r="CK461" s="1392" t="n"/>
      <c r="CL461" s="1392" t="n"/>
    </row>
    <row r="462">
      <c r="A462" s="5" t="inlineStr">
        <is>
          <t>.</t>
        </is>
      </c>
      <c r="B462" s="5" t="inlineStr">
        <is>
          <t>.</t>
        </is>
      </c>
      <c r="C462" s="1378">
        <f>IF(raw[[#This Row],[city]]="","-",IF(raw[[#This Row],[city]]="TODAY","-",C461+1))</f>
        <v/>
      </c>
      <c r="D462" s="1393" t="inlineStr">
        <is>
          <t>Paris</t>
        </is>
      </c>
      <c r="E462" s="1394" t="n">
        <v>35864</v>
      </c>
      <c r="F462" s="1394" t="n">
        <v>35886</v>
      </c>
      <c r="G462" s="1393" t="inlineStr">
        <is>
          <t>-</t>
        </is>
      </c>
      <c r="H462" s="1393">
        <f>H461</f>
        <v/>
      </c>
      <c r="I462" s="1393" t="inlineStr">
        <is>
          <t>-</t>
        </is>
      </c>
      <c r="J462" s="1393" t="inlineStr">
        <is>
          <t>-</t>
        </is>
      </c>
      <c r="K462" s="1395">
        <f>IF(raw[[#This Row],[city]]&lt;&gt;"",_xlfn.XLOOKUP($D462,ccc[city],ccc[prov],"-"),"-")</f>
        <v/>
      </c>
      <c r="L462" s="1395">
        <f>IF(raw[[#This Row],[city]]&lt;&gt;"",_xlfn.XLOOKUP($D462,ccc[city],ccc[ctry],"-"),"-")</f>
        <v/>
      </c>
      <c r="M462" s="1395">
        <f>IF(raw[[#This Row],[city]]&lt;&gt;"",_xlfn.XLOOKUP($D462,ccc[city],ccc[cont],"-"),"-")</f>
        <v/>
      </c>
      <c r="N462" s="1396">
        <f>IF(raw[[#This Row],[city]]="","-",IF(raw[[#This Row],[cont]]="B",raw[[#This Row],[cont]],"W"))</f>
        <v/>
      </c>
      <c r="O462" s="1397">
        <f>IF(raw[[#This Row],[out]]=0,0,IF(raw[[#This Row],[out]]=raw[[#This Row],[in]],0.01,raw[[#This Row],[out]]-raw[[#This Row],[in]]))</f>
        <v/>
      </c>
      <c r="P462" s="1397">
        <f>IF(raw[[#This Row],[in]]=0,0,MONTH(raw[[#This Row],[in]]))</f>
        <v/>
      </c>
      <c r="Q462" s="1397">
        <f>IF(raw[[#This Row],[in]]=0,0,YEAR(raw[[#This Row],[in]]))</f>
        <v/>
      </c>
      <c r="R462" s="1397">
        <f>INT(raw[[#This Row],[yr]]/10)*10</f>
        <v/>
      </c>
      <c r="S462" s="1395">
        <f>IF(raw[[#This Row],[city]]="","-",IF(raw[[#This Row],[city]]&lt;&gt;_xlfn.XLOOKUP(raw[[#This Row],[home]],homes[home],homes[city],"-"),1,0))</f>
        <v/>
      </c>
      <c r="T462" s="1398" t="inlineStr">
        <is>
          <t>.</t>
        </is>
      </c>
      <c r="U462" s="1399">
        <f>IF(raw[[#This Row],[wb]]="w",raw[[#This Row],[stay]]+U461,U461)</f>
        <v/>
      </c>
      <c r="V462" s="1400">
        <f>IF(raw[[#This Row],[out]]=0,V461,(raw[[#This Row],[out]]-E$5))</f>
        <v/>
      </c>
      <c r="W462" s="1401">
        <f>U462/V462</f>
        <v/>
      </c>
      <c r="X462" s="1378" t="inlineStr">
        <is>
          <t>.</t>
        </is>
      </c>
      <c r="Y462" s="1402">
        <f/>
        <v/>
      </c>
      <c r="Z462" s="1403">
        <f/>
        <v/>
      </c>
      <c r="AA462" s="1403">
        <f/>
        <v/>
      </c>
      <c r="AB462" s="1400">
        <f t="array" ref="AB462">_xlfn.LET(_xlpm.S,_xlfn.ANCHORARRAY($Y$4),_xlpm.r,ROWS(stayCity[[#Headers],[city]]:stayCity[[#This Row],[city]])-1,IF(_xlpm.r&lt;=ROWS(_xlpm.S),INDEX(_xlpm.S,_xlpm.r,1),""))</f>
        <v/>
      </c>
      <c r="AC462" s="1405">
        <f t="array" ref="AC462">_xlfn.LET(_xlpm.S,_xlfn.ANCHORARRAY($Y$4),_xlpm.r,ROWS(stayCity[[#Headers],[city]]:stayCity[[#This Row],[city]])-1,IF(_xlpm.r&lt;=ROWS(_xlpm.S),INDEX(_xlpm.S,_xlpm.r,2),""))</f>
        <v/>
      </c>
      <c r="AD462" s="1405">
        <f t="array" ref="AD462">_xlfn.LET(_xlpm.S,_xlfn.ANCHORARRAY($Y$4),_xlpm.r,ROWS(stayCity[[#Headers],[city]]:stayCity[[#This Row],[city]])-1,IF(_xlpm.r&lt;=ROWS(_xlpm.S),INDEX(_xlpm.S,_xlpm.r,3),""))</f>
        <v/>
      </c>
      <c r="AE462" s="1400">
        <f>IF(stayCity[[#This Row],[out]]&lt;&gt;"",stayCity[[#This Row],[out]]-stayCity[[#This Row],[in]],"-")</f>
        <v/>
      </c>
      <c r="AF462" s="1406">
        <f>IF(Y462="","-",YEAR(stayCity[[#This Row],[in]]))</f>
        <v/>
      </c>
      <c r="AG462" s="1392" t="n"/>
      <c r="AH462" s="1392" t="n"/>
      <c r="AI462" s="1392" t="n"/>
      <c r="AJ462" s="1392" t="n"/>
      <c r="AK462" s="1392" t="n"/>
      <c r="AL462" s="1392" t="n"/>
      <c r="AM462" s="1392" t="n"/>
      <c r="AN462" s="1392" t="n"/>
      <c r="AO462" s="1392" t="n"/>
      <c r="AP462" s="1392" t="n"/>
      <c r="AQ462" s="1392" t="n"/>
      <c r="AR462" s="1392" t="n"/>
      <c r="AS462" s="1422" t="n"/>
      <c r="AT462" s="1392" t="n"/>
      <c r="AU462" s="1392" t="n"/>
      <c r="AV462" s="1392" t="n"/>
      <c r="AW462" s="1392" t="n"/>
      <c r="AX462" s="1392" t="n"/>
      <c r="AY462" s="1392" t="n"/>
      <c r="AZ462" s="1392" t="n"/>
      <c r="BA462" s="1392" t="n"/>
      <c r="BB462" s="1422" t="n"/>
      <c r="BC462" s="1392" t="n"/>
      <c r="BD462" s="1392" t="n"/>
      <c r="BE462" s="1392" t="n"/>
      <c r="BF462" s="1392" t="n"/>
      <c r="BG462" s="1392" t="n"/>
      <c r="BH462" s="1392" t="n"/>
      <c r="BI462" s="1392" t="n"/>
      <c r="BJ462" s="1392" t="n"/>
      <c r="BK462" s="1392" t="n"/>
      <c r="BL462" s="1392" t="n"/>
      <c r="BM462" s="1392" t="n"/>
      <c r="BN462" s="1392" t="n"/>
      <c r="BO462" s="1392" t="n"/>
      <c r="BP462" s="1392" t="n"/>
      <c r="BQ462" s="1392" t="n"/>
      <c r="BR462" s="1392" t="n"/>
      <c r="BS462" s="1392" t="n"/>
      <c r="BT462" s="1392" t="n"/>
      <c r="BU462" s="1416" t="n"/>
      <c r="BV462" s="1392" t="n"/>
      <c r="BW462" s="1392" t="n"/>
      <c r="BX462" s="1392" t="n"/>
      <c r="BY462" s="1392" t="n"/>
      <c r="BZ462" s="1416" t="n"/>
      <c r="CA462" s="1392" t="n"/>
      <c r="CB462" s="1392" t="n"/>
      <c r="CC462" s="1392" t="n"/>
      <c r="CD462" s="1392" t="n"/>
      <c r="CE462" s="1392" t="n"/>
      <c r="CF462" s="1392" t="n"/>
      <c r="CG462" s="1392" t="n"/>
      <c r="CH462" s="1392" t="n"/>
      <c r="CI462" s="1392" t="n"/>
      <c r="CJ462" s="1392" t="n"/>
      <c r="CK462" s="1392" t="n"/>
      <c r="CL462" s="1392" t="n"/>
    </row>
    <row r="463">
      <c r="A463" s="5" t="inlineStr">
        <is>
          <t>.</t>
        </is>
      </c>
      <c r="B463" s="5" t="inlineStr">
        <is>
          <t>.</t>
        </is>
      </c>
      <c r="C463" s="1378">
        <f>IF(raw[[#This Row],[city]]="","-",IF(raw[[#This Row],[city]]="TODAY","-",C462+1))</f>
        <v/>
      </c>
      <c r="D463" s="1393" t="inlineStr">
        <is>
          <t>Paris</t>
        </is>
      </c>
      <c r="E463" s="1394" t="n">
        <v>35886</v>
      </c>
      <c r="F463" s="1394" t="n">
        <v>35916</v>
      </c>
      <c r="G463" s="1393" t="inlineStr">
        <is>
          <t>-</t>
        </is>
      </c>
      <c r="H463" s="1393">
        <f>H462</f>
        <v/>
      </c>
      <c r="I463" s="1393" t="inlineStr">
        <is>
          <t>-</t>
        </is>
      </c>
      <c r="J463" s="1393" t="inlineStr">
        <is>
          <t>-</t>
        </is>
      </c>
      <c r="K463" s="1395">
        <f>IF(raw[[#This Row],[city]]&lt;&gt;"",_xlfn.XLOOKUP($D463,ccc[city],ccc[prov],"-"),"-")</f>
        <v/>
      </c>
      <c r="L463" s="1395">
        <f>IF(raw[[#This Row],[city]]&lt;&gt;"",_xlfn.XLOOKUP($D463,ccc[city],ccc[ctry],"-"),"-")</f>
        <v/>
      </c>
      <c r="M463" s="1395">
        <f>IF(raw[[#This Row],[city]]&lt;&gt;"",_xlfn.XLOOKUP($D463,ccc[city],ccc[cont],"-"),"-")</f>
        <v/>
      </c>
      <c r="N463" s="1396">
        <f>IF(raw[[#This Row],[city]]="","-",IF(raw[[#This Row],[cont]]="B",raw[[#This Row],[cont]],"W"))</f>
        <v/>
      </c>
      <c r="O463" s="1397">
        <f>IF(raw[[#This Row],[out]]=0,0,IF(raw[[#This Row],[out]]=raw[[#This Row],[in]],0.01,raw[[#This Row],[out]]-raw[[#This Row],[in]]))</f>
        <v/>
      </c>
      <c r="P463" s="1397">
        <f>IF(raw[[#This Row],[in]]=0,0,MONTH(raw[[#This Row],[in]]))</f>
        <v/>
      </c>
      <c r="Q463" s="1397">
        <f>IF(raw[[#This Row],[in]]=0,0,YEAR(raw[[#This Row],[in]]))</f>
        <v/>
      </c>
      <c r="R463" s="1397">
        <f>INT(raw[[#This Row],[yr]]/10)*10</f>
        <v/>
      </c>
      <c r="S463" s="1395">
        <f>IF(raw[[#This Row],[city]]="","-",IF(raw[[#This Row],[city]]&lt;&gt;_xlfn.XLOOKUP(raw[[#This Row],[home]],homes[home],homes[city],"-"),1,0))</f>
        <v/>
      </c>
      <c r="T463" s="1398" t="inlineStr">
        <is>
          <t>.</t>
        </is>
      </c>
      <c r="U463" s="1399">
        <f>IF(raw[[#This Row],[wb]]="w",raw[[#This Row],[stay]]+U462,U462)</f>
        <v/>
      </c>
      <c r="V463" s="1400">
        <f>IF(raw[[#This Row],[out]]=0,V462,(raw[[#This Row],[out]]-E$5))</f>
        <v/>
      </c>
      <c r="W463" s="1401">
        <f>U463/V463</f>
        <v/>
      </c>
      <c r="X463" s="1378" t="inlineStr">
        <is>
          <t>.</t>
        </is>
      </c>
      <c r="Y463" s="1402">
        <f/>
        <v/>
      </c>
      <c r="Z463" s="1403">
        <f/>
        <v/>
      </c>
      <c r="AA463" s="1403">
        <f/>
        <v/>
      </c>
      <c r="AB463" s="1400">
        <f t="array" ref="AB463">_xlfn.LET(_xlpm.S,_xlfn.ANCHORARRAY($Y$4),_xlpm.r,ROWS(stayCity[[#Headers],[city]]:stayCity[[#This Row],[city]])-1,IF(_xlpm.r&lt;=ROWS(_xlpm.S),INDEX(_xlpm.S,_xlpm.r,1),""))</f>
        <v/>
      </c>
      <c r="AC463" s="1405">
        <f t="array" ref="AC463">_xlfn.LET(_xlpm.S,_xlfn.ANCHORARRAY($Y$4),_xlpm.r,ROWS(stayCity[[#Headers],[city]]:stayCity[[#This Row],[city]])-1,IF(_xlpm.r&lt;=ROWS(_xlpm.S),INDEX(_xlpm.S,_xlpm.r,2),""))</f>
        <v/>
      </c>
      <c r="AD463" s="1405">
        <f t="array" ref="AD463">_xlfn.LET(_xlpm.S,_xlfn.ANCHORARRAY($Y$4),_xlpm.r,ROWS(stayCity[[#Headers],[city]]:stayCity[[#This Row],[city]])-1,IF(_xlpm.r&lt;=ROWS(_xlpm.S),INDEX(_xlpm.S,_xlpm.r,3),""))</f>
        <v/>
      </c>
      <c r="AE463" s="1400">
        <f>IF(stayCity[[#This Row],[out]]&lt;&gt;"",stayCity[[#This Row],[out]]-stayCity[[#This Row],[in]],"-")</f>
        <v/>
      </c>
      <c r="AF463" s="1406">
        <f>IF(Y463="","-",YEAR(stayCity[[#This Row],[in]]))</f>
        <v/>
      </c>
      <c r="AG463" s="1392" t="n"/>
      <c r="AH463" s="1392" t="n"/>
      <c r="AI463" s="1392" t="n"/>
      <c r="AJ463" s="1392" t="n"/>
      <c r="AK463" s="1392" t="n"/>
      <c r="AL463" s="1392" t="n"/>
      <c r="AM463" s="1392" t="n"/>
      <c r="AN463" s="1392" t="n"/>
      <c r="AO463" s="1392" t="n"/>
      <c r="AP463" s="1392" t="n"/>
      <c r="AQ463" s="1392" t="n"/>
      <c r="AR463" s="1392" t="n"/>
      <c r="AS463" s="1422" t="n"/>
      <c r="AT463" s="1392" t="n"/>
      <c r="AU463" s="1392" t="n"/>
      <c r="AV463" s="1392" t="n"/>
      <c r="AW463" s="1392" t="n"/>
      <c r="AX463" s="1392" t="n"/>
      <c r="AY463" s="1392" t="n"/>
      <c r="AZ463" s="1392" t="n"/>
      <c r="BA463" s="1392" t="n"/>
      <c r="BB463" s="1422" t="n"/>
      <c r="BC463" s="1392" t="n"/>
      <c r="BD463" s="1392" t="n"/>
      <c r="BE463" s="1392" t="n"/>
      <c r="BF463" s="1392" t="n"/>
      <c r="BG463" s="1392" t="n"/>
      <c r="BH463" s="1392" t="n"/>
      <c r="BI463" s="1392" t="n"/>
      <c r="BJ463" s="1392" t="n"/>
      <c r="BK463" s="1392" t="n"/>
      <c r="BL463" s="1392" t="n"/>
      <c r="BM463" s="1392" t="n"/>
      <c r="BN463" s="1392" t="n"/>
      <c r="BO463" s="1392" t="n"/>
      <c r="BP463" s="1392" t="n"/>
      <c r="BQ463" s="1392" t="n"/>
      <c r="BR463" s="1392" t="n"/>
      <c r="BS463" s="1392" t="n"/>
      <c r="BT463" s="1392" t="n"/>
      <c r="BU463" s="1416" t="n"/>
      <c r="BV463" s="1392" t="n"/>
      <c r="BW463" s="1392" t="n"/>
      <c r="BX463" s="1392" t="n"/>
      <c r="BY463" s="1392" t="n"/>
      <c r="BZ463" s="1416" t="n"/>
      <c r="CA463" s="1392" t="n"/>
      <c r="CB463" s="1392" t="n"/>
      <c r="CC463" s="1392" t="n"/>
      <c r="CD463" s="1392" t="n"/>
      <c r="CE463" s="1392" t="n"/>
      <c r="CF463" s="1392" t="n"/>
      <c r="CG463" s="1392" t="n"/>
      <c r="CH463" s="1392" t="n"/>
      <c r="CI463" s="1392" t="n"/>
      <c r="CJ463" s="1392" t="n"/>
      <c r="CK463" s="1392" t="n"/>
      <c r="CL463" s="1392" t="n"/>
    </row>
    <row r="464">
      <c r="A464" s="5" t="inlineStr">
        <is>
          <t>.</t>
        </is>
      </c>
      <c r="B464" s="5" t="inlineStr">
        <is>
          <t>.</t>
        </is>
      </c>
      <c r="C464" s="1378">
        <f>IF(raw[[#This Row],[city]]="","-",IF(raw[[#This Row],[city]]="TODAY","-",C463+1))</f>
        <v/>
      </c>
      <c r="D464" s="1393" t="inlineStr">
        <is>
          <t>Paris</t>
        </is>
      </c>
      <c r="E464" s="1394" t="n">
        <v>35916</v>
      </c>
      <c r="F464" s="1394" t="n">
        <v>35941</v>
      </c>
      <c r="G464" s="1393" t="inlineStr">
        <is>
          <t>-</t>
        </is>
      </c>
      <c r="H464" s="1393">
        <f>H463</f>
        <v/>
      </c>
      <c r="I464" s="1393" t="inlineStr">
        <is>
          <t>-</t>
        </is>
      </c>
      <c r="J464" s="1393" t="inlineStr">
        <is>
          <t>-</t>
        </is>
      </c>
      <c r="K464" s="1395">
        <f>IF(raw[[#This Row],[city]]&lt;&gt;"",_xlfn.XLOOKUP($D464,ccc[city],ccc[prov],"-"),"-")</f>
        <v/>
      </c>
      <c r="L464" s="1395">
        <f>IF(raw[[#This Row],[city]]&lt;&gt;"",_xlfn.XLOOKUP($D464,ccc[city],ccc[ctry],"-"),"-")</f>
        <v/>
      </c>
      <c r="M464" s="1395">
        <f>IF(raw[[#This Row],[city]]&lt;&gt;"",_xlfn.XLOOKUP($D464,ccc[city],ccc[cont],"-"),"-")</f>
        <v/>
      </c>
      <c r="N464" s="1396">
        <f>IF(raw[[#This Row],[city]]="","-",IF(raw[[#This Row],[cont]]="B",raw[[#This Row],[cont]],"W"))</f>
        <v/>
      </c>
      <c r="O464" s="1397">
        <f>IF(raw[[#This Row],[out]]=0,0,IF(raw[[#This Row],[out]]=raw[[#This Row],[in]],0.01,raw[[#This Row],[out]]-raw[[#This Row],[in]]))</f>
        <v/>
      </c>
      <c r="P464" s="1397">
        <f>IF(raw[[#This Row],[in]]=0,0,MONTH(raw[[#This Row],[in]]))</f>
        <v/>
      </c>
      <c r="Q464" s="1397">
        <f>IF(raw[[#This Row],[in]]=0,0,YEAR(raw[[#This Row],[in]]))</f>
        <v/>
      </c>
      <c r="R464" s="1397">
        <f>INT(raw[[#This Row],[yr]]/10)*10</f>
        <v/>
      </c>
      <c r="S464" s="1395">
        <f>IF(raw[[#This Row],[city]]="","-",IF(raw[[#This Row],[city]]&lt;&gt;_xlfn.XLOOKUP(raw[[#This Row],[home]],homes[home],homes[city],"-"),1,0))</f>
        <v/>
      </c>
      <c r="T464" s="1398" t="inlineStr">
        <is>
          <t>.</t>
        </is>
      </c>
      <c r="U464" s="1399">
        <f>IF(raw[[#This Row],[wb]]="w",raw[[#This Row],[stay]]+U463,U463)</f>
        <v/>
      </c>
      <c r="V464" s="1400">
        <f>IF(raw[[#This Row],[out]]=0,V463,(raw[[#This Row],[out]]-E$5))</f>
        <v/>
      </c>
      <c r="W464" s="1401">
        <f>U464/V464</f>
        <v/>
      </c>
      <c r="X464" s="1378" t="inlineStr">
        <is>
          <t>.</t>
        </is>
      </c>
      <c r="Y464" s="1402">
        <f/>
        <v/>
      </c>
      <c r="Z464" s="1403">
        <f/>
        <v/>
      </c>
      <c r="AA464" s="1403">
        <f/>
        <v/>
      </c>
      <c r="AB464" s="1400">
        <f t="array" ref="AB464">_xlfn.LET(_xlpm.S,_xlfn.ANCHORARRAY($Y$4),_xlpm.r,ROWS(stayCity[[#Headers],[city]]:stayCity[[#This Row],[city]])-1,IF(_xlpm.r&lt;=ROWS(_xlpm.S),INDEX(_xlpm.S,_xlpm.r,1),""))</f>
        <v/>
      </c>
      <c r="AC464" s="1405">
        <f t="array" ref="AC464">_xlfn.LET(_xlpm.S,_xlfn.ANCHORARRAY($Y$4),_xlpm.r,ROWS(stayCity[[#Headers],[city]]:stayCity[[#This Row],[city]])-1,IF(_xlpm.r&lt;=ROWS(_xlpm.S),INDEX(_xlpm.S,_xlpm.r,2),""))</f>
        <v/>
      </c>
      <c r="AD464" s="1405">
        <f t="array" ref="AD464">_xlfn.LET(_xlpm.S,_xlfn.ANCHORARRAY($Y$4),_xlpm.r,ROWS(stayCity[[#Headers],[city]]:stayCity[[#This Row],[city]])-1,IF(_xlpm.r&lt;=ROWS(_xlpm.S),INDEX(_xlpm.S,_xlpm.r,3),""))</f>
        <v/>
      </c>
      <c r="AE464" s="1400">
        <f>IF(stayCity[[#This Row],[out]]&lt;&gt;"",stayCity[[#This Row],[out]]-stayCity[[#This Row],[in]],"-")</f>
        <v/>
      </c>
      <c r="AF464" s="1406">
        <f>IF(Y464="","-",YEAR(stayCity[[#This Row],[in]]))</f>
        <v/>
      </c>
      <c r="AG464" s="1392" t="n"/>
      <c r="AH464" s="1392" t="n"/>
      <c r="AI464" s="1392" t="n"/>
      <c r="AJ464" s="1392" t="n"/>
      <c r="AK464" s="1392" t="n"/>
      <c r="AL464" s="1392" t="n"/>
      <c r="AM464" s="1392" t="n"/>
      <c r="AN464" s="1392" t="n"/>
      <c r="AO464" s="1392" t="n"/>
      <c r="AP464" s="1392" t="n"/>
      <c r="AQ464" s="1392" t="n"/>
      <c r="AR464" s="1392" t="n"/>
      <c r="AS464" s="1422" t="n"/>
      <c r="AT464" s="1392" t="n"/>
      <c r="AU464" s="1392" t="n"/>
      <c r="AV464" s="1392" t="n"/>
      <c r="AW464" s="1392" t="n"/>
      <c r="AX464" s="1392" t="n"/>
      <c r="AY464" s="1392" t="n"/>
      <c r="AZ464" s="1392" t="n"/>
      <c r="BA464" s="1392" t="n"/>
      <c r="BB464" s="1422" t="n"/>
      <c r="BC464" s="1392" t="n"/>
      <c r="BD464" s="1392" t="n"/>
      <c r="BE464" s="1392" t="n"/>
      <c r="BF464" s="1392" t="n"/>
      <c r="BG464" s="1392" t="n"/>
      <c r="BH464" s="1392" t="n"/>
      <c r="BI464" s="1392" t="n"/>
      <c r="BJ464" s="1392" t="n"/>
      <c r="BK464" s="1392" t="n"/>
      <c r="BL464" s="1392" t="n"/>
      <c r="BM464" s="1392" t="n"/>
      <c r="BN464" s="1392" t="n"/>
      <c r="BO464" s="1392" t="n"/>
      <c r="BP464" s="1392" t="n"/>
      <c r="BQ464" s="1392" t="n"/>
      <c r="BR464" s="1392" t="n"/>
      <c r="BS464" s="1392" t="n"/>
      <c r="BT464" s="1392" t="n"/>
      <c r="BU464" s="1416" t="n"/>
      <c r="BV464" s="1392" t="n"/>
      <c r="BW464" s="1392" t="n"/>
      <c r="BX464" s="1392" t="n"/>
      <c r="BY464" s="1392" t="n"/>
      <c r="BZ464" s="1416" t="n"/>
      <c r="CA464" s="1392" t="n"/>
      <c r="CB464" s="1392" t="n"/>
      <c r="CC464" s="1392" t="n"/>
      <c r="CD464" s="1392" t="n"/>
      <c r="CE464" s="1392" t="n"/>
      <c r="CF464" s="1392" t="n"/>
      <c r="CG464" s="1392" t="n"/>
      <c r="CH464" s="1392" t="n"/>
      <c r="CI464" s="1392" t="n"/>
      <c r="CJ464" s="1392" t="n"/>
      <c r="CK464" s="1392" t="n"/>
      <c r="CL464" s="1392" t="n"/>
    </row>
    <row r="465">
      <c r="A465" s="5" t="inlineStr">
        <is>
          <t>.</t>
        </is>
      </c>
      <c r="B465" s="5" t="inlineStr">
        <is>
          <t>.</t>
        </is>
      </c>
      <c r="C465" s="1378">
        <f>IF(raw[[#This Row],[city]]="","-",IF(raw[[#This Row],[city]]="TODAY","-",C464+1))</f>
        <v/>
      </c>
      <c r="D465" s="1393" t="inlineStr">
        <is>
          <t>London</t>
        </is>
      </c>
      <c r="E465" s="1394" t="n">
        <v>35941</v>
      </c>
      <c r="F465" s="1394" t="n">
        <v>35947</v>
      </c>
      <c r="G465" s="1393" t="inlineStr">
        <is>
          <t>-</t>
        </is>
      </c>
      <c r="H465" s="1393">
        <f>H464</f>
        <v/>
      </c>
      <c r="I465" s="1393" t="inlineStr">
        <is>
          <t>Rato/Paulao</t>
        </is>
      </c>
      <c r="J465" s="1393" t="inlineStr">
        <is>
          <t>-</t>
        </is>
      </c>
      <c r="K465" s="1395">
        <f>IF(raw[[#This Row],[city]]&lt;&gt;"",_xlfn.XLOOKUP($D465,ccc[city],ccc[prov],"-"),"-")</f>
        <v/>
      </c>
      <c r="L465" s="1395">
        <f>IF(raw[[#This Row],[city]]&lt;&gt;"",_xlfn.XLOOKUP($D465,ccc[city],ccc[ctry],"-"),"-")</f>
        <v/>
      </c>
      <c r="M465" s="1395">
        <f>IF(raw[[#This Row],[city]]&lt;&gt;"",_xlfn.XLOOKUP($D465,ccc[city],ccc[cont],"-"),"-")</f>
        <v/>
      </c>
      <c r="N465" s="1396">
        <f>IF(raw[[#This Row],[city]]="","-",IF(raw[[#This Row],[cont]]="B",raw[[#This Row],[cont]],"W"))</f>
        <v/>
      </c>
      <c r="O465" s="1397">
        <f>IF(raw[[#This Row],[out]]=0,0,IF(raw[[#This Row],[out]]=raw[[#This Row],[in]],0.01,raw[[#This Row],[out]]-raw[[#This Row],[in]]))</f>
        <v/>
      </c>
      <c r="P465" s="1397">
        <f>IF(raw[[#This Row],[in]]=0,0,MONTH(raw[[#This Row],[in]]))</f>
        <v/>
      </c>
      <c r="Q465" s="1397">
        <f>IF(raw[[#This Row],[in]]=0,0,YEAR(raw[[#This Row],[in]]))</f>
        <v/>
      </c>
      <c r="R465" s="1397">
        <f>INT(raw[[#This Row],[yr]]/10)*10</f>
        <v/>
      </c>
      <c r="S465" s="1395">
        <f>IF(raw[[#This Row],[city]]="","-",IF(raw[[#This Row],[city]]&lt;&gt;_xlfn.XLOOKUP(raw[[#This Row],[home]],homes[home],homes[city],"-"),1,0))</f>
        <v/>
      </c>
      <c r="T465" s="1398" t="inlineStr">
        <is>
          <t>.</t>
        </is>
      </c>
      <c r="U465" s="1399">
        <f>IF(raw[[#This Row],[wb]]="w",raw[[#This Row],[stay]]+U464,U464)</f>
        <v/>
      </c>
      <c r="V465" s="1400">
        <f>IF(raw[[#This Row],[out]]=0,V464,(raw[[#This Row],[out]]-E$5))</f>
        <v/>
      </c>
      <c r="W465" s="1401">
        <f>U465/V465</f>
        <v/>
      </c>
      <c r="X465" s="1378" t="inlineStr">
        <is>
          <t>.</t>
        </is>
      </c>
      <c r="Y465" s="1402">
        <f/>
        <v/>
      </c>
      <c r="Z465" s="1403">
        <f/>
        <v/>
      </c>
      <c r="AA465" s="1403">
        <f/>
        <v/>
      </c>
      <c r="AB465" s="1400">
        <f t="array" ref="AB465">_xlfn.LET(_xlpm.S,_xlfn.ANCHORARRAY($Y$4),_xlpm.r,ROWS(stayCity[[#Headers],[city]]:stayCity[[#This Row],[city]])-1,IF(_xlpm.r&lt;=ROWS(_xlpm.S),INDEX(_xlpm.S,_xlpm.r,1),""))</f>
        <v/>
      </c>
      <c r="AC465" s="1405">
        <f t="array" ref="AC465">_xlfn.LET(_xlpm.S,_xlfn.ANCHORARRAY($Y$4),_xlpm.r,ROWS(stayCity[[#Headers],[city]]:stayCity[[#This Row],[city]])-1,IF(_xlpm.r&lt;=ROWS(_xlpm.S),INDEX(_xlpm.S,_xlpm.r,2),""))</f>
        <v/>
      </c>
      <c r="AD465" s="1405">
        <f t="array" ref="AD465">_xlfn.LET(_xlpm.S,_xlfn.ANCHORARRAY($Y$4),_xlpm.r,ROWS(stayCity[[#Headers],[city]]:stayCity[[#This Row],[city]])-1,IF(_xlpm.r&lt;=ROWS(_xlpm.S),INDEX(_xlpm.S,_xlpm.r,3),""))</f>
        <v/>
      </c>
      <c r="AE465" s="1400">
        <f>IF(stayCity[[#This Row],[out]]&lt;&gt;"",stayCity[[#This Row],[out]]-stayCity[[#This Row],[in]],"-")</f>
        <v/>
      </c>
      <c r="AF465" s="1406">
        <f>IF(Y465="","-",YEAR(stayCity[[#This Row],[in]]))</f>
        <v/>
      </c>
      <c r="AG465" s="1392" t="n"/>
      <c r="AH465" s="1392" t="n"/>
      <c r="AI465" s="1392" t="n"/>
      <c r="AJ465" s="1392" t="n"/>
      <c r="AK465" s="1392" t="n"/>
      <c r="AL465" s="1392" t="n"/>
      <c r="AM465" s="1392" t="n"/>
      <c r="AN465" s="1392" t="n"/>
      <c r="AO465" s="1392" t="n"/>
      <c r="AP465" s="1392" t="n"/>
      <c r="AQ465" s="1392" t="n"/>
      <c r="AR465" s="1392" t="n"/>
      <c r="AS465" s="1422" t="n"/>
      <c r="AT465" s="1392" t="n"/>
      <c r="AU465" s="1392" t="n"/>
      <c r="AV465" s="1392" t="n"/>
      <c r="AW465" s="1392" t="n"/>
      <c r="AX465" s="1392" t="n"/>
      <c r="AY465" s="1392" t="n"/>
      <c r="AZ465" s="1392" t="n"/>
      <c r="BA465" s="1392" t="n"/>
      <c r="BB465" s="1422" t="n"/>
      <c r="BC465" s="1392" t="n"/>
      <c r="BD465" s="1392" t="n"/>
      <c r="BE465" s="1392" t="n"/>
      <c r="BF465" s="1392" t="n"/>
      <c r="BG465" s="1392" t="n"/>
      <c r="BH465" s="1392" t="n"/>
      <c r="BI465" s="1392" t="n"/>
      <c r="BJ465" s="1392" t="n"/>
      <c r="BK465" s="1392" t="n"/>
      <c r="BL465" s="1392" t="n"/>
      <c r="BM465" s="1392" t="n"/>
      <c r="BN465" s="1392" t="n"/>
      <c r="BO465" s="1392" t="n"/>
      <c r="BP465" s="1392" t="n"/>
      <c r="BQ465" s="1392" t="n"/>
      <c r="BR465" s="1392" t="n"/>
      <c r="BS465" s="1392" t="n"/>
      <c r="BT465" s="1392" t="n"/>
      <c r="BU465" s="1416" t="n"/>
      <c r="BV465" s="1392" t="n"/>
      <c r="BW465" s="1392" t="n"/>
      <c r="BX465" s="1392" t="n"/>
      <c r="BY465" s="1392" t="n"/>
      <c r="BZ465" s="1416" t="n"/>
      <c r="CA465" s="1392" t="n"/>
      <c r="CB465" s="1392" t="n"/>
      <c r="CC465" s="1392" t="n"/>
      <c r="CD465" s="1392" t="n"/>
      <c r="CE465" s="1392" t="n"/>
      <c r="CF465" s="1392" t="n"/>
      <c r="CG465" s="1392" t="n"/>
      <c r="CH465" s="1392" t="n"/>
      <c r="CI465" s="1392" t="n"/>
      <c r="CJ465" s="1392" t="n"/>
      <c r="CK465" s="1392" t="n"/>
      <c r="CL465" s="1392" t="n"/>
    </row>
    <row r="466">
      <c r="A466" s="5" t="inlineStr">
        <is>
          <t>.</t>
        </is>
      </c>
      <c r="B466" s="5" t="inlineStr">
        <is>
          <t>.</t>
        </is>
      </c>
      <c r="C466" s="1378">
        <f>IF(raw[[#This Row],[city]]="","-",IF(raw[[#This Row],[city]]="TODAY","-",C465+1))</f>
        <v/>
      </c>
      <c r="D466" s="1393" t="inlineStr">
        <is>
          <t>London</t>
        </is>
      </c>
      <c r="E466" s="1394" t="n">
        <v>35947</v>
      </c>
      <c r="F466" s="1394" t="n">
        <v>35948</v>
      </c>
      <c r="G466" s="1393" t="inlineStr">
        <is>
          <t>-</t>
        </is>
      </c>
      <c r="H466" s="1393">
        <f>H465</f>
        <v/>
      </c>
      <c r="I466" s="1393" t="inlineStr">
        <is>
          <t>Rato/Paulao</t>
        </is>
      </c>
      <c r="J466" s="1393" t="inlineStr">
        <is>
          <t>-</t>
        </is>
      </c>
      <c r="K466" s="1395">
        <f>IF(raw[[#This Row],[city]]&lt;&gt;"",_xlfn.XLOOKUP($D466,ccc[city],ccc[prov],"-"),"-")</f>
        <v/>
      </c>
      <c r="L466" s="1395">
        <f>IF(raw[[#This Row],[city]]&lt;&gt;"",_xlfn.XLOOKUP($D466,ccc[city],ccc[ctry],"-"),"-")</f>
        <v/>
      </c>
      <c r="M466" s="1395">
        <f>IF(raw[[#This Row],[city]]&lt;&gt;"",_xlfn.XLOOKUP($D466,ccc[city],ccc[cont],"-"),"-")</f>
        <v/>
      </c>
      <c r="N466" s="1396">
        <f>IF(raw[[#This Row],[city]]="","-",IF(raw[[#This Row],[cont]]="B",raw[[#This Row],[cont]],"W"))</f>
        <v/>
      </c>
      <c r="O466" s="1397">
        <f>IF(raw[[#This Row],[out]]=0,0,IF(raw[[#This Row],[out]]=raw[[#This Row],[in]],0.01,raw[[#This Row],[out]]-raw[[#This Row],[in]]))</f>
        <v/>
      </c>
      <c r="P466" s="1397">
        <f>IF(raw[[#This Row],[in]]=0,0,MONTH(raw[[#This Row],[in]]))</f>
        <v/>
      </c>
      <c r="Q466" s="1397">
        <f>IF(raw[[#This Row],[in]]=0,0,YEAR(raw[[#This Row],[in]]))</f>
        <v/>
      </c>
      <c r="R466" s="1397">
        <f>INT(raw[[#This Row],[yr]]/10)*10</f>
        <v/>
      </c>
      <c r="S466" s="1395">
        <f>IF(raw[[#This Row],[city]]="","-",IF(raw[[#This Row],[city]]&lt;&gt;_xlfn.XLOOKUP(raw[[#This Row],[home]],homes[home],homes[city],"-"),1,0))</f>
        <v/>
      </c>
      <c r="T466" s="1398" t="inlineStr">
        <is>
          <t>.</t>
        </is>
      </c>
      <c r="U466" s="1399">
        <f>IF(raw[[#This Row],[wb]]="w",raw[[#This Row],[stay]]+U465,U465)</f>
        <v/>
      </c>
      <c r="V466" s="1400">
        <f>IF(raw[[#This Row],[out]]=0,V465,(raw[[#This Row],[out]]-E$5))</f>
        <v/>
      </c>
      <c r="W466" s="1401">
        <f>U466/V466</f>
        <v/>
      </c>
      <c r="X466" s="1378" t="inlineStr">
        <is>
          <t>.</t>
        </is>
      </c>
      <c r="Y466" s="1402">
        <f/>
        <v/>
      </c>
      <c r="Z466" s="1403">
        <f/>
        <v/>
      </c>
      <c r="AA466" s="1403">
        <f/>
        <v/>
      </c>
      <c r="AB466" s="1400">
        <f t="array" ref="AB466">_xlfn.LET(_xlpm.S,_xlfn.ANCHORARRAY($Y$4),_xlpm.r,ROWS(stayCity[[#Headers],[city]]:stayCity[[#This Row],[city]])-1,IF(_xlpm.r&lt;=ROWS(_xlpm.S),INDEX(_xlpm.S,_xlpm.r,1),""))</f>
        <v/>
      </c>
      <c r="AC466" s="1405">
        <f t="array" ref="AC466">_xlfn.LET(_xlpm.S,_xlfn.ANCHORARRAY($Y$4),_xlpm.r,ROWS(stayCity[[#Headers],[city]]:stayCity[[#This Row],[city]])-1,IF(_xlpm.r&lt;=ROWS(_xlpm.S),INDEX(_xlpm.S,_xlpm.r,2),""))</f>
        <v/>
      </c>
      <c r="AD466" s="1405">
        <f t="array" ref="AD466">_xlfn.LET(_xlpm.S,_xlfn.ANCHORARRAY($Y$4),_xlpm.r,ROWS(stayCity[[#Headers],[city]]:stayCity[[#This Row],[city]])-1,IF(_xlpm.r&lt;=ROWS(_xlpm.S),INDEX(_xlpm.S,_xlpm.r,3),""))</f>
        <v/>
      </c>
      <c r="AE466" s="1400">
        <f>IF(stayCity[[#This Row],[out]]&lt;&gt;"",stayCity[[#This Row],[out]]-stayCity[[#This Row],[in]],"-")</f>
        <v/>
      </c>
      <c r="AF466" s="1406">
        <f>IF(Y466="","-",YEAR(stayCity[[#This Row],[in]]))</f>
        <v/>
      </c>
      <c r="AG466" s="1392" t="n"/>
      <c r="AH466" s="1392" t="n"/>
      <c r="AI466" s="1392" t="n"/>
      <c r="AJ466" s="1392" t="n"/>
      <c r="AK466" s="1392" t="n"/>
      <c r="AL466" s="1392" t="n"/>
      <c r="AM466" s="1392" t="n"/>
      <c r="AN466" s="1392" t="n"/>
      <c r="AO466" s="1392" t="n"/>
      <c r="AP466" s="1392" t="n"/>
      <c r="AQ466" s="1392" t="n"/>
      <c r="AR466" s="1392" t="n"/>
      <c r="AS466" s="1422" t="n"/>
      <c r="AT466" s="1392" t="n"/>
      <c r="AU466" s="1392" t="n"/>
      <c r="AV466" s="1392" t="n"/>
      <c r="AW466" s="1392" t="n"/>
      <c r="AX466" s="1392" t="n"/>
      <c r="AY466" s="1392" t="n"/>
      <c r="AZ466" s="1392" t="n"/>
      <c r="BA466" s="1392" t="n"/>
      <c r="BB466" s="1422" t="n"/>
      <c r="BC466" s="1392" t="n"/>
      <c r="BD466" s="1392" t="n"/>
      <c r="BE466" s="1392" t="n"/>
      <c r="BF466" s="1392" t="n"/>
      <c r="BG466" s="1392" t="n"/>
      <c r="BH466" s="1392" t="n"/>
      <c r="BI466" s="1392" t="n"/>
      <c r="BJ466" s="1392" t="n"/>
      <c r="BK466" s="1392" t="n"/>
      <c r="BL466" s="1392" t="n"/>
      <c r="BM466" s="1392" t="n"/>
      <c r="BN466" s="1392" t="n"/>
      <c r="BO466" s="1392" t="n"/>
      <c r="BP466" s="1392" t="n"/>
      <c r="BQ466" s="1392" t="n"/>
      <c r="BR466" s="1392" t="n"/>
      <c r="BS466" s="1392" t="n"/>
      <c r="BT466" s="1392" t="n"/>
      <c r="BU466" s="1416" t="n"/>
      <c r="BV466" s="1392" t="n"/>
      <c r="BW466" s="1392" t="n"/>
      <c r="BX466" s="1392" t="n"/>
      <c r="BY466" s="1392" t="n"/>
      <c r="BZ466" s="1416" t="n"/>
      <c r="CA466" s="1392" t="n"/>
      <c r="CB466" s="1392" t="n"/>
      <c r="CC466" s="1392" t="n"/>
      <c r="CD466" s="1392" t="n"/>
      <c r="CE466" s="1392" t="n"/>
      <c r="CF466" s="1392" t="n"/>
      <c r="CG466" s="1392" t="n"/>
      <c r="CH466" s="1392" t="n"/>
      <c r="CI466" s="1392" t="n"/>
      <c r="CJ466" s="1392" t="n"/>
      <c r="CK466" s="1392" t="n"/>
      <c r="CL466" s="1392" t="n"/>
    </row>
    <row r="467">
      <c r="A467" s="5" t="inlineStr">
        <is>
          <t>.</t>
        </is>
      </c>
      <c r="B467" s="5" t="inlineStr">
        <is>
          <t>.</t>
        </is>
      </c>
      <c r="C467" s="1378">
        <f>IF(raw[[#This Row],[city]]="","-",IF(raw[[#This Row],[city]]="TODAY","-",C466+1))</f>
        <v/>
      </c>
      <c r="D467" s="1393" t="inlineStr">
        <is>
          <t>Paris</t>
        </is>
      </c>
      <c r="E467" s="1394" t="n">
        <v>35948</v>
      </c>
      <c r="F467" s="1394" t="n">
        <v>35977</v>
      </c>
      <c r="G467" s="1393" t="inlineStr">
        <is>
          <t>-</t>
        </is>
      </c>
      <c r="H467" s="1393">
        <f>H466</f>
        <v/>
      </c>
      <c r="I467" s="1393" t="inlineStr">
        <is>
          <t>-</t>
        </is>
      </c>
      <c r="J467" s="1393" t="inlineStr">
        <is>
          <t>-</t>
        </is>
      </c>
      <c r="K467" s="1395">
        <f>IF(raw[[#This Row],[city]]&lt;&gt;"",_xlfn.XLOOKUP($D467,ccc[city],ccc[prov],"-"),"-")</f>
        <v/>
      </c>
      <c r="L467" s="1395">
        <f>IF(raw[[#This Row],[city]]&lt;&gt;"",_xlfn.XLOOKUP($D467,ccc[city],ccc[ctry],"-"),"-")</f>
        <v/>
      </c>
      <c r="M467" s="1395">
        <f>IF(raw[[#This Row],[city]]&lt;&gt;"",_xlfn.XLOOKUP($D467,ccc[city],ccc[cont],"-"),"-")</f>
        <v/>
      </c>
      <c r="N467" s="1396">
        <f>IF(raw[[#This Row],[city]]="","-",IF(raw[[#This Row],[cont]]="B",raw[[#This Row],[cont]],"W"))</f>
        <v/>
      </c>
      <c r="O467" s="1397">
        <f>IF(raw[[#This Row],[out]]=0,0,IF(raw[[#This Row],[out]]=raw[[#This Row],[in]],0.01,raw[[#This Row],[out]]-raw[[#This Row],[in]]))</f>
        <v/>
      </c>
      <c r="P467" s="1397">
        <f>IF(raw[[#This Row],[in]]=0,0,MONTH(raw[[#This Row],[in]]))</f>
        <v/>
      </c>
      <c r="Q467" s="1397">
        <f>IF(raw[[#This Row],[in]]=0,0,YEAR(raw[[#This Row],[in]]))</f>
        <v/>
      </c>
      <c r="R467" s="1397">
        <f>INT(raw[[#This Row],[yr]]/10)*10</f>
        <v/>
      </c>
      <c r="S467" s="1395">
        <f>IF(raw[[#This Row],[city]]="","-",IF(raw[[#This Row],[city]]&lt;&gt;_xlfn.XLOOKUP(raw[[#This Row],[home]],homes[home],homes[city],"-"),1,0))</f>
        <v/>
      </c>
      <c r="T467" s="1398" t="inlineStr">
        <is>
          <t>.</t>
        </is>
      </c>
      <c r="U467" s="1399">
        <f>IF(raw[[#This Row],[wb]]="w",raw[[#This Row],[stay]]+U466,U466)</f>
        <v/>
      </c>
      <c r="V467" s="1400">
        <f>IF(raw[[#This Row],[out]]=0,V466,(raw[[#This Row],[out]]-E$5))</f>
        <v/>
      </c>
      <c r="W467" s="1401">
        <f>U467/V467</f>
        <v/>
      </c>
      <c r="X467" s="1378" t="inlineStr">
        <is>
          <t>.</t>
        </is>
      </c>
      <c r="Y467" s="1402">
        <f/>
        <v/>
      </c>
      <c r="Z467" s="1403">
        <f/>
        <v/>
      </c>
      <c r="AA467" s="1403">
        <f/>
        <v/>
      </c>
      <c r="AB467" s="1400">
        <f t="array" ref="AB467">_xlfn.LET(_xlpm.S,_xlfn.ANCHORARRAY($Y$4),_xlpm.r,ROWS(stayCity[[#Headers],[city]]:stayCity[[#This Row],[city]])-1,IF(_xlpm.r&lt;=ROWS(_xlpm.S),INDEX(_xlpm.S,_xlpm.r,1),""))</f>
        <v/>
      </c>
      <c r="AC467" s="1405">
        <f t="array" ref="AC467">_xlfn.LET(_xlpm.S,_xlfn.ANCHORARRAY($Y$4),_xlpm.r,ROWS(stayCity[[#Headers],[city]]:stayCity[[#This Row],[city]])-1,IF(_xlpm.r&lt;=ROWS(_xlpm.S),INDEX(_xlpm.S,_xlpm.r,2),""))</f>
        <v/>
      </c>
      <c r="AD467" s="1405">
        <f t="array" ref="AD467">_xlfn.LET(_xlpm.S,_xlfn.ANCHORARRAY($Y$4),_xlpm.r,ROWS(stayCity[[#Headers],[city]]:stayCity[[#This Row],[city]])-1,IF(_xlpm.r&lt;=ROWS(_xlpm.S),INDEX(_xlpm.S,_xlpm.r,3),""))</f>
        <v/>
      </c>
      <c r="AE467" s="1400">
        <f>IF(stayCity[[#This Row],[out]]&lt;&gt;"",stayCity[[#This Row],[out]]-stayCity[[#This Row],[in]],"-")</f>
        <v/>
      </c>
      <c r="AF467" s="1406">
        <f>IF(Y467="","-",YEAR(stayCity[[#This Row],[in]]))</f>
        <v/>
      </c>
      <c r="AG467" s="1392" t="n"/>
      <c r="AH467" s="1392" t="n"/>
      <c r="AI467" s="1392" t="n"/>
      <c r="AJ467" s="1392" t="n"/>
      <c r="AK467" s="1392" t="n"/>
      <c r="AL467" s="1392" t="n"/>
      <c r="AM467" s="1392" t="n"/>
      <c r="AN467" s="1392" t="n"/>
      <c r="AO467" s="1392" t="n"/>
      <c r="AP467" s="1392" t="n"/>
      <c r="AQ467" s="1392" t="n"/>
      <c r="AR467" s="1392" t="n"/>
      <c r="AS467" s="1422" t="n"/>
      <c r="AT467" s="1392" t="n"/>
      <c r="AU467" s="1392" t="n"/>
      <c r="AV467" s="1392" t="n"/>
      <c r="AW467" s="1392" t="n"/>
      <c r="AX467" s="1392" t="n"/>
      <c r="AY467" s="1392" t="n"/>
      <c r="AZ467" s="1392" t="n"/>
      <c r="BA467" s="1392" t="n"/>
      <c r="BB467" s="1422" t="n"/>
      <c r="BC467" s="1392" t="n"/>
      <c r="BD467" s="1392" t="n"/>
      <c r="BE467" s="1392" t="n"/>
      <c r="BF467" s="1392" t="n"/>
      <c r="BG467" s="1392" t="n"/>
      <c r="BH467" s="1392" t="n"/>
      <c r="BI467" s="1392" t="n"/>
      <c r="BJ467" s="1392" t="n"/>
      <c r="BK467" s="1392" t="n"/>
      <c r="BL467" s="1392" t="n"/>
      <c r="BM467" s="1392" t="n"/>
      <c r="BN467" s="1392" t="n"/>
      <c r="BO467" s="1392" t="n"/>
      <c r="BP467" s="1392" t="n"/>
      <c r="BQ467" s="1392" t="n"/>
      <c r="BR467" s="1392" t="n"/>
      <c r="BS467" s="1392" t="n"/>
      <c r="BT467" s="1392" t="n"/>
      <c r="BU467" s="1416" t="n"/>
      <c r="BV467" s="1392" t="n"/>
      <c r="BW467" s="1392" t="n"/>
      <c r="BX467" s="1392" t="n"/>
      <c r="BY467" s="1392" t="n"/>
      <c r="BZ467" s="1416" t="n"/>
      <c r="CA467" s="1392" t="n"/>
      <c r="CB467" s="1392" t="n"/>
      <c r="CC467" s="1392" t="n"/>
      <c r="CD467" s="1392" t="n"/>
      <c r="CE467" s="1392" t="n"/>
      <c r="CF467" s="1392" t="n"/>
      <c r="CG467" s="1392" t="n"/>
      <c r="CH467" s="1392" t="n"/>
      <c r="CI467" s="1392" t="n"/>
      <c r="CJ467" s="1392" t="n"/>
      <c r="CK467" s="1392" t="n"/>
      <c r="CL467" s="1392" t="n"/>
    </row>
    <row r="468">
      <c r="A468" s="5" t="inlineStr">
        <is>
          <t>.</t>
        </is>
      </c>
      <c r="B468" s="5" t="inlineStr">
        <is>
          <t>.</t>
        </is>
      </c>
      <c r="C468" s="1378">
        <f>IF(raw[[#This Row],[city]]="","-",IF(raw[[#This Row],[city]]="TODAY","-",C467+1))</f>
        <v/>
      </c>
      <c r="D468" s="1393" t="inlineStr">
        <is>
          <t>Bruxelas</t>
        </is>
      </c>
      <c r="E468" s="1394" t="n">
        <v>35977</v>
      </c>
      <c r="F468" s="1394" t="n">
        <v>35978</v>
      </c>
      <c r="G468" s="1393" t="inlineStr">
        <is>
          <t>-</t>
        </is>
      </c>
      <c r="H468" s="1393">
        <f>H467</f>
        <v/>
      </c>
      <c r="I468" s="1393" t="inlineStr">
        <is>
          <t>-</t>
        </is>
      </c>
      <c r="J468" s="1393" t="inlineStr">
        <is>
          <t>-</t>
        </is>
      </c>
      <c r="K468" s="1395">
        <f>IF(raw[[#This Row],[city]]&lt;&gt;"",_xlfn.XLOOKUP($D468,ccc[city],ccc[prov],"-"),"-")</f>
        <v/>
      </c>
      <c r="L468" s="1395">
        <f>IF(raw[[#This Row],[city]]&lt;&gt;"",_xlfn.XLOOKUP($D468,ccc[city],ccc[ctry],"-"),"-")</f>
        <v/>
      </c>
      <c r="M468" s="1395">
        <f>IF(raw[[#This Row],[city]]&lt;&gt;"",_xlfn.XLOOKUP($D468,ccc[city],ccc[cont],"-"),"-")</f>
        <v/>
      </c>
      <c r="N468" s="1396">
        <f>IF(raw[[#This Row],[city]]="","-",IF(raw[[#This Row],[cont]]="B",raw[[#This Row],[cont]],"W"))</f>
        <v/>
      </c>
      <c r="O468" s="1397">
        <f>IF(raw[[#This Row],[out]]=0,0,IF(raw[[#This Row],[out]]=raw[[#This Row],[in]],0.01,raw[[#This Row],[out]]-raw[[#This Row],[in]]))</f>
        <v/>
      </c>
      <c r="P468" s="1397">
        <f>IF(raw[[#This Row],[in]]=0,0,MONTH(raw[[#This Row],[in]]))</f>
        <v/>
      </c>
      <c r="Q468" s="1397">
        <f>IF(raw[[#This Row],[in]]=0,0,YEAR(raw[[#This Row],[in]]))</f>
        <v/>
      </c>
      <c r="R468" s="1397">
        <f>INT(raw[[#This Row],[yr]]/10)*10</f>
        <v/>
      </c>
      <c r="S468" s="1395">
        <f>IF(raw[[#This Row],[city]]="","-",IF(raw[[#This Row],[city]]&lt;&gt;_xlfn.XLOOKUP(raw[[#This Row],[home]],homes[home],homes[city],"-"),1,0))</f>
        <v/>
      </c>
      <c r="T468" s="1398" t="inlineStr">
        <is>
          <t>.</t>
        </is>
      </c>
      <c r="U468" s="1399">
        <f>IF(raw[[#This Row],[wb]]="w",raw[[#This Row],[stay]]+U467,U467)</f>
        <v/>
      </c>
      <c r="V468" s="1400">
        <f>IF(raw[[#This Row],[out]]=0,V467,(raw[[#This Row],[out]]-E$5))</f>
        <v/>
      </c>
      <c r="W468" s="1401">
        <f>U468/V468</f>
        <v/>
      </c>
      <c r="X468" s="1378" t="inlineStr">
        <is>
          <t>.</t>
        </is>
      </c>
      <c r="Y468" s="1402">
        <f/>
        <v/>
      </c>
      <c r="Z468" s="1403">
        <f/>
        <v/>
      </c>
      <c r="AA468" s="1403">
        <f/>
        <v/>
      </c>
      <c r="AB468" s="1400">
        <f t="array" ref="AB468">_xlfn.LET(_xlpm.S,_xlfn.ANCHORARRAY($Y$4),_xlpm.r,ROWS(stayCity[[#Headers],[city]]:stayCity[[#This Row],[city]])-1,IF(_xlpm.r&lt;=ROWS(_xlpm.S),INDEX(_xlpm.S,_xlpm.r,1),""))</f>
        <v/>
      </c>
      <c r="AC468" s="1405">
        <f t="array" ref="AC468">_xlfn.LET(_xlpm.S,_xlfn.ANCHORARRAY($Y$4),_xlpm.r,ROWS(stayCity[[#Headers],[city]]:stayCity[[#This Row],[city]])-1,IF(_xlpm.r&lt;=ROWS(_xlpm.S),INDEX(_xlpm.S,_xlpm.r,2),""))</f>
        <v/>
      </c>
      <c r="AD468" s="1405">
        <f t="array" ref="AD468">_xlfn.LET(_xlpm.S,_xlfn.ANCHORARRAY($Y$4),_xlpm.r,ROWS(stayCity[[#Headers],[city]]:stayCity[[#This Row],[city]])-1,IF(_xlpm.r&lt;=ROWS(_xlpm.S),INDEX(_xlpm.S,_xlpm.r,3),""))</f>
        <v/>
      </c>
      <c r="AE468" s="1400">
        <f>IF(stayCity[[#This Row],[out]]&lt;&gt;"",stayCity[[#This Row],[out]]-stayCity[[#This Row],[in]],"-")</f>
        <v/>
      </c>
      <c r="AF468" s="1406">
        <f>IF(Y468="","-",YEAR(stayCity[[#This Row],[in]]))</f>
        <v/>
      </c>
      <c r="AG468" s="1392" t="n"/>
      <c r="AH468" s="1392" t="n"/>
      <c r="AI468" s="1392" t="n"/>
      <c r="AJ468" s="1392" t="n"/>
      <c r="AK468" s="1392" t="n"/>
      <c r="AL468" s="1392" t="n"/>
      <c r="AM468" s="1392" t="n"/>
      <c r="AN468" s="1392" t="n"/>
      <c r="AO468" s="1392" t="n"/>
      <c r="AP468" s="1392" t="n"/>
      <c r="AQ468" s="1392" t="n"/>
      <c r="AR468" s="1392" t="n"/>
      <c r="AS468" s="1422" t="n"/>
      <c r="AT468" s="1392" t="n"/>
      <c r="AU468" s="1392" t="n"/>
      <c r="AV468" s="1392" t="n"/>
      <c r="AW468" s="1392" t="n"/>
      <c r="AX468" s="1392" t="n"/>
      <c r="AY468" s="1392" t="n"/>
      <c r="AZ468" s="1392" t="n"/>
      <c r="BA468" s="1392" t="n"/>
      <c r="BB468" s="1422" t="n"/>
      <c r="BC468" s="1392" t="n"/>
      <c r="BD468" s="1392" t="n"/>
      <c r="BE468" s="1392" t="n"/>
      <c r="BF468" s="1392" t="n"/>
      <c r="BG468" s="1392" t="n"/>
      <c r="BH468" s="1392" t="n"/>
      <c r="BI468" s="1392" t="n"/>
      <c r="BJ468" s="1392" t="n"/>
      <c r="BK468" s="1392" t="n"/>
      <c r="BL468" s="1392" t="n"/>
      <c r="BM468" s="1392" t="n"/>
      <c r="BN468" s="1392" t="n"/>
      <c r="BO468" s="1392" t="n"/>
      <c r="BP468" s="1392" t="n"/>
      <c r="BQ468" s="1392" t="n"/>
      <c r="BR468" s="1392" t="n"/>
      <c r="BS468" s="1392" t="n"/>
      <c r="BT468" s="1392" t="n"/>
      <c r="BU468" s="1416" t="n"/>
      <c r="BV468" s="1392" t="n"/>
      <c r="BW468" s="1392" t="n"/>
      <c r="BX468" s="1392" t="n"/>
      <c r="BY468" s="1392" t="n"/>
      <c r="BZ468" s="1416" t="n"/>
      <c r="CA468" s="1392" t="n"/>
      <c r="CB468" s="1392" t="n"/>
      <c r="CC468" s="1392" t="n"/>
      <c r="CD468" s="1392" t="n"/>
      <c r="CE468" s="1392" t="n"/>
      <c r="CF468" s="1392" t="n"/>
      <c r="CG468" s="1392" t="n"/>
      <c r="CH468" s="1392" t="n"/>
      <c r="CI468" s="1392" t="n"/>
      <c r="CJ468" s="1392" t="n"/>
      <c r="CK468" s="1392" t="n"/>
      <c r="CL468" s="1392" t="n"/>
    </row>
    <row r="469">
      <c r="A469" s="5" t="inlineStr">
        <is>
          <t>.</t>
        </is>
      </c>
      <c r="B469" s="5" t="inlineStr">
        <is>
          <t>.</t>
        </is>
      </c>
      <c r="C469" s="1378">
        <f>IF(raw[[#This Row],[city]]="","-",IF(raw[[#This Row],[city]]="TODAY","-",C468+1))</f>
        <v/>
      </c>
      <c r="D469" s="1393" t="inlineStr">
        <is>
          <t>Paris</t>
        </is>
      </c>
      <c r="E469" s="1394" t="n">
        <v>35978</v>
      </c>
      <c r="F469" s="1394" t="n">
        <v>36008</v>
      </c>
      <c r="G469" s="1393" t="inlineStr">
        <is>
          <t>-</t>
        </is>
      </c>
      <c r="H469" s="1393">
        <f>H468</f>
        <v/>
      </c>
      <c r="I469" s="1393" t="inlineStr">
        <is>
          <t>-</t>
        </is>
      </c>
      <c r="J469" s="1393" t="inlineStr">
        <is>
          <t>-</t>
        </is>
      </c>
      <c r="K469" s="1395">
        <f>IF(raw[[#This Row],[city]]&lt;&gt;"",_xlfn.XLOOKUP($D469,ccc[city],ccc[prov],"-"),"-")</f>
        <v/>
      </c>
      <c r="L469" s="1395">
        <f>IF(raw[[#This Row],[city]]&lt;&gt;"",_xlfn.XLOOKUP($D469,ccc[city],ccc[ctry],"-"),"-")</f>
        <v/>
      </c>
      <c r="M469" s="1395">
        <f>IF(raw[[#This Row],[city]]&lt;&gt;"",_xlfn.XLOOKUP($D469,ccc[city],ccc[cont],"-"),"-")</f>
        <v/>
      </c>
      <c r="N469" s="1396">
        <f>IF(raw[[#This Row],[city]]="","-",IF(raw[[#This Row],[cont]]="B",raw[[#This Row],[cont]],"W"))</f>
        <v/>
      </c>
      <c r="O469" s="1397">
        <f>IF(raw[[#This Row],[out]]=0,0,IF(raw[[#This Row],[out]]=raw[[#This Row],[in]],0.01,raw[[#This Row],[out]]-raw[[#This Row],[in]]))</f>
        <v/>
      </c>
      <c r="P469" s="1397">
        <f>IF(raw[[#This Row],[in]]=0,0,MONTH(raw[[#This Row],[in]]))</f>
        <v/>
      </c>
      <c r="Q469" s="1397">
        <f>IF(raw[[#This Row],[in]]=0,0,YEAR(raw[[#This Row],[in]]))</f>
        <v/>
      </c>
      <c r="R469" s="1397">
        <f>INT(raw[[#This Row],[yr]]/10)*10</f>
        <v/>
      </c>
      <c r="S469" s="1395">
        <f>IF(raw[[#This Row],[city]]="","-",IF(raw[[#This Row],[city]]&lt;&gt;_xlfn.XLOOKUP(raw[[#This Row],[home]],homes[home],homes[city],"-"),1,0))</f>
        <v/>
      </c>
      <c r="T469" s="1398" t="inlineStr">
        <is>
          <t>.</t>
        </is>
      </c>
      <c r="U469" s="1399">
        <f>IF(raw[[#This Row],[wb]]="w",raw[[#This Row],[stay]]+U468,U468)</f>
        <v/>
      </c>
      <c r="V469" s="1400">
        <f>IF(raw[[#This Row],[out]]=0,V468,(raw[[#This Row],[out]]-E$5))</f>
        <v/>
      </c>
      <c r="W469" s="1401">
        <f>U469/V469</f>
        <v/>
      </c>
      <c r="X469" s="1378" t="inlineStr">
        <is>
          <t>.</t>
        </is>
      </c>
      <c r="Y469" s="1402">
        <f/>
        <v/>
      </c>
      <c r="Z469" s="1403">
        <f/>
        <v/>
      </c>
      <c r="AA469" s="1403">
        <f/>
        <v/>
      </c>
      <c r="AB469" s="1400">
        <f t="array" ref="AB469">_xlfn.LET(_xlpm.S,_xlfn.ANCHORARRAY($Y$4),_xlpm.r,ROWS(stayCity[[#Headers],[city]]:stayCity[[#This Row],[city]])-1,IF(_xlpm.r&lt;=ROWS(_xlpm.S),INDEX(_xlpm.S,_xlpm.r,1),""))</f>
        <v/>
      </c>
      <c r="AC469" s="1405">
        <f t="array" ref="AC469">_xlfn.LET(_xlpm.S,_xlfn.ANCHORARRAY($Y$4),_xlpm.r,ROWS(stayCity[[#Headers],[city]]:stayCity[[#This Row],[city]])-1,IF(_xlpm.r&lt;=ROWS(_xlpm.S),INDEX(_xlpm.S,_xlpm.r,2),""))</f>
        <v/>
      </c>
      <c r="AD469" s="1405">
        <f t="array" ref="AD469">_xlfn.LET(_xlpm.S,_xlfn.ANCHORARRAY($Y$4),_xlpm.r,ROWS(stayCity[[#Headers],[city]]:stayCity[[#This Row],[city]])-1,IF(_xlpm.r&lt;=ROWS(_xlpm.S),INDEX(_xlpm.S,_xlpm.r,3),""))</f>
        <v/>
      </c>
      <c r="AE469" s="1400">
        <f>IF(stayCity[[#This Row],[out]]&lt;&gt;"",stayCity[[#This Row],[out]]-stayCity[[#This Row],[in]],"-")</f>
        <v/>
      </c>
      <c r="AF469" s="1406">
        <f>IF(Y469="","-",YEAR(stayCity[[#This Row],[in]]))</f>
        <v/>
      </c>
      <c r="AG469" s="1392" t="n"/>
      <c r="AH469" s="1392" t="n"/>
      <c r="AI469" s="1392" t="n"/>
      <c r="AJ469" s="1392" t="n"/>
      <c r="AK469" s="1392" t="n"/>
      <c r="AL469" s="1392" t="n"/>
      <c r="AM469" s="1392" t="n"/>
      <c r="AN469" s="1392" t="n"/>
      <c r="AO469" s="1392" t="n"/>
      <c r="AP469" s="1392" t="n"/>
      <c r="AQ469" s="1392" t="n"/>
      <c r="AR469" s="1392" t="n"/>
      <c r="AS469" s="1422" t="n"/>
      <c r="AT469" s="1392" t="n"/>
      <c r="AU469" s="1392" t="n"/>
      <c r="AV469" s="1392" t="n"/>
      <c r="AW469" s="1392" t="n"/>
      <c r="AX469" s="1392" t="n"/>
      <c r="AY469" s="1392" t="n"/>
      <c r="AZ469" s="1392" t="n"/>
      <c r="BA469" s="1392" t="n"/>
      <c r="BB469" s="1422" t="n"/>
      <c r="BC469" s="1392" t="n"/>
      <c r="BD469" s="1392" t="n"/>
      <c r="BE469" s="1392" t="n"/>
      <c r="BF469" s="1392" t="n"/>
      <c r="BG469" s="1392" t="n"/>
      <c r="BH469" s="1392" t="n"/>
      <c r="BI469" s="1392" t="n"/>
      <c r="BJ469" s="1392" t="n"/>
      <c r="BK469" s="1392" t="n"/>
      <c r="BL469" s="1392" t="n"/>
      <c r="BM469" s="1392" t="n"/>
      <c r="BN469" s="1392" t="n"/>
      <c r="BO469" s="1392" t="n"/>
      <c r="BP469" s="1392" t="n"/>
      <c r="BQ469" s="1392" t="n"/>
      <c r="BR469" s="1392" t="n"/>
      <c r="BS469" s="1392" t="n"/>
      <c r="BT469" s="1392" t="n"/>
      <c r="BU469" s="1416" t="n"/>
      <c r="BV469" s="1392" t="n"/>
      <c r="BW469" s="1392" t="n"/>
      <c r="BX469" s="1392" t="n"/>
      <c r="BY469" s="1392" t="n"/>
      <c r="BZ469" s="1416" t="n"/>
      <c r="CA469" s="1392" t="n"/>
      <c r="CB469" s="1392" t="n"/>
      <c r="CC469" s="1392" t="n"/>
      <c r="CD469" s="1392" t="n"/>
      <c r="CE469" s="1392" t="n"/>
      <c r="CF469" s="1392" t="n"/>
      <c r="CG469" s="1392" t="n"/>
      <c r="CH469" s="1392" t="n"/>
      <c r="CI469" s="1392" t="n"/>
      <c r="CJ469" s="1392" t="n"/>
      <c r="CK469" s="1392" t="n"/>
      <c r="CL469" s="1392" t="n"/>
    </row>
    <row r="470">
      <c r="A470" s="5" t="inlineStr">
        <is>
          <t>.</t>
        </is>
      </c>
      <c r="B470" s="5" t="inlineStr">
        <is>
          <t>.</t>
        </is>
      </c>
      <c r="C470" s="1378">
        <f>IF(raw[[#This Row],[city]]="","-",IF(raw[[#This Row],[city]]="TODAY","-",C469+1))</f>
        <v/>
      </c>
      <c r="D470" s="1393" t="inlineStr">
        <is>
          <t>Paris</t>
        </is>
      </c>
      <c r="E470" s="1394" t="n">
        <v>36008</v>
      </c>
      <c r="F470" s="1394" t="n">
        <v>36011</v>
      </c>
      <c r="G470" s="1393" t="inlineStr">
        <is>
          <t>-</t>
        </is>
      </c>
      <c r="H470" s="1393" t="inlineStr">
        <is>
          <t>Buffon</t>
        </is>
      </c>
      <c r="I470" s="1393" t="inlineStr">
        <is>
          <t>-</t>
        </is>
      </c>
      <c r="J470" s="1393" t="inlineStr">
        <is>
          <t>-</t>
        </is>
      </c>
      <c r="K470" s="1395">
        <f>IF(raw[[#This Row],[city]]&lt;&gt;"",_xlfn.XLOOKUP($D470,ccc[city],ccc[prov],"-"),"-")</f>
        <v/>
      </c>
      <c r="L470" s="1395">
        <f>IF(raw[[#This Row],[city]]&lt;&gt;"",_xlfn.XLOOKUP($D470,ccc[city],ccc[ctry],"-"),"-")</f>
        <v/>
      </c>
      <c r="M470" s="1395">
        <f>IF(raw[[#This Row],[city]]&lt;&gt;"",_xlfn.XLOOKUP($D470,ccc[city],ccc[cont],"-"),"-")</f>
        <v/>
      </c>
      <c r="N470" s="1396">
        <f>IF(raw[[#This Row],[city]]="","-",IF(raw[[#This Row],[cont]]="B",raw[[#This Row],[cont]],"W"))</f>
        <v/>
      </c>
      <c r="O470" s="1397">
        <f>IF(raw[[#This Row],[out]]=0,0,IF(raw[[#This Row],[out]]=raw[[#This Row],[in]],0.01,raw[[#This Row],[out]]-raw[[#This Row],[in]]))</f>
        <v/>
      </c>
      <c r="P470" s="1397">
        <f>IF(raw[[#This Row],[in]]=0,0,MONTH(raw[[#This Row],[in]]))</f>
        <v/>
      </c>
      <c r="Q470" s="1397">
        <f>IF(raw[[#This Row],[in]]=0,0,YEAR(raw[[#This Row],[in]]))</f>
        <v/>
      </c>
      <c r="R470" s="1397">
        <f>INT(raw[[#This Row],[yr]]/10)*10</f>
        <v/>
      </c>
      <c r="S470" s="1395">
        <f>IF(raw[[#This Row],[city]]="","-",IF(raw[[#This Row],[city]]&lt;&gt;_xlfn.XLOOKUP(raw[[#This Row],[home]],homes[home],homes[city],"-"),1,0))</f>
        <v/>
      </c>
      <c r="T470" s="1398" t="inlineStr">
        <is>
          <t>.</t>
        </is>
      </c>
      <c r="U470" s="1399">
        <f>IF(raw[[#This Row],[wb]]="w",raw[[#This Row],[stay]]+U469,U469)</f>
        <v/>
      </c>
      <c r="V470" s="1400">
        <f>IF(raw[[#This Row],[out]]=0,V469,(raw[[#This Row],[out]]-E$5))</f>
        <v/>
      </c>
      <c r="W470" s="1401">
        <f>U470/V470</f>
        <v/>
      </c>
      <c r="X470" s="1378" t="inlineStr">
        <is>
          <t>.</t>
        </is>
      </c>
      <c r="Y470" s="1402">
        <f/>
        <v/>
      </c>
      <c r="Z470" s="1403">
        <f/>
        <v/>
      </c>
      <c r="AA470" s="1403">
        <f/>
        <v/>
      </c>
      <c r="AB470" s="1400">
        <f t="array" ref="AB470">_xlfn.LET(_xlpm.S,_xlfn.ANCHORARRAY($Y$4),_xlpm.r,ROWS(stayCity[[#Headers],[city]]:stayCity[[#This Row],[city]])-1,IF(_xlpm.r&lt;=ROWS(_xlpm.S),INDEX(_xlpm.S,_xlpm.r,1),""))</f>
        <v/>
      </c>
      <c r="AC470" s="1405">
        <f t="array" ref="AC470">_xlfn.LET(_xlpm.S,_xlfn.ANCHORARRAY($Y$4),_xlpm.r,ROWS(stayCity[[#Headers],[city]]:stayCity[[#This Row],[city]])-1,IF(_xlpm.r&lt;=ROWS(_xlpm.S),INDEX(_xlpm.S,_xlpm.r,2),""))</f>
        <v/>
      </c>
      <c r="AD470" s="1405">
        <f t="array" ref="AD470">_xlfn.LET(_xlpm.S,_xlfn.ANCHORARRAY($Y$4),_xlpm.r,ROWS(stayCity[[#Headers],[city]]:stayCity[[#This Row],[city]])-1,IF(_xlpm.r&lt;=ROWS(_xlpm.S),INDEX(_xlpm.S,_xlpm.r,3),""))</f>
        <v/>
      </c>
      <c r="AE470" s="1400">
        <f>IF(stayCity[[#This Row],[out]]&lt;&gt;"",stayCity[[#This Row],[out]]-stayCity[[#This Row],[in]],"-")</f>
        <v/>
      </c>
      <c r="AF470" s="1406">
        <f>IF(Y470="","-",YEAR(stayCity[[#This Row],[in]]))</f>
        <v/>
      </c>
      <c r="AG470" s="1392" t="n"/>
      <c r="AH470" s="1392" t="n"/>
      <c r="AI470" s="1392" t="n"/>
      <c r="AJ470" s="1392" t="n"/>
      <c r="AK470" s="1392" t="n"/>
      <c r="AL470" s="1392" t="n"/>
      <c r="AM470" s="1392" t="n"/>
      <c r="AN470" s="1392" t="n"/>
      <c r="AO470" s="1392" t="n"/>
      <c r="AP470" s="1392" t="n"/>
      <c r="AQ470" s="1392" t="n"/>
      <c r="AR470" s="1392" t="n"/>
      <c r="AS470" s="1422" t="n"/>
      <c r="AT470" s="1392" t="n"/>
      <c r="AU470" s="1392" t="n"/>
      <c r="AV470" s="1392" t="n"/>
      <c r="AW470" s="1392" t="n"/>
      <c r="AX470" s="1392" t="n"/>
      <c r="AY470" s="1392" t="n"/>
      <c r="AZ470" s="1392" t="n"/>
      <c r="BA470" s="1392" t="n"/>
      <c r="BB470" s="1422" t="n"/>
      <c r="BC470" s="1392" t="n"/>
      <c r="BD470" s="1392" t="n"/>
      <c r="BE470" s="1392" t="n"/>
      <c r="BF470" s="1392" t="n"/>
      <c r="BG470" s="1392" t="n"/>
      <c r="BH470" s="1392" t="n"/>
      <c r="BI470" s="1392" t="n"/>
      <c r="BJ470" s="1392" t="n"/>
      <c r="BK470" s="1392" t="n"/>
      <c r="BL470" s="1392" t="n"/>
      <c r="BM470" s="1392" t="n"/>
      <c r="BN470" s="1392" t="n"/>
      <c r="BO470" s="1392" t="n"/>
      <c r="BP470" s="1392" t="n"/>
      <c r="BQ470" s="1392" t="n"/>
      <c r="BR470" s="1392" t="n"/>
      <c r="BS470" s="1392" t="n"/>
      <c r="BT470" s="1392" t="n"/>
      <c r="BU470" s="1416" t="n"/>
      <c r="BV470" s="1392" t="n"/>
      <c r="BW470" s="1392" t="n"/>
      <c r="BX470" s="1392" t="n"/>
      <c r="BY470" s="1392" t="n"/>
      <c r="BZ470" s="1416" t="n"/>
      <c r="CA470" s="1392" t="n"/>
      <c r="CB470" s="1392" t="n"/>
      <c r="CC470" s="1392" t="n"/>
      <c r="CD470" s="1392" t="n"/>
      <c r="CE470" s="1392" t="n"/>
      <c r="CF470" s="1392" t="n"/>
      <c r="CG470" s="1392" t="n"/>
      <c r="CH470" s="1392" t="n"/>
      <c r="CI470" s="1392" t="n"/>
      <c r="CJ470" s="1392" t="n"/>
      <c r="CK470" s="1392" t="n"/>
      <c r="CL470" s="1392" t="n"/>
    </row>
    <row r="471">
      <c r="A471" s="5" t="inlineStr">
        <is>
          <t>.</t>
        </is>
      </c>
      <c r="B471" s="5" t="inlineStr">
        <is>
          <t>.</t>
        </is>
      </c>
      <c r="C471" s="1378">
        <f>IF(raw[[#This Row],[city]]="","-",IF(raw[[#This Row],[city]]="TODAY","-",C470+1))</f>
        <v/>
      </c>
      <c r="D471" s="1393" t="inlineStr">
        <is>
          <t>London</t>
        </is>
      </c>
      <c r="E471" s="1394" t="n">
        <v>36011</v>
      </c>
      <c r="F471" s="1394" t="n">
        <v>36025</v>
      </c>
      <c r="G471" s="1393" t="inlineStr">
        <is>
          <t>-</t>
        </is>
      </c>
      <c r="H471" s="1393">
        <f>H470</f>
        <v/>
      </c>
      <c r="I471" s="1393" t="inlineStr">
        <is>
          <t>Rato/Republica</t>
        </is>
      </c>
      <c r="J471" s="1393" t="inlineStr">
        <is>
          <t>-</t>
        </is>
      </c>
      <c r="K471" s="1395">
        <f>IF(raw[[#This Row],[city]]&lt;&gt;"",_xlfn.XLOOKUP($D471,ccc[city],ccc[prov],"-"),"-")</f>
        <v/>
      </c>
      <c r="L471" s="1395">
        <f>IF(raw[[#This Row],[city]]&lt;&gt;"",_xlfn.XLOOKUP($D471,ccc[city],ccc[ctry],"-"),"-")</f>
        <v/>
      </c>
      <c r="M471" s="1395">
        <f>IF(raw[[#This Row],[city]]&lt;&gt;"",_xlfn.XLOOKUP($D471,ccc[city],ccc[cont],"-"),"-")</f>
        <v/>
      </c>
      <c r="N471" s="1396">
        <f>IF(raw[[#This Row],[city]]="","-",IF(raw[[#This Row],[cont]]="B",raw[[#This Row],[cont]],"W"))</f>
        <v/>
      </c>
      <c r="O471" s="1397">
        <f>IF(raw[[#This Row],[out]]=0,0,IF(raw[[#This Row],[out]]=raw[[#This Row],[in]],0.01,raw[[#This Row],[out]]-raw[[#This Row],[in]]))</f>
        <v/>
      </c>
      <c r="P471" s="1397">
        <f>IF(raw[[#This Row],[in]]=0,0,MONTH(raw[[#This Row],[in]]))</f>
        <v/>
      </c>
      <c r="Q471" s="1397">
        <f>IF(raw[[#This Row],[in]]=0,0,YEAR(raw[[#This Row],[in]]))</f>
        <v/>
      </c>
      <c r="R471" s="1397">
        <f>INT(raw[[#This Row],[yr]]/10)*10</f>
        <v/>
      </c>
      <c r="S471" s="1395">
        <f>IF(raw[[#This Row],[city]]="","-",IF(raw[[#This Row],[city]]&lt;&gt;_xlfn.XLOOKUP(raw[[#This Row],[home]],homes[home],homes[city],"-"),1,0))</f>
        <v/>
      </c>
      <c r="T471" s="1398" t="inlineStr">
        <is>
          <t>.</t>
        </is>
      </c>
      <c r="U471" s="1399">
        <f>IF(raw[[#This Row],[wb]]="w",raw[[#This Row],[stay]]+U470,U470)</f>
        <v/>
      </c>
      <c r="V471" s="1400">
        <f>IF(raw[[#This Row],[out]]=0,V470,(raw[[#This Row],[out]]-E$5))</f>
        <v/>
      </c>
      <c r="W471" s="1401">
        <f>U471/V471</f>
        <v/>
      </c>
      <c r="X471" s="1378" t="inlineStr">
        <is>
          <t>.</t>
        </is>
      </c>
      <c r="Y471" s="1402">
        <f/>
        <v/>
      </c>
      <c r="Z471" s="1403">
        <f/>
        <v/>
      </c>
      <c r="AA471" s="1403">
        <f/>
        <v/>
      </c>
      <c r="AB471" s="1400">
        <f t="array" ref="AB471">_xlfn.LET(_xlpm.S,_xlfn.ANCHORARRAY($Y$4),_xlpm.r,ROWS(stayCity[[#Headers],[city]]:stayCity[[#This Row],[city]])-1,IF(_xlpm.r&lt;=ROWS(_xlpm.S),INDEX(_xlpm.S,_xlpm.r,1),""))</f>
        <v/>
      </c>
      <c r="AC471" s="1405">
        <f t="array" ref="AC471">_xlfn.LET(_xlpm.S,_xlfn.ANCHORARRAY($Y$4),_xlpm.r,ROWS(stayCity[[#Headers],[city]]:stayCity[[#This Row],[city]])-1,IF(_xlpm.r&lt;=ROWS(_xlpm.S),INDEX(_xlpm.S,_xlpm.r,2),""))</f>
        <v/>
      </c>
      <c r="AD471" s="1405">
        <f t="array" ref="AD471">_xlfn.LET(_xlpm.S,_xlfn.ANCHORARRAY($Y$4),_xlpm.r,ROWS(stayCity[[#Headers],[city]]:stayCity[[#This Row],[city]])-1,IF(_xlpm.r&lt;=ROWS(_xlpm.S),INDEX(_xlpm.S,_xlpm.r,3),""))</f>
        <v/>
      </c>
      <c r="AE471" s="1400">
        <f>IF(stayCity[[#This Row],[out]]&lt;&gt;"",stayCity[[#This Row],[out]]-stayCity[[#This Row],[in]],"-")</f>
        <v/>
      </c>
      <c r="AF471" s="1406">
        <f>IF(Y471="","-",YEAR(stayCity[[#This Row],[in]]))</f>
        <v/>
      </c>
      <c r="AG471" s="1392" t="n"/>
      <c r="AH471" s="1392" t="n"/>
      <c r="AI471" s="1392" t="n"/>
      <c r="AJ471" s="1392" t="n"/>
      <c r="AK471" s="1392" t="n"/>
      <c r="AL471" s="1392" t="n"/>
      <c r="AM471" s="1392" t="n"/>
      <c r="AN471" s="1392" t="n"/>
      <c r="AO471" s="1392" t="n"/>
      <c r="AP471" s="1392" t="n"/>
      <c r="AQ471" s="1392" t="n"/>
      <c r="AR471" s="1392" t="n"/>
      <c r="AS471" s="1422" t="n"/>
      <c r="AT471" s="1392" t="n"/>
      <c r="AU471" s="1392" t="n"/>
      <c r="AV471" s="1392" t="n"/>
      <c r="AW471" s="1392" t="n"/>
      <c r="AX471" s="1392" t="n"/>
      <c r="AY471" s="1392" t="n"/>
      <c r="AZ471" s="1392" t="n"/>
      <c r="BA471" s="1392" t="n"/>
      <c r="BB471" s="1422" t="n"/>
      <c r="BC471" s="1392" t="n"/>
      <c r="BD471" s="1392" t="n"/>
      <c r="BE471" s="1392" t="n"/>
      <c r="BF471" s="1392" t="n"/>
      <c r="BG471" s="1392" t="n"/>
      <c r="BH471" s="1392" t="n"/>
      <c r="BI471" s="1392" t="n"/>
      <c r="BJ471" s="1392" t="n"/>
      <c r="BK471" s="1392" t="n"/>
      <c r="BL471" s="1392" t="n"/>
      <c r="BM471" s="1392" t="n"/>
      <c r="BN471" s="1392" t="n"/>
      <c r="BO471" s="1392" t="n"/>
      <c r="BP471" s="1392" t="n"/>
      <c r="BQ471" s="1392" t="n"/>
      <c r="BR471" s="1392" t="n"/>
      <c r="BS471" s="1392" t="n"/>
      <c r="BT471" s="1392" t="n"/>
      <c r="BU471" s="1416" t="n"/>
      <c r="BV471" s="1392" t="n"/>
      <c r="BW471" s="1392" t="n"/>
      <c r="BX471" s="1392" t="n"/>
      <c r="BY471" s="1392" t="n"/>
      <c r="BZ471" s="1416" t="n"/>
      <c r="CA471" s="1392" t="n"/>
      <c r="CB471" s="1392" t="n"/>
      <c r="CC471" s="1392" t="n"/>
      <c r="CD471" s="1392" t="n"/>
      <c r="CE471" s="1392" t="n"/>
      <c r="CF471" s="1392" t="n"/>
      <c r="CG471" s="1392" t="n"/>
      <c r="CH471" s="1392" t="n"/>
      <c r="CI471" s="1392" t="n"/>
      <c r="CJ471" s="1392" t="n"/>
      <c r="CK471" s="1392" t="n"/>
      <c r="CL471" s="1392" t="n"/>
    </row>
    <row r="472">
      <c r="A472" s="5" t="inlineStr">
        <is>
          <t>.</t>
        </is>
      </c>
      <c r="B472" s="5" t="inlineStr">
        <is>
          <t>.</t>
        </is>
      </c>
      <c r="C472" s="1378">
        <f>IF(raw[[#This Row],[city]]="","-",IF(raw[[#This Row],[city]]="TODAY","-",C471+1))</f>
        <v/>
      </c>
      <c r="D472" s="1393" t="inlineStr">
        <is>
          <t>Paris</t>
        </is>
      </c>
      <c r="E472" s="1394" t="n">
        <v>36025</v>
      </c>
      <c r="F472" s="1394" t="n">
        <v>36039</v>
      </c>
      <c r="G472" s="1393" t="inlineStr">
        <is>
          <t>-</t>
        </is>
      </c>
      <c r="H472" s="1393">
        <f>H471</f>
        <v/>
      </c>
      <c r="I472" s="1393" t="inlineStr">
        <is>
          <t>-</t>
        </is>
      </c>
      <c r="J472" s="1393" t="inlineStr">
        <is>
          <t>BDAY</t>
        </is>
      </c>
      <c r="K472" s="1395">
        <f>IF(raw[[#This Row],[city]]&lt;&gt;"",_xlfn.XLOOKUP($D472,ccc[city],ccc[prov],"-"),"-")</f>
        <v/>
      </c>
      <c r="L472" s="1395">
        <f>IF(raw[[#This Row],[city]]&lt;&gt;"",_xlfn.XLOOKUP($D472,ccc[city],ccc[ctry],"-"),"-")</f>
        <v/>
      </c>
      <c r="M472" s="1395">
        <f>IF(raw[[#This Row],[city]]&lt;&gt;"",_xlfn.XLOOKUP($D472,ccc[city],ccc[cont],"-"),"-")</f>
        <v/>
      </c>
      <c r="N472" s="1396">
        <f>IF(raw[[#This Row],[city]]="","-",IF(raw[[#This Row],[cont]]="B",raw[[#This Row],[cont]],"W"))</f>
        <v/>
      </c>
      <c r="O472" s="1397">
        <f>IF(raw[[#This Row],[out]]=0,0,IF(raw[[#This Row],[out]]=raw[[#This Row],[in]],0.01,raw[[#This Row],[out]]-raw[[#This Row],[in]]))</f>
        <v/>
      </c>
      <c r="P472" s="1397">
        <f>IF(raw[[#This Row],[in]]=0,0,MONTH(raw[[#This Row],[in]]))</f>
        <v/>
      </c>
      <c r="Q472" s="1397">
        <f>IF(raw[[#This Row],[in]]=0,0,YEAR(raw[[#This Row],[in]]))</f>
        <v/>
      </c>
      <c r="R472" s="1397">
        <f>INT(raw[[#This Row],[yr]]/10)*10</f>
        <v/>
      </c>
      <c r="S472" s="1395">
        <f>IF(raw[[#This Row],[city]]="","-",IF(raw[[#This Row],[city]]&lt;&gt;_xlfn.XLOOKUP(raw[[#This Row],[home]],homes[home],homes[city],"-"),1,0))</f>
        <v/>
      </c>
      <c r="T472" s="1398" t="inlineStr">
        <is>
          <t>.</t>
        </is>
      </c>
      <c r="U472" s="1399">
        <f>IF(raw[[#This Row],[wb]]="w",raw[[#This Row],[stay]]+U471,U471)</f>
        <v/>
      </c>
      <c r="V472" s="1400">
        <f>IF(raw[[#This Row],[out]]=0,V471,(raw[[#This Row],[out]]-E$5))</f>
        <v/>
      </c>
      <c r="W472" s="1401">
        <f>U472/V472</f>
        <v/>
      </c>
      <c r="X472" s="1378" t="inlineStr">
        <is>
          <t>.</t>
        </is>
      </c>
      <c r="Y472" s="1402">
        <f/>
        <v/>
      </c>
      <c r="Z472" s="1403">
        <f/>
        <v/>
      </c>
      <c r="AA472" s="1403">
        <f/>
        <v/>
      </c>
      <c r="AB472" s="1400">
        <f t="array" ref="AB472">_xlfn.LET(_xlpm.S,_xlfn.ANCHORARRAY($Y$4),_xlpm.r,ROWS(stayCity[[#Headers],[city]]:stayCity[[#This Row],[city]])-1,IF(_xlpm.r&lt;=ROWS(_xlpm.S),INDEX(_xlpm.S,_xlpm.r,1),""))</f>
        <v/>
      </c>
      <c r="AC472" s="1405">
        <f t="array" ref="AC472">_xlfn.LET(_xlpm.S,_xlfn.ANCHORARRAY($Y$4),_xlpm.r,ROWS(stayCity[[#Headers],[city]]:stayCity[[#This Row],[city]])-1,IF(_xlpm.r&lt;=ROWS(_xlpm.S),INDEX(_xlpm.S,_xlpm.r,2),""))</f>
        <v/>
      </c>
      <c r="AD472" s="1405">
        <f t="array" ref="AD472">_xlfn.LET(_xlpm.S,_xlfn.ANCHORARRAY($Y$4),_xlpm.r,ROWS(stayCity[[#Headers],[city]]:stayCity[[#This Row],[city]])-1,IF(_xlpm.r&lt;=ROWS(_xlpm.S),INDEX(_xlpm.S,_xlpm.r,3),""))</f>
        <v/>
      </c>
      <c r="AE472" s="1400">
        <f>IF(stayCity[[#This Row],[out]]&lt;&gt;"",stayCity[[#This Row],[out]]-stayCity[[#This Row],[in]],"-")</f>
        <v/>
      </c>
      <c r="AF472" s="1406">
        <f>IF(Y472="","-",YEAR(stayCity[[#This Row],[in]]))</f>
        <v/>
      </c>
      <c r="AG472" s="1392" t="n"/>
      <c r="AH472" s="1392" t="n"/>
      <c r="AI472" s="1392" t="n"/>
      <c r="AJ472" s="1392" t="n"/>
      <c r="AK472" s="1392" t="n"/>
      <c r="AL472" s="1392" t="n"/>
      <c r="AM472" s="1392" t="n"/>
      <c r="AN472" s="1392" t="n"/>
      <c r="AO472" s="1392" t="n"/>
      <c r="AP472" s="1392" t="n"/>
      <c r="AQ472" s="1392" t="n"/>
      <c r="AR472" s="1392" t="n"/>
      <c r="AS472" s="1422" t="n"/>
      <c r="AT472" s="1392" t="n"/>
      <c r="AU472" s="1392" t="n"/>
      <c r="AV472" s="1392" t="n"/>
      <c r="AW472" s="1392" t="n"/>
      <c r="AX472" s="1392" t="n"/>
      <c r="AY472" s="1392" t="n"/>
      <c r="AZ472" s="1392" t="n"/>
      <c r="BA472" s="1392" t="n"/>
      <c r="BB472" s="1422" t="n"/>
      <c r="BC472" s="1392" t="n"/>
      <c r="BD472" s="1392" t="n"/>
      <c r="BE472" s="1392" t="n"/>
      <c r="BF472" s="1392" t="n"/>
      <c r="BG472" s="1392" t="n"/>
      <c r="BH472" s="1392" t="n"/>
      <c r="BI472" s="1392" t="n"/>
      <c r="BJ472" s="1392" t="n"/>
      <c r="BK472" s="1392" t="n"/>
      <c r="BL472" s="1392" t="n"/>
      <c r="BM472" s="1392" t="n"/>
      <c r="BN472" s="1392" t="n"/>
      <c r="BO472" s="1392" t="n"/>
      <c r="BP472" s="1392" t="n"/>
      <c r="BQ472" s="1392" t="n"/>
      <c r="BR472" s="1392" t="n"/>
      <c r="BS472" s="1392" t="n"/>
      <c r="BT472" s="1392" t="n"/>
      <c r="BU472" s="1416" t="n"/>
      <c r="BV472" s="1392" t="n"/>
      <c r="BW472" s="1392" t="n"/>
      <c r="BX472" s="1392" t="n"/>
      <c r="BY472" s="1392" t="n"/>
      <c r="BZ472" s="1416" t="n"/>
      <c r="CA472" s="1392" t="n"/>
      <c r="CB472" s="1392" t="n"/>
      <c r="CC472" s="1392" t="n"/>
      <c r="CD472" s="1392" t="n"/>
      <c r="CE472" s="1392" t="n"/>
      <c r="CF472" s="1392" t="n"/>
      <c r="CG472" s="1392" t="n"/>
      <c r="CH472" s="1392" t="n"/>
      <c r="CI472" s="1392" t="n"/>
      <c r="CJ472" s="1392" t="n"/>
      <c r="CK472" s="1392" t="n"/>
      <c r="CL472" s="1392" t="n"/>
    </row>
    <row r="473">
      <c r="A473" s="5" t="inlineStr">
        <is>
          <t>.</t>
        </is>
      </c>
      <c r="B473" s="5" t="inlineStr">
        <is>
          <t>.</t>
        </is>
      </c>
      <c r="C473" s="1378">
        <f>IF(raw[[#This Row],[city]]="","-",IF(raw[[#This Row],[city]]="TODAY","-",C472+1))</f>
        <v/>
      </c>
      <c r="D473" s="1393" t="inlineStr">
        <is>
          <t>Paris</t>
        </is>
      </c>
      <c r="E473" s="1394" t="n">
        <v>36039</v>
      </c>
      <c r="F473" s="1394" t="n">
        <v>36040</v>
      </c>
      <c r="G473" s="1393" t="inlineStr">
        <is>
          <t>-</t>
        </is>
      </c>
      <c r="H473" s="1393">
        <f>H472</f>
        <v/>
      </c>
      <c r="I473" s="1393" t="inlineStr">
        <is>
          <t>-</t>
        </is>
      </c>
      <c r="J473" s="1393" t="inlineStr">
        <is>
          <t>-</t>
        </is>
      </c>
      <c r="K473" s="1395">
        <f>IF(raw[[#This Row],[city]]&lt;&gt;"",_xlfn.XLOOKUP($D473,ccc[city],ccc[prov],"-"),"-")</f>
        <v/>
      </c>
      <c r="L473" s="1395">
        <f>IF(raw[[#This Row],[city]]&lt;&gt;"",_xlfn.XLOOKUP($D473,ccc[city],ccc[ctry],"-"),"-")</f>
        <v/>
      </c>
      <c r="M473" s="1395">
        <f>IF(raw[[#This Row],[city]]&lt;&gt;"",_xlfn.XLOOKUP($D473,ccc[city],ccc[cont],"-"),"-")</f>
        <v/>
      </c>
      <c r="N473" s="1396">
        <f>IF(raw[[#This Row],[city]]="","-",IF(raw[[#This Row],[cont]]="B",raw[[#This Row],[cont]],"W"))</f>
        <v/>
      </c>
      <c r="O473" s="1397">
        <f>IF(raw[[#This Row],[out]]=0,0,IF(raw[[#This Row],[out]]=raw[[#This Row],[in]],0.01,raw[[#This Row],[out]]-raw[[#This Row],[in]]))</f>
        <v/>
      </c>
      <c r="P473" s="1397">
        <f>IF(raw[[#This Row],[in]]=0,0,MONTH(raw[[#This Row],[in]]))</f>
        <v/>
      </c>
      <c r="Q473" s="1397">
        <f>IF(raw[[#This Row],[in]]=0,0,YEAR(raw[[#This Row],[in]]))</f>
        <v/>
      </c>
      <c r="R473" s="1397">
        <f>INT(raw[[#This Row],[yr]]/10)*10</f>
        <v/>
      </c>
      <c r="S473" s="1395">
        <f>IF(raw[[#This Row],[city]]="","-",IF(raw[[#This Row],[city]]&lt;&gt;_xlfn.XLOOKUP(raw[[#This Row],[home]],homes[home],homes[city],"-"),1,0))</f>
        <v/>
      </c>
      <c r="T473" s="1398" t="inlineStr">
        <is>
          <t>.</t>
        </is>
      </c>
      <c r="U473" s="1399">
        <f>IF(raw[[#This Row],[wb]]="w",raw[[#This Row],[stay]]+U472,U472)</f>
        <v/>
      </c>
      <c r="V473" s="1400">
        <f>IF(raw[[#This Row],[out]]=0,V472,(raw[[#This Row],[out]]-E$5))</f>
        <v/>
      </c>
      <c r="W473" s="1401">
        <f>U473/V473</f>
        <v/>
      </c>
      <c r="X473" s="1378" t="inlineStr">
        <is>
          <t>.</t>
        </is>
      </c>
      <c r="Y473" s="1402">
        <f/>
        <v/>
      </c>
      <c r="Z473" s="1403">
        <f/>
        <v/>
      </c>
      <c r="AA473" s="1403">
        <f/>
        <v/>
      </c>
      <c r="AB473" s="1400">
        <f t="array" ref="AB473">_xlfn.LET(_xlpm.S,_xlfn.ANCHORARRAY($Y$4),_xlpm.r,ROWS(stayCity[[#Headers],[city]]:stayCity[[#This Row],[city]])-1,IF(_xlpm.r&lt;=ROWS(_xlpm.S),INDEX(_xlpm.S,_xlpm.r,1),""))</f>
        <v/>
      </c>
      <c r="AC473" s="1405">
        <f t="array" ref="AC473">_xlfn.LET(_xlpm.S,_xlfn.ANCHORARRAY($Y$4),_xlpm.r,ROWS(stayCity[[#Headers],[city]]:stayCity[[#This Row],[city]])-1,IF(_xlpm.r&lt;=ROWS(_xlpm.S),INDEX(_xlpm.S,_xlpm.r,2),""))</f>
        <v/>
      </c>
      <c r="AD473" s="1405">
        <f t="array" ref="AD473">_xlfn.LET(_xlpm.S,_xlfn.ANCHORARRAY($Y$4),_xlpm.r,ROWS(stayCity[[#Headers],[city]]:stayCity[[#This Row],[city]])-1,IF(_xlpm.r&lt;=ROWS(_xlpm.S),INDEX(_xlpm.S,_xlpm.r,3),""))</f>
        <v/>
      </c>
      <c r="AE473" s="1400">
        <f>IF(stayCity[[#This Row],[out]]&lt;&gt;"",stayCity[[#This Row],[out]]-stayCity[[#This Row],[in]],"-")</f>
        <v/>
      </c>
      <c r="AF473" s="1406">
        <f>IF(Y473="","-",YEAR(stayCity[[#This Row],[in]]))</f>
        <v/>
      </c>
      <c r="AG473" s="1392" t="n"/>
      <c r="AH473" s="1392" t="n"/>
      <c r="AI473" s="1392" t="n"/>
      <c r="AJ473" s="1392" t="n"/>
      <c r="AK473" s="1392" t="n"/>
      <c r="AL473" s="1392" t="n"/>
      <c r="AM473" s="1392" t="n"/>
      <c r="AN473" s="1392" t="n"/>
      <c r="AO473" s="1392" t="n"/>
      <c r="AP473" s="1392" t="n"/>
      <c r="AQ473" s="1392" t="n"/>
      <c r="AR473" s="1392" t="n"/>
      <c r="AS473" s="1422" t="n"/>
      <c r="AT473" s="1392" t="n"/>
      <c r="AU473" s="1392" t="n"/>
      <c r="AV473" s="1392" t="n"/>
      <c r="AW473" s="1392" t="n"/>
      <c r="AX473" s="1392" t="n"/>
      <c r="AY473" s="1392" t="n"/>
      <c r="AZ473" s="1392" t="n"/>
      <c r="BA473" s="1392" t="n"/>
      <c r="BB473" s="1422" t="n"/>
      <c r="BC473" s="1392" t="n"/>
      <c r="BD473" s="1392" t="n"/>
      <c r="BE473" s="1392" t="n"/>
      <c r="BF473" s="1392" t="n"/>
      <c r="BG473" s="1392" t="n"/>
      <c r="BH473" s="1392" t="n"/>
      <c r="BI473" s="1392" t="n"/>
      <c r="BJ473" s="1392" t="n"/>
      <c r="BK473" s="1392" t="n"/>
      <c r="BL473" s="1392" t="n"/>
      <c r="BM473" s="1392" t="n"/>
      <c r="BN473" s="1392" t="n"/>
      <c r="BO473" s="1392" t="n"/>
      <c r="BP473" s="1392" t="n"/>
      <c r="BQ473" s="1392" t="n"/>
      <c r="BR473" s="1392" t="n"/>
      <c r="BS473" s="1392" t="n"/>
      <c r="BT473" s="1392" t="n"/>
      <c r="BU473" s="1416" t="n"/>
      <c r="BV473" s="1392" t="n"/>
      <c r="BW473" s="1392" t="n"/>
      <c r="BX473" s="1392" t="n"/>
      <c r="BY473" s="1392" t="n"/>
      <c r="BZ473" s="1416" t="n"/>
      <c r="CA473" s="1392" t="n"/>
      <c r="CB473" s="1392" t="n"/>
      <c r="CC473" s="1392" t="n"/>
      <c r="CD473" s="1392" t="n"/>
      <c r="CE473" s="1392" t="n"/>
      <c r="CF473" s="1392" t="n"/>
      <c r="CG473" s="1392" t="n"/>
      <c r="CH473" s="1392" t="n"/>
      <c r="CI473" s="1392" t="n"/>
      <c r="CJ473" s="1392" t="n"/>
      <c r="CK473" s="1392" t="n"/>
      <c r="CL473" s="1392" t="n"/>
    </row>
    <row r="474">
      <c r="A474" s="5" t="inlineStr">
        <is>
          <t>.</t>
        </is>
      </c>
      <c r="B474" s="5" t="inlineStr">
        <is>
          <t>.</t>
        </is>
      </c>
      <c r="C474" s="1378">
        <f>IF(raw[[#This Row],[city]]="","-",IF(raw[[#This Row],[city]]="TODAY","-",C473+1))</f>
        <v/>
      </c>
      <c r="D474" s="1393" t="inlineStr">
        <is>
          <t>London</t>
        </is>
      </c>
      <c r="E474" s="1394" t="n">
        <v>36040</v>
      </c>
      <c r="F474" s="1394" t="n">
        <v>36051</v>
      </c>
      <c r="G474" s="1393" t="inlineStr">
        <is>
          <t>-</t>
        </is>
      </c>
      <c r="H474" s="1393">
        <f>H473</f>
        <v/>
      </c>
      <c r="I474" s="1393" t="inlineStr">
        <is>
          <t>David's</t>
        </is>
      </c>
      <c r="J474" s="1393" t="inlineStr">
        <is>
          <t>-</t>
        </is>
      </c>
      <c r="K474" s="1395">
        <f>IF(raw[[#This Row],[city]]&lt;&gt;"",_xlfn.XLOOKUP($D474,ccc[city],ccc[prov],"-"),"-")</f>
        <v/>
      </c>
      <c r="L474" s="1395">
        <f>IF(raw[[#This Row],[city]]&lt;&gt;"",_xlfn.XLOOKUP($D474,ccc[city],ccc[ctry],"-"),"-")</f>
        <v/>
      </c>
      <c r="M474" s="1395">
        <f>IF(raw[[#This Row],[city]]&lt;&gt;"",_xlfn.XLOOKUP($D474,ccc[city],ccc[cont],"-"),"-")</f>
        <v/>
      </c>
      <c r="N474" s="1396">
        <f>IF(raw[[#This Row],[city]]="","-",IF(raw[[#This Row],[cont]]="B",raw[[#This Row],[cont]],"W"))</f>
        <v/>
      </c>
      <c r="O474" s="1397">
        <f>IF(raw[[#This Row],[out]]=0,0,IF(raw[[#This Row],[out]]=raw[[#This Row],[in]],0.01,raw[[#This Row],[out]]-raw[[#This Row],[in]]))</f>
        <v/>
      </c>
      <c r="P474" s="1397">
        <f>IF(raw[[#This Row],[in]]=0,0,MONTH(raw[[#This Row],[in]]))</f>
        <v/>
      </c>
      <c r="Q474" s="1397">
        <f>IF(raw[[#This Row],[in]]=0,0,YEAR(raw[[#This Row],[in]]))</f>
        <v/>
      </c>
      <c r="R474" s="1397">
        <f>INT(raw[[#This Row],[yr]]/10)*10</f>
        <v/>
      </c>
      <c r="S474" s="1395">
        <f>IF(raw[[#This Row],[city]]="","-",IF(raw[[#This Row],[city]]&lt;&gt;_xlfn.XLOOKUP(raw[[#This Row],[home]],homes[home],homes[city],"-"),1,0))</f>
        <v/>
      </c>
      <c r="T474" s="1398" t="inlineStr">
        <is>
          <t>.</t>
        </is>
      </c>
      <c r="U474" s="1399">
        <f>IF(raw[[#This Row],[wb]]="w",raw[[#This Row],[stay]]+U473,U473)</f>
        <v/>
      </c>
      <c r="V474" s="1400">
        <f>IF(raw[[#This Row],[out]]=0,V473,(raw[[#This Row],[out]]-E$5))</f>
        <v/>
      </c>
      <c r="W474" s="1401">
        <f>U474/V474</f>
        <v/>
      </c>
      <c r="X474" s="1378" t="inlineStr">
        <is>
          <t>.</t>
        </is>
      </c>
      <c r="Y474" s="1402">
        <f/>
        <v/>
      </c>
      <c r="Z474" s="1403">
        <f/>
        <v/>
      </c>
      <c r="AA474" s="1403">
        <f/>
        <v/>
      </c>
      <c r="AB474" s="1400">
        <f t="array" ref="AB474">_xlfn.LET(_xlpm.S,_xlfn.ANCHORARRAY($Y$4),_xlpm.r,ROWS(stayCity[[#Headers],[city]]:stayCity[[#This Row],[city]])-1,IF(_xlpm.r&lt;=ROWS(_xlpm.S),INDEX(_xlpm.S,_xlpm.r,1),""))</f>
        <v/>
      </c>
      <c r="AC474" s="1405">
        <f t="array" ref="AC474">_xlfn.LET(_xlpm.S,_xlfn.ANCHORARRAY($Y$4),_xlpm.r,ROWS(stayCity[[#Headers],[city]]:stayCity[[#This Row],[city]])-1,IF(_xlpm.r&lt;=ROWS(_xlpm.S),INDEX(_xlpm.S,_xlpm.r,2),""))</f>
        <v/>
      </c>
      <c r="AD474" s="1405">
        <f t="array" ref="AD474">_xlfn.LET(_xlpm.S,_xlfn.ANCHORARRAY($Y$4),_xlpm.r,ROWS(stayCity[[#Headers],[city]]:stayCity[[#This Row],[city]])-1,IF(_xlpm.r&lt;=ROWS(_xlpm.S),INDEX(_xlpm.S,_xlpm.r,3),""))</f>
        <v/>
      </c>
      <c r="AE474" s="1400">
        <f>IF(stayCity[[#This Row],[out]]&lt;&gt;"",stayCity[[#This Row],[out]]-stayCity[[#This Row],[in]],"-")</f>
        <v/>
      </c>
      <c r="AF474" s="1406">
        <f>IF(Y474="","-",YEAR(stayCity[[#This Row],[in]]))</f>
        <v/>
      </c>
      <c r="AG474" s="1392" t="n"/>
      <c r="AH474" s="1392" t="n"/>
      <c r="AI474" s="1392" t="n"/>
      <c r="AJ474" s="1392" t="n"/>
      <c r="AK474" s="1392" t="n"/>
      <c r="AL474" s="1392" t="n"/>
      <c r="AM474" s="1392" t="n"/>
      <c r="AN474" s="1392" t="n"/>
      <c r="AO474" s="1392" t="n"/>
      <c r="AP474" s="1392" t="n"/>
      <c r="AQ474" s="1392" t="n"/>
      <c r="AR474" s="1392" t="n"/>
      <c r="AS474" s="1422" t="n"/>
      <c r="AT474" s="1392" t="n"/>
      <c r="AU474" s="1392" t="n"/>
      <c r="AV474" s="1392" t="n"/>
      <c r="AW474" s="1392" t="n"/>
      <c r="AX474" s="1392" t="n"/>
      <c r="AY474" s="1392" t="n"/>
      <c r="AZ474" s="1392" t="n"/>
      <c r="BA474" s="1392" t="n"/>
      <c r="BB474" s="1422" t="n"/>
      <c r="BC474" s="1392" t="n"/>
      <c r="BD474" s="1392" t="n"/>
      <c r="BE474" s="1392" t="n"/>
      <c r="BF474" s="1392" t="n"/>
      <c r="BG474" s="1392" t="n"/>
      <c r="BH474" s="1392" t="n"/>
      <c r="BI474" s="1392" t="n"/>
      <c r="BJ474" s="1392" t="n"/>
      <c r="BK474" s="1392" t="n"/>
      <c r="BL474" s="1392" t="n"/>
      <c r="BM474" s="1392" t="n"/>
      <c r="BN474" s="1392" t="n"/>
      <c r="BO474" s="1392" t="n"/>
      <c r="BP474" s="1392" t="n"/>
      <c r="BQ474" s="1392" t="n"/>
      <c r="BR474" s="1392" t="n"/>
      <c r="BS474" s="1392" t="n"/>
      <c r="BT474" s="1392" t="n"/>
      <c r="BU474" s="1416" t="n"/>
      <c r="BV474" s="1392" t="n"/>
      <c r="BW474" s="1392" t="n"/>
      <c r="BX474" s="1392" t="n"/>
      <c r="BY474" s="1392" t="n"/>
      <c r="BZ474" s="1416" t="n"/>
      <c r="CA474" s="1392" t="n"/>
      <c r="CB474" s="1392" t="n"/>
      <c r="CC474" s="1392" t="n"/>
      <c r="CD474" s="1392" t="n"/>
      <c r="CE474" s="1392" t="n"/>
      <c r="CF474" s="1392" t="n"/>
      <c r="CG474" s="1392" t="n"/>
      <c r="CH474" s="1392" t="n"/>
      <c r="CI474" s="1392" t="n"/>
      <c r="CJ474" s="1392" t="n"/>
      <c r="CK474" s="1392" t="n"/>
      <c r="CL474" s="1392" t="n"/>
    </row>
    <row r="475">
      <c r="A475" s="5" t="inlineStr">
        <is>
          <t>.</t>
        </is>
      </c>
      <c r="B475" s="5" t="inlineStr">
        <is>
          <t>.</t>
        </is>
      </c>
      <c r="C475" s="1378">
        <f>IF(raw[[#This Row],[city]]="","-",IF(raw[[#This Row],[city]]="TODAY","-",C474+1))</f>
        <v/>
      </c>
      <c r="D475" s="1393" t="inlineStr">
        <is>
          <t>Paris</t>
        </is>
      </c>
      <c r="E475" s="1394" t="n">
        <v>36051</v>
      </c>
      <c r="F475" s="1394" t="n">
        <v>36052</v>
      </c>
      <c r="G475" s="1393" t="inlineStr">
        <is>
          <t>-</t>
        </is>
      </c>
      <c r="H475" s="1393">
        <f>H474</f>
        <v/>
      </c>
      <c r="I475" s="1393" t="inlineStr">
        <is>
          <t>-</t>
        </is>
      </c>
      <c r="J475" s="1393" t="inlineStr">
        <is>
          <t>-</t>
        </is>
      </c>
      <c r="K475" s="1395">
        <f>IF(raw[[#This Row],[city]]&lt;&gt;"",_xlfn.XLOOKUP($D475,ccc[city],ccc[prov],"-"),"-")</f>
        <v/>
      </c>
      <c r="L475" s="1395">
        <f>IF(raw[[#This Row],[city]]&lt;&gt;"",_xlfn.XLOOKUP($D475,ccc[city],ccc[ctry],"-"),"-")</f>
        <v/>
      </c>
      <c r="M475" s="1395">
        <f>IF(raw[[#This Row],[city]]&lt;&gt;"",_xlfn.XLOOKUP($D475,ccc[city],ccc[cont],"-"),"-")</f>
        <v/>
      </c>
      <c r="N475" s="1396">
        <f>IF(raw[[#This Row],[city]]="","-",IF(raw[[#This Row],[cont]]="B",raw[[#This Row],[cont]],"W"))</f>
        <v/>
      </c>
      <c r="O475" s="1397">
        <f>IF(raw[[#This Row],[out]]=0,0,IF(raw[[#This Row],[out]]=raw[[#This Row],[in]],0.01,raw[[#This Row],[out]]-raw[[#This Row],[in]]))</f>
        <v/>
      </c>
      <c r="P475" s="1397">
        <f>IF(raw[[#This Row],[in]]=0,0,MONTH(raw[[#This Row],[in]]))</f>
        <v/>
      </c>
      <c r="Q475" s="1397">
        <f>IF(raw[[#This Row],[in]]=0,0,YEAR(raw[[#This Row],[in]]))</f>
        <v/>
      </c>
      <c r="R475" s="1397">
        <f>INT(raw[[#This Row],[yr]]/10)*10</f>
        <v/>
      </c>
      <c r="S475" s="1395">
        <f>IF(raw[[#This Row],[city]]="","-",IF(raw[[#This Row],[city]]&lt;&gt;_xlfn.XLOOKUP(raw[[#This Row],[home]],homes[home],homes[city],"-"),1,0))</f>
        <v/>
      </c>
      <c r="T475" s="1398" t="inlineStr">
        <is>
          <t>.</t>
        </is>
      </c>
      <c r="U475" s="1399">
        <f>IF(raw[[#This Row],[wb]]="w",raw[[#This Row],[stay]]+U474,U474)</f>
        <v/>
      </c>
      <c r="V475" s="1400">
        <f>IF(raw[[#This Row],[out]]=0,V474,(raw[[#This Row],[out]]-E$5))</f>
        <v/>
      </c>
      <c r="W475" s="1401">
        <f>U475/V475</f>
        <v/>
      </c>
      <c r="X475" s="1378" t="inlineStr">
        <is>
          <t>.</t>
        </is>
      </c>
      <c r="Y475" s="1402">
        <f/>
        <v/>
      </c>
      <c r="Z475" s="1403">
        <f/>
        <v/>
      </c>
      <c r="AA475" s="1403">
        <f/>
        <v/>
      </c>
      <c r="AB475" s="1400">
        <f t="array" ref="AB475">_xlfn.LET(_xlpm.S,_xlfn.ANCHORARRAY($Y$4),_xlpm.r,ROWS(stayCity[[#Headers],[city]]:stayCity[[#This Row],[city]])-1,IF(_xlpm.r&lt;=ROWS(_xlpm.S),INDEX(_xlpm.S,_xlpm.r,1),""))</f>
        <v/>
      </c>
      <c r="AC475" s="1405">
        <f t="array" ref="AC475">_xlfn.LET(_xlpm.S,_xlfn.ANCHORARRAY($Y$4),_xlpm.r,ROWS(stayCity[[#Headers],[city]]:stayCity[[#This Row],[city]])-1,IF(_xlpm.r&lt;=ROWS(_xlpm.S),INDEX(_xlpm.S,_xlpm.r,2),""))</f>
        <v/>
      </c>
      <c r="AD475" s="1405">
        <f t="array" ref="AD475">_xlfn.LET(_xlpm.S,_xlfn.ANCHORARRAY($Y$4),_xlpm.r,ROWS(stayCity[[#Headers],[city]]:stayCity[[#This Row],[city]])-1,IF(_xlpm.r&lt;=ROWS(_xlpm.S),INDEX(_xlpm.S,_xlpm.r,3),""))</f>
        <v/>
      </c>
      <c r="AE475" s="1400">
        <f>IF(stayCity[[#This Row],[out]]&lt;&gt;"",stayCity[[#This Row],[out]]-stayCity[[#This Row],[in]],"-")</f>
        <v/>
      </c>
      <c r="AF475" s="1406">
        <f>IF(Y475="","-",YEAR(stayCity[[#This Row],[in]]))</f>
        <v/>
      </c>
      <c r="AG475" s="1392" t="n"/>
      <c r="AH475" s="1392" t="n"/>
      <c r="AI475" s="1392" t="n"/>
      <c r="AJ475" s="1392" t="n"/>
      <c r="AK475" s="1392" t="n"/>
      <c r="AL475" s="1392" t="n"/>
      <c r="AM475" s="1392" t="n"/>
      <c r="AN475" s="1392" t="n"/>
      <c r="AO475" s="1392" t="n"/>
      <c r="AP475" s="1392" t="n"/>
      <c r="AQ475" s="1392" t="n"/>
      <c r="AR475" s="1392" t="n"/>
      <c r="AS475" s="1422" t="n"/>
      <c r="AT475" s="1392" t="n"/>
      <c r="AU475" s="1392" t="n"/>
      <c r="AV475" s="1392" t="n"/>
      <c r="AW475" s="1392" t="n"/>
      <c r="AX475" s="1392" t="n"/>
      <c r="AY475" s="1392" t="n"/>
      <c r="AZ475" s="1392" t="n"/>
      <c r="BA475" s="1392" t="n"/>
      <c r="BB475" s="1422" t="n"/>
      <c r="BC475" s="1392" t="n"/>
      <c r="BD475" s="1392" t="n"/>
      <c r="BE475" s="1392" t="n"/>
      <c r="BF475" s="1392" t="n"/>
      <c r="BG475" s="1392" t="n"/>
      <c r="BH475" s="1392" t="n"/>
      <c r="BI475" s="1392" t="n"/>
      <c r="BJ475" s="1392" t="n"/>
      <c r="BK475" s="1392" t="n"/>
      <c r="BL475" s="1392" t="n"/>
      <c r="BM475" s="1392" t="n"/>
      <c r="BN475" s="1392" t="n"/>
      <c r="BO475" s="1392" t="n"/>
      <c r="BP475" s="1392" t="n"/>
      <c r="BQ475" s="1392" t="n"/>
      <c r="BR475" s="1392" t="n"/>
      <c r="BS475" s="1392" t="n"/>
      <c r="BT475" s="1392" t="n"/>
      <c r="BU475" s="1416" t="n"/>
      <c r="BV475" s="1392" t="n"/>
      <c r="BW475" s="1392" t="n"/>
      <c r="BX475" s="1392" t="n"/>
      <c r="BY475" s="1392" t="n"/>
      <c r="BZ475" s="1416" t="n"/>
      <c r="CA475" s="1392" t="n"/>
      <c r="CB475" s="1392" t="n"/>
      <c r="CC475" s="1392" t="n"/>
      <c r="CD475" s="1392" t="n"/>
      <c r="CE475" s="1392" t="n"/>
      <c r="CF475" s="1392" t="n"/>
      <c r="CG475" s="1392" t="n"/>
      <c r="CH475" s="1392" t="n"/>
      <c r="CI475" s="1392" t="n"/>
      <c r="CJ475" s="1392" t="n"/>
      <c r="CK475" s="1392" t="n"/>
      <c r="CL475" s="1392" t="n"/>
    </row>
    <row r="476">
      <c r="A476" s="5" t="inlineStr">
        <is>
          <t>.</t>
        </is>
      </c>
      <c r="B476" s="5" t="inlineStr">
        <is>
          <t>.</t>
        </is>
      </c>
      <c r="C476" s="1378">
        <f>IF(raw[[#This Row],[city]]="","-",IF(raw[[#This Row],[city]]="TODAY","-",C475+1))</f>
        <v/>
      </c>
      <c r="D476" s="1393" t="inlineStr">
        <is>
          <t>Bruxelas</t>
        </is>
      </c>
      <c r="E476" s="1394" t="n">
        <v>36052</v>
      </c>
      <c r="F476" s="1394" t="n">
        <v>36053</v>
      </c>
      <c r="G476" s="1393" t="inlineStr">
        <is>
          <t>-</t>
        </is>
      </c>
      <c r="H476" s="1393">
        <f>H475</f>
        <v/>
      </c>
      <c r="I476" s="1393" t="inlineStr">
        <is>
          <t>-</t>
        </is>
      </c>
      <c r="J476" s="1393" t="inlineStr">
        <is>
          <t>rato/</t>
        </is>
      </c>
      <c r="K476" s="1395">
        <f>IF(raw[[#This Row],[city]]&lt;&gt;"",_xlfn.XLOOKUP($D476,ccc[city],ccc[prov],"-"),"-")</f>
        <v/>
      </c>
      <c r="L476" s="1395">
        <f>IF(raw[[#This Row],[city]]&lt;&gt;"",_xlfn.XLOOKUP($D476,ccc[city],ccc[ctry],"-"),"-")</f>
        <v/>
      </c>
      <c r="M476" s="1395">
        <f>IF(raw[[#This Row],[city]]&lt;&gt;"",_xlfn.XLOOKUP($D476,ccc[city],ccc[cont],"-"),"-")</f>
        <v/>
      </c>
      <c r="N476" s="1396">
        <f>IF(raw[[#This Row],[city]]="","-",IF(raw[[#This Row],[cont]]="B",raw[[#This Row],[cont]],"W"))</f>
        <v/>
      </c>
      <c r="O476" s="1397">
        <f>IF(raw[[#This Row],[out]]=0,0,IF(raw[[#This Row],[out]]=raw[[#This Row],[in]],0.01,raw[[#This Row],[out]]-raw[[#This Row],[in]]))</f>
        <v/>
      </c>
      <c r="P476" s="1397">
        <f>IF(raw[[#This Row],[in]]=0,0,MONTH(raw[[#This Row],[in]]))</f>
        <v/>
      </c>
      <c r="Q476" s="1397">
        <f>IF(raw[[#This Row],[in]]=0,0,YEAR(raw[[#This Row],[in]]))</f>
        <v/>
      </c>
      <c r="R476" s="1397">
        <f>INT(raw[[#This Row],[yr]]/10)*10</f>
        <v/>
      </c>
      <c r="S476" s="1395">
        <f>IF(raw[[#This Row],[city]]="","-",IF(raw[[#This Row],[city]]&lt;&gt;_xlfn.XLOOKUP(raw[[#This Row],[home]],homes[home],homes[city],"-"),1,0))</f>
        <v/>
      </c>
      <c r="T476" s="1398" t="inlineStr">
        <is>
          <t>.</t>
        </is>
      </c>
      <c r="U476" s="1399">
        <f>IF(raw[[#This Row],[wb]]="w",raw[[#This Row],[stay]]+U475,U475)</f>
        <v/>
      </c>
      <c r="V476" s="1400">
        <f>IF(raw[[#This Row],[out]]=0,V475,(raw[[#This Row],[out]]-E$5))</f>
        <v/>
      </c>
      <c r="W476" s="1401">
        <f>U476/V476</f>
        <v/>
      </c>
      <c r="X476" s="1378" t="inlineStr">
        <is>
          <t>.</t>
        </is>
      </c>
      <c r="Y476" s="1402">
        <f/>
        <v/>
      </c>
      <c r="Z476" s="1403">
        <f/>
        <v/>
      </c>
      <c r="AA476" s="1403">
        <f/>
        <v/>
      </c>
      <c r="AB476" s="1400">
        <f t="array" ref="AB476">_xlfn.LET(_xlpm.S,_xlfn.ANCHORARRAY($Y$4),_xlpm.r,ROWS(stayCity[[#Headers],[city]]:stayCity[[#This Row],[city]])-1,IF(_xlpm.r&lt;=ROWS(_xlpm.S),INDEX(_xlpm.S,_xlpm.r,1),""))</f>
        <v/>
      </c>
      <c r="AC476" s="1405">
        <f t="array" ref="AC476">_xlfn.LET(_xlpm.S,_xlfn.ANCHORARRAY($Y$4),_xlpm.r,ROWS(stayCity[[#Headers],[city]]:stayCity[[#This Row],[city]])-1,IF(_xlpm.r&lt;=ROWS(_xlpm.S),INDEX(_xlpm.S,_xlpm.r,2),""))</f>
        <v/>
      </c>
      <c r="AD476" s="1405">
        <f t="array" ref="AD476">_xlfn.LET(_xlpm.S,_xlfn.ANCHORARRAY($Y$4),_xlpm.r,ROWS(stayCity[[#Headers],[city]]:stayCity[[#This Row],[city]])-1,IF(_xlpm.r&lt;=ROWS(_xlpm.S),INDEX(_xlpm.S,_xlpm.r,3),""))</f>
        <v/>
      </c>
      <c r="AE476" s="1400">
        <f>IF(stayCity[[#This Row],[out]]&lt;&gt;"",stayCity[[#This Row],[out]]-stayCity[[#This Row],[in]],"-")</f>
        <v/>
      </c>
      <c r="AF476" s="1406">
        <f>IF(Y476="","-",YEAR(stayCity[[#This Row],[in]]))</f>
        <v/>
      </c>
      <c r="AG476" s="1392" t="n"/>
      <c r="AH476" s="1392" t="n"/>
      <c r="AI476" s="1392" t="n"/>
      <c r="AJ476" s="1392" t="n"/>
      <c r="AK476" s="1392" t="n"/>
      <c r="AL476" s="1392" t="n"/>
      <c r="AM476" s="1392" t="n"/>
      <c r="AN476" s="1392" t="n"/>
      <c r="AO476" s="1392" t="n"/>
      <c r="AP476" s="1392" t="n"/>
      <c r="AQ476" s="1392" t="n"/>
      <c r="AR476" s="1392" t="n"/>
      <c r="AS476" s="1422" t="n"/>
      <c r="AT476" s="1392" t="n"/>
      <c r="AU476" s="1392" t="n"/>
      <c r="AV476" s="1392" t="n"/>
      <c r="AW476" s="1392" t="n"/>
      <c r="AX476" s="1392" t="n"/>
      <c r="AY476" s="1392" t="n"/>
      <c r="AZ476" s="1392" t="n"/>
      <c r="BA476" s="1392" t="n"/>
      <c r="BB476" s="1422" t="n"/>
      <c r="BC476" s="1392" t="n"/>
      <c r="BD476" s="1392" t="n"/>
      <c r="BE476" s="1392" t="n"/>
      <c r="BF476" s="1392" t="n"/>
      <c r="BG476" s="1392" t="n"/>
      <c r="BH476" s="1392" t="n"/>
      <c r="BI476" s="1392" t="n"/>
      <c r="BJ476" s="1392" t="n"/>
      <c r="BK476" s="1392" t="n"/>
      <c r="BL476" s="1392" t="n"/>
      <c r="BM476" s="1392" t="n"/>
      <c r="BN476" s="1392" t="n"/>
      <c r="BO476" s="1392" t="n"/>
      <c r="BP476" s="1392" t="n"/>
      <c r="BQ476" s="1392" t="n"/>
      <c r="BR476" s="1392" t="n"/>
      <c r="BS476" s="1392" t="n"/>
      <c r="BT476" s="1392" t="n"/>
      <c r="BU476" s="1416" t="n"/>
      <c r="BV476" s="1392" t="n"/>
      <c r="BW476" s="1392" t="n"/>
      <c r="BX476" s="1392" t="n"/>
      <c r="BY476" s="1392" t="n"/>
      <c r="BZ476" s="1416" t="n"/>
      <c r="CA476" s="1392" t="n"/>
      <c r="CB476" s="1392" t="n"/>
      <c r="CC476" s="1392" t="n"/>
      <c r="CD476" s="1392" t="n"/>
      <c r="CE476" s="1392" t="n"/>
      <c r="CF476" s="1392" t="n"/>
      <c r="CG476" s="1392" t="n"/>
      <c r="CH476" s="1392" t="n"/>
      <c r="CI476" s="1392" t="n"/>
      <c r="CJ476" s="1392" t="n"/>
      <c r="CK476" s="1392" t="n"/>
      <c r="CL476" s="1392" t="n"/>
    </row>
    <row r="477">
      <c r="A477" s="5" t="inlineStr">
        <is>
          <t>.</t>
        </is>
      </c>
      <c r="B477" s="5" t="inlineStr">
        <is>
          <t>.</t>
        </is>
      </c>
      <c r="C477" s="1378">
        <f>IF(raw[[#This Row],[city]]="","-",IF(raw[[#This Row],[city]]="TODAY","-",C476+1))</f>
        <v/>
      </c>
      <c r="D477" s="1393" t="inlineStr">
        <is>
          <t>Amsterdam</t>
        </is>
      </c>
      <c r="E477" s="1394" t="n">
        <v>36053</v>
      </c>
      <c r="F477" s="1394" t="n">
        <v>36055</v>
      </c>
      <c r="G477" s="1393" t="inlineStr">
        <is>
          <t>-</t>
        </is>
      </c>
      <c r="H477" s="1393">
        <f>H476</f>
        <v/>
      </c>
      <c r="I477" s="1393" t="inlineStr">
        <is>
          <t>-</t>
        </is>
      </c>
      <c r="J477" s="1393" t="inlineStr">
        <is>
          <t>rato/</t>
        </is>
      </c>
      <c r="K477" s="1395">
        <f>IF(raw[[#This Row],[city]]&lt;&gt;"",_xlfn.XLOOKUP($D477,ccc[city],ccc[prov],"-"),"-")</f>
        <v/>
      </c>
      <c r="L477" s="1395">
        <f>IF(raw[[#This Row],[city]]&lt;&gt;"",_xlfn.XLOOKUP($D477,ccc[city],ccc[ctry],"-"),"-")</f>
        <v/>
      </c>
      <c r="M477" s="1395">
        <f>IF(raw[[#This Row],[city]]&lt;&gt;"",_xlfn.XLOOKUP($D477,ccc[city],ccc[cont],"-"),"-")</f>
        <v/>
      </c>
      <c r="N477" s="1396">
        <f>IF(raw[[#This Row],[city]]="","-",IF(raw[[#This Row],[cont]]="B",raw[[#This Row],[cont]],"W"))</f>
        <v/>
      </c>
      <c r="O477" s="1397">
        <f>IF(raw[[#This Row],[out]]=0,0,IF(raw[[#This Row],[out]]=raw[[#This Row],[in]],0.01,raw[[#This Row],[out]]-raw[[#This Row],[in]]))</f>
        <v/>
      </c>
      <c r="P477" s="1397">
        <f>IF(raw[[#This Row],[in]]=0,0,MONTH(raw[[#This Row],[in]]))</f>
        <v/>
      </c>
      <c r="Q477" s="1397">
        <f>IF(raw[[#This Row],[in]]=0,0,YEAR(raw[[#This Row],[in]]))</f>
        <v/>
      </c>
      <c r="R477" s="1397">
        <f>INT(raw[[#This Row],[yr]]/10)*10</f>
        <v/>
      </c>
      <c r="S477" s="1395">
        <f>IF(raw[[#This Row],[city]]="","-",IF(raw[[#This Row],[city]]&lt;&gt;_xlfn.XLOOKUP(raw[[#This Row],[home]],homes[home],homes[city],"-"),1,0))</f>
        <v/>
      </c>
      <c r="T477" s="1398" t="inlineStr">
        <is>
          <t>.</t>
        </is>
      </c>
      <c r="U477" s="1399">
        <f>IF(raw[[#This Row],[wb]]="w",raw[[#This Row],[stay]]+U476,U476)</f>
        <v/>
      </c>
      <c r="V477" s="1400">
        <f>IF(raw[[#This Row],[out]]=0,V476,(raw[[#This Row],[out]]-E$5))</f>
        <v/>
      </c>
      <c r="W477" s="1401">
        <f>U477/V477</f>
        <v/>
      </c>
      <c r="X477" s="1378" t="inlineStr">
        <is>
          <t>.</t>
        </is>
      </c>
      <c r="Y477" s="1402">
        <f/>
        <v/>
      </c>
      <c r="Z477" s="1403">
        <f/>
        <v/>
      </c>
      <c r="AA477" s="1403">
        <f/>
        <v/>
      </c>
      <c r="AB477" s="1400">
        <f t="array" ref="AB477">_xlfn.LET(_xlpm.S,_xlfn.ANCHORARRAY($Y$4),_xlpm.r,ROWS(stayCity[[#Headers],[city]]:stayCity[[#This Row],[city]])-1,IF(_xlpm.r&lt;=ROWS(_xlpm.S),INDEX(_xlpm.S,_xlpm.r,1),""))</f>
        <v/>
      </c>
      <c r="AC477" s="1405">
        <f t="array" ref="AC477">_xlfn.LET(_xlpm.S,_xlfn.ANCHORARRAY($Y$4),_xlpm.r,ROWS(stayCity[[#Headers],[city]]:stayCity[[#This Row],[city]])-1,IF(_xlpm.r&lt;=ROWS(_xlpm.S),INDEX(_xlpm.S,_xlpm.r,2),""))</f>
        <v/>
      </c>
      <c r="AD477" s="1405">
        <f t="array" ref="AD477">_xlfn.LET(_xlpm.S,_xlfn.ANCHORARRAY($Y$4),_xlpm.r,ROWS(stayCity[[#Headers],[city]]:stayCity[[#This Row],[city]])-1,IF(_xlpm.r&lt;=ROWS(_xlpm.S),INDEX(_xlpm.S,_xlpm.r,3),""))</f>
        <v/>
      </c>
      <c r="AE477" s="1400">
        <f>IF(stayCity[[#This Row],[out]]&lt;&gt;"",stayCity[[#This Row],[out]]-stayCity[[#This Row],[in]],"-")</f>
        <v/>
      </c>
      <c r="AF477" s="1406">
        <f>IF(Y477="","-",YEAR(stayCity[[#This Row],[in]]))</f>
        <v/>
      </c>
      <c r="AG477" s="1392" t="n"/>
      <c r="AH477" s="1392" t="n"/>
      <c r="AI477" s="1392" t="n"/>
      <c r="AJ477" s="1392" t="n"/>
      <c r="AK477" s="1392" t="n"/>
      <c r="AL477" s="1392" t="n"/>
      <c r="AM477" s="1392" t="n"/>
      <c r="AN477" s="1392" t="n"/>
      <c r="AO477" s="1392" t="n"/>
      <c r="AP477" s="1392" t="n"/>
      <c r="AQ477" s="1392" t="n"/>
      <c r="AR477" s="1392" t="n"/>
      <c r="AS477" s="1422" t="n"/>
      <c r="AT477" s="1392" t="n"/>
      <c r="AU477" s="1392" t="n"/>
      <c r="AV477" s="1392" t="n"/>
      <c r="AW477" s="1392" t="n"/>
      <c r="AX477" s="1392" t="n"/>
      <c r="AY477" s="1392" t="n"/>
      <c r="AZ477" s="1392" t="n"/>
      <c r="BA477" s="1392" t="n"/>
      <c r="BB477" s="1422" t="n"/>
      <c r="BC477" s="1392" t="n"/>
      <c r="BD477" s="1392" t="n"/>
      <c r="BE477" s="1392" t="n"/>
      <c r="BF477" s="1392" t="n"/>
      <c r="BG477" s="1392" t="n"/>
      <c r="BH477" s="1392" t="n"/>
      <c r="BI477" s="1392" t="n"/>
      <c r="BJ477" s="1392" t="n"/>
      <c r="BK477" s="1392" t="n"/>
      <c r="BL477" s="1392" t="n"/>
      <c r="BM477" s="1392" t="n"/>
      <c r="BN477" s="1392" t="n"/>
      <c r="BO477" s="1392" t="n"/>
      <c r="BP477" s="1392" t="n"/>
      <c r="BQ477" s="1392" t="n"/>
      <c r="BR477" s="1392" t="n"/>
      <c r="BS477" s="1392" t="n"/>
      <c r="BT477" s="1392" t="n"/>
      <c r="BU477" s="1416" t="n"/>
      <c r="BV477" s="1392" t="n"/>
      <c r="BW477" s="1392" t="n"/>
      <c r="BX477" s="1392" t="n"/>
      <c r="BY477" s="1392" t="n"/>
      <c r="BZ477" s="1416" t="n"/>
      <c r="CA477" s="1392" t="n"/>
      <c r="CB477" s="1392" t="n"/>
      <c r="CC477" s="1392" t="n"/>
      <c r="CD477" s="1392" t="n"/>
      <c r="CE477" s="1392" t="n"/>
      <c r="CF477" s="1392" t="n"/>
      <c r="CG477" s="1392" t="n"/>
      <c r="CH477" s="1392" t="n"/>
      <c r="CI477" s="1392" t="n"/>
      <c r="CJ477" s="1392" t="n"/>
      <c r="CK477" s="1392" t="n"/>
      <c r="CL477" s="1392" t="n"/>
    </row>
    <row r="478">
      <c r="A478" s="5" t="inlineStr">
        <is>
          <t>.</t>
        </is>
      </c>
      <c r="B478" s="5" t="inlineStr">
        <is>
          <t>.</t>
        </is>
      </c>
      <c r="C478" s="1378">
        <f>IF(raw[[#This Row],[city]]="","-",IF(raw[[#This Row],[city]]="TODAY","-",C477+1))</f>
        <v/>
      </c>
      <c r="D478" s="1393" t="inlineStr">
        <is>
          <t>Koln</t>
        </is>
      </c>
      <c r="E478" s="1394" t="n">
        <v>36055</v>
      </c>
      <c r="F478" s="1394" t="n">
        <v>36055</v>
      </c>
      <c r="G478" s="1393" t="inlineStr">
        <is>
          <t>-</t>
        </is>
      </c>
      <c r="H478" s="1393">
        <f>H477</f>
        <v/>
      </c>
      <c r="I478" s="1393" t="inlineStr">
        <is>
          <t>-</t>
        </is>
      </c>
      <c r="J478" s="1393" t="inlineStr">
        <is>
          <t>rato/</t>
        </is>
      </c>
      <c r="K478" s="1395">
        <f>IF(raw[[#This Row],[city]]&lt;&gt;"",_xlfn.XLOOKUP($D478,ccc[city],ccc[prov],"-"),"-")</f>
        <v/>
      </c>
      <c r="L478" s="1395">
        <f>IF(raw[[#This Row],[city]]&lt;&gt;"",_xlfn.XLOOKUP($D478,ccc[city],ccc[ctry],"-"),"-")</f>
        <v/>
      </c>
      <c r="M478" s="1395">
        <f>IF(raw[[#This Row],[city]]&lt;&gt;"",_xlfn.XLOOKUP($D478,ccc[city],ccc[cont],"-"),"-")</f>
        <v/>
      </c>
      <c r="N478" s="1396">
        <f>IF(raw[[#This Row],[city]]="","-",IF(raw[[#This Row],[cont]]="B",raw[[#This Row],[cont]],"W"))</f>
        <v/>
      </c>
      <c r="O478" s="1397">
        <f>IF(raw[[#This Row],[out]]=0,0,IF(raw[[#This Row],[out]]=raw[[#This Row],[in]],0.01,raw[[#This Row],[out]]-raw[[#This Row],[in]]))</f>
        <v/>
      </c>
      <c r="P478" s="1397">
        <f>IF(raw[[#This Row],[in]]=0,0,MONTH(raw[[#This Row],[in]]))</f>
        <v/>
      </c>
      <c r="Q478" s="1397">
        <f>IF(raw[[#This Row],[in]]=0,0,YEAR(raw[[#This Row],[in]]))</f>
        <v/>
      </c>
      <c r="R478" s="1397">
        <f>INT(raw[[#This Row],[yr]]/10)*10</f>
        <v/>
      </c>
      <c r="S478" s="1395">
        <f>IF(raw[[#This Row],[city]]="","-",IF(raw[[#This Row],[city]]&lt;&gt;_xlfn.XLOOKUP(raw[[#This Row],[home]],homes[home],homes[city],"-"),1,0))</f>
        <v/>
      </c>
      <c r="T478" s="1398" t="inlineStr">
        <is>
          <t>.</t>
        </is>
      </c>
      <c r="U478" s="1399">
        <f>IF(raw[[#This Row],[wb]]="w",raw[[#This Row],[stay]]+U477,U477)</f>
        <v/>
      </c>
      <c r="V478" s="1400">
        <f>IF(raw[[#This Row],[out]]=0,V477,(raw[[#This Row],[out]]-E$5))</f>
        <v/>
      </c>
      <c r="W478" s="1401">
        <f>U478/V478</f>
        <v/>
      </c>
      <c r="X478" s="1378" t="inlineStr">
        <is>
          <t>.</t>
        </is>
      </c>
      <c r="Y478" s="1402">
        <f/>
        <v/>
      </c>
      <c r="Z478" s="1403">
        <f/>
        <v/>
      </c>
      <c r="AA478" s="1403">
        <f/>
        <v/>
      </c>
      <c r="AB478" s="1400">
        <f t="array" ref="AB478">_xlfn.LET(_xlpm.S,_xlfn.ANCHORARRAY($Y$4),_xlpm.r,ROWS(stayCity[[#Headers],[city]]:stayCity[[#This Row],[city]])-1,IF(_xlpm.r&lt;=ROWS(_xlpm.S),INDEX(_xlpm.S,_xlpm.r,1),""))</f>
        <v/>
      </c>
      <c r="AC478" s="1405">
        <f t="array" ref="AC478">_xlfn.LET(_xlpm.S,_xlfn.ANCHORARRAY($Y$4),_xlpm.r,ROWS(stayCity[[#Headers],[city]]:stayCity[[#This Row],[city]])-1,IF(_xlpm.r&lt;=ROWS(_xlpm.S),INDEX(_xlpm.S,_xlpm.r,2),""))</f>
        <v/>
      </c>
      <c r="AD478" s="1405">
        <f t="array" ref="AD478">_xlfn.LET(_xlpm.S,_xlfn.ANCHORARRAY($Y$4),_xlpm.r,ROWS(stayCity[[#Headers],[city]]:stayCity[[#This Row],[city]])-1,IF(_xlpm.r&lt;=ROWS(_xlpm.S),INDEX(_xlpm.S,_xlpm.r,3),""))</f>
        <v/>
      </c>
      <c r="AE478" s="1400">
        <f>IF(stayCity[[#This Row],[out]]&lt;&gt;"",stayCity[[#This Row],[out]]-stayCity[[#This Row],[in]],"-")</f>
        <v/>
      </c>
      <c r="AF478" s="1406">
        <f>IF(Y478="","-",YEAR(stayCity[[#This Row],[in]]))</f>
        <v/>
      </c>
      <c r="AG478" s="1392" t="n"/>
      <c r="AH478" s="1392" t="n"/>
      <c r="AI478" s="1392" t="n"/>
      <c r="AJ478" s="1392" t="n"/>
      <c r="AK478" s="1392" t="n"/>
      <c r="AL478" s="1392" t="n"/>
      <c r="AM478" s="1392" t="n"/>
      <c r="AN478" s="1392" t="n"/>
      <c r="AO478" s="1392" t="n"/>
      <c r="AP478" s="1392" t="n"/>
      <c r="AQ478" s="1392" t="n"/>
      <c r="AR478" s="1392" t="n"/>
      <c r="AS478" s="1422" t="n"/>
      <c r="AT478" s="1392" t="n"/>
      <c r="AU478" s="1392" t="n"/>
      <c r="AV478" s="1392" t="n"/>
      <c r="AW478" s="1392" t="n"/>
      <c r="AX478" s="1392" t="n"/>
      <c r="AY478" s="1392" t="n"/>
      <c r="AZ478" s="1392" t="n"/>
      <c r="BA478" s="1392" t="n"/>
      <c r="BB478" s="1422" t="n"/>
      <c r="BC478" s="1392" t="n"/>
      <c r="BD478" s="1392" t="n"/>
      <c r="BE478" s="1392" t="n"/>
      <c r="BF478" s="1392" t="n"/>
      <c r="BG478" s="1392" t="n"/>
      <c r="BH478" s="1392" t="n"/>
      <c r="BI478" s="1392" t="n"/>
      <c r="BJ478" s="1392" t="n"/>
      <c r="BK478" s="1392" t="n"/>
      <c r="BL478" s="1392" t="n"/>
      <c r="BM478" s="1392" t="n"/>
      <c r="BN478" s="1392" t="n"/>
      <c r="BO478" s="1392" t="n"/>
      <c r="BP478" s="1392" t="n"/>
      <c r="BQ478" s="1392" t="n"/>
      <c r="BR478" s="1392" t="n"/>
      <c r="BS478" s="1392" t="n"/>
      <c r="BT478" s="1392" t="n"/>
      <c r="BU478" s="1416" t="n"/>
      <c r="BV478" s="1392" t="n"/>
      <c r="BW478" s="1392" t="n"/>
      <c r="BX478" s="1392" t="n"/>
      <c r="BY478" s="1392" t="n"/>
      <c r="BZ478" s="1416" t="n"/>
      <c r="CA478" s="1392" t="n"/>
      <c r="CB478" s="1392" t="n"/>
      <c r="CC478" s="1392" t="n"/>
      <c r="CD478" s="1392" t="n"/>
      <c r="CE478" s="1392" t="n"/>
      <c r="CF478" s="1392" t="n"/>
      <c r="CG478" s="1392" t="n"/>
      <c r="CH478" s="1392" t="n"/>
      <c r="CI478" s="1392" t="n"/>
      <c r="CJ478" s="1392" t="n"/>
      <c r="CK478" s="1392" t="n"/>
      <c r="CL478" s="1392" t="n"/>
    </row>
    <row r="479">
      <c r="A479" s="5" t="inlineStr">
        <is>
          <t>.</t>
        </is>
      </c>
      <c r="B479" s="5" t="inlineStr">
        <is>
          <t>.</t>
        </is>
      </c>
      <c r="C479" s="1378">
        <f>IF(raw[[#This Row],[city]]="","-",IF(raw[[#This Row],[city]]="TODAY","-",C478+1))</f>
        <v/>
      </c>
      <c r="D479" s="1393" t="inlineStr">
        <is>
          <t>Basel</t>
        </is>
      </c>
      <c r="E479" s="1394" t="n">
        <v>36055</v>
      </c>
      <c r="F479" s="1394" t="n">
        <v>36055</v>
      </c>
      <c r="G479" s="1393" t="inlineStr">
        <is>
          <t>-</t>
        </is>
      </c>
      <c r="H479" s="1393">
        <f>H478</f>
        <v/>
      </c>
      <c r="I479" s="1393" t="inlineStr">
        <is>
          <t>-</t>
        </is>
      </c>
      <c r="J479" s="1393" t="inlineStr">
        <is>
          <t>rato/</t>
        </is>
      </c>
      <c r="K479" s="1395">
        <f>IF(raw[[#This Row],[city]]&lt;&gt;"",_xlfn.XLOOKUP($D479,ccc[city],ccc[prov],"-"),"-")</f>
        <v/>
      </c>
      <c r="L479" s="1395">
        <f>IF(raw[[#This Row],[city]]&lt;&gt;"",_xlfn.XLOOKUP($D479,ccc[city],ccc[ctry],"-"),"-")</f>
        <v/>
      </c>
      <c r="M479" s="1395">
        <f>IF(raw[[#This Row],[city]]&lt;&gt;"",_xlfn.XLOOKUP($D479,ccc[city],ccc[cont],"-"),"-")</f>
        <v/>
      </c>
      <c r="N479" s="1396">
        <f>IF(raw[[#This Row],[city]]="","-",IF(raw[[#This Row],[cont]]="B",raw[[#This Row],[cont]],"W"))</f>
        <v/>
      </c>
      <c r="O479" s="1397">
        <f>IF(raw[[#This Row],[out]]=0,0,IF(raw[[#This Row],[out]]=raw[[#This Row],[in]],0.01,raw[[#This Row],[out]]-raw[[#This Row],[in]]))</f>
        <v/>
      </c>
      <c r="P479" s="1397">
        <f>IF(raw[[#This Row],[in]]=0,0,MONTH(raw[[#This Row],[in]]))</f>
        <v/>
      </c>
      <c r="Q479" s="1397">
        <f>IF(raw[[#This Row],[in]]=0,0,YEAR(raw[[#This Row],[in]]))</f>
        <v/>
      </c>
      <c r="R479" s="1397">
        <f>INT(raw[[#This Row],[yr]]/10)*10</f>
        <v/>
      </c>
      <c r="S479" s="1395">
        <f>IF(raw[[#This Row],[city]]="","-",IF(raw[[#This Row],[city]]&lt;&gt;_xlfn.XLOOKUP(raw[[#This Row],[home]],homes[home],homes[city],"-"),1,0))</f>
        <v/>
      </c>
      <c r="T479" s="1398" t="inlineStr">
        <is>
          <t>.</t>
        </is>
      </c>
      <c r="U479" s="1399">
        <f>IF(raw[[#This Row],[wb]]="w",raw[[#This Row],[stay]]+U478,U478)</f>
        <v/>
      </c>
      <c r="V479" s="1400">
        <f>IF(raw[[#This Row],[out]]=0,V478,(raw[[#This Row],[out]]-E$5))</f>
        <v/>
      </c>
      <c r="W479" s="1401">
        <f>U479/V479</f>
        <v/>
      </c>
      <c r="X479" s="1378" t="inlineStr">
        <is>
          <t>.</t>
        </is>
      </c>
      <c r="Y479" s="1402">
        <f/>
        <v/>
      </c>
      <c r="Z479" s="1403">
        <f/>
        <v/>
      </c>
      <c r="AA479" s="1403">
        <f/>
        <v/>
      </c>
      <c r="AB479" s="1400">
        <f t="array" ref="AB479">_xlfn.LET(_xlpm.S,_xlfn.ANCHORARRAY($Y$4),_xlpm.r,ROWS(stayCity[[#Headers],[city]]:stayCity[[#This Row],[city]])-1,IF(_xlpm.r&lt;=ROWS(_xlpm.S),INDEX(_xlpm.S,_xlpm.r,1),""))</f>
        <v/>
      </c>
      <c r="AC479" s="1405">
        <f t="array" ref="AC479">_xlfn.LET(_xlpm.S,_xlfn.ANCHORARRAY($Y$4),_xlpm.r,ROWS(stayCity[[#Headers],[city]]:stayCity[[#This Row],[city]])-1,IF(_xlpm.r&lt;=ROWS(_xlpm.S),INDEX(_xlpm.S,_xlpm.r,2),""))</f>
        <v/>
      </c>
      <c r="AD479" s="1405">
        <f t="array" ref="AD479">_xlfn.LET(_xlpm.S,_xlfn.ANCHORARRAY($Y$4),_xlpm.r,ROWS(stayCity[[#Headers],[city]]:stayCity[[#This Row],[city]])-1,IF(_xlpm.r&lt;=ROWS(_xlpm.S),INDEX(_xlpm.S,_xlpm.r,3),""))</f>
        <v/>
      </c>
      <c r="AE479" s="1400">
        <f>IF(stayCity[[#This Row],[out]]&lt;&gt;"",stayCity[[#This Row],[out]]-stayCity[[#This Row],[in]],"-")</f>
        <v/>
      </c>
      <c r="AF479" s="1406">
        <f>IF(Y479="","-",YEAR(stayCity[[#This Row],[in]]))</f>
        <v/>
      </c>
      <c r="AG479" s="1392" t="n"/>
      <c r="AH479" s="1392" t="n"/>
      <c r="AI479" s="1392" t="n"/>
      <c r="AJ479" s="1392" t="n"/>
      <c r="AK479" s="1392" t="n"/>
      <c r="AL479" s="1392" t="n"/>
      <c r="AM479" s="1392" t="n"/>
      <c r="AN479" s="1392" t="n"/>
      <c r="AO479" s="1392" t="n"/>
      <c r="AP479" s="1392" t="n"/>
      <c r="AQ479" s="1392" t="n"/>
      <c r="AR479" s="1392" t="n"/>
      <c r="AS479" s="1422" t="n"/>
      <c r="AT479" s="1392" t="n"/>
      <c r="AU479" s="1392" t="n"/>
      <c r="AV479" s="1392" t="n"/>
      <c r="AW479" s="1392" t="n"/>
      <c r="AX479" s="1392" t="n"/>
      <c r="AY479" s="1392" t="n"/>
      <c r="AZ479" s="1392" t="n"/>
      <c r="BA479" s="1392" t="n"/>
      <c r="BB479" s="1422" t="n"/>
      <c r="BC479" s="1392" t="n"/>
      <c r="BD479" s="1392" t="n"/>
      <c r="BE479" s="1392" t="n"/>
      <c r="BF479" s="1392" t="n"/>
      <c r="BG479" s="1392" t="n"/>
      <c r="BH479" s="1392" t="n"/>
      <c r="BI479" s="1392" t="n"/>
      <c r="BJ479" s="1392" t="n"/>
      <c r="BK479" s="1392" t="n"/>
      <c r="BL479" s="1392" t="n"/>
      <c r="BM479" s="1392" t="n"/>
      <c r="BN479" s="1392" t="n"/>
      <c r="BO479" s="1392" t="n"/>
      <c r="BP479" s="1392" t="n"/>
      <c r="BQ479" s="1392" t="n"/>
      <c r="BR479" s="1392" t="n"/>
      <c r="BS479" s="1392" t="n"/>
      <c r="BT479" s="1392" t="n"/>
      <c r="BU479" s="1416" t="n"/>
      <c r="BV479" s="1392" t="n"/>
      <c r="BW479" s="1392" t="n"/>
      <c r="BX479" s="1392" t="n"/>
      <c r="BY479" s="1392" t="n"/>
      <c r="BZ479" s="1416" t="n"/>
      <c r="CA479" s="1392" t="n"/>
      <c r="CB479" s="1392" t="n"/>
      <c r="CC479" s="1392" t="n"/>
      <c r="CD479" s="1392" t="n"/>
      <c r="CE479" s="1392" t="n"/>
      <c r="CF479" s="1392" t="n"/>
      <c r="CG479" s="1392" t="n"/>
      <c r="CH479" s="1392" t="n"/>
      <c r="CI479" s="1392" t="n"/>
      <c r="CJ479" s="1392" t="n"/>
      <c r="CK479" s="1392" t="n"/>
      <c r="CL479" s="1392" t="n"/>
    </row>
    <row r="480">
      <c r="A480" s="5" t="inlineStr">
        <is>
          <t>.</t>
        </is>
      </c>
      <c r="B480" s="5" t="inlineStr">
        <is>
          <t>.</t>
        </is>
      </c>
      <c r="C480" s="1378">
        <f>IF(raw[[#This Row],[city]]="","-",IF(raw[[#This Row],[city]]="TODAY","-",C479+1))</f>
        <v/>
      </c>
      <c r="D480" s="1393" t="inlineStr">
        <is>
          <t>TRAIN ITA</t>
        </is>
      </c>
      <c r="E480" s="1394" t="n">
        <v>36055</v>
      </c>
      <c r="F480" s="1394" t="n">
        <v>36056</v>
      </c>
      <c r="G480" s="1393" t="inlineStr">
        <is>
          <t>-</t>
        </is>
      </c>
      <c r="H480" s="1393">
        <f>H479</f>
        <v/>
      </c>
      <c r="I480" s="1393" t="inlineStr">
        <is>
          <t>-</t>
        </is>
      </c>
      <c r="J480" s="1393" t="inlineStr">
        <is>
          <t>rato/</t>
        </is>
      </c>
      <c r="K480" s="1395">
        <f>IF(raw[[#This Row],[city]]&lt;&gt;"",_xlfn.XLOOKUP($D480,ccc[city],ccc[prov],"-"),"-")</f>
        <v/>
      </c>
      <c r="L480" s="1395">
        <f>IF(raw[[#This Row],[city]]&lt;&gt;"",_xlfn.XLOOKUP($D480,ccc[city],ccc[ctry],"-"),"-")</f>
        <v/>
      </c>
      <c r="M480" s="1395">
        <f>IF(raw[[#This Row],[city]]&lt;&gt;"",_xlfn.XLOOKUP($D480,ccc[city],ccc[cont],"-"),"-")</f>
        <v/>
      </c>
      <c r="N480" s="1396">
        <f>IF(raw[[#This Row],[city]]="","-",IF(raw[[#This Row],[cont]]="B",raw[[#This Row],[cont]],"W"))</f>
        <v/>
      </c>
      <c r="O480" s="1397">
        <f>IF(raw[[#This Row],[out]]=0,0,IF(raw[[#This Row],[out]]=raw[[#This Row],[in]],0.01,raw[[#This Row],[out]]-raw[[#This Row],[in]]))</f>
        <v/>
      </c>
      <c r="P480" s="1397">
        <f>IF(raw[[#This Row],[in]]=0,0,MONTH(raw[[#This Row],[in]]))</f>
        <v/>
      </c>
      <c r="Q480" s="1397">
        <f>IF(raw[[#This Row],[in]]=0,0,YEAR(raw[[#This Row],[in]]))</f>
        <v/>
      </c>
      <c r="R480" s="1397">
        <f>INT(raw[[#This Row],[yr]]/10)*10</f>
        <v/>
      </c>
      <c r="S480" s="1395">
        <f>IF(raw[[#This Row],[city]]="","-",IF(raw[[#This Row],[city]]&lt;&gt;_xlfn.XLOOKUP(raw[[#This Row],[home]],homes[home],homes[city],"-"),1,0))</f>
        <v/>
      </c>
      <c r="T480" s="1398" t="inlineStr">
        <is>
          <t>.</t>
        </is>
      </c>
      <c r="U480" s="1399">
        <f>IF(raw[[#This Row],[wb]]="w",raw[[#This Row],[stay]]+U479,U479)</f>
        <v/>
      </c>
      <c r="V480" s="1400">
        <f>IF(raw[[#This Row],[out]]=0,V479,(raw[[#This Row],[out]]-E$5))</f>
        <v/>
      </c>
      <c r="W480" s="1401">
        <f>U480/V480</f>
        <v/>
      </c>
      <c r="X480" s="1378" t="inlineStr">
        <is>
          <t>.</t>
        </is>
      </c>
      <c r="Y480" s="1402">
        <f/>
        <v/>
      </c>
      <c r="Z480" s="1403">
        <f/>
        <v/>
      </c>
      <c r="AA480" s="1403">
        <f/>
        <v/>
      </c>
      <c r="AB480" s="1400">
        <f t="array" ref="AB480">_xlfn.LET(_xlpm.S,_xlfn.ANCHORARRAY($Y$4),_xlpm.r,ROWS(stayCity[[#Headers],[city]]:stayCity[[#This Row],[city]])-1,IF(_xlpm.r&lt;=ROWS(_xlpm.S),INDEX(_xlpm.S,_xlpm.r,1),""))</f>
        <v/>
      </c>
      <c r="AC480" s="1405">
        <f t="array" ref="AC480">_xlfn.LET(_xlpm.S,_xlfn.ANCHORARRAY($Y$4),_xlpm.r,ROWS(stayCity[[#Headers],[city]]:stayCity[[#This Row],[city]])-1,IF(_xlpm.r&lt;=ROWS(_xlpm.S),INDEX(_xlpm.S,_xlpm.r,2),""))</f>
        <v/>
      </c>
      <c r="AD480" s="1405">
        <f t="array" ref="AD480">_xlfn.LET(_xlpm.S,_xlfn.ANCHORARRAY($Y$4),_xlpm.r,ROWS(stayCity[[#Headers],[city]]:stayCity[[#This Row],[city]])-1,IF(_xlpm.r&lt;=ROWS(_xlpm.S),INDEX(_xlpm.S,_xlpm.r,3),""))</f>
        <v/>
      </c>
      <c r="AE480" s="1400">
        <f>IF(stayCity[[#This Row],[out]]&lt;&gt;"",stayCity[[#This Row],[out]]-stayCity[[#This Row],[in]],"-")</f>
        <v/>
      </c>
      <c r="AF480" s="1406">
        <f>IF(Y480="","-",YEAR(stayCity[[#This Row],[in]]))</f>
        <v/>
      </c>
      <c r="AG480" s="1392" t="n"/>
      <c r="AH480" s="1392" t="n"/>
      <c r="AI480" s="1392" t="n"/>
      <c r="AJ480" s="1392" t="n"/>
      <c r="AK480" s="1392" t="n"/>
      <c r="AL480" s="1392" t="n"/>
      <c r="AM480" s="1392" t="n"/>
      <c r="AN480" s="1392" t="n"/>
      <c r="AO480" s="1392" t="n"/>
      <c r="AP480" s="1392" t="n"/>
      <c r="AQ480" s="1392" t="n"/>
      <c r="AR480" s="1392" t="n"/>
      <c r="AS480" s="1422" t="n"/>
      <c r="AT480" s="1392" t="n"/>
      <c r="AU480" s="1392" t="n"/>
      <c r="AV480" s="1392" t="n"/>
      <c r="AW480" s="1392" t="n"/>
      <c r="AX480" s="1392" t="n"/>
      <c r="AY480" s="1392" t="n"/>
      <c r="AZ480" s="1392" t="n"/>
      <c r="BA480" s="1392" t="n"/>
      <c r="BB480" s="1422" t="n"/>
      <c r="BC480" s="1392" t="n"/>
      <c r="BD480" s="1392" t="n"/>
      <c r="BE480" s="1392" t="n"/>
      <c r="BF480" s="1392" t="n"/>
      <c r="BG480" s="1392" t="n"/>
      <c r="BH480" s="1392" t="n"/>
      <c r="BI480" s="1392" t="n"/>
      <c r="BJ480" s="1392" t="n"/>
      <c r="BK480" s="1392" t="n"/>
      <c r="BL480" s="1392" t="n"/>
      <c r="BM480" s="1392" t="n"/>
      <c r="BN480" s="1392" t="n"/>
      <c r="BO480" s="1392" t="n"/>
      <c r="BP480" s="1392" t="n"/>
      <c r="BQ480" s="1392" t="n"/>
      <c r="BR480" s="1392" t="n"/>
      <c r="BS480" s="1392" t="n"/>
      <c r="BT480" s="1392" t="n"/>
      <c r="BU480" s="1416" t="n"/>
      <c r="BV480" s="1392" t="n"/>
      <c r="BW480" s="1392" t="n"/>
      <c r="BX480" s="1392" t="n"/>
      <c r="BY480" s="1392" t="n"/>
      <c r="BZ480" s="1416" t="n"/>
      <c r="CA480" s="1392" t="n"/>
      <c r="CB480" s="1392" t="n"/>
      <c r="CC480" s="1392" t="n"/>
      <c r="CD480" s="1392" t="n"/>
      <c r="CE480" s="1392" t="n"/>
      <c r="CF480" s="1392" t="n"/>
      <c r="CG480" s="1392" t="n"/>
      <c r="CH480" s="1392" t="n"/>
      <c r="CI480" s="1392" t="n"/>
      <c r="CJ480" s="1392" t="n"/>
      <c r="CK480" s="1392" t="n"/>
      <c r="CL480" s="1392" t="n"/>
    </row>
    <row r="481">
      <c r="A481" s="5" t="inlineStr">
        <is>
          <t>.</t>
        </is>
      </c>
      <c r="B481" s="5" t="inlineStr">
        <is>
          <t>.</t>
        </is>
      </c>
      <c r="C481" s="1378">
        <f>IF(raw[[#This Row],[city]]="","-",IF(raw[[#This Row],[city]]="TODAY","-",C480+1))</f>
        <v/>
      </c>
      <c r="D481" s="1393" t="inlineStr">
        <is>
          <t>Rome</t>
        </is>
      </c>
      <c r="E481" s="1394" t="n">
        <v>36056</v>
      </c>
      <c r="F481" s="1394" t="n">
        <v>36060</v>
      </c>
      <c r="G481" s="1393" t="inlineStr">
        <is>
          <t>-</t>
        </is>
      </c>
      <c r="H481" s="1393">
        <f>H480</f>
        <v/>
      </c>
      <c r="I481" s="1393" t="inlineStr">
        <is>
          <t>-</t>
        </is>
      </c>
      <c r="J481" s="1393" t="inlineStr">
        <is>
          <t>rato/</t>
        </is>
      </c>
      <c r="K481" s="1395">
        <f>IF(raw[[#This Row],[city]]&lt;&gt;"",_xlfn.XLOOKUP($D481,ccc[city],ccc[prov],"-"),"-")</f>
        <v/>
      </c>
      <c r="L481" s="1395">
        <f>IF(raw[[#This Row],[city]]&lt;&gt;"",_xlfn.XLOOKUP($D481,ccc[city],ccc[ctry],"-"),"-")</f>
        <v/>
      </c>
      <c r="M481" s="1395">
        <f>IF(raw[[#This Row],[city]]&lt;&gt;"",_xlfn.XLOOKUP($D481,ccc[city],ccc[cont],"-"),"-")</f>
        <v/>
      </c>
      <c r="N481" s="1396">
        <f>IF(raw[[#This Row],[city]]="","-",IF(raw[[#This Row],[cont]]="B",raw[[#This Row],[cont]],"W"))</f>
        <v/>
      </c>
      <c r="O481" s="1397">
        <f>IF(raw[[#This Row],[out]]=0,0,IF(raw[[#This Row],[out]]=raw[[#This Row],[in]],0.01,raw[[#This Row],[out]]-raw[[#This Row],[in]]))</f>
        <v/>
      </c>
      <c r="P481" s="1397">
        <f>IF(raw[[#This Row],[in]]=0,0,MONTH(raw[[#This Row],[in]]))</f>
        <v/>
      </c>
      <c r="Q481" s="1397">
        <f>IF(raw[[#This Row],[in]]=0,0,YEAR(raw[[#This Row],[in]]))</f>
        <v/>
      </c>
      <c r="R481" s="1397">
        <f>INT(raw[[#This Row],[yr]]/10)*10</f>
        <v/>
      </c>
      <c r="S481" s="1395">
        <f>IF(raw[[#This Row],[city]]="","-",IF(raw[[#This Row],[city]]&lt;&gt;_xlfn.XLOOKUP(raw[[#This Row],[home]],homes[home],homes[city],"-"),1,0))</f>
        <v/>
      </c>
      <c r="T481" s="1398" t="inlineStr">
        <is>
          <t>.</t>
        </is>
      </c>
      <c r="U481" s="1399">
        <f>IF(raw[[#This Row],[wb]]="w",raw[[#This Row],[stay]]+U480,U480)</f>
        <v/>
      </c>
      <c r="V481" s="1400">
        <f>IF(raw[[#This Row],[out]]=0,V480,(raw[[#This Row],[out]]-E$5))</f>
        <v/>
      </c>
      <c r="W481" s="1401">
        <f>U481/V481</f>
        <v/>
      </c>
      <c r="X481" s="1378" t="inlineStr">
        <is>
          <t>.</t>
        </is>
      </c>
      <c r="Y481" s="1402">
        <f/>
        <v/>
      </c>
      <c r="Z481" s="1403">
        <f/>
        <v/>
      </c>
      <c r="AA481" s="1403">
        <f/>
        <v/>
      </c>
      <c r="AB481" s="1400">
        <f t="array" ref="AB481">_xlfn.LET(_xlpm.S,_xlfn.ANCHORARRAY($Y$4),_xlpm.r,ROWS(stayCity[[#Headers],[city]]:stayCity[[#This Row],[city]])-1,IF(_xlpm.r&lt;=ROWS(_xlpm.S),INDEX(_xlpm.S,_xlpm.r,1),""))</f>
        <v/>
      </c>
      <c r="AC481" s="1405">
        <f t="array" ref="AC481">_xlfn.LET(_xlpm.S,_xlfn.ANCHORARRAY($Y$4),_xlpm.r,ROWS(stayCity[[#Headers],[city]]:stayCity[[#This Row],[city]])-1,IF(_xlpm.r&lt;=ROWS(_xlpm.S),INDEX(_xlpm.S,_xlpm.r,2),""))</f>
        <v/>
      </c>
      <c r="AD481" s="1405">
        <f t="array" ref="AD481">_xlfn.LET(_xlpm.S,_xlfn.ANCHORARRAY($Y$4),_xlpm.r,ROWS(stayCity[[#Headers],[city]]:stayCity[[#This Row],[city]])-1,IF(_xlpm.r&lt;=ROWS(_xlpm.S),INDEX(_xlpm.S,_xlpm.r,3),""))</f>
        <v/>
      </c>
      <c r="AE481" s="1400">
        <f>IF(stayCity[[#This Row],[out]]&lt;&gt;"",stayCity[[#This Row],[out]]-stayCity[[#This Row],[in]],"-")</f>
        <v/>
      </c>
      <c r="AF481" s="1406">
        <f>IF(Y481="","-",YEAR(stayCity[[#This Row],[in]]))</f>
        <v/>
      </c>
      <c r="AG481" s="1392" t="n"/>
      <c r="AH481" s="1392" t="n"/>
      <c r="AI481" s="1392" t="n"/>
      <c r="AJ481" s="1392" t="n"/>
      <c r="AK481" s="1392" t="n"/>
      <c r="AL481" s="1392" t="n"/>
      <c r="AM481" s="1392" t="n"/>
      <c r="AN481" s="1392" t="n"/>
      <c r="AO481" s="1392" t="n"/>
      <c r="AP481" s="1392" t="n"/>
      <c r="AQ481" s="1392" t="n"/>
      <c r="AR481" s="1392" t="n"/>
      <c r="AS481" s="1422" t="n"/>
      <c r="AT481" s="1392" t="n"/>
      <c r="AU481" s="1392" t="n"/>
      <c r="AV481" s="1392" t="n"/>
      <c r="AW481" s="1392" t="n"/>
      <c r="AX481" s="1392" t="n"/>
      <c r="AY481" s="1392" t="n"/>
      <c r="AZ481" s="1392" t="n"/>
      <c r="BA481" s="1392" t="n"/>
      <c r="BB481" s="1422" t="n"/>
      <c r="BC481" s="1392" t="n"/>
      <c r="BD481" s="1392" t="n"/>
      <c r="BE481" s="1392" t="n"/>
      <c r="BF481" s="1392" t="n"/>
      <c r="BG481" s="1392" t="n"/>
      <c r="BH481" s="1392" t="n"/>
      <c r="BI481" s="1392" t="n"/>
      <c r="BJ481" s="1392" t="n"/>
      <c r="BK481" s="1392" t="n"/>
      <c r="BL481" s="1392" t="n"/>
      <c r="BM481" s="1392" t="n"/>
      <c r="BN481" s="1392" t="n"/>
      <c r="BO481" s="1392" t="n"/>
      <c r="BP481" s="1392" t="n"/>
      <c r="BQ481" s="1392" t="n"/>
      <c r="BR481" s="1392" t="n"/>
      <c r="BS481" s="1392" t="n"/>
      <c r="BT481" s="1392" t="n"/>
      <c r="BU481" s="1416" t="n"/>
      <c r="BV481" s="1392" t="n"/>
      <c r="BW481" s="1392" t="n"/>
      <c r="BX481" s="1392" t="n"/>
      <c r="BY481" s="1392" t="n"/>
      <c r="BZ481" s="1416" t="n"/>
      <c r="CA481" s="1392" t="n"/>
      <c r="CB481" s="1392" t="n"/>
      <c r="CC481" s="1392" t="n"/>
      <c r="CD481" s="1392" t="n"/>
      <c r="CE481" s="1392" t="n"/>
      <c r="CF481" s="1392" t="n"/>
      <c r="CG481" s="1392" t="n"/>
      <c r="CH481" s="1392" t="n"/>
      <c r="CI481" s="1392" t="n"/>
      <c r="CJ481" s="1392" t="n"/>
      <c r="CK481" s="1392" t="n"/>
      <c r="CL481" s="1392" t="n"/>
    </row>
    <row r="482">
      <c r="A482" s="5" t="inlineStr">
        <is>
          <t>.</t>
        </is>
      </c>
      <c r="B482" s="5" t="inlineStr">
        <is>
          <t>.</t>
        </is>
      </c>
      <c r="C482" s="1378">
        <f>IF(raw[[#This Row],[city]]="","-",IF(raw[[#This Row],[city]]="TODAY","-",C481+1))</f>
        <v/>
      </c>
      <c r="D482" s="1393" t="inlineStr">
        <is>
          <t>Magliano</t>
        </is>
      </c>
      <c r="E482" s="1394" t="n">
        <v>36060</v>
      </c>
      <c r="F482" s="1394" t="n">
        <v>36060</v>
      </c>
      <c r="G482" s="1393" t="inlineStr">
        <is>
          <t>-</t>
        </is>
      </c>
      <c r="H482" s="1393">
        <f>H481</f>
        <v/>
      </c>
      <c r="I482" s="1393" t="inlineStr">
        <is>
          <t>-</t>
        </is>
      </c>
      <c r="J482" s="1393" t="inlineStr">
        <is>
          <t>rato/</t>
        </is>
      </c>
      <c r="K482" s="1395">
        <f>IF(raw[[#This Row],[city]]&lt;&gt;"",_xlfn.XLOOKUP($D482,ccc[city],ccc[prov],"-"),"-")</f>
        <v/>
      </c>
      <c r="L482" s="1395">
        <f>IF(raw[[#This Row],[city]]&lt;&gt;"",_xlfn.XLOOKUP($D482,ccc[city],ccc[ctry],"-"),"-")</f>
        <v/>
      </c>
      <c r="M482" s="1395">
        <f>IF(raw[[#This Row],[city]]&lt;&gt;"",_xlfn.XLOOKUP($D482,ccc[city],ccc[cont],"-"),"-")</f>
        <v/>
      </c>
      <c r="N482" s="1396">
        <f>IF(raw[[#This Row],[city]]="","-",IF(raw[[#This Row],[cont]]="B",raw[[#This Row],[cont]],"W"))</f>
        <v/>
      </c>
      <c r="O482" s="1397">
        <f>IF(raw[[#This Row],[out]]=0,0,IF(raw[[#This Row],[out]]=raw[[#This Row],[in]],0.01,raw[[#This Row],[out]]-raw[[#This Row],[in]]))</f>
        <v/>
      </c>
      <c r="P482" s="1397">
        <f>IF(raw[[#This Row],[in]]=0,0,MONTH(raw[[#This Row],[in]]))</f>
        <v/>
      </c>
      <c r="Q482" s="1397">
        <f>IF(raw[[#This Row],[in]]=0,0,YEAR(raw[[#This Row],[in]]))</f>
        <v/>
      </c>
      <c r="R482" s="1397">
        <f>INT(raw[[#This Row],[yr]]/10)*10</f>
        <v/>
      </c>
      <c r="S482" s="1395">
        <f>IF(raw[[#This Row],[city]]="","-",IF(raw[[#This Row],[city]]&lt;&gt;_xlfn.XLOOKUP(raw[[#This Row],[home]],homes[home],homes[city],"-"),1,0))</f>
        <v/>
      </c>
      <c r="T482" s="1398" t="inlineStr">
        <is>
          <t>.</t>
        </is>
      </c>
      <c r="U482" s="1399">
        <f>IF(raw[[#This Row],[wb]]="w",raw[[#This Row],[stay]]+U481,U481)</f>
        <v/>
      </c>
      <c r="V482" s="1400">
        <f>IF(raw[[#This Row],[out]]=0,V481,(raw[[#This Row],[out]]-E$5))</f>
        <v/>
      </c>
      <c r="W482" s="1401">
        <f>U482/V482</f>
        <v/>
      </c>
      <c r="X482" s="1378" t="inlineStr">
        <is>
          <t>.</t>
        </is>
      </c>
      <c r="Y482" s="1402">
        <f/>
        <v/>
      </c>
      <c r="Z482" s="1403">
        <f/>
        <v/>
      </c>
      <c r="AA482" s="1403">
        <f/>
        <v/>
      </c>
      <c r="AB482" s="1400">
        <f t="array" ref="AB482">_xlfn.LET(_xlpm.S,_xlfn.ANCHORARRAY($Y$4),_xlpm.r,ROWS(stayCity[[#Headers],[city]]:stayCity[[#This Row],[city]])-1,IF(_xlpm.r&lt;=ROWS(_xlpm.S),INDEX(_xlpm.S,_xlpm.r,1),""))</f>
        <v/>
      </c>
      <c r="AC482" s="1405">
        <f t="array" ref="AC482">_xlfn.LET(_xlpm.S,_xlfn.ANCHORARRAY($Y$4),_xlpm.r,ROWS(stayCity[[#Headers],[city]]:stayCity[[#This Row],[city]])-1,IF(_xlpm.r&lt;=ROWS(_xlpm.S),INDEX(_xlpm.S,_xlpm.r,2),""))</f>
        <v/>
      </c>
      <c r="AD482" s="1405">
        <f t="array" ref="AD482">_xlfn.LET(_xlpm.S,_xlfn.ANCHORARRAY($Y$4),_xlpm.r,ROWS(stayCity[[#Headers],[city]]:stayCity[[#This Row],[city]])-1,IF(_xlpm.r&lt;=ROWS(_xlpm.S),INDEX(_xlpm.S,_xlpm.r,3),""))</f>
        <v/>
      </c>
      <c r="AE482" s="1400">
        <f>IF(stayCity[[#This Row],[out]]&lt;&gt;"",stayCity[[#This Row],[out]]-stayCity[[#This Row],[in]],"-")</f>
        <v/>
      </c>
      <c r="AF482" s="1406">
        <f>IF(Y482="","-",YEAR(stayCity[[#This Row],[in]]))</f>
        <v/>
      </c>
      <c r="AG482" s="1392" t="n"/>
      <c r="AH482" s="1392" t="n"/>
      <c r="AI482" s="1392" t="n"/>
      <c r="AJ482" s="1392" t="n"/>
      <c r="AK482" s="1392" t="n"/>
      <c r="AL482" s="1392" t="n"/>
      <c r="AM482" s="1392" t="n"/>
      <c r="AN482" s="1392" t="n"/>
      <c r="AO482" s="1392" t="n"/>
      <c r="AP482" s="1392" t="n"/>
      <c r="AQ482" s="1392" t="n"/>
      <c r="AR482" s="1392" t="n"/>
      <c r="AS482" s="1422" t="n"/>
      <c r="AT482" s="1392" t="n"/>
      <c r="AU482" s="1392" t="n"/>
      <c r="AV482" s="1392" t="n"/>
      <c r="AW482" s="1392" t="n"/>
      <c r="AX482" s="1392" t="n"/>
      <c r="AY482" s="1392" t="n"/>
      <c r="AZ482" s="1392" t="n"/>
      <c r="BA482" s="1392" t="n"/>
      <c r="BB482" s="1422" t="n"/>
      <c r="BC482" s="1392" t="n"/>
      <c r="BD482" s="1392" t="n"/>
      <c r="BE482" s="1392" t="n"/>
      <c r="BF482" s="1392" t="n"/>
      <c r="BG482" s="1392" t="n"/>
      <c r="BH482" s="1392" t="n"/>
      <c r="BI482" s="1392" t="n"/>
      <c r="BJ482" s="1392" t="n"/>
      <c r="BK482" s="1392" t="n"/>
      <c r="BL482" s="1392" t="n"/>
      <c r="BM482" s="1392" t="n"/>
      <c r="BN482" s="1392" t="n"/>
      <c r="BO482" s="1392" t="n"/>
      <c r="BP482" s="1392" t="n"/>
      <c r="BQ482" s="1392" t="n"/>
      <c r="BR482" s="1392" t="n"/>
      <c r="BS482" s="1392" t="n"/>
      <c r="BT482" s="1392" t="n"/>
      <c r="BU482" s="1416" t="n"/>
      <c r="BV482" s="1392" t="n"/>
      <c r="BW482" s="1392" t="n"/>
      <c r="BX482" s="1392" t="n"/>
      <c r="BY482" s="1392" t="n"/>
      <c r="BZ482" s="1416" t="n"/>
      <c r="CA482" s="1392" t="n"/>
      <c r="CB482" s="1392" t="n"/>
      <c r="CC482" s="1392" t="n"/>
      <c r="CD482" s="1392" t="n"/>
      <c r="CE482" s="1392" t="n"/>
      <c r="CF482" s="1392" t="n"/>
      <c r="CG482" s="1392" t="n"/>
      <c r="CH482" s="1392" t="n"/>
      <c r="CI482" s="1392" t="n"/>
      <c r="CJ482" s="1392" t="n"/>
      <c r="CK482" s="1392" t="n"/>
      <c r="CL482" s="1392" t="n"/>
    </row>
    <row r="483">
      <c r="A483" s="5" t="inlineStr">
        <is>
          <t>.</t>
        </is>
      </c>
      <c r="B483" s="5" t="inlineStr">
        <is>
          <t>.</t>
        </is>
      </c>
      <c r="C483" s="1378">
        <f>IF(raw[[#This Row],[city]]="","-",IF(raw[[#This Row],[city]]="TODAY","-",C482+1))</f>
        <v/>
      </c>
      <c r="D483" s="1393" t="inlineStr">
        <is>
          <t>Orvieto</t>
        </is>
      </c>
      <c r="E483" s="1394" t="n">
        <v>36060</v>
      </c>
      <c r="F483" s="1394" t="n">
        <v>36060</v>
      </c>
      <c r="G483" s="1393" t="inlineStr">
        <is>
          <t>-</t>
        </is>
      </c>
      <c r="H483" s="1393">
        <f>H482</f>
        <v/>
      </c>
      <c r="I483" s="1393" t="inlineStr">
        <is>
          <t>-</t>
        </is>
      </c>
      <c r="J483" s="1393" t="inlineStr">
        <is>
          <t>rato/</t>
        </is>
      </c>
      <c r="K483" s="1395">
        <f>IF(raw[[#This Row],[city]]&lt;&gt;"",_xlfn.XLOOKUP($D483,ccc[city],ccc[prov],"-"),"-")</f>
        <v/>
      </c>
      <c r="L483" s="1395">
        <f>IF(raw[[#This Row],[city]]&lt;&gt;"",_xlfn.XLOOKUP($D483,ccc[city],ccc[ctry],"-"),"-")</f>
        <v/>
      </c>
      <c r="M483" s="1395">
        <f>IF(raw[[#This Row],[city]]&lt;&gt;"",_xlfn.XLOOKUP($D483,ccc[city],ccc[cont],"-"),"-")</f>
        <v/>
      </c>
      <c r="N483" s="1396">
        <f>IF(raw[[#This Row],[city]]="","-",IF(raw[[#This Row],[cont]]="B",raw[[#This Row],[cont]],"W"))</f>
        <v/>
      </c>
      <c r="O483" s="1397">
        <f>IF(raw[[#This Row],[out]]=0,0,IF(raw[[#This Row],[out]]=raw[[#This Row],[in]],0.01,raw[[#This Row],[out]]-raw[[#This Row],[in]]))</f>
        <v/>
      </c>
      <c r="P483" s="1397">
        <f>IF(raw[[#This Row],[in]]=0,0,MONTH(raw[[#This Row],[in]]))</f>
        <v/>
      </c>
      <c r="Q483" s="1397">
        <f>IF(raw[[#This Row],[in]]=0,0,YEAR(raw[[#This Row],[in]]))</f>
        <v/>
      </c>
      <c r="R483" s="1397">
        <f>INT(raw[[#This Row],[yr]]/10)*10</f>
        <v/>
      </c>
      <c r="S483" s="1395">
        <f>IF(raw[[#This Row],[city]]="","-",IF(raw[[#This Row],[city]]&lt;&gt;_xlfn.XLOOKUP(raw[[#This Row],[home]],homes[home],homes[city],"-"),1,0))</f>
        <v/>
      </c>
      <c r="T483" s="1398" t="inlineStr">
        <is>
          <t>.</t>
        </is>
      </c>
      <c r="U483" s="1399">
        <f>IF(raw[[#This Row],[wb]]="w",raw[[#This Row],[stay]]+U482,U482)</f>
        <v/>
      </c>
      <c r="V483" s="1400">
        <f>IF(raw[[#This Row],[out]]=0,V482,(raw[[#This Row],[out]]-E$5))</f>
        <v/>
      </c>
      <c r="W483" s="1401">
        <f>U483/V483</f>
        <v/>
      </c>
      <c r="X483" s="1378" t="inlineStr">
        <is>
          <t>.</t>
        </is>
      </c>
      <c r="Y483" s="1402">
        <f/>
        <v/>
      </c>
      <c r="Z483" s="1403">
        <f/>
        <v/>
      </c>
      <c r="AA483" s="1403">
        <f/>
        <v/>
      </c>
      <c r="AB483" s="1400">
        <f t="array" ref="AB483">_xlfn.LET(_xlpm.S,_xlfn.ANCHORARRAY($Y$4),_xlpm.r,ROWS(stayCity[[#Headers],[city]]:stayCity[[#This Row],[city]])-1,IF(_xlpm.r&lt;=ROWS(_xlpm.S),INDEX(_xlpm.S,_xlpm.r,1),""))</f>
        <v/>
      </c>
      <c r="AC483" s="1405">
        <f t="array" ref="AC483">_xlfn.LET(_xlpm.S,_xlfn.ANCHORARRAY($Y$4),_xlpm.r,ROWS(stayCity[[#Headers],[city]]:stayCity[[#This Row],[city]])-1,IF(_xlpm.r&lt;=ROWS(_xlpm.S),INDEX(_xlpm.S,_xlpm.r,2),""))</f>
        <v/>
      </c>
      <c r="AD483" s="1405">
        <f t="array" ref="AD483">_xlfn.LET(_xlpm.S,_xlfn.ANCHORARRAY($Y$4),_xlpm.r,ROWS(stayCity[[#Headers],[city]]:stayCity[[#This Row],[city]])-1,IF(_xlpm.r&lt;=ROWS(_xlpm.S),INDEX(_xlpm.S,_xlpm.r,3),""))</f>
        <v/>
      </c>
      <c r="AE483" s="1400">
        <f>IF(stayCity[[#This Row],[out]]&lt;&gt;"",stayCity[[#This Row],[out]]-stayCity[[#This Row],[in]],"-")</f>
        <v/>
      </c>
      <c r="AF483" s="1406">
        <f>IF(Y483="","-",YEAR(stayCity[[#This Row],[in]]))</f>
        <v/>
      </c>
      <c r="AG483" s="1392" t="n"/>
      <c r="AH483" s="1392" t="n"/>
      <c r="AI483" s="1392" t="n"/>
      <c r="AJ483" s="1392" t="n"/>
      <c r="AK483" s="1392" t="n"/>
      <c r="AL483" s="1392" t="n"/>
      <c r="AM483" s="1392" t="n"/>
      <c r="AN483" s="1392" t="n"/>
      <c r="AO483" s="1392" t="n"/>
      <c r="AP483" s="1392" t="n"/>
      <c r="AQ483" s="1392" t="n"/>
      <c r="AR483" s="1392" t="n"/>
      <c r="AS483" s="1422" t="n"/>
      <c r="AT483" s="1392" t="n"/>
      <c r="AU483" s="1392" t="n"/>
      <c r="AV483" s="1392" t="n"/>
      <c r="AW483" s="1392" t="n"/>
      <c r="AX483" s="1392" t="n"/>
      <c r="AY483" s="1392" t="n"/>
      <c r="AZ483" s="1392" t="n"/>
      <c r="BA483" s="1392" t="n"/>
      <c r="BB483" s="1422" t="n"/>
      <c r="BC483" s="1392" t="n"/>
      <c r="BD483" s="1392" t="n"/>
      <c r="BE483" s="1392" t="n"/>
      <c r="BF483" s="1392" t="n"/>
      <c r="BG483" s="1392" t="n"/>
      <c r="BH483" s="1392" t="n"/>
      <c r="BI483" s="1392" t="n"/>
      <c r="BJ483" s="1392" t="n"/>
      <c r="BK483" s="1392" t="n"/>
      <c r="BL483" s="1392" t="n"/>
      <c r="BM483" s="1392" t="n"/>
      <c r="BN483" s="1392" t="n"/>
      <c r="BO483" s="1392" t="n"/>
      <c r="BP483" s="1392" t="n"/>
      <c r="BQ483" s="1392" t="n"/>
      <c r="BR483" s="1392" t="n"/>
      <c r="BS483" s="1392" t="n"/>
      <c r="BT483" s="1392" t="n"/>
      <c r="BU483" s="1416" t="n"/>
      <c r="BV483" s="1392" t="n"/>
      <c r="BW483" s="1392" t="n"/>
      <c r="BX483" s="1392" t="n"/>
      <c r="BY483" s="1392" t="n"/>
      <c r="BZ483" s="1416" t="n"/>
      <c r="CA483" s="1392" t="n"/>
      <c r="CB483" s="1392" t="n"/>
      <c r="CC483" s="1392" t="n"/>
      <c r="CD483" s="1392" t="n"/>
      <c r="CE483" s="1392" t="n"/>
      <c r="CF483" s="1392" t="n"/>
      <c r="CG483" s="1392" t="n"/>
      <c r="CH483" s="1392" t="n"/>
      <c r="CI483" s="1392" t="n"/>
      <c r="CJ483" s="1392" t="n"/>
      <c r="CK483" s="1392" t="n"/>
      <c r="CL483" s="1392" t="n"/>
    </row>
    <row r="484">
      <c r="A484" s="5" t="inlineStr">
        <is>
          <t>.</t>
        </is>
      </c>
      <c r="B484" s="5" t="inlineStr">
        <is>
          <t>.</t>
        </is>
      </c>
      <c r="C484" s="1378">
        <f>IF(raw[[#This Row],[city]]="","-",IF(raw[[#This Row],[city]]="TODAY","-",C483+1))</f>
        <v/>
      </c>
      <c r="D484" s="1393" t="inlineStr">
        <is>
          <t>Bolsena</t>
        </is>
      </c>
      <c r="E484" s="1394" t="n">
        <v>36060</v>
      </c>
      <c r="F484" s="1394" t="n">
        <v>36060</v>
      </c>
      <c r="G484" s="1393" t="inlineStr">
        <is>
          <t>-</t>
        </is>
      </c>
      <c r="H484" s="1393">
        <f>H483</f>
        <v/>
      </c>
      <c r="I484" s="1393" t="inlineStr">
        <is>
          <t>-</t>
        </is>
      </c>
      <c r="J484" s="1393" t="inlineStr">
        <is>
          <t>rato/</t>
        </is>
      </c>
      <c r="K484" s="1395">
        <f>IF(raw[[#This Row],[city]]&lt;&gt;"",_xlfn.XLOOKUP($D484,ccc[city],ccc[prov],"-"),"-")</f>
        <v/>
      </c>
      <c r="L484" s="1395">
        <f>IF(raw[[#This Row],[city]]&lt;&gt;"",_xlfn.XLOOKUP($D484,ccc[city],ccc[ctry],"-"),"-")</f>
        <v/>
      </c>
      <c r="M484" s="1395">
        <f>IF(raw[[#This Row],[city]]&lt;&gt;"",_xlfn.XLOOKUP($D484,ccc[city],ccc[cont],"-"),"-")</f>
        <v/>
      </c>
      <c r="N484" s="1396">
        <f>IF(raw[[#This Row],[city]]="","-",IF(raw[[#This Row],[cont]]="B",raw[[#This Row],[cont]],"W"))</f>
        <v/>
      </c>
      <c r="O484" s="1397">
        <f>IF(raw[[#This Row],[out]]=0,0,IF(raw[[#This Row],[out]]=raw[[#This Row],[in]],0.01,raw[[#This Row],[out]]-raw[[#This Row],[in]]))</f>
        <v/>
      </c>
      <c r="P484" s="1397">
        <f>IF(raw[[#This Row],[in]]=0,0,MONTH(raw[[#This Row],[in]]))</f>
        <v/>
      </c>
      <c r="Q484" s="1397">
        <f>IF(raw[[#This Row],[in]]=0,0,YEAR(raw[[#This Row],[in]]))</f>
        <v/>
      </c>
      <c r="R484" s="1397">
        <f>INT(raw[[#This Row],[yr]]/10)*10</f>
        <v/>
      </c>
      <c r="S484" s="1395">
        <f>IF(raw[[#This Row],[city]]="","-",IF(raw[[#This Row],[city]]&lt;&gt;_xlfn.XLOOKUP(raw[[#This Row],[home]],homes[home],homes[city],"-"),1,0))</f>
        <v/>
      </c>
      <c r="T484" s="1398" t="inlineStr">
        <is>
          <t>.</t>
        </is>
      </c>
      <c r="U484" s="1399">
        <f>IF(raw[[#This Row],[wb]]="w",raw[[#This Row],[stay]]+U483,U483)</f>
        <v/>
      </c>
      <c r="V484" s="1400">
        <f>IF(raw[[#This Row],[out]]=0,V483,(raw[[#This Row],[out]]-E$5))</f>
        <v/>
      </c>
      <c r="W484" s="1401">
        <f>U484/V484</f>
        <v/>
      </c>
      <c r="X484" s="1378" t="inlineStr">
        <is>
          <t>.</t>
        </is>
      </c>
      <c r="Y484" s="1402">
        <f/>
        <v/>
      </c>
      <c r="Z484" s="1403">
        <f/>
        <v/>
      </c>
      <c r="AA484" s="1403">
        <f/>
        <v/>
      </c>
      <c r="AB484" s="1400">
        <f t="array" ref="AB484">_xlfn.LET(_xlpm.S,_xlfn.ANCHORARRAY($Y$4),_xlpm.r,ROWS(stayCity[[#Headers],[city]]:stayCity[[#This Row],[city]])-1,IF(_xlpm.r&lt;=ROWS(_xlpm.S),INDEX(_xlpm.S,_xlpm.r,1),""))</f>
        <v/>
      </c>
      <c r="AC484" s="1405">
        <f t="array" ref="AC484">_xlfn.LET(_xlpm.S,_xlfn.ANCHORARRAY($Y$4),_xlpm.r,ROWS(stayCity[[#Headers],[city]]:stayCity[[#This Row],[city]])-1,IF(_xlpm.r&lt;=ROWS(_xlpm.S),INDEX(_xlpm.S,_xlpm.r,2),""))</f>
        <v/>
      </c>
      <c r="AD484" s="1405">
        <f t="array" ref="AD484">_xlfn.LET(_xlpm.S,_xlfn.ANCHORARRAY($Y$4),_xlpm.r,ROWS(stayCity[[#Headers],[city]]:stayCity[[#This Row],[city]])-1,IF(_xlpm.r&lt;=ROWS(_xlpm.S),INDEX(_xlpm.S,_xlpm.r,3),""))</f>
        <v/>
      </c>
      <c r="AE484" s="1400">
        <f>IF(stayCity[[#This Row],[out]]&lt;&gt;"",stayCity[[#This Row],[out]]-stayCity[[#This Row],[in]],"-")</f>
        <v/>
      </c>
      <c r="AF484" s="1406">
        <f>IF(Y484="","-",YEAR(stayCity[[#This Row],[in]]))</f>
        <v/>
      </c>
      <c r="AG484" s="1392" t="n"/>
      <c r="AH484" s="1392" t="n"/>
      <c r="AI484" s="1392" t="n"/>
      <c r="AJ484" s="1392" t="n"/>
      <c r="AK484" s="1392" t="n"/>
      <c r="AL484" s="1392" t="n"/>
      <c r="AM484" s="1392" t="n"/>
      <c r="AN484" s="1392" t="n"/>
      <c r="AO484" s="1392" t="n"/>
      <c r="AP484" s="1392" t="n"/>
      <c r="AQ484" s="1392" t="n"/>
      <c r="AR484" s="1392" t="n"/>
      <c r="AS484" s="1422" t="n"/>
      <c r="AT484" s="1392" t="n"/>
      <c r="AU484" s="1392" t="n"/>
      <c r="AV484" s="1392" t="n"/>
      <c r="AW484" s="1392" t="n"/>
      <c r="AX484" s="1392" t="n"/>
      <c r="AY484" s="1392" t="n"/>
      <c r="AZ484" s="1392" t="n"/>
      <c r="BA484" s="1392" t="n"/>
      <c r="BB484" s="1422" t="n"/>
      <c r="BC484" s="1392" t="n"/>
      <c r="BD484" s="1392" t="n"/>
      <c r="BE484" s="1392" t="n"/>
      <c r="BF484" s="1392" t="n"/>
      <c r="BG484" s="1392" t="n"/>
      <c r="BH484" s="1392" t="n"/>
      <c r="BI484" s="1392" t="n"/>
      <c r="BJ484" s="1392" t="n"/>
      <c r="BK484" s="1392" t="n"/>
      <c r="BL484" s="1392" t="n"/>
      <c r="BM484" s="1392" t="n"/>
      <c r="BN484" s="1392" t="n"/>
      <c r="BO484" s="1392" t="n"/>
      <c r="BP484" s="1392" t="n"/>
      <c r="BQ484" s="1392" t="n"/>
      <c r="BR484" s="1392" t="n"/>
      <c r="BS484" s="1392" t="n"/>
      <c r="BT484" s="1392" t="n"/>
      <c r="BU484" s="1416" t="n"/>
      <c r="BV484" s="1392" t="n"/>
      <c r="BW484" s="1392" t="n"/>
      <c r="BX484" s="1392" t="n"/>
      <c r="BY484" s="1392" t="n"/>
      <c r="BZ484" s="1416" t="n"/>
      <c r="CA484" s="1392" t="n"/>
      <c r="CB484" s="1392" t="n"/>
      <c r="CC484" s="1392" t="n"/>
      <c r="CD484" s="1392" t="n"/>
      <c r="CE484" s="1392" t="n"/>
      <c r="CF484" s="1392" t="n"/>
      <c r="CG484" s="1392" t="n"/>
      <c r="CH484" s="1392" t="n"/>
      <c r="CI484" s="1392" t="n"/>
      <c r="CJ484" s="1392" t="n"/>
      <c r="CK484" s="1392" t="n"/>
      <c r="CL484" s="1392" t="n"/>
    </row>
    <row r="485">
      <c r="A485" s="5" t="inlineStr">
        <is>
          <t>.</t>
        </is>
      </c>
      <c r="B485" s="5" t="inlineStr">
        <is>
          <t>.</t>
        </is>
      </c>
      <c r="C485" s="1378">
        <f>IF(raw[[#This Row],[city]]="","-",IF(raw[[#This Row],[city]]="TODAY","-",C484+1))</f>
        <v/>
      </c>
      <c r="D485" s="1393" t="inlineStr">
        <is>
          <t>Siena</t>
        </is>
      </c>
      <c r="E485" s="1394" t="n">
        <v>36060</v>
      </c>
      <c r="F485" s="1394" t="n">
        <v>36060</v>
      </c>
      <c r="G485" s="1393" t="inlineStr">
        <is>
          <t>-</t>
        </is>
      </c>
      <c r="H485" s="1393">
        <f>H484</f>
        <v/>
      </c>
      <c r="I485" s="1393" t="inlineStr">
        <is>
          <t>-</t>
        </is>
      </c>
      <c r="J485" s="1393" t="inlineStr">
        <is>
          <t>rato/</t>
        </is>
      </c>
      <c r="K485" s="1395">
        <f>IF(raw[[#This Row],[city]]&lt;&gt;"",_xlfn.XLOOKUP($D485,ccc[city],ccc[prov],"-"),"-")</f>
        <v/>
      </c>
      <c r="L485" s="1395">
        <f>IF(raw[[#This Row],[city]]&lt;&gt;"",_xlfn.XLOOKUP($D485,ccc[city],ccc[ctry],"-"),"-")</f>
        <v/>
      </c>
      <c r="M485" s="1395">
        <f>IF(raw[[#This Row],[city]]&lt;&gt;"",_xlfn.XLOOKUP($D485,ccc[city],ccc[cont],"-"),"-")</f>
        <v/>
      </c>
      <c r="N485" s="1396">
        <f>IF(raw[[#This Row],[city]]="","-",IF(raw[[#This Row],[cont]]="B",raw[[#This Row],[cont]],"W"))</f>
        <v/>
      </c>
      <c r="O485" s="1397">
        <f>IF(raw[[#This Row],[out]]=0,0,IF(raw[[#This Row],[out]]=raw[[#This Row],[in]],0.01,raw[[#This Row],[out]]-raw[[#This Row],[in]]))</f>
        <v/>
      </c>
      <c r="P485" s="1397">
        <f>IF(raw[[#This Row],[in]]=0,0,MONTH(raw[[#This Row],[in]]))</f>
        <v/>
      </c>
      <c r="Q485" s="1397">
        <f>IF(raw[[#This Row],[in]]=0,0,YEAR(raw[[#This Row],[in]]))</f>
        <v/>
      </c>
      <c r="R485" s="1397">
        <f>INT(raw[[#This Row],[yr]]/10)*10</f>
        <v/>
      </c>
      <c r="S485" s="1395">
        <f>IF(raw[[#This Row],[city]]="","-",IF(raw[[#This Row],[city]]&lt;&gt;_xlfn.XLOOKUP(raw[[#This Row],[home]],homes[home],homes[city],"-"),1,0))</f>
        <v/>
      </c>
      <c r="T485" s="1398" t="inlineStr">
        <is>
          <t>.</t>
        </is>
      </c>
      <c r="U485" s="1399">
        <f>IF(raw[[#This Row],[wb]]="w",raw[[#This Row],[stay]]+U484,U484)</f>
        <v/>
      </c>
      <c r="V485" s="1400">
        <f>IF(raw[[#This Row],[out]]=0,V484,(raw[[#This Row],[out]]-E$5))</f>
        <v/>
      </c>
      <c r="W485" s="1401">
        <f>U485/V485</f>
        <v/>
      </c>
      <c r="X485" s="1378" t="inlineStr">
        <is>
          <t>.</t>
        </is>
      </c>
      <c r="Y485" s="1402">
        <f/>
        <v/>
      </c>
      <c r="Z485" s="1403">
        <f/>
        <v/>
      </c>
      <c r="AA485" s="1403">
        <f/>
        <v/>
      </c>
      <c r="AB485" s="1400">
        <f t="array" ref="AB485">_xlfn.LET(_xlpm.S,_xlfn.ANCHORARRAY($Y$4),_xlpm.r,ROWS(stayCity[[#Headers],[city]]:stayCity[[#This Row],[city]])-1,IF(_xlpm.r&lt;=ROWS(_xlpm.S),INDEX(_xlpm.S,_xlpm.r,1),""))</f>
        <v/>
      </c>
      <c r="AC485" s="1405">
        <f t="array" ref="AC485">_xlfn.LET(_xlpm.S,_xlfn.ANCHORARRAY($Y$4),_xlpm.r,ROWS(stayCity[[#Headers],[city]]:stayCity[[#This Row],[city]])-1,IF(_xlpm.r&lt;=ROWS(_xlpm.S),INDEX(_xlpm.S,_xlpm.r,2),""))</f>
        <v/>
      </c>
      <c r="AD485" s="1405">
        <f t="array" ref="AD485">_xlfn.LET(_xlpm.S,_xlfn.ANCHORARRAY($Y$4),_xlpm.r,ROWS(stayCity[[#Headers],[city]]:stayCity[[#This Row],[city]])-1,IF(_xlpm.r&lt;=ROWS(_xlpm.S),INDEX(_xlpm.S,_xlpm.r,3),""))</f>
        <v/>
      </c>
      <c r="AE485" s="1400">
        <f>IF(stayCity[[#This Row],[out]]&lt;&gt;"",stayCity[[#This Row],[out]]-stayCity[[#This Row],[in]],"-")</f>
        <v/>
      </c>
      <c r="AF485" s="1406">
        <f>IF(Y485="","-",YEAR(stayCity[[#This Row],[in]]))</f>
        <v/>
      </c>
      <c r="AG485" s="1392" t="n"/>
      <c r="AH485" s="1392" t="n"/>
      <c r="AI485" s="1392" t="n"/>
      <c r="AJ485" s="1392" t="n"/>
      <c r="AK485" s="1392" t="n"/>
      <c r="AL485" s="1392" t="n"/>
      <c r="AM485" s="1392" t="n"/>
      <c r="AN485" s="1392" t="n"/>
      <c r="AO485" s="1392" t="n"/>
      <c r="AP485" s="1392" t="n"/>
      <c r="AQ485" s="1392" t="n"/>
      <c r="AR485" s="1392" t="n"/>
      <c r="AS485" s="1422" t="n"/>
      <c r="AT485" s="1392" t="n"/>
      <c r="AU485" s="1392" t="n"/>
      <c r="AV485" s="1392" t="n"/>
      <c r="AW485" s="1392" t="n"/>
      <c r="AX485" s="1392" t="n"/>
      <c r="AY485" s="1392" t="n"/>
      <c r="AZ485" s="1392" t="n"/>
      <c r="BA485" s="1392" t="n"/>
      <c r="BB485" s="1422" t="n"/>
      <c r="BC485" s="1392" t="n"/>
      <c r="BD485" s="1392" t="n"/>
      <c r="BE485" s="1392" t="n"/>
      <c r="BF485" s="1392" t="n"/>
      <c r="BG485" s="1392" t="n"/>
      <c r="BH485" s="1392" t="n"/>
      <c r="BI485" s="1392" t="n"/>
      <c r="BJ485" s="1392" t="n"/>
      <c r="BK485" s="1392" t="n"/>
      <c r="BL485" s="1392" t="n"/>
      <c r="BM485" s="1392" t="n"/>
      <c r="BN485" s="1392" t="n"/>
      <c r="BO485" s="1392" t="n"/>
      <c r="BP485" s="1392" t="n"/>
      <c r="BQ485" s="1392" t="n"/>
      <c r="BR485" s="1392" t="n"/>
      <c r="BS485" s="1392" t="n"/>
      <c r="BT485" s="1392" t="n"/>
      <c r="BU485" s="1416" t="n"/>
      <c r="BV485" s="1392" t="n"/>
      <c r="BW485" s="1392" t="n"/>
      <c r="BX485" s="1392" t="n"/>
      <c r="BY485" s="1392" t="n"/>
      <c r="BZ485" s="1416" t="n"/>
      <c r="CA485" s="1392" t="n"/>
      <c r="CB485" s="1392" t="n"/>
      <c r="CC485" s="1392" t="n"/>
      <c r="CD485" s="1392" t="n"/>
      <c r="CE485" s="1392" t="n"/>
      <c r="CF485" s="1392" t="n"/>
      <c r="CG485" s="1392" t="n"/>
      <c r="CH485" s="1392" t="n"/>
      <c r="CI485" s="1392" t="n"/>
      <c r="CJ485" s="1392" t="n"/>
      <c r="CK485" s="1392" t="n"/>
      <c r="CL485" s="1392" t="n"/>
    </row>
    <row r="486">
      <c r="A486" s="5" t="inlineStr">
        <is>
          <t>.</t>
        </is>
      </c>
      <c r="B486" s="5" t="inlineStr">
        <is>
          <t>.</t>
        </is>
      </c>
      <c r="C486" s="1378">
        <f>IF(raw[[#This Row],[city]]="","-",IF(raw[[#This Row],[city]]="TODAY","-",C485+1))</f>
        <v/>
      </c>
      <c r="D486" s="1393" t="inlineStr">
        <is>
          <t>Firenze</t>
        </is>
      </c>
      <c r="E486" s="1394" t="n">
        <v>36060</v>
      </c>
      <c r="F486" s="1394" t="n">
        <v>36060</v>
      </c>
      <c r="G486" s="1393" t="inlineStr">
        <is>
          <t>-</t>
        </is>
      </c>
      <c r="H486" s="1393">
        <f>H485</f>
        <v/>
      </c>
      <c r="I486" s="1393" t="inlineStr">
        <is>
          <t>-</t>
        </is>
      </c>
      <c r="J486" s="1393" t="inlineStr">
        <is>
          <t>rato/</t>
        </is>
      </c>
      <c r="K486" s="1395">
        <f>IF(raw[[#This Row],[city]]&lt;&gt;"",_xlfn.XLOOKUP($D486,ccc[city],ccc[prov],"-"),"-")</f>
        <v/>
      </c>
      <c r="L486" s="1395">
        <f>IF(raw[[#This Row],[city]]&lt;&gt;"",_xlfn.XLOOKUP($D486,ccc[city],ccc[ctry],"-"),"-")</f>
        <v/>
      </c>
      <c r="M486" s="1395">
        <f>IF(raw[[#This Row],[city]]&lt;&gt;"",_xlfn.XLOOKUP($D486,ccc[city],ccc[cont],"-"),"-")</f>
        <v/>
      </c>
      <c r="N486" s="1396">
        <f>IF(raw[[#This Row],[city]]="","-",IF(raw[[#This Row],[cont]]="B",raw[[#This Row],[cont]],"W"))</f>
        <v/>
      </c>
      <c r="O486" s="1397">
        <f>IF(raw[[#This Row],[out]]=0,0,IF(raw[[#This Row],[out]]=raw[[#This Row],[in]],0.01,raw[[#This Row],[out]]-raw[[#This Row],[in]]))</f>
        <v/>
      </c>
      <c r="P486" s="1397">
        <f>IF(raw[[#This Row],[in]]=0,0,MONTH(raw[[#This Row],[in]]))</f>
        <v/>
      </c>
      <c r="Q486" s="1397">
        <f>IF(raw[[#This Row],[in]]=0,0,YEAR(raw[[#This Row],[in]]))</f>
        <v/>
      </c>
      <c r="R486" s="1397">
        <f>INT(raw[[#This Row],[yr]]/10)*10</f>
        <v/>
      </c>
      <c r="S486" s="1395">
        <f>IF(raw[[#This Row],[city]]="","-",IF(raw[[#This Row],[city]]&lt;&gt;_xlfn.XLOOKUP(raw[[#This Row],[home]],homes[home],homes[city],"-"),1,0))</f>
        <v/>
      </c>
      <c r="T486" s="1398" t="inlineStr">
        <is>
          <t>.</t>
        </is>
      </c>
      <c r="U486" s="1399">
        <f>IF(raw[[#This Row],[wb]]="w",raw[[#This Row],[stay]]+U485,U485)</f>
        <v/>
      </c>
      <c r="V486" s="1400">
        <f>IF(raw[[#This Row],[out]]=0,V485,(raw[[#This Row],[out]]-E$5))</f>
        <v/>
      </c>
      <c r="W486" s="1401">
        <f>U486/V486</f>
        <v/>
      </c>
      <c r="X486" s="1378" t="inlineStr">
        <is>
          <t>.</t>
        </is>
      </c>
      <c r="Y486" s="1402">
        <f/>
        <v/>
      </c>
      <c r="Z486" s="1403">
        <f/>
        <v/>
      </c>
      <c r="AA486" s="1403">
        <f/>
        <v/>
      </c>
      <c r="AB486" s="1400">
        <f t="array" ref="AB486">_xlfn.LET(_xlpm.S,_xlfn.ANCHORARRAY($Y$4),_xlpm.r,ROWS(stayCity[[#Headers],[city]]:stayCity[[#This Row],[city]])-1,IF(_xlpm.r&lt;=ROWS(_xlpm.S),INDEX(_xlpm.S,_xlpm.r,1),""))</f>
        <v/>
      </c>
      <c r="AC486" s="1405">
        <f t="array" ref="AC486">_xlfn.LET(_xlpm.S,_xlfn.ANCHORARRAY($Y$4),_xlpm.r,ROWS(stayCity[[#Headers],[city]]:stayCity[[#This Row],[city]])-1,IF(_xlpm.r&lt;=ROWS(_xlpm.S),INDEX(_xlpm.S,_xlpm.r,2),""))</f>
        <v/>
      </c>
      <c r="AD486" s="1405">
        <f t="array" ref="AD486">_xlfn.LET(_xlpm.S,_xlfn.ANCHORARRAY($Y$4),_xlpm.r,ROWS(stayCity[[#Headers],[city]]:stayCity[[#This Row],[city]])-1,IF(_xlpm.r&lt;=ROWS(_xlpm.S),INDEX(_xlpm.S,_xlpm.r,3),""))</f>
        <v/>
      </c>
      <c r="AE486" s="1400">
        <f>IF(stayCity[[#This Row],[out]]&lt;&gt;"",stayCity[[#This Row],[out]]-stayCity[[#This Row],[in]],"-")</f>
        <v/>
      </c>
      <c r="AF486" s="1406">
        <f>IF(Y486="","-",YEAR(stayCity[[#This Row],[in]]))</f>
        <v/>
      </c>
      <c r="AG486" s="1392" t="n"/>
      <c r="AH486" s="1392" t="n"/>
      <c r="AI486" s="1392" t="n"/>
      <c r="AJ486" s="1392" t="n"/>
      <c r="AK486" s="1392" t="n"/>
      <c r="AL486" s="1392" t="n"/>
      <c r="AM486" s="1392" t="n"/>
      <c r="AN486" s="1392" t="n"/>
      <c r="AO486" s="1392" t="n"/>
      <c r="AP486" s="1392" t="n"/>
      <c r="AQ486" s="1392" t="n"/>
      <c r="AR486" s="1392" t="n"/>
      <c r="AS486" s="1422" t="n"/>
      <c r="AT486" s="1392" t="n"/>
      <c r="AU486" s="1392" t="n"/>
      <c r="AV486" s="1392" t="n"/>
      <c r="AW486" s="1392" t="n"/>
      <c r="AX486" s="1392" t="n"/>
      <c r="AY486" s="1392" t="n"/>
      <c r="AZ486" s="1392" t="n"/>
      <c r="BA486" s="1392" t="n"/>
      <c r="BB486" s="1422" t="n"/>
      <c r="BC486" s="1392" t="n"/>
      <c r="BD486" s="1392" t="n"/>
      <c r="BE486" s="1392" t="n"/>
      <c r="BF486" s="1392" t="n"/>
      <c r="BG486" s="1392" t="n"/>
      <c r="BH486" s="1392" t="n"/>
      <c r="BI486" s="1392" t="n"/>
      <c r="BJ486" s="1392" t="n"/>
      <c r="BK486" s="1392" t="n"/>
      <c r="BL486" s="1392" t="n"/>
      <c r="BM486" s="1392" t="n"/>
      <c r="BN486" s="1392" t="n"/>
      <c r="BO486" s="1392" t="n"/>
      <c r="BP486" s="1392" t="n"/>
      <c r="BQ486" s="1392" t="n"/>
      <c r="BR486" s="1392" t="n"/>
      <c r="BS486" s="1392" t="n"/>
      <c r="BT486" s="1392" t="n"/>
      <c r="BU486" s="1416" t="n"/>
      <c r="BV486" s="1392" t="n"/>
      <c r="BW486" s="1392" t="n"/>
      <c r="BX486" s="1392" t="n"/>
      <c r="BY486" s="1392" t="n"/>
      <c r="BZ486" s="1416" t="n"/>
      <c r="CA486" s="1392" t="n"/>
      <c r="CB486" s="1392" t="n"/>
      <c r="CC486" s="1392" t="n"/>
      <c r="CD486" s="1392" t="n"/>
      <c r="CE486" s="1392" t="n"/>
      <c r="CF486" s="1392" t="n"/>
      <c r="CG486" s="1392" t="n"/>
      <c r="CH486" s="1392" t="n"/>
      <c r="CI486" s="1392" t="n"/>
      <c r="CJ486" s="1392" t="n"/>
      <c r="CK486" s="1392" t="n"/>
      <c r="CL486" s="1392" t="n"/>
    </row>
    <row r="487">
      <c r="A487" s="5" t="inlineStr">
        <is>
          <t>.</t>
        </is>
      </c>
      <c r="B487" s="5" t="inlineStr">
        <is>
          <t>.</t>
        </is>
      </c>
      <c r="C487" s="1378">
        <f>IF(raw[[#This Row],[city]]="","-",IF(raw[[#This Row],[city]]="TODAY","-",C486+1))</f>
        <v/>
      </c>
      <c r="D487" s="1393" t="inlineStr">
        <is>
          <t>Prato</t>
        </is>
      </c>
      <c r="E487" s="1394" t="n">
        <v>36060</v>
      </c>
      <c r="F487" s="1394" t="n">
        <v>36060</v>
      </c>
      <c r="G487" s="1393" t="inlineStr">
        <is>
          <t>-</t>
        </is>
      </c>
      <c r="H487" s="1393">
        <f>H486</f>
        <v/>
      </c>
      <c r="I487" s="1393" t="inlineStr">
        <is>
          <t>-</t>
        </is>
      </c>
      <c r="J487" s="1393" t="inlineStr">
        <is>
          <t>rato/</t>
        </is>
      </c>
      <c r="K487" s="1395">
        <f>IF(raw[[#This Row],[city]]&lt;&gt;"",_xlfn.XLOOKUP($D487,ccc[city],ccc[prov],"-"),"-")</f>
        <v/>
      </c>
      <c r="L487" s="1395">
        <f>IF(raw[[#This Row],[city]]&lt;&gt;"",_xlfn.XLOOKUP($D487,ccc[city],ccc[ctry],"-"),"-")</f>
        <v/>
      </c>
      <c r="M487" s="1395">
        <f>IF(raw[[#This Row],[city]]&lt;&gt;"",_xlfn.XLOOKUP($D487,ccc[city],ccc[cont],"-"),"-")</f>
        <v/>
      </c>
      <c r="N487" s="1396">
        <f>IF(raw[[#This Row],[city]]="","-",IF(raw[[#This Row],[cont]]="B",raw[[#This Row],[cont]],"W"))</f>
        <v/>
      </c>
      <c r="O487" s="1397">
        <f>IF(raw[[#This Row],[out]]=0,0,IF(raw[[#This Row],[out]]=raw[[#This Row],[in]],0.01,raw[[#This Row],[out]]-raw[[#This Row],[in]]))</f>
        <v/>
      </c>
      <c r="P487" s="1397">
        <f>IF(raw[[#This Row],[in]]=0,0,MONTH(raw[[#This Row],[in]]))</f>
        <v/>
      </c>
      <c r="Q487" s="1397">
        <f>IF(raw[[#This Row],[in]]=0,0,YEAR(raw[[#This Row],[in]]))</f>
        <v/>
      </c>
      <c r="R487" s="1397">
        <f>INT(raw[[#This Row],[yr]]/10)*10</f>
        <v/>
      </c>
      <c r="S487" s="1395">
        <f>IF(raw[[#This Row],[city]]="","-",IF(raw[[#This Row],[city]]&lt;&gt;_xlfn.XLOOKUP(raw[[#This Row],[home]],homes[home],homes[city],"-"),1,0))</f>
        <v/>
      </c>
      <c r="T487" s="1398" t="inlineStr">
        <is>
          <t>.</t>
        </is>
      </c>
      <c r="U487" s="1399">
        <f>IF(raw[[#This Row],[wb]]="w",raw[[#This Row],[stay]]+U486,U486)</f>
        <v/>
      </c>
      <c r="V487" s="1400">
        <f>IF(raw[[#This Row],[out]]=0,V486,(raw[[#This Row],[out]]-E$5))</f>
        <v/>
      </c>
      <c r="W487" s="1401">
        <f>U487/V487</f>
        <v/>
      </c>
      <c r="X487" s="1378" t="inlineStr">
        <is>
          <t>.</t>
        </is>
      </c>
      <c r="Y487" s="1402">
        <f/>
        <v/>
      </c>
      <c r="Z487" s="1403">
        <f/>
        <v/>
      </c>
      <c r="AA487" s="1403">
        <f/>
        <v/>
      </c>
      <c r="AB487" s="1400">
        <f t="array" ref="AB487">_xlfn.LET(_xlpm.S,_xlfn.ANCHORARRAY($Y$4),_xlpm.r,ROWS(stayCity[[#Headers],[city]]:stayCity[[#This Row],[city]])-1,IF(_xlpm.r&lt;=ROWS(_xlpm.S),INDEX(_xlpm.S,_xlpm.r,1),""))</f>
        <v/>
      </c>
      <c r="AC487" s="1405">
        <f t="array" ref="AC487">_xlfn.LET(_xlpm.S,_xlfn.ANCHORARRAY($Y$4),_xlpm.r,ROWS(stayCity[[#Headers],[city]]:stayCity[[#This Row],[city]])-1,IF(_xlpm.r&lt;=ROWS(_xlpm.S),INDEX(_xlpm.S,_xlpm.r,2),""))</f>
        <v/>
      </c>
      <c r="AD487" s="1405">
        <f t="array" ref="AD487">_xlfn.LET(_xlpm.S,_xlfn.ANCHORARRAY($Y$4),_xlpm.r,ROWS(stayCity[[#Headers],[city]]:stayCity[[#This Row],[city]])-1,IF(_xlpm.r&lt;=ROWS(_xlpm.S),INDEX(_xlpm.S,_xlpm.r,3),""))</f>
        <v/>
      </c>
      <c r="AE487" s="1400">
        <f>IF(stayCity[[#This Row],[out]]&lt;&gt;"",stayCity[[#This Row],[out]]-stayCity[[#This Row],[in]],"-")</f>
        <v/>
      </c>
      <c r="AF487" s="1406">
        <f>IF(Y487="","-",YEAR(stayCity[[#This Row],[in]]))</f>
        <v/>
      </c>
      <c r="AG487" s="1392" t="n"/>
      <c r="AH487" s="1392" t="n"/>
      <c r="AI487" s="1392" t="n"/>
      <c r="AJ487" s="1392" t="n"/>
      <c r="AK487" s="1392" t="n"/>
      <c r="AL487" s="1392" t="n"/>
      <c r="AM487" s="1392" t="n"/>
      <c r="AN487" s="1392" t="n"/>
      <c r="AO487" s="1392" t="n"/>
      <c r="AP487" s="1392" t="n"/>
      <c r="AQ487" s="1392" t="n"/>
      <c r="AR487" s="1392" t="n"/>
      <c r="AS487" s="1422" t="n"/>
      <c r="AT487" s="1392" t="n"/>
      <c r="AU487" s="1392" t="n"/>
      <c r="AV487" s="1392" t="n"/>
      <c r="AW487" s="1392" t="n"/>
      <c r="AX487" s="1392" t="n"/>
      <c r="AY487" s="1392" t="n"/>
      <c r="AZ487" s="1392" t="n"/>
      <c r="BA487" s="1392" t="n"/>
      <c r="BB487" s="1422" t="n"/>
      <c r="BC487" s="1392" t="n"/>
      <c r="BD487" s="1392" t="n"/>
      <c r="BE487" s="1392" t="n"/>
      <c r="BF487" s="1392" t="n"/>
      <c r="BG487" s="1392" t="n"/>
      <c r="BH487" s="1392" t="n"/>
      <c r="BI487" s="1392" t="n"/>
      <c r="BJ487" s="1392" t="n"/>
      <c r="BK487" s="1392" t="n"/>
      <c r="BL487" s="1392" t="n"/>
      <c r="BM487" s="1392" t="n"/>
      <c r="BN487" s="1392" t="n"/>
      <c r="BO487" s="1392" t="n"/>
      <c r="BP487" s="1392" t="n"/>
      <c r="BQ487" s="1392" t="n"/>
      <c r="BR487" s="1392" t="n"/>
      <c r="BS487" s="1392" t="n"/>
      <c r="BT487" s="1392" t="n"/>
      <c r="BU487" s="1416" t="n"/>
      <c r="BV487" s="1392" t="n"/>
      <c r="BW487" s="1392" t="n"/>
      <c r="BX487" s="1392" t="n"/>
      <c r="BY487" s="1392" t="n"/>
      <c r="BZ487" s="1416" t="n"/>
      <c r="CA487" s="1392" t="n"/>
      <c r="CB487" s="1392" t="n"/>
      <c r="CC487" s="1392" t="n"/>
      <c r="CD487" s="1392" t="n"/>
      <c r="CE487" s="1392" t="n"/>
      <c r="CF487" s="1392" t="n"/>
      <c r="CG487" s="1392" t="n"/>
      <c r="CH487" s="1392" t="n"/>
      <c r="CI487" s="1392" t="n"/>
      <c r="CJ487" s="1392" t="n"/>
      <c r="CK487" s="1392" t="n"/>
      <c r="CL487" s="1392" t="n"/>
    </row>
    <row r="488">
      <c r="A488" s="5" t="inlineStr">
        <is>
          <t>.</t>
        </is>
      </c>
      <c r="B488" s="5" t="inlineStr">
        <is>
          <t>.</t>
        </is>
      </c>
      <c r="C488" s="1378">
        <f>IF(raw[[#This Row],[city]]="","-",IF(raw[[#This Row],[city]]="TODAY","-",C487+1))</f>
        <v/>
      </c>
      <c r="D488" s="1393" t="inlineStr">
        <is>
          <t>Montecatini Terme</t>
        </is>
      </c>
      <c r="E488" s="1394" t="n">
        <v>36060</v>
      </c>
      <c r="F488" s="1394" t="n">
        <v>36061</v>
      </c>
      <c r="G488" s="1393" t="inlineStr">
        <is>
          <t>-</t>
        </is>
      </c>
      <c r="H488" s="1393">
        <f>H487</f>
        <v/>
      </c>
      <c r="I488" s="1393" t="inlineStr">
        <is>
          <t>-</t>
        </is>
      </c>
      <c r="J488" s="1393" t="inlineStr">
        <is>
          <t>rato/</t>
        </is>
      </c>
      <c r="K488" s="1395">
        <f>IF(raw[[#This Row],[city]]&lt;&gt;"",_xlfn.XLOOKUP($D488,ccc[city],ccc[prov],"-"),"-")</f>
        <v/>
      </c>
      <c r="L488" s="1395">
        <f>IF(raw[[#This Row],[city]]&lt;&gt;"",_xlfn.XLOOKUP($D488,ccc[city],ccc[ctry],"-"),"-")</f>
        <v/>
      </c>
      <c r="M488" s="1395">
        <f>IF(raw[[#This Row],[city]]&lt;&gt;"",_xlfn.XLOOKUP($D488,ccc[city],ccc[cont],"-"),"-")</f>
        <v/>
      </c>
      <c r="N488" s="1396">
        <f>IF(raw[[#This Row],[city]]="","-",IF(raw[[#This Row],[cont]]="B",raw[[#This Row],[cont]],"W"))</f>
        <v/>
      </c>
      <c r="O488" s="1397">
        <f>IF(raw[[#This Row],[out]]=0,0,IF(raw[[#This Row],[out]]=raw[[#This Row],[in]],0.01,raw[[#This Row],[out]]-raw[[#This Row],[in]]))</f>
        <v/>
      </c>
      <c r="P488" s="1397">
        <f>IF(raw[[#This Row],[in]]=0,0,MONTH(raw[[#This Row],[in]]))</f>
        <v/>
      </c>
      <c r="Q488" s="1397">
        <f>IF(raw[[#This Row],[in]]=0,0,YEAR(raw[[#This Row],[in]]))</f>
        <v/>
      </c>
      <c r="R488" s="1397">
        <f>INT(raw[[#This Row],[yr]]/10)*10</f>
        <v/>
      </c>
      <c r="S488" s="1395">
        <f>IF(raw[[#This Row],[city]]="","-",IF(raw[[#This Row],[city]]&lt;&gt;_xlfn.XLOOKUP(raw[[#This Row],[home]],homes[home],homes[city],"-"),1,0))</f>
        <v/>
      </c>
      <c r="T488" s="1398" t="inlineStr">
        <is>
          <t>.</t>
        </is>
      </c>
      <c r="U488" s="1399">
        <f>IF(raw[[#This Row],[wb]]="w",raw[[#This Row],[stay]]+U487,U487)</f>
        <v/>
      </c>
      <c r="V488" s="1400">
        <f>IF(raw[[#This Row],[out]]=0,V487,(raw[[#This Row],[out]]-E$5))</f>
        <v/>
      </c>
      <c r="W488" s="1401">
        <f>U488/V488</f>
        <v/>
      </c>
      <c r="X488" s="1378" t="inlineStr">
        <is>
          <t>.</t>
        </is>
      </c>
      <c r="Y488" s="1402">
        <f/>
        <v/>
      </c>
      <c r="Z488" s="1403">
        <f/>
        <v/>
      </c>
      <c r="AA488" s="1403">
        <f/>
        <v/>
      </c>
      <c r="AB488" s="1400">
        <f t="array" ref="AB488">_xlfn.LET(_xlpm.S,_xlfn.ANCHORARRAY($Y$4),_xlpm.r,ROWS(stayCity[[#Headers],[city]]:stayCity[[#This Row],[city]])-1,IF(_xlpm.r&lt;=ROWS(_xlpm.S),INDEX(_xlpm.S,_xlpm.r,1),""))</f>
        <v/>
      </c>
      <c r="AC488" s="1405">
        <f t="array" ref="AC488">_xlfn.LET(_xlpm.S,_xlfn.ANCHORARRAY($Y$4),_xlpm.r,ROWS(stayCity[[#Headers],[city]]:stayCity[[#This Row],[city]])-1,IF(_xlpm.r&lt;=ROWS(_xlpm.S),INDEX(_xlpm.S,_xlpm.r,2),""))</f>
        <v/>
      </c>
      <c r="AD488" s="1405">
        <f t="array" ref="AD488">_xlfn.LET(_xlpm.S,_xlfn.ANCHORARRAY($Y$4),_xlpm.r,ROWS(stayCity[[#Headers],[city]]:stayCity[[#This Row],[city]])-1,IF(_xlpm.r&lt;=ROWS(_xlpm.S),INDEX(_xlpm.S,_xlpm.r,3),""))</f>
        <v/>
      </c>
      <c r="AE488" s="1400">
        <f>IF(stayCity[[#This Row],[out]]&lt;&gt;"",stayCity[[#This Row],[out]]-stayCity[[#This Row],[in]],"-")</f>
        <v/>
      </c>
      <c r="AF488" s="1406">
        <f>IF(Y488="","-",YEAR(stayCity[[#This Row],[in]]))</f>
        <v/>
      </c>
      <c r="AG488" s="1392" t="n"/>
      <c r="AH488" s="1392" t="n"/>
      <c r="AI488" s="1392" t="n"/>
      <c r="AJ488" s="1392" t="n"/>
      <c r="AK488" s="1392" t="n"/>
      <c r="AL488" s="1392" t="n"/>
      <c r="AM488" s="1392" t="n"/>
      <c r="AN488" s="1392" t="n"/>
      <c r="AO488" s="1392" t="n"/>
      <c r="AP488" s="1392" t="n"/>
      <c r="AQ488" s="1392" t="n"/>
      <c r="AR488" s="1392" t="n"/>
      <c r="AS488" s="1422" t="n"/>
      <c r="AT488" s="1392" t="n"/>
      <c r="AU488" s="1392" t="n"/>
      <c r="AV488" s="1392" t="n"/>
      <c r="AW488" s="1392" t="n"/>
      <c r="AX488" s="1392" t="n"/>
      <c r="AY488" s="1392" t="n"/>
      <c r="AZ488" s="1392" t="n"/>
      <c r="BA488" s="1392" t="n"/>
      <c r="BB488" s="1422" t="n"/>
      <c r="BC488" s="1392" t="n"/>
      <c r="BD488" s="1392" t="n"/>
      <c r="BE488" s="1392" t="n"/>
      <c r="BF488" s="1392" t="n"/>
      <c r="BG488" s="1392" t="n"/>
      <c r="BH488" s="1392" t="n"/>
      <c r="BI488" s="1392" t="n"/>
      <c r="BJ488" s="1392" t="n"/>
      <c r="BK488" s="1392" t="n"/>
      <c r="BL488" s="1392" t="n"/>
      <c r="BM488" s="1392" t="n"/>
      <c r="BN488" s="1392" t="n"/>
      <c r="BO488" s="1392" t="n"/>
      <c r="BP488" s="1392" t="n"/>
      <c r="BQ488" s="1392" t="n"/>
      <c r="BR488" s="1392" t="n"/>
      <c r="BS488" s="1392" t="n"/>
      <c r="BT488" s="1392" t="n"/>
      <c r="BU488" s="1416" t="n"/>
      <c r="BV488" s="1392" t="n"/>
      <c r="BW488" s="1392" t="n"/>
      <c r="BX488" s="1392" t="n"/>
      <c r="BY488" s="1392" t="n"/>
      <c r="BZ488" s="1416" t="n"/>
      <c r="CA488" s="1392" t="n"/>
      <c r="CB488" s="1392" t="n"/>
      <c r="CC488" s="1392" t="n"/>
      <c r="CD488" s="1392" t="n"/>
      <c r="CE488" s="1392" t="n"/>
      <c r="CF488" s="1392" t="n"/>
      <c r="CG488" s="1392" t="n"/>
      <c r="CH488" s="1392" t="n"/>
      <c r="CI488" s="1392" t="n"/>
      <c r="CJ488" s="1392" t="n"/>
      <c r="CK488" s="1392" t="n"/>
      <c r="CL488" s="1392" t="n"/>
    </row>
    <row r="489">
      <c r="A489" s="5" t="inlineStr">
        <is>
          <t>.</t>
        </is>
      </c>
      <c r="B489" s="5" t="inlineStr">
        <is>
          <t>.</t>
        </is>
      </c>
      <c r="C489" s="1378">
        <f>IF(raw[[#This Row],[city]]="","-",IF(raw[[#This Row],[city]]="TODAY","-",C488+1))</f>
        <v/>
      </c>
      <c r="D489" s="1393" t="inlineStr">
        <is>
          <t>Pisa</t>
        </is>
      </c>
      <c r="E489" s="1394" t="n">
        <v>36061</v>
      </c>
      <c r="F489" s="1394" t="n">
        <v>36061</v>
      </c>
      <c r="G489" s="1393" t="inlineStr">
        <is>
          <t>-</t>
        </is>
      </c>
      <c r="H489" s="1393">
        <f>H488</f>
        <v/>
      </c>
      <c r="I489" s="1393" t="inlineStr">
        <is>
          <t>-</t>
        </is>
      </c>
      <c r="J489" s="1393" t="inlineStr">
        <is>
          <t>rato/</t>
        </is>
      </c>
      <c r="K489" s="1395">
        <f>IF(raw[[#This Row],[city]]&lt;&gt;"",_xlfn.XLOOKUP($D489,ccc[city],ccc[prov],"-"),"-")</f>
        <v/>
      </c>
      <c r="L489" s="1395">
        <f>IF(raw[[#This Row],[city]]&lt;&gt;"",_xlfn.XLOOKUP($D489,ccc[city],ccc[ctry],"-"),"-")</f>
        <v/>
      </c>
      <c r="M489" s="1395">
        <f>IF(raw[[#This Row],[city]]&lt;&gt;"",_xlfn.XLOOKUP($D489,ccc[city],ccc[cont],"-"),"-")</f>
        <v/>
      </c>
      <c r="N489" s="1396">
        <f>IF(raw[[#This Row],[city]]="","-",IF(raw[[#This Row],[cont]]="B",raw[[#This Row],[cont]],"W"))</f>
        <v/>
      </c>
      <c r="O489" s="1397">
        <f>IF(raw[[#This Row],[out]]=0,0,IF(raw[[#This Row],[out]]=raw[[#This Row],[in]],0.01,raw[[#This Row],[out]]-raw[[#This Row],[in]]))</f>
        <v/>
      </c>
      <c r="P489" s="1397">
        <f>IF(raw[[#This Row],[in]]=0,0,MONTH(raw[[#This Row],[in]]))</f>
        <v/>
      </c>
      <c r="Q489" s="1397">
        <f>IF(raw[[#This Row],[in]]=0,0,YEAR(raw[[#This Row],[in]]))</f>
        <v/>
      </c>
      <c r="R489" s="1397">
        <f>INT(raw[[#This Row],[yr]]/10)*10</f>
        <v/>
      </c>
      <c r="S489" s="1395">
        <f>IF(raw[[#This Row],[city]]="","-",IF(raw[[#This Row],[city]]&lt;&gt;_xlfn.XLOOKUP(raw[[#This Row],[home]],homes[home],homes[city],"-"),1,0))</f>
        <v/>
      </c>
      <c r="T489" s="1398" t="inlineStr">
        <is>
          <t>.</t>
        </is>
      </c>
      <c r="U489" s="1399">
        <f>IF(raw[[#This Row],[wb]]="w",raw[[#This Row],[stay]]+U488,U488)</f>
        <v/>
      </c>
      <c r="V489" s="1400">
        <f>IF(raw[[#This Row],[out]]=0,V488,(raw[[#This Row],[out]]-E$5))</f>
        <v/>
      </c>
      <c r="W489" s="1401">
        <f>U489/V489</f>
        <v/>
      </c>
      <c r="X489" s="1378" t="inlineStr">
        <is>
          <t>.</t>
        </is>
      </c>
      <c r="Y489" s="1402">
        <f/>
        <v/>
      </c>
      <c r="Z489" s="1403">
        <f/>
        <v/>
      </c>
      <c r="AA489" s="1403">
        <f/>
        <v/>
      </c>
      <c r="AB489" s="1400">
        <f t="array" ref="AB489">_xlfn.LET(_xlpm.S,_xlfn.ANCHORARRAY($Y$4),_xlpm.r,ROWS(stayCity[[#Headers],[city]]:stayCity[[#This Row],[city]])-1,IF(_xlpm.r&lt;=ROWS(_xlpm.S),INDEX(_xlpm.S,_xlpm.r,1),""))</f>
        <v/>
      </c>
      <c r="AC489" s="1405">
        <f t="array" ref="AC489">_xlfn.LET(_xlpm.S,_xlfn.ANCHORARRAY($Y$4),_xlpm.r,ROWS(stayCity[[#Headers],[city]]:stayCity[[#This Row],[city]])-1,IF(_xlpm.r&lt;=ROWS(_xlpm.S),INDEX(_xlpm.S,_xlpm.r,2),""))</f>
        <v/>
      </c>
      <c r="AD489" s="1405">
        <f t="array" ref="AD489">_xlfn.LET(_xlpm.S,_xlfn.ANCHORARRAY($Y$4),_xlpm.r,ROWS(stayCity[[#Headers],[city]]:stayCity[[#This Row],[city]])-1,IF(_xlpm.r&lt;=ROWS(_xlpm.S),INDEX(_xlpm.S,_xlpm.r,3),""))</f>
        <v/>
      </c>
      <c r="AE489" s="1400">
        <f>IF(stayCity[[#This Row],[out]]&lt;&gt;"",stayCity[[#This Row],[out]]-stayCity[[#This Row],[in]],"-")</f>
        <v/>
      </c>
      <c r="AF489" s="1406">
        <f>IF(Y489="","-",YEAR(stayCity[[#This Row],[in]]))</f>
        <v/>
      </c>
      <c r="AG489" s="1392" t="n"/>
      <c r="AH489" s="1392" t="n"/>
      <c r="AI489" s="1392" t="n"/>
      <c r="AJ489" s="1392" t="n"/>
      <c r="AK489" s="1392" t="n"/>
      <c r="AL489" s="1392" t="n"/>
      <c r="AM489" s="1392" t="n"/>
      <c r="AN489" s="1392" t="n"/>
      <c r="AO489" s="1392" t="n"/>
      <c r="AP489" s="1392" t="n"/>
      <c r="AQ489" s="1392" t="n"/>
      <c r="AR489" s="1392" t="n"/>
      <c r="AS489" s="1422" t="n"/>
      <c r="AT489" s="1392" t="n"/>
      <c r="AU489" s="1392" t="n"/>
      <c r="AV489" s="1392" t="n"/>
      <c r="AW489" s="1392" t="n"/>
      <c r="AX489" s="1392" t="n"/>
      <c r="AY489" s="1392" t="n"/>
      <c r="AZ489" s="1392" t="n"/>
      <c r="BA489" s="1392" t="n"/>
      <c r="BB489" s="1422" t="n"/>
      <c r="BC489" s="1392" t="n"/>
      <c r="BD489" s="1392" t="n"/>
      <c r="BE489" s="1392" t="n"/>
      <c r="BF489" s="1392" t="n"/>
      <c r="BG489" s="1392" t="n"/>
      <c r="BH489" s="1392" t="n"/>
      <c r="BI489" s="1392" t="n"/>
      <c r="BJ489" s="1392" t="n"/>
      <c r="BK489" s="1392" t="n"/>
      <c r="BL489" s="1392" t="n"/>
      <c r="BM489" s="1392" t="n"/>
      <c r="BN489" s="1392" t="n"/>
      <c r="BO489" s="1392" t="n"/>
      <c r="BP489" s="1392" t="n"/>
      <c r="BQ489" s="1392" t="n"/>
      <c r="BR489" s="1392" t="n"/>
      <c r="BS489" s="1392" t="n"/>
      <c r="BT489" s="1392" t="n"/>
      <c r="BU489" s="1416" t="n"/>
      <c r="BV489" s="1392" t="n"/>
      <c r="BW489" s="1392" t="n"/>
      <c r="BX489" s="1392" t="n"/>
      <c r="BY489" s="1392" t="n"/>
      <c r="BZ489" s="1416" t="n"/>
      <c r="CA489" s="1392" t="n"/>
      <c r="CB489" s="1392" t="n"/>
      <c r="CC489" s="1392" t="n"/>
      <c r="CD489" s="1392" t="n"/>
      <c r="CE489" s="1392" t="n"/>
      <c r="CF489" s="1392" t="n"/>
      <c r="CG489" s="1392" t="n"/>
      <c r="CH489" s="1392" t="n"/>
      <c r="CI489" s="1392" t="n"/>
      <c r="CJ489" s="1392" t="n"/>
      <c r="CK489" s="1392" t="n"/>
      <c r="CL489" s="1392" t="n"/>
    </row>
    <row r="490">
      <c r="A490" s="5" t="inlineStr">
        <is>
          <t>.</t>
        </is>
      </c>
      <c r="B490" s="5" t="inlineStr">
        <is>
          <t>.</t>
        </is>
      </c>
      <c r="C490" s="1378">
        <f>IF(raw[[#This Row],[city]]="","-",IF(raw[[#This Row],[city]]="TODAY","-",C489+1))</f>
        <v/>
      </c>
      <c r="D490" s="1393" t="inlineStr">
        <is>
          <t>Viareggio</t>
        </is>
      </c>
      <c r="E490" s="1394" t="n">
        <v>36061</v>
      </c>
      <c r="F490" s="1394" t="n">
        <v>36062</v>
      </c>
      <c r="G490" s="1393" t="inlineStr">
        <is>
          <t>-</t>
        </is>
      </c>
      <c r="H490" s="1393">
        <f>H489</f>
        <v/>
      </c>
      <c r="I490" s="1393" t="inlineStr">
        <is>
          <t>-</t>
        </is>
      </c>
      <c r="J490" s="1393" t="inlineStr">
        <is>
          <t>rato/</t>
        </is>
      </c>
      <c r="K490" s="1395">
        <f>IF(raw[[#This Row],[city]]&lt;&gt;"",_xlfn.XLOOKUP($D490,ccc[city],ccc[prov],"-"),"-")</f>
        <v/>
      </c>
      <c r="L490" s="1395">
        <f>IF(raw[[#This Row],[city]]&lt;&gt;"",_xlfn.XLOOKUP($D490,ccc[city],ccc[ctry],"-"),"-")</f>
        <v/>
      </c>
      <c r="M490" s="1395">
        <f>IF(raw[[#This Row],[city]]&lt;&gt;"",_xlfn.XLOOKUP($D490,ccc[city],ccc[cont],"-"),"-")</f>
        <v/>
      </c>
      <c r="N490" s="1396">
        <f>IF(raw[[#This Row],[city]]="","-",IF(raw[[#This Row],[cont]]="B",raw[[#This Row],[cont]],"W"))</f>
        <v/>
      </c>
      <c r="O490" s="1397">
        <f>IF(raw[[#This Row],[out]]=0,0,IF(raw[[#This Row],[out]]=raw[[#This Row],[in]],0.01,raw[[#This Row],[out]]-raw[[#This Row],[in]]))</f>
        <v/>
      </c>
      <c r="P490" s="1397">
        <f>IF(raw[[#This Row],[in]]=0,0,MONTH(raw[[#This Row],[in]]))</f>
        <v/>
      </c>
      <c r="Q490" s="1397">
        <f>IF(raw[[#This Row],[in]]=0,0,YEAR(raw[[#This Row],[in]]))</f>
        <v/>
      </c>
      <c r="R490" s="1397">
        <f>INT(raw[[#This Row],[yr]]/10)*10</f>
        <v/>
      </c>
      <c r="S490" s="1395">
        <f>IF(raw[[#This Row],[city]]="","-",IF(raw[[#This Row],[city]]&lt;&gt;_xlfn.XLOOKUP(raw[[#This Row],[home]],homes[home],homes[city],"-"),1,0))</f>
        <v/>
      </c>
      <c r="T490" s="1398" t="inlineStr">
        <is>
          <t>.</t>
        </is>
      </c>
      <c r="U490" s="1399">
        <f>IF(raw[[#This Row],[wb]]="w",raw[[#This Row],[stay]]+U489,U489)</f>
        <v/>
      </c>
      <c r="V490" s="1400">
        <f>IF(raw[[#This Row],[out]]=0,V489,(raw[[#This Row],[out]]-E$5))</f>
        <v/>
      </c>
      <c r="W490" s="1401">
        <f>U490/V490</f>
        <v/>
      </c>
      <c r="X490" s="1378" t="inlineStr">
        <is>
          <t>.</t>
        </is>
      </c>
      <c r="Y490" s="1402">
        <f/>
        <v/>
      </c>
      <c r="Z490" s="1403">
        <f/>
        <v/>
      </c>
      <c r="AA490" s="1403">
        <f/>
        <v/>
      </c>
      <c r="AB490" s="1400">
        <f t="array" ref="AB490">_xlfn.LET(_xlpm.S,_xlfn.ANCHORARRAY($Y$4),_xlpm.r,ROWS(stayCity[[#Headers],[city]]:stayCity[[#This Row],[city]])-1,IF(_xlpm.r&lt;=ROWS(_xlpm.S),INDEX(_xlpm.S,_xlpm.r,1),""))</f>
        <v/>
      </c>
      <c r="AC490" s="1405">
        <f t="array" ref="AC490">_xlfn.LET(_xlpm.S,_xlfn.ANCHORARRAY($Y$4),_xlpm.r,ROWS(stayCity[[#Headers],[city]]:stayCity[[#This Row],[city]])-1,IF(_xlpm.r&lt;=ROWS(_xlpm.S),INDEX(_xlpm.S,_xlpm.r,2),""))</f>
        <v/>
      </c>
      <c r="AD490" s="1405">
        <f t="array" ref="AD490">_xlfn.LET(_xlpm.S,_xlfn.ANCHORARRAY($Y$4),_xlpm.r,ROWS(stayCity[[#Headers],[city]]:stayCity[[#This Row],[city]])-1,IF(_xlpm.r&lt;=ROWS(_xlpm.S),INDEX(_xlpm.S,_xlpm.r,3),""))</f>
        <v/>
      </c>
      <c r="AE490" s="1400">
        <f>IF(stayCity[[#This Row],[out]]&lt;&gt;"",stayCity[[#This Row],[out]]-stayCity[[#This Row],[in]],"-")</f>
        <v/>
      </c>
      <c r="AF490" s="1406">
        <f>IF(Y490="","-",YEAR(stayCity[[#This Row],[in]]))</f>
        <v/>
      </c>
      <c r="AG490" s="1392" t="n"/>
      <c r="AH490" s="1392" t="n"/>
      <c r="AI490" s="1392" t="n"/>
      <c r="AJ490" s="1392" t="n"/>
      <c r="AK490" s="1392" t="n"/>
      <c r="AL490" s="1392" t="n"/>
      <c r="AM490" s="1392" t="n"/>
      <c r="AN490" s="1392" t="n"/>
      <c r="AO490" s="1392" t="n"/>
      <c r="AP490" s="1392" t="n"/>
      <c r="AQ490" s="1392" t="n"/>
      <c r="AR490" s="1392" t="n"/>
      <c r="AS490" s="1422" t="n"/>
      <c r="AT490" s="1392" t="n"/>
      <c r="AU490" s="1392" t="n"/>
      <c r="AV490" s="1392" t="n"/>
      <c r="AW490" s="1392" t="n"/>
      <c r="AX490" s="1392" t="n"/>
      <c r="AY490" s="1392" t="n"/>
      <c r="AZ490" s="1392" t="n"/>
      <c r="BA490" s="1392" t="n"/>
      <c r="BB490" s="1422" t="n"/>
      <c r="BC490" s="1392" t="n"/>
      <c r="BD490" s="1392" t="n"/>
      <c r="BE490" s="1392" t="n"/>
      <c r="BF490" s="1392" t="n"/>
      <c r="BG490" s="1392" t="n"/>
      <c r="BH490" s="1392" t="n"/>
      <c r="BI490" s="1392" t="n"/>
      <c r="BJ490" s="1392" t="n"/>
      <c r="BK490" s="1392" t="n"/>
      <c r="BL490" s="1392" t="n"/>
      <c r="BM490" s="1392" t="n"/>
      <c r="BN490" s="1392" t="n"/>
      <c r="BO490" s="1392" t="n"/>
      <c r="BP490" s="1392" t="n"/>
      <c r="BQ490" s="1392" t="n"/>
      <c r="BR490" s="1392" t="n"/>
      <c r="BS490" s="1392" t="n"/>
      <c r="BT490" s="1392" t="n"/>
      <c r="BU490" s="1416" t="n"/>
      <c r="BV490" s="1392" t="n"/>
      <c r="BW490" s="1392" t="n"/>
      <c r="BX490" s="1392" t="n"/>
      <c r="BY490" s="1392" t="n"/>
      <c r="BZ490" s="1416" t="n"/>
      <c r="CA490" s="1392" t="n"/>
      <c r="CB490" s="1392" t="n"/>
      <c r="CC490" s="1392" t="n"/>
      <c r="CD490" s="1392" t="n"/>
      <c r="CE490" s="1392" t="n"/>
      <c r="CF490" s="1392" t="n"/>
      <c r="CG490" s="1392" t="n"/>
      <c r="CH490" s="1392" t="n"/>
      <c r="CI490" s="1392" t="n"/>
      <c r="CJ490" s="1392" t="n"/>
      <c r="CK490" s="1392" t="n"/>
      <c r="CL490" s="1392" t="n"/>
    </row>
    <row r="491">
      <c r="A491" s="5" t="inlineStr">
        <is>
          <t>.</t>
        </is>
      </c>
      <c r="B491" s="5" t="inlineStr">
        <is>
          <t>.</t>
        </is>
      </c>
      <c r="C491" s="1378">
        <f>IF(raw[[#This Row],[city]]="","-",IF(raw[[#This Row],[city]]="TODAY","-",C490+1))</f>
        <v/>
      </c>
      <c r="D491" s="1393" t="inlineStr">
        <is>
          <t>Massa</t>
        </is>
      </c>
      <c r="E491" s="1394" t="n">
        <v>36062</v>
      </c>
      <c r="F491" s="1394" t="n">
        <v>36062</v>
      </c>
      <c r="G491" s="1393" t="inlineStr">
        <is>
          <t>-</t>
        </is>
      </c>
      <c r="H491" s="1393">
        <f>H490</f>
        <v/>
      </c>
      <c r="I491" s="1393" t="inlineStr">
        <is>
          <t>-</t>
        </is>
      </c>
      <c r="J491" s="1393" t="inlineStr">
        <is>
          <t>rato/</t>
        </is>
      </c>
      <c r="K491" s="1395">
        <f>IF(raw[[#This Row],[city]]&lt;&gt;"",_xlfn.XLOOKUP($D491,ccc[city],ccc[prov],"-"),"-")</f>
        <v/>
      </c>
      <c r="L491" s="1395">
        <f>IF(raw[[#This Row],[city]]&lt;&gt;"",_xlfn.XLOOKUP($D491,ccc[city],ccc[ctry],"-"),"-")</f>
        <v/>
      </c>
      <c r="M491" s="1395">
        <f>IF(raw[[#This Row],[city]]&lt;&gt;"",_xlfn.XLOOKUP($D491,ccc[city],ccc[cont],"-"),"-")</f>
        <v/>
      </c>
      <c r="N491" s="1396">
        <f>IF(raw[[#This Row],[city]]="","-",IF(raw[[#This Row],[cont]]="B",raw[[#This Row],[cont]],"W"))</f>
        <v/>
      </c>
      <c r="O491" s="1397">
        <f>IF(raw[[#This Row],[out]]=0,0,IF(raw[[#This Row],[out]]=raw[[#This Row],[in]],0.01,raw[[#This Row],[out]]-raw[[#This Row],[in]]))</f>
        <v/>
      </c>
      <c r="P491" s="1397">
        <f>IF(raw[[#This Row],[in]]=0,0,MONTH(raw[[#This Row],[in]]))</f>
        <v/>
      </c>
      <c r="Q491" s="1397">
        <f>IF(raw[[#This Row],[in]]=0,0,YEAR(raw[[#This Row],[in]]))</f>
        <v/>
      </c>
      <c r="R491" s="1397">
        <f>INT(raw[[#This Row],[yr]]/10)*10</f>
        <v/>
      </c>
      <c r="S491" s="1395">
        <f>IF(raw[[#This Row],[city]]="","-",IF(raw[[#This Row],[city]]&lt;&gt;_xlfn.XLOOKUP(raw[[#This Row],[home]],homes[home],homes[city],"-"),1,0))</f>
        <v/>
      </c>
      <c r="T491" s="1398" t="inlineStr">
        <is>
          <t>.</t>
        </is>
      </c>
      <c r="U491" s="1399">
        <f>IF(raw[[#This Row],[wb]]="w",raw[[#This Row],[stay]]+U490,U490)</f>
        <v/>
      </c>
      <c r="V491" s="1400">
        <f>IF(raw[[#This Row],[out]]=0,V490,(raw[[#This Row],[out]]-E$5))</f>
        <v/>
      </c>
      <c r="W491" s="1401">
        <f>U491/V491</f>
        <v/>
      </c>
      <c r="X491" s="1378" t="inlineStr">
        <is>
          <t>.</t>
        </is>
      </c>
      <c r="Y491" s="1402">
        <f/>
        <v/>
      </c>
      <c r="Z491" s="1403">
        <f/>
        <v/>
      </c>
      <c r="AA491" s="1403">
        <f/>
        <v/>
      </c>
      <c r="AB491" s="1400">
        <f t="array" ref="AB491">_xlfn.LET(_xlpm.S,_xlfn.ANCHORARRAY($Y$4),_xlpm.r,ROWS(stayCity[[#Headers],[city]]:stayCity[[#This Row],[city]])-1,IF(_xlpm.r&lt;=ROWS(_xlpm.S),INDEX(_xlpm.S,_xlpm.r,1),""))</f>
        <v/>
      </c>
      <c r="AC491" s="1405">
        <f t="array" ref="AC491">_xlfn.LET(_xlpm.S,_xlfn.ANCHORARRAY($Y$4),_xlpm.r,ROWS(stayCity[[#Headers],[city]]:stayCity[[#This Row],[city]])-1,IF(_xlpm.r&lt;=ROWS(_xlpm.S),INDEX(_xlpm.S,_xlpm.r,2),""))</f>
        <v/>
      </c>
      <c r="AD491" s="1405">
        <f t="array" ref="AD491">_xlfn.LET(_xlpm.S,_xlfn.ANCHORARRAY($Y$4),_xlpm.r,ROWS(stayCity[[#Headers],[city]]:stayCity[[#This Row],[city]])-1,IF(_xlpm.r&lt;=ROWS(_xlpm.S),INDEX(_xlpm.S,_xlpm.r,3),""))</f>
        <v/>
      </c>
      <c r="AE491" s="1400">
        <f>IF(stayCity[[#This Row],[out]]&lt;&gt;"",stayCity[[#This Row],[out]]-stayCity[[#This Row],[in]],"-")</f>
        <v/>
      </c>
      <c r="AF491" s="1406">
        <f>IF(Y491="","-",YEAR(stayCity[[#This Row],[in]]))</f>
        <v/>
      </c>
      <c r="AG491" s="1392" t="n"/>
      <c r="AH491" s="1392" t="n"/>
      <c r="AI491" s="1392" t="n"/>
      <c r="AJ491" s="1392" t="n"/>
      <c r="AK491" s="1392" t="n"/>
      <c r="AL491" s="1392" t="n"/>
      <c r="AM491" s="1392" t="n"/>
      <c r="AN491" s="1392" t="n"/>
      <c r="AO491" s="1392" t="n"/>
      <c r="AP491" s="1392" t="n"/>
      <c r="AQ491" s="1392" t="n"/>
      <c r="AR491" s="1392" t="n"/>
      <c r="AS491" s="1422" t="n"/>
      <c r="AT491" s="1392" t="n"/>
      <c r="AU491" s="1392" t="n"/>
      <c r="AV491" s="1392" t="n"/>
      <c r="AW491" s="1392" t="n"/>
      <c r="AX491" s="1392" t="n"/>
      <c r="AY491" s="1392" t="n"/>
      <c r="AZ491" s="1392" t="n"/>
      <c r="BA491" s="1392" t="n"/>
      <c r="BB491" s="1422" t="n"/>
      <c r="BC491" s="1392" t="n"/>
      <c r="BD491" s="1392" t="n"/>
      <c r="BE491" s="1392" t="n"/>
      <c r="BF491" s="1392" t="n"/>
      <c r="BG491" s="1392" t="n"/>
      <c r="BH491" s="1392" t="n"/>
      <c r="BI491" s="1392" t="n"/>
      <c r="BJ491" s="1392" t="n"/>
      <c r="BK491" s="1392" t="n"/>
      <c r="BL491" s="1392" t="n"/>
      <c r="BM491" s="1392" t="n"/>
      <c r="BN491" s="1392" t="n"/>
      <c r="BO491" s="1392" t="n"/>
      <c r="BP491" s="1392" t="n"/>
      <c r="BQ491" s="1392" t="n"/>
      <c r="BR491" s="1392" t="n"/>
      <c r="BS491" s="1392" t="n"/>
      <c r="BT491" s="1392" t="n"/>
      <c r="BU491" s="1416" t="n"/>
      <c r="BV491" s="1392" t="n"/>
      <c r="BW491" s="1392" t="n"/>
      <c r="BX491" s="1392" t="n"/>
      <c r="BY491" s="1392" t="n"/>
      <c r="BZ491" s="1416" t="n"/>
      <c r="CA491" s="1392" t="n"/>
      <c r="CB491" s="1392" t="n"/>
      <c r="CC491" s="1392" t="n"/>
      <c r="CD491" s="1392" t="n"/>
      <c r="CE491" s="1392" t="n"/>
      <c r="CF491" s="1392" t="n"/>
      <c r="CG491" s="1392" t="n"/>
      <c r="CH491" s="1392" t="n"/>
      <c r="CI491" s="1392" t="n"/>
      <c r="CJ491" s="1392" t="n"/>
      <c r="CK491" s="1392" t="n"/>
      <c r="CL491" s="1392" t="n"/>
    </row>
    <row r="492">
      <c r="A492" s="5" t="inlineStr">
        <is>
          <t>.</t>
        </is>
      </c>
      <c r="B492" s="5" t="inlineStr">
        <is>
          <t>.</t>
        </is>
      </c>
      <c r="C492" s="1378">
        <f>IF(raw[[#This Row],[city]]="","-",IF(raw[[#This Row],[city]]="TODAY","-",C491+1))</f>
        <v/>
      </c>
      <c r="D492" s="1393" t="inlineStr">
        <is>
          <t>Firenze</t>
        </is>
      </c>
      <c r="E492" s="1394" t="n">
        <v>36062</v>
      </c>
      <c r="F492" s="1394" t="n">
        <v>36064</v>
      </c>
      <c r="G492" s="1393" t="inlineStr">
        <is>
          <t>-</t>
        </is>
      </c>
      <c r="H492" s="1393">
        <f>H491</f>
        <v/>
      </c>
      <c r="I492" s="1393" t="inlineStr">
        <is>
          <t>-</t>
        </is>
      </c>
      <c r="J492" s="1393" t="inlineStr">
        <is>
          <t>rato/</t>
        </is>
      </c>
      <c r="K492" s="1395">
        <f>IF(raw[[#This Row],[city]]&lt;&gt;"",_xlfn.XLOOKUP($D492,ccc[city],ccc[prov],"-"),"-")</f>
        <v/>
      </c>
      <c r="L492" s="1395">
        <f>IF(raw[[#This Row],[city]]&lt;&gt;"",_xlfn.XLOOKUP($D492,ccc[city],ccc[ctry],"-"),"-")</f>
        <v/>
      </c>
      <c r="M492" s="1395">
        <f>IF(raw[[#This Row],[city]]&lt;&gt;"",_xlfn.XLOOKUP($D492,ccc[city],ccc[cont],"-"),"-")</f>
        <v/>
      </c>
      <c r="N492" s="1396">
        <f>IF(raw[[#This Row],[city]]="","-",IF(raw[[#This Row],[cont]]="B",raw[[#This Row],[cont]],"W"))</f>
        <v/>
      </c>
      <c r="O492" s="1397">
        <f>IF(raw[[#This Row],[out]]=0,0,IF(raw[[#This Row],[out]]=raw[[#This Row],[in]],0.01,raw[[#This Row],[out]]-raw[[#This Row],[in]]))</f>
        <v/>
      </c>
      <c r="P492" s="1397">
        <f>IF(raw[[#This Row],[in]]=0,0,MONTH(raw[[#This Row],[in]]))</f>
        <v/>
      </c>
      <c r="Q492" s="1397">
        <f>IF(raw[[#This Row],[in]]=0,0,YEAR(raw[[#This Row],[in]]))</f>
        <v/>
      </c>
      <c r="R492" s="1397">
        <f>INT(raw[[#This Row],[yr]]/10)*10</f>
        <v/>
      </c>
      <c r="S492" s="1395">
        <f>IF(raw[[#This Row],[city]]="","-",IF(raw[[#This Row],[city]]&lt;&gt;_xlfn.XLOOKUP(raw[[#This Row],[home]],homes[home],homes[city],"-"),1,0))</f>
        <v/>
      </c>
      <c r="T492" s="1398" t="inlineStr">
        <is>
          <t>.</t>
        </is>
      </c>
      <c r="U492" s="1399">
        <f>IF(raw[[#This Row],[wb]]="w",raw[[#This Row],[stay]]+U491,U491)</f>
        <v/>
      </c>
      <c r="V492" s="1400">
        <f>IF(raw[[#This Row],[out]]=0,V491,(raw[[#This Row],[out]]-E$5))</f>
        <v/>
      </c>
      <c r="W492" s="1401">
        <f>U492/V492</f>
        <v/>
      </c>
      <c r="X492" s="1378" t="inlineStr">
        <is>
          <t>.</t>
        </is>
      </c>
      <c r="Y492" s="1402">
        <f/>
        <v/>
      </c>
      <c r="Z492" s="1403">
        <f/>
        <v/>
      </c>
      <c r="AA492" s="1403">
        <f/>
        <v/>
      </c>
      <c r="AB492" s="1400">
        <f t="array" ref="AB492">_xlfn.LET(_xlpm.S,_xlfn.ANCHORARRAY($Y$4),_xlpm.r,ROWS(stayCity[[#Headers],[city]]:stayCity[[#This Row],[city]])-1,IF(_xlpm.r&lt;=ROWS(_xlpm.S),INDEX(_xlpm.S,_xlpm.r,1),""))</f>
        <v/>
      </c>
      <c r="AC492" s="1405">
        <f t="array" ref="AC492">_xlfn.LET(_xlpm.S,_xlfn.ANCHORARRAY($Y$4),_xlpm.r,ROWS(stayCity[[#Headers],[city]]:stayCity[[#This Row],[city]])-1,IF(_xlpm.r&lt;=ROWS(_xlpm.S),INDEX(_xlpm.S,_xlpm.r,2),""))</f>
        <v/>
      </c>
      <c r="AD492" s="1405">
        <f t="array" ref="AD492">_xlfn.LET(_xlpm.S,_xlfn.ANCHORARRAY($Y$4),_xlpm.r,ROWS(stayCity[[#Headers],[city]]:stayCity[[#This Row],[city]])-1,IF(_xlpm.r&lt;=ROWS(_xlpm.S),INDEX(_xlpm.S,_xlpm.r,3),""))</f>
        <v/>
      </c>
      <c r="AE492" s="1400">
        <f>IF(stayCity[[#This Row],[out]]&lt;&gt;"",stayCity[[#This Row],[out]]-stayCity[[#This Row],[in]],"-")</f>
        <v/>
      </c>
      <c r="AF492" s="1406">
        <f>IF(Y492="","-",YEAR(stayCity[[#This Row],[in]]))</f>
        <v/>
      </c>
      <c r="AG492" s="1392" t="n"/>
      <c r="AH492" s="1392" t="n"/>
      <c r="AI492" s="1392" t="n"/>
      <c r="AJ492" s="1392" t="n"/>
      <c r="AK492" s="1392" t="n"/>
      <c r="AL492" s="1392" t="n"/>
      <c r="AM492" s="1392" t="n"/>
      <c r="AN492" s="1392" t="n"/>
      <c r="AO492" s="1392" t="n"/>
      <c r="AP492" s="1392" t="n"/>
      <c r="AQ492" s="1392" t="n"/>
      <c r="AR492" s="1392" t="n"/>
      <c r="AS492" s="1422" t="n"/>
      <c r="AT492" s="1392" t="n"/>
      <c r="AU492" s="1392" t="n"/>
      <c r="AV492" s="1392" t="n"/>
      <c r="AW492" s="1392" t="n"/>
      <c r="AX492" s="1392" t="n"/>
      <c r="AY492" s="1392" t="n"/>
      <c r="AZ492" s="1392" t="n"/>
      <c r="BA492" s="1392" t="n"/>
      <c r="BB492" s="1422" t="n"/>
      <c r="BC492" s="1392" t="n"/>
      <c r="BD492" s="1392" t="n"/>
      <c r="BE492" s="1392" t="n"/>
      <c r="BF492" s="1392" t="n"/>
      <c r="BG492" s="1392" t="n"/>
      <c r="BH492" s="1392" t="n"/>
      <c r="BI492" s="1392" t="n"/>
      <c r="BJ492" s="1392" t="n"/>
      <c r="BK492" s="1392" t="n"/>
      <c r="BL492" s="1392" t="n"/>
      <c r="BM492" s="1392" t="n"/>
      <c r="BN492" s="1392" t="n"/>
      <c r="BO492" s="1392" t="n"/>
      <c r="BP492" s="1392" t="n"/>
      <c r="BQ492" s="1392" t="n"/>
      <c r="BR492" s="1392" t="n"/>
      <c r="BS492" s="1392" t="n"/>
      <c r="BT492" s="1392" t="n"/>
      <c r="BU492" s="1416" t="n"/>
      <c r="BV492" s="1392" t="n"/>
      <c r="BW492" s="1392" t="n"/>
      <c r="BX492" s="1392" t="n"/>
      <c r="BY492" s="1392" t="n"/>
      <c r="BZ492" s="1416" t="n"/>
      <c r="CA492" s="1392" t="n"/>
      <c r="CB492" s="1392" t="n"/>
      <c r="CC492" s="1392" t="n"/>
      <c r="CD492" s="1392" t="n"/>
      <c r="CE492" s="1392" t="n"/>
      <c r="CF492" s="1392" t="n"/>
      <c r="CG492" s="1392" t="n"/>
      <c r="CH492" s="1392" t="n"/>
      <c r="CI492" s="1392" t="n"/>
      <c r="CJ492" s="1392" t="n"/>
      <c r="CK492" s="1392" t="n"/>
      <c r="CL492" s="1392" t="n"/>
    </row>
    <row r="493">
      <c r="A493" s="5" t="inlineStr">
        <is>
          <t>.</t>
        </is>
      </c>
      <c r="B493" s="5" t="inlineStr">
        <is>
          <t>.</t>
        </is>
      </c>
      <c r="C493" s="1378">
        <f>IF(raw[[#This Row],[city]]="","-",IF(raw[[#This Row],[city]]="TODAY","-",C492+1))</f>
        <v/>
      </c>
      <c r="D493" s="1393" t="inlineStr">
        <is>
          <t>Siena</t>
        </is>
      </c>
      <c r="E493" s="1394" t="n">
        <v>36064</v>
      </c>
      <c r="F493" s="1394" t="n">
        <v>36064</v>
      </c>
      <c r="G493" s="1393" t="inlineStr">
        <is>
          <t>-</t>
        </is>
      </c>
      <c r="H493" s="1393">
        <f>H492</f>
        <v/>
      </c>
      <c r="I493" s="1393" t="inlineStr">
        <is>
          <t>-</t>
        </is>
      </c>
      <c r="J493" s="1393" t="inlineStr">
        <is>
          <t>rato/</t>
        </is>
      </c>
      <c r="K493" s="1395">
        <f>IF(raw[[#This Row],[city]]&lt;&gt;"",_xlfn.XLOOKUP($D493,ccc[city],ccc[prov],"-"),"-")</f>
        <v/>
      </c>
      <c r="L493" s="1395">
        <f>IF(raw[[#This Row],[city]]&lt;&gt;"",_xlfn.XLOOKUP($D493,ccc[city],ccc[ctry],"-"),"-")</f>
        <v/>
      </c>
      <c r="M493" s="1395">
        <f>IF(raw[[#This Row],[city]]&lt;&gt;"",_xlfn.XLOOKUP($D493,ccc[city],ccc[cont],"-"),"-")</f>
        <v/>
      </c>
      <c r="N493" s="1396">
        <f>IF(raw[[#This Row],[city]]="","-",IF(raw[[#This Row],[cont]]="B",raw[[#This Row],[cont]],"W"))</f>
        <v/>
      </c>
      <c r="O493" s="1397">
        <f>IF(raw[[#This Row],[out]]=0,0,IF(raw[[#This Row],[out]]=raw[[#This Row],[in]],0.01,raw[[#This Row],[out]]-raw[[#This Row],[in]]))</f>
        <v/>
      </c>
      <c r="P493" s="1397">
        <f>IF(raw[[#This Row],[in]]=0,0,MONTH(raw[[#This Row],[in]]))</f>
        <v/>
      </c>
      <c r="Q493" s="1397">
        <f>IF(raw[[#This Row],[in]]=0,0,YEAR(raw[[#This Row],[in]]))</f>
        <v/>
      </c>
      <c r="R493" s="1397">
        <f>INT(raw[[#This Row],[yr]]/10)*10</f>
        <v/>
      </c>
      <c r="S493" s="1395">
        <f>IF(raw[[#This Row],[city]]="","-",IF(raw[[#This Row],[city]]&lt;&gt;_xlfn.XLOOKUP(raw[[#This Row],[home]],homes[home],homes[city],"-"),1,0))</f>
        <v/>
      </c>
      <c r="T493" s="1398" t="inlineStr">
        <is>
          <t>.</t>
        </is>
      </c>
      <c r="U493" s="1399">
        <f>IF(raw[[#This Row],[wb]]="w",raw[[#This Row],[stay]]+U492,U492)</f>
        <v/>
      </c>
      <c r="V493" s="1400">
        <f>IF(raw[[#This Row],[out]]=0,V492,(raw[[#This Row],[out]]-E$5))</f>
        <v/>
      </c>
      <c r="W493" s="1401">
        <f>U493/V493</f>
        <v/>
      </c>
      <c r="X493" s="1378" t="inlineStr">
        <is>
          <t>.</t>
        </is>
      </c>
      <c r="Y493" s="1402">
        <f/>
        <v/>
      </c>
      <c r="Z493" s="1403">
        <f/>
        <v/>
      </c>
      <c r="AA493" s="1403">
        <f/>
        <v/>
      </c>
      <c r="AB493" s="1400">
        <f t="array" ref="AB493">_xlfn.LET(_xlpm.S,_xlfn.ANCHORARRAY($Y$4),_xlpm.r,ROWS(stayCity[[#Headers],[city]]:stayCity[[#This Row],[city]])-1,IF(_xlpm.r&lt;=ROWS(_xlpm.S),INDEX(_xlpm.S,_xlpm.r,1),""))</f>
        <v/>
      </c>
      <c r="AC493" s="1405">
        <f t="array" ref="AC493">_xlfn.LET(_xlpm.S,_xlfn.ANCHORARRAY($Y$4),_xlpm.r,ROWS(stayCity[[#Headers],[city]]:stayCity[[#This Row],[city]])-1,IF(_xlpm.r&lt;=ROWS(_xlpm.S),INDEX(_xlpm.S,_xlpm.r,2),""))</f>
        <v/>
      </c>
      <c r="AD493" s="1405">
        <f t="array" ref="AD493">_xlfn.LET(_xlpm.S,_xlfn.ANCHORARRAY($Y$4),_xlpm.r,ROWS(stayCity[[#Headers],[city]]:stayCity[[#This Row],[city]])-1,IF(_xlpm.r&lt;=ROWS(_xlpm.S),INDEX(_xlpm.S,_xlpm.r,3),""))</f>
        <v/>
      </c>
      <c r="AE493" s="1400">
        <f>IF(stayCity[[#This Row],[out]]&lt;&gt;"",stayCity[[#This Row],[out]]-stayCity[[#This Row],[in]],"-")</f>
        <v/>
      </c>
      <c r="AF493" s="1406">
        <f>IF(Y493="","-",YEAR(stayCity[[#This Row],[in]]))</f>
        <v/>
      </c>
      <c r="AG493" s="1392" t="n"/>
      <c r="AH493" s="1392" t="n"/>
      <c r="AI493" s="1392" t="n"/>
      <c r="AJ493" s="1392" t="n"/>
      <c r="AK493" s="1392" t="n"/>
      <c r="AL493" s="1392" t="n"/>
      <c r="AM493" s="1392" t="n"/>
      <c r="AN493" s="1392" t="n"/>
      <c r="AO493" s="1392" t="n"/>
      <c r="AP493" s="1392" t="n"/>
      <c r="AQ493" s="1392" t="n"/>
      <c r="AR493" s="1392" t="n"/>
      <c r="AS493" s="1422" t="n"/>
      <c r="AT493" s="1392" t="n"/>
      <c r="AU493" s="1392" t="n"/>
      <c r="AV493" s="1392" t="n"/>
      <c r="AW493" s="1392" t="n"/>
      <c r="AX493" s="1392" t="n"/>
      <c r="AY493" s="1392" t="n"/>
      <c r="AZ493" s="1392" t="n"/>
      <c r="BA493" s="1392" t="n"/>
      <c r="BB493" s="1422" t="n"/>
      <c r="BC493" s="1392" t="n"/>
      <c r="BD493" s="1392" t="n"/>
      <c r="BE493" s="1392" t="n"/>
      <c r="BF493" s="1392" t="n"/>
      <c r="BG493" s="1392" t="n"/>
      <c r="BH493" s="1392" t="n"/>
      <c r="BI493" s="1392" t="n"/>
      <c r="BJ493" s="1392" t="n"/>
      <c r="BK493" s="1392" t="n"/>
      <c r="BL493" s="1392" t="n"/>
      <c r="BM493" s="1392" t="n"/>
      <c r="BN493" s="1392" t="n"/>
      <c r="BO493" s="1392" t="n"/>
      <c r="BP493" s="1392" t="n"/>
      <c r="BQ493" s="1392" t="n"/>
      <c r="BR493" s="1392" t="n"/>
      <c r="BS493" s="1392" t="n"/>
      <c r="BT493" s="1392" t="n"/>
      <c r="BU493" s="1416" t="n"/>
      <c r="BV493" s="1392" t="n"/>
      <c r="BW493" s="1392" t="n"/>
      <c r="BX493" s="1392" t="n"/>
      <c r="BY493" s="1392" t="n"/>
      <c r="BZ493" s="1416" t="n"/>
      <c r="CA493" s="1392" t="n"/>
      <c r="CB493" s="1392" t="n"/>
      <c r="CC493" s="1392" t="n"/>
      <c r="CD493" s="1392" t="n"/>
      <c r="CE493" s="1392" t="n"/>
      <c r="CF493" s="1392" t="n"/>
      <c r="CG493" s="1392" t="n"/>
      <c r="CH493" s="1392" t="n"/>
      <c r="CI493" s="1392" t="n"/>
      <c r="CJ493" s="1392" t="n"/>
      <c r="CK493" s="1392" t="n"/>
      <c r="CL493" s="1392" t="n"/>
    </row>
    <row r="494">
      <c r="A494" s="5" t="inlineStr">
        <is>
          <t>.</t>
        </is>
      </c>
      <c r="B494" s="5" t="inlineStr">
        <is>
          <t>.</t>
        </is>
      </c>
      <c r="C494" s="1378">
        <f>IF(raw[[#This Row],[city]]="","-",IF(raw[[#This Row],[city]]="TODAY","-",C493+1))</f>
        <v/>
      </c>
      <c r="D494" s="1393" t="inlineStr">
        <is>
          <t>Orte</t>
        </is>
      </c>
      <c r="E494" s="1394" t="n">
        <v>36064</v>
      </c>
      <c r="F494" s="1394" t="n">
        <v>36065</v>
      </c>
      <c r="G494" s="1393" t="inlineStr">
        <is>
          <t>-</t>
        </is>
      </c>
      <c r="H494" s="1393">
        <f>H493</f>
        <v/>
      </c>
      <c r="I494" s="1393" t="inlineStr">
        <is>
          <t>-</t>
        </is>
      </c>
      <c r="J494" s="1393" t="inlineStr">
        <is>
          <t>rato/</t>
        </is>
      </c>
      <c r="K494" s="1395">
        <f>IF(raw[[#This Row],[city]]&lt;&gt;"",_xlfn.XLOOKUP($D494,ccc[city],ccc[prov],"-"),"-")</f>
        <v/>
      </c>
      <c r="L494" s="1395">
        <f>IF(raw[[#This Row],[city]]&lt;&gt;"",_xlfn.XLOOKUP($D494,ccc[city],ccc[ctry],"-"),"-")</f>
        <v/>
      </c>
      <c r="M494" s="1395">
        <f>IF(raw[[#This Row],[city]]&lt;&gt;"",_xlfn.XLOOKUP($D494,ccc[city],ccc[cont],"-"),"-")</f>
        <v/>
      </c>
      <c r="N494" s="1396">
        <f>IF(raw[[#This Row],[city]]="","-",IF(raw[[#This Row],[cont]]="B",raw[[#This Row],[cont]],"W"))</f>
        <v/>
      </c>
      <c r="O494" s="1397">
        <f>IF(raw[[#This Row],[out]]=0,0,IF(raw[[#This Row],[out]]=raw[[#This Row],[in]],0.01,raw[[#This Row],[out]]-raw[[#This Row],[in]]))</f>
        <v/>
      </c>
      <c r="P494" s="1397">
        <f>IF(raw[[#This Row],[in]]=0,0,MONTH(raw[[#This Row],[in]]))</f>
        <v/>
      </c>
      <c r="Q494" s="1397">
        <f>IF(raw[[#This Row],[in]]=0,0,YEAR(raw[[#This Row],[in]]))</f>
        <v/>
      </c>
      <c r="R494" s="1397">
        <f>INT(raw[[#This Row],[yr]]/10)*10</f>
        <v/>
      </c>
      <c r="S494" s="1395">
        <f>IF(raw[[#This Row],[city]]="","-",IF(raw[[#This Row],[city]]&lt;&gt;_xlfn.XLOOKUP(raw[[#This Row],[home]],homes[home],homes[city],"-"),1,0))</f>
        <v/>
      </c>
      <c r="T494" s="1398" t="inlineStr">
        <is>
          <t>.</t>
        </is>
      </c>
      <c r="U494" s="1399">
        <f>IF(raw[[#This Row],[wb]]="w",raw[[#This Row],[stay]]+U493,U493)</f>
        <v/>
      </c>
      <c r="V494" s="1400">
        <f>IF(raw[[#This Row],[out]]=0,V493,(raw[[#This Row],[out]]-E$5))</f>
        <v/>
      </c>
      <c r="W494" s="1401">
        <f>U494/V494</f>
        <v/>
      </c>
      <c r="X494" s="1378" t="inlineStr">
        <is>
          <t>.</t>
        </is>
      </c>
      <c r="Y494" s="1402">
        <f/>
        <v/>
      </c>
      <c r="Z494" s="1403">
        <f/>
        <v/>
      </c>
      <c r="AA494" s="1403">
        <f/>
        <v/>
      </c>
      <c r="AB494" s="1400">
        <f t="array" ref="AB494">_xlfn.LET(_xlpm.S,_xlfn.ANCHORARRAY($Y$4),_xlpm.r,ROWS(stayCity[[#Headers],[city]]:stayCity[[#This Row],[city]])-1,IF(_xlpm.r&lt;=ROWS(_xlpm.S),INDEX(_xlpm.S,_xlpm.r,1),""))</f>
        <v/>
      </c>
      <c r="AC494" s="1405">
        <f t="array" ref="AC494">_xlfn.LET(_xlpm.S,_xlfn.ANCHORARRAY($Y$4),_xlpm.r,ROWS(stayCity[[#Headers],[city]]:stayCity[[#This Row],[city]])-1,IF(_xlpm.r&lt;=ROWS(_xlpm.S),INDEX(_xlpm.S,_xlpm.r,2),""))</f>
        <v/>
      </c>
      <c r="AD494" s="1405">
        <f t="array" ref="AD494">_xlfn.LET(_xlpm.S,_xlfn.ANCHORARRAY($Y$4),_xlpm.r,ROWS(stayCity[[#Headers],[city]]:stayCity[[#This Row],[city]])-1,IF(_xlpm.r&lt;=ROWS(_xlpm.S),INDEX(_xlpm.S,_xlpm.r,3),""))</f>
        <v/>
      </c>
      <c r="AE494" s="1400">
        <f>IF(stayCity[[#This Row],[out]]&lt;&gt;"",stayCity[[#This Row],[out]]-stayCity[[#This Row],[in]],"-")</f>
        <v/>
      </c>
      <c r="AF494" s="1406">
        <f>IF(Y494="","-",YEAR(stayCity[[#This Row],[in]]))</f>
        <v/>
      </c>
      <c r="AG494" s="1392" t="n"/>
      <c r="AH494" s="1392" t="n"/>
      <c r="AI494" s="1392" t="n"/>
      <c r="AJ494" s="1392" t="n"/>
      <c r="AK494" s="1392" t="n"/>
      <c r="AL494" s="1392" t="n"/>
      <c r="AM494" s="1392" t="n"/>
      <c r="AN494" s="1392" t="n"/>
      <c r="AO494" s="1392" t="n"/>
      <c r="AP494" s="1392" t="n"/>
      <c r="AQ494" s="1392" t="n"/>
      <c r="AR494" s="1392" t="n"/>
      <c r="AS494" s="1422" t="n"/>
      <c r="AT494" s="1392" t="n"/>
      <c r="AU494" s="1392" t="n"/>
      <c r="AV494" s="1392" t="n"/>
      <c r="AW494" s="1392" t="n"/>
      <c r="AX494" s="1392" t="n"/>
      <c r="AY494" s="1392" t="n"/>
      <c r="AZ494" s="1392" t="n"/>
      <c r="BA494" s="1392" t="n"/>
      <c r="BB494" s="1422" t="n"/>
      <c r="BC494" s="1392" t="n"/>
      <c r="BD494" s="1392" t="n"/>
      <c r="BE494" s="1392" t="n"/>
      <c r="BF494" s="1392" t="n"/>
      <c r="BG494" s="1392" t="n"/>
      <c r="BH494" s="1392" t="n"/>
      <c r="BI494" s="1392" t="n"/>
      <c r="BJ494" s="1392" t="n"/>
      <c r="BK494" s="1392" t="n"/>
      <c r="BL494" s="1392" t="n"/>
      <c r="BM494" s="1392" t="n"/>
      <c r="BN494" s="1392" t="n"/>
      <c r="BO494" s="1392" t="n"/>
      <c r="BP494" s="1392" t="n"/>
      <c r="BQ494" s="1392" t="n"/>
      <c r="BR494" s="1392" t="n"/>
      <c r="BS494" s="1392" t="n"/>
      <c r="BT494" s="1392" t="n"/>
      <c r="BU494" s="1416" t="n"/>
      <c r="BV494" s="1392" t="n"/>
      <c r="BW494" s="1392" t="n"/>
      <c r="BX494" s="1392" t="n"/>
      <c r="BY494" s="1392" t="n"/>
      <c r="BZ494" s="1416" t="n"/>
      <c r="CA494" s="1392" t="n"/>
      <c r="CB494" s="1392" t="n"/>
      <c r="CC494" s="1392" t="n"/>
      <c r="CD494" s="1392" t="n"/>
      <c r="CE494" s="1392" t="n"/>
      <c r="CF494" s="1392" t="n"/>
      <c r="CG494" s="1392" t="n"/>
      <c r="CH494" s="1392" t="n"/>
      <c r="CI494" s="1392" t="n"/>
      <c r="CJ494" s="1392" t="n"/>
      <c r="CK494" s="1392" t="n"/>
      <c r="CL494" s="1392" t="n"/>
    </row>
    <row r="495">
      <c r="A495" s="5" t="inlineStr">
        <is>
          <t>.</t>
        </is>
      </c>
      <c r="B495" s="5" t="inlineStr">
        <is>
          <t>.</t>
        </is>
      </c>
      <c r="C495" s="1378">
        <f>IF(raw[[#This Row],[city]]="","-",IF(raw[[#This Row],[city]]="TODAY","-",C494+1))</f>
        <v/>
      </c>
      <c r="D495" s="1393" t="inlineStr">
        <is>
          <t>Rome</t>
        </is>
      </c>
      <c r="E495" s="1394" t="n">
        <v>36065</v>
      </c>
      <c r="F495" s="1394" t="n">
        <v>36065</v>
      </c>
      <c r="G495" s="1393" t="inlineStr">
        <is>
          <t>-</t>
        </is>
      </c>
      <c r="H495" s="1393">
        <f>H494</f>
        <v/>
      </c>
      <c r="I495" s="1393" t="inlineStr">
        <is>
          <t>-</t>
        </is>
      </c>
      <c r="J495" s="1393" t="inlineStr">
        <is>
          <t>rato/</t>
        </is>
      </c>
      <c r="K495" s="1395">
        <f>IF(raw[[#This Row],[city]]&lt;&gt;"",_xlfn.XLOOKUP($D495,ccc[city],ccc[prov],"-"),"-")</f>
        <v/>
      </c>
      <c r="L495" s="1395">
        <f>IF(raw[[#This Row],[city]]&lt;&gt;"",_xlfn.XLOOKUP($D495,ccc[city],ccc[ctry],"-"),"-")</f>
        <v/>
      </c>
      <c r="M495" s="1395">
        <f>IF(raw[[#This Row],[city]]&lt;&gt;"",_xlfn.XLOOKUP($D495,ccc[city],ccc[cont],"-"),"-")</f>
        <v/>
      </c>
      <c r="N495" s="1396">
        <f>IF(raw[[#This Row],[city]]="","-",IF(raw[[#This Row],[cont]]="B",raw[[#This Row],[cont]],"W"))</f>
        <v/>
      </c>
      <c r="O495" s="1397">
        <f>IF(raw[[#This Row],[out]]=0,0,IF(raw[[#This Row],[out]]=raw[[#This Row],[in]],0.01,raw[[#This Row],[out]]-raw[[#This Row],[in]]))</f>
        <v/>
      </c>
      <c r="P495" s="1397">
        <f>IF(raw[[#This Row],[in]]=0,0,MONTH(raw[[#This Row],[in]]))</f>
        <v/>
      </c>
      <c r="Q495" s="1397">
        <f>IF(raw[[#This Row],[in]]=0,0,YEAR(raw[[#This Row],[in]]))</f>
        <v/>
      </c>
      <c r="R495" s="1397">
        <f>INT(raw[[#This Row],[yr]]/10)*10</f>
        <v/>
      </c>
      <c r="S495" s="1395">
        <f>IF(raw[[#This Row],[city]]="","-",IF(raw[[#This Row],[city]]&lt;&gt;_xlfn.XLOOKUP(raw[[#This Row],[home]],homes[home],homes[city],"-"),1,0))</f>
        <v/>
      </c>
      <c r="T495" s="1398" t="inlineStr">
        <is>
          <t>.</t>
        </is>
      </c>
      <c r="U495" s="1399">
        <f>IF(raw[[#This Row],[wb]]="w",raw[[#This Row],[stay]]+U494,U494)</f>
        <v/>
      </c>
      <c r="V495" s="1400">
        <f>IF(raw[[#This Row],[out]]=0,V494,(raw[[#This Row],[out]]-E$5))</f>
        <v/>
      </c>
      <c r="W495" s="1401">
        <f>U495/V495</f>
        <v/>
      </c>
      <c r="X495" s="1378" t="inlineStr">
        <is>
          <t>.</t>
        </is>
      </c>
      <c r="Y495" s="1402">
        <f/>
        <v/>
      </c>
      <c r="Z495" s="1403">
        <f/>
        <v/>
      </c>
      <c r="AA495" s="1403">
        <f/>
        <v/>
      </c>
      <c r="AB495" s="1400">
        <f t="array" ref="AB495">_xlfn.LET(_xlpm.S,_xlfn.ANCHORARRAY($Y$4),_xlpm.r,ROWS(stayCity[[#Headers],[city]]:stayCity[[#This Row],[city]])-1,IF(_xlpm.r&lt;=ROWS(_xlpm.S),INDEX(_xlpm.S,_xlpm.r,1),""))</f>
        <v/>
      </c>
      <c r="AC495" s="1405">
        <f t="array" ref="AC495">_xlfn.LET(_xlpm.S,_xlfn.ANCHORARRAY($Y$4),_xlpm.r,ROWS(stayCity[[#Headers],[city]]:stayCity[[#This Row],[city]])-1,IF(_xlpm.r&lt;=ROWS(_xlpm.S),INDEX(_xlpm.S,_xlpm.r,2),""))</f>
        <v/>
      </c>
      <c r="AD495" s="1405">
        <f t="array" ref="AD495">_xlfn.LET(_xlpm.S,_xlfn.ANCHORARRAY($Y$4),_xlpm.r,ROWS(stayCity[[#Headers],[city]]:stayCity[[#This Row],[city]])-1,IF(_xlpm.r&lt;=ROWS(_xlpm.S),INDEX(_xlpm.S,_xlpm.r,3),""))</f>
        <v/>
      </c>
      <c r="AE495" s="1400">
        <f>IF(stayCity[[#This Row],[out]]&lt;&gt;"",stayCity[[#This Row],[out]]-stayCity[[#This Row],[in]],"-")</f>
        <v/>
      </c>
      <c r="AF495" s="1406">
        <f>IF(Y495="","-",YEAR(stayCity[[#This Row],[in]]))</f>
        <v/>
      </c>
      <c r="AG495" s="1392" t="n"/>
      <c r="AH495" s="1392" t="n"/>
      <c r="AI495" s="1392" t="n"/>
      <c r="AJ495" s="1392" t="n"/>
      <c r="AK495" s="1392" t="n"/>
      <c r="AL495" s="1392" t="n"/>
      <c r="AM495" s="1392" t="n"/>
      <c r="AN495" s="1392" t="n"/>
      <c r="AO495" s="1392" t="n"/>
      <c r="AP495" s="1392" t="n"/>
      <c r="AQ495" s="1392" t="n"/>
      <c r="AR495" s="1392" t="n"/>
      <c r="AS495" s="1422" t="n"/>
      <c r="AT495" s="1392" t="n"/>
      <c r="AU495" s="1392" t="n"/>
      <c r="AV495" s="1392" t="n"/>
      <c r="AW495" s="1392" t="n"/>
      <c r="AX495" s="1392" t="n"/>
      <c r="AY495" s="1392" t="n"/>
      <c r="AZ495" s="1392" t="n"/>
      <c r="BA495" s="1392" t="n"/>
      <c r="BB495" s="1422" t="n"/>
      <c r="BC495" s="1392" t="n"/>
      <c r="BD495" s="1392" t="n"/>
      <c r="BE495" s="1392" t="n"/>
      <c r="BF495" s="1392" t="n"/>
      <c r="BG495" s="1392" t="n"/>
      <c r="BH495" s="1392" t="n"/>
      <c r="BI495" s="1392" t="n"/>
      <c r="BJ495" s="1392" t="n"/>
      <c r="BK495" s="1392" t="n"/>
      <c r="BL495" s="1392" t="n"/>
      <c r="BM495" s="1392" t="n"/>
      <c r="BN495" s="1392" t="n"/>
      <c r="BO495" s="1392" t="n"/>
      <c r="BP495" s="1392" t="n"/>
      <c r="BQ495" s="1392" t="n"/>
      <c r="BR495" s="1392" t="n"/>
      <c r="BS495" s="1392" t="n"/>
      <c r="BT495" s="1392" t="n"/>
      <c r="BU495" s="1416" t="n"/>
      <c r="BV495" s="1392" t="n"/>
      <c r="BW495" s="1392" t="n"/>
      <c r="BX495" s="1392" t="n"/>
      <c r="BY495" s="1392" t="n"/>
      <c r="BZ495" s="1416" t="n"/>
      <c r="CA495" s="1392" t="n"/>
      <c r="CB495" s="1392" t="n"/>
      <c r="CC495" s="1392" t="n"/>
      <c r="CD495" s="1392" t="n"/>
      <c r="CE495" s="1392" t="n"/>
      <c r="CF495" s="1392" t="n"/>
      <c r="CG495" s="1392" t="n"/>
      <c r="CH495" s="1392" t="n"/>
      <c r="CI495" s="1392" t="n"/>
      <c r="CJ495" s="1392" t="n"/>
      <c r="CK495" s="1392" t="n"/>
      <c r="CL495" s="1392" t="n"/>
    </row>
    <row r="496">
      <c r="A496" s="5" t="inlineStr">
        <is>
          <t>.</t>
        </is>
      </c>
      <c r="B496" s="5" t="inlineStr">
        <is>
          <t>.</t>
        </is>
      </c>
      <c r="C496" s="1378">
        <f>IF(raw[[#This Row],[city]]="","-",IF(raw[[#This Row],[city]]="TODAY","-",C495+1))</f>
        <v/>
      </c>
      <c r="D496" s="1393" t="inlineStr">
        <is>
          <t>TRAIN FRA</t>
        </is>
      </c>
      <c r="E496" s="1394" t="n">
        <v>36065</v>
      </c>
      <c r="F496" s="1394" t="n">
        <v>36066</v>
      </c>
      <c r="G496" s="1393" t="inlineStr">
        <is>
          <t>-</t>
        </is>
      </c>
      <c r="H496" s="1393">
        <f>H495</f>
        <v/>
      </c>
      <c r="I496" s="1393" t="inlineStr">
        <is>
          <t>-</t>
        </is>
      </c>
      <c r="J496" s="1393" t="inlineStr">
        <is>
          <t>rato/</t>
        </is>
      </c>
      <c r="K496" s="1395">
        <f>IF(raw[[#This Row],[city]]&lt;&gt;"",_xlfn.XLOOKUP($D496,ccc[city],ccc[prov],"-"),"-")</f>
        <v/>
      </c>
      <c r="L496" s="1395">
        <f>IF(raw[[#This Row],[city]]&lt;&gt;"",_xlfn.XLOOKUP($D496,ccc[city],ccc[ctry],"-"),"-")</f>
        <v/>
      </c>
      <c r="M496" s="1395">
        <f>IF(raw[[#This Row],[city]]&lt;&gt;"",_xlfn.XLOOKUP($D496,ccc[city],ccc[cont],"-"),"-")</f>
        <v/>
      </c>
      <c r="N496" s="1396">
        <f>IF(raw[[#This Row],[city]]="","-",IF(raw[[#This Row],[cont]]="B",raw[[#This Row],[cont]],"W"))</f>
        <v/>
      </c>
      <c r="O496" s="1397">
        <f>IF(raw[[#This Row],[out]]=0,0,IF(raw[[#This Row],[out]]=raw[[#This Row],[in]],0.01,raw[[#This Row],[out]]-raw[[#This Row],[in]]))</f>
        <v/>
      </c>
      <c r="P496" s="1397">
        <f>IF(raw[[#This Row],[in]]=0,0,MONTH(raw[[#This Row],[in]]))</f>
        <v/>
      </c>
      <c r="Q496" s="1397">
        <f>IF(raw[[#This Row],[in]]=0,0,YEAR(raw[[#This Row],[in]]))</f>
        <v/>
      </c>
      <c r="R496" s="1397">
        <f>INT(raw[[#This Row],[yr]]/10)*10</f>
        <v/>
      </c>
      <c r="S496" s="1395">
        <f>IF(raw[[#This Row],[city]]="","-",IF(raw[[#This Row],[city]]&lt;&gt;_xlfn.XLOOKUP(raw[[#This Row],[home]],homes[home],homes[city],"-"),1,0))</f>
        <v/>
      </c>
      <c r="T496" s="1398" t="inlineStr">
        <is>
          <t>.</t>
        </is>
      </c>
      <c r="U496" s="1399">
        <f>IF(raw[[#This Row],[wb]]="w",raw[[#This Row],[stay]]+U495,U495)</f>
        <v/>
      </c>
      <c r="V496" s="1400">
        <f>IF(raw[[#This Row],[out]]=0,V495,(raw[[#This Row],[out]]-E$5))</f>
        <v/>
      </c>
      <c r="W496" s="1401">
        <f>U496/V496</f>
        <v/>
      </c>
      <c r="X496" s="1378" t="inlineStr">
        <is>
          <t>.</t>
        </is>
      </c>
      <c r="Y496" s="1402">
        <f/>
        <v/>
      </c>
      <c r="Z496" s="1403">
        <f/>
        <v/>
      </c>
      <c r="AA496" s="1403">
        <f/>
        <v/>
      </c>
      <c r="AB496" s="1400">
        <f t="array" ref="AB496">_xlfn.LET(_xlpm.S,_xlfn.ANCHORARRAY($Y$4),_xlpm.r,ROWS(stayCity[[#Headers],[city]]:stayCity[[#This Row],[city]])-1,IF(_xlpm.r&lt;=ROWS(_xlpm.S),INDEX(_xlpm.S,_xlpm.r,1),""))</f>
        <v/>
      </c>
      <c r="AC496" s="1405">
        <f t="array" ref="AC496">_xlfn.LET(_xlpm.S,_xlfn.ANCHORARRAY($Y$4),_xlpm.r,ROWS(stayCity[[#Headers],[city]]:stayCity[[#This Row],[city]])-1,IF(_xlpm.r&lt;=ROWS(_xlpm.S),INDEX(_xlpm.S,_xlpm.r,2),""))</f>
        <v/>
      </c>
      <c r="AD496" s="1405">
        <f t="array" ref="AD496">_xlfn.LET(_xlpm.S,_xlfn.ANCHORARRAY($Y$4),_xlpm.r,ROWS(stayCity[[#Headers],[city]]:stayCity[[#This Row],[city]])-1,IF(_xlpm.r&lt;=ROWS(_xlpm.S),INDEX(_xlpm.S,_xlpm.r,3),""))</f>
        <v/>
      </c>
      <c r="AE496" s="1400">
        <f>IF(stayCity[[#This Row],[out]]&lt;&gt;"",stayCity[[#This Row],[out]]-stayCity[[#This Row],[in]],"-")</f>
        <v/>
      </c>
      <c r="AF496" s="1406">
        <f>IF(Y496="","-",YEAR(stayCity[[#This Row],[in]]))</f>
        <v/>
      </c>
      <c r="AG496" s="1392" t="n"/>
      <c r="AH496" s="1392" t="n"/>
      <c r="AI496" s="1392" t="n"/>
      <c r="AJ496" s="1392" t="n"/>
      <c r="AK496" s="1392" t="n"/>
      <c r="AL496" s="1392" t="n"/>
      <c r="AM496" s="1392" t="n"/>
      <c r="AN496" s="1392" t="n"/>
      <c r="AO496" s="1392" t="n"/>
      <c r="AP496" s="1392" t="n"/>
      <c r="AQ496" s="1392" t="n"/>
      <c r="AR496" s="1392" t="n"/>
      <c r="AS496" s="1422" t="n"/>
      <c r="AT496" s="1392" t="n"/>
      <c r="AU496" s="1392" t="n"/>
      <c r="AV496" s="1392" t="n"/>
      <c r="AW496" s="1392" t="n"/>
      <c r="AX496" s="1392" t="n"/>
      <c r="AY496" s="1392" t="n"/>
      <c r="AZ496" s="1392" t="n"/>
      <c r="BA496" s="1392" t="n"/>
      <c r="BB496" s="1422" t="n"/>
      <c r="BC496" s="1392" t="n"/>
      <c r="BD496" s="1392" t="n"/>
      <c r="BE496" s="1392" t="n"/>
      <c r="BF496" s="1392" t="n"/>
      <c r="BG496" s="1392" t="n"/>
      <c r="BH496" s="1392" t="n"/>
      <c r="BI496" s="1392" t="n"/>
      <c r="BJ496" s="1392" t="n"/>
      <c r="BK496" s="1392" t="n"/>
      <c r="BL496" s="1392" t="n"/>
      <c r="BM496" s="1392" t="n"/>
      <c r="BN496" s="1392" t="n"/>
      <c r="BO496" s="1392" t="n"/>
      <c r="BP496" s="1392" t="n"/>
      <c r="BQ496" s="1392" t="n"/>
      <c r="BR496" s="1392" t="n"/>
      <c r="BS496" s="1392" t="n"/>
      <c r="BT496" s="1392" t="n"/>
      <c r="BU496" s="1416" t="n"/>
      <c r="BV496" s="1392" t="n"/>
      <c r="BW496" s="1392" t="n"/>
      <c r="BX496" s="1392" t="n"/>
      <c r="BY496" s="1392" t="n"/>
      <c r="BZ496" s="1416" t="n"/>
      <c r="CA496" s="1392" t="n"/>
      <c r="CB496" s="1392" t="n"/>
      <c r="CC496" s="1392" t="n"/>
      <c r="CD496" s="1392" t="n"/>
      <c r="CE496" s="1392" t="n"/>
      <c r="CF496" s="1392" t="n"/>
      <c r="CG496" s="1392" t="n"/>
      <c r="CH496" s="1392" t="n"/>
      <c r="CI496" s="1392" t="n"/>
      <c r="CJ496" s="1392" t="n"/>
      <c r="CK496" s="1392" t="n"/>
      <c r="CL496" s="1392" t="n"/>
    </row>
    <row r="497">
      <c r="A497" s="5" t="inlineStr">
        <is>
          <t>.</t>
        </is>
      </c>
      <c r="B497" s="5" t="inlineStr">
        <is>
          <t>.</t>
        </is>
      </c>
      <c r="C497" s="1378">
        <f>IF(raw[[#This Row],[city]]="","-",IF(raw[[#This Row],[city]]="TODAY","-",C496+1))</f>
        <v/>
      </c>
      <c r="D497" s="1393" t="inlineStr">
        <is>
          <t>Paris</t>
        </is>
      </c>
      <c r="E497" s="1394" t="n">
        <v>36066</v>
      </c>
      <c r="F497" s="1394" t="n">
        <v>36069</v>
      </c>
      <c r="G497" s="1393" t="inlineStr">
        <is>
          <t>-</t>
        </is>
      </c>
      <c r="H497" s="1393">
        <f>H496</f>
        <v/>
      </c>
      <c r="I497" s="1393" t="inlineStr">
        <is>
          <t>-</t>
        </is>
      </c>
      <c r="J497" s="1393" t="inlineStr">
        <is>
          <t>-</t>
        </is>
      </c>
      <c r="K497" s="1395">
        <f>IF(raw[[#This Row],[city]]&lt;&gt;"",_xlfn.XLOOKUP($D497,ccc[city],ccc[prov],"-"),"-")</f>
        <v/>
      </c>
      <c r="L497" s="1395">
        <f>IF(raw[[#This Row],[city]]&lt;&gt;"",_xlfn.XLOOKUP($D497,ccc[city],ccc[ctry],"-"),"-")</f>
        <v/>
      </c>
      <c r="M497" s="1395">
        <f>IF(raw[[#This Row],[city]]&lt;&gt;"",_xlfn.XLOOKUP($D497,ccc[city],ccc[cont],"-"),"-")</f>
        <v/>
      </c>
      <c r="N497" s="1396">
        <f>IF(raw[[#This Row],[city]]="","-",IF(raw[[#This Row],[cont]]="B",raw[[#This Row],[cont]],"W"))</f>
        <v/>
      </c>
      <c r="O497" s="1397">
        <f>IF(raw[[#This Row],[out]]=0,0,IF(raw[[#This Row],[out]]=raw[[#This Row],[in]],0.01,raw[[#This Row],[out]]-raw[[#This Row],[in]]))</f>
        <v/>
      </c>
      <c r="P497" s="1397">
        <f>IF(raw[[#This Row],[in]]=0,0,MONTH(raw[[#This Row],[in]]))</f>
        <v/>
      </c>
      <c r="Q497" s="1397">
        <f>IF(raw[[#This Row],[in]]=0,0,YEAR(raw[[#This Row],[in]]))</f>
        <v/>
      </c>
      <c r="R497" s="1397">
        <f>INT(raw[[#This Row],[yr]]/10)*10</f>
        <v/>
      </c>
      <c r="S497" s="1395">
        <f>IF(raw[[#This Row],[city]]="","-",IF(raw[[#This Row],[city]]&lt;&gt;_xlfn.XLOOKUP(raw[[#This Row],[home]],homes[home],homes[city],"-"),1,0))</f>
        <v/>
      </c>
      <c r="T497" s="1398" t="inlineStr">
        <is>
          <t>.</t>
        </is>
      </c>
      <c r="U497" s="1399">
        <f>IF(raw[[#This Row],[wb]]="w",raw[[#This Row],[stay]]+U496,U496)</f>
        <v/>
      </c>
      <c r="V497" s="1400">
        <f>IF(raw[[#This Row],[out]]=0,V496,(raw[[#This Row],[out]]-E$5))</f>
        <v/>
      </c>
      <c r="W497" s="1401">
        <f>U497/V497</f>
        <v/>
      </c>
      <c r="X497" s="1378" t="inlineStr">
        <is>
          <t>.</t>
        </is>
      </c>
      <c r="Y497" s="1402">
        <f/>
        <v/>
      </c>
      <c r="Z497" s="1403">
        <f/>
        <v/>
      </c>
      <c r="AA497" s="1403">
        <f/>
        <v/>
      </c>
      <c r="AB497" s="1400">
        <f t="array" ref="AB497">_xlfn.LET(_xlpm.S,_xlfn.ANCHORARRAY($Y$4),_xlpm.r,ROWS(stayCity[[#Headers],[city]]:stayCity[[#This Row],[city]])-1,IF(_xlpm.r&lt;=ROWS(_xlpm.S),INDEX(_xlpm.S,_xlpm.r,1),""))</f>
        <v/>
      </c>
      <c r="AC497" s="1405">
        <f t="array" ref="AC497">_xlfn.LET(_xlpm.S,_xlfn.ANCHORARRAY($Y$4),_xlpm.r,ROWS(stayCity[[#Headers],[city]]:stayCity[[#This Row],[city]])-1,IF(_xlpm.r&lt;=ROWS(_xlpm.S),INDEX(_xlpm.S,_xlpm.r,2),""))</f>
        <v/>
      </c>
      <c r="AD497" s="1405">
        <f t="array" ref="AD497">_xlfn.LET(_xlpm.S,_xlfn.ANCHORARRAY($Y$4),_xlpm.r,ROWS(stayCity[[#Headers],[city]]:stayCity[[#This Row],[city]])-1,IF(_xlpm.r&lt;=ROWS(_xlpm.S),INDEX(_xlpm.S,_xlpm.r,3),""))</f>
        <v/>
      </c>
      <c r="AE497" s="1400">
        <f>IF(stayCity[[#This Row],[out]]&lt;&gt;"",stayCity[[#This Row],[out]]-stayCity[[#This Row],[in]],"-")</f>
        <v/>
      </c>
      <c r="AF497" s="1406">
        <f>IF(Y497="","-",YEAR(stayCity[[#This Row],[in]]))</f>
        <v/>
      </c>
      <c r="AG497" s="1392" t="n"/>
      <c r="AH497" s="1392" t="n"/>
      <c r="AI497" s="1392" t="n"/>
      <c r="AJ497" s="1392" t="n"/>
      <c r="AK497" s="1392" t="n"/>
      <c r="AL497" s="1392" t="n"/>
      <c r="AM497" s="1392" t="n"/>
      <c r="AN497" s="1392" t="n"/>
      <c r="AO497" s="1392" t="n"/>
      <c r="AP497" s="1392" t="n"/>
      <c r="AQ497" s="1392" t="n"/>
      <c r="AR497" s="1392" t="n"/>
      <c r="AS497" s="1422" t="n"/>
      <c r="AT497" s="1392" t="n"/>
      <c r="AU497" s="1392" t="n"/>
      <c r="AV497" s="1392" t="n"/>
      <c r="AW497" s="1392" t="n"/>
      <c r="AX497" s="1392" t="n"/>
      <c r="AY497" s="1392" t="n"/>
      <c r="AZ497" s="1392" t="n"/>
      <c r="BA497" s="1392" t="n"/>
      <c r="BB497" s="1422" t="n"/>
      <c r="BC497" s="1392" t="n"/>
      <c r="BD497" s="1392" t="n"/>
      <c r="BE497" s="1392" t="n"/>
      <c r="BF497" s="1392" t="n"/>
      <c r="BG497" s="1392" t="n"/>
      <c r="BH497" s="1392" t="n"/>
      <c r="BI497" s="1392" t="n"/>
      <c r="BJ497" s="1392" t="n"/>
      <c r="BK497" s="1392" t="n"/>
      <c r="BL497" s="1392" t="n"/>
      <c r="BM497" s="1392" t="n"/>
      <c r="BN497" s="1392" t="n"/>
      <c r="BO497" s="1392" t="n"/>
      <c r="BP497" s="1392" t="n"/>
      <c r="BQ497" s="1392" t="n"/>
      <c r="BR497" s="1392" t="n"/>
      <c r="BS497" s="1392" t="n"/>
      <c r="BT497" s="1392" t="n"/>
      <c r="BU497" s="1416" t="n"/>
      <c r="BV497" s="1392" t="n"/>
      <c r="BW497" s="1392" t="n"/>
      <c r="BX497" s="1392" t="n"/>
      <c r="BY497" s="1392" t="n"/>
      <c r="BZ497" s="1416" t="n"/>
      <c r="CA497" s="1392" t="n"/>
      <c r="CB497" s="1392" t="n"/>
      <c r="CC497" s="1392" t="n"/>
      <c r="CD497" s="1392" t="n"/>
      <c r="CE497" s="1392" t="n"/>
      <c r="CF497" s="1392" t="n"/>
      <c r="CG497" s="1392" t="n"/>
      <c r="CH497" s="1392" t="n"/>
      <c r="CI497" s="1392" t="n"/>
      <c r="CJ497" s="1392" t="n"/>
      <c r="CK497" s="1392" t="n"/>
      <c r="CL497" s="1392" t="n"/>
    </row>
    <row r="498">
      <c r="A498" s="5" t="inlineStr">
        <is>
          <t>.</t>
        </is>
      </c>
      <c r="B498" s="5" t="inlineStr">
        <is>
          <t>.</t>
        </is>
      </c>
      <c r="C498" s="1378">
        <f>IF(raw[[#This Row],[city]]="","-",IF(raw[[#This Row],[city]]="TODAY","-",C497+1))</f>
        <v/>
      </c>
      <c r="D498" s="1393" t="inlineStr">
        <is>
          <t>Giverny</t>
        </is>
      </c>
      <c r="E498" s="1394" t="n">
        <v>36069</v>
      </c>
      <c r="F498" s="1394" t="n">
        <v>36069</v>
      </c>
      <c r="G498" s="1393" t="inlineStr">
        <is>
          <t>-</t>
        </is>
      </c>
      <c r="H498" s="1393">
        <f>H497</f>
        <v/>
      </c>
      <c r="I498" s="1393" t="inlineStr">
        <is>
          <t>-</t>
        </is>
      </c>
      <c r="J498" s="1393" t="inlineStr">
        <is>
          <t>pais/</t>
        </is>
      </c>
      <c r="K498" s="1395">
        <f>IF(raw[[#This Row],[city]]&lt;&gt;"",_xlfn.XLOOKUP($D498,ccc[city],ccc[prov],"-"),"-")</f>
        <v/>
      </c>
      <c r="L498" s="1395">
        <f>IF(raw[[#This Row],[city]]&lt;&gt;"",_xlfn.XLOOKUP($D498,ccc[city],ccc[ctry],"-"),"-")</f>
        <v/>
      </c>
      <c r="M498" s="1395">
        <f>IF(raw[[#This Row],[city]]&lt;&gt;"",_xlfn.XLOOKUP($D498,ccc[city],ccc[cont],"-"),"-")</f>
        <v/>
      </c>
      <c r="N498" s="1396">
        <f>IF(raw[[#This Row],[city]]="","-",IF(raw[[#This Row],[cont]]="B",raw[[#This Row],[cont]],"W"))</f>
        <v/>
      </c>
      <c r="O498" s="1397">
        <f>IF(raw[[#This Row],[out]]=0,0,IF(raw[[#This Row],[out]]=raw[[#This Row],[in]],0.01,raw[[#This Row],[out]]-raw[[#This Row],[in]]))</f>
        <v/>
      </c>
      <c r="P498" s="1397">
        <f>IF(raw[[#This Row],[in]]=0,0,MONTH(raw[[#This Row],[in]]))</f>
        <v/>
      </c>
      <c r="Q498" s="1397">
        <f>IF(raw[[#This Row],[in]]=0,0,YEAR(raw[[#This Row],[in]]))</f>
        <v/>
      </c>
      <c r="R498" s="1397">
        <f>INT(raw[[#This Row],[yr]]/10)*10</f>
        <v/>
      </c>
      <c r="S498" s="1395">
        <f>IF(raw[[#This Row],[city]]="","-",IF(raw[[#This Row],[city]]&lt;&gt;_xlfn.XLOOKUP(raw[[#This Row],[home]],homes[home],homes[city],"-"),1,0))</f>
        <v/>
      </c>
      <c r="T498" s="1398" t="inlineStr">
        <is>
          <t>.</t>
        </is>
      </c>
      <c r="U498" s="1399">
        <f>IF(raw[[#This Row],[wb]]="w",raw[[#This Row],[stay]]+U497,U497)</f>
        <v/>
      </c>
      <c r="V498" s="1400">
        <f>IF(raw[[#This Row],[out]]=0,V497,(raw[[#This Row],[out]]-E$5))</f>
        <v/>
      </c>
      <c r="W498" s="1401">
        <f>U498/V498</f>
        <v/>
      </c>
      <c r="X498" s="1378" t="inlineStr">
        <is>
          <t>.</t>
        </is>
      </c>
      <c r="Y498" s="1402">
        <f/>
        <v/>
      </c>
      <c r="Z498" s="1403">
        <f/>
        <v/>
      </c>
      <c r="AA498" s="1403">
        <f/>
        <v/>
      </c>
      <c r="AB498" s="1400">
        <f t="array" ref="AB498">_xlfn.LET(_xlpm.S,_xlfn.ANCHORARRAY($Y$4),_xlpm.r,ROWS(stayCity[[#Headers],[city]]:stayCity[[#This Row],[city]])-1,IF(_xlpm.r&lt;=ROWS(_xlpm.S),INDEX(_xlpm.S,_xlpm.r,1),""))</f>
        <v/>
      </c>
      <c r="AC498" s="1405">
        <f t="array" ref="AC498">_xlfn.LET(_xlpm.S,_xlfn.ANCHORARRAY($Y$4),_xlpm.r,ROWS(stayCity[[#Headers],[city]]:stayCity[[#This Row],[city]])-1,IF(_xlpm.r&lt;=ROWS(_xlpm.S),INDEX(_xlpm.S,_xlpm.r,2),""))</f>
        <v/>
      </c>
      <c r="AD498" s="1405">
        <f t="array" ref="AD498">_xlfn.LET(_xlpm.S,_xlfn.ANCHORARRAY($Y$4),_xlpm.r,ROWS(stayCity[[#Headers],[city]]:stayCity[[#This Row],[city]])-1,IF(_xlpm.r&lt;=ROWS(_xlpm.S),INDEX(_xlpm.S,_xlpm.r,3),""))</f>
        <v/>
      </c>
      <c r="AE498" s="1400">
        <f>IF(stayCity[[#This Row],[out]]&lt;&gt;"",stayCity[[#This Row],[out]]-stayCity[[#This Row],[in]],"-")</f>
        <v/>
      </c>
      <c r="AF498" s="1406">
        <f>IF(Y498="","-",YEAR(stayCity[[#This Row],[in]]))</f>
        <v/>
      </c>
      <c r="AG498" s="1392" t="n"/>
      <c r="AH498" s="1392" t="n"/>
      <c r="AI498" s="1392" t="n"/>
      <c r="AJ498" s="1392" t="n"/>
      <c r="AK498" s="1392" t="n"/>
      <c r="AL498" s="1392" t="n"/>
      <c r="AM498" s="1392" t="n"/>
      <c r="AN498" s="1392" t="n"/>
      <c r="AO498" s="1392" t="n"/>
      <c r="AP498" s="1392" t="n"/>
      <c r="AQ498" s="1392" t="n"/>
      <c r="AR498" s="1392" t="n"/>
      <c r="AS498" s="1422" t="n"/>
      <c r="AT498" s="1392" t="n"/>
      <c r="AU498" s="1392" t="n"/>
      <c r="AV498" s="1392" t="n"/>
      <c r="AW498" s="1392" t="n"/>
      <c r="AX498" s="1392" t="n"/>
      <c r="AY498" s="1392" t="n"/>
      <c r="AZ498" s="1392" t="n"/>
      <c r="BA498" s="1392" t="n"/>
      <c r="BB498" s="1422" t="n"/>
      <c r="BC498" s="1392" t="n"/>
      <c r="BD498" s="1392" t="n"/>
      <c r="BE498" s="1392" t="n"/>
      <c r="BF498" s="1392" t="n"/>
      <c r="BG498" s="1392" t="n"/>
      <c r="BH498" s="1392" t="n"/>
      <c r="BI498" s="1392" t="n"/>
      <c r="BJ498" s="1392" t="n"/>
      <c r="BK498" s="1392" t="n"/>
      <c r="BL498" s="1392" t="n"/>
      <c r="BM498" s="1392" t="n"/>
      <c r="BN498" s="1392" t="n"/>
      <c r="BO498" s="1392" t="n"/>
      <c r="BP498" s="1392" t="n"/>
      <c r="BQ498" s="1392" t="n"/>
      <c r="BR498" s="1392" t="n"/>
      <c r="BS498" s="1392" t="n"/>
      <c r="BT498" s="1392" t="n"/>
      <c r="BU498" s="1416" t="n"/>
      <c r="BV498" s="1392" t="n"/>
      <c r="BW498" s="1392" t="n"/>
      <c r="BX498" s="1392" t="n"/>
      <c r="BY498" s="1392" t="n"/>
      <c r="BZ498" s="1416" t="n"/>
      <c r="CA498" s="1392" t="n"/>
      <c r="CB498" s="1392" t="n"/>
      <c r="CC498" s="1392" t="n"/>
      <c r="CD498" s="1392" t="n"/>
      <c r="CE498" s="1392" t="n"/>
      <c r="CF498" s="1392" t="n"/>
      <c r="CG498" s="1392" t="n"/>
      <c r="CH498" s="1392" t="n"/>
      <c r="CI498" s="1392" t="n"/>
      <c r="CJ498" s="1392" t="n"/>
      <c r="CK498" s="1392" t="n"/>
      <c r="CL498" s="1392" t="n"/>
    </row>
    <row r="499">
      <c r="A499" s="5" t="inlineStr">
        <is>
          <t>.</t>
        </is>
      </c>
      <c r="B499" s="5" t="inlineStr">
        <is>
          <t>.</t>
        </is>
      </c>
      <c r="C499" s="1378">
        <f>IF(raw[[#This Row],[city]]="","-",IF(raw[[#This Row],[city]]="TODAY","-",C498+1))</f>
        <v/>
      </c>
      <c r="D499" s="1393" t="inlineStr">
        <is>
          <t>Calais</t>
        </is>
      </c>
      <c r="E499" s="1394" t="n">
        <v>36069</v>
      </c>
      <c r="F499" s="1394" t="n">
        <v>36069</v>
      </c>
      <c r="G499" s="1393" t="inlineStr">
        <is>
          <t>-</t>
        </is>
      </c>
      <c r="H499" s="1393">
        <f>H498</f>
        <v/>
      </c>
      <c r="I499" s="1393" t="inlineStr">
        <is>
          <t>-</t>
        </is>
      </c>
      <c r="J499" s="1393" t="inlineStr">
        <is>
          <t>pais/</t>
        </is>
      </c>
      <c r="K499" s="1395">
        <f>IF(raw[[#This Row],[city]]&lt;&gt;"",_xlfn.XLOOKUP($D499,ccc[city],ccc[prov],"-"),"-")</f>
        <v/>
      </c>
      <c r="L499" s="1395">
        <f>IF(raw[[#This Row],[city]]&lt;&gt;"",_xlfn.XLOOKUP($D499,ccc[city],ccc[ctry],"-"),"-")</f>
        <v/>
      </c>
      <c r="M499" s="1395">
        <f>IF(raw[[#This Row],[city]]&lt;&gt;"",_xlfn.XLOOKUP($D499,ccc[city],ccc[cont],"-"),"-")</f>
        <v/>
      </c>
      <c r="N499" s="1396">
        <f>IF(raw[[#This Row],[city]]="","-",IF(raw[[#This Row],[cont]]="B",raw[[#This Row],[cont]],"W"))</f>
        <v/>
      </c>
      <c r="O499" s="1397">
        <f>IF(raw[[#This Row],[out]]=0,0,IF(raw[[#This Row],[out]]=raw[[#This Row],[in]],0.01,raw[[#This Row],[out]]-raw[[#This Row],[in]]))</f>
        <v/>
      </c>
      <c r="P499" s="1397">
        <f>IF(raw[[#This Row],[in]]=0,0,MONTH(raw[[#This Row],[in]]))</f>
        <v/>
      </c>
      <c r="Q499" s="1397">
        <f>IF(raw[[#This Row],[in]]=0,0,YEAR(raw[[#This Row],[in]]))</f>
        <v/>
      </c>
      <c r="R499" s="1397">
        <f>INT(raw[[#This Row],[yr]]/10)*10</f>
        <v/>
      </c>
      <c r="S499" s="1395">
        <f>IF(raw[[#This Row],[city]]="","-",IF(raw[[#This Row],[city]]&lt;&gt;_xlfn.XLOOKUP(raw[[#This Row],[home]],homes[home],homes[city],"-"),1,0))</f>
        <v/>
      </c>
      <c r="T499" s="1398" t="inlineStr">
        <is>
          <t>.</t>
        </is>
      </c>
      <c r="U499" s="1399">
        <f>IF(raw[[#This Row],[wb]]="w",raw[[#This Row],[stay]]+U498,U498)</f>
        <v/>
      </c>
      <c r="V499" s="1400">
        <f>IF(raw[[#This Row],[out]]=0,V498,(raw[[#This Row],[out]]-E$5))</f>
        <v/>
      </c>
      <c r="W499" s="1401">
        <f>U499/V499</f>
        <v/>
      </c>
      <c r="X499" s="1378" t="inlineStr">
        <is>
          <t>.</t>
        </is>
      </c>
      <c r="Y499" s="1402">
        <f/>
        <v/>
      </c>
      <c r="Z499" s="1403">
        <f/>
        <v/>
      </c>
      <c r="AA499" s="1403">
        <f/>
        <v/>
      </c>
      <c r="AB499" s="1400">
        <f t="array" ref="AB499">_xlfn.LET(_xlpm.S,_xlfn.ANCHORARRAY($Y$4),_xlpm.r,ROWS(stayCity[[#Headers],[city]]:stayCity[[#This Row],[city]])-1,IF(_xlpm.r&lt;=ROWS(_xlpm.S),INDEX(_xlpm.S,_xlpm.r,1),""))</f>
        <v/>
      </c>
      <c r="AC499" s="1405">
        <f t="array" ref="AC499">_xlfn.LET(_xlpm.S,_xlfn.ANCHORARRAY($Y$4),_xlpm.r,ROWS(stayCity[[#Headers],[city]]:stayCity[[#This Row],[city]])-1,IF(_xlpm.r&lt;=ROWS(_xlpm.S),INDEX(_xlpm.S,_xlpm.r,2),""))</f>
        <v/>
      </c>
      <c r="AD499" s="1405">
        <f t="array" ref="AD499">_xlfn.LET(_xlpm.S,_xlfn.ANCHORARRAY($Y$4),_xlpm.r,ROWS(stayCity[[#Headers],[city]]:stayCity[[#This Row],[city]])-1,IF(_xlpm.r&lt;=ROWS(_xlpm.S),INDEX(_xlpm.S,_xlpm.r,3),""))</f>
        <v/>
      </c>
      <c r="AE499" s="1400">
        <f>IF(stayCity[[#This Row],[out]]&lt;&gt;"",stayCity[[#This Row],[out]]-stayCity[[#This Row],[in]],"-")</f>
        <v/>
      </c>
      <c r="AF499" s="1406">
        <f>IF(Y499="","-",YEAR(stayCity[[#This Row],[in]]))</f>
        <v/>
      </c>
      <c r="AG499" s="1392" t="n"/>
      <c r="AH499" s="1392" t="n"/>
      <c r="AI499" s="1392" t="n"/>
      <c r="AJ499" s="1392" t="n"/>
      <c r="AK499" s="1392" t="n"/>
      <c r="AL499" s="1392" t="n"/>
      <c r="AM499" s="1392" t="n"/>
      <c r="AN499" s="1392" t="n"/>
      <c r="AO499" s="1392" t="n"/>
      <c r="AP499" s="1392" t="n"/>
      <c r="AQ499" s="1392" t="n"/>
      <c r="AR499" s="1392" t="n"/>
      <c r="AS499" s="1422" t="n"/>
      <c r="AT499" s="1392" t="n"/>
      <c r="AU499" s="1392" t="n"/>
      <c r="AV499" s="1392" t="n"/>
      <c r="AW499" s="1392" t="n"/>
      <c r="AX499" s="1392" t="n"/>
      <c r="AY499" s="1392" t="n"/>
      <c r="AZ499" s="1392" t="n"/>
      <c r="BA499" s="1392" t="n"/>
      <c r="BB499" s="1422" t="n"/>
      <c r="BC499" s="1392" t="n"/>
      <c r="BD499" s="1392" t="n"/>
      <c r="BE499" s="1392" t="n"/>
      <c r="BF499" s="1392" t="n"/>
      <c r="BG499" s="1392" t="n"/>
      <c r="BH499" s="1392" t="n"/>
      <c r="BI499" s="1392" t="n"/>
      <c r="BJ499" s="1392" t="n"/>
      <c r="BK499" s="1392" t="n"/>
      <c r="BL499" s="1392" t="n"/>
      <c r="BM499" s="1392" t="n"/>
      <c r="BN499" s="1392" t="n"/>
      <c r="BO499" s="1392" t="n"/>
      <c r="BP499" s="1392" t="n"/>
      <c r="BQ499" s="1392" t="n"/>
      <c r="BR499" s="1392" t="n"/>
      <c r="BS499" s="1392" t="n"/>
      <c r="BT499" s="1392" t="n"/>
      <c r="BU499" s="1416" t="n"/>
      <c r="BV499" s="1392" t="n"/>
      <c r="BW499" s="1392" t="n"/>
      <c r="BX499" s="1392" t="n"/>
      <c r="BY499" s="1392" t="n"/>
      <c r="BZ499" s="1416" t="n"/>
      <c r="CA499" s="1392" t="n"/>
      <c r="CB499" s="1392" t="n"/>
      <c r="CC499" s="1392" t="n"/>
      <c r="CD499" s="1392" t="n"/>
      <c r="CE499" s="1392" t="n"/>
      <c r="CF499" s="1392" t="n"/>
      <c r="CG499" s="1392" t="n"/>
      <c r="CH499" s="1392" t="n"/>
      <c r="CI499" s="1392" t="n"/>
      <c r="CJ499" s="1392" t="n"/>
      <c r="CK499" s="1392" t="n"/>
      <c r="CL499" s="1392" t="n"/>
    </row>
    <row r="500">
      <c r="A500" s="5" t="inlineStr">
        <is>
          <t>.</t>
        </is>
      </c>
      <c r="B500" s="5" t="inlineStr">
        <is>
          <t>.</t>
        </is>
      </c>
      <c r="C500" s="1378">
        <f>IF(raw[[#This Row],[city]]="","-",IF(raw[[#This Row],[city]]="TODAY","-",C499+1))</f>
        <v/>
      </c>
      <c r="D500" s="1393" t="inlineStr">
        <is>
          <t>Canterbury</t>
        </is>
      </c>
      <c r="E500" s="1394" t="n">
        <v>36069</v>
      </c>
      <c r="F500" s="1394" t="n">
        <v>36070</v>
      </c>
      <c r="G500" s="1393" t="inlineStr">
        <is>
          <t>-</t>
        </is>
      </c>
      <c r="H500" s="1393">
        <f>H499</f>
        <v/>
      </c>
      <c r="I500" s="1393" t="inlineStr">
        <is>
          <t>-</t>
        </is>
      </c>
      <c r="J500" s="1393" t="inlineStr">
        <is>
          <t>pais/</t>
        </is>
      </c>
      <c r="K500" s="1395">
        <f>IF(raw[[#This Row],[city]]&lt;&gt;"",_xlfn.XLOOKUP($D500,ccc[city],ccc[prov],"-"),"-")</f>
        <v/>
      </c>
      <c r="L500" s="1395">
        <f>IF(raw[[#This Row],[city]]&lt;&gt;"",_xlfn.XLOOKUP($D500,ccc[city],ccc[ctry],"-"),"-")</f>
        <v/>
      </c>
      <c r="M500" s="1395">
        <f>IF(raw[[#This Row],[city]]&lt;&gt;"",_xlfn.XLOOKUP($D500,ccc[city],ccc[cont],"-"),"-")</f>
        <v/>
      </c>
      <c r="N500" s="1396">
        <f>IF(raw[[#This Row],[city]]="","-",IF(raw[[#This Row],[cont]]="B",raw[[#This Row],[cont]],"W"))</f>
        <v/>
      </c>
      <c r="O500" s="1397">
        <f>IF(raw[[#This Row],[out]]=0,0,IF(raw[[#This Row],[out]]=raw[[#This Row],[in]],0.01,raw[[#This Row],[out]]-raw[[#This Row],[in]]))</f>
        <v/>
      </c>
      <c r="P500" s="1397">
        <f>IF(raw[[#This Row],[in]]=0,0,MONTH(raw[[#This Row],[in]]))</f>
        <v/>
      </c>
      <c r="Q500" s="1397">
        <f>IF(raw[[#This Row],[in]]=0,0,YEAR(raw[[#This Row],[in]]))</f>
        <v/>
      </c>
      <c r="R500" s="1397">
        <f>INT(raw[[#This Row],[yr]]/10)*10</f>
        <v/>
      </c>
      <c r="S500" s="1395">
        <f>IF(raw[[#This Row],[city]]="","-",IF(raw[[#This Row],[city]]&lt;&gt;_xlfn.XLOOKUP(raw[[#This Row],[home]],homes[home],homes[city],"-"),1,0))</f>
        <v/>
      </c>
      <c r="T500" s="1398" t="inlineStr">
        <is>
          <t>.</t>
        </is>
      </c>
      <c r="U500" s="1399">
        <f>IF(raw[[#This Row],[wb]]="w",raw[[#This Row],[stay]]+U499,U499)</f>
        <v/>
      </c>
      <c r="V500" s="1400">
        <f>IF(raw[[#This Row],[out]]=0,V499,(raw[[#This Row],[out]]-E$5))</f>
        <v/>
      </c>
      <c r="W500" s="1401">
        <f>U500/V500</f>
        <v/>
      </c>
      <c r="X500" s="1378" t="inlineStr">
        <is>
          <t>.</t>
        </is>
      </c>
      <c r="Y500" s="1402">
        <f/>
        <v/>
      </c>
      <c r="Z500" s="1403">
        <f/>
        <v/>
      </c>
      <c r="AA500" s="1403">
        <f/>
        <v/>
      </c>
      <c r="AB500" s="1400">
        <f t="array" ref="AB500">_xlfn.LET(_xlpm.S,_xlfn.ANCHORARRAY($Y$4),_xlpm.r,ROWS(stayCity[[#Headers],[city]]:stayCity[[#This Row],[city]])-1,IF(_xlpm.r&lt;=ROWS(_xlpm.S),INDEX(_xlpm.S,_xlpm.r,1),""))</f>
        <v/>
      </c>
      <c r="AC500" s="1405">
        <f t="array" ref="AC500">_xlfn.LET(_xlpm.S,_xlfn.ANCHORARRAY($Y$4),_xlpm.r,ROWS(stayCity[[#Headers],[city]]:stayCity[[#This Row],[city]])-1,IF(_xlpm.r&lt;=ROWS(_xlpm.S),INDEX(_xlpm.S,_xlpm.r,2),""))</f>
        <v/>
      </c>
      <c r="AD500" s="1405">
        <f t="array" ref="AD500">_xlfn.LET(_xlpm.S,_xlfn.ANCHORARRAY($Y$4),_xlpm.r,ROWS(stayCity[[#Headers],[city]]:stayCity[[#This Row],[city]])-1,IF(_xlpm.r&lt;=ROWS(_xlpm.S),INDEX(_xlpm.S,_xlpm.r,3),""))</f>
        <v/>
      </c>
      <c r="AE500" s="1400">
        <f>IF(stayCity[[#This Row],[out]]&lt;&gt;"",stayCity[[#This Row],[out]]-stayCity[[#This Row],[in]],"-")</f>
        <v/>
      </c>
      <c r="AF500" s="1406">
        <f>IF(Y500="","-",YEAR(stayCity[[#This Row],[in]]))</f>
        <v/>
      </c>
      <c r="AG500" s="1392" t="n"/>
      <c r="AH500" s="1392" t="n"/>
      <c r="AI500" s="1392" t="n"/>
      <c r="AJ500" s="1392" t="n"/>
      <c r="AK500" s="1392" t="n"/>
      <c r="AL500" s="1392" t="n"/>
      <c r="AM500" s="1392" t="n"/>
      <c r="AN500" s="1392" t="n"/>
      <c r="AO500" s="1392" t="n"/>
      <c r="AP500" s="1392" t="n"/>
      <c r="AQ500" s="1392" t="n"/>
      <c r="AR500" s="1392" t="n"/>
      <c r="AS500" s="1422" t="n"/>
      <c r="AT500" s="1392" t="n"/>
      <c r="AU500" s="1392" t="n"/>
      <c r="AV500" s="1392" t="n"/>
      <c r="AW500" s="1392" t="n"/>
      <c r="AX500" s="1392" t="n"/>
      <c r="AY500" s="1392" t="n"/>
      <c r="AZ500" s="1392" t="n"/>
      <c r="BA500" s="1392" t="n"/>
      <c r="BB500" s="1422" t="n"/>
      <c r="BC500" s="1392" t="n"/>
      <c r="BD500" s="1392" t="n"/>
      <c r="BE500" s="1392" t="n"/>
      <c r="BF500" s="1392" t="n"/>
      <c r="BG500" s="1392" t="n"/>
      <c r="BH500" s="1392" t="n"/>
      <c r="BI500" s="1392" t="n"/>
      <c r="BJ500" s="1392" t="n"/>
      <c r="BK500" s="1392" t="n"/>
      <c r="BL500" s="1392" t="n"/>
      <c r="BM500" s="1392" t="n"/>
      <c r="BN500" s="1392" t="n"/>
      <c r="BO500" s="1392" t="n"/>
      <c r="BP500" s="1392" t="n"/>
      <c r="BQ500" s="1392" t="n"/>
      <c r="BR500" s="1392" t="n"/>
      <c r="BS500" s="1392" t="n"/>
      <c r="BT500" s="1392" t="n"/>
      <c r="BU500" s="1416" t="n"/>
      <c r="BV500" s="1392" t="n"/>
      <c r="BW500" s="1392" t="n"/>
      <c r="BX500" s="1392" t="n"/>
      <c r="BY500" s="1392" t="n"/>
      <c r="BZ500" s="1416" t="n"/>
      <c r="CA500" s="1392" t="n"/>
      <c r="CB500" s="1392" t="n"/>
      <c r="CC500" s="1392" t="n"/>
      <c r="CD500" s="1392" t="n"/>
      <c r="CE500" s="1392" t="n"/>
      <c r="CF500" s="1392" t="n"/>
      <c r="CG500" s="1392" t="n"/>
      <c r="CH500" s="1392" t="n"/>
      <c r="CI500" s="1392" t="n"/>
      <c r="CJ500" s="1392" t="n"/>
      <c r="CK500" s="1392" t="n"/>
      <c r="CL500" s="1392" t="n"/>
    </row>
    <row r="501">
      <c r="A501" s="5" t="inlineStr">
        <is>
          <t>.</t>
        </is>
      </c>
      <c r="B501" s="5" t="inlineStr">
        <is>
          <t>.</t>
        </is>
      </c>
      <c r="C501" s="1378">
        <f>IF(raw[[#This Row],[city]]="","-",IF(raw[[#This Row],[city]]="TODAY","-",C500+1))</f>
        <v/>
      </c>
      <c r="D501" s="1393" t="inlineStr">
        <is>
          <t>London</t>
        </is>
      </c>
      <c r="E501" s="1394" t="n">
        <v>36070</v>
      </c>
      <c r="F501" s="1394" t="n">
        <v>36075</v>
      </c>
      <c r="G501" s="1393" t="inlineStr">
        <is>
          <t>-</t>
        </is>
      </c>
      <c r="H501" s="1393">
        <f>H500</f>
        <v/>
      </c>
      <c r="I501" s="1393" t="inlineStr">
        <is>
          <t>-</t>
        </is>
      </c>
      <c r="J501" s="1393" t="inlineStr">
        <is>
          <t>pais/</t>
        </is>
      </c>
      <c r="K501" s="1395">
        <f>IF(raw[[#This Row],[city]]&lt;&gt;"",_xlfn.XLOOKUP($D501,ccc[city],ccc[prov],"-"),"-")</f>
        <v/>
      </c>
      <c r="L501" s="1395">
        <f>IF(raw[[#This Row],[city]]&lt;&gt;"",_xlfn.XLOOKUP($D501,ccc[city],ccc[ctry],"-"),"-")</f>
        <v/>
      </c>
      <c r="M501" s="1395">
        <f>IF(raw[[#This Row],[city]]&lt;&gt;"",_xlfn.XLOOKUP($D501,ccc[city],ccc[cont],"-"),"-")</f>
        <v/>
      </c>
      <c r="N501" s="1396">
        <f>IF(raw[[#This Row],[city]]="","-",IF(raw[[#This Row],[cont]]="B",raw[[#This Row],[cont]],"W"))</f>
        <v/>
      </c>
      <c r="O501" s="1397">
        <f>IF(raw[[#This Row],[out]]=0,0,IF(raw[[#This Row],[out]]=raw[[#This Row],[in]],0.01,raw[[#This Row],[out]]-raw[[#This Row],[in]]))</f>
        <v/>
      </c>
      <c r="P501" s="1397">
        <f>IF(raw[[#This Row],[in]]=0,0,MONTH(raw[[#This Row],[in]]))</f>
        <v/>
      </c>
      <c r="Q501" s="1397">
        <f>IF(raw[[#This Row],[in]]=0,0,YEAR(raw[[#This Row],[in]]))</f>
        <v/>
      </c>
      <c r="R501" s="1397">
        <f>INT(raw[[#This Row],[yr]]/10)*10</f>
        <v/>
      </c>
      <c r="S501" s="1395">
        <f>IF(raw[[#This Row],[city]]="","-",IF(raw[[#This Row],[city]]&lt;&gt;_xlfn.XLOOKUP(raw[[#This Row],[home]],homes[home],homes[city],"-"),1,0))</f>
        <v/>
      </c>
      <c r="T501" s="1398" t="inlineStr">
        <is>
          <t>.</t>
        </is>
      </c>
      <c r="U501" s="1399">
        <f>IF(raw[[#This Row],[wb]]="w",raw[[#This Row],[stay]]+U500,U500)</f>
        <v/>
      </c>
      <c r="V501" s="1400">
        <f>IF(raw[[#This Row],[out]]=0,V500,(raw[[#This Row],[out]]-E$5))</f>
        <v/>
      </c>
      <c r="W501" s="1401">
        <f>U501/V501</f>
        <v/>
      </c>
      <c r="X501" s="1378" t="inlineStr">
        <is>
          <t>.</t>
        </is>
      </c>
      <c r="Y501" s="1402">
        <f/>
        <v/>
      </c>
      <c r="Z501" s="1403">
        <f/>
        <v/>
      </c>
      <c r="AA501" s="1403">
        <f/>
        <v/>
      </c>
      <c r="AB501" s="1400">
        <f t="array" ref="AB501">_xlfn.LET(_xlpm.S,_xlfn.ANCHORARRAY($Y$4),_xlpm.r,ROWS(stayCity[[#Headers],[city]]:stayCity[[#This Row],[city]])-1,IF(_xlpm.r&lt;=ROWS(_xlpm.S),INDEX(_xlpm.S,_xlpm.r,1),""))</f>
        <v/>
      </c>
      <c r="AC501" s="1405">
        <f t="array" ref="AC501">_xlfn.LET(_xlpm.S,_xlfn.ANCHORARRAY($Y$4),_xlpm.r,ROWS(stayCity[[#Headers],[city]]:stayCity[[#This Row],[city]])-1,IF(_xlpm.r&lt;=ROWS(_xlpm.S),INDEX(_xlpm.S,_xlpm.r,2),""))</f>
        <v/>
      </c>
      <c r="AD501" s="1405">
        <f t="array" ref="AD501">_xlfn.LET(_xlpm.S,_xlfn.ANCHORARRAY($Y$4),_xlpm.r,ROWS(stayCity[[#Headers],[city]]:stayCity[[#This Row],[city]])-1,IF(_xlpm.r&lt;=ROWS(_xlpm.S),INDEX(_xlpm.S,_xlpm.r,3),""))</f>
        <v/>
      </c>
      <c r="AE501" s="1400">
        <f>IF(stayCity[[#This Row],[out]]&lt;&gt;"",stayCity[[#This Row],[out]]-stayCity[[#This Row],[in]],"-")</f>
        <v/>
      </c>
      <c r="AF501" s="1406">
        <f>IF(Y501="","-",YEAR(stayCity[[#This Row],[in]]))</f>
        <v/>
      </c>
      <c r="AG501" s="1392" t="n"/>
      <c r="AH501" s="1392" t="n"/>
      <c r="AI501" s="1392" t="n"/>
      <c r="AJ501" s="1392" t="n"/>
      <c r="AK501" s="1392" t="n"/>
      <c r="AL501" s="1392" t="n"/>
      <c r="AM501" s="1392" t="n"/>
      <c r="AN501" s="1392" t="n"/>
      <c r="AO501" s="1392" t="n"/>
      <c r="AP501" s="1392" t="n"/>
      <c r="AQ501" s="1392" t="n"/>
      <c r="AR501" s="1392" t="n"/>
      <c r="AS501" s="1422" t="n"/>
      <c r="AT501" s="1392" t="n"/>
      <c r="AU501" s="1392" t="n"/>
      <c r="AV501" s="1392" t="n"/>
      <c r="AW501" s="1392" t="n"/>
      <c r="AX501" s="1392" t="n"/>
      <c r="AY501" s="1392" t="n"/>
      <c r="AZ501" s="1392" t="n"/>
      <c r="BA501" s="1392" t="n"/>
      <c r="BB501" s="1422" t="n"/>
      <c r="BC501" s="1392" t="n"/>
      <c r="BD501" s="1392" t="n"/>
      <c r="BE501" s="1392" t="n"/>
      <c r="BF501" s="1392" t="n"/>
      <c r="BG501" s="1392" t="n"/>
      <c r="BH501" s="1392" t="n"/>
      <c r="BI501" s="1392" t="n"/>
      <c r="BJ501" s="1392" t="n"/>
      <c r="BK501" s="1392" t="n"/>
      <c r="BL501" s="1392" t="n"/>
      <c r="BM501" s="1392" t="n"/>
      <c r="BN501" s="1392" t="n"/>
      <c r="BO501" s="1392" t="n"/>
      <c r="BP501" s="1392" t="n"/>
      <c r="BQ501" s="1392" t="n"/>
      <c r="BR501" s="1392" t="n"/>
      <c r="BS501" s="1392" t="n"/>
      <c r="BT501" s="1392" t="n"/>
      <c r="BU501" s="1416" t="n"/>
      <c r="BV501" s="1392" t="n"/>
      <c r="BW501" s="1392" t="n"/>
      <c r="BX501" s="1392" t="n"/>
      <c r="BY501" s="1392" t="n"/>
      <c r="BZ501" s="1416" t="n"/>
      <c r="CA501" s="1392" t="n"/>
      <c r="CB501" s="1392" t="n"/>
      <c r="CC501" s="1392" t="n"/>
      <c r="CD501" s="1392" t="n"/>
      <c r="CE501" s="1392" t="n"/>
      <c r="CF501" s="1392" t="n"/>
      <c r="CG501" s="1392" t="n"/>
      <c r="CH501" s="1392" t="n"/>
      <c r="CI501" s="1392" t="n"/>
      <c r="CJ501" s="1392" t="n"/>
      <c r="CK501" s="1392" t="n"/>
      <c r="CL501" s="1392" t="n"/>
    </row>
    <row r="502">
      <c r="A502" s="5" t="inlineStr">
        <is>
          <t>.</t>
        </is>
      </c>
      <c r="B502" s="5" t="inlineStr">
        <is>
          <t>.</t>
        </is>
      </c>
      <c r="C502" s="1378">
        <f>IF(raw[[#This Row],[city]]="","-",IF(raw[[#This Row],[city]]="TODAY","-",C501+1))</f>
        <v/>
      </c>
      <c r="D502" s="1393" t="inlineStr">
        <is>
          <t>Orleans</t>
        </is>
      </c>
      <c r="E502" s="1394" t="n">
        <v>36075</v>
      </c>
      <c r="F502" s="1394" t="n">
        <v>36076</v>
      </c>
      <c r="G502" s="1393" t="inlineStr">
        <is>
          <t>-</t>
        </is>
      </c>
      <c r="H502" s="1393">
        <f>H501</f>
        <v/>
      </c>
      <c r="I502" s="1393" t="inlineStr">
        <is>
          <t>-</t>
        </is>
      </c>
      <c r="J502" s="1393" t="inlineStr">
        <is>
          <t>pais/</t>
        </is>
      </c>
      <c r="K502" s="1395">
        <f>IF(raw[[#This Row],[city]]&lt;&gt;"",_xlfn.XLOOKUP($D502,ccc[city],ccc[prov],"-"),"-")</f>
        <v/>
      </c>
      <c r="L502" s="1395">
        <f>IF(raw[[#This Row],[city]]&lt;&gt;"",_xlfn.XLOOKUP($D502,ccc[city],ccc[ctry],"-"),"-")</f>
        <v/>
      </c>
      <c r="M502" s="1395">
        <f>IF(raw[[#This Row],[city]]&lt;&gt;"",_xlfn.XLOOKUP($D502,ccc[city],ccc[cont],"-"),"-")</f>
        <v/>
      </c>
      <c r="N502" s="1396">
        <f>IF(raw[[#This Row],[city]]="","-",IF(raw[[#This Row],[cont]]="B",raw[[#This Row],[cont]],"W"))</f>
        <v/>
      </c>
      <c r="O502" s="1397">
        <f>IF(raw[[#This Row],[out]]=0,0,IF(raw[[#This Row],[out]]=raw[[#This Row],[in]],0.01,raw[[#This Row],[out]]-raw[[#This Row],[in]]))</f>
        <v/>
      </c>
      <c r="P502" s="1397">
        <f>IF(raw[[#This Row],[in]]=0,0,MONTH(raw[[#This Row],[in]]))</f>
        <v/>
      </c>
      <c r="Q502" s="1397">
        <f>IF(raw[[#This Row],[in]]=0,0,YEAR(raw[[#This Row],[in]]))</f>
        <v/>
      </c>
      <c r="R502" s="1397">
        <f>INT(raw[[#This Row],[yr]]/10)*10</f>
        <v/>
      </c>
      <c r="S502" s="1395">
        <f>IF(raw[[#This Row],[city]]="","-",IF(raw[[#This Row],[city]]&lt;&gt;_xlfn.XLOOKUP(raw[[#This Row],[home]],homes[home],homes[city],"-"),1,0))</f>
        <v/>
      </c>
      <c r="T502" s="1398" t="inlineStr">
        <is>
          <t>.</t>
        </is>
      </c>
      <c r="U502" s="1399">
        <f>IF(raw[[#This Row],[wb]]="w",raw[[#This Row],[stay]]+U501,U501)</f>
        <v/>
      </c>
      <c r="V502" s="1400">
        <f>IF(raw[[#This Row],[out]]=0,V501,(raw[[#This Row],[out]]-E$5))</f>
        <v/>
      </c>
      <c r="W502" s="1401">
        <f>U502/V502</f>
        <v/>
      </c>
      <c r="X502" s="1378" t="inlineStr">
        <is>
          <t>.</t>
        </is>
      </c>
      <c r="Y502" s="1402">
        <f/>
        <v/>
      </c>
      <c r="Z502" s="1403">
        <f/>
        <v/>
      </c>
      <c r="AA502" s="1403">
        <f/>
        <v/>
      </c>
      <c r="AB502" s="1400">
        <f t="array" ref="AB502">_xlfn.LET(_xlpm.S,_xlfn.ANCHORARRAY($Y$4),_xlpm.r,ROWS(stayCity[[#Headers],[city]]:stayCity[[#This Row],[city]])-1,IF(_xlpm.r&lt;=ROWS(_xlpm.S),INDEX(_xlpm.S,_xlpm.r,1),""))</f>
        <v/>
      </c>
      <c r="AC502" s="1405">
        <f t="array" ref="AC502">_xlfn.LET(_xlpm.S,_xlfn.ANCHORARRAY($Y$4),_xlpm.r,ROWS(stayCity[[#Headers],[city]]:stayCity[[#This Row],[city]])-1,IF(_xlpm.r&lt;=ROWS(_xlpm.S),INDEX(_xlpm.S,_xlpm.r,2),""))</f>
        <v/>
      </c>
      <c r="AD502" s="1405">
        <f t="array" ref="AD502">_xlfn.LET(_xlpm.S,_xlfn.ANCHORARRAY($Y$4),_xlpm.r,ROWS(stayCity[[#Headers],[city]]:stayCity[[#This Row],[city]])-1,IF(_xlpm.r&lt;=ROWS(_xlpm.S),INDEX(_xlpm.S,_xlpm.r,3),""))</f>
        <v/>
      </c>
      <c r="AE502" s="1400">
        <f>IF(stayCity[[#This Row],[out]]&lt;&gt;"",stayCity[[#This Row],[out]]-stayCity[[#This Row],[in]],"-")</f>
        <v/>
      </c>
      <c r="AF502" s="1406">
        <f>IF(Y502="","-",YEAR(stayCity[[#This Row],[in]]))</f>
        <v/>
      </c>
      <c r="AG502" s="1392" t="n"/>
      <c r="AH502" s="1392" t="n"/>
      <c r="AI502" s="1392" t="n"/>
      <c r="AJ502" s="1392" t="n"/>
      <c r="AK502" s="1392" t="n"/>
      <c r="AL502" s="1392" t="n"/>
      <c r="AM502" s="1392" t="n"/>
      <c r="AN502" s="1392" t="n"/>
      <c r="AO502" s="1392" t="n"/>
      <c r="AP502" s="1392" t="n"/>
      <c r="AQ502" s="1392" t="n"/>
      <c r="AR502" s="1392" t="n"/>
      <c r="AS502" s="1422" t="n"/>
      <c r="AT502" s="1392" t="n"/>
      <c r="AU502" s="1392" t="n"/>
      <c r="AV502" s="1392" t="n"/>
      <c r="AW502" s="1392" t="n"/>
      <c r="AX502" s="1392" t="n"/>
      <c r="AY502" s="1392" t="n"/>
      <c r="AZ502" s="1392" t="n"/>
      <c r="BA502" s="1392" t="n"/>
      <c r="BB502" s="1422" t="n"/>
      <c r="BC502" s="1392" t="n"/>
      <c r="BD502" s="1392" t="n"/>
      <c r="BE502" s="1392" t="n"/>
      <c r="BF502" s="1392" t="n"/>
      <c r="BG502" s="1392" t="n"/>
      <c r="BH502" s="1392" t="n"/>
      <c r="BI502" s="1392" t="n"/>
      <c r="BJ502" s="1392" t="n"/>
      <c r="BK502" s="1392" t="n"/>
      <c r="BL502" s="1392" t="n"/>
      <c r="BM502" s="1392" t="n"/>
      <c r="BN502" s="1392" t="n"/>
      <c r="BO502" s="1392" t="n"/>
      <c r="BP502" s="1392" t="n"/>
      <c r="BQ502" s="1392" t="n"/>
      <c r="BR502" s="1392" t="n"/>
      <c r="BS502" s="1392" t="n"/>
      <c r="BT502" s="1392" t="n"/>
      <c r="BU502" s="1416" t="n"/>
      <c r="BV502" s="1392" t="n"/>
      <c r="BW502" s="1392" t="n"/>
      <c r="BX502" s="1392" t="n"/>
      <c r="BY502" s="1392" t="n"/>
      <c r="BZ502" s="1416" t="n"/>
      <c r="CA502" s="1392" t="n"/>
      <c r="CB502" s="1392" t="n"/>
      <c r="CC502" s="1392" t="n"/>
      <c r="CD502" s="1392" t="n"/>
      <c r="CE502" s="1392" t="n"/>
      <c r="CF502" s="1392" t="n"/>
      <c r="CG502" s="1392" t="n"/>
      <c r="CH502" s="1392" t="n"/>
      <c r="CI502" s="1392" t="n"/>
      <c r="CJ502" s="1392" t="n"/>
      <c r="CK502" s="1392" t="n"/>
      <c r="CL502" s="1392" t="n"/>
    </row>
    <row r="503">
      <c r="A503" s="5" t="inlineStr">
        <is>
          <t>.</t>
        </is>
      </c>
      <c r="B503" s="5" t="inlineStr">
        <is>
          <t>.</t>
        </is>
      </c>
      <c r="C503" s="1378">
        <f>IF(raw[[#This Row],[city]]="","-",IF(raw[[#This Row],[city]]="TODAY","-",C502+1))</f>
        <v/>
      </c>
      <c r="D503" s="1393" t="inlineStr">
        <is>
          <t>Loire</t>
        </is>
      </c>
      <c r="E503" s="1394" t="n">
        <v>36076</v>
      </c>
      <c r="F503" s="1394" t="n">
        <v>36077</v>
      </c>
      <c r="G503" s="1393" t="inlineStr">
        <is>
          <t>-</t>
        </is>
      </c>
      <c r="H503" s="1393">
        <f>H502</f>
        <v/>
      </c>
      <c r="I503" s="1393" t="inlineStr">
        <is>
          <t>-</t>
        </is>
      </c>
      <c r="J503" s="1393" t="inlineStr">
        <is>
          <t>pais/</t>
        </is>
      </c>
      <c r="K503" s="1395">
        <f>IF(raw[[#This Row],[city]]&lt;&gt;"",_xlfn.XLOOKUP($D503,ccc[city],ccc[prov],"-"),"-")</f>
        <v/>
      </c>
      <c r="L503" s="1395">
        <f>IF(raw[[#This Row],[city]]&lt;&gt;"",_xlfn.XLOOKUP($D503,ccc[city],ccc[ctry],"-"),"-")</f>
        <v/>
      </c>
      <c r="M503" s="1395">
        <f>IF(raw[[#This Row],[city]]&lt;&gt;"",_xlfn.XLOOKUP($D503,ccc[city],ccc[cont],"-"),"-")</f>
        <v/>
      </c>
      <c r="N503" s="1396">
        <f>IF(raw[[#This Row],[city]]="","-",IF(raw[[#This Row],[cont]]="B",raw[[#This Row],[cont]],"W"))</f>
        <v/>
      </c>
      <c r="O503" s="1397">
        <f>IF(raw[[#This Row],[out]]=0,0,IF(raw[[#This Row],[out]]=raw[[#This Row],[in]],0.01,raw[[#This Row],[out]]-raw[[#This Row],[in]]))</f>
        <v/>
      </c>
      <c r="P503" s="1397">
        <f>IF(raw[[#This Row],[in]]=0,0,MONTH(raw[[#This Row],[in]]))</f>
        <v/>
      </c>
      <c r="Q503" s="1397">
        <f>IF(raw[[#This Row],[in]]=0,0,YEAR(raw[[#This Row],[in]]))</f>
        <v/>
      </c>
      <c r="R503" s="1397">
        <f>INT(raw[[#This Row],[yr]]/10)*10</f>
        <v/>
      </c>
      <c r="S503" s="1395">
        <f>IF(raw[[#This Row],[city]]="","-",IF(raw[[#This Row],[city]]&lt;&gt;_xlfn.XLOOKUP(raw[[#This Row],[home]],homes[home],homes[city],"-"),1,0))</f>
        <v/>
      </c>
      <c r="T503" s="1398" t="inlineStr">
        <is>
          <t>.</t>
        </is>
      </c>
      <c r="U503" s="1399">
        <f>IF(raw[[#This Row],[wb]]="w",raw[[#This Row],[stay]]+U502,U502)</f>
        <v/>
      </c>
      <c r="V503" s="1400">
        <f>IF(raw[[#This Row],[out]]=0,V502,(raw[[#This Row],[out]]-E$5))</f>
        <v/>
      </c>
      <c r="W503" s="1401">
        <f>U503/V503</f>
        <v/>
      </c>
      <c r="X503" s="1378" t="inlineStr">
        <is>
          <t>.</t>
        </is>
      </c>
      <c r="Y503" s="1402">
        <f/>
        <v/>
      </c>
      <c r="Z503" s="1403">
        <f/>
        <v/>
      </c>
      <c r="AA503" s="1403">
        <f/>
        <v/>
      </c>
      <c r="AB503" s="1400">
        <f t="array" ref="AB503">_xlfn.LET(_xlpm.S,_xlfn.ANCHORARRAY($Y$4),_xlpm.r,ROWS(stayCity[[#Headers],[city]]:stayCity[[#This Row],[city]])-1,IF(_xlpm.r&lt;=ROWS(_xlpm.S),INDEX(_xlpm.S,_xlpm.r,1),""))</f>
        <v/>
      </c>
      <c r="AC503" s="1405">
        <f t="array" ref="AC503">_xlfn.LET(_xlpm.S,_xlfn.ANCHORARRAY($Y$4),_xlpm.r,ROWS(stayCity[[#Headers],[city]]:stayCity[[#This Row],[city]])-1,IF(_xlpm.r&lt;=ROWS(_xlpm.S),INDEX(_xlpm.S,_xlpm.r,2),""))</f>
        <v/>
      </c>
      <c r="AD503" s="1405">
        <f t="array" ref="AD503">_xlfn.LET(_xlpm.S,_xlfn.ANCHORARRAY($Y$4),_xlpm.r,ROWS(stayCity[[#Headers],[city]]:stayCity[[#This Row],[city]])-1,IF(_xlpm.r&lt;=ROWS(_xlpm.S),INDEX(_xlpm.S,_xlpm.r,3),""))</f>
        <v/>
      </c>
      <c r="AE503" s="1400">
        <f>IF(stayCity[[#This Row],[out]]&lt;&gt;"",stayCity[[#This Row],[out]]-stayCity[[#This Row],[in]],"-")</f>
        <v/>
      </c>
      <c r="AF503" s="1406">
        <f>IF(Y503="","-",YEAR(stayCity[[#This Row],[in]]))</f>
        <v/>
      </c>
      <c r="AG503" s="1392" t="n"/>
      <c r="AH503" s="1392" t="n"/>
      <c r="AI503" s="1392" t="n"/>
      <c r="AJ503" s="1392" t="n"/>
      <c r="AK503" s="1392" t="n"/>
      <c r="AL503" s="1392" t="n"/>
      <c r="AM503" s="1392" t="n"/>
      <c r="AN503" s="1392" t="n"/>
      <c r="AO503" s="1392" t="n"/>
      <c r="AP503" s="1392" t="n"/>
      <c r="AQ503" s="1392" t="n"/>
      <c r="AR503" s="1392" t="n"/>
      <c r="AS503" s="1422" t="n"/>
      <c r="AT503" s="1392" t="n"/>
      <c r="AU503" s="1392" t="n"/>
      <c r="AV503" s="1392" t="n"/>
      <c r="AW503" s="1392" t="n"/>
      <c r="AX503" s="1392" t="n"/>
      <c r="AY503" s="1392" t="n"/>
      <c r="AZ503" s="1392" t="n"/>
      <c r="BA503" s="1392" t="n"/>
      <c r="BB503" s="1422" t="n"/>
      <c r="BC503" s="1392" t="n"/>
      <c r="BD503" s="1392" t="n"/>
      <c r="BE503" s="1392" t="n"/>
      <c r="BF503" s="1392" t="n"/>
      <c r="BG503" s="1392" t="n"/>
      <c r="BH503" s="1392" t="n"/>
      <c r="BI503" s="1392" t="n"/>
      <c r="BJ503" s="1392" t="n"/>
      <c r="BK503" s="1392" t="n"/>
      <c r="BL503" s="1392" t="n"/>
      <c r="BM503" s="1392" t="n"/>
      <c r="BN503" s="1392" t="n"/>
      <c r="BO503" s="1392" t="n"/>
      <c r="BP503" s="1392" t="n"/>
      <c r="BQ503" s="1392" t="n"/>
      <c r="BR503" s="1392" t="n"/>
      <c r="BS503" s="1392" t="n"/>
      <c r="BT503" s="1392" t="n"/>
      <c r="BU503" s="1416" t="n"/>
      <c r="BV503" s="1392" t="n"/>
      <c r="BW503" s="1392" t="n"/>
      <c r="BX503" s="1392" t="n"/>
      <c r="BY503" s="1392" t="n"/>
      <c r="BZ503" s="1416" t="n"/>
      <c r="CA503" s="1392" t="n"/>
      <c r="CB503" s="1392" t="n"/>
      <c r="CC503" s="1392" t="n"/>
      <c r="CD503" s="1392" t="n"/>
      <c r="CE503" s="1392" t="n"/>
      <c r="CF503" s="1392" t="n"/>
      <c r="CG503" s="1392" t="n"/>
      <c r="CH503" s="1392" t="n"/>
      <c r="CI503" s="1392" t="n"/>
      <c r="CJ503" s="1392" t="n"/>
      <c r="CK503" s="1392" t="n"/>
      <c r="CL503" s="1392" t="n"/>
    </row>
    <row r="504">
      <c r="A504" s="5" t="inlineStr">
        <is>
          <t>.</t>
        </is>
      </c>
      <c r="B504" s="5" t="inlineStr">
        <is>
          <t>.</t>
        </is>
      </c>
      <c r="C504" s="1378">
        <f>IF(raw[[#This Row],[city]]="","-",IF(raw[[#This Row],[city]]="TODAY","-",C503+1))</f>
        <v/>
      </c>
      <c r="D504" s="1393" t="inlineStr">
        <is>
          <t>Tours</t>
        </is>
      </c>
      <c r="E504" s="1394" t="n">
        <v>36077</v>
      </c>
      <c r="F504" s="1394" t="n">
        <v>36078</v>
      </c>
      <c r="G504" s="1393" t="inlineStr">
        <is>
          <t>-</t>
        </is>
      </c>
      <c r="H504" s="1393">
        <f>H503</f>
        <v/>
      </c>
      <c r="I504" s="1393" t="inlineStr">
        <is>
          <t>-</t>
        </is>
      </c>
      <c r="J504" s="1393" t="inlineStr">
        <is>
          <t>pais/</t>
        </is>
      </c>
      <c r="K504" s="1395">
        <f>IF(raw[[#This Row],[city]]&lt;&gt;"",_xlfn.XLOOKUP($D504,ccc[city],ccc[prov],"-"),"-")</f>
        <v/>
      </c>
      <c r="L504" s="1395">
        <f>IF(raw[[#This Row],[city]]&lt;&gt;"",_xlfn.XLOOKUP($D504,ccc[city],ccc[ctry],"-"),"-")</f>
        <v/>
      </c>
      <c r="M504" s="1395">
        <f>IF(raw[[#This Row],[city]]&lt;&gt;"",_xlfn.XLOOKUP($D504,ccc[city],ccc[cont],"-"),"-")</f>
        <v/>
      </c>
      <c r="N504" s="1396">
        <f>IF(raw[[#This Row],[city]]="","-",IF(raw[[#This Row],[cont]]="B",raw[[#This Row],[cont]],"W"))</f>
        <v/>
      </c>
      <c r="O504" s="1397">
        <f>IF(raw[[#This Row],[out]]=0,0,IF(raw[[#This Row],[out]]=raw[[#This Row],[in]],0.01,raw[[#This Row],[out]]-raw[[#This Row],[in]]))</f>
        <v/>
      </c>
      <c r="P504" s="1397">
        <f>IF(raw[[#This Row],[in]]=0,0,MONTH(raw[[#This Row],[in]]))</f>
        <v/>
      </c>
      <c r="Q504" s="1397">
        <f>IF(raw[[#This Row],[in]]=0,0,YEAR(raw[[#This Row],[in]]))</f>
        <v/>
      </c>
      <c r="R504" s="1397">
        <f>INT(raw[[#This Row],[yr]]/10)*10</f>
        <v/>
      </c>
      <c r="S504" s="1395">
        <f>IF(raw[[#This Row],[city]]="","-",IF(raw[[#This Row],[city]]&lt;&gt;_xlfn.XLOOKUP(raw[[#This Row],[home]],homes[home],homes[city],"-"),1,0))</f>
        <v/>
      </c>
      <c r="T504" s="1398" t="inlineStr">
        <is>
          <t>.</t>
        </is>
      </c>
      <c r="U504" s="1399">
        <f>IF(raw[[#This Row],[wb]]="w",raw[[#This Row],[stay]]+U503,U503)</f>
        <v/>
      </c>
      <c r="V504" s="1400">
        <f>IF(raw[[#This Row],[out]]=0,V503,(raw[[#This Row],[out]]-E$5))</f>
        <v/>
      </c>
      <c r="W504" s="1401">
        <f>U504/V504</f>
        <v/>
      </c>
      <c r="X504" s="1378" t="inlineStr">
        <is>
          <t>.</t>
        </is>
      </c>
      <c r="Y504" s="1402">
        <f/>
        <v/>
      </c>
      <c r="Z504" s="1403">
        <f/>
        <v/>
      </c>
      <c r="AA504" s="1403">
        <f/>
        <v/>
      </c>
      <c r="AB504" s="1400">
        <f t="array" ref="AB504">_xlfn.LET(_xlpm.S,_xlfn.ANCHORARRAY($Y$4),_xlpm.r,ROWS(stayCity[[#Headers],[city]]:stayCity[[#This Row],[city]])-1,IF(_xlpm.r&lt;=ROWS(_xlpm.S),INDEX(_xlpm.S,_xlpm.r,1),""))</f>
        <v/>
      </c>
      <c r="AC504" s="1405">
        <f t="array" ref="AC504">_xlfn.LET(_xlpm.S,_xlfn.ANCHORARRAY($Y$4),_xlpm.r,ROWS(stayCity[[#Headers],[city]]:stayCity[[#This Row],[city]])-1,IF(_xlpm.r&lt;=ROWS(_xlpm.S),INDEX(_xlpm.S,_xlpm.r,2),""))</f>
        <v/>
      </c>
      <c r="AD504" s="1405">
        <f t="array" ref="AD504">_xlfn.LET(_xlpm.S,_xlfn.ANCHORARRAY($Y$4),_xlpm.r,ROWS(stayCity[[#Headers],[city]]:stayCity[[#This Row],[city]])-1,IF(_xlpm.r&lt;=ROWS(_xlpm.S),INDEX(_xlpm.S,_xlpm.r,3),""))</f>
        <v/>
      </c>
      <c r="AE504" s="1400">
        <f>IF(stayCity[[#This Row],[out]]&lt;&gt;"",stayCity[[#This Row],[out]]-stayCity[[#This Row],[in]],"-")</f>
        <v/>
      </c>
      <c r="AF504" s="1406">
        <f>IF(Y504="","-",YEAR(stayCity[[#This Row],[in]]))</f>
        <v/>
      </c>
      <c r="AG504" s="1392" t="n"/>
      <c r="AH504" s="1392" t="n"/>
      <c r="AI504" s="1392" t="n"/>
      <c r="AJ504" s="1392" t="n"/>
      <c r="AK504" s="1392" t="n"/>
      <c r="AL504" s="1392" t="n"/>
      <c r="AM504" s="1392" t="n"/>
      <c r="AN504" s="1392" t="n"/>
      <c r="AO504" s="1392" t="n"/>
      <c r="AP504" s="1392" t="n"/>
      <c r="AQ504" s="1392" t="n"/>
      <c r="AR504" s="1392" t="n"/>
      <c r="AS504" s="1422" t="n"/>
      <c r="AT504" s="1392" t="n"/>
      <c r="AU504" s="1392" t="n"/>
      <c r="AV504" s="1392" t="n"/>
      <c r="AW504" s="1392" t="n"/>
      <c r="AX504" s="1392" t="n"/>
      <c r="AY504" s="1392" t="n"/>
      <c r="AZ504" s="1392" t="n"/>
      <c r="BA504" s="1392" t="n"/>
      <c r="BB504" s="1422" t="n"/>
      <c r="BC504" s="1392" t="n"/>
      <c r="BD504" s="1392" t="n"/>
      <c r="BE504" s="1392" t="n"/>
      <c r="BF504" s="1392" t="n"/>
      <c r="BG504" s="1392" t="n"/>
      <c r="BH504" s="1392" t="n"/>
      <c r="BI504" s="1392" t="n"/>
      <c r="BJ504" s="1392" t="n"/>
      <c r="BK504" s="1392" t="n"/>
      <c r="BL504" s="1392" t="n"/>
      <c r="BM504" s="1392" t="n"/>
      <c r="BN504" s="1392" t="n"/>
      <c r="BO504" s="1392" t="n"/>
      <c r="BP504" s="1392" t="n"/>
      <c r="BQ504" s="1392" t="n"/>
      <c r="BR504" s="1392" t="n"/>
      <c r="BS504" s="1392" t="n"/>
      <c r="BT504" s="1392" t="n"/>
      <c r="BU504" s="1416" t="n"/>
      <c r="BV504" s="1392" t="n"/>
      <c r="BW504" s="1392" t="n"/>
      <c r="BX504" s="1392" t="n"/>
      <c r="BY504" s="1392" t="n"/>
      <c r="BZ504" s="1416" t="n"/>
      <c r="CA504" s="1392" t="n"/>
      <c r="CB504" s="1392" t="n"/>
      <c r="CC504" s="1392" t="n"/>
      <c r="CD504" s="1392" t="n"/>
      <c r="CE504" s="1392" t="n"/>
      <c r="CF504" s="1392" t="n"/>
      <c r="CG504" s="1392" t="n"/>
      <c r="CH504" s="1392" t="n"/>
      <c r="CI504" s="1392" t="n"/>
      <c r="CJ504" s="1392" t="n"/>
      <c r="CK504" s="1392" t="n"/>
      <c r="CL504" s="1392" t="n"/>
    </row>
    <row r="505">
      <c r="A505" s="5" t="inlineStr">
        <is>
          <t>.</t>
        </is>
      </c>
      <c r="B505" s="5" t="inlineStr">
        <is>
          <t>.</t>
        </is>
      </c>
      <c r="C505" s="1378">
        <f>IF(raw[[#This Row],[city]]="","-",IF(raw[[#This Row],[city]]="TODAY","-",C504+1))</f>
        <v/>
      </c>
      <c r="D505" s="1393" t="inlineStr">
        <is>
          <t>Paris</t>
        </is>
      </c>
      <c r="E505" s="1394" t="n">
        <v>36078</v>
      </c>
      <c r="F505" s="1394" t="n">
        <v>36080</v>
      </c>
      <c r="G505" s="1393" t="inlineStr">
        <is>
          <t>-</t>
        </is>
      </c>
      <c r="H505" s="1393">
        <f>H504</f>
        <v/>
      </c>
      <c r="I505" s="1393" t="inlineStr">
        <is>
          <t>-</t>
        </is>
      </c>
      <c r="J505" s="1393" t="inlineStr">
        <is>
          <t>pais/</t>
        </is>
      </c>
      <c r="K505" s="1395">
        <f>IF(raw[[#This Row],[city]]&lt;&gt;"",_xlfn.XLOOKUP($D505,ccc[city],ccc[prov],"-"),"-")</f>
        <v/>
      </c>
      <c r="L505" s="1395">
        <f>IF(raw[[#This Row],[city]]&lt;&gt;"",_xlfn.XLOOKUP($D505,ccc[city],ccc[ctry],"-"),"-")</f>
        <v/>
      </c>
      <c r="M505" s="1395">
        <f>IF(raw[[#This Row],[city]]&lt;&gt;"",_xlfn.XLOOKUP($D505,ccc[city],ccc[cont],"-"),"-")</f>
        <v/>
      </c>
      <c r="N505" s="1396">
        <f>IF(raw[[#This Row],[city]]="","-",IF(raw[[#This Row],[cont]]="B",raw[[#This Row],[cont]],"W"))</f>
        <v/>
      </c>
      <c r="O505" s="1397">
        <f>IF(raw[[#This Row],[out]]=0,0,IF(raw[[#This Row],[out]]=raw[[#This Row],[in]],0.01,raw[[#This Row],[out]]-raw[[#This Row],[in]]))</f>
        <v/>
      </c>
      <c r="P505" s="1397">
        <f>IF(raw[[#This Row],[in]]=0,0,MONTH(raw[[#This Row],[in]]))</f>
        <v/>
      </c>
      <c r="Q505" s="1397">
        <f>IF(raw[[#This Row],[in]]=0,0,YEAR(raw[[#This Row],[in]]))</f>
        <v/>
      </c>
      <c r="R505" s="1397">
        <f>INT(raw[[#This Row],[yr]]/10)*10</f>
        <v/>
      </c>
      <c r="S505" s="1395">
        <f>IF(raw[[#This Row],[city]]="","-",IF(raw[[#This Row],[city]]&lt;&gt;_xlfn.XLOOKUP(raw[[#This Row],[home]],homes[home],homes[city],"-"),1,0))</f>
        <v/>
      </c>
      <c r="T505" s="1398" t="inlineStr">
        <is>
          <t>.</t>
        </is>
      </c>
      <c r="U505" s="1399">
        <f>IF(raw[[#This Row],[wb]]="w",raw[[#This Row],[stay]]+U504,U504)</f>
        <v/>
      </c>
      <c r="V505" s="1400">
        <f>IF(raw[[#This Row],[out]]=0,V504,(raw[[#This Row],[out]]-E$5))</f>
        <v/>
      </c>
      <c r="W505" s="1401">
        <f>U505/V505</f>
        <v/>
      </c>
      <c r="X505" s="1378" t="inlineStr">
        <is>
          <t>.</t>
        </is>
      </c>
      <c r="Y505" s="1402">
        <f/>
        <v/>
      </c>
      <c r="Z505" s="1403">
        <f/>
        <v/>
      </c>
      <c r="AA505" s="1403">
        <f/>
        <v/>
      </c>
      <c r="AB505" s="1400">
        <f t="array" ref="AB505">_xlfn.LET(_xlpm.S,_xlfn.ANCHORARRAY($Y$4),_xlpm.r,ROWS(stayCity[[#Headers],[city]]:stayCity[[#This Row],[city]])-1,IF(_xlpm.r&lt;=ROWS(_xlpm.S),INDEX(_xlpm.S,_xlpm.r,1),""))</f>
        <v/>
      </c>
      <c r="AC505" s="1405">
        <f t="array" ref="AC505">_xlfn.LET(_xlpm.S,_xlfn.ANCHORARRAY($Y$4),_xlpm.r,ROWS(stayCity[[#Headers],[city]]:stayCity[[#This Row],[city]])-1,IF(_xlpm.r&lt;=ROWS(_xlpm.S),INDEX(_xlpm.S,_xlpm.r,2),""))</f>
        <v/>
      </c>
      <c r="AD505" s="1405">
        <f t="array" ref="AD505">_xlfn.LET(_xlpm.S,_xlfn.ANCHORARRAY($Y$4),_xlpm.r,ROWS(stayCity[[#Headers],[city]]:stayCity[[#This Row],[city]])-1,IF(_xlpm.r&lt;=ROWS(_xlpm.S),INDEX(_xlpm.S,_xlpm.r,3),""))</f>
        <v/>
      </c>
      <c r="AE505" s="1400">
        <f>IF(stayCity[[#This Row],[out]]&lt;&gt;"",stayCity[[#This Row],[out]]-stayCity[[#This Row],[in]],"-")</f>
        <v/>
      </c>
      <c r="AF505" s="1406">
        <f>IF(Y505="","-",YEAR(stayCity[[#This Row],[in]]))</f>
        <v/>
      </c>
      <c r="AG505" s="1392" t="n"/>
      <c r="AH505" s="1392" t="n"/>
      <c r="AI505" s="1392" t="n"/>
      <c r="AJ505" s="1392" t="n"/>
      <c r="AK505" s="1392" t="n"/>
      <c r="AL505" s="1392" t="n"/>
      <c r="AM505" s="1392" t="n"/>
      <c r="AN505" s="1392" t="n"/>
      <c r="AO505" s="1392" t="n"/>
      <c r="AP505" s="1392" t="n"/>
      <c r="AQ505" s="1392" t="n"/>
      <c r="AR505" s="1392" t="n"/>
      <c r="AS505" s="1422" t="n"/>
      <c r="AT505" s="1392" t="n"/>
      <c r="AU505" s="1392" t="n"/>
      <c r="AV505" s="1392" t="n"/>
      <c r="AW505" s="1392" t="n"/>
      <c r="AX505" s="1392" t="n"/>
      <c r="AY505" s="1392" t="n"/>
      <c r="AZ505" s="1392" t="n"/>
      <c r="BA505" s="1392" t="n"/>
      <c r="BB505" s="1422" t="n"/>
      <c r="BC505" s="1392" t="n"/>
      <c r="BD505" s="1392" t="n"/>
      <c r="BE505" s="1392" t="n"/>
      <c r="BF505" s="1392" t="n"/>
      <c r="BG505" s="1392" t="n"/>
      <c r="BH505" s="1392" t="n"/>
      <c r="BI505" s="1392" t="n"/>
      <c r="BJ505" s="1392" t="n"/>
      <c r="BK505" s="1392" t="n"/>
      <c r="BL505" s="1392" t="n"/>
      <c r="BM505" s="1392" t="n"/>
      <c r="BN505" s="1392" t="n"/>
      <c r="BO505" s="1392" t="n"/>
      <c r="BP505" s="1392" t="n"/>
      <c r="BQ505" s="1392" t="n"/>
      <c r="BR505" s="1392" t="n"/>
      <c r="BS505" s="1392" t="n"/>
      <c r="BT505" s="1392" t="n"/>
      <c r="BU505" s="1416" t="n"/>
      <c r="BV505" s="1392" t="n"/>
      <c r="BW505" s="1392" t="n"/>
      <c r="BX505" s="1392" t="n"/>
      <c r="BY505" s="1392" t="n"/>
      <c r="BZ505" s="1416" t="n"/>
      <c r="CA505" s="1392" t="n"/>
      <c r="CB505" s="1392" t="n"/>
      <c r="CC505" s="1392" t="n"/>
      <c r="CD505" s="1392" t="n"/>
      <c r="CE505" s="1392" t="n"/>
      <c r="CF505" s="1392" t="n"/>
      <c r="CG505" s="1392" t="n"/>
      <c r="CH505" s="1392" t="n"/>
      <c r="CI505" s="1392" t="n"/>
      <c r="CJ505" s="1392" t="n"/>
      <c r="CK505" s="1392" t="n"/>
      <c r="CL505" s="1392" t="n"/>
    </row>
    <row r="506">
      <c r="A506" s="5" t="inlineStr">
        <is>
          <t>.</t>
        </is>
      </c>
      <c r="B506" s="5" t="inlineStr">
        <is>
          <t>.</t>
        </is>
      </c>
      <c r="C506" s="1378">
        <f>IF(raw[[#This Row],[city]]="","-",IF(raw[[#This Row],[city]]="TODAY","-",C505+1))</f>
        <v/>
      </c>
      <c r="D506" s="1393" t="inlineStr">
        <is>
          <t>Metz</t>
        </is>
      </c>
      <c r="E506" s="1394" t="n">
        <v>36080</v>
      </c>
      <c r="F506" s="1394" t="n">
        <v>36081</v>
      </c>
      <c r="G506" s="1393" t="inlineStr">
        <is>
          <t>-</t>
        </is>
      </c>
      <c r="H506" s="1393">
        <f>H505</f>
        <v/>
      </c>
      <c r="I506" s="1393" t="inlineStr">
        <is>
          <t>-</t>
        </is>
      </c>
      <c r="J506" s="1393" t="inlineStr">
        <is>
          <t>pais/</t>
        </is>
      </c>
      <c r="K506" s="1395">
        <f>IF(raw[[#This Row],[city]]&lt;&gt;"",_xlfn.XLOOKUP($D506,ccc[city],ccc[prov],"-"),"-")</f>
        <v/>
      </c>
      <c r="L506" s="1395">
        <f>IF(raw[[#This Row],[city]]&lt;&gt;"",_xlfn.XLOOKUP($D506,ccc[city],ccc[ctry],"-"),"-")</f>
        <v/>
      </c>
      <c r="M506" s="1395">
        <f>IF(raw[[#This Row],[city]]&lt;&gt;"",_xlfn.XLOOKUP($D506,ccc[city],ccc[cont],"-"),"-")</f>
        <v/>
      </c>
      <c r="N506" s="1396">
        <f>IF(raw[[#This Row],[city]]="","-",IF(raw[[#This Row],[cont]]="B",raw[[#This Row],[cont]],"W"))</f>
        <v/>
      </c>
      <c r="O506" s="1397">
        <f>IF(raw[[#This Row],[out]]=0,0,IF(raw[[#This Row],[out]]=raw[[#This Row],[in]],0.01,raw[[#This Row],[out]]-raw[[#This Row],[in]]))</f>
        <v/>
      </c>
      <c r="P506" s="1397">
        <f>IF(raw[[#This Row],[in]]=0,0,MONTH(raw[[#This Row],[in]]))</f>
        <v/>
      </c>
      <c r="Q506" s="1397">
        <f>IF(raw[[#This Row],[in]]=0,0,YEAR(raw[[#This Row],[in]]))</f>
        <v/>
      </c>
      <c r="R506" s="1397">
        <f>INT(raw[[#This Row],[yr]]/10)*10</f>
        <v/>
      </c>
      <c r="S506" s="1395">
        <f>IF(raw[[#This Row],[city]]="","-",IF(raw[[#This Row],[city]]&lt;&gt;_xlfn.XLOOKUP(raw[[#This Row],[home]],homes[home],homes[city],"-"),1,0))</f>
        <v/>
      </c>
      <c r="T506" s="1398" t="inlineStr">
        <is>
          <t>.</t>
        </is>
      </c>
      <c r="U506" s="1399">
        <f>IF(raw[[#This Row],[wb]]="w",raw[[#This Row],[stay]]+U505,U505)</f>
        <v/>
      </c>
      <c r="V506" s="1400">
        <f>IF(raw[[#This Row],[out]]=0,V505,(raw[[#This Row],[out]]-E$5))</f>
        <v/>
      </c>
      <c r="W506" s="1401">
        <f>U506/V506</f>
        <v/>
      </c>
      <c r="X506" s="1378" t="inlineStr">
        <is>
          <t>.</t>
        </is>
      </c>
      <c r="Y506" s="1402">
        <f/>
        <v/>
      </c>
      <c r="Z506" s="1403">
        <f/>
        <v/>
      </c>
      <c r="AA506" s="1403">
        <f/>
        <v/>
      </c>
      <c r="AB506" s="1400">
        <f t="array" ref="AB506">_xlfn.LET(_xlpm.S,_xlfn.ANCHORARRAY($Y$4),_xlpm.r,ROWS(stayCity[[#Headers],[city]]:stayCity[[#This Row],[city]])-1,IF(_xlpm.r&lt;=ROWS(_xlpm.S),INDEX(_xlpm.S,_xlpm.r,1),""))</f>
        <v/>
      </c>
      <c r="AC506" s="1405">
        <f t="array" ref="AC506">_xlfn.LET(_xlpm.S,_xlfn.ANCHORARRAY($Y$4),_xlpm.r,ROWS(stayCity[[#Headers],[city]]:stayCity[[#This Row],[city]])-1,IF(_xlpm.r&lt;=ROWS(_xlpm.S),INDEX(_xlpm.S,_xlpm.r,2),""))</f>
        <v/>
      </c>
      <c r="AD506" s="1405">
        <f t="array" ref="AD506">_xlfn.LET(_xlpm.S,_xlfn.ANCHORARRAY($Y$4),_xlpm.r,ROWS(stayCity[[#Headers],[city]]:stayCity[[#This Row],[city]])-1,IF(_xlpm.r&lt;=ROWS(_xlpm.S),INDEX(_xlpm.S,_xlpm.r,3),""))</f>
        <v/>
      </c>
      <c r="AE506" s="1400">
        <f>IF(stayCity[[#This Row],[out]]&lt;&gt;"",stayCity[[#This Row],[out]]-stayCity[[#This Row],[in]],"-")</f>
        <v/>
      </c>
      <c r="AF506" s="1406">
        <f>IF(Y506="","-",YEAR(stayCity[[#This Row],[in]]))</f>
        <v/>
      </c>
      <c r="AG506" s="1392" t="n"/>
      <c r="AH506" s="1392" t="n"/>
      <c r="AI506" s="1392" t="n"/>
      <c r="AJ506" s="1392" t="n"/>
      <c r="AK506" s="1392" t="n"/>
      <c r="AL506" s="1392" t="n"/>
      <c r="AM506" s="1392" t="n"/>
      <c r="AN506" s="1392" t="n"/>
      <c r="AO506" s="1392" t="n"/>
      <c r="AP506" s="1392" t="n"/>
      <c r="AQ506" s="1392" t="n"/>
      <c r="AR506" s="1392" t="n"/>
      <c r="AS506" s="1422" t="n"/>
      <c r="AT506" s="1392" t="n"/>
      <c r="AU506" s="1392" t="n"/>
      <c r="AV506" s="1392" t="n"/>
      <c r="AW506" s="1392" t="n"/>
      <c r="AX506" s="1392" t="n"/>
      <c r="AY506" s="1392" t="n"/>
      <c r="AZ506" s="1392" t="n"/>
      <c r="BA506" s="1392" t="n"/>
      <c r="BB506" s="1422" t="n"/>
      <c r="BC506" s="1392" t="n"/>
      <c r="BD506" s="1392" t="n"/>
      <c r="BE506" s="1392" t="n"/>
      <c r="BF506" s="1392" t="n"/>
      <c r="BG506" s="1392" t="n"/>
      <c r="BH506" s="1392" t="n"/>
      <c r="BI506" s="1392" t="n"/>
      <c r="BJ506" s="1392" t="n"/>
      <c r="BK506" s="1392" t="n"/>
      <c r="BL506" s="1392" t="n"/>
      <c r="BM506" s="1392" t="n"/>
      <c r="BN506" s="1392" t="n"/>
      <c r="BO506" s="1392" t="n"/>
      <c r="BP506" s="1392" t="n"/>
      <c r="BQ506" s="1392" t="n"/>
      <c r="BR506" s="1392" t="n"/>
      <c r="BS506" s="1392" t="n"/>
      <c r="BT506" s="1392" t="n"/>
      <c r="BU506" s="1416" t="n"/>
      <c r="BV506" s="1392" t="n"/>
      <c r="BW506" s="1392" t="n"/>
      <c r="BX506" s="1392" t="n"/>
      <c r="BY506" s="1392" t="n"/>
      <c r="BZ506" s="1416" t="n"/>
      <c r="CA506" s="1392" t="n"/>
      <c r="CB506" s="1392" t="n"/>
      <c r="CC506" s="1392" t="n"/>
      <c r="CD506" s="1392" t="n"/>
      <c r="CE506" s="1392" t="n"/>
      <c r="CF506" s="1392" t="n"/>
      <c r="CG506" s="1392" t="n"/>
      <c r="CH506" s="1392" t="n"/>
      <c r="CI506" s="1392" t="n"/>
      <c r="CJ506" s="1392" t="n"/>
      <c r="CK506" s="1392" t="n"/>
      <c r="CL506" s="1392" t="n"/>
    </row>
    <row r="507">
      <c r="A507" s="5" t="inlineStr">
        <is>
          <t>.</t>
        </is>
      </c>
      <c r="B507" s="5" t="inlineStr">
        <is>
          <t>.</t>
        </is>
      </c>
      <c r="C507" s="1378">
        <f>IF(raw[[#This Row],[city]]="","-",IF(raw[[#This Row],[city]]="TODAY","-",C506+1))</f>
        <v/>
      </c>
      <c r="D507" s="1393" t="inlineStr">
        <is>
          <t>Luxembourg</t>
        </is>
      </c>
      <c r="E507" s="1394" t="n">
        <v>36081</v>
      </c>
      <c r="F507" s="1394" t="n">
        <v>36081</v>
      </c>
      <c r="G507" s="1393" t="inlineStr">
        <is>
          <t>-</t>
        </is>
      </c>
      <c r="H507" s="1393">
        <f>H506</f>
        <v/>
      </c>
      <c r="I507" s="1393" t="inlineStr">
        <is>
          <t>-</t>
        </is>
      </c>
      <c r="J507" s="1393" t="inlineStr">
        <is>
          <t>pais/</t>
        </is>
      </c>
      <c r="K507" s="1395">
        <f>IF(raw[[#This Row],[city]]&lt;&gt;"",_xlfn.XLOOKUP($D507,ccc[city],ccc[prov],"-"),"-")</f>
        <v/>
      </c>
      <c r="L507" s="1395">
        <f>IF(raw[[#This Row],[city]]&lt;&gt;"",_xlfn.XLOOKUP($D507,ccc[city],ccc[ctry],"-"),"-")</f>
        <v/>
      </c>
      <c r="M507" s="1395">
        <f>IF(raw[[#This Row],[city]]&lt;&gt;"",_xlfn.XLOOKUP($D507,ccc[city],ccc[cont],"-"),"-")</f>
        <v/>
      </c>
      <c r="N507" s="1396">
        <f>IF(raw[[#This Row],[city]]="","-",IF(raw[[#This Row],[cont]]="B",raw[[#This Row],[cont]],"W"))</f>
        <v/>
      </c>
      <c r="O507" s="1397">
        <f>IF(raw[[#This Row],[out]]=0,0,IF(raw[[#This Row],[out]]=raw[[#This Row],[in]],0.01,raw[[#This Row],[out]]-raw[[#This Row],[in]]))</f>
        <v/>
      </c>
      <c r="P507" s="1397">
        <f>IF(raw[[#This Row],[in]]=0,0,MONTH(raw[[#This Row],[in]]))</f>
        <v/>
      </c>
      <c r="Q507" s="1397">
        <f>IF(raw[[#This Row],[in]]=0,0,YEAR(raw[[#This Row],[in]]))</f>
        <v/>
      </c>
      <c r="R507" s="1397">
        <f>INT(raw[[#This Row],[yr]]/10)*10</f>
        <v/>
      </c>
      <c r="S507" s="1395">
        <f>IF(raw[[#This Row],[city]]="","-",IF(raw[[#This Row],[city]]&lt;&gt;_xlfn.XLOOKUP(raw[[#This Row],[home]],homes[home],homes[city],"-"),1,0))</f>
        <v/>
      </c>
      <c r="T507" s="1398" t="inlineStr">
        <is>
          <t>.</t>
        </is>
      </c>
      <c r="U507" s="1399">
        <f>IF(raw[[#This Row],[wb]]="w",raw[[#This Row],[stay]]+U506,U506)</f>
        <v/>
      </c>
      <c r="V507" s="1400">
        <f>IF(raw[[#This Row],[out]]=0,V506,(raw[[#This Row],[out]]-E$5))</f>
        <v/>
      </c>
      <c r="W507" s="1401">
        <f>U507/V507</f>
        <v/>
      </c>
      <c r="X507" s="1378" t="inlineStr">
        <is>
          <t>.</t>
        </is>
      </c>
      <c r="Y507" s="1402">
        <f/>
        <v/>
      </c>
      <c r="Z507" s="1403">
        <f/>
        <v/>
      </c>
      <c r="AA507" s="1403">
        <f/>
        <v/>
      </c>
      <c r="AB507" s="1400">
        <f t="array" ref="AB507">_xlfn.LET(_xlpm.S,_xlfn.ANCHORARRAY($Y$4),_xlpm.r,ROWS(stayCity[[#Headers],[city]]:stayCity[[#This Row],[city]])-1,IF(_xlpm.r&lt;=ROWS(_xlpm.S),INDEX(_xlpm.S,_xlpm.r,1),""))</f>
        <v/>
      </c>
      <c r="AC507" s="1405">
        <f t="array" ref="AC507">_xlfn.LET(_xlpm.S,_xlfn.ANCHORARRAY($Y$4),_xlpm.r,ROWS(stayCity[[#Headers],[city]]:stayCity[[#This Row],[city]])-1,IF(_xlpm.r&lt;=ROWS(_xlpm.S),INDEX(_xlpm.S,_xlpm.r,2),""))</f>
        <v/>
      </c>
      <c r="AD507" s="1405">
        <f t="array" ref="AD507">_xlfn.LET(_xlpm.S,_xlfn.ANCHORARRAY($Y$4),_xlpm.r,ROWS(stayCity[[#Headers],[city]]:stayCity[[#This Row],[city]])-1,IF(_xlpm.r&lt;=ROWS(_xlpm.S),INDEX(_xlpm.S,_xlpm.r,3),""))</f>
        <v/>
      </c>
      <c r="AE507" s="1400">
        <f>IF(stayCity[[#This Row],[out]]&lt;&gt;"",stayCity[[#This Row],[out]]-stayCity[[#This Row],[in]],"-")</f>
        <v/>
      </c>
      <c r="AF507" s="1406">
        <f>IF(Y507="","-",YEAR(stayCity[[#This Row],[in]]))</f>
        <v/>
      </c>
      <c r="AG507" s="1392" t="n"/>
      <c r="AH507" s="1392" t="n"/>
      <c r="AI507" s="1392" t="n"/>
      <c r="AJ507" s="1392" t="n"/>
      <c r="AK507" s="1392" t="n"/>
      <c r="AL507" s="1392" t="n"/>
      <c r="AM507" s="1392" t="n"/>
      <c r="AN507" s="1392" t="n"/>
      <c r="AO507" s="1392" t="n"/>
      <c r="AP507" s="1392" t="n"/>
      <c r="AQ507" s="1392" t="n"/>
      <c r="AR507" s="1392" t="n"/>
      <c r="AS507" s="1422" t="n"/>
      <c r="AT507" s="1392" t="n"/>
      <c r="AU507" s="1392" t="n"/>
      <c r="AV507" s="1392" t="n"/>
      <c r="AW507" s="1392" t="n"/>
      <c r="AX507" s="1392" t="n"/>
      <c r="AY507" s="1392" t="n"/>
      <c r="AZ507" s="1392" t="n"/>
      <c r="BA507" s="1392" t="n"/>
      <c r="BB507" s="1422" t="n"/>
      <c r="BC507" s="1392" t="n"/>
      <c r="BD507" s="1392" t="n"/>
      <c r="BE507" s="1392" t="n"/>
      <c r="BF507" s="1392" t="n"/>
      <c r="BG507" s="1392" t="n"/>
      <c r="BH507" s="1392" t="n"/>
      <c r="BI507" s="1392" t="n"/>
      <c r="BJ507" s="1392" t="n"/>
      <c r="BK507" s="1392" t="n"/>
      <c r="BL507" s="1392" t="n"/>
      <c r="BM507" s="1392" t="n"/>
      <c r="BN507" s="1392" t="n"/>
      <c r="BO507" s="1392" t="n"/>
      <c r="BP507" s="1392" t="n"/>
      <c r="BQ507" s="1392" t="n"/>
      <c r="BR507" s="1392" t="n"/>
      <c r="BS507" s="1392" t="n"/>
      <c r="BT507" s="1392" t="n"/>
      <c r="BU507" s="1416" t="n"/>
      <c r="BV507" s="1392" t="n"/>
      <c r="BW507" s="1392" t="n"/>
      <c r="BX507" s="1392" t="n"/>
      <c r="BY507" s="1392" t="n"/>
      <c r="BZ507" s="1416" t="n"/>
      <c r="CA507" s="1392" t="n"/>
      <c r="CB507" s="1392" t="n"/>
      <c r="CC507" s="1392" t="n"/>
      <c r="CD507" s="1392" t="n"/>
      <c r="CE507" s="1392" t="n"/>
      <c r="CF507" s="1392" t="n"/>
      <c r="CG507" s="1392" t="n"/>
      <c r="CH507" s="1392" t="n"/>
      <c r="CI507" s="1392" t="n"/>
      <c r="CJ507" s="1392" t="n"/>
      <c r="CK507" s="1392" t="n"/>
      <c r="CL507" s="1392" t="n"/>
    </row>
    <row r="508">
      <c r="A508" s="5" t="inlineStr">
        <is>
          <t>.</t>
        </is>
      </c>
      <c r="B508" s="5" t="inlineStr">
        <is>
          <t>.</t>
        </is>
      </c>
      <c r="C508" s="1378">
        <f>IF(raw[[#This Row],[city]]="","-",IF(raw[[#This Row],[city]]="TODAY","-",C507+1))</f>
        <v/>
      </c>
      <c r="D508" s="1393" t="inlineStr">
        <is>
          <t>Petite Suisse</t>
        </is>
      </c>
      <c r="E508" s="1394" t="n">
        <v>36081</v>
      </c>
      <c r="F508" s="1394" t="n">
        <v>36081</v>
      </c>
      <c r="G508" s="1393" t="inlineStr">
        <is>
          <t>-</t>
        </is>
      </c>
      <c r="H508" s="1393">
        <f>H507</f>
        <v/>
      </c>
      <c r="I508" s="1393" t="inlineStr">
        <is>
          <t>-</t>
        </is>
      </c>
      <c r="J508" s="1393" t="inlineStr">
        <is>
          <t>pais/</t>
        </is>
      </c>
      <c r="K508" s="1395">
        <f>IF(raw[[#This Row],[city]]&lt;&gt;"",_xlfn.XLOOKUP($D508,ccc[city],ccc[prov],"-"),"-")</f>
        <v/>
      </c>
      <c r="L508" s="1395">
        <f>IF(raw[[#This Row],[city]]&lt;&gt;"",_xlfn.XLOOKUP($D508,ccc[city],ccc[ctry],"-"),"-")</f>
        <v/>
      </c>
      <c r="M508" s="1395">
        <f>IF(raw[[#This Row],[city]]&lt;&gt;"",_xlfn.XLOOKUP($D508,ccc[city],ccc[cont],"-"),"-")</f>
        <v/>
      </c>
      <c r="N508" s="1396">
        <f>IF(raw[[#This Row],[city]]="","-",IF(raw[[#This Row],[cont]]="B",raw[[#This Row],[cont]],"W"))</f>
        <v/>
      </c>
      <c r="O508" s="1397">
        <f>IF(raw[[#This Row],[out]]=0,0,IF(raw[[#This Row],[out]]=raw[[#This Row],[in]],0.01,raw[[#This Row],[out]]-raw[[#This Row],[in]]))</f>
        <v/>
      </c>
      <c r="P508" s="1397">
        <f>IF(raw[[#This Row],[in]]=0,0,MONTH(raw[[#This Row],[in]]))</f>
        <v/>
      </c>
      <c r="Q508" s="1397">
        <f>IF(raw[[#This Row],[in]]=0,0,YEAR(raw[[#This Row],[in]]))</f>
        <v/>
      </c>
      <c r="R508" s="1397">
        <f>INT(raw[[#This Row],[yr]]/10)*10</f>
        <v/>
      </c>
      <c r="S508" s="1395">
        <f>IF(raw[[#This Row],[city]]="","-",IF(raw[[#This Row],[city]]&lt;&gt;_xlfn.XLOOKUP(raw[[#This Row],[home]],homes[home],homes[city],"-"),1,0))</f>
        <v/>
      </c>
      <c r="T508" s="1398" t="inlineStr">
        <is>
          <t>.</t>
        </is>
      </c>
      <c r="U508" s="1399">
        <f>IF(raw[[#This Row],[wb]]="w",raw[[#This Row],[stay]]+U507,U507)</f>
        <v/>
      </c>
      <c r="V508" s="1400">
        <f>IF(raw[[#This Row],[out]]=0,V507,(raw[[#This Row],[out]]-E$5))</f>
        <v/>
      </c>
      <c r="W508" s="1401">
        <f>U508/V508</f>
        <v/>
      </c>
      <c r="X508" s="1378" t="inlineStr">
        <is>
          <t>.</t>
        </is>
      </c>
      <c r="Y508" s="1402">
        <f/>
        <v/>
      </c>
      <c r="Z508" s="1403">
        <f/>
        <v/>
      </c>
      <c r="AA508" s="1403">
        <f/>
        <v/>
      </c>
      <c r="AB508" s="1400">
        <f t="array" ref="AB508">_xlfn.LET(_xlpm.S,_xlfn.ANCHORARRAY($Y$4),_xlpm.r,ROWS(stayCity[[#Headers],[city]]:stayCity[[#This Row],[city]])-1,IF(_xlpm.r&lt;=ROWS(_xlpm.S),INDEX(_xlpm.S,_xlpm.r,1),""))</f>
        <v/>
      </c>
      <c r="AC508" s="1405">
        <f t="array" ref="AC508">_xlfn.LET(_xlpm.S,_xlfn.ANCHORARRAY($Y$4),_xlpm.r,ROWS(stayCity[[#Headers],[city]]:stayCity[[#This Row],[city]])-1,IF(_xlpm.r&lt;=ROWS(_xlpm.S),INDEX(_xlpm.S,_xlpm.r,2),""))</f>
        <v/>
      </c>
      <c r="AD508" s="1405">
        <f t="array" ref="AD508">_xlfn.LET(_xlpm.S,_xlfn.ANCHORARRAY($Y$4),_xlpm.r,ROWS(stayCity[[#Headers],[city]]:stayCity[[#This Row],[city]])-1,IF(_xlpm.r&lt;=ROWS(_xlpm.S),INDEX(_xlpm.S,_xlpm.r,3),""))</f>
        <v/>
      </c>
      <c r="AE508" s="1400">
        <f>IF(stayCity[[#This Row],[out]]&lt;&gt;"",stayCity[[#This Row],[out]]-stayCity[[#This Row],[in]],"-")</f>
        <v/>
      </c>
      <c r="AF508" s="1406">
        <f>IF(Y508="","-",YEAR(stayCity[[#This Row],[in]]))</f>
        <v/>
      </c>
      <c r="AG508" s="1392" t="n"/>
      <c r="AH508" s="1392" t="n"/>
      <c r="AI508" s="1392" t="n"/>
      <c r="AJ508" s="1392" t="n"/>
      <c r="AK508" s="1392" t="n"/>
      <c r="AL508" s="1392" t="n"/>
      <c r="AM508" s="1392" t="n"/>
      <c r="AN508" s="1392" t="n"/>
      <c r="AO508" s="1392" t="n"/>
      <c r="AP508" s="1392" t="n"/>
      <c r="AQ508" s="1392" t="n"/>
      <c r="AR508" s="1392" t="n"/>
      <c r="AS508" s="1422" t="n"/>
      <c r="AT508" s="1392" t="n"/>
      <c r="AU508" s="1392" t="n"/>
      <c r="AV508" s="1392" t="n"/>
      <c r="AW508" s="1392" t="n"/>
      <c r="AX508" s="1392" t="n"/>
      <c r="AY508" s="1392" t="n"/>
      <c r="AZ508" s="1392" t="n"/>
      <c r="BA508" s="1392" t="n"/>
      <c r="BB508" s="1422" t="n"/>
      <c r="BC508" s="1392" t="n"/>
      <c r="BD508" s="1392" t="n"/>
      <c r="BE508" s="1392" t="n"/>
      <c r="BF508" s="1392" t="n"/>
      <c r="BG508" s="1392" t="n"/>
      <c r="BH508" s="1392" t="n"/>
      <c r="BI508" s="1392" t="n"/>
      <c r="BJ508" s="1392" t="n"/>
      <c r="BK508" s="1392" t="n"/>
      <c r="BL508" s="1392" t="n"/>
      <c r="BM508" s="1392" t="n"/>
      <c r="BN508" s="1392" t="n"/>
      <c r="BO508" s="1392" t="n"/>
      <c r="BP508" s="1392" t="n"/>
      <c r="BQ508" s="1392" t="n"/>
      <c r="BR508" s="1392" t="n"/>
      <c r="BS508" s="1392" t="n"/>
      <c r="BT508" s="1392" t="n"/>
      <c r="BU508" s="1416" t="n"/>
      <c r="BV508" s="1392" t="n"/>
      <c r="BW508" s="1392" t="n"/>
      <c r="BX508" s="1392" t="n"/>
      <c r="BY508" s="1392" t="n"/>
      <c r="BZ508" s="1416" t="n"/>
      <c r="CA508" s="1392" t="n"/>
      <c r="CB508" s="1392" t="n"/>
      <c r="CC508" s="1392" t="n"/>
      <c r="CD508" s="1392" t="n"/>
      <c r="CE508" s="1392" t="n"/>
      <c r="CF508" s="1392" t="n"/>
      <c r="CG508" s="1392" t="n"/>
      <c r="CH508" s="1392" t="n"/>
      <c r="CI508" s="1392" t="n"/>
      <c r="CJ508" s="1392" t="n"/>
      <c r="CK508" s="1392" t="n"/>
      <c r="CL508" s="1392" t="n"/>
    </row>
    <row r="509">
      <c r="A509" s="5" t="inlineStr">
        <is>
          <t>.</t>
        </is>
      </c>
      <c r="B509" s="5" t="inlineStr">
        <is>
          <t>.</t>
        </is>
      </c>
      <c r="C509" s="1378">
        <f>IF(raw[[#This Row],[city]]="","-",IF(raw[[#This Row],[city]]="TODAY","-",C508+1))</f>
        <v/>
      </c>
      <c r="D509" s="1393" t="inlineStr">
        <is>
          <t>Vianden</t>
        </is>
      </c>
      <c r="E509" s="1394" t="n">
        <v>36081</v>
      </c>
      <c r="F509" s="1394" t="n">
        <v>36083</v>
      </c>
      <c r="G509" s="1393" t="inlineStr">
        <is>
          <t>-</t>
        </is>
      </c>
      <c r="H509" s="1393">
        <f>H508</f>
        <v/>
      </c>
      <c r="I509" s="1393" t="inlineStr">
        <is>
          <t>-</t>
        </is>
      </c>
      <c r="J509" s="1393" t="inlineStr">
        <is>
          <t>pais/</t>
        </is>
      </c>
      <c r="K509" s="1395">
        <f>IF(raw[[#This Row],[city]]&lt;&gt;"",_xlfn.XLOOKUP($D509,ccc[city],ccc[prov],"-"),"-")</f>
        <v/>
      </c>
      <c r="L509" s="1395">
        <f>IF(raw[[#This Row],[city]]&lt;&gt;"",_xlfn.XLOOKUP($D509,ccc[city],ccc[ctry],"-"),"-")</f>
        <v/>
      </c>
      <c r="M509" s="1395">
        <f>IF(raw[[#This Row],[city]]&lt;&gt;"",_xlfn.XLOOKUP($D509,ccc[city],ccc[cont],"-"),"-")</f>
        <v/>
      </c>
      <c r="N509" s="1396">
        <f>IF(raw[[#This Row],[city]]="","-",IF(raw[[#This Row],[cont]]="B",raw[[#This Row],[cont]],"W"))</f>
        <v/>
      </c>
      <c r="O509" s="1397">
        <f>IF(raw[[#This Row],[out]]=0,0,IF(raw[[#This Row],[out]]=raw[[#This Row],[in]],0.01,raw[[#This Row],[out]]-raw[[#This Row],[in]]))</f>
        <v/>
      </c>
      <c r="P509" s="1397">
        <f>IF(raw[[#This Row],[in]]=0,0,MONTH(raw[[#This Row],[in]]))</f>
        <v/>
      </c>
      <c r="Q509" s="1397">
        <f>IF(raw[[#This Row],[in]]=0,0,YEAR(raw[[#This Row],[in]]))</f>
        <v/>
      </c>
      <c r="R509" s="1397">
        <f>INT(raw[[#This Row],[yr]]/10)*10</f>
        <v/>
      </c>
      <c r="S509" s="1395">
        <f>IF(raw[[#This Row],[city]]="","-",IF(raw[[#This Row],[city]]&lt;&gt;_xlfn.XLOOKUP(raw[[#This Row],[home]],homes[home],homes[city],"-"),1,0))</f>
        <v/>
      </c>
      <c r="T509" s="1398" t="inlineStr">
        <is>
          <t>.</t>
        </is>
      </c>
      <c r="U509" s="1399">
        <f>IF(raw[[#This Row],[wb]]="w",raw[[#This Row],[stay]]+U508,U508)</f>
        <v/>
      </c>
      <c r="V509" s="1400">
        <f>IF(raw[[#This Row],[out]]=0,V508,(raw[[#This Row],[out]]-E$5))</f>
        <v/>
      </c>
      <c r="W509" s="1401">
        <f>U509/V509</f>
        <v/>
      </c>
      <c r="X509" s="1378" t="inlineStr">
        <is>
          <t>.</t>
        </is>
      </c>
      <c r="Y509" s="1402">
        <f/>
        <v/>
      </c>
      <c r="Z509" s="1403">
        <f/>
        <v/>
      </c>
      <c r="AA509" s="1403">
        <f/>
        <v/>
      </c>
      <c r="AB509" s="1400">
        <f t="array" ref="AB509">_xlfn.LET(_xlpm.S,_xlfn.ANCHORARRAY($Y$4),_xlpm.r,ROWS(stayCity[[#Headers],[city]]:stayCity[[#This Row],[city]])-1,IF(_xlpm.r&lt;=ROWS(_xlpm.S),INDEX(_xlpm.S,_xlpm.r,1),""))</f>
        <v/>
      </c>
      <c r="AC509" s="1405">
        <f t="array" ref="AC509">_xlfn.LET(_xlpm.S,_xlfn.ANCHORARRAY($Y$4),_xlpm.r,ROWS(stayCity[[#Headers],[city]]:stayCity[[#This Row],[city]])-1,IF(_xlpm.r&lt;=ROWS(_xlpm.S),INDEX(_xlpm.S,_xlpm.r,2),""))</f>
        <v/>
      </c>
      <c r="AD509" s="1405">
        <f t="array" ref="AD509">_xlfn.LET(_xlpm.S,_xlfn.ANCHORARRAY($Y$4),_xlpm.r,ROWS(stayCity[[#Headers],[city]]:stayCity[[#This Row],[city]])-1,IF(_xlpm.r&lt;=ROWS(_xlpm.S),INDEX(_xlpm.S,_xlpm.r,3),""))</f>
        <v/>
      </c>
      <c r="AE509" s="1400">
        <f>IF(stayCity[[#This Row],[out]]&lt;&gt;"",stayCity[[#This Row],[out]]-stayCity[[#This Row],[in]],"-")</f>
        <v/>
      </c>
      <c r="AF509" s="1406">
        <f>IF(Y509="","-",YEAR(stayCity[[#This Row],[in]]))</f>
        <v/>
      </c>
      <c r="AG509" s="1392" t="n"/>
      <c r="AH509" s="1392" t="n"/>
      <c r="AI509" s="1392" t="n"/>
      <c r="AJ509" s="1392" t="n"/>
      <c r="AK509" s="1392" t="n"/>
      <c r="AL509" s="1392" t="n"/>
      <c r="AM509" s="1392" t="n"/>
      <c r="AN509" s="1392" t="n"/>
      <c r="AO509" s="1392" t="n"/>
      <c r="AP509" s="1392" t="n"/>
      <c r="AQ509" s="1392" t="n"/>
      <c r="AR509" s="1392" t="n"/>
      <c r="AS509" s="1422" t="n"/>
      <c r="AT509" s="1392" t="n"/>
      <c r="AU509" s="1392" t="n"/>
      <c r="AV509" s="1392" t="n"/>
      <c r="AW509" s="1392" t="n"/>
      <c r="AX509" s="1392" t="n"/>
      <c r="AY509" s="1392" t="n"/>
      <c r="AZ509" s="1392" t="n"/>
      <c r="BA509" s="1392" t="n"/>
      <c r="BB509" s="1422" t="n"/>
      <c r="BC509" s="1392" t="n"/>
      <c r="BD509" s="1392" t="n"/>
      <c r="BE509" s="1392" t="n"/>
      <c r="BF509" s="1392" t="n"/>
      <c r="BG509" s="1392" t="n"/>
      <c r="BH509" s="1392" t="n"/>
      <c r="BI509" s="1392" t="n"/>
      <c r="BJ509" s="1392" t="n"/>
      <c r="BK509" s="1392" t="n"/>
      <c r="BL509" s="1392" t="n"/>
      <c r="BM509" s="1392" t="n"/>
      <c r="BN509" s="1392" t="n"/>
      <c r="BO509" s="1392" t="n"/>
      <c r="BP509" s="1392" t="n"/>
      <c r="BQ509" s="1392" t="n"/>
      <c r="BR509" s="1392" t="n"/>
      <c r="BS509" s="1392" t="n"/>
      <c r="BT509" s="1392" t="n"/>
      <c r="BU509" s="1416" t="n"/>
      <c r="BV509" s="1392" t="n"/>
      <c r="BW509" s="1392" t="n"/>
      <c r="BX509" s="1392" t="n"/>
      <c r="BY509" s="1392" t="n"/>
      <c r="BZ509" s="1416" t="n"/>
      <c r="CA509" s="1392" t="n"/>
      <c r="CB509" s="1392" t="n"/>
      <c r="CC509" s="1392" t="n"/>
      <c r="CD509" s="1392" t="n"/>
      <c r="CE509" s="1392" t="n"/>
      <c r="CF509" s="1392" t="n"/>
      <c r="CG509" s="1392" t="n"/>
      <c r="CH509" s="1392" t="n"/>
      <c r="CI509" s="1392" t="n"/>
      <c r="CJ509" s="1392" t="n"/>
      <c r="CK509" s="1392" t="n"/>
      <c r="CL509" s="1392" t="n"/>
    </row>
    <row r="510">
      <c r="A510" s="5" t="inlineStr">
        <is>
          <t>.</t>
        </is>
      </c>
      <c r="B510" s="5" t="inlineStr">
        <is>
          <t>.</t>
        </is>
      </c>
      <c r="C510" s="1378">
        <f>IF(raw[[#This Row],[city]]="","-",IF(raw[[#This Row],[city]]="TODAY","-",C509+1))</f>
        <v/>
      </c>
      <c r="D510" s="1393" t="inlineStr">
        <is>
          <t>Luxembourg</t>
        </is>
      </c>
      <c r="E510" s="1394" t="n">
        <v>36083</v>
      </c>
      <c r="F510" s="1394" t="n">
        <v>36083</v>
      </c>
      <c r="G510" s="1393" t="inlineStr">
        <is>
          <t>-</t>
        </is>
      </c>
      <c r="H510" s="1393">
        <f>H509</f>
        <v/>
      </c>
      <c r="I510" s="1393" t="inlineStr">
        <is>
          <t>-</t>
        </is>
      </c>
      <c r="J510" s="1393" t="inlineStr">
        <is>
          <t>pais/</t>
        </is>
      </c>
      <c r="K510" s="1395">
        <f>IF(raw[[#This Row],[city]]&lt;&gt;"",_xlfn.XLOOKUP($D510,ccc[city],ccc[prov],"-"),"-")</f>
        <v/>
      </c>
      <c r="L510" s="1395">
        <f>IF(raw[[#This Row],[city]]&lt;&gt;"",_xlfn.XLOOKUP($D510,ccc[city],ccc[ctry],"-"),"-")</f>
        <v/>
      </c>
      <c r="M510" s="1395">
        <f>IF(raw[[#This Row],[city]]&lt;&gt;"",_xlfn.XLOOKUP($D510,ccc[city],ccc[cont],"-"),"-")</f>
        <v/>
      </c>
      <c r="N510" s="1396">
        <f>IF(raw[[#This Row],[city]]="","-",IF(raw[[#This Row],[cont]]="B",raw[[#This Row],[cont]],"W"))</f>
        <v/>
      </c>
      <c r="O510" s="1397">
        <f>IF(raw[[#This Row],[out]]=0,0,IF(raw[[#This Row],[out]]=raw[[#This Row],[in]],0.01,raw[[#This Row],[out]]-raw[[#This Row],[in]]))</f>
        <v/>
      </c>
      <c r="P510" s="1397">
        <f>IF(raw[[#This Row],[in]]=0,0,MONTH(raw[[#This Row],[in]]))</f>
        <v/>
      </c>
      <c r="Q510" s="1397">
        <f>IF(raw[[#This Row],[in]]=0,0,YEAR(raw[[#This Row],[in]]))</f>
        <v/>
      </c>
      <c r="R510" s="1397">
        <f>INT(raw[[#This Row],[yr]]/10)*10</f>
        <v/>
      </c>
      <c r="S510" s="1395">
        <f>IF(raw[[#This Row],[city]]="","-",IF(raw[[#This Row],[city]]&lt;&gt;_xlfn.XLOOKUP(raw[[#This Row],[home]],homes[home],homes[city],"-"),1,0))</f>
        <v/>
      </c>
      <c r="T510" s="1398" t="inlineStr">
        <is>
          <t>.</t>
        </is>
      </c>
      <c r="U510" s="1399">
        <f>IF(raw[[#This Row],[wb]]="w",raw[[#This Row],[stay]]+U509,U509)</f>
        <v/>
      </c>
      <c r="V510" s="1400">
        <f>IF(raw[[#This Row],[out]]=0,V509,(raw[[#This Row],[out]]-E$5))</f>
        <v/>
      </c>
      <c r="W510" s="1401">
        <f>U510/V510</f>
        <v/>
      </c>
      <c r="X510" s="1378" t="inlineStr">
        <is>
          <t>.</t>
        </is>
      </c>
      <c r="Y510" s="1402">
        <f/>
        <v/>
      </c>
      <c r="Z510" s="1403">
        <f/>
        <v/>
      </c>
      <c r="AA510" s="1403">
        <f/>
        <v/>
      </c>
      <c r="AB510" s="1400">
        <f t="array" ref="AB510">_xlfn.LET(_xlpm.S,_xlfn.ANCHORARRAY($Y$4),_xlpm.r,ROWS(stayCity[[#Headers],[city]]:stayCity[[#This Row],[city]])-1,IF(_xlpm.r&lt;=ROWS(_xlpm.S),INDEX(_xlpm.S,_xlpm.r,1),""))</f>
        <v/>
      </c>
      <c r="AC510" s="1405">
        <f t="array" ref="AC510">_xlfn.LET(_xlpm.S,_xlfn.ANCHORARRAY($Y$4),_xlpm.r,ROWS(stayCity[[#Headers],[city]]:stayCity[[#This Row],[city]])-1,IF(_xlpm.r&lt;=ROWS(_xlpm.S),INDEX(_xlpm.S,_xlpm.r,2),""))</f>
        <v/>
      </c>
      <c r="AD510" s="1405">
        <f t="array" ref="AD510">_xlfn.LET(_xlpm.S,_xlfn.ANCHORARRAY($Y$4),_xlpm.r,ROWS(stayCity[[#Headers],[city]]:stayCity[[#This Row],[city]])-1,IF(_xlpm.r&lt;=ROWS(_xlpm.S),INDEX(_xlpm.S,_xlpm.r,3),""))</f>
        <v/>
      </c>
      <c r="AE510" s="1400">
        <f>IF(stayCity[[#This Row],[out]]&lt;&gt;"",stayCity[[#This Row],[out]]-stayCity[[#This Row],[in]],"-")</f>
        <v/>
      </c>
      <c r="AF510" s="1406">
        <f>IF(Y510="","-",YEAR(stayCity[[#This Row],[in]]))</f>
        <v/>
      </c>
      <c r="AG510" s="1392" t="n"/>
      <c r="AH510" s="1392" t="n"/>
      <c r="AI510" s="1392" t="n"/>
      <c r="AJ510" s="1392" t="n"/>
      <c r="AK510" s="1392" t="n"/>
      <c r="AL510" s="1392" t="n"/>
      <c r="AM510" s="1392" t="n"/>
      <c r="AN510" s="1392" t="n"/>
      <c r="AO510" s="1392" t="n"/>
      <c r="AP510" s="1392" t="n"/>
      <c r="AQ510" s="1392" t="n"/>
      <c r="AR510" s="1392" t="n"/>
      <c r="AS510" s="1422" t="n"/>
      <c r="AT510" s="1392" t="n"/>
      <c r="AU510" s="1392" t="n"/>
      <c r="AV510" s="1392" t="n"/>
      <c r="AW510" s="1392" t="n"/>
      <c r="AX510" s="1392" t="n"/>
      <c r="AY510" s="1392" t="n"/>
      <c r="AZ510" s="1392" t="n"/>
      <c r="BA510" s="1392" t="n"/>
      <c r="BB510" s="1422" t="n"/>
      <c r="BC510" s="1392" t="n"/>
      <c r="BD510" s="1392" t="n"/>
      <c r="BE510" s="1392" t="n"/>
      <c r="BF510" s="1392" t="n"/>
      <c r="BG510" s="1392" t="n"/>
      <c r="BH510" s="1392" t="n"/>
      <c r="BI510" s="1392" t="n"/>
      <c r="BJ510" s="1392" t="n"/>
      <c r="BK510" s="1392" t="n"/>
      <c r="BL510" s="1392" t="n"/>
      <c r="BM510" s="1392" t="n"/>
      <c r="BN510" s="1392" t="n"/>
      <c r="BO510" s="1392" t="n"/>
      <c r="BP510" s="1392" t="n"/>
      <c r="BQ510" s="1392" t="n"/>
      <c r="BR510" s="1392" t="n"/>
      <c r="BS510" s="1392" t="n"/>
      <c r="BT510" s="1392" t="n"/>
      <c r="BU510" s="1416" t="n"/>
      <c r="BV510" s="1392" t="n"/>
      <c r="BW510" s="1392" t="n"/>
      <c r="BX510" s="1392" t="n"/>
      <c r="BY510" s="1392" t="n"/>
      <c r="BZ510" s="1416" t="n"/>
      <c r="CA510" s="1392" t="n"/>
      <c r="CB510" s="1392" t="n"/>
      <c r="CC510" s="1392" t="n"/>
      <c r="CD510" s="1392" t="n"/>
      <c r="CE510" s="1392" t="n"/>
      <c r="CF510" s="1392" t="n"/>
      <c r="CG510" s="1392" t="n"/>
      <c r="CH510" s="1392" t="n"/>
      <c r="CI510" s="1392" t="n"/>
      <c r="CJ510" s="1392" t="n"/>
      <c r="CK510" s="1392" t="n"/>
      <c r="CL510" s="1392" t="n"/>
    </row>
    <row r="511">
      <c r="A511" s="5" t="inlineStr">
        <is>
          <t>.</t>
        </is>
      </c>
      <c r="B511" s="5" t="inlineStr">
        <is>
          <t>.</t>
        </is>
      </c>
      <c r="C511" s="1378">
        <f>IF(raw[[#This Row],[city]]="","-",IF(raw[[#This Row],[city]]="TODAY","-",C510+1))</f>
        <v/>
      </c>
      <c r="D511" s="1393" t="inlineStr">
        <is>
          <t>Paris</t>
        </is>
      </c>
      <c r="E511" s="1394" t="n">
        <v>36083</v>
      </c>
      <c r="F511" s="1394" t="n">
        <v>36086</v>
      </c>
      <c r="G511" s="1393" t="inlineStr">
        <is>
          <t>-</t>
        </is>
      </c>
      <c r="H511" s="1393">
        <f>H510</f>
        <v/>
      </c>
      <c r="I511" s="1393" t="inlineStr">
        <is>
          <t>-</t>
        </is>
      </c>
      <c r="J511" s="1393" t="inlineStr">
        <is>
          <t>-</t>
        </is>
      </c>
      <c r="K511" s="1395">
        <f>IF(raw[[#This Row],[city]]&lt;&gt;"",_xlfn.XLOOKUP($D511,ccc[city],ccc[prov],"-"),"-")</f>
        <v/>
      </c>
      <c r="L511" s="1395">
        <f>IF(raw[[#This Row],[city]]&lt;&gt;"",_xlfn.XLOOKUP($D511,ccc[city],ccc[ctry],"-"),"-")</f>
        <v/>
      </c>
      <c r="M511" s="1395">
        <f>IF(raw[[#This Row],[city]]&lt;&gt;"",_xlfn.XLOOKUP($D511,ccc[city],ccc[cont],"-"),"-")</f>
        <v/>
      </c>
      <c r="N511" s="1396">
        <f>IF(raw[[#This Row],[city]]="","-",IF(raw[[#This Row],[cont]]="B",raw[[#This Row],[cont]],"W"))</f>
        <v/>
      </c>
      <c r="O511" s="1397">
        <f>IF(raw[[#This Row],[out]]=0,0,IF(raw[[#This Row],[out]]=raw[[#This Row],[in]],0.01,raw[[#This Row],[out]]-raw[[#This Row],[in]]))</f>
        <v/>
      </c>
      <c r="P511" s="1397">
        <f>IF(raw[[#This Row],[in]]=0,0,MONTH(raw[[#This Row],[in]]))</f>
        <v/>
      </c>
      <c r="Q511" s="1397">
        <f>IF(raw[[#This Row],[in]]=0,0,YEAR(raw[[#This Row],[in]]))</f>
        <v/>
      </c>
      <c r="R511" s="1397">
        <f>INT(raw[[#This Row],[yr]]/10)*10</f>
        <v/>
      </c>
      <c r="S511" s="1395">
        <f>IF(raw[[#This Row],[city]]="","-",IF(raw[[#This Row],[city]]&lt;&gt;_xlfn.XLOOKUP(raw[[#This Row],[home]],homes[home],homes[city],"-"),1,0))</f>
        <v/>
      </c>
      <c r="T511" s="1398" t="inlineStr">
        <is>
          <t>.</t>
        </is>
      </c>
      <c r="U511" s="1399">
        <f>IF(raw[[#This Row],[wb]]="w",raw[[#This Row],[stay]]+U510,U510)</f>
        <v/>
      </c>
      <c r="V511" s="1400">
        <f>IF(raw[[#This Row],[out]]=0,V510,(raw[[#This Row],[out]]-E$5))</f>
        <v/>
      </c>
      <c r="W511" s="1401">
        <f>U511/V511</f>
        <v/>
      </c>
      <c r="X511" s="1378" t="inlineStr">
        <is>
          <t>.</t>
        </is>
      </c>
      <c r="Y511" s="1402">
        <f/>
        <v/>
      </c>
      <c r="Z511" s="1403">
        <f/>
        <v/>
      </c>
      <c r="AA511" s="1403">
        <f/>
        <v/>
      </c>
      <c r="AB511" s="1400">
        <f t="array" ref="AB511">_xlfn.LET(_xlpm.S,_xlfn.ANCHORARRAY($Y$4),_xlpm.r,ROWS(stayCity[[#Headers],[city]]:stayCity[[#This Row],[city]])-1,IF(_xlpm.r&lt;=ROWS(_xlpm.S),INDEX(_xlpm.S,_xlpm.r,1),""))</f>
        <v/>
      </c>
      <c r="AC511" s="1405">
        <f t="array" ref="AC511">_xlfn.LET(_xlpm.S,_xlfn.ANCHORARRAY($Y$4),_xlpm.r,ROWS(stayCity[[#Headers],[city]]:stayCity[[#This Row],[city]])-1,IF(_xlpm.r&lt;=ROWS(_xlpm.S),INDEX(_xlpm.S,_xlpm.r,2),""))</f>
        <v/>
      </c>
      <c r="AD511" s="1405">
        <f t="array" ref="AD511">_xlfn.LET(_xlpm.S,_xlfn.ANCHORARRAY($Y$4),_xlpm.r,ROWS(stayCity[[#Headers],[city]]:stayCity[[#This Row],[city]])-1,IF(_xlpm.r&lt;=ROWS(_xlpm.S),INDEX(_xlpm.S,_xlpm.r,3),""))</f>
        <v/>
      </c>
      <c r="AE511" s="1400">
        <f>IF(stayCity[[#This Row],[out]]&lt;&gt;"",stayCity[[#This Row],[out]]-stayCity[[#This Row],[in]],"-")</f>
        <v/>
      </c>
      <c r="AF511" s="1406">
        <f>IF(Y511="","-",YEAR(stayCity[[#This Row],[in]]))</f>
        <v/>
      </c>
      <c r="AG511" s="1392" t="n"/>
      <c r="AH511" s="1392" t="n"/>
      <c r="AI511" s="1392" t="n"/>
      <c r="AJ511" s="1392" t="n"/>
      <c r="AK511" s="1392" t="n"/>
      <c r="AL511" s="1392" t="n"/>
      <c r="AM511" s="1392" t="n"/>
      <c r="AN511" s="1392" t="n"/>
      <c r="AO511" s="1392" t="n"/>
      <c r="AP511" s="1392" t="n"/>
      <c r="AQ511" s="1392" t="n"/>
      <c r="AR511" s="1392" t="n"/>
      <c r="AS511" s="1422" t="n"/>
      <c r="AT511" s="1392" t="n"/>
      <c r="AU511" s="1392" t="n"/>
      <c r="AV511" s="1392" t="n"/>
      <c r="AW511" s="1392" t="n"/>
      <c r="AX511" s="1392" t="n"/>
      <c r="AY511" s="1392" t="n"/>
      <c r="AZ511" s="1392" t="n"/>
      <c r="BA511" s="1392" t="n"/>
      <c r="BB511" s="1422" t="n"/>
      <c r="BC511" s="1392" t="n"/>
      <c r="BD511" s="1392" t="n"/>
      <c r="BE511" s="1392" t="n"/>
      <c r="BF511" s="1392" t="n"/>
      <c r="BG511" s="1392" t="n"/>
      <c r="BH511" s="1392" t="n"/>
      <c r="BI511" s="1392" t="n"/>
      <c r="BJ511" s="1392" t="n"/>
      <c r="BK511" s="1392" t="n"/>
      <c r="BL511" s="1392" t="n"/>
      <c r="BM511" s="1392" t="n"/>
      <c r="BN511" s="1392" t="n"/>
      <c r="BO511" s="1392" t="n"/>
      <c r="BP511" s="1392" t="n"/>
      <c r="BQ511" s="1392" t="n"/>
      <c r="BR511" s="1392" t="n"/>
      <c r="BS511" s="1392" t="n"/>
      <c r="BT511" s="1392" t="n"/>
      <c r="BU511" s="1416" t="n"/>
      <c r="BV511" s="1392" t="n"/>
      <c r="BW511" s="1392" t="n"/>
      <c r="BX511" s="1392" t="n"/>
      <c r="BY511" s="1392" t="n"/>
      <c r="BZ511" s="1416" t="n"/>
      <c r="CA511" s="1392" t="n"/>
      <c r="CB511" s="1392" t="n"/>
      <c r="CC511" s="1392" t="n"/>
      <c r="CD511" s="1392" t="n"/>
      <c r="CE511" s="1392" t="n"/>
      <c r="CF511" s="1392" t="n"/>
      <c r="CG511" s="1392" t="n"/>
      <c r="CH511" s="1392" t="n"/>
      <c r="CI511" s="1392" t="n"/>
      <c r="CJ511" s="1392" t="n"/>
      <c r="CK511" s="1392" t="n"/>
      <c r="CL511" s="1392" t="n"/>
    </row>
    <row r="512">
      <c r="A512" s="5" t="inlineStr">
        <is>
          <t>.</t>
        </is>
      </c>
      <c r="B512" s="5" t="inlineStr">
        <is>
          <t>.</t>
        </is>
      </c>
      <c r="C512" s="1378">
        <f>IF(raw[[#This Row],[city]]="","-",IF(raw[[#This Row],[city]]="TODAY","-",C511+1))</f>
        <v/>
      </c>
      <c r="D512" s="1393" t="inlineStr">
        <is>
          <t>Bayonne</t>
        </is>
      </c>
      <c r="E512" s="1394" t="n">
        <v>36086</v>
      </c>
      <c r="F512" s="1394" t="n">
        <v>36086</v>
      </c>
      <c r="G512" s="1393" t="inlineStr">
        <is>
          <t>-</t>
        </is>
      </c>
      <c r="H512" s="1393">
        <f>H511</f>
        <v/>
      </c>
      <c r="I512" s="1393" t="inlineStr">
        <is>
          <t>CS</t>
        </is>
      </c>
      <c r="J512" s="1393" t="inlineStr">
        <is>
          <t>-</t>
        </is>
      </c>
      <c r="K512" s="1395">
        <f>IF(raw[[#This Row],[city]]&lt;&gt;"",_xlfn.XLOOKUP($D512,ccc[city],ccc[prov],"-"),"-")</f>
        <v/>
      </c>
      <c r="L512" s="1395">
        <f>IF(raw[[#This Row],[city]]&lt;&gt;"",_xlfn.XLOOKUP($D512,ccc[city],ccc[ctry],"-"),"-")</f>
        <v/>
      </c>
      <c r="M512" s="1395">
        <f>IF(raw[[#This Row],[city]]&lt;&gt;"",_xlfn.XLOOKUP($D512,ccc[city],ccc[cont],"-"),"-")</f>
        <v/>
      </c>
      <c r="N512" s="1396">
        <f>IF(raw[[#This Row],[city]]="","-",IF(raw[[#This Row],[cont]]="B",raw[[#This Row],[cont]],"W"))</f>
        <v/>
      </c>
      <c r="O512" s="1397">
        <f>IF(raw[[#This Row],[out]]=0,0,IF(raw[[#This Row],[out]]=raw[[#This Row],[in]],0.01,raw[[#This Row],[out]]-raw[[#This Row],[in]]))</f>
        <v/>
      </c>
      <c r="P512" s="1397">
        <f>IF(raw[[#This Row],[in]]=0,0,MONTH(raw[[#This Row],[in]]))</f>
        <v/>
      </c>
      <c r="Q512" s="1397">
        <f>IF(raw[[#This Row],[in]]=0,0,YEAR(raw[[#This Row],[in]]))</f>
        <v/>
      </c>
      <c r="R512" s="1397">
        <f>INT(raw[[#This Row],[yr]]/10)*10</f>
        <v/>
      </c>
      <c r="S512" s="1395">
        <f>IF(raw[[#This Row],[city]]="","-",IF(raw[[#This Row],[city]]&lt;&gt;_xlfn.XLOOKUP(raw[[#This Row],[home]],homes[home],homes[city],"-"),1,0))</f>
        <v/>
      </c>
      <c r="T512" s="1398" t="inlineStr">
        <is>
          <t>.</t>
        </is>
      </c>
      <c r="U512" s="1399">
        <f>IF(raw[[#This Row],[wb]]="w",raw[[#This Row],[stay]]+U511,U511)</f>
        <v/>
      </c>
      <c r="V512" s="1400">
        <f>IF(raw[[#This Row],[out]]=0,V511,(raw[[#This Row],[out]]-E$5))</f>
        <v/>
      </c>
      <c r="W512" s="1401">
        <f>U512/V512</f>
        <v/>
      </c>
      <c r="X512" s="1378" t="inlineStr">
        <is>
          <t>.</t>
        </is>
      </c>
      <c r="Y512" s="1402">
        <f/>
        <v/>
      </c>
      <c r="Z512" s="1403">
        <f/>
        <v/>
      </c>
      <c r="AA512" s="1403">
        <f/>
        <v/>
      </c>
      <c r="AB512" s="1400">
        <f t="array" ref="AB512">_xlfn.LET(_xlpm.S,_xlfn.ANCHORARRAY($Y$4),_xlpm.r,ROWS(stayCity[[#Headers],[city]]:stayCity[[#This Row],[city]])-1,IF(_xlpm.r&lt;=ROWS(_xlpm.S),INDEX(_xlpm.S,_xlpm.r,1),""))</f>
        <v/>
      </c>
      <c r="AC512" s="1405">
        <f t="array" ref="AC512">_xlfn.LET(_xlpm.S,_xlfn.ANCHORARRAY($Y$4),_xlpm.r,ROWS(stayCity[[#Headers],[city]]:stayCity[[#This Row],[city]])-1,IF(_xlpm.r&lt;=ROWS(_xlpm.S),INDEX(_xlpm.S,_xlpm.r,2),""))</f>
        <v/>
      </c>
      <c r="AD512" s="1405">
        <f t="array" ref="AD512">_xlfn.LET(_xlpm.S,_xlfn.ANCHORARRAY($Y$4),_xlpm.r,ROWS(stayCity[[#Headers],[city]]:stayCity[[#This Row],[city]])-1,IF(_xlpm.r&lt;=ROWS(_xlpm.S),INDEX(_xlpm.S,_xlpm.r,3),""))</f>
        <v/>
      </c>
      <c r="AE512" s="1400">
        <f>IF(stayCity[[#This Row],[out]]&lt;&gt;"",stayCity[[#This Row],[out]]-stayCity[[#This Row],[in]],"-")</f>
        <v/>
      </c>
      <c r="AF512" s="1406">
        <f>IF(Y512="","-",YEAR(stayCity[[#This Row],[in]]))</f>
        <v/>
      </c>
      <c r="AG512" s="1392" t="n"/>
      <c r="AH512" s="1392" t="n"/>
      <c r="AI512" s="1392" t="n"/>
      <c r="AJ512" s="1392" t="n"/>
      <c r="AK512" s="1392" t="n"/>
      <c r="AL512" s="1392" t="n"/>
      <c r="AM512" s="1392" t="n"/>
      <c r="AN512" s="1392" t="n"/>
      <c r="AO512" s="1392" t="n"/>
      <c r="AP512" s="1392" t="n"/>
      <c r="AQ512" s="1392" t="n"/>
      <c r="AR512" s="1392" t="n"/>
      <c r="AS512" s="1422" t="n"/>
      <c r="AT512" s="1392" t="n"/>
      <c r="AU512" s="1392" t="n"/>
      <c r="AV512" s="1392" t="n"/>
      <c r="AW512" s="1392" t="n"/>
      <c r="AX512" s="1392" t="n"/>
      <c r="AY512" s="1392" t="n"/>
      <c r="AZ512" s="1392" t="n"/>
      <c r="BA512" s="1392" t="n"/>
      <c r="BB512" s="1422" t="n"/>
      <c r="BC512" s="1392" t="n"/>
      <c r="BD512" s="1392" t="n"/>
      <c r="BE512" s="1392" t="n"/>
      <c r="BF512" s="1392" t="n"/>
      <c r="BG512" s="1392" t="n"/>
      <c r="BH512" s="1392" t="n"/>
      <c r="BI512" s="1392" t="n"/>
      <c r="BJ512" s="1392" t="n"/>
      <c r="BK512" s="1392" t="n"/>
      <c r="BL512" s="1392" t="n"/>
      <c r="BM512" s="1392" t="n"/>
      <c r="BN512" s="1392" t="n"/>
      <c r="BO512" s="1392" t="n"/>
      <c r="BP512" s="1392" t="n"/>
      <c r="BQ512" s="1392" t="n"/>
      <c r="BR512" s="1392" t="n"/>
      <c r="BS512" s="1392" t="n"/>
      <c r="BT512" s="1392" t="n"/>
      <c r="BU512" s="1416" t="n"/>
      <c r="BV512" s="1392" t="n"/>
      <c r="BW512" s="1392" t="n"/>
      <c r="BX512" s="1392" t="n"/>
      <c r="BY512" s="1392" t="n"/>
      <c r="BZ512" s="1416" t="n"/>
      <c r="CA512" s="1392" t="n"/>
      <c r="CB512" s="1392" t="n"/>
      <c r="CC512" s="1392" t="n"/>
      <c r="CD512" s="1392" t="n"/>
      <c r="CE512" s="1392" t="n"/>
      <c r="CF512" s="1392" t="n"/>
      <c r="CG512" s="1392" t="n"/>
      <c r="CH512" s="1392" t="n"/>
      <c r="CI512" s="1392" t="n"/>
      <c r="CJ512" s="1392" t="n"/>
      <c r="CK512" s="1392" t="n"/>
      <c r="CL512" s="1392" t="n"/>
    </row>
    <row r="513">
      <c r="A513" s="5" t="inlineStr">
        <is>
          <t>.</t>
        </is>
      </c>
      <c r="B513" s="5" t="inlineStr">
        <is>
          <t>.</t>
        </is>
      </c>
      <c r="C513" s="1378">
        <f>IF(raw[[#This Row],[city]]="","-",IF(raw[[#This Row],[city]]="TODAY","-",C512+1))</f>
        <v/>
      </c>
      <c r="D513" s="1393" t="inlineStr">
        <is>
          <t>TRAIN FRA</t>
        </is>
      </c>
      <c r="E513" s="1394" t="n">
        <v>36086</v>
      </c>
      <c r="F513" s="1394" t="n">
        <v>36086</v>
      </c>
      <c r="G513" s="1393" t="inlineStr">
        <is>
          <t>-</t>
        </is>
      </c>
      <c r="H513" s="1393">
        <f>H512</f>
        <v/>
      </c>
      <c r="I513" s="1393" t="inlineStr">
        <is>
          <t>CS</t>
        </is>
      </c>
      <c r="J513" s="1393" t="inlineStr">
        <is>
          <t>-</t>
        </is>
      </c>
      <c r="K513" s="1395">
        <f>IF(raw[[#This Row],[city]]&lt;&gt;"",_xlfn.XLOOKUP($D513,ccc[city],ccc[prov],"-"),"-")</f>
        <v/>
      </c>
      <c r="L513" s="1395">
        <f>IF(raw[[#This Row],[city]]&lt;&gt;"",_xlfn.XLOOKUP($D513,ccc[city],ccc[ctry],"-"),"-")</f>
        <v/>
      </c>
      <c r="M513" s="1395">
        <f>IF(raw[[#This Row],[city]]&lt;&gt;"",_xlfn.XLOOKUP($D513,ccc[city],ccc[cont],"-"),"-")</f>
        <v/>
      </c>
      <c r="N513" s="1396">
        <f>IF(raw[[#This Row],[city]]="","-",IF(raw[[#This Row],[cont]]="B",raw[[#This Row],[cont]],"W"))</f>
        <v/>
      </c>
      <c r="O513" s="1397">
        <f>IF(raw[[#This Row],[out]]=0,0,IF(raw[[#This Row],[out]]=raw[[#This Row],[in]],0.01,raw[[#This Row],[out]]-raw[[#This Row],[in]]))</f>
        <v/>
      </c>
      <c r="P513" s="1397">
        <f>IF(raw[[#This Row],[in]]=0,0,MONTH(raw[[#This Row],[in]]))</f>
        <v/>
      </c>
      <c r="Q513" s="1397">
        <f>IF(raw[[#This Row],[in]]=0,0,YEAR(raw[[#This Row],[in]]))</f>
        <v/>
      </c>
      <c r="R513" s="1397">
        <f>INT(raw[[#This Row],[yr]]/10)*10</f>
        <v/>
      </c>
      <c r="S513" s="1395">
        <f>IF(raw[[#This Row],[city]]="","-",IF(raw[[#This Row],[city]]&lt;&gt;_xlfn.XLOOKUP(raw[[#This Row],[home]],homes[home],homes[city],"-"),1,0))</f>
        <v/>
      </c>
      <c r="T513" s="1398" t="inlineStr">
        <is>
          <t>.</t>
        </is>
      </c>
      <c r="U513" s="1399">
        <f>IF(raw[[#This Row],[wb]]="w",raw[[#This Row],[stay]]+U512,U512)</f>
        <v/>
      </c>
      <c r="V513" s="1400">
        <f>IF(raw[[#This Row],[out]]=0,V512,(raw[[#This Row],[out]]-E$5))</f>
        <v/>
      </c>
      <c r="W513" s="1401">
        <f>U513/V513</f>
        <v/>
      </c>
      <c r="X513" s="1378" t="inlineStr">
        <is>
          <t>.</t>
        </is>
      </c>
      <c r="Y513" s="1402">
        <f/>
        <v/>
      </c>
      <c r="Z513" s="1403">
        <f/>
        <v/>
      </c>
      <c r="AA513" s="1403">
        <f/>
        <v/>
      </c>
      <c r="AB513" s="1400">
        <f t="array" ref="AB513">_xlfn.LET(_xlpm.S,_xlfn.ANCHORARRAY($Y$4),_xlpm.r,ROWS(stayCity[[#Headers],[city]]:stayCity[[#This Row],[city]])-1,IF(_xlpm.r&lt;=ROWS(_xlpm.S),INDEX(_xlpm.S,_xlpm.r,1),""))</f>
        <v/>
      </c>
      <c r="AC513" s="1405">
        <f t="array" ref="AC513">_xlfn.LET(_xlpm.S,_xlfn.ANCHORARRAY($Y$4),_xlpm.r,ROWS(stayCity[[#Headers],[city]]:stayCity[[#This Row],[city]])-1,IF(_xlpm.r&lt;=ROWS(_xlpm.S),INDEX(_xlpm.S,_xlpm.r,2),""))</f>
        <v/>
      </c>
      <c r="AD513" s="1405">
        <f t="array" ref="AD513">_xlfn.LET(_xlpm.S,_xlfn.ANCHORARRAY($Y$4),_xlpm.r,ROWS(stayCity[[#Headers],[city]]:stayCity[[#This Row],[city]])-1,IF(_xlpm.r&lt;=ROWS(_xlpm.S),INDEX(_xlpm.S,_xlpm.r,3),""))</f>
        <v/>
      </c>
      <c r="AE513" s="1400">
        <f>IF(stayCity[[#This Row],[out]]&lt;&gt;"",stayCity[[#This Row],[out]]-stayCity[[#This Row],[in]],"-")</f>
        <v/>
      </c>
      <c r="AF513" s="1406">
        <f>IF(Y513="","-",YEAR(stayCity[[#This Row],[in]]))</f>
        <v/>
      </c>
      <c r="AG513" s="1392" t="n"/>
      <c r="AH513" s="1392" t="n"/>
      <c r="AI513" s="1392" t="n"/>
      <c r="AJ513" s="1392" t="n"/>
      <c r="AK513" s="1392" t="n"/>
      <c r="AL513" s="1392" t="n"/>
      <c r="AM513" s="1392" t="n"/>
      <c r="AN513" s="1392" t="n"/>
      <c r="AO513" s="1392" t="n"/>
      <c r="AP513" s="1392" t="n"/>
      <c r="AQ513" s="1392" t="n"/>
      <c r="AR513" s="1392" t="n"/>
      <c r="AS513" s="1422" t="n"/>
      <c r="AT513" s="1392" t="n"/>
      <c r="AU513" s="1392" t="n"/>
      <c r="AV513" s="1392" t="n"/>
      <c r="AW513" s="1392" t="n"/>
      <c r="AX513" s="1392" t="n"/>
      <c r="AY513" s="1392" t="n"/>
      <c r="AZ513" s="1392" t="n"/>
      <c r="BA513" s="1392" t="n"/>
      <c r="BB513" s="1422" t="n"/>
      <c r="BC513" s="1392" t="n"/>
      <c r="BD513" s="1392" t="n"/>
      <c r="BE513" s="1392" t="n"/>
      <c r="BF513" s="1392" t="n"/>
      <c r="BG513" s="1392" t="n"/>
      <c r="BH513" s="1392" t="n"/>
      <c r="BI513" s="1392" t="n"/>
      <c r="BJ513" s="1392" t="n"/>
      <c r="BK513" s="1392" t="n"/>
      <c r="BL513" s="1392" t="n"/>
      <c r="BM513" s="1392" t="n"/>
      <c r="BN513" s="1392" t="n"/>
      <c r="BO513" s="1392" t="n"/>
      <c r="BP513" s="1392" t="n"/>
      <c r="BQ513" s="1392" t="n"/>
      <c r="BR513" s="1392" t="n"/>
      <c r="BS513" s="1392" t="n"/>
      <c r="BT513" s="1392" t="n"/>
      <c r="BU513" s="1416" t="n"/>
      <c r="BV513" s="1392" t="n"/>
      <c r="BW513" s="1392" t="n"/>
      <c r="BX513" s="1392" t="n"/>
      <c r="BY513" s="1392" t="n"/>
      <c r="BZ513" s="1416" t="n"/>
      <c r="CA513" s="1392" t="n"/>
      <c r="CB513" s="1392" t="n"/>
      <c r="CC513" s="1392" t="n"/>
      <c r="CD513" s="1392" t="n"/>
      <c r="CE513" s="1392" t="n"/>
      <c r="CF513" s="1392" t="n"/>
      <c r="CG513" s="1392" t="n"/>
      <c r="CH513" s="1392" t="n"/>
      <c r="CI513" s="1392" t="n"/>
      <c r="CJ513" s="1392" t="n"/>
      <c r="CK513" s="1392" t="n"/>
      <c r="CL513" s="1392" t="n"/>
    </row>
    <row r="514">
      <c r="A514" s="5" t="inlineStr">
        <is>
          <t>.</t>
        </is>
      </c>
      <c r="B514" s="5" t="inlineStr">
        <is>
          <t>.</t>
        </is>
      </c>
      <c r="C514" s="1378">
        <f>IF(raw[[#This Row],[city]]="","-",IF(raw[[#This Row],[city]]="TODAY","-",C513+1))</f>
        <v/>
      </c>
      <c r="D514" s="1393" t="inlineStr">
        <is>
          <t>St. Jean Pied-de-Port</t>
        </is>
      </c>
      <c r="E514" s="1394" t="n">
        <v>36086</v>
      </c>
      <c r="F514" s="1394" t="n">
        <v>36087</v>
      </c>
      <c r="G514" s="1393" t="inlineStr">
        <is>
          <t>-</t>
        </is>
      </c>
      <c r="H514" s="1393">
        <f>H513</f>
        <v/>
      </c>
      <c r="I514" s="1393" t="inlineStr">
        <is>
          <t>CS</t>
        </is>
      </c>
      <c r="J514" s="1393" t="inlineStr">
        <is>
          <t>-</t>
        </is>
      </c>
      <c r="K514" s="1395">
        <f>IF(raw[[#This Row],[city]]&lt;&gt;"",_xlfn.XLOOKUP($D514,ccc[city],ccc[prov],"-"),"-")</f>
        <v/>
      </c>
      <c r="L514" s="1395">
        <f>IF(raw[[#This Row],[city]]&lt;&gt;"",_xlfn.XLOOKUP($D514,ccc[city],ccc[ctry],"-"),"-")</f>
        <v/>
      </c>
      <c r="M514" s="1395">
        <f>IF(raw[[#This Row],[city]]&lt;&gt;"",_xlfn.XLOOKUP($D514,ccc[city],ccc[cont],"-"),"-")</f>
        <v/>
      </c>
      <c r="N514" s="1396">
        <f>IF(raw[[#This Row],[city]]="","-",IF(raw[[#This Row],[cont]]="B",raw[[#This Row],[cont]],"W"))</f>
        <v/>
      </c>
      <c r="O514" s="1397">
        <f>IF(raw[[#This Row],[out]]=0,0,IF(raw[[#This Row],[out]]=raw[[#This Row],[in]],0.01,raw[[#This Row],[out]]-raw[[#This Row],[in]]))</f>
        <v/>
      </c>
      <c r="P514" s="1397">
        <f>IF(raw[[#This Row],[in]]=0,0,MONTH(raw[[#This Row],[in]]))</f>
        <v/>
      </c>
      <c r="Q514" s="1397">
        <f>IF(raw[[#This Row],[in]]=0,0,YEAR(raw[[#This Row],[in]]))</f>
        <v/>
      </c>
      <c r="R514" s="1397">
        <f>INT(raw[[#This Row],[yr]]/10)*10</f>
        <v/>
      </c>
      <c r="S514" s="1395">
        <f>IF(raw[[#This Row],[city]]="","-",IF(raw[[#This Row],[city]]&lt;&gt;_xlfn.XLOOKUP(raw[[#This Row],[home]],homes[home],homes[city],"-"),1,0))</f>
        <v/>
      </c>
      <c r="T514" s="1398" t="inlineStr">
        <is>
          <t>.</t>
        </is>
      </c>
      <c r="U514" s="1399">
        <f>IF(raw[[#This Row],[wb]]="w",raw[[#This Row],[stay]]+U513,U513)</f>
        <v/>
      </c>
      <c r="V514" s="1400">
        <f>IF(raw[[#This Row],[out]]=0,V513,(raw[[#This Row],[out]]-E$5))</f>
        <v/>
      </c>
      <c r="W514" s="1401">
        <f>U514/V514</f>
        <v/>
      </c>
      <c r="X514" s="1378" t="inlineStr">
        <is>
          <t>.</t>
        </is>
      </c>
      <c r="Y514" s="1402">
        <f/>
        <v/>
      </c>
      <c r="Z514" s="1403">
        <f/>
        <v/>
      </c>
      <c r="AA514" s="1403">
        <f/>
        <v/>
      </c>
      <c r="AB514" s="1400">
        <f t="array" ref="AB514">_xlfn.LET(_xlpm.S,_xlfn.ANCHORARRAY($Y$4),_xlpm.r,ROWS(stayCity[[#Headers],[city]]:stayCity[[#This Row],[city]])-1,IF(_xlpm.r&lt;=ROWS(_xlpm.S),INDEX(_xlpm.S,_xlpm.r,1),""))</f>
        <v/>
      </c>
      <c r="AC514" s="1405">
        <f t="array" ref="AC514">_xlfn.LET(_xlpm.S,_xlfn.ANCHORARRAY($Y$4),_xlpm.r,ROWS(stayCity[[#Headers],[city]]:stayCity[[#This Row],[city]])-1,IF(_xlpm.r&lt;=ROWS(_xlpm.S),INDEX(_xlpm.S,_xlpm.r,2),""))</f>
        <v/>
      </c>
      <c r="AD514" s="1405">
        <f t="array" ref="AD514">_xlfn.LET(_xlpm.S,_xlfn.ANCHORARRAY($Y$4),_xlpm.r,ROWS(stayCity[[#Headers],[city]]:stayCity[[#This Row],[city]])-1,IF(_xlpm.r&lt;=ROWS(_xlpm.S),INDEX(_xlpm.S,_xlpm.r,3),""))</f>
        <v/>
      </c>
      <c r="AE514" s="1400">
        <f>IF(stayCity[[#This Row],[out]]&lt;&gt;"",stayCity[[#This Row],[out]]-stayCity[[#This Row],[in]],"-")</f>
        <v/>
      </c>
      <c r="AF514" s="1406">
        <f>IF(Y514="","-",YEAR(stayCity[[#This Row],[in]]))</f>
        <v/>
      </c>
      <c r="AG514" s="1392" t="n"/>
      <c r="AH514" s="1392" t="n"/>
      <c r="AI514" s="1392" t="n"/>
      <c r="AJ514" s="1392" t="n"/>
      <c r="AK514" s="1392" t="n"/>
      <c r="AL514" s="1392" t="n"/>
      <c r="AM514" s="1392" t="n"/>
      <c r="AN514" s="1392" t="n"/>
      <c r="AO514" s="1392" t="n"/>
      <c r="AP514" s="1392" t="n"/>
      <c r="AQ514" s="1392" t="n"/>
      <c r="AR514" s="1392" t="n"/>
      <c r="AS514" s="1422" t="n"/>
      <c r="AT514" s="1392" t="n"/>
      <c r="AU514" s="1392" t="n"/>
      <c r="AV514" s="1392" t="n"/>
      <c r="AW514" s="1392" t="n"/>
      <c r="AX514" s="1392" t="n"/>
      <c r="AY514" s="1392" t="n"/>
      <c r="AZ514" s="1392" t="n"/>
      <c r="BA514" s="1392" t="n"/>
      <c r="BB514" s="1422" t="n"/>
      <c r="BC514" s="1392" t="n"/>
      <c r="BD514" s="1392" t="n"/>
      <c r="BE514" s="1392" t="n"/>
      <c r="BF514" s="1392" t="n"/>
      <c r="BG514" s="1392" t="n"/>
      <c r="BH514" s="1392" t="n"/>
      <c r="BI514" s="1392" t="n"/>
      <c r="BJ514" s="1392" t="n"/>
      <c r="BK514" s="1392" t="n"/>
      <c r="BL514" s="1392" t="n"/>
      <c r="BM514" s="1392" t="n"/>
      <c r="BN514" s="1392" t="n"/>
      <c r="BO514" s="1392" t="n"/>
      <c r="BP514" s="1392" t="n"/>
      <c r="BQ514" s="1392" t="n"/>
      <c r="BR514" s="1392" t="n"/>
      <c r="BS514" s="1392" t="n"/>
      <c r="BT514" s="1392" t="n"/>
      <c r="BU514" s="1416" t="n"/>
      <c r="BV514" s="1392" t="n"/>
      <c r="BW514" s="1392" t="n"/>
      <c r="BX514" s="1392" t="n"/>
      <c r="BY514" s="1392" t="n"/>
      <c r="BZ514" s="1416" t="n"/>
      <c r="CA514" s="1392" t="n"/>
      <c r="CB514" s="1392" t="n"/>
      <c r="CC514" s="1392" t="n"/>
      <c r="CD514" s="1392" t="n"/>
      <c r="CE514" s="1392" t="n"/>
      <c r="CF514" s="1392" t="n"/>
      <c r="CG514" s="1392" t="n"/>
      <c r="CH514" s="1392" t="n"/>
      <c r="CI514" s="1392" t="n"/>
      <c r="CJ514" s="1392" t="n"/>
      <c r="CK514" s="1392" t="n"/>
      <c r="CL514" s="1392" t="n"/>
    </row>
    <row r="515">
      <c r="A515" s="5" t="inlineStr">
        <is>
          <t>.</t>
        </is>
      </c>
      <c r="B515" s="5" t="inlineStr">
        <is>
          <t>.</t>
        </is>
      </c>
      <c r="C515" s="1378">
        <f>IF(raw[[#This Row],[city]]="","-",IF(raw[[#This Row],[city]]="TODAY","-",C514+1))</f>
        <v/>
      </c>
      <c r="D515" s="1393" t="inlineStr">
        <is>
          <t>Arneguy</t>
        </is>
      </c>
      <c r="E515" s="1394" t="n">
        <v>36087</v>
      </c>
      <c r="F515" s="1394" t="n">
        <v>36087</v>
      </c>
      <c r="G515" s="1393" t="inlineStr">
        <is>
          <t>-</t>
        </is>
      </c>
      <c r="H515" s="1393">
        <f>H514</f>
        <v/>
      </c>
      <c r="I515" s="1393" t="inlineStr">
        <is>
          <t>CS</t>
        </is>
      </c>
      <c r="J515" s="1393" t="inlineStr">
        <is>
          <t>-</t>
        </is>
      </c>
      <c r="K515" s="1395">
        <f>IF(raw[[#This Row],[city]]&lt;&gt;"",_xlfn.XLOOKUP($D515,ccc[city],ccc[prov],"-"),"-")</f>
        <v/>
      </c>
      <c r="L515" s="1395">
        <f>IF(raw[[#This Row],[city]]&lt;&gt;"",_xlfn.XLOOKUP($D515,ccc[city],ccc[ctry],"-"),"-")</f>
        <v/>
      </c>
      <c r="M515" s="1395">
        <f>IF(raw[[#This Row],[city]]&lt;&gt;"",_xlfn.XLOOKUP($D515,ccc[city],ccc[cont],"-"),"-")</f>
        <v/>
      </c>
      <c r="N515" s="1396">
        <f>IF(raw[[#This Row],[city]]="","-",IF(raw[[#This Row],[cont]]="B",raw[[#This Row],[cont]],"W"))</f>
        <v/>
      </c>
      <c r="O515" s="1397">
        <f>IF(raw[[#This Row],[out]]=0,0,IF(raw[[#This Row],[out]]=raw[[#This Row],[in]],0.01,raw[[#This Row],[out]]-raw[[#This Row],[in]]))</f>
        <v/>
      </c>
      <c r="P515" s="1397">
        <f>IF(raw[[#This Row],[in]]=0,0,MONTH(raw[[#This Row],[in]]))</f>
        <v/>
      </c>
      <c r="Q515" s="1397">
        <f>IF(raw[[#This Row],[in]]=0,0,YEAR(raw[[#This Row],[in]]))</f>
        <v/>
      </c>
      <c r="R515" s="1397">
        <f>INT(raw[[#This Row],[yr]]/10)*10</f>
        <v/>
      </c>
      <c r="S515" s="1395">
        <f>IF(raw[[#This Row],[city]]="","-",IF(raw[[#This Row],[city]]&lt;&gt;_xlfn.XLOOKUP(raw[[#This Row],[home]],homes[home],homes[city],"-"),1,0))</f>
        <v/>
      </c>
      <c r="T515" s="1398" t="inlineStr">
        <is>
          <t>.</t>
        </is>
      </c>
      <c r="U515" s="1399">
        <f>IF(raw[[#This Row],[wb]]="w",raw[[#This Row],[stay]]+U514,U514)</f>
        <v/>
      </c>
      <c r="V515" s="1400">
        <f>IF(raw[[#This Row],[out]]=0,V514,(raw[[#This Row],[out]]-E$5))</f>
        <v/>
      </c>
      <c r="W515" s="1401">
        <f>U515/V515</f>
        <v/>
      </c>
      <c r="X515" s="1378" t="inlineStr">
        <is>
          <t>.</t>
        </is>
      </c>
      <c r="Y515" s="1402">
        <f/>
        <v/>
      </c>
      <c r="Z515" s="1403">
        <f/>
        <v/>
      </c>
      <c r="AA515" s="1403">
        <f/>
        <v/>
      </c>
      <c r="AB515" s="1400">
        <f t="array" ref="AB515">_xlfn.LET(_xlpm.S,_xlfn.ANCHORARRAY($Y$4),_xlpm.r,ROWS(stayCity[[#Headers],[city]]:stayCity[[#This Row],[city]])-1,IF(_xlpm.r&lt;=ROWS(_xlpm.S),INDEX(_xlpm.S,_xlpm.r,1),""))</f>
        <v/>
      </c>
      <c r="AC515" s="1405">
        <f t="array" ref="AC515">_xlfn.LET(_xlpm.S,_xlfn.ANCHORARRAY($Y$4),_xlpm.r,ROWS(stayCity[[#Headers],[city]]:stayCity[[#This Row],[city]])-1,IF(_xlpm.r&lt;=ROWS(_xlpm.S),INDEX(_xlpm.S,_xlpm.r,2),""))</f>
        <v/>
      </c>
      <c r="AD515" s="1405">
        <f t="array" ref="AD515">_xlfn.LET(_xlpm.S,_xlfn.ANCHORARRAY($Y$4),_xlpm.r,ROWS(stayCity[[#Headers],[city]]:stayCity[[#This Row],[city]])-1,IF(_xlpm.r&lt;=ROWS(_xlpm.S),INDEX(_xlpm.S,_xlpm.r,3),""))</f>
        <v/>
      </c>
      <c r="AE515" s="1400">
        <f>IF(stayCity[[#This Row],[out]]&lt;&gt;"",stayCity[[#This Row],[out]]-stayCity[[#This Row],[in]],"-")</f>
        <v/>
      </c>
      <c r="AF515" s="1406">
        <f>IF(Y515="","-",YEAR(stayCity[[#This Row],[in]]))</f>
        <v/>
      </c>
      <c r="AG515" s="1392" t="n"/>
      <c r="AH515" s="1392" t="n"/>
      <c r="AI515" s="1392" t="n"/>
      <c r="AJ515" s="1392" t="n"/>
      <c r="AK515" s="1392" t="n"/>
      <c r="AL515" s="1392" t="n"/>
      <c r="AM515" s="1392" t="n"/>
      <c r="AN515" s="1392" t="n"/>
      <c r="AO515" s="1392" t="n"/>
      <c r="AP515" s="1392" t="n"/>
      <c r="AQ515" s="1392" t="n"/>
      <c r="AR515" s="1392" t="n"/>
      <c r="AS515" s="1422" t="n"/>
      <c r="AT515" s="1392" t="n"/>
      <c r="AU515" s="1392" t="n"/>
      <c r="AV515" s="1392" t="n"/>
      <c r="AW515" s="1392" t="n"/>
      <c r="AX515" s="1392" t="n"/>
      <c r="AY515" s="1392" t="n"/>
      <c r="AZ515" s="1392" t="n"/>
      <c r="BA515" s="1392" t="n"/>
      <c r="BB515" s="1422" t="n"/>
      <c r="BC515" s="1392" t="n"/>
      <c r="BD515" s="1392" t="n"/>
      <c r="BE515" s="1392" t="n"/>
      <c r="BF515" s="1392" t="n"/>
      <c r="BG515" s="1392" t="n"/>
      <c r="BH515" s="1392" t="n"/>
      <c r="BI515" s="1392" t="n"/>
      <c r="BJ515" s="1392" t="n"/>
      <c r="BK515" s="1392" t="n"/>
      <c r="BL515" s="1392" t="n"/>
      <c r="BM515" s="1392" t="n"/>
      <c r="BN515" s="1392" t="n"/>
      <c r="BO515" s="1392" t="n"/>
      <c r="BP515" s="1392" t="n"/>
      <c r="BQ515" s="1392" t="n"/>
      <c r="BR515" s="1392" t="n"/>
      <c r="BS515" s="1392" t="n"/>
      <c r="BT515" s="1392" t="n"/>
      <c r="BU515" s="1416" t="n"/>
      <c r="BV515" s="1392" t="n"/>
      <c r="BW515" s="1392" t="n"/>
      <c r="BX515" s="1392" t="n"/>
      <c r="BY515" s="1392" t="n"/>
      <c r="BZ515" s="1416" t="n"/>
      <c r="CA515" s="1392" t="n"/>
      <c r="CB515" s="1392" t="n"/>
      <c r="CC515" s="1392" t="n"/>
      <c r="CD515" s="1392" t="n"/>
      <c r="CE515" s="1392" t="n"/>
      <c r="CF515" s="1392" t="n"/>
      <c r="CG515" s="1392" t="n"/>
      <c r="CH515" s="1392" t="n"/>
      <c r="CI515" s="1392" t="n"/>
      <c r="CJ515" s="1392" t="n"/>
      <c r="CK515" s="1392" t="n"/>
      <c r="CL515" s="1392" t="n"/>
    </row>
    <row r="516">
      <c r="A516" s="5" t="inlineStr">
        <is>
          <t>.</t>
        </is>
      </c>
      <c r="B516" s="5" t="inlineStr">
        <is>
          <t>.</t>
        </is>
      </c>
      <c r="C516" s="1378">
        <f>IF(raw[[#This Row],[city]]="","-",IF(raw[[#This Row],[city]]="TODAY","-",C515+1))</f>
        <v/>
      </c>
      <c r="D516" s="1393" t="inlineStr">
        <is>
          <t>Valcarlos</t>
        </is>
      </c>
      <c r="E516" s="1394" t="n">
        <v>36087</v>
      </c>
      <c r="F516" s="1394" t="n">
        <v>36087</v>
      </c>
      <c r="G516" s="1393" t="inlineStr">
        <is>
          <t>-</t>
        </is>
      </c>
      <c r="H516" s="1393">
        <f>H515</f>
        <v/>
      </c>
      <c r="I516" s="1393" t="inlineStr">
        <is>
          <t>CS</t>
        </is>
      </c>
      <c r="J516" s="1393" t="inlineStr">
        <is>
          <t>-</t>
        </is>
      </c>
      <c r="K516" s="1395">
        <f>IF(raw[[#This Row],[city]]&lt;&gt;"",_xlfn.XLOOKUP($D516,ccc[city],ccc[prov],"-"),"-")</f>
        <v/>
      </c>
      <c r="L516" s="1395">
        <f>IF(raw[[#This Row],[city]]&lt;&gt;"",_xlfn.XLOOKUP($D516,ccc[city],ccc[ctry],"-"),"-")</f>
        <v/>
      </c>
      <c r="M516" s="1395">
        <f>IF(raw[[#This Row],[city]]&lt;&gt;"",_xlfn.XLOOKUP($D516,ccc[city],ccc[cont],"-"),"-")</f>
        <v/>
      </c>
      <c r="N516" s="1396">
        <f>IF(raw[[#This Row],[city]]="","-",IF(raw[[#This Row],[cont]]="B",raw[[#This Row],[cont]],"W"))</f>
        <v/>
      </c>
      <c r="O516" s="1397">
        <f>IF(raw[[#This Row],[out]]=0,0,IF(raw[[#This Row],[out]]=raw[[#This Row],[in]],0.01,raw[[#This Row],[out]]-raw[[#This Row],[in]]))</f>
        <v/>
      </c>
      <c r="P516" s="1397">
        <f>IF(raw[[#This Row],[in]]=0,0,MONTH(raw[[#This Row],[in]]))</f>
        <v/>
      </c>
      <c r="Q516" s="1397">
        <f>IF(raw[[#This Row],[in]]=0,0,YEAR(raw[[#This Row],[in]]))</f>
        <v/>
      </c>
      <c r="R516" s="1397">
        <f>INT(raw[[#This Row],[yr]]/10)*10</f>
        <v/>
      </c>
      <c r="S516" s="1395">
        <f>IF(raw[[#This Row],[city]]="","-",IF(raw[[#This Row],[city]]&lt;&gt;_xlfn.XLOOKUP(raw[[#This Row],[home]],homes[home],homes[city],"-"),1,0))</f>
        <v/>
      </c>
      <c r="T516" s="1398" t="inlineStr">
        <is>
          <t>.</t>
        </is>
      </c>
      <c r="U516" s="1399">
        <f>IF(raw[[#This Row],[wb]]="w",raw[[#This Row],[stay]]+U515,U515)</f>
        <v/>
      </c>
      <c r="V516" s="1400">
        <f>IF(raw[[#This Row],[out]]=0,V515,(raw[[#This Row],[out]]-E$5))</f>
        <v/>
      </c>
      <c r="W516" s="1401">
        <f>U516/V516</f>
        <v/>
      </c>
      <c r="X516" s="1378" t="inlineStr">
        <is>
          <t>.</t>
        </is>
      </c>
      <c r="Y516" s="1402">
        <f/>
        <v/>
      </c>
      <c r="Z516" s="1403">
        <f/>
        <v/>
      </c>
      <c r="AA516" s="1403">
        <f/>
        <v/>
      </c>
      <c r="AB516" s="1400">
        <f t="array" ref="AB516">_xlfn.LET(_xlpm.S,_xlfn.ANCHORARRAY($Y$4),_xlpm.r,ROWS(stayCity[[#Headers],[city]]:stayCity[[#This Row],[city]])-1,IF(_xlpm.r&lt;=ROWS(_xlpm.S),INDEX(_xlpm.S,_xlpm.r,1),""))</f>
        <v/>
      </c>
      <c r="AC516" s="1405">
        <f t="array" ref="AC516">_xlfn.LET(_xlpm.S,_xlfn.ANCHORARRAY($Y$4),_xlpm.r,ROWS(stayCity[[#Headers],[city]]:stayCity[[#This Row],[city]])-1,IF(_xlpm.r&lt;=ROWS(_xlpm.S),INDEX(_xlpm.S,_xlpm.r,2),""))</f>
        <v/>
      </c>
      <c r="AD516" s="1405">
        <f t="array" ref="AD516">_xlfn.LET(_xlpm.S,_xlfn.ANCHORARRAY($Y$4),_xlpm.r,ROWS(stayCity[[#Headers],[city]]:stayCity[[#This Row],[city]])-1,IF(_xlpm.r&lt;=ROWS(_xlpm.S),INDEX(_xlpm.S,_xlpm.r,3),""))</f>
        <v/>
      </c>
      <c r="AE516" s="1400">
        <f>IF(stayCity[[#This Row],[out]]&lt;&gt;"",stayCity[[#This Row],[out]]-stayCity[[#This Row],[in]],"-")</f>
        <v/>
      </c>
      <c r="AF516" s="1406">
        <f>IF(Y516="","-",YEAR(stayCity[[#This Row],[in]]))</f>
        <v/>
      </c>
      <c r="AG516" s="1392" t="n"/>
      <c r="AH516" s="1392" t="n"/>
      <c r="AI516" s="1392" t="n"/>
      <c r="AJ516" s="1392" t="n"/>
      <c r="AK516" s="1392" t="n"/>
      <c r="AL516" s="1392" t="n"/>
      <c r="AM516" s="1392" t="n"/>
      <c r="AN516" s="1392" t="n"/>
      <c r="AO516" s="1392" t="n"/>
      <c r="AP516" s="1392" t="n"/>
      <c r="AQ516" s="1392" t="n"/>
      <c r="AR516" s="1392" t="n"/>
      <c r="AS516" s="1422" t="n"/>
      <c r="AT516" s="1392" t="n"/>
      <c r="AU516" s="1392" t="n"/>
      <c r="AV516" s="1392" t="n"/>
      <c r="AW516" s="1392" t="n"/>
      <c r="AX516" s="1392" t="n"/>
      <c r="AY516" s="1392" t="n"/>
      <c r="AZ516" s="1392" t="n"/>
      <c r="BA516" s="1392" t="n"/>
      <c r="BB516" s="1422" t="n"/>
      <c r="BC516" s="1392" t="n"/>
      <c r="BD516" s="1392" t="n"/>
      <c r="BE516" s="1392" t="n"/>
      <c r="BF516" s="1392" t="n"/>
      <c r="BG516" s="1392" t="n"/>
      <c r="BH516" s="1392" t="n"/>
      <c r="BI516" s="1392" t="n"/>
      <c r="BJ516" s="1392" t="n"/>
      <c r="BK516" s="1392" t="n"/>
      <c r="BL516" s="1392" t="n"/>
      <c r="BM516" s="1392" t="n"/>
      <c r="BN516" s="1392" t="n"/>
      <c r="BO516" s="1392" t="n"/>
      <c r="BP516" s="1392" t="n"/>
      <c r="BQ516" s="1392" t="n"/>
      <c r="BR516" s="1392" t="n"/>
      <c r="BS516" s="1392" t="n"/>
      <c r="BT516" s="1392" t="n"/>
      <c r="BU516" s="1416" t="n"/>
      <c r="BV516" s="1392" t="n"/>
      <c r="BW516" s="1392" t="n"/>
      <c r="BX516" s="1392" t="n"/>
      <c r="BY516" s="1392" t="n"/>
      <c r="BZ516" s="1416" t="n"/>
      <c r="CA516" s="1392" t="n"/>
      <c r="CB516" s="1392" t="n"/>
      <c r="CC516" s="1392" t="n"/>
      <c r="CD516" s="1392" t="n"/>
      <c r="CE516" s="1392" t="n"/>
      <c r="CF516" s="1392" t="n"/>
      <c r="CG516" s="1392" t="n"/>
      <c r="CH516" s="1392" t="n"/>
      <c r="CI516" s="1392" t="n"/>
      <c r="CJ516" s="1392" t="n"/>
      <c r="CK516" s="1392" t="n"/>
      <c r="CL516" s="1392" t="n"/>
    </row>
    <row r="517">
      <c r="A517" s="5" t="inlineStr">
        <is>
          <t>.</t>
        </is>
      </c>
      <c r="B517" s="5" t="inlineStr">
        <is>
          <t>.</t>
        </is>
      </c>
      <c r="C517" s="1378">
        <f>IF(raw[[#This Row],[city]]="","-",IF(raw[[#This Row],[city]]="TODAY","-",C516+1))</f>
        <v/>
      </c>
      <c r="D517" s="1393" t="inlineStr">
        <is>
          <t>El Alto de Ibaneta</t>
        </is>
      </c>
      <c r="E517" s="1394" t="n">
        <v>36087</v>
      </c>
      <c r="F517" s="1394" t="n">
        <v>36087</v>
      </c>
      <c r="G517" s="1393" t="inlineStr">
        <is>
          <t>-</t>
        </is>
      </c>
      <c r="H517" s="1393">
        <f>H516</f>
        <v/>
      </c>
      <c r="I517" s="1393" t="inlineStr">
        <is>
          <t>CS</t>
        </is>
      </c>
      <c r="J517" s="1393" t="inlineStr">
        <is>
          <t>-</t>
        </is>
      </c>
      <c r="K517" s="1395">
        <f>IF(raw[[#This Row],[city]]&lt;&gt;"",_xlfn.XLOOKUP($D517,ccc[city],ccc[prov],"-"),"-")</f>
        <v/>
      </c>
      <c r="L517" s="1395">
        <f>IF(raw[[#This Row],[city]]&lt;&gt;"",_xlfn.XLOOKUP($D517,ccc[city],ccc[ctry],"-"),"-")</f>
        <v/>
      </c>
      <c r="M517" s="1395">
        <f>IF(raw[[#This Row],[city]]&lt;&gt;"",_xlfn.XLOOKUP($D517,ccc[city],ccc[cont],"-"),"-")</f>
        <v/>
      </c>
      <c r="N517" s="1396">
        <f>IF(raw[[#This Row],[city]]="","-",IF(raw[[#This Row],[cont]]="B",raw[[#This Row],[cont]],"W"))</f>
        <v/>
      </c>
      <c r="O517" s="1397">
        <f>IF(raw[[#This Row],[out]]=0,0,IF(raw[[#This Row],[out]]=raw[[#This Row],[in]],0.01,raw[[#This Row],[out]]-raw[[#This Row],[in]]))</f>
        <v/>
      </c>
      <c r="P517" s="1397">
        <f>IF(raw[[#This Row],[in]]=0,0,MONTH(raw[[#This Row],[in]]))</f>
        <v/>
      </c>
      <c r="Q517" s="1397">
        <f>IF(raw[[#This Row],[in]]=0,0,YEAR(raw[[#This Row],[in]]))</f>
        <v/>
      </c>
      <c r="R517" s="1397">
        <f>INT(raw[[#This Row],[yr]]/10)*10</f>
        <v/>
      </c>
      <c r="S517" s="1395">
        <f>IF(raw[[#This Row],[city]]="","-",IF(raw[[#This Row],[city]]&lt;&gt;_xlfn.XLOOKUP(raw[[#This Row],[home]],homes[home],homes[city],"-"),1,0))</f>
        <v/>
      </c>
      <c r="T517" s="1398" t="inlineStr">
        <is>
          <t>.</t>
        </is>
      </c>
      <c r="U517" s="1399">
        <f>IF(raw[[#This Row],[wb]]="w",raw[[#This Row],[stay]]+U516,U516)</f>
        <v/>
      </c>
      <c r="V517" s="1400">
        <f>IF(raw[[#This Row],[out]]=0,V516,(raw[[#This Row],[out]]-E$5))</f>
        <v/>
      </c>
      <c r="W517" s="1401">
        <f>U517/V517</f>
        <v/>
      </c>
      <c r="X517" s="1378" t="inlineStr">
        <is>
          <t>.</t>
        </is>
      </c>
      <c r="Y517" s="1402">
        <f/>
        <v/>
      </c>
      <c r="Z517" s="1403">
        <f/>
        <v/>
      </c>
      <c r="AA517" s="1403">
        <f/>
        <v/>
      </c>
      <c r="AB517" s="1400">
        <f t="array" ref="AB517">_xlfn.LET(_xlpm.S,_xlfn.ANCHORARRAY($Y$4),_xlpm.r,ROWS(stayCity[[#Headers],[city]]:stayCity[[#This Row],[city]])-1,IF(_xlpm.r&lt;=ROWS(_xlpm.S),INDEX(_xlpm.S,_xlpm.r,1),""))</f>
        <v/>
      </c>
      <c r="AC517" s="1405">
        <f t="array" ref="AC517">_xlfn.LET(_xlpm.S,_xlfn.ANCHORARRAY($Y$4),_xlpm.r,ROWS(stayCity[[#Headers],[city]]:stayCity[[#This Row],[city]])-1,IF(_xlpm.r&lt;=ROWS(_xlpm.S),INDEX(_xlpm.S,_xlpm.r,2),""))</f>
        <v/>
      </c>
      <c r="AD517" s="1405">
        <f t="array" ref="AD517">_xlfn.LET(_xlpm.S,_xlfn.ANCHORARRAY($Y$4),_xlpm.r,ROWS(stayCity[[#Headers],[city]]:stayCity[[#This Row],[city]])-1,IF(_xlpm.r&lt;=ROWS(_xlpm.S),INDEX(_xlpm.S,_xlpm.r,3),""))</f>
        <v/>
      </c>
      <c r="AE517" s="1400">
        <f>IF(stayCity[[#This Row],[out]]&lt;&gt;"",stayCity[[#This Row],[out]]-stayCity[[#This Row],[in]],"-")</f>
        <v/>
      </c>
      <c r="AF517" s="1406">
        <f>IF(Y517="","-",YEAR(stayCity[[#This Row],[in]]))</f>
        <v/>
      </c>
      <c r="AG517" s="1392" t="n"/>
      <c r="AH517" s="1392" t="n"/>
      <c r="AI517" s="1392" t="n"/>
      <c r="AJ517" s="1392" t="n"/>
      <c r="AK517" s="1392" t="n"/>
      <c r="AL517" s="1392" t="n"/>
      <c r="AM517" s="1392" t="n"/>
      <c r="AN517" s="1392" t="n"/>
      <c r="AO517" s="1392" t="n"/>
      <c r="AP517" s="1392" t="n"/>
      <c r="AQ517" s="1392" t="n"/>
      <c r="AR517" s="1392" t="n"/>
      <c r="AS517" s="1422" t="n"/>
      <c r="AT517" s="1392" t="n"/>
      <c r="AU517" s="1392" t="n"/>
      <c r="AV517" s="1392" t="n"/>
      <c r="AW517" s="1392" t="n"/>
      <c r="AX517" s="1392" t="n"/>
      <c r="AY517" s="1392" t="n"/>
      <c r="AZ517" s="1392" t="n"/>
      <c r="BA517" s="1392" t="n"/>
      <c r="BB517" s="1422" t="n"/>
      <c r="BC517" s="1392" t="n"/>
      <c r="BD517" s="1392" t="n"/>
      <c r="BE517" s="1392" t="n"/>
      <c r="BF517" s="1392" t="n"/>
      <c r="BG517" s="1392" t="n"/>
      <c r="BH517" s="1392" t="n"/>
      <c r="BI517" s="1392" t="n"/>
      <c r="BJ517" s="1392" t="n"/>
      <c r="BK517" s="1392" t="n"/>
      <c r="BL517" s="1392" t="n"/>
      <c r="BM517" s="1392" t="n"/>
      <c r="BN517" s="1392" t="n"/>
      <c r="BO517" s="1392" t="n"/>
      <c r="BP517" s="1392" t="n"/>
      <c r="BQ517" s="1392" t="n"/>
      <c r="BR517" s="1392" t="n"/>
      <c r="BS517" s="1392" t="n"/>
      <c r="BT517" s="1392" t="n"/>
      <c r="BU517" s="1416" t="n"/>
      <c r="BV517" s="1392" t="n"/>
      <c r="BW517" s="1392" t="n"/>
      <c r="BX517" s="1392" t="n"/>
      <c r="BY517" s="1392" t="n"/>
      <c r="BZ517" s="1416" t="n"/>
      <c r="CA517" s="1392" t="n"/>
      <c r="CB517" s="1392" t="n"/>
      <c r="CC517" s="1392" t="n"/>
      <c r="CD517" s="1392" t="n"/>
      <c r="CE517" s="1392" t="n"/>
      <c r="CF517" s="1392" t="n"/>
      <c r="CG517" s="1392" t="n"/>
      <c r="CH517" s="1392" t="n"/>
      <c r="CI517" s="1392" t="n"/>
      <c r="CJ517" s="1392" t="n"/>
      <c r="CK517" s="1392" t="n"/>
      <c r="CL517" s="1392" t="n"/>
    </row>
    <row r="518">
      <c r="A518" s="5" t="inlineStr">
        <is>
          <t>.</t>
        </is>
      </c>
      <c r="B518" s="5" t="inlineStr">
        <is>
          <t>.</t>
        </is>
      </c>
      <c r="C518" s="1378">
        <f>IF(raw[[#This Row],[city]]="","-",IF(raw[[#This Row],[city]]="TODAY","-",C517+1))</f>
        <v/>
      </c>
      <c r="D518" s="1393" t="inlineStr">
        <is>
          <t>Roncevalles</t>
        </is>
      </c>
      <c r="E518" s="1394" t="n">
        <v>36087</v>
      </c>
      <c r="F518" s="1394" t="n">
        <v>36088</v>
      </c>
      <c r="G518" s="1393" t="inlineStr">
        <is>
          <t>-</t>
        </is>
      </c>
      <c r="H518" s="1393">
        <f>H517</f>
        <v/>
      </c>
      <c r="I518" s="1393" t="inlineStr">
        <is>
          <t>CS</t>
        </is>
      </c>
      <c r="J518" s="1393" t="inlineStr">
        <is>
          <t>-</t>
        </is>
      </c>
      <c r="K518" s="1395">
        <f>IF(raw[[#This Row],[city]]&lt;&gt;"",_xlfn.XLOOKUP($D518,ccc[city],ccc[prov],"-"),"-")</f>
        <v/>
      </c>
      <c r="L518" s="1395">
        <f>IF(raw[[#This Row],[city]]&lt;&gt;"",_xlfn.XLOOKUP($D518,ccc[city],ccc[ctry],"-"),"-")</f>
        <v/>
      </c>
      <c r="M518" s="1395">
        <f>IF(raw[[#This Row],[city]]&lt;&gt;"",_xlfn.XLOOKUP($D518,ccc[city],ccc[cont],"-"),"-")</f>
        <v/>
      </c>
      <c r="N518" s="1396">
        <f>IF(raw[[#This Row],[city]]="","-",IF(raw[[#This Row],[cont]]="B",raw[[#This Row],[cont]],"W"))</f>
        <v/>
      </c>
      <c r="O518" s="1397">
        <f>IF(raw[[#This Row],[out]]=0,0,IF(raw[[#This Row],[out]]=raw[[#This Row],[in]],0.01,raw[[#This Row],[out]]-raw[[#This Row],[in]]))</f>
        <v/>
      </c>
      <c r="P518" s="1397">
        <f>IF(raw[[#This Row],[in]]=0,0,MONTH(raw[[#This Row],[in]]))</f>
        <v/>
      </c>
      <c r="Q518" s="1397">
        <f>IF(raw[[#This Row],[in]]=0,0,YEAR(raw[[#This Row],[in]]))</f>
        <v/>
      </c>
      <c r="R518" s="1397">
        <f>INT(raw[[#This Row],[yr]]/10)*10</f>
        <v/>
      </c>
      <c r="S518" s="1395">
        <f>IF(raw[[#This Row],[city]]="","-",IF(raw[[#This Row],[city]]&lt;&gt;_xlfn.XLOOKUP(raw[[#This Row],[home]],homes[home],homes[city],"-"),1,0))</f>
        <v/>
      </c>
      <c r="T518" s="1398" t="inlineStr">
        <is>
          <t>.</t>
        </is>
      </c>
      <c r="U518" s="1399">
        <f>IF(raw[[#This Row],[wb]]="w",raw[[#This Row],[stay]]+U517,U517)</f>
        <v/>
      </c>
      <c r="V518" s="1400">
        <f>IF(raw[[#This Row],[out]]=0,V517,(raw[[#This Row],[out]]-E$5))</f>
        <v/>
      </c>
      <c r="W518" s="1401">
        <f>U518/V518</f>
        <v/>
      </c>
      <c r="X518" s="1378" t="inlineStr">
        <is>
          <t>.</t>
        </is>
      </c>
      <c r="Y518" s="1402">
        <f/>
        <v/>
      </c>
      <c r="Z518" s="1403">
        <f/>
        <v/>
      </c>
      <c r="AA518" s="1403">
        <f/>
        <v/>
      </c>
      <c r="AB518" s="1400">
        <f t="array" ref="AB518">_xlfn.LET(_xlpm.S,_xlfn.ANCHORARRAY($Y$4),_xlpm.r,ROWS(stayCity[[#Headers],[city]]:stayCity[[#This Row],[city]])-1,IF(_xlpm.r&lt;=ROWS(_xlpm.S),INDEX(_xlpm.S,_xlpm.r,1),""))</f>
        <v/>
      </c>
      <c r="AC518" s="1405">
        <f t="array" ref="AC518">_xlfn.LET(_xlpm.S,_xlfn.ANCHORARRAY($Y$4),_xlpm.r,ROWS(stayCity[[#Headers],[city]]:stayCity[[#This Row],[city]])-1,IF(_xlpm.r&lt;=ROWS(_xlpm.S),INDEX(_xlpm.S,_xlpm.r,2),""))</f>
        <v/>
      </c>
      <c r="AD518" s="1405">
        <f t="array" ref="AD518">_xlfn.LET(_xlpm.S,_xlfn.ANCHORARRAY($Y$4),_xlpm.r,ROWS(stayCity[[#Headers],[city]]:stayCity[[#This Row],[city]])-1,IF(_xlpm.r&lt;=ROWS(_xlpm.S),INDEX(_xlpm.S,_xlpm.r,3),""))</f>
        <v/>
      </c>
      <c r="AE518" s="1400">
        <f>IF(stayCity[[#This Row],[out]]&lt;&gt;"",stayCity[[#This Row],[out]]-stayCity[[#This Row],[in]],"-")</f>
        <v/>
      </c>
      <c r="AF518" s="1406">
        <f>IF(Y518="","-",YEAR(stayCity[[#This Row],[in]]))</f>
        <v/>
      </c>
      <c r="AG518" s="1392" t="n"/>
      <c r="AH518" s="1392" t="n"/>
      <c r="AI518" s="1392" t="n"/>
      <c r="AJ518" s="1392" t="n"/>
      <c r="AK518" s="1392" t="n"/>
      <c r="AL518" s="1392" t="n"/>
      <c r="AM518" s="1392" t="n"/>
      <c r="AN518" s="1392" t="n"/>
      <c r="AO518" s="1392" t="n"/>
      <c r="AP518" s="1392" t="n"/>
      <c r="AQ518" s="1392" t="n"/>
      <c r="AR518" s="1392" t="n"/>
      <c r="AS518" s="1422" t="n"/>
      <c r="AT518" s="1392" t="n"/>
      <c r="AU518" s="1392" t="n"/>
      <c r="AV518" s="1392" t="n"/>
      <c r="AW518" s="1392" t="n"/>
      <c r="AX518" s="1392" t="n"/>
      <c r="AY518" s="1392" t="n"/>
      <c r="AZ518" s="1392" t="n"/>
      <c r="BA518" s="1392" t="n"/>
      <c r="BB518" s="1422" t="n"/>
      <c r="BC518" s="1392" t="n"/>
      <c r="BD518" s="1392" t="n"/>
      <c r="BE518" s="1392" t="n"/>
      <c r="BF518" s="1392" t="n"/>
      <c r="BG518" s="1392" t="n"/>
      <c r="BH518" s="1392" t="n"/>
      <c r="BI518" s="1392" t="n"/>
      <c r="BJ518" s="1392" t="n"/>
      <c r="BK518" s="1392" t="n"/>
      <c r="BL518" s="1392" t="n"/>
      <c r="BM518" s="1392" t="n"/>
      <c r="BN518" s="1392" t="n"/>
      <c r="BO518" s="1392" t="n"/>
      <c r="BP518" s="1392" t="n"/>
      <c r="BQ518" s="1392" t="n"/>
      <c r="BR518" s="1392" t="n"/>
      <c r="BS518" s="1392" t="n"/>
      <c r="BT518" s="1392" t="n"/>
      <c r="BU518" s="1416" t="n"/>
      <c r="BV518" s="1392" t="n"/>
      <c r="BW518" s="1392" t="n"/>
      <c r="BX518" s="1392" t="n"/>
      <c r="BY518" s="1392" t="n"/>
      <c r="BZ518" s="1416" t="n"/>
      <c r="CA518" s="1392" t="n"/>
      <c r="CB518" s="1392" t="n"/>
      <c r="CC518" s="1392" t="n"/>
      <c r="CD518" s="1392" t="n"/>
      <c r="CE518" s="1392" t="n"/>
      <c r="CF518" s="1392" t="n"/>
      <c r="CG518" s="1392" t="n"/>
      <c r="CH518" s="1392" t="n"/>
      <c r="CI518" s="1392" t="n"/>
      <c r="CJ518" s="1392" t="n"/>
      <c r="CK518" s="1392" t="n"/>
      <c r="CL518" s="1392" t="n"/>
    </row>
    <row r="519">
      <c r="A519" s="5" t="inlineStr">
        <is>
          <t>.</t>
        </is>
      </c>
      <c r="B519" s="5" t="inlineStr">
        <is>
          <t>.</t>
        </is>
      </c>
      <c r="C519" s="1378">
        <f>IF(raw[[#This Row],[city]]="","-",IF(raw[[#This Row],[city]]="TODAY","-",C518+1))</f>
        <v/>
      </c>
      <c r="D519" s="1393" t="inlineStr">
        <is>
          <t>Larrasoana</t>
        </is>
      </c>
      <c r="E519" s="1394" t="n">
        <v>36088</v>
      </c>
      <c r="F519" s="1394" t="n">
        <v>36089</v>
      </c>
      <c r="G519" s="1393" t="inlineStr">
        <is>
          <t>-</t>
        </is>
      </c>
      <c r="H519" s="1393">
        <f>H518</f>
        <v/>
      </c>
      <c r="I519" s="1393" t="inlineStr">
        <is>
          <t>CS</t>
        </is>
      </c>
      <c r="J519" s="1393" t="inlineStr">
        <is>
          <t>-</t>
        </is>
      </c>
      <c r="K519" s="1395">
        <f>IF(raw[[#This Row],[city]]&lt;&gt;"",_xlfn.XLOOKUP($D519,ccc[city],ccc[prov],"-"),"-")</f>
        <v/>
      </c>
      <c r="L519" s="1395">
        <f>IF(raw[[#This Row],[city]]&lt;&gt;"",_xlfn.XLOOKUP($D519,ccc[city],ccc[ctry],"-"),"-")</f>
        <v/>
      </c>
      <c r="M519" s="1395">
        <f>IF(raw[[#This Row],[city]]&lt;&gt;"",_xlfn.XLOOKUP($D519,ccc[city],ccc[cont],"-"),"-")</f>
        <v/>
      </c>
      <c r="N519" s="1396">
        <f>IF(raw[[#This Row],[city]]="","-",IF(raw[[#This Row],[cont]]="B",raw[[#This Row],[cont]],"W"))</f>
        <v/>
      </c>
      <c r="O519" s="1397">
        <f>IF(raw[[#This Row],[out]]=0,0,IF(raw[[#This Row],[out]]=raw[[#This Row],[in]],0.01,raw[[#This Row],[out]]-raw[[#This Row],[in]]))</f>
        <v/>
      </c>
      <c r="P519" s="1397">
        <f>IF(raw[[#This Row],[in]]=0,0,MONTH(raw[[#This Row],[in]]))</f>
        <v/>
      </c>
      <c r="Q519" s="1397">
        <f>IF(raw[[#This Row],[in]]=0,0,YEAR(raw[[#This Row],[in]]))</f>
        <v/>
      </c>
      <c r="R519" s="1397">
        <f>INT(raw[[#This Row],[yr]]/10)*10</f>
        <v/>
      </c>
      <c r="S519" s="1395">
        <f>IF(raw[[#This Row],[city]]="","-",IF(raw[[#This Row],[city]]&lt;&gt;_xlfn.XLOOKUP(raw[[#This Row],[home]],homes[home],homes[city],"-"),1,0))</f>
        <v/>
      </c>
      <c r="T519" s="1398" t="inlineStr">
        <is>
          <t>.</t>
        </is>
      </c>
      <c r="U519" s="1399">
        <f>IF(raw[[#This Row],[wb]]="w",raw[[#This Row],[stay]]+U518,U518)</f>
        <v/>
      </c>
      <c r="V519" s="1400">
        <f>IF(raw[[#This Row],[out]]=0,V518,(raw[[#This Row],[out]]-E$5))</f>
        <v/>
      </c>
      <c r="W519" s="1401">
        <f>U519/V519</f>
        <v/>
      </c>
      <c r="X519" s="1378" t="inlineStr">
        <is>
          <t>.</t>
        </is>
      </c>
      <c r="Y519" s="1402">
        <f/>
        <v/>
      </c>
      <c r="Z519" s="1403">
        <f/>
        <v/>
      </c>
      <c r="AA519" s="1403">
        <f/>
        <v/>
      </c>
      <c r="AB519" s="1400">
        <f t="array" ref="AB519">_xlfn.LET(_xlpm.S,_xlfn.ANCHORARRAY($Y$4),_xlpm.r,ROWS(stayCity[[#Headers],[city]]:stayCity[[#This Row],[city]])-1,IF(_xlpm.r&lt;=ROWS(_xlpm.S),INDEX(_xlpm.S,_xlpm.r,1),""))</f>
        <v/>
      </c>
      <c r="AC519" s="1405">
        <f t="array" ref="AC519">_xlfn.LET(_xlpm.S,_xlfn.ANCHORARRAY($Y$4),_xlpm.r,ROWS(stayCity[[#Headers],[city]]:stayCity[[#This Row],[city]])-1,IF(_xlpm.r&lt;=ROWS(_xlpm.S),INDEX(_xlpm.S,_xlpm.r,2),""))</f>
        <v/>
      </c>
      <c r="AD519" s="1405">
        <f t="array" ref="AD519">_xlfn.LET(_xlpm.S,_xlfn.ANCHORARRAY($Y$4),_xlpm.r,ROWS(stayCity[[#Headers],[city]]:stayCity[[#This Row],[city]])-1,IF(_xlpm.r&lt;=ROWS(_xlpm.S),INDEX(_xlpm.S,_xlpm.r,3),""))</f>
        <v/>
      </c>
      <c r="AE519" s="1400">
        <f>IF(stayCity[[#This Row],[out]]&lt;&gt;"",stayCity[[#This Row],[out]]-stayCity[[#This Row],[in]],"-")</f>
        <v/>
      </c>
      <c r="AF519" s="1406">
        <f>IF(Y519="","-",YEAR(stayCity[[#This Row],[in]]))</f>
        <v/>
      </c>
      <c r="AG519" s="1392" t="n"/>
      <c r="AH519" s="1392" t="n"/>
      <c r="AI519" s="1392" t="n"/>
      <c r="AJ519" s="1392" t="n"/>
      <c r="AK519" s="1392" t="n"/>
      <c r="AL519" s="1392" t="n"/>
      <c r="AM519" s="1392" t="n"/>
      <c r="AN519" s="1392" t="n"/>
      <c r="AO519" s="1392" t="n"/>
      <c r="AP519" s="1392" t="n"/>
      <c r="AQ519" s="1392" t="n"/>
      <c r="AR519" s="1392" t="n"/>
      <c r="AS519" s="1422" t="n"/>
      <c r="AT519" s="1392" t="n"/>
      <c r="AU519" s="1392" t="n"/>
      <c r="AV519" s="1392" t="n"/>
      <c r="AW519" s="1392" t="n"/>
      <c r="AX519" s="1392" t="n"/>
      <c r="AY519" s="1392" t="n"/>
      <c r="AZ519" s="1392" t="n"/>
      <c r="BA519" s="1392" t="n"/>
      <c r="BB519" s="1422" t="n"/>
      <c r="BC519" s="1392" t="n"/>
      <c r="BD519" s="1392" t="n"/>
      <c r="BE519" s="1392" t="n"/>
      <c r="BF519" s="1392" t="n"/>
      <c r="BG519" s="1392" t="n"/>
      <c r="BH519" s="1392" t="n"/>
      <c r="BI519" s="1392" t="n"/>
      <c r="BJ519" s="1392" t="n"/>
      <c r="BK519" s="1392" t="n"/>
      <c r="BL519" s="1392" t="n"/>
      <c r="BM519" s="1392" t="n"/>
      <c r="BN519" s="1392" t="n"/>
      <c r="BO519" s="1392" t="n"/>
      <c r="BP519" s="1392" t="n"/>
      <c r="BQ519" s="1392" t="n"/>
      <c r="BR519" s="1392" t="n"/>
      <c r="BS519" s="1392" t="n"/>
      <c r="BT519" s="1392" t="n"/>
      <c r="BU519" s="1416" t="n"/>
      <c r="BV519" s="1392" t="n"/>
      <c r="BW519" s="1392" t="n"/>
      <c r="BX519" s="1392" t="n"/>
      <c r="BY519" s="1392" t="n"/>
      <c r="BZ519" s="1416" t="n"/>
      <c r="CA519" s="1392" t="n"/>
      <c r="CB519" s="1392" t="n"/>
      <c r="CC519" s="1392" t="n"/>
      <c r="CD519" s="1392" t="n"/>
      <c r="CE519" s="1392" t="n"/>
      <c r="CF519" s="1392" t="n"/>
      <c r="CG519" s="1392" t="n"/>
      <c r="CH519" s="1392" t="n"/>
      <c r="CI519" s="1392" t="n"/>
      <c r="CJ519" s="1392" t="n"/>
      <c r="CK519" s="1392" t="n"/>
      <c r="CL519" s="1392" t="n"/>
    </row>
    <row r="520">
      <c r="A520" s="5" t="inlineStr">
        <is>
          <t>.</t>
        </is>
      </c>
      <c r="B520" s="5" t="inlineStr">
        <is>
          <t>.</t>
        </is>
      </c>
      <c r="C520" s="1378">
        <f>IF(raw[[#This Row],[city]]="","-",IF(raw[[#This Row],[city]]="TODAY","-",C519+1))</f>
        <v/>
      </c>
      <c r="D520" s="1393" t="inlineStr">
        <is>
          <t>Pamplona</t>
        </is>
      </c>
      <c r="E520" s="1394" t="n">
        <v>36089</v>
      </c>
      <c r="F520" s="1394" t="n">
        <v>36091</v>
      </c>
      <c r="G520" s="1393" t="inlineStr">
        <is>
          <t>-</t>
        </is>
      </c>
      <c r="H520" s="1393">
        <f>H519</f>
        <v/>
      </c>
      <c r="I520" s="1393" t="inlineStr">
        <is>
          <t>CS</t>
        </is>
      </c>
      <c r="J520" s="1393" t="inlineStr">
        <is>
          <t>-</t>
        </is>
      </c>
      <c r="K520" s="1395">
        <f>IF(raw[[#This Row],[city]]&lt;&gt;"",_xlfn.XLOOKUP($D520,ccc[city],ccc[prov],"-"),"-")</f>
        <v/>
      </c>
      <c r="L520" s="1395">
        <f>IF(raw[[#This Row],[city]]&lt;&gt;"",_xlfn.XLOOKUP($D520,ccc[city],ccc[ctry],"-"),"-")</f>
        <v/>
      </c>
      <c r="M520" s="1395">
        <f>IF(raw[[#This Row],[city]]&lt;&gt;"",_xlfn.XLOOKUP($D520,ccc[city],ccc[cont],"-"),"-")</f>
        <v/>
      </c>
      <c r="N520" s="1396">
        <f>IF(raw[[#This Row],[city]]="","-",IF(raw[[#This Row],[cont]]="B",raw[[#This Row],[cont]],"W"))</f>
        <v/>
      </c>
      <c r="O520" s="1397">
        <f>IF(raw[[#This Row],[out]]=0,0,IF(raw[[#This Row],[out]]=raw[[#This Row],[in]],0.01,raw[[#This Row],[out]]-raw[[#This Row],[in]]))</f>
        <v/>
      </c>
      <c r="P520" s="1397">
        <f>IF(raw[[#This Row],[in]]=0,0,MONTH(raw[[#This Row],[in]]))</f>
        <v/>
      </c>
      <c r="Q520" s="1397">
        <f>IF(raw[[#This Row],[in]]=0,0,YEAR(raw[[#This Row],[in]]))</f>
        <v/>
      </c>
      <c r="R520" s="1397">
        <f>INT(raw[[#This Row],[yr]]/10)*10</f>
        <v/>
      </c>
      <c r="S520" s="1395">
        <f>IF(raw[[#This Row],[city]]="","-",IF(raw[[#This Row],[city]]&lt;&gt;_xlfn.XLOOKUP(raw[[#This Row],[home]],homes[home],homes[city],"-"),1,0))</f>
        <v/>
      </c>
      <c r="T520" s="1398" t="inlineStr">
        <is>
          <t>.</t>
        </is>
      </c>
      <c r="U520" s="1399">
        <f>IF(raw[[#This Row],[wb]]="w",raw[[#This Row],[stay]]+U519,U519)</f>
        <v/>
      </c>
      <c r="V520" s="1400">
        <f>IF(raw[[#This Row],[out]]=0,V519,(raw[[#This Row],[out]]-E$5))</f>
        <v/>
      </c>
      <c r="W520" s="1401">
        <f>U520/V520</f>
        <v/>
      </c>
      <c r="X520" s="1378" t="inlineStr">
        <is>
          <t>.</t>
        </is>
      </c>
      <c r="Y520" s="1402">
        <f/>
        <v/>
      </c>
      <c r="Z520" s="1403">
        <f/>
        <v/>
      </c>
      <c r="AA520" s="1403">
        <f/>
        <v/>
      </c>
      <c r="AB520" s="1400">
        <f t="array" ref="AB520">_xlfn.LET(_xlpm.S,_xlfn.ANCHORARRAY($Y$4),_xlpm.r,ROWS(stayCity[[#Headers],[city]]:stayCity[[#This Row],[city]])-1,IF(_xlpm.r&lt;=ROWS(_xlpm.S),INDEX(_xlpm.S,_xlpm.r,1),""))</f>
        <v/>
      </c>
      <c r="AC520" s="1405">
        <f t="array" ref="AC520">_xlfn.LET(_xlpm.S,_xlfn.ANCHORARRAY($Y$4),_xlpm.r,ROWS(stayCity[[#Headers],[city]]:stayCity[[#This Row],[city]])-1,IF(_xlpm.r&lt;=ROWS(_xlpm.S),INDEX(_xlpm.S,_xlpm.r,2),""))</f>
        <v/>
      </c>
      <c r="AD520" s="1405">
        <f t="array" ref="AD520">_xlfn.LET(_xlpm.S,_xlfn.ANCHORARRAY($Y$4),_xlpm.r,ROWS(stayCity[[#Headers],[city]]:stayCity[[#This Row],[city]])-1,IF(_xlpm.r&lt;=ROWS(_xlpm.S),INDEX(_xlpm.S,_xlpm.r,3),""))</f>
        <v/>
      </c>
      <c r="AE520" s="1400">
        <f>IF(stayCity[[#This Row],[out]]&lt;&gt;"",stayCity[[#This Row],[out]]-stayCity[[#This Row],[in]],"-")</f>
        <v/>
      </c>
      <c r="AF520" s="1406">
        <f>IF(Y520="","-",YEAR(stayCity[[#This Row],[in]]))</f>
        <v/>
      </c>
      <c r="AG520" s="1392" t="n"/>
      <c r="AH520" s="1392" t="n"/>
      <c r="AI520" s="1392" t="n"/>
      <c r="AJ520" s="1392" t="n"/>
      <c r="AK520" s="1392" t="n"/>
      <c r="AL520" s="1392" t="n"/>
      <c r="AM520" s="1392" t="n"/>
      <c r="AN520" s="1392" t="n"/>
      <c r="AO520" s="1392" t="n"/>
      <c r="AP520" s="1392" t="n"/>
      <c r="AQ520" s="1392" t="n"/>
      <c r="AR520" s="1392" t="n"/>
      <c r="AS520" s="1422" t="n"/>
      <c r="AT520" s="1392" t="n"/>
      <c r="AU520" s="1392" t="n"/>
      <c r="AV520" s="1392" t="n"/>
      <c r="AW520" s="1392" t="n"/>
      <c r="AX520" s="1392" t="n"/>
      <c r="AY520" s="1392" t="n"/>
      <c r="AZ520" s="1392" t="n"/>
      <c r="BA520" s="1392" t="n"/>
      <c r="BB520" s="1422" t="n"/>
      <c r="BC520" s="1392" t="n"/>
      <c r="BD520" s="1392" t="n"/>
      <c r="BE520" s="1392" t="n"/>
      <c r="BF520" s="1392" t="n"/>
      <c r="BG520" s="1392" t="n"/>
      <c r="BH520" s="1392" t="n"/>
      <c r="BI520" s="1392" t="n"/>
      <c r="BJ520" s="1392" t="n"/>
      <c r="BK520" s="1392" t="n"/>
      <c r="BL520" s="1392" t="n"/>
      <c r="BM520" s="1392" t="n"/>
      <c r="BN520" s="1392" t="n"/>
      <c r="BO520" s="1392" t="n"/>
      <c r="BP520" s="1392" t="n"/>
      <c r="BQ520" s="1392" t="n"/>
      <c r="BR520" s="1392" t="n"/>
      <c r="BS520" s="1392" t="n"/>
      <c r="BT520" s="1392" t="n"/>
      <c r="BU520" s="1416" t="n"/>
      <c r="BV520" s="1392" t="n"/>
      <c r="BW520" s="1392" t="n"/>
      <c r="BX520" s="1392" t="n"/>
      <c r="BY520" s="1392" t="n"/>
      <c r="BZ520" s="1416" t="n"/>
      <c r="CA520" s="1392" t="n"/>
      <c r="CB520" s="1392" t="n"/>
      <c r="CC520" s="1392" t="n"/>
      <c r="CD520" s="1392" t="n"/>
      <c r="CE520" s="1392" t="n"/>
      <c r="CF520" s="1392" t="n"/>
      <c r="CG520" s="1392" t="n"/>
      <c r="CH520" s="1392" t="n"/>
      <c r="CI520" s="1392" t="n"/>
      <c r="CJ520" s="1392" t="n"/>
      <c r="CK520" s="1392" t="n"/>
      <c r="CL520" s="1392" t="n"/>
    </row>
    <row r="521">
      <c r="A521" s="5" t="inlineStr">
        <is>
          <t>.</t>
        </is>
      </c>
      <c r="B521" s="5" t="inlineStr">
        <is>
          <t>.</t>
        </is>
      </c>
      <c r="C521" s="1378">
        <f>IF(raw[[#This Row],[city]]="","-",IF(raw[[#This Row],[city]]="TODAY","-",C520+1))</f>
        <v/>
      </c>
      <c r="D521" s="1393" t="inlineStr">
        <is>
          <t>Serra dos Perdoes</t>
        </is>
      </c>
      <c r="E521" s="1394" t="n">
        <v>36091</v>
      </c>
      <c r="F521" s="1394" t="n">
        <v>36091</v>
      </c>
      <c r="G521" s="1393" t="inlineStr">
        <is>
          <t>-</t>
        </is>
      </c>
      <c r="H521" s="1393">
        <f>H520</f>
        <v/>
      </c>
      <c r="I521" s="1393" t="inlineStr">
        <is>
          <t>CS</t>
        </is>
      </c>
      <c r="J521" s="1393" t="inlineStr">
        <is>
          <t>-</t>
        </is>
      </c>
      <c r="K521" s="1395">
        <f>IF(raw[[#This Row],[city]]&lt;&gt;"",_xlfn.XLOOKUP($D521,ccc[city],ccc[prov],"-"),"-")</f>
        <v/>
      </c>
      <c r="L521" s="1395">
        <f>IF(raw[[#This Row],[city]]&lt;&gt;"",_xlfn.XLOOKUP($D521,ccc[city],ccc[ctry],"-"),"-")</f>
        <v/>
      </c>
      <c r="M521" s="1395">
        <f>IF(raw[[#This Row],[city]]&lt;&gt;"",_xlfn.XLOOKUP($D521,ccc[city],ccc[cont],"-"),"-")</f>
        <v/>
      </c>
      <c r="N521" s="1396">
        <f>IF(raw[[#This Row],[city]]="","-",IF(raw[[#This Row],[cont]]="B",raw[[#This Row],[cont]],"W"))</f>
        <v/>
      </c>
      <c r="O521" s="1397">
        <f>IF(raw[[#This Row],[out]]=0,0,IF(raw[[#This Row],[out]]=raw[[#This Row],[in]],0.01,raw[[#This Row],[out]]-raw[[#This Row],[in]]))</f>
        <v/>
      </c>
      <c r="P521" s="1397">
        <f>IF(raw[[#This Row],[in]]=0,0,MONTH(raw[[#This Row],[in]]))</f>
        <v/>
      </c>
      <c r="Q521" s="1397">
        <f>IF(raw[[#This Row],[in]]=0,0,YEAR(raw[[#This Row],[in]]))</f>
        <v/>
      </c>
      <c r="R521" s="1397">
        <f>INT(raw[[#This Row],[yr]]/10)*10</f>
        <v/>
      </c>
      <c r="S521" s="1395">
        <f>IF(raw[[#This Row],[city]]="","-",IF(raw[[#This Row],[city]]&lt;&gt;_xlfn.XLOOKUP(raw[[#This Row],[home]],homes[home],homes[city],"-"),1,0))</f>
        <v/>
      </c>
      <c r="T521" s="1398" t="inlineStr">
        <is>
          <t>.</t>
        </is>
      </c>
      <c r="U521" s="1399">
        <f>IF(raw[[#This Row],[wb]]="w",raw[[#This Row],[stay]]+U520,U520)</f>
        <v/>
      </c>
      <c r="V521" s="1400">
        <f>IF(raw[[#This Row],[out]]=0,V520,(raw[[#This Row],[out]]-E$5))</f>
        <v/>
      </c>
      <c r="W521" s="1401">
        <f>U521/V521</f>
        <v/>
      </c>
      <c r="X521" s="1378" t="inlineStr">
        <is>
          <t>.</t>
        </is>
      </c>
      <c r="Y521" s="1402">
        <f/>
        <v/>
      </c>
      <c r="Z521" s="1403">
        <f/>
        <v/>
      </c>
      <c r="AA521" s="1403">
        <f/>
        <v/>
      </c>
      <c r="AB521" s="1400">
        <f t="array" ref="AB521">_xlfn.LET(_xlpm.S,_xlfn.ANCHORARRAY($Y$4),_xlpm.r,ROWS(stayCity[[#Headers],[city]]:stayCity[[#This Row],[city]])-1,IF(_xlpm.r&lt;=ROWS(_xlpm.S),INDEX(_xlpm.S,_xlpm.r,1),""))</f>
        <v/>
      </c>
      <c r="AC521" s="1405">
        <f t="array" ref="AC521">_xlfn.LET(_xlpm.S,_xlfn.ANCHORARRAY($Y$4),_xlpm.r,ROWS(stayCity[[#Headers],[city]]:stayCity[[#This Row],[city]])-1,IF(_xlpm.r&lt;=ROWS(_xlpm.S),INDEX(_xlpm.S,_xlpm.r,2),""))</f>
        <v/>
      </c>
      <c r="AD521" s="1405">
        <f t="array" ref="AD521">_xlfn.LET(_xlpm.S,_xlfn.ANCHORARRAY($Y$4),_xlpm.r,ROWS(stayCity[[#Headers],[city]]:stayCity[[#This Row],[city]])-1,IF(_xlpm.r&lt;=ROWS(_xlpm.S),INDEX(_xlpm.S,_xlpm.r,3),""))</f>
        <v/>
      </c>
      <c r="AE521" s="1400">
        <f>IF(stayCity[[#This Row],[out]]&lt;&gt;"",stayCity[[#This Row],[out]]-stayCity[[#This Row],[in]],"-")</f>
        <v/>
      </c>
      <c r="AF521" s="1406">
        <f>IF(Y521="","-",YEAR(stayCity[[#This Row],[in]]))</f>
        <v/>
      </c>
      <c r="AG521" s="1392" t="n"/>
      <c r="AH521" s="1392" t="n"/>
      <c r="AI521" s="1392" t="n"/>
      <c r="AJ521" s="1392" t="n"/>
      <c r="AK521" s="1392" t="n"/>
      <c r="AL521" s="1392" t="n"/>
      <c r="AM521" s="1392" t="n"/>
      <c r="AN521" s="1392" t="n"/>
      <c r="AO521" s="1392" t="n"/>
      <c r="AP521" s="1392" t="n"/>
      <c r="AQ521" s="1392" t="n"/>
      <c r="AR521" s="1392" t="n"/>
      <c r="AS521" s="1422" t="n"/>
      <c r="AT521" s="1392" t="n"/>
      <c r="AU521" s="1392" t="n"/>
      <c r="AV521" s="1392" t="n"/>
      <c r="AW521" s="1392" t="n"/>
      <c r="AX521" s="1392" t="n"/>
      <c r="AY521" s="1392" t="n"/>
      <c r="AZ521" s="1392" t="n"/>
      <c r="BA521" s="1392" t="n"/>
      <c r="BB521" s="1422" t="n"/>
      <c r="BC521" s="1392" t="n"/>
      <c r="BD521" s="1392" t="n"/>
      <c r="BE521" s="1392" t="n"/>
      <c r="BF521" s="1392" t="n"/>
      <c r="BG521" s="1392" t="n"/>
      <c r="BH521" s="1392" t="n"/>
      <c r="BI521" s="1392" t="n"/>
      <c r="BJ521" s="1392" t="n"/>
      <c r="BK521" s="1392" t="n"/>
      <c r="BL521" s="1392" t="n"/>
      <c r="BM521" s="1392" t="n"/>
      <c r="BN521" s="1392" t="n"/>
      <c r="BO521" s="1392" t="n"/>
      <c r="BP521" s="1392" t="n"/>
      <c r="BQ521" s="1392" t="n"/>
      <c r="BR521" s="1392" t="n"/>
      <c r="BS521" s="1392" t="n"/>
      <c r="BT521" s="1392" t="n"/>
      <c r="BU521" s="1416" t="n"/>
      <c r="BV521" s="1392" t="n"/>
      <c r="BW521" s="1392" t="n"/>
      <c r="BX521" s="1392" t="n"/>
      <c r="BY521" s="1392" t="n"/>
      <c r="BZ521" s="1416" t="n"/>
      <c r="CA521" s="1392" t="n"/>
      <c r="CB521" s="1392" t="n"/>
      <c r="CC521" s="1392" t="n"/>
      <c r="CD521" s="1392" t="n"/>
      <c r="CE521" s="1392" t="n"/>
      <c r="CF521" s="1392" t="n"/>
      <c r="CG521" s="1392" t="n"/>
      <c r="CH521" s="1392" t="n"/>
      <c r="CI521" s="1392" t="n"/>
      <c r="CJ521" s="1392" t="n"/>
      <c r="CK521" s="1392" t="n"/>
      <c r="CL521" s="1392" t="n"/>
    </row>
    <row r="522">
      <c r="A522" s="5" t="inlineStr">
        <is>
          <t>.</t>
        </is>
      </c>
      <c r="B522" s="5" t="inlineStr">
        <is>
          <t>.</t>
        </is>
      </c>
      <c r="C522" s="1378">
        <f>IF(raw[[#This Row],[city]]="","-",IF(raw[[#This Row],[city]]="TODAY","-",C521+1))</f>
        <v/>
      </c>
      <c r="D522" s="1393" t="inlineStr">
        <is>
          <t>Muruzubal</t>
        </is>
      </c>
      <c r="E522" s="1394" t="n">
        <v>36091</v>
      </c>
      <c r="F522" s="1394" t="n">
        <v>36091</v>
      </c>
      <c r="G522" s="1393" t="inlineStr">
        <is>
          <t>-</t>
        </is>
      </c>
      <c r="H522" s="1393">
        <f>H521</f>
        <v/>
      </c>
      <c r="I522" s="1393" t="inlineStr">
        <is>
          <t>CS</t>
        </is>
      </c>
      <c r="J522" s="1393" t="inlineStr">
        <is>
          <t>-</t>
        </is>
      </c>
      <c r="K522" s="1395">
        <f>IF(raw[[#This Row],[city]]&lt;&gt;"",_xlfn.XLOOKUP($D522,ccc[city],ccc[prov],"-"),"-")</f>
        <v/>
      </c>
      <c r="L522" s="1395">
        <f>IF(raw[[#This Row],[city]]&lt;&gt;"",_xlfn.XLOOKUP($D522,ccc[city],ccc[ctry],"-"),"-")</f>
        <v/>
      </c>
      <c r="M522" s="1395">
        <f>IF(raw[[#This Row],[city]]&lt;&gt;"",_xlfn.XLOOKUP($D522,ccc[city],ccc[cont],"-"),"-")</f>
        <v/>
      </c>
      <c r="N522" s="1396">
        <f>IF(raw[[#This Row],[city]]="","-",IF(raw[[#This Row],[cont]]="B",raw[[#This Row],[cont]],"W"))</f>
        <v/>
      </c>
      <c r="O522" s="1397">
        <f>IF(raw[[#This Row],[out]]=0,0,IF(raw[[#This Row],[out]]=raw[[#This Row],[in]],0.01,raw[[#This Row],[out]]-raw[[#This Row],[in]]))</f>
        <v/>
      </c>
      <c r="P522" s="1397">
        <f>IF(raw[[#This Row],[in]]=0,0,MONTH(raw[[#This Row],[in]]))</f>
        <v/>
      </c>
      <c r="Q522" s="1397">
        <f>IF(raw[[#This Row],[in]]=0,0,YEAR(raw[[#This Row],[in]]))</f>
        <v/>
      </c>
      <c r="R522" s="1397">
        <f>INT(raw[[#This Row],[yr]]/10)*10</f>
        <v/>
      </c>
      <c r="S522" s="1395">
        <f>IF(raw[[#This Row],[city]]="","-",IF(raw[[#This Row],[city]]&lt;&gt;_xlfn.XLOOKUP(raw[[#This Row],[home]],homes[home],homes[city],"-"),1,0))</f>
        <v/>
      </c>
      <c r="T522" s="1398" t="inlineStr">
        <is>
          <t>.</t>
        </is>
      </c>
      <c r="U522" s="1399">
        <f>IF(raw[[#This Row],[wb]]="w",raw[[#This Row],[stay]]+U521,U521)</f>
        <v/>
      </c>
      <c r="V522" s="1400">
        <f>IF(raw[[#This Row],[out]]=0,V521,(raw[[#This Row],[out]]-E$5))</f>
        <v/>
      </c>
      <c r="W522" s="1401">
        <f>U522/V522</f>
        <v/>
      </c>
      <c r="X522" s="1378" t="inlineStr">
        <is>
          <t>.</t>
        </is>
      </c>
      <c r="Y522" s="1402">
        <f/>
        <v/>
      </c>
      <c r="Z522" s="1403">
        <f/>
        <v/>
      </c>
      <c r="AA522" s="1403">
        <f/>
        <v/>
      </c>
      <c r="AB522" s="1400">
        <f t="array" ref="AB522">_xlfn.LET(_xlpm.S,_xlfn.ANCHORARRAY($Y$4),_xlpm.r,ROWS(stayCity[[#Headers],[city]]:stayCity[[#This Row],[city]])-1,IF(_xlpm.r&lt;=ROWS(_xlpm.S),INDEX(_xlpm.S,_xlpm.r,1),""))</f>
        <v/>
      </c>
      <c r="AC522" s="1405">
        <f t="array" ref="AC522">_xlfn.LET(_xlpm.S,_xlfn.ANCHORARRAY($Y$4),_xlpm.r,ROWS(stayCity[[#Headers],[city]]:stayCity[[#This Row],[city]])-1,IF(_xlpm.r&lt;=ROWS(_xlpm.S),INDEX(_xlpm.S,_xlpm.r,2),""))</f>
        <v/>
      </c>
      <c r="AD522" s="1405">
        <f t="array" ref="AD522">_xlfn.LET(_xlpm.S,_xlfn.ANCHORARRAY($Y$4),_xlpm.r,ROWS(stayCity[[#Headers],[city]]:stayCity[[#This Row],[city]])-1,IF(_xlpm.r&lt;=ROWS(_xlpm.S),INDEX(_xlpm.S,_xlpm.r,3),""))</f>
        <v/>
      </c>
      <c r="AE522" s="1400">
        <f>IF(stayCity[[#This Row],[out]]&lt;&gt;"",stayCity[[#This Row],[out]]-stayCity[[#This Row],[in]],"-")</f>
        <v/>
      </c>
      <c r="AF522" s="1406">
        <f>IF(Y522="","-",YEAR(stayCity[[#This Row],[in]]))</f>
        <v/>
      </c>
      <c r="AG522" s="1392" t="n"/>
      <c r="AH522" s="1392" t="n"/>
      <c r="AI522" s="1392" t="n"/>
      <c r="AJ522" s="1392" t="n"/>
      <c r="AK522" s="1392" t="n"/>
      <c r="AL522" s="1392" t="n"/>
      <c r="AM522" s="1392" t="n"/>
      <c r="AN522" s="1392" t="n"/>
      <c r="AO522" s="1392" t="n"/>
      <c r="AP522" s="1392" t="n"/>
      <c r="AQ522" s="1392" t="n"/>
      <c r="AR522" s="1392" t="n"/>
      <c r="AS522" s="1422" t="n"/>
      <c r="AT522" s="1392" t="n"/>
      <c r="AU522" s="1392" t="n"/>
      <c r="AV522" s="1392" t="n"/>
      <c r="AW522" s="1392" t="n"/>
      <c r="AX522" s="1392" t="n"/>
      <c r="AY522" s="1392" t="n"/>
      <c r="AZ522" s="1392" t="n"/>
      <c r="BA522" s="1392" t="n"/>
      <c r="BB522" s="1422" t="n"/>
      <c r="BC522" s="1392" t="n"/>
      <c r="BD522" s="1392" t="n"/>
      <c r="BE522" s="1392" t="n"/>
      <c r="BF522" s="1392" t="n"/>
      <c r="BG522" s="1392" t="n"/>
      <c r="BH522" s="1392" t="n"/>
      <c r="BI522" s="1392" t="n"/>
      <c r="BJ522" s="1392" t="n"/>
      <c r="BK522" s="1392" t="n"/>
      <c r="BL522" s="1392" t="n"/>
      <c r="BM522" s="1392" t="n"/>
      <c r="BN522" s="1392" t="n"/>
      <c r="BO522" s="1392" t="n"/>
      <c r="BP522" s="1392" t="n"/>
      <c r="BQ522" s="1392" t="n"/>
      <c r="BR522" s="1392" t="n"/>
      <c r="BS522" s="1392" t="n"/>
      <c r="BT522" s="1392" t="n"/>
      <c r="BU522" s="1416" t="n"/>
      <c r="BV522" s="1392" t="n"/>
      <c r="BW522" s="1392" t="n"/>
      <c r="BX522" s="1392" t="n"/>
      <c r="BY522" s="1392" t="n"/>
      <c r="BZ522" s="1416" t="n"/>
      <c r="CA522" s="1392" t="n"/>
      <c r="CB522" s="1392" t="n"/>
      <c r="CC522" s="1392" t="n"/>
      <c r="CD522" s="1392" t="n"/>
      <c r="CE522" s="1392" t="n"/>
      <c r="CF522" s="1392" t="n"/>
      <c r="CG522" s="1392" t="n"/>
      <c r="CH522" s="1392" t="n"/>
      <c r="CI522" s="1392" t="n"/>
      <c r="CJ522" s="1392" t="n"/>
      <c r="CK522" s="1392" t="n"/>
      <c r="CL522" s="1392" t="n"/>
    </row>
    <row r="523">
      <c r="A523" s="5" t="inlineStr">
        <is>
          <t>.</t>
        </is>
      </c>
      <c r="B523" s="5" t="inlineStr">
        <is>
          <t>.</t>
        </is>
      </c>
      <c r="C523" s="1378">
        <f>IF(raw[[#This Row],[city]]="","-",IF(raw[[#This Row],[city]]="TODAY","-",C522+1))</f>
        <v/>
      </c>
      <c r="D523" s="1393" t="inlineStr">
        <is>
          <t>Puente la Reina</t>
        </is>
      </c>
      <c r="E523" s="1394" t="n">
        <v>36091</v>
      </c>
      <c r="F523" s="1394" t="n">
        <v>36092</v>
      </c>
      <c r="G523" s="1393" t="inlineStr">
        <is>
          <t>-</t>
        </is>
      </c>
      <c r="H523" s="1393">
        <f>H522</f>
        <v/>
      </c>
      <c r="I523" s="1393" t="inlineStr">
        <is>
          <t>CS</t>
        </is>
      </c>
      <c r="J523" s="1393" t="inlineStr">
        <is>
          <t>-</t>
        </is>
      </c>
      <c r="K523" s="1395">
        <f>IF(raw[[#This Row],[city]]&lt;&gt;"",_xlfn.XLOOKUP($D523,ccc[city],ccc[prov],"-"),"-")</f>
        <v/>
      </c>
      <c r="L523" s="1395">
        <f>IF(raw[[#This Row],[city]]&lt;&gt;"",_xlfn.XLOOKUP($D523,ccc[city],ccc[ctry],"-"),"-")</f>
        <v/>
      </c>
      <c r="M523" s="1395">
        <f>IF(raw[[#This Row],[city]]&lt;&gt;"",_xlfn.XLOOKUP($D523,ccc[city],ccc[cont],"-"),"-")</f>
        <v/>
      </c>
      <c r="N523" s="1396">
        <f>IF(raw[[#This Row],[city]]="","-",IF(raw[[#This Row],[cont]]="B",raw[[#This Row],[cont]],"W"))</f>
        <v/>
      </c>
      <c r="O523" s="1397">
        <f>IF(raw[[#This Row],[out]]=0,0,IF(raw[[#This Row],[out]]=raw[[#This Row],[in]],0.01,raw[[#This Row],[out]]-raw[[#This Row],[in]]))</f>
        <v/>
      </c>
      <c r="P523" s="1397">
        <f>IF(raw[[#This Row],[in]]=0,0,MONTH(raw[[#This Row],[in]]))</f>
        <v/>
      </c>
      <c r="Q523" s="1397">
        <f>IF(raw[[#This Row],[in]]=0,0,YEAR(raw[[#This Row],[in]]))</f>
        <v/>
      </c>
      <c r="R523" s="1397">
        <f>INT(raw[[#This Row],[yr]]/10)*10</f>
        <v/>
      </c>
      <c r="S523" s="1395">
        <f>IF(raw[[#This Row],[city]]="","-",IF(raw[[#This Row],[city]]&lt;&gt;_xlfn.XLOOKUP(raw[[#This Row],[home]],homes[home],homes[city],"-"),1,0))</f>
        <v/>
      </c>
      <c r="T523" s="1398" t="inlineStr">
        <is>
          <t>.</t>
        </is>
      </c>
      <c r="U523" s="1399">
        <f>IF(raw[[#This Row],[wb]]="w",raw[[#This Row],[stay]]+U522,U522)</f>
        <v/>
      </c>
      <c r="V523" s="1400">
        <f>IF(raw[[#This Row],[out]]=0,V522,(raw[[#This Row],[out]]-E$5))</f>
        <v/>
      </c>
      <c r="W523" s="1401">
        <f>U523/V523</f>
        <v/>
      </c>
      <c r="X523" s="1378" t="inlineStr">
        <is>
          <t>.</t>
        </is>
      </c>
      <c r="Y523" s="1402">
        <f/>
        <v/>
      </c>
      <c r="Z523" s="1403">
        <f/>
        <v/>
      </c>
      <c r="AA523" s="1403">
        <f/>
        <v/>
      </c>
      <c r="AB523" s="1400">
        <f t="array" ref="AB523">_xlfn.LET(_xlpm.S,_xlfn.ANCHORARRAY($Y$4),_xlpm.r,ROWS(stayCity[[#Headers],[city]]:stayCity[[#This Row],[city]])-1,IF(_xlpm.r&lt;=ROWS(_xlpm.S),INDEX(_xlpm.S,_xlpm.r,1),""))</f>
        <v/>
      </c>
      <c r="AC523" s="1405">
        <f t="array" ref="AC523">_xlfn.LET(_xlpm.S,_xlfn.ANCHORARRAY($Y$4),_xlpm.r,ROWS(stayCity[[#Headers],[city]]:stayCity[[#This Row],[city]])-1,IF(_xlpm.r&lt;=ROWS(_xlpm.S),INDEX(_xlpm.S,_xlpm.r,2),""))</f>
        <v/>
      </c>
      <c r="AD523" s="1405">
        <f t="array" ref="AD523">_xlfn.LET(_xlpm.S,_xlfn.ANCHORARRAY($Y$4),_xlpm.r,ROWS(stayCity[[#Headers],[city]]:stayCity[[#This Row],[city]])-1,IF(_xlpm.r&lt;=ROWS(_xlpm.S),INDEX(_xlpm.S,_xlpm.r,3),""))</f>
        <v/>
      </c>
      <c r="AE523" s="1400">
        <f>IF(stayCity[[#This Row],[out]]&lt;&gt;"",stayCity[[#This Row],[out]]-stayCity[[#This Row],[in]],"-")</f>
        <v/>
      </c>
      <c r="AF523" s="1406">
        <f>IF(Y523="","-",YEAR(stayCity[[#This Row],[in]]))</f>
        <v/>
      </c>
      <c r="AG523" s="1392" t="n"/>
      <c r="AH523" s="1392" t="n"/>
      <c r="AI523" s="1392" t="n"/>
      <c r="AJ523" s="1392" t="n"/>
      <c r="AK523" s="1392" t="n"/>
      <c r="AL523" s="1392" t="n"/>
      <c r="AM523" s="1392" t="n"/>
      <c r="AN523" s="1392" t="n"/>
      <c r="AO523" s="1392" t="n"/>
      <c r="AP523" s="1392" t="n"/>
      <c r="AQ523" s="1392" t="n"/>
      <c r="AR523" s="1392" t="n"/>
      <c r="AS523" s="1422" t="n"/>
      <c r="AT523" s="1392" t="n"/>
      <c r="AU523" s="1392" t="n"/>
      <c r="AV523" s="1392" t="n"/>
      <c r="AW523" s="1392" t="n"/>
      <c r="AX523" s="1392" t="n"/>
      <c r="AY523" s="1392" t="n"/>
      <c r="AZ523" s="1392" t="n"/>
      <c r="BA523" s="1392" t="n"/>
      <c r="BB523" s="1422" t="n"/>
      <c r="BC523" s="1392" t="n"/>
      <c r="BD523" s="1392" t="n"/>
      <c r="BE523" s="1392" t="n"/>
      <c r="BF523" s="1392" t="n"/>
      <c r="BG523" s="1392" t="n"/>
      <c r="BH523" s="1392" t="n"/>
      <c r="BI523" s="1392" t="n"/>
      <c r="BJ523" s="1392" t="n"/>
      <c r="BK523" s="1392" t="n"/>
      <c r="BL523" s="1392" t="n"/>
      <c r="BM523" s="1392" t="n"/>
      <c r="BN523" s="1392" t="n"/>
      <c r="BO523" s="1392" t="n"/>
      <c r="BP523" s="1392" t="n"/>
      <c r="BQ523" s="1392" t="n"/>
      <c r="BR523" s="1392" t="n"/>
      <c r="BS523" s="1392" t="n"/>
      <c r="BT523" s="1392" t="n"/>
      <c r="BU523" s="1416" t="n"/>
      <c r="BV523" s="1392" t="n"/>
      <c r="BW523" s="1392" t="n"/>
      <c r="BX523" s="1392" t="n"/>
      <c r="BY523" s="1392" t="n"/>
      <c r="BZ523" s="1416" t="n"/>
      <c r="CA523" s="1392" t="n"/>
      <c r="CB523" s="1392" t="n"/>
      <c r="CC523" s="1392" t="n"/>
      <c r="CD523" s="1392" t="n"/>
      <c r="CE523" s="1392" t="n"/>
      <c r="CF523" s="1392" t="n"/>
      <c r="CG523" s="1392" t="n"/>
      <c r="CH523" s="1392" t="n"/>
      <c r="CI523" s="1392" t="n"/>
      <c r="CJ523" s="1392" t="n"/>
      <c r="CK523" s="1392" t="n"/>
      <c r="CL523" s="1392" t="n"/>
    </row>
    <row r="524">
      <c r="A524" s="5" t="inlineStr">
        <is>
          <t>.</t>
        </is>
      </c>
      <c r="B524" s="5" t="inlineStr">
        <is>
          <t>.</t>
        </is>
      </c>
      <c r="C524" s="1378">
        <f>IF(raw[[#This Row],[city]]="","-",IF(raw[[#This Row],[city]]="TODAY","-",C523+1))</f>
        <v/>
      </c>
      <c r="D524" s="1393" t="inlineStr">
        <is>
          <t>Estella</t>
        </is>
      </c>
      <c r="E524" s="1394" t="n">
        <v>36092</v>
      </c>
      <c r="F524" s="1394" t="n">
        <v>36093</v>
      </c>
      <c r="G524" s="1393" t="inlineStr">
        <is>
          <t>-</t>
        </is>
      </c>
      <c r="H524" s="1393">
        <f>H523</f>
        <v/>
      </c>
      <c r="I524" s="1393" t="inlineStr">
        <is>
          <t>CS</t>
        </is>
      </c>
      <c r="J524" s="1393" t="inlineStr">
        <is>
          <t>-</t>
        </is>
      </c>
      <c r="K524" s="1395">
        <f>IF(raw[[#This Row],[city]]&lt;&gt;"",_xlfn.XLOOKUP($D524,ccc[city],ccc[prov],"-"),"-")</f>
        <v/>
      </c>
      <c r="L524" s="1395">
        <f>IF(raw[[#This Row],[city]]&lt;&gt;"",_xlfn.XLOOKUP($D524,ccc[city],ccc[ctry],"-"),"-")</f>
        <v/>
      </c>
      <c r="M524" s="1395">
        <f>IF(raw[[#This Row],[city]]&lt;&gt;"",_xlfn.XLOOKUP($D524,ccc[city],ccc[cont],"-"),"-")</f>
        <v/>
      </c>
      <c r="N524" s="1396">
        <f>IF(raw[[#This Row],[city]]="","-",IF(raw[[#This Row],[cont]]="B",raw[[#This Row],[cont]],"W"))</f>
        <v/>
      </c>
      <c r="O524" s="1397">
        <f>IF(raw[[#This Row],[out]]=0,0,IF(raw[[#This Row],[out]]=raw[[#This Row],[in]],0.01,raw[[#This Row],[out]]-raw[[#This Row],[in]]))</f>
        <v/>
      </c>
      <c r="P524" s="1397">
        <f>IF(raw[[#This Row],[in]]=0,0,MONTH(raw[[#This Row],[in]]))</f>
        <v/>
      </c>
      <c r="Q524" s="1397">
        <f>IF(raw[[#This Row],[in]]=0,0,YEAR(raw[[#This Row],[in]]))</f>
        <v/>
      </c>
      <c r="R524" s="1397">
        <f>INT(raw[[#This Row],[yr]]/10)*10</f>
        <v/>
      </c>
      <c r="S524" s="1395">
        <f>IF(raw[[#This Row],[city]]="","-",IF(raw[[#This Row],[city]]&lt;&gt;_xlfn.XLOOKUP(raw[[#This Row],[home]],homes[home],homes[city],"-"),1,0))</f>
        <v/>
      </c>
      <c r="T524" s="1398" t="inlineStr">
        <is>
          <t>.</t>
        </is>
      </c>
      <c r="U524" s="1399">
        <f>IF(raw[[#This Row],[wb]]="w",raw[[#This Row],[stay]]+U523,U523)</f>
        <v/>
      </c>
      <c r="V524" s="1400">
        <f>IF(raw[[#This Row],[out]]=0,V523,(raw[[#This Row],[out]]-E$5))</f>
        <v/>
      </c>
      <c r="W524" s="1401">
        <f>U524/V524</f>
        <v/>
      </c>
      <c r="X524" s="1378" t="inlineStr">
        <is>
          <t>.</t>
        </is>
      </c>
      <c r="Y524" s="1402">
        <f/>
        <v/>
      </c>
      <c r="Z524" s="1403">
        <f/>
        <v/>
      </c>
      <c r="AA524" s="1403">
        <f/>
        <v/>
      </c>
      <c r="AB524" s="1400">
        <f t="array" ref="AB524">_xlfn.LET(_xlpm.S,_xlfn.ANCHORARRAY($Y$4),_xlpm.r,ROWS(stayCity[[#Headers],[city]]:stayCity[[#This Row],[city]])-1,IF(_xlpm.r&lt;=ROWS(_xlpm.S),INDEX(_xlpm.S,_xlpm.r,1),""))</f>
        <v/>
      </c>
      <c r="AC524" s="1405">
        <f t="array" ref="AC524">_xlfn.LET(_xlpm.S,_xlfn.ANCHORARRAY($Y$4),_xlpm.r,ROWS(stayCity[[#Headers],[city]]:stayCity[[#This Row],[city]])-1,IF(_xlpm.r&lt;=ROWS(_xlpm.S),INDEX(_xlpm.S,_xlpm.r,2),""))</f>
        <v/>
      </c>
      <c r="AD524" s="1405">
        <f t="array" ref="AD524">_xlfn.LET(_xlpm.S,_xlfn.ANCHORARRAY($Y$4),_xlpm.r,ROWS(stayCity[[#Headers],[city]]:stayCity[[#This Row],[city]])-1,IF(_xlpm.r&lt;=ROWS(_xlpm.S),INDEX(_xlpm.S,_xlpm.r,3),""))</f>
        <v/>
      </c>
      <c r="AE524" s="1400">
        <f>IF(stayCity[[#This Row],[out]]&lt;&gt;"",stayCity[[#This Row],[out]]-stayCity[[#This Row],[in]],"-")</f>
        <v/>
      </c>
      <c r="AF524" s="1406">
        <f>IF(Y524="","-",YEAR(stayCity[[#This Row],[in]]))</f>
        <v/>
      </c>
      <c r="AG524" s="1392" t="n"/>
      <c r="AH524" s="1392" t="n"/>
      <c r="AI524" s="1392" t="n"/>
      <c r="AJ524" s="1392" t="n"/>
      <c r="AK524" s="1392" t="n"/>
      <c r="AL524" s="1392" t="n"/>
      <c r="AM524" s="1392" t="n"/>
      <c r="AN524" s="1392" t="n"/>
      <c r="AO524" s="1392" t="n"/>
      <c r="AP524" s="1392" t="n"/>
      <c r="AQ524" s="1392" t="n"/>
      <c r="AR524" s="1392" t="n"/>
      <c r="AS524" s="1422" t="n"/>
      <c r="AT524" s="1392" t="n"/>
      <c r="AU524" s="1392" t="n"/>
      <c r="AV524" s="1392" t="n"/>
      <c r="AW524" s="1392" t="n"/>
      <c r="AX524" s="1392" t="n"/>
      <c r="AY524" s="1392" t="n"/>
      <c r="AZ524" s="1392" t="n"/>
      <c r="BA524" s="1392" t="n"/>
      <c r="BB524" s="1422" t="n"/>
      <c r="BC524" s="1392" t="n"/>
      <c r="BD524" s="1392" t="n"/>
      <c r="BE524" s="1392" t="n"/>
      <c r="BF524" s="1392" t="n"/>
      <c r="BG524" s="1392" t="n"/>
      <c r="BH524" s="1392" t="n"/>
      <c r="BI524" s="1392" t="n"/>
      <c r="BJ524" s="1392" t="n"/>
      <c r="BK524" s="1392" t="n"/>
      <c r="BL524" s="1392" t="n"/>
      <c r="BM524" s="1392" t="n"/>
      <c r="BN524" s="1392" t="n"/>
      <c r="BO524" s="1392" t="n"/>
      <c r="BP524" s="1392" t="n"/>
      <c r="BQ524" s="1392" t="n"/>
      <c r="BR524" s="1392" t="n"/>
      <c r="BS524" s="1392" t="n"/>
      <c r="BT524" s="1392" t="n"/>
      <c r="BU524" s="1416" t="n"/>
      <c r="BV524" s="1392" t="n"/>
      <c r="BW524" s="1392" t="n"/>
      <c r="BX524" s="1392" t="n"/>
      <c r="BY524" s="1392" t="n"/>
      <c r="BZ524" s="1416" t="n"/>
      <c r="CA524" s="1392" t="n"/>
      <c r="CB524" s="1392" t="n"/>
      <c r="CC524" s="1392" t="n"/>
      <c r="CD524" s="1392" t="n"/>
      <c r="CE524" s="1392" t="n"/>
      <c r="CF524" s="1392" t="n"/>
      <c r="CG524" s="1392" t="n"/>
      <c r="CH524" s="1392" t="n"/>
      <c r="CI524" s="1392" t="n"/>
      <c r="CJ524" s="1392" t="n"/>
      <c r="CK524" s="1392" t="n"/>
      <c r="CL524" s="1392" t="n"/>
    </row>
    <row r="525">
      <c r="A525" s="5" t="inlineStr">
        <is>
          <t>.</t>
        </is>
      </c>
      <c r="B525" s="5" t="inlineStr">
        <is>
          <t>.</t>
        </is>
      </c>
      <c r="C525" s="1378">
        <f>IF(raw[[#This Row],[city]]="","-",IF(raw[[#This Row],[city]]="TODAY","-",C524+1))</f>
        <v/>
      </c>
      <c r="D525" s="1393" t="inlineStr">
        <is>
          <t>Los Arcos</t>
        </is>
      </c>
      <c r="E525" s="1394" t="n">
        <v>36093</v>
      </c>
      <c r="F525" s="1394" t="n">
        <v>36094</v>
      </c>
      <c r="G525" s="1393" t="inlineStr">
        <is>
          <t>-</t>
        </is>
      </c>
      <c r="H525" s="1393">
        <f>H524</f>
        <v/>
      </c>
      <c r="I525" s="1393" t="inlineStr">
        <is>
          <t>CS</t>
        </is>
      </c>
      <c r="J525" s="1393" t="inlineStr">
        <is>
          <t>-</t>
        </is>
      </c>
      <c r="K525" s="1395">
        <f>IF(raw[[#This Row],[city]]&lt;&gt;"",_xlfn.XLOOKUP($D525,ccc[city],ccc[prov],"-"),"-")</f>
        <v/>
      </c>
      <c r="L525" s="1395">
        <f>IF(raw[[#This Row],[city]]&lt;&gt;"",_xlfn.XLOOKUP($D525,ccc[city],ccc[ctry],"-"),"-")</f>
        <v/>
      </c>
      <c r="M525" s="1395">
        <f>IF(raw[[#This Row],[city]]&lt;&gt;"",_xlfn.XLOOKUP($D525,ccc[city],ccc[cont],"-"),"-")</f>
        <v/>
      </c>
      <c r="N525" s="1396">
        <f>IF(raw[[#This Row],[city]]="","-",IF(raw[[#This Row],[cont]]="B",raw[[#This Row],[cont]],"W"))</f>
        <v/>
      </c>
      <c r="O525" s="1397">
        <f>IF(raw[[#This Row],[out]]=0,0,IF(raw[[#This Row],[out]]=raw[[#This Row],[in]],0.01,raw[[#This Row],[out]]-raw[[#This Row],[in]]))</f>
        <v/>
      </c>
      <c r="P525" s="1397">
        <f>IF(raw[[#This Row],[in]]=0,0,MONTH(raw[[#This Row],[in]]))</f>
        <v/>
      </c>
      <c r="Q525" s="1397">
        <f>IF(raw[[#This Row],[in]]=0,0,YEAR(raw[[#This Row],[in]]))</f>
        <v/>
      </c>
      <c r="R525" s="1397">
        <f>INT(raw[[#This Row],[yr]]/10)*10</f>
        <v/>
      </c>
      <c r="S525" s="1395">
        <f>IF(raw[[#This Row],[city]]="","-",IF(raw[[#This Row],[city]]&lt;&gt;_xlfn.XLOOKUP(raw[[#This Row],[home]],homes[home],homes[city],"-"),1,0))</f>
        <v/>
      </c>
      <c r="T525" s="1398" t="inlineStr">
        <is>
          <t>.</t>
        </is>
      </c>
      <c r="U525" s="1399">
        <f>IF(raw[[#This Row],[wb]]="w",raw[[#This Row],[stay]]+U524,U524)</f>
        <v/>
      </c>
      <c r="V525" s="1400">
        <f>IF(raw[[#This Row],[out]]=0,V524,(raw[[#This Row],[out]]-E$5))</f>
        <v/>
      </c>
      <c r="W525" s="1401">
        <f>U525/V525</f>
        <v/>
      </c>
      <c r="X525" s="1378" t="inlineStr">
        <is>
          <t>.</t>
        </is>
      </c>
      <c r="Y525" s="1402">
        <f/>
        <v/>
      </c>
      <c r="Z525" s="1403">
        <f/>
        <v/>
      </c>
      <c r="AA525" s="1403">
        <f/>
        <v/>
      </c>
      <c r="AB525" s="1400">
        <f t="array" ref="AB525">_xlfn.LET(_xlpm.S,_xlfn.ANCHORARRAY($Y$4),_xlpm.r,ROWS(stayCity[[#Headers],[city]]:stayCity[[#This Row],[city]])-1,IF(_xlpm.r&lt;=ROWS(_xlpm.S),INDEX(_xlpm.S,_xlpm.r,1),""))</f>
        <v/>
      </c>
      <c r="AC525" s="1405">
        <f t="array" ref="AC525">_xlfn.LET(_xlpm.S,_xlfn.ANCHORARRAY($Y$4),_xlpm.r,ROWS(stayCity[[#Headers],[city]]:stayCity[[#This Row],[city]])-1,IF(_xlpm.r&lt;=ROWS(_xlpm.S),INDEX(_xlpm.S,_xlpm.r,2),""))</f>
        <v/>
      </c>
      <c r="AD525" s="1405">
        <f t="array" ref="AD525">_xlfn.LET(_xlpm.S,_xlfn.ANCHORARRAY($Y$4),_xlpm.r,ROWS(stayCity[[#Headers],[city]]:stayCity[[#This Row],[city]])-1,IF(_xlpm.r&lt;=ROWS(_xlpm.S),INDEX(_xlpm.S,_xlpm.r,3),""))</f>
        <v/>
      </c>
      <c r="AE525" s="1400">
        <f>IF(stayCity[[#This Row],[out]]&lt;&gt;"",stayCity[[#This Row],[out]]-stayCity[[#This Row],[in]],"-")</f>
        <v/>
      </c>
      <c r="AF525" s="1406">
        <f>IF(Y525="","-",YEAR(stayCity[[#This Row],[in]]))</f>
        <v/>
      </c>
      <c r="AG525" s="1392" t="n"/>
      <c r="AH525" s="1392" t="n"/>
      <c r="AI525" s="1392" t="n"/>
      <c r="AJ525" s="1392" t="n"/>
      <c r="AK525" s="1392" t="n"/>
      <c r="AL525" s="1392" t="n"/>
      <c r="AM525" s="1392" t="n"/>
      <c r="AN525" s="1392" t="n"/>
      <c r="AO525" s="1392" t="n"/>
      <c r="AP525" s="1392" t="n"/>
      <c r="AQ525" s="1392" t="n"/>
      <c r="AR525" s="1392" t="n"/>
      <c r="AS525" s="1422" t="n"/>
      <c r="AT525" s="1392" t="n"/>
      <c r="AU525" s="1392" t="n"/>
      <c r="AV525" s="1392" t="n"/>
      <c r="AW525" s="1392" t="n"/>
      <c r="AX525" s="1392" t="n"/>
      <c r="AY525" s="1392" t="n"/>
      <c r="AZ525" s="1392" t="n"/>
      <c r="BA525" s="1392" t="n"/>
      <c r="BB525" s="1422" t="n"/>
      <c r="BC525" s="1392" t="n"/>
      <c r="BD525" s="1392" t="n"/>
      <c r="BE525" s="1392" t="n"/>
      <c r="BF525" s="1392" t="n"/>
      <c r="BG525" s="1392" t="n"/>
      <c r="BH525" s="1392" t="n"/>
      <c r="BI525" s="1392" t="n"/>
      <c r="BJ525" s="1392" t="n"/>
      <c r="BK525" s="1392" t="n"/>
      <c r="BL525" s="1392" t="n"/>
      <c r="BM525" s="1392" t="n"/>
      <c r="BN525" s="1392" t="n"/>
      <c r="BO525" s="1392" t="n"/>
      <c r="BP525" s="1392" t="n"/>
      <c r="BQ525" s="1392" t="n"/>
      <c r="BR525" s="1392" t="n"/>
      <c r="BS525" s="1392" t="n"/>
      <c r="BT525" s="1392" t="n"/>
      <c r="BU525" s="1416" t="n"/>
      <c r="BV525" s="1392" t="n"/>
      <c r="BW525" s="1392" t="n"/>
      <c r="BX525" s="1392" t="n"/>
      <c r="BY525" s="1392" t="n"/>
      <c r="BZ525" s="1416" t="n"/>
      <c r="CA525" s="1392" t="n"/>
      <c r="CB525" s="1392" t="n"/>
      <c r="CC525" s="1392" t="n"/>
      <c r="CD525" s="1392" t="n"/>
      <c r="CE525" s="1392" t="n"/>
      <c r="CF525" s="1392" t="n"/>
      <c r="CG525" s="1392" t="n"/>
      <c r="CH525" s="1392" t="n"/>
      <c r="CI525" s="1392" t="n"/>
      <c r="CJ525" s="1392" t="n"/>
      <c r="CK525" s="1392" t="n"/>
      <c r="CL525" s="1392" t="n"/>
    </row>
    <row r="526">
      <c r="A526" s="5" t="inlineStr">
        <is>
          <t>.</t>
        </is>
      </c>
      <c r="B526" s="5" t="inlineStr">
        <is>
          <t>.</t>
        </is>
      </c>
      <c r="C526" s="1378">
        <f>IF(raw[[#This Row],[city]]="","-",IF(raw[[#This Row],[city]]="TODAY","-",C525+1))</f>
        <v/>
      </c>
      <c r="D526" s="1393" t="inlineStr">
        <is>
          <t>Logrono</t>
        </is>
      </c>
      <c r="E526" s="1394" t="n">
        <v>36094</v>
      </c>
      <c r="F526" s="1394" t="n">
        <v>36095</v>
      </c>
      <c r="G526" s="1393" t="inlineStr">
        <is>
          <t>-</t>
        </is>
      </c>
      <c r="H526" s="1393">
        <f>H525</f>
        <v/>
      </c>
      <c r="I526" s="1393" t="inlineStr">
        <is>
          <t>CS</t>
        </is>
      </c>
      <c r="J526" s="1393" t="inlineStr">
        <is>
          <t>-</t>
        </is>
      </c>
      <c r="K526" s="1395">
        <f>IF(raw[[#This Row],[city]]&lt;&gt;"",_xlfn.XLOOKUP($D526,ccc[city],ccc[prov],"-"),"-")</f>
        <v/>
      </c>
      <c r="L526" s="1395">
        <f>IF(raw[[#This Row],[city]]&lt;&gt;"",_xlfn.XLOOKUP($D526,ccc[city],ccc[ctry],"-"),"-")</f>
        <v/>
      </c>
      <c r="M526" s="1395">
        <f>IF(raw[[#This Row],[city]]&lt;&gt;"",_xlfn.XLOOKUP($D526,ccc[city],ccc[cont],"-"),"-")</f>
        <v/>
      </c>
      <c r="N526" s="1396">
        <f>IF(raw[[#This Row],[city]]="","-",IF(raw[[#This Row],[cont]]="B",raw[[#This Row],[cont]],"W"))</f>
        <v/>
      </c>
      <c r="O526" s="1397">
        <f>IF(raw[[#This Row],[out]]=0,0,IF(raw[[#This Row],[out]]=raw[[#This Row],[in]],0.01,raw[[#This Row],[out]]-raw[[#This Row],[in]]))</f>
        <v/>
      </c>
      <c r="P526" s="1397">
        <f>IF(raw[[#This Row],[in]]=0,0,MONTH(raw[[#This Row],[in]]))</f>
        <v/>
      </c>
      <c r="Q526" s="1397">
        <f>IF(raw[[#This Row],[in]]=0,0,YEAR(raw[[#This Row],[in]]))</f>
        <v/>
      </c>
      <c r="R526" s="1397">
        <f>INT(raw[[#This Row],[yr]]/10)*10</f>
        <v/>
      </c>
      <c r="S526" s="1395">
        <f>IF(raw[[#This Row],[city]]="","-",IF(raw[[#This Row],[city]]&lt;&gt;_xlfn.XLOOKUP(raw[[#This Row],[home]],homes[home],homes[city],"-"),1,0))</f>
        <v/>
      </c>
      <c r="T526" s="1398" t="inlineStr">
        <is>
          <t>.</t>
        </is>
      </c>
      <c r="U526" s="1399">
        <f>IF(raw[[#This Row],[wb]]="w",raw[[#This Row],[stay]]+U525,U525)</f>
        <v/>
      </c>
      <c r="V526" s="1400">
        <f>IF(raw[[#This Row],[out]]=0,V525,(raw[[#This Row],[out]]-E$5))</f>
        <v/>
      </c>
      <c r="W526" s="1401">
        <f>U526/V526</f>
        <v/>
      </c>
      <c r="X526" s="1378" t="inlineStr">
        <is>
          <t>.</t>
        </is>
      </c>
      <c r="Y526" s="1402">
        <f/>
        <v/>
      </c>
      <c r="Z526" s="1403">
        <f/>
        <v/>
      </c>
      <c r="AA526" s="1403">
        <f/>
        <v/>
      </c>
      <c r="AB526" s="1400">
        <f t="array" ref="AB526">_xlfn.LET(_xlpm.S,_xlfn.ANCHORARRAY($Y$4),_xlpm.r,ROWS(stayCity[[#Headers],[city]]:stayCity[[#This Row],[city]])-1,IF(_xlpm.r&lt;=ROWS(_xlpm.S),INDEX(_xlpm.S,_xlpm.r,1),""))</f>
        <v/>
      </c>
      <c r="AC526" s="1405">
        <f t="array" ref="AC526">_xlfn.LET(_xlpm.S,_xlfn.ANCHORARRAY($Y$4),_xlpm.r,ROWS(stayCity[[#Headers],[city]]:stayCity[[#This Row],[city]])-1,IF(_xlpm.r&lt;=ROWS(_xlpm.S),INDEX(_xlpm.S,_xlpm.r,2),""))</f>
        <v/>
      </c>
      <c r="AD526" s="1405">
        <f t="array" ref="AD526">_xlfn.LET(_xlpm.S,_xlfn.ANCHORARRAY($Y$4),_xlpm.r,ROWS(stayCity[[#Headers],[city]]:stayCity[[#This Row],[city]])-1,IF(_xlpm.r&lt;=ROWS(_xlpm.S),INDEX(_xlpm.S,_xlpm.r,3),""))</f>
        <v/>
      </c>
      <c r="AE526" s="1400">
        <f>IF(stayCity[[#This Row],[out]]&lt;&gt;"",stayCity[[#This Row],[out]]-stayCity[[#This Row],[in]],"-")</f>
        <v/>
      </c>
      <c r="AF526" s="1406">
        <f>IF(Y526="","-",YEAR(stayCity[[#This Row],[in]]))</f>
        <v/>
      </c>
      <c r="AG526" s="1392" t="n"/>
      <c r="AH526" s="1392" t="n"/>
      <c r="AI526" s="1392" t="n"/>
      <c r="AJ526" s="1392" t="n"/>
      <c r="AK526" s="1392" t="n"/>
      <c r="AL526" s="1392" t="n"/>
      <c r="AM526" s="1392" t="n"/>
      <c r="AN526" s="1392" t="n"/>
      <c r="AO526" s="1392" t="n"/>
      <c r="AP526" s="1392" t="n"/>
      <c r="AQ526" s="1392" t="n"/>
      <c r="AR526" s="1392" t="n"/>
      <c r="AS526" s="1422" t="n"/>
      <c r="AT526" s="1392" t="n"/>
      <c r="AU526" s="1392" t="n"/>
      <c r="AV526" s="1392" t="n"/>
      <c r="AW526" s="1392" t="n"/>
      <c r="AX526" s="1392" t="n"/>
      <c r="AY526" s="1392" t="n"/>
      <c r="AZ526" s="1392" t="n"/>
      <c r="BA526" s="1392" t="n"/>
      <c r="BB526" s="1422" t="n"/>
      <c r="BC526" s="1392" t="n"/>
      <c r="BD526" s="1392" t="n"/>
      <c r="BE526" s="1392" t="n"/>
      <c r="BF526" s="1392" t="n"/>
      <c r="BG526" s="1392" t="n"/>
      <c r="BH526" s="1392" t="n"/>
      <c r="BI526" s="1392" t="n"/>
      <c r="BJ526" s="1392" t="n"/>
      <c r="BK526" s="1392" t="n"/>
      <c r="BL526" s="1392" t="n"/>
      <c r="BM526" s="1392" t="n"/>
      <c r="BN526" s="1392" t="n"/>
      <c r="BO526" s="1392" t="n"/>
      <c r="BP526" s="1392" t="n"/>
      <c r="BQ526" s="1392" t="n"/>
      <c r="BR526" s="1392" t="n"/>
      <c r="BS526" s="1392" t="n"/>
      <c r="BT526" s="1392" t="n"/>
      <c r="BU526" s="1416" t="n"/>
      <c r="BV526" s="1392" t="n"/>
      <c r="BW526" s="1392" t="n"/>
      <c r="BX526" s="1392" t="n"/>
      <c r="BY526" s="1392" t="n"/>
      <c r="BZ526" s="1416" t="n"/>
      <c r="CA526" s="1392" t="n"/>
      <c r="CB526" s="1392" t="n"/>
      <c r="CC526" s="1392" t="n"/>
      <c r="CD526" s="1392" t="n"/>
      <c r="CE526" s="1392" t="n"/>
      <c r="CF526" s="1392" t="n"/>
      <c r="CG526" s="1392" t="n"/>
      <c r="CH526" s="1392" t="n"/>
      <c r="CI526" s="1392" t="n"/>
      <c r="CJ526" s="1392" t="n"/>
      <c r="CK526" s="1392" t="n"/>
      <c r="CL526" s="1392" t="n"/>
    </row>
    <row r="527">
      <c r="A527" s="5" t="inlineStr">
        <is>
          <t>.</t>
        </is>
      </c>
      <c r="B527" s="5" t="inlineStr">
        <is>
          <t>.</t>
        </is>
      </c>
      <c r="C527" s="1378">
        <f>IF(raw[[#This Row],[city]]="","-",IF(raw[[#This Row],[city]]="TODAY","-",C526+1))</f>
        <v/>
      </c>
      <c r="D527" s="1393" t="inlineStr">
        <is>
          <t>Navarrete</t>
        </is>
      </c>
      <c r="E527" s="1394" t="n">
        <v>36095</v>
      </c>
      <c r="F527" s="1394" t="n">
        <v>36095</v>
      </c>
      <c r="G527" s="1393" t="inlineStr">
        <is>
          <t>-</t>
        </is>
      </c>
      <c r="H527" s="1393">
        <f>H526</f>
        <v/>
      </c>
      <c r="I527" s="1393" t="inlineStr">
        <is>
          <t>CS</t>
        </is>
      </c>
      <c r="J527" s="1393" t="inlineStr">
        <is>
          <t>-</t>
        </is>
      </c>
      <c r="K527" s="1395">
        <f>IF(raw[[#This Row],[city]]&lt;&gt;"",_xlfn.XLOOKUP($D527,ccc[city],ccc[prov],"-"),"-")</f>
        <v/>
      </c>
      <c r="L527" s="1395">
        <f>IF(raw[[#This Row],[city]]&lt;&gt;"",_xlfn.XLOOKUP($D527,ccc[city],ccc[ctry],"-"),"-")</f>
        <v/>
      </c>
      <c r="M527" s="1395">
        <f>IF(raw[[#This Row],[city]]&lt;&gt;"",_xlfn.XLOOKUP($D527,ccc[city],ccc[cont],"-"),"-")</f>
        <v/>
      </c>
      <c r="N527" s="1396">
        <f>IF(raw[[#This Row],[city]]="","-",IF(raw[[#This Row],[cont]]="B",raw[[#This Row],[cont]],"W"))</f>
        <v/>
      </c>
      <c r="O527" s="1397">
        <f>IF(raw[[#This Row],[out]]=0,0,IF(raw[[#This Row],[out]]=raw[[#This Row],[in]],0.01,raw[[#This Row],[out]]-raw[[#This Row],[in]]))</f>
        <v/>
      </c>
      <c r="P527" s="1397">
        <f>IF(raw[[#This Row],[in]]=0,0,MONTH(raw[[#This Row],[in]]))</f>
        <v/>
      </c>
      <c r="Q527" s="1397">
        <f>IF(raw[[#This Row],[in]]=0,0,YEAR(raw[[#This Row],[in]]))</f>
        <v/>
      </c>
      <c r="R527" s="1397">
        <f>INT(raw[[#This Row],[yr]]/10)*10</f>
        <v/>
      </c>
      <c r="S527" s="1395">
        <f>IF(raw[[#This Row],[city]]="","-",IF(raw[[#This Row],[city]]&lt;&gt;_xlfn.XLOOKUP(raw[[#This Row],[home]],homes[home],homes[city],"-"),1,0))</f>
        <v/>
      </c>
      <c r="T527" s="1398" t="inlineStr">
        <is>
          <t>.</t>
        </is>
      </c>
      <c r="U527" s="1399">
        <f>IF(raw[[#This Row],[wb]]="w",raw[[#This Row],[stay]]+U526,U526)</f>
        <v/>
      </c>
      <c r="V527" s="1400">
        <f>IF(raw[[#This Row],[out]]=0,V526,(raw[[#This Row],[out]]-E$5))</f>
        <v/>
      </c>
      <c r="W527" s="1401">
        <f>U527/V527</f>
        <v/>
      </c>
      <c r="X527" s="1378" t="inlineStr">
        <is>
          <t>.</t>
        </is>
      </c>
      <c r="Y527" s="1402">
        <f/>
        <v/>
      </c>
      <c r="Z527" s="1403">
        <f/>
        <v/>
      </c>
      <c r="AA527" s="1403">
        <f/>
        <v/>
      </c>
      <c r="AB527" s="1400">
        <f t="array" ref="AB527">_xlfn.LET(_xlpm.S,_xlfn.ANCHORARRAY($Y$4),_xlpm.r,ROWS(stayCity[[#Headers],[city]]:stayCity[[#This Row],[city]])-1,IF(_xlpm.r&lt;=ROWS(_xlpm.S),INDEX(_xlpm.S,_xlpm.r,1),""))</f>
        <v/>
      </c>
      <c r="AC527" s="1405">
        <f t="array" ref="AC527">_xlfn.LET(_xlpm.S,_xlfn.ANCHORARRAY($Y$4),_xlpm.r,ROWS(stayCity[[#Headers],[city]]:stayCity[[#This Row],[city]])-1,IF(_xlpm.r&lt;=ROWS(_xlpm.S),INDEX(_xlpm.S,_xlpm.r,2),""))</f>
        <v/>
      </c>
      <c r="AD527" s="1405">
        <f t="array" ref="AD527">_xlfn.LET(_xlpm.S,_xlfn.ANCHORARRAY($Y$4),_xlpm.r,ROWS(stayCity[[#Headers],[city]]:stayCity[[#This Row],[city]])-1,IF(_xlpm.r&lt;=ROWS(_xlpm.S),INDEX(_xlpm.S,_xlpm.r,3),""))</f>
        <v/>
      </c>
      <c r="AE527" s="1400">
        <f>IF(stayCity[[#This Row],[out]]&lt;&gt;"",stayCity[[#This Row],[out]]-stayCity[[#This Row],[in]],"-")</f>
        <v/>
      </c>
      <c r="AF527" s="1406">
        <f>IF(Y527="","-",YEAR(stayCity[[#This Row],[in]]))</f>
        <v/>
      </c>
      <c r="AG527" s="1392" t="n"/>
      <c r="AH527" s="1392" t="n"/>
      <c r="AI527" s="1392" t="n"/>
      <c r="AJ527" s="1392" t="n"/>
      <c r="AK527" s="1392" t="n"/>
      <c r="AL527" s="1392" t="n"/>
      <c r="AM527" s="1392" t="n"/>
      <c r="AN527" s="1392" t="n"/>
      <c r="AO527" s="1392" t="n"/>
      <c r="AP527" s="1392" t="n"/>
      <c r="AQ527" s="1392" t="n"/>
      <c r="AR527" s="1392" t="n"/>
      <c r="AS527" s="1422" t="n"/>
      <c r="AT527" s="1392" t="n"/>
      <c r="AU527" s="1392" t="n"/>
      <c r="AV527" s="1392" t="n"/>
      <c r="AW527" s="1392" t="n"/>
      <c r="AX527" s="1392" t="n"/>
      <c r="AY527" s="1392" t="n"/>
      <c r="AZ527" s="1392" t="n"/>
      <c r="BA527" s="1392" t="n"/>
      <c r="BB527" s="1422" t="n"/>
      <c r="BC527" s="1392" t="n"/>
      <c r="BD527" s="1392" t="n"/>
      <c r="BE527" s="1392" t="n"/>
      <c r="BF527" s="1392" t="n"/>
      <c r="BG527" s="1392" t="n"/>
      <c r="BH527" s="1392" t="n"/>
      <c r="BI527" s="1392" t="n"/>
      <c r="BJ527" s="1392" t="n"/>
      <c r="BK527" s="1392" t="n"/>
      <c r="BL527" s="1392" t="n"/>
      <c r="BM527" s="1392" t="n"/>
      <c r="BN527" s="1392" t="n"/>
      <c r="BO527" s="1392" t="n"/>
      <c r="BP527" s="1392" t="n"/>
      <c r="BQ527" s="1392" t="n"/>
      <c r="BR527" s="1392" t="n"/>
      <c r="BS527" s="1392" t="n"/>
      <c r="BT527" s="1392" t="n"/>
      <c r="BU527" s="1416" t="n"/>
      <c r="BV527" s="1392" t="n"/>
      <c r="BW527" s="1392" t="n"/>
      <c r="BX527" s="1392" t="n"/>
      <c r="BY527" s="1392" t="n"/>
      <c r="BZ527" s="1416" t="n"/>
      <c r="CA527" s="1392" t="n"/>
      <c r="CB527" s="1392" t="n"/>
      <c r="CC527" s="1392" t="n"/>
      <c r="CD527" s="1392" t="n"/>
      <c r="CE527" s="1392" t="n"/>
      <c r="CF527" s="1392" t="n"/>
      <c r="CG527" s="1392" t="n"/>
      <c r="CH527" s="1392" t="n"/>
      <c r="CI527" s="1392" t="n"/>
      <c r="CJ527" s="1392" t="n"/>
      <c r="CK527" s="1392" t="n"/>
      <c r="CL527" s="1392" t="n"/>
    </row>
    <row r="528">
      <c r="A528" s="5" t="inlineStr">
        <is>
          <t>.</t>
        </is>
      </c>
      <c r="B528" s="5" t="inlineStr">
        <is>
          <t>.</t>
        </is>
      </c>
      <c r="C528" s="1378">
        <f>IF(raw[[#This Row],[city]]="","-",IF(raw[[#This Row],[city]]="TODAY","-",C527+1))</f>
        <v/>
      </c>
      <c r="D528" s="1393" t="inlineStr">
        <is>
          <t>Najera</t>
        </is>
      </c>
      <c r="E528" s="1394" t="n">
        <v>36095</v>
      </c>
      <c r="F528" s="1394" t="n">
        <v>36096</v>
      </c>
      <c r="G528" s="1393" t="inlineStr">
        <is>
          <t>-</t>
        </is>
      </c>
      <c r="H528" s="1393">
        <f>H527</f>
        <v/>
      </c>
      <c r="I528" s="1393" t="inlineStr">
        <is>
          <t>CS</t>
        </is>
      </c>
      <c r="J528" s="1393" t="inlineStr">
        <is>
          <t>-</t>
        </is>
      </c>
      <c r="K528" s="1395">
        <f>IF(raw[[#This Row],[city]]&lt;&gt;"",_xlfn.XLOOKUP($D528,ccc[city],ccc[prov],"-"),"-")</f>
        <v/>
      </c>
      <c r="L528" s="1395">
        <f>IF(raw[[#This Row],[city]]&lt;&gt;"",_xlfn.XLOOKUP($D528,ccc[city],ccc[ctry],"-"),"-")</f>
        <v/>
      </c>
      <c r="M528" s="1395">
        <f>IF(raw[[#This Row],[city]]&lt;&gt;"",_xlfn.XLOOKUP($D528,ccc[city],ccc[cont],"-"),"-")</f>
        <v/>
      </c>
      <c r="N528" s="1396">
        <f>IF(raw[[#This Row],[city]]="","-",IF(raw[[#This Row],[cont]]="B",raw[[#This Row],[cont]],"W"))</f>
        <v/>
      </c>
      <c r="O528" s="1397">
        <f>IF(raw[[#This Row],[out]]=0,0,IF(raw[[#This Row],[out]]=raw[[#This Row],[in]],0.01,raw[[#This Row],[out]]-raw[[#This Row],[in]]))</f>
        <v/>
      </c>
      <c r="P528" s="1397">
        <f>IF(raw[[#This Row],[in]]=0,0,MONTH(raw[[#This Row],[in]]))</f>
        <v/>
      </c>
      <c r="Q528" s="1397">
        <f>IF(raw[[#This Row],[in]]=0,0,YEAR(raw[[#This Row],[in]]))</f>
        <v/>
      </c>
      <c r="R528" s="1397">
        <f>INT(raw[[#This Row],[yr]]/10)*10</f>
        <v/>
      </c>
      <c r="S528" s="1395">
        <f>IF(raw[[#This Row],[city]]="","-",IF(raw[[#This Row],[city]]&lt;&gt;_xlfn.XLOOKUP(raw[[#This Row],[home]],homes[home],homes[city],"-"),1,0))</f>
        <v/>
      </c>
      <c r="T528" s="1398" t="inlineStr">
        <is>
          <t>.</t>
        </is>
      </c>
      <c r="U528" s="1399">
        <f>IF(raw[[#This Row],[wb]]="w",raw[[#This Row],[stay]]+U527,U527)</f>
        <v/>
      </c>
      <c r="V528" s="1400">
        <f>IF(raw[[#This Row],[out]]=0,V527,(raw[[#This Row],[out]]-E$5))</f>
        <v/>
      </c>
      <c r="W528" s="1401">
        <f>U528/V528</f>
        <v/>
      </c>
      <c r="X528" s="1378" t="inlineStr">
        <is>
          <t>.</t>
        </is>
      </c>
      <c r="Y528" s="1402">
        <f/>
        <v/>
      </c>
      <c r="Z528" s="1403">
        <f/>
        <v/>
      </c>
      <c r="AA528" s="1403">
        <f/>
        <v/>
      </c>
      <c r="AB528" s="1400">
        <f t="array" ref="AB528">_xlfn.LET(_xlpm.S,_xlfn.ANCHORARRAY($Y$4),_xlpm.r,ROWS(stayCity[[#Headers],[city]]:stayCity[[#This Row],[city]])-1,IF(_xlpm.r&lt;=ROWS(_xlpm.S),INDEX(_xlpm.S,_xlpm.r,1),""))</f>
        <v/>
      </c>
      <c r="AC528" s="1405">
        <f t="array" ref="AC528">_xlfn.LET(_xlpm.S,_xlfn.ANCHORARRAY($Y$4),_xlpm.r,ROWS(stayCity[[#Headers],[city]]:stayCity[[#This Row],[city]])-1,IF(_xlpm.r&lt;=ROWS(_xlpm.S),INDEX(_xlpm.S,_xlpm.r,2),""))</f>
        <v/>
      </c>
      <c r="AD528" s="1405">
        <f t="array" ref="AD528">_xlfn.LET(_xlpm.S,_xlfn.ANCHORARRAY($Y$4),_xlpm.r,ROWS(stayCity[[#Headers],[city]]:stayCity[[#This Row],[city]])-1,IF(_xlpm.r&lt;=ROWS(_xlpm.S),INDEX(_xlpm.S,_xlpm.r,3),""))</f>
        <v/>
      </c>
      <c r="AE528" s="1400">
        <f>IF(stayCity[[#This Row],[out]]&lt;&gt;"",stayCity[[#This Row],[out]]-stayCity[[#This Row],[in]],"-")</f>
        <v/>
      </c>
      <c r="AF528" s="1406">
        <f>IF(Y528="","-",YEAR(stayCity[[#This Row],[in]]))</f>
        <v/>
      </c>
      <c r="AG528" s="1392" t="n"/>
      <c r="AH528" s="1392" t="n"/>
      <c r="AI528" s="1392" t="n"/>
      <c r="AJ528" s="1392" t="n"/>
      <c r="AK528" s="1392" t="n"/>
      <c r="AL528" s="1392" t="n"/>
      <c r="AM528" s="1392" t="n"/>
      <c r="AN528" s="1392" t="n"/>
      <c r="AO528" s="1392" t="n"/>
      <c r="AP528" s="1392" t="n"/>
      <c r="AQ528" s="1392" t="n"/>
      <c r="AR528" s="1392" t="n"/>
      <c r="AS528" s="1422" t="n"/>
      <c r="AT528" s="1392" t="n"/>
      <c r="AU528" s="1392" t="n"/>
      <c r="AV528" s="1392" t="n"/>
      <c r="AW528" s="1392" t="n"/>
      <c r="AX528" s="1392" t="n"/>
      <c r="AY528" s="1392" t="n"/>
      <c r="AZ528" s="1392" t="n"/>
      <c r="BA528" s="1392" t="n"/>
      <c r="BB528" s="1422" t="n"/>
      <c r="BC528" s="1392" t="n"/>
      <c r="BD528" s="1392" t="n"/>
      <c r="BE528" s="1392" t="n"/>
      <c r="BF528" s="1392" t="n"/>
      <c r="BG528" s="1392" t="n"/>
      <c r="BH528" s="1392" t="n"/>
      <c r="BI528" s="1392" t="n"/>
      <c r="BJ528" s="1392" t="n"/>
      <c r="BK528" s="1392" t="n"/>
      <c r="BL528" s="1392" t="n"/>
      <c r="BM528" s="1392" t="n"/>
      <c r="BN528" s="1392" t="n"/>
      <c r="BO528" s="1392" t="n"/>
      <c r="BP528" s="1392" t="n"/>
      <c r="BQ528" s="1392" t="n"/>
      <c r="BR528" s="1392" t="n"/>
      <c r="BS528" s="1392" t="n"/>
      <c r="BT528" s="1392" t="n"/>
      <c r="BU528" s="1416" t="n"/>
      <c r="BV528" s="1392" t="n"/>
      <c r="BW528" s="1392" t="n"/>
      <c r="BX528" s="1392" t="n"/>
      <c r="BY528" s="1392" t="n"/>
      <c r="BZ528" s="1416" t="n"/>
      <c r="CA528" s="1392" t="n"/>
      <c r="CB528" s="1392" t="n"/>
      <c r="CC528" s="1392" t="n"/>
      <c r="CD528" s="1392" t="n"/>
      <c r="CE528" s="1392" t="n"/>
      <c r="CF528" s="1392" t="n"/>
      <c r="CG528" s="1392" t="n"/>
      <c r="CH528" s="1392" t="n"/>
      <c r="CI528" s="1392" t="n"/>
      <c r="CJ528" s="1392" t="n"/>
      <c r="CK528" s="1392" t="n"/>
      <c r="CL528" s="1392" t="n"/>
    </row>
    <row r="529">
      <c r="A529" s="5" t="inlineStr">
        <is>
          <t>.</t>
        </is>
      </c>
      <c r="B529" s="5" t="inlineStr">
        <is>
          <t>.</t>
        </is>
      </c>
      <c r="C529" s="1378">
        <f>IF(raw[[#This Row],[city]]="","-",IF(raw[[#This Row],[city]]="TODAY","-",C528+1))</f>
        <v/>
      </c>
      <c r="D529" s="1393" t="inlineStr">
        <is>
          <t>Sto Domingo de la Calzada</t>
        </is>
      </c>
      <c r="E529" s="1394" t="n">
        <v>36096</v>
      </c>
      <c r="F529" s="1394" t="n">
        <v>36097</v>
      </c>
      <c r="G529" s="1393" t="inlineStr">
        <is>
          <t>-</t>
        </is>
      </c>
      <c r="H529" s="1393">
        <f>H528</f>
        <v/>
      </c>
      <c r="I529" s="1393" t="inlineStr">
        <is>
          <t>CS</t>
        </is>
      </c>
      <c r="J529" s="1393" t="inlineStr">
        <is>
          <t>-</t>
        </is>
      </c>
      <c r="K529" s="1395">
        <f>IF(raw[[#This Row],[city]]&lt;&gt;"",_xlfn.XLOOKUP($D529,ccc[city],ccc[prov],"-"),"-")</f>
        <v/>
      </c>
      <c r="L529" s="1395">
        <f>IF(raw[[#This Row],[city]]&lt;&gt;"",_xlfn.XLOOKUP($D529,ccc[city],ccc[ctry],"-"),"-")</f>
        <v/>
      </c>
      <c r="M529" s="1395">
        <f>IF(raw[[#This Row],[city]]&lt;&gt;"",_xlfn.XLOOKUP($D529,ccc[city],ccc[cont],"-"),"-")</f>
        <v/>
      </c>
      <c r="N529" s="1396">
        <f>IF(raw[[#This Row],[city]]="","-",IF(raw[[#This Row],[cont]]="B",raw[[#This Row],[cont]],"W"))</f>
        <v/>
      </c>
      <c r="O529" s="1397">
        <f>IF(raw[[#This Row],[out]]=0,0,IF(raw[[#This Row],[out]]=raw[[#This Row],[in]],0.01,raw[[#This Row],[out]]-raw[[#This Row],[in]]))</f>
        <v/>
      </c>
      <c r="P529" s="1397">
        <f>IF(raw[[#This Row],[in]]=0,0,MONTH(raw[[#This Row],[in]]))</f>
        <v/>
      </c>
      <c r="Q529" s="1397">
        <f>IF(raw[[#This Row],[in]]=0,0,YEAR(raw[[#This Row],[in]]))</f>
        <v/>
      </c>
      <c r="R529" s="1397">
        <f>INT(raw[[#This Row],[yr]]/10)*10</f>
        <v/>
      </c>
      <c r="S529" s="1395">
        <f>IF(raw[[#This Row],[city]]="","-",IF(raw[[#This Row],[city]]&lt;&gt;_xlfn.XLOOKUP(raw[[#This Row],[home]],homes[home],homes[city],"-"),1,0))</f>
        <v/>
      </c>
      <c r="T529" s="1398" t="inlineStr">
        <is>
          <t>.</t>
        </is>
      </c>
      <c r="U529" s="1399">
        <f>IF(raw[[#This Row],[wb]]="w",raw[[#This Row],[stay]]+U528,U528)</f>
        <v/>
      </c>
      <c r="V529" s="1400">
        <f>IF(raw[[#This Row],[out]]=0,V528,(raw[[#This Row],[out]]-E$5))</f>
        <v/>
      </c>
      <c r="W529" s="1401">
        <f>U529/V529</f>
        <v/>
      </c>
      <c r="X529" s="1378" t="inlineStr">
        <is>
          <t>.</t>
        </is>
      </c>
      <c r="Y529" s="1402">
        <f/>
        <v/>
      </c>
      <c r="Z529" s="1403">
        <f/>
        <v/>
      </c>
      <c r="AA529" s="1403">
        <f/>
        <v/>
      </c>
      <c r="AB529" s="1400">
        <f t="array" ref="AB529">_xlfn.LET(_xlpm.S,_xlfn.ANCHORARRAY($Y$4),_xlpm.r,ROWS(stayCity[[#Headers],[city]]:stayCity[[#This Row],[city]])-1,IF(_xlpm.r&lt;=ROWS(_xlpm.S),INDEX(_xlpm.S,_xlpm.r,1),""))</f>
        <v/>
      </c>
      <c r="AC529" s="1405">
        <f t="array" ref="AC529">_xlfn.LET(_xlpm.S,_xlfn.ANCHORARRAY($Y$4),_xlpm.r,ROWS(stayCity[[#Headers],[city]]:stayCity[[#This Row],[city]])-1,IF(_xlpm.r&lt;=ROWS(_xlpm.S),INDEX(_xlpm.S,_xlpm.r,2),""))</f>
        <v/>
      </c>
      <c r="AD529" s="1405">
        <f t="array" ref="AD529">_xlfn.LET(_xlpm.S,_xlfn.ANCHORARRAY($Y$4),_xlpm.r,ROWS(stayCity[[#Headers],[city]]:stayCity[[#This Row],[city]])-1,IF(_xlpm.r&lt;=ROWS(_xlpm.S),INDEX(_xlpm.S,_xlpm.r,3),""))</f>
        <v/>
      </c>
      <c r="AE529" s="1400">
        <f>IF(stayCity[[#This Row],[out]]&lt;&gt;"",stayCity[[#This Row],[out]]-stayCity[[#This Row],[in]],"-")</f>
        <v/>
      </c>
      <c r="AF529" s="1406">
        <f>IF(Y529="","-",YEAR(stayCity[[#This Row],[in]]))</f>
        <v/>
      </c>
      <c r="AG529" s="1392" t="n"/>
      <c r="AH529" s="1392" t="n"/>
      <c r="AI529" s="1392" t="n"/>
      <c r="AJ529" s="1392" t="n"/>
      <c r="AK529" s="1392" t="n"/>
      <c r="AL529" s="1392" t="n"/>
      <c r="AM529" s="1392" t="n"/>
      <c r="AN529" s="1392" t="n"/>
      <c r="AO529" s="1392" t="n"/>
      <c r="AP529" s="1392" t="n"/>
      <c r="AQ529" s="1392" t="n"/>
      <c r="AR529" s="1392" t="n"/>
      <c r="AS529" s="1422" t="n"/>
      <c r="AT529" s="1392" t="n"/>
      <c r="AU529" s="1392" t="n"/>
      <c r="AV529" s="1392" t="n"/>
      <c r="AW529" s="1392" t="n"/>
      <c r="AX529" s="1392" t="n"/>
      <c r="AY529" s="1392" t="n"/>
      <c r="AZ529" s="1392" t="n"/>
      <c r="BA529" s="1392" t="n"/>
      <c r="BB529" s="1422" t="n"/>
      <c r="BC529" s="1392" t="n"/>
      <c r="BD529" s="1392" t="n"/>
      <c r="BE529" s="1392" t="n"/>
      <c r="BF529" s="1392" t="n"/>
      <c r="BG529" s="1392" t="n"/>
      <c r="BH529" s="1392" t="n"/>
      <c r="BI529" s="1392" t="n"/>
      <c r="BJ529" s="1392" t="n"/>
      <c r="BK529" s="1392" t="n"/>
      <c r="BL529" s="1392" t="n"/>
      <c r="BM529" s="1392" t="n"/>
      <c r="BN529" s="1392" t="n"/>
      <c r="BO529" s="1392" t="n"/>
      <c r="BP529" s="1392" t="n"/>
      <c r="BQ529" s="1392" t="n"/>
      <c r="BR529" s="1392" t="n"/>
      <c r="BS529" s="1392" t="n"/>
      <c r="BT529" s="1392" t="n"/>
      <c r="BU529" s="1416" t="n"/>
      <c r="BV529" s="1392" t="n"/>
      <c r="BW529" s="1392" t="n"/>
      <c r="BX529" s="1392" t="n"/>
      <c r="BY529" s="1392" t="n"/>
      <c r="BZ529" s="1416" t="n"/>
      <c r="CA529" s="1392" t="n"/>
      <c r="CB529" s="1392" t="n"/>
      <c r="CC529" s="1392" t="n"/>
      <c r="CD529" s="1392" t="n"/>
      <c r="CE529" s="1392" t="n"/>
      <c r="CF529" s="1392" t="n"/>
      <c r="CG529" s="1392" t="n"/>
      <c r="CH529" s="1392" t="n"/>
      <c r="CI529" s="1392" t="n"/>
      <c r="CJ529" s="1392" t="n"/>
      <c r="CK529" s="1392" t="n"/>
      <c r="CL529" s="1392" t="n"/>
    </row>
    <row r="530">
      <c r="A530" s="5" t="inlineStr">
        <is>
          <t>.</t>
        </is>
      </c>
      <c r="B530" s="5" t="inlineStr">
        <is>
          <t>.</t>
        </is>
      </c>
      <c r="C530" s="1378">
        <f>IF(raw[[#This Row],[city]]="","-",IF(raw[[#This Row],[city]]="TODAY","-",C529+1))</f>
        <v/>
      </c>
      <c r="D530" s="1393" t="inlineStr">
        <is>
          <t>Redecilla del Camino</t>
        </is>
      </c>
      <c r="E530" s="1394" t="n">
        <v>36097</v>
      </c>
      <c r="F530" s="1394" t="n">
        <v>36097</v>
      </c>
      <c r="G530" s="1393" t="inlineStr">
        <is>
          <t>-</t>
        </is>
      </c>
      <c r="H530" s="1393">
        <f>H529</f>
        <v/>
      </c>
      <c r="I530" s="1393" t="inlineStr">
        <is>
          <t>CS</t>
        </is>
      </c>
      <c r="J530" s="1393" t="inlineStr">
        <is>
          <t>-</t>
        </is>
      </c>
      <c r="K530" s="1395">
        <f>IF(raw[[#This Row],[city]]&lt;&gt;"",_xlfn.XLOOKUP($D530,ccc[city],ccc[prov],"-"),"-")</f>
        <v/>
      </c>
      <c r="L530" s="1395">
        <f>IF(raw[[#This Row],[city]]&lt;&gt;"",_xlfn.XLOOKUP($D530,ccc[city],ccc[ctry],"-"),"-")</f>
        <v/>
      </c>
      <c r="M530" s="1395">
        <f>IF(raw[[#This Row],[city]]&lt;&gt;"",_xlfn.XLOOKUP($D530,ccc[city],ccc[cont],"-"),"-")</f>
        <v/>
      </c>
      <c r="N530" s="1396">
        <f>IF(raw[[#This Row],[city]]="","-",IF(raw[[#This Row],[cont]]="B",raw[[#This Row],[cont]],"W"))</f>
        <v/>
      </c>
      <c r="O530" s="1397">
        <f>IF(raw[[#This Row],[out]]=0,0,IF(raw[[#This Row],[out]]=raw[[#This Row],[in]],0.01,raw[[#This Row],[out]]-raw[[#This Row],[in]]))</f>
        <v/>
      </c>
      <c r="P530" s="1397">
        <f>IF(raw[[#This Row],[in]]=0,0,MONTH(raw[[#This Row],[in]]))</f>
        <v/>
      </c>
      <c r="Q530" s="1397">
        <f>IF(raw[[#This Row],[in]]=0,0,YEAR(raw[[#This Row],[in]]))</f>
        <v/>
      </c>
      <c r="R530" s="1397">
        <f>INT(raw[[#This Row],[yr]]/10)*10</f>
        <v/>
      </c>
      <c r="S530" s="1395">
        <f>IF(raw[[#This Row],[city]]="","-",IF(raw[[#This Row],[city]]&lt;&gt;_xlfn.XLOOKUP(raw[[#This Row],[home]],homes[home],homes[city],"-"),1,0))</f>
        <v/>
      </c>
      <c r="T530" s="1398" t="inlineStr">
        <is>
          <t>.</t>
        </is>
      </c>
      <c r="U530" s="1399">
        <f>IF(raw[[#This Row],[wb]]="w",raw[[#This Row],[stay]]+U529,U529)</f>
        <v/>
      </c>
      <c r="V530" s="1400">
        <f>IF(raw[[#This Row],[out]]=0,V529,(raw[[#This Row],[out]]-E$5))</f>
        <v/>
      </c>
      <c r="W530" s="1401">
        <f>U530/V530</f>
        <v/>
      </c>
      <c r="X530" s="1378" t="inlineStr">
        <is>
          <t>.</t>
        </is>
      </c>
      <c r="Y530" s="1402">
        <f/>
        <v/>
      </c>
      <c r="Z530" s="1403">
        <f/>
        <v/>
      </c>
      <c r="AA530" s="1403">
        <f/>
        <v/>
      </c>
      <c r="AB530" s="1400">
        <f t="array" ref="AB530">_xlfn.LET(_xlpm.S,_xlfn.ANCHORARRAY($Y$4),_xlpm.r,ROWS(stayCity[[#Headers],[city]]:stayCity[[#This Row],[city]])-1,IF(_xlpm.r&lt;=ROWS(_xlpm.S),INDEX(_xlpm.S,_xlpm.r,1),""))</f>
        <v/>
      </c>
      <c r="AC530" s="1405">
        <f t="array" ref="AC530">_xlfn.LET(_xlpm.S,_xlfn.ANCHORARRAY($Y$4),_xlpm.r,ROWS(stayCity[[#Headers],[city]]:stayCity[[#This Row],[city]])-1,IF(_xlpm.r&lt;=ROWS(_xlpm.S),INDEX(_xlpm.S,_xlpm.r,2),""))</f>
        <v/>
      </c>
      <c r="AD530" s="1405">
        <f t="array" ref="AD530">_xlfn.LET(_xlpm.S,_xlfn.ANCHORARRAY($Y$4),_xlpm.r,ROWS(stayCity[[#Headers],[city]]:stayCity[[#This Row],[city]])-1,IF(_xlpm.r&lt;=ROWS(_xlpm.S),INDEX(_xlpm.S,_xlpm.r,3),""))</f>
        <v/>
      </c>
      <c r="AE530" s="1400">
        <f>IF(stayCity[[#This Row],[out]]&lt;&gt;"",stayCity[[#This Row],[out]]-stayCity[[#This Row],[in]],"-")</f>
        <v/>
      </c>
      <c r="AF530" s="1406">
        <f>IF(Y530="","-",YEAR(stayCity[[#This Row],[in]]))</f>
        <v/>
      </c>
      <c r="AG530" s="1392" t="n"/>
      <c r="AH530" s="1392" t="n"/>
      <c r="AI530" s="1392" t="n"/>
      <c r="AJ530" s="1392" t="n"/>
      <c r="AK530" s="1392" t="n"/>
      <c r="AL530" s="1392" t="n"/>
      <c r="AM530" s="1392" t="n"/>
      <c r="AN530" s="1392" t="n"/>
      <c r="AO530" s="1392" t="n"/>
      <c r="AP530" s="1392" t="n"/>
      <c r="AQ530" s="1392" t="n"/>
      <c r="AR530" s="1392" t="n"/>
      <c r="AS530" s="1422" t="n"/>
      <c r="AT530" s="1392" t="n"/>
      <c r="AU530" s="1392" t="n"/>
      <c r="AV530" s="1392" t="n"/>
      <c r="AW530" s="1392" t="n"/>
      <c r="AX530" s="1392" t="n"/>
      <c r="AY530" s="1392" t="n"/>
      <c r="AZ530" s="1392" t="n"/>
      <c r="BA530" s="1392" t="n"/>
      <c r="BB530" s="1422" t="n"/>
      <c r="BC530" s="1392" t="n"/>
      <c r="BD530" s="1392" t="n"/>
      <c r="BE530" s="1392" t="n"/>
      <c r="BF530" s="1392" t="n"/>
      <c r="BG530" s="1392" t="n"/>
      <c r="BH530" s="1392" t="n"/>
      <c r="BI530" s="1392" t="n"/>
      <c r="BJ530" s="1392" t="n"/>
      <c r="BK530" s="1392" t="n"/>
      <c r="BL530" s="1392" t="n"/>
      <c r="BM530" s="1392" t="n"/>
      <c r="BN530" s="1392" t="n"/>
      <c r="BO530" s="1392" t="n"/>
      <c r="BP530" s="1392" t="n"/>
      <c r="BQ530" s="1392" t="n"/>
      <c r="BR530" s="1392" t="n"/>
      <c r="BS530" s="1392" t="n"/>
      <c r="BT530" s="1392" t="n"/>
      <c r="BU530" s="1416" t="n"/>
      <c r="BV530" s="1392" t="n"/>
      <c r="BW530" s="1392" t="n"/>
      <c r="BX530" s="1392" t="n"/>
      <c r="BY530" s="1392" t="n"/>
      <c r="BZ530" s="1416" t="n"/>
      <c r="CA530" s="1392" t="n"/>
      <c r="CB530" s="1392" t="n"/>
      <c r="CC530" s="1392" t="n"/>
      <c r="CD530" s="1392" t="n"/>
      <c r="CE530" s="1392" t="n"/>
      <c r="CF530" s="1392" t="n"/>
      <c r="CG530" s="1392" t="n"/>
      <c r="CH530" s="1392" t="n"/>
      <c r="CI530" s="1392" t="n"/>
      <c r="CJ530" s="1392" t="n"/>
      <c r="CK530" s="1392" t="n"/>
      <c r="CL530" s="1392" t="n"/>
    </row>
    <row r="531">
      <c r="A531" s="5" t="inlineStr">
        <is>
          <t>.</t>
        </is>
      </c>
      <c r="B531" s="5" t="inlineStr">
        <is>
          <t>.</t>
        </is>
      </c>
      <c r="C531" s="1378">
        <f>IF(raw[[#This Row],[city]]="","-",IF(raw[[#This Row],[city]]="TODAY","-",C530+1))</f>
        <v/>
      </c>
      <c r="D531" s="1393" t="inlineStr">
        <is>
          <t>Violia de Rioja</t>
        </is>
      </c>
      <c r="E531" s="1394" t="n">
        <v>36097</v>
      </c>
      <c r="F531" s="1394" t="n">
        <v>36097</v>
      </c>
      <c r="G531" s="1393" t="inlineStr">
        <is>
          <t>-</t>
        </is>
      </c>
      <c r="H531" s="1393">
        <f>H530</f>
        <v/>
      </c>
      <c r="I531" s="1393" t="inlineStr">
        <is>
          <t>CS</t>
        </is>
      </c>
      <c r="J531" s="1393" t="inlineStr">
        <is>
          <t>-</t>
        </is>
      </c>
      <c r="K531" s="1395">
        <f>IF(raw[[#This Row],[city]]&lt;&gt;"",_xlfn.XLOOKUP($D531,ccc[city],ccc[prov],"-"),"-")</f>
        <v/>
      </c>
      <c r="L531" s="1395">
        <f>IF(raw[[#This Row],[city]]&lt;&gt;"",_xlfn.XLOOKUP($D531,ccc[city],ccc[ctry],"-"),"-")</f>
        <v/>
      </c>
      <c r="M531" s="1395">
        <f>IF(raw[[#This Row],[city]]&lt;&gt;"",_xlfn.XLOOKUP($D531,ccc[city],ccc[cont],"-"),"-")</f>
        <v/>
      </c>
      <c r="N531" s="1396">
        <f>IF(raw[[#This Row],[city]]="","-",IF(raw[[#This Row],[cont]]="B",raw[[#This Row],[cont]],"W"))</f>
        <v/>
      </c>
      <c r="O531" s="1397">
        <f>IF(raw[[#This Row],[out]]=0,0,IF(raw[[#This Row],[out]]=raw[[#This Row],[in]],0.01,raw[[#This Row],[out]]-raw[[#This Row],[in]]))</f>
        <v/>
      </c>
      <c r="P531" s="1397">
        <f>IF(raw[[#This Row],[in]]=0,0,MONTH(raw[[#This Row],[in]]))</f>
        <v/>
      </c>
      <c r="Q531" s="1397">
        <f>IF(raw[[#This Row],[in]]=0,0,YEAR(raw[[#This Row],[in]]))</f>
        <v/>
      </c>
      <c r="R531" s="1397">
        <f>INT(raw[[#This Row],[yr]]/10)*10</f>
        <v/>
      </c>
      <c r="S531" s="1395">
        <f>IF(raw[[#This Row],[city]]="","-",IF(raw[[#This Row],[city]]&lt;&gt;_xlfn.XLOOKUP(raw[[#This Row],[home]],homes[home],homes[city],"-"),1,0))</f>
        <v/>
      </c>
      <c r="T531" s="1398" t="inlineStr">
        <is>
          <t>.</t>
        </is>
      </c>
      <c r="U531" s="1399">
        <f>IF(raw[[#This Row],[wb]]="w",raw[[#This Row],[stay]]+U530,U530)</f>
        <v/>
      </c>
      <c r="V531" s="1400">
        <f>IF(raw[[#This Row],[out]]=0,V530,(raw[[#This Row],[out]]-E$5))</f>
        <v/>
      </c>
      <c r="W531" s="1401">
        <f>U531/V531</f>
        <v/>
      </c>
      <c r="X531" s="1378" t="inlineStr">
        <is>
          <t>.</t>
        </is>
      </c>
      <c r="Y531" s="1402">
        <f/>
        <v/>
      </c>
      <c r="Z531" s="1403">
        <f/>
        <v/>
      </c>
      <c r="AA531" s="1403">
        <f/>
        <v/>
      </c>
      <c r="AB531" s="1400">
        <f t="array" ref="AB531">_xlfn.LET(_xlpm.S,_xlfn.ANCHORARRAY($Y$4),_xlpm.r,ROWS(stayCity[[#Headers],[city]]:stayCity[[#This Row],[city]])-1,IF(_xlpm.r&lt;=ROWS(_xlpm.S),INDEX(_xlpm.S,_xlpm.r,1),""))</f>
        <v/>
      </c>
      <c r="AC531" s="1405">
        <f t="array" ref="AC531">_xlfn.LET(_xlpm.S,_xlfn.ANCHORARRAY($Y$4),_xlpm.r,ROWS(stayCity[[#Headers],[city]]:stayCity[[#This Row],[city]])-1,IF(_xlpm.r&lt;=ROWS(_xlpm.S),INDEX(_xlpm.S,_xlpm.r,2),""))</f>
        <v/>
      </c>
      <c r="AD531" s="1405">
        <f t="array" ref="AD531">_xlfn.LET(_xlpm.S,_xlfn.ANCHORARRAY($Y$4),_xlpm.r,ROWS(stayCity[[#Headers],[city]]:stayCity[[#This Row],[city]])-1,IF(_xlpm.r&lt;=ROWS(_xlpm.S),INDEX(_xlpm.S,_xlpm.r,3),""))</f>
        <v/>
      </c>
      <c r="AE531" s="1400">
        <f>IF(stayCity[[#This Row],[out]]&lt;&gt;"",stayCity[[#This Row],[out]]-stayCity[[#This Row],[in]],"-")</f>
        <v/>
      </c>
      <c r="AF531" s="1406">
        <f>IF(Y531="","-",YEAR(stayCity[[#This Row],[in]]))</f>
        <v/>
      </c>
      <c r="AG531" s="1392" t="n"/>
      <c r="AH531" s="1392" t="n"/>
      <c r="AI531" s="1392" t="n"/>
      <c r="AJ531" s="1392" t="n"/>
      <c r="AK531" s="1392" t="n"/>
      <c r="AL531" s="1392" t="n"/>
      <c r="AM531" s="1392" t="n"/>
      <c r="AN531" s="1392" t="n"/>
      <c r="AO531" s="1392" t="n"/>
      <c r="AP531" s="1392" t="n"/>
      <c r="AQ531" s="1392" t="n"/>
      <c r="AR531" s="1392" t="n"/>
      <c r="AS531" s="1422" t="n"/>
      <c r="AT531" s="1392" t="n"/>
      <c r="AU531" s="1392" t="n"/>
      <c r="AV531" s="1392" t="n"/>
      <c r="AW531" s="1392" t="n"/>
      <c r="AX531" s="1392" t="n"/>
      <c r="AY531" s="1392" t="n"/>
      <c r="AZ531" s="1392" t="n"/>
      <c r="BA531" s="1392" t="n"/>
      <c r="BB531" s="1422" t="n"/>
      <c r="BC531" s="1392" t="n"/>
      <c r="BD531" s="1392" t="n"/>
      <c r="BE531" s="1392" t="n"/>
      <c r="BF531" s="1392" t="n"/>
      <c r="BG531" s="1392" t="n"/>
      <c r="BH531" s="1392" t="n"/>
      <c r="BI531" s="1392" t="n"/>
      <c r="BJ531" s="1392" t="n"/>
      <c r="BK531" s="1392" t="n"/>
      <c r="BL531" s="1392" t="n"/>
      <c r="BM531" s="1392" t="n"/>
      <c r="BN531" s="1392" t="n"/>
      <c r="BO531" s="1392" t="n"/>
      <c r="BP531" s="1392" t="n"/>
      <c r="BQ531" s="1392" t="n"/>
      <c r="BR531" s="1392" t="n"/>
      <c r="BS531" s="1392" t="n"/>
      <c r="BT531" s="1392" t="n"/>
      <c r="BU531" s="1416" t="n"/>
      <c r="BV531" s="1392" t="n"/>
      <c r="BW531" s="1392" t="n"/>
      <c r="BX531" s="1392" t="n"/>
      <c r="BY531" s="1392" t="n"/>
      <c r="BZ531" s="1416" t="n"/>
      <c r="CA531" s="1392" t="n"/>
      <c r="CB531" s="1392" t="n"/>
      <c r="CC531" s="1392" t="n"/>
      <c r="CD531" s="1392" t="n"/>
      <c r="CE531" s="1392" t="n"/>
      <c r="CF531" s="1392" t="n"/>
      <c r="CG531" s="1392" t="n"/>
      <c r="CH531" s="1392" t="n"/>
      <c r="CI531" s="1392" t="n"/>
      <c r="CJ531" s="1392" t="n"/>
      <c r="CK531" s="1392" t="n"/>
      <c r="CL531" s="1392" t="n"/>
    </row>
    <row r="532">
      <c r="A532" s="5" t="inlineStr">
        <is>
          <t>.</t>
        </is>
      </c>
      <c r="B532" s="5" t="inlineStr">
        <is>
          <t>.</t>
        </is>
      </c>
      <c r="C532" s="1378">
        <f>IF(raw[[#This Row],[city]]="","-",IF(raw[[#This Row],[city]]="TODAY","-",C531+1))</f>
        <v/>
      </c>
      <c r="D532" s="1393" t="inlineStr">
        <is>
          <t>Belorado</t>
        </is>
      </c>
      <c r="E532" s="1394" t="n">
        <v>36097</v>
      </c>
      <c r="F532" s="1394" t="n">
        <v>36098</v>
      </c>
      <c r="G532" s="1393" t="inlineStr">
        <is>
          <t>-</t>
        </is>
      </c>
      <c r="H532" s="1393">
        <f>H531</f>
        <v/>
      </c>
      <c r="I532" s="1393" t="inlineStr">
        <is>
          <t>CS</t>
        </is>
      </c>
      <c r="J532" s="1393" t="inlineStr">
        <is>
          <t>-</t>
        </is>
      </c>
      <c r="K532" s="1395">
        <f>IF(raw[[#This Row],[city]]&lt;&gt;"",_xlfn.XLOOKUP($D532,ccc[city],ccc[prov],"-"),"-")</f>
        <v/>
      </c>
      <c r="L532" s="1395">
        <f>IF(raw[[#This Row],[city]]&lt;&gt;"",_xlfn.XLOOKUP($D532,ccc[city],ccc[ctry],"-"),"-")</f>
        <v/>
      </c>
      <c r="M532" s="1395">
        <f>IF(raw[[#This Row],[city]]&lt;&gt;"",_xlfn.XLOOKUP($D532,ccc[city],ccc[cont],"-"),"-")</f>
        <v/>
      </c>
      <c r="N532" s="1396">
        <f>IF(raw[[#This Row],[city]]="","-",IF(raw[[#This Row],[cont]]="B",raw[[#This Row],[cont]],"W"))</f>
        <v/>
      </c>
      <c r="O532" s="1397">
        <f>IF(raw[[#This Row],[out]]=0,0,IF(raw[[#This Row],[out]]=raw[[#This Row],[in]],0.01,raw[[#This Row],[out]]-raw[[#This Row],[in]]))</f>
        <v/>
      </c>
      <c r="P532" s="1397">
        <f>IF(raw[[#This Row],[in]]=0,0,MONTH(raw[[#This Row],[in]]))</f>
        <v/>
      </c>
      <c r="Q532" s="1397">
        <f>IF(raw[[#This Row],[in]]=0,0,YEAR(raw[[#This Row],[in]]))</f>
        <v/>
      </c>
      <c r="R532" s="1397">
        <f>INT(raw[[#This Row],[yr]]/10)*10</f>
        <v/>
      </c>
      <c r="S532" s="1395">
        <f>IF(raw[[#This Row],[city]]="","-",IF(raw[[#This Row],[city]]&lt;&gt;_xlfn.XLOOKUP(raw[[#This Row],[home]],homes[home],homes[city],"-"),1,0))</f>
        <v/>
      </c>
      <c r="T532" s="1398" t="inlineStr">
        <is>
          <t>.</t>
        </is>
      </c>
      <c r="U532" s="1399">
        <f>IF(raw[[#This Row],[wb]]="w",raw[[#This Row],[stay]]+U531,U531)</f>
        <v/>
      </c>
      <c r="V532" s="1400">
        <f>IF(raw[[#This Row],[out]]=0,V531,(raw[[#This Row],[out]]-E$5))</f>
        <v/>
      </c>
      <c r="W532" s="1401">
        <f>U532/V532</f>
        <v/>
      </c>
      <c r="X532" s="1378" t="inlineStr">
        <is>
          <t>.</t>
        </is>
      </c>
      <c r="Y532" s="1402">
        <f/>
        <v/>
      </c>
      <c r="Z532" s="1403">
        <f/>
        <v/>
      </c>
      <c r="AA532" s="1403">
        <f/>
        <v/>
      </c>
      <c r="AB532" s="1400">
        <f t="array" ref="AB532">_xlfn.LET(_xlpm.S,_xlfn.ANCHORARRAY($Y$4),_xlpm.r,ROWS(stayCity[[#Headers],[city]]:stayCity[[#This Row],[city]])-1,IF(_xlpm.r&lt;=ROWS(_xlpm.S),INDEX(_xlpm.S,_xlpm.r,1),""))</f>
        <v/>
      </c>
      <c r="AC532" s="1405">
        <f t="array" ref="AC532">_xlfn.LET(_xlpm.S,_xlfn.ANCHORARRAY($Y$4),_xlpm.r,ROWS(stayCity[[#Headers],[city]]:stayCity[[#This Row],[city]])-1,IF(_xlpm.r&lt;=ROWS(_xlpm.S),INDEX(_xlpm.S,_xlpm.r,2),""))</f>
        <v/>
      </c>
      <c r="AD532" s="1405">
        <f t="array" ref="AD532">_xlfn.LET(_xlpm.S,_xlfn.ANCHORARRAY($Y$4),_xlpm.r,ROWS(stayCity[[#Headers],[city]]:stayCity[[#This Row],[city]])-1,IF(_xlpm.r&lt;=ROWS(_xlpm.S),INDEX(_xlpm.S,_xlpm.r,3),""))</f>
        <v/>
      </c>
      <c r="AE532" s="1400">
        <f>IF(stayCity[[#This Row],[out]]&lt;&gt;"",stayCity[[#This Row],[out]]-stayCity[[#This Row],[in]],"-")</f>
        <v/>
      </c>
      <c r="AF532" s="1406">
        <f>IF(Y532="","-",YEAR(stayCity[[#This Row],[in]]))</f>
        <v/>
      </c>
      <c r="AG532" s="1392" t="n"/>
      <c r="AH532" s="1392" t="n"/>
      <c r="AI532" s="1392" t="n"/>
      <c r="AJ532" s="1392" t="n"/>
      <c r="AK532" s="1392" t="n"/>
      <c r="AL532" s="1392" t="n"/>
      <c r="AM532" s="1392" t="n"/>
      <c r="AN532" s="1392" t="n"/>
      <c r="AO532" s="1392" t="n"/>
      <c r="AP532" s="1392" t="n"/>
      <c r="AQ532" s="1392" t="n"/>
      <c r="AR532" s="1392" t="n"/>
      <c r="AS532" s="1422" t="n"/>
      <c r="AT532" s="1392" t="n"/>
      <c r="AU532" s="1392" t="n"/>
      <c r="AV532" s="1392" t="n"/>
      <c r="AW532" s="1392" t="n"/>
      <c r="AX532" s="1392" t="n"/>
      <c r="AY532" s="1392" t="n"/>
      <c r="AZ532" s="1392" t="n"/>
      <c r="BA532" s="1392" t="n"/>
      <c r="BB532" s="1422" t="n"/>
      <c r="BC532" s="1392" t="n"/>
      <c r="BD532" s="1392" t="n"/>
      <c r="BE532" s="1392" t="n"/>
      <c r="BF532" s="1392" t="n"/>
      <c r="BG532" s="1392" t="n"/>
      <c r="BH532" s="1392" t="n"/>
      <c r="BI532" s="1392" t="n"/>
      <c r="BJ532" s="1392" t="n"/>
      <c r="BK532" s="1392" t="n"/>
      <c r="BL532" s="1392" t="n"/>
      <c r="BM532" s="1392" t="n"/>
      <c r="BN532" s="1392" t="n"/>
      <c r="BO532" s="1392" t="n"/>
      <c r="BP532" s="1392" t="n"/>
      <c r="BQ532" s="1392" t="n"/>
      <c r="BR532" s="1392" t="n"/>
      <c r="BS532" s="1392" t="n"/>
      <c r="BT532" s="1392" t="n"/>
      <c r="BU532" s="1416" t="n"/>
      <c r="BV532" s="1392" t="n"/>
      <c r="BW532" s="1392" t="n"/>
      <c r="BX532" s="1392" t="n"/>
      <c r="BY532" s="1392" t="n"/>
      <c r="BZ532" s="1416" t="n"/>
      <c r="CA532" s="1392" t="n"/>
      <c r="CB532" s="1392" t="n"/>
      <c r="CC532" s="1392" t="n"/>
      <c r="CD532" s="1392" t="n"/>
      <c r="CE532" s="1392" t="n"/>
      <c r="CF532" s="1392" t="n"/>
      <c r="CG532" s="1392" t="n"/>
      <c r="CH532" s="1392" t="n"/>
      <c r="CI532" s="1392" t="n"/>
      <c r="CJ532" s="1392" t="n"/>
      <c r="CK532" s="1392" t="n"/>
      <c r="CL532" s="1392" t="n"/>
    </row>
    <row r="533">
      <c r="A533" s="5" t="inlineStr">
        <is>
          <t>.</t>
        </is>
      </c>
      <c r="B533" s="5" t="inlineStr">
        <is>
          <t>.</t>
        </is>
      </c>
      <c r="C533" s="1378">
        <f>IF(raw[[#This Row],[city]]="","-",IF(raw[[#This Row],[city]]="TODAY","-",C532+1))</f>
        <v/>
      </c>
      <c r="D533" s="1393" t="inlineStr">
        <is>
          <t>San Juan de Ortega</t>
        </is>
      </c>
      <c r="E533" s="1394" t="n">
        <v>36098</v>
      </c>
      <c r="F533" s="1394" t="n">
        <v>36099</v>
      </c>
      <c r="G533" s="1393" t="inlineStr">
        <is>
          <t>-</t>
        </is>
      </c>
      <c r="H533" s="1393">
        <f>H532</f>
        <v/>
      </c>
      <c r="I533" s="1393" t="inlineStr">
        <is>
          <t>CS</t>
        </is>
      </c>
      <c r="J533" s="1393" t="inlineStr">
        <is>
          <t>-</t>
        </is>
      </c>
      <c r="K533" s="1395">
        <f>IF(raw[[#This Row],[city]]&lt;&gt;"",_xlfn.XLOOKUP($D533,ccc[city],ccc[prov],"-"),"-")</f>
        <v/>
      </c>
      <c r="L533" s="1395">
        <f>IF(raw[[#This Row],[city]]&lt;&gt;"",_xlfn.XLOOKUP($D533,ccc[city],ccc[ctry],"-"),"-")</f>
        <v/>
      </c>
      <c r="M533" s="1395">
        <f>IF(raw[[#This Row],[city]]&lt;&gt;"",_xlfn.XLOOKUP($D533,ccc[city],ccc[cont],"-"),"-")</f>
        <v/>
      </c>
      <c r="N533" s="1396">
        <f>IF(raw[[#This Row],[city]]="","-",IF(raw[[#This Row],[cont]]="B",raw[[#This Row],[cont]],"W"))</f>
        <v/>
      </c>
      <c r="O533" s="1397">
        <f>IF(raw[[#This Row],[out]]=0,0,IF(raw[[#This Row],[out]]=raw[[#This Row],[in]],0.01,raw[[#This Row],[out]]-raw[[#This Row],[in]]))</f>
        <v/>
      </c>
      <c r="P533" s="1397">
        <f>IF(raw[[#This Row],[in]]=0,0,MONTH(raw[[#This Row],[in]]))</f>
        <v/>
      </c>
      <c r="Q533" s="1397">
        <f>IF(raw[[#This Row],[in]]=0,0,YEAR(raw[[#This Row],[in]]))</f>
        <v/>
      </c>
      <c r="R533" s="1397">
        <f>INT(raw[[#This Row],[yr]]/10)*10</f>
        <v/>
      </c>
      <c r="S533" s="1395">
        <f>IF(raw[[#This Row],[city]]="","-",IF(raw[[#This Row],[city]]&lt;&gt;_xlfn.XLOOKUP(raw[[#This Row],[home]],homes[home],homes[city],"-"),1,0))</f>
        <v/>
      </c>
      <c r="T533" s="1398" t="inlineStr">
        <is>
          <t>.</t>
        </is>
      </c>
      <c r="U533" s="1399">
        <f>IF(raw[[#This Row],[wb]]="w",raw[[#This Row],[stay]]+U532,U532)</f>
        <v/>
      </c>
      <c r="V533" s="1400">
        <f>IF(raw[[#This Row],[out]]=0,V532,(raw[[#This Row],[out]]-E$5))</f>
        <v/>
      </c>
      <c r="W533" s="1401">
        <f>U533/V533</f>
        <v/>
      </c>
      <c r="X533" s="1378" t="inlineStr">
        <is>
          <t>.</t>
        </is>
      </c>
      <c r="Y533" s="1402">
        <f/>
        <v/>
      </c>
      <c r="Z533" s="1403">
        <f/>
        <v/>
      </c>
      <c r="AA533" s="1403">
        <f/>
        <v/>
      </c>
      <c r="AB533" s="1400">
        <f t="array" ref="AB533">_xlfn.LET(_xlpm.S,_xlfn.ANCHORARRAY($Y$4),_xlpm.r,ROWS(stayCity[[#Headers],[city]]:stayCity[[#This Row],[city]])-1,IF(_xlpm.r&lt;=ROWS(_xlpm.S),INDEX(_xlpm.S,_xlpm.r,1),""))</f>
        <v/>
      </c>
      <c r="AC533" s="1405">
        <f t="array" ref="AC533">_xlfn.LET(_xlpm.S,_xlfn.ANCHORARRAY($Y$4),_xlpm.r,ROWS(stayCity[[#Headers],[city]]:stayCity[[#This Row],[city]])-1,IF(_xlpm.r&lt;=ROWS(_xlpm.S),INDEX(_xlpm.S,_xlpm.r,2),""))</f>
        <v/>
      </c>
      <c r="AD533" s="1405">
        <f t="array" ref="AD533">_xlfn.LET(_xlpm.S,_xlfn.ANCHORARRAY($Y$4),_xlpm.r,ROWS(stayCity[[#Headers],[city]]:stayCity[[#This Row],[city]])-1,IF(_xlpm.r&lt;=ROWS(_xlpm.S),INDEX(_xlpm.S,_xlpm.r,3),""))</f>
        <v/>
      </c>
      <c r="AE533" s="1400">
        <f>IF(stayCity[[#This Row],[out]]&lt;&gt;"",stayCity[[#This Row],[out]]-stayCity[[#This Row],[in]],"-")</f>
        <v/>
      </c>
      <c r="AF533" s="1406">
        <f>IF(Y533="","-",YEAR(stayCity[[#This Row],[in]]))</f>
        <v/>
      </c>
      <c r="AG533" s="1392" t="n"/>
      <c r="AH533" s="1392" t="n"/>
      <c r="AI533" s="1392" t="n"/>
      <c r="AJ533" s="1392" t="n"/>
      <c r="AK533" s="1392" t="n"/>
      <c r="AL533" s="1392" t="n"/>
      <c r="AM533" s="1392" t="n"/>
      <c r="AN533" s="1392" t="n"/>
      <c r="AO533" s="1392" t="n"/>
      <c r="AP533" s="1392" t="n"/>
      <c r="AQ533" s="1392" t="n"/>
      <c r="AR533" s="1392" t="n"/>
      <c r="AS533" s="1422" t="n"/>
      <c r="AT533" s="1392" t="n"/>
      <c r="AU533" s="1392" t="n"/>
      <c r="AV533" s="1392" t="n"/>
      <c r="AW533" s="1392" t="n"/>
      <c r="AX533" s="1392" t="n"/>
      <c r="AY533" s="1392" t="n"/>
      <c r="AZ533" s="1392" t="n"/>
      <c r="BA533" s="1392" t="n"/>
      <c r="BB533" s="1422" t="n"/>
      <c r="BC533" s="1392" t="n"/>
      <c r="BD533" s="1392" t="n"/>
      <c r="BE533" s="1392" t="n"/>
      <c r="BF533" s="1392" t="n"/>
      <c r="BG533" s="1392" t="n"/>
      <c r="BH533" s="1392" t="n"/>
      <c r="BI533" s="1392" t="n"/>
      <c r="BJ533" s="1392" t="n"/>
      <c r="BK533" s="1392" t="n"/>
      <c r="BL533" s="1392" t="n"/>
      <c r="BM533" s="1392" t="n"/>
      <c r="BN533" s="1392" t="n"/>
      <c r="BO533" s="1392" t="n"/>
      <c r="BP533" s="1392" t="n"/>
      <c r="BQ533" s="1392" t="n"/>
      <c r="BR533" s="1392" t="n"/>
      <c r="BS533" s="1392" t="n"/>
      <c r="BT533" s="1392" t="n"/>
      <c r="BU533" s="1416" t="n"/>
      <c r="BV533" s="1392" t="n"/>
      <c r="BW533" s="1392" t="n"/>
      <c r="BX533" s="1392" t="n"/>
      <c r="BY533" s="1392" t="n"/>
      <c r="BZ533" s="1416" t="n"/>
      <c r="CA533" s="1392" t="n"/>
      <c r="CB533" s="1392" t="n"/>
      <c r="CC533" s="1392" t="n"/>
      <c r="CD533" s="1392" t="n"/>
      <c r="CE533" s="1392" t="n"/>
      <c r="CF533" s="1392" t="n"/>
      <c r="CG533" s="1392" t="n"/>
      <c r="CH533" s="1392" t="n"/>
      <c r="CI533" s="1392" t="n"/>
      <c r="CJ533" s="1392" t="n"/>
      <c r="CK533" s="1392" t="n"/>
      <c r="CL533" s="1392" t="n"/>
    </row>
    <row r="534">
      <c r="A534" s="5" t="inlineStr">
        <is>
          <t>.</t>
        </is>
      </c>
      <c r="B534" s="5" t="inlineStr">
        <is>
          <t>.</t>
        </is>
      </c>
      <c r="C534" s="1378">
        <f>IF(raw[[#This Row],[city]]="","-",IF(raw[[#This Row],[city]]="TODAY","-",C533+1))</f>
        <v/>
      </c>
      <c r="D534" s="1393" t="inlineStr">
        <is>
          <t>Burgos</t>
        </is>
      </c>
      <c r="E534" s="1394" t="n">
        <v>36099</v>
      </c>
      <c r="F534" s="1394" t="n">
        <v>36100</v>
      </c>
      <c r="G534" s="1393" t="inlineStr">
        <is>
          <t>-</t>
        </is>
      </c>
      <c r="H534" s="1393">
        <f>H533</f>
        <v/>
      </c>
      <c r="I534" s="1393" t="inlineStr">
        <is>
          <t>CS</t>
        </is>
      </c>
      <c r="J534" s="1393" t="inlineStr">
        <is>
          <t>-</t>
        </is>
      </c>
      <c r="K534" s="1395">
        <f>IF(raw[[#This Row],[city]]&lt;&gt;"",_xlfn.XLOOKUP($D534,ccc[city],ccc[prov],"-"),"-")</f>
        <v/>
      </c>
      <c r="L534" s="1395">
        <f>IF(raw[[#This Row],[city]]&lt;&gt;"",_xlfn.XLOOKUP($D534,ccc[city],ccc[ctry],"-"),"-")</f>
        <v/>
      </c>
      <c r="M534" s="1395">
        <f>IF(raw[[#This Row],[city]]&lt;&gt;"",_xlfn.XLOOKUP($D534,ccc[city],ccc[cont],"-"),"-")</f>
        <v/>
      </c>
      <c r="N534" s="1396">
        <f>IF(raw[[#This Row],[city]]="","-",IF(raw[[#This Row],[cont]]="B",raw[[#This Row],[cont]],"W"))</f>
        <v/>
      </c>
      <c r="O534" s="1397">
        <f>IF(raw[[#This Row],[out]]=0,0,IF(raw[[#This Row],[out]]=raw[[#This Row],[in]],0.01,raw[[#This Row],[out]]-raw[[#This Row],[in]]))</f>
        <v/>
      </c>
      <c r="P534" s="1397">
        <f>IF(raw[[#This Row],[in]]=0,0,MONTH(raw[[#This Row],[in]]))</f>
        <v/>
      </c>
      <c r="Q534" s="1397">
        <f>IF(raw[[#This Row],[in]]=0,0,YEAR(raw[[#This Row],[in]]))</f>
        <v/>
      </c>
      <c r="R534" s="1397">
        <f>INT(raw[[#This Row],[yr]]/10)*10</f>
        <v/>
      </c>
      <c r="S534" s="1395">
        <f>IF(raw[[#This Row],[city]]="","-",IF(raw[[#This Row],[city]]&lt;&gt;_xlfn.XLOOKUP(raw[[#This Row],[home]],homes[home],homes[city],"-"),1,0))</f>
        <v/>
      </c>
      <c r="T534" s="1398" t="inlineStr">
        <is>
          <t>.</t>
        </is>
      </c>
      <c r="U534" s="1399">
        <f>IF(raw[[#This Row],[wb]]="w",raw[[#This Row],[stay]]+U533,U533)</f>
        <v/>
      </c>
      <c r="V534" s="1400">
        <f>IF(raw[[#This Row],[out]]=0,V533,(raw[[#This Row],[out]]-E$5))</f>
        <v/>
      </c>
      <c r="W534" s="1401">
        <f>U534/V534</f>
        <v/>
      </c>
      <c r="X534" s="1378" t="inlineStr">
        <is>
          <t>.</t>
        </is>
      </c>
      <c r="Y534" s="1402">
        <f/>
        <v/>
      </c>
      <c r="Z534" s="1403">
        <f/>
        <v/>
      </c>
      <c r="AA534" s="1403">
        <f/>
        <v/>
      </c>
      <c r="AB534" s="1400">
        <f t="array" ref="AB534">_xlfn.LET(_xlpm.S,_xlfn.ANCHORARRAY($Y$4),_xlpm.r,ROWS(stayCity[[#Headers],[city]]:stayCity[[#This Row],[city]])-1,IF(_xlpm.r&lt;=ROWS(_xlpm.S),INDEX(_xlpm.S,_xlpm.r,1),""))</f>
        <v/>
      </c>
      <c r="AC534" s="1405">
        <f t="array" ref="AC534">_xlfn.LET(_xlpm.S,_xlfn.ANCHORARRAY($Y$4),_xlpm.r,ROWS(stayCity[[#Headers],[city]]:stayCity[[#This Row],[city]])-1,IF(_xlpm.r&lt;=ROWS(_xlpm.S),INDEX(_xlpm.S,_xlpm.r,2),""))</f>
        <v/>
      </c>
      <c r="AD534" s="1405">
        <f t="array" ref="AD534">_xlfn.LET(_xlpm.S,_xlfn.ANCHORARRAY($Y$4),_xlpm.r,ROWS(stayCity[[#Headers],[city]]:stayCity[[#This Row],[city]])-1,IF(_xlpm.r&lt;=ROWS(_xlpm.S),INDEX(_xlpm.S,_xlpm.r,3),""))</f>
        <v/>
      </c>
      <c r="AE534" s="1400">
        <f>IF(stayCity[[#This Row],[out]]&lt;&gt;"",stayCity[[#This Row],[out]]-stayCity[[#This Row],[in]],"-")</f>
        <v/>
      </c>
      <c r="AF534" s="1406">
        <f>IF(Y534="","-",YEAR(stayCity[[#This Row],[in]]))</f>
        <v/>
      </c>
      <c r="AG534" s="1392" t="n"/>
      <c r="AH534" s="1392" t="n"/>
      <c r="AI534" s="1392" t="n"/>
      <c r="AJ534" s="1392" t="n"/>
      <c r="AK534" s="1392" t="n"/>
      <c r="AL534" s="1392" t="n"/>
      <c r="AM534" s="1392" t="n"/>
      <c r="AN534" s="1392" t="n"/>
      <c r="AO534" s="1392" t="n"/>
      <c r="AP534" s="1392" t="n"/>
      <c r="AQ534" s="1392" t="n"/>
      <c r="AR534" s="1392" t="n"/>
      <c r="AS534" s="1422" t="n"/>
      <c r="AT534" s="1392" t="n"/>
      <c r="AU534" s="1392" t="n"/>
      <c r="AV534" s="1392" t="n"/>
      <c r="AW534" s="1392" t="n"/>
      <c r="AX534" s="1392" t="n"/>
      <c r="AY534" s="1392" t="n"/>
      <c r="AZ534" s="1392" t="n"/>
      <c r="BA534" s="1392" t="n"/>
      <c r="BB534" s="1422" t="n"/>
      <c r="BC534" s="1392" t="n"/>
      <c r="BD534" s="1392" t="n"/>
      <c r="BE534" s="1392" t="n"/>
      <c r="BF534" s="1392" t="n"/>
      <c r="BG534" s="1392" t="n"/>
      <c r="BH534" s="1392" t="n"/>
      <c r="BI534" s="1392" t="n"/>
      <c r="BJ534" s="1392" t="n"/>
      <c r="BK534" s="1392" t="n"/>
      <c r="BL534" s="1392" t="n"/>
      <c r="BM534" s="1392" t="n"/>
      <c r="BN534" s="1392" t="n"/>
      <c r="BO534" s="1392" t="n"/>
      <c r="BP534" s="1392" t="n"/>
      <c r="BQ534" s="1392" t="n"/>
      <c r="BR534" s="1392" t="n"/>
      <c r="BS534" s="1392" t="n"/>
      <c r="BT534" s="1392" t="n"/>
      <c r="BU534" s="1416" t="n"/>
      <c r="BV534" s="1392" t="n"/>
      <c r="BW534" s="1392" t="n"/>
      <c r="BX534" s="1392" t="n"/>
      <c r="BY534" s="1392" t="n"/>
      <c r="BZ534" s="1416" t="n"/>
      <c r="CA534" s="1392" t="n"/>
      <c r="CB534" s="1392" t="n"/>
      <c r="CC534" s="1392" t="n"/>
      <c r="CD534" s="1392" t="n"/>
      <c r="CE534" s="1392" t="n"/>
      <c r="CF534" s="1392" t="n"/>
      <c r="CG534" s="1392" t="n"/>
      <c r="CH534" s="1392" t="n"/>
      <c r="CI534" s="1392" t="n"/>
      <c r="CJ534" s="1392" t="n"/>
      <c r="CK534" s="1392" t="n"/>
      <c r="CL534" s="1392" t="n"/>
    </row>
    <row r="535">
      <c r="A535" s="5" t="inlineStr">
        <is>
          <t>.</t>
        </is>
      </c>
      <c r="B535" s="5" t="inlineStr">
        <is>
          <t>.</t>
        </is>
      </c>
      <c r="C535" s="1378">
        <f>IF(raw[[#This Row],[city]]="","-",IF(raw[[#This Row],[city]]="TODAY","-",C534+1))</f>
        <v/>
      </c>
      <c r="D535" s="1393" t="inlineStr">
        <is>
          <t>Hornillos del Camino</t>
        </is>
      </c>
      <c r="E535" s="1394" t="n">
        <v>36100</v>
      </c>
      <c r="F535" s="1394" t="n">
        <v>36100</v>
      </c>
      <c r="G535" s="1393" t="inlineStr">
        <is>
          <t>-</t>
        </is>
      </c>
      <c r="H535" s="1393">
        <f>H534</f>
        <v/>
      </c>
      <c r="I535" s="1393" t="inlineStr">
        <is>
          <t>CS</t>
        </is>
      </c>
      <c r="J535" s="1393" t="inlineStr">
        <is>
          <t>-</t>
        </is>
      </c>
      <c r="K535" s="1395">
        <f>IF(raw[[#This Row],[city]]&lt;&gt;"",_xlfn.XLOOKUP($D535,ccc[city],ccc[prov],"-"),"-")</f>
        <v/>
      </c>
      <c r="L535" s="1395">
        <f>IF(raw[[#This Row],[city]]&lt;&gt;"",_xlfn.XLOOKUP($D535,ccc[city],ccc[ctry],"-"),"-")</f>
        <v/>
      </c>
      <c r="M535" s="1395">
        <f>IF(raw[[#This Row],[city]]&lt;&gt;"",_xlfn.XLOOKUP($D535,ccc[city],ccc[cont],"-"),"-")</f>
        <v/>
      </c>
      <c r="N535" s="1396">
        <f>IF(raw[[#This Row],[city]]="","-",IF(raw[[#This Row],[cont]]="B",raw[[#This Row],[cont]],"W"))</f>
        <v/>
      </c>
      <c r="O535" s="1397">
        <f>IF(raw[[#This Row],[out]]=0,0,IF(raw[[#This Row],[out]]=raw[[#This Row],[in]],0.01,raw[[#This Row],[out]]-raw[[#This Row],[in]]))</f>
        <v/>
      </c>
      <c r="P535" s="1397">
        <f>IF(raw[[#This Row],[in]]=0,0,MONTH(raw[[#This Row],[in]]))</f>
        <v/>
      </c>
      <c r="Q535" s="1397">
        <f>IF(raw[[#This Row],[in]]=0,0,YEAR(raw[[#This Row],[in]]))</f>
        <v/>
      </c>
      <c r="R535" s="1397">
        <f>INT(raw[[#This Row],[yr]]/10)*10</f>
        <v/>
      </c>
      <c r="S535" s="1395">
        <f>IF(raw[[#This Row],[city]]="","-",IF(raw[[#This Row],[city]]&lt;&gt;_xlfn.XLOOKUP(raw[[#This Row],[home]],homes[home],homes[city],"-"),1,0))</f>
        <v/>
      </c>
      <c r="T535" s="1398" t="inlineStr">
        <is>
          <t>.</t>
        </is>
      </c>
      <c r="U535" s="1399">
        <f>IF(raw[[#This Row],[wb]]="w",raw[[#This Row],[stay]]+U534,U534)</f>
        <v/>
      </c>
      <c r="V535" s="1400">
        <f>IF(raw[[#This Row],[out]]=0,V534,(raw[[#This Row],[out]]-E$5))</f>
        <v/>
      </c>
      <c r="W535" s="1401">
        <f>U535/V535</f>
        <v/>
      </c>
      <c r="X535" s="1378" t="inlineStr">
        <is>
          <t>.</t>
        </is>
      </c>
      <c r="Y535" s="1402">
        <f/>
        <v/>
      </c>
      <c r="Z535" s="1403">
        <f/>
        <v/>
      </c>
      <c r="AA535" s="1403">
        <f/>
        <v/>
      </c>
      <c r="AB535" s="1400">
        <f t="array" ref="AB535">_xlfn.LET(_xlpm.S,_xlfn.ANCHORARRAY($Y$4),_xlpm.r,ROWS(stayCity[[#Headers],[city]]:stayCity[[#This Row],[city]])-1,IF(_xlpm.r&lt;=ROWS(_xlpm.S),INDEX(_xlpm.S,_xlpm.r,1),""))</f>
        <v/>
      </c>
      <c r="AC535" s="1405">
        <f t="array" ref="AC535">_xlfn.LET(_xlpm.S,_xlfn.ANCHORARRAY($Y$4),_xlpm.r,ROWS(stayCity[[#Headers],[city]]:stayCity[[#This Row],[city]])-1,IF(_xlpm.r&lt;=ROWS(_xlpm.S),INDEX(_xlpm.S,_xlpm.r,2),""))</f>
        <v/>
      </c>
      <c r="AD535" s="1405">
        <f t="array" ref="AD535">_xlfn.LET(_xlpm.S,_xlfn.ANCHORARRAY($Y$4),_xlpm.r,ROWS(stayCity[[#Headers],[city]]:stayCity[[#This Row],[city]])-1,IF(_xlpm.r&lt;=ROWS(_xlpm.S),INDEX(_xlpm.S,_xlpm.r,3),""))</f>
        <v/>
      </c>
      <c r="AE535" s="1400">
        <f>IF(stayCity[[#This Row],[out]]&lt;&gt;"",stayCity[[#This Row],[out]]-stayCity[[#This Row],[in]],"-")</f>
        <v/>
      </c>
      <c r="AF535" s="1406">
        <f>IF(Y535="","-",YEAR(stayCity[[#This Row],[in]]))</f>
        <v/>
      </c>
      <c r="AG535" s="1392" t="n"/>
      <c r="AH535" s="1392" t="n"/>
      <c r="AI535" s="1392" t="n"/>
      <c r="AJ535" s="1392" t="n"/>
      <c r="AK535" s="1392" t="n"/>
      <c r="AL535" s="1392" t="n"/>
      <c r="AM535" s="1392" t="n"/>
      <c r="AN535" s="1392" t="n"/>
      <c r="AO535" s="1392" t="n"/>
      <c r="AP535" s="1392" t="n"/>
      <c r="AQ535" s="1392" t="n"/>
      <c r="AR535" s="1392" t="n"/>
      <c r="AS535" s="1422" t="n"/>
      <c r="AT535" s="1392" t="n"/>
      <c r="AU535" s="1392" t="n"/>
      <c r="AV535" s="1392" t="n"/>
      <c r="AW535" s="1392" t="n"/>
      <c r="AX535" s="1392" t="n"/>
      <c r="AY535" s="1392" t="n"/>
      <c r="AZ535" s="1392" t="n"/>
      <c r="BA535" s="1392" t="n"/>
      <c r="BB535" s="1422" t="n"/>
      <c r="BC535" s="1392" t="n"/>
      <c r="BD535" s="1392" t="n"/>
      <c r="BE535" s="1392" t="n"/>
      <c r="BF535" s="1392" t="n"/>
      <c r="BG535" s="1392" t="n"/>
      <c r="BH535" s="1392" t="n"/>
      <c r="BI535" s="1392" t="n"/>
      <c r="BJ535" s="1392" t="n"/>
      <c r="BK535" s="1392" t="n"/>
      <c r="BL535" s="1392" t="n"/>
      <c r="BM535" s="1392" t="n"/>
      <c r="BN535" s="1392" t="n"/>
      <c r="BO535" s="1392" t="n"/>
      <c r="BP535" s="1392" t="n"/>
      <c r="BQ535" s="1392" t="n"/>
      <c r="BR535" s="1392" t="n"/>
      <c r="BS535" s="1392" t="n"/>
      <c r="BT535" s="1392" t="n"/>
      <c r="BU535" s="1416" t="n"/>
      <c r="BV535" s="1392" t="n"/>
      <c r="BW535" s="1392" t="n"/>
      <c r="BX535" s="1392" t="n"/>
      <c r="BY535" s="1392" t="n"/>
      <c r="BZ535" s="1416" t="n"/>
      <c r="CA535" s="1392" t="n"/>
      <c r="CB535" s="1392" t="n"/>
      <c r="CC535" s="1392" t="n"/>
      <c r="CD535" s="1392" t="n"/>
      <c r="CE535" s="1392" t="n"/>
      <c r="CF535" s="1392" t="n"/>
      <c r="CG535" s="1392" t="n"/>
      <c r="CH535" s="1392" t="n"/>
      <c r="CI535" s="1392" t="n"/>
      <c r="CJ535" s="1392" t="n"/>
      <c r="CK535" s="1392" t="n"/>
      <c r="CL535" s="1392" t="n"/>
    </row>
    <row r="536">
      <c r="A536" s="5" t="inlineStr">
        <is>
          <t>.</t>
        </is>
      </c>
      <c r="B536" s="5" t="inlineStr">
        <is>
          <t>.</t>
        </is>
      </c>
      <c r="C536" s="1378">
        <f>IF(raw[[#This Row],[city]]="","-",IF(raw[[#This Row],[city]]="TODAY","-",C535+1))</f>
        <v/>
      </c>
      <c r="D536" s="1393" t="inlineStr">
        <is>
          <t>Hontanas</t>
        </is>
      </c>
      <c r="E536" s="1394" t="n">
        <v>36100</v>
      </c>
      <c r="F536" s="1394" t="n">
        <v>36100</v>
      </c>
      <c r="G536" s="1393" t="inlineStr">
        <is>
          <t>-</t>
        </is>
      </c>
      <c r="H536" s="1393">
        <f>H535</f>
        <v/>
      </c>
      <c r="I536" s="1393" t="inlineStr">
        <is>
          <t>CS</t>
        </is>
      </c>
      <c r="J536" s="1393" t="inlineStr">
        <is>
          <t>-</t>
        </is>
      </c>
      <c r="K536" s="1395">
        <f>IF(raw[[#This Row],[city]]&lt;&gt;"",_xlfn.XLOOKUP($D536,ccc[city],ccc[prov],"-"),"-")</f>
        <v/>
      </c>
      <c r="L536" s="1395">
        <f>IF(raw[[#This Row],[city]]&lt;&gt;"",_xlfn.XLOOKUP($D536,ccc[city],ccc[ctry],"-"),"-")</f>
        <v/>
      </c>
      <c r="M536" s="1395">
        <f>IF(raw[[#This Row],[city]]&lt;&gt;"",_xlfn.XLOOKUP($D536,ccc[city],ccc[cont],"-"),"-")</f>
        <v/>
      </c>
      <c r="N536" s="1396">
        <f>IF(raw[[#This Row],[city]]="","-",IF(raw[[#This Row],[cont]]="B",raw[[#This Row],[cont]],"W"))</f>
        <v/>
      </c>
      <c r="O536" s="1397">
        <f>IF(raw[[#This Row],[out]]=0,0,IF(raw[[#This Row],[out]]=raw[[#This Row],[in]],0.01,raw[[#This Row],[out]]-raw[[#This Row],[in]]))</f>
        <v/>
      </c>
      <c r="P536" s="1397">
        <f>IF(raw[[#This Row],[in]]=0,0,MONTH(raw[[#This Row],[in]]))</f>
        <v/>
      </c>
      <c r="Q536" s="1397">
        <f>IF(raw[[#This Row],[in]]=0,0,YEAR(raw[[#This Row],[in]]))</f>
        <v/>
      </c>
      <c r="R536" s="1397">
        <f>INT(raw[[#This Row],[yr]]/10)*10</f>
        <v/>
      </c>
      <c r="S536" s="1395">
        <f>IF(raw[[#This Row],[city]]="","-",IF(raw[[#This Row],[city]]&lt;&gt;_xlfn.XLOOKUP(raw[[#This Row],[home]],homes[home],homes[city],"-"),1,0))</f>
        <v/>
      </c>
      <c r="T536" s="1398" t="inlineStr">
        <is>
          <t>.</t>
        </is>
      </c>
      <c r="U536" s="1399">
        <f>IF(raw[[#This Row],[wb]]="w",raw[[#This Row],[stay]]+U535,U535)</f>
        <v/>
      </c>
      <c r="V536" s="1400">
        <f>IF(raw[[#This Row],[out]]=0,V535,(raw[[#This Row],[out]]-E$5))</f>
        <v/>
      </c>
      <c r="W536" s="1401">
        <f>U536/V536</f>
        <v/>
      </c>
      <c r="X536" s="1378" t="inlineStr">
        <is>
          <t>.</t>
        </is>
      </c>
      <c r="Y536" s="1402">
        <f/>
        <v/>
      </c>
      <c r="Z536" s="1403">
        <f/>
        <v/>
      </c>
      <c r="AA536" s="1403">
        <f/>
        <v/>
      </c>
      <c r="AB536" s="1400">
        <f t="array" ref="AB536">_xlfn.LET(_xlpm.S,_xlfn.ANCHORARRAY($Y$4),_xlpm.r,ROWS(stayCity[[#Headers],[city]]:stayCity[[#This Row],[city]])-1,IF(_xlpm.r&lt;=ROWS(_xlpm.S),INDEX(_xlpm.S,_xlpm.r,1),""))</f>
        <v/>
      </c>
      <c r="AC536" s="1405">
        <f t="array" ref="AC536">_xlfn.LET(_xlpm.S,_xlfn.ANCHORARRAY($Y$4),_xlpm.r,ROWS(stayCity[[#Headers],[city]]:stayCity[[#This Row],[city]])-1,IF(_xlpm.r&lt;=ROWS(_xlpm.S),INDEX(_xlpm.S,_xlpm.r,2),""))</f>
        <v/>
      </c>
      <c r="AD536" s="1405">
        <f t="array" ref="AD536">_xlfn.LET(_xlpm.S,_xlfn.ANCHORARRAY($Y$4),_xlpm.r,ROWS(stayCity[[#Headers],[city]]:stayCity[[#This Row],[city]])-1,IF(_xlpm.r&lt;=ROWS(_xlpm.S),INDEX(_xlpm.S,_xlpm.r,3),""))</f>
        <v/>
      </c>
      <c r="AE536" s="1400">
        <f>IF(stayCity[[#This Row],[out]]&lt;&gt;"",stayCity[[#This Row],[out]]-stayCity[[#This Row],[in]],"-")</f>
        <v/>
      </c>
      <c r="AF536" s="1406">
        <f>IF(Y536="","-",YEAR(stayCity[[#This Row],[in]]))</f>
        <v/>
      </c>
      <c r="AG536" s="1392" t="n"/>
      <c r="AH536" s="1392" t="n"/>
      <c r="AI536" s="1392" t="n"/>
      <c r="AJ536" s="1392" t="n"/>
      <c r="AK536" s="1392" t="n"/>
      <c r="AL536" s="1392" t="n"/>
      <c r="AM536" s="1392" t="n"/>
      <c r="AN536" s="1392" t="n"/>
      <c r="AO536" s="1392" t="n"/>
      <c r="AP536" s="1392" t="n"/>
      <c r="AQ536" s="1392" t="n"/>
      <c r="AR536" s="1392" t="n"/>
      <c r="AS536" s="1422" t="n"/>
      <c r="AT536" s="1392" t="n"/>
      <c r="AU536" s="1392" t="n"/>
      <c r="AV536" s="1392" t="n"/>
      <c r="AW536" s="1392" t="n"/>
      <c r="AX536" s="1392" t="n"/>
      <c r="AY536" s="1392" t="n"/>
      <c r="AZ536" s="1392" t="n"/>
      <c r="BA536" s="1392" t="n"/>
      <c r="BB536" s="1422" t="n"/>
      <c r="BC536" s="1392" t="n"/>
      <c r="BD536" s="1392" t="n"/>
      <c r="BE536" s="1392" t="n"/>
      <c r="BF536" s="1392" t="n"/>
      <c r="BG536" s="1392" t="n"/>
      <c r="BH536" s="1392" t="n"/>
      <c r="BI536" s="1392" t="n"/>
      <c r="BJ536" s="1392" t="n"/>
      <c r="BK536" s="1392" t="n"/>
      <c r="BL536" s="1392" t="n"/>
      <c r="BM536" s="1392" t="n"/>
      <c r="BN536" s="1392" t="n"/>
      <c r="BO536" s="1392" t="n"/>
      <c r="BP536" s="1392" t="n"/>
      <c r="BQ536" s="1392" t="n"/>
      <c r="BR536" s="1392" t="n"/>
      <c r="BS536" s="1392" t="n"/>
      <c r="BT536" s="1392" t="n"/>
      <c r="BU536" s="1416" t="n"/>
      <c r="BV536" s="1392" t="n"/>
      <c r="BW536" s="1392" t="n"/>
      <c r="BX536" s="1392" t="n"/>
      <c r="BY536" s="1392" t="n"/>
      <c r="BZ536" s="1416" t="n"/>
      <c r="CA536" s="1392" t="n"/>
      <c r="CB536" s="1392" t="n"/>
      <c r="CC536" s="1392" t="n"/>
      <c r="CD536" s="1392" t="n"/>
      <c r="CE536" s="1392" t="n"/>
      <c r="CF536" s="1392" t="n"/>
      <c r="CG536" s="1392" t="n"/>
      <c r="CH536" s="1392" t="n"/>
      <c r="CI536" s="1392" t="n"/>
      <c r="CJ536" s="1392" t="n"/>
      <c r="CK536" s="1392" t="n"/>
      <c r="CL536" s="1392" t="n"/>
    </row>
    <row r="537">
      <c r="A537" s="5" t="inlineStr">
        <is>
          <t>.</t>
        </is>
      </c>
      <c r="B537" s="5" t="inlineStr">
        <is>
          <t>.</t>
        </is>
      </c>
      <c r="C537" s="1378">
        <f>IF(raw[[#This Row],[city]]="","-",IF(raw[[#This Row],[city]]="TODAY","-",C536+1))</f>
        <v/>
      </c>
      <c r="D537" s="1393" t="inlineStr">
        <is>
          <t>Castrojeriz</t>
        </is>
      </c>
      <c r="E537" s="1394" t="n">
        <v>36100</v>
      </c>
      <c r="F537" s="1394" t="n">
        <v>36103</v>
      </c>
      <c r="G537" s="1393" t="inlineStr">
        <is>
          <t>-</t>
        </is>
      </c>
      <c r="H537" s="1393">
        <f>H536</f>
        <v/>
      </c>
      <c r="I537" s="1393" t="inlineStr">
        <is>
          <t>CS</t>
        </is>
      </c>
      <c r="J537" s="1393" t="inlineStr">
        <is>
          <t>-</t>
        </is>
      </c>
      <c r="K537" s="1395">
        <f>IF(raw[[#This Row],[city]]&lt;&gt;"",_xlfn.XLOOKUP($D537,ccc[city],ccc[prov],"-"),"-")</f>
        <v/>
      </c>
      <c r="L537" s="1395">
        <f>IF(raw[[#This Row],[city]]&lt;&gt;"",_xlfn.XLOOKUP($D537,ccc[city],ccc[ctry],"-"),"-")</f>
        <v/>
      </c>
      <c r="M537" s="1395">
        <f>IF(raw[[#This Row],[city]]&lt;&gt;"",_xlfn.XLOOKUP($D537,ccc[city],ccc[cont],"-"),"-")</f>
        <v/>
      </c>
      <c r="N537" s="1396">
        <f>IF(raw[[#This Row],[city]]="","-",IF(raw[[#This Row],[cont]]="B",raw[[#This Row],[cont]],"W"))</f>
        <v/>
      </c>
      <c r="O537" s="1397">
        <f>IF(raw[[#This Row],[out]]=0,0,IF(raw[[#This Row],[out]]=raw[[#This Row],[in]],0.01,raw[[#This Row],[out]]-raw[[#This Row],[in]]))</f>
        <v/>
      </c>
      <c r="P537" s="1397">
        <f>IF(raw[[#This Row],[in]]=0,0,MONTH(raw[[#This Row],[in]]))</f>
        <v/>
      </c>
      <c r="Q537" s="1397">
        <f>IF(raw[[#This Row],[in]]=0,0,YEAR(raw[[#This Row],[in]]))</f>
        <v/>
      </c>
      <c r="R537" s="1397">
        <f>INT(raw[[#This Row],[yr]]/10)*10</f>
        <v/>
      </c>
      <c r="S537" s="1395">
        <f>IF(raw[[#This Row],[city]]="","-",IF(raw[[#This Row],[city]]&lt;&gt;_xlfn.XLOOKUP(raw[[#This Row],[home]],homes[home],homes[city],"-"),1,0))</f>
        <v/>
      </c>
      <c r="T537" s="1398" t="inlineStr">
        <is>
          <t>.</t>
        </is>
      </c>
      <c r="U537" s="1399">
        <f>IF(raw[[#This Row],[wb]]="w",raw[[#This Row],[stay]]+U536,U536)</f>
        <v/>
      </c>
      <c r="V537" s="1400">
        <f>IF(raw[[#This Row],[out]]=0,V536,(raw[[#This Row],[out]]-E$5))</f>
        <v/>
      </c>
      <c r="W537" s="1401">
        <f>U537/V537</f>
        <v/>
      </c>
      <c r="X537" s="1378" t="inlineStr">
        <is>
          <t>.</t>
        </is>
      </c>
      <c r="Y537" s="1402">
        <f/>
        <v/>
      </c>
      <c r="Z537" s="1403">
        <f/>
        <v/>
      </c>
      <c r="AA537" s="1403">
        <f/>
        <v/>
      </c>
      <c r="AB537" s="1400">
        <f t="array" ref="AB537">_xlfn.LET(_xlpm.S,_xlfn.ANCHORARRAY($Y$4),_xlpm.r,ROWS(stayCity[[#Headers],[city]]:stayCity[[#This Row],[city]])-1,IF(_xlpm.r&lt;=ROWS(_xlpm.S),INDEX(_xlpm.S,_xlpm.r,1),""))</f>
        <v/>
      </c>
      <c r="AC537" s="1405">
        <f t="array" ref="AC537">_xlfn.LET(_xlpm.S,_xlfn.ANCHORARRAY($Y$4),_xlpm.r,ROWS(stayCity[[#Headers],[city]]:stayCity[[#This Row],[city]])-1,IF(_xlpm.r&lt;=ROWS(_xlpm.S),INDEX(_xlpm.S,_xlpm.r,2),""))</f>
        <v/>
      </c>
      <c r="AD537" s="1405">
        <f t="array" ref="AD537">_xlfn.LET(_xlpm.S,_xlfn.ANCHORARRAY($Y$4),_xlpm.r,ROWS(stayCity[[#Headers],[city]]:stayCity[[#This Row],[city]])-1,IF(_xlpm.r&lt;=ROWS(_xlpm.S),INDEX(_xlpm.S,_xlpm.r,3),""))</f>
        <v/>
      </c>
      <c r="AE537" s="1400">
        <f>IF(stayCity[[#This Row],[out]]&lt;&gt;"",stayCity[[#This Row],[out]]-stayCity[[#This Row],[in]],"-")</f>
        <v/>
      </c>
      <c r="AF537" s="1406">
        <f>IF(Y537="","-",YEAR(stayCity[[#This Row],[in]]))</f>
        <v/>
      </c>
      <c r="AG537" s="1392" t="n"/>
      <c r="AH537" s="1392" t="n"/>
      <c r="AI537" s="1392" t="n"/>
      <c r="AJ537" s="1392" t="n"/>
      <c r="AK537" s="1392" t="n"/>
      <c r="AL537" s="1392" t="n"/>
      <c r="AM537" s="1392" t="n"/>
      <c r="AN537" s="1392" t="n"/>
      <c r="AO537" s="1392" t="n"/>
      <c r="AP537" s="1392" t="n"/>
      <c r="AQ537" s="1392" t="n"/>
      <c r="AR537" s="1392" t="n"/>
      <c r="AS537" s="1422" t="n"/>
      <c r="AT537" s="1392" t="n"/>
      <c r="AU537" s="1392" t="n"/>
      <c r="AV537" s="1392" t="n"/>
      <c r="AW537" s="1392" t="n"/>
      <c r="AX537" s="1392" t="n"/>
      <c r="AY537" s="1392" t="n"/>
      <c r="AZ537" s="1392" t="n"/>
      <c r="BA537" s="1392" t="n"/>
      <c r="BB537" s="1422" t="n"/>
      <c r="BC537" s="1392" t="n"/>
      <c r="BD537" s="1392" t="n"/>
      <c r="BE537" s="1392" t="n"/>
      <c r="BF537" s="1392" t="n"/>
      <c r="BG537" s="1392" t="n"/>
      <c r="BH537" s="1392" t="n"/>
      <c r="BI537" s="1392" t="n"/>
      <c r="BJ537" s="1392" t="n"/>
      <c r="BK537" s="1392" t="n"/>
      <c r="BL537" s="1392" t="n"/>
      <c r="BM537" s="1392" t="n"/>
      <c r="BN537" s="1392" t="n"/>
      <c r="BO537" s="1392" t="n"/>
      <c r="BP537" s="1392" t="n"/>
      <c r="BQ537" s="1392" t="n"/>
      <c r="BR537" s="1392" t="n"/>
      <c r="BS537" s="1392" t="n"/>
      <c r="BT537" s="1392" t="n"/>
      <c r="BU537" s="1416" t="n"/>
      <c r="BV537" s="1392" t="n"/>
      <c r="BW537" s="1392" t="n"/>
      <c r="BX537" s="1392" t="n"/>
      <c r="BY537" s="1392" t="n"/>
      <c r="BZ537" s="1416" t="n"/>
      <c r="CA537" s="1392" t="n"/>
      <c r="CB537" s="1392" t="n"/>
      <c r="CC537" s="1392" t="n"/>
      <c r="CD537" s="1392" t="n"/>
      <c r="CE537" s="1392" t="n"/>
      <c r="CF537" s="1392" t="n"/>
      <c r="CG537" s="1392" t="n"/>
      <c r="CH537" s="1392" t="n"/>
      <c r="CI537" s="1392" t="n"/>
      <c r="CJ537" s="1392" t="n"/>
      <c r="CK537" s="1392" t="n"/>
      <c r="CL537" s="1392" t="n"/>
    </row>
    <row r="538">
      <c r="A538" s="5" t="inlineStr">
        <is>
          <t>.</t>
        </is>
      </c>
      <c r="B538" s="5" t="inlineStr">
        <is>
          <t>.</t>
        </is>
      </c>
      <c r="C538" s="1378">
        <f>IF(raw[[#This Row],[city]]="","-",IF(raw[[#This Row],[city]]="TODAY","-",C537+1))</f>
        <v/>
      </c>
      <c r="D538" s="1393" t="inlineStr">
        <is>
          <t>Fromista</t>
        </is>
      </c>
      <c r="E538" s="1394" t="n">
        <v>36103</v>
      </c>
      <c r="F538" s="1394" t="n">
        <v>36103</v>
      </c>
      <c r="G538" s="1393" t="inlineStr">
        <is>
          <t>-</t>
        </is>
      </c>
      <c r="H538" s="1393">
        <f>H537</f>
        <v/>
      </c>
      <c r="I538" s="1393" t="inlineStr">
        <is>
          <t>CS</t>
        </is>
      </c>
      <c r="J538" s="1393" t="inlineStr">
        <is>
          <t>-</t>
        </is>
      </c>
      <c r="K538" s="1395">
        <f>IF(raw[[#This Row],[city]]&lt;&gt;"",_xlfn.XLOOKUP($D538,ccc[city],ccc[prov],"-"),"-")</f>
        <v/>
      </c>
      <c r="L538" s="1395">
        <f>IF(raw[[#This Row],[city]]&lt;&gt;"",_xlfn.XLOOKUP($D538,ccc[city],ccc[ctry],"-"),"-")</f>
        <v/>
      </c>
      <c r="M538" s="1395">
        <f>IF(raw[[#This Row],[city]]&lt;&gt;"",_xlfn.XLOOKUP($D538,ccc[city],ccc[cont],"-"),"-")</f>
        <v/>
      </c>
      <c r="N538" s="1396">
        <f>IF(raw[[#This Row],[city]]="","-",IF(raw[[#This Row],[cont]]="B",raw[[#This Row],[cont]],"W"))</f>
        <v/>
      </c>
      <c r="O538" s="1397">
        <f>IF(raw[[#This Row],[out]]=0,0,IF(raw[[#This Row],[out]]=raw[[#This Row],[in]],0.01,raw[[#This Row],[out]]-raw[[#This Row],[in]]))</f>
        <v/>
      </c>
      <c r="P538" s="1397">
        <f>IF(raw[[#This Row],[in]]=0,0,MONTH(raw[[#This Row],[in]]))</f>
        <v/>
      </c>
      <c r="Q538" s="1397">
        <f>IF(raw[[#This Row],[in]]=0,0,YEAR(raw[[#This Row],[in]]))</f>
        <v/>
      </c>
      <c r="R538" s="1397">
        <f>INT(raw[[#This Row],[yr]]/10)*10</f>
        <v/>
      </c>
      <c r="S538" s="1395">
        <f>IF(raw[[#This Row],[city]]="","-",IF(raw[[#This Row],[city]]&lt;&gt;_xlfn.XLOOKUP(raw[[#This Row],[home]],homes[home],homes[city],"-"),1,0))</f>
        <v/>
      </c>
      <c r="T538" s="1398" t="inlineStr">
        <is>
          <t>.</t>
        </is>
      </c>
      <c r="U538" s="1399">
        <f>IF(raw[[#This Row],[wb]]="w",raw[[#This Row],[stay]]+U537,U537)</f>
        <v/>
      </c>
      <c r="V538" s="1400">
        <f>IF(raw[[#This Row],[out]]=0,V537,(raw[[#This Row],[out]]-E$5))</f>
        <v/>
      </c>
      <c r="W538" s="1401">
        <f>U538/V538</f>
        <v/>
      </c>
      <c r="X538" s="1378" t="inlineStr">
        <is>
          <t>.</t>
        </is>
      </c>
      <c r="Y538" s="1402">
        <f/>
        <v/>
      </c>
      <c r="Z538" s="1403">
        <f/>
        <v/>
      </c>
      <c r="AA538" s="1403">
        <f/>
        <v/>
      </c>
      <c r="AB538" s="1400">
        <f t="array" ref="AB538">_xlfn.LET(_xlpm.S,_xlfn.ANCHORARRAY($Y$4),_xlpm.r,ROWS(stayCity[[#Headers],[city]]:stayCity[[#This Row],[city]])-1,IF(_xlpm.r&lt;=ROWS(_xlpm.S),INDEX(_xlpm.S,_xlpm.r,1),""))</f>
        <v/>
      </c>
      <c r="AC538" s="1405">
        <f t="array" ref="AC538">_xlfn.LET(_xlpm.S,_xlfn.ANCHORARRAY($Y$4),_xlpm.r,ROWS(stayCity[[#Headers],[city]]:stayCity[[#This Row],[city]])-1,IF(_xlpm.r&lt;=ROWS(_xlpm.S),INDEX(_xlpm.S,_xlpm.r,2),""))</f>
        <v/>
      </c>
      <c r="AD538" s="1405">
        <f t="array" ref="AD538">_xlfn.LET(_xlpm.S,_xlfn.ANCHORARRAY($Y$4),_xlpm.r,ROWS(stayCity[[#Headers],[city]]:stayCity[[#This Row],[city]])-1,IF(_xlpm.r&lt;=ROWS(_xlpm.S),INDEX(_xlpm.S,_xlpm.r,3),""))</f>
        <v/>
      </c>
      <c r="AE538" s="1400">
        <f>IF(stayCity[[#This Row],[out]]&lt;&gt;"",stayCity[[#This Row],[out]]-stayCity[[#This Row],[in]],"-")</f>
        <v/>
      </c>
      <c r="AF538" s="1406">
        <f>IF(Y538="","-",YEAR(stayCity[[#This Row],[in]]))</f>
        <v/>
      </c>
      <c r="AG538" s="1392" t="n"/>
      <c r="AH538" s="1392" t="n"/>
      <c r="AI538" s="1392" t="n"/>
      <c r="AJ538" s="1392" t="n"/>
      <c r="AK538" s="1392" t="n"/>
      <c r="AL538" s="1392" t="n"/>
      <c r="AM538" s="1392" t="n"/>
      <c r="AN538" s="1392" t="n"/>
      <c r="AO538" s="1392" t="n"/>
      <c r="AP538" s="1392" t="n"/>
      <c r="AQ538" s="1392" t="n"/>
      <c r="AR538" s="1392" t="n"/>
      <c r="AS538" s="1422" t="n"/>
      <c r="AT538" s="1392" t="n"/>
      <c r="AU538" s="1392" t="n"/>
      <c r="AV538" s="1392" t="n"/>
      <c r="AW538" s="1392" t="n"/>
      <c r="AX538" s="1392" t="n"/>
      <c r="AY538" s="1392" t="n"/>
      <c r="AZ538" s="1392" t="n"/>
      <c r="BA538" s="1392" t="n"/>
      <c r="BB538" s="1422" t="n"/>
      <c r="BC538" s="1392" t="n"/>
      <c r="BD538" s="1392" t="n"/>
      <c r="BE538" s="1392" t="n"/>
      <c r="BF538" s="1392" t="n"/>
      <c r="BG538" s="1392" t="n"/>
      <c r="BH538" s="1392" t="n"/>
      <c r="BI538" s="1392" t="n"/>
      <c r="BJ538" s="1392" t="n"/>
      <c r="BK538" s="1392" t="n"/>
      <c r="BL538" s="1392" t="n"/>
      <c r="BM538" s="1392" t="n"/>
      <c r="BN538" s="1392" t="n"/>
      <c r="BO538" s="1392" t="n"/>
      <c r="BP538" s="1392" t="n"/>
      <c r="BQ538" s="1392" t="n"/>
      <c r="BR538" s="1392" t="n"/>
      <c r="BS538" s="1392" t="n"/>
      <c r="BT538" s="1392" t="n"/>
      <c r="BU538" s="1416" t="n"/>
      <c r="BV538" s="1392" t="n"/>
      <c r="BW538" s="1392" t="n"/>
      <c r="BX538" s="1392" t="n"/>
      <c r="BY538" s="1392" t="n"/>
      <c r="BZ538" s="1416" t="n"/>
      <c r="CA538" s="1392" t="n"/>
      <c r="CB538" s="1392" t="n"/>
      <c r="CC538" s="1392" t="n"/>
      <c r="CD538" s="1392" t="n"/>
      <c r="CE538" s="1392" t="n"/>
      <c r="CF538" s="1392" t="n"/>
      <c r="CG538" s="1392" t="n"/>
      <c r="CH538" s="1392" t="n"/>
      <c r="CI538" s="1392" t="n"/>
      <c r="CJ538" s="1392" t="n"/>
      <c r="CK538" s="1392" t="n"/>
      <c r="CL538" s="1392" t="n"/>
    </row>
    <row r="539">
      <c r="A539" s="5" t="inlineStr">
        <is>
          <t>.</t>
        </is>
      </c>
      <c r="B539" s="5" t="inlineStr">
        <is>
          <t>.</t>
        </is>
      </c>
      <c r="C539" s="1378">
        <f>IF(raw[[#This Row],[city]]="","-",IF(raw[[#This Row],[city]]="TODAY","-",C538+1))</f>
        <v/>
      </c>
      <c r="D539" s="1393" t="inlineStr">
        <is>
          <t>Poblacion de Campos</t>
        </is>
      </c>
      <c r="E539" s="1394" t="n">
        <v>36103</v>
      </c>
      <c r="F539" s="1394" t="n">
        <v>36103</v>
      </c>
      <c r="G539" s="1393" t="inlineStr">
        <is>
          <t>-</t>
        </is>
      </c>
      <c r="H539" s="1393">
        <f>H538</f>
        <v/>
      </c>
      <c r="I539" s="1393" t="inlineStr">
        <is>
          <t>CS</t>
        </is>
      </c>
      <c r="J539" s="1393" t="inlineStr">
        <is>
          <t>-</t>
        </is>
      </c>
      <c r="K539" s="1395">
        <f>IF(raw[[#This Row],[city]]&lt;&gt;"",_xlfn.XLOOKUP($D539,ccc[city],ccc[prov],"-"),"-")</f>
        <v/>
      </c>
      <c r="L539" s="1395">
        <f>IF(raw[[#This Row],[city]]&lt;&gt;"",_xlfn.XLOOKUP($D539,ccc[city],ccc[ctry],"-"),"-")</f>
        <v/>
      </c>
      <c r="M539" s="1395">
        <f>IF(raw[[#This Row],[city]]&lt;&gt;"",_xlfn.XLOOKUP($D539,ccc[city],ccc[cont],"-"),"-")</f>
        <v/>
      </c>
      <c r="N539" s="1396">
        <f>IF(raw[[#This Row],[city]]="","-",IF(raw[[#This Row],[cont]]="B",raw[[#This Row],[cont]],"W"))</f>
        <v/>
      </c>
      <c r="O539" s="1397">
        <f>IF(raw[[#This Row],[out]]=0,0,IF(raw[[#This Row],[out]]=raw[[#This Row],[in]],0.01,raw[[#This Row],[out]]-raw[[#This Row],[in]]))</f>
        <v/>
      </c>
      <c r="P539" s="1397">
        <f>IF(raw[[#This Row],[in]]=0,0,MONTH(raw[[#This Row],[in]]))</f>
        <v/>
      </c>
      <c r="Q539" s="1397">
        <f>IF(raw[[#This Row],[in]]=0,0,YEAR(raw[[#This Row],[in]]))</f>
        <v/>
      </c>
      <c r="R539" s="1397">
        <f>INT(raw[[#This Row],[yr]]/10)*10</f>
        <v/>
      </c>
      <c r="S539" s="1395">
        <f>IF(raw[[#This Row],[city]]="","-",IF(raw[[#This Row],[city]]&lt;&gt;_xlfn.XLOOKUP(raw[[#This Row],[home]],homes[home],homes[city],"-"),1,0))</f>
        <v/>
      </c>
      <c r="T539" s="1398" t="inlineStr">
        <is>
          <t>.</t>
        </is>
      </c>
      <c r="U539" s="1399">
        <f>IF(raw[[#This Row],[wb]]="w",raw[[#This Row],[stay]]+U538,U538)</f>
        <v/>
      </c>
      <c r="V539" s="1400">
        <f>IF(raw[[#This Row],[out]]=0,V538,(raw[[#This Row],[out]]-E$5))</f>
        <v/>
      </c>
      <c r="W539" s="1401">
        <f>U539/V539</f>
        <v/>
      </c>
      <c r="X539" s="1378" t="inlineStr">
        <is>
          <t>.</t>
        </is>
      </c>
      <c r="Y539" s="1402">
        <f/>
        <v/>
      </c>
      <c r="Z539" s="1403">
        <f/>
        <v/>
      </c>
      <c r="AA539" s="1403">
        <f/>
        <v/>
      </c>
      <c r="AB539" s="1400">
        <f t="array" ref="AB539">_xlfn.LET(_xlpm.S,_xlfn.ANCHORARRAY($Y$4),_xlpm.r,ROWS(stayCity[[#Headers],[city]]:stayCity[[#This Row],[city]])-1,IF(_xlpm.r&lt;=ROWS(_xlpm.S),INDEX(_xlpm.S,_xlpm.r,1),""))</f>
        <v/>
      </c>
      <c r="AC539" s="1405">
        <f t="array" ref="AC539">_xlfn.LET(_xlpm.S,_xlfn.ANCHORARRAY($Y$4),_xlpm.r,ROWS(stayCity[[#Headers],[city]]:stayCity[[#This Row],[city]])-1,IF(_xlpm.r&lt;=ROWS(_xlpm.S),INDEX(_xlpm.S,_xlpm.r,2),""))</f>
        <v/>
      </c>
      <c r="AD539" s="1405">
        <f t="array" ref="AD539">_xlfn.LET(_xlpm.S,_xlfn.ANCHORARRAY($Y$4),_xlpm.r,ROWS(stayCity[[#Headers],[city]]:stayCity[[#This Row],[city]])-1,IF(_xlpm.r&lt;=ROWS(_xlpm.S),INDEX(_xlpm.S,_xlpm.r,3),""))</f>
        <v/>
      </c>
      <c r="AE539" s="1400">
        <f>IF(stayCity[[#This Row],[out]]&lt;&gt;"",stayCity[[#This Row],[out]]-stayCity[[#This Row],[in]],"-")</f>
        <v/>
      </c>
      <c r="AF539" s="1406">
        <f>IF(Y539="","-",YEAR(stayCity[[#This Row],[in]]))</f>
        <v/>
      </c>
      <c r="AG539" s="1392" t="n"/>
      <c r="AH539" s="1392" t="n"/>
      <c r="AI539" s="1392" t="n"/>
      <c r="AJ539" s="1392" t="n"/>
      <c r="AK539" s="1392" t="n"/>
      <c r="AL539" s="1392" t="n"/>
      <c r="AM539" s="1392" t="n"/>
      <c r="AN539" s="1392" t="n"/>
      <c r="AO539" s="1392" t="n"/>
      <c r="AP539" s="1392" t="n"/>
      <c r="AQ539" s="1392" t="n"/>
      <c r="AR539" s="1392" t="n"/>
      <c r="AS539" s="1422" t="n"/>
      <c r="AT539" s="1392" t="n"/>
      <c r="AU539" s="1392" t="n"/>
      <c r="AV539" s="1392" t="n"/>
      <c r="AW539" s="1392" t="n"/>
      <c r="AX539" s="1392" t="n"/>
      <c r="AY539" s="1392" t="n"/>
      <c r="AZ539" s="1392" t="n"/>
      <c r="BA539" s="1392" t="n"/>
      <c r="BB539" s="1422" t="n"/>
      <c r="BC539" s="1392" t="n"/>
      <c r="BD539" s="1392" t="n"/>
      <c r="BE539" s="1392" t="n"/>
      <c r="BF539" s="1392" t="n"/>
      <c r="BG539" s="1392" t="n"/>
      <c r="BH539" s="1392" t="n"/>
      <c r="BI539" s="1392" t="n"/>
      <c r="BJ539" s="1392" t="n"/>
      <c r="BK539" s="1392" t="n"/>
      <c r="BL539" s="1392" t="n"/>
      <c r="BM539" s="1392" t="n"/>
      <c r="BN539" s="1392" t="n"/>
      <c r="BO539" s="1392" t="n"/>
      <c r="BP539" s="1392" t="n"/>
      <c r="BQ539" s="1392" t="n"/>
      <c r="BR539" s="1392" t="n"/>
      <c r="BS539" s="1392" t="n"/>
      <c r="BT539" s="1392" t="n"/>
      <c r="BU539" s="1416" t="n"/>
      <c r="BV539" s="1392" t="n"/>
      <c r="BW539" s="1392" t="n"/>
      <c r="BX539" s="1392" t="n"/>
      <c r="BY539" s="1392" t="n"/>
      <c r="BZ539" s="1416" t="n"/>
      <c r="CA539" s="1392" t="n"/>
      <c r="CB539" s="1392" t="n"/>
      <c r="CC539" s="1392" t="n"/>
      <c r="CD539" s="1392" t="n"/>
      <c r="CE539" s="1392" t="n"/>
      <c r="CF539" s="1392" t="n"/>
      <c r="CG539" s="1392" t="n"/>
      <c r="CH539" s="1392" t="n"/>
      <c r="CI539" s="1392" t="n"/>
      <c r="CJ539" s="1392" t="n"/>
      <c r="CK539" s="1392" t="n"/>
      <c r="CL539" s="1392" t="n"/>
    </row>
    <row r="540">
      <c r="A540" s="5" t="inlineStr">
        <is>
          <t>.</t>
        </is>
      </c>
      <c r="B540" s="5" t="inlineStr">
        <is>
          <t>.</t>
        </is>
      </c>
      <c r="C540" s="1378">
        <f>IF(raw[[#This Row],[city]]="","-",IF(raw[[#This Row],[city]]="TODAY","-",C539+1))</f>
        <v/>
      </c>
      <c r="D540" s="1393" t="inlineStr">
        <is>
          <t>Villalcazar de Sirga</t>
        </is>
      </c>
      <c r="E540" s="1394" t="n">
        <v>36103</v>
      </c>
      <c r="F540" s="1394" t="n">
        <v>36104</v>
      </c>
      <c r="G540" s="1393" t="inlineStr">
        <is>
          <t>-</t>
        </is>
      </c>
      <c r="H540" s="1393">
        <f>H539</f>
        <v/>
      </c>
      <c r="I540" s="1393" t="inlineStr">
        <is>
          <t>CS</t>
        </is>
      </c>
      <c r="J540" s="1393" t="inlineStr">
        <is>
          <t>-</t>
        </is>
      </c>
      <c r="K540" s="1395">
        <f>IF(raw[[#This Row],[city]]&lt;&gt;"",_xlfn.XLOOKUP($D540,ccc[city],ccc[prov],"-"),"-")</f>
        <v/>
      </c>
      <c r="L540" s="1395">
        <f>IF(raw[[#This Row],[city]]&lt;&gt;"",_xlfn.XLOOKUP($D540,ccc[city],ccc[ctry],"-"),"-")</f>
        <v/>
      </c>
      <c r="M540" s="1395">
        <f>IF(raw[[#This Row],[city]]&lt;&gt;"",_xlfn.XLOOKUP($D540,ccc[city],ccc[cont],"-"),"-")</f>
        <v/>
      </c>
      <c r="N540" s="1396">
        <f>IF(raw[[#This Row],[city]]="","-",IF(raw[[#This Row],[cont]]="B",raw[[#This Row],[cont]],"W"))</f>
        <v/>
      </c>
      <c r="O540" s="1397">
        <f>IF(raw[[#This Row],[out]]=0,0,IF(raw[[#This Row],[out]]=raw[[#This Row],[in]],0.01,raw[[#This Row],[out]]-raw[[#This Row],[in]]))</f>
        <v/>
      </c>
      <c r="P540" s="1397">
        <f>IF(raw[[#This Row],[in]]=0,0,MONTH(raw[[#This Row],[in]]))</f>
        <v/>
      </c>
      <c r="Q540" s="1397">
        <f>IF(raw[[#This Row],[in]]=0,0,YEAR(raw[[#This Row],[in]]))</f>
        <v/>
      </c>
      <c r="R540" s="1397">
        <f>INT(raw[[#This Row],[yr]]/10)*10</f>
        <v/>
      </c>
      <c r="S540" s="1395">
        <f>IF(raw[[#This Row],[city]]="","-",IF(raw[[#This Row],[city]]&lt;&gt;_xlfn.XLOOKUP(raw[[#This Row],[home]],homes[home],homes[city],"-"),1,0))</f>
        <v/>
      </c>
      <c r="T540" s="1398" t="inlineStr">
        <is>
          <t>.</t>
        </is>
      </c>
      <c r="U540" s="1399">
        <f>IF(raw[[#This Row],[wb]]="w",raw[[#This Row],[stay]]+U539,U539)</f>
        <v/>
      </c>
      <c r="V540" s="1400">
        <f>IF(raw[[#This Row],[out]]=0,V539,(raw[[#This Row],[out]]-E$5))</f>
        <v/>
      </c>
      <c r="W540" s="1401">
        <f>U540/V540</f>
        <v/>
      </c>
      <c r="X540" s="1378" t="inlineStr">
        <is>
          <t>.</t>
        </is>
      </c>
      <c r="Y540" s="1402">
        <f/>
        <v/>
      </c>
      <c r="Z540" s="1403">
        <f/>
        <v/>
      </c>
      <c r="AA540" s="1403">
        <f/>
        <v/>
      </c>
      <c r="AB540" s="1400">
        <f t="array" ref="AB540">_xlfn.LET(_xlpm.S,_xlfn.ANCHORARRAY($Y$4),_xlpm.r,ROWS(stayCity[[#Headers],[city]]:stayCity[[#This Row],[city]])-1,IF(_xlpm.r&lt;=ROWS(_xlpm.S),INDEX(_xlpm.S,_xlpm.r,1),""))</f>
        <v/>
      </c>
      <c r="AC540" s="1405">
        <f t="array" ref="AC540">_xlfn.LET(_xlpm.S,_xlfn.ANCHORARRAY($Y$4),_xlpm.r,ROWS(stayCity[[#Headers],[city]]:stayCity[[#This Row],[city]])-1,IF(_xlpm.r&lt;=ROWS(_xlpm.S),INDEX(_xlpm.S,_xlpm.r,2),""))</f>
        <v/>
      </c>
      <c r="AD540" s="1405">
        <f t="array" ref="AD540">_xlfn.LET(_xlpm.S,_xlfn.ANCHORARRAY($Y$4),_xlpm.r,ROWS(stayCity[[#Headers],[city]]:stayCity[[#This Row],[city]])-1,IF(_xlpm.r&lt;=ROWS(_xlpm.S),INDEX(_xlpm.S,_xlpm.r,3),""))</f>
        <v/>
      </c>
      <c r="AE540" s="1400">
        <f>IF(stayCity[[#This Row],[out]]&lt;&gt;"",stayCity[[#This Row],[out]]-stayCity[[#This Row],[in]],"-")</f>
        <v/>
      </c>
      <c r="AF540" s="1406">
        <f>IF(Y540="","-",YEAR(stayCity[[#This Row],[in]]))</f>
        <v/>
      </c>
      <c r="AG540" s="1392" t="n"/>
      <c r="AH540" s="1392" t="n"/>
      <c r="AI540" s="1392" t="n"/>
      <c r="AJ540" s="1392" t="n"/>
      <c r="AK540" s="1392" t="n"/>
      <c r="AL540" s="1392" t="n"/>
      <c r="AM540" s="1392" t="n"/>
      <c r="AN540" s="1392" t="n"/>
      <c r="AO540" s="1392" t="n"/>
      <c r="AP540" s="1392" t="n"/>
      <c r="AQ540" s="1392" t="n"/>
      <c r="AR540" s="1392" t="n"/>
      <c r="AS540" s="1422" t="n"/>
      <c r="AT540" s="1392" t="n"/>
      <c r="AU540" s="1392" t="n"/>
      <c r="AV540" s="1392" t="n"/>
      <c r="AW540" s="1392" t="n"/>
      <c r="AX540" s="1392" t="n"/>
      <c r="AY540" s="1392" t="n"/>
      <c r="AZ540" s="1392" t="n"/>
      <c r="BA540" s="1392" t="n"/>
      <c r="BB540" s="1422" t="n"/>
      <c r="BC540" s="1392" t="n"/>
      <c r="BD540" s="1392" t="n"/>
      <c r="BE540" s="1392" t="n"/>
      <c r="BF540" s="1392" t="n"/>
      <c r="BG540" s="1392" t="n"/>
      <c r="BH540" s="1392" t="n"/>
      <c r="BI540" s="1392" t="n"/>
      <c r="BJ540" s="1392" t="n"/>
      <c r="BK540" s="1392" t="n"/>
      <c r="BL540" s="1392" t="n"/>
      <c r="BM540" s="1392" t="n"/>
      <c r="BN540" s="1392" t="n"/>
      <c r="BO540" s="1392" t="n"/>
      <c r="BP540" s="1392" t="n"/>
      <c r="BQ540" s="1392" t="n"/>
      <c r="BR540" s="1392" t="n"/>
      <c r="BS540" s="1392" t="n"/>
      <c r="BT540" s="1392" t="n"/>
      <c r="BU540" s="1416" t="n"/>
      <c r="BV540" s="1392" t="n"/>
      <c r="BW540" s="1392" t="n"/>
      <c r="BX540" s="1392" t="n"/>
      <c r="BY540" s="1392" t="n"/>
      <c r="BZ540" s="1416" t="n"/>
      <c r="CA540" s="1392" t="n"/>
      <c r="CB540" s="1392" t="n"/>
      <c r="CC540" s="1392" t="n"/>
      <c r="CD540" s="1392" t="n"/>
      <c r="CE540" s="1392" t="n"/>
      <c r="CF540" s="1392" t="n"/>
      <c r="CG540" s="1392" t="n"/>
      <c r="CH540" s="1392" t="n"/>
      <c r="CI540" s="1392" t="n"/>
      <c r="CJ540" s="1392" t="n"/>
      <c r="CK540" s="1392" t="n"/>
      <c r="CL540" s="1392" t="n"/>
    </row>
    <row r="541">
      <c r="A541" s="5" t="inlineStr">
        <is>
          <t>.</t>
        </is>
      </c>
      <c r="B541" s="5" t="inlineStr">
        <is>
          <t>.</t>
        </is>
      </c>
      <c r="C541" s="1378">
        <f>IF(raw[[#This Row],[city]]="","-",IF(raw[[#This Row],[city]]="TODAY","-",C540+1))</f>
        <v/>
      </c>
      <c r="D541" s="1393" t="inlineStr">
        <is>
          <t>Carrion de los Condes</t>
        </is>
      </c>
      <c r="E541" s="1394" t="n">
        <v>36104</v>
      </c>
      <c r="F541" s="1394" t="n">
        <v>36104</v>
      </c>
      <c r="G541" s="1393" t="inlineStr">
        <is>
          <t>-</t>
        </is>
      </c>
      <c r="H541" s="1393">
        <f>H540</f>
        <v/>
      </c>
      <c r="I541" s="1393" t="inlineStr">
        <is>
          <t>CS</t>
        </is>
      </c>
      <c r="J541" s="1393" t="inlineStr">
        <is>
          <t>-</t>
        </is>
      </c>
      <c r="K541" s="1395">
        <f>IF(raw[[#This Row],[city]]&lt;&gt;"",_xlfn.XLOOKUP($D541,ccc[city],ccc[prov],"-"),"-")</f>
        <v/>
      </c>
      <c r="L541" s="1395">
        <f>IF(raw[[#This Row],[city]]&lt;&gt;"",_xlfn.XLOOKUP($D541,ccc[city],ccc[ctry],"-"),"-")</f>
        <v/>
      </c>
      <c r="M541" s="1395">
        <f>IF(raw[[#This Row],[city]]&lt;&gt;"",_xlfn.XLOOKUP($D541,ccc[city],ccc[cont],"-"),"-")</f>
        <v/>
      </c>
      <c r="N541" s="1396">
        <f>IF(raw[[#This Row],[city]]="","-",IF(raw[[#This Row],[cont]]="B",raw[[#This Row],[cont]],"W"))</f>
        <v/>
      </c>
      <c r="O541" s="1397">
        <f>IF(raw[[#This Row],[out]]=0,0,IF(raw[[#This Row],[out]]=raw[[#This Row],[in]],0.01,raw[[#This Row],[out]]-raw[[#This Row],[in]]))</f>
        <v/>
      </c>
      <c r="P541" s="1397">
        <f>IF(raw[[#This Row],[in]]=0,0,MONTH(raw[[#This Row],[in]]))</f>
        <v/>
      </c>
      <c r="Q541" s="1397">
        <f>IF(raw[[#This Row],[in]]=0,0,YEAR(raw[[#This Row],[in]]))</f>
        <v/>
      </c>
      <c r="R541" s="1397">
        <f>INT(raw[[#This Row],[yr]]/10)*10</f>
        <v/>
      </c>
      <c r="S541" s="1395">
        <f>IF(raw[[#This Row],[city]]="","-",IF(raw[[#This Row],[city]]&lt;&gt;_xlfn.XLOOKUP(raw[[#This Row],[home]],homes[home],homes[city],"-"),1,0))</f>
        <v/>
      </c>
      <c r="T541" s="1398" t="inlineStr">
        <is>
          <t>.</t>
        </is>
      </c>
      <c r="U541" s="1399">
        <f>IF(raw[[#This Row],[wb]]="w",raw[[#This Row],[stay]]+U540,U540)</f>
        <v/>
      </c>
      <c r="V541" s="1400">
        <f>IF(raw[[#This Row],[out]]=0,V540,(raw[[#This Row],[out]]-E$5))</f>
        <v/>
      </c>
      <c r="W541" s="1401">
        <f>U541/V541</f>
        <v/>
      </c>
      <c r="X541" s="1378" t="inlineStr">
        <is>
          <t>.</t>
        </is>
      </c>
      <c r="Y541" s="1402">
        <f/>
        <v/>
      </c>
      <c r="Z541" s="1403">
        <f/>
        <v/>
      </c>
      <c r="AA541" s="1403">
        <f/>
        <v/>
      </c>
      <c r="AB541" s="1400">
        <f t="array" ref="AB541">_xlfn.LET(_xlpm.S,_xlfn.ANCHORARRAY($Y$4),_xlpm.r,ROWS(stayCity[[#Headers],[city]]:stayCity[[#This Row],[city]])-1,IF(_xlpm.r&lt;=ROWS(_xlpm.S),INDEX(_xlpm.S,_xlpm.r,1),""))</f>
        <v/>
      </c>
      <c r="AC541" s="1405">
        <f t="array" ref="AC541">_xlfn.LET(_xlpm.S,_xlfn.ANCHORARRAY($Y$4),_xlpm.r,ROWS(stayCity[[#Headers],[city]]:stayCity[[#This Row],[city]])-1,IF(_xlpm.r&lt;=ROWS(_xlpm.S),INDEX(_xlpm.S,_xlpm.r,2),""))</f>
        <v/>
      </c>
      <c r="AD541" s="1405">
        <f t="array" ref="AD541">_xlfn.LET(_xlpm.S,_xlfn.ANCHORARRAY($Y$4),_xlpm.r,ROWS(stayCity[[#Headers],[city]]:stayCity[[#This Row],[city]])-1,IF(_xlpm.r&lt;=ROWS(_xlpm.S),INDEX(_xlpm.S,_xlpm.r,3),""))</f>
        <v/>
      </c>
      <c r="AE541" s="1400">
        <f>IF(stayCity[[#This Row],[out]]&lt;&gt;"",stayCity[[#This Row],[out]]-stayCity[[#This Row],[in]],"-")</f>
        <v/>
      </c>
      <c r="AF541" s="1406">
        <f>IF(Y541="","-",YEAR(stayCity[[#This Row],[in]]))</f>
        <v/>
      </c>
      <c r="AG541" s="1392" t="n"/>
      <c r="AH541" s="1392" t="n"/>
      <c r="AI541" s="1392" t="n"/>
      <c r="AJ541" s="1392" t="n"/>
      <c r="AK541" s="1392" t="n"/>
      <c r="AL541" s="1392" t="n"/>
      <c r="AM541" s="1392" t="n"/>
      <c r="AN541" s="1392" t="n"/>
      <c r="AO541" s="1392" t="n"/>
      <c r="AP541" s="1392" t="n"/>
      <c r="AQ541" s="1392" t="n"/>
      <c r="AR541" s="1392" t="n"/>
      <c r="AS541" s="1422" t="n"/>
      <c r="AT541" s="1392" t="n"/>
      <c r="AU541" s="1392" t="n"/>
      <c r="AV541" s="1392" t="n"/>
      <c r="AW541" s="1392" t="n"/>
      <c r="AX541" s="1392" t="n"/>
      <c r="AY541" s="1392" t="n"/>
      <c r="AZ541" s="1392" t="n"/>
      <c r="BA541" s="1392" t="n"/>
      <c r="BB541" s="1422" t="n"/>
      <c r="BC541" s="1392" t="n"/>
      <c r="BD541" s="1392" t="n"/>
      <c r="BE541" s="1392" t="n"/>
      <c r="BF541" s="1392" t="n"/>
      <c r="BG541" s="1392" t="n"/>
      <c r="BH541" s="1392" t="n"/>
      <c r="BI541" s="1392" t="n"/>
      <c r="BJ541" s="1392" t="n"/>
      <c r="BK541" s="1392" t="n"/>
      <c r="BL541" s="1392" t="n"/>
      <c r="BM541" s="1392" t="n"/>
      <c r="BN541" s="1392" t="n"/>
      <c r="BO541" s="1392" t="n"/>
      <c r="BP541" s="1392" t="n"/>
      <c r="BQ541" s="1392" t="n"/>
      <c r="BR541" s="1392" t="n"/>
      <c r="BS541" s="1392" t="n"/>
      <c r="BT541" s="1392" t="n"/>
      <c r="BU541" s="1416" t="n"/>
      <c r="BV541" s="1392" t="n"/>
      <c r="BW541" s="1392" t="n"/>
      <c r="BX541" s="1392" t="n"/>
      <c r="BY541" s="1392" t="n"/>
      <c r="BZ541" s="1416" t="n"/>
      <c r="CA541" s="1392" t="n"/>
      <c r="CB541" s="1392" t="n"/>
      <c r="CC541" s="1392" t="n"/>
      <c r="CD541" s="1392" t="n"/>
      <c r="CE541" s="1392" t="n"/>
      <c r="CF541" s="1392" t="n"/>
      <c r="CG541" s="1392" t="n"/>
      <c r="CH541" s="1392" t="n"/>
      <c r="CI541" s="1392" t="n"/>
      <c r="CJ541" s="1392" t="n"/>
      <c r="CK541" s="1392" t="n"/>
      <c r="CL541" s="1392" t="n"/>
    </row>
    <row r="542">
      <c r="A542" s="5" t="inlineStr">
        <is>
          <t>.</t>
        </is>
      </c>
      <c r="B542" s="5" t="inlineStr">
        <is>
          <t>.</t>
        </is>
      </c>
      <c r="C542" s="1378">
        <f>IF(raw[[#This Row],[city]]="","-",IF(raw[[#This Row],[city]]="TODAY","-",C541+1))</f>
        <v/>
      </c>
      <c r="D542" s="1393" t="inlineStr">
        <is>
          <t>Calzadilla</t>
        </is>
      </c>
      <c r="E542" s="1394" t="n">
        <v>36104</v>
      </c>
      <c r="F542" s="1394" t="n">
        <v>36104</v>
      </c>
      <c r="G542" s="1393" t="inlineStr">
        <is>
          <t>-</t>
        </is>
      </c>
      <c r="H542" s="1393">
        <f>H541</f>
        <v/>
      </c>
      <c r="I542" s="1393" t="inlineStr">
        <is>
          <t>CS</t>
        </is>
      </c>
      <c r="J542" s="1393" t="inlineStr">
        <is>
          <t>-</t>
        </is>
      </c>
      <c r="K542" s="1395">
        <f>IF(raw[[#This Row],[city]]&lt;&gt;"",_xlfn.XLOOKUP($D542,ccc[city],ccc[prov],"-"),"-")</f>
        <v/>
      </c>
      <c r="L542" s="1395">
        <f>IF(raw[[#This Row],[city]]&lt;&gt;"",_xlfn.XLOOKUP($D542,ccc[city],ccc[ctry],"-"),"-")</f>
        <v/>
      </c>
      <c r="M542" s="1395">
        <f>IF(raw[[#This Row],[city]]&lt;&gt;"",_xlfn.XLOOKUP($D542,ccc[city],ccc[cont],"-"),"-")</f>
        <v/>
      </c>
      <c r="N542" s="1396">
        <f>IF(raw[[#This Row],[city]]="","-",IF(raw[[#This Row],[cont]]="B",raw[[#This Row],[cont]],"W"))</f>
        <v/>
      </c>
      <c r="O542" s="1397">
        <f>IF(raw[[#This Row],[out]]=0,0,IF(raw[[#This Row],[out]]=raw[[#This Row],[in]],0.01,raw[[#This Row],[out]]-raw[[#This Row],[in]]))</f>
        <v/>
      </c>
      <c r="P542" s="1397">
        <f>IF(raw[[#This Row],[in]]=0,0,MONTH(raw[[#This Row],[in]]))</f>
        <v/>
      </c>
      <c r="Q542" s="1397">
        <f>IF(raw[[#This Row],[in]]=0,0,YEAR(raw[[#This Row],[in]]))</f>
        <v/>
      </c>
      <c r="R542" s="1397">
        <f>INT(raw[[#This Row],[yr]]/10)*10</f>
        <v/>
      </c>
      <c r="S542" s="1395">
        <f>IF(raw[[#This Row],[city]]="","-",IF(raw[[#This Row],[city]]&lt;&gt;_xlfn.XLOOKUP(raw[[#This Row],[home]],homes[home],homes[city],"-"),1,0))</f>
        <v/>
      </c>
      <c r="T542" s="1398" t="inlineStr">
        <is>
          <t>.</t>
        </is>
      </c>
      <c r="U542" s="1399">
        <f>IF(raw[[#This Row],[wb]]="w",raw[[#This Row],[stay]]+U541,U541)</f>
        <v/>
      </c>
      <c r="V542" s="1400">
        <f>IF(raw[[#This Row],[out]]=0,V541,(raw[[#This Row],[out]]-E$5))</f>
        <v/>
      </c>
      <c r="W542" s="1401">
        <f>U542/V542</f>
        <v/>
      </c>
      <c r="X542" s="1378" t="inlineStr">
        <is>
          <t>.</t>
        </is>
      </c>
      <c r="Y542" s="1402">
        <f/>
        <v/>
      </c>
      <c r="Z542" s="1403">
        <f/>
        <v/>
      </c>
      <c r="AA542" s="1403">
        <f/>
        <v/>
      </c>
      <c r="AB542" s="1400">
        <f t="array" ref="AB542">_xlfn.LET(_xlpm.S,_xlfn.ANCHORARRAY($Y$4),_xlpm.r,ROWS(stayCity[[#Headers],[city]]:stayCity[[#This Row],[city]])-1,IF(_xlpm.r&lt;=ROWS(_xlpm.S),INDEX(_xlpm.S,_xlpm.r,1),""))</f>
        <v/>
      </c>
      <c r="AC542" s="1405">
        <f t="array" ref="AC542">_xlfn.LET(_xlpm.S,_xlfn.ANCHORARRAY($Y$4),_xlpm.r,ROWS(stayCity[[#Headers],[city]]:stayCity[[#This Row],[city]])-1,IF(_xlpm.r&lt;=ROWS(_xlpm.S),INDEX(_xlpm.S,_xlpm.r,2),""))</f>
        <v/>
      </c>
      <c r="AD542" s="1405">
        <f t="array" ref="AD542">_xlfn.LET(_xlpm.S,_xlfn.ANCHORARRAY($Y$4),_xlpm.r,ROWS(stayCity[[#Headers],[city]]:stayCity[[#This Row],[city]])-1,IF(_xlpm.r&lt;=ROWS(_xlpm.S),INDEX(_xlpm.S,_xlpm.r,3),""))</f>
        <v/>
      </c>
      <c r="AE542" s="1400">
        <f>IF(stayCity[[#This Row],[out]]&lt;&gt;"",stayCity[[#This Row],[out]]-stayCity[[#This Row],[in]],"-")</f>
        <v/>
      </c>
      <c r="AF542" s="1406">
        <f>IF(Y542="","-",YEAR(stayCity[[#This Row],[in]]))</f>
        <v/>
      </c>
      <c r="AG542" s="1392" t="n"/>
      <c r="AH542" s="1392" t="n"/>
      <c r="AI542" s="1392" t="n"/>
      <c r="AJ542" s="1392" t="n"/>
      <c r="AK542" s="1392" t="n"/>
      <c r="AL542" s="1392" t="n"/>
      <c r="AM542" s="1392" t="n"/>
      <c r="AN542" s="1392" t="n"/>
      <c r="AO542" s="1392" t="n"/>
      <c r="AP542" s="1392" t="n"/>
      <c r="AQ542" s="1392" t="n"/>
      <c r="AR542" s="1392" t="n"/>
      <c r="AS542" s="1422" t="n"/>
      <c r="AT542" s="1392" t="n"/>
      <c r="AU542" s="1392" t="n"/>
      <c r="AV542" s="1392" t="n"/>
      <c r="AW542" s="1392" t="n"/>
      <c r="AX542" s="1392" t="n"/>
      <c r="AY542" s="1392" t="n"/>
      <c r="AZ542" s="1392" t="n"/>
      <c r="BA542" s="1392" t="n"/>
      <c r="BB542" s="1422" t="n"/>
      <c r="BC542" s="1392" t="n"/>
      <c r="BD542" s="1392" t="n"/>
      <c r="BE542" s="1392" t="n"/>
      <c r="BF542" s="1392" t="n"/>
      <c r="BG542" s="1392" t="n"/>
      <c r="BH542" s="1392" t="n"/>
      <c r="BI542" s="1392" t="n"/>
      <c r="BJ542" s="1392" t="n"/>
      <c r="BK542" s="1392" t="n"/>
      <c r="BL542" s="1392" t="n"/>
      <c r="BM542" s="1392" t="n"/>
      <c r="BN542" s="1392" t="n"/>
      <c r="BO542" s="1392" t="n"/>
      <c r="BP542" s="1392" t="n"/>
      <c r="BQ542" s="1392" t="n"/>
      <c r="BR542" s="1392" t="n"/>
      <c r="BS542" s="1392" t="n"/>
      <c r="BT542" s="1392" t="n"/>
      <c r="BU542" s="1416" t="n"/>
      <c r="BV542" s="1392" t="n"/>
      <c r="BW542" s="1392" t="n"/>
      <c r="BX542" s="1392" t="n"/>
      <c r="BY542" s="1392" t="n"/>
      <c r="BZ542" s="1416" t="n"/>
      <c r="CA542" s="1392" t="n"/>
      <c r="CB542" s="1392" t="n"/>
      <c r="CC542" s="1392" t="n"/>
      <c r="CD542" s="1392" t="n"/>
      <c r="CE542" s="1392" t="n"/>
      <c r="CF542" s="1392" t="n"/>
      <c r="CG542" s="1392" t="n"/>
      <c r="CH542" s="1392" t="n"/>
      <c r="CI542" s="1392" t="n"/>
      <c r="CJ542" s="1392" t="n"/>
      <c r="CK542" s="1392" t="n"/>
      <c r="CL542" s="1392" t="n"/>
    </row>
    <row r="543">
      <c r="A543" s="5" t="inlineStr">
        <is>
          <t>.</t>
        </is>
      </c>
      <c r="B543" s="5" t="inlineStr">
        <is>
          <t>.</t>
        </is>
      </c>
      <c r="C543" s="1378">
        <f>IF(raw[[#This Row],[city]]="","-",IF(raw[[#This Row],[city]]="TODAY","-",C542+1))</f>
        <v/>
      </c>
      <c r="D543" s="1393" t="inlineStr">
        <is>
          <t>Ledigos</t>
        </is>
      </c>
      <c r="E543" s="1394" t="n">
        <v>36104</v>
      </c>
      <c r="F543" s="1394" t="n">
        <v>36105</v>
      </c>
      <c r="G543" s="1393" t="inlineStr">
        <is>
          <t>-</t>
        </is>
      </c>
      <c r="H543" s="1393">
        <f>H542</f>
        <v/>
      </c>
      <c r="I543" s="1393" t="inlineStr">
        <is>
          <t>CS</t>
        </is>
      </c>
      <c r="J543" s="1393" t="inlineStr">
        <is>
          <t>-</t>
        </is>
      </c>
      <c r="K543" s="1395">
        <f>IF(raw[[#This Row],[city]]&lt;&gt;"",_xlfn.XLOOKUP($D543,ccc[city],ccc[prov],"-"),"-")</f>
        <v/>
      </c>
      <c r="L543" s="1395">
        <f>IF(raw[[#This Row],[city]]&lt;&gt;"",_xlfn.XLOOKUP($D543,ccc[city],ccc[ctry],"-"),"-")</f>
        <v/>
      </c>
      <c r="M543" s="1395">
        <f>IF(raw[[#This Row],[city]]&lt;&gt;"",_xlfn.XLOOKUP($D543,ccc[city],ccc[cont],"-"),"-")</f>
        <v/>
      </c>
      <c r="N543" s="1396">
        <f>IF(raw[[#This Row],[city]]="","-",IF(raw[[#This Row],[cont]]="B",raw[[#This Row],[cont]],"W"))</f>
        <v/>
      </c>
      <c r="O543" s="1397">
        <f>IF(raw[[#This Row],[out]]=0,0,IF(raw[[#This Row],[out]]=raw[[#This Row],[in]],0.01,raw[[#This Row],[out]]-raw[[#This Row],[in]]))</f>
        <v/>
      </c>
      <c r="P543" s="1397">
        <f>IF(raw[[#This Row],[in]]=0,0,MONTH(raw[[#This Row],[in]]))</f>
        <v/>
      </c>
      <c r="Q543" s="1397">
        <f>IF(raw[[#This Row],[in]]=0,0,YEAR(raw[[#This Row],[in]]))</f>
        <v/>
      </c>
      <c r="R543" s="1397">
        <f>INT(raw[[#This Row],[yr]]/10)*10</f>
        <v/>
      </c>
      <c r="S543" s="1395">
        <f>IF(raw[[#This Row],[city]]="","-",IF(raw[[#This Row],[city]]&lt;&gt;_xlfn.XLOOKUP(raw[[#This Row],[home]],homes[home],homes[city],"-"),1,0))</f>
        <v/>
      </c>
      <c r="T543" s="1398" t="inlineStr">
        <is>
          <t>.</t>
        </is>
      </c>
      <c r="U543" s="1399">
        <f>IF(raw[[#This Row],[wb]]="w",raw[[#This Row],[stay]]+U542,U542)</f>
        <v/>
      </c>
      <c r="V543" s="1400">
        <f>IF(raw[[#This Row],[out]]=0,V542,(raw[[#This Row],[out]]-E$5))</f>
        <v/>
      </c>
      <c r="W543" s="1401">
        <f>U543/V543</f>
        <v/>
      </c>
      <c r="X543" s="1378" t="inlineStr">
        <is>
          <t>.</t>
        </is>
      </c>
      <c r="Y543" s="1402">
        <f/>
        <v/>
      </c>
      <c r="Z543" s="1403">
        <f/>
        <v/>
      </c>
      <c r="AA543" s="1403">
        <f/>
        <v/>
      </c>
      <c r="AB543" s="1400">
        <f t="array" ref="AB543">_xlfn.LET(_xlpm.S,_xlfn.ANCHORARRAY($Y$4),_xlpm.r,ROWS(stayCity[[#Headers],[city]]:stayCity[[#This Row],[city]])-1,IF(_xlpm.r&lt;=ROWS(_xlpm.S),INDEX(_xlpm.S,_xlpm.r,1),""))</f>
        <v/>
      </c>
      <c r="AC543" s="1405">
        <f t="array" ref="AC543">_xlfn.LET(_xlpm.S,_xlfn.ANCHORARRAY($Y$4),_xlpm.r,ROWS(stayCity[[#Headers],[city]]:stayCity[[#This Row],[city]])-1,IF(_xlpm.r&lt;=ROWS(_xlpm.S),INDEX(_xlpm.S,_xlpm.r,2),""))</f>
        <v/>
      </c>
      <c r="AD543" s="1405">
        <f t="array" ref="AD543">_xlfn.LET(_xlpm.S,_xlfn.ANCHORARRAY($Y$4),_xlpm.r,ROWS(stayCity[[#Headers],[city]]:stayCity[[#This Row],[city]])-1,IF(_xlpm.r&lt;=ROWS(_xlpm.S),INDEX(_xlpm.S,_xlpm.r,3),""))</f>
        <v/>
      </c>
      <c r="AE543" s="1400">
        <f>IF(stayCity[[#This Row],[out]]&lt;&gt;"",stayCity[[#This Row],[out]]-stayCity[[#This Row],[in]],"-")</f>
        <v/>
      </c>
      <c r="AF543" s="1406">
        <f>IF(Y543="","-",YEAR(stayCity[[#This Row],[in]]))</f>
        <v/>
      </c>
      <c r="AG543" s="1392" t="n"/>
      <c r="AH543" s="1392" t="n"/>
      <c r="AI543" s="1392" t="n"/>
      <c r="AJ543" s="1392" t="n"/>
      <c r="AK543" s="1392" t="n"/>
      <c r="AL543" s="1392" t="n"/>
      <c r="AM543" s="1392" t="n"/>
      <c r="AN543" s="1392" t="n"/>
      <c r="AO543" s="1392" t="n"/>
      <c r="AP543" s="1392" t="n"/>
      <c r="AQ543" s="1392" t="n"/>
      <c r="AR543" s="1392" t="n"/>
      <c r="AS543" s="1422" t="n"/>
      <c r="AT543" s="1392" t="n"/>
      <c r="AU543" s="1392" t="n"/>
      <c r="AV543" s="1392" t="n"/>
      <c r="AW543" s="1392" t="n"/>
      <c r="AX543" s="1392" t="n"/>
      <c r="AY543" s="1392" t="n"/>
      <c r="AZ543" s="1392" t="n"/>
      <c r="BA543" s="1392" t="n"/>
      <c r="BB543" s="1422" t="n"/>
      <c r="BC543" s="1392" t="n"/>
      <c r="BD543" s="1392" t="n"/>
      <c r="BE543" s="1392" t="n"/>
      <c r="BF543" s="1392" t="n"/>
      <c r="BG543" s="1392" t="n"/>
      <c r="BH543" s="1392" t="n"/>
      <c r="BI543" s="1392" t="n"/>
      <c r="BJ543" s="1392" t="n"/>
      <c r="BK543" s="1392" t="n"/>
      <c r="BL543" s="1392" t="n"/>
      <c r="BM543" s="1392" t="n"/>
      <c r="BN543" s="1392" t="n"/>
      <c r="BO543" s="1392" t="n"/>
      <c r="BP543" s="1392" t="n"/>
      <c r="BQ543" s="1392" t="n"/>
      <c r="BR543" s="1392" t="n"/>
      <c r="BS543" s="1392" t="n"/>
      <c r="BT543" s="1392" t="n"/>
      <c r="BU543" s="1416" t="n"/>
      <c r="BV543" s="1392" t="n"/>
      <c r="BW543" s="1392" t="n"/>
      <c r="BX543" s="1392" t="n"/>
      <c r="BY543" s="1392" t="n"/>
      <c r="BZ543" s="1416" t="n"/>
      <c r="CA543" s="1392" t="n"/>
      <c r="CB543" s="1392" t="n"/>
      <c r="CC543" s="1392" t="n"/>
      <c r="CD543" s="1392" t="n"/>
      <c r="CE543" s="1392" t="n"/>
      <c r="CF543" s="1392" t="n"/>
      <c r="CG543" s="1392" t="n"/>
      <c r="CH543" s="1392" t="n"/>
      <c r="CI543" s="1392" t="n"/>
      <c r="CJ543" s="1392" t="n"/>
      <c r="CK543" s="1392" t="n"/>
      <c r="CL543" s="1392" t="n"/>
    </row>
    <row r="544">
      <c r="A544" s="5" t="inlineStr">
        <is>
          <t>.</t>
        </is>
      </c>
      <c r="B544" s="5" t="inlineStr">
        <is>
          <t>.</t>
        </is>
      </c>
      <c r="C544" s="1378">
        <f>IF(raw[[#This Row],[city]]="","-",IF(raw[[#This Row],[city]]="TODAY","-",C543+1))</f>
        <v/>
      </c>
      <c r="D544" s="1393" t="inlineStr">
        <is>
          <t>Sahagun</t>
        </is>
      </c>
      <c r="E544" s="1394" t="n">
        <v>36105</v>
      </c>
      <c r="F544" s="1394" t="n">
        <v>36105</v>
      </c>
      <c r="G544" s="1393" t="inlineStr">
        <is>
          <t>-</t>
        </is>
      </c>
      <c r="H544" s="1393">
        <f>H543</f>
        <v/>
      </c>
      <c r="I544" s="1393" t="inlineStr">
        <is>
          <t>CS</t>
        </is>
      </c>
      <c r="J544" s="1393" t="inlineStr">
        <is>
          <t>-</t>
        </is>
      </c>
      <c r="K544" s="1395">
        <f>IF(raw[[#This Row],[city]]&lt;&gt;"",_xlfn.XLOOKUP($D544,ccc[city],ccc[prov],"-"),"-")</f>
        <v/>
      </c>
      <c r="L544" s="1395">
        <f>IF(raw[[#This Row],[city]]&lt;&gt;"",_xlfn.XLOOKUP($D544,ccc[city],ccc[ctry],"-"),"-")</f>
        <v/>
      </c>
      <c r="M544" s="1395">
        <f>IF(raw[[#This Row],[city]]&lt;&gt;"",_xlfn.XLOOKUP($D544,ccc[city],ccc[cont],"-"),"-")</f>
        <v/>
      </c>
      <c r="N544" s="1396">
        <f>IF(raw[[#This Row],[city]]="","-",IF(raw[[#This Row],[cont]]="B",raw[[#This Row],[cont]],"W"))</f>
        <v/>
      </c>
      <c r="O544" s="1397">
        <f>IF(raw[[#This Row],[out]]=0,0,IF(raw[[#This Row],[out]]=raw[[#This Row],[in]],0.01,raw[[#This Row],[out]]-raw[[#This Row],[in]]))</f>
        <v/>
      </c>
      <c r="P544" s="1397">
        <f>IF(raw[[#This Row],[in]]=0,0,MONTH(raw[[#This Row],[in]]))</f>
        <v/>
      </c>
      <c r="Q544" s="1397">
        <f>IF(raw[[#This Row],[in]]=0,0,YEAR(raw[[#This Row],[in]]))</f>
        <v/>
      </c>
      <c r="R544" s="1397">
        <f>INT(raw[[#This Row],[yr]]/10)*10</f>
        <v/>
      </c>
      <c r="S544" s="1395">
        <f>IF(raw[[#This Row],[city]]="","-",IF(raw[[#This Row],[city]]&lt;&gt;_xlfn.XLOOKUP(raw[[#This Row],[home]],homes[home],homes[city],"-"),1,0))</f>
        <v/>
      </c>
      <c r="T544" s="1398" t="inlineStr">
        <is>
          <t>.</t>
        </is>
      </c>
      <c r="U544" s="1399">
        <f>IF(raw[[#This Row],[wb]]="w",raw[[#This Row],[stay]]+U543,U543)</f>
        <v/>
      </c>
      <c r="V544" s="1400">
        <f>IF(raw[[#This Row],[out]]=0,V543,(raw[[#This Row],[out]]-E$5))</f>
        <v/>
      </c>
      <c r="W544" s="1401">
        <f>U544/V544</f>
        <v/>
      </c>
      <c r="X544" s="1378" t="inlineStr">
        <is>
          <t>.</t>
        </is>
      </c>
      <c r="Y544" s="1402">
        <f/>
        <v/>
      </c>
      <c r="Z544" s="1403">
        <f/>
        <v/>
      </c>
      <c r="AA544" s="1403">
        <f/>
        <v/>
      </c>
      <c r="AB544" s="1400">
        <f t="array" ref="AB544">_xlfn.LET(_xlpm.S,_xlfn.ANCHORARRAY($Y$4),_xlpm.r,ROWS(stayCity[[#Headers],[city]]:stayCity[[#This Row],[city]])-1,IF(_xlpm.r&lt;=ROWS(_xlpm.S),INDEX(_xlpm.S,_xlpm.r,1),""))</f>
        <v/>
      </c>
      <c r="AC544" s="1405">
        <f t="array" ref="AC544">_xlfn.LET(_xlpm.S,_xlfn.ANCHORARRAY($Y$4),_xlpm.r,ROWS(stayCity[[#Headers],[city]]:stayCity[[#This Row],[city]])-1,IF(_xlpm.r&lt;=ROWS(_xlpm.S),INDEX(_xlpm.S,_xlpm.r,2),""))</f>
        <v/>
      </c>
      <c r="AD544" s="1405">
        <f t="array" ref="AD544">_xlfn.LET(_xlpm.S,_xlfn.ANCHORARRAY($Y$4),_xlpm.r,ROWS(stayCity[[#Headers],[city]]:stayCity[[#This Row],[city]])-1,IF(_xlpm.r&lt;=ROWS(_xlpm.S),INDEX(_xlpm.S,_xlpm.r,3),""))</f>
        <v/>
      </c>
      <c r="AE544" s="1400">
        <f>IF(stayCity[[#This Row],[out]]&lt;&gt;"",stayCity[[#This Row],[out]]-stayCity[[#This Row],[in]],"-")</f>
        <v/>
      </c>
      <c r="AF544" s="1406">
        <f>IF(Y544="","-",YEAR(stayCity[[#This Row],[in]]))</f>
        <v/>
      </c>
      <c r="AG544" s="1392" t="n"/>
      <c r="AH544" s="1392" t="n"/>
      <c r="AI544" s="1392" t="n"/>
      <c r="AJ544" s="1392" t="n"/>
      <c r="AK544" s="1392" t="n"/>
      <c r="AL544" s="1392" t="n"/>
      <c r="AM544" s="1392" t="n"/>
      <c r="AN544" s="1392" t="n"/>
      <c r="AO544" s="1392" t="n"/>
      <c r="AP544" s="1392" t="n"/>
      <c r="AQ544" s="1392" t="n"/>
      <c r="AR544" s="1392" t="n"/>
      <c r="AS544" s="1422" t="n"/>
      <c r="AT544" s="1392" t="n"/>
      <c r="AU544" s="1392" t="n"/>
      <c r="AV544" s="1392" t="n"/>
      <c r="AW544" s="1392" t="n"/>
      <c r="AX544" s="1392" t="n"/>
      <c r="AY544" s="1392" t="n"/>
      <c r="AZ544" s="1392" t="n"/>
      <c r="BA544" s="1392" t="n"/>
      <c r="BB544" s="1422" t="n"/>
      <c r="BC544" s="1392" t="n"/>
      <c r="BD544" s="1392" t="n"/>
      <c r="BE544" s="1392" t="n"/>
      <c r="BF544" s="1392" t="n"/>
      <c r="BG544" s="1392" t="n"/>
      <c r="BH544" s="1392" t="n"/>
      <c r="BI544" s="1392" t="n"/>
      <c r="BJ544" s="1392" t="n"/>
      <c r="BK544" s="1392" t="n"/>
      <c r="BL544" s="1392" t="n"/>
      <c r="BM544" s="1392" t="n"/>
      <c r="BN544" s="1392" t="n"/>
      <c r="BO544" s="1392" t="n"/>
      <c r="BP544" s="1392" t="n"/>
      <c r="BQ544" s="1392" t="n"/>
      <c r="BR544" s="1392" t="n"/>
      <c r="BS544" s="1392" t="n"/>
      <c r="BT544" s="1392" t="n"/>
      <c r="BU544" s="1416" t="n"/>
      <c r="BV544" s="1392" t="n"/>
      <c r="BW544" s="1392" t="n"/>
      <c r="BX544" s="1392" t="n"/>
      <c r="BY544" s="1392" t="n"/>
      <c r="BZ544" s="1416" t="n"/>
      <c r="CA544" s="1392" t="n"/>
      <c r="CB544" s="1392" t="n"/>
      <c r="CC544" s="1392" t="n"/>
      <c r="CD544" s="1392" t="n"/>
      <c r="CE544" s="1392" t="n"/>
      <c r="CF544" s="1392" t="n"/>
      <c r="CG544" s="1392" t="n"/>
      <c r="CH544" s="1392" t="n"/>
      <c r="CI544" s="1392" t="n"/>
      <c r="CJ544" s="1392" t="n"/>
      <c r="CK544" s="1392" t="n"/>
      <c r="CL544" s="1392" t="n"/>
    </row>
    <row r="545">
      <c r="A545" s="5" t="inlineStr">
        <is>
          <t>.</t>
        </is>
      </c>
      <c r="B545" s="5" t="inlineStr">
        <is>
          <t>.</t>
        </is>
      </c>
      <c r="C545" s="1378">
        <f>IF(raw[[#This Row],[city]]="","-",IF(raw[[#This Row],[city]]="TODAY","-",C544+1))</f>
        <v/>
      </c>
      <c r="D545" s="1393" t="inlineStr">
        <is>
          <t>Bercianos</t>
        </is>
      </c>
      <c r="E545" s="1394" t="n">
        <v>36105</v>
      </c>
      <c r="F545" s="1394" t="n">
        <v>36105</v>
      </c>
      <c r="G545" s="1393" t="inlineStr">
        <is>
          <t>-</t>
        </is>
      </c>
      <c r="H545" s="1393">
        <f>H544</f>
        <v/>
      </c>
      <c r="I545" s="1393" t="inlineStr">
        <is>
          <t>CS</t>
        </is>
      </c>
      <c r="J545" s="1393" t="inlineStr">
        <is>
          <t>-</t>
        </is>
      </c>
      <c r="K545" s="1395">
        <f>IF(raw[[#This Row],[city]]&lt;&gt;"",_xlfn.XLOOKUP($D545,ccc[city],ccc[prov],"-"),"-")</f>
        <v/>
      </c>
      <c r="L545" s="1395">
        <f>IF(raw[[#This Row],[city]]&lt;&gt;"",_xlfn.XLOOKUP($D545,ccc[city],ccc[ctry],"-"),"-")</f>
        <v/>
      </c>
      <c r="M545" s="1395">
        <f>IF(raw[[#This Row],[city]]&lt;&gt;"",_xlfn.XLOOKUP($D545,ccc[city],ccc[cont],"-"),"-")</f>
        <v/>
      </c>
      <c r="N545" s="1396">
        <f>IF(raw[[#This Row],[city]]="","-",IF(raw[[#This Row],[cont]]="B",raw[[#This Row],[cont]],"W"))</f>
        <v/>
      </c>
      <c r="O545" s="1397">
        <f>IF(raw[[#This Row],[out]]=0,0,IF(raw[[#This Row],[out]]=raw[[#This Row],[in]],0.01,raw[[#This Row],[out]]-raw[[#This Row],[in]]))</f>
        <v/>
      </c>
      <c r="P545" s="1397">
        <f>IF(raw[[#This Row],[in]]=0,0,MONTH(raw[[#This Row],[in]]))</f>
        <v/>
      </c>
      <c r="Q545" s="1397">
        <f>IF(raw[[#This Row],[in]]=0,0,YEAR(raw[[#This Row],[in]]))</f>
        <v/>
      </c>
      <c r="R545" s="1397">
        <f>INT(raw[[#This Row],[yr]]/10)*10</f>
        <v/>
      </c>
      <c r="S545" s="1395">
        <f>IF(raw[[#This Row],[city]]="","-",IF(raw[[#This Row],[city]]&lt;&gt;_xlfn.XLOOKUP(raw[[#This Row],[home]],homes[home],homes[city],"-"),1,0))</f>
        <v/>
      </c>
      <c r="T545" s="1398" t="inlineStr">
        <is>
          <t>.</t>
        </is>
      </c>
      <c r="U545" s="1399">
        <f>IF(raw[[#This Row],[wb]]="w",raw[[#This Row],[stay]]+U544,U544)</f>
        <v/>
      </c>
      <c r="V545" s="1400">
        <f>IF(raw[[#This Row],[out]]=0,V544,(raw[[#This Row],[out]]-E$5))</f>
        <v/>
      </c>
      <c r="W545" s="1401">
        <f>U545/V545</f>
        <v/>
      </c>
      <c r="X545" s="1378" t="inlineStr">
        <is>
          <t>.</t>
        </is>
      </c>
      <c r="Y545" s="1402">
        <f/>
        <v/>
      </c>
      <c r="Z545" s="1403">
        <f/>
        <v/>
      </c>
      <c r="AA545" s="1403">
        <f/>
        <v/>
      </c>
      <c r="AB545" s="1400">
        <f t="array" ref="AB545">_xlfn.LET(_xlpm.S,_xlfn.ANCHORARRAY($Y$4),_xlpm.r,ROWS(stayCity[[#Headers],[city]]:stayCity[[#This Row],[city]])-1,IF(_xlpm.r&lt;=ROWS(_xlpm.S),INDEX(_xlpm.S,_xlpm.r,1),""))</f>
        <v/>
      </c>
      <c r="AC545" s="1405">
        <f t="array" ref="AC545">_xlfn.LET(_xlpm.S,_xlfn.ANCHORARRAY($Y$4),_xlpm.r,ROWS(stayCity[[#Headers],[city]]:stayCity[[#This Row],[city]])-1,IF(_xlpm.r&lt;=ROWS(_xlpm.S),INDEX(_xlpm.S,_xlpm.r,2),""))</f>
        <v/>
      </c>
      <c r="AD545" s="1405">
        <f t="array" ref="AD545">_xlfn.LET(_xlpm.S,_xlfn.ANCHORARRAY($Y$4),_xlpm.r,ROWS(stayCity[[#Headers],[city]]:stayCity[[#This Row],[city]])-1,IF(_xlpm.r&lt;=ROWS(_xlpm.S),INDEX(_xlpm.S,_xlpm.r,3),""))</f>
        <v/>
      </c>
      <c r="AE545" s="1400">
        <f>IF(stayCity[[#This Row],[out]]&lt;&gt;"",stayCity[[#This Row],[out]]-stayCity[[#This Row],[in]],"-")</f>
        <v/>
      </c>
      <c r="AF545" s="1406">
        <f>IF(Y545="","-",YEAR(stayCity[[#This Row],[in]]))</f>
        <v/>
      </c>
      <c r="AG545" s="1392" t="n"/>
      <c r="AH545" s="1392" t="n"/>
      <c r="AI545" s="1392" t="n"/>
      <c r="AJ545" s="1392" t="n"/>
      <c r="AK545" s="1392" t="n"/>
      <c r="AL545" s="1392" t="n"/>
      <c r="AM545" s="1392" t="n"/>
      <c r="AN545" s="1392" t="n"/>
      <c r="AO545" s="1392" t="n"/>
      <c r="AP545" s="1392" t="n"/>
      <c r="AQ545" s="1392" t="n"/>
      <c r="AR545" s="1392" t="n"/>
      <c r="AS545" s="1422" t="n"/>
      <c r="AT545" s="1392" t="n"/>
      <c r="AU545" s="1392" t="n"/>
      <c r="AV545" s="1392" t="n"/>
      <c r="AW545" s="1392" t="n"/>
      <c r="AX545" s="1392" t="n"/>
      <c r="AY545" s="1392" t="n"/>
      <c r="AZ545" s="1392" t="n"/>
      <c r="BA545" s="1392" t="n"/>
      <c r="BB545" s="1422" t="n"/>
      <c r="BC545" s="1392" t="n"/>
      <c r="BD545" s="1392" t="n"/>
      <c r="BE545" s="1392" t="n"/>
      <c r="BF545" s="1392" t="n"/>
      <c r="BG545" s="1392" t="n"/>
      <c r="BH545" s="1392" t="n"/>
      <c r="BI545" s="1392" t="n"/>
      <c r="BJ545" s="1392" t="n"/>
      <c r="BK545" s="1392" t="n"/>
      <c r="BL545" s="1392" t="n"/>
      <c r="BM545" s="1392" t="n"/>
      <c r="BN545" s="1392" t="n"/>
      <c r="BO545" s="1392" t="n"/>
      <c r="BP545" s="1392" t="n"/>
      <c r="BQ545" s="1392" t="n"/>
      <c r="BR545" s="1392" t="n"/>
      <c r="BS545" s="1392" t="n"/>
      <c r="BT545" s="1392" t="n"/>
      <c r="BU545" s="1416" t="n"/>
      <c r="BV545" s="1392" t="n"/>
      <c r="BW545" s="1392" t="n"/>
      <c r="BX545" s="1392" t="n"/>
      <c r="BY545" s="1392" t="n"/>
      <c r="BZ545" s="1416" t="n"/>
      <c r="CA545" s="1392" t="n"/>
      <c r="CB545" s="1392" t="n"/>
      <c r="CC545" s="1392" t="n"/>
      <c r="CD545" s="1392" t="n"/>
      <c r="CE545" s="1392" t="n"/>
      <c r="CF545" s="1392" t="n"/>
      <c r="CG545" s="1392" t="n"/>
      <c r="CH545" s="1392" t="n"/>
      <c r="CI545" s="1392" t="n"/>
      <c r="CJ545" s="1392" t="n"/>
      <c r="CK545" s="1392" t="n"/>
      <c r="CL545" s="1392" t="n"/>
    </row>
    <row r="546">
      <c r="A546" s="5" t="inlineStr">
        <is>
          <t>.</t>
        </is>
      </c>
      <c r="B546" s="5" t="inlineStr">
        <is>
          <t>.</t>
        </is>
      </c>
      <c r="C546" s="1378">
        <f>IF(raw[[#This Row],[city]]="","-",IF(raw[[#This Row],[city]]="TODAY","-",C545+1))</f>
        <v/>
      </c>
      <c r="D546" s="1393" t="inlineStr">
        <is>
          <t>El Burgo Ranero</t>
        </is>
      </c>
      <c r="E546" s="1394" t="n">
        <v>36105</v>
      </c>
      <c r="F546" s="1394" t="n">
        <v>36106</v>
      </c>
      <c r="G546" s="1393" t="inlineStr">
        <is>
          <t>-</t>
        </is>
      </c>
      <c r="H546" s="1393">
        <f>H545</f>
        <v/>
      </c>
      <c r="I546" s="1393" t="inlineStr">
        <is>
          <t>CS</t>
        </is>
      </c>
      <c r="J546" s="1393" t="inlineStr">
        <is>
          <t>-</t>
        </is>
      </c>
      <c r="K546" s="1395">
        <f>IF(raw[[#This Row],[city]]&lt;&gt;"",_xlfn.XLOOKUP($D546,ccc[city],ccc[prov],"-"),"-")</f>
        <v/>
      </c>
      <c r="L546" s="1395">
        <f>IF(raw[[#This Row],[city]]&lt;&gt;"",_xlfn.XLOOKUP($D546,ccc[city],ccc[ctry],"-"),"-")</f>
        <v/>
      </c>
      <c r="M546" s="1395">
        <f>IF(raw[[#This Row],[city]]&lt;&gt;"",_xlfn.XLOOKUP($D546,ccc[city],ccc[cont],"-"),"-")</f>
        <v/>
      </c>
      <c r="N546" s="1396">
        <f>IF(raw[[#This Row],[city]]="","-",IF(raw[[#This Row],[cont]]="B",raw[[#This Row],[cont]],"W"))</f>
        <v/>
      </c>
      <c r="O546" s="1397">
        <f>IF(raw[[#This Row],[out]]=0,0,IF(raw[[#This Row],[out]]=raw[[#This Row],[in]],0.01,raw[[#This Row],[out]]-raw[[#This Row],[in]]))</f>
        <v/>
      </c>
      <c r="P546" s="1397">
        <f>IF(raw[[#This Row],[in]]=0,0,MONTH(raw[[#This Row],[in]]))</f>
        <v/>
      </c>
      <c r="Q546" s="1397">
        <f>IF(raw[[#This Row],[in]]=0,0,YEAR(raw[[#This Row],[in]]))</f>
        <v/>
      </c>
      <c r="R546" s="1397">
        <f>INT(raw[[#This Row],[yr]]/10)*10</f>
        <v/>
      </c>
      <c r="S546" s="1395">
        <f>IF(raw[[#This Row],[city]]="","-",IF(raw[[#This Row],[city]]&lt;&gt;_xlfn.XLOOKUP(raw[[#This Row],[home]],homes[home],homes[city],"-"),1,0))</f>
        <v/>
      </c>
      <c r="T546" s="1398" t="inlineStr">
        <is>
          <t>.</t>
        </is>
      </c>
      <c r="U546" s="1399">
        <f>IF(raw[[#This Row],[wb]]="w",raw[[#This Row],[stay]]+U545,U545)</f>
        <v/>
      </c>
      <c r="V546" s="1400">
        <f>IF(raw[[#This Row],[out]]=0,V545,(raw[[#This Row],[out]]-E$5))</f>
        <v/>
      </c>
      <c r="W546" s="1401">
        <f>U546/V546</f>
        <v/>
      </c>
      <c r="X546" s="1378" t="inlineStr">
        <is>
          <t>.</t>
        </is>
      </c>
      <c r="Y546" s="1402">
        <f/>
        <v/>
      </c>
      <c r="Z546" s="1403">
        <f/>
        <v/>
      </c>
      <c r="AA546" s="1403">
        <f/>
        <v/>
      </c>
      <c r="AB546" s="1400">
        <f t="array" ref="AB546">_xlfn.LET(_xlpm.S,_xlfn.ANCHORARRAY($Y$4),_xlpm.r,ROWS(stayCity[[#Headers],[city]]:stayCity[[#This Row],[city]])-1,IF(_xlpm.r&lt;=ROWS(_xlpm.S),INDEX(_xlpm.S,_xlpm.r,1),""))</f>
        <v/>
      </c>
      <c r="AC546" s="1405">
        <f t="array" ref="AC546">_xlfn.LET(_xlpm.S,_xlfn.ANCHORARRAY($Y$4),_xlpm.r,ROWS(stayCity[[#Headers],[city]]:stayCity[[#This Row],[city]])-1,IF(_xlpm.r&lt;=ROWS(_xlpm.S),INDEX(_xlpm.S,_xlpm.r,2),""))</f>
        <v/>
      </c>
      <c r="AD546" s="1405">
        <f t="array" ref="AD546">_xlfn.LET(_xlpm.S,_xlfn.ANCHORARRAY($Y$4),_xlpm.r,ROWS(stayCity[[#Headers],[city]]:stayCity[[#This Row],[city]])-1,IF(_xlpm.r&lt;=ROWS(_xlpm.S),INDEX(_xlpm.S,_xlpm.r,3),""))</f>
        <v/>
      </c>
      <c r="AE546" s="1400">
        <f>IF(stayCity[[#This Row],[out]]&lt;&gt;"",stayCity[[#This Row],[out]]-stayCity[[#This Row],[in]],"-")</f>
        <v/>
      </c>
      <c r="AF546" s="1406">
        <f>IF(Y546="","-",YEAR(stayCity[[#This Row],[in]]))</f>
        <v/>
      </c>
      <c r="AG546" s="1392" t="n"/>
      <c r="AH546" s="1392" t="n"/>
      <c r="AI546" s="1392" t="n"/>
      <c r="AJ546" s="1392" t="n"/>
      <c r="AK546" s="1392" t="n"/>
      <c r="AL546" s="1392" t="n"/>
      <c r="AM546" s="1392" t="n"/>
      <c r="AN546" s="1392" t="n"/>
      <c r="AO546" s="1392" t="n"/>
      <c r="AP546" s="1392" t="n"/>
      <c r="AQ546" s="1392" t="n"/>
      <c r="AR546" s="1392" t="n"/>
      <c r="AS546" s="1422" t="n"/>
      <c r="AT546" s="1392" t="n"/>
      <c r="AU546" s="1392" t="n"/>
      <c r="AV546" s="1392" t="n"/>
      <c r="AW546" s="1392" t="n"/>
      <c r="AX546" s="1392" t="n"/>
      <c r="AY546" s="1392" t="n"/>
      <c r="AZ546" s="1392" t="n"/>
      <c r="BA546" s="1392" t="n"/>
      <c r="BB546" s="1422" t="n"/>
      <c r="BC546" s="1392" t="n"/>
      <c r="BD546" s="1392" t="n"/>
      <c r="BE546" s="1392" t="n"/>
      <c r="BF546" s="1392" t="n"/>
      <c r="BG546" s="1392" t="n"/>
      <c r="BH546" s="1392" t="n"/>
      <c r="BI546" s="1392" t="n"/>
      <c r="BJ546" s="1392" t="n"/>
      <c r="BK546" s="1392" t="n"/>
      <c r="BL546" s="1392" t="n"/>
      <c r="BM546" s="1392" t="n"/>
      <c r="BN546" s="1392" t="n"/>
      <c r="BO546" s="1392" t="n"/>
      <c r="BP546" s="1392" t="n"/>
      <c r="BQ546" s="1392" t="n"/>
      <c r="BR546" s="1392" t="n"/>
      <c r="BS546" s="1392" t="n"/>
      <c r="BT546" s="1392" t="n"/>
      <c r="BU546" s="1416" t="n"/>
      <c r="BV546" s="1392" t="n"/>
      <c r="BW546" s="1392" t="n"/>
      <c r="BX546" s="1392" t="n"/>
      <c r="BY546" s="1392" t="n"/>
      <c r="BZ546" s="1416" t="n"/>
      <c r="CA546" s="1392" t="n"/>
      <c r="CB546" s="1392" t="n"/>
      <c r="CC546" s="1392" t="n"/>
      <c r="CD546" s="1392" t="n"/>
      <c r="CE546" s="1392" t="n"/>
      <c r="CF546" s="1392" t="n"/>
      <c r="CG546" s="1392" t="n"/>
      <c r="CH546" s="1392" t="n"/>
      <c r="CI546" s="1392" t="n"/>
      <c r="CJ546" s="1392" t="n"/>
      <c r="CK546" s="1392" t="n"/>
      <c r="CL546" s="1392" t="n"/>
    </row>
    <row r="547">
      <c r="A547" s="5" t="inlineStr">
        <is>
          <t>.</t>
        </is>
      </c>
      <c r="B547" s="5" t="inlineStr">
        <is>
          <t>.</t>
        </is>
      </c>
      <c r="C547" s="1378">
        <f>IF(raw[[#This Row],[city]]="","-",IF(raw[[#This Row],[city]]="TODAY","-",C546+1))</f>
        <v/>
      </c>
      <c r="D547" s="1393" t="inlineStr">
        <is>
          <t>Mansilla de las Mulas</t>
        </is>
      </c>
      <c r="E547" s="1394" t="n">
        <v>36106</v>
      </c>
      <c r="F547" s="1394" t="n">
        <v>36107</v>
      </c>
      <c r="G547" s="1393" t="inlineStr">
        <is>
          <t>-</t>
        </is>
      </c>
      <c r="H547" s="1393">
        <f>H546</f>
        <v/>
      </c>
      <c r="I547" s="1393" t="inlineStr">
        <is>
          <t>CS</t>
        </is>
      </c>
      <c r="J547" s="1393" t="inlineStr">
        <is>
          <t>-</t>
        </is>
      </c>
      <c r="K547" s="1395">
        <f>IF(raw[[#This Row],[city]]&lt;&gt;"",_xlfn.XLOOKUP($D547,ccc[city],ccc[prov],"-"),"-")</f>
        <v/>
      </c>
      <c r="L547" s="1395">
        <f>IF(raw[[#This Row],[city]]&lt;&gt;"",_xlfn.XLOOKUP($D547,ccc[city],ccc[ctry],"-"),"-")</f>
        <v/>
      </c>
      <c r="M547" s="1395">
        <f>IF(raw[[#This Row],[city]]&lt;&gt;"",_xlfn.XLOOKUP($D547,ccc[city],ccc[cont],"-"),"-")</f>
        <v/>
      </c>
      <c r="N547" s="1396">
        <f>IF(raw[[#This Row],[city]]="","-",IF(raw[[#This Row],[cont]]="B",raw[[#This Row],[cont]],"W"))</f>
        <v/>
      </c>
      <c r="O547" s="1397">
        <f>IF(raw[[#This Row],[out]]=0,0,IF(raw[[#This Row],[out]]=raw[[#This Row],[in]],0.01,raw[[#This Row],[out]]-raw[[#This Row],[in]]))</f>
        <v/>
      </c>
      <c r="P547" s="1397">
        <f>IF(raw[[#This Row],[in]]=0,0,MONTH(raw[[#This Row],[in]]))</f>
        <v/>
      </c>
      <c r="Q547" s="1397">
        <f>IF(raw[[#This Row],[in]]=0,0,YEAR(raw[[#This Row],[in]]))</f>
        <v/>
      </c>
      <c r="R547" s="1397">
        <f>INT(raw[[#This Row],[yr]]/10)*10</f>
        <v/>
      </c>
      <c r="S547" s="1395">
        <f>IF(raw[[#This Row],[city]]="","-",IF(raw[[#This Row],[city]]&lt;&gt;_xlfn.XLOOKUP(raw[[#This Row],[home]],homes[home],homes[city],"-"),1,0))</f>
        <v/>
      </c>
      <c r="T547" s="1398" t="inlineStr">
        <is>
          <t>.</t>
        </is>
      </c>
      <c r="U547" s="1399">
        <f>IF(raw[[#This Row],[wb]]="w",raw[[#This Row],[stay]]+U546,U546)</f>
        <v/>
      </c>
      <c r="V547" s="1400">
        <f>IF(raw[[#This Row],[out]]=0,V546,(raw[[#This Row],[out]]-E$5))</f>
        <v/>
      </c>
      <c r="W547" s="1401">
        <f>U547/V547</f>
        <v/>
      </c>
      <c r="X547" s="1378" t="inlineStr">
        <is>
          <t>.</t>
        </is>
      </c>
      <c r="Y547" s="1402">
        <f/>
        <v/>
      </c>
      <c r="Z547" s="1403">
        <f/>
        <v/>
      </c>
      <c r="AA547" s="1403">
        <f/>
        <v/>
      </c>
      <c r="AB547" s="1400">
        <f t="array" ref="AB547">_xlfn.LET(_xlpm.S,_xlfn.ANCHORARRAY($Y$4),_xlpm.r,ROWS(stayCity[[#Headers],[city]]:stayCity[[#This Row],[city]])-1,IF(_xlpm.r&lt;=ROWS(_xlpm.S),INDEX(_xlpm.S,_xlpm.r,1),""))</f>
        <v/>
      </c>
      <c r="AC547" s="1405">
        <f t="array" ref="AC547">_xlfn.LET(_xlpm.S,_xlfn.ANCHORARRAY($Y$4),_xlpm.r,ROWS(stayCity[[#Headers],[city]]:stayCity[[#This Row],[city]])-1,IF(_xlpm.r&lt;=ROWS(_xlpm.S),INDEX(_xlpm.S,_xlpm.r,2),""))</f>
        <v/>
      </c>
      <c r="AD547" s="1405">
        <f t="array" ref="AD547">_xlfn.LET(_xlpm.S,_xlfn.ANCHORARRAY($Y$4),_xlpm.r,ROWS(stayCity[[#Headers],[city]]:stayCity[[#This Row],[city]])-1,IF(_xlpm.r&lt;=ROWS(_xlpm.S),INDEX(_xlpm.S,_xlpm.r,3),""))</f>
        <v/>
      </c>
      <c r="AE547" s="1400">
        <f>IF(stayCity[[#This Row],[out]]&lt;&gt;"",stayCity[[#This Row],[out]]-stayCity[[#This Row],[in]],"-")</f>
        <v/>
      </c>
      <c r="AF547" s="1406">
        <f>IF(Y547="","-",YEAR(stayCity[[#This Row],[in]]))</f>
        <v/>
      </c>
      <c r="AG547" s="1392" t="n"/>
      <c r="AH547" s="1392" t="n"/>
      <c r="AI547" s="1392" t="n"/>
      <c r="AJ547" s="1392" t="n"/>
      <c r="AK547" s="1392" t="n"/>
      <c r="AL547" s="1392" t="n"/>
      <c r="AM547" s="1392" t="n"/>
      <c r="AN547" s="1392" t="n"/>
      <c r="AO547" s="1392" t="n"/>
      <c r="AP547" s="1392" t="n"/>
      <c r="AQ547" s="1392" t="n"/>
      <c r="AR547" s="1392" t="n"/>
      <c r="AS547" s="1422" t="n"/>
      <c r="AT547" s="1392" t="n"/>
      <c r="AU547" s="1392" t="n"/>
      <c r="AV547" s="1392" t="n"/>
      <c r="AW547" s="1392" t="n"/>
      <c r="AX547" s="1392" t="n"/>
      <c r="AY547" s="1392" t="n"/>
      <c r="AZ547" s="1392" t="n"/>
      <c r="BA547" s="1392" t="n"/>
      <c r="BB547" s="1422" t="n"/>
      <c r="BC547" s="1392" t="n"/>
      <c r="BD547" s="1392" t="n"/>
      <c r="BE547" s="1392" t="n"/>
      <c r="BF547" s="1392" t="n"/>
      <c r="BG547" s="1392" t="n"/>
      <c r="BH547" s="1392" t="n"/>
      <c r="BI547" s="1392" t="n"/>
      <c r="BJ547" s="1392" t="n"/>
      <c r="BK547" s="1392" t="n"/>
      <c r="BL547" s="1392" t="n"/>
      <c r="BM547" s="1392" t="n"/>
      <c r="BN547" s="1392" t="n"/>
      <c r="BO547" s="1392" t="n"/>
      <c r="BP547" s="1392" t="n"/>
      <c r="BQ547" s="1392" t="n"/>
      <c r="BR547" s="1392" t="n"/>
      <c r="BS547" s="1392" t="n"/>
      <c r="BT547" s="1392" t="n"/>
      <c r="BU547" s="1416" t="n"/>
      <c r="BV547" s="1392" t="n"/>
      <c r="BW547" s="1392" t="n"/>
      <c r="BX547" s="1392" t="n"/>
      <c r="BY547" s="1392" t="n"/>
      <c r="BZ547" s="1416" t="n"/>
      <c r="CA547" s="1392" t="n"/>
      <c r="CB547" s="1392" t="n"/>
      <c r="CC547" s="1392" t="n"/>
      <c r="CD547" s="1392" t="n"/>
      <c r="CE547" s="1392" t="n"/>
      <c r="CF547" s="1392" t="n"/>
      <c r="CG547" s="1392" t="n"/>
      <c r="CH547" s="1392" t="n"/>
      <c r="CI547" s="1392" t="n"/>
      <c r="CJ547" s="1392" t="n"/>
      <c r="CK547" s="1392" t="n"/>
      <c r="CL547" s="1392" t="n"/>
    </row>
    <row r="548">
      <c r="A548" s="5" t="inlineStr">
        <is>
          <t>.</t>
        </is>
      </c>
      <c r="B548" s="5" t="inlineStr">
        <is>
          <t>.</t>
        </is>
      </c>
      <c r="C548" s="1378">
        <f>IF(raw[[#This Row],[city]]="","-",IF(raw[[#This Row],[city]]="TODAY","-",C547+1))</f>
        <v/>
      </c>
      <c r="D548" s="1393" t="inlineStr">
        <is>
          <t>Leon</t>
        </is>
      </c>
      <c r="E548" s="1394" t="n">
        <v>36107</v>
      </c>
      <c r="F548" s="1394" t="n">
        <v>36108</v>
      </c>
      <c r="G548" s="1393" t="inlineStr">
        <is>
          <t>-</t>
        </is>
      </c>
      <c r="H548" s="1393">
        <f>H547</f>
        <v/>
      </c>
      <c r="I548" s="1393" t="inlineStr">
        <is>
          <t>CS</t>
        </is>
      </c>
      <c r="J548" s="1393" t="inlineStr">
        <is>
          <t>-</t>
        </is>
      </c>
      <c r="K548" s="1395">
        <f>IF(raw[[#This Row],[city]]&lt;&gt;"",_xlfn.XLOOKUP($D548,ccc[city],ccc[prov],"-"),"-")</f>
        <v/>
      </c>
      <c r="L548" s="1395">
        <f>IF(raw[[#This Row],[city]]&lt;&gt;"",_xlfn.XLOOKUP($D548,ccc[city],ccc[ctry],"-"),"-")</f>
        <v/>
      </c>
      <c r="M548" s="1395">
        <f>IF(raw[[#This Row],[city]]&lt;&gt;"",_xlfn.XLOOKUP($D548,ccc[city],ccc[cont],"-"),"-")</f>
        <v/>
      </c>
      <c r="N548" s="1396">
        <f>IF(raw[[#This Row],[city]]="","-",IF(raw[[#This Row],[cont]]="B",raw[[#This Row],[cont]],"W"))</f>
        <v/>
      </c>
      <c r="O548" s="1397">
        <f>IF(raw[[#This Row],[out]]=0,0,IF(raw[[#This Row],[out]]=raw[[#This Row],[in]],0.01,raw[[#This Row],[out]]-raw[[#This Row],[in]]))</f>
        <v/>
      </c>
      <c r="P548" s="1397">
        <f>IF(raw[[#This Row],[in]]=0,0,MONTH(raw[[#This Row],[in]]))</f>
        <v/>
      </c>
      <c r="Q548" s="1397">
        <f>IF(raw[[#This Row],[in]]=0,0,YEAR(raw[[#This Row],[in]]))</f>
        <v/>
      </c>
      <c r="R548" s="1397">
        <f>INT(raw[[#This Row],[yr]]/10)*10</f>
        <v/>
      </c>
      <c r="S548" s="1395">
        <f>IF(raw[[#This Row],[city]]="","-",IF(raw[[#This Row],[city]]&lt;&gt;_xlfn.XLOOKUP(raw[[#This Row],[home]],homes[home],homes[city],"-"),1,0))</f>
        <v/>
      </c>
      <c r="T548" s="1398" t="inlineStr">
        <is>
          <t>.</t>
        </is>
      </c>
      <c r="U548" s="1399">
        <f>IF(raw[[#This Row],[wb]]="w",raw[[#This Row],[stay]]+U547,U547)</f>
        <v/>
      </c>
      <c r="V548" s="1400">
        <f>IF(raw[[#This Row],[out]]=0,V547,(raw[[#This Row],[out]]-E$5))</f>
        <v/>
      </c>
      <c r="W548" s="1401">
        <f>U548/V548</f>
        <v/>
      </c>
      <c r="X548" s="1378" t="inlineStr">
        <is>
          <t>.</t>
        </is>
      </c>
      <c r="Y548" s="1402">
        <f/>
        <v/>
      </c>
      <c r="Z548" s="1403">
        <f/>
        <v/>
      </c>
      <c r="AA548" s="1403">
        <f/>
        <v/>
      </c>
      <c r="AB548" s="1400">
        <f t="array" ref="AB548">_xlfn.LET(_xlpm.S,_xlfn.ANCHORARRAY($Y$4),_xlpm.r,ROWS(stayCity[[#Headers],[city]]:stayCity[[#This Row],[city]])-1,IF(_xlpm.r&lt;=ROWS(_xlpm.S),INDEX(_xlpm.S,_xlpm.r,1),""))</f>
        <v/>
      </c>
      <c r="AC548" s="1405">
        <f t="array" ref="AC548">_xlfn.LET(_xlpm.S,_xlfn.ANCHORARRAY($Y$4),_xlpm.r,ROWS(stayCity[[#Headers],[city]]:stayCity[[#This Row],[city]])-1,IF(_xlpm.r&lt;=ROWS(_xlpm.S),INDEX(_xlpm.S,_xlpm.r,2),""))</f>
        <v/>
      </c>
      <c r="AD548" s="1405">
        <f t="array" ref="AD548">_xlfn.LET(_xlpm.S,_xlfn.ANCHORARRAY($Y$4),_xlpm.r,ROWS(stayCity[[#Headers],[city]]:stayCity[[#This Row],[city]])-1,IF(_xlpm.r&lt;=ROWS(_xlpm.S),INDEX(_xlpm.S,_xlpm.r,3),""))</f>
        <v/>
      </c>
      <c r="AE548" s="1400">
        <f>IF(stayCity[[#This Row],[out]]&lt;&gt;"",stayCity[[#This Row],[out]]-stayCity[[#This Row],[in]],"-")</f>
        <v/>
      </c>
      <c r="AF548" s="1406">
        <f>IF(Y548="","-",YEAR(stayCity[[#This Row],[in]]))</f>
        <v/>
      </c>
      <c r="AG548" s="1392" t="n"/>
      <c r="AH548" s="1392" t="n"/>
      <c r="AI548" s="1392" t="n"/>
      <c r="AJ548" s="1392" t="n"/>
      <c r="AK548" s="1392" t="n"/>
      <c r="AL548" s="1392" t="n"/>
      <c r="AM548" s="1392" t="n"/>
      <c r="AN548" s="1392" t="n"/>
      <c r="AO548" s="1392" t="n"/>
      <c r="AP548" s="1392" t="n"/>
      <c r="AQ548" s="1392" t="n"/>
      <c r="AR548" s="1392" t="n"/>
      <c r="AS548" s="1422" t="n"/>
      <c r="AT548" s="1392" t="n"/>
      <c r="AU548" s="1392" t="n"/>
      <c r="AV548" s="1392" t="n"/>
      <c r="AW548" s="1392" t="n"/>
      <c r="AX548" s="1392" t="n"/>
      <c r="AY548" s="1392" t="n"/>
      <c r="AZ548" s="1392" t="n"/>
      <c r="BA548" s="1392" t="n"/>
      <c r="BB548" s="1422" t="n"/>
      <c r="BC548" s="1392" t="n"/>
      <c r="BD548" s="1392" t="n"/>
      <c r="BE548" s="1392" t="n"/>
      <c r="BF548" s="1392" t="n"/>
      <c r="BG548" s="1392" t="n"/>
      <c r="BH548" s="1392" t="n"/>
      <c r="BI548" s="1392" t="n"/>
      <c r="BJ548" s="1392" t="n"/>
      <c r="BK548" s="1392" t="n"/>
      <c r="BL548" s="1392" t="n"/>
      <c r="BM548" s="1392" t="n"/>
      <c r="BN548" s="1392" t="n"/>
      <c r="BO548" s="1392" t="n"/>
      <c r="BP548" s="1392" t="n"/>
      <c r="BQ548" s="1392" t="n"/>
      <c r="BR548" s="1392" t="n"/>
      <c r="BS548" s="1392" t="n"/>
      <c r="BT548" s="1392" t="n"/>
      <c r="BU548" s="1416" t="n"/>
      <c r="BV548" s="1392" t="n"/>
      <c r="BW548" s="1392" t="n"/>
      <c r="BX548" s="1392" t="n"/>
      <c r="BY548" s="1392" t="n"/>
      <c r="BZ548" s="1416" t="n"/>
      <c r="CA548" s="1392" t="n"/>
      <c r="CB548" s="1392" t="n"/>
      <c r="CC548" s="1392" t="n"/>
      <c r="CD548" s="1392" t="n"/>
      <c r="CE548" s="1392" t="n"/>
      <c r="CF548" s="1392" t="n"/>
      <c r="CG548" s="1392" t="n"/>
      <c r="CH548" s="1392" t="n"/>
      <c r="CI548" s="1392" t="n"/>
      <c r="CJ548" s="1392" t="n"/>
      <c r="CK548" s="1392" t="n"/>
      <c r="CL548" s="1392" t="n"/>
    </row>
    <row r="549">
      <c r="A549" s="5" t="inlineStr">
        <is>
          <t>.</t>
        </is>
      </c>
      <c r="B549" s="5" t="inlineStr">
        <is>
          <t>.</t>
        </is>
      </c>
      <c r="C549" s="1378">
        <f>IF(raw[[#This Row],[city]]="","-",IF(raw[[#This Row],[city]]="TODAY","-",C548+1))</f>
        <v/>
      </c>
      <c r="D549" s="1393" t="inlineStr">
        <is>
          <t>Villadangos del Paramo</t>
        </is>
      </c>
      <c r="E549" s="1394" t="n">
        <v>36108</v>
      </c>
      <c r="F549" s="1394" t="n">
        <v>36109</v>
      </c>
      <c r="G549" s="1393" t="inlineStr">
        <is>
          <t>-</t>
        </is>
      </c>
      <c r="H549" s="1393">
        <f>H548</f>
        <v/>
      </c>
      <c r="I549" s="1393" t="inlineStr">
        <is>
          <t>CS</t>
        </is>
      </c>
      <c r="J549" s="1393" t="inlineStr">
        <is>
          <t>-</t>
        </is>
      </c>
      <c r="K549" s="1395">
        <f>IF(raw[[#This Row],[city]]&lt;&gt;"",_xlfn.XLOOKUP($D549,ccc[city],ccc[prov],"-"),"-")</f>
        <v/>
      </c>
      <c r="L549" s="1395">
        <f>IF(raw[[#This Row],[city]]&lt;&gt;"",_xlfn.XLOOKUP($D549,ccc[city],ccc[ctry],"-"),"-")</f>
        <v/>
      </c>
      <c r="M549" s="1395">
        <f>IF(raw[[#This Row],[city]]&lt;&gt;"",_xlfn.XLOOKUP($D549,ccc[city],ccc[cont],"-"),"-")</f>
        <v/>
      </c>
      <c r="N549" s="1396">
        <f>IF(raw[[#This Row],[city]]="","-",IF(raw[[#This Row],[cont]]="B",raw[[#This Row],[cont]],"W"))</f>
        <v/>
      </c>
      <c r="O549" s="1397">
        <f>IF(raw[[#This Row],[out]]=0,0,IF(raw[[#This Row],[out]]=raw[[#This Row],[in]],0.01,raw[[#This Row],[out]]-raw[[#This Row],[in]]))</f>
        <v/>
      </c>
      <c r="P549" s="1397">
        <f>IF(raw[[#This Row],[in]]=0,0,MONTH(raw[[#This Row],[in]]))</f>
        <v/>
      </c>
      <c r="Q549" s="1397">
        <f>IF(raw[[#This Row],[in]]=0,0,YEAR(raw[[#This Row],[in]]))</f>
        <v/>
      </c>
      <c r="R549" s="1397">
        <f>INT(raw[[#This Row],[yr]]/10)*10</f>
        <v/>
      </c>
      <c r="S549" s="1395">
        <f>IF(raw[[#This Row],[city]]="","-",IF(raw[[#This Row],[city]]&lt;&gt;_xlfn.XLOOKUP(raw[[#This Row],[home]],homes[home],homes[city],"-"),1,0))</f>
        <v/>
      </c>
      <c r="T549" s="1398" t="inlineStr">
        <is>
          <t>.</t>
        </is>
      </c>
      <c r="U549" s="1399">
        <f>IF(raw[[#This Row],[wb]]="w",raw[[#This Row],[stay]]+U548,U548)</f>
        <v/>
      </c>
      <c r="V549" s="1400">
        <f>IF(raw[[#This Row],[out]]=0,V548,(raw[[#This Row],[out]]-E$5))</f>
        <v/>
      </c>
      <c r="W549" s="1401">
        <f>U549/V549</f>
        <v/>
      </c>
      <c r="X549" s="1378" t="inlineStr">
        <is>
          <t>.</t>
        </is>
      </c>
      <c r="Y549" s="1402">
        <f/>
        <v/>
      </c>
      <c r="Z549" s="1403">
        <f/>
        <v/>
      </c>
      <c r="AA549" s="1403">
        <f/>
        <v/>
      </c>
      <c r="AB549" s="1400">
        <f t="array" ref="AB549">_xlfn.LET(_xlpm.S,_xlfn.ANCHORARRAY($Y$4),_xlpm.r,ROWS(stayCity[[#Headers],[city]]:stayCity[[#This Row],[city]])-1,IF(_xlpm.r&lt;=ROWS(_xlpm.S),INDEX(_xlpm.S,_xlpm.r,1),""))</f>
        <v/>
      </c>
      <c r="AC549" s="1405">
        <f t="array" ref="AC549">_xlfn.LET(_xlpm.S,_xlfn.ANCHORARRAY($Y$4),_xlpm.r,ROWS(stayCity[[#Headers],[city]]:stayCity[[#This Row],[city]])-1,IF(_xlpm.r&lt;=ROWS(_xlpm.S),INDEX(_xlpm.S,_xlpm.r,2),""))</f>
        <v/>
      </c>
      <c r="AD549" s="1405">
        <f t="array" ref="AD549">_xlfn.LET(_xlpm.S,_xlfn.ANCHORARRAY($Y$4),_xlpm.r,ROWS(stayCity[[#Headers],[city]]:stayCity[[#This Row],[city]])-1,IF(_xlpm.r&lt;=ROWS(_xlpm.S),INDEX(_xlpm.S,_xlpm.r,3),""))</f>
        <v/>
      </c>
      <c r="AE549" s="1400">
        <f>IF(stayCity[[#This Row],[out]]&lt;&gt;"",stayCity[[#This Row],[out]]-stayCity[[#This Row],[in]],"-")</f>
        <v/>
      </c>
      <c r="AF549" s="1406">
        <f>IF(Y549="","-",YEAR(stayCity[[#This Row],[in]]))</f>
        <v/>
      </c>
      <c r="AG549" s="1392" t="n"/>
      <c r="AH549" s="1392" t="n"/>
      <c r="AI549" s="1392" t="n"/>
      <c r="AJ549" s="1392" t="n"/>
      <c r="AK549" s="1392" t="n"/>
      <c r="AL549" s="1392" t="n"/>
      <c r="AM549" s="1392" t="n"/>
      <c r="AN549" s="1392" t="n"/>
      <c r="AO549" s="1392" t="n"/>
      <c r="AP549" s="1392" t="n"/>
      <c r="AQ549" s="1392" t="n"/>
      <c r="AR549" s="1392" t="n"/>
      <c r="AS549" s="1422" t="n"/>
      <c r="AT549" s="1392" t="n"/>
      <c r="AU549" s="1392" t="n"/>
      <c r="AV549" s="1392" t="n"/>
      <c r="AW549" s="1392" t="n"/>
      <c r="AX549" s="1392" t="n"/>
      <c r="AY549" s="1392" t="n"/>
      <c r="AZ549" s="1392" t="n"/>
      <c r="BA549" s="1392" t="n"/>
      <c r="BB549" s="1422" t="n"/>
      <c r="BC549" s="1392" t="n"/>
      <c r="BD549" s="1392" t="n"/>
      <c r="BE549" s="1392" t="n"/>
      <c r="BF549" s="1392" t="n"/>
      <c r="BG549" s="1392" t="n"/>
      <c r="BH549" s="1392" t="n"/>
      <c r="BI549" s="1392" t="n"/>
      <c r="BJ549" s="1392" t="n"/>
      <c r="BK549" s="1392" t="n"/>
      <c r="BL549" s="1392" t="n"/>
      <c r="BM549" s="1392" t="n"/>
      <c r="BN549" s="1392" t="n"/>
      <c r="BO549" s="1392" t="n"/>
      <c r="BP549" s="1392" t="n"/>
      <c r="BQ549" s="1392" t="n"/>
      <c r="BR549" s="1392" t="n"/>
      <c r="BS549" s="1392" t="n"/>
      <c r="BT549" s="1392" t="n"/>
      <c r="BU549" s="1416" t="n"/>
      <c r="BV549" s="1392" t="n"/>
      <c r="BW549" s="1392" t="n"/>
      <c r="BX549" s="1392" t="n"/>
      <c r="BY549" s="1392" t="n"/>
      <c r="BZ549" s="1416" t="n"/>
      <c r="CA549" s="1392" t="n"/>
      <c r="CB549" s="1392" t="n"/>
      <c r="CC549" s="1392" t="n"/>
      <c r="CD549" s="1392" t="n"/>
      <c r="CE549" s="1392" t="n"/>
      <c r="CF549" s="1392" t="n"/>
      <c r="CG549" s="1392" t="n"/>
      <c r="CH549" s="1392" t="n"/>
      <c r="CI549" s="1392" t="n"/>
      <c r="CJ549" s="1392" t="n"/>
      <c r="CK549" s="1392" t="n"/>
      <c r="CL549" s="1392" t="n"/>
    </row>
    <row r="550">
      <c r="A550" s="5" t="inlineStr">
        <is>
          <t>.</t>
        </is>
      </c>
      <c r="B550" s="5" t="inlineStr">
        <is>
          <t>.</t>
        </is>
      </c>
      <c r="C550" s="1378">
        <f>IF(raw[[#This Row],[city]]="","-",IF(raw[[#This Row],[city]]="TODAY","-",C549+1))</f>
        <v/>
      </c>
      <c r="D550" s="1393" t="inlineStr">
        <is>
          <t>Astorga</t>
        </is>
      </c>
      <c r="E550" s="1394" t="n">
        <v>36109</v>
      </c>
      <c r="F550" s="1394" t="n">
        <v>36111</v>
      </c>
      <c r="G550" s="1393" t="inlineStr">
        <is>
          <t>-</t>
        </is>
      </c>
      <c r="H550" s="1393">
        <f>H549</f>
        <v/>
      </c>
      <c r="I550" s="1393" t="inlineStr">
        <is>
          <t>CS</t>
        </is>
      </c>
      <c r="J550" s="1393" t="inlineStr">
        <is>
          <t>-</t>
        </is>
      </c>
      <c r="K550" s="1395">
        <f>IF(raw[[#This Row],[city]]&lt;&gt;"",_xlfn.XLOOKUP($D550,ccc[city],ccc[prov],"-"),"-")</f>
        <v/>
      </c>
      <c r="L550" s="1395">
        <f>IF(raw[[#This Row],[city]]&lt;&gt;"",_xlfn.XLOOKUP($D550,ccc[city],ccc[ctry],"-"),"-")</f>
        <v/>
      </c>
      <c r="M550" s="1395">
        <f>IF(raw[[#This Row],[city]]&lt;&gt;"",_xlfn.XLOOKUP($D550,ccc[city],ccc[cont],"-"),"-")</f>
        <v/>
      </c>
      <c r="N550" s="1396">
        <f>IF(raw[[#This Row],[city]]="","-",IF(raw[[#This Row],[cont]]="B",raw[[#This Row],[cont]],"W"))</f>
        <v/>
      </c>
      <c r="O550" s="1397">
        <f>IF(raw[[#This Row],[out]]=0,0,IF(raw[[#This Row],[out]]=raw[[#This Row],[in]],0.01,raw[[#This Row],[out]]-raw[[#This Row],[in]]))</f>
        <v/>
      </c>
      <c r="P550" s="1397">
        <f>IF(raw[[#This Row],[in]]=0,0,MONTH(raw[[#This Row],[in]]))</f>
        <v/>
      </c>
      <c r="Q550" s="1397">
        <f>IF(raw[[#This Row],[in]]=0,0,YEAR(raw[[#This Row],[in]]))</f>
        <v/>
      </c>
      <c r="R550" s="1397">
        <f>INT(raw[[#This Row],[yr]]/10)*10</f>
        <v/>
      </c>
      <c r="S550" s="1395">
        <f>IF(raw[[#This Row],[city]]="","-",IF(raw[[#This Row],[city]]&lt;&gt;_xlfn.XLOOKUP(raw[[#This Row],[home]],homes[home],homes[city],"-"),1,0))</f>
        <v/>
      </c>
      <c r="T550" s="1398" t="inlineStr">
        <is>
          <t>.</t>
        </is>
      </c>
      <c r="U550" s="1399">
        <f>IF(raw[[#This Row],[wb]]="w",raw[[#This Row],[stay]]+U549,U549)</f>
        <v/>
      </c>
      <c r="V550" s="1400">
        <f>IF(raw[[#This Row],[out]]=0,V549,(raw[[#This Row],[out]]-E$5))</f>
        <v/>
      </c>
      <c r="W550" s="1401">
        <f>U550/V550</f>
        <v/>
      </c>
      <c r="X550" s="1378" t="inlineStr">
        <is>
          <t>.</t>
        </is>
      </c>
      <c r="Y550" s="1402">
        <f/>
        <v/>
      </c>
      <c r="Z550" s="1403">
        <f/>
        <v/>
      </c>
      <c r="AA550" s="1403">
        <f/>
        <v/>
      </c>
      <c r="AB550" s="1400">
        <f t="array" ref="AB550">_xlfn.LET(_xlpm.S,_xlfn.ANCHORARRAY($Y$4),_xlpm.r,ROWS(stayCity[[#Headers],[city]]:stayCity[[#This Row],[city]])-1,IF(_xlpm.r&lt;=ROWS(_xlpm.S),INDEX(_xlpm.S,_xlpm.r,1),""))</f>
        <v/>
      </c>
      <c r="AC550" s="1405">
        <f t="array" ref="AC550">_xlfn.LET(_xlpm.S,_xlfn.ANCHORARRAY($Y$4),_xlpm.r,ROWS(stayCity[[#Headers],[city]]:stayCity[[#This Row],[city]])-1,IF(_xlpm.r&lt;=ROWS(_xlpm.S),INDEX(_xlpm.S,_xlpm.r,2),""))</f>
        <v/>
      </c>
      <c r="AD550" s="1405">
        <f t="array" ref="AD550">_xlfn.LET(_xlpm.S,_xlfn.ANCHORARRAY($Y$4),_xlpm.r,ROWS(stayCity[[#Headers],[city]]:stayCity[[#This Row],[city]])-1,IF(_xlpm.r&lt;=ROWS(_xlpm.S),INDEX(_xlpm.S,_xlpm.r,3),""))</f>
        <v/>
      </c>
      <c r="AE550" s="1400">
        <f>IF(stayCity[[#This Row],[out]]&lt;&gt;"",stayCity[[#This Row],[out]]-stayCity[[#This Row],[in]],"-")</f>
        <v/>
      </c>
      <c r="AF550" s="1406">
        <f>IF(Y550="","-",YEAR(stayCity[[#This Row],[in]]))</f>
        <v/>
      </c>
      <c r="AG550" s="1392" t="n"/>
      <c r="AH550" s="1392" t="n"/>
      <c r="AI550" s="1392" t="n"/>
      <c r="AJ550" s="1392" t="n"/>
      <c r="AK550" s="1392" t="n"/>
      <c r="AL550" s="1392" t="n"/>
      <c r="AM550" s="1392" t="n"/>
      <c r="AN550" s="1392" t="n"/>
      <c r="AO550" s="1392" t="n"/>
      <c r="AP550" s="1392" t="n"/>
      <c r="AQ550" s="1392" t="n"/>
      <c r="AR550" s="1392" t="n"/>
      <c r="AS550" s="1422" t="n"/>
      <c r="AT550" s="1392" t="n"/>
      <c r="AU550" s="1392" t="n"/>
      <c r="AV550" s="1392" t="n"/>
      <c r="AW550" s="1392" t="n"/>
      <c r="AX550" s="1392" t="n"/>
      <c r="AY550" s="1392" t="n"/>
      <c r="AZ550" s="1392" t="n"/>
      <c r="BA550" s="1392" t="n"/>
      <c r="BB550" s="1422" t="n"/>
      <c r="BC550" s="1392" t="n"/>
      <c r="BD550" s="1392" t="n"/>
      <c r="BE550" s="1392" t="n"/>
      <c r="BF550" s="1392" t="n"/>
      <c r="BG550" s="1392" t="n"/>
      <c r="BH550" s="1392" t="n"/>
      <c r="BI550" s="1392" t="n"/>
      <c r="BJ550" s="1392" t="n"/>
      <c r="BK550" s="1392" t="n"/>
      <c r="BL550" s="1392" t="n"/>
      <c r="BM550" s="1392" t="n"/>
      <c r="BN550" s="1392" t="n"/>
      <c r="BO550" s="1392" t="n"/>
      <c r="BP550" s="1392" t="n"/>
      <c r="BQ550" s="1392" t="n"/>
      <c r="BR550" s="1392" t="n"/>
      <c r="BS550" s="1392" t="n"/>
      <c r="BT550" s="1392" t="n"/>
      <c r="BU550" s="1416" t="n"/>
      <c r="BV550" s="1392" t="n"/>
      <c r="BW550" s="1392" t="n"/>
      <c r="BX550" s="1392" t="n"/>
      <c r="BY550" s="1392" t="n"/>
      <c r="BZ550" s="1416" t="n"/>
      <c r="CA550" s="1392" t="n"/>
      <c r="CB550" s="1392" t="n"/>
      <c r="CC550" s="1392" t="n"/>
      <c r="CD550" s="1392" t="n"/>
      <c r="CE550" s="1392" t="n"/>
      <c r="CF550" s="1392" t="n"/>
      <c r="CG550" s="1392" t="n"/>
      <c r="CH550" s="1392" t="n"/>
      <c r="CI550" s="1392" t="n"/>
      <c r="CJ550" s="1392" t="n"/>
      <c r="CK550" s="1392" t="n"/>
      <c r="CL550" s="1392" t="n"/>
    </row>
    <row r="551">
      <c r="A551" s="5" t="inlineStr">
        <is>
          <t>.</t>
        </is>
      </c>
      <c r="B551" s="5" t="inlineStr">
        <is>
          <t>.</t>
        </is>
      </c>
      <c r="C551" s="1378">
        <f>IF(raw[[#This Row],[city]]="","-",IF(raw[[#This Row],[city]]="TODAY","-",C550+1))</f>
        <v/>
      </c>
      <c r="D551" s="1393" t="inlineStr">
        <is>
          <t>Rabanal del Camino</t>
        </is>
      </c>
      <c r="E551" s="1394" t="n">
        <v>36111</v>
      </c>
      <c r="F551" s="1394" t="n">
        <v>36112</v>
      </c>
      <c r="G551" s="1393" t="inlineStr">
        <is>
          <t>-</t>
        </is>
      </c>
      <c r="H551" s="1393">
        <f>H550</f>
        <v/>
      </c>
      <c r="I551" s="1393" t="inlineStr">
        <is>
          <t>CS</t>
        </is>
      </c>
      <c r="J551" s="1393" t="inlineStr">
        <is>
          <t>-</t>
        </is>
      </c>
      <c r="K551" s="1395">
        <f>IF(raw[[#This Row],[city]]&lt;&gt;"",_xlfn.XLOOKUP($D551,ccc[city],ccc[prov],"-"),"-")</f>
        <v/>
      </c>
      <c r="L551" s="1395">
        <f>IF(raw[[#This Row],[city]]&lt;&gt;"",_xlfn.XLOOKUP($D551,ccc[city],ccc[ctry],"-"),"-")</f>
        <v/>
      </c>
      <c r="M551" s="1395">
        <f>IF(raw[[#This Row],[city]]&lt;&gt;"",_xlfn.XLOOKUP($D551,ccc[city],ccc[cont],"-"),"-")</f>
        <v/>
      </c>
      <c r="N551" s="1396">
        <f>IF(raw[[#This Row],[city]]="","-",IF(raw[[#This Row],[cont]]="B",raw[[#This Row],[cont]],"W"))</f>
        <v/>
      </c>
      <c r="O551" s="1397">
        <f>IF(raw[[#This Row],[out]]=0,0,IF(raw[[#This Row],[out]]=raw[[#This Row],[in]],0.01,raw[[#This Row],[out]]-raw[[#This Row],[in]]))</f>
        <v/>
      </c>
      <c r="P551" s="1397">
        <f>IF(raw[[#This Row],[in]]=0,0,MONTH(raw[[#This Row],[in]]))</f>
        <v/>
      </c>
      <c r="Q551" s="1397">
        <f>IF(raw[[#This Row],[in]]=0,0,YEAR(raw[[#This Row],[in]]))</f>
        <v/>
      </c>
      <c r="R551" s="1397">
        <f>INT(raw[[#This Row],[yr]]/10)*10</f>
        <v/>
      </c>
      <c r="S551" s="1395">
        <f>IF(raw[[#This Row],[city]]="","-",IF(raw[[#This Row],[city]]&lt;&gt;_xlfn.XLOOKUP(raw[[#This Row],[home]],homes[home],homes[city],"-"),1,0))</f>
        <v/>
      </c>
      <c r="T551" s="1398" t="inlineStr">
        <is>
          <t>.</t>
        </is>
      </c>
      <c r="U551" s="1399">
        <f>IF(raw[[#This Row],[wb]]="w",raw[[#This Row],[stay]]+U550,U550)</f>
        <v/>
      </c>
      <c r="V551" s="1400">
        <f>IF(raw[[#This Row],[out]]=0,V550,(raw[[#This Row],[out]]-E$5))</f>
        <v/>
      </c>
      <c r="W551" s="1401">
        <f>U551/V551</f>
        <v/>
      </c>
      <c r="X551" s="1378" t="inlineStr">
        <is>
          <t>.</t>
        </is>
      </c>
      <c r="Y551" s="1402">
        <f/>
        <v/>
      </c>
      <c r="Z551" s="1403">
        <f/>
        <v/>
      </c>
      <c r="AA551" s="1403">
        <f/>
        <v/>
      </c>
      <c r="AB551" s="1400">
        <f t="array" ref="AB551">_xlfn.LET(_xlpm.S,_xlfn.ANCHORARRAY($Y$4),_xlpm.r,ROWS(stayCity[[#Headers],[city]]:stayCity[[#This Row],[city]])-1,IF(_xlpm.r&lt;=ROWS(_xlpm.S),INDEX(_xlpm.S,_xlpm.r,1),""))</f>
        <v/>
      </c>
      <c r="AC551" s="1405">
        <f t="array" ref="AC551">_xlfn.LET(_xlpm.S,_xlfn.ANCHORARRAY($Y$4),_xlpm.r,ROWS(stayCity[[#Headers],[city]]:stayCity[[#This Row],[city]])-1,IF(_xlpm.r&lt;=ROWS(_xlpm.S),INDEX(_xlpm.S,_xlpm.r,2),""))</f>
        <v/>
      </c>
      <c r="AD551" s="1405">
        <f t="array" ref="AD551">_xlfn.LET(_xlpm.S,_xlfn.ANCHORARRAY($Y$4),_xlpm.r,ROWS(stayCity[[#Headers],[city]]:stayCity[[#This Row],[city]])-1,IF(_xlpm.r&lt;=ROWS(_xlpm.S),INDEX(_xlpm.S,_xlpm.r,3),""))</f>
        <v/>
      </c>
      <c r="AE551" s="1400">
        <f>IF(stayCity[[#This Row],[out]]&lt;&gt;"",stayCity[[#This Row],[out]]-stayCity[[#This Row],[in]],"-")</f>
        <v/>
      </c>
      <c r="AF551" s="1406">
        <f>IF(Y551="","-",YEAR(stayCity[[#This Row],[in]]))</f>
        <v/>
      </c>
      <c r="AG551" s="1392" t="n"/>
      <c r="AH551" s="1392" t="n"/>
      <c r="AI551" s="1392" t="n"/>
      <c r="AJ551" s="1392" t="n"/>
      <c r="AK551" s="1392" t="n"/>
      <c r="AL551" s="1392" t="n"/>
      <c r="AM551" s="1392" t="n"/>
      <c r="AN551" s="1392" t="n"/>
      <c r="AO551" s="1392" t="n"/>
      <c r="AP551" s="1392" t="n"/>
      <c r="AQ551" s="1392" t="n"/>
      <c r="AR551" s="1392" t="n"/>
      <c r="AS551" s="1422" t="n"/>
      <c r="AT551" s="1392" t="n"/>
      <c r="AU551" s="1392" t="n"/>
      <c r="AV551" s="1392" t="n"/>
      <c r="AW551" s="1392" t="n"/>
      <c r="AX551" s="1392" t="n"/>
      <c r="AY551" s="1392" t="n"/>
      <c r="AZ551" s="1392" t="n"/>
      <c r="BA551" s="1392" t="n"/>
      <c r="BB551" s="1422" t="n"/>
      <c r="BC551" s="1392" t="n"/>
      <c r="BD551" s="1392" t="n"/>
      <c r="BE551" s="1392" t="n"/>
      <c r="BF551" s="1392" t="n"/>
      <c r="BG551" s="1392" t="n"/>
      <c r="BH551" s="1392" t="n"/>
      <c r="BI551" s="1392" t="n"/>
      <c r="BJ551" s="1392" t="n"/>
      <c r="BK551" s="1392" t="n"/>
      <c r="BL551" s="1392" t="n"/>
      <c r="BM551" s="1392" t="n"/>
      <c r="BN551" s="1392" t="n"/>
      <c r="BO551" s="1392" t="n"/>
      <c r="BP551" s="1392" t="n"/>
      <c r="BQ551" s="1392" t="n"/>
      <c r="BR551" s="1392" t="n"/>
      <c r="BS551" s="1392" t="n"/>
      <c r="BT551" s="1392" t="n"/>
      <c r="BU551" s="1416" t="n"/>
      <c r="BV551" s="1392" t="n"/>
      <c r="BW551" s="1392" t="n"/>
      <c r="BX551" s="1392" t="n"/>
      <c r="BY551" s="1392" t="n"/>
      <c r="BZ551" s="1416" t="n"/>
      <c r="CA551" s="1392" t="n"/>
      <c r="CB551" s="1392" t="n"/>
      <c r="CC551" s="1392" t="n"/>
      <c r="CD551" s="1392" t="n"/>
      <c r="CE551" s="1392" t="n"/>
      <c r="CF551" s="1392" t="n"/>
      <c r="CG551" s="1392" t="n"/>
      <c r="CH551" s="1392" t="n"/>
      <c r="CI551" s="1392" t="n"/>
      <c r="CJ551" s="1392" t="n"/>
      <c r="CK551" s="1392" t="n"/>
      <c r="CL551" s="1392" t="n"/>
    </row>
    <row r="552">
      <c r="A552" s="5" t="inlineStr">
        <is>
          <t>.</t>
        </is>
      </c>
      <c r="B552" s="5" t="inlineStr">
        <is>
          <t>.</t>
        </is>
      </c>
      <c r="C552" s="1378">
        <f>IF(raw[[#This Row],[city]]="","-",IF(raw[[#This Row],[city]]="TODAY","-",C551+1))</f>
        <v/>
      </c>
      <c r="D552" s="1393" t="inlineStr">
        <is>
          <t>Foncebadon</t>
        </is>
      </c>
      <c r="E552" s="1394" t="n">
        <v>36112</v>
      </c>
      <c r="F552" s="1394" t="n">
        <v>36112</v>
      </c>
      <c r="G552" s="1393" t="inlineStr">
        <is>
          <t>-</t>
        </is>
      </c>
      <c r="H552" s="1393">
        <f>H551</f>
        <v/>
      </c>
      <c r="I552" s="1393" t="inlineStr">
        <is>
          <t>CS</t>
        </is>
      </c>
      <c r="J552" s="1393" t="inlineStr">
        <is>
          <t>-</t>
        </is>
      </c>
      <c r="K552" s="1395">
        <f>IF(raw[[#This Row],[city]]&lt;&gt;"",_xlfn.XLOOKUP($D552,ccc[city],ccc[prov],"-"),"-")</f>
        <v/>
      </c>
      <c r="L552" s="1395">
        <f>IF(raw[[#This Row],[city]]&lt;&gt;"",_xlfn.XLOOKUP($D552,ccc[city],ccc[ctry],"-"),"-")</f>
        <v/>
      </c>
      <c r="M552" s="1395">
        <f>IF(raw[[#This Row],[city]]&lt;&gt;"",_xlfn.XLOOKUP($D552,ccc[city],ccc[cont],"-"),"-")</f>
        <v/>
      </c>
      <c r="N552" s="1396">
        <f>IF(raw[[#This Row],[city]]="","-",IF(raw[[#This Row],[cont]]="B",raw[[#This Row],[cont]],"W"))</f>
        <v/>
      </c>
      <c r="O552" s="1397">
        <f>IF(raw[[#This Row],[out]]=0,0,IF(raw[[#This Row],[out]]=raw[[#This Row],[in]],0.01,raw[[#This Row],[out]]-raw[[#This Row],[in]]))</f>
        <v/>
      </c>
      <c r="P552" s="1397">
        <f>IF(raw[[#This Row],[in]]=0,0,MONTH(raw[[#This Row],[in]]))</f>
        <v/>
      </c>
      <c r="Q552" s="1397">
        <f>IF(raw[[#This Row],[in]]=0,0,YEAR(raw[[#This Row],[in]]))</f>
        <v/>
      </c>
      <c r="R552" s="1397">
        <f>INT(raw[[#This Row],[yr]]/10)*10</f>
        <v/>
      </c>
      <c r="S552" s="1395">
        <f>IF(raw[[#This Row],[city]]="","-",IF(raw[[#This Row],[city]]&lt;&gt;_xlfn.XLOOKUP(raw[[#This Row],[home]],homes[home],homes[city],"-"),1,0))</f>
        <v/>
      </c>
      <c r="T552" s="1398" t="inlineStr">
        <is>
          <t>.</t>
        </is>
      </c>
      <c r="U552" s="1399">
        <f>IF(raw[[#This Row],[wb]]="w",raw[[#This Row],[stay]]+U551,U551)</f>
        <v/>
      </c>
      <c r="V552" s="1400">
        <f>IF(raw[[#This Row],[out]]=0,V551,(raw[[#This Row],[out]]-E$5))</f>
        <v/>
      </c>
      <c r="W552" s="1401">
        <f>U552/V552</f>
        <v/>
      </c>
      <c r="X552" s="1378" t="inlineStr">
        <is>
          <t>.</t>
        </is>
      </c>
      <c r="Y552" s="1402">
        <f/>
        <v/>
      </c>
      <c r="Z552" s="1403">
        <f/>
        <v/>
      </c>
      <c r="AA552" s="1403">
        <f/>
        <v/>
      </c>
      <c r="AB552" s="1400">
        <f t="array" ref="AB552">_xlfn.LET(_xlpm.S,_xlfn.ANCHORARRAY($Y$4),_xlpm.r,ROWS(stayCity[[#Headers],[city]]:stayCity[[#This Row],[city]])-1,IF(_xlpm.r&lt;=ROWS(_xlpm.S),INDEX(_xlpm.S,_xlpm.r,1),""))</f>
        <v/>
      </c>
      <c r="AC552" s="1405">
        <f t="array" ref="AC552">_xlfn.LET(_xlpm.S,_xlfn.ANCHORARRAY($Y$4),_xlpm.r,ROWS(stayCity[[#Headers],[city]]:stayCity[[#This Row],[city]])-1,IF(_xlpm.r&lt;=ROWS(_xlpm.S),INDEX(_xlpm.S,_xlpm.r,2),""))</f>
        <v/>
      </c>
      <c r="AD552" s="1405">
        <f t="array" ref="AD552">_xlfn.LET(_xlpm.S,_xlfn.ANCHORARRAY($Y$4),_xlpm.r,ROWS(stayCity[[#Headers],[city]]:stayCity[[#This Row],[city]])-1,IF(_xlpm.r&lt;=ROWS(_xlpm.S),INDEX(_xlpm.S,_xlpm.r,3),""))</f>
        <v/>
      </c>
      <c r="AE552" s="1400">
        <f>IF(stayCity[[#This Row],[out]]&lt;&gt;"",stayCity[[#This Row],[out]]-stayCity[[#This Row],[in]],"-")</f>
        <v/>
      </c>
      <c r="AF552" s="1406">
        <f>IF(Y552="","-",YEAR(stayCity[[#This Row],[in]]))</f>
        <v/>
      </c>
      <c r="AG552" s="1392" t="n"/>
      <c r="AH552" s="1392" t="n"/>
      <c r="AI552" s="1392" t="n"/>
      <c r="AJ552" s="1392" t="n"/>
      <c r="AK552" s="1392" t="n"/>
      <c r="AL552" s="1392" t="n"/>
      <c r="AM552" s="1392" t="n"/>
      <c r="AN552" s="1392" t="n"/>
      <c r="AO552" s="1392" t="n"/>
      <c r="AP552" s="1392" t="n"/>
      <c r="AQ552" s="1392" t="n"/>
      <c r="AR552" s="1392" t="n"/>
      <c r="AS552" s="1422" t="n"/>
      <c r="AT552" s="1392" t="n"/>
      <c r="AU552" s="1392" t="n"/>
      <c r="AV552" s="1392" t="n"/>
      <c r="AW552" s="1392" t="n"/>
      <c r="AX552" s="1392" t="n"/>
      <c r="AY552" s="1392" t="n"/>
      <c r="AZ552" s="1392" t="n"/>
      <c r="BA552" s="1392" t="n"/>
      <c r="BB552" s="1422" t="n"/>
      <c r="BC552" s="1392" t="n"/>
      <c r="BD552" s="1392" t="n"/>
      <c r="BE552" s="1392" t="n"/>
      <c r="BF552" s="1392" t="n"/>
      <c r="BG552" s="1392" t="n"/>
      <c r="BH552" s="1392" t="n"/>
      <c r="BI552" s="1392" t="n"/>
      <c r="BJ552" s="1392" t="n"/>
      <c r="BK552" s="1392" t="n"/>
      <c r="BL552" s="1392" t="n"/>
      <c r="BM552" s="1392" t="n"/>
      <c r="BN552" s="1392" t="n"/>
      <c r="BO552" s="1392" t="n"/>
      <c r="BP552" s="1392" t="n"/>
      <c r="BQ552" s="1392" t="n"/>
      <c r="BR552" s="1392" t="n"/>
      <c r="BS552" s="1392" t="n"/>
      <c r="BT552" s="1392" t="n"/>
      <c r="BU552" s="1416" t="n"/>
      <c r="BV552" s="1392" t="n"/>
      <c r="BW552" s="1392" t="n"/>
      <c r="BX552" s="1392" t="n"/>
      <c r="BY552" s="1392" t="n"/>
      <c r="BZ552" s="1416" t="n"/>
      <c r="CA552" s="1392" t="n"/>
      <c r="CB552" s="1392" t="n"/>
      <c r="CC552" s="1392" t="n"/>
      <c r="CD552" s="1392" t="n"/>
      <c r="CE552" s="1392" t="n"/>
      <c r="CF552" s="1392" t="n"/>
      <c r="CG552" s="1392" t="n"/>
      <c r="CH552" s="1392" t="n"/>
      <c r="CI552" s="1392" t="n"/>
      <c r="CJ552" s="1392" t="n"/>
      <c r="CK552" s="1392" t="n"/>
      <c r="CL552" s="1392" t="n"/>
    </row>
    <row r="553">
      <c r="A553" s="5" t="inlineStr">
        <is>
          <t>.</t>
        </is>
      </c>
      <c r="B553" s="5" t="inlineStr">
        <is>
          <t>.</t>
        </is>
      </c>
      <c r="C553" s="1378">
        <f>IF(raw[[#This Row],[city]]="","-",IF(raw[[#This Row],[city]]="TODAY","-",C552+1))</f>
        <v/>
      </c>
      <c r="D553" s="1393" t="inlineStr">
        <is>
          <t>Cruz de Hierro</t>
        </is>
      </c>
      <c r="E553" s="1394" t="n">
        <v>36112</v>
      </c>
      <c r="F553" s="1394" t="n">
        <v>36112</v>
      </c>
      <c r="G553" s="1393" t="inlineStr">
        <is>
          <t>-</t>
        </is>
      </c>
      <c r="H553" s="1393">
        <f>H552</f>
        <v/>
      </c>
      <c r="I553" s="1393" t="inlineStr">
        <is>
          <t>CS</t>
        </is>
      </c>
      <c r="J553" s="1393" t="inlineStr">
        <is>
          <t>-</t>
        </is>
      </c>
      <c r="K553" s="1395">
        <f>IF(raw[[#This Row],[city]]&lt;&gt;"",_xlfn.XLOOKUP($D553,ccc[city],ccc[prov],"-"),"-")</f>
        <v/>
      </c>
      <c r="L553" s="1395">
        <f>IF(raw[[#This Row],[city]]&lt;&gt;"",_xlfn.XLOOKUP($D553,ccc[city],ccc[ctry],"-"),"-")</f>
        <v/>
      </c>
      <c r="M553" s="1395">
        <f>IF(raw[[#This Row],[city]]&lt;&gt;"",_xlfn.XLOOKUP($D553,ccc[city],ccc[cont],"-"),"-")</f>
        <v/>
      </c>
      <c r="N553" s="1396">
        <f>IF(raw[[#This Row],[city]]="","-",IF(raw[[#This Row],[cont]]="B",raw[[#This Row],[cont]],"W"))</f>
        <v/>
      </c>
      <c r="O553" s="1397">
        <f>IF(raw[[#This Row],[out]]=0,0,IF(raw[[#This Row],[out]]=raw[[#This Row],[in]],0.01,raw[[#This Row],[out]]-raw[[#This Row],[in]]))</f>
        <v/>
      </c>
      <c r="P553" s="1397">
        <f>IF(raw[[#This Row],[in]]=0,0,MONTH(raw[[#This Row],[in]]))</f>
        <v/>
      </c>
      <c r="Q553" s="1397">
        <f>IF(raw[[#This Row],[in]]=0,0,YEAR(raw[[#This Row],[in]]))</f>
        <v/>
      </c>
      <c r="R553" s="1397">
        <f>INT(raw[[#This Row],[yr]]/10)*10</f>
        <v/>
      </c>
      <c r="S553" s="1395">
        <f>IF(raw[[#This Row],[city]]="","-",IF(raw[[#This Row],[city]]&lt;&gt;_xlfn.XLOOKUP(raw[[#This Row],[home]],homes[home],homes[city],"-"),1,0))</f>
        <v/>
      </c>
      <c r="T553" s="1398" t="inlineStr">
        <is>
          <t>.</t>
        </is>
      </c>
      <c r="U553" s="1399">
        <f>IF(raw[[#This Row],[wb]]="w",raw[[#This Row],[stay]]+U552,U552)</f>
        <v/>
      </c>
      <c r="V553" s="1400">
        <f>IF(raw[[#This Row],[out]]=0,V552,(raw[[#This Row],[out]]-E$5))</f>
        <v/>
      </c>
      <c r="W553" s="1401">
        <f>U553/V553</f>
        <v/>
      </c>
      <c r="X553" s="1378" t="inlineStr">
        <is>
          <t>.</t>
        </is>
      </c>
      <c r="Y553" s="1402">
        <f/>
        <v/>
      </c>
      <c r="Z553" s="1403">
        <f/>
        <v/>
      </c>
      <c r="AA553" s="1403">
        <f/>
        <v/>
      </c>
      <c r="AB553" s="1400">
        <f t="array" ref="AB553">_xlfn.LET(_xlpm.S,_xlfn.ANCHORARRAY($Y$4),_xlpm.r,ROWS(stayCity[[#Headers],[city]]:stayCity[[#This Row],[city]])-1,IF(_xlpm.r&lt;=ROWS(_xlpm.S),INDEX(_xlpm.S,_xlpm.r,1),""))</f>
        <v/>
      </c>
      <c r="AC553" s="1405">
        <f t="array" ref="AC553">_xlfn.LET(_xlpm.S,_xlfn.ANCHORARRAY($Y$4),_xlpm.r,ROWS(stayCity[[#Headers],[city]]:stayCity[[#This Row],[city]])-1,IF(_xlpm.r&lt;=ROWS(_xlpm.S),INDEX(_xlpm.S,_xlpm.r,2),""))</f>
        <v/>
      </c>
      <c r="AD553" s="1405">
        <f t="array" ref="AD553">_xlfn.LET(_xlpm.S,_xlfn.ANCHORARRAY($Y$4),_xlpm.r,ROWS(stayCity[[#Headers],[city]]:stayCity[[#This Row],[city]])-1,IF(_xlpm.r&lt;=ROWS(_xlpm.S),INDEX(_xlpm.S,_xlpm.r,3),""))</f>
        <v/>
      </c>
      <c r="AE553" s="1400">
        <f>IF(stayCity[[#This Row],[out]]&lt;&gt;"",stayCity[[#This Row],[out]]-stayCity[[#This Row],[in]],"-")</f>
        <v/>
      </c>
      <c r="AF553" s="1406">
        <f>IF(Y553="","-",YEAR(stayCity[[#This Row],[in]]))</f>
        <v/>
      </c>
      <c r="AG553" s="1392" t="n"/>
      <c r="AH553" s="1392" t="n"/>
      <c r="AI553" s="1392" t="n"/>
      <c r="AJ553" s="1392" t="n"/>
      <c r="AK553" s="1392" t="n"/>
      <c r="AL553" s="1392" t="n"/>
      <c r="AM553" s="1392" t="n"/>
      <c r="AN553" s="1392" t="n"/>
      <c r="AO553" s="1392" t="n"/>
      <c r="AP553" s="1392" t="n"/>
      <c r="AQ553" s="1392" t="n"/>
      <c r="AR553" s="1392" t="n"/>
      <c r="AS553" s="1422" t="n"/>
      <c r="AT553" s="1392" t="n"/>
      <c r="AU553" s="1392" t="n"/>
      <c r="AV553" s="1392" t="n"/>
      <c r="AW553" s="1392" t="n"/>
      <c r="AX553" s="1392" t="n"/>
      <c r="AY553" s="1392" t="n"/>
      <c r="AZ553" s="1392" t="n"/>
      <c r="BA553" s="1392" t="n"/>
      <c r="BB553" s="1422" t="n"/>
      <c r="BC553" s="1392" t="n"/>
      <c r="BD553" s="1392" t="n"/>
      <c r="BE553" s="1392" t="n"/>
      <c r="BF553" s="1392" t="n"/>
      <c r="BG553" s="1392" t="n"/>
      <c r="BH553" s="1392" t="n"/>
      <c r="BI553" s="1392" t="n"/>
      <c r="BJ553" s="1392" t="n"/>
      <c r="BK553" s="1392" t="n"/>
      <c r="BL553" s="1392" t="n"/>
      <c r="BM553" s="1392" t="n"/>
      <c r="BN553" s="1392" t="n"/>
      <c r="BO553" s="1392" t="n"/>
      <c r="BP553" s="1392" t="n"/>
      <c r="BQ553" s="1392" t="n"/>
      <c r="BR553" s="1392" t="n"/>
      <c r="BS553" s="1392" t="n"/>
      <c r="BT553" s="1392" t="n"/>
      <c r="BU553" s="1416" t="n"/>
      <c r="BV553" s="1392" t="n"/>
      <c r="BW553" s="1392" t="n"/>
      <c r="BX553" s="1392" t="n"/>
      <c r="BY553" s="1392" t="n"/>
      <c r="BZ553" s="1416" t="n"/>
      <c r="CA553" s="1392" t="n"/>
      <c r="CB553" s="1392" t="n"/>
      <c r="CC553" s="1392" t="n"/>
      <c r="CD553" s="1392" t="n"/>
      <c r="CE553" s="1392" t="n"/>
      <c r="CF553" s="1392" t="n"/>
      <c r="CG553" s="1392" t="n"/>
      <c r="CH553" s="1392" t="n"/>
      <c r="CI553" s="1392" t="n"/>
      <c r="CJ553" s="1392" t="n"/>
      <c r="CK553" s="1392" t="n"/>
      <c r="CL553" s="1392" t="n"/>
    </row>
    <row r="554">
      <c r="A554" s="5" t="inlineStr">
        <is>
          <t>.</t>
        </is>
      </c>
      <c r="B554" s="5" t="inlineStr">
        <is>
          <t>.</t>
        </is>
      </c>
      <c r="C554" s="1378">
        <f>IF(raw[[#This Row],[city]]="","-",IF(raw[[#This Row],[city]]="TODAY","-",C553+1))</f>
        <v/>
      </c>
      <c r="D554" s="1393" t="inlineStr">
        <is>
          <t>Manjarin</t>
        </is>
      </c>
      <c r="E554" s="1394" t="n">
        <v>36112</v>
      </c>
      <c r="F554" s="1394" t="n">
        <v>36112</v>
      </c>
      <c r="G554" s="1393" t="inlineStr">
        <is>
          <t>-</t>
        </is>
      </c>
      <c r="H554" s="1393">
        <f>H553</f>
        <v/>
      </c>
      <c r="I554" s="1393" t="inlineStr">
        <is>
          <t>CS</t>
        </is>
      </c>
      <c r="J554" s="1393" t="inlineStr">
        <is>
          <t>-</t>
        </is>
      </c>
      <c r="K554" s="1395">
        <f>IF(raw[[#This Row],[city]]&lt;&gt;"",_xlfn.XLOOKUP($D554,ccc[city],ccc[prov],"-"),"-")</f>
        <v/>
      </c>
      <c r="L554" s="1395">
        <f>IF(raw[[#This Row],[city]]&lt;&gt;"",_xlfn.XLOOKUP($D554,ccc[city],ccc[ctry],"-"),"-")</f>
        <v/>
      </c>
      <c r="M554" s="1395">
        <f>IF(raw[[#This Row],[city]]&lt;&gt;"",_xlfn.XLOOKUP($D554,ccc[city],ccc[cont],"-"),"-")</f>
        <v/>
      </c>
      <c r="N554" s="1396">
        <f>IF(raw[[#This Row],[city]]="","-",IF(raw[[#This Row],[cont]]="B",raw[[#This Row],[cont]],"W"))</f>
        <v/>
      </c>
      <c r="O554" s="1397">
        <f>IF(raw[[#This Row],[out]]=0,0,IF(raw[[#This Row],[out]]=raw[[#This Row],[in]],0.01,raw[[#This Row],[out]]-raw[[#This Row],[in]]))</f>
        <v/>
      </c>
      <c r="P554" s="1397">
        <f>IF(raw[[#This Row],[in]]=0,0,MONTH(raw[[#This Row],[in]]))</f>
        <v/>
      </c>
      <c r="Q554" s="1397">
        <f>IF(raw[[#This Row],[in]]=0,0,YEAR(raw[[#This Row],[in]]))</f>
        <v/>
      </c>
      <c r="R554" s="1397">
        <f>INT(raw[[#This Row],[yr]]/10)*10</f>
        <v/>
      </c>
      <c r="S554" s="1395">
        <f>IF(raw[[#This Row],[city]]="","-",IF(raw[[#This Row],[city]]&lt;&gt;_xlfn.XLOOKUP(raw[[#This Row],[home]],homes[home],homes[city],"-"),1,0))</f>
        <v/>
      </c>
      <c r="T554" s="1398" t="inlineStr">
        <is>
          <t>.</t>
        </is>
      </c>
      <c r="U554" s="1399">
        <f>IF(raw[[#This Row],[wb]]="w",raw[[#This Row],[stay]]+U553,U553)</f>
        <v/>
      </c>
      <c r="V554" s="1400">
        <f>IF(raw[[#This Row],[out]]=0,V553,(raw[[#This Row],[out]]-E$5))</f>
        <v/>
      </c>
      <c r="W554" s="1401">
        <f>U554/V554</f>
        <v/>
      </c>
      <c r="X554" s="1378" t="inlineStr">
        <is>
          <t>.</t>
        </is>
      </c>
      <c r="Y554" s="1402">
        <f/>
        <v/>
      </c>
      <c r="Z554" s="1403">
        <f/>
        <v/>
      </c>
      <c r="AA554" s="1403">
        <f/>
        <v/>
      </c>
      <c r="AB554" s="1400">
        <f t="array" ref="AB554">_xlfn.LET(_xlpm.S,_xlfn.ANCHORARRAY($Y$4),_xlpm.r,ROWS(stayCity[[#Headers],[city]]:stayCity[[#This Row],[city]])-1,IF(_xlpm.r&lt;=ROWS(_xlpm.S),INDEX(_xlpm.S,_xlpm.r,1),""))</f>
        <v/>
      </c>
      <c r="AC554" s="1405">
        <f t="array" ref="AC554">_xlfn.LET(_xlpm.S,_xlfn.ANCHORARRAY($Y$4),_xlpm.r,ROWS(stayCity[[#Headers],[city]]:stayCity[[#This Row],[city]])-1,IF(_xlpm.r&lt;=ROWS(_xlpm.S),INDEX(_xlpm.S,_xlpm.r,2),""))</f>
        <v/>
      </c>
      <c r="AD554" s="1405">
        <f t="array" ref="AD554">_xlfn.LET(_xlpm.S,_xlfn.ANCHORARRAY($Y$4),_xlpm.r,ROWS(stayCity[[#Headers],[city]]:stayCity[[#This Row],[city]])-1,IF(_xlpm.r&lt;=ROWS(_xlpm.S),INDEX(_xlpm.S,_xlpm.r,3),""))</f>
        <v/>
      </c>
      <c r="AE554" s="1400">
        <f>IF(stayCity[[#This Row],[out]]&lt;&gt;"",stayCity[[#This Row],[out]]-stayCity[[#This Row],[in]],"-")</f>
        <v/>
      </c>
      <c r="AF554" s="1406">
        <f>IF(Y554="","-",YEAR(stayCity[[#This Row],[in]]))</f>
        <v/>
      </c>
      <c r="AG554" s="1392" t="n"/>
      <c r="AH554" s="1392" t="n"/>
      <c r="AI554" s="1392" t="n"/>
      <c r="AJ554" s="1392" t="n"/>
      <c r="AK554" s="1392" t="n"/>
      <c r="AL554" s="1392" t="n"/>
      <c r="AM554" s="1392" t="n"/>
      <c r="AN554" s="1392" t="n"/>
      <c r="AO554" s="1392" t="n"/>
      <c r="AP554" s="1392" t="n"/>
      <c r="AQ554" s="1392" t="n"/>
      <c r="AR554" s="1392" t="n"/>
      <c r="AS554" s="1422" t="n"/>
      <c r="AT554" s="1392" t="n"/>
      <c r="AU554" s="1392" t="n"/>
      <c r="AV554" s="1392" t="n"/>
      <c r="AW554" s="1392" t="n"/>
      <c r="AX554" s="1392" t="n"/>
      <c r="AY554" s="1392" t="n"/>
      <c r="AZ554" s="1392" t="n"/>
      <c r="BA554" s="1392" t="n"/>
      <c r="BB554" s="1422" t="n"/>
      <c r="BC554" s="1392" t="n"/>
      <c r="BD554" s="1392" t="n"/>
      <c r="BE554" s="1392" t="n"/>
      <c r="BF554" s="1392" t="n"/>
      <c r="BG554" s="1392" t="n"/>
      <c r="BH554" s="1392" t="n"/>
      <c r="BI554" s="1392" t="n"/>
      <c r="BJ554" s="1392" t="n"/>
      <c r="BK554" s="1392" t="n"/>
      <c r="BL554" s="1392" t="n"/>
      <c r="BM554" s="1392" t="n"/>
      <c r="BN554" s="1392" t="n"/>
      <c r="BO554" s="1392" t="n"/>
      <c r="BP554" s="1392" t="n"/>
      <c r="BQ554" s="1392" t="n"/>
      <c r="BR554" s="1392" t="n"/>
      <c r="BS554" s="1392" t="n"/>
      <c r="BT554" s="1392" t="n"/>
      <c r="BU554" s="1416" t="n"/>
      <c r="BV554" s="1392" t="n"/>
      <c r="BW554" s="1392" t="n"/>
      <c r="BX554" s="1392" t="n"/>
      <c r="BY554" s="1392" t="n"/>
      <c r="BZ554" s="1416" t="n"/>
      <c r="CA554" s="1392" t="n"/>
      <c r="CB554" s="1392" t="n"/>
      <c r="CC554" s="1392" t="n"/>
      <c r="CD554" s="1392" t="n"/>
      <c r="CE554" s="1392" t="n"/>
      <c r="CF554" s="1392" t="n"/>
      <c r="CG554" s="1392" t="n"/>
      <c r="CH554" s="1392" t="n"/>
      <c r="CI554" s="1392" t="n"/>
      <c r="CJ554" s="1392" t="n"/>
      <c r="CK554" s="1392" t="n"/>
      <c r="CL554" s="1392" t="n"/>
    </row>
    <row r="555">
      <c r="A555" s="5" t="inlineStr">
        <is>
          <t>.</t>
        </is>
      </c>
      <c r="B555" s="5" t="inlineStr">
        <is>
          <t>.</t>
        </is>
      </c>
      <c r="C555" s="1378">
        <f>IF(raw[[#This Row],[city]]="","-",IF(raw[[#This Row],[city]]="TODAY","-",C554+1))</f>
        <v/>
      </c>
      <c r="D555" s="1393" t="inlineStr">
        <is>
          <t>Molinaseca</t>
        </is>
      </c>
      <c r="E555" s="1394" t="n">
        <v>36112</v>
      </c>
      <c r="F555" s="1394" t="n">
        <v>36113</v>
      </c>
      <c r="G555" s="1393" t="inlineStr">
        <is>
          <t>-</t>
        </is>
      </c>
      <c r="H555" s="1393">
        <f>H554</f>
        <v/>
      </c>
      <c r="I555" s="1393" t="inlineStr">
        <is>
          <t>CS</t>
        </is>
      </c>
      <c r="J555" s="1393" t="inlineStr">
        <is>
          <t>-</t>
        </is>
      </c>
      <c r="K555" s="1395">
        <f>IF(raw[[#This Row],[city]]&lt;&gt;"",_xlfn.XLOOKUP($D555,ccc[city],ccc[prov],"-"),"-")</f>
        <v/>
      </c>
      <c r="L555" s="1395">
        <f>IF(raw[[#This Row],[city]]&lt;&gt;"",_xlfn.XLOOKUP($D555,ccc[city],ccc[ctry],"-"),"-")</f>
        <v/>
      </c>
      <c r="M555" s="1395">
        <f>IF(raw[[#This Row],[city]]&lt;&gt;"",_xlfn.XLOOKUP($D555,ccc[city],ccc[cont],"-"),"-")</f>
        <v/>
      </c>
      <c r="N555" s="1396">
        <f>IF(raw[[#This Row],[city]]="","-",IF(raw[[#This Row],[cont]]="B",raw[[#This Row],[cont]],"W"))</f>
        <v/>
      </c>
      <c r="O555" s="1397">
        <f>IF(raw[[#This Row],[out]]=0,0,IF(raw[[#This Row],[out]]=raw[[#This Row],[in]],0.01,raw[[#This Row],[out]]-raw[[#This Row],[in]]))</f>
        <v/>
      </c>
      <c r="P555" s="1397">
        <f>IF(raw[[#This Row],[in]]=0,0,MONTH(raw[[#This Row],[in]]))</f>
        <v/>
      </c>
      <c r="Q555" s="1397">
        <f>IF(raw[[#This Row],[in]]=0,0,YEAR(raw[[#This Row],[in]]))</f>
        <v/>
      </c>
      <c r="R555" s="1397">
        <f>INT(raw[[#This Row],[yr]]/10)*10</f>
        <v/>
      </c>
      <c r="S555" s="1395">
        <f>IF(raw[[#This Row],[city]]="","-",IF(raw[[#This Row],[city]]&lt;&gt;_xlfn.XLOOKUP(raw[[#This Row],[home]],homes[home],homes[city],"-"),1,0))</f>
        <v/>
      </c>
      <c r="T555" s="1398" t="inlineStr">
        <is>
          <t>.</t>
        </is>
      </c>
      <c r="U555" s="1399">
        <f>IF(raw[[#This Row],[wb]]="w",raw[[#This Row],[stay]]+U554,U554)</f>
        <v/>
      </c>
      <c r="V555" s="1400">
        <f>IF(raw[[#This Row],[out]]=0,V554,(raw[[#This Row],[out]]-E$5))</f>
        <v/>
      </c>
      <c r="W555" s="1401">
        <f>U555/V555</f>
        <v/>
      </c>
      <c r="X555" s="1378" t="inlineStr">
        <is>
          <t>.</t>
        </is>
      </c>
      <c r="Y555" s="1402">
        <f/>
        <v/>
      </c>
      <c r="Z555" s="1403">
        <f/>
        <v/>
      </c>
      <c r="AA555" s="1403">
        <f/>
        <v/>
      </c>
      <c r="AB555" s="1400">
        <f t="array" ref="AB555">_xlfn.LET(_xlpm.S,_xlfn.ANCHORARRAY($Y$4),_xlpm.r,ROWS(stayCity[[#Headers],[city]]:stayCity[[#This Row],[city]])-1,IF(_xlpm.r&lt;=ROWS(_xlpm.S),INDEX(_xlpm.S,_xlpm.r,1),""))</f>
        <v/>
      </c>
      <c r="AC555" s="1405">
        <f t="array" ref="AC555">_xlfn.LET(_xlpm.S,_xlfn.ANCHORARRAY($Y$4),_xlpm.r,ROWS(stayCity[[#Headers],[city]]:stayCity[[#This Row],[city]])-1,IF(_xlpm.r&lt;=ROWS(_xlpm.S),INDEX(_xlpm.S,_xlpm.r,2),""))</f>
        <v/>
      </c>
      <c r="AD555" s="1405">
        <f t="array" ref="AD555">_xlfn.LET(_xlpm.S,_xlfn.ANCHORARRAY($Y$4),_xlpm.r,ROWS(stayCity[[#Headers],[city]]:stayCity[[#This Row],[city]])-1,IF(_xlpm.r&lt;=ROWS(_xlpm.S),INDEX(_xlpm.S,_xlpm.r,3),""))</f>
        <v/>
      </c>
      <c r="AE555" s="1400">
        <f>IF(stayCity[[#This Row],[out]]&lt;&gt;"",stayCity[[#This Row],[out]]-stayCity[[#This Row],[in]],"-")</f>
        <v/>
      </c>
      <c r="AF555" s="1406">
        <f>IF(Y555="","-",YEAR(stayCity[[#This Row],[in]]))</f>
        <v/>
      </c>
      <c r="AG555" s="1392" t="n"/>
      <c r="AH555" s="1392" t="n"/>
      <c r="AI555" s="1392" t="n"/>
      <c r="AJ555" s="1392" t="n"/>
      <c r="AK555" s="1392" t="n"/>
      <c r="AL555" s="1392" t="n"/>
      <c r="AM555" s="1392" t="n"/>
      <c r="AN555" s="1392" t="n"/>
      <c r="AO555" s="1392" t="n"/>
      <c r="AP555" s="1392" t="n"/>
      <c r="AQ555" s="1392" t="n"/>
      <c r="AR555" s="1392" t="n"/>
      <c r="AS555" s="1422" t="n"/>
      <c r="AT555" s="1392" t="n"/>
      <c r="AU555" s="1392" t="n"/>
      <c r="AV555" s="1392" t="n"/>
      <c r="AW555" s="1392" t="n"/>
      <c r="AX555" s="1392" t="n"/>
      <c r="AY555" s="1392" t="n"/>
      <c r="AZ555" s="1392" t="n"/>
      <c r="BA555" s="1392" t="n"/>
      <c r="BB555" s="1422" t="n"/>
      <c r="BC555" s="1392" t="n"/>
      <c r="BD555" s="1392" t="n"/>
      <c r="BE555" s="1392" t="n"/>
      <c r="BF555" s="1392" t="n"/>
      <c r="BG555" s="1392" t="n"/>
      <c r="BH555" s="1392" t="n"/>
      <c r="BI555" s="1392" t="n"/>
      <c r="BJ555" s="1392" t="n"/>
      <c r="BK555" s="1392" t="n"/>
      <c r="BL555" s="1392" t="n"/>
      <c r="BM555" s="1392" t="n"/>
      <c r="BN555" s="1392" t="n"/>
      <c r="BO555" s="1392" t="n"/>
      <c r="BP555" s="1392" t="n"/>
      <c r="BQ555" s="1392" t="n"/>
      <c r="BR555" s="1392" t="n"/>
      <c r="BS555" s="1392" t="n"/>
      <c r="BT555" s="1392" t="n"/>
      <c r="BU555" s="1416" t="n"/>
      <c r="BV555" s="1392" t="n"/>
      <c r="BW555" s="1392" t="n"/>
      <c r="BX555" s="1392" t="n"/>
      <c r="BY555" s="1392" t="n"/>
      <c r="BZ555" s="1416" t="n"/>
      <c r="CA555" s="1392" t="n"/>
      <c r="CB555" s="1392" t="n"/>
      <c r="CC555" s="1392" t="n"/>
      <c r="CD555" s="1392" t="n"/>
      <c r="CE555" s="1392" t="n"/>
      <c r="CF555" s="1392" t="n"/>
      <c r="CG555" s="1392" t="n"/>
      <c r="CH555" s="1392" t="n"/>
      <c r="CI555" s="1392" t="n"/>
      <c r="CJ555" s="1392" t="n"/>
      <c r="CK555" s="1392" t="n"/>
      <c r="CL555" s="1392" t="n"/>
    </row>
    <row r="556">
      <c r="A556" s="5" t="inlineStr">
        <is>
          <t>.</t>
        </is>
      </c>
      <c r="B556" s="5" t="inlineStr">
        <is>
          <t>.</t>
        </is>
      </c>
      <c r="C556" s="1378">
        <f>IF(raw[[#This Row],[city]]="","-",IF(raw[[#This Row],[city]]="TODAY","-",C555+1))</f>
        <v/>
      </c>
      <c r="D556" s="1393" t="inlineStr">
        <is>
          <t>Ponferrada</t>
        </is>
      </c>
      <c r="E556" s="1394" t="n">
        <v>36113</v>
      </c>
      <c r="F556" s="1394" t="n">
        <v>36113</v>
      </c>
      <c r="G556" s="1393" t="inlineStr">
        <is>
          <t>-</t>
        </is>
      </c>
      <c r="H556" s="1393">
        <f>H555</f>
        <v/>
      </c>
      <c r="I556" s="1393" t="inlineStr">
        <is>
          <t>CS</t>
        </is>
      </c>
      <c r="J556" s="1393" t="inlineStr">
        <is>
          <t>-</t>
        </is>
      </c>
      <c r="K556" s="1395">
        <f>IF(raw[[#This Row],[city]]&lt;&gt;"",_xlfn.XLOOKUP($D556,ccc[city],ccc[prov],"-"),"-")</f>
        <v/>
      </c>
      <c r="L556" s="1395">
        <f>IF(raw[[#This Row],[city]]&lt;&gt;"",_xlfn.XLOOKUP($D556,ccc[city],ccc[ctry],"-"),"-")</f>
        <v/>
      </c>
      <c r="M556" s="1395">
        <f>IF(raw[[#This Row],[city]]&lt;&gt;"",_xlfn.XLOOKUP($D556,ccc[city],ccc[cont],"-"),"-")</f>
        <v/>
      </c>
      <c r="N556" s="1396">
        <f>IF(raw[[#This Row],[city]]="","-",IF(raw[[#This Row],[cont]]="B",raw[[#This Row],[cont]],"W"))</f>
        <v/>
      </c>
      <c r="O556" s="1397">
        <f>IF(raw[[#This Row],[out]]=0,0,IF(raw[[#This Row],[out]]=raw[[#This Row],[in]],0.01,raw[[#This Row],[out]]-raw[[#This Row],[in]]))</f>
        <v/>
      </c>
      <c r="P556" s="1397">
        <f>IF(raw[[#This Row],[in]]=0,0,MONTH(raw[[#This Row],[in]]))</f>
        <v/>
      </c>
      <c r="Q556" s="1397">
        <f>IF(raw[[#This Row],[in]]=0,0,YEAR(raw[[#This Row],[in]]))</f>
        <v/>
      </c>
      <c r="R556" s="1397">
        <f>INT(raw[[#This Row],[yr]]/10)*10</f>
        <v/>
      </c>
      <c r="S556" s="1395">
        <f>IF(raw[[#This Row],[city]]="","-",IF(raw[[#This Row],[city]]&lt;&gt;_xlfn.XLOOKUP(raw[[#This Row],[home]],homes[home],homes[city],"-"),1,0))</f>
        <v/>
      </c>
      <c r="T556" s="1398" t="inlineStr">
        <is>
          <t>.</t>
        </is>
      </c>
      <c r="U556" s="1399">
        <f>IF(raw[[#This Row],[wb]]="w",raw[[#This Row],[stay]]+U555,U555)</f>
        <v/>
      </c>
      <c r="V556" s="1400">
        <f>IF(raw[[#This Row],[out]]=0,V555,(raw[[#This Row],[out]]-E$5))</f>
        <v/>
      </c>
      <c r="W556" s="1401">
        <f>U556/V556</f>
        <v/>
      </c>
      <c r="X556" s="1378" t="inlineStr">
        <is>
          <t>.</t>
        </is>
      </c>
      <c r="Y556" s="1402">
        <f/>
        <v/>
      </c>
      <c r="Z556" s="1403">
        <f/>
        <v/>
      </c>
      <c r="AA556" s="1403">
        <f/>
        <v/>
      </c>
      <c r="AB556" s="1400">
        <f t="array" ref="AB556">_xlfn.LET(_xlpm.S,_xlfn.ANCHORARRAY($Y$4),_xlpm.r,ROWS(stayCity[[#Headers],[city]]:stayCity[[#This Row],[city]])-1,IF(_xlpm.r&lt;=ROWS(_xlpm.S),INDEX(_xlpm.S,_xlpm.r,1),""))</f>
        <v/>
      </c>
      <c r="AC556" s="1405">
        <f t="array" ref="AC556">_xlfn.LET(_xlpm.S,_xlfn.ANCHORARRAY($Y$4),_xlpm.r,ROWS(stayCity[[#Headers],[city]]:stayCity[[#This Row],[city]])-1,IF(_xlpm.r&lt;=ROWS(_xlpm.S),INDEX(_xlpm.S,_xlpm.r,2),""))</f>
        <v/>
      </c>
      <c r="AD556" s="1405">
        <f t="array" ref="AD556">_xlfn.LET(_xlpm.S,_xlfn.ANCHORARRAY($Y$4),_xlpm.r,ROWS(stayCity[[#Headers],[city]]:stayCity[[#This Row],[city]])-1,IF(_xlpm.r&lt;=ROWS(_xlpm.S),INDEX(_xlpm.S,_xlpm.r,3),""))</f>
        <v/>
      </c>
      <c r="AE556" s="1400">
        <f>IF(stayCity[[#This Row],[out]]&lt;&gt;"",stayCity[[#This Row],[out]]-stayCity[[#This Row],[in]],"-")</f>
        <v/>
      </c>
      <c r="AF556" s="1406">
        <f>IF(Y556="","-",YEAR(stayCity[[#This Row],[in]]))</f>
        <v/>
      </c>
      <c r="AG556" s="1392" t="n"/>
      <c r="AH556" s="1392" t="n"/>
      <c r="AI556" s="1392" t="n"/>
      <c r="AJ556" s="1392" t="n"/>
      <c r="AK556" s="1392" t="n"/>
      <c r="AL556" s="1392" t="n"/>
      <c r="AM556" s="1392" t="n"/>
      <c r="AN556" s="1392" t="n"/>
      <c r="AO556" s="1392" t="n"/>
      <c r="AP556" s="1392" t="n"/>
      <c r="AQ556" s="1392" t="n"/>
      <c r="AR556" s="1392" t="n"/>
      <c r="AS556" s="1422" t="n"/>
      <c r="AT556" s="1392" t="n"/>
      <c r="AU556" s="1392" t="n"/>
      <c r="AV556" s="1392" t="n"/>
      <c r="AW556" s="1392" t="n"/>
      <c r="AX556" s="1392" t="n"/>
      <c r="AY556" s="1392" t="n"/>
      <c r="AZ556" s="1392" t="n"/>
      <c r="BA556" s="1392" t="n"/>
      <c r="BB556" s="1422" t="n"/>
      <c r="BC556" s="1392" t="n"/>
      <c r="BD556" s="1392" t="n"/>
      <c r="BE556" s="1392" t="n"/>
      <c r="BF556" s="1392" t="n"/>
      <c r="BG556" s="1392" t="n"/>
      <c r="BH556" s="1392" t="n"/>
      <c r="BI556" s="1392" t="n"/>
      <c r="BJ556" s="1392" t="n"/>
      <c r="BK556" s="1392" t="n"/>
      <c r="BL556" s="1392" t="n"/>
      <c r="BM556" s="1392" t="n"/>
      <c r="BN556" s="1392" t="n"/>
      <c r="BO556" s="1392" t="n"/>
      <c r="BP556" s="1392" t="n"/>
      <c r="BQ556" s="1392" t="n"/>
      <c r="BR556" s="1392" t="n"/>
      <c r="BS556" s="1392" t="n"/>
      <c r="BT556" s="1392" t="n"/>
      <c r="BU556" s="1416" t="n"/>
      <c r="BV556" s="1392" t="n"/>
      <c r="BW556" s="1392" t="n"/>
      <c r="BX556" s="1392" t="n"/>
      <c r="BY556" s="1392" t="n"/>
      <c r="BZ556" s="1416" t="n"/>
      <c r="CA556" s="1392" t="n"/>
      <c r="CB556" s="1392" t="n"/>
      <c r="CC556" s="1392" t="n"/>
      <c r="CD556" s="1392" t="n"/>
      <c r="CE556" s="1392" t="n"/>
      <c r="CF556" s="1392" t="n"/>
      <c r="CG556" s="1392" t="n"/>
      <c r="CH556" s="1392" t="n"/>
      <c r="CI556" s="1392" t="n"/>
      <c r="CJ556" s="1392" t="n"/>
      <c r="CK556" s="1392" t="n"/>
      <c r="CL556" s="1392" t="n"/>
    </row>
    <row r="557">
      <c r="A557" s="5" t="inlineStr">
        <is>
          <t>.</t>
        </is>
      </c>
      <c r="B557" s="5" t="inlineStr">
        <is>
          <t>.</t>
        </is>
      </c>
      <c r="C557" s="1378">
        <f>IF(raw[[#This Row],[city]]="","-",IF(raw[[#This Row],[city]]="TODAY","-",C556+1))</f>
        <v/>
      </c>
      <c r="D557" s="1393" t="inlineStr">
        <is>
          <t>Villa Franca del Bierzo</t>
        </is>
      </c>
      <c r="E557" s="1394" t="n">
        <v>36113</v>
      </c>
      <c r="F557" s="1394" t="n">
        <v>36114</v>
      </c>
      <c r="G557" s="1393" t="inlineStr">
        <is>
          <t>-</t>
        </is>
      </c>
      <c r="H557" s="1393">
        <f>H556</f>
        <v/>
      </c>
      <c r="I557" s="1393" t="inlineStr">
        <is>
          <t>CS</t>
        </is>
      </c>
      <c r="J557" s="1393" t="inlineStr">
        <is>
          <t>-</t>
        </is>
      </c>
      <c r="K557" s="1395">
        <f>IF(raw[[#This Row],[city]]&lt;&gt;"",_xlfn.XLOOKUP($D557,ccc[city],ccc[prov],"-"),"-")</f>
        <v/>
      </c>
      <c r="L557" s="1395">
        <f>IF(raw[[#This Row],[city]]&lt;&gt;"",_xlfn.XLOOKUP($D557,ccc[city],ccc[ctry],"-"),"-")</f>
        <v/>
      </c>
      <c r="M557" s="1395">
        <f>IF(raw[[#This Row],[city]]&lt;&gt;"",_xlfn.XLOOKUP($D557,ccc[city],ccc[cont],"-"),"-")</f>
        <v/>
      </c>
      <c r="N557" s="1396">
        <f>IF(raw[[#This Row],[city]]="","-",IF(raw[[#This Row],[cont]]="B",raw[[#This Row],[cont]],"W"))</f>
        <v/>
      </c>
      <c r="O557" s="1397">
        <f>IF(raw[[#This Row],[out]]=0,0,IF(raw[[#This Row],[out]]=raw[[#This Row],[in]],0.01,raw[[#This Row],[out]]-raw[[#This Row],[in]]))</f>
        <v/>
      </c>
      <c r="P557" s="1397">
        <f>IF(raw[[#This Row],[in]]=0,0,MONTH(raw[[#This Row],[in]]))</f>
        <v/>
      </c>
      <c r="Q557" s="1397">
        <f>IF(raw[[#This Row],[in]]=0,0,YEAR(raw[[#This Row],[in]]))</f>
        <v/>
      </c>
      <c r="R557" s="1397">
        <f>INT(raw[[#This Row],[yr]]/10)*10</f>
        <v/>
      </c>
      <c r="S557" s="1395">
        <f>IF(raw[[#This Row],[city]]="","-",IF(raw[[#This Row],[city]]&lt;&gt;_xlfn.XLOOKUP(raw[[#This Row],[home]],homes[home],homes[city],"-"),1,0))</f>
        <v/>
      </c>
      <c r="T557" s="1398" t="inlineStr">
        <is>
          <t>.</t>
        </is>
      </c>
      <c r="U557" s="1399">
        <f>IF(raw[[#This Row],[wb]]="w",raw[[#This Row],[stay]]+U556,U556)</f>
        <v/>
      </c>
      <c r="V557" s="1400">
        <f>IF(raw[[#This Row],[out]]=0,V556,(raw[[#This Row],[out]]-E$5))</f>
        <v/>
      </c>
      <c r="W557" s="1401">
        <f>U557/V557</f>
        <v/>
      </c>
      <c r="X557" s="1378" t="inlineStr">
        <is>
          <t>.</t>
        </is>
      </c>
      <c r="Y557" s="1402">
        <f/>
        <v/>
      </c>
      <c r="Z557" s="1403">
        <f/>
        <v/>
      </c>
      <c r="AA557" s="1403">
        <f/>
        <v/>
      </c>
      <c r="AB557" s="1400">
        <f t="array" ref="AB557">_xlfn.LET(_xlpm.S,_xlfn.ANCHORARRAY($Y$4),_xlpm.r,ROWS(stayCity[[#Headers],[city]]:stayCity[[#This Row],[city]])-1,IF(_xlpm.r&lt;=ROWS(_xlpm.S),INDEX(_xlpm.S,_xlpm.r,1),""))</f>
        <v/>
      </c>
      <c r="AC557" s="1405">
        <f t="array" ref="AC557">_xlfn.LET(_xlpm.S,_xlfn.ANCHORARRAY($Y$4),_xlpm.r,ROWS(stayCity[[#Headers],[city]]:stayCity[[#This Row],[city]])-1,IF(_xlpm.r&lt;=ROWS(_xlpm.S),INDEX(_xlpm.S,_xlpm.r,2),""))</f>
        <v/>
      </c>
      <c r="AD557" s="1405">
        <f t="array" ref="AD557">_xlfn.LET(_xlpm.S,_xlfn.ANCHORARRAY($Y$4),_xlpm.r,ROWS(stayCity[[#Headers],[city]]:stayCity[[#This Row],[city]])-1,IF(_xlpm.r&lt;=ROWS(_xlpm.S),INDEX(_xlpm.S,_xlpm.r,3),""))</f>
        <v/>
      </c>
      <c r="AE557" s="1400">
        <f>IF(stayCity[[#This Row],[out]]&lt;&gt;"",stayCity[[#This Row],[out]]-stayCity[[#This Row],[in]],"-")</f>
        <v/>
      </c>
      <c r="AF557" s="1406">
        <f>IF(Y557="","-",YEAR(stayCity[[#This Row],[in]]))</f>
        <v/>
      </c>
      <c r="AG557" s="1392" t="n"/>
      <c r="AH557" s="1392" t="n"/>
      <c r="AI557" s="1392" t="n"/>
      <c r="AJ557" s="1392" t="n"/>
      <c r="AK557" s="1392" t="n"/>
      <c r="AL557" s="1392" t="n"/>
      <c r="AM557" s="1392" t="n"/>
      <c r="AN557" s="1392" t="n"/>
      <c r="AO557" s="1392" t="n"/>
      <c r="AP557" s="1392" t="n"/>
      <c r="AQ557" s="1392" t="n"/>
      <c r="AR557" s="1392" t="n"/>
      <c r="AS557" s="1422" t="n"/>
      <c r="AT557" s="1392" t="n"/>
      <c r="AU557" s="1392" t="n"/>
      <c r="AV557" s="1392" t="n"/>
      <c r="AW557" s="1392" t="n"/>
      <c r="AX557" s="1392" t="n"/>
      <c r="AY557" s="1392" t="n"/>
      <c r="AZ557" s="1392" t="n"/>
      <c r="BA557" s="1392" t="n"/>
      <c r="BB557" s="1422" t="n"/>
      <c r="BC557" s="1392" t="n"/>
      <c r="BD557" s="1392" t="n"/>
      <c r="BE557" s="1392" t="n"/>
      <c r="BF557" s="1392" t="n"/>
      <c r="BG557" s="1392" t="n"/>
      <c r="BH557" s="1392" t="n"/>
      <c r="BI557" s="1392" t="n"/>
      <c r="BJ557" s="1392" t="n"/>
      <c r="BK557" s="1392" t="n"/>
      <c r="BL557" s="1392" t="n"/>
      <c r="BM557" s="1392" t="n"/>
      <c r="BN557" s="1392" t="n"/>
      <c r="BO557" s="1392" t="n"/>
      <c r="BP557" s="1392" t="n"/>
      <c r="BQ557" s="1392" t="n"/>
      <c r="BR557" s="1392" t="n"/>
      <c r="BS557" s="1392" t="n"/>
      <c r="BT557" s="1392" t="n"/>
      <c r="BU557" s="1416" t="n"/>
      <c r="BV557" s="1392" t="n"/>
      <c r="BW557" s="1392" t="n"/>
      <c r="BX557" s="1392" t="n"/>
      <c r="BY557" s="1392" t="n"/>
      <c r="BZ557" s="1416" t="n"/>
      <c r="CA557" s="1392" t="n"/>
      <c r="CB557" s="1392" t="n"/>
      <c r="CC557" s="1392" t="n"/>
      <c r="CD557" s="1392" t="n"/>
      <c r="CE557" s="1392" t="n"/>
      <c r="CF557" s="1392" t="n"/>
      <c r="CG557" s="1392" t="n"/>
      <c r="CH557" s="1392" t="n"/>
      <c r="CI557" s="1392" t="n"/>
      <c r="CJ557" s="1392" t="n"/>
      <c r="CK557" s="1392" t="n"/>
      <c r="CL557" s="1392" t="n"/>
    </row>
    <row r="558">
      <c r="A558" s="5" t="inlineStr">
        <is>
          <t>.</t>
        </is>
      </c>
      <c r="B558" s="5" t="inlineStr">
        <is>
          <t>.</t>
        </is>
      </c>
      <c r="C558" s="1378">
        <f>IF(raw[[#This Row],[city]]="","-",IF(raw[[#This Row],[city]]="TODAY","-",C557+1))</f>
        <v/>
      </c>
      <c r="D558" s="1393" t="inlineStr">
        <is>
          <t>O Cebreiro</t>
        </is>
      </c>
      <c r="E558" s="1394" t="n">
        <v>36114</v>
      </c>
      <c r="F558" s="1394" t="n">
        <v>36115</v>
      </c>
      <c r="G558" s="1393" t="inlineStr">
        <is>
          <t>-</t>
        </is>
      </c>
      <c r="H558" s="1393">
        <f>H557</f>
        <v/>
      </c>
      <c r="I558" s="1393" t="inlineStr">
        <is>
          <t>CS</t>
        </is>
      </c>
      <c r="J558" s="1393" t="inlineStr">
        <is>
          <t>-</t>
        </is>
      </c>
      <c r="K558" s="1395">
        <f>IF(raw[[#This Row],[city]]&lt;&gt;"",_xlfn.XLOOKUP($D558,ccc[city],ccc[prov],"-"),"-")</f>
        <v/>
      </c>
      <c r="L558" s="1395">
        <f>IF(raw[[#This Row],[city]]&lt;&gt;"",_xlfn.XLOOKUP($D558,ccc[city],ccc[ctry],"-"),"-")</f>
        <v/>
      </c>
      <c r="M558" s="1395">
        <f>IF(raw[[#This Row],[city]]&lt;&gt;"",_xlfn.XLOOKUP($D558,ccc[city],ccc[cont],"-"),"-")</f>
        <v/>
      </c>
      <c r="N558" s="1396">
        <f>IF(raw[[#This Row],[city]]="","-",IF(raw[[#This Row],[cont]]="B",raw[[#This Row],[cont]],"W"))</f>
        <v/>
      </c>
      <c r="O558" s="1397">
        <f>IF(raw[[#This Row],[out]]=0,0,IF(raw[[#This Row],[out]]=raw[[#This Row],[in]],0.01,raw[[#This Row],[out]]-raw[[#This Row],[in]]))</f>
        <v/>
      </c>
      <c r="P558" s="1397">
        <f>IF(raw[[#This Row],[in]]=0,0,MONTH(raw[[#This Row],[in]]))</f>
        <v/>
      </c>
      <c r="Q558" s="1397">
        <f>IF(raw[[#This Row],[in]]=0,0,YEAR(raw[[#This Row],[in]]))</f>
        <v/>
      </c>
      <c r="R558" s="1397">
        <f>INT(raw[[#This Row],[yr]]/10)*10</f>
        <v/>
      </c>
      <c r="S558" s="1395">
        <f>IF(raw[[#This Row],[city]]="","-",IF(raw[[#This Row],[city]]&lt;&gt;_xlfn.XLOOKUP(raw[[#This Row],[home]],homes[home],homes[city],"-"),1,0))</f>
        <v/>
      </c>
      <c r="T558" s="1398" t="inlineStr">
        <is>
          <t>.</t>
        </is>
      </c>
      <c r="U558" s="1399">
        <f>IF(raw[[#This Row],[wb]]="w",raw[[#This Row],[stay]]+U557,U557)</f>
        <v/>
      </c>
      <c r="V558" s="1400">
        <f>IF(raw[[#This Row],[out]]=0,V557,(raw[[#This Row],[out]]-E$5))</f>
        <v/>
      </c>
      <c r="W558" s="1401">
        <f>U558/V558</f>
        <v/>
      </c>
      <c r="X558" s="1378" t="inlineStr">
        <is>
          <t>.</t>
        </is>
      </c>
      <c r="Y558" s="1402">
        <f/>
        <v/>
      </c>
      <c r="Z558" s="1403">
        <f/>
        <v/>
      </c>
      <c r="AA558" s="1403">
        <f/>
        <v/>
      </c>
      <c r="AB558" s="1400">
        <f t="array" ref="AB558">_xlfn.LET(_xlpm.S,_xlfn.ANCHORARRAY($Y$4),_xlpm.r,ROWS(stayCity[[#Headers],[city]]:stayCity[[#This Row],[city]])-1,IF(_xlpm.r&lt;=ROWS(_xlpm.S),INDEX(_xlpm.S,_xlpm.r,1),""))</f>
        <v/>
      </c>
      <c r="AC558" s="1405">
        <f t="array" ref="AC558">_xlfn.LET(_xlpm.S,_xlfn.ANCHORARRAY($Y$4),_xlpm.r,ROWS(stayCity[[#Headers],[city]]:stayCity[[#This Row],[city]])-1,IF(_xlpm.r&lt;=ROWS(_xlpm.S),INDEX(_xlpm.S,_xlpm.r,2),""))</f>
        <v/>
      </c>
      <c r="AD558" s="1405">
        <f t="array" ref="AD558">_xlfn.LET(_xlpm.S,_xlfn.ANCHORARRAY($Y$4),_xlpm.r,ROWS(stayCity[[#Headers],[city]]:stayCity[[#This Row],[city]])-1,IF(_xlpm.r&lt;=ROWS(_xlpm.S),INDEX(_xlpm.S,_xlpm.r,3),""))</f>
        <v/>
      </c>
      <c r="AE558" s="1400">
        <f>IF(stayCity[[#This Row],[out]]&lt;&gt;"",stayCity[[#This Row],[out]]-stayCity[[#This Row],[in]],"-")</f>
        <v/>
      </c>
      <c r="AF558" s="1406">
        <f>IF(Y558="","-",YEAR(stayCity[[#This Row],[in]]))</f>
        <v/>
      </c>
      <c r="AG558" s="1392" t="n"/>
      <c r="AH558" s="1392" t="n"/>
      <c r="AI558" s="1392" t="n"/>
      <c r="AJ558" s="1392" t="n"/>
      <c r="AK558" s="1392" t="n"/>
      <c r="AL558" s="1392" t="n"/>
      <c r="AM558" s="1392" t="n"/>
      <c r="AN558" s="1392" t="n"/>
      <c r="AO558" s="1392" t="n"/>
      <c r="AP558" s="1392" t="n"/>
      <c r="AQ558" s="1392" t="n"/>
      <c r="AR558" s="1392" t="n"/>
      <c r="AS558" s="1422" t="n"/>
      <c r="AT558" s="1392" t="n"/>
      <c r="AU558" s="1392" t="n"/>
      <c r="AV558" s="1392" t="n"/>
      <c r="AW558" s="1392" t="n"/>
      <c r="AX558" s="1392" t="n"/>
      <c r="AY558" s="1392" t="n"/>
      <c r="AZ558" s="1392" t="n"/>
      <c r="BA558" s="1392" t="n"/>
      <c r="BB558" s="1422" t="n"/>
      <c r="BC558" s="1392" t="n"/>
      <c r="BD558" s="1392" t="n"/>
      <c r="BE558" s="1392" t="n"/>
      <c r="BF558" s="1392" t="n"/>
      <c r="BG558" s="1392" t="n"/>
      <c r="BH558" s="1392" t="n"/>
      <c r="BI558" s="1392" t="n"/>
      <c r="BJ558" s="1392" t="n"/>
      <c r="BK558" s="1392" t="n"/>
      <c r="BL558" s="1392" t="n"/>
      <c r="BM558" s="1392" t="n"/>
      <c r="BN558" s="1392" t="n"/>
      <c r="BO558" s="1392" t="n"/>
      <c r="BP558" s="1392" t="n"/>
      <c r="BQ558" s="1392" t="n"/>
      <c r="BR558" s="1392" t="n"/>
      <c r="BS558" s="1392" t="n"/>
      <c r="BT558" s="1392" t="n"/>
      <c r="BU558" s="1416" t="n"/>
      <c r="BV558" s="1392" t="n"/>
      <c r="BW558" s="1392" t="n"/>
      <c r="BX558" s="1392" t="n"/>
      <c r="BY558" s="1392" t="n"/>
      <c r="BZ558" s="1416" t="n"/>
      <c r="CA558" s="1392" t="n"/>
      <c r="CB558" s="1392" t="n"/>
      <c r="CC558" s="1392" t="n"/>
      <c r="CD558" s="1392" t="n"/>
      <c r="CE558" s="1392" t="n"/>
      <c r="CF558" s="1392" t="n"/>
      <c r="CG558" s="1392" t="n"/>
      <c r="CH558" s="1392" t="n"/>
      <c r="CI558" s="1392" t="n"/>
      <c r="CJ558" s="1392" t="n"/>
      <c r="CK558" s="1392" t="n"/>
      <c r="CL558" s="1392" t="n"/>
    </row>
    <row r="559">
      <c r="A559" s="5" t="inlineStr">
        <is>
          <t>.</t>
        </is>
      </c>
      <c r="B559" s="5" t="inlineStr">
        <is>
          <t>.</t>
        </is>
      </c>
      <c r="C559" s="1378">
        <f>IF(raw[[#This Row],[city]]="","-",IF(raw[[#This Row],[city]]="TODAY","-",C558+1))</f>
        <v/>
      </c>
      <c r="D559" s="1393" t="inlineStr">
        <is>
          <t>Triacastela</t>
        </is>
      </c>
      <c r="E559" s="1394" t="n">
        <v>36115</v>
      </c>
      <c r="F559" s="1394" t="n">
        <v>36116</v>
      </c>
      <c r="G559" s="1393" t="inlineStr">
        <is>
          <t>-</t>
        </is>
      </c>
      <c r="H559" s="1393">
        <f>H558</f>
        <v/>
      </c>
      <c r="I559" s="1393" t="inlineStr">
        <is>
          <t>CS</t>
        </is>
      </c>
      <c r="J559" s="1393" t="inlineStr">
        <is>
          <t>-</t>
        </is>
      </c>
      <c r="K559" s="1395">
        <f>IF(raw[[#This Row],[city]]&lt;&gt;"",_xlfn.XLOOKUP($D559,ccc[city],ccc[prov],"-"),"-")</f>
        <v/>
      </c>
      <c r="L559" s="1395">
        <f>IF(raw[[#This Row],[city]]&lt;&gt;"",_xlfn.XLOOKUP($D559,ccc[city],ccc[ctry],"-"),"-")</f>
        <v/>
      </c>
      <c r="M559" s="1395">
        <f>IF(raw[[#This Row],[city]]&lt;&gt;"",_xlfn.XLOOKUP($D559,ccc[city],ccc[cont],"-"),"-")</f>
        <v/>
      </c>
      <c r="N559" s="1396">
        <f>IF(raw[[#This Row],[city]]="","-",IF(raw[[#This Row],[cont]]="B",raw[[#This Row],[cont]],"W"))</f>
        <v/>
      </c>
      <c r="O559" s="1397">
        <f>IF(raw[[#This Row],[out]]=0,0,IF(raw[[#This Row],[out]]=raw[[#This Row],[in]],0.01,raw[[#This Row],[out]]-raw[[#This Row],[in]]))</f>
        <v/>
      </c>
      <c r="P559" s="1397">
        <f>IF(raw[[#This Row],[in]]=0,0,MONTH(raw[[#This Row],[in]]))</f>
        <v/>
      </c>
      <c r="Q559" s="1397">
        <f>IF(raw[[#This Row],[in]]=0,0,YEAR(raw[[#This Row],[in]]))</f>
        <v/>
      </c>
      <c r="R559" s="1397">
        <f>INT(raw[[#This Row],[yr]]/10)*10</f>
        <v/>
      </c>
      <c r="S559" s="1395">
        <f>IF(raw[[#This Row],[city]]="","-",IF(raw[[#This Row],[city]]&lt;&gt;_xlfn.XLOOKUP(raw[[#This Row],[home]],homes[home],homes[city],"-"),1,0))</f>
        <v/>
      </c>
      <c r="T559" s="1398" t="inlineStr">
        <is>
          <t>.</t>
        </is>
      </c>
      <c r="U559" s="1399">
        <f>IF(raw[[#This Row],[wb]]="w",raw[[#This Row],[stay]]+U558,U558)</f>
        <v/>
      </c>
      <c r="V559" s="1400">
        <f>IF(raw[[#This Row],[out]]=0,V558,(raw[[#This Row],[out]]-E$5))</f>
        <v/>
      </c>
      <c r="W559" s="1401">
        <f>U559/V559</f>
        <v/>
      </c>
      <c r="X559" s="1378" t="inlineStr">
        <is>
          <t>.</t>
        </is>
      </c>
      <c r="Y559" s="1402">
        <f/>
        <v/>
      </c>
      <c r="Z559" s="1403">
        <f/>
        <v/>
      </c>
      <c r="AA559" s="1403">
        <f/>
        <v/>
      </c>
      <c r="AB559" s="1400">
        <f t="array" ref="AB559">_xlfn.LET(_xlpm.S,_xlfn.ANCHORARRAY($Y$4),_xlpm.r,ROWS(stayCity[[#Headers],[city]]:stayCity[[#This Row],[city]])-1,IF(_xlpm.r&lt;=ROWS(_xlpm.S),INDEX(_xlpm.S,_xlpm.r,1),""))</f>
        <v/>
      </c>
      <c r="AC559" s="1405">
        <f t="array" ref="AC559">_xlfn.LET(_xlpm.S,_xlfn.ANCHORARRAY($Y$4),_xlpm.r,ROWS(stayCity[[#Headers],[city]]:stayCity[[#This Row],[city]])-1,IF(_xlpm.r&lt;=ROWS(_xlpm.S),INDEX(_xlpm.S,_xlpm.r,2),""))</f>
        <v/>
      </c>
      <c r="AD559" s="1405">
        <f t="array" ref="AD559">_xlfn.LET(_xlpm.S,_xlfn.ANCHORARRAY($Y$4),_xlpm.r,ROWS(stayCity[[#Headers],[city]]:stayCity[[#This Row],[city]])-1,IF(_xlpm.r&lt;=ROWS(_xlpm.S),INDEX(_xlpm.S,_xlpm.r,3),""))</f>
        <v/>
      </c>
      <c r="AE559" s="1400">
        <f>IF(stayCity[[#This Row],[out]]&lt;&gt;"",stayCity[[#This Row],[out]]-stayCity[[#This Row],[in]],"-")</f>
        <v/>
      </c>
      <c r="AF559" s="1406">
        <f>IF(Y559="","-",YEAR(stayCity[[#This Row],[in]]))</f>
        <v/>
      </c>
      <c r="AG559" s="1392" t="n"/>
      <c r="AH559" s="1392" t="n"/>
      <c r="AI559" s="1392" t="n"/>
      <c r="AJ559" s="1392" t="n"/>
      <c r="AK559" s="1392" t="n"/>
      <c r="AL559" s="1392" t="n"/>
      <c r="AM559" s="1392" t="n"/>
      <c r="AN559" s="1392" t="n"/>
      <c r="AO559" s="1392" t="n"/>
      <c r="AP559" s="1392" t="n"/>
      <c r="AQ559" s="1392" t="n"/>
      <c r="AR559" s="1392" t="n"/>
      <c r="AS559" s="1422" t="n"/>
      <c r="AT559" s="1392" t="n"/>
      <c r="AU559" s="1392" t="n"/>
      <c r="AV559" s="1392" t="n"/>
      <c r="AW559" s="1392" t="n"/>
      <c r="AX559" s="1392" t="n"/>
      <c r="AY559" s="1392" t="n"/>
      <c r="AZ559" s="1392" t="n"/>
      <c r="BA559" s="1392" t="n"/>
      <c r="BB559" s="1422" t="n"/>
      <c r="BC559" s="1392" t="n"/>
      <c r="BD559" s="1392" t="n"/>
      <c r="BE559" s="1392" t="n"/>
      <c r="BF559" s="1392" t="n"/>
      <c r="BG559" s="1392" t="n"/>
      <c r="BH559" s="1392" t="n"/>
      <c r="BI559" s="1392" t="n"/>
      <c r="BJ559" s="1392" t="n"/>
      <c r="BK559" s="1392" t="n"/>
      <c r="BL559" s="1392" t="n"/>
      <c r="BM559" s="1392" t="n"/>
      <c r="BN559" s="1392" t="n"/>
      <c r="BO559" s="1392" t="n"/>
      <c r="BP559" s="1392" t="n"/>
      <c r="BQ559" s="1392" t="n"/>
      <c r="BR559" s="1392" t="n"/>
      <c r="BS559" s="1392" t="n"/>
      <c r="BT559" s="1392" t="n"/>
      <c r="BU559" s="1416" t="n"/>
      <c r="BV559" s="1392" t="n"/>
      <c r="BW559" s="1392" t="n"/>
      <c r="BX559" s="1392" t="n"/>
      <c r="BY559" s="1392" t="n"/>
      <c r="BZ559" s="1416" t="n"/>
      <c r="CA559" s="1392" t="n"/>
      <c r="CB559" s="1392" t="n"/>
      <c r="CC559" s="1392" t="n"/>
      <c r="CD559" s="1392" t="n"/>
      <c r="CE559" s="1392" t="n"/>
      <c r="CF559" s="1392" t="n"/>
      <c r="CG559" s="1392" t="n"/>
      <c r="CH559" s="1392" t="n"/>
      <c r="CI559" s="1392" t="n"/>
      <c r="CJ559" s="1392" t="n"/>
      <c r="CK559" s="1392" t="n"/>
      <c r="CL559" s="1392" t="n"/>
    </row>
    <row r="560">
      <c r="A560" s="5" t="inlineStr">
        <is>
          <t>.</t>
        </is>
      </c>
      <c r="B560" s="5" t="inlineStr">
        <is>
          <t>.</t>
        </is>
      </c>
      <c r="C560" s="1378">
        <f>IF(raw[[#This Row],[city]]="","-",IF(raw[[#This Row],[city]]="TODAY","-",C559+1))</f>
        <v/>
      </c>
      <c r="D560" s="1393" t="inlineStr">
        <is>
          <t>Samos</t>
        </is>
      </c>
      <c r="E560" s="1394" t="n">
        <v>36116</v>
      </c>
      <c r="F560" s="1394" t="n">
        <v>36116</v>
      </c>
      <c r="G560" s="1393" t="inlineStr">
        <is>
          <t>-</t>
        </is>
      </c>
      <c r="H560" s="1393">
        <f>H559</f>
        <v/>
      </c>
      <c r="I560" s="1393" t="inlineStr">
        <is>
          <t>CS</t>
        </is>
      </c>
      <c r="J560" s="1393" t="inlineStr">
        <is>
          <t>-</t>
        </is>
      </c>
      <c r="K560" s="1395">
        <f>IF(raw[[#This Row],[city]]&lt;&gt;"",_xlfn.XLOOKUP($D560,ccc[city],ccc[prov],"-"),"-")</f>
        <v/>
      </c>
      <c r="L560" s="1395">
        <f>IF(raw[[#This Row],[city]]&lt;&gt;"",_xlfn.XLOOKUP($D560,ccc[city],ccc[ctry],"-"),"-")</f>
        <v/>
      </c>
      <c r="M560" s="1395">
        <f>IF(raw[[#This Row],[city]]&lt;&gt;"",_xlfn.XLOOKUP($D560,ccc[city],ccc[cont],"-"),"-")</f>
        <v/>
      </c>
      <c r="N560" s="1396">
        <f>IF(raw[[#This Row],[city]]="","-",IF(raw[[#This Row],[cont]]="B",raw[[#This Row],[cont]],"W"))</f>
        <v/>
      </c>
      <c r="O560" s="1397">
        <f>IF(raw[[#This Row],[out]]=0,0,IF(raw[[#This Row],[out]]=raw[[#This Row],[in]],0.01,raw[[#This Row],[out]]-raw[[#This Row],[in]]))</f>
        <v/>
      </c>
      <c r="P560" s="1397">
        <f>IF(raw[[#This Row],[in]]=0,0,MONTH(raw[[#This Row],[in]]))</f>
        <v/>
      </c>
      <c r="Q560" s="1397">
        <f>IF(raw[[#This Row],[in]]=0,0,YEAR(raw[[#This Row],[in]]))</f>
        <v/>
      </c>
      <c r="R560" s="1397">
        <f>INT(raw[[#This Row],[yr]]/10)*10</f>
        <v/>
      </c>
      <c r="S560" s="1395">
        <f>IF(raw[[#This Row],[city]]="","-",IF(raw[[#This Row],[city]]&lt;&gt;_xlfn.XLOOKUP(raw[[#This Row],[home]],homes[home],homes[city],"-"),1,0))</f>
        <v/>
      </c>
      <c r="T560" s="1398" t="inlineStr">
        <is>
          <t>.</t>
        </is>
      </c>
      <c r="U560" s="1399">
        <f>IF(raw[[#This Row],[wb]]="w",raw[[#This Row],[stay]]+U559,U559)</f>
        <v/>
      </c>
      <c r="V560" s="1400">
        <f>IF(raw[[#This Row],[out]]=0,V559,(raw[[#This Row],[out]]-E$5))</f>
        <v/>
      </c>
      <c r="W560" s="1401">
        <f>U560/V560</f>
        <v/>
      </c>
      <c r="X560" s="1378" t="inlineStr">
        <is>
          <t>.</t>
        </is>
      </c>
      <c r="Y560" s="1402">
        <f/>
        <v/>
      </c>
      <c r="Z560" s="1403">
        <f/>
        <v/>
      </c>
      <c r="AA560" s="1403">
        <f/>
        <v/>
      </c>
      <c r="AB560" s="1400">
        <f t="array" ref="AB560">_xlfn.LET(_xlpm.S,_xlfn.ANCHORARRAY($Y$4),_xlpm.r,ROWS(stayCity[[#Headers],[city]]:stayCity[[#This Row],[city]])-1,IF(_xlpm.r&lt;=ROWS(_xlpm.S),INDEX(_xlpm.S,_xlpm.r,1),""))</f>
        <v/>
      </c>
      <c r="AC560" s="1405">
        <f t="array" ref="AC560">_xlfn.LET(_xlpm.S,_xlfn.ANCHORARRAY($Y$4),_xlpm.r,ROWS(stayCity[[#Headers],[city]]:stayCity[[#This Row],[city]])-1,IF(_xlpm.r&lt;=ROWS(_xlpm.S),INDEX(_xlpm.S,_xlpm.r,2),""))</f>
        <v/>
      </c>
      <c r="AD560" s="1405">
        <f t="array" ref="AD560">_xlfn.LET(_xlpm.S,_xlfn.ANCHORARRAY($Y$4),_xlpm.r,ROWS(stayCity[[#Headers],[city]]:stayCity[[#This Row],[city]])-1,IF(_xlpm.r&lt;=ROWS(_xlpm.S),INDEX(_xlpm.S,_xlpm.r,3),""))</f>
        <v/>
      </c>
      <c r="AE560" s="1400">
        <f>IF(stayCity[[#This Row],[out]]&lt;&gt;"",stayCity[[#This Row],[out]]-stayCity[[#This Row],[in]],"-")</f>
        <v/>
      </c>
      <c r="AF560" s="1406">
        <f>IF(Y560="","-",YEAR(stayCity[[#This Row],[in]]))</f>
        <v/>
      </c>
      <c r="AG560" s="1392" t="n"/>
      <c r="AH560" s="1392" t="n"/>
      <c r="AI560" s="1392" t="n"/>
      <c r="AJ560" s="1392" t="n"/>
      <c r="AK560" s="1392" t="n"/>
      <c r="AL560" s="1392" t="n"/>
      <c r="AM560" s="1392" t="n"/>
      <c r="AN560" s="1392" t="n"/>
      <c r="AO560" s="1392" t="n"/>
      <c r="AP560" s="1392" t="n"/>
      <c r="AQ560" s="1392" t="n"/>
      <c r="AR560" s="1392" t="n"/>
      <c r="AS560" s="1422" t="n"/>
      <c r="AT560" s="1392" t="n"/>
      <c r="AU560" s="1392" t="n"/>
      <c r="AV560" s="1392" t="n"/>
      <c r="AW560" s="1392" t="n"/>
      <c r="AX560" s="1392" t="n"/>
      <c r="AY560" s="1392" t="n"/>
      <c r="AZ560" s="1392" t="n"/>
      <c r="BA560" s="1392" t="n"/>
      <c r="BB560" s="1422" t="n"/>
      <c r="BC560" s="1392" t="n"/>
      <c r="BD560" s="1392" t="n"/>
      <c r="BE560" s="1392" t="n"/>
      <c r="BF560" s="1392" t="n"/>
      <c r="BG560" s="1392" t="n"/>
      <c r="BH560" s="1392" t="n"/>
      <c r="BI560" s="1392" t="n"/>
      <c r="BJ560" s="1392" t="n"/>
      <c r="BK560" s="1392" t="n"/>
      <c r="BL560" s="1392" t="n"/>
      <c r="BM560" s="1392" t="n"/>
      <c r="BN560" s="1392" t="n"/>
      <c r="BO560" s="1392" t="n"/>
      <c r="BP560" s="1392" t="n"/>
      <c r="BQ560" s="1392" t="n"/>
      <c r="BR560" s="1392" t="n"/>
      <c r="BS560" s="1392" t="n"/>
      <c r="BT560" s="1392" t="n"/>
      <c r="BU560" s="1416" t="n"/>
      <c r="BV560" s="1392" t="n"/>
      <c r="BW560" s="1392" t="n"/>
      <c r="BX560" s="1392" t="n"/>
      <c r="BY560" s="1392" t="n"/>
      <c r="BZ560" s="1416" t="n"/>
      <c r="CA560" s="1392" t="n"/>
      <c r="CB560" s="1392" t="n"/>
      <c r="CC560" s="1392" t="n"/>
      <c r="CD560" s="1392" t="n"/>
      <c r="CE560" s="1392" t="n"/>
      <c r="CF560" s="1392" t="n"/>
      <c r="CG560" s="1392" t="n"/>
      <c r="CH560" s="1392" t="n"/>
      <c r="CI560" s="1392" t="n"/>
      <c r="CJ560" s="1392" t="n"/>
      <c r="CK560" s="1392" t="n"/>
      <c r="CL560" s="1392" t="n"/>
    </row>
    <row r="561">
      <c r="A561" s="5" t="inlineStr">
        <is>
          <t>.</t>
        </is>
      </c>
      <c r="B561" s="5" t="inlineStr">
        <is>
          <t>.</t>
        </is>
      </c>
      <c r="C561" s="1378">
        <f>IF(raw[[#This Row],[city]]="","-",IF(raw[[#This Row],[city]]="TODAY","-",C560+1))</f>
        <v/>
      </c>
      <c r="D561" s="1393" t="inlineStr">
        <is>
          <t>Sarriá</t>
        </is>
      </c>
      <c r="E561" s="1394" t="n">
        <v>36116</v>
      </c>
      <c r="F561" s="1394" t="n">
        <v>36117</v>
      </c>
      <c r="G561" s="1393" t="inlineStr">
        <is>
          <t>-</t>
        </is>
      </c>
      <c r="H561" s="1393">
        <f>H560</f>
        <v/>
      </c>
      <c r="I561" s="1393" t="inlineStr">
        <is>
          <t>CS</t>
        </is>
      </c>
      <c r="J561" s="1393" t="inlineStr">
        <is>
          <t>-</t>
        </is>
      </c>
      <c r="K561" s="1395">
        <f>IF(raw[[#This Row],[city]]&lt;&gt;"",_xlfn.XLOOKUP($D561,ccc[city],ccc[prov],"-"),"-")</f>
        <v/>
      </c>
      <c r="L561" s="1395">
        <f>IF(raw[[#This Row],[city]]&lt;&gt;"",_xlfn.XLOOKUP($D561,ccc[city],ccc[ctry],"-"),"-")</f>
        <v/>
      </c>
      <c r="M561" s="1395">
        <f>IF(raw[[#This Row],[city]]&lt;&gt;"",_xlfn.XLOOKUP($D561,ccc[city],ccc[cont],"-"),"-")</f>
        <v/>
      </c>
      <c r="N561" s="1396">
        <f>IF(raw[[#This Row],[city]]="","-",IF(raw[[#This Row],[cont]]="B",raw[[#This Row],[cont]],"W"))</f>
        <v/>
      </c>
      <c r="O561" s="1397">
        <f>IF(raw[[#This Row],[out]]=0,0,IF(raw[[#This Row],[out]]=raw[[#This Row],[in]],0.01,raw[[#This Row],[out]]-raw[[#This Row],[in]]))</f>
        <v/>
      </c>
      <c r="P561" s="1397">
        <f>IF(raw[[#This Row],[in]]=0,0,MONTH(raw[[#This Row],[in]]))</f>
        <v/>
      </c>
      <c r="Q561" s="1397">
        <f>IF(raw[[#This Row],[in]]=0,0,YEAR(raw[[#This Row],[in]]))</f>
        <v/>
      </c>
      <c r="R561" s="1397">
        <f>INT(raw[[#This Row],[yr]]/10)*10</f>
        <v/>
      </c>
      <c r="S561" s="1395">
        <f>IF(raw[[#This Row],[city]]="","-",IF(raw[[#This Row],[city]]&lt;&gt;_xlfn.XLOOKUP(raw[[#This Row],[home]],homes[home],homes[city],"-"),1,0))</f>
        <v/>
      </c>
      <c r="T561" s="1398" t="inlineStr">
        <is>
          <t>.</t>
        </is>
      </c>
      <c r="U561" s="1399">
        <f>IF(raw[[#This Row],[wb]]="w",raw[[#This Row],[stay]]+U560,U560)</f>
        <v/>
      </c>
      <c r="V561" s="1400">
        <f>IF(raw[[#This Row],[out]]=0,V560,(raw[[#This Row],[out]]-E$5))</f>
        <v/>
      </c>
      <c r="W561" s="1401">
        <f>U561/V561</f>
        <v/>
      </c>
      <c r="X561" s="1378" t="inlineStr">
        <is>
          <t>.</t>
        </is>
      </c>
      <c r="Y561" s="1402">
        <f/>
        <v/>
      </c>
      <c r="Z561" s="1403">
        <f/>
        <v/>
      </c>
      <c r="AA561" s="1403">
        <f/>
        <v/>
      </c>
      <c r="AB561" s="1400">
        <f t="array" ref="AB561">_xlfn.LET(_xlpm.S,_xlfn.ANCHORARRAY($Y$4),_xlpm.r,ROWS(stayCity[[#Headers],[city]]:stayCity[[#This Row],[city]])-1,IF(_xlpm.r&lt;=ROWS(_xlpm.S),INDEX(_xlpm.S,_xlpm.r,1),""))</f>
        <v/>
      </c>
      <c r="AC561" s="1405">
        <f t="array" ref="AC561">_xlfn.LET(_xlpm.S,_xlfn.ANCHORARRAY($Y$4),_xlpm.r,ROWS(stayCity[[#Headers],[city]]:stayCity[[#This Row],[city]])-1,IF(_xlpm.r&lt;=ROWS(_xlpm.S),INDEX(_xlpm.S,_xlpm.r,2),""))</f>
        <v/>
      </c>
      <c r="AD561" s="1405">
        <f t="array" ref="AD561">_xlfn.LET(_xlpm.S,_xlfn.ANCHORARRAY($Y$4),_xlpm.r,ROWS(stayCity[[#Headers],[city]]:stayCity[[#This Row],[city]])-1,IF(_xlpm.r&lt;=ROWS(_xlpm.S),INDEX(_xlpm.S,_xlpm.r,3),""))</f>
        <v/>
      </c>
      <c r="AE561" s="1400">
        <f>IF(stayCity[[#This Row],[out]]&lt;&gt;"",stayCity[[#This Row],[out]]-stayCity[[#This Row],[in]],"-")</f>
        <v/>
      </c>
      <c r="AF561" s="1406">
        <f>IF(Y561="","-",YEAR(stayCity[[#This Row],[in]]))</f>
        <v/>
      </c>
      <c r="AG561" s="1392" t="n"/>
      <c r="AH561" s="1392" t="n"/>
      <c r="AI561" s="1392" t="n"/>
      <c r="AJ561" s="1392" t="n"/>
      <c r="AK561" s="1392" t="n"/>
      <c r="AL561" s="1392" t="n"/>
      <c r="AM561" s="1392" t="n"/>
      <c r="AN561" s="1392" t="n"/>
      <c r="AO561" s="1392" t="n"/>
      <c r="AP561" s="1392" t="n"/>
      <c r="AQ561" s="1392" t="n"/>
      <c r="AR561" s="1392" t="n"/>
      <c r="AS561" s="1422" t="n"/>
      <c r="AT561" s="1392" t="n"/>
      <c r="AU561" s="1392" t="n"/>
      <c r="AV561" s="1392" t="n"/>
      <c r="AW561" s="1392" t="n"/>
      <c r="AX561" s="1392" t="n"/>
      <c r="AY561" s="1392" t="n"/>
      <c r="AZ561" s="1392" t="n"/>
      <c r="BA561" s="1392" t="n"/>
      <c r="BB561" s="1422" t="n"/>
      <c r="BC561" s="1392" t="n"/>
      <c r="BD561" s="1392" t="n"/>
      <c r="BE561" s="1392" t="n"/>
      <c r="BF561" s="1392" t="n"/>
      <c r="BG561" s="1392" t="n"/>
      <c r="BH561" s="1392" t="n"/>
      <c r="BI561" s="1392" t="n"/>
      <c r="BJ561" s="1392" t="n"/>
      <c r="BK561" s="1392" t="n"/>
      <c r="BL561" s="1392" t="n"/>
      <c r="BM561" s="1392" t="n"/>
      <c r="BN561" s="1392" t="n"/>
      <c r="BO561" s="1392" t="n"/>
      <c r="BP561" s="1392" t="n"/>
      <c r="BQ561" s="1392" t="n"/>
      <c r="BR561" s="1392" t="n"/>
      <c r="BS561" s="1392" t="n"/>
      <c r="BT561" s="1392" t="n"/>
      <c r="BU561" s="1416" t="n"/>
      <c r="BV561" s="1392" t="n"/>
      <c r="BW561" s="1392" t="n"/>
      <c r="BX561" s="1392" t="n"/>
      <c r="BY561" s="1392" t="n"/>
      <c r="BZ561" s="1416" t="n"/>
      <c r="CA561" s="1392" t="n"/>
      <c r="CB561" s="1392" t="n"/>
      <c r="CC561" s="1392" t="n"/>
      <c r="CD561" s="1392" t="n"/>
      <c r="CE561" s="1392" t="n"/>
      <c r="CF561" s="1392" t="n"/>
      <c r="CG561" s="1392" t="n"/>
      <c r="CH561" s="1392" t="n"/>
      <c r="CI561" s="1392" t="n"/>
      <c r="CJ561" s="1392" t="n"/>
      <c r="CK561" s="1392" t="n"/>
      <c r="CL561" s="1392" t="n"/>
    </row>
    <row r="562">
      <c r="A562" s="5" t="inlineStr">
        <is>
          <t>.</t>
        </is>
      </c>
      <c r="B562" s="5" t="inlineStr">
        <is>
          <t>.</t>
        </is>
      </c>
      <c r="C562" s="1378">
        <f>IF(raw[[#This Row],[city]]="","-",IF(raw[[#This Row],[city]]="TODAY","-",C561+1))</f>
        <v/>
      </c>
      <c r="D562" s="1393" t="inlineStr">
        <is>
          <t>Portomarin</t>
        </is>
      </c>
      <c r="E562" s="1394" t="n">
        <v>36117</v>
      </c>
      <c r="F562" s="1394" t="n">
        <v>36117</v>
      </c>
      <c r="G562" s="1393" t="inlineStr">
        <is>
          <t>-</t>
        </is>
      </c>
      <c r="H562" s="1393">
        <f>H561</f>
        <v/>
      </c>
      <c r="I562" s="1393" t="inlineStr">
        <is>
          <t>CS</t>
        </is>
      </c>
      <c r="J562" s="1393" t="inlineStr">
        <is>
          <t>-</t>
        </is>
      </c>
      <c r="K562" s="1395">
        <f>IF(raw[[#This Row],[city]]&lt;&gt;"",_xlfn.XLOOKUP($D562,ccc[city],ccc[prov],"-"),"-")</f>
        <v/>
      </c>
      <c r="L562" s="1395">
        <f>IF(raw[[#This Row],[city]]&lt;&gt;"",_xlfn.XLOOKUP($D562,ccc[city],ccc[ctry],"-"),"-")</f>
        <v/>
      </c>
      <c r="M562" s="1395">
        <f>IF(raw[[#This Row],[city]]&lt;&gt;"",_xlfn.XLOOKUP($D562,ccc[city],ccc[cont],"-"),"-")</f>
        <v/>
      </c>
      <c r="N562" s="1396">
        <f>IF(raw[[#This Row],[city]]="","-",IF(raw[[#This Row],[cont]]="B",raw[[#This Row],[cont]],"W"))</f>
        <v/>
      </c>
      <c r="O562" s="1397">
        <f>IF(raw[[#This Row],[out]]=0,0,IF(raw[[#This Row],[out]]=raw[[#This Row],[in]],0.01,raw[[#This Row],[out]]-raw[[#This Row],[in]]))</f>
        <v/>
      </c>
      <c r="P562" s="1397">
        <f>IF(raw[[#This Row],[in]]=0,0,MONTH(raw[[#This Row],[in]]))</f>
        <v/>
      </c>
      <c r="Q562" s="1397">
        <f>IF(raw[[#This Row],[in]]=0,0,YEAR(raw[[#This Row],[in]]))</f>
        <v/>
      </c>
      <c r="R562" s="1397">
        <f>INT(raw[[#This Row],[yr]]/10)*10</f>
        <v/>
      </c>
      <c r="S562" s="1395">
        <f>IF(raw[[#This Row],[city]]="","-",IF(raw[[#This Row],[city]]&lt;&gt;_xlfn.XLOOKUP(raw[[#This Row],[home]],homes[home],homes[city],"-"),1,0))</f>
        <v/>
      </c>
      <c r="T562" s="1398" t="inlineStr">
        <is>
          <t>.</t>
        </is>
      </c>
      <c r="U562" s="1399">
        <f>IF(raw[[#This Row],[wb]]="w",raw[[#This Row],[stay]]+U561,U561)</f>
        <v/>
      </c>
      <c r="V562" s="1400">
        <f>IF(raw[[#This Row],[out]]=0,V561,(raw[[#This Row],[out]]-E$5))</f>
        <v/>
      </c>
      <c r="W562" s="1401">
        <f>U562/V562</f>
        <v/>
      </c>
      <c r="X562" s="1378" t="inlineStr">
        <is>
          <t>.</t>
        </is>
      </c>
      <c r="Y562" s="1402">
        <f/>
        <v/>
      </c>
      <c r="Z562" s="1403">
        <f/>
        <v/>
      </c>
      <c r="AA562" s="1403">
        <f/>
        <v/>
      </c>
      <c r="AB562" s="1400">
        <f t="array" ref="AB562">_xlfn.LET(_xlpm.S,_xlfn.ANCHORARRAY($Y$4),_xlpm.r,ROWS(stayCity[[#Headers],[city]]:stayCity[[#This Row],[city]])-1,IF(_xlpm.r&lt;=ROWS(_xlpm.S),INDEX(_xlpm.S,_xlpm.r,1),""))</f>
        <v/>
      </c>
      <c r="AC562" s="1405">
        <f t="array" ref="AC562">_xlfn.LET(_xlpm.S,_xlfn.ANCHORARRAY($Y$4),_xlpm.r,ROWS(stayCity[[#Headers],[city]]:stayCity[[#This Row],[city]])-1,IF(_xlpm.r&lt;=ROWS(_xlpm.S),INDEX(_xlpm.S,_xlpm.r,2),""))</f>
        <v/>
      </c>
      <c r="AD562" s="1405">
        <f t="array" ref="AD562">_xlfn.LET(_xlpm.S,_xlfn.ANCHORARRAY($Y$4),_xlpm.r,ROWS(stayCity[[#Headers],[city]]:stayCity[[#This Row],[city]])-1,IF(_xlpm.r&lt;=ROWS(_xlpm.S),INDEX(_xlpm.S,_xlpm.r,3),""))</f>
        <v/>
      </c>
      <c r="AE562" s="1400">
        <f>IF(stayCity[[#This Row],[out]]&lt;&gt;"",stayCity[[#This Row],[out]]-stayCity[[#This Row],[in]],"-")</f>
        <v/>
      </c>
      <c r="AF562" s="1406">
        <f>IF(Y562="","-",YEAR(stayCity[[#This Row],[in]]))</f>
        <v/>
      </c>
      <c r="AG562" s="1392" t="n"/>
      <c r="AH562" s="1392" t="n"/>
      <c r="AI562" s="1392" t="n"/>
      <c r="AJ562" s="1392" t="n"/>
      <c r="AK562" s="1392" t="n"/>
      <c r="AL562" s="1392" t="n"/>
      <c r="AM562" s="1392" t="n"/>
      <c r="AN562" s="1392" t="n"/>
      <c r="AO562" s="1392" t="n"/>
      <c r="AP562" s="1392" t="n"/>
      <c r="AQ562" s="1392" t="n"/>
      <c r="AR562" s="1392" t="n"/>
      <c r="AS562" s="1422" t="n"/>
      <c r="AT562" s="1392" t="n"/>
      <c r="AU562" s="1392" t="n"/>
      <c r="AV562" s="1392" t="n"/>
      <c r="AW562" s="1392" t="n"/>
      <c r="AX562" s="1392" t="n"/>
      <c r="AY562" s="1392" t="n"/>
      <c r="AZ562" s="1392" t="n"/>
      <c r="BA562" s="1392" t="n"/>
      <c r="BB562" s="1422" t="n"/>
      <c r="BC562" s="1392" t="n"/>
      <c r="BD562" s="1392" t="n"/>
      <c r="BE562" s="1392" t="n"/>
      <c r="BF562" s="1392" t="n"/>
      <c r="BG562" s="1392" t="n"/>
      <c r="BH562" s="1392" t="n"/>
      <c r="BI562" s="1392" t="n"/>
      <c r="BJ562" s="1392" t="n"/>
      <c r="BK562" s="1392" t="n"/>
      <c r="BL562" s="1392" t="n"/>
      <c r="BM562" s="1392" t="n"/>
      <c r="BN562" s="1392" t="n"/>
      <c r="BO562" s="1392" t="n"/>
      <c r="BP562" s="1392" t="n"/>
      <c r="BQ562" s="1392" t="n"/>
      <c r="BR562" s="1392" t="n"/>
      <c r="BS562" s="1392" t="n"/>
      <c r="BT562" s="1392" t="n"/>
      <c r="BU562" s="1416" t="n"/>
      <c r="BV562" s="1392" t="n"/>
      <c r="BW562" s="1392" t="n"/>
      <c r="BX562" s="1392" t="n"/>
      <c r="BY562" s="1392" t="n"/>
      <c r="BZ562" s="1416" t="n"/>
      <c r="CA562" s="1392" t="n"/>
      <c r="CB562" s="1392" t="n"/>
      <c r="CC562" s="1392" t="n"/>
      <c r="CD562" s="1392" t="n"/>
      <c r="CE562" s="1392" t="n"/>
      <c r="CF562" s="1392" t="n"/>
      <c r="CG562" s="1392" t="n"/>
      <c r="CH562" s="1392" t="n"/>
      <c r="CI562" s="1392" t="n"/>
      <c r="CJ562" s="1392" t="n"/>
      <c r="CK562" s="1392" t="n"/>
      <c r="CL562" s="1392" t="n"/>
    </row>
    <row r="563">
      <c r="A563" s="5" t="inlineStr">
        <is>
          <t>.</t>
        </is>
      </c>
      <c r="B563" s="5" t="inlineStr">
        <is>
          <t>.</t>
        </is>
      </c>
      <c r="C563" s="1378">
        <f>IF(raw[[#This Row],[city]]="","-",IF(raw[[#This Row],[city]]="TODAY","-",C562+1))</f>
        <v/>
      </c>
      <c r="D563" s="1393" t="inlineStr">
        <is>
          <t>Ligonde</t>
        </is>
      </c>
      <c r="E563" s="1394" t="n">
        <v>36117</v>
      </c>
      <c r="F563" s="1394" t="n">
        <v>36118</v>
      </c>
      <c r="G563" s="1393" t="inlineStr">
        <is>
          <t>-</t>
        </is>
      </c>
      <c r="H563" s="1393">
        <f>H562</f>
        <v/>
      </c>
      <c r="I563" s="1393" t="inlineStr">
        <is>
          <t>CS</t>
        </is>
      </c>
      <c r="J563" s="1393" t="inlineStr">
        <is>
          <t>-</t>
        </is>
      </c>
      <c r="K563" s="1395">
        <f>IF(raw[[#This Row],[city]]&lt;&gt;"",_xlfn.XLOOKUP($D563,ccc[city],ccc[prov],"-"),"-")</f>
        <v/>
      </c>
      <c r="L563" s="1395">
        <f>IF(raw[[#This Row],[city]]&lt;&gt;"",_xlfn.XLOOKUP($D563,ccc[city],ccc[ctry],"-"),"-")</f>
        <v/>
      </c>
      <c r="M563" s="1395">
        <f>IF(raw[[#This Row],[city]]&lt;&gt;"",_xlfn.XLOOKUP($D563,ccc[city],ccc[cont],"-"),"-")</f>
        <v/>
      </c>
      <c r="N563" s="1396">
        <f>IF(raw[[#This Row],[city]]="","-",IF(raw[[#This Row],[cont]]="B",raw[[#This Row],[cont]],"W"))</f>
        <v/>
      </c>
      <c r="O563" s="1397">
        <f>IF(raw[[#This Row],[out]]=0,0,IF(raw[[#This Row],[out]]=raw[[#This Row],[in]],0.01,raw[[#This Row],[out]]-raw[[#This Row],[in]]))</f>
        <v/>
      </c>
      <c r="P563" s="1397">
        <f>IF(raw[[#This Row],[in]]=0,0,MONTH(raw[[#This Row],[in]]))</f>
        <v/>
      </c>
      <c r="Q563" s="1397">
        <f>IF(raw[[#This Row],[in]]=0,0,YEAR(raw[[#This Row],[in]]))</f>
        <v/>
      </c>
      <c r="R563" s="1397">
        <f>INT(raw[[#This Row],[yr]]/10)*10</f>
        <v/>
      </c>
      <c r="S563" s="1395">
        <f>IF(raw[[#This Row],[city]]="","-",IF(raw[[#This Row],[city]]&lt;&gt;_xlfn.XLOOKUP(raw[[#This Row],[home]],homes[home],homes[city],"-"),1,0))</f>
        <v/>
      </c>
      <c r="T563" s="1398" t="inlineStr">
        <is>
          <t>.</t>
        </is>
      </c>
      <c r="U563" s="1399">
        <f>IF(raw[[#This Row],[wb]]="w",raw[[#This Row],[stay]]+U562,U562)</f>
        <v/>
      </c>
      <c r="V563" s="1400">
        <f>IF(raw[[#This Row],[out]]=0,V562,(raw[[#This Row],[out]]-E$5))</f>
        <v/>
      </c>
      <c r="W563" s="1401">
        <f>U563/V563</f>
        <v/>
      </c>
      <c r="X563" s="1378" t="inlineStr">
        <is>
          <t>.</t>
        </is>
      </c>
      <c r="Y563" s="1402">
        <f/>
        <v/>
      </c>
      <c r="Z563" s="1403">
        <f/>
        <v/>
      </c>
      <c r="AA563" s="1403">
        <f/>
        <v/>
      </c>
      <c r="AB563" s="1400">
        <f t="array" ref="AB563">_xlfn.LET(_xlpm.S,_xlfn.ANCHORARRAY($Y$4),_xlpm.r,ROWS(stayCity[[#Headers],[city]]:stayCity[[#This Row],[city]])-1,IF(_xlpm.r&lt;=ROWS(_xlpm.S),INDEX(_xlpm.S,_xlpm.r,1),""))</f>
        <v/>
      </c>
      <c r="AC563" s="1405">
        <f t="array" ref="AC563">_xlfn.LET(_xlpm.S,_xlfn.ANCHORARRAY($Y$4),_xlpm.r,ROWS(stayCity[[#Headers],[city]]:stayCity[[#This Row],[city]])-1,IF(_xlpm.r&lt;=ROWS(_xlpm.S),INDEX(_xlpm.S,_xlpm.r,2),""))</f>
        <v/>
      </c>
      <c r="AD563" s="1405">
        <f t="array" ref="AD563">_xlfn.LET(_xlpm.S,_xlfn.ANCHORARRAY($Y$4),_xlpm.r,ROWS(stayCity[[#Headers],[city]]:stayCity[[#This Row],[city]])-1,IF(_xlpm.r&lt;=ROWS(_xlpm.S),INDEX(_xlpm.S,_xlpm.r,3),""))</f>
        <v/>
      </c>
      <c r="AE563" s="1400">
        <f>IF(stayCity[[#This Row],[out]]&lt;&gt;"",stayCity[[#This Row],[out]]-stayCity[[#This Row],[in]],"-")</f>
        <v/>
      </c>
      <c r="AF563" s="1406">
        <f>IF(Y563="","-",YEAR(stayCity[[#This Row],[in]]))</f>
        <v/>
      </c>
      <c r="AG563" s="1392" t="n"/>
      <c r="AH563" s="1392" t="n"/>
      <c r="AI563" s="1392" t="n"/>
      <c r="AJ563" s="1392" t="n"/>
      <c r="AK563" s="1392" t="n"/>
      <c r="AL563" s="1392" t="n"/>
      <c r="AM563" s="1392" t="n"/>
      <c r="AN563" s="1392" t="n"/>
      <c r="AO563" s="1392" t="n"/>
      <c r="AP563" s="1392" t="n"/>
      <c r="AQ563" s="1392" t="n"/>
      <c r="AR563" s="1392" t="n"/>
      <c r="AS563" s="1422" t="n"/>
      <c r="AT563" s="1392" t="n"/>
      <c r="AU563" s="1392" t="n"/>
      <c r="AV563" s="1392" t="n"/>
      <c r="AW563" s="1392" t="n"/>
      <c r="AX563" s="1392" t="n"/>
      <c r="AY563" s="1392" t="n"/>
      <c r="AZ563" s="1392" t="n"/>
      <c r="BA563" s="1392" t="n"/>
      <c r="BB563" s="1422" t="n"/>
      <c r="BC563" s="1392" t="n"/>
      <c r="BD563" s="1392" t="n"/>
      <c r="BE563" s="1392" t="n"/>
      <c r="BF563" s="1392" t="n"/>
      <c r="BG563" s="1392" t="n"/>
      <c r="BH563" s="1392" t="n"/>
      <c r="BI563" s="1392" t="n"/>
      <c r="BJ563" s="1392" t="n"/>
      <c r="BK563" s="1392" t="n"/>
      <c r="BL563" s="1392" t="n"/>
      <c r="BM563" s="1392" t="n"/>
      <c r="BN563" s="1392" t="n"/>
      <c r="BO563" s="1392" t="n"/>
      <c r="BP563" s="1392" t="n"/>
      <c r="BQ563" s="1392" t="n"/>
      <c r="BR563" s="1392" t="n"/>
      <c r="BS563" s="1392" t="n"/>
      <c r="BT563" s="1392" t="n"/>
      <c r="BU563" s="1416" t="n"/>
      <c r="BV563" s="1392" t="n"/>
      <c r="BW563" s="1392" t="n"/>
      <c r="BX563" s="1392" t="n"/>
      <c r="BY563" s="1392" t="n"/>
      <c r="BZ563" s="1416" t="n"/>
      <c r="CA563" s="1392" t="n"/>
      <c r="CB563" s="1392" t="n"/>
      <c r="CC563" s="1392" t="n"/>
      <c r="CD563" s="1392" t="n"/>
      <c r="CE563" s="1392" t="n"/>
      <c r="CF563" s="1392" t="n"/>
      <c r="CG563" s="1392" t="n"/>
      <c r="CH563" s="1392" t="n"/>
      <c r="CI563" s="1392" t="n"/>
      <c r="CJ563" s="1392" t="n"/>
      <c r="CK563" s="1392" t="n"/>
      <c r="CL563" s="1392" t="n"/>
    </row>
    <row r="564">
      <c r="A564" s="5" t="inlineStr">
        <is>
          <t>.</t>
        </is>
      </c>
      <c r="B564" s="5" t="inlineStr">
        <is>
          <t>.</t>
        </is>
      </c>
      <c r="C564" s="1378">
        <f>IF(raw[[#This Row],[city]]="","-",IF(raw[[#This Row],[city]]="TODAY","-",C563+1))</f>
        <v/>
      </c>
      <c r="D564" s="1393" t="inlineStr">
        <is>
          <t>Palas de Rey</t>
        </is>
      </c>
      <c r="E564" s="1394" t="n">
        <v>36118</v>
      </c>
      <c r="F564" s="1394" t="n">
        <v>36118</v>
      </c>
      <c r="G564" s="1393" t="inlineStr">
        <is>
          <t>-</t>
        </is>
      </c>
      <c r="H564" s="1393">
        <f>H563</f>
        <v/>
      </c>
      <c r="I564" s="1393" t="inlineStr">
        <is>
          <t>CS</t>
        </is>
      </c>
      <c r="J564" s="1393" t="inlineStr">
        <is>
          <t>-</t>
        </is>
      </c>
      <c r="K564" s="1395">
        <f>IF(raw[[#This Row],[city]]&lt;&gt;"",_xlfn.XLOOKUP($D564,ccc[city],ccc[prov],"-"),"-")</f>
        <v/>
      </c>
      <c r="L564" s="1395">
        <f>IF(raw[[#This Row],[city]]&lt;&gt;"",_xlfn.XLOOKUP($D564,ccc[city],ccc[ctry],"-"),"-")</f>
        <v/>
      </c>
      <c r="M564" s="1395">
        <f>IF(raw[[#This Row],[city]]&lt;&gt;"",_xlfn.XLOOKUP($D564,ccc[city],ccc[cont],"-"),"-")</f>
        <v/>
      </c>
      <c r="N564" s="1396">
        <f>IF(raw[[#This Row],[city]]="","-",IF(raw[[#This Row],[cont]]="B",raw[[#This Row],[cont]],"W"))</f>
        <v/>
      </c>
      <c r="O564" s="1397">
        <f>IF(raw[[#This Row],[out]]=0,0,IF(raw[[#This Row],[out]]=raw[[#This Row],[in]],0.01,raw[[#This Row],[out]]-raw[[#This Row],[in]]))</f>
        <v/>
      </c>
      <c r="P564" s="1397">
        <f>IF(raw[[#This Row],[in]]=0,0,MONTH(raw[[#This Row],[in]]))</f>
        <v/>
      </c>
      <c r="Q564" s="1397">
        <f>IF(raw[[#This Row],[in]]=0,0,YEAR(raw[[#This Row],[in]]))</f>
        <v/>
      </c>
      <c r="R564" s="1397">
        <f>INT(raw[[#This Row],[yr]]/10)*10</f>
        <v/>
      </c>
      <c r="S564" s="1395">
        <f>IF(raw[[#This Row],[city]]="","-",IF(raw[[#This Row],[city]]&lt;&gt;_xlfn.XLOOKUP(raw[[#This Row],[home]],homes[home],homes[city],"-"),1,0))</f>
        <v/>
      </c>
      <c r="T564" s="1398" t="inlineStr">
        <is>
          <t>.</t>
        </is>
      </c>
      <c r="U564" s="1399">
        <f>IF(raw[[#This Row],[wb]]="w",raw[[#This Row],[stay]]+U563,U563)</f>
        <v/>
      </c>
      <c r="V564" s="1400">
        <f>IF(raw[[#This Row],[out]]=0,V563,(raw[[#This Row],[out]]-E$5))</f>
        <v/>
      </c>
      <c r="W564" s="1401">
        <f>U564/V564</f>
        <v/>
      </c>
      <c r="X564" s="1378" t="inlineStr">
        <is>
          <t>.</t>
        </is>
      </c>
      <c r="Y564" s="1402">
        <f/>
        <v/>
      </c>
      <c r="Z564" s="1403">
        <f/>
        <v/>
      </c>
      <c r="AA564" s="1403">
        <f/>
        <v/>
      </c>
      <c r="AB564" s="1400">
        <f t="array" ref="AB564">_xlfn.LET(_xlpm.S,_xlfn.ANCHORARRAY($Y$4),_xlpm.r,ROWS(stayCity[[#Headers],[city]]:stayCity[[#This Row],[city]])-1,IF(_xlpm.r&lt;=ROWS(_xlpm.S),INDEX(_xlpm.S,_xlpm.r,1),""))</f>
        <v/>
      </c>
      <c r="AC564" s="1405">
        <f t="array" ref="AC564">_xlfn.LET(_xlpm.S,_xlfn.ANCHORARRAY($Y$4),_xlpm.r,ROWS(stayCity[[#Headers],[city]]:stayCity[[#This Row],[city]])-1,IF(_xlpm.r&lt;=ROWS(_xlpm.S),INDEX(_xlpm.S,_xlpm.r,2),""))</f>
        <v/>
      </c>
      <c r="AD564" s="1405">
        <f t="array" ref="AD564">_xlfn.LET(_xlpm.S,_xlfn.ANCHORARRAY($Y$4),_xlpm.r,ROWS(stayCity[[#Headers],[city]]:stayCity[[#This Row],[city]])-1,IF(_xlpm.r&lt;=ROWS(_xlpm.S),INDEX(_xlpm.S,_xlpm.r,3),""))</f>
        <v/>
      </c>
      <c r="AE564" s="1400">
        <f>IF(stayCity[[#This Row],[out]]&lt;&gt;"",stayCity[[#This Row],[out]]-stayCity[[#This Row],[in]],"-")</f>
        <v/>
      </c>
      <c r="AF564" s="1406">
        <f>IF(Y564="","-",YEAR(stayCity[[#This Row],[in]]))</f>
        <v/>
      </c>
      <c r="AG564" s="1392" t="n"/>
      <c r="AH564" s="1392" t="n"/>
      <c r="AI564" s="1392" t="n"/>
      <c r="AJ564" s="1392" t="n"/>
      <c r="AK564" s="1392" t="n"/>
      <c r="AL564" s="1392" t="n"/>
      <c r="AM564" s="1392" t="n"/>
      <c r="AN564" s="1392" t="n"/>
      <c r="AO564" s="1392" t="n"/>
      <c r="AP564" s="1392" t="n"/>
      <c r="AQ564" s="1392" t="n"/>
      <c r="AR564" s="1392" t="n"/>
      <c r="AS564" s="1422" t="n"/>
      <c r="AT564" s="1392" t="n"/>
      <c r="AU564" s="1392" t="n"/>
      <c r="AV564" s="1392" t="n"/>
      <c r="AW564" s="1392" t="n"/>
      <c r="AX564" s="1392" t="n"/>
      <c r="AY564" s="1392" t="n"/>
      <c r="AZ564" s="1392" t="n"/>
      <c r="BA564" s="1392" t="n"/>
      <c r="BB564" s="1422" t="n"/>
      <c r="BC564" s="1392" t="n"/>
      <c r="BD564" s="1392" t="n"/>
      <c r="BE564" s="1392" t="n"/>
      <c r="BF564" s="1392" t="n"/>
      <c r="BG564" s="1392" t="n"/>
      <c r="BH564" s="1392" t="n"/>
      <c r="BI564" s="1392" t="n"/>
      <c r="BJ564" s="1392" t="n"/>
      <c r="BK564" s="1392" t="n"/>
      <c r="BL564" s="1392" t="n"/>
      <c r="BM564" s="1392" t="n"/>
      <c r="BN564" s="1392" t="n"/>
      <c r="BO564" s="1392" t="n"/>
      <c r="BP564" s="1392" t="n"/>
      <c r="BQ564" s="1392" t="n"/>
      <c r="BR564" s="1392" t="n"/>
      <c r="BS564" s="1392" t="n"/>
      <c r="BT564" s="1392" t="n"/>
      <c r="BU564" s="1416" t="n"/>
      <c r="BV564" s="1392" t="n"/>
      <c r="BW564" s="1392" t="n"/>
      <c r="BX564" s="1392" t="n"/>
      <c r="BY564" s="1392" t="n"/>
      <c r="BZ564" s="1416" t="n"/>
      <c r="CA564" s="1392" t="n"/>
      <c r="CB564" s="1392" t="n"/>
      <c r="CC564" s="1392" t="n"/>
      <c r="CD564" s="1392" t="n"/>
      <c r="CE564" s="1392" t="n"/>
      <c r="CF564" s="1392" t="n"/>
      <c r="CG564" s="1392" t="n"/>
      <c r="CH564" s="1392" t="n"/>
      <c r="CI564" s="1392" t="n"/>
      <c r="CJ564" s="1392" t="n"/>
      <c r="CK564" s="1392" t="n"/>
      <c r="CL564" s="1392" t="n"/>
    </row>
    <row r="565">
      <c r="A565" s="5" t="inlineStr">
        <is>
          <t>.</t>
        </is>
      </c>
      <c r="B565" s="5" t="inlineStr">
        <is>
          <t>.</t>
        </is>
      </c>
      <c r="C565" s="1378">
        <f>IF(raw[[#This Row],[city]]="","-",IF(raw[[#This Row],[city]]="TODAY","-",C564+1))</f>
        <v/>
      </c>
      <c r="D565" s="1393" t="inlineStr">
        <is>
          <t>Mellid</t>
        </is>
      </c>
      <c r="E565" s="1394" t="n">
        <v>36118</v>
      </c>
      <c r="F565" s="1394" t="n">
        <v>36118</v>
      </c>
      <c r="G565" s="1393" t="inlineStr">
        <is>
          <t>-</t>
        </is>
      </c>
      <c r="H565" s="1393">
        <f>H564</f>
        <v/>
      </c>
      <c r="I565" s="1393" t="inlineStr">
        <is>
          <t>CS</t>
        </is>
      </c>
      <c r="J565" s="1393" t="inlineStr">
        <is>
          <t>-</t>
        </is>
      </c>
      <c r="K565" s="1395">
        <f>IF(raw[[#This Row],[city]]&lt;&gt;"",_xlfn.XLOOKUP($D565,ccc[city],ccc[prov],"-"),"-")</f>
        <v/>
      </c>
      <c r="L565" s="1395">
        <f>IF(raw[[#This Row],[city]]&lt;&gt;"",_xlfn.XLOOKUP($D565,ccc[city],ccc[ctry],"-"),"-")</f>
        <v/>
      </c>
      <c r="M565" s="1395">
        <f>IF(raw[[#This Row],[city]]&lt;&gt;"",_xlfn.XLOOKUP($D565,ccc[city],ccc[cont],"-"),"-")</f>
        <v/>
      </c>
      <c r="N565" s="1396">
        <f>IF(raw[[#This Row],[city]]="","-",IF(raw[[#This Row],[cont]]="B",raw[[#This Row],[cont]],"W"))</f>
        <v/>
      </c>
      <c r="O565" s="1397">
        <f>IF(raw[[#This Row],[out]]=0,0,IF(raw[[#This Row],[out]]=raw[[#This Row],[in]],0.01,raw[[#This Row],[out]]-raw[[#This Row],[in]]))</f>
        <v/>
      </c>
      <c r="P565" s="1397">
        <f>IF(raw[[#This Row],[in]]=0,0,MONTH(raw[[#This Row],[in]]))</f>
        <v/>
      </c>
      <c r="Q565" s="1397">
        <f>IF(raw[[#This Row],[in]]=0,0,YEAR(raw[[#This Row],[in]]))</f>
        <v/>
      </c>
      <c r="R565" s="1397">
        <f>INT(raw[[#This Row],[yr]]/10)*10</f>
        <v/>
      </c>
      <c r="S565" s="1395">
        <f>IF(raw[[#This Row],[city]]="","-",IF(raw[[#This Row],[city]]&lt;&gt;_xlfn.XLOOKUP(raw[[#This Row],[home]],homes[home],homes[city],"-"),1,0))</f>
        <v/>
      </c>
      <c r="T565" s="1398" t="inlineStr">
        <is>
          <t>.</t>
        </is>
      </c>
      <c r="U565" s="1399">
        <f>IF(raw[[#This Row],[wb]]="w",raw[[#This Row],[stay]]+U564,U564)</f>
        <v/>
      </c>
      <c r="V565" s="1400">
        <f>IF(raw[[#This Row],[out]]=0,V564,(raw[[#This Row],[out]]-E$5))</f>
        <v/>
      </c>
      <c r="W565" s="1401">
        <f>U565/V565</f>
        <v/>
      </c>
      <c r="X565" s="1378" t="inlineStr">
        <is>
          <t>.</t>
        </is>
      </c>
      <c r="Y565" s="1402">
        <f/>
        <v/>
      </c>
      <c r="Z565" s="1403">
        <f/>
        <v/>
      </c>
      <c r="AA565" s="1403">
        <f/>
        <v/>
      </c>
      <c r="AB565" s="1400">
        <f t="array" ref="AB565">_xlfn.LET(_xlpm.S,_xlfn.ANCHORARRAY($Y$4),_xlpm.r,ROWS(stayCity[[#Headers],[city]]:stayCity[[#This Row],[city]])-1,IF(_xlpm.r&lt;=ROWS(_xlpm.S),INDEX(_xlpm.S,_xlpm.r,1),""))</f>
        <v/>
      </c>
      <c r="AC565" s="1405">
        <f t="array" ref="AC565">_xlfn.LET(_xlpm.S,_xlfn.ANCHORARRAY($Y$4),_xlpm.r,ROWS(stayCity[[#Headers],[city]]:stayCity[[#This Row],[city]])-1,IF(_xlpm.r&lt;=ROWS(_xlpm.S),INDEX(_xlpm.S,_xlpm.r,2),""))</f>
        <v/>
      </c>
      <c r="AD565" s="1405">
        <f t="array" ref="AD565">_xlfn.LET(_xlpm.S,_xlfn.ANCHORARRAY($Y$4),_xlpm.r,ROWS(stayCity[[#Headers],[city]]:stayCity[[#This Row],[city]])-1,IF(_xlpm.r&lt;=ROWS(_xlpm.S),INDEX(_xlpm.S,_xlpm.r,3),""))</f>
        <v/>
      </c>
      <c r="AE565" s="1400">
        <f>IF(stayCity[[#This Row],[out]]&lt;&gt;"",stayCity[[#This Row],[out]]-stayCity[[#This Row],[in]],"-")</f>
        <v/>
      </c>
      <c r="AF565" s="1406">
        <f>IF(Y565="","-",YEAR(stayCity[[#This Row],[in]]))</f>
        <v/>
      </c>
      <c r="AG565" s="1392" t="n"/>
      <c r="AH565" s="1392" t="n"/>
      <c r="AI565" s="1392" t="n"/>
      <c r="AJ565" s="1392" t="n"/>
      <c r="AK565" s="1392" t="n"/>
      <c r="AL565" s="1392" t="n"/>
      <c r="AM565" s="1392" t="n"/>
      <c r="AN565" s="1392" t="n"/>
      <c r="AO565" s="1392" t="n"/>
      <c r="AP565" s="1392" t="n"/>
      <c r="AQ565" s="1392" t="n"/>
      <c r="AR565" s="1392" t="n"/>
      <c r="AS565" s="1422" t="n"/>
      <c r="AT565" s="1392" t="n"/>
      <c r="AU565" s="1392" t="n"/>
      <c r="AV565" s="1392" t="n"/>
      <c r="AW565" s="1392" t="n"/>
      <c r="AX565" s="1392" t="n"/>
      <c r="AY565" s="1392" t="n"/>
      <c r="AZ565" s="1392" t="n"/>
      <c r="BA565" s="1392" t="n"/>
      <c r="BB565" s="1422" t="n"/>
      <c r="BC565" s="1392" t="n"/>
      <c r="BD565" s="1392" t="n"/>
      <c r="BE565" s="1392" t="n"/>
      <c r="BF565" s="1392" t="n"/>
      <c r="BG565" s="1392" t="n"/>
      <c r="BH565" s="1392" t="n"/>
      <c r="BI565" s="1392" t="n"/>
      <c r="BJ565" s="1392" t="n"/>
      <c r="BK565" s="1392" t="n"/>
      <c r="BL565" s="1392" t="n"/>
      <c r="BM565" s="1392" t="n"/>
      <c r="BN565" s="1392" t="n"/>
      <c r="BO565" s="1392" t="n"/>
      <c r="BP565" s="1392" t="n"/>
      <c r="BQ565" s="1392" t="n"/>
      <c r="BR565" s="1392" t="n"/>
      <c r="BS565" s="1392" t="n"/>
      <c r="BT565" s="1392" t="n"/>
      <c r="BU565" s="1416" t="n"/>
      <c r="BV565" s="1392" t="n"/>
      <c r="BW565" s="1392" t="n"/>
      <c r="BX565" s="1392" t="n"/>
      <c r="BY565" s="1392" t="n"/>
      <c r="BZ565" s="1416" t="n"/>
      <c r="CA565" s="1392" t="n"/>
      <c r="CB565" s="1392" t="n"/>
      <c r="CC565" s="1392" t="n"/>
      <c r="CD565" s="1392" t="n"/>
      <c r="CE565" s="1392" t="n"/>
      <c r="CF565" s="1392" t="n"/>
      <c r="CG565" s="1392" t="n"/>
      <c r="CH565" s="1392" t="n"/>
      <c r="CI565" s="1392" t="n"/>
      <c r="CJ565" s="1392" t="n"/>
      <c r="CK565" s="1392" t="n"/>
      <c r="CL565" s="1392" t="n"/>
    </row>
    <row r="566">
      <c r="A566" s="5" t="inlineStr">
        <is>
          <t>.</t>
        </is>
      </c>
      <c r="B566" s="5" t="inlineStr">
        <is>
          <t>.</t>
        </is>
      </c>
      <c r="C566" s="1378">
        <f>IF(raw[[#This Row],[city]]="","-",IF(raw[[#This Row],[city]]="TODAY","-",C565+1))</f>
        <v/>
      </c>
      <c r="D566" s="1393" t="inlineStr">
        <is>
          <t>Ribadiso</t>
        </is>
      </c>
      <c r="E566" s="1394" t="n">
        <v>36118</v>
      </c>
      <c r="F566" s="1394" t="n">
        <v>36118</v>
      </c>
      <c r="G566" s="1393" t="inlineStr">
        <is>
          <t>-</t>
        </is>
      </c>
      <c r="H566" s="1393">
        <f>H565</f>
        <v/>
      </c>
      <c r="I566" s="1393" t="inlineStr">
        <is>
          <t>CS</t>
        </is>
      </c>
      <c r="J566" s="1393" t="inlineStr">
        <is>
          <t>-</t>
        </is>
      </c>
      <c r="K566" s="1395">
        <f>IF(raw[[#This Row],[city]]&lt;&gt;"",_xlfn.XLOOKUP($D566,ccc[city],ccc[prov],"-"),"-")</f>
        <v/>
      </c>
      <c r="L566" s="1395">
        <f>IF(raw[[#This Row],[city]]&lt;&gt;"",_xlfn.XLOOKUP($D566,ccc[city],ccc[ctry],"-"),"-")</f>
        <v/>
      </c>
      <c r="M566" s="1395">
        <f>IF(raw[[#This Row],[city]]&lt;&gt;"",_xlfn.XLOOKUP($D566,ccc[city],ccc[cont],"-"),"-")</f>
        <v/>
      </c>
      <c r="N566" s="1396">
        <f>IF(raw[[#This Row],[city]]="","-",IF(raw[[#This Row],[cont]]="B",raw[[#This Row],[cont]],"W"))</f>
        <v/>
      </c>
      <c r="O566" s="1397">
        <f>IF(raw[[#This Row],[out]]=0,0,IF(raw[[#This Row],[out]]=raw[[#This Row],[in]],0.01,raw[[#This Row],[out]]-raw[[#This Row],[in]]))</f>
        <v/>
      </c>
      <c r="P566" s="1397">
        <f>IF(raw[[#This Row],[in]]=0,0,MONTH(raw[[#This Row],[in]]))</f>
        <v/>
      </c>
      <c r="Q566" s="1397">
        <f>IF(raw[[#This Row],[in]]=0,0,YEAR(raw[[#This Row],[in]]))</f>
        <v/>
      </c>
      <c r="R566" s="1397">
        <f>INT(raw[[#This Row],[yr]]/10)*10</f>
        <v/>
      </c>
      <c r="S566" s="1395">
        <f>IF(raw[[#This Row],[city]]="","-",IF(raw[[#This Row],[city]]&lt;&gt;_xlfn.XLOOKUP(raw[[#This Row],[home]],homes[home],homes[city],"-"),1,0))</f>
        <v/>
      </c>
      <c r="T566" s="1398" t="inlineStr">
        <is>
          <t>.</t>
        </is>
      </c>
      <c r="U566" s="1399">
        <f>IF(raw[[#This Row],[wb]]="w",raw[[#This Row],[stay]]+U565,U565)</f>
        <v/>
      </c>
      <c r="V566" s="1400">
        <f>IF(raw[[#This Row],[out]]=0,V565,(raw[[#This Row],[out]]-E$5))</f>
        <v/>
      </c>
      <c r="W566" s="1401">
        <f>U566/V566</f>
        <v/>
      </c>
      <c r="X566" s="1378" t="inlineStr">
        <is>
          <t>.</t>
        </is>
      </c>
      <c r="Y566" s="1402">
        <f/>
        <v/>
      </c>
      <c r="Z566" s="1403">
        <f/>
        <v/>
      </c>
      <c r="AA566" s="1403">
        <f/>
        <v/>
      </c>
      <c r="AB566" s="1400">
        <f t="array" ref="AB566">_xlfn.LET(_xlpm.S,_xlfn.ANCHORARRAY($Y$4),_xlpm.r,ROWS(stayCity[[#Headers],[city]]:stayCity[[#This Row],[city]])-1,IF(_xlpm.r&lt;=ROWS(_xlpm.S),INDEX(_xlpm.S,_xlpm.r,1),""))</f>
        <v/>
      </c>
      <c r="AC566" s="1405">
        <f t="array" ref="AC566">_xlfn.LET(_xlpm.S,_xlfn.ANCHORARRAY($Y$4),_xlpm.r,ROWS(stayCity[[#Headers],[city]]:stayCity[[#This Row],[city]])-1,IF(_xlpm.r&lt;=ROWS(_xlpm.S),INDEX(_xlpm.S,_xlpm.r,2),""))</f>
        <v/>
      </c>
      <c r="AD566" s="1405">
        <f t="array" ref="AD566">_xlfn.LET(_xlpm.S,_xlfn.ANCHORARRAY($Y$4),_xlpm.r,ROWS(stayCity[[#Headers],[city]]:stayCity[[#This Row],[city]])-1,IF(_xlpm.r&lt;=ROWS(_xlpm.S),INDEX(_xlpm.S,_xlpm.r,3),""))</f>
        <v/>
      </c>
      <c r="AE566" s="1400">
        <f>IF(stayCity[[#This Row],[out]]&lt;&gt;"",stayCity[[#This Row],[out]]-stayCity[[#This Row],[in]],"-")</f>
        <v/>
      </c>
      <c r="AF566" s="1406">
        <f>IF(Y566="","-",YEAR(stayCity[[#This Row],[in]]))</f>
        <v/>
      </c>
      <c r="AG566" s="1392" t="n"/>
      <c r="AH566" s="1392" t="n"/>
      <c r="AI566" s="1392" t="n"/>
      <c r="AJ566" s="1392" t="n"/>
      <c r="AK566" s="1392" t="n"/>
      <c r="AL566" s="1392" t="n"/>
      <c r="AM566" s="1392" t="n"/>
      <c r="AN566" s="1392" t="n"/>
      <c r="AO566" s="1392" t="n"/>
      <c r="AP566" s="1392" t="n"/>
      <c r="AQ566" s="1392" t="n"/>
      <c r="AR566" s="1392" t="n"/>
      <c r="AS566" s="1422" t="n"/>
      <c r="AT566" s="1392" t="n"/>
      <c r="AU566" s="1392" t="n"/>
      <c r="AV566" s="1392" t="n"/>
      <c r="AW566" s="1392" t="n"/>
      <c r="AX566" s="1392" t="n"/>
      <c r="AY566" s="1392" t="n"/>
      <c r="AZ566" s="1392" t="n"/>
      <c r="BA566" s="1392" t="n"/>
      <c r="BB566" s="1422" t="n"/>
      <c r="BC566" s="1392" t="n"/>
      <c r="BD566" s="1392" t="n"/>
      <c r="BE566" s="1392" t="n"/>
      <c r="BF566" s="1392" t="n"/>
      <c r="BG566" s="1392" t="n"/>
      <c r="BH566" s="1392" t="n"/>
      <c r="BI566" s="1392" t="n"/>
      <c r="BJ566" s="1392" t="n"/>
      <c r="BK566" s="1392" t="n"/>
      <c r="BL566" s="1392" t="n"/>
      <c r="BM566" s="1392" t="n"/>
      <c r="BN566" s="1392" t="n"/>
      <c r="BO566" s="1392" t="n"/>
      <c r="BP566" s="1392" t="n"/>
      <c r="BQ566" s="1392" t="n"/>
      <c r="BR566" s="1392" t="n"/>
      <c r="BS566" s="1392" t="n"/>
      <c r="BT566" s="1392" t="n"/>
      <c r="BU566" s="1416" t="n"/>
      <c r="BV566" s="1392" t="n"/>
      <c r="BW566" s="1392" t="n"/>
      <c r="BX566" s="1392" t="n"/>
      <c r="BY566" s="1392" t="n"/>
      <c r="BZ566" s="1416" t="n"/>
      <c r="CA566" s="1392" t="n"/>
      <c r="CB566" s="1392" t="n"/>
      <c r="CC566" s="1392" t="n"/>
      <c r="CD566" s="1392" t="n"/>
      <c r="CE566" s="1392" t="n"/>
      <c r="CF566" s="1392" t="n"/>
      <c r="CG566" s="1392" t="n"/>
      <c r="CH566" s="1392" t="n"/>
      <c r="CI566" s="1392" t="n"/>
      <c r="CJ566" s="1392" t="n"/>
      <c r="CK566" s="1392" t="n"/>
      <c r="CL566" s="1392" t="n"/>
    </row>
    <row r="567">
      <c r="A567" s="5" t="inlineStr">
        <is>
          <t>.</t>
        </is>
      </c>
      <c r="B567" s="5" t="inlineStr">
        <is>
          <t>.</t>
        </is>
      </c>
      <c r="C567" s="1378">
        <f>IF(raw[[#This Row],[city]]="","-",IF(raw[[#This Row],[city]]="TODAY","-",C566+1))</f>
        <v/>
      </c>
      <c r="D567" s="1393" t="inlineStr">
        <is>
          <t>Arzuá</t>
        </is>
      </c>
      <c r="E567" s="1394" t="n">
        <v>36118</v>
      </c>
      <c r="F567" s="1394" t="n">
        <v>36118</v>
      </c>
      <c r="G567" s="1393" t="inlineStr">
        <is>
          <t>-</t>
        </is>
      </c>
      <c r="H567" s="1393">
        <f>H566</f>
        <v/>
      </c>
      <c r="I567" s="1393" t="inlineStr">
        <is>
          <t>CS</t>
        </is>
      </c>
      <c r="J567" s="1393" t="inlineStr">
        <is>
          <t>-</t>
        </is>
      </c>
      <c r="K567" s="1395">
        <f>IF(raw[[#This Row],[city]]&lt;&gt;"",_xlfn.XLOOKUP($D567,ccc[city],ccc[prov],"-"),"-")</f>
        <v/>
      </c>
      <c r="L567" s="1395">
        <f>IF(raw[[#This Row],[city]]&lt;&gt;"",_xlfn.XLOOKUP($D567,ccc[city],ccc[ctry],"-"),"-")</f>
        <v/>
      </c>
      <c r="M567" s="1395">
        <f>IF(raw[[#This Row],[city]]&lt;&gt;"",_xlfn.XLOOKUP($D567,ccc[city],ccc[cont],"-"),"-")</f>
        <v/>
      </c>
      <c r="N567" s="1396">
        <f>IF(raw[[#This Row],[city]]="","-",IF(raw[[#This Row],[cont]]="B",raw[[#This Row],[cont]],"W"))</f>
        <v/>
      </c>
      <c r="O567" s="1397">
        <f>IF(raw[[#This Row],[out]]=0,0,IF(raw[[#This Row],[out]]=raw[[#This Row],[in]],0.01,raw[[#This Row],[out]]-raw[[#This Row],[in]]))</f>
        <v/>
      </c>
      <c r="P567" s="1397">
        <f>IF(raw[[#This Row],[in]]=0,0,MONTH(raw[[#This Row],[in]]))</f>
        <v/>
      </c>
      <c r="Q567" s="1397">
        <f>IF(raw[[#This Row],[in]]=0,0,YEAR(raw[[#This Row],[in]]))</f>
        <v/>
      </c>
      <c r="R567" s="1397">
        <f>INT(raw[[#This Row],[yr]]/10)*10</f>
        <v/>
      </c>
      <c r="S567" s="1395">
        <f>IF(raw[[#This Row],[city]]="","-",IF(raw[[#This Row],[city]]&lt;&gt;_xlfn.XLOOKUP(raw[[#This Row],[home]],homes[home],homes[city],"-"),1,0))</f>
        <v/>
      </c>
      <c r="T567" s="1398" t="inlineStr">
        <is>
          <t>.</t>
        </is>
      </c>
      <c r="U567" s="1399">
        <f>IF(raw[[#This Row],[wb]]="w",raw[[#This Row],[stay]]+U566,U566)</f>
        <v/>
      </c>
      <c r="V567" s="1400">
        <f>IF(raw[[#This Row],[out]]=0,V566,(raw[[#This Row],[out]]-E$5))</f>
        <v/>
      </c>
      <c r="W567" s="1401">
        <f>U567/V567</f>
        <v/>
      </c>
      <c r="X567" s="1378" t="inlineStr">
        <is>
          <t>.</t>
        </is>
      </c>
      <c r="Y567" s="1402">
        <f/>
        <v/>
      </c>
      <c r="Z567" s="1403">
        <f/>
        <v/>
      </c>
      <c r="AA567" s="1403">
        <f/>
        <v/>
      </c>
      <c r="AB567" s="1400">
        <f t="array" ref="AB567">_xlfn.LET(_xlpm.S,_xlfn.ANCHORARRAY($Y$4),_xlpm.r,ROWS(stayCity[[#Headers],[city]]:stayCity[[#This Row],[city]])-1,IF(_xlpm.r&lt;=ROWS(_xlpm.S),INDEX(_xlpm.S,_xlpm.r,1),""))</f>
        <v/>
      </c>
      <c r="AC567" s="1405">
        <f t="array" ref="AC567">_xlfn.LET(_xlpm.S,_xlfn.ANCHORARRAY($Y$4),_xlpm.r,ROWS(stayCity[[#Headers],[city]]:stayCity[[#This Row],[city]])-1,IF(_xlpm.r&lt;=ROWS(_xlpm.S),INDEX(_xlpm.S,_xlpm.r,2),""))</f>
        <v/>
      </c>
      <c r="AD567" s="1405">
        <f t="array" ref="AD567">_xlfn.LET(_xlpm.S,_xlfn.ANCHORARRAY($Y$4),_xlpm.r,ROWS(stayCity[[#Headers],[city]]:stayCity[[#This Row],[city]])-1,IF(_xlpm.r&lt;=ROWS(_xlpm.S),INDEX(_xlpm.S,_xlpm.r,3),""))</f>
        <v/>
      </c>
      <c r="AE567" s="1400">
        <f>IF(stayCity[[#This Row],[out]]&lt;&gt;"",stayCity[[#This Row],[out]]-stayCity[[#This Row],[in]],"-")</f>
        <v/>
      </c>
      <c r="AF567" s="1406">
        <f>IF(Y567="","-",YEAR(stayCity[[#This Row],[in]]))</f>
        <v/>
      </c>
      <c r="AG567" s="1392" t="n"/>
      <c r="AH567" s="1392" t="n"/>
      <c r="AI567" s="1392" t="n"/>
      <c r="AJ567" s="1392" t="n"/>
      <c r="AK567" s="1392" t="n"/>
      <c r="AL567" s="1392" t="n"/>
      <c r="AM567" s="1392" t="n"/>
      <c r="AN567" s="1392" t="n"/>
      <c r="AO567" s="1392" t="n"/>
      <c r="AP567" s="1392" t="n"/>
      <c r="AQ567" s="1392" t="n"/>
      <c r="AR567" s="1392" t="n"/>
      <c r="AS567" s="1422" t="n"/>
      <c r="AT567" s="1392" t="n"/>
      <c r="AU567" s="1392" t="n"/>
      <c r="AV567" s="1392" t="n"/>
      <c r="AW567" s="1392" t="n"/>
      <c r="AX567" s="1392" t="n"/>
      <c r="AY567" s="1392" t="n"/>
      <c r="AZ567" s="1392" t="n"/>
      <c r="BA567" s="1392" t="n"/>
      <c r="BB567" s="1422" t="n"/>
      <c r="BC567" s="1392" t="n"/>
      <c r="BD567" s="1392" t="n"/>
      <c r="BE567" s="1392" t="n"/>
      <c r="BF567" s="1392" t="n"/>
      <c r="BG567" s="1392" t="n"/>
      <c r="BH567" s="1392" t="n"/>
      <c r="BI567" s="1392" t="n"/>
      <c r="BJ567" s="1392" t="n"/>
      <c r="BK567" s="1392" t="n"/>
      <c r="BL567" s="1392" t="n"/>
      <c r="BM567" s="1392" t="n"/>
      <c r="BN567" s="1392" t="n"/>
      <c r="BO567" s="1392" t="n"/>
      <c r="BP567" s="1392" t="n"/>
      <c r="BQ567" s="1392" t="n"/>
      <c r="BR567" s="1392" t="n"/>
      <c r="BS567" s="1392" t="n"/>
      <c r="BT567" s="1392" t="n"/>
      <c r="BU567" s="1416" t="n"/>
      <c r="BV567" s="1392" t="n"/>
      <c r="BW567" s="1392" t="n"/>
      <c r="BX567" s="1392" t="n"/>
      <c r="BY567" s="1392" t="n"/>
      <c r="BZ567" s="1416" t="n"/>
      <c r="CA567" s="1392" t="n"/>
      <c r="CB567" s="1392" t="n"/>
      <c r="CC567" s="1392" t="n"/>
      <c r="CD567" s="1392" t="n"/>
      <c r="CE567" s="1392" t="n"/>
      <c r="CF567" s="1392" t="n"/>
      <c r="CG567" s="1392" t="n"/>
      <c r="CH567" s="1392" t="n"/>
      <c r="CI567" s="1392" t="n"/>
      <c r="CJ567" s="1392" t="n"/>
      <c r="CK567" s="1392" t="n"/>
      <c r="CL567" s="1392" t="n"/>
    </row>
    <row r="568">
      <c r="A568" s="5" t="inlineStr">
        <is>
          <t>.</t>
        </is>
      </c>
      <c r="B568" s="5" t="inlineStr">
        <is>
          <t>.</t>
        </is>
      </c>
      <c r="C568" s="1378">
        <f>IF(raw[[#This Row],[city]]="","-",IF(raw[[#This Row],[city]]="TODAY","-",C567+1))</f>
        <v/>
      </c>
      <c r="D568" s="1393" t="inlineStr">
        <is>
          <t>Ribadiso</t>
        </is>
      </c>
      <c r="E568" s="1394" t="n">
        <v>36118</v>
      </c>
      <c r="F568" s="1394" t="n">
        <v>36119</v>
      </c>
      <c r="G568" s="1393" t="inlineStr">
        <is>
          <t>-</t>
        </is>
      </c>
      <c r="H568" s="1393">
        <f>H567</f>
        <v/>
      </c>
      <c r="I568" s="1393" t="inlineStr">
        <is>
          <t>CS</t>
        </is>
      </c>
      <c r="J568" s="1393" t="inlineStr">
        <is>
          <t>-</t>
        </is>
      </c>
      <c r="K568" s="1395">
        <f>IF(raw[[#This Row],[city]]&lt;&gt;"",_xlfn.XLOOKUP($D568,ccc[city],ccc[prov],"-"),"-")</f>
        <v/>
      </c>
      <c r="L568" s="1395">
        <f>IF(raw[[#This Row],[city]]&lt;&gt;"",_xlfn.XLOOKUP($D568,ccc[city],ccc[ctry],"-"),"-")</f>
        <v/>
      </c>
      <c r="M568" s="1395">
        <f>IF(raw[[#This Row],[city]]&lt;&gt;"",_xlfn.XLOOKUP($D568,ccc[city],ccc[cont],"-"),"-")</f>
        <v/>
      </c>
      <c r="N568" s="1396">
        <f>IF(raw[[#This Row],[city]]="","-",IF(raw[[#This Row],[cont]]="B",raw[[#This Row],[cont]],"W"))</f>
        <v/>
      </c>
      <c r="O568" s="1397">
        <f>IF(raw[[#This Row],[out]]=0,0,IF(raw[[#This Row],[out]]=raw[[#This Row],[in]],0.01,raw[[#This Row],[out]]-raw[[#This Row],[in]]))</f>
        <v/>
      </c>
      <c r="P568" s="1397">
        <f>IF(raw[[#This Row],[in]]=0,0,MONTH(raw[[#This Row],[in]]))</f>
        <v/>
      </c>
      <c r="Q568" s="1397">
        <f>IF(raw[[#This Row],[in]]=0,0,YEAR(raw[[#This Row],[in]]))</f>
        <v/>
      </c>
      <c r="R568" s="1397">
        <f>INT(raw[[#This Row],[yr]]/10)*10</f>
        <v/>
      </c>
      <c r="S568" s="1395">
        <f>IF(raw[[#This Row],[city]]="","-",IF(raw[[#This Row],[city]]&lt;&gt;_xlfn.XLOOKUP(raw[[#This Row],[home]],homes[home],homes[city],"-"),1,0))</f>
        <v/>
      </c>
      <c r="T568" s="1398" t="inlineStr">
        <is>
          <t>.</t>
        </is>
      </c>
      <c r="U568" s="1399">
        <f>IF(raw[[#This Row],[wb]]="w",raw[[#This Row],[stay]]+U567,U567)</f>
        <v/>
      </c>
      <c r="V568" s="1400">
        <f>IF(raw[[#This Row],[out]]=0,V567,(raw[[#This Row],[out]]-E$5))</f>
        <v/>
      </c>
      <c r="W568" s="1401">
        <f>U568/V568</f>
        <v/>
      </c>
      <c r="X568" s="1378" t="inlineStr">
        <is>
          <t>.</t>
        </is>
      </c>
      <c r="Y568" s="1402">
        <f/>
        <v/>
      </c>
      <c r="Z568" s="1403">
        <f/>
        <v/>
      </c>
      <c r="AA568" s="1403">
        <f/>
        <v/>
      </c>
      <c r="AB568" s="1400">
        <f t="array" ref="AB568">_xlfn.LET(_xlpm.S,_xlfn.ANCHORARRAY($Y$4),_xlpm.r,ROWS(stayCity[[#Headers],[city]]:stayCity[[#This Row],[city]])-1,IF(_xlpm.r&lt;=ROWS(_xlpm.S),INDEX(_xlpm.S,_xlpm.r,1),""))</f>
        <v/>
      </c>
      <c r="AC568" s="1405">
        <f t="array" ref="AC568">_xlfn.LET(_xlpm.S,_xlfn.ANCHORARRAY($Y$4),_xlpm.r,ROWS(stayCity[[#Headers],[city]]:stayCity[[#This Row],[city]])-1,IF(_xlpm.r&lt;=ROWS(_xlpm.S),INDEX(_xlpm.S,_xlpm.r,2),""))</f>
        <v/>
      </c>
      <c r="AD568" s="1405">
        <f t="array" ref="AD568">_xlfn.LET(_xlpm.S,_xlfn.ANCHORARRAY($Y$4),_xlpm.r,ROWS(stayCity[[#Headers],[city]]:stayCity[[#This Row],[city]])-1,IF(_xlpm.r&lt;=ROWS(_xlpm.S),INDEX(_xlpm.S,_xlpm.r,3),""))</f>
        <v/>
      </c>
      <c r="AE568" s="1400">
        <f>IF(stayCity[[#This Row],[out]]&lt;&gt;"",stayCity[[#This Row],[out]]-stayCity[[#This Row],[in]],"-")</f>
        <v/>
      </c>
      <c r="AF568" s="1406">
        <f>IF(Y568="","-",YEAR(stayCity[[#This Row],[in]]))</f>
        <v/>
      </c>
      <c r="AG568" s="1392" t="n"/>
      <c r="AH568" s="1392" t="n"/>
      <c r="AI568" s="1392" t="n"/>
      <c r="AJ568" s="1392" t="n"/>
      <c r="AK568" s="1392" t="n"/>
      <c r="AL568" s="1392" t="n"/>
      <c r="AM568" s="1392" t="n"/>
      <c r="AN568" s="1392" t="n"/>
      <c r="AO568" s="1392" t="n"/>
      <c r="AP568" s="1392" t="n"/>
      <c r="AQ568" s="1392" t="n"/>
      <c r="AR568" s="1392" t="n"/>
      <c r="AS568" s="1422" t="n"/>
      <c r="AT568" s="1392" t="n"/>
      <c r="AU568" s="1392" t="n"/>
      <c r="AV568" s="1392" t="n"/>
      <c r="AW568" s="1392" t="n"/>
      <c r="AX568" s="1392" t="n"/>
      <c r="AY568" s="1392" t="n"/>
      <c r="AZ568" s="1392" t="n"/>
      <c r="BA568" s="1392" t="n"/>
      <c r="BB568" s="1422" t="n"/>
      <c r="BC568" s="1392" t="n"/>
      <c r="BD568" s="1392" t="n"/>
      <c r="BE568" s="1392" t="n"/>
      <c r="BF568" s="1392" t="n"/>
      <c r="BG568" s="1392" t="n"/>
      <c r="BH568" s="1392" t="n"/>
      <c r="BI568" s="1392" t="n"/>
      <c r="BJ568" s="1392" t="n"/>
      <c r="BK568" s="1392" t="n"/>
      <c r="BL568" s="1392" t="n"/>
      <c r="BM568" s="1392" t="n"/>
      <c r="BN568" s="1392" t="n"/>
      <c r="BO568" s="1392" t="n"/>
      <c r="BP568" s="1392" t="n"/>
      <c r="BQ568" s="1392" t="n"/>
      <c r="BR568" s="1392" t="n"/>
      <c r="BS568" s="1392" t="n"/>
      <c r="BT568" s="1392" t="n"/>
      <c r="BU568" s="1416" t="n"/>
      <c r="BV568" s="1392" t="n"/>
      <c r="BW568" s="1392" t="n"/>
      <c r="BX568" s="1392" t="n"/>
      <c r="BY568" s="1392" t="n"/>
      <c r="BZ568" s="1416" t="n"/>
      <c r="CA568" s="1392" t="n"/>
      <c r="CB568" s="1392" t="n"/>
      <c r="CC568" s="1392" t="n"/>
      <c r="CD568" s="1392" t="n"/>
      <c r="CE568" s="1392" t="n"/>
      <c r="CF568" s="1392" t="n"/>
      <c r="CG568" s="1392" t="n"/>
      <c r="CH568" s="1392" t="n"/>
      <c r="CI568" s="1392" t="n"/>
      <c r="CJ568" s="1392" t="n"/>
      <c r="CK568" s="1392" t="n"/>
      <c r="CL568" s="1392" t="n"/>
    </row>
    <row r="569">
      <c r="A569" s="5" t="inlineStr">
        <is>
          <t>.</t>
        </is>
      </c>
      <c r="B569" s="5" t="inlineStr">
        <is>
          <t>.</t>
        </is>
      </c>
      <c r="C569" s="1378">
        <f>IF(raw[[#This Row],[city]]="","-",IF(raw[[#This Row],[city]]="TODAY","-",C568+1))</f>
        <v/>
      </c>
      <c r="D569" s="1393" t="inlineStr">
        <is>
          <t>Sta. Irene</t>
        </is>
      </c>
      <c r="E569" s="1394" t="n">
        <v>36119</v>
      </c>
      <c r="F569" s="1394" t="n">
        <v>36119</v>
      </c>
      <c r="G569" s="1393" t="inlineStr">
        <is>
          <t>-</t>
        </is>
      </c>
      <c r="H569" s="1393">
        <f>H568</f>
        <v/>
      </c>
      <c r="I569" s="1393" t="inlineStr">
        <is>
          <t>CS</t>
        </is>
      </c>
      <c r="J569" s="1393" t="inlineStr">
        <is>
          <t>-</t>
        </is>
      </c>
      <c r="K569" s="1395">
        <f>IF(raw[[#This Row],[city]]&lt;&gt;"",_xlfn.XLOOKUP($D569,ccc[city],ccc[prov],"-"),"-")</f>
        <v/>
      </c>
      <c r="L569" s="1395">
        <f>IF(raw[[#This Row],[city]]&lt;&gt;"",_xlfn.XLOOKUP($D569,ccc[city],ccc[ctry],"-"),"-")</f>
        <v/>
      </c>
      <c r="M569" s="1395">
        <f>IF(raw[[#This Row],[city]]&lt;&gt;"",_xlfn.XLOOKUP($D569,ccc[city],ccc[cont],"-"),"-")</f>
        <v/>
      </c>
      <c r="N569" s="1396">
        <f>IF(raw[[#This Row],[city]]="","-",IF(raw[[#This Row],[cont]]="B",raw[[#This Row],[cont]],"W"))</f>
        <v/>
      </c>
      <c r="O569" s="1397">
        <f>IF(raw[[#This Row],[out]]=0,0,IF(raw[[#This Row],[out]]=raw[[#This Row],[in]],0.01,raw[[#This Row],[out]]-raw[[#This Row],[in]]))</f>
        <v/>
      </c>
      <c r="P569" s="1397">
        <f>IF(raw[[#This Row],[in]]=0,0,MONTH(raw[[#This Row],[in]]))</f>
        <v/>
      </c>
      <c r="Q569" s="1397">
        <f>IF(raw[[#This Row],[in]]=0,0,YEAR(raw[[#This Row],[in]]))</f>
        <v/>
      </c>
      <c r="R569" s="1397">
        <f>INT(raw[[#This Row],[yr]]/10)*10</f>
        <v/>
      </c>
      <c r="S569" s="1395">
        <f>IF(raw[[#This Row],[city]]="","-",IF(raw[[#This Row],[city]]&lt;&gt;_xlfn.XLOOKUP(raw[[#This Row],[home]],homes[home],homes[city],"-"),1,0))</f>
        <v/>
      </c>
      <c r="T569" s="1398" t="inlineStr">
        <is>
          <t>.</t>
        </is>
      </c>
      <c r="U569" s="1399">
        <f>IF(raw[[#This Row],[wb]]="w",raw[[#This Row],[stay]]+U568,U568)</f>
        <v/>
      </c>
      <c r="V569" s="1400">
        <f>IF(raw[[#This Row],[out]]=0,V568,(raw[[#This Row],[out]]-E$5))</f>
        <v/>
      </c>
      <c r="W569" s="1401">
        <f>U569/V569</f>
        <v/>
      </c>
      <c r="X569" s="1378" t="inlineStr">
        <is>
          <t>.</t>
        </is>
      </c>
      <c r="Y569" s="1402">
        <f/>
        <v/>
      </c>
      <c r="Z569" s="1403">
        <f/>
        <v/>
      </c>
      <c r="AA569" s="1403">
        <f/>
        <v/>
      </c>
      <c r="AB569" s="1400">
        <f t="array" ref="AB569">_xlfn.LET(_xlpm.S,_xlfn.ANCHORARRAY($Y$4),_xlpm.r,ROWS(stayCity[[#Headers],[city]]:stayCity[[#This Row],[city]])-1,IF(_xlpm.r&lt;=ROWS(_xlpm.S),INDEX(_xlpm.S,_xlpm.r,1),""))</f>
        <v/>
      </c>
      <c r="AC569" s="1405">
        <f t="array" ref="AC569">_xlfn.LET(_xlpm.S,_xlfn.ANCHORARRAY($Y$4),_xlpm.r,ROWS(stayCity[[#Headers],[city]]:stayCity[[#This Row],[city]])-1,IF(_xlpm.r&lt;=ROWS(_xlpm.S),INDEX(_xlpm.S,_xlpm.r,2),""))</f>
        <v/>
      </c>
      <c r="AD569" s="1405">
        <f t="array" ref="AD569">_xlfn.LET(_xlpm.S,_xlfn.ANCHORARRAY($Y$4),_xlpm.r,ROWS(stayCity[[#Headers],[city]]:stayCity[[#This Row],[city]])-1,IF(_xlpm.r&lt;=ROWS(_xlpm.S),INDEX(_xlpm.S,_xlpm.r,3),""))</f>
        <v/>
      </c>
      <c r="AE569" s="1400">
        <f>IF(stayCity[[#This Row],[out]]&lt;&gt;"",stayCity[[#This Row],[out]]-stayCity[[#This Row],[in]],"-")</f>
        <v/>
      </c>
      <c r="AF569" s="1406">
        <f>IF(Y569="","-",YEAR(stayCity[[#This Row],[in]]))</f>
        <v/>
      </c>
      <c r="AG569" s="1392" t="n"/>
      <c r="AH569" s="1392" t="n"/>
      <c r="AI569" s="1392" t="n"/>
      <c r="AJ569" s="1392" t="n"/>
      <c r="AK569" s="1392" t="n"/>
      <c r="AL569" s="1392" t="n"/>
      <c r="AM569" s="1392" t="n"/>
      <c r="AN569" s="1392" t="n"/>
      <c r="AO569" s="1392" t="n"/>
      <c r="AP569" s="1392" t="n"/>
      <c r="AQ569" s="1392" t="n"/>
      <c r="AR569" s="1392" t="n"/>
      <c r="AS569" s="1422" t="n"/>
      <c r="AT569" s="1392" t="n"/>
      <c r="AU569" s="1392" t="n"/>
      <c r="AV569" s="1392" t="n"/>
      <c r="AW569" s="1392" t="n"/>
      <c r="AX569" s="1392" t="n"/>
      <c r="AY569" s="1392" t="n"/>
      <c r="AZ569" s="1392" t="n"/>
      <c r="BA569" s="1392" t="n"/>
      <c r="BB569" s="1422" t="n"/>
      <c r="BC569" s="1392" t="n"/>
      <c r="BD569" s="1392" t="n"/>
      <c r="BE569" s="1392" t="n"/>
      <c r="BF569" s="1392" t="n"/>
      <c r="BG569" s="1392" t="n"/>
      <c r="BH569" s="1392" t="n"/>
      <c r="BI569" s="1392" t="n"/>
      <c r="BJ569" s="1392" t="n"/>
      <c r="BK569" s="1392" t="n"/>
      <c r="BL569" s="1392" t="n"/>
      <c r="BM569" s="1392" t="n"/>
      <c r="BN569" s="1392" t="n"/>
      <c r="BO569" s="1392" t="n"/>
      <c r="BP569" s="1392" t="n"/>
      <c r="BQ569" s="1392" t="n"/>
      <c r="BR569" s="1392" t="n"/>
      <c r="BS569" s="1392" t="n"/>
      <c r="BT569" s="1392" t="n"/>
      <c r="BU569" s="1416" t="n"/>
      <c r="BV569" s="1392" t="n"/>
      <c r="BW569" s="1392" t="n"/>
      <c r="BX569" s="1392" t="n"/>
      <c r="BY569" s="1392" t="n"/>
      <c r="BZ569" s="1416" t="n"/>
      <c r="CA569" s="1392" t="n"/>
      <c r="CB569" s="1392" t="n"/>
      <c r="CC569" s="1392" t="n"/>
      <c r="CD569" s="1392" t="n"/>
      <c r="CE569" s="1392" t="n"/>
      <c r="CF569" s="1392" t="n"/>
      <c r="CG569" s="1392" t="n"/>
      <c r="CH569" s="1392" t="n"/>
      <c r="CI569" s="1392" t="n"/>
      <c r="CJ569" s="1392" t="n"/>
      <c r="CK569" s="1392" t="n"/>
      <c r="CL569" s="1392" t="n"/>
    </row>
    <row r="570">
      <c r="A570" s="5" t="inlineStr">
        <is>
          <t>.</t>
        </is>
      </c>
      <c r="B570" s="5" t="inlineStr">
        <is>
          <t>.</t>
        </is>
      </c>
      <c r="C570" s="1378">
        <f>IF(raw[[#This Row],[city]]="","-",IF(raw[[#This Row],[city]]="TODAY","-",C569+1))</f>
        <v/>
      </c>
      <c r="D570" s="1393" t="inlineStr">
        <is>
          <t>Monte del Gozo</t>
        </is>
      </c>
      <c r="E570" s="1394" t="n">
        <v>36119</v>
      </c>
      <c r="F570" s="1394" t="n">
        <v>36119</v>
      </c>
      <c r="G570" s="1393" t="inlineStr">
        <is>
          <t>-</t>
        </is>
      </c>
      <c r="H570" s="1393">
        <f>H569</f>
        <v/>
      </c>
      <c r="I570" s="1393" t="inlineStr">
        <is>
          <t>CS</t>
        </is>
      </c>
      <c r="J570" s="1393" t="inlineStr">
        <is>
          <t>-</t>
        </is>
      </c>
      <c r="K570" s="1395">
        <f>IF(raw[[#This Row],[city]]&lt;&gt;"",_xlfn.XLOOKUP($D570,ccc[city],ccc[prov],"-"),"-")</f>
        <v/>
      </c>
      <c r="L570" s="1395">
        <f>IF(raw[[#This Row],[city]]&lt;&gt;"",_xlfn.XLOOKUP($D570,ccc[city],ccc[ctry],"-"),"-")</f>
        <v/>
      </c>
      <c r="M570" s="1395">
        <f>IF(raw[[#This Row],[city]]&lt;&gt;"",_xlfn.XLOOKUP($D570,ccc[city],ccc[cont],"-"),"-")</f>
        <v/>
      </c>
      <c r="N570" s="1396">
        <f>IF(raw[[#This Row],[city]]="","-",IF(raw[[#This Row],[cont]]="B",raw[[#This Row],[cont]],"W"))</f>
        <v/>
      </c>
      <c r="O570" s="1397">
        <f>IF(raw[[#This Row],[out]]=0,0,IF(raw[[#This Row],[out]]=raw[[#This Row],[in]],0.01,raw[[#This Row],[out]]-raw[[#This Row],[in]]))</f>
        <v/>
      </c>
      <c r="P570" s="1397">
        <f>IF(raw[[#This Row],[in]]=0,0,MONTH(raw[[#This Row],[in]]))</f>
        <v/>
      </c>
      <c r="Q570" s="1397">
        <f>IF(raw[[#This Row],[in]]=0,0,YEAR(raw[[#This Row],[in]]))</f>
        <v/>
      </c>
      <c r="R570" s="1397">
        <f>INT(raw[[#This Row],[yr]]/10)*10</f>
        <v/>
      </c>
      <c r="S570" s="1395">
        <f>IF(raw[[#This Row],[city]]="","-",IF(raw[[#This Row],[city]]&lt;&gt;_xlfn.XLOOKUP(raw[[#This Row],[home]],homes[home],homes[city],"-"),1,0))</f>
        <v/>
      </c>
      <c r="T570" s="1398" t="inlineStr">
        <is>
          <t>.</t>
        </is>
      </c>
      <c r="U570" s="1399">
        <f>IF(raw[[#This Row],[wb]]="w",raw[[#This Row],[stay]]+U569,U569)</f>
        <v/>
      </c>
      <c r="V570" s="1400">
        <f>IF(raw[[#This Row],[out]]=0,V569,(raw[[#This Row],[out]]-E$5))</f>
        <v/>
      </c>
      <c r="W570" s="1401">
        <f>U570/V570</f>
        <v/>
      </c>
      <c r="X570" s="1378" t="inlineStr">
        <is>
          <t>.</t>
        </is>
      </c>
      <c r="Y570" s="1402">
        <f/>
        <v/>
      </c>
      <c r="Z570" s="1403">
        <f/>
        <v/>
      </c>
      <c r="AA570" s="1403">
        <f/>
        <v/>
      </c>
      <c r="AB570" s="1400">
        <f t="array" ref="AB570">_xlfn.LET(_xlpm.S,_xlfn.ANCHORARRAY($Y$4),_xlpm.r,ROWS(stayCity[[#Headers],[city]]:stayCity[[#This Row],[city]])-1,IF(_xlpm.r&lt;=ROWS(_xlpm.S),INDEX(_xlpm.S,_xlpm.r,1),""))</f>
        <v/>
      </c>
      <c r="AC570" s="1405">
        <f t="array" ref="AC570">_xlfn.LET(_xlpm.S,_xlfn.ANCHORARRAY($Y$4),_xlpm.r,ROWS(stayCity[[#Headers],[city]]:stayCity[[#This Row],[city]])-1,IF(_xlpm.r&lt;=ROWS(_xlpm.S),INDEX(_xlpm.S,_xlpm.r,2),""))</f>
        <v/>
      </c>
      <c r="AD570" s="1405">
        <f t="array" ref="AD570">_xlfn.LET(_xlpm.S,_xlfn.ANCHORARRAY($Y$4),_xlpm.r,ROWS(stayCity[[#Headers],[city]]:stayCity[[#This Row],[city]])-1,IF(_xlpm.r&lt;=ROWS(_xlpm.S),INDEX(_xlpm.S,_xlpm.r,3),""))</f>
        <v/>
      </c>
      <c r="AE570" s="1400">
        <f>IF(stayCity[[#This Row],[out]]&lt;&gt;"",stayCity[[#This Row],[out]]-stayCity[[#This Row],[in]],"-")</f>
        <v/>
      </c>
      <c r="AF570" s="1406">
        <f>IF(Y570="","-",YEAR(stayCity[[#This Row],[in]]))</f>
        <v/>
      </c>
      <c r="AG570" s="1392" t="n"/>
      <c r="AH570" s="1392" t="n"/>
      <c r="AI570" s="1392" t="n"/>
      <c r="AJ570" s="1392" t="n"/>
      <c r="AK570" s="1392" t="n"/>
      <c r="AL570" s="1392" t="n"/>
      <c r="AM570" s="1392" t="n"/>
      <c r="AN570" s="1392" t="n"/>
      <c r="AO570" s="1392" t="n"/>
      <c r="AP570" s="1392" t="n"/>
      <c r="AQ570" s="1392" t="n"/>
      <c r="AR570" s="1392" t="n"/>
      <c r="AS570" s="1422" t="n"/>
      <c r="AT570" s="1392" t="n"/>
      <c r="AU570" s="1392" t="n"/>
      <c r="AV570" s="1392" t="n"/>
      <c r="AW570" s="1392" t="n"/>
      <c r="AX570" s="1392" t="n"/>
      <c r="AY570" s="1392" t="n"/>
      <c r="AZ570" s="1392" t="n"/>
      <c r="BA570" s="1392" t="n"/>
      <c r="BB570" s="1422" t="n"/>
      <c r="BC570" s="1392" t="n"/>
      <c r="BD570" s="1392" t="n"/>
      <c r="BE570" s="1392" t="n"/>
      <c r="BF570" s="1392" t="n"/>
      <c r="BG570" s="1392" t="n"/>
      <c r="BH570" s="1392" t="n"/>
      <c r="BI570" s="1392" t="n"/>
      <c r="BJ570" s="1392" t="n"/>
      <c r="BK570" s="1392" t="n"/>
      <c r="BL570" s="1392" t="n"/>
      <c r="BM570" s="1392" t="n"/>
      <c r="BN570" s="1392" t="n"/>
      <c r="BO570" s="1392" t="n"/>
      <c r="BP570" s="1392" t="n"/>
      <c r="BQ570" s="1392" t="n"/>
      <c r="BR570" s="1392" t="n"/>
      <c r="BS570" s="1392" t="n"/>
      <c r="BT570" s="1392" t="n"/>
      <c r="BU570" s="1416" t="n"/>
      <c r="BV570" s="1392" t="n"/>
      <c r="BW570" s="1392" t="n"/>
      <c r="BX570" s="1392" t="n"/>
      <c r="BY570" s="1392" t="n"/>
      <c r="BZ570" s="1416" t="n"/>
      <c r="CA570" s="1392" t="n"/>
      <c r="CB570" s="1392" t="n"/>
      <c r="CC570" s="1392" t="n"/>
      <c r="CD570" s="1392" t="n"/>
      <c r="CE570" s="1392" t="n"/>
      <c r="CF570" s="1392" t="n"/>
      <c r="CG570" s="1392" t="n"/>
      <c r="CH570" s="1392" t="n"/>
      <c r="CI570" s="1392" t="n"/>
      <c r="CJ570" s="1392" t="n"/>
      <c r="CK570" s="1392" t="n"/>
      <c r="CL570" s="1392" t="n"/>
    </row>
    <row r="571">
      <c r="A571" s="5" t="inlineStr">
        <is>
          <t>.</t>
        </is>
      </c>
      <c r="B571" s="5" t="inlineStr">
        <is>
          <t>.</t>
        </is>
      </c>
      <c r="C571" s="1378">
        <f>IF(raw[[#This Row],[city]]="","-",IF(raw[[#This Row],[city]]="TODAY","-",C570+1))</f>
        <v/>
      </c>
      <c r="D571" s="1393" t="inlineStr">
        <is>
          <t>Santiago</t>
        </is>
      </c>
      <c r="E571" s="1394" t="n">
        <v>36119</v>
      </c>
      <c r="F571" s="1394" t="n">
        <v>36119</v>
      </c>
      <c r="G571" s="1393" t="inlineStr">
        <is>
          <t>-</t>
        </is>
      </c>
      <c r="H571" s="1393">
        <f>H570</f>
        <v/>
      </c>
      <c r="I571" s="1393" t="inlineStr">
        <is>
          <t>CS</t>
        </is>
      </c>
      <c r="J571" s="1393" t="inlineStr">
        <is>
          <t>-</t>
        </is>
      </c>
      <c r="K571" s="1395">
        <f>IF(raw[[#This Row],[city]]&lt;&gt;"",_xlfn.XLOOKUP($D571,ccc[city],ccc[prov],"-"),"-")</f>
        <v/>
      </c>
      <c r="L571" s="1395">
        <f>IF(raw[[#This Row],[city]]&lt;&gt;"",_xlfn.XLOOKUP($D571,ccc[city],ccc[ctry],"-"),"-")</f>
        <v/>
      </c>
      <c r="M571" s="1395">
        <f>IF(raw[[#This Row],[city]]&lt;&gt;"",_xlfn.XLOOKUP($D571,ccc[city],ccc[cont],"-"),"-")</f>
        <v/>
      </c>
      <c r="N571" s="1396">
        <f>IF(raw[[#This Row],[city]]="","-",IF(raw[[#This Row],[cont]]="B",raw[[#This Row],[cont]],"W"))</f>
        <v/>
      </c>
      <c r="O571" s="1397">
        <f>IF(raw[[#This Row],[out]]=0,0,IF(raw[[#This Row],[out]]=raw[[#This Row],[in]],0.01,raw[[#This Row],[out]]-raw[[#This Row],[in]]))</f>
        <v/>
      </c>
      <c r="P571" s="1397">
        <f>IF(raw[[#This Row],[in]]=0,0,MONTH(raw[[#This Row],[in]]))</f>
        <v/>
      </c>
      <c r="Q571" s="1397">
        <f>IF(raw[[#This Row],[in]]=0,0,YEAR(raw[[#This Row],[in]]))</f>
        <v/>
      </c>
      <c r="R571" s="1397">
        <f>INT(raw[[#This Row],[yr]]/10)*10</f>
        <v/>
      </c>
      <c r="S571" s="1395">
        <f>IF(raw[[#This Row],[city]]="","-",IF(raw[[#This Row],[city]]&lt;&gt;_xlfn.XLOOKUP(raw[[#This Row],[home]],homes[home],homes[city],"-"),1,0))</f>
        <v/>
      </c>
      <c r="T571" s="1398" t="inlineStr">
        <is>
          <t>.</t>
        </is>
      </c>
      <c r="U571" s="1399">
        <f>IF(raw[[#This Row],[wb]]="w",raw[[#This Row],[stay]]+U570,U570)</f>
        <v/>
      </c>
      <c r="V571" s="1400">
        <f>IF(raw[[#This Row],[out]]=0,V570,(raw[[#This Row],[out]]-E$5))</f>
        <v/>
      </c>
      <c r="W571" s="1401">
        <f>U571/V571</f>
        <v/>
      </c>
      <c r="X571" s="1378" t="inlineStr">
        <is>
          <t>.</t>
        </is>
      </c>
      <c r="Y571" s="1402">
        <f/>
        <v/>
      </c>
      <c r="Z571" s="1403">
        <f/>
        <v/>
      </c>
      <c r="AA571" s="1403">
        <f/>
        <v/>
      </c>
      <c r="AB571" s="1400">
        <f t="array" ref="AB571">_xlfn.LET(_xlpm.S,_xlfn.ANCHORARRAY($Y$4),_xlpm.r,ROWS(stayCity[[#Headers],[city]]:stayCity[[#This Row],[city]])-1,IF(_xlpm.r&lt;=ROWS(_xlpm.S),INDEX(_xlpm.S,_xlpm.r,1),""))</f>
        <v/>
      </c>
      <c r="AC571" s="1405">
        <f t="array" ref="AC571">_xlfn.LET(_xlpm.S,_xlfn.ANCHORARRAY($Y$4),_xlpm.r,ROWS(stayCity[[#Headers],[city]]:stayCity[[#This Row],[city]])-1,IF(_xlpm.r&lt;=ROWS(_xlpm.S),INDEX(_xlpm.S,_xlpm.r,2),""))</f>
        <v/>
      </c>
      <c r="AD571" s="1405">
        <f t="array" ref="AD571">_xlfn.LET(_xlpm.S,_xlfn.ANCHORARRAY($Y$4),_xlpm.r,ROWS(stayCity[[#Headers],[city]]:stayCity[[#This Row],[city]])-1,IF(_xlpm.r&lt;=ROWS(_xlpm.S),INDEX(_xlpm.S,_xlpm.r,3),""))</f>
        <v/>
      </c>
      <c r="AE571" s="1400">
        <f>IF(stayCity[[#This Row],[out]]&lt;&gt;"",stayCity[[#This Row],[out]]-stayCity[[#This Row],[in]],"-")</f>
        <v/>
      </c>
      <c r="AF571" s="1406">
        <f>IF(Y571="","-",YEAR(stayCity[[#This Row],[in]]))</f>
        <v/>
      </c>
      <c r="AG571" s="1392" t="n"/>
      <c r="AH571" s="1392" t="n"/>
      <c r="AI571" s="1392" t="n"/>
      <c r="AJ571" s="1392" t="n"/>
      <c r="AK571" s="1392" t="n"/>
      <c r="AL571" s="1392" t="n"/>
      <c r="AM571" s="1392" t="n"/>
      <c r="AN571" s="1392" t="n"/>
      <c r="AO571" s="1392" t="n"/>
      <c r="AP571" s="1392" t="n"/>
      <c r="AQ571" s="1392" t="n"/>
      <c r="AR571" s="1392" t="n"/>
      <c r="AS571" s="1422" t="n"/>
      <c r="AT571" s="1392" t="n"/>
      <c r="AU571" s="1392" t="n"/>
      <c r="AV571" s="1392" t="n"/>
      <c r="AW571" s="1392" t="n"/>
      <c r="AX571" s="1392" t="n"/>
      <c r="AY571" s="1392" t="n"/>
      <c r="AZ571" s="1392" t="n"/>
      <c r="BA571" s="1392" t="n"/>
      <c r="BB571" s="1422" t="n"/>
      <c r="BC571" s="1392" t="n"/>
      <c r="BD571" s="1392" t="n"/>
      <c r="BE571" s="1392" t="n"/>
      <c r="BF571" s="1392" t="n"/>
      <c r="BG571" s="1392" t="n"/>
      <c r="BH571" s="1392" t="n"/>
      <c r="BI571" s="1392" t="n"/>
      <c r="BJ571" s="1392" t="n"/>
      <c r="BK571" s="1392" t="n"/>
      <c r="BL571" s="1392" t="n"/>
      <c r="BM571" s="1392" t="n"/>
      <c r="BN571" s="1392" t="n"/>
      <c r="BO571" s="1392" t="n"/>
      <c r="BP571" s="1392" t="n"/>
      <c r="BQ571" s="1392" t="n"/>
      <c r="BR571" s="1392" t="n"/>
      <c r="BS571" s="1392" t="n"/>
      <c r="BT571" s="1392" t="n"/>
      <c r="BU571" s="1416" t="n"/>
      <c r="BV571" s="1392" t="n"/>
      <c r="BW571" s="1392" t="n"/>
      <c r="BX571" s="1392" t="n"/>
      <c r="BY571" s="1392" t="n"/>
      <c r="BZ571" s="1416" t="n"/>
      <c r="CA571" s="1392" t="n"/>
      <c r="CB571" s="1392" t="n"/>
      <c r="CC571" s="1392" t="n"/>
      <c r="CD571" s="1392" t="n"/>
      <c r="CE571" s="1392" t="n"/>
      <c r="CF571" s="1392" t="n"/>
      <c r="CG571" s="1392" t="n"/>
      <c r="CH571" s="1392" t="n"/>
      <c r="CI571" s="1392" t="n"/>
      <c r="CJ571" s="1392" t="n"/>
      <c r="CK571" s="1392" t="n"/>
      <c r="CL571" s="1392" t="n"/>
    </row>
    <row r="572">
      <c r="A572" s="5" t="inlineStr">
        <is>
          <t>.</t>
        </is>
      </c>
      <c r="B572" s="5" t="inlineStr">
        <is>
          <t>.</t>
        </is>
      </c>
      <c r="C572" s="1378">
        <f>IF(raw[[#This Row],[city]]="","-",IF(raw[[#This Row],[city]]="TODAY","-",C571+1))</f>
        <v/>
      </c>
      <c r="D572" s="1393" t="inlineStr">
        <is>
          <t>Monte del Gozo</t>
        </is>
      </c>
      <c r="E572" s="1394" t="n">
        <v>36119</v>
      </c>
      <c r="F572" s="1394" t="n">
        <v>36120</v>
      </c>
      <c r="G572" s="1393" t="inlineStr">
        <is>
          <t>-</t>
        </is>
      </c>
      <c r="H572" s="1393">
        <f>H571</f>
        <v/>
      </c>
      <c r="I572" s="1393" t="inlineStr">
        <is>
          <t>CS</t>
        </is>
      </c>
      <c r="J572" s="1393" t="inlineStr">
        <is>
          <t>-</t>
        </is>
      </c>
      <c r="K572" s="1395">
        <f>IF(raw[[#This Row],[city]]&lt;&gt;"",_xlfn.XLOOKUP($D572,ccc[city],ccc[prov],"-"),"-")</f>
        <v/>
      </c>
      <c r="L572" s="1395">
        <f>IF(raw[[#This Row],[city]]&lt;&gt;"",_xlfn.XLOOKUP($D572,ccc[city],ccc[ctry],"-"),"-")</f>
        <v/>
      </c>
      <c r="M572" s="1395">
        <f>IF(raw[[#This Row],[city]]&lt;&gt;"",_xlfn.XLOOKUP($D572,ccc[city],ccc[cont],"-"),"-")</f>
        <v/>
      </c>
      <c r="N572" s="1396">
        <f>IF(raw[[#This Row],[city]]="","-",IF(raw[[#This Row],[cont]]="B",raw[[#This Row],[cont]],"W"))</f>
        <v/>
      </c>
      <c r="O572" s="1397">
        <f>IF(raw[[#This Row],[out]]=0,0,IF(raw[[#This Row],[out]]=raw[[#This Row],[in]],0.01,raw[[#This Row],[out]]-raw[[#This Row],[in]]))</f>
        <v/>
      </c>
      <c r="P572" s="1397">
        <f>IF(raw[[#This Row],[in]]=0,0,MONTH(raw[[#This Row],[in]]))</f>
        <v/>
      </c>
      <c r="Q572" s="1397">
        <f>IF(raw[[#This Row],[in]]=0,0,YEAR(raw[[#This Row],[in]]))</f>
        <v/>
      </c>
      <c r="R572" s="1397">
        <f>INT(raw[[#This Row],[yr]]/10)*10</f>
        <v/>
      </c>
      <c r="S572" s="1395">
        <f>IF(raw[[#This Row],[city]]="","-",IF(raw[[#This Row],[city]]&lt;&gt;_xlfn.XLOOKUP(raw[[#This Row],[home]],homes[home],homes[city],"-"),1,0))</f>
        <v/>
      </c>
      <c r="T572" s="1398" t="inlineStr">
        <is>
          <t>.</t>
        </is>
      </c>
      <c r="U572" s="1399">
        <f>IF(raw[[#This Row],[wb]]="w",raw[[#This Row],[stay]]+U571,U571)</f>
        <v/>
      </c>
      <c r="V572" s="1400">
        <f>IF(raw[[#This Row],[out]]=0,V571,(raw[[#This Row],[out]]-E$5))</f>
        <v/>
      </c>
      <c r="W572" s="1401">
        <f>U572/V572</f>
        <v/>
      </c>
      <c r="X572" s="1378" t="inlineStr">
        <is>
          <t>.</t>
        </is>
      </c>
      <c r="Y572" s="1402">
        <f/>
        <v/>
      </c>
      <c r="Z572" s="1403">
        <f/>
        <v/>
      </c>
      <c r="AA572" s="1403">
        <f/>
        <v/>
      </c>
      <c r="AB572" s="1400">
        <f t="array" ref="AB572">_xlfn.LET(_xlpm.S,_xlfn.ANCHORARRAY($Y$4),_xlpm.r,ROWS(stayCity[[#Headers],[city]]:stayCity[[#This Row],[city]])-1,IF(_xlpm.r&lt;=ROWS(_xlpm.S),INDEX(_xlpm.S,_xlpm.r,1),""))</f>
        <v/>
      </c>
      <c r="AC572" s="1405">
        <f t="array" ref="AC572">_xlfn.LET(_xlpm.S,_xlfn.ANCHORARRAY($Y$4),_xlpm.r,ROWS(stayCity[[#Headers],[city]]:stayCity[[#This Row],[city]])-1,IF(_xlpm.r&lt;=ROWS(_xlpm.S),INDEX(_xlpm.S,_xlpm.r,2),""))</f>
        <v/>
      </c>
      <c r="AD572" s="1405">
        <f t="array" ref="AD572">_xlfn.LET(_xlpm.S,_xlfn.ANCHORARRAY($Y$4),_xlpm.r,ROWS(stayCity[[#Headers],[city]]:stayCity[[#This Row],[city]])-1,IF(_xlpm.r&lt;=ROWS(_xlpm.S),INDEX(_xlpm.S,_xlpm.r,3),""))</f>
        <v/>
      </c>
      <c r="AE572" s="1400">
        <f>IF(stayCity[[#This Row],[out]]&lt;&gt;"",stayCity[[#This Row],[out]]-stayCity[[#This Row],[in]],"-")</f>
        <v/>
      </c>
      <c r="AF572" s="1406">
        <f>IF(Y572="","-",YEAR(stayCity[[#This Row],[in]]))</f>
        <v/>
      </c>
      <c r="AG572" s="1392" t="n"/>
      <c r="AH572" s="1392" t="n"/>
      <c r="AI572" s="1392" t="n"/>
      <c r="AJ572" s="1392" t="n"/>
      <c r="AK572" s="1392" t="n"/>
      <c r="AL572" s="1392" t="n"/>
      <c r="AM572" s="1392" t="n"/>
      <c r="AN572" s="1392" t="n"/>
      <c r="AO572" s="1392" t="n"/>
      <c r="AP572" s="1392" t="n"/>
      <c r="AQ572" s="1392" t="n"/>
      <c r="AR572" s="1392" t="n"/>
      <c r="AS572" s="1422" t="n"/>
      <c r="AT572" s="1392" t="n"/>
      <c r="AU572" s="1392" t="n"/>
      <c r="AV572" s="1392" t="n"/>
      <c r="AW572" s="1392" t="n"/>
      <c r="AX572" s="1392" t="n"/>
      <c r="AY572" s="1392" t="n"/>
      <c r="AZ572" s="1392" t="n"/>
      <c r="BA572" s="1392" t="n"/>
      <c r="BB572" s="1422" t="n"/>
      <c r="BC572" s="1392" t="n"/>
      <c r="BD572" s="1392" t="n"/>
      <c r="BE572" s="1392" t="n"/>
      <c r="BF572" s="1392" t="n"/>
      <c r="BG572" s="1392" t="n"/>
      <c r="BH572" s="1392" t="n"/>
      <c r="BI572" s="1392" t="n"/>
      <c r="BJ572" s="1392" t="n"/>
      <c r="BK572" s="1392" t="n"/>
      <c r="BL572" s="1392" t="n"/>
      <c r="BM572" s="1392" t="n"/>
      <c r="BN572" s="1392" t="n"/>
      <c r="BO572" s="1392" t="n"/>
      <c r="BP572" s="1392" t="n"/>
      <c r="BQ572" s="1392" t="n"/>
      <c r="BR572" s="1392" t="n"/>
      <c r="BS572" s="1392" t="n"/>
      <c r="BT572" s="1392" t="n"/>
      <c r="BU572" s="1416" t="n"/>
      <c r="BV572" s="1392" t="n"/>
      <c r="BW572" s="1392" t="n"/>
      <c r="BX572" s="1392" t="n"/>
      <c r="BY572" s="1392" t="n"/>
      <c r="BZ572" s="1416" t="n"/>
      <c r="CA572" s="1392" t="n"/>
      <c r="CB572" s="1392" t="n"/>
      <c r="CC572" s="1392" t="n"/>
      <c r="CD572" s="1392" t="n"/>
      <c r="CE572" s="1392" t="n"/>
      <c r="CF572" s="1392" t="n"/>
      <c r="CG572" s="1392" t="n"/>
      <c r="CH572" s="1392" t="n"/>
      <c r="CI572" s="1392" t="n"/>
      <c r="CJ572" s="1392" t="n"/>
      <c r="CK572" s="1392" t="n"/>
      <c r="CL572" s="1392" t="n"/>
    </row>
    <row r="573">
      <c r="A573" s="5" t="inlineStr">
        <is>
          <t>.</t>
        </is>
      </c>
      <c r="B573" s="5" t="inlineStr">
        <is>
          <t>.</t>
        </is>
      </c>
      <c r="C573" s="1378">
        <f>IF(raw[[#This Row],[city]]="","-",IF(raw[[#This Row],[city]]="TODAY","-",C572+1))</f>
        <v/>
      </c>
      <c r="D573" s="1393" t="inlineStr">
        <is>
          <t>Santiago</t>
        </is>
      </c>
      <c r="E573" s="1394" t="n">
        <v>36120</v>
      </c>
      <c r="F573" s="1394" t="n">
        <v>36122</v>
      </c>
      <c r="G573" s="1393" t="inlineStr">
        <is>
          <t>-</t>
        </is>
      </c>
      <c r="H573" s="1393">
        <f>H572</f>
        <v/>
      </c>
      <c r="I573" s="1393" t="inlineStr">
        <is>
          <t>CS</t>
        </is>
      </c>
      <c r="J573" s="1393" t="inlineStr">
        <is>
          <t>-</t>
        </is>
      </c>
      <c r="K573" s="1395">
        <f>IF(raw[[#This Row],[city]]&lt;&gt;"",_xlfn.XLOOKUP($D573,ccc[city],ccc[prov],"-"),"-")</f>
        <v/>
      </c>
      <c r="L573" s="1395">
        <f>IF(raw[[#This Row],[city]]&lt;&gt;"",_xlfn.XLOOKUP($D573,ccc[city],ccc[ctry],"-"),"-")</f>
        <v/>
      </c>
      <c r="M573" s="1395">
        <f>IF(raw[[#This Row],[city]]&lt;&gt;"",_xlfn.XLOOKUP($D573,ccc[city],ccc[cont],"-"),"-")</f>
        <v/>
      </c>
      <c r="N573" s="1396">
        <f>IF(raw[[#This Row],[city]]="","-",IF(raw[[#This Row],[cont]]="B",raw[[#This Row],[cont]],"W"))</f>
        <v/>
      </c>
      <c r="O573" s="1397">
        <f>IF(raw[[#This Row],[out]]=0,0,IF(raw[[#This Row],[out]]=raw[[#This Row],[in]],0.01,raw[[#This Row],[out]]-raw[[#This Row],[in]]))</f>
        <v/>
      </c>
      <c r="P573" s="1397">
        <f>IF(raw[[#This Row],[in]]=0,0,MONTH(raw[[#This Row],[in]]))</f>
        <v/>
      </c>
      <c r="Q573" s="1397">
        <f>IF(raw[[#This Row],[in]]=0,0,YEAR(raw[[#This Row],[in]]))</f>
        <v/>
      </c>
      <c r="R573" s="1397">
        <f>INT(raw[[#This Row],[yr]]/10)*10</f>
        <v/>
      </c>
      <c r="S573" s="1395">
        <f>IF(raw[[#This Row],[city]]="","-",IF(raw[[#This Row],[city]]&lt;&gt;_xlfn.XLOOKUP(raw[[#This Row],[home]],homes[home],homes[city],"-"),1,0))</f>
        <v/>
      </c>
      <c r="T573" s="1398" t="inlineStr">
        <is>
          <t>.</t>
        </is>
      </c>
      <c r="U573" s="1399">
        <f>IF(raw[[#This Row],[wb]]="w",raw[[#This Row],[stay]]+U572,U572)</f>
        <v/>
      </c>
      <c r="V573" s="1400">
        <f>IF(raw[[#This Row],[out]]=0,V572,(raw[[#This Row],[out]]-E$5))</f>
        <v/>
      </c>
      <c r="W573" s="1401">
        <f>U573/V573</f>
        <v/>
      </c>
      <c r="X573" s="1378" t="inlineStr">
        <is>
          <t>.</t>
        </is>
      </c>
      <c r="Y573" s="1402">
        <f/>
        <v/>
      </c>
      <c r="Z573" s="1403">
        <f/>
        <v/>
      </c>
      <c r="AA573" s="1403">
        <f/>
        <v/>
      </c>
      <c r="AB573" s="1400">
        <f t="array" ref="AB573">_xlfn.LET(_xlpm.S,_xlfn.ANCHORARRAY($Y$4),_xlpm.r,ROWS(stayCity[[#Headers],[city]]:stayCity[[#This Row],[city]])-1,IF(_xlpm.r&lt;=ROWS(_xlpm.S),INDEX(_xlpm.S,_xlpm.r,1),""))</f>
        <v/>
      </c>
      <c r="AC573" s="1405">
        <f t="array" ref="AC573">_xlfn.LET(_xlpm.S,_xlfn.ANCHORARRAY($Y$4),_xlpm.r,ROWS(stayCity[[#Headers],[city]]:stayCity[[#This Row],[city]])-1,IF(_xlpm.r&lt;=ROWS(_xlpm.S),INDEX(_xlpm.S,_xlpm.r,2),""))</f>
        <v/>
      </c>
      <c r="AD573" s="1405">
        <f t="array" ref="AD573">_xlfn.LET(_xlpm.S,_xlfn.ANCHORARRAY($Y$4),_xlpm.r,ROWS(stayCity[[#Headers],[city]]:stayCity[[#This Row],[city]])-1,IF(_xlpm.r&lt;=ROWS(_xlpm.S),INDEX(_xlpm.S,_xlpm.r,3),""))</f>
        <v/>
      </c>
      <c r="AE573" s="1400">
        <f>IF(stayCity[[#This Row],[out]]&lt;&gt;"",stayCity[[#This Row],[out]]-stayCity[[#This Row],[in]],"-")</f>
        <v/>
      </c>
      <c r="AF573" s="1406">
        <f>IF(Y573="","-",YEAR(stayCity[[#This Row],[in]]))</f>
        <v/>
      </c>
      <c r="AG573" s="1392" t="n"/>
      <c r="AH573" s="1392" t="n"/>
      <c r="AI573" s="1392" t="n"/>
      <c r="AJ573" s="1392" t="n"/>
      <c r="AK573" s="1392" t="n"/>
      <c r="AL573" s="1392" t="n"/>
      <c r="AM573" s="1392" t="n"/>
      <c r="AN573" s="1392" t="n"/>
      <c r="AO573" s="1392" t="n"/>
      <c r="AP573" s="1392" t="n"/>
      <c r="AQ573" s="1392" t="n"/>
      <c r="AR573" s="1392" t="n"/>
      <c r="AS573" s="1422" t="n"/>
      <c r="AT573" s="1392" t="n"/>
      <c r="AU573" s="1392" t="n"/>
      <c r="AV573" s="1392" t="n"/>
      <c r="AW573" s="1392" t="n"/>
      <c r="AX573" s="1392" t="n"/>
      <c r="AY573" s="1392" t="n"/>
      <c r="AZ573" s="1392" t="n"/>
      <c r="BA573" s="1392" t="n"/>
      <c r="BB573" s="1422" t="n"/>
      <c r="BC573" s="1392" t="n"/>
      <c r="BD573" s="1392" t="n"/>
      <c r="BE573" s="1392" t="n"/>
      <c r="BF573" s="1392" t="n"/>
      <c r="BG573" s="1392" t="n"/>
      <c r="BH573" s="1392" t="n"/>
      <c r="BI573" s="1392" t="n"/>
      <c r="BJ573" s="1392" t="n"/>
      <c r="BK573" s="1392" t="n"/>
      <c r="BL573" s="1392" t="n"/>
      <c r="BM573" s="1392" t="n"/>
      <c r="BN573" s="1392" t="n"/>
      <c r="BO573" s="1392" t="n"/>
      <c r="BP573" s="1392" t="n"/>
      <c r="BQ573" s="1392" t="n"/>
      <c r="BR573" s="1392" t="n"/>
      <c r="BS573" s="1392" t="n"/>
      <c r="BT573" s="1392" t="n"/>
      <c r="BU573" s="1416" t="n"/>
      <c r="BV573" s="1392" t="n"/>
      <c r="BW573" s="1392" t="n"/>
      <c r="BX573" s="1392" t="n"/>
      <c r="BY573" s="1392" t="n"/>
      <c r="BZ573" s="1416" t="n"/>
      <c r="CA573" s="1392" t="n"/>
      <c r="CB573" s="1392" t="n"/>
      <c r="CC573" s="1392" t="n"/>
      <c r="CD573" s="1392" t="n"/>
      <c r="CE573" s="1392" t="n"/>
      <c r="CF573" s="1392" t="n"/>
      <c r="CG573" s="1392" t="n"/>
      <c r="CH573" s="1392" t="n"/>
      <c r="CI573" s="1392" t="n"/>
      <c r="CJ573" s="1392" t="n"/>
      <c r="CK573" s="1392" t="n"/>
      <c r="CL573" s="1392" t="n"/>
    </row>
    <row r="574">
      <c r="A574" s="5" t="inlineStr">
        <is>
          <t>.</t>
        </is>
      </c>
      <c r="B574" s="5" t="inlineStr">
        <is>
          <t>.</t>
        </is>
      </c>
      <c r="C574" s="1378">
        <f>IF(raw[[#This Row],[city]]="","-",IF(raw[[#This Row],[city]]="TODAY","-",C573+1))</f>
        <v/>
      </c>
      <c r="D574" s="1393" t="inlineStr">
        <is>
          <t>Padron</t>
        </is>
      </c>
      <c r="E574" s="1394" t="n">
        <v>36122</v>
      </c>
      <c r="F574" s="1394" t="n">
        <v>36123</v>
      </c>
      <c r="G574" s="1393" t="inlineStr">
        <is>
          <t>-</t>
        </is>
      </c>
      <c r="H574" s="1393">
        <f>H573</f>
        <v/>
      </c>
      <c r="I574" s="1393" t="inlineStr">
        <is>
          <t>CS</t>
        </is>
      </c>
      <c r="J574" s="1393" t="inlineStr">
        <is>
          <t>-</t>
        </is>
      </c>
      <c r="K574" s="1395">
        <f>IF(raw[[#This Row],[city]]&lt;&gt;"",_xlfn.XLOOKUP($D574,ccc[city],ccc[prov],"-"),"-")</f>
        <v/>
      </c>
      <c r="L574" s="1395">
        <f>IF(raw[[#This Row],[city]]&lt;&gt;"",_xlfn.XLOOKUP($D574,ccc[city],ccc[ctry],"-"),"-")</f>
        <v/>
      </c>
      <c r="M574" s="1395">
        <f>IF(raw[[#This Row],[city]]&lt;&gt;"",_xlfn.XLOOKUP($D574,ccc[city],ccc[cont],"-"),"-")</f>
        <v/>
      </c>
      <c r="N574" s="1396">
        <f>IF(raw[[#This Row],[city]]="","-",IF(raw[[#This Row],[cont]]="B",raw[[#This Row],[cont]],"W"))</f>
        <v/>
      </c>
      <c r="O574" s="1397">
        <f>IF(raw[[#This Row],[out]]=0,0,IF(raw[[#This Row],[out]]=raw[[#This Row],[in]],0.01,raw[[#This Row],[out]]-raw[[#This Row],[in]]))</f>
        <v/>
      </c>
      <c r="P574" s="1397">
        <f>IF(raw[[#This Row],[in]]=0,0,MONTH(raw[[#This Row],[in]]))</f>
        <v/>
      </c>
      <c r="Q574" s="1397">
        <f>IF(raw[[#This Row],[in]]=0,0,YEAR(raw[[#This Row],[in]]))</f>
        <v/>
      </c>
      <c r="R574" s="1397">
        <f>INT(raw[[#This Row],[yr]]/10)*10</f>
        <v/>
      </c>
      <c r="S574" s="1395">
        <f>IF(raw[[#This Row],[city]]="","-",IF(raw[[#This Row],[city]]&lt;&gt;_xlfn.XLOOKUP(raw[[#This Row],[home]],homes[home],homes[city],"-"),1,0))</f>
        <v/>
      </c>
      <c r="T574" s="1398" t="inlineStr">
        <is>
          <t>.</t>
        </is>
      </c>
      <c r="U574" s="1399">
        <f>IF(raw[[#This Row],[wb]]="w",raw[[#This Row],[stay]]+U573,U573)</f>
        <v/>
      </c>
      <c r="V574" s="1400">
        <f>IF(raw[[#This Row],[out]]=0,V573,(raw[[#This Row],[out]]-E$5))</f>
        <v/>
      </c>
      <c r="W574" s="1401">
        <f>U574/V574</f>
        <v/>
      </c>
      <c r="X574" s="1378" t="inlineStr">
        <is>
          <t>.</t>
        </is>
      </c>
      <c r="Y574" s="1402">
        <f/>
        <v/>
      </c>
      <c r="Z574" s="1403">
        <f/>
        <v/>
      </c>
      <c r="AA574" s="1403">
        <f/>
        <v/>
      </c>
      <c r="AB574" s="1400">
        <f t="array" ref="AB574">_xlfn.LET(_xlpm.S,_xlfn.ANCHORARRAY($Y$4),_xlpm.r,ROWS(stayCity[[#Headers],[city]]:stayCity[[#This Row],[city]])-1,IF(_xlpm.r&lt;=ROWS(_xlpm.S),INDEX(_xlpm.S,_xlpm.r,1),""))</f>
        <v/>
      </c>
      <c r="AC574" s="1405">
        <f t="array" ref="AC574">_xlfn.LET(_xlpm.S,_xlfn.ANCHORARRAY($Y$4),_xlpm.r,ROWS(stayCity[[#Headers],[city]]:stayCity[[#This Row],[city]])-1,IF(_xlpm.r&lt;=ROWS(_xlpm.S),INDEX(_xlpm.S,_xlpm.r,2),""))</f>
        <v/>
      </c>
      <c r="AD574" s="1405">
        <f t="array" ref="AD574">_xlfn.LET(_xlpm.S,_xlfn.ANCHORARRAY($Y$4),_xlpm.r,ROWS(stayCity[[#Headers],[city]]:stayCity[[#This Row],[city]])-1,IF(_xlpm.r&lt;=ROWS(_xlpm.S),INDEX(_xlpm.S,_xlpm.r,3),""))</f>
        <v/>
      </c>
      <c r="AE574" s="1400">
        <f>IF(stayCity[[#This Row],[out]]&lt;&gt;"",stayCity[[#This Row],[out]]-stayCity[[#This Row],[in]],"-")</f>
        <v/>
      </c>
      <c r="AF574" s="1406">
        <f>IF(Y574="","-",YEAR(stayCity[[#This Row],[in]]))</f>
        <v/>
      </c>
      <c r="AG574" s="1392" t="n"/>
      <c r="AH574" s="1392" t="n"/>
      <c r="AI574" s="1392" t="n"/>
      <c r="AJ574" s="1392" t="n"/>
      <c r="AK574" s="1392" t="n"/>
      <c r="AL574" s="1392" t="n"/>
      <c r="AM574" s="1392" t="n"/>
      <c r="AN574" s="1392" t="n"/>
      <c r="AO574" s="1392" t="n"/>
      <c r="AP574" s="1392" t="n"/>
      <c r="AQ574" s="1392" t="n"/>
      <c r="AR574" s="1392" t="n"/>
      <c r="AS574" s="1422" t="n"/>
      <c r="AT574" s="1392" t="n"/>
      <c r="AU574" s="1392" t="n"/>
      <c r="AV574" s="1392" t="n"/>
      <c r="AW574" s="1392" t="n"/>
      <c r="AX574" s="1392" t="n"/>
      <c r="AY574" s="1392" t="n"/>
      <c r="AZ574" s="1392" t="n"/>
      <c r="BA574" s="1392" t="n"/>
      <c r="BB574" s="1422" t="n"/>
      <c r="BC574" s="1392" t="n"/>
      <c r="BD574" s="1392" t="n"/>
      <c r="BE574" s="1392" t="n"/>
      <c r="BF574" s="1392" t="n"/>
      <c r="BG574" s="1392" t="n"/>
      <c r="BH574" s="1392" t="n"/>
      <c r="BI574" s="1392" t="n"/>
      <c r="BJ574" s="1392" t="n"/>
      <c r="BK574" s="1392" t="n"/>
      <c r="BL574" s="1392" t="n"/>
      <c r="BM574" s="1392" t="n"/>
      <c r="BN574" s="1392" t="n"/>
      <c r="BO574" s="1392" t="n"/>
      <c r="BP574" s="1392" t="n"/>
      <c r="BQ574" s="1392" t="n"/>
      <c r="BR574" s="1392" t="n"/>
      <c r="BS574" s="1392" t="n"/>
      <c r="BT574" s="1392" t="n"/>
      <c r="BU574" s="1416" t="n"/>
      <c r="BV574" s="1392" t="n"/>
      <c r="BW574" s="1392" t="n"/>
      <c r="BX574" s="1392" t="n"/>
      <c r="BY574" s="1392" t="n"/>
      <c r="BZ574" s="1416" t="n"/>
      <c r="CA574" s="1392" t="n"/>
      <c r="CB574" s="1392" t="n"/>
      <c r="CC574" s="1392" t="n"/>
      <c r="CD574" s="1392" t="n"/>
      <c r="CE574" s="1392" t="n"/>
      <c r="CF574" s="1392" t="n"/>
      <c r="CG574" s="1392" t="n"/>
      <c r="CH574" s="1392" t="n"/>
      <c r="CI574" s="1392" t="n"/>
      <c r="CJ574" s="1392" t="n"/>
      <c r="CK574" s="1392" t="n"/>
      <c r="CL574" s="1392" t="n"/>
    </row>
    <row r="575">
      <c r="A575" s="5" t="inlineStr">
        <is>
          <t>.</t>
        </is>
      </c>
      <c r="B575" s="5" t="inlineStr">
        <is>
          <t>.</t>
        </is>
      </c>
      <c r="C575" s="1378">
        <f>IF(raw[[#This Row],[city]]="","-",IF(raw[[#This Row],[city]]="TODAY","-",C574+1))</f>
        <v/>
      </c>
      <c r="D575" s="1393" t="inlineStr">
        <is>
          <t>Villagarcia de Arousa</t>
        </is>
      </c>
      <c r="E575" s="1394" t="n">
        <v>36123</v>
      </c>
      <c r="F575" s="1394" t="n">
        <v>36123</v>
      </c>
      <c r="G575" s="1393" t="inlineStr">
        <is>
          <t>-</t>
        </is>
      </c>
      <c r="H575" s="1393">
        <f>H574</f>
        <v/>
      </c>
      <c r="I575" s="1393" t="inlineStr">
        <is>
          <t>CS</t>
        </is>
      </c>
      <c r="J575" s="1393" t="inlineStr">
        <is>
          <t>-</t>
        </is>
      </c>
      <c r="K575" s="1395">
        <f>IF(raw[[#This Row],[city]]&lt;&gt;"",_xlfn.XLOOKUP($D575,ccc[city],ccc[prov],"-"),"-")</f>
        <v/>
      </c>
      <c r="L575" s="1395">
        <f>IF(raw[[#This Row],[city]]&lt;&gt;"",_xlfn.XLOOKUP($D575,ccc[city],ccc[ctry],"-"),"-")</f>
        <v/>
      </c>
      <c r="M575" s="1395">
        <f>IF(raw[[#This Row],[city]]&lt;&gt;"",_xlfn.XLOOKUP($D575,ccc[city],ccc[cont],"-"),"-")</f>
        <v/>
      </c>
      <c r="N575" s="1396">
        <f>IF(raw[[#This Row],[city]]="","-",IF(raw[[#This Row],[cont]]="B",raw[[#This Row],[cont]],"W"))</f>
        <v/>
      </c>
      <c r="O575" s="1397">
        <f>IF(raw[[#This Row],[out]]=0,0,IF(raw[[#This Row],[out]]=raw[[#This Row],[in]],0.01,raw[[#This Row],[out]]-raw[[#This Row],[in]]))</f>
        <v/>
      </c>
      <c r="P575" s="1397">
        <f>IF(raw[[#This Row],[in]]=0,0,MONTH(raw[[#This Row],[in]]))</f>
        <v/>
      </c>
      <c r="Q575" s="1397">
        <f>IF(raw[[#This Row],[in]]=0,0,YEAR(raw[[#This Row],[in]]))</f>
        <v/>
      </c>
      <c r="R575" s="1397">
        <f>INT(raw[[#This Row],[yr]]/10)*10</f>
        <v/>
      </c>
      <c r="S575" s="1395">
        <f>IF(raw[[#This Row],[city]]="","-",IF(raw[[#This Row],[city]]&lt;&gt;_xlfn.XLOOKUP(raw[[#This Row],[home]],homes[home],homes[city],"-"),1,0))</f>
        <v/>
      </c>
      <c r="T575" s="1398" t="inlineStr">
        <is>
          <t>.</t>
        </is>
      </c>
      <c r="U575" s="1399">
        <f>IF(raw[[#This Row],[wb]]="w",raw[[#This Row],[stay]]+U574,U574)</f>
        <v/>
      </c>
      <c r="V575" s="1400">
        <f>IF(raw[[#This Row],[out]]=0,V574,(raw[[#This Row],[out]]-E$5))</f>
        <v/>
      </c>
      <c r="W575" s="1401">
        <f>U575/V575</f>
        <v/>
      </c>
      <c r="X575" s="1378" t="inlineStr">
        <is>
          <t>.</t>
        </is>
      </c>
      <c r="Y575" s="1402">
        <f/>
        <v/>
      </c>
      <c r="Z575" s="1403">
        <f/>
        <v/>
      </c>
      <c r="AA575" s="1403">
        <f/>
        <v/>
      </c>
      <c r="AB575" s="1400">
        <f t="array" ref="AB575">_xlfn.LET(_xlpm.S,_xlfn.ANCHORARRAY($Y$4),_xlpm.r,ROWS(stayCity[[#Headers],[city]]:stayCity[[#This Row],[city]])-1,IF(_xlpm.r&lt;=ROWS(_xlpm.S),INDEX(_xlpm.S,_xlpm.r,1),""))</f>
        <v/>
      </c>
      <c r="AC575" s="1405">
        <f t="array" ref="AC575">_xlfn.LET(_xlpm.S,_xlfn.ANCHORARRAY($Y$4),_xlpm.r,ROWS(stayCity[[#Headers],[city]]:stayCity[[#This Row],[city]])-1,IF(_xlpm.r&lt;=ROWS(_xlpm.S),INDEX(_xlpm.S,_xlpm.r,2),""))</f>
        <v/>
      </c>
      <c r="AD575" s="1405">
        <f t="array" ref="AD575">_xlfn.LET(_xlpm.S,_xlfn.ANCHORARRAY($Y$4),_xlpm.r,ROWS(stayCity[[#Headers],[city]]:stayCity[[#This Row],[city]])-1,IF(_xlpm.r&lt;=ROWS(_xlpm.S),INDEX(_xlpm.S,_xlpm.r,3),""))</f>
        <v/>
      </c>
      <c r="AE575" s="1400">
        <f>IF(stayCity[[#This Row],[out]]&lt;&gt;"",stayCity[[#This Row],[out]]-stayCity[[#This Row],[in]],"-")</f>
        <v/>
      </c>
      <c r="AF575" s="1406">
        <f>IF(Y575="","-",YEAR(stayCity[[#This Row],[in]]))</f>
        <v/>
      </c>
      <c r="AG575" s="1392" t="n"/>
      <c r="AH575" s="1392" t="n"/>
      <c r="AI575" s="1392" t="n"/>
      <c r="AJ575" s="1392" t="n"/>
      <c r="AK575" s="1392" t="n"/>
      <c r="AL575" s="1392" t="n"/>
      <c r="AM575" s="1392" t="n"/>
      <c r="AN575" s="1392" t="n"/>
      <c r="AO575" s="1392" t="n"/>
      <c r="AP575" s="1392" t="n"/>
      <c r="AQ575" s="1392" t="n"/>
      <c r="AR575" s="1392" t="n"/>
      <c r="AS575" s="1422" t="n"/>
      <c r="AT575" s="1392" t="n"/>
      <c r="AU575" s="1392" t="n"/>
      <c r="AV575" s="1392" t="n"/>
      <c r="AW575" s="1392" t="n"/>
      <c r="AX575" s="1392" t="n"/>
      <c r="AY575" s="1392" t="n"/>
      <c r="AZ575" s="1392" t="n"/>
      <c r="BA575" s="1392" t="n"/>
      <c r="BB575" s="1422" t="n"/>
      <c r="BC575" s="1392" t="n"/>
      <c r="BD575" s="1392" t="n"/>
      <c r="BE575" s="1392" t="n"/>
      <c r="BF575" s="1392" t="n"/>
      <c r="BG575" s="1392" t="n"/>
      <c r="BH575" s="1392" t="n"/>
      <c r="BI575" s="1392" t="n"/>
      <c r="BJ575" s="1392" t="n"/>
      <c r="BK575" s="1392" t="n"/>
      <c r="BL575" s="1392" t="n"/>
      <c r="BM575" s="1392" t="n"/>
      <c r="BN575" s="1392" t="n"/>
      <c r="BO575" s="1392" t="n"/>
      <c r="BP575" s="1392" t="n"/>
      <c r="BQ575" s="1392" t="n"/>
      <c r="BR575" s="1392" t="n"/>
      <c r="BS575" s="1392" t="n"/>
      <c r="BT575" s="1392" t="n"/>
      <c r="BU575" s="1416" t="n"/>
      <c r="BV575" s="1392" t="n"/>
      <c r="BW575" s="1392" t="n"/>
      <c r="BX575" s="1392" t="n"/>
      <c r="BY575" s="1392" t="n"/>
      <c r="BZ575" s="1416" t="n"/>
      <c r="CA575" s="1392" t="n"/>
      <c r="CB575" s="1392" t="n"/>
      <c r="CC575" s="1392" t="n"/>
      <c r="CD575" s="1392" t="n"/>
      <c r="CE575" s="1392" t="n"/>
      <c r="CF575" s="1392" t="n"/>
      <c r="CG575" s="1392" t="n"/>
      <c r="CH575" s="1392" t="n"/>
      <c r="CI575" s="1392" t="n"/>
      <c r="CJ575" s="1392" t="n"/>
      <c r="CK575" s="1392" t="n"/>
      <c r="CL575" s="1392" t="n"/>
    </row>
    <row r="576">
      <c r="A576" s="5" t="inlineStr">
        <is>
          <t>.</t>
        </is>
      </c>
      <c r="B576" s="5" t="inlineStr">
        <is>
          <t>.</t>
        </is>
      </c>
      <c r="C576" s="1378">
        <f>IF(raw[[#This Row],[city]]="","-",IF(raw[[#This Row],[city]]="TODAY","-",C575+1))</f>
        <v/>
      </c>
      <c r="D576" s="1393" t="inlineStr">
        <is>
          <t>Vigo</t>
        </is>
      </c>
      <c r="E576" s="1394" t="n">
        <v>36123</v>
      </c>
      <c r="F576" s="1394" t="n">
        <v>36123</v>
      </c>
      <c r="G576" s="1393" t="inlineStr">
        <is>
          <t>-</t>
        </is>
      </c>
      <c r="H576" s="1393">
        <f>H575</f>
        <v/>
      </c>
      <c r="I576" s="1393" t="inlineStr">
        <is>
          <t>CS</t>
        </is>
      </c>
      <c r="J576" s="1393" t="inlineStr">
        <is>
          <t>-</t>
        </is>
      </c>
      <c r="K576" s="1395">
        <f>IF(raw[[#This Row],[city]]&lt;&gt;"",_xlfn.XLOOKUP($D576,ccc[city],ccc[prov],"-"),"-")</f>
        <v/>
      </c>
      <c r="L576" s="1395">
        <f>IF(raw[[#This Row],[city]]&lt;&gt;"",_xlfn.XLOOKUP($D576,ccc[city],ccc[ctry],"-"),"-")</f>
        <v/>
      </c>
      <c r="M576" s="1395">
        <f>IF(raw[[#This Row],[city]]&lt;&gt;"",_xlfn.XLOOKUP($D576,ccc[city],ccc[cont],"-"),"-")</f>
        <v/>
      </c>
      <c r="N576" s="1396">
        <f>IF(raw[[#This Row],[city]]="","-",IF(raw[[#This Row],[cont]]="B",raw[[#This Row],[cont]],"W"))</f>
        <v/>
      </c>
      <c r="O576" s="1397">
        <f>IF(raw[[#This Row],[out]]=0,0,IF(raw[[#This Row],[out]]=raw[[#This Row],[in]],0.01,raw[[#This Row],[out]]-raw[[#This Row],[in]]))</f>
        <v/>
      </c>
      <c r="P576" s="1397">
        <f>IF(raw[[#This Row],[in]]=0,0,MONTH(raw[[#This Row],[in]]))</f>
        <v/>
      </c>
      <c r="Q576" s="1397">
        <f>IF(raw[[#This Row],[in]]=0,0,YEAR(raw[[#This Row],[in]]))</f>
        <v/>
      </c>
      <c r="R576" s="1397">
        <f>INT(raw[[#This Row],[yr]]/10)*10</f>
        <v/>
      </c>
      <c r="S576" s="1395">
        <f>IF(raw[[#This Row],[city]]="","-",IF(raw[[#This Row],[city]]&lt;&gt;_xlfn.XLOOKUP(raw[[#This Row],[home]],homes[home],homes[city],"-"),1,0))</f>
        <v/>
      </c>
      <c r="T576" s="1398" t="inlineStr">
        <is>
          <t>.</t>
        </is>
      </c>
      <c r="U576" s="1399">
        <f>IF(raw[[#This Row],[wb]]="w",raw[[#This Row],[stay]]+U575,U575)</f>
        <v/>
      </c>
      <c r="V576" s="1400">
        <f>IF(raw[[#This Row],[out]]=0,V575,(raw[[#This Row],[out]]-E$5))</f>
        <v/>
      </c>
      <c r="W576" s="1401">
        <f>U576/V576</f>
        <v/>
      </c>
      <c r="X576" s="1378" t="inlineStr">
        <is>
          <t>.</t>
        </is>
      </c>
      <c r="Y576" s="1402">
        <f/>
        <v/>
      </c>
      <c r="Z576" s="1403">
        <f/>
        <v/>
      </c>
      <c r="AA576" s="1403">
        <f/>
        <v/>
      </c>
      <c r="AB576" s="1400">
        <f t="array" ref="AB576">_xlfn.LET(_xlpm.S,_xlfn.ANCHORARRAY($Y$4),_xlpm.r,ROWS(stayCity[[#Headers],[city]]:stayCity[[#This Row],[city]])-1,IF(_xlpm.r&lt;=ROWS(_xlpm.S),INDEX(_xlpm.S,_xlpm.r,1),""))</f>
        <v/>
      </c>
      <c r="AC576" s="1405">
        <f t="array" ref="AC576">_xlfn.LET(_xlpm.S,_xlfn.ANCHORARRAY($Y$4),_xlpm.r,ROWS(stayCity[[#Headers],[city]]:stayCity[[#This Row],[city]])-1,IF(_xlpm.r&lt;=ROWS(_xlpm.S),INDEX(_xlpm.S,_xlpm.r,2),""))</f>
        <v/>
      </c>
      <c r="AD576" s="1405">
        <f t="array" ref="AD576">_xlfn.LET(_xlpm.S,_xlfn.ANCHORARRAY($Y$4),_xlpm.r,ROWS(stayCity[[#Headers],[city]]:stayCity[[#This Row],[city]])-1,IF(_xlpm.r&lt;=ROWS(_xlpm.S),INDEX(_xlpm.S,_xlpm.r,3),""))</f>
        <v/>
      </c>
      <c r="AE576" s="1400">
        <f>IF(stayCity[[#This Row],[out]]&lt;&gt;"",stayCity[[#This Row],[out]]-stayCity[[#This Row],[in]],"-")</f>
        <v/>
      </c>
      <c r="AF576" s="1406">
        <f>IF(Y576="","-",YEAR(stayCity[[#This Row],[in]]))</f>
        <v/>
      </c>
      <c r="AG576" s="1392" t="n"/>
      <c r="AH576" s="1392" t="n"/>
      <c r="AI576" s="1392" t="n"/>
      <c r="AJ576" s="1392" t="n"/>
      <c r="AK576" s="1392" t="n"/>
      <c r="AL576" s="1392" t="n"/>
      <c r="AM576" s="1392" t="n"/>
      <c r="AN576" s="1392" t="n"/>
      <c r="AO576" s="1392" t="n"/>
      <c r="AP576" s="1392" t="n"/>
      <c r="AQ576" s="1392" t="n"/>
      <c r="AR576" s="1392" t="n"/>
      <c r="AS576" s="1422" t="n"/>
      <c r="AT576" s="1392" t="n"/>
      <c r="AU576" s="1392" t="n"/>
      <c r="AV576" s="1392" t="n"/>
      <c r="AW576" s="1392" t="n"/>
      <c r="AX576" s="1392" t="n"/>
      <c r="AY576" s="1392" t="n"/>
      <c r="AZ576" s="1392" t="n"/>
      <c r="BA576" s="1392" t="n"/>
      <c r="BB576" s="1422" t="n"/>
      <c r="BC576" s="1392" t="n"/>
      <c r="BD576" s="1392" t="n"/>
      <c r="BE576" s="1392" t="n"/>
      <c r="BF576" s="1392" t="n"/>
      <c r="BG576" s="1392" t="n"/>
      <c r="BH576" s="1392" t="n"/>
      <c r="BI576" s="1392" t="n"/>
      <c r="BJ576" s="1392" t="n"/>
      <c r="BK576" s="1392" t="n"/>
      <c r="BL576" s="1392" t="n"/>
      <c r="BM576" s="1392" t="n"/>
      <c r="BN576" s="1392" t="n"/>
      <c r="BO576" s="1392" t="n"/>
      <c r="BP576" s="1392" t="n"/>
      <c r="BQ576" s="1392" t="n"/>
      <c r="BR576" s="1392" t="n"/>
      <c r="BS576" s="1392" t="n"/>
      <c r="BT576" s="1392" t="n"/>
      <c r="BU576" s="1416" t="n"/>
      <c r="BV576" s="1392" t="n"/>
      <c r="BW576" s="1392" t="n"/>
      <c r="BX576" s="1392" t="n"/>
      <c r="BY576" s="1392" t="n"/>
      <c r="BZ576" s="1416" t="n"/>
      <c r="CA576" s="1392" t="n"/>
      <c r="CB576" s="1392" t="n"/>
      <c r="CC576" s="1392" t="n"/>
      <c r="CD576" s="1392" t="n"/>
      <c r="CE576" s="1392" t="n"/>
      <c r="CF576" s="1392" t="n"/>
      <c r="CG576" s="1392" t="n"/>
      <c r="CH576" s="1392" t="n"/>
      <c r="CI576" s="1392" t="n"/>
      <c r="CJ576" s="1392" t="n"/>
      <c r="CK576" s="1392" t="n"/>
      <c r="CL576" s="1392" t="n"/>
    </row>
    <row r="577">
      <c r="A577" s="5" t="inlineStr">
        <is>
          <t>.</t>
        </is>
      </c>
      <c r="B577" s="5" t="inlineStr">
        <is>
          <t>.</t>
        </is>
      </c>
      <c r="C577" s="1378">
        <f>IF(raw[[#This Row],[city]]="","-",IF(raw[[#This Row],[city]]="TODAY","-",C576+1))</f>
        <v/>
      </c>
      <c r="D577" s="1393" t="inlineStr">
        <is>
          <t>Paris</t>
        </is>
      </c>
      <c r="E577" s="1394" t="n">
        <v>36123</v>
      </c>
      <c r="F577" s="1394" t="n">
        <v>36130</v>
      </c>
      <c r="G577" s="1393" t="inlineStr">
        <is>
          <t>-</t>
        </is>
      </c>
      <c r="H577" s="1393">
        <f>H576</f>
        <v/>
      </c>
      <c r="I577" s="1393" t="inlineStr">
        <is>
          <t>-</t>
        </is>
      </c>
      <c r="J577" s="1393" t="inlineStr">
        <is>
          <t>-</t>
        </is>
      </c>
      <c r="K577" s="1395">
        <f>IF(raw[[#This Row],[city]]&lt;&gt;"",_xlfn.XLOOKUP($D577,ccc[city],ccc[prov],"-"),"-")</f>
        <v/>
      </c>
      <c r="L577" s="1395">
        <f>IF(raw[[#This Row],[city]]&lt;&gt;"",_xlfn.XLOOKUP($D577,ccc[city],ccc[ctry],"-"),"-")</f>
        <v/>
      </c>
      <c r="M577" s="1395">
        <f>IF(raw[[#This Row],[city]]&lt;&gt;"",_xlfn.XLOOKUP($D577,ccc[city],ccc[cont],"-"),"-")</f>
        <v/>
      </c>
      <c r="N577" s="1396">
        <f>IF(raw[[#This Row],[city]]="","-",IF(raw[[#This Row],[cont]]="B",raw[[#This Row],[cont]],"W"))</f>
        <v/>
      </c>
      <c r="O577" s="1397">
        <f>IF(raw[[#This Row],[out]]=0,0,IF(raw[[#This Row],[out]]=raw[[#This Row],[in]],0.01,raw[[#This Row],[out]]-raw[[#This Row],[in]]))</f>
        <v/>
      </c>
      <c r="P577" s="1397">
        <f>IF(raw[[#This Row],[in]]=0,0,MONTH(raw[[#This Row],[in]]))</f>
        <v/>
      </c>
      <c r="Q577" s="1397">
        <f>IF(raw[[#This Row],[in]]=0,0,YEAR(raw[[#This Row],[in]]))</f>
        <v/>
      </c>
      <c r="R577" s="1397">
        <f>INT(raw[[#This Row],[yr]]/10)*10</f>
        <v/>
      </c>
      <c r="S577" s="1395">
        <f>IF(raw[[#This Row],[city]]="","-",IF(raw[[#This Row],[city]]&lt;&gt;_xlfn.XLOOKUP(raw[[#This Row],[home]],homes[home],homes[city],"-"),1,0))</f>
        <v/>
      </c>
      <c r="T577" s="1398" t="inlineStr">
        <is>
          <t>.</t>
        </is>
      </c>
      <c r="U577" s="1399">
        <f>IF(raw[[#This Row],[wb]]="w",raw[[#This Row],[stay]]+U576,U576)</f>
        <v/>
      </c>
      <c r="V577" s="1400">
        <f>IF(raw[[#This Row],[out]]=0,V576,(raw[[#This Row],[out]]-E$5))</f>
        <v/>
      </c>
      <c r="W577" s="1401">
        <f>U577/V577</f>
        <v/>
      </c>
      <c r="X577" s="1378" t="inlineStr">
        <is>
          <t>.</t>
        </is>
      </c>
      <c r="Y577" s="1402">
        <f/>
        <v/>
      </c>
      <c r="Z577" s="1403">
        <f/>
        <v/>
      </c>
      <c r="AA577" s="1403">
        <f/>
        <v/>
      </c>
      <c r="AB577" s="1400">
        <f t="array" ref="AB577">_xlfn.LET(_xlpm.S,_xlfn.ANCHORARRAY($Y$4),_xlpm.r,ROWS(stayCity[[#Headers],[city]]:stayCity[[#This Row],[city]])-1,IF(_xlpm.r&lt;=ROWS(_xlpm.S),INDEX(_xlpm.S,_xlpm.r,1),""))</f>
        <v/>
      </c>
      <c r="AC577" s="1405">
        <f t="array" ref="AC577">_xlfn.LET(_xlpm.S,_xlfn.ANCHORARRAY($Y$4),_xlpm.r,ROWS(stayCity[[#Headers],[city]]:stayCity[[#This Row],[city]])-1,IF(_xlpm.r&lt;=ROWS(_xlpm.S),INDEX(_xlpm.S,_xlpm.r,2),""))</f>
        <v/>
      </c>
      <c r="AD577" s="1405">
        <f t="array" ref="AD577">_xlfn.LET(_xlpm.S,_xlfn.ANCHORARRAY($Y$4),_xlpm.r,ROWS(stayCity[[#Headers],[city]]:stayCity[[#This Row],[city]])-1,IF(_xlpm.r&lt;=ROWS(_xlpm.S),INDEX(_xlpm.S,_xlpm.r,3),""))</f>
        <v/>
      </c>
      <c r="AE577" s="1400">
        <f>IF(stayCity[[#This Row],[out]]&lt;&gt;"",stayCity[[#This Row],[out]]-stayCity[[#This Row],[in]],"-")</f>
        <v/>
      </c>
      <c r="AF577" s="1406">
        <f>IF(Y577="","-",YEAR(stayCity[[#This Row],[in]]))</f>
        <v/>
      </c>
      <c r="AG577" s="1392" t="n"/>
      <c r="AH577" s="1392" t="n"/>
      <c r="AI577" s="1392" t="n"/>
      <c r="AJ577" s="1392" t="n"/>
      <c r="AK577" s="1392" t="n"/>
      <c r="AL577" s="1392" t="n"/>
      <c r="AM577" s="1392" t="n"/>
      <c r="AN577" s="1392" t="n"/>
      <c r="AO577" s="1392" t="n"/>
      <c r="AP577" s="1392" t="n"/>
      <c r="AQ577" s="1392" t="n"/>
      <c r="AR577" s="1392" t="n"/>
      <c r="AS577" s="1422" t="n"/>
      <c r="AT577" s="1392" t="n"/>
      <c r="AU577" s="1392" t="n"/>
      <c r="AV577" s="1392" t="n"/>
      <c r="AW577" s="1392" t="n"/>
      <c r="AX577" s="1392" t="n"/>
      <c r="AY577" s="1392" t="n"/>
      <c r="AZ577" s="1392" t="n"/>
      <c r="BA577" s="1392" t="n"/>
      <c r="BB577" s="1422" t="n"/>
      <c r="BC577" s="1392" t="n"/>
      <c r="BD577" s="1392" t="n"/>
      <c r="BE577" s="1392" t="n"/>
      <c r="BF577" s="1392" t="n"/>
      <c r="BG577" s="1392" t="n"/>
      <c r="BH577" s="1392" t="n"/>
      <c r="BI577" s="1392" t="n"/>
      <c r="BJ577" s="1392" t="n"/>
      <c r="BK577" s="1392" t="n"/>
      <c r="BL577" s="1392" t="n"/>
      <c r="BM577" s="1392" t="n"/>
      <c r="BN577" s="1392" t="n"/>
      <c r="BO577" s="1392" t="n"/>
      <c r="BP577" s="1392" t="n"/>
      <c r="BQ577" s="1392" t="n"/>
      <c r="BR577" s="1392" t="n"/>
      <c r="BS577" s="1392" t="n"/>
      <c r="BT577" s="1392" t="n"/>
      <c r="BU577" s="1416" t="n"/>
      <c r="BV577" s="1392" t="n"/>
      <c r="BW577" s="1392" t="n"/>
      <c r="BX577" s="1392" t="n"/>
      <c r="BY577" s="1392" t="n"/>
      <c r="BZ577" s="1416" t="n"/>
      <c r="CA577" s="1392" t="n"/>
      <c r="CB577" s="1392" t="n"/>
      <c r="CC577" s="1392" t="n"/>
      <c r="CD577" s="1392" t="n"/>
      <c r="CE577" s="1392" t="n"/>
      <c r="CF577" s="1392" t="n"/>
      <c r="CG577" s="1392" t="n"/>
      <c r="CH577" s="1392" t="n"/>
      <c r="CI577" s="1392" t="n"/>
      <c r="CJ577" s="1392" t="n"/>
      <c r="CK577" s="1392" t="n"/>
      <c r="CL577" s="1392" t="n"/>
    </row>
    <row r="578">
      <c r="A578" s="5" t="inlineStr">
        <is>
          <t>.</t>
        </is>
      </c>
      <c r="B578" s="5" t="inlineStr">
        <is>
          <t>.</t>
        </is>
      </c>
      <c r="C578" s="1378">
        <f>IF(raw[[#This Row],[city]]="","-",IF(raw[[#This Row],[city]]="TODAY","-",C577+1))</f>
        <v/>
      </c>
      <c r="D578" s="1393" t="inlineStr">
        <is>
          <t>Paris</t>
        </is>
      </c>
      <c r="E578" s="1394" t="n">
        <v>36130</v>
      </c>
      <c r="F578" s="1394" t="n">
        <v>36137</v>
      </c>
      <c r="G578" s="1393" t="n">
        <v>1</v>
      </c>
      <c r="H578" s="1393">
        <f>H577</f>
        <v/>
      </c>
      <c r="I578" s="1393" t="inlineStr">
        <is>
          <t>-</t>
        </is>
      </c>
      <c r="J578" s="1393" t="inlineStr">
        <is>
          <t>-</t>
        </is>
      </c>
      <c r="K578" s="1395">
        <f>IF(raw[[#This Row],[city]]&lt;&gt;"",_xlfn.XLOOKUP($D578,ccc[city],ccc[prov],"-"),"-")</f>
        <v/>
      </c>
      <c r="L578" s="1395">
        <f>IF(raw[[#This Row],[city]]&lt;&gt;"",_xlfn.XLOOKUP($D578,ccc[city],ccc[ctry],"-"),"-")</f>
        <v/>
      </c>
      <c r="M578" s="1395">
        <f>IF(raw[[#This Row],[city]]&lt;&gt;"",_xlfn.XLOOKUP($D578,ccc[city],ccc[cont],"-"),"-")</f>
        <v/>
      </c>
      <c r="N578" s="1396">
        <f>IF(raw[[#This Row],[city]]="","-",IF(raw[[#This Row],[cont]]="B",raw[[#This Row],[cont]],"W"))</f>
        <v/>
      </c>
      <c r="O578" s="1397">
        <f>IF(raw[[#This Row],[out]]=0,0,IF(raw[[#This Row],[out]]=raw[[#This Row],[in]],0.01,raw[[#This Row],[out]]-raw[[#This Row],[in]]))</f>
        <v/>
      </c>
      <c r="P578" s="1397">
        <f>IF(raw[[#This Row],[in]]=0,0,MONTH(raw[[#This Row],[in]]))</f>
        <v/>
      </c>
      <c r="Q578" s="1397">
        <f>IF(raw[[#This Row],[in]]=0,0,YEAR(raw[[#This Row],[in]]))</f>
        <v/>
      </c>
      <c r="R578" s="1397">
        <f>INT(raw[[#This Row],[yr]]/10)*10</f>
        <v/>
      </c>
      <c r="S578" s="1395">
        <f>IF(raw[[#This Row],[city]]="","-",IF(raw[[#This Row],[city]]&lt;&gt;_xlfn.XLOOKUP(raw[[#This Row],[home]],homes[home],homes[city],"-"),1,0))</f>
        <v/>
      </c>
      <c r="T578" s="1398" t="inlineStr">
        <is>
          <t>.</t>
        </is>
      </c>
      <c r="U578" s="1399">
        <f>IF(raw[[#This Row],[wb]]="w",raw[[#This Row],[stay]]+U577,U577)</f>
        <v/>
      </c>
      <c r="V578" s="1400">
        <f>IF(raw[[#This Row],[out]]=0,V577,(raw[[#This Row],[out]]-E$5))</f>
        <v/>
      </c>
      <c r="W578" s="1401">
        <f>U578/V578</f>
        <v/>
      </c>
      <c r="X578" s="1378" t="inlineStr">
        <is>
          <t>.</t>
        </is>
      </c>
      <c r="Y578" s="1402">
        <f/>
        <v/>
      </c>
      <c r="Z578" s="1403">
        <f/>
        <v/>
      </c>
      <c r="AA578" s="1403">
        <f/>
        <v/>
      </c>
      <c r="AB578" s="1400">
        <f t="array" ref="AB578">_xlfn.LET(_xlpm.S,_xlfn.ANCHORARRAY($Y$4),_xlpm.r,ROWS(stayCity[[#Headers],[city]]:stayCity[[#This Row],[city]])-1,IF(_xlpm.r&lt;=ROWS(_xlpm.S),INDEX(_xlpm.S,_xlpm.r,1),""))</f>
        <v/>
      </c>
      <c r="AC578" s="1405">
        <f t="array" ref="AC578">_xlfn.LET(_xlpm.S,_xlfn.ANCHORARRAY($Y$4),_xlpm.r,ROWS(stayCity[[#Headers],[city]]:stayCity[[#This Row],[city]])-1,IF(_xlpm.r&lt;=ROWS(_xlpm.S),INDEX(_xlpm.S,_xlpm.r,2),""))</f>
        <v/>
      </c>
      <c r="AD578" s="1405">
        <f t="array" ref="AD578">_xlfn.LET(_xlpm.S,_xlfn.ANCHORARRAY($Y$4),_xlpm.r,ROWS(stayCity[[#Headers],[city]]:stayCity[[#This Row],[city]])-1,IF(_xlpm.r&lt;=ROWS(_xlpm.S),INDEX(_xlpm.S,_xlpm.r,3),""))</f>
        <v/>
      </c>
      <c r="AE578" s="1400">
        <f>IF(stayCity[[#This Row],[out]]&lt;&gt;"",stayCity[[#This Row],[out]]-stayCity[[#This Row],[in]],"-")</f>
        <v/>
      </c>
      <c r="AF578" s="1406">
        <f>IF(Y578="","-",YEAR(stayCity[[#This Row],[in]]))</f>
        <v/>
      </c>
      <c r="AG578" s="1392" t="n"/>
      <c r="AH578" s="1392" t="n"/>
      <c r="AI578" s="1392" t="n"/>
      <c r="AJ578" s="1392" t="n"/>
      <c r="AK578" s="1392" t="n"/>
      <c r="AL578" s="1392" t="n"/>
      <c r="AM578" s="1392" t="n"/>
      <c r="AN578" s="1392" t="n"/>
      <c r="AO578" s="1392" t="n"/>
      <c r="AP578" s="1392" t="n"/>
      <c r="AQ578" s="1392" t="n"/>
      <c r="AR578" s="1392" t="n"/>
      <c r="AS578" s="1422" t="n"/>
      <c r="AT578" s="1392" t="n"/>
      <c r="AU578" s="1392" t="n"/>
      <c r="AV578" s="1392" t="n"/>
      <c r="AW578" s="1392" t="n"/>
      <c r="AX578" s="1392" t="n"/>
      <c r="AY578" s="1392" t="n"/>
      <c r="AZ578" s="1392" t="n"/>
      <c r="BA578" s="1392" t="n"/>
      <c r="BB578" s="1422" t="n"/>
      <c r="BC578" s="1392" t="n"/>
      <c r="BD578" s="1392" t="n"/>
      <c r="BE578" s="1392" t="n"/>
      <c r="BF578" s="1392" t="n"/>
      <c r="BG578" s="1392" t="n"/>
      <c r="BH578" s="1392" t="n"/>
      <c r="BI578" s="1392" t="n"/>
      <c r="BJ578" s="1392" t="n"/>
      <c r="BK578" s="1392" t="n"/>
      <c r="BL578" s="1392" t="n"/>
      <c r="BM578" s="1392" t="n"/>
      <c r="BN578" s="1392" t="n"/>
      <c r="BO578" s="1392" t="n"/>
      <c r="BP578" s="1392" t="n"/>
      <c r="BQ578" s="1392" t="n"/>
      <c r="BR578" s="1392" t="n"/>
      <c r="BS578" s="1392" t="n"/>
      <c r="BT578" s="1392" t="n"/>
      <c r="BU578" s="1416" t="n"/>
      <c r="BV578" s="1392" t="n"/>
      <c r="BW578" s="1392" t="n"/>
      <c r="BX578" s="1392" t="n"/>
      <c r="BY578" s="1392" t="n"/>
      <c r="BZ578" s="1416" t="n"/>
      <c r="CA578" s="1392" t="n"/>
      <c r="CB578" s="1392" t="n"/>
      <c r="CC578" s="1392" t="n"/>
      <c r="CD578" s="1392" t="n"/>
      <c r="CE578" s="1392" t="n"/>
      <c r="CF578" s="1392" t="n"/>
      <c r="CG578" s="1392" t="n"/>
      <c r="CH578" s="1392" t="n"/>
      <c r="CI578" s="1392" t="n"/>
      <c r="CJ578" s="1392" t="n"/>
      <c r="CK578" s="1392" t="n"/>
      <c r="CL578" s="1392" t="n"/>
    </row>
    <row r="579">
      <c r="A579" s="5" t="inlineStr">
        <is>
          <t>.</t>
        </is>
      </c>
      <c r="B579" s="5" t="inlineStr">
        <is>
          <t>.</t>
        </is>
      </c>
      <c r="C579" s="1378">
        <f>IF(raw[[#This Row],[city]]="","-",IF(raw[[#This Row],[city]]="TODAY","-",C578+1))</f>
        <v/>
      </c>
      <c r="D579" s="1393" t="inlineStr">
        <is>
          <t>Frankfurt</t>
        </is>
      </c>
      <c r="E579" s="1394" t="n">
        <v>36137</v>
      </c>
      <c r="F579" s="1394" t="n">
        <v>36137</v>
      </c>
      <c r="G579" s="1393" t="n">
        <v>0.01</v>
      </c>
      <c r="H579" s="1393" t="inlineStr">
        <is>
          <t>Transit</t>
        </is>
      </c>
      <c r="I579" s="1393" t="inlineStr">
        <is>
          <t>-</t>
        </is>
      </c>
      <c r="J579" s="1393" t="inlineStr">
        <is>
          <t>-</t>
        </is>
      </c>
      <c r="K579" s="1395">
        <f>IF(raw[[#This Row],[city]]&lt;&gt;"",_xlfn.XLOOKUP($D579,ccc[city],ccc[prov],"-"),"-")</f>
        <v/>
      </c>
      <c r="L579" s="1395">
        <f>IF(raw[[#This Row],[city]]&lt;&gt;"",_xlfn.XLOOKUP($D579,ccc[city],ccc[ctry],"-"),"-")</f>
        <v/>
      </c>
      <c r="M579" s="1395">
        <f>IF(raw[[#This Row],[city]]&lt;&gt;"",_xlfn.XLOOKUP($D579,ccc[city],ccc[cont],"-"),"-")</f>
        <v/>
      </c>
      <c r="N579" s="1396">
        <f>IF(raw[[#This Row],[city]]="","-",IF(raw[[#This Row],[cont]]="B",raw[[#This Row],[cont]],"W"))</f>
        <v/>
      </c>
      <c r="O579" s="1397">
        <f>IF(raw[[#This Row],[out]]=0,0,IF(raw[[#This Row],[out]]=raw[[#This Row],[in]],0.01,raw[[#This Row],[out]]-raw[[#This Row],[in]]))</f>
        <v/>
      </c>
      <c r="P579" s="1397">
        <f>IF(raw[[#This Row],[in]]=0,0,MONTH(raw[[#This Row],[in]]))</f>
        <v/>
      </c>
      <c r="Q579" s="1397">
        <f>IF(raw[[#This Row],[in]]=0,0,YEAR(raw[[#This Row],[in]]))</f>
        <v/>
      </c>
      <c r="R579" s="1397">
        <f>INT(raw[[#This Row],[yr]]/10)*10</f>
        <v/>
      </c>
      <c r="S579" s="1395">
        <f>IF(raw[[#This Row],[city]]="","-",IF(raw[[#This Row],[city]]&lt;&gt;_xlfn.XLOOKUP(raw[[#This Row],[home]],homes[home],homes[city],"-"),1,0))</f>
        <v/>
      </c>
      <c r="T579" s="1398" t="inlineStr">
        <is>
          <t>.</t>
        </is>
      </c>
      <c r="U579" s="1399">
        <f>IF(raw[[#This Row],[wb]]="w",raw[[#This Row],[stay]]+U578,U578)</f>
        <v/>
      </c>
      <c r="V579" s="1400">
        <f>IF(raw[[#This Row],[out]]=0,V578,(raw[[#This Row],[out]]-E$5))</f>
        <v/>
      </c>
      <c r="W579" s="1401">
        <f>U579/V579</f>
        <v/>
      </c>
      <c r="X579" s="1378" t="inlineStr">
        <is>
          <t>.</t>
        </is>
      </c>
      <c r="Y579" s="1402">
        <f/>
        <v/>
      </c>
      <c r="Z579" s="1403">
        <f/>
        <v/>
      </c>
      <c r="AA579" s="1403">
        <f/>
        <v/>
      </c>
      <c r="AB579" s="1400">
        <f t="array" ref="AB579">_xlfn.LET(_xlpm.S,_xlfn.ANCHORARRAY($Y$4),_xlpm.r,ROWS(stayCity[[#Headers],[city]]:stayCity[[#This Row],[city]])-1,IF(_xlpm.r&lt;=ROWS(_xlpm.S),INDEX(_xlpm.S,_xlpm.r,1),""))</f>
        <v/>
      </c>
      <c r="AC579" s="1405">
        <f t="array" ref="AC579">_xlfn.LET(_xlpm.S,_xlfn.ANCHORARRAY($Y$4),_xlpm.r,ROWS(stayCity[[#Headers],[city]]:stayCity[[#This Row],[city]])-1,IF(_xlpm.r&lt;=ROWS(_xlpm.S),INDEX(_xlpm.S,_xlpm.r,2),""))</f>
        <v/>
      </c>
      <c r="AD579" s="1405">
        <f t="array" ref="AD579">_xlfn.LET(_xlpm.S,_xlfn.ANCHORARRAY($Y$4),_xlpm.r,ROWS(stayCity[[#Headers],[city]]:stayCity[[#This Row],[city]])-1,IF(_xlpm.r&lt;=ROWS(_xlpm.S),INDEX(_xlpm.S,_xlpm.r,3),""))</f>
        <v/>
      </c>
      <c r="AE579" s="1400">
        <f>IF(stayCity[[#This Row],[out]]&lt;&gt;"",stayCity[[#This Row],[out]]-stayCity[[#This Row],[in]],"-")</f>
        <v/>
      </c>
      <c r="AF579" s="1406">
        <f>IF(Y579="","-",YEAR(stayCity[[#This Row],[in]]))</f>
        <v/>
      </c>
      <c r="AG579" s="1392" t="n"/>
      <c r="AH579" s="1392" t="n"/>
      <c r="AI579" s="1392" t="n"/>
      <c r="AJ579" s="1392" t="n"/>
      <c r="AK579" s="1392" t="n"/>
      <c r="AL579" s="1392" t="n"/>
      <c r="AM579" s="1392" t="n"/>
      <c r="AN579" s="1392" t="n"/>
      <c r="AO579" s="1392" t="n"/>
      <c r="AP579" s="1392" t="n"/>
      <c r="AQ579" s="1392" t="n"/>
      <c r="AR579" s="1392" t="n"/>
      <c r="AS579" s="1422" t="n"/>
      <c r="AT579" s="1392" t="n"/>
      <c r="AU579" s="1392" t="n"/>
      <c r="AV579" s="1392" t="n"/>
      <c r="AW579" s="1392" t="n"/>
      <c r="AX579" s="1392" t="n"/>
      <c r="AY579" s="1392" t="n"/>
      <c r="AZ579" s="1392" t="n"/>
      <c r="BA579" s="1392" t="n"/>
      <c r="BB579" s="1422" t="n"/>
      <c r="BC579" s="1392" t="n"/>
      <c r="BD579" s="1392" t="n"/>
      <c r="BE579" s="1392" t="n"/>
      <c r="BF579" s="1392" t="n"/>
      <c r="BG579" s="1392" t="n"/>
      <c r="BH579" s="1392" t="n"/>
      <c r="BI579" s="1392" t="n"/>
      <c r="BJ579" s="1392" t="n"/>
      <c r="BK579" s="1392" t="n"/>
      <c r="BL579" s="1392" t="n"/>
      <c r="BM579" s="1392" t="n"/>
      <c r="BN579" s="1392" t="n"/>
      <c r="BO579" s="1392" t="n"/>
      <c r="BP579" s="1392" t="n"/>
      <c r="BQ579" s="1392" t="n"/>
      <c r="BR579" s="1392" t="n"/>
      <c r="BS579" s="1392" t="n"/>
      <c r="BT579" s="1392" t="n"/>
      <c r="BU579" s="1416" t="n"/>
      <c r="BV579" s="1392" t="n"/>
      <c r="BW579" s="1392" t="n"/>
      <c r="BX579" s="1392" t="n"/>
      <c r="BY579" s="1392" t="n"/>
      <c r="BZ579" s="1416" t="n"/>
      <c r="CA579" s="1392" t="n"/>
      <c r="CB579" s="1392" t="n"/>
      <c r="CC579" s="1392" t="n"/>
      <c r="CD579" s="1392" t="n"/>
      <c r="CE579" s="1392" t="n"/>
      <c r="CF579" s="1392" t="n"/>
      <c r="CG579" s="1392" t="n"/>
      <c r="CH579" s="1392" t="n"/>
      <c r="CI579" s="1392" t="n"/>
      <c r="CJ579" s="1392" t="n"/>
      <c r="CK579" s="1392" t="n"/>
      <c r="CL579" s="1392" t="n"/>
    </row>
    <row r="580">
      <c r="A580" s="5" t="inlineStr">
        <is>
          <t>.</t>
        </is>
      </c>
      <c r="B580" s="5" t="inlineStr">
        <is>
          <t>.</t>
        </is>
      </c>
      <c r="C580" s="1378">
        <f>IF(raw[[#This Row],[city]]="","-",IF(raw[[#This Row],[city]]="TODAY","-",C579+1))</f>
        <v/>
      </c>
      <c r="D580" s="1393" t="inlineStr">
        <is>
          <t>AIR</t>
        </is>
      </c>
      <c r="E580" s="1394" t="n">
        <v>36137</v>
      </c>
      <c r="F580" s="1394" t="n">
        <v>36138</v>
      </c>
      <c r="G580" s="1393" t="inlineStr">
        <is>
          <t>x</t>
        </is>
      </c>
      <c r="H580" s="1393" t="inlineStr">
        <is>
          <t>Transit</t>
        </is>
      </c>
      <c r="I580" s="1393" t="inlineStr">
        <is>
          <t>-</t>
        </is>
      </c>
      <c r="J580" s="1393" t="inlineStr">
        <is>
          <t>-</t>
        </is>
      </c>
      <c r="K580" s="1395">
        <f>IF(raw[[#This Row],[city]]&lt;&gt;"",_xlfn.XLOOKUP($D580,ccc[city],ccc[prov],"-"),"-")</f>
        <v/>
      </c>
      <c r="L580" s="1395">
        <f>IF(raw[[#This Row],[city]]&lt;&gt;"",_xlfn.XLOOKUP($D580,ccc[city],ccc[ctry],"-"),"-")</f>
        <v/>
      </c>
      <c r="M580" s="1395">
        <f>IF(raw[[#This Row],[city]]&lt;&gt;"",_xlfn.XLOOKUP($D580,ccc[city],ccc[cont],"-"),"-")</f>
        <v/>
      </c>
      <c r="N580" s="1396">
        <f>IF(raw[[#This Row],[city]]="","-",IF(raw[[#This Row],[cont]]="B",raw[[#This Row],[cont]],"W"))</f>
        <v/>
      </c>
      <c r="O580" s="1397">
        <f>IF(raw[[#This Row],[out]]=0,0,IF(raw[[#This Row],[out]]=raw[[#This Row],[in]],0.01,raw[[#This Row],[out]]-raw[[#This Row],[in]]))</f>
        <v/>
      </c>
      <c r="P580" s="1397">
        <f>IF(raw[[#This Row],[in]]=0,0,MONTH(raw[[#This Row],[in]]))</f>
        <v/>
      </c>
      <c r="Q580" s="1397">
        <f>IF(raw[[#This Row],[in]]=0,0,YEAR(raw[[#This Row],[in]]))</f>
        <v/>
      </c>
      <c r="R580" s="1397">
        <f>INT(raw[[#This Row],[yr]]/10)*10</f>
        <v/>
      </c>
      <c r="S580" s="1395">
        <f>IF(raw[[#This Row],[city]]="","-",IF(raw[[#This Row],[city]]&lt;&gt;_xlfn.XLOOKUP(raw[[#This Row],[home]],homes[home],homes[city],"-"),1,0))</f>
        <v/>
      </c>
      <c r="T580" s="1398" t="inlineStr">
        <is>
          <t>.</t>
        </is>
      </c>
      <c r="U580" s="1399">
        <f>IF(raw[[#This Row],[wb]]="w",raw[[#This Row],[stay]]+U579,U579)</f>
        <v/>
      </c>
      <c r="V580" s="1400">
        <f>IF(raw[[#This Row],[out]]=0,V579,(raw[[#This Row],[out]]-E$5))</f>
        <v/>
      </c>
      <c r="W580" s="1401">
        <f>U580/V580</f>
        <v/>
      </c>
      <c r="X580" s="1378" t="inlineStr">
        <is>
          <t>.</t>
        </is>
      </c>
      <c r="Y580" s="1402">
        <f/>
        <v/>
      </c>
      <c r="Z580" s="1403">
        <f/>
        <v/>
      </c>
      <c r="AA580" s="1403">
        <f/>
        <v/>
      </c>
      <c r="AB580" s="1400">
        <f t="array" ref="AB580">_xlfn.LET(_xlpm.S,_xlfn.ANCHORARRAY($Y$4),_xlpm.r,ROWS(stayCity[[#Headers],[city]]:stayCity[[#This Row],[city]])-1,IF(_xlpm.r&lt;=ROWS(_xlpm.S),INDEX(_xlpm.S,_xlpm.r,1),""))</f>
        <v/>
      </c>
      <c r="AC580" s="1405">
        <f t="array" ref="AC580">_xlfn.LET(_xlpm.S,_xlfn.ANCHORARRAY($Y$4),_xlpm.r,ROWS(stayCity[[#Headers],[city]]:stayCity[[#This Row],[city]])-1,IF(_xlpm.r&lt;=ROWS(_xlpm.S),INDEX(_xlpm.S,_xlpm.r,2),""))</f>
        <v/>
      </c>
      <c r="AD580" s="1405">
        <f t="array" ref="AD580">_xlfn.LET(_xlpm.S,_xlfn.ANCHORARRAY($Y$4),_xlpm.r,ROWS(stayCity[[#Headers],[city]]:stayCity[[#This Row],[city]])-1,IF(_xlpm.r&lt;=ROWS(_xlpm.S),INDEX(_xlpm.S,_xlpm.r,3),""))</f>
        <v/>
      </c>
      <c r="AE580" s="1400">
        <f>IF(stayCity[[#This Row],[out]]&lt;&gt;"",stayCity[[#This Row],[out]]-stayCity[[#This Row],[in]],"-")</f>
        <v/>
      </c>
      <c r="AF580" s="1406">
        <f>IF(Y580="","-",YEAR(stayCity[[#This Row],[in]]))</f>
        <v/>
      </c>
      <c r="AG580" s="1392" t="n"/>
      <c r="AH580" s="1392" t="n"/>
      <c r="AI580" s="1392" t="n"/>
      <c r="AJ580" s="1392" t="n"/>
      <c r="AK580" s="1392" t="n"/>
      <c r="AL580" s="1392" t="n"/>
      <c r="AM580" s="1392" t="n"/>
      <c r="AN580" s="1392" t="n"/>
      <c r="AO580" s="1392" t="n"/>
      <c r="AP580" s="1392" t="n"/>
      <c r="AQ580" s="1392" t="n"/>
      <c r="AR580" s="1392" t="n"/>
      <c r="AS580" s="1422" t="n"/>
      <c r="AT580" s="1392" t="n"/>
      <c r="AU580" s="1392" t="n"/>
      <c r="AV580" s="1392" t="n"/>
      <c r="AW580" s="1392" t="n"/>
      <c r="AX580" s="1392" t="n"/>
      <c r="AY580" s="1392" t="n"/>
      <c r="AZ580" s="1392" t="n"/>
      <c r="BA580" s="1392" t="n"/>
      <c r="BB580" s="1422" t="n"/>
      <c r="BC580" s="1392" t="n"/>
      <c r="BD580" s="1392" t="n"/>
      <c r="BE580" s="1392" t="n"/>
      <c r="BF580" s="1392" t="n"/>
      <c r="BG580" s="1392" t="n"/>
      <c r="BH580" s="1392" t="n"/>
      <c r="BI580" s="1392" t="n"/>
      <c r="BJ580" s="1392" t="n"/>
      <c r="BK580" s="1392" t="n"/>
      <c r="BL580" s="1392" t="n"/>
      <c r="BM580" s="1392" t="n"/>
      <c r="BN580" s="1392" t="n"/>
      <c r="BO580" s="1392" t="n"/>
      <c r="BP580" s="1392" t="n"/>
      <c r="BQ580" s="1392" t="n"/>
      <c r="BR580" s="1392" t="n"/>
      <c r="BS580" s="1392" t="n"/>
      <c r="BT580" s="1392" t="n"/>
      <c r="BU580" s="1416" t="n"/>
      <c r="BV580" s="1392" t="n"/>
      <c r="BW580" s="1392" t="n"/>
      <c r="BX580" s="1392" t="n"/>
      <c r="BY580" s="1392" t="n"/>
      <c r="BZ580" s="1416" t="n"/>
      <c r="CA580" s="1392" t="n"/>
      <c r="CB580" s="1392" t="n"/>
      <c r="CC580" s="1392" t="n"/>
      <c r="CD580" s="1392" t="n"/>
      <c r="CE580" s="1392" t="n"/>
      <c r="CF580" s="1392" t="n"/>
      <c r="CG580" s="1392" t="n"/>
      <c r="CH580" s="1392" t="n"/>
      <c r="CI580" s="1392" t="n"/>
      <c r="CJ580" s="1392" t="n"/>
      <c r="CK580" s="1392" t="n"/>
      <c r="CL580" s="1392" t="n"/>
    </row>
    <row r="581">
      <c r="A581" s="5" t="inlineStr">
        <is>
          <t>.</t>
        </is>
      </c>
      <c r="B581" s="5" t="inlineStr">
        <is>
          <t>.</t>
        </is>
      </c>
      <c r="C581" s="1378">
        <f>IF(raw[[#This Row],[city]]="","-",IF(raw[[#This Row],[city]]="TODAY","-",C580+1))</f>
        <v/>
      </c>
      <c r="D581" s="1393" t="inlineStr">
        <is>
          <t>SP</t>
        </is>
      </c>
      <c r="E581" s="1394" t="n">
        <v>36138</v>
      </c>
      <c r="F581" s="1394" t="n">
        <v>36150</v>
      </c>
      <c r="G581" s="1393" t="n">
        <v>1</v>
      </c>
      <c r="H581" s="1393" t="inlineStr">
        <is>
          <t>Transit</t>
        </is>
      </c>
      <c r="I581" s="1393" t="inlineStr">
        <is>
          <t>Salto Grande</t>
        </is>
      </c>
      <c r="J581" s="1393" t="inlineStr">
        <is>
          <t>-</t>
        </is>
      </c>
      <c r="K581" s="1395">
        <f>IF(raw[[#This Row],[city]]&lt;&gt;"",_xlfn.XLOOKUP($D581,ccc[city],ccc[prov],"-"),"-")</f>
        <v/>
      </c>
      <c r="L581" s="1395">
        <f>IF(raw[[#This Row],[city]]&lt;&gt;"",_xlfn.XLOOKUP($D581,ccc[city],ccc[ctry],"-"),"-")</f>
        <v/>
      </c>
      <c r="M581" s="1395">
        <f>IF(raw[[#This Row],[city]]&lt;&gt;"",_xlfn.XLOOKUP($D581,ccc[city],ccc[cont],"-"),"-")</f>
        <v/>
      </c>
      <c r="N581" s="1396">
        <f>IF(raw[[#This Row],[city]]="","-",IF(raw[[#This Row],[cont]]="B",raw[[#This Row],[cont]],"W"))</f>
        <v/>
      </c>
      <c r="O581" s="1397">
        <f>IF(raw[[#This Row],[out]]=0,0,IF(raw[[#This Row],[out]]=raw[[#This Row],[in]],0.01,raw[[#This Row],[out]]-raw[[#This Row],[in]]))</f>
        <v/>
      </c>
      <c r="P581" s="1397">
        <f>IF(raw[[#This Row],[in]]=0,0,MONTH(raw[[#This Row],[in]]))</f>
        <v/>
      </c>
      <c r="Q581" s="1397">
        <f>IF(raw[[#This Row],[in]]=0,0,YEAR(raw[[#This Row],[in]]))</f>
        <v/>
      </c>
      <c r="R581" s="1397">
        <f>INT(raw[[#This Row],[yr]]/10)*10</f>
        <v/>
      </c>
      <c r="S581" s="1395">
        <f>IF(raw[[#This Row],[city]]="","-",IF(raw[[#This Row],[city]]&lt;&gt;_xlfn.XLOOKUP(raw[[#This Row],[home]],homes[home],homes[city],"-"),1,0))</f>
        <v/>
      </c>
      <c r="T581" s="1398" t="inlineStr">
        <is>
          <t>.</t>
        </is>
      </c>
      <c r="U581" s="1399">
        <f>IF(raw[[#This Row],[wb]]="w",raw[[#This Row],[stay]]+U580,U580)</f>
        <v/>
      </c>
      <c r="V581" s="1400">
        <f>IF(raw[[#This Row],[out]]=0,V580,(raw[[#This Row],[out]]-E$5))</f>
        <v/>
      </c>
      <c r="W581" s="1401">
        <f>U581/V581</f>
        <v/>
      </c>
      <c r="X581" s="1378" t="inlineStr">
        <is>
          <t>.</t>
        </is>
      </c>
      <c r="Y581" s="1402">
        <f/>
        <v/>
      </c>
      <c r="Z581" s="1403">
        <f/>
        <v/>
      </c>
      <c r="AA581" s="1403">
        <f/>
        <v/>
      </c>
      <c r="AB581" s="1400">
        <f t="array" ref="AB581">_xlfn.LET(_xlpm.S,_xlfn.ANCHORARRAY($Y$4),_xlpm.r,ROWS(stayCity[[#Headers],[city]]:stayCity[[#This Row],[city]])-1,IF(_xlpm.r&lt;=ROWS(_xlpm.S),INDEX(_xlpm.S,_xlpm.r,1),""))</f>
        <v/>
      </c>
      <c r="AC581" s="1405">
        <f t="array" ref="AC581">_xlfn.LET(_xlpm.S,_xlfn.ANCHORARRAY($Y$4),_xlpm.r,ROWS(stayCity[[#Headers],[city]]:stayCity[[#This Row],[city]])-1,IF(_xlpm.r&lt;=ROWS(_xlpm.S),INDEX(_xlpm.S,_xlpm.r,2),""))</f>
        <v/>
      </c>
      <c r="AD581" s="1405">
        <f t="array" ref="AD581">_xlfn.LET(_xlpm.S,_xlfn.ANCHORARRAY($Y$4),_xlpm.r,ROWS(stayCity[[#Headers],[city]]:stayCity[[#This Row],[city]])-1,IF(_xlpm.r&lt;=ROWS(_xlpm.S),INDEX(_xlpm.S,_xlpm.r,3),""))</f>
        <v/>
      </c>
      <c r="AE581" s="1400">
        <f>IF(stayCity[[#This Row],[out]]&lt;&gt;"",stayCity[[#This Row],[out]]-stayCity[[#This Row],[in]],"-")</f>
        <v/>
      </c>
      <c r="AF581" s="1406">
        <f>IF(Y581="","-",YEAR(stayCity[[#This Row],[in]]))</f>
        <v/>
      </c>
      <c r="AG581" s="1392" t="n"/>
      <c r="AH581" s="1392" t="n"/>
      <c r="AI581" s="1392" t="n"/>
      <c r="AJ581" s="1392" t="n"/>
      <c r="AK581" s="1392" t="n"/>
      <c r="AL581" s="1392" t="n"/>
      <c r="AM581" s="1392" t="n"/>
      <c r="AN581" s="1392" t="n"/>
      <c r="AO581" s="1392" t="n"/>
      <c r="AP581" s="1392" t="n"/>
      <c r="AQ581" s="1392" t="n"/>
      <c r="AR581" s="1392" t="n"/>
      <c r="AS581" s="1422" t="n"/>
      <c r="AT581" s="1392" t="n"/>
      <c r="AU581" s="1392" t="n"/>
      <c r="AV581" s="1392" t="n"/>
      <c r="AW581" s="1392" t="n"/>
      <c r="AX581" s="1392" t="n"/>
      <c r="AY581" s="1392" t="n"/>
      <c r="AZ581" s="1392" t="n"/>
      <c r="BA581" s="1392" t="n"/>
      <c r="BB581" s="1422" t="n"/>
      <c r="BC581" s="1392" t="n"/>
      <c r="BD581" s="1392" t="n"/>
      <c r="BE581" s="1392" t="n"/>
      <c r="BF581" s="1392" t="n"/>
      <c r="BG581" s="1392" t="n"/>
      <c r="BH581" s="1392" t="n"/>
      <c r="BI581" s="1392" t="n"/>
      <c r="BJ581" s="1392" t="n"/>
      <c r="BK581" s="1392" t="n"/>
      <c r="BL581" s="1392" t="n"/>
      <c r="BM581" s="1392" t="n"/>
      <c r="BN581" s="1392" t="n"/>
      <c r="BO581" s="1392" t="n"/>
      <c r="BP581" s="1392" t="n"/>
      <c r="BQ581" s="1392" t="n"/>
      <c r="BR581" s="1392" t="n"/>
      <c r="BS581" s="1392" t="n"/>
      <c r="BT581" s="1392" t="n"/>
      <c r="BU581" s="1416" t="n"/>
      <c r="BV581" s="1392" t="n"/>
      <c r="BW581" s="1392" t="n"/>
      <c r="BX581" s="1392" t="n"/>
      <c r="BY581" s="1392" t="n"/>
      <c r="BZ581" s="1416" t="n"/>
      <c r="CA581" s="1392" t="n"/>
      <c r="CB581" s="1392" t="n"/>
      <c r="CC581" s="1392" t="n"/>
      <c r="CD581" s="1392" t="n"/>
      <c r="CE581" s="1392" t="n"/>
      <c r="CF581" s="1392" t="n"/>
      <c r="CG581" s="1392" t="n"/>
      <c r="CH581" s="1392" t="n"/>
      <c r="CI581" s="1392" t="n"/>
      <c r="CJ581" s="1392" t="n"/>
      <c r="CK581" s="1392" t="n"/>
      <c r="CL581" s="1392" t="n"/>
    </row>
    <row r="582">
      <c r="A582" s="5" t="inlineStr">
        <is>
          <t>.</t>
        </is>
      </c>
      <c r="B582" s="5" t="inlineStr">
        <is>
          <t>.</t>
        </is>
      </c>
      <c r="C582" s="1378">
        <f>IF(raw[[#This Row],[city]]="","-",IF(raw[[#This Row],[city]]="TODAY","-",C581+1))</f>
        <v/>
      </c>
      <c r="D582" s="1393" t="inlineStr">
        <is>
          <t>SSA</t>
        </is>
      </c>
      <c r="E582" s="1394" t="n">
        <v>36150</v>
      </c>
      <c r="F582" s="1394" t="n">
        <v>36161</v>
      </c>
      <c r="G582" s="1393" t="inlineStr">
        <is>
          <t>-</t>
        </is>
      </c>
      <c r="H582" s="1393" t="inlineStr">
        <is>
          <t>Ondina</t>
        </is>
      </c>
      <c r="I582" s="1393" t="inlineStr">
        <is>
          <t>-</t>
        </is>
      </c>
      <c r="J582" s="1393" t="inlineStr">
        <is>
          <t>-</t>
        </is>
      </c>
      <c r="K582" s="1395">
        <f>IF(raw[[#This Row],[city]]&lt;&gt;"",_xlfn.XLOOKUP($D582,ccc[city],ccc[prov],"-"),"-")</f>
        <v/>
      </c>
      <c r="L582" s="1395">
        <f>IF(raw[[#This Row],[city]]&lt;&gt;"",_xlfn.XLOOKUP($D582,ccc[city],ccc[ctry],"-"),"-")</f>
        <v/>
      </c>
      <c r="M582" s="1395">
        <f>IF(raw[[#This Row],[city]]&lt;&gt;"",_xlfn.XLOOKUP($D582,ccc[city],ccc[cont],"-"),"-")</f>
        <v/>
      </c>
      <c r="N582" s="1396">
        <f>IF(raw[[#This Row],[city]]="","-",IF(raw[[#This Row],[cont]]="B",raw[[#This Row],[cont]],"W"))</f>
        <v/>
      </c>
      <c r="O582" s="1397">
        <f>IF(raw[[#This Row],[out]]=0,0,IF(raw[[#This Row],[out]]=raw[[#This Row],[in]],0.01,raw[[#This Row],[out]]-raw[[#This Row],[in]]))</f>
        <v/>
      </c>
      <c r="P582" s="1397">
        <f>IF(raw[[#This Row],[in]]=0,0,MONTH(raw[[#This Row],[in]]))</f>
        <v/>
      </c>
      <c r="Q582" s="1397">
        <f>IF(raw[[#This Row],[in]]=0,0,YEAR(raw[[#This Row],[in]]))</f>
        <v/>
      </c>
      <c r="R582" s="1397">
        <f>INT(raw[[#This Row],[yr]]/10)*10</f>
        <v/>
      </c>
      <c r="S582" s="1395">
        <f>IF(raw[[#This Row],[city]]="","-",IF(raw[[#This Row],[city]]&lt;&gt;_xlfn.XLOOKUP(raw[[#This Row],[home]],homes[home],homes[city],"-"),1,0))</f>
        <v/>
      </c>
      <c r="T582" s="1398" t="inlineStr">
        <is>
          <t>.</t>
        </is>
      </c>
      <c r="U582" s="1399">
        <f>IF(raw[[#This Row],[wb]]="w",raw[[#This Row],[stay]]+U581,U581)</f>
        <v/>
      </c>
      <c r="V582" s="1400">
        <f>IF(raw[[#This Row],[out]]=0,V581,(raw[[#This Row],[out]]-E$5))</f>
        <v/>
      </c>
      <c r="W582" s="1401">
        <f>U582/V582</f>
        <v/>
      </c>
      <c r="X582" s="1378" t="inlineStr">
        <is>
          <t>.</t>
        </is>
      </c>
      <c r="Y582" s="1402">
        <f/>
        <v/>
      </c>
      <c r="Z582" s="1403">
        <f/>
        <v/>
      </c>
      <c r="AA582" s="1403">
        <f/>
        <v/>
      </c>
      <c r="AB582" s="1400">
        <f t="array" ref="AB582">_xlfn.LET(_xlpm.S,_xlfn.ANCHORARRAY($Y$4),_xlpm.r,ROWS(stayCity[[#Headers],[city]]:stayCity[[#This Row],[city]])-1,IF(_xlpm.r&lt;=ROWS(_xlpm.S),INDEX(_xlpm.S,_xlpm.r,1),""))</f>
        <v/>
      </c>
      <c r="AC582" s="1405">
        <f t="array" ref="AC582">_xlfn.LET(_xlpm.S,_xlfn.ANCHORARRAY($Y$4),_xlpm.r,ROWS(stayCity[[#Headers],[city]]:stayCity[[#This Row],[city]])-1,IF(_xlpm.r&lt;=ROWS(_xlpm.S),INDEX(_xlpm.S,_xlpm.r,2),""))</f>
        <v/>
      </c>
      <c r="AD582" s="1405">
        <f t="array" ref="AD582">_xlfn.LET(_xlpm.S,_xlfn.ANCHORARRAY($Y$4),_xlpm.r,ROWS(stayCity[[#Headers],[city]]:stayCity[[#This Row],[city]])-1,IF(_xlpm.r&lt;=ROWS(_xlpm.S),INDEX(_xlpm.S,_xlpm.r,3),""))</f>
        <v/>
      </c>
      <c r="AE582" s="1400">
        <f>IF(stayCity[[#This Row],[out]]&lt;&gt;"",stayCity[[#This Row],[out]]-stayCity[[#This Row],[in]],"-")</f>
        <v/>
      </c>
      <c r="AF582" s="1406">
        <f>IF(Y582="","-",YEAR(stayCity[[#This Row],[in]]))</f>
        <v/>
      </c>
      <c r="AG582" s="1392" t="n"/>
      <c r="AH582" s="1392" t="n"/>
      <c r="AI582" s="1392" t="n"/>
      <c r="AJ582" s="1392" t="n"/>
      <c r="AK582" s="1392" t="n"/>
      <c r="AL582" s="1392" t="n"/>
      <c r="AM582" s="1392" t="n"/>
      <c r="AN582" s="1392" t="n"/>
      <c r="AO582" s="1392" t="n"/>
      <c r="AP582" s="1392" t="n"/>
      <c r="AQ582" s="1392" t="n"/>
      <c r="AR582" s="1392" t="n"/>
      <c r="AS582" s="1422" t="n"/>
      <c r="AT582" s="1392" t="n"/>
      <c r="AU582" s="1392" t="n"/>
      <c r="AV582" s="1392" t="n"/>
      <c r="AW582" s="1392" t="n"/>
      <c r="AX582" s="1392" t="n"/>
      <c r="AY582" s="1392" t="n"/>
      <c r="AZ582" s="1392" t="n"/>
      <c r="BA582" s="1392" t="n"/>
      <c r="BB582" s="1422" t="n"/>
      <c r="BC582" s="1392" t="n"/>
      <c r="BD582" s="1392" t="n"/>
      <c r="BE582" s="1392" t="n"/>
      <c r="BF582" s="1392" t="n"/>
      <c r="BG582" s="1392" t="n"/>
      <c r="BH582" s="1392" t="n"/>
      <c r="BI582" s="1392" t="n"/>
      <c r="BJ582" s="1392" t="n"/>
      <c r="BK582" s="1392" t="n"/>
      <c r="BL582" s="1392" t="n"/>
      <c r="BM582" s="1392" t="n"/>
      <c r="BN582" s="1392" t="n"/>
      <c r="BO582" s="1392" t="n"/>
      <c r="BP582" s="1392" t="n"/>
      <c r="BQ582" s="1392" t="n"/>
      <c r="BR582" s="1392" t="n"/>
      <c r="BS582" s="1392" t="n"/>
      <c r="BT582" s="1392" t="n"/>
      <c r="BU582" s="1416" t="n"/>
      <c r="BV582" s="1392" t="n"/>
      <c r="BW582" s="1392" t="n"/>
      <c r="BX582" s="1392" t="n"/>
      <c r="BY582" s="1392" t="n"/>
      <c r="BZ582" s="1416" t="n"/>
      <c r="CA582" s="1392" t="n"/>
      <c r="CB582" s="1392" t="n"/>
      <c r="CC582" s="1392" t="n"/>
      <c r="CD582" s="1392" t="n"/>
      <c r="CE582" s="1392" t="n"/>
      <c r="CF582" s="1392" t="n"/>
      <c r="CG582" s="1392" t="n"/>
      <c r="CH582" s="1392" t="n"/>
      <c r="CI582" s="1392" t="n"/>
      <c r="CJ582" s="1392" t="n"/>
      <c r="CK582" s="1392" t="n"/>
      <c r="CL582" s="1392" t="n"/>
    </row>
    <row r="583">
      <c r="A583" s="5" t="inlineStr">
        <is>
          <t>.</t>
        </is>
      </c>
      <c r="B583" s="5" t="inlineStr">
        <is>
          <t>.</t>
        </is>
      </c>
      <c r="C583" s="1378">
        <f>IF(raw[[#This Row],[city]]="","-",IF(raw[[#This Row],[city]]="TODAY","-",C582+1))</f>
        <v/>
      </c>
      <c r="D583" s="1393" t="inlineStr">
        <is>
          <t>SSA</t>
        </is>
      </c>
      <c r="E583" s="1394" t="n">
        <v>36161</v>
      </c>
      <c r="F583" s="1394" t="n">
        <v>36189</v>
      </c>
      <c r="G583" s="1393" t="inlineStr">
        <is>
          <t>-</t>
        </is>
      </c>
      <c r="H583" s="1393" t="inlineStr">
        <is>
          <t>Ondina</t>
        </is>
      </c>
      <c r="I583" s="1393" t="inlineStr">
        <is>
          <t>-</t>
        </is>
      </c>
      <c r="J583" s="1393" t="inlineStr">
        <is>
          <t>REV</t>
        </is>
      </c>
      <c r="K583" s="1395">
        <f>IF(raw[[#This Row],[city]]&lt;&gt;"",_xlfn.XLOOKUP($D583,ccc[city],ccc[prov],"-"),"-")</f>
        <v/>
      </c>
      <c r="L583" s="1395">
        <f>IF(raw[[#This Row],[city]]&lt;&gt;"",_xlfn.XLOOKUP($D583,ccc[city],ccc[ctry],"-"),"-")</f>
        <v/>
      </c>
      <c r="M583" s="1395">
        <f>IF(raw[[#This Row],[city]]&lt;&gt;"",_xlfn.XLOOKUP($D583,ccc[city],ccc[cont],"-"),"-")</f>
        <v/>
      </c>
      <c r="N583" s="1396">
        <f>IF(raw[[#This Row],[city]]="","-",IF(raw[[#This Row],[cont]]="B",raw[[#This Row],[cont]],"W"))</f>
        <v/>
      </c>
      <c r="O583" s="1397">
        <f>IF(raw[[#This Row],[out]]=0,0,IF(raw[[#This Row],[out]]=raw[[#This Row],[in]],0.01,raw[[#This Row],[out]]-raw[[#This Row],[in]]))</f>
        <v/>
      </c>
      <c r="P583" s="1397">
        <f>IF(raw[[#This Row],[in]]=0,0,MONTH(raw[[#This Row],[in]]))</f>
        <v/>
      </c>
      <c r="Q583" s="1397">
        <f>IF(raw[[#This Row],[in]]=0,0,YEAR(raw[[#This Row],[in]]))</f>
        <v/>
      </c>
      <c r="R583" s="1397">
        <f>INT(raw[[#This Row],[yr]]/10)*10</f>
        <v/>
      </c>
      <c r="S583" s="1395">
        <f>IF(raw[[#This Row],[city]]="","-",IF(raw[[#This Row],[city]]&lt;&gt;_xlfn.XLOOKUP(raw[[#This Row],[home]],homes[home],homes[city],"-"),1,0))</f>
        <v/>
      </c>
      <c r="T583" s="1398" t="inlineStr">
        <is>
          <t>.</t>
        </is>
      </c>
      <c r="U583" s="1399">
        <f>IF(raw[[#This Row],[wb]]="w",raw[[#This Row],[stay]]+U582,U582)</f>
        <v/>
      </c>
      <c r="V583" s="1400">
        <f>IF(raw[[#This Row],[out]]=0,V582,(raw[[#This Row],[out]]-E$5))</f>
        <v/>
      </c>
      <c r="W583" s="1401">
        <f>U583/V583</f>
        <v/>
      </c>
      <c r="X583" s="1378" t="inlineStr">
        <is>
          <t>.</t>
        </is>
      </c>
      <c r="Y583" s="1402">
        <f/>
        <v/>
      </c>
      <c r="Z583" s="1403">
        <f/>
        <v/>
      </c>
      <c r="AA583" s="1403">
        <f/>
        <v/>
      </c>
      <c r="AB583" s="1400">
        <f t="array" ref="AB583">_xlfn.LET(_xlpm.S,_xlfn.ANCHORARRAY($Y$4),_xlpm.r,ROWS(stayCity[[#Headers],[city]]:stayCity[[#This Row],[city]])-1,IF(_xlpm.r&lt;=ROWS(_xlpm.S),INDEX(_xlpm.S,_xlpm.r,1),""))</f>
        <v/>
      </c>
      <c r="AC583" s="1405">
        <f t="array" ref="AC583">_xlfn.LET(_xlpm.S,_xlfn.ANCHORARRAY($Y$4),_xlpm.r,ROWS(stayCity[[#Headers],[city]]:stayCity[[#This Row],[city]])-1,IF(_xlpm.r&lt;=ROWS(_xlpm.S),INDEX(_xlpm.S,_xlpm.r,2),""))</f>
        <v/>
      </c>
      <c r="AD583" s="1405">
        <f t="array" ref="AD583">_xlfn.LET(_xlpm.S,_xlfn.ANCHORARRAY($Y$4),_xlpm.r,ROWS(stayCity[[#Headers],[city]]:stayCity[[#This Row],[city]])-1,IF(_xlpm.r&lt;=ROWS(_xlpm.S),INDEX(_xlpm.S,_xlpm.r,3),""))</f>
        <v/>
      </c>
      <c r="AE583" s="1400">
        <f>IF(stayCity[[#This Row],[out]]&lt;&gt;"",stayCity[[#This Row],[out]]-stayCity[[#This Row],[in]],"-")</f>
        <v/>
      </c>
      <c r="AF583" s="1406">
        <f>IF(Y583="","-",YEAR(stayCity[[#This Row],[in]]))</f>
        <v/>
      </c>
      <c r="AG583" s="1392" t="n"/>
      <c r="AH583" s="1392" t="n"/>
      <c r="AI583" s="1392" t="n"/>
      <c r="AJ583" s="1392" t="n"/>
      <c r="AK583" s="1392" t="n"/>
      <c r="AL583" s="1392" t="n"/>
      <c r="AM583" s="1392" t="n"/>
      <c r="AN583" s="1392" t="n"/>
      <c r="AO583" s="1392" t="n"/>
      <c r="AP583" s="1392" t="n"/>
      <c r="AQ583" s="1392" t="n"/>
      <c r="AR583" s="1392" t="n"/>
      <c r="AS583" s="1422" t="n"/>
      <c r="AT583" s="1392" t="n"/>
      <c r="AU583" s="1392" t="n"/>
      <c r="AV583" s="1392" t="n"/>
      <c r="AW583" s="1392" t="n"/>
      <c r="AX583" s="1392" t="n"/>
      <c r="AY583" s="1392" t="n"/>
      <c r="AZ583" s="1392" t="n"/>
      <c r="BA583" s="1392" t="n"/>
      <c r="BB583" s="1422" t="n"/>
      <c r="BC583" s="1392" t="n"/>
      <c r="BD583" s="1392" t="n"/>
      <c r="BE583" s="1392" t="n"/>
      <c r="BF583" s="1392" t="n"/>
      <c r="BG583" s="1392" t="n"/>
      <c r="BH583" s="1392" t="n"/>
      <c r="BI583" s="1392" t="n"/>
      <c r="BJ583" s="1392" t="n"/>
      <c r="BK583" s="1392" t="n"/>
      <c r="BL583" s="1392" t="n"/>
      <c r="BM583" s="1392" t="n"/>
      <c r="BN583" s="1392" t="n"/>
      <c r="BO583" s="1392" t="n"/>
      <c r="BP583" s="1392" t="n"/>
      <c r="BQ583" s="1392" t="n"/>
      <c r="BR583" s="1392" t="n"/>
      <c r="BS583" s="1392" t="n"/>
      <c r="BT583" s="1392" t="n"/>
      <c r="BU583" s="1416" t="n"/>
      <c r="BV583" s="1392" t="n"/>
      <c r="BW583" s="1392" t="n"/>
      <c r="BX583" s="1392" t="n"/>
      <c r="BY583" s="1392" t="n"/>
      <c r="BZ583" s="1416" t="n"/>
      <c r="CA583" s="1392" t="n"/>
      <c r="CB583" s="1392" t="n"/>
      <c r="CC583" s="1392" t="n"/>
      <c r="CD583" s="1392" t="n"/>
      <c r="CE583" s="1392" t="n"/>
      <c r="CF583" s="1392" t="n"/>
      <c r="CG583" s="1392" t="n"/>
      <c r="CH583" s="1392" t="n"/>
      <c r="CI583" s="1392" t="n"/>
      <c r="CJ583" s="1392" t="n"/>
      <c r="CK583" s="1392" t="n"/>
      <c r="CL583" s="1392" t="n"/>
    </row>
    <row r="584">
      <c r="A584" s="5" t="inlineStr">
        <is>
          <t>.</t>
        </is>
      </c>
      <c r="B584" s="5" t="inlineStr">
        <is>
          <t>.</t>
        </is>
      </c>
      <c r="C584" s="1378">
        <f>IF(raw[[#This Row],[city]]="","-",IF(raw[[#This Row],[city]]="TODAY","-",C583+1))</f>
        <v/>
      </c>
      <c r="D584" s="1393" t="inlineStr">
        <is>
          <t>Aracaju</t>
        </is>
      </c>
      <c r="E584" s="1394" t="n">
        <v>36189</v>
      </c>
      <c r="F584" s="1394" t="n">
        <v>36191</v>
      </c>
      <c r="G584" s="1393" t="inlineStr">
        <is>
          <t>-</t>
        </is>
      </c>
      <c r="H584" s="1393" t="inlineStr">
        <is>
          <t>Ondina</t>
        </is>
      </c>
      <c r="I584" s="1393" t="inlineStr">
        <is>
          <t>-</t>
        </is>
      </c>
      <c r="J584" s="1393" t="inlineStr">
        <is>
          <t>-</t>
        </is>
      </c>
      <c r="K584" s="1395">
        <f>IF(raw[[#This Row],[city]]&lt;&gt;"",_xlfn.XLOOKUP($D584,ccc[city],ccc[prov],"-"),"-")</f>
        <v/>
      </c>
      <c r="L584" s="1395">
        <f>IF(raw[[#This Row],[city]]&lt;&gt;"",_xlfn.XLOOKUP($D584,ccc[city],ccc[ctry],"-"),"-")</f>
        <v/>
      </c>
      <c r="M584" s="1395">
        <f>IF(raw[[#This Row],[city]]&lt;&gt;"",_xlfn.XLOOKUP($D584,ccc[city],ccc[cont],"-"),"-")</f>
        <v/>
      </c>
      <c r="N584" s="1396">
        <f>IF(raw[[#This Row],[city]]="","-",IF(raw[[#This Row],[cont]]="B",raw[[#This Row],[cont]],"W"))</f>
        <v/>
      </c>
      <c r="O584" s="1397">
        <f>IF(raw[[#This Row],[out]]=0,0,IF(raw[[#This Row],[out]]=raw[[#This Row],[in]],0.01,raw[[#This Row],[out]]-raw[[#This Row],[in]]))</f>
        <v/>
      </c>
      <c r="P584" s="1397">
        <f>IF(raw[[#This Row],[in]]=0,0,MONTH(raw[[#This Row],[in]]))</f>
        <v/>
      </c>
      <c r="Q584" s="1397">
        <f>IF(raw[[#This Row],[in]]=0,0,YEAR(raw[[#This Row],[in]]))</f>
        <v/>
      </c>
      <c r="R584" s="1397">
        <f>INT(raw[[#This Row],[yr]]/10)*10</f>
        <v/>
      </c>
      <c r="S584" s="1395">
        <f>IF(raw[[#This Row],[city]]="","-",IF(raw[[#This Row],[city]]&lt;&gt;_xlfn.XLOOKUP(raw[[#This Row],[home]],homes[home],homes[city],"-"),1,0))</f>
        <v/>
      </c>
      <c r="T584" s="1398" t="inlineStr">
        <is>
          <t>.</t>
        </is>
      </c>
      <c r="U584" s="1399">
        <f>IF(raw[[#This Row],[wb]]="w",raw[[#This Row],[stay]]+U583,U583)</f>
        <v/>
      </c>
      <c r="V584" s="1400">
        <f>IF(raw[[#This Row],[out]]=0,V583,(raw[[#This Row],[out]]-E$5))</f>
        <v/>
      </c>
      <c r="W584" s="1401">
        <f>U584/V584</f>
        <v/>
      </c>
      <c r="X584" s="1378" t="inlineStr">
        <is>
          <t>.</t>
        </is>
      </c>
      <c r="Y584" s="1402">
        <f/>
        <v/>
      </c>
      <c r="Z584" s="1403">
        <f/>
        <v/>
      </c>
      <c r="AA584" s="1403">
        <f/>
        <v/>
      </c>
      <c r="AB584" s="1400">
        <f t="array" ref="AB584">_xlfn.LET(_xlpm.S,_xlfn.ANCHORARRAY($Y$4),_xlpm.r,ROWS(stayCity[[#Headers],[city]]:stayCity[[#This Row],[city]])-1,IF(_xlpm.r&lt;=ROWS(_xlpm.S),INDEX(_xlpm.S,_xlpm.r,1),""))</f>
        <v/>
      </c>
      <c r="AC584" s="1405">
        <f t="array" ref="AC584">_xlfn.LET(_xlpm.S,_xlfn.ANCHORARRAY($Y$4),_xlpm.r,ROWS(stayCity[[#Headers],[city]]:stayCity[[#This Row],[city]])-1,IF(_xlpm.r&lt;=ROWS(_xlpm.S),INDEX(_xlpm.S,_xlpm.r,2),""))</f>
        <v/>
      </c>
      <c r="AD584" s="1405">
        <f t="array" ref="AD584">_xlfn.LET(_xlpm.S,_xlfn.ANCHORARRAY($Y$4),_xlpm.r,ROWS(stayCity[[#Headers],[city]]:stayCity[[#This Row],[city]])-1,IF(_xlpm.r&lt;=ROWS(_xlpm.S),INDEX(_xlpm.S,_xlpm.r,3),""))</f>
        <v/>
      </c>
      <c r="AE584" s="1400">
        <f>IF(stayCity[[#This Row],[out]]&lt;&gt;"",stayCity[[#This Row],[out]]-stayCity[[#This Row],[in]],"-")</f>
        <v/>
      </c>
      <c r="AF584" s="1406">
        <f>IF(Y584="","-",YEAR(stayCity[[#This Row],[in]]))</f>
        <v/>
      </c>
      <c r="AG584" s="1392" t="n"/>
      <c r="AH584" s="1392" t="n"/>
      <c r="AI584" s="1392" t="n"/>
      <c r="AJ584" s="1392" t="n"/>
      <c r="AK584" s="1392" t="n"/>
      <c r="AL584" s="1392" t="n"/>
      <c r="AM584" s="1392" t="n"/>
      <c r="AN584" s="1392" t="n"/>
      <c r="AO584" s="1392" t="n"/>
      <c r="AP584" s="1392" t="n"/>
      <c r="AQ584" s="1392" t="n"/>
      <c r="AR584" s="1392" t="n"/>
      <c r="AS584" s="1422" t="n"/>
      <c r="AT584" s="1392" t="n"/>
      <c r="AU584" s="1392" t="n"/>
      <c r="AV584" s="1392" t="n"/>
      <c r="AW584" s="1392" t="n"/>
      <c r="AX584" s="1392" t="n"/>
      <c r="AY584" s="1392" t="n"/>
      <c r="AZ584" s="1392" t="n"/>
      <c r="BA584" s="1392" t="n"/>
      <c r="BB584" s="1422" t="n"/>
      <c r="BC584" s="1392" t="n"/>
      <c r="BD584" s="1392" t="n"/>
      <c r="BE584" s="1392" t="n"/>
      <c r="BF584" s="1392" t="n"/>
      <c r="BG584" s="1392" t="n"/>
      <c r="BH584" s="1392" t="n"/>
      <c r="BI584" s="1392" t="n"/>
      <c r="BJ584" s="1392" t="n"/>
      <c r="BK584" s="1392" t="n"/>
      <c r="BL584" s="1392" t="n"/>
      <c r="BM584" s="1392" t="n"/>
      <c r="BN584" s="1392" t="n"/>
      <c r="BO584" s="1392" t="n"/>
      <c r="BP584" s="1392" t="n"/>
      <c r="BQ584" s="1392" t="n"/>
      <c r="BR584" s="1392" t="n"/>
      <c r="BS584" s="1392" t="n"/>
      <c r="BT584" s="1392" t="n"/>
      <c r="BU584" s="1416" t="n"/>
      <c r="BV584" s="1392" t="n"/>
      <c r="BW584" s="1392" t="n"/>
      <c r="BX584" s="1392" t="n"/>
      <c r="BY584" s="1392" t="n"/>
      <c r="BZ584" s="1416" t="n"/>
      <c r="CA584" s="1392" t="n"/>
      <c r="CB584" s="1392" t="n"/>
      <c r="CC584" s="1392" t="n"/>
      <c r="CD584" s="1392" t="n"/>
      <c r="CE584" s="1392" t="n"/>
      <c r="CF584" s="1392" t="n"/>
      <c r="CG584" s="1392" t="n"/>
      <c r="CH584" s="1392" t="n"/>
      <c r="CI584" s="1392" t="n"/>
      <c r="CJ584" s="1392" t="n"/>
      <c r="CK584" s="1392" t="n"/>
      <c r="CL584" s="1392" t="n"/>
    </row>
    <row r="585">
      <c r="A585" s="5" t="inlineStr">
        <is>
          <t>.</t>
        </is>
      </c>
      <c r="B585" s="5" t="inlineStr">
        <is>
          <t>.</t>
        </is>
      </c>
      <c r="C585" s="1378">
        <f>IF(raw[[#This Row],[city]]="","-",IF(raw[[#This Row],[city]]="TODAY","-",C584+1))</f>
        <v/>
      </c>
      <c r="D585" s="1393" t="inlineStr">
        <is>
          <t>SSA</t>
        </is>
      </c>
      <c r="E585" s="1394" t="n">
        <v>36191</v>
      </c>
      <c r="F585" s="1394" t="n">
        <v>36192</v>
      </c>
      <c r="G585" s="1393" t="inlineStr">
        <is>
          <t>-</t>
        </is>
      </c>
      <c r="H585" s="1393" t="inlineStr">
        <is>
          <t>Ondina</t>
        </is>
      </c>
      <c r="I585" s="1393" t="inlineStr">
        <is>
          <t>-</t>
        </is>
      </c>
      <c r="J585" s="1393" t="inlineStr">
        <is>
          <t>-</t>
        </is>
      </c>
      <c r="K585" s="1395">
        <f>IF(raw[[#This Row],[city]]&lt;&gt;"",_xlfn.XLOOKUP($D585,ccc[city],ccc[prov],"-"),"-")</f>
        <v/>
      </c>
      <c r="L585" s="1395">
        <f>IF(raw[[#This Row],[city]]&lt;&gt;"",_xlfn.XLOOKUP($D585,ccc[city],ccc[ctry],"-"),"-")</f>
        <v/>
      </c>
      <c r="M585" s="1395">
        <f>IF(raw[[#This Row],[city]]&lt;&gt;"",_xlfn.XLOOKUP($D585,ccc[city],ccc[cont],"-"),"-")</f>
        <v/>
      </c>
      <c r="N585" s="1396">
        <f>IF(raw[[#This Row],[city]]="","-",IF(raw[[#This Row],[cont]]="B",raw[[#This Row],[cont]],"W"))</f>
        <v/>
      </c>
      <c r="O585" s="1397">
        <f>IF(raw[[#This Row],[out]]=0,0,IF(raw[[#This Row],[out]]=raw[[#This Row],[in]],0.01,raw[[#This Row],[out]]-raw[[#This Row],[in]]))</f>
        <v/>
      </c>
      <c r="P585" s="1397">
        <f>IF(raw[[#This Row],[in]]=0,0,MONTH(raw[[#This Row],[in]]))</f>
        <v/>
      </c>
      <c r="Q585" s="1397">
        <f>IF(raw[[#This Row],[in]]=0,0,YEAR(raw[[#This Row],[in]]))</f>
        <v/>
      </c>
      <c r="R585" s="1397">
        <f>INT(raw[[#This Row],[yr]]/10)*10</f>
        <v/>
      </c>
      <c r="S585" s="1395">
        <f>IF(raw[[#This Row],[city]]="","-",IF(raw[[#This Row],[city]]&lt;&gt;_xlfn.XLOOKUP(raw[[#This Row],[home]],homes[home],homes[city],"-"),1,0))</f>
        <v/>
      </c>
      <c r="T585" s="1398" t="inlineStr">
        <is>
          <t>.</t>
        </is>
      </c>
      <c r="U585" s="1399">
        <f>IF(raw[[#This Row],[wb]]="w",raw[[#This Row],[stay]]+U584,U584)</f>
        <v/>
      </c>
      <c r="V585" s="1400">
        <f>IF(raw[[#This Row],[out]]=0,V584,(raw[[#This Row],[out]]-E$5))</f>
        <v/>
      </c>
      <c r="W585" s="1401">
        <f>U585/V585</f>
        <v/>
      </c>
      <c r="X585" s="1378" t="inlineStr">
        <is>
          <t>.</t>
        </is>
      </c>
      <c r="Y585" s="1402">
        <f/>
        <v/>
      </c>
      <c r="Z585" s="1403">
        <f/>
        <v/>
      </c>
      <c r="AA585" s="1403">
        <f/>
        <v/>
      </c>
      <c r="AB585" s="1400">
        <f t="array" ref="AB585">_xlfn.LET(_xlpm.S,_xlfn.ANCHORARRAY($Y$4),_xlpm.r,ROWS(stayCity[[#Headers],[city]]:stayCity[[#This Row],[city]])-1,IF(_xlpm.r&lt;=ROWS(_xlpm.S),INDEX(_xlpm.S,_xlpm.r,1),""))</f>
        <v/>
      </c>
      <c r="AC585" s="1405">
        <f t="array" ref="AC585">_xlfn.LET(_xlpm.S,_xlfn.ANCHORARRAY($Y$4),_xlpm.r,ROWS(stayCity[[#Headers],[city]]:stayCity[[#This Row],[city]])-1,IF(_xlpm.r&lt;=ROWS(_xlpm.S),INDEX(_xlpm.S,_xlpm.r,2),""))</f>
        <v/>
      </c>
      <c r="AD585" s="1405">
        <f t="array" ref="AD585">_xlfn.LET(_xlpm.S,_xlfn.ANCHORARRAY($Y$4),_xlpm.r,ROWS(stayCity[[#Headers],[city]]:stayCity[[#This Row],[city]])-1,IF(_xlpm.r&lt;=ROWS(_xlpm.S),INDEX(_xlpm.S,_xlpm.r,3),""))</f>
        <v/>
      </c>
      <c r="AE585" s="1400">
        <f>IF(stayCity[[#This Row],[out]]&lt;&gt;"",stayCity[[#This Row],[out]]-stayCity[[#This Row],[in]],"-")</f>
        <v/>
      </c>
      <c r="AF585" s="1406">
        <f>IF(Y585="","-",YEAR(stayCity[[#This Row],[in]]))</f>
        <v/>
      </c>
      <c r="AG585" s="1392" t="n"/>
      <c r="AH585" s="1392" t="n"/>
      <c r="AI585" s="1392" t="n"/>
      <c r="AJ585" s="1392" t="n"/>
      <c r="AK585" s="1392" t="n"/>
      <c r="AL585" s="1392" t="n"/>
      <c r="AM585" s="1392" t="n"/>
      <c r="AN585" s="1392" t="n"/>
      <c r="AO585" s="1392" t="n"/>
      <c r="AP585" s="1392" t="n"/>
      <c r="AQ585" s="1392" t="n"/>
      <c r="AR585" s="1392" t="n"/>
      <c r="AS585" s="1422" t="n"/>
      <c r="AT585" s="1392" t="n"/>
      <c r="AU585" s="1392" t="n"/>
      <c r="AV585" s="1392" t="n"/>
      <c r="AW585" s="1392" t="n"/>
      <c r="AX585" s="1392" t="n"/>
      <c r="AY585" s="1392" t="n"/>
      <c r="AZ585" s="1392" t="n"/>
      <c r="BA585" s="1392" t="n"/>
      <c r="BB585" s="1422" t="n"/>
      <c r="BC585" s="1392" t="n"/>
      <c r="BD585" s="1392" t="n"/>
      <c r="BE585" s="1392" t="n"/>
      <c r="BF585" s="1392" t="n"/>
      <c r="BG585" s="1392" t="n"/>
      <c r="BH585" s="1392" t="n"/>
      <c r="BI585" s="1392" t="n"/>
      <c r="BJ585" s="1392" t="n"/>
      <c r="BK585" s="1392" t="n"/>
      <c r="BL585" s="1392" t="n"/>
      <c r="BM585" s="1392" t="n"/>
      <c r="BN585" s="1392" t="n"/>
      <c r="BO585" s="1392" t="n"/>
      <c r="BP585" s="1392" t="n"/>
      <c r="BQ585" s="1392" t="n"/>
      <c r="BR585" s="1392" t="n"/>
      <c r="BS585" s="1392" t="n"/>
      <c r="BT585" s="1392" t="n"/>
      <c r="BU585" s="1416" t="n"/>
      <c r="BV585" s="1392" t="n"/>
      <c r="BW585" s="1392" t="n"/>
      <c r="BX585" s="1392" t="n"/>
      <c r="BY585" s="1392" t="n"/>
      <c r="BZ585" s="1416" t="n"/>
      <c r="CA585" s="1392" t="n"/>
      <c r="CB585" s="1392" t="n"/>
      <c r="CC585" s="1392" t="n"/>
      <c r="CD585" s="1392" t="n"/>
      <c r="CE585" s="1392" t="n"/>
      <c r="CF585" s="1392" t="n"/>
      <c r="CG585" s="1392" t="n"/>
      <c r="CH585" s="1392" t="n"/>
      <c r="CI585" s="1392" t="n"/>
      <c r="CJ585" s="1392" t="n"/>
      <c r="CK585" s="1392" t="n"/>
      <c r="CL585" s="1392" t="n"/>
    </row>
    <row r="586">
      <c r="A586" s="5" t="inlineStr">
        <is>
          <t>.</t>
        </is>
      </c>
      <c r="B586" s="5" t="inlineStr">
        <is>
          <t>.</t>
        </is>
      </c>
      <c r="C586" s="1378">
        <f>IF(raw[[#This Row],[city]]="","-",IF(raw[[#This Row],[city]]="TODAY","-",C585+1))</f>
        <v/>
      </c>
      <c r="D586" s="1393" t="inlineStr">
        <is>
          <t>SSA</t>
        </is>
      </c>
      <c r="E586" s="1394" t="n">
        <v>36192</v>
      </c>
      <c r="F586" s="1394" t="n">
        <v>36220</v>
      </c>
      <c r="G586" s="1393" t="inlineStr">
        <is>
          <t>-</t>
        </is>
      </c>
      <c r="H586" s="1393" t="inlineStr">
        <is>
          <t>Ondina</t>
        </is>
      </c>
      <c r="I586" s="1393" t="inlineStr">
        <is>
          <t>-</t>
        </is>
      </c>
      <c r="J586" s="1393" t="inlineStr">
        <is>
          <t>-</t>
        </is>
      </c>
      <c r="K586" s="1395">
        <f>IF(raw[[#This Row],[city]]&lt;&gt;"",_xlfn.XLOOKUP($D586,ccc[city],ccc[prov],"-"),"-")</f>
        <v/>
      </c>
      <c r="L586" s="1395">
        <f>IF(raw[[#This Row],[city]]&lt;&gt;"",_xlfn.XLOOKUP($D586,ccc[city],ccc[ctry],"-"),"-")</f>
        <v/>
      </c>
      <c r="M586" s="1395">
        <f>IF(raw[[#This Row],[city]]&lt;&gt;"",_xlfn.XLOOKUP($D586,ccc[city],ccc[cont],"-"),"-")</f>
        <v/>
      </c>
      <c r="N586" s="1396">
        <f>IF(raw[[#This Row],[city]]="","-",IF(raw[[#This Row],[cont]]="B",raw[[#This Row],[cont]],"W"))</f>
        <v/>
      </c>
      <c r="O586" s="1397">
        <f>IF(raw[[#This Row],[out]]=0,0,IF(raw[[#This Row],[out]]=raw[[#This Row],[in]],0.01,raw[[#This Row],[out]]-raw[[#This Row],[in]]))</f>
        <v/>
      </c>
      <c r="P586" s="1397">
        <f>IF(raw[[#This Row],[in]]=0,0,MONTH(raw[[#This Row],[in]]))</f>
        <v/>
      </c>
      <c r="Q586" s="1397">
        <f>IF(raw[[#This Row],[in]]=0,0,YEAR(raw[[#This Row],[in]]))</f>
        <v/>
      </c>
      <c r="R586" s="1397">
        <f>INT(raw[[#This Row],[yr]]/10)*10</f>
        <v/>
      </c>
      <c r="S586" s="1395">
        <f>IF(raw[[#This Row],[city]]="","-",IF(raw[[#This Row],[city]]&lt;&gt;_xlfn.XLOOKUP(raw[[#This Row],[home]],homes[home],homes[city],"-"),1,0))</f>
        <v/>
      </c>
      <c r="T586" s="1398" t="inlineStr">
        <is>
          <t>.</t>
        </is>
      </c>
      <c r="U586" s="1399">
        <f>IF(raw[[#This Row],[wb]]="w",raw[[#This Row],[stay]]+U585,U585)</f>
        <v/>
      </c>
      <c r="V586" s="1400">
        <f>IF(raw[[#This Row],[out]]=0,V585,(raw[[#This Row],[out]]-E$5))</f>
        <v/>
      </c>
      <c r="W586" s="1401">
        <f>U586/V586</f>
        <v/>
      </c>
      <c r="X586" s="1378" t="inlineStr">
        <is>
          <t>.</t>
        </is>
      </c>
      <c r="Y586" s="1402">
        <f/>
        <v/>
      </c>
      <c r="Z586" s="1403">
        <f/>
        <v/>
      </c>
      <c r="AA586" s="1403">
        <f/>
        <v/>
      </c>
      <c r="AB586" s="1400">
        <f t="array" ref="AB586">_xlfn.LET(_xlpm.S,_xlfn.ANCHORARRAY($Y$4),_xlpm.r,ROWS(stayCity[[#Headers],[city]]:stayCity[[#This Row],[city]])-1,IF(_xlpm.r&lt;=ROWS(_xlpm.S),INDEX(_xlpm.S,_xlpm.r,1),""))</f>
        <v/>
      </c>
      <c r="AC586" s="1405">
        <f t="array" ref="AC586">_xlfn.LET(_xlpm.S,_xlfn.ANCHORARRAY($Y$4),_xlpm.r,ROWS(stayCity[[#Headers],[city]]:stayCity[[#This Row],[city]])-1,IF(_xlpm.r&lt;=ROWS(_xlpm.S),INDEX(_xlpm.S,_xlpm.r,2),""))</f>
        <v/>
      </c>
      <c r="AD586" s="1405">
        <f t="array" ref="AD586">_xlfn.LET(_xlpm.S,_xlfn.ANCHORARRAY($Y$4),_xlpm.r,ROWS(stayCity[[#Headers],[city]]:stayCity[[#This Row],[city]])-1,IF(_xlpm.r&lt;=ROWS(_xlpm.S),INDEX(_xlpm.S,_xlpm.r,3),""))</f>
        <v/>
      </c>
      <c r="AE586" s="1400">
        <f>IF(stayCity[[#This Row],[out]]&lt;&gt;"",stayCity[[#This Row],[out]]-stayCity[[#This Row],[in]],"-")</f>
        <v/>
      </c>
      <c r="AF586" s="1406">
        <f>IF(Y586="","-",YEAR(stayCity[[#This Row],[in]]))</f>
        <v/>
      </c>
      <c r="AG586" s="1392" t="n"/>
      <c r="AH586" s="1392" t="n"/>
      <c r="AI586" s="1392" t="n"/>
      <c r="AJ586" s="1392" t="n"/>
      <c r="AK586" s="1392" t="n"/>
      <c r="AL586" s="1392" t="n"/>
      <c r="AM586" s="1392" t="n"/>
      <c r="AN586" s="1392" t="n"/>
      <c r="AO586" s="1392" t="n"/>
      <c r="AP586" s="1392" t="n"/>
      <c r="AQ586" s="1392" t="n"/>
      <c r="AR586" s="1392" t="n"/>
      <c r="AS586" s="1422" t="n"/>
      <c r="AT586" s="1392" t="n"/>
      <c r="AU586" s="1392" t="n"/>
      <c r="AV586" s="1392" t="n"/>
      <c r="AW586" s="1392" t="n"/>
      <c r="AX586" s="1392" t="n"/>
      <c r="AY586" s="1392" t="n"/>
      <c r="AZ586" s="1392" t="n"/>
      <c r="BA586" s="1392" t="n"/>
      <c r="BB586" s="1422" t="n"/>
      <c r="BC586" s="1392" t="n"/>
      <c r="BD586" s="1392" t="n"/>
      <c r="BE586" s="1392" t="n"/>
      <c r="BF586" s="1392" t="n"/>
      <c r="BG586" s="1392" t="n"/>
      <c r="BH586" s="1392" t="n"/>
      <c r="BI586" s="1392" t="n"/>
      <c r="BJ586" s="1392" t="n"/>
      <c r="BK586" s="1392" t="n"/>
      <c r="BL586" s="1392" t="n"/>
      <c r="BM586" s="1392" t="n"/>
      <c r="BN586" s="1392" t="n"/>
      <c r="BO586" s="1392" t="n"/>
      <c r="BP586" s="1392" t="n"/>
      <c r="BQ586" s="1392" t="n"/>
      <c r="BR586" s="1392" t="n"/>
      <c r="BS586" s="1392" t="n"/>
      <c r="BT586" s="1392" t="n"/>
      <c r="BU586" s="1416" t="n"/>
      <c r="BV586" s="1392" t="n"/>
      <c r="BW586" s="1392" t="n"/>
      <c r="BX586" s="1392" t="n"/>
      <c r="BY586" s="1392" t="n"/>
      <c r="BZ586" s="1416" t="n"/>
      <c r="CA586" s="1392" t="n"/>
      <c r="CB586" s="1392" t="n"/>
      <c r="CC586" s="1392" t="n"/>
      <c r="CD586" s="1392" t="n"/>
      <c r="CE586" s="1392" t="n"/>
      <c r="CF586" s="1392" t="n"/>
      <c r="CG586" s="1392" t="n"/>
      <c r="CH586" s="1392" t="n"/>
      <c r="CI586" s="1392" t="n"/>
      <c r="CJ586" s="1392" t="n"/>
      <c r="CK586" s="1392" t="n"/>
      <c r="CL586" s="1392" t="n"/>
    </row>
    <row r="587">
      <c r="A587" s="5" t="inlineStr">
        <is>
          <t>.</t>
        </is>
      </c>
      <c r="B587" s="5" t="inlineStr">
        <is>
          <t>.</t>
        </is>
      </c>
      <c r="C587" s="1378">
        <f>IF(raw[[#This Row],[city]]="","-",IF(raw[[#This Row],[city]]="TODAY","-",C586+1))</f>
        <v/>
      </c>
      <c r="D587" s="1393" t="inlineStr">
        <is>
          <t>SSA</t>
        </is>
      </c>
      <c r="E587" s="1394" t="n">
        <v>36220</v>
      </c>
      <c r="F587" s="1394" t="n">
        <v>36251</v>
      </c>
      <c r="G587" s="1393" t="inlineStr">
        <is>
          <t>-</t>
        </is>
      </c>
      <c r="H587" s="1393" t="inlineStr">
        <is>
          <t>Ondina</t>
        </is>
      </c>
      <c r="I587" s="1393" t="inlineStr">
        <is>
          <t>-</t>
        </is>
      </c>
      <c r="J587" s="1393" t="inlineStr">
        <is>
          <t>-</t>
        </is>
      </c>
      <c r="K587" s="1395">
        <f>IF(raw[[#This Row],[city]]&lt;&gt;"",_xlfn.XLOOKUP($D587,ccc[city],ccc[prov],"-"),"-")</f>
        <v/>
      </c>
      <c r="L587" s="1395">
        <f>IF(raw[[#This Row],[city]]&lt;&gt;"",_xlfn.XLOOKUP($D587,ccc[city],ccc[ctry],"-"),"-")</f>
        <v/>
      </c>
      <c r="M587" s="1395">
        <f>IF(raw[[#This Row],[city]]&lt;&gt;"",_xlfn.XLOOKUP($D587,ccc[city],ccc[cont],"-"),"-")</f>
        <v/>
      </c>
      <c r="N587" s="1396">
        <f>IF(raw[[#This Row],[city]]="","-",IF(raw[[#This Row],[cont]]="B",raw[[#This Row],[cont]],"W"))</f>
        <v/>
      </c>
      <c r="O587" s="1397">
        <f>IF(raw[[#This Row],[out]]=0,0,IF(raw[[#This Row],[out]]=raw[[#This Row],[in]],0.01,raw[[#This Row],[out]]-raw[[#This Row],[in]]))</f>
        <v/>
      </c>
      <c r="P587" s="1397">
        <f>IF(raw[[#This Row],[in]]=0,0,MONTH(raw[[#This Row],[in]]))</f>
        <v/>
      </c>
      <c r="Q587" s="1397">
        <f>IF(raw[[#This Row],[in]]=0,0,YEAR(raw[[#This Row],[in]]))</f>
        <v/>
      </c>
      <c r="R587" s="1397">
        <f>INT(raw[[#This Row],[yr]]/10)*10</f>
        <v/>
      </c>
      <c r="S587" s="1395">
        <f>IF(raw[[#This Row],[city]]="","-",IF(raw[[#This Row],[city]]&lt;&gt;_xlfn.XLOOKUP(raw[[#This Row],[home]],homes[home],homes[city],"-"),1,0))</f>
        <v/>
      </c>
      <c r="T587" s="1398" t="inlineStr">
        <is>
          <t>.</t>
        </is>
      </c>
      <c r="U587" s="1399">
        <f>IF(raw[[#This Row],[wb]]="w",raw[[#This Row],[stay]]+U586,U586)</f>
        <v/>
      </c>
      <c r="V587" s="1400">
        <f>IF(raw[[#This Row],[out]]=0,V586,(raw[[#This Row],[out]]-E$5))</f>
        <v/>
      </c>
      <c r="W587" s="1401">
        <f>U587/V587</f>
        <v/>
      </c>
      <c r="X587" s="1378" t="inlineStr">
        <is>
          <t>.</t>
        </is>
      </c>
      <c r="Y587" s="1402">
        <f/>
        <v/>
      </c>
      <c r="Z587" s="1403">
        <f/>
        <v/>
      </c>
      <c r="AA587" s="1403">
        <f/>
        <v/>
      </c>
      <c r="AB587" s="1400">
        <f t="array" ref="AB587">_xlfn.LET(_xlpm.S,_xlfn.ANCHORARRAY($Y$4),_xlpm.r,ROWS(stayCity[[#Headers],[city]]:stayCity[[#This Row],[city]])-1,IF(_xlpm.r&lt;=ROWS(_xlpm.S),INDEX(_xlpm.S,_xlpm.r,1),""))</f>
        <v/>
      </c>
      <c r="AC587" s="1405">
        <f t="array" ref="AC587">_xlfn.LET(_xlpm.S,_xlfn.ANCHORARRAY($Y$4),_xlpm.r,ROWS(stayCity[[#Headers],[city]]:stayCity[[#This Row],[city]])-1,IF(_xlpm.r&lt;=ROWS(_xlpm.S),INDEX(_xlpm.S,_xlpm.r,2),""))</f>
        <v/>
      </c>
      <c r="AD587" s="1405">
        <f t="array" ref="AD587">_xlfn.LET(_xlpm.S,_xlfn.ANCHORARRAY($Y$4),_xlpm.r,ROWS(stayCity[[#Headers],[city]]:stayCity[[#This Row],[city]])-1,IF(_xlpm.r&lt;=ROWS(_xlpm.S),INDEX(_xlpm.S,_xlpm.r,3),""))</f>
        <v/>
      </c>
      <c r="AE587" s="1400">
        <f>IF(stayCity[[#This Row],[out]]&lt;&gt;"",stayCity[[#This Row],[out]]-stayCity[[#This Row],[in]],"-")</f>
        <v/>
      </c>
      <c r="AF587" s="1406">
        <f>IF(Y587="","-",YEAR(stayCity[[#This Row],[in]]))</f>
        <v/>
      </c>
      <c r="AG587" s="1392" t="n"/>
      <c r="AH587" s="1392" t="n"/>
      <c r="AI587" s="1392" t="n"/>
      <c r="AJ587" s="1392" t="n"/>
      <c r="AK587" s="1392" t="n"/>
      <c r="AL587" s="1392" t="n"/>
      <c r="AM587" s="1392" t="n"/>
      <c r="AN587" s="1392" t="n"/>
      <c r="AO587" s="1392" t="n"/>
      <c r="AP587" s="1392" t="n"/>
      <c r="AQ587" s="1392" t="n"/>
      <c r="AR587" s="1392" t="n"/>
      <c r="AS587" s="1422" t="n"/>
      <c r="AT587" s="1392" t="n"/>
      <c r="AU587" s="1392" t="n"/>
      <c r="AV587" s="1392" t="n"/>
      <c r="AW587" s="1392" t="n"/>
      <c r="AX587" s="1392" t="n"/>
      <c r="AY587" s="1392" t="n"/>
      <c r="AZ587" s="1392" t="n"/>
      <c r="BA587" s="1392" t="n"/>
      <c r="BB587" s="1422" t="n"/>
      <c r="BC587" s="1392" t="n"/>
      <c r="BD587" s="1392" t="n"/>
      <c r="BE587" s="1392" t="n"/>
      <c r="BF587" s="1392" t="n"/>
      <c r="BG587" s="1392" t="n"/>
      <c r="BH587" s="1392" t="n"/>
      <c r="BI587" s="1392" t="n"/>
      <c r="BJ587" s="1392" t="n"/>
      <c r="BK587" s="1392" t="n"/>
      <c r="BL587" s="1392" t="n"/>
      <c r="BM587" s="1392" t="n"/>
      <c r="BN587" s="1392" t="n"/>
      <c r="BO587" s="1392" t="n"/>
      <c r="BP587" s="1392" t="n"/>
      <c r="BQ587" s="1392" t="n"/>
      <c r="BR587" s="1392" t="n"/>
      <c r="BS587" s="1392" t="n"/>
      <c r="BT587" s="1392" t="n"/>
      <c r="BU587" s="1416" t="n"/>
      <c r="BV587" s="1392" t="n"/>
      <c r="BW587" s="1392" t="n"/>
      <c r="BX587" s="1392" t="n"/>
      <c r="BY587" s="1392" t="n"/>
      <c r="BZ587" s="1416" t="n"/>
      <c r="CA587" s="1392" t="n"/>
      <c r="CB587" s="1392" t="n"/>
      <c r="CC587" s="1392" t="n"/>
      <c r="CD587" s="1392" t="n"/>
      <c r="CE587" s="1392" t="n"/>
      <c r="CF587" s="1392" t="n"/>
      <c r="CG587" s="1392" t="n"/>
      <c r="CH587" s="1392" t="n"/>
      <c r="CI587" s="1392" t="n"/>
      <c r="CJ587" s="1392" t="n"/>
      <c r="CK587" s="1392" t="n"/>
      <c r="CL587" s="1392" t="n"/>
    </row>
    <row r="588">
      <c r="A588" s="5" t="inlineStr">
        <is>
          <t>.</t>
        </is>
      </c>
      <c r="B588" s="5" t="inlineStr">
        <is>
          <t>.</t>
        </is>
      </c>
      <c r="C588" s="1378">
        <f>IF(raw[[#This Row],[city]]="","-",IF(raw[[#This Row],[city]]="TODAY","-",C587+1))</f>
        <v/>
      </c>
      <c r="D588" s="1393" t="inlineStr">
        <is>
          <t>SSA</t>
        </is>
      </c>
      <c r="E588" s="1394" t="n">
        <v>36251</v>
      </c>
      <c r="F588" s="1394" t="n">
        <v>36259</v>
      </c>
      <c r="G588" s="1393" t="inlineStr">
        <is>
          <t>-</t>
        </is>
      </c>
      <c r="H588" s="1393" t="inlineStr">
        <is>
          <t>Joao Pondé</t>
        </is>
      </c>
      <c r="I588" s="1393" t="inlineStr">
        <is>
          <t>-</t>
        </is>
      </c>
      <c r="J588" s="1393" t="inlineStr">
        <is>
          <t>-</t>
        </is>
      </c>
      <c r="K588" s="1395">
        <f>IF(raw[[#This Row],[city]]&lt;&gt;"",_xlfn.XLOOKUP($D588,ccc[city],ccc[prov],"-"),"-")</f>
        <v/>
      </c>
      <c r="L588" s="1395">
        <f>IF(raw[[#This Row],[city]]&lt;&gt;"",_xlfn.XLOOKUP($D588,ccc[city],ccc[ctry],"-"),"-")</f>
        <v/>
      </c>
      <c r="M588" s="1395">
        <f>IF(raw[[#This Row],[city]]&lt;&gt;"",_xlfn.XLOOKUP($D588,ccc[city],ccc[cont],"-"),"-")</f>
        <v/>
      </c>
      <c r="N588" s="1396">
        <f>IF(raw[[#This Row],[city]]="","-",IF(raw[[#This Row],[cont]]="B",raw[[#This Row],[cont]],"W"))</f>
        <v/>
      </c>
      <c r="O588" s="1397">
        <f>IF(raw[[#This Row],[out]]=0,0,IF(raw[[#This Row],[out]]=raw[[#This Row],[in]],0.01,raw[[#This Row],[out]]-raw[[#This Row],[in]]))</f>
        <v/>
      </c>
      <c r="P588" s="1397">
        <f>IF(raw[[#This Row],[in]]=0,0,MONTH(raw[[#This Row],[in]]))</f>
        <v/>
      </c>
      <c r="Q588" s="1397">
        <f>IF(raw[[#This Row],[in]]=0,0,YEAR(raw[[#This Row],[in]]))</f>
        <v/>
      </c>
      <c r="R588" s="1397">
        <f>INT(raw[[#This Row],[yr]]/10)*10</f>
        <v/>
      </c>
      <c r="S588" s="1395">
        <f>IF(raw[[#This Row],[city]]="","-",IF(raw[[#This Row],[city]]&lt;&gt;_xlfn.XLOOKUP(raw[[#This Row],[home]],homes[home],homes[city],"-"),1,0))</f>
        <v/>
      </c>
      <c r="T588" s="1398" t="inlineStr">
        <is>
          <t>.</t>
        </is>
      </c>
      <c r="U588" s="1399">
        <f>IF(raw[[#This Row],[wb]]="w",raw[[#This Row],[stay]]+U587,U587)</f>
        <v/>
      </c>
      <c r="V588" s="1400">
        <f>IF(raw[[#This Row],[out]]=0,V587,(raw[[#This Row],[out]]-E$5))</f>
        <v/>
      </c>
      <c r="W588" s="1401">
        <f>U588/V588</f>
        <v/>
      </c>
      <c r="X588" s="1378" t="inlineStr">
        <is>
          <t>.</t>
        </is>
      </c>
      <c r="Y588" s="1402">
        <f/>
        <v/>
      </c>
      <c r="Z588" s="1403">
        <f/>
        <v/>
      </c>
      <c r="AA588" s="1403">
        <f/>
        <v/>
      </c>
      <c r="AB588" s="1400">
        <f t="array" ref="AB588">_xlfn.LET(_xlpm.S,_xlfn.ANCHORARRAY($Y$4),_xlpm.r,ROWS(stayCity[[#Headers],[city]]:stayCity[[#This Row],[city]])-1,IF(_xlpm.r&lt;=ROWS(_xlpm.S),INDEX(_xlpm.S,_xlpm.r,1),""))</f>
        <v/>
      </c>
      <c r="AC588" s="1405">
        <f t="array" ref="AC588">_xlfn.LET(_xlpm.S,_xlfn.ANCHORARRAY($Y$4),_xlpm.r,ROWS(stayCity[[#Headers],[city]]:stayCity[[#This Row],[city]])-1,IF(_xlpm.r&lt;=ROWS(_xlpm.S),INDEX(_xlpm.S,_xlpm.r,2),""))</f>
        <v/>
      </c>
      <c r="AD588" s="1405">
        <f t="array" ref="AD588">_xlfn.LET(_xlpm.S,_xlfn.ANCHORARRAY($Y$4),_xlpm.r,ROWS(stayCity[[#Headers],[city]]:stayCity[[#This Row],[city]])-1,IF(_xlpm.r&lt;=ROWS(_xlpm.S),INDEX(_xlpm.S,_xlpm.r,3),""))</f>
        <v/>
      </c>
      <c r="AE588" s="1400">
        <f>IF(stayCity[[#This Row],[out]]&lt;&gt;"",stayCity[[#This Row],[out]]-stayCity[[#This Row],[in]],"-")</f>
        <v/>
      </c>
      <c r="AF588" s="1406">
        <f>IF(Y588="","-",YEAR(stayCity[[#This Row],[in]]))</f>
        <v/>
      </c>
      <c r="AG588" s="1392" t="n"/>
      <c r="AH588" s="1392" t="n"/>
      <c r="AI588" s="1392" t="n"/>
      <c r="AJ588" s="1392" t="n"/>
      <c r="AK588" s="1392" t="n"/>
      <c r="AL588" s="1392" t="n"/>
      <c r="AM588" s="1392" t="n"/>
      <c r="AN588" s="1392" t="n"/>
      <c r="AO588" s="1392" t="n"/>
      <c r="AP588" s="1392" t="n"/>
      <c r="AQ588" s="1392" t="n"/>
      <c r="AR588" s="1392" t="n"/>
      <c r="AS588" s="1422" t="n"/>
      <c r="AT588" s="1392" t="n"/>
      <c r="AU588" s="1392" t="n"/>
      <c r="AV588" s="1392" t="n"/>
      <c r="AW588" s="1392" t="n"/>
      <c r="AX588" s="1392" t="n"/>
      <c r="AY588" s="1392" t="n"/>
      <c r="AZ588" s="1392" t="n"/>
      <c r="BA588" s="1392" t="n"/>
      <c r="BB588" s="1422" t="n"/>
      <c r="BC588" s="1392" t="n"/>
      <c r="BD588" s="1392" t="n"/>
      <c r="BE588" s="1392" t="n"/>
      <c r="BF588" s="1392" t="n"/>
      <c r="BG588" s="1392" t="n"/>
      <c r="BH588" s="1392" t="n"/>
      <c r="BI588" s="1392" t="n"/>
      <c r="BJ588" s="1392" t="n"/>
      <c r="BK588" s="1392" t="n"/>
      <c r="BL588" s="1392" t="n"/>
      <c r="BM588" s="1392" t="n"/>
      <c r="BN588" s="1392" t="n"/>
      <c r="BO588" s="1392" t="n"/>
      <c r="BP588" s="1392" t="n"/>
      <c r="BQ588" s="1392" t="n"/>
      <c r="BR588" s="1392" t="n"/>
      <c r="BS588" s="1392" t="n"/>
      <c r="BT588" s="1392" t="n"/>
      <c r="BU588" s="1416" t="n"/>
      <c r="BV588" s="1392" t="n"/>
      <c r="BW588" s="1392" t="n"/>
      <c r="BX588" s="1392" t="n"/>
      <c r="BY588" s="1392" t="n"/>
      <c r="BZ588" s="1416" t="n"/>
      <c r="CA588" s="1392" t="n"/>
      <c r="CB588" s="1392" t="n"/>
      <c r="CC588" s="1392" t="n"/>
      <c r="CD588" s="1392" t="n"/>
      <c r="CE588" s="1392" t="n"/>
      <c r="CF588" s="1392" t="n"/>
      <c r="CG588" s="1392" t="n"/>
      <c r="CH588" s="1392" t="n"/>
      <c r="CI588" s="1392" t="n"/>
      <c r="CJ588" s="1392" t="n"/>
      <c r="CK588" s="1392" t="n"/>
      <c r="CL588" s="1392" t="n"/>
    </row>
    <row r="589">
      <c r="A589" s="5" t="inlineStr">
        <is>
          <t>.</t>
        </is>
      </c>
      <c r="B589" s="5" t="inlineStr">
        <is>
          <t>.</t>
        </is>
      </c>
      <c r="C589" s="1378">
        <f>IF(raw[[#This Row],[city]]="","-",IF(raw[[#This Row],[city]]="TODAY","-",C588+1))</f>
        <v/>
      </c>
      <c r="D589" s="1393" t="inlineStr">
        <is>
          <t>Boipeba</t>
        </is>
      </c>
      <c r="E589" s="1394" t="n">
        <v>36259</v>
      </c>
      <c r="F589" s="1394" t="n">
        <v>36262</v>
      </c>
      <c r="G589" s="1393" t="inlineStr">
        <is>
          <t>-</t>
        </is>
      </c>
      <c r="H589" s="1393" t="inlineStr">
        <is>
          <t>Joao Pondé</t>
        </is>
      </c>
      <c r="I589" s="1393" t="inlineStr">
        <is>
          <t>-</t>
        </is>
      </c>
      <c r="J589" s="1393" t="inlineStr">
        <is>
          <t>-</t>
        </is>
      </c>
      <c r="K589" s="1395">
        <f>IF(raw[[#This Row],[city]]&lt;&gt;"",_xlfn.XLOOKUP($D589,ccc[city],ccc[prov],"-"),"-")</f>
        <v/>
      </c>
      <c r="L589" s="1395">
        <f>IF(raw[[#This Row],[city]]&lt;&gt;"",_xlfn.XLOOKUP($D589,ccc[city],ccc[ctry],"-"),"-")</f>
        <v/>
      </c>
      <c r="M589" s="1395">
        <f>IF(raw[[#This Row],[city]]&lt;&gt;"",_xlfn.XLOOKUP($D589,ccc[city],ccc[cont],"-"),"-")</f>
        <v/>
      </c>
      <c r="N589" s="1396">
        <f>IF(raw[[#This Row],[city]]="","-",IF(raw[[#This Row],[cont]]="B",raw[[#This Row],[cont]],"W"))</f>
        <v/>
      </c>
      <c r="O589" s="1397">
        <f>IF(raw[[#This Row],[out]]=0,0,IF(raw[[#This Row],[out]]=raw[[#This Row],[in]],0.01,raw[[#This Row],[out]]-raw[[#This Row],[in]]))</f>
        <v/>
      </c>
      <c r="P589" s="1397">
        <f>IF(raw[[#This Row],[in]]=0,0,MONTH(raw[[#This Row],[in]]))</f>
        <v/>
      </c>
      <c r="Q589" s="1397">
        <f>IF(raw[[#This Row],[in]]=0,0,YEAR(raw[[#This Row],[in]]))</f>
        <v/>
      </c>
      <c r="R589" s="1397">
        <f>INT(raw[[#This Row],[yr]]/10)*10</f>
        <v/>
      </c>
      <c r="S589" s="1395">
        <f>IF(raw[[#This Row],[city]]="","-",IF(raw[[#This Row],[city]]&lt;&gt;_xlfn.XLOOKUP(raw[[#This Row],[home]],homes[home],homes[city],"-"),1,0))</f>
        <v/>
      </c>
      <c r="T589" s="1398" t="inlineStr">
        <is>
          <t>.</t>
        </is>
      </c>
      <c r="U589" s="1399">
        <f>IF(raw[[#This Row],[wb]]="w",raw[[#This Row],[stay]]+U588,U588)</f>
        <v/>
      </c>
      <c r="V589" s="1400">
        <f>IF(raw[[#This Row],[out]]=0,V588,(raw[[#This Row],[out]]-E$5))</f>
        <v/>
      </c>
      <c r="W589" s="1401">
        <f>U589/V589</f>
        <v/>
      </c>
      <c r="X589" s="1378" t="inlineStr">
        <is>
          <t>.</t>
        </is>
      </c>
      <c r="Y589" s="1402">
        <f/>
        <v/>
      </c>
      <c r="Z589" s="1403">
        <f/>
        <v/>
      </c>
      <c r="AA589" s="1403">
        <f/>
        <v/>
      </c>
      <c r="AB589" s="1400">
        <f t="array" ref="AB589">_xlfn.LET(_xlpm.S,_xlfn.ANCHORARRAY($Y$4),_xlpm.r,ROWS(stayCity[[#Headers],[city]]:stayCity[[#This Row],[city]])-1,IF(_xlpm.r&lt;=ROWS(_xlpm.S),INDEX(_xlpm.S,_xlpm.r,1),""))</f>
        <v/>
      </c>
      <c r="AC589" s="1405">
        <f t="array" ref="AC589">_xlfn.LET(_xlpm.S,_xlfn.ANCHORARRAY($Y$4),_xlpm.r,ROWS(stayCity[[#Headers],[city]]:stayCity[[#This Row],[city]])-1,IF(_xlpm.r&lt;=ROWS(_xlpm.S),INDEX(_xlpm.S,_xlpm.r,2),""))</f>
        <v/>
      </c>
      <c r="AD589" s="1405">
        <f t="array" ref="AD589">_xlfn.LET(_xlpm.S,_xlfn.ANCHORARRAY($Y$4),_xlpm.r,ROWS(stayCity[[#Headers],[city]]:stayCity[[#This Row],[city]])-1,IF(_xlpm.r&lt;=ROWS(_xlpm.S),INDEX(_xlpm.S,_xlpm.r,3),""))</f>
        <v/>
      </c>
      <c r="AE589" s="1400">
        <f>IF(stayCity[[#This Row],[out]]&lt;&gt;"",stayCity[[#This Row],[out]]-stayCity[[#This Row],[in]],"-")</f>
        <v/>
      </c>
      <c r="AF589" s="1406">
        <f>IF(Y589="","-",YEAR(stayCity[[#This Row],[in]]))</f>
        <v/>
      </c>
      <c r="AG589" s="1392" t="n"/>
      <c r="AH589" s="1392" t="n"/>
      <c r="AI589" s="1392" t="n"/>
      <c r="AJ589" s="1392" t="n"/>
      <c r="AK589" s="1392" t="n"/>
      <c r="AL589" s="1392" t="n"/>
      <c r="AM589" s="1392" t="n"/>
      <c r="AN589" s="1392" t="n"/>
      <c r="AO589" s="1392" t="n"/>
      <c r="AP589" s="1392" t="n"/>
      <c r="AQ589" s="1392" t="n"/>
      <c r="AR589" s="1392" t="n"/>
      <c r="AS589" s="1422" t="n"/>
      <c r="AT589" s="1392" t="n"/>
      <c r="AU589" s="1392" t="n"/>
      <c r="AV589" s="1392" t="n"/>
      <c r="AW589" s="1392" t="n"/>
      <c r="AX589" s="1392" t="n"/>
      <c r="AY589" s="1392" t="n"/>
      <c r="AZ589" s="1392" t="n"/>
      <c r="BA589" s="1392" t="n"/>
      <c r="BB589" s="1422" t="n"/>
      <c r="BC589" s="1392" t="n"/>
      <c r="BD589" s="1392" t="n"/>
      <c r="BE589" s="1392" t="n"/>
      <c r="BF589" s="1392" t="n"/>
      <c r="BG589" s="1392" t="n"/>
      <c r="BH589" s="1392" t="n"/>
      <c r="BI589" s="1392" t="n"/>
      <c r="BJ589" s="1392" t="n"/>
      <c r="BK589" s="1392" t="n"/>
      <c r="BL589" s="1392" t="n"/>
      <c r="BM589" s="1392" t="n"/>
      <c r="BN589" s="1392" t="n"/>
      <c r="BO589" s="1392" t="n"/>
      <c r="BP589" s="1392" t="n"/>
      <c r="BQ589" s="1392" t="n"/>
      <c r="BR589" s="1392" t="n"/>
      <c r="BS589" s="1392" t="n"/>
      <c r="BT589" s="1392" t="n"/>
      <c r="BU589" s="1416" t="n"/>
      <c r="BV589" s="1392" t="n"/>
      <c r="BW589" s="1392" t="n"/>
      <c r="BX589" s="1392" t="n"/>
      <c r="BY589" s="1392" t="n"/>
      <c r="BZ589" s="1416" t="n"/>
      <c r="CA589" s="1392" t="n"/>
      <c r="CB589" s="1392" t="n"/>
      <c r="CC589" s="1392" t="n"/>
      <c r="CD589" s="1392" t="n"/>
      <c r="CE589" s="1392" t="n"/>
      <c r="CF589" s="1392" t="n"/>
      <c r="CG589" s="1392" t="n"/>
      <c r="CH589" s="1392" t="n"/>
      <c r="CI589" s="1392" t="n"/>
      <c r="CJ589" s="1392" t="n"/>
      <c r="CK589" s="1392" t="n"/>
      <c r="CL589" s="1392" t="n"/>
    </row>
    <row r="590">
      <c r="A590" s="5" t="inlineStr">
        <is>
          <t>.</t>
        </is>
      </c>
      <c r="B590" s="5" t="inlineStr">
        <is>
          <t>.</t>
        </is>
      </c>
      <c r="C590" s="1378">
        <f>IF(raw[[#This Row],[city]]="","-",IF(raw[[#This Row],[city]]="TODAY","-",C589+1))</f>
        <v/>
      </c>
      <c r="D590" s="1393" t="inlineStr">
        <is>
          <t>SSA</t>
        </is>
      </c>
      <c r="E590" s="1394" t="n">
        <v>36262</v>
      </c>
      <c r="F590" s="1394" t="n">
        <v>36281</v>
      </c>
      <c r="G590" s="1393" t="inlineStr">
        <is>
          <t>-</t>
        </is>
      </c>
      <c r="H590" s="1393" t="inlineStr">
        <is>
          <t>Joao Pondé</t>
        </is>
      </c>
      <c r="I590" s="1393" t="inlineStr">
        <is>
          <t>-</t>
        </is>
      </c>
      <c r="J590" s="1393" t="inlineStr">
        <is>
          <t>-</t>
        </is>
      </c>
      <c r="K590" s="1395">
        <f>IF(raw[[#This Row],[city]]&lt;&gt;"",_xlfn.XLOOKUP($D590,ccc[city],ccc[prov],"-"),"-")</f>
        <v/>
      </c>
      <c r="L590" s="1395">
        <f>IF(raw[[#This Row],[city]]&lt;&gt;"",_xlfn.XLOOKUP($D590,ccc[city],ccc[ctry],"-"),"-")</f>
        <v/>
      </c>
      <c r="M590" s="1395">
        <f>IF(raw[[#This Row],[city]]&lt;&gt;"",_xlfn.XLOOKUP($D590,ccc[city],ccc[cont],"-"),"-")</f>
        <v/>
      </c>
      <c r="N590" s="1396">
        <f>IF(raw[[#This Row],[city]]="","-",IF(raw[[#This Row],[cont]]="B",raw[[#This Row],[cont]],"W"))</f>
        <v/>
      </c>
      <c r="O590" s="1397">
        <f>IF(raw[[#This Row],[out]]=0,0,IF(raw[[#This Row],[out]]=raw[[#This Row],[in]],0.01,raw[[#This Row],[out]]-raw[[#This Row],[in]]))</f>
        <v/>
      </c>
      <c r="P590" s="1397">
        <f>IF(raw[[#This Row],[in]]=0,0,MONTH(raw[[#This Row],[in]]))</f>
        <v/>
      </c>
      <c r="Q590" s="1397">
        <f>IF(raw[[#This Row],[in]]=0,0,YEAR(raw[[#This Row],[in]]))</f>
        <v/>
      </c>
      <c r="R590" s="1397">
        <f>INT(raw[[#This Row],[yr]]/10)*10</f>
        <v/>
      </c>
      <c r="S590" s="1395">
        <f>IF(raw[[#This Row],[city]]="","-",IF(raw[[#This Row],[city]]&lt;&gt;_xlfn.XLOOKUP(raw[[#This Row],[home]],homes[home],homes[city],"-"),1,0))</f>
        <v/>
      </c>
      <c r="T590" s="1398" t="inlineStr">
        <is>
          <t>.</t>
        </is>
      </c>
      <c r="U590" s="1399">
        <f>IF(raw[[#This Row],[wb]]="w",raw[[#This Row],[stay]]+U589,U589)</f>
        <v/>
      </c>
      <c r="V590" s="1400">
        <f>IF(raw[[#This Row],[out]]=0,V589,(raw[[#This Row],[out]]-E$5))</f>
        <v/>
      </c>
      <c r="W590" s="1401">
        <f>U590/V590</f>
        <v/>
      </c>
      <c r="X590" s="1378" t="inlineStr">
        <is>
          <t>.</t>
        </is>
      </c>
      <c r="Y590" s="1402">
        <f/>
        <v/>
      </c>
      <c r="Z590" s="1403">
        <f/>
        <v/>
      </c>
      <c r="AA590" s="1403">
        <f/>
        <v/>
      </c>
      <c r="AB590" s="1400">
        <f t="array" ref="AB590">_xlfn.LET(_xlpm.S,_xlfn.ANCHORARRAY($Y$4),_xlpm.r,ROWS(stayCity[[#Headers],[city]]:stayCity[[#This Row],[city]])-1,IF(_xlpm.r&lt;=ROWS(_xlpm.S),INDEX(_xlpm.S,_xlpm.r,1),""))</f>
        <v/>
      </c>
      <c r="AC590" s="1405">
        <f t="array" ref="AC590">_xlfn.LET(_xlpm.S,_xlfn.ANCHORARRAY($Y$4),_xlpm.r,ROWS(stayCity[[#Headers],[city]]:stayCity[[#This Row],[city]])-1,IF(_xlpm.r&lt;=ROWS(_xlpm.S),INDEX(_xlpm.S,_xlpm.r,2),""))</f>
        <v/>
      </c>
      <c r="AD590" s="1405">
        <f t="array" ref="AD590">_xlfn.LET(_xlpm.S,_xlfn.ANCHORARRAY($Y$4),_xlpm.r,ROWS(stayCity[[#Headers],[city]]:stayCity[[#This Row],[city]])-1,IF(_xlpm.r&lt;=ROWS(_xlpm.S),INDEX(_xlpm.S,_xlpm.r,3),""))</f>
        <v/>
      </c>
      <c r="AE590" s="1400">
        <f>IF(stayCity[[#This Row],[out]]&lt;&gt;"",stayCity[[#This Row],[out]]-stayCity[[#This Row],[in]],"-")</f>
        <v/>
      </c>
      <c r="AF590" s="1406">
        <f>IF(Y590="","-",YEAR(stayCity[[#This Row],[in]]))</f>
        <v/>
      </c>
      <c r="AG590" s="1392" t="n"/>
      <c r="AH590" s="1392" t="n"/>
      <c r="AI590" s="1392" t="n"/>
      <c r="AJ590" s="1392" t="n"/>
      <c r="AK590" s="1392" t="n"/>
      <c r="AL590" s="1392" t="n"/>
      <c r="AM590" s="1392" t="n"/>
      <c r="AN590" s="1392" t="n"/>
      <c r="AO590" s="1392" t="n"/>
      <c r="AP590" s="1392" t="n"/>
      <c r="AQ590" s="1392" t="n"/>
      <c r="AR590" s="1392" t="n"/>
      <c r="AS590" s="1422" t="n"/>
      <c r="AT590" s="1392" t="n"/>
      <c r="AU590" s="1392" t="n"/>
      <c r="AV590" s="1392" t="n"/>
      <c r="AW590" s="1392" t="n"/>
      <c r="AX590" s="1392" t="n"/>
      <c r="AY590" s="1392" t="n"/>
      <c r="AZ590" s="1392" t="n"/>
      <c r="BA590" s="1392" t="n"/>
      <c r="BB590" s="1422" t="n"/>
      <c r="BC590" s="1392" t="n"/>
      <c r="BD590" s="1392" t="n"/>
      <c r="BE590" s="1392" t="n"/>
      <c r="BF590" s="1392" t="n"/>
      <c r="BG590" s="1392" t="n"/>
      <c r="BH590" s="1392" t="n"/>
      <c r="BI590" s="1392" t="n"/>
      <c r="BJ590" s="1392" t="n"/>
      <c r="BK590" s="1392" t="n"/>
      <c r="BL590" s="1392" t="n"/>
      <c r="BM590" s="1392" t="n"/>
      <c r="BN590" s="1392" t="n"/>
      <c r="BO590" s="1392" t="n"/>
      <c r="BP590" s="1392" t="n"/>
      <c r="BQ590" s="1392" t="n"/>
      <c r="BR590" s="1392" t="n"/>
      <c r="BS590" s="1392" t="n"/>
      <c r="BT590" s="1392" t="n"/>
      <c r="BU590" s="1416" t="n"/>
      <c r="BV590" s="1392" t="n"/>
      <c r="BW590" s="1392" t="n"/>
      <c r="BX590" s="1392" t="n"/>
      <c r="BY590" s="1392" t="n"/>
      <c r="BZ590" s="1416" t="n"/>
      <c r="CA590" s="1392" t="n"/>
      <c r="CB590" s="1392" t="n"/>
      <c r="CC590" s="1392" t="n"/>
      <c r="CD590" s="1392" t="n"/>
      <c r="CE590" s="1392" t="n"/>
      <c r="CF590" s="1392" t="n"/>
      <c r="CG590" s="1392" t="n"/>
      <c r="CH590" s="1392" t="n"/>
      <c r="CI590" s="1392" t="n"/>
      <c r="CJ590" s="1392" t="n"/>
      <c r="CK590" s="1392" t="n"/>
      <c r="CL590" s="1392" t="n"/>
    </row>
    <row r="591">
      <c r="A591" s="5" t="inlineStr">
        <is>
          <t>.</t>
        </is>
      </c>
      <c r="B591" s="5" t="inlineStr">
        <is>
          <t>.</t>
        </is>
      </c>
      <c r="C591" s="1378">
        <f>IF(raw[[#This Row],[city]]="","-",IF(raw[[#This Row],[city]]="TODAY","-",C590+1))</f>
        <v/>
      </c>
      <c r="D591" s="1393" t="inlineStr">
        <is>
          <t>SSA</t>
        </is>
      </c>
      <c r="E591" s="1394" t="n">
        <v>36281</v>
      </c>
      <c r="F591" s="1394" t="n">
        <v>36303</v>
      </c>
      <c r="G591" s="1393" t="n">
        <v>1</v>
      </c>
      <c r="H591" s="1393" t="inlineStr">
        <is>
          <t>Joao Pondé</t>
        </is>
      </c>
      <c r="I591" s="1393" t="inlineStr">
        <is>
          <t>-</t>
        </is>
      </c>
      <c r="J591" s="1393" t="inlineStr">
        <is>
          <t>-</t>
        </is>
      </c>
      <c r="K591" s="1395">
        <f>IF(raw[[#This Row],[city]]&lt;&gt;"",_xlfn.XLOOKUP($D591,ccc[city],ccc[prov],"-"),"-")</f>
        <v/>
      </c>
      <c r="L591" s="1395">
        <f>IF(raw[[#This Row],[city]]&lt;&gt;"",_xlfn.XLOOKUP($D591,ccc[city],ccc[ctry],"-"),"-")</f>
        <v/>
      </c>
      <c r="M591" s="1395">
        <f>IF(raw[[#This Row],[city]]&lt;&gt;"",_xlfn.XLOOKUP($D591,ccc[city],ccc[cont],"-"),"-")</f>
        <v/>
      </c>
      <c r="N591" s="1396">
        <f>IF(raw[[#This Row],[city]]="","-",IF(raw[[#This Row],[cont]]="B",raw[[#This Row],[cont]],"W"))</f>
        <v/>
      </c>
      <c r="O591" s="1397">
        <f>IF(raw[[#This Row],[out]]=0,0,IF(raw[[#This Row],[out]]=raw[[#This Row],[in]],0.01,raw[[#This Row],[out]]-raw[[#This Row],[in]]))</f>
        <v/>
      </c>
      <c r="P591" s="1397">
        <f>IF(raw[[#This Row],[in]]=0,0,MONTH(raw[[#This Row],[in]]))</f>
        <v/>
      </c>
      <c r="Q591" s="1397">
        <f>IF(raw[[#This Row],[in]]=0,0,YEAR(raw[[#This Row],[in]]))</f>
        <v/>
      </c>
      <c r="R591" s="1397">
        <f>INT(raw[[#This Row],[yr]]/10)*10</f>
        <v/>
      </c>
      <c r="S591" s="1395">
        <f>IF(raw[[#This Row],[city]]="","-",IF(raw[[#This Row],[city]]&lt;&gt;_xlfn.XLOOKUP(raw[[#This Row],[home]],homes[home],homes[city],"-"),1,0))</f>
        <v/>
      </c>
      <c r="T591" s="1398" t="inlineStr">
        <is>
          <t>.</t>
        </is>
      </c>
      <c r="U591" s="1399">
        <f>IF(raw[[#This Row],[wb]]="w",raw[[#This Row],[stay]]+U590,U590)</f>
        <v/>
      </c>
      <c r="V591" s="1400">
        <f>IF(raw[[#This Row],[out]]=0,V590,(raw[[#This Row],[out]]-E$5))</f>
        <v/>
      </c>
      <c r="W591" s="1401">
        <f>U591/V591</f>
        <v/>
      </c>
      <c r="X591" s="1378" t="inlineStr">
        <is>
          <t>.</t>
        </is>
      </c>
      <c r="Y591" s="1402">
        <f/>
        <v/>
      </c>
      <c r="Z591" s="1403">
        <f/>
        <v/>
      </c>
      <c r="AA591" s="1403">
        <f/>
        <v/>
      </c>
      <c r="AB591" s="1400">
        <f t="array" ref="AB591">_xlfn.LET(_xlpm.S,_xlfn.ANCHORARRAY($Y$4),_xlpm.r,ROWS(stayCity[[#Headers],[city]]:stayCity[[#This Row],[city]])-1,IF(_xlpm.r&lt;=ROWS(_xlpm.S),INDEX(_xlpm.S,_xlpm.r,1),""))</f>
        <v/>
      </c>
      <c r="AC591" s="1405">
        <f t="array" ref="AC591">_xlfn.LET(_xlpm.S,_xlfn.ANCHORARRAY($Y$4),_xlpm.r,ROWS(stayCity[[#Headers],[city]]:stayCity[[#This Row],[city]])-1,IF(_xlpm.r&lt;=ROWS(_xlpm.S),INDEX(_xlpm.S,_xlpm.r,2),""))</f>
        <v/>
      </c>
      <c r="AD591" s="1405">
        <f t="array" ref="AD591">_xlfn.LET(_xlpm.S,_xlfn.ANCHORARRAY($Y$4),_xlpm.r,ROWS(stayCity[[#Headers],[city]]:stayCity[[#This Row],[city]])-1,IF(_xlpm.r&lt;=ROWS(_xlpm.S),INDEX(_xlpm.S,_xlpm.r,3),""))</f>
        <v/>
      </c>
      <c r="AE591" s="1400">
        <f>IF(stayCity[[#This Row],[out]]&lt;&gt;"",stayCity[[#This Row],[out]]-stayCity[[#This Row],[in]],"-")</f>
        <v/>
      </c>
      <c r="AF591" s="1406">
        <f>IF(Y591="","-",YEAR(stayCity[[#This Row],[in]]))</f>
        <v/>
      </c>
      <c r="AG591" s="1392" t="n"/>
      <c r="AH591" s="1392" t="n"/>
      <c r="AI591" s="1392" t="n"/>
      <c r="AJ591" s="1392" t="n"/>
      <c r="AK591" s="1392" t="n"/>
      <c r="AL591" s="1392" t="n"/>
      <c r="AM591" s="1392" t="n"/>
      <c r="AN591" s="1392" t="n"/>
      <c r="AO591" s="1392" t="n"/>
      <c r="AP591" s="1392" t="n"/>
      <c r="AQ591" s="1392" t="n"/>
      <c r="AR591" s="1392" t="n"/>
      <c r="AS591" s="1422" t="n"/>
      <c r="AT591" s="1392" t="n"/>
      <c r="AU591" s="1392" t="n"/>
      <c r="AV591" s="1392" t="n"/>
      <c r="AW591" s="1392" t="n"/>
      <c r="AX591" s="1392" t="n"/>
      <c r="AY591" s="1392" t="n"/>
      <c r="AZ591" s="1392" t="n"/>
      <c r="BA591" s="1392" t="n"/>
      <c r="BB591" s="1422" t="n"/>
      <c r="BC591" s="1392" t="n"/>
      <c r="BD591" s="1392" t="n"/>
      <c r="BE591" s="1392" t="n"/>
      <c r="BF591" s="1392" t="n"/>
      <c r="BG591" s="1392" t="n"/>
      <c r="BH591" s="1392" t="n"/>
      <c r="BI591" s="1392" t="n"/>
      <c r="BJ591" s="1392" t="n"/>
      <c r="BK591" s="1392" t="n"/>
      <c r="BL591" s="1392" t="n"/>
      <c r="BM591" s="1392" t="n"/>
      <c r="BN591" s="1392" t="n"/>
      <c r="BO591" s="1392" t="n"/>
      <c r="BP591" s="1392" t="n"/>
      <c r="BQ591" s="1392" t="n"/>
      <c r="BR591" s="1392" t="n"/>
      <c r="BS591" s="1392" t="n"/>
      <c r="BT591" s="1392" t="n"/>
      <c r="BU591" s="1416" t="n"/>
      <c r="BV591" s="1392" t="n"/>
      <c r="BW591" s="1392" t="n"/>
      <c r="BX591" s="1392" t="n"/>
      <c r="BY591" s="1392" t="n"/>
      <c r="BZ591" s="1416" t="n"/>
      <c r="CA591" s="1392" t="n"/>
      <c r="CB591" s="1392" t="n"/>
      <c r="CC591" s="1392" t="n"/>
      <c r="CD591" s="1392" t="n"/>
      <c r="CE591" s="1392" t="n"/>
      <c r="CF591" s="1392" t="n"/>
      <c r="CG591" s="1392" t="n"/>
      <c r="CH591" s="1392" t="n"/>
      <c r="CI591" s="1392" t="n"/>
      <c r="CJ591" s="1392" t="n"/>
      <c r="CK591" s="1392" t="n"/>
      <c r="CL591" s="1392" t="n"/>
    </row>
    <row r="592">
      <c r="A592" s="5" t="inlineStr">
        <is>
          <t>.</t>
        </is>
      </c>
      <c r="B592" s="5" t="inlineStr">
        <is>
          <t>.</t>
        </is>
      </c>
      <c r="C592" s="1378">
        <f>IF(raw[[#This Row],[city]]="","-",IF(raw[[#This Row],[city]]="TODAY","-",C591+1))</f>
        <v/>
      </c>
      <c r="D592" s="1393" t="inlineStr">
        <is>
          <t>AIR</t>
        </is>
      </c>
      <c r="E592" s="1394" t="n">
        <v>36303</v>
      </c>
      <c r="F592" s="1394" t="n">
        <v>36304</v>
      </c>
      <c r="G592" s="1393" t="inlineStr">
        <is>
          <t>x</t>
        </is>
      </c>
      <c r="H592" s="1393" t="inlineStr">
        <is>
          <t>Joao Pondé</t>
        </is>
      </c>
      <c r="I592" s="1393" t="inlineStr">
        <is>
          <t>-</t>
        </is>
      </c>
      <c r="J592" s="1393" t="inlineStr">
        <is>
          <t>-</t>
        </is>
      </c>
      <c r="K592" s="1395">
        <f>IF(raw[[#This Row],[city]]&lt;&gt;"",_xlfn.XLOOKUP($D592,ccc[city],ccc[prov],"-"),"-")</f>
        <v/>
      </c>
      <c r="L592" s="1395">
        <f>IF(raw[[#This Row],[city]]&lt;&gt;"",_xlfn.XLOOKUP($D592,ccc[city],ccc[ctry],"-"),"-")</f>
        <v/>
      </c>
      <c r="M592" s="1395">
        <f>IF(raw[[#This Row],[city]]&lt;&gt;"",_xlfn.XLOOKUP($D592,ccc[city],ccc[cont],"-"),"-")</f>
        <v/>
      </c>
      <c r="N592" s="1396">
        <f>IF(raw[[#This Row],[city]]="","-",IF(raw[[#This Row],[cont]]="B",raw[[#This Row],[cont]],"W"))</f>
        <v/>
      </c>
      <c r="O592" s="1397">
        <f>IF(raw[[#This Row],[out]]=0,0,IF(raw[[#This Row],[out]]=raw[[#This Row],[in]],0.01,raw[[#This Row],[out]]-raw[[#This Row],[in]]))</f>
        <v/>
      </c>
      <c r="P592" s="1397">
        <f>IF(raw[[#This Row],[in]]=0,0,MONTH(raw[[#This Row],[in]]))</f>
        <v/>
      </c>
      <c r="Q592" s="1397">
        <f>IF(raw[[#This Row],[in]]=0,0,YEAR(raw[[#This Row],[in]]))</f>
        <v/>
      </c>
      <c r="R592" s="1397">
        <f>INT(raw[[#This Row],[yr]]/10)*10</f>
        <v/>
      </c>
      <c r="S592" s="1395">
        <f>IF(raw[[#This Row],[city]]="","-",IF(raw[[#This Row],[city]]&lt;&gt;_xlfn.XLOOKUP(raw[[#This Row],[home]],homes[home],homes[city],"-"),1,0))</f>
        <v/>
      </c>
      <c r="T592" s="1398" t="inlineStr">
        <is>
          <t>.</t>
        </is>
      </c>
      <c r="U592" s="1399">
        <f>IF(raw[[#This Row],[wb]]="w",raw[[#This Row],[stay]]+U591,U591)</f>
        <v/>
      </c>
      <c r="V592" s="1400">
        <f>IF(raw[[#This Row],[out]]=0,V591,(raw[[#This Row],[out]]-E$5))</f>
        <v/>
      </c>
      <c r="W592" s="1401">
        <f>U592/V592</f>
        <v/>
      </c>
      <c r="X592" s="1378" t="inlineStr">
        <is>
          <t>.</t>
        </is>
      </c>
      <c r="Y592" s="1402">
        <f/>
        <v/>
      </c>
      <c r="Z592" s="1403">
        <f/>
        <v/>
      </c>
      <c r="AA592" s="1403">
        <f/>
        <v/>
      </c>
      <c r="AB592" s="1400">
        <f t="array" ref="AB592">_xlfn.LET(_xlpm.S,_xlfn.ANCHORARRAY($Y$4),_xlpm.r,ROWS(stayCity[[#Headers],[city]]:stayCity[[#This Row],[city]])-1,IF(_xlpm.r&lt;=ROWS(_xlpm.S),INDEX(_xlpm.S,_xlpm.r,1),""))</f>
        <v/>
      </c>
      <c r="AC592" s="1405">
        <f t="array" ref="AC592">_xlfn.LET(_xlpm.S,_xlfn.ANCHORARRAY($Y$4),_xlpm.r,ROWS(stayCity[[#Headers],[city]]:stayCity[[#This Row],[city]])-1,IF(_xlpm.r&lt;=ROWS(_xlpm.S),INDEX(_xlpm.S,_xlpm.r,2),""))</f>
        <v/>
      </c>
      <c r="AD592" s="1405">
        <f t="array" ref="AD592">_xlfn.LET(_xlpm.S,_xlfn.ANCHORARRAY($Y$4),_xlpm.r,ROWS(stayCity[[#Headers],[city]]:stayCity[[#This Row],[city]])-1,IF(_xlpm.r&lt;=ROWS(_xlpm.S),INDEX(_xlpm.S,_xlpm.r,3),""))</f>
        <v/>
      </c>
      <c r="AE592" s="1400">
        <f>IF(stayCity[[#This Row],[out]]&lt;&gt;"",stayCity[[#This Row],[out]]-stayCity[[#This Row],[in]],"-")</f>
        <v/>
      </c>
      <c r="AF592" s="1406">
        <f>IF(Y592="","-",YEAR(stayCity[[#This Row],[in]]))</f>
        <v/>
      </c>
      <c r="AG592" s="1392" t="n"/>
      <c r="AH592" s="1392" t="n"/>
      <c r="AI592" s="1392" t="n"/>
      <c r="AJ592" s="1392" t="n"/>
      <c r="AK592" s="1392" t="n"/>
      <c r="AL592" s="1392" t="n"/>
      <c r="AM592" s="1392" t="n"/>
      <c r="AN592" s="1392" t="n"/>
      <c r="AO592" s="1392" t="n"/>
      <c r="AP592" s="1392" t="n"/>
      <c r="AQ592" s="1392" t="n"/>
      <c r="AR592" s="1392" t="n"/>
      <c r="AS592" s="1422" t="n"/>
      <c r="AT592" s="1392" t="n"/>
      <c r="AU592" s="1392" t="n"/>
      <c r="AV592" s="1392" t="n"/>
      <c r="AW592" s="1392" t="n"/>
      <c r="AX592" s="1392" t="n"/>
      <c r="AY592" s="1392" t="n"/>
      <c r="AZ592" s="1392" t="n"/>
      <c r="BA592" s="1392" t="n"/>
      <c r="BB592" s="1422" t="n"/>
      <c r="BC592" s="1392" t="n"/>
      <c r="BD592" s="1392" t="n"/>
      <c r="BE592" s="1392" t="n"/>
      <c r="BF592" s="1392" t="n"/>
      <c r="BG592" s="1392" t="n"/>
      <c r="BH592" s="1392" t="n"/>
      <c r="BI592" s="1392" t="n"/>
      <c r="BJ592" s="1392" t="n"/>
      <c r="BK592" s="1392" t="n"/>
      <c r="BL592" s="1392" t="n"/>
      <c r="BM592" s="1392" t="n"/>
      <c r="BN592" s="1392" t="n"/>
      <c r="BO592" s="1392" t="n"/>
      <c r="BP592" s="1392" t="n"/>
      <c r="BQ592" s="1392" t="n"/>
      <c r="BR592" s="1392" t="n"/>
      <c r="BS592" s="1392" t="n"/>
      <c r="BT592" s="1392" t="n"/>
      <c r="BU592" s="1416" t="n"/>
      <c r="BV592" s="1392" t="n"/>
      <c r="BW592" s="1392" t="n"/>
      <c r="BX592" s="1392" t="n"/>
      <c r="BY592" s="1392" t="n"/>
      <c r="BZ592" s="1416" t="n"/>
      <c r="CA592" s="1392" t="n"/>
      <c r="CB592" s="1392" t="n"/>
      <c r="CC592" s="1392" t="n"/>
      <c r="CD592" s="1392" t="n"/>
      <c r="CE592" s="1392" t="n"/>
      <c r="CF592" s="1392" t="n"/>
      <c r="CG592" s="1392" t="n"/>
      <c r="CH592" s="1392" t="n"/>
      <c r="CI592" s="1392" t="n"/>
      <c r="CJ592" s="1392" t="n"/>
      <c r="CK592" s="1392" t="n"/>
      <c r="CL592" s="1392" t="n"/>
    </row>
    <row r="593">
      <c r="A593" s="5" t="inlineStr">
        <is>
          <t>.</t>
        </is>
      </c>
      <c r="B593" s="5" t="inlineStr">
        <is>
          <t>.</t>
        </is>
      </c>
      <c r="C593" s="1378">
        <f>IF(raw[[#This Row],[city]]="","-",IF(raw[[#This Row],[city]]="TODAY","-",C592+1))</f>
        <v/>
      </c>
      <c r="D593" s="1393" t="inlineStr">
        <is>
          <t>Lisbon</t>
        </is>
      </c>
      <c r="E593" s="1394" t="n">
        <v>36304</v>
      </c>
      <c r="F593" s="1394" t="n">
        <v>36304</v>
      </c>
      <c r="G593" s="1393" t="n">
        <v>0.01</v>
      </c>
      <c r="H593" s="1393" t="inlineStr">
        <is>
          <t>Joao Pondé</t>
        </is>
      </c>
      <c r="I593" s="1393" t="inlineStr">
        <is>
          <t>-</t>
        </is>
      </c>
      <c r="J593" s="1393" t="inlineStr">
        <is>
          <t>-</t>
        </is>
      </c>
      <c r="K593" s="1395">
        <f>IF(raw[[#This Row],[city]]&lt;&gt;"",_xlfn.XLOOKUP($D593,ccc[city],ccc[prov],"-"),"-")</f>
        <v/>
      </c>
      <c r="L593" s="1395">
        <f>IF(raw[[#This Row],[city]]&lt;&gt;"",_xlfn.XLOOKUP($D593,ccc[city],ccc[ctry],"-"),"-")</f>
        <v/>
      </c>
      <c r="M593" s="1395">
        <f>IF(raw[[#This Row],[city]]&lt;&gt;"",_xlfn.XLOOKUP($D593,ccc[city],ccc[cont],"-"),"-")</f>
        <v/>
      </c>
      <c r="N593" s="1396">
        <f>IF(raw[[#This Row],[city]]="","-",IF(raw[[#This Row],[cont]]="B",raw[[#This Row],[cont]],"W"))</f>
        <v/>
      </c>
      <c r="O593" s="1397">
        <f>IF(raw[[#This Row],[out]]=0,0,IF(raw[[#This Row],[out]]=raw[[#This Row],[in]],0.01,raw[[#This Row],[out]]-raw[[#This Row],[in]]))</f>
        <v/>
      </c>
      <c r="P593" s="1397">
        <f>IF(raw[[#This Row],[in]]=0,0,MONTH(raw[[#This Row],[in]]))</f>
        <v/>
      </c>
      <c r="Q593" s="1397">
        <f>IF(raw[[#This Row],[in]]=0,0,YEAR(raw[[#This Row],[in]]))</f>
        <v/>
      </c>
      <c r="R593" s="1397">
        <f>INT(raw[[#This Row],[yr]]/10)*10</f>
        <v/>
      </c>
      <c r="S593" s="1395">
        <f>IF(raw[[#This Row],[city]]="","-",IF(raw[[#This Row],[city]]&lt;&gt;_xlfn.XLOOKUP(raw[[#This Row],[home]],homes[home],homes[city],"-"),1,0))</f>
        <v/>
      </c>
      <c r="T593" s="1398" t="inlineStr">
        <is>
          <t>.</t>
        </is>
      </c>
      <c r="U593" s="1399">
        <f>IF(raw[[#This Row],[wb]]="w",raw[[#This Row],[stay]]+U592,U592)</f>
        <v/>
      </c>
      <c r="V593" s="1400">
        <f>IF(raw[[#This Row],[out]]=0,V592,(raw[[#This Row],[out]]-E$5))</f>
        <v/>
      </c>
      <c r="W593" s="1401">
        <f>U593/V593</f>
        <v/>
      </c>
      <c r="X593" s="1378" t="inlineStr">
        <is>
          <t>.</t>
        </is>
      </c>
      <c r="Y593" s="1402">
        <f/>
        <v/>
      </c>
      <c r="Z593" s="1403">
        <f/>
        <v/>
      </c>
      <c r="AA593" s="1403">
        <f/>
        <v/>
      </c>
      <c r="AB593" s="1400">
        <f t="array" ref="AB593">_xlfn.LET(_xlpm.S,_xlfn.ANCHORARRAY($Y$4),_xlpm.r,ROWS(stayCity[[#Headers],[city]]:stayCity[[#This Row],[city]])-1,IF(_xlpm.r&lt;=ROWS(_xlpm.S),INDEX(_xlpm.S,_xlpm.r,1),""))</f>
        <v/>
      </c>
      <c r="AC593" s="1405">
        <f t="array" ref="AC593">_xlfn.LET(_xlpm.S,_xlfn.ANCHORARRAY($Y$4),_xlpm.r,ROWS(stayCity[[#Headers],[city]]:stayCity[[#This Row],[city]])-1,IF(_xlpm.r&lt;=ROWS(_xlpm.S),INDEX(_xlpm.S,_xlpm.r,2),""))</f>
        <v/>
      </c>
      <c r="AD593" s="1405">
        <f t="array" ref="AD593">_xlfn.LET(_xlpm.S,_xlfn.ANCHORARRAY($Y$4),_xlpm.r,ROWS(stayCity[[#Headers],[city]]:stayCity[[#This Row],[city]])-1,IF(_xlpm.r&lt;=ROWS(_xlpm.S),INDEX(_xlpm.S,_xlpm.r,3),""))</f>
        <v/>
      </c>
      <c r="AE593" s="1400">
        <f>IF(stayCity[[#This Row],[out]]&lt;&gt;"",stayCity[[#This Row],[out]]-stayCity[[#This Row],[in]],"-")</f>
        <v/>
      </c>
      <c r="AF593" s="1406">
        <f>IF(Y593="","-",YEAR(stayCity[[#This Row],[in]]))</f>
        <v/>
      </c>
      <c r="AG593" s="1392" t="n"/>
      <c r="AH593" s="1392" t="n"/>
      <c r="AI593" s="1392" t="n"/>
      <c r="AJ593" s="1392" t="n"/>
      <c r="AK593" s="1392" t="n"/>
      <c r="AL593" s="1392" t="n"/>
      <c r="AM593" s="1392" t="n"/>
      <c r="AN593" s="1392" t="n"/>
      <c r="AO593" s="1392" t="n"/>
      <c r="AP593" s="1392" t="n"/>
      <c r="AQ593" s="1392" t="n"/>
      <c r="AR593" s="1392" t="n"/>
      <c r="AS593" s="1422" t="n"/>
      <c r="AT593" s="1392" t="n"/>
      <c r="AU593" s="1392" t="n"/>
      <c r="AV593" s="1392" t="n"/>
      <c r="AW593" s="1392" t="n"/>
      <c r="AX593" s="1392" t="n"/>
      <c r="AY593" s="1392" t="n"/>
      <c r="AZ593" s="1392" t="n"/>
      <c r="BA593" s="1392" t="n"/>
      <c r="BB593" s="1422" t="n"/>
      <c r="BC593" s="1392" t="n"/>
      <c r="BD593" s="1392" t="n"/>
      <c r="BE593" s="1392" t="n"/>
      <c r="BF593" s="1392" t="n"/>
      <c r="BG593" s="1392" t="n"/>
      <c r="BH593" s="1392" t="n"/>
      <c r="BI593" s="1392" t="n"/>
      <c r="BJ593" s="1392" t="n"/>
      <c r="BK593" s="1392" t="n"/>
      <c r="BL593" s="1392" t="n"/>
      <c r="BM593" s="1392" t="n"/>
      <c r="BN593" s="1392" t="n"/>
      <c r="BO593" s="1392" t="n"/>
      <c r="BP593" s="1392" t="n"/>
      <c r="BQ593" s="1392" t="n"/>
      <c r="BR593" s="1392" t="n"/>
      <c r="BS593" s="1392" t="n"/>
      <c r="BT593" s="1392" t="n"/>
      <c r="BU593" s="1416" t="n"/>
      <c r="BV593" s="1392" t="n"/>
      <c r="BW593" s="1392" t="n"/>
      <c r="BX593" s="1392" t="n"/>
      <c r="BY593" s="1392" t="n"/>
      <c r="BZ593" s="1416" t="n"/>
      <c r="CA593" s="1392" t="n"/>
      <c r="CB593" s="1392" t="n"/>
      <c r="CC593" s="1392" t="n"/>
      <c r="CD593" s="1392" t="n"/>
      <c r="CE593" s="1392" t="n"/>
      <c r="CF593" s="1392" t="n"/>
      <c r="CG593" s="1392" t="n"/>
      <c r="CH593" s="1392" t="n"/>
      <c r="CI593" s="1392" t="n"/>
      <c r="CJ593" s="1392" t="n"/>
      <c r="CK593" s="1392" t="n"/>
      <c r="CL593" s="1392" t="n"/>
    </row>
    <row r="594">
      <c r="A594" s="5" t="inlineStr">
        <is>
          <t>.</t>
        </is>
      </c>
      <c r="B594" s="5" t="inlineStr">
        <is>
          <t>.</t>
        </is>
      </c>
      <c r="C594" s="1378">
        <f>IF(raw[[#This Row],[city]]="","-",IF(raw[[#This Row],[city]]="TODAY","-",C593+1))</f>
        <v/>
      </c>
      <c r="D594" s="1393" t="inlineStr">
        <is>
          <t>London</t>
        </is>
      </c>
      <c r="E594" s="1394" t="n">
        <v>36304</v>
      </c>
      <c r="F594" s="1394" t="n">
        <v>36312</v>
      </c>
      <c r="G594" s="1393" t="inlineStr">
        <is>
          <t>-</t>
        </is>
      </c>
      <c r="H594" s="1393" t="inlineStr">
        <is>
          <t>Joao Pondé</t>
        </is>
      </c>
      <c r="I594" s="1393" t="inlineStr">
        <is>
          <t>Hampstead</t>
        </is>
      </c>
      <c r="J594" s="1393" t="inlineStr">
        <is>
          <t>-</t>
        </is>
      </c>
      <c r="K594" s="1395">
        <f>IF(raw[[#This Row],[city]]&lt;&gt;"",_xlfn.XLOOKUP($D594,ccc[city],ccc[prov],"-"),"-")</f>
        <v/>
      </c>
      <c r="L594" s="1395">
        <f>IF(raw[[#This Row],[city]]&lt;&gt;"",_xlfn.XLOOKUP($D594,ccc[city],ccc[ctry],"-"),"-")</f>
        <v/>
      </c>
      <c r="M594" s="1395">
        <f>IF(raw[[#This Row],[city]]&lt;&gt;"",_xlfn.XLOOKUP($D594,ccc[city],ccc[cont],"-"),"-")</f>
        <v/>
      </c>
      <c r="N594" s="1396">
        <f>IF(raw[[#This Row],[city]]="","-",IF(raw[[#This Row],[cont]]="B",raw[[#This Row],[cont]],"W"))</f>
        <v/>
      </c>
      <c r="O594" s="1397">
        <f>IF(raw[[#This Row],[out]]=0,0,IF(raw[[#This Row],[out]]=raw[[#This Row],[in]],0.01,raw[[#This Row],[out]]-raw[[#This Row],[in]]))</f>
        <v/>
      </c>
      <c r="P594" s="1397">
        <f>IF(raw[[#This Row],[in]]=0,0,MONTH(raw[[#This Row],[in]]))</f>
        <v/>
      </c>
      <c r="Q594" s="1397">
        <f>IF(raw[[#This Row],[in]]=0,0,YEAR(raw[[#This Row],[in]]))</f>
        <v/>
      </c>
      <c r="R594" s="1397">
        <f>INT(raw[[#This Row],[yr]]/10)*10</f>
        <v/>
      </c>
      <c r="S594" s="1395">
        <f>IF(raw[[#This Row],[city]]="","-",IF(raw[[#This Row],[city]]&lt;&gt;_xlfn.XLOOKUP(raw[[#This Row],[home]],homes[home],homes[city],"-"),1,0))</f>
        <v/>
      </c>
      <c r="T594" s="1398" t="inlineStr">
        <is>
          <t>.</t>
        </is>
      </c>
      <c r="U594" s="1399">
        <f>IF(raw[[#This Row],[wb]]="w",raw[[#This Row],[stay]]+U593,U593)</f>
        <v/>
      </c>
      <c r="V594" s="1400">
        <f>IF(raw[[#This Row],[out]]=0,V593,(raw[[#This Row],[out]]-E$5))</f>
        <v/>
      </c>
      <c r="W594" s="1401">
        <f>U594/V594</f>
        <v/>
      </c>
      <c r="X594" s="1378" t="inlineStr">
        <is>
          <t>.</t>
        </is>
      </c>
      <c r="Y594" s="1402">
        <f/>
        <v/>
      </c>
      <c r="Z594" s="1403">
        <f/>
        <v/>
      </c>
      <c r="AA594" s="1403">
        <f/>
        <v/>
      </c>
      <c r="AB594" s="1400">
        <f t="array" ref="AB594">_xlfn.LET(_xlpm.S,_xlfn.ANCHORARRAY($Y$4),_xlpm.r,ROWS(stayCity[[#Headers],[city]]:stayCity[[#This Row],[city]])-1,IF(_xlpm.r&lt;=ROWS(_xlpm.S),INDEX(_xlpm.S,_xlpm.r,1),""))</f>
        <v/>
      </c>
      <c r="AC594" s="1405">
        <f t="array" ref="AC594">_xlfn.LET(_xlpm.S,_xlfn.ANCHORARRAY($Y$4),_xlpm.r,ROWS(stayCity[[#Headers],[city]]:stayCity[[#This Row],[city]])-1,IF(_xlpm.r&lt;=ROWS(_xlpm.S),INDEX(_xlpm.S,_xlpm.r,2),""))</f>
        <v/>
      </c>
      <c r="AD594" s="1405">
        <f t="array" ref="AD594">_xlfn.LET(_xlpm.S,_xlfn.ANCHORARRAY($Y$4),_xlpm.r,ROWS(stayCity[[#Headers],[city]]:stayCity[[#This Row],[city]])-1,IF(_xlpm.r&lt;=ROWS(_xlpm.S),INDEX(_xlpm.S,_xlpm.r,3),""))</f>
        <v/>
      </c>
      <c r="AE594" s="1400">
        <f>IF(stayCity[[#This Row],[out]]&lt;&gt;"",stayCity[[#This Row],[out]]-stayCity[[#This Row],[in]],"-")</f>
        <v/>
      </c>
      <c r="AF594" s="1406">
        <f>IF(Y594="","-",YEAR(stayCity[[#This Row],[in]]))</f>
        <v/>
      </c>
      <c r="AG594" s="1392" t="n"/>
      <c r="AH594" s="1392" t="n"/>
      <c r="AI594" s="1392" t="n"/>
      <c r="AJ594" s="1392" t="n"/>
      <c r="AK594" s="1392" t="n"/>
      <c r="AL594" s="1392" t="n"/>
      <c r="AM594" s="1392" t="n"/>
      <c r="AN594" s="1392" t="n"/>
      <c r="AO594" s="1392" t="n"/>
      <c r="AP594" s="1392" t="n"/>
      <c r="AQ594" s="1392" t="n"/>
      <c r="AR594" s="1392" t="n"/>
      <c r="AS594" s="1422" t="n"/>
      <c r="AT594" s="1392" t="n"/>
      <c r="AU594" s="1392" t="n"/>
      <c r="AV594" s="1392" t="n"/>
      <c r="AW594" s="1392" t="n"/>
      <c r="AX594" s="1392" t="n"/>
      <c r="AY594" s="1392" t="n"/>
      <c r="AZ594" s="1392" t="n"/>
      <c r="BA594" s="1392" t="n"/>
      <c r="BB594" s="1422" t="n"/>
      <c r="BC594" s="1392" t="n"/>
      <c r="BD594" s="1392" t="n"/>
      <c r="BE594" s="1392" t="n"/>
      <c r="BF594" s="1392" t="n"/>
      <c r="BG594" s="1392" t="n"/>
      <c r="BH594" s="1392" t="n"/>
      <c r="BI594" s="1392" t="n"/>
      <c r="BJ594" s="1392" t="n"/>
      <c r="BK594" s="1392" t="n"/>
      <c r="BL594" s="1392" t="n"/>
      <c r="BM594" s="1392" t="n"/>
      <c r="BN594" s="1392" t="n"/>
      <c r="BO594" s="1392" t="n"/>
      <c r="BP594" s="1392" t="n"/>
      <c r="BQ594" s="1392" t="n"/>
      <c r="BR594" s="1392" t="n"/>
      <c r="BS594" s="1392" t="n"/>
      <c r="BT594" s="1392" t="n"/>
      <c r="BU594" s="1416" t="n"/>
      <c r="BV594" s="1392" t="n"/>
      <c r="BW594" s="1392" t="n"/>
      <c r="BX594" s="1392" t="n"/>
      <c r="BY594" s="1392" t="n"/>
      <c r="BZ594" s="1416" t="n"/>
      <c r="CA594" s="1392" t="n"/>
      <c r="CB594" s="1392" t="n"/>
      <c r="CC594" s="1392" t="n"/>
      <c r="CD594" s="1392" t="n"/>
      <c r="CE594" s="1392" t="n"/>
      <c r="CF594" s="1392" t="n"/>
      <c r="CG594" s="1392" t="n"/>
      <c r="CH594" s="1392" t="n"/>
      <c r="CI594" s="1392" t="n"/>
      <c r="CJ594" s="1392" t="n"/>
      <c r="CK594" s="1392" t="n"/>
      <c r="CL594" s="1392" t="n"/>
    </row>
    <row r="595">
      <c r="A595" s="5" t="inlineStr">
        <is>
          <t>.</t>
        </is>
      </c>
      <c r="B595" s="5" t="inlineStr">
        <is>
          <t>.</t>
        </is>
      </c>
      <c r="C595" s="1378">
        <f>IF(raw[[#This Row],[city]]="","-",IF(raw[[#This Row],[city]]="TODAY","-",C594+1))</f>
        <v/>
      </c>
      <c r="D595" s="1393" t="inlineStr">
        <is>
          <t>London</t>
        </is>
      </c>
      <c r="E595" s="1394" t="n">
        <v>36312</v>
      </c>
      <c r="F595" s="1394" t="n">
        <v>36313</v>
      </c>
      <c r="G595" s="1393" t="inlineStr">
        <is>
          <t>-</t>
        </is>
      </c>
      <c r="H595" s="1393" t="inlineStr">
        <is>
          <t>Joao Pondé</t>
        </is>
      </c>
      <c r="I595" s="1393" t="inlineStr">
        <is>
          <t>Hampstead</t>
        </is>
      </c>
      <c r="J595" s="1393" t="inlineStr">
        <is>
          <t>-</t>
        </is>
      </c>
      <c r="K595" s="1395">
        <f>IF(raw[[#This Row],[city]]&lt;&gt;"",_xlfn.XLOOKUP($D595,ccc[city],ccc[prov],"-"),"-")</f>
        <v/>
      </c>
      <c r="L595" s="1395">
        <f>IF(raw[[#This Row],[city]]&lt;&gt;"",_xlfn.XLOOKUP($D595,ccc[city],ccc[ctry],"-"),"-")</f>
        <v/>
      </c>
      <c r="M595" s="1395">
        <f>IF(raw[[#This Row],[city]]&lt;&gt;"",_xlfn.XLOOKUP($D595,ccc[city],ccc[cont],"-"),"-")</f>
        <v/>
      </c>
      <c r="N595" s="1396">
        <f>IF(raw[[#This Row],[city]]="","-",IF(raw[[#This Row],[cont]]="B",raw[[#This Row],[cont]],"W"))</f>
        <v/>
      </c>
      <c r="O595" s="1397">
        <f>IF(raw[[#This Row],[out]]=0,0,IF(raw[[#This Row],[out]]=raw[[#This Row],[in]],0.01,raw[[#This Row],[out]]-raw[[#This Row],[in]]))</f>
        <v/>
      </c>
      <c r="P595" s="1397">
        <f>IF(raw[[#This Row],[in]]=0,0,MONTH(raw[[#This Row],[in]]))</f>
        <v/>
      </c>
      <c r="Q595" s="1397">
        <f>IF(raw[[#This Row],[in]]=0,0,YEAR(raw[[#This Row],[in]]))</f>
        <v/>
      </c>
      <c r="R595" s="1397">
        <f>INT(raw[[#This Row],[yr]]/10)*10</f>
        <v/>
      </c>
      <c r="S595" s="1395">
        <f>IF(raw[[#This Row],[city]]="","-",IF(raw[[#This Row],[city]]&lt;&gt;_xlfn.XLOOKUP(raw[[#This Row],[home]],homes[home],homes[city],"-"),1,0))</f>
        <v/>
      </c>
      <c r="T595" s="1398" t="inlineStr">
        <is>
          <t>.</t>
        </is>
      </c>
      <c r="U595" s="1399">
        <f>IF(raw[[#This Row],[wb]]="w",raw[[#This Row],[stay]]+U594,U594)</f>
        <v/>
      </c>
      <c r="V595" s="1400">
        <f>IF(raw[[#This Row],[out]]=0,V594,(raw[[#This Row],[out]]-E$5))</f>
        <v/>
      </c>
      <c r="W595" s="1401">
        <f>U595/V595</f>
        <v/>
      </c>
      <c r="X595" s="1378" t="inlineStr">
        <is>
          <t>.</t>
        </is>
      </c>
      <c r="Y595" s="1402">
        <f/>
        <v/>
      </c>
      <c r="Z595" s="1403">
        <f/>
        <v/>
      </c>
      <c r="AA595" s="1403">
        <f/>
        <v/>
      </c>
      <c r="AB595" s="1400">
        <f t="array" ref="AB595">_xlfn.LET(_xlpm.S,_xlfn.ANCHORARRAY($Y$4),_xlpm.r,ROWS(stayCity[[#Headers],[city]]:stayCity[[#This Row],[city]])-1,IF(_xlpm.r&lt;=ROWS(_xlpm.S),INDEX(_xlpm.S,_xlpm.r,1),""))</f>
        <v/>
      </c>
      <c r="AC595" s="1405">
        <f t="array" ref="AC595">_xlfn.LET(_xlpm.S,_xlfn.ANCHORARRAY($Y$4),_xlpm.r,ROWS(stayCity[[#Headers],[city]]:stayCity[[#This Row],[city]])-1,IF(_xlpm.r&lt;=ROWS(_xlpm.S),INDEX(_xlpm.S,_xlpm.r,2),""))</f>
        <v/>
      </c>
      <c r="AD595" s="1405">
        <f t="array" ref="AD595">_xlfn.LET(_xlpm.S,_xlfn.ANCHORARRAY($Y$4),_xlpm.r,ROWS(stayCity[[#Headers],[city]]:stayCity[[#This Row],[city]])-1,IF(_xlpm.r&lt;=ROWS(_xlpm.S),INDEX(_xlpm.S,_xlpm.r,3),""))</f>
        <v/>
      </c>
      <c r="AE595" s="1400">
        <f>IF(stayCity[[#This Row],[out]]&lt;&gt;"",stayCity[[#This Row],[out]]-stayCity[[#This Row],[in]],"-")</f>
        <v/>
      </c>
      <c r="AF595" s="1406">
        <f>IF(Y595="","-",YEAR(stayCity[[#This Row],[in]]))</f>
        <v/>
      </c>
      <c r="AG595" s="1392" t="n"/>
      <c r="AH595" s="1392" t="n"/>
      <c r="AI595" s="1392" t="n"/>
      <c r="AJ595" s="1392" t="n"/>
      <c r="AK595" s="1392" t="n"/>
      <c r="AL595" s="1392" t="n"/>
      <c r="AM595" s="1392" t="n"/>
      <c r="AN595" s="1392" t="n"/>
      <c r="AO595" s="1392" t="n"/>
      <c r="AP595" s="1392" t="n"/>
      <c r="AQ595" s="1392" t="n"/>
      <c r="AR595" s="1392" t="n"/>
      <c r="AS595" s="1422" t="n"/>
      <c r="AT595" s="1392" t="n"/>
      <c r="AU595" s="1392" t="n"/>
      <c r="AV595" s="1392" t="n"/>
      <c r="AW595" s="1392" t="n"/>
      <c r="AX595" s="1392" t="n"/>
      <c r="AY595" s="1392" t="n"/>
      <c r="AZ595" s="1392" t="n"/>
      <c r="BA595" s="1392" t="n"/>
      <c r="BB595" s="1422" t="n"/>
      <c r="BC595" s="1392" t="n"/>
      <c r="BD595" s="1392" t="n"/>
      <c r="BE595" s="1392" t="n"/>
      <c r="BF595" s="1392" t="n"/>
      <c r="BG595" s="1392" t="n"/>
      <c r="BH595" s="1392" t="n"/>
      <c r="BI595" s="1392" t="n"/>
      <c r="BJ595" s="1392" t="n"/>
      <c r="BK595" s="1392" t="n"/>
      <c r="BL595" s="1392" t="n"/>
      <c r="BM595" s="1392" t="n"/>
      <c r="BN595" s="1392" t="n"/>
      <c r="BO595" s="1392" t="n"/>
      <c r="BP595" s="1392" t="n"/>
      <c r="BQ595" s="1392" t="n"/>
      <c r="BR595" s="1392" t="n"/>
      <c r="BS595" s="1392" t="n"/>
      <c r="BT595" s="1392" t="n"/>
      <c r="BU595" s="1416" t="n"/>
      <c r="BV595" s="1392" t="n"/>
      <c r="BW595" s="1392" t="n"/>
      <c r="BX595" s="1392" t="n"/>
      <c r="BY595" s="1392" t="n"/>
      <c r="BZ595" s="1416" t="n"/>
      <c r="CA595" s="1392" t="n"/>
      <c r="CB595" s="1392" t="n"/>
      <c r="CC595" s="1392" t="n"/>
      <c r="CD595" s="1392" t="n"/>
      <c r="CE595" s="1392" t="n"/>
      <c r="CF595" s="1392" t="n"/>
      <c r="CG595" s="1392" t="n"/>
      <c r="CH595" s="1392" t="n"/>
      <c r="CI595" s="1392" t="n"/>
      <c r="CJ595" s="1392" t="n"/>
      <c r="CK595" s="1392" t="n"/>
      <c r="CL595" s="1392" t="n"/>
    </row>
    <row r="596">
      <c r="A596" s="5" t="inlineStr">
        <is>
          <t>.</t>
        </is>
      </c>
      <c r="B596" s="5" t="inlineStr">
        <is>
          <t>.</t>
        </is>
      </c>
      <c r="C596" s="1378">
        <f>IF(raw[[#This Row],[city]]="","-",IF(raw[[#This Row],[city]]="TODAY","-",C595+1))</f>
        <v/>
      </c>
      <c r="D596" s="1393" t="inlineStr">
        <is>
          <t>Paris</t>
        </is>
      </c>
      <c r="E596" s="1394" t="n">
        <v>36313</v>
      </c>
      <c r="F596" s="1394" t="n">
        <v>36316</v>
      </c>
      <c r="G596" s="1393" t="inlineStr">
        <is>
          <t>-</t>
        </is>
      </c>
      <c r="H596" s="1393" t="inlineStr">
        <is>
          <t>Joao Pondé</t>
        </is>
      </c>
      <c r="I596" s="1393" t="inlineStr">
        <is>
          <t>Mauricio</t>
        </is>
      </c>
      <c r="J596" s="1393" t="inlineStr">
        <is>
          <t>-</t>
        </is>
      </c>
      <c r="K596" s="1395">
        <f>IF(raw[[#This Row],[city]]&lt;&gt;"",_xlfn.XLOOKUP($D596,ccc[city],ccc[prov],"-"),"-")</f>
        <v/>
      </c>
      <c r="L596" s="1395">
        <f>IF(raw[[#This Row],[city]]&lt;&gt;"",_xlfn.XLOOKUP($D596,ccc[city],ccc[ctry],"-"),"-")</f>
        <v/>
      </c>
      <c r="M596" s="1395">
        <f>IF(raw[[#This Row],[city]]&lt;&gt;"",_xlfn.XLOOKUP($D596,ccc[city],ccc[cont],"-"),"-")</f>
        <v/>
      </c>
      <c r="N596" s="1396">
        <f>IF(raw[[#This Row],[city]]="","-",IF(raw[[#This Row],[cont]]="B",raw[[#This Row],[cont]],"W"))</f>
        <v/>
      </c>
      <c r="O596" s="1397">
        <f>IF(raw[[#This Row],[out]]=0,0,IF(raw[[#This Row],[out]]=raw[[#This Row],[in]],0.01,raw[[#This Row],[out]]-raw[[#This Row],[in]]))</f>
        <v/>
      </c>
      <c r="P596" s="1397">
        <f>IF(raw[[#This Row],[in]]=0,0,MONTH(raw[[#This Row],[in]]))</f>
        <v/>
      </c>
      <c r="Q596" s="1397">
        <f>IF(raw[[#This Row],[in]]=0,0,YEAR(raw[[#This Row],[in]]))</f>
        <v/>
      </c>
      <c r="R596" s="1397">
        <f>INT(raw[[#This Row],[yr]]/10)*10</f>
        <v/>
      </c>
      <c r="S596" s="1395">
        <f>IF(raw[[#This Row],[city]]="","-",IF(raw[[#This Row],[city]]&lt;&gt;_xlfn.XLOOKUP(raw[[#This Row],[home]],homes[home],homes[city],"-"),1,0))</f>
        <v/>
      </c>
      <c r="T596" s="1398" t="inlineStr">
        <is>
          <t>.</t>
        </is>
      </c>
      <c r="U596" s="1399">
        <f>IF(raw[[#This Row],[wb]]="w",raw[[#This Row],[stay]]+U595,U595)</f>
        <v/>
      </c>
      <c r="V596" s="1400">
        <f>IF(raw[[#This Row],[out]]=0,V595,(raw[[#This Row],[out]]-E$5))</f>
        <v/>
      </c>
      <c r="W596" s="1401">
        <f>U596/V596</f>
        <v/>
      </c>
      <c r="X596" s="1378" t="inlineStr">
        <is>
          <t>.</t>
        </is>
      </c>
      <c r="Y596" s="1402">
        <f/>
        <v/>
      </c>
      <c r="Z596" s="1403">
        <f/>
        <v/>
      </c>
      <c r="AA596" s="1403">
        <f/>
        <v/>
      </c>
      <c r="AB596" s="1400">
        <f t="array" ref="AB596">_xlfn.LET(_xlpm.S,_xlfn.ANCHORARRAY($Y$4),_xlpm.r,ROWS(stayCity[[#Headers],[city]]:stayCity[[#This Row],[city]])-1,IF(_xlpm.r&lt;=ROWS(_xlpm.S),INDEX(_xlpm.S,_xlpm.r,1),""))</f>
        <v/>
      </c>
      <c r="AC596" s="1405">
        <f t="array" ref="AC596">_xlfn.LET(_xlpm.S,_xlfn.ANCHORARRAY($Y$4),_xlpm.r,ROWS(stayCity[[#Headers],[city]]:stayCity[[#This Row],[city]])-1,IF(_xlpm.r&lt;=ROWS(_xlpm.S),INDEX(_xlpm.S,_xlpm.r,2),""))</f>
        <v/>
      </c>
      <c r="AD596" s="1405">
        <f t="array" ref="AD596">_xlfn.LET(_xlpm.S,_xlfn.ANCHORARRAY($Y$4),_xlpm.r,ROWS(stayCity[[#Headers],[city]]:stayCity[[#This Row],[city]])-1,IF(_xlpm.r&lt;=ROWS(_xlpm.S),INDEX(_xlpm.S,_xlpm.r,3),""))</f>
        <v/>
      </c>
      <c r="AE596" s="1400">
        <f>IF(stayCity[[#This Row],[out]]&lt;&gt;"",stayCity[[#This Row],[out]]-stayCity[[#This Row],[in]],"-")</f>
        <v/>
      </c>
      <c r="AF596" s="1406">
        <f>IF(Y596="","-",YEAR(stayCity[[#This Row],[in]]))</f>
        <v/>
      </c>
      <c r="AG596" s="1392" t="n"/>
      <c r="AH596" s="1392" t="n"/>
      <c r="AI596" s="1392" t="n"/>
      <c r="AJ596" s="1392" t="n"/>
      <c r="AK596" s="1392" t="n"/>
      <c r="AL596" s="1392" t="n"/>
      <c r="AM596" s="1392" t="n"/>
      <c r="AN596" s="1392" t="n"/>
      <c r="AO596" s="1392" t="n"/>
      <c r="AP596" s="1392" t="n"/>
      <c r="AQ596" s="1392" t="n"/>
      <c r="AR596" s="1392" t="n"/>
      <c r="AS596" s="1422" t="n"/>
      <c r="AT596" s="1392" t="n"/>
      <c r="AU596" s="1392" t="n"/>
      <c r="AV596" s="1392" t="n"/>
      <c r="AW596" s="1392" t="n"/>
      <c r="AX596" s="1392" t="n"/>
      <c r="AY596" s="1392" t="n"/>
      <c r="AZ596" s="1392" t="n"/>
      <c r="BA596" s="1392" t="n"/>
      <c r="BB596" s="1422" t="n"/>
      <c r="BC596" s="1392" t="n"/>
      <c r="BD596" s="1392" t="n"/>
      <c r="BE596" s="1392" t="n"/>
      <c r="BF596" s="1392" t="n"/>
      <c r="BG596" s="1392" t="n"/>
      <c r="BH596" s="1392" t="n"/>
      <c r="BI596" s="1392" t="n"/>
      <c r="BJ596" s="1392" t="n"/>
      <c r="BK596" s="1392" t="n"/>
      <c r="BL596" s="1392" t="n"/>
      <c r="BM596" s="1392" t="n"/>
      <c r="BN596" s="1392" t="n"/>
      <c r="BO596" s="1392" t="n"/>
      <c r="BP596" s="1392" t="n"/>
      <c r="BQ596" s="1392" t="n"/>
      <c r="BR596" s="1392" t="n"/>
      <c r="BS596" s="1392" t="n"/>
      <c r="BT596" s="1392" t="n"/>
      <c r="BU596" s="1416" t="n"/>
      <c r="BV596" s="1392" t="n"/>
      <c r="BW596" s="1392" t="n"/>
      <c r="BX596" s="1392" t="n"/>
      <c r="BY596" s="1392" t="n"/>
      <c r="BZ596" s="1416" t="n"/>
      <c r="CA596" s="1392" t="n"/>
      <c r="CB596" s="1392" t="n"/>
      <c r="CC596" s="1392" t="n"/>
      <c r="CD596" s="1392" t="n"/>
      <c r="CE596" s="1392" t="n"/>
      <c r="CF596" s="1392" t="n"/>
      <c r="CG596" s="1392" t="n"/>
      <c r="CH596" s="1392" t="n"/>
      <c r="CI596" s="1392" t="n"/>
      <c r="CJ596" s="1392" t="n"/>
      <c r="CK596" s="1392" t="n"/>
      <c r="CL596" s="1392" t="n"/>
    </row>
    <row r="597">
      <c r="A597" s="5" t="inlineStr">
        <is>
          <t>.</t>
        </is>
      </c>
      <c r="B597" s="5" t="inlineStr">
        <is>
          <t>.</t>
        </is>
      </c>
      <c r="C597" s="1378">
        <f>IF(raw[[#This Row],[city]]="","-",IF(raw[[#This Row],[city]]="TODAY","-",C596+1))</f>
        <v/>
      </c>
      <c r="D597" s="1393" t="inlineStr">
        <is>
          <t>London</t>
        </is>
      </c>
      <c r="E597" s="1394" t="n">
        <v>36316</v>
      </c>
      <c r="F597" s="1394" t="n">
        <v>36320</v>
      </c>
      <c r="G597" s="1393" t="n">
        <v>1</v>
      </c>
      <c r="H597" s="1393" t="inlineStr">
        <is>
          <t>Joao Pondé</t>
        </is>
      </c>
      <c r="I597" s="1393" t="inlineStr">
        <is>
          <t>Hampstead</t>
        </is>
      </c>
      <c r="J597" s="1393" t="inlineStr">
        <is>
          <t>-</t>
        </is>
      </c>
      <c r="K597" s="1395">
        <f>IF(raw[[#This Row],[city]]&lt;&gt;"",_xlfn.XLOOKUP($D597,ccc[city],ccc[prov],"-"),"-")</f>
        <v/>
      </c>
      <c r="L597" s="1395">
        <f>IF(raw[[#This Row],[city]]&lt;&gt;"",_xlfn.XLOOKUP($D597,ccc[city],ccc[ctry],"-"),"-")</f>
        <v/>
      </c>
      <c r="M597" s="1395">
        <f>IF(raw[[#This Row],[city]]&lt;&gt;"",_xlfn.XLOOKUP($D597,ccc[city],ccc[cont],"-"),"-")</f>
        <v/>
      </c>
      <c r="N597" s="1396">
        <f>IF(raw[[#This Row],[city]]="","-",IF(raw[[#This Row],[cont]]="B",raw[[#This Row],[cont]],"W"))</f>
        <v/>
      </c>
      <c r="O597" s="1397">
        <f>IF(raw[[#This Row],[out]]=0,0,IF(raw[[#This Row],[out]]=raw[[#This Row],[in]],0.01,raw[[#This Row],[out]]-raw[[#This Row],[in]]))</f>
        <v/>
      </c>
      <c r="P597" s="1397">
        <f>IF(raw[[#This Row],[in]]=0,0,MONTH(raw[[#This Row],[in]]))</f>
        <v/>
      </c>
      <c r="Q597" s="1397">
        <f>IF(raw[[#This Row],[in]]=0,0,YEAR(raw[[#This Row],[in]]))</f>
        <v/>
      </c>
      <c r="R597" s="1397">
        <f>INT(raw[[#This Row],[yr]]/10)*10</f>
        <v/>
      </c>
      <c r="S597" s="1395">
        <f>IF(raw[[#This Row],[city]]="","-",IF(raw[[#This Row],[city]]&lt;&gt;_xlfn.XLOOKUP(raw[[#This Row],[home]],homes[home],homes[city],"-"),1,0))</f>
        <v/>
      </c>
      <c r="T597" s="1398" t="inlineStr">
        <is>
          <t>.</t>
        </is>
      </c>
      <c r="U597" s="1399">
        <f>IF(raw[[#This Row],[wb]]="w",raw[[#This Row],[stay]]+U596,U596)</f>
        <v/>
      </c>
      <c r="V597" s="1400">
        <f>IF(raw[[#This Row],[out]]=0,V596,(raw[[#This Row],[out]]-E$5))</f>
        <v/>
      </c>
      <c r="W597" s="1401">
        <f>U597/V597</f>
        <v/>
      </c>
      <c r="X597" s="1378" t="inlineStr">
        <is>
          <t>.</t>
        </is>
      </c>
      <c r="Y597" s="1402">
        <f/>
        <v/>
      </c>
      <c r="Z597" s="1403">
        <f/>
        <v/>
      </c>
      <c r="AA597" s="1403">
        <f/>
        <v/>
      </c>
      <c r="AB597" s="1400">
        <f t="array" ref="AB597">_xlfn.LET(_xlpm.S,_xlfn.ANCHORARRAY($Y$4),_xlpm.r,ROWS(stayCity[[#Headers],[city]]:stayCity[[#This Row],[city]])-1,IF(_xlpm.r&lt;=ROWS(_xlpm.S),INDEX(_xlpm.S,_xlpm.r,1),""))</f>
        <v/>
      </c>
      <c r="AC597" s="1405">
        <f t="array" ref="AC597">_xlfn.LET(_xlpm.S,_xlfn.ANCHORARRAY($Y$4),_xlpm.r,ROWS(stayCity[[#Headers],[city]]:stayCity[[#This Row],[city]])-1,IF(_xlpm.r&lt;=ROWS(_xlpm.S),INDEX(_xlpm.S,_xlpm.r,2),""))</f>
        <v/>
      </c>
      <c r="AD597" s="1405">
        <f t="array" ref="AD597">_xlfn.LET(_xlpm.S,_xlfn.ANCHORARRAY($Y$4),_xlpm.r,ROWS(stayCity[[#Headers],[city]]:stayCity[[#This Row],[city]])-1,IF(_xlpm.r&lt;=ROWS(_xlpm.S),INDEX(_xlpm.S,_xlpm.r,3),""))</f>
        <v/>
      </c>
      <c r="AE597" s="1400">
        <f>IF(stayCity[[#This Row],[out]]&lt;&gt;"",stayCity[[#This Row],[out]]-stayCity[[#This Row],[in]],"-")</f>
        <v/>
      </c>
      <c r="AF597" s="1406">
        <f>IF(Y597="","-",YEAR(stayCity[[#This Row],[in]]))</f>
        <v/>
      </c>
      <c r="AG597" s="1392" t="n"/>
      <c r="AH597" s="1392" t="n"/>
      <c r="AI597" s="1392" t="n"/>
      <c r="AJ597" s="1392" t="n"/>
      <c r="AK597" s="1392" t="n"/>
      <c r="AL597" s="1392" t="n"/>
      <c r="AM597" s="1392" t="n"/>
      <c r="AN597" s="1392" t="n"/>
      <c r="AO597" s="1392" t="n"/>
      <c r="AP597" s="1392" t="n"/>
      <c r="AQ597" s="1392" t="n"/>
      <c r="AR597" s="1392" t="n"/>
      <c r="AS597" s="1422" t="n"/>
      <c r="AT597" s="1392" t="n"/>
      <c r="AU597" s="1392" t="n"/>
      <c r="AV597" s="1392" t="n"/>
      <c r="AW597" s="1392" t="n"/>
      <c r="AX597" s="1392" t="n"/>
      <c r="AY597" s="1392" t="n"/>
      <c r="AZ597" s="1392" t="n"/>
      <c r="BA597" s="1392" t="n"/>
      <c r="BB597" s="1422" t="n"/>
      <c r="BC597" s="1392" t="n"/>
      <c r="BD597" s="1392" t="n"/>
      <c r="BE597" s="1392" t="n"/>
      <c r="BF597" s="1392" t="n"/>
      <c r="BG597" s="1392" t="n"/>
      <c r="BH597" s="1392" t="n"/>
      <c r="BI597" s="1392" t="n"/>
      <c r="BJ597" s="1392" t="n"/>
      <c r="BK597" s="1392" t="n"/>
      <c r="BL597" s="1392" t="n"/>
      <c r="BM597" s="1392" t="n"/>
      <c r="BN597" s="1392" t="n"/>
      <c r="BO597" s="1392" t="n"/>
      <c r="BP597" s="1392" t="n"/>
      <c r="BQ597" s="1392" t="n"/>
      <c r="BR597" s="1392" t="n"/>
      <c r="BS597" s="1392" t="n"/>
      <c r="BT597" s="1392" t="n"/>
      <c r="BU597" s="1416" t="n"/>
      <c r="BV597" s="1392" t="n"/>
      <c r="BW597" s="1392" t="n"/>
      <c r="BX597" s="1392" t="n"/>
      <c r="BY597" s="1392" t="n"/>
      <c r="BZ597" s="1416" t="n"/>
      <c r="CA597" s="1392" t="n"/>
      <c r="CB597" s="1392" t="n"/>
      <c r="CC597" s="1392" t="n"/>
      <c r="CD597" s="1392" t="n"/>
      <c r="CE597" s="1392" t="n"/>
      <c r="CF597" s="1392" t="n"/>
      <c r="CG597" s="1392" t="n"/>
      <c r="CH597" s="1392" t="n"/>
      <c r="CI597" s="1392" t="n"/>
      <c r="CJ597" s="1392" t="n"/>
      <c r="CK597" s="1392" t="n"/>
      <c r="CL597" s="1392" t="n"/>
    </row>
    <row r="598">
      <c r="A598" s="5" t="inlineStr">
        <is>
          <t>.</t>
        </is>
      </c>
      <c r="B598" s="5" t="inlineStr">
        <is>
          <t>.</t>
        </is>
      </c>
      <c r="C598" s="1378">
        <f>IF(raw[[#This Row],[city]]="","-",IF(raw[[#This Row],[city]]="TODAY","-",C597+1))</f>
        <v/>
      </c>
      <c r="D598" s="1393" t="inlineStr">
        <is>
          <t>Lisbon</t>
        </is>
      </c>
      <c r="E598" s="1394" t="n">
        <v>36320</v>
      </c>
      <c r="F598" s="1394" t="n">
        <v>36320</v>
      </c>
      <c r="G598" s="1393" t="n">
        <v>0.01</v>
      </c>
      <c r="H598" s="1393" t="inlineStr">
        <is>
          <t>Joao Pondé</t>
        </is>
      </c>
      <c r="I598" s="1393" t="inlineStr">
        <is>
          <t>-</t>
        </is>
      </c>
      <c r="J598" s="1393" t="inlineStr">
        <is>
          <t>-</t>
        </is>
      </c>
      <c r="K598" s="1395">
        <f>IF(raw[[#This Row],[city]]&lt;&gt;"",_xlfn.XLOOKUP($D598,ccc[city],ccc[prov],"-"),"-")</f>
        <v/>
      </c>
      <c r="L598" s="1395">
        <f>IF(raw[[#This Row],[city]]&lt;&gt;"",_xlfn.XLOOKUP($D598,ccc[city],ccc[ctry],"-"),"-")</f>
        <v/>
      </c>
      <c r="M598" s="1395">
        <f>IF(raw[[#This Row],[city]]&lt;&gt;"",_xlfn.XLOOKUP($D598,ccc[city],ccc[cont],"-"),"-")</f>
        <v/>
      </c>
      <c r="N598" s="1396">
        <f>IF(raw[[#This Row],[city]]="","-",IF(raw[[#This Row],[cont]]="B",raw[[#This Row],[cont]],"W"))</f>
        <v/>
      </c>
      <c r="O598" s="1397">
        <f>IF(raw[[#This Row],[out]]=0,0,IF(raw[[#This Row],[out]]=raw[[#This Row],[in]],0.01,raw[[#This Row],[out]]-raw[[#This Row],[in]]))</f>
        <v/>
      </c>
      <c r="P598" s="1397">
        <f>IF(raw[[#This Row],[in]]=0,0,MONTH(raw[[#This Row],[in]]))</f>
        <v/>
      </c>
      <c r="Q598" s="1397">
        <f>IF(raw[[#This Row],[in]]=0,0,YEAR(raw[[#This Row],[in]]))</f>
        <v/>
      </c>
      <c r="R598" s="1397">
        <f>INT(raw[[#This Row],[yr]]/10)*10</f>
        <v/>
      </c>
      <c r="S598" s="1395">
        <f>IF(raw[[#This Row],[city]]="","-",IF(raw[[#This Row],[city]]&lt;&gt;_xlfn.XLOOKUP(raw[[#This Row],[home]],homes[home],homes[city],"-"),1,0))</f>
        <v/>
      </c>
      <c r="T598" s="1398" t="inlineStr">
        <is>
          <t>.</t>
        </is>
      </c>
      <c r="U598" s="1399">
        <f>IF(raw[[#This Row],[wb]]="w",raw[[#This Row],[stay]]+U597,U597)</f>
        <v/>
      </c>
      <c r="V598" s="1400">
        <f>IF(raw[[#This Row],[out]]=0,V597,(raw[[#This Row],[out]]-E$5))</f>
        <v/>
      </c>
      <c r="W598" s="1401">
        <f>U598/V598</f>
        <v/>
      </c>
      <c r="X598" s="1378" t="inlineStr">
        <is>
          <t>.</t>
        </is>
      </c>
      <c r="Y598" s="1402">
        <f/>
        <v/>
      </c>
      <c r="Z598" s="1403">
        <f/>
        <v/>
      </c>
      <c r="AA598" s="1403">
        <f/>
        <v/>
      </c>
      <c r="AB598" s="1400">
        <f t="array" ref="AB598">_xlfn.LET(_xlpm.S,_xlfn.ANCHORARRAY($Y$4),_xlpm.r,ROWS(stayCity[[#Headers],[city]]:stayCity[[#This Row],[city]])-1,IF(_xlpm.r&lt;=ROWS(_xlpm.S),INDEX(_xlpm.S,_xlpm.r,1),""))</f>
        <v/>
      </c>
      <c r="AC598" s="1405">
        <f t="array" ref="AC598">_xlfn.LET(_xlpm.S,_xlfn.ANCHORARRAY($Y$4),_xlpm.r,ROWS(stayCity[[#Headers],[city]]:stayCity[[#This Row],[city]])-1,IF(_xlpm.r&lt;=ROWS(_xlpm.S),INDEX(_xlpm.S,_xlpm.r,2),""))</f>
        <v/>
      </c>
      <c r="AD598" s="1405">
        <f t="array" ref="AD598">_xlfn.LET(_xlpm.S,_xlfn.ANCHORARRAY($Y$4),_xlpm.r,ROWS(stayCity[[#Headers],[city]]:stayCity[[#This Row],[city]])-1,IF(_xlpm.r&lt;=ROWS(_xlpm.S),INDEX(_xlpm.S,_xlpm.r,3),""))</f>
        <v/>
      </c>
      <c r="AE598" s="1400">
        <f>IF(stayCity[[#This Row],[out]]&lt;&gt;"",stayCity[[#This Row],[out]]-stayCity[[#This Row],[in]],"-")</f>
        <v/>
      </c>
      <c r="AF598" s="1406">
        <f>IF(Y598="","-",YEAR(stayCity[[#This Row],[in]]))</f>
        <v/>
      </c>
      <c r="AG598" s="1392" t="n"/>
      <c r="AH598" s="1392" t="n"/>
      <c r="AI598" s="1392" t="n"/>
      <c r="AJ598" s="1392" t="n"/>
      <c r="AK598" s="1392" t="n"/>
      <c r="AL598" s="1392" t="n"/>
      <c r="AM598" s="1392" t="n"/>
      <c r="AN598" s="1392" t="n"/>
      <c r="AO598" s="1392" t="n"/>
      <c r="AP598" s="1392" t="n"/>
      <c r="AQ598" s="1392" t="n"/>
      <c r="AR598" s="1392" t="n"/>
      <c r="AS598" s="1422" t="n"/>
      <c r="AT598" s="1392" t="n"/>
      <c r="AU598" s="1392" t="n"/>
      <c r="AV598" s="1392" t="n"/>
      <c r="AW598" s="1392" t="n"/>
      <c r="AX598" s="1392" t="n"/>
      <c r="AY598" s="1392" t="n"/>
      <c r="AZ598" s="1392" t="n"/>
      <c r="BA598" s="1392" t="n"/>
      <c r="BB598" s="1422" t="n"/>
      <c r="BC598" s="1392" t="n"/>
      <c r="BD598" s="1392" t="n"/>
      <c r="BE598" s="1392" t="n"/>
      <c r="BF598" s="1392" t="n"/>
      <c r="BG598" s="1392" t="n"/>
      <c r="BH598" s="1392" t="n"/>
      <c r="BI598" s="1392" t="n"/>
      <c r="BJ598" s="1392" t="n"/>
      <c r="BK598" s="1392" t="n"/>
      <c r="BL598" s="1392" t="n"/>
      <c r="BM598" s="1392" t="n"/>
      <c r="BN598" s="1392" t="n"/>
      <c r="BO598" s="1392" t="n"/>
      <c r="BP598" s="1392" t="n"/>
      <c r="BQ598" s="1392" t="n"/>
      <c r="BR598" s="1392" t="n"/>
      <c r="BS598" s="1392" t="n"/>
      <c r="BT598" s="1392" t="n"/>
      <c r="BU598" s="1416" t="n"/>
      <c r="BV598" s="1392" t="n"/>
      <c r="BW598" s="1392" t="n"/>
      <c r="BX598" s="1392" t="n"/>
      <c r="BY598" s="1392" t="n"/>
      <c r="BZ598" s="1416" t="n"/>
      <c r="CA598" s="1392" t="n"/>
      <c r="CB598" s="1392" t="n"/>
      <c r="CC598" s="1392" t="n"/>
      <c r="CD598" s="1392" t="n"/>
      <c r="CE598" s="1392" t="n"/>
      <c r="CF598" s="1392" t="n"/>
      <c r="CG598" s="1392" t="n"/>
      <c r="CH598" s="1392" t="n"/>
      <c r="CI598" s="1392" t="n"/>
      <c r="CJ598" s="1392" t="n"/>
      <c r="CK598" s="1392" t="n"/>
      <c r="CL598" s="1392" t="n"/>
    </row>
    <row r="599">
      <c r="A599" s="5" t="inlineStr">
        <is>
          <t>.</t>
        </is>
      </c>
      <c r="B599" s="5" t="inlineStr">
        <is>
          <t>.</t>
        </is>
      </c>
      <c r="C599" s="1378">
        <f>IF(raw[[#This Row],[city]]="","-",IF(raw[[#This Row],[city]]="TODAY","-",C598+1))</f>
        <v/>
      </c>
      <c r="D599" s="1393" t="inlineStr">
        <is>
          <t>SSA</t>
        </is>
      </c>
      <c r="E599" s="1394" t="n">
        <v>36320</v>
      </c>
      <c r="F599" s="1394" t="n">
        <v>36321</v>
      </c>
      <c r="G599" s="1393" t="inlineStr">
        <is>
          <t>-</t>
        </is>
      </c>
      <c r="H599" s="1393" t="inlineStr">
        <is>
          <t>Joao Pondé</t>
        </is>
      </c>
      <c r="I599" s="1393" t="inlineStr">
        <is>
          <t>-</t>
        </is>
      </c>
      <c r="J599" s="1393" t="inlineStr">
        <is>
          <t>-</t>
        </is>
      </c>
      <c r="K599" s="1395">
        <f>IF(raw[[#This Row],[city]]&lt;&gt;"",_xlfn.XLOOKUP($D599,ccc[city],ccc[prov],"-"),"-")</f>
        <v/>
      </c>
      <c r="L599" s="1395">
        <f>IF(raw[[#This Row],[city]]&lt;&gt;"",_xlfn.XLOOKUP($D599,ccc[city],ccc[ctry],"-"),"-")</f>
        <v/>
      </c>
      <c r="M599" s="1395">
        <f>IF(raw[[#This Row],[city]]&lt;&gt;"",_xlfn.XLOOKUP($D599,ccc[city],ccc[cont],"-"),"-")</f>
        <v/>
      </c>
      <c r="N599" s="1396">
        <f>IF(raw[[#This Row],[city]]="","-",IF(raw[[#This Row],[cont]]="B",raw[[#This Row],[cont]],"W"))</f>
        <v/>
      </c>
      <c r="O599" s="1397">
        <f>IF(raw[[#This Row],[out]]=0,0,IF(raw[[#This Row],[out]]=raw[[#This Row],[in]],0.01,raw[[#This Row],[out]]-raw[[#This Row],[in]]))</f>
        <v/>
      </c>
      <c r="P599" s="1397">
        <f>IF(raw[[#This Row],[in]]=0,0,MONTH(raw[[#This Row],[in]]))</f>
        <v/>
      </c>
      <c r="Q599" s="1397">
        <f>IF(raw[[#This Row],[in]]=0,0,YEAR(raw[[#This Row],[in]]))</f>
        <v/>
      </c>
      <c r="R599" s="1397">
        <f>INT(raw[[#This Row],[yr]]/10)*10</f>
        <v/>
      </c>
      <c r="S599" s="1395">
        <f>IF(raw[[#This Row],[city]]="","-",IF(raw[[#This Row],[city]]&lt;&gt;_xlfn.XLOOKUP(raw[[#This Row],[home]],homes[home],homes[city],"-"),1,0))</f>
        <v/>
      </c>
      <c r="T599" s="1398" t="inlineStr">
        <is>
          <t>.</t>
        </is>
      </c>
      <c r="U599" s="1399">
        <f>IF(raw[[#This Row],[wb]]="w",raw[[#This Row],[stay]]+U598,U598)</f>
        <v/>
      </c>
      <c r="V599" s="1400">
        <f>IF(raw[[#This Row],[out]]=0,V598,(raw[[#This Row],[out]]-E$5))</f>
        <v/>
      </c>
      <c r="W599" s="1401">
        <f>U599/V599</f>
        <v/>
      </c>
      <c r="X599" s="1378" t="inlineStr">
        <is>
          <t>.</t>
        </is>
      </c>
      <c r="Y599" s="1402">
        <f/>
        <v/>
      </c>
      <c r="Z599" s="1403">
        <f/>
        <v/>
      </c>
      <c r="AA599" s="1403">
        <f/>
        <v/>
      </c>
      <c r="AB599" s="1400">
        <f t="array" ref="AB599">_xlfn.LET(_xlpm.S,_xlfn.ANCHORARRAY($Y$4),_xlpm.r,ROWS(stayCity[[#Headers],[city]]:stayCity[[#This Row],[city]])-1,IF(_xlpm.r&lt;=ROWS(_xlpm.S),INDEX(_xlpm.S,_xlpm.r,1),""))</f>
        <v/>
      </c>
      <c r="AC599" s="1405">
        <f t="array" ref="AC599">_xlfn.LET(_xlpm.S,_xlfn.ANCHORARRAY($Y$4),_xlpm.r,ROWS(stayCity[[#Headers],[city]]:stayCity[[#This Row],[city]])-1,IF(_xlpm.r&lt;=ROWS(_xlpm.S),INDEX(_xlpm.S,_xlpm.r,2),""))</f>
        <v/>
      </c>
      <c r="AD599" s="1405">
        <f t="array" ref="AD599">_xlfn.LET(_xlpm.S,_xlfn.ANCHORARRAY($Y$4),_xlpm.r,ROWS(stayCity[[#Headers],[city]]:stayCity[[#This Row],[city]])-1,IF(_xlpm.r&lt;=ROWS(_xlpm.S),INDEX(_xlpm.S,_xlpm.r,3),""))</f>
        <v/>
      </c>
      <c r="AE599" s="1400">
        <f>IF(stayCity[[#This Row],[out]]&lt;&gt;"",stayCity[[#This Row],[out]]-stayCity[[#This Row],[in]],"-")</f>
        <v/>
      </c>
      <c r="AF599" s="1406">
        <f>IF(Y599="","-",YEAR(stayCity[[#This Row],[in]]))</f>
        <v/>
      </c>
      <c r="AG599" s="1392" t="n"/>
      <c r="AH599" s="1392" t="n"/>
      <c r="AI599" s="1392" t="n"/>
      <c r="AJ599" s="1392" t="n"/>
      <c r="AK599" s="1392" t="n"/>
      <c r="AL599" s="1392" t="n"/>
      <c r="AM599" s="1392" t="n"/>
      <c r="AN599" s="1392" t="n"/>
      <c r="AO599" s="1392" t="n"/>
      <c r="AP599" s="1392" t="n"/>
      <c r="AQ599" s="1392" t="n"/>
      <c r="AR599" s="1392" t="n"/>
      <c r="AS599" s="1422" t="n"/>
      <c r="AT599" s="1392" t="n"/>
      <c r="AU599" s="1392" t="n"/>
      <c r="AV599" s="1392" t="n"/>
      <c r="AW599" s="1392" t="n"/>
      <c r="AX599" s="1392" t="n"/>
      <c r="AY599" s="1392" t="n"/>
      <c r="AZ599" s="1392" t="n"/>
      <c r="BA599" s="1392" t="n"/>
      <c r="BB599" s="1422" t="n"/>
      <c r="BC599" s="1392" t="n"/>
      <c r="BD599" s="1392" t="n"/>
      <c r="BE599" s="1392" t="n"/>
      <c r="BF599" s="1392" t="n"/>
      <c r="BG599" s="1392" t="n"/>
      <c r="BH599" s="1392" t="n"/>
      <c r="BI599" s="1392" t="n"/>
      <c r="BJ599" s="1392" t="n"/>
      <c r="BK599" s="1392" t="n"/>
      <c r="BL599" s="1392" t="n"/>
      <c r="BM599" s="1392" t="n"/>
      <c r="BN599" s="1392" t="n"/>
      <c r="BO599" s="1392" t="n"/>
      <c r="BP599" s="1392" t="n"/>
      <c r="BQ599" s="1392" t="n"/>
      <c r="BR599" s="1392" t="n"/>
      <c r="BS599" s="1392" t="n"/>
      <c r="BT599" s="1392" t="n"/>
      <c r="BU599" s="1416" t="n"/>
      <c r="BV599" s="1392" t="n"/>
      <c r="BW599" s="1392" t="n"/>
      <c r="BX599" s="1392" t="n"/>
      <c r="BY599" s="1392" t="n"/>
      <c r="BZ599" s="1416" t="n"/>
      <c r="CA599" s="1392" t="n"/>
      <c r="CB599" s="1392" t="n"/>
      <c r="CC599" s="1392" t="n"/>
      <c r="CD599" s="1392" t="n"/>
      <c r="CE599" s="1392" t="n"/>
      <c r="CF599" s="1392" t="n"/>
      <c r="CG599" s="1392" t="n"/>
      <c r="CH599" s="1392" t="n"/>
      <c r="CI599" s="1392" t="n"/>
      <c r="CJ599" s="1392" t="n"/>
      <c r="CK599" s="1392" t="n"/>
      <c r="CL599" s="1392" t="n"/>
    </row>
    <row r="600">
      <c r="A600" s="5" t="inlineStr">
        <is>
          <t>.</t>
        </is>
      </c>
      <c r="B600" s="5" t="inlineStr">
        <is>
          <t>.</t>
        </is>
      </c>
      <c r="C600" s="1378">
        <f>IF(raw[[#This Row],[city]]="","-",IF(raw[[#This Row],[city]]="TODAY","-",C599+1))</f>
        <v/>
      </c>
      <c r="D600" s="1393" t="inlineStr">
        <is>
          <t>Morro de SP</t>
        </is>
      </c>
      <c r="E600" s="1394" t="n">
        <v>36321</v>
      </c>
      <c r="F600" s="1394" t="n">
        <v>36324</v>
      </c>
      <c r="G600" s="1393" t="inlineStr">
        <is>
          <t>-</t>
        </is>
      </c>
      <c r="H600" s="1393" t="inlineStr">
        <is>
          <t>Joao Pondé</t>
        </is>
      </c>
      <c r="I600" s="1393" t="inlineStr">
        <is>
          <t>-</t>
        </is>
      </c>
      <c r="J600" s="1393" t="inlineStr">
        <is>
          <t>-</t>
        </is>
      </c>
      <c r="K600" s="1395">
        <f>IF(raw[[#This Row],[city]]&lt;&gt;"",_xlfn.XLOOKUP($D600,ccc[city],ccc[prov],"-"),"-")</f>
        <v/>
      </c>
      <c r="L600" s="1395">
        <f>IF(raw[[#This Row],[city]]&lt;&gt;"",_xlfn.XLOOKUP($D600,ccc[city],ccc[ctry],"-"),"-")</f>
        <v/>
      </c>
      <c r="M600" s="1395">
        <f>IF(raw[[#This Row],[city]]&lt;&gt;"",_xlfn.XLOOKUP($D600,ccc[city],ccc[cont],"-"),"-")</f>
        <v/>
      </c>
      <c r="N600" s="1396">
        <f>IF(raw[[#This Row],[city]]="","-",IF(raw[[#This Row],[cont]]="B",raw[[#This Row],[cont]],"W"))</f>
        <v/>
      </c>
      <c r="O600" s="1397">
        <f>IF(raw[[#This Row],[out]]=0,0,IF(raw[[#This Row],[out]]=raw[[#This Row],[in]],0.01,raw[[#This Row],[out]]-raw[[#This Row],[in]]))</f>
        <v/>
      </c>
      <c r="P600" s="1397">
        <f>IF(raw[[#This Row],[in]]=0,0,MONTH(raw[[#This Row],[in]]))</f>
        <v/>
      </c>
      <c r="Q600" s="1397">
        <f>IF(raw[[#This Row],[in]]=0,0,YEAR(raw[[#This Row],[in]]))</f>
        <v/>
      </c>
      <c r="R600" s="1397">
        <f>INT(raw[[#This Row],[yr]]/10)*10</f>
        <v/>
      </c>
      <c r="S600" s="1395">
        <f>IF(raw[[#This Row],[city]]="","-",IF(raw[[#This Row],[city]]&lt;&gt;_xlfn.XLOOKUP(raw[[#This Row],[home]],homes[home],homes[city],"-"),1,0))</f>
        <v/>
      </c>
      <c r="T600" s="1398" t="inlineStr">
        <is>
          <t>.</t>
        </is>
      </c>
      <c r="U600" s="1399">
        <f>IF(raw[[#This Row],[wb]]="w",raw[[#This Row],[stay]]+U599,U599)</f>
        <v/>
      </c>
      <c r="V600" s="1400">
        <f>IF(raw[[#This Row],[out]]=0,V599,(raw[[#This Row],[out]]-E$5))</f>
        <v/>
      </c>
      <c r="W600" s="1401">
        <f>U600/V600</f>
        <v/>
      </c>
      <c r="X600" s="1378" t="inlineStr">
        <is>
          <t>.</t>
        </is>
      </c>
      <c r="Y600" s="1402">
        <f/>
        <v/>
      </c>
      <c r="Z600" s="1403">
        <f/>
        <v/>
      </c>
      <c r="AA600" s="1403">
        <f/>
        <v/>
      </c>
      <c r="AB600" s="1400">
        <f t="array" ref="AB600">_xlfn.LET(_xlpm.S,_xlfn.ANCHORARRAY($Y$4),_xlpm.r,ROWS(stayCity[[#Headers],[city]]:stayCity[[#This Row],[city]])-1,IF(_xlpm.r&lt;=ROWS(_xlpm.S),INDEX(_xlpm.S,_xlpm.r,1),""))</f>
        <v/>
      </c>
      <c r="AC600" s="1405">
        <f t="array" ref="AC600">_xlfn.LET(_xlpm.S,_xlfn.ANCHORARRAY($Y$4),_xlpm.r,ROWS(stayCity[[#Headers],[city]]:stayCity[[#This Row],[city]])-1,IF(_xlpm.r&lt;=ROWS(_xlpm.S),INDEX(_xlpm.S,_xlpm.r,2),""))</f>
        <v/>
      </c>
      <c r="AD600" s="1405">
        <f t="array" ref="AD600">_xlfn.LET(_xlpm.S,_xlfn.ANCHORARRAY($Y$4),_xlpm.r,ROWS(stayCity[[#Headers],[city]]:stayCity[[#This Row],[city]])-1,IF(_xlpm.r&lt;=ROWS(_xlpm.S),INDEX(_xlpm.S,_xlpm.r,3),""))</f>
        <v/>
      </c>
      <c r="AE600" s="1400">
        <f>IF(stayCity[[#This Row],[out]]&lt;&gt;"",stayCity[[#This Row],[out]]-stayCity[[#This Row],[in]],"-")</f>
        <v/>
      </c>
      <c r="AF600" s="1406">
        <f>IF(Y600="","-",YEAR(stayCity[[#This Row],[in]]))</f>
        <v/>
      </c>
      <c r="AG600" s="1392" t="n"/>
      <c r="AH600" s="1392" t="n"/>
      <c r="AI600" s="1392" t="n"/>
      <c r="AJ600" s="1392" t="n"/>
      <c r="AK600" s="1392" t="n"/>
      <c r="AL600" s="1392" t="n"/>
      <c r="AM600" s="1392" t="n"/>
      <c r="AN600" s="1392" t="n"/>
      <c r="AO600" s="1392" t="n"/>
      <c r="AP600" s="1392" t="n"/>
      <c r="AQ600" s="1392" t="n"/>
      <c r="AR600" s="1392" t="n"/>
      <c r="AS600" s="1422" t="n"/>
      <c r="AT600" s="1392" t="n"/>
      <c r="AU600" s="1392" t="n"/>
      <c r="AV600" s="1392" t="n"/>
      <c r="AW600" s="1392" t="n"/>
      <c r="AX600" s="1392" t="n"/>
      <c r="AY600" s="1392" t="n"/>
      <c r="AZ600" s="1392" t="n"/>
      <c r="BA600" s="1392" t="n"/>
      <c r="BB600" s="1422" t="n"/>
      <c r="BC600" s="1392" t="n"/>
      <c r="BD600" s="1392" t="n"/>
      <c r="BE600" s="1392" t="n"/>
      <c r="BF600" s="1392" t="n"/>
      <c r="BG600" s="1392" t="n"/>
      <c r="BH600" s="1392" t="n"/>
      <c r="BI600" s="1392" t="n"/>
      <c r="BJ600" s="1392" t="n"/>
      <c r="BK600" s="1392" t="n"/>
      <c r="BL600" s="1392" t="n"/>
      <c r="BM600" s="1392" t="n"/>
      <c r="BN600" s="1392" t="n"/>
      <c r="BO600" s="1392" t="n"/>
      <c r="BP600" s="1392" t="n"/>
      <c r="BQ600" s="1392" t="n"/>
      <c r="BR600" s="1392" t="n"/>
      <c r="BS600" s="1392" t="n"/>
      <c r="BT600" s="1392" t="n"/>
      <c r="BU600" s="1416" t="n"/>
      <c r="BV600" s="1392" t="n"/>
      <c r="BW600" s="1392" t="n"/>
      <c r="BX600" s="1392" t="n"/>
      <c r="BY600" s="1392" t="n"/>
      <c r="BZ600" s="1416" t="n"/>
      <c r="CA600" s="1392" t="n"/>
      <c r="CB600" s="1392" t="n"/>
      <c r="CC600" s="1392" t="n"/>
      <c r="CD600" s="1392" t="n"/>
      <c r="CE600" s="1392" t="n"/>
      <c r="CF600" s="1392" t="n"/>
      <c r="CG600" s="1392" t="n"/>
      <c r="CH600" s="1392" t="n"/>
      <c r="CI600" s="1392" t="n"/>
      <c r="CJ600" s="1392" t="n"/>
      <c r="CK600" s="1392" t="n"/>
      <c r="CL600" s="1392" t="n"/>
    </row>
    <row r="601">
      <c r="A601" s="5" t="inlineStr">
        <is>
          <t>.</t>
        </is>
      </c>
      <c r="B601" s="5" t="inlineStr">
        <is>
          <t>.</t>
        </is>
      </c>
      <c r="C601" s="1378">
        <f>IF(raw[[#This Row],[city]]="","-",IF(raw[[#This Row],[city]]="TODAY","-",C600+1))</f>
        <v/>
      </c>
      <c r="D601" s="1393" t="inlineStr">
        <is>
          <t>SSA</t>
        </is>
      </c>
      <c r="E601" s="1394" t="n">
        <v>36324</v>
      </c>
      <c r="F601" s="1394" t="n">
        <v>36342</v>
      </c>
      <c r="G601" s="1393" t="inlineStr">
        <is>
          <t>-</t>
        </is>
      </c>
      <c r="H601" s="1393" t="inlineStr">
        <is>
          <t>Joao Pondé</t>
        </is>
      </c>
      <c r="I601" s="1393" t="inlineStr">
        <is>
          <t>-</t>
        </is>
      </c>
      <c r="J601" s="1393" t="inlineStr">
        <is>
          <t>-</t>
        </is>
      </c>
      <c r="K601" s="1395">
        <f>IF(raw[[#This Row],[city]]&lt;&gt;"",_xlfn.XLOOKUP($D601,ccc[city],ccc[prov],"-"),"-")</f>
        <v/>
      </c>
      <c r="L601" s="1395">
        <f>IF(raw[[#This Row],[city]]&lt;&gt;"",_xlfn.XLOOKUP($D601,ccc[city],ccc[ctry],"-"),"-")</f>
        <v/>
      </c>
      <c r="M601" s="1395">
        <f>IF(raw[[#This Row],[city]]&lt;&gt;"",_xlfn.XLOOKUP($D601,ccc[city],ccc[cont],"-"),"-")</f>
        <v/>
      </c>
      <c r="N601" s="1396">
        <f>IF(raw[[#This Row],[city]]="","-",IF(raw[[#This Row],[cont]]="B",raw[[#This Row],[cont]],"W"))</f>
        <v/>
      </c>
      <c r="O601" s="1397">
        <f>IF(raw[[#This Row],[out]]=0,0,IF(raw[[#This Row],[out]]=raw[[#This Row],[in]],0.01,raw[[#This Row],[out]]-raw[[#This Row],[in]]))</f>
        <v/>
      </c>
      <c r="P601" s="1397">
        <f>IF(raw[[#This Row],[in]]=0,0,MONTH(raw[[#This Row],[in]]))</f>
        <v/>
      </c>
      <c r="Q601" s="1397">
        <f>IF(raw[[#This Row],[in]]=0,0,YEAR(raw[[#This Row],[in]]))</f>
        <v/>
      </c>
      <c r="R601" s="1397">
        <f>INT(raw[[#This Row],[yr]]/10)*10</f>
        <v/>
      </c>
      <c r="S601" s="1395">
        <f>IF(raw[[#This Row],[city]]="","-",IF(raw[[#This Row],[city]]&lt;&gt;_xlfn.XLOOKUP(raw[[#This Row],[home]],homes[home],homes[city],"-"),1,0))</f>
        <v/>
      </c>
      <c r="T601" s="1398" t="inlineStr">
        <is>
          <t>.</t>
        </is>
      </c>
      <c r="U601" s="1399">
        <f>IF(raw[[#This Row],[wb]]="w",raw[[#This Row],[stay]]+U600,U600)</f>
        <v/>
      </c>
      <c r="V601" s="1400">
        <f>IF(raw[[#This Row],[out]]=0,V600,(raw[[#This Row],[out]]-E$5))</f>
        <v/>
      </c>
      <c r="W601" s="1401">
        <f>U601/V601</f>
        <v/>
      </c>
      <c r="X601" s="1378" t="inlineStr">
        <is>
          <t>.</t>
        </is>
      </c>
      <c r="Y601" s="1402">
        <f/>
        <v/>
      </c>
      <c r="Z601" s="1403">
        <f/>
        <v/>
      </c>
      <c r="AA601" s="1403">
        <f/>
        <v/>
      </c>
      <c r="AB601" s="1400">
        <f t="array" ref="AB601">_xlfn.LET(_xlpm.S,_xlfn.ANCHORARRAY($Y$4),_xlpm.r,ROWS(stayCity[[#Headers],[city]]:stayCity[[#This Row],[city]])-1,IF(_xlpm.r&lt;=ROWS(_xlpm.S),INDEX(_xlpm.S,_xlpm.r,1),""))</f>
        <v/>
      </c>
      <c r="AC601" s="1405">
        <f t="array" ref="AC601">_xlfn.LET(_xlpm.S,_xlfn.ANCHORARRAY($Y$4),_xlpm.r,ROWS(stayCity[[#Headers],[city]]:stayCity[[#This Row],[city]])-1,IF(_xlpm.r&lt;=ROWS(_xlpm.S),INDEX(_xlpm.S,_xlpm.r,2),""))</f>
        <v/>
      </c>
      <c r="AD601" s="1405">
        <f t="array" ref="AD601">_xlfn.LET(_xlpm.S,_xlfn.ANCHORARRAY($Y$4),_xlpm.r,ROWS(stayCity[[#Headers],[city]]:stayCity[[#This Row],[city]])-1,IF(_xlpm.r&lt;=ROWS(_xlpm.S),INDEX(_xlpm.S,_xlpm.r,3),""))</f>
        <v/>
      </c>
      <c r="AE601" s="1400">
        <f>IF(stayCity[[#This Row],[out]]&lt;&gt;"",stayCity[[#This Row],[out]]-stayCity[[#This Row],[in]],"-")</f>
        <v/>
      </c>
      <c r="AF601" s="1406">
        <f>IF(Y601="","-",YEAR(stayCity[[#This Row],[in]]))</f>
        <v/>
      </c>
      <c r="AG601" s="1392" t="n"/>
      <c r="AH601" s="1392" t="n"/>
      <c r="AI601" s="1392" t="n"/>
      <c r="AJ601" s="1392" t="n"/>
      <c r="AK601" s="1392" t="n"/>
      <c r="AL601" s="1392" t="n"/>
      <c r="AM601" s="1392" t="n"/>
      <c r="AN601" s="1392" t="n"/>
      <c r="AO601" s="1392" t="n"/>
      <c r="AP601" s="1392" t="n"/>
      <c r="AQ601" s="1392" t="n"/>
      <c r="AR601" s="1392" t="n"/>
      <c r="AS601" s="1422" t="n"/>
      <c r="AT601" s="1392" t="n"/>
      <c r="AU601" s="1392" t="n"/>
      <c r="AV601" s="1392" t="n"/>
      <c r="AW601" s="1392" t="n"/>
      <c r="AX601" s="1392" t="n"/>
      <c r="AY601" s="1392" t="n"/>
      <c r="AZ601" s="1392" t="n"/>
      <c r="BA601" s="1392" t="n"/>
      <c r="BB601" s="1422" t="n"/>
      <c r="BC601" s="1392" t="n"/>
      <c r="BD601" s="1392" t="n"/>
      <c r="BE601" s="1392" t="n"/>
      <c r="BF601" s="1392" t="n"/>
      <c r="BG601" s="1392" t="n"/>
      <c r="BH601" s="1392" t="n"/>
      <c r="BI601" s="1392" t="n"/>
      <c r="BJ601" s="1392" t="n"/>
      <c r="BK601" s="1392" t="n"/>
      <c r="BL601" s="1392" t="n"/>
      <c r="BM601" s="1392" t="n"/>
      <c r="BN601" s="1392" t="n"/>
      <c r="BO601" s="1392" t="n"/>
      <c r="BP601" s="1392" t="n"/>
      <c r="BQ601" s="1392" t="n"/>
      <c r="BR601" s="1392" t="n"/>
      <c r="BS601" s="1392" t="n"/>
      <c r="BT601" s="1392" t="n"/>
      <c r="BU601" s="1416" t="n"/>
      <c r="BV601" s="1392" t="n"/>
      <c r="BW601" s="1392" t="n"/>
      <c r="BX601" s="1392" t="n"/>
      <c r="BY601" s="1392" t="n"/>
      <c r="BZ601" s="1416" t="n"/>
      <c r="CA601" s="1392" t="n"/>
      <c r="CB601" s="1392" t="n"/>
      <c r="CC601" s="1392" t="n"/>
      <c r="CD601" s="1392" t="n"/>
      <c r="CE601" s="1392" t="n"/>
      <c r="CF601" s="1392" t="n"/>
      <c r="CG601" s="1392" t="n"/>
      <c r="CH601" s="1392" t="n"/>
      <c r="CI601" s="1392" t="n"/>
      <c r="CJ601" s="1392" t="n"/>
      <c r="CK601" s="1392" t="n"/>
      <c r="CL601" s="1392" t="n"/>
    </row>
    <row r="602">
      <c r="A602" s="5" t="inlineStr">
        <is>
          <t>.</t>
        </is>
      </c>
      <c r="B602" s="5" t="inlineStr">
        <is>
          <t>.</t>
        </is>
      </c>
      <c r="C602" s="1378">
        <f>IF(raw[[#This Row],[city]]="","-",IF(raw[[#This Row],[city]]="TODAY","-",C601+1))</f>
        <v/>
      </c>
      <c r="D602" s="1393" t="inlineStr">
        <is>
          <t>SSA</t>
        </is>
      </c>
      <c r="E602" s="1394" t="n">
        <v>36342</v>
      </c>
      <c r="F602" s="1394" t="n">
        <v>36373</v>
      </c>
      <c r="G602" s="1393" t="inlineStr">
        <is>
          <t>-</t>
        </is>
      </c>
      <c r="H602" s="1393" t="inlineStr">
        <is>
          <t>Joao Pondé</t>
        </is>
      </c>
      <c r="I602" s="1393" t="inlineStr">
        <is>
          <t>-</t>
        </is>
      </c>
      <c r="J602" s="1393" t="inlineStr">
        <is>
          <t>-</t>
        </is>
      </c>
      <c r="K602" s="1395">
        <f>IF(raw[[#This Row],[city]]&lt;&gt;"",_xlfn.XLOOKUP($D602,ccc[city],ccc[prov],"-"),"-")</f>
        <v/>
      </c>
      <c r="L602" s="1395">
        <f>IF(raw[[#This Row],[city]]&lt;&gt;"",_xlfn.XLOOKUP($D602,ccc[city],ccc[ctry],"-"),"-")</f>
        <v/>
      </c>
      <c r="M602" s="1395">
        <f>IF(raw[[#This Row],[city]]&lt;&gt;"",_xlfn.XLOOKUP($D602,ccc[city],ccc[cont],"-"),"-")</f>
        <v/>
      </c>
      <c r="N602" s="1396">
        <f>IF(raw[[#This Row],[city]]="","-",IF(raw[[#This Row],[cont]]="B",raw[[#This Row],[cont]],"W"))</f>
        <v/>
      </c>
      <c r="O602" s="1397">
        <f>IF(raw[[#This Row],[out]]=0,0,IF(raw[[#This Row],[out]]=raw[[#This Row],[in]],0.01,raw[[#This Row],[out]]-raw[[#This Row],[in]]))</f>
        <v/>
      </c>
      <c r="P602" s="1397">
        <f>IF(raw[[#This Row],[in]]=0,0,MONTH(raw[[#This Row],[in]]))</f>
        <v/>
      </c>
      <c r="Q602" s="1397">
        <f>IF(raw[[#This Row],[in]]=0,0,YEAR(raw[[#This Row],[in]]))</f>
        <v/>
      </c>
      <c r="R602" s="1397">
        <f>INT(raw[[#This Row],[yr]]/10)*10</f>
        <v/>
      </c>
      <c r="S602" s="1395">
        <f>IF(raw[[#This Row],[city]]="","-",IF(raw[[#This Row],[city]]&lt;&gt;_xlfn.XLOOKUP(raw[[#This Row],[home]],homes[home],homes[city],"-"),1,0))</f>
        <v/>
      </c>
      <c r="T602" s="1398" t="inlineStr">
        <is>
          <t>.</t>
        </is>
      </c>
      <c r="U602" s="1399">
        <f>IF(raw[[#This Row],[wb]]="w",raw[[#This Row],[stay]]+U601,U601)</f>
        <v/>
      </c>
      <c r="V602" s="1400">
        <f>IF(raw[[#This Row],[out]]=0,V601,(raw[[#This Row],[out]]-E$5))</f>
        <v/>
      </c>
      <c r="W602" s="1401">
        <f>U602/V602</f>
        <v/>
      </c>
      <c r="X602" s="1378" t="inlineStr">
        <is>
          <t>.</t>
        </is>
      </c>
      <c r="Y602" s="1402">
        <f/>
        <v/>
      </c>
      <c r="Z602" s="1403">
        <f/>
        <v/>
      </c>
      <c r="AA602" s="1403">
        <f/>
        <v/>
      </c>
      <c r="AB602" s="1400">
        <f t="array" ref="AB602">_xlfn.LET(_xlpm.S,_xlfn.ANCHORARRAY($Y$4),_xlpm.r,ROWS(stayCity[[#Headers],[city]]:stayCity[[#This Row],[city]])-1,IF(_xlpm.r&lt;=ROWS(_xlpm.S),INDEX(_xlpm.S,_xlpm.r,1),""))</f>
        <v/>
      </c>
      <c r="AC602" s="1405">
        <f t="array" ref="AC602">_xlfn.LET(_xlpm.S,_xlfn.ANCHORARRAY($Y$4),_xlpm.r,ROWS(stayCity[[#Headers],[city]]:stayCity[[#This Row],[city]])-1,IF(_xlpm.r&lt;=ROWS(_xlpm.S),INDEX(_xlpm.S,_xlpm.r,2),""))</f>
        <v/>
      </c>
      <c r="AD602" s="1405">
        <f t="array" ref="AD602">_xlfn.LET(_xlpm.S,_xlfn.ANCHORARRAY($Y$4),_xlpm.r,ROWS(stayCity[[#Headers],[city]]:stayCity[[#This Row],[city]])-1,IF(_xlpm.r&lt;=ROWS(_xlpm.S),INDEX(_xlpm.S,_xlpm.r,3),""))</f>
        <v/>
      </c>
      <c r="AE602" s="1400">
        <f>IF(stayCity[[#This Row],[out]]&lt;&gt;"",stayCity[[#This Row],[out]]-stayCity[[#This Row],[in]],"-")</f>
        <v/>
      </c>
      <c r="AF602" s="1406">
        <f>IF(Y602="","-",YEAR(stayCity[[#This Row],[in]]))</f>
        <v/>
      </c>
      <c r="AG602" s="1392" t="n"/>
      <c r="AH602" s="1392" t="n"/>
      <c r="AI602" s="1392" t="n"/>
      <c r="AJ602" s="1392" t="n"/>
      <c r="AK602" s="1392" t="n"/>
      <c r="AL602" s="1392" t="n"/>
      <c r="AM602" s="1392" t="n"/>
      <c r="AN602" s="1392" t="n"/>
      <c r="AO602" s="1392" t="n"/>
      <c r="AP602" s="1392" t="n"/>
      <c r="AQ602" s="1392" t="n"/>
      <c r="AR602" s="1392" t="n"/>
      <c r="AS602" s="1422" t="n"/>
      <c r="AT602" s="1392" t="n"/>
      <c r="AU602" s="1392" t="n"/>
      <c r="AV602" s="1392" t="n"/>
      <c r="AW602" s="1392" t="n"/>
      <c r="AX602" s="1392" t="n"/>
      <c r="AY602" s="1392" t="n"/>
      <c r="AZ602" s="1392" t="n"/>
      <c r="BA602" s="1392" t="n"/>
      <c r="BB602" s="1422" t="n"/>
      <c r="BC602" s="1392" t="n"/>
      <c r="BD602" s="1392" t="n"/>
      <c r="BE602" s="1392" t="n"/>
      <c r="BF602" s="1392" t="n"/>
      <c r="BG602" s="1392" t="n"/>
      <c r="BH602" s="1392" t="n"/>
      <c r="BI602" s="1392" t="n"/>
      <c r="BJ602" s="1392" t="n"/>
      <c r="BK602" s="1392" t="n"/>
      <c r="BL602" s="1392" t="n"/>
      <c r="BM602" s="1392" t="n"/>
      <c r="BN602" s="1392" t="n"/>
      <c r="BO602" s="1392" t="n"/>
      <c r="BP602" s="1392" t="n"/>
      <c r="BQ602" s="1392" t="n"/>
      <c r="BR602" s="1392" t="n"/>
      <c r="BS602" s="1392" t="n"/>
      <c r="BT602" s="1392" t="n"/>
      <c r="BU602" s="1416" t="n"/>
      <c r="BV602" s="1392" t="n"/>
      <c r="BW602" s="1392" t="n"/>
      <c r="BX602" s="1392" t="n"/>
      <c r="BY602" s="1392" t="n"/>
      <c r="BZ602" s="1416" t="n"/>
      <c r="CA602" s="1392" t="n"/>
      <c r="CB602" s="1392" t="n"/>
      <c r="CC602" s="1392" t="n"/>
      <c r="CD602" s="1392" t="n"/>
      <c r="CE602" s="1392" t="n"/>
      <c r="CF602" s="1392" t="n"/>
      <c r="CG602" s="1392" t="n"/>
      <c r="CH602" s="1392" t="n"/>
      <c r="CI602" s="1392" t="n"/>
      <c r="CJ602" s="1392" t="n"/>
      <c r="CK602" s="1392" t="n"/>
      <c r="CL602" s="1392" t="n"/>
    </row>
    <row r="603">
      <c r="A603" s="5" t="inlineStr">
        <is>
          <t>.</t>
        </is>
      </c>
      <c r="B603" s="5" t="inlineStr">
        <is>
          <t>.</t>
        </is>
      </c>
      <c r="C603" s="1378">
        <f>IF(raw[[#This Row],[city]]="","-",IF(raw[[#This Row],[city]]="TODAY","-",C602+1))</f>
        <v/>
      </c>
      <c r="D603" s="1393" t="inlineStr">
        <is>
          <t>SSA</t>
        </is>
      </c>
      <c r="E603" s="1394" t="n">
        <v>36373</v>
      </c>
      <c r="F603" s="1394" t="n">
        <v>36404</v>
      </c>
      <c r="G603" s="1393" t="inlineStr">
        <is>
          <t>-</t>
        </is>
      </c>
      <c r="H603" s="1393" t="inlineStr">
        <is>
          <t>Joao Pondé</t>
        </is>
      </c>
      <c r="I603" s="1393" t="inlineStr">
        <is>
          <t>-</t>
        </is>
      </c>
      <c r="J603" s="1393" t="inlineStr">
        <is>
          <t>BDAY</t>
        </is>
      </c>
      <c r="K603" s="1395">
        <f>IF(raw[[#This Row],[city]]&lt;&gt;"",_xlfn.XLOOKUP($D603,ccc[city],ccc[prov],"-"),"-")</f>
        <v/>
      </c>
      <c r="L603" s="1395">
        <f>IF(raw[[#This Row],[city]]&lt;&gt;"",_xlfn.XLOOKUP($D603,ccc[city],ccc[ctry],"-"),"-")</f>
        <v/>
      </c>
      <c r="M603" s="1395">
        <f>IF(raw[[#This Row],[city]]&lt;&gt;"",_xlfn.XLOOKUP($D603,ccc[city],ccc[cont],"-"),"-")</f>
        <v/>
      </c>
      <c r="N603" s="1396">
        <f>IF(raw[[#This Row],[city]]="","-",IF(raw[[#This Row],[cont]]="B",raw[[#This Row],[cont]],"W"))</f>
        <v/>
      </c>
      <c r="O603" s="1397">
        <f>IF(raw[[#This Row],[out]]=0,0,IF(raw[[#This Row],[out]]=raw[[#This Row],[in]],0.01,raw[[#This Row],[out]]-raw[[#This Row],[in]]))</f>
        <v/>
      </c>
      <c r="P603" s="1397">
        <f>IF(raw[[#This Row],[in]]=0,0,MONTH(raw[[#This Row],[in]]))</f>
        <v/>
      </c>
      <c r="Q603" s="1397">
        <f>IF(raw[[#This Row],[in]]=0,0,YEAR(raw[[#This Row],[in]]))</f>
        <v/>
      </c>
      <c r="R603" s="1397">
        <f>INT(raw[[#This Row],[yr]]/10)*10</f>
        <v/>
      </c>
      <c r="S603" s="1395">
        <f>IF(raw[[#This Row],[city]]="","-",IF(raw[[#This Row],[city]]&lt;&gt;_xlfn.XLOOKUP(raw[[#This Row],[home]],homes[home],homes[city],"-"),1,0))</f>
        <v/>
      </c>
      <c r="T603" s="1398" t="inlineStr">
        <is>
          <t>.</t>
        </is>
      </c>
      <c r="U603" s="1399">
        <f>IF(raw[[#This Row],[wb]]="w",raw[[#This Row],[stay]]+U602,U602)</f>
        <v/>
      </c>
      <c r="V603" s="1400">
        <f>IF(raw[[#This Row],[out]]=0,V602,(raw[[#This Row],[out]]-E$5))</f>
        <v/>
      </c>
      <c r="W603" s="1401">
        <f>U603/V603</f>
        <v/>
      </c>
      <c r="X603" s="1378" t="inlineStr">
        <is>
          <t>.</t>
        </is>
      </c>
      <c r="Y603" s="1402">
        <f/>
        <v/>
      </c>
      <c r="Z603" s="1403">
        <f/>
        <v/>
      </c>
      <c r="AA603" s="1403">
        <f/>
        <v/>
      </c>
      <c r="AB603" s="1400">
        <f t="array" ref="AB603">_xlfn.LET(_xlpm.S,_xlfn.ANCHORARRAY($Y$4),_xlpm.r,ROWS(stayCity[[#Headers],[city]]:stayCity[[#This Row],[city]])-1,IF(_xlpm.r&lt;=ROWS(_xlpm.S),INDEX(_xlpm.S,_xlpm.r,1),""))</f>
        <v/>
      </c>
      <c r="AC603" s="1405">
        <f t="array" ref="AC603">_xlfn.LET(_xlpm.S,_xlfn.ANCHORARRAY($Y$4),_xlpm.r,ROWS(stayCity[[#Headers],[city]]:stayCity[[#This Row],[city]])-1,IF(_xlpm.r&lt;=ROWS(_xlpm.S),INDEX(_xlpm.S,_xlpm.r,2),""))</f>
        <v/>
      </c>
      <c r="AD603" s="1405">
        <f t="array" ref="AD603">_xlfn.LET(_xlpm.S,_xlfn.ANCHORARRAY($Y$4),_xlpm.r,ROWS(stayCity[[#Headers],[city]]:stayCity[[#This Row],[city]])-1,IF(_xlpm.r&lt;=ROWS(_xlpm.S),INDEX(_xlpm.S,_xlpm.r,3),""))</f>
        <v/>
      </c>
      <c r="AE603" s="1400">
        <f>IF(stayCity[[#This Row],[out]]&lt;&gt;"",stayCity[[#This Row],[out]]-stayCity[[#This Row],[in]],"-")</f>
        <v/>
      </c>
      <c r="AF603" s="1406">
        <f>IF(Y603="","-",YEAR(stayCity[[#This Row],[in]]))</f>
        <v/>
      </c>
      <c r="AG603" s="1392" t="n"/>
      <c r="AH603" s="1392" t="n"/>
      <c r="AI603" s="1392" t="n"/>
      <c r="AJ603" s="1392" t="n"/>
      <c r="AK603" s="1392" t="n"/>
      <c r="AL603" s="1392" t="n"/>
      <c r="AM603" s="1392" t="n"/>
      <c r="AN603" s="1392" t="n"/>
      <c r="AO603" s="1392" t="n"/>
      <c r="AP603" s="1392" t="n"/>
      <c r="AQ603" s="1392" t="n"/>
      <c r="AR603" s="1392" t="n"/>
      <c r="AS603" s="1422" t="n"/>
      <c r="AT603" s="1392" t="n"/>
      <c r="AU603" s="1392" t="n"/>
      <c r="AV603" s="1392" t="n"/>
      <c r="AW603" s="1392" t="n"/>
      <c r="AX603" s="1392" t="n"/>
      <c r="AY603" s="1392" t="n"/>
      <c r="AZ603" s="1392" t="n"/>
      <c r="BA603" s="1392" t="n"/>
      <c r="BB603" s="1422" t="n"/>
      <c r="BC603" s="1392" t="n"/>
      <c r="BD603" s="1392" t="n"/>
      <c r="BE603" s="1392" t="n"/>
      <c r="BF603" s="1392" t="n"/>
      <c r="BG603" s="1392" t="n"/>
      <c r="BH603" s="1392" t="n"/>
      <c r="BI603" s="1392" t="n"/>
      <c r="BJ603" s="1392" t="n"/>
      <c r="BK603" s="1392" t="n"/>
      <c r="BL603" s="1392" t="n"/>
      <c r="BM603" s="1392" t="n"/>
      <c r="BN603" s="1392" t="n"/>
      <c r="BO603" s="1392" t="n"/>
      <c r="BP603" s="1392" t="n"/>
      <c r="BQ603" s="1392" t="n"/>
      <c r="BR603" s="1392" t="n"/>
      <c r="BS603" s="1392" t="n"/>
      <c r="BT603" s="1392" t="n"/>
      <c r="BU603" s="1416" t="n"/>
      <c r="BV603" s="1392" t="n"/>
      <c r="BW603" s="1392" t="n"/>
      <c r="BX603" s="1392" t="n"/>
      <c r="BY603" s="1392" t="n"/>
      <c r="BZ603" s="1416" t="n"/>
      <c r="CA603" s="1392" t="n"/>
      <c r="CB603" s="1392" t="n"/>
      <c r="CC603" s="1392" t="n"/>
      <c r="CD603" s="1392" t="n"/>
      <c r="CE603" s="1392" t="n"/>
      <c r="CF603" s="1392" t="n"/>
      <c r="CG603" s="1392" t="n"/>
      <c r="CH603" s="1392" t="n"/>
      <c r="CI603" s="1392" t="n"/>
      <c r="CJ603" s="1392" t="n"/>
      <c r="CK603" s="1392" t="n"/>
      <c r="CL603" s="1392" t="n"/>
    </row>
    <row r="604">
      <c r="A604" s="5" t="inlineStr">
        <is>
          <t>.</t>
        </is>
      </c>
      <c r="B604" s="5" t="inlineStr">
        <is>
          <t>.</t>
        </is>
      </c>
      <c r="C604" s="1378">
        <f>IF(raw[[#This Row],[city]]="","-",IF(raw[[#This Row],[city]]="TODAY","-",C603+1))</f>
        <v/>
      </c>
      <c r="D604" s="1393" t="inlineStr">
        <is>
          <t>SSA</t>
        </is>
      </c>
      <c r="E604" s="1394" t="n">
        <v>36404</v>
      </c>
      <c r="F604" s="1394" t="n">
        <v>36420</v>
      </c>
      <c r="G604" s="1393" t="n">
        <v>1</v>
      </c>
      <c r="H604" s="1393" t="inlineStr">
        <is>
          <t>Joao Pondé</t>
        </is>
      </c>
      <c r="I604" s="1393" t="inlineStr">
        <is>
          <t>-</t>
        </is>
      </c>
      <c r="J604" s="1393" t="inlineStr">
        <is>
          <t>-</t>
        </is>
      </c>
      <c r="K604" s="1395">
        <f>IF(raw[[#This Row],[city]]&lt;&gt;"",_xlfn.XLOOKUP($D604,ccc[city],ccc[prov],"-"),"-")</f>
        <v/>
      </c>
      <c r="L604" s="1395">
        <f>IF(raw[[#This Row],[city]]&lt;&gt;"",_xlfn.XLOOKUP($D604,ccc[city],ccc[ctry],"-"),"-")</f>
        <v/>
      </c>
      <c r="M604" s="1395">
        <f>IF(raw[[#This Row],[city]]&lt;&gt;"",_xlfn.XLOOKUP($D604,ccc[city],ccc[cont],"-"),"-")</f>
        <v/>
      </c>
      <c r="N604" s="1396">
        <f>IF(raw[[#This Row],[city]]="","-",IF(raw[[#This Row],[cont]]="B",raw[[#This Row],[cont]],"W"))</f>
        <v/>
      </c>
      <c r="O604" s="1397">
        <f>IF(raw[[#This Row],[out]]=0,0,IF(raw[[#This Row],[out]]=raw[[#This Row],[in]],0.01,raw[[#This Row],[out]]-raw[[#This Row],[in]]))</f>
        <v/>
      </c>
      <c r="P604" s="1397">
        <f>IF(raw[[#This Row],[in]]=0,0,MONTH(raw[[#This Row],[in]]))</f>
        <v/>
      </c>
      <c r="Q604" s="1397">
        <f>IF(raw[[#This Row],[in]]=0,0,YEAR(raw[[#This Row],[in]]))</f>
        <v/>
      </c>
      <c r="R604" s="1397">
        <f>INT(raw[[#This Row],[yr]]/10)*10</f>
        <v/>
      </c>
      <c r="S604" s="1395">
        <f>IF(raw[[#This Row],[city]]="","-",IF(raw[[#This Row],[city]]&lt;&gt;_xlfn.XLOOKUP(raw[[#This Row],[home]],homes[home],homes[city],"-"),1,0))</f>
        <v/>
      </c>
      <c r="T604" s="1398" t="inlineStr">
        <is>
          <t>.</t>
        </is>
      </c>
      <c r="U604" s="1399">
        <f>IF(raw[[#This Row],[wb]]="w",raw[[#This Row],[stay]]+U603,U603)</f>
        <v/>
      </c>
      <c r="V604" s="1400">
        <f>IF(raw[[#This Row],[out]]=0,V603,(raw[[#This Row],[out]]-E$5))</f>
        <v/>
      </c>
      <c r="W604" s="1401">
        <f>U604/V604</f>
        <v/>
      </c>
      <c r="X604" s="1378" t="inlineStr">
        <is>
          <t>.</t>
        </is>
      </c>
      <c r="Y604" s="1402">
        <f/>
        <v/>
      </c>
      <c r="Z604" s="1403">
        <f/>
        <v/>
      </c>
      <c r="AA604" s="1403">
        <f/>
        <v/>
      </c>
      <c r="AB604" s="1400">
        <f t="array" ref="AB604">_xlfn.LET(_xlpm.S,_xlfn.ANCHORARRAY($Y$4),_xlpm.r,ROWS(stayCity[[#Headers],[city]]:stayCity[[#This Row],[city]])-1,IF(_xlpm.r&lt;=ROWS(_xlpm.S),INDEX(_xlpm.S,_xlpm.r,1),""))</f>
        <v/>
      </c>
      <c r="AC604" s="1405">
        <f t="array" ref="AC604">_xlfn.LET(_xlpm.S,_xlfn.ANCHORARRAY($Y$4),_xlpm.r,ROWS(stayCity[[#Headers],[city]]:stayCity[[#This Row],[city]])-1,IF(_xlpm.r&lt;=ROWS(_xlpm.S),INDEX(_xlpm.S,_xlpm.r,2),""))</f>
        <v/>
      </c>
      <c r="AD604" s="1405">
        <f t="array" ref="AD604">_xlfn.LET(_xlpm.S,_xlfn.ANCHORARRAY($Y$4),_xlpm.r,ROWS(stayCity[[#Headers],[city]]:stayCity[[#This Row],[city]])-1,IF(_xlpm.r&lt;=ROWS(_xlpm.S),INDEX(_xlpm.S,_xlpm.r,3),""))</f>
        <v/>
      </c>
      <c r="AE604" s="1400">
        <f>IF(stayCity[[#This Row],[out]]&lt;&gt;"",stayCity[[#This Row],[out]]-stayCity[[#This Row],[in]],"-")</f>
        <v/>
      </c>
      <c r="AF604" s="1406">
        <f>IF(Y604="","-",YEAR(stayCity[[#This Row],[in]]))</f>
        <v/>
      </c>
      <c r="AG604" s="1392" t="n"/>
      <c r="AH604" s="1392" t="n"/>
      <c r="AI604" s="1392" t="n"/>
      <c r="AJ604" s="1392" t="n"/>
      <c r="AK604" s="1392" t="n"/>
      <c r="AL604" s="1392" t="n"/>
      <c r="AM604" s="1392" t="n"/>
      <c r="AN604" s="1392" t="n"/>
      <c r="AO604" s="1392" t="n"/>
      <c r="AP604" s="1392" t="n"/>
      <c r="AQ604" s="1392" t="n"/>
      <c r="AR604" s="1392" t="n"/>
      <c r="AS604" s="1422" t="n"/>
      <c r="AT604" s="1392" t="n"/>
      <c r="AU604" s="1392" t="n"/>
      <c r="AV604" s="1392" t="n"/>
      <c r="AW604" s="1392" t="n"/>
      <c r="AX604" s="1392" t="n"/>
      <c r="AY604" s="1392" t="n"/>
      <c r="AZ604" s="1392" t="n"/>
      <c r="BA604" s="1392" t="n"/>
      <c r="BB604" s="1422" t="n"/>
      <c r="BC604" s="1392" t="n"/>
      <c r="BD604" s="1392" t="n"/>
      <c r="BE604" s="1392" t="n"/>
      <c r="BF604" s="1392" t="n"/>
      <c r="BG604" s="1392" t="n"/>
      <c r="BH604" s="1392" t="n"/>
      <c r="BI604" s="1392" t="n"/>
      <c r="BJ604" s="1392" t="n"/>
      <c r="BK604" s="1392" t="n"/>
      <c r="BL604" s="1392" t="n"/>
      <c r="BM604" s="1392" t="n"/>
      <c r="BN604" s="1392" t="n"/>
      <c r="BO604" s="1392" t="n"/>
      <c r="BP604" s="1392" t="n"/>
      <c r="BQ604" s="1392" t="n"/>
      <c r="BR604" s="1392" t="n"/>
      <c r="BS604" s="1392" t="n"/>
      <c r="BT604" s="1392" t="n"/>
      <c r="BU604" s="1416" t="n"/>
      <c r="BV604" s="1392" t="n"/>
      <c r="BW604" s="1392" t="n"/>
      <c r="BX604" s="1392" t="n"/>
      <c r="BY604" s="1392" t="n"/>
      <c r="BZ604" s="1416" t="n"/>
      <c r="CA604" s="1392" t="n"/>
      <c r="CB604" s="1392" t="n"/>
      <c r="CC604" s="1392" t="n"/>
      <c r="CD604" s="1392" t="n"/>
      <c r="CE604" s="1392" t="n"/>
      <c r="CF604" s="1392" t="n"/>
      <c r="CG604" s="1392" t="n"/>
      <c r="CH604" s="1392" t="n"/>
      <c r="CI604" s="1392" t="n"/>
      <c r="CJ604" s="1392" t="n"/>
      <c r="CK604" s="1392" t="n"/>
      <c r="CL604" s="1392" t="n"/>
    </row>
    <row r="605">
      <c r="A605" s="5" t="inlineStr">
        <is>
          <t>.</t>
        </is>
      </c>
      <c r="B605" s="5" t="inlineStr">
        <is>
          <t>.</t>
        </is>
      </c>
      <c r="C605" s="1378">
        <f>IF(raw[[#This Row],[city]]="","-",IF(raw[[#This Row],[city]]="TODAY","-",C604+1))</f>
        <v/>
      </c>
      <c r="D605" s="1393" t="inlineStr">
        <is>
          <t>SP</t>
        </is>
      </c>
      <c r="E605" s="1394" t="n">
        <v>36420</v>
      </c>
      <c r="F605" s="1394" t="n">
        <v>36434</v>
      </c>
      <c r="G605" s="1393" t="inlineStr">
        <is>
          <t>-</t>
        </is>
      </c>
      <c r="H605" s="1393" t="inlineStr">
        <is>
          <t>Joao Pondé</t>
        </is>
      </c>
      <c r="I605" s="1393" t="inlineStr">
        <is>
          <t>-</t>
        </is>
      </c>
      <c r="J605" s="1393" t="inlineStr">
        <is>
          <t>-</t>
        </is>
      </c>
      <c r="K605" s="1395">
        <f>IF(raw[[#This Row],[city]]&lt;&gt;"",_xlfn.XLOOKUP($D605,ccc[city],ccc[prov],"-"),"-")</f>
        <v/>
      </c>
      <c r="L605" s="1395">
        <f>IF(raw[[#This Row],[city]]&lt;&gt;"",_xlfn.XLOOKUP($D605,ccc[city],ccc[ctry],"-"),"-")</f>
        <v/>
      </c>
      <c r="M605" s="1395">
        <f>IF(raw[[#This Row],[city]]&lt;&gt;"",_xlfn.XLOOKUP($D605,ccc[city],ccc[cont],"-"),"-")</f>
        <v/>
      </c>
      <c r="N605" s="1396">
        <f>IF(raw[[#This Row],[city]]="","-",IF(raw[[#This Row],[cont]]="B",raw[[#This Row],[cont]],"W"))</f>
        <v/>
      </c>
      <c r="O605" s="1397">
        <f>IF(raw[[#This Row],[out]]=0,0,IF(raw[[#This Row],[out]]=raw[[#This Row],[in]],0.01,raw[[#This Row],[out]]-raw[[#This Row],[in]]))</f>
        <v/>
      </c>
      <c r="P605" s="1397">
        <f>IF(raw[[#This Row],[in]]=0,0,MONTH(raw[[#This Row],[in]]))</f>
        <v/>
      </c>
      <c r="Q605" s="1397">
        <f>IF(raw[[#This Row],[in]]=0,0,YEAR(raw[[#This Row],[in]]))</f>
        <v/>
      </c>
      <c r="R605" s="1397">
        <f>INT(raw[[#This Row],[yr]]/10)*10</f>
        <v/>
      </c>
      <c r="S605" s="1395">
        <f>IF(raw[[#This Row],[city]]="","-",IF(raw[[#This Row],[city]]&lt;&gt;_xlfn.XLOOKUP(raw[[#This Row],[home]],homes[home],homes[city],"-"),1,0))</f>
        <v/>
      </c>
      <c r="T605" s="1398" t="inlineStr">
        <is>
          <t>.</t>
        </is>
      </c>
      <c r="U605" s="1399">
        <f>IF(raw[[#This Row],[wb]]="w",raw[[#This Row],[stay]]+U604,U604)</f>
        <v/>
      </c>
      <c r="V605" s="1400">
        <f>IF(raw[[#This Row],[out]]=0,V604,(raw[[#This Row],[out]]-E$5))</f>
        <v/>
      </c>
      <c r="W605" s="1401">
        <f>U605/V605</f>
        <v/>
      </c>
      <c r="X605" s="1378" t="inlineStr">
        <is>
          <t>.</t>
        </is>
      </c>
      <c r="Y605" s="1402">
        <f/>
        <v/>
      </c>
      <c r="Z605" s="1403">
        <f/>
        <v/>
      </c>
      <c r="AA605" s="1403">
        <f/>
        <v/>
      </c>
      <c r="AB605" s="1400">
        <f t="array" ref="AB605">_xlfn.LET(_xlpm.S,_xlfn.ANCHORARRAY($Y$4),_xlpm.r,ROWS(stayCity[[#Headers],[city]]:stayCity[[#This Row],[city]])-1,IF(_xlpm.r&lt;=ROWS(_xlpm.S),INDEX(_xlpm.S,_xlpm.r,1),""))</f>
        <v/>
      </c>
      <c r="AC605" s="1405">
        <f t="array" ref="AC605">_xlfn.LET(_xlpm.S,_xlfn.ANCHORARRAY($Y$4),_xlpm.r,ROWS(stayCity[[#Headers],[city]]:stayCity[[#This Row],[city]])-1,IF(_xlpm.r&lt;=ROWS(_xlpm.S),INDEX(_xlpm.S,_xlpm.r,2),""))</f>
        <v/>
      </c>
      <c r="AD605" s="1405">
        <f t="array" ref="AD605">_xlfn.LET(_xlpm.S,_xlfn.ANCHORARRAY($Y$4),_xlpm.r,ROWS(stayCity[[#Headers],[city]]:stayCity[[#This Row],[city]])-1,IF(_xlpm.r&lt;=ROWS(_xlpm.S),INDEX(_xlpm.S,_xlpm.r,3),""))</f>
        <v/>
      </c>
      <c r="AE605" s="1400">
        <f>IF(stayCity[[#This Row],[out]]&lt;&gt;"",stayCity[[#This Row],[out]]-stayCity[[#This Row],[in]],"-")</f>
        <v/>
      </c>
      <c r="AF605" s="1406">
        <f>IF(Y605="","-",YEAR(stayCity[[#This Row],[in]]))</f>
        <v/>
      </c>
      <c r="AG605" s="1392" t="n"/>
      <c r="AH605" s="1392" t="n"/>
      <c r="AI605" s="1392" t="n"/>
      <c r="AJ605" s="1392" t="n"/>
      <c r="AK605" s="1392" t="n"/>
      <c r="AL605" s="1392" t="n"/>
      <c r="AM605" s="1392" t="n"/>
      <c r="AN605" s="1392" t="n"/>
      <c r="AO605" s="1392" t="n"/>
      <c r="AP605" s="1392" t="n"/>
      <c r="AQ605" s="1392" t="n"/>
      <c r="AR605" s="1392" t="n"/>
      <c r="AS605" s="1422" t="n"/>
      <c r="AT605" s="1392" t="n"/>
      <c r="AU605" s="1392" t="n"/>
      <c r="AV605" s="1392" t="n"/>
      <c r="AW605" s="1392" t="n"/>
      <c r="AX605" s="1392" t="n"/>
      <c r="AY605" s="1392" t="n"/>
      <c r="AZ605" s="1392" t="n"/>
      <c r="BA605" s="1392" t="n"/>
      <c r="BB605" s="1422" t="n"/>
      <c r="BC605" s="1392" t="n"/>
      <c r="BD605" s="1392" t="n"/>
      <c r="BE605" s="1392" t="n"/>
      <c r="BF605" s="1392" t="n"/>
      <c r="BG605" s="1392" t="n"/>
      <c r="BH605" s="1392" t="n"/>
      <c r="BI605" s="1392" t="n"/>
      <c r="BJ605" s="1392" t="n"/>
      <c r="BK605" s="1392" t="n"/>
      <c r="BL605" s="1392" t="n"/>
      <c r="BM605" s="1392" t="n"/>
      <c r="BN605" s="1392" t="n"/>
      <c r="BO605" s="1392" t="n"/>
      <c r="BP605" s="1392" t="n"/>
      <c r="BQ605" s="1392" t="n"/>
      <c r="BR605" s="1392" t="n"/>
      <c r="BS605" s="1392" t="n"/>
      <c r="BT605" s="1392" t="n"/>
      <c r="BU605" s="1416" t="n"/>
      <c r="BV605" s="1392" t="n"/>
      <c r="BW605" s="1392" t="n"/>
      <c r="BX605" s="1392" t="n"/>
      <c r="BY605" s="1392" t="n"/>
      <c r="BZ605" s="1416" t="n"/>
      <c r="CA605" s="1392" t="n"/>
      <c r="CB605" s="1392" t="n"/>
      <c r="CC605" s="1392" t="n"/>
      <c r="CD605" s="1392" t="n"/>
      <c r="CE605" s="1392" t="n"/>
      <c r="CF605" s="1392" t="n"/>
      <c r="CG605" s="1392" t="n"/>
      <c r="CH605" s="1392" t="n"/>
      <c r="CI605" s="1392" t="n"/>
      <c r="CJ605" s="1392" t="n"/>
      <c r="CK605" s="1392" t="n"/>
      <c r="CL605" s="1392" t="n"/>
    </row>
    <row r="606">
      <c r="A606" s="5" t="inlineStr">
        <is>
          <t>.</t>
        </is>
      </c>
      <c r="B606" s="5" t="inlineStr">
        <is>
          <t>.</t>
        </is>
      </c>
      <c r="C606" s="1378">
        <f>IF(raw[[#This Row],[city]]="","-",IF(raw[[#This Row],[city]]="TODAY","-",C605+1))</f>
        <v/>
      </c>
      <c r="D606" s="1393" t="inlineStr">
        <is>
          <t>SP</t>
        </is>
      </c>
      <c r="E606" s="1394" t="n">
        <v>36434</v>
      </c>
      <c r="F606" s="1394" t="n">
        <v>36435</v>
      </c>
      <c r="G606" s="1393" t="n">
        <v>1</v>
      </c>
      <c r="H606" s="1393" t="inlineStr">
        <is>
          <t>Joao Pondé</t>
        </is>
      </c>
      <c r="I606" s="1393" t="inlineStr">
        <is>
          <t>-</t>
        </is>
      </c>
      <c r="J606" s="1393" t="inlineStr">
        <is>
          <t>-</t>
        </is>
      </c>
      <c r="K606" s="1395">
        <f>IF(raw[[#This Row],[city]]&lt;&gt;"",_xlfn.XLOOKUP($D606,ccc[city],ccc[prov],"-"),"-")</f>
        <v/>
      </c>
      <c r="L606" s="1395">
        <f>IF(raw[[#This Row],[city]]&lt;&gt;"",_xlfn.XLOOKUP($D606,ccc[city],ccc[ctry],"-"),"-")</f>
        <v/>
      </c>
      <c r="M606" s="1395">
        <f>IF(raw[[#This Row],[city]]&lt;&gt;"",_xlfn.XLOOKUP($D606,ccc[city],ccc[cont],"-"),"-")</f>
        <v/>
      </c>
      <c r="N606" s="1396">
        <f>IF(raw[[#This Row],[city]]="","-",IF(raw[[#This Row],[cont]]="B",raw[[#This Row],[cont]],"W"))</f>
        <v/>
      </c>
      <c r="O606" s="1397">
        <f>IF(raw[[#This Row],[out]]=0,0,IF(raw[[#This Row],[out]]=raw[[#This Row],[in]],0.01,raw[[#This Row],[out]]-raw[[#This Row],[in]]))</f>
        <v/>
      </c>
      <c r="P606" s="1397">
        <f>IF(raw[[#This Row],[in]]=0,0,MONTH(raw[[#This Row],[in]]))</f>
        <v/>
      </c>
      <c r="Q606" s="1397">
        <f>IF(raw[[#This Row],[in]]=0,0,YEAR(raw[[#This Row],[in]]))</f>
        <v/>
      </c>
      <c r="R606" s="1397">
        <f>INT(raw[[#This Row],[yr]]/10)*10</f>
        <v/>
      </c>
      <c r="S606" s="1395">
        <f>IF(raw[[#This Row],[city]]="","-",IF(raw[[#This Row],[city]]&lt;&gt;_xlfn.XLOOKUP(raw[[#This Row],[home]],homes[home],homes[city],"-"),1,0))</f>
        <v/>
      </c>
      <c r="T606" s="1398" t="inlineStr">
        <is>
          <t>.</t>
        </is>
      </c>
      <c r="U606" s="1399">
        <f>IF(raw[[#This Row],[wb]]="w",raw[[#This Row],[stay]]+U605,U605)</f>
        <v/>
      </c>
      <c r="V606" s="1400">
        <f>IF(raw[[#This Row],[out]]=0,V605,(raw[[#This Row],[out]]-E$5))</f>
        <v/>
      </c>
      <c r="W606" s="1401">
        <f>U606/V606</f>
        <v/>
      </c>
      <c r="X606" s="1378" t="inlineStr">
        <is>
          <t>.</t>
        </is>
      </c>
      <c r="Y606" s="1402">
        <f/>
        <v/>
      </c>
      <c r="Z606" s="1403">
        <f/>
        <v/>
      </c>
      <c r="AA606" s="1403">
        <f/>
        <v/>
      </c>
      <c r="AB606" s="1400">
        <f t="array" ref="AB606">_xlfn.LET(_xlpm.S,_xlfn.ANCHORARRAY($Y$4),_xlpm.r,ROWS(stayCity[[#Headers],[city]]:stayCity[[#This Row],[city]])-1,IF(_xlpm.r&lt;=ROWS(_xlpm.S),INDEX(_xlpm.S,_xlpm.r,1),""))</f>
        <v/>
      </c>
      <c r="AC606" s="1405">
        <f t="array" ref="AC606">_xlfn.LET(_xlpm.S,_xlfn.ANCHORARRAY($Y$4),_xlpm.r,ROWS(stayCity[[#Headers],[city]]:stayCity[[#This Row],[city]])-1,IF(_xlpm.r&lt;=ROWS(_xlpm.S),INDEX(_xlpm.S,_xlpm.r,2),""))</f>
        <v/>
      </c>
      <c r="AD606" s="1405">
        <f t="array" ref="AD606">_xlfn.LET(_xlpm.S,_xlfn.ANCHORARRAY($Y$4),_xlpm.r,ROWS(stayCity[[#Headers],[city]]:stayCity[[#This Row],[city]])-1,IF(_xlpm.r&lt;=ROWS(_xlpm.S),INDEX(_xlpm.S,_xlpm.r,3),""))</f>
        <v/>
      </c>
      <c r="AE606" s="1400">
        <f>IF(stayCity[[#This Row],[out]]&lt;&gt;"",stayCity[[#This Row],[out]]-stayCity[[#This Row],[in]],"-")</f>
        <v/>
      </c>
      <c r="AF606" s="1406">
        <f>IF(Y606="","-",YEAR(stayCity[[#This Row],[in]]))</f>
        <v/>
      </c>
      <c r="AG606" s="1392" t="n"/>
      <c r="AH606" s="1392" t="n"/>
      <c r="AI606" s="1392" t="n"/>
      <c r="AJ606" s="1392" t="n"/>
      <c r="AK606" s="1392" t="n"/>
      <c r="AL606" s="1392" t="n"/>
      <c r="AM606" s="1392" t="n"/>
      <c r="AN606" s="1392" t="n"/>
      <c r="AO606" s="1392" t="n"/>
      <c r="AP606" s="1392" t="n"/>
      <c r="AQ606" s="1392" t="n"/>
      <c r="AR606" s="1392" t="n"/>
      <c r="AS606" s="1422" t="n"/>
      <c r="AT606" s="1392" t="n"/>
      <c r="AU606" s="1392" t="n"/>
      <c r="AV606" s="1392" t="n"/>
      <c r="AW606" s="1392" t="n"/>
      <c r="AX606" s="1392" t="n"/>
      <c r="AY606" s="1392" t="n"/>
      <c r="AZ606" s="1392" t="n"/>
      <c r="BA606" s="1392" t="n"/>
      <c r="BB606" s="1422" t="n"/>
      <c r="BC606" s="1392" t="n"/>
      <c r="BD606" s="1392" t="n"/>
      <c r="BE606" s="1392" t="n"/>
      <c r="BF606" s="1392" t="n"/>
      <c r="BG606" s="1392" t="n"/>
      <c r="BH606" s="1392" t="n"/>
      <c r="BI606" s="1392" t="n"/>
      <c r="BJ606" s="1392" t="n"/>
      <c r="BK606" s="1392" t="n"/>
      <c r="BL606" s="1392" t="n"/>
      <c r="BM606" s="1392" t="n"/>
      <c r="BN606" s="1392" t="n"/>
      <c r="BO606" s="1392" t="n"/>
      <c r="BP606" s="1392" t="n"/>
      <c r="BQ606" s="1392" t="n"/>
      <c r="BR606" s="1392" t="n"/>
      <c r="BS606" s="1392" t="n"/>
      <c r="BT606" s="1392" t="n"/>
      <c r="BU606" s="1416" t="n"/>
      <c r="BV606" s="1392" t="n"/>
      <c r="BW606" s="1392" t="n"/>
      <c r="BX606" s="1392" t="n"/>
      <c r="BY606" s="1392" t="n"/>
      <c r="BZ606" s="1416" t="n"/>
      <c r="CA606" s="1392" t="n"/>
      <c r="CB606" s="1392" t="n"/>
      <c r="CC606" s="1392" t="n"/>
      <c r="CD606" s="1392" t="n"/>
      <c r="CE606" s="1392" t="n"/>
      <c r="CF606" s="1392" t="n"/>
      <c r="CG606" s="1392" t="n"/>
      <c r="CH606" s="1392" t="n"/>
      <c r="CI606" s="1392" t="n"/>
      <c r="CJ606" s="1392" t="n"/>
      <c r="CK606" s="1392" t="n"/>
      <c r="CL606" s="1392" t="n"/>
    </row>
    <row r="607">
      <c r="A607" s="5" t="inlineStr">
        <is>
          <t>.</t>
        </is>
      </c>
      <c r="B607" s="5" t="inlineStr">
        <is>
          <t>.</t>
        </is>
      </c>
      <c r="C607" s="1378">
        <f>IF(raw[[#This Row],[city]]="","-",IF(raw[[#This Row],[city]]="TODAY","-",C606+1))</f>
        <v/>
      </c>
      <c r="D607" s="1393" t="inlineStr">
        <is>
          <t>SSA</t>
        </is>
      </c>
      <c r="E607" s="1394" t="n">
        <v>36435</v>
      </c>
      <c r="F607" s="1394" t="n">
        <v>36465</v>
      </c>
      <c r="G607" s="1393" t="inlineStr">
        <is>
          <t>-</t>
        </is>
      </c>
      <c r="H607" s="1393" t="inlineStr">
        <is>
          <t>Joao Pondé</t>
        </is>
      </c>
      <c r="I607" s="1393" t="inlineStr">
        <is>
          <t>-</t>
        </is>
      </c>
      <c r="J607" s="1393" t="inlineStr">
        <is>
          <t>-</t>
        </is>
      </c>
      <c r="K607" s="1395">
        <f>IF(raw[[#This Row],[city]]&lt;&gt;"",_xlfn.XLOOKUP($D607,ccc[city],ccc[prov],"-"),"-")</f>
        <v/>
      </c>
      <c r="L607" s="1395">
        <f>IF(raw[[#This Row],[city]]&lt;&gt;"",_xlfn.XLOOKUP($D607,ccc[city],ccc[ctry],"-"),"-")</f>
        <v/>
      </c>
      <c r="M607" s="1395">
        <f>IF(raw[[#This Row],[city]]&lt;&gt;"",_xlfn.XLOOKUP($D607,ccc[city],ccc[cont],"-"),"-")</f>
        <v/>
      </c>
      <c r="N607" s="1396">
        <f>IF(raw[[#This Row],[city]]="","-",IF(raw[[#This Row],[cont]]="B",raw[[#This Row],[cont]],"W"))</f>
        <v/>
      </c>
      <c r="O607" s="1397">
        <f>IF(raw[[#This Row],[out]]=0,0,IF(raw[[#This Row],[out]]=raw[[#This Row],[in]],0.01,raw[[#This Row],[out]]-raw[[#This Row],[in]]))</f>
        <v/>
      </c>
      <c r="P607" s="1397">
        <f>IF(raw[[#This Row],[in]]=0,0,MONTH(raw[[#This Row],[in]]))</f>
        <v/>
      </c>
      <c r="Q607" s="1397">
        <f>IF(raw[[#This Row],[in]]=0,0,YEAR(raw[[#This Row],[in]]))</f>
        <v/>
      </c>
      <c r="R607" s="1397">
        <f>INT(raw[[#This Row],[yr]]/10)*10</f>
        <v/>
      </c>
      <c r="S607" s="1395">
        <f>IF(raw[[#This Row],[city]]="","-",IF(raw[[#This Row],[city]]&lt;&gt;_xlfn.XLOOKUP(raw[[#This Row],[home]],homes[home],homes[city],"-"),1,0))</f>
        <v/>
      </c>
      <c r="T607" s="1398" t="inlineStr">
        <is>
          <t>.</t>
        </is>
      </c>
      <c r="U607" s="1399">
        <f>IF(raw[[#This Row],[wb]]="w",raw[[#This Row],[stay]]+U606,U606)</f>
        <v/>
      </c>
      <c r="V607" s="1400">
        <f>IF(raw[[#This Row],[out]]=0,V606,(raw[[#This Row],[out]]-E$5))</f>
        <v/>
      </c>
      <c r="W607" s="1401">
        <f>U607/V607</f>
        <v/>
      </c>
      <c r="X607" s="1378" t="inlineStr">
        <is>
          <t>.</t>
        </is>
      </c>
      <c r="Y607" s="1402">
        <f/>
        <v/>
      </c>
      <c r="Z607" s="1403">
        <f/>
        <v/>
      </c>
      <c r="AA607" s="1403">
        <f/>
        <v/>
      </c>
      <c r="AB607" s="1400">
        <f t="array" ref="AB607">_xlfn.LET(_xlpm.S,_xlfn.ANCHORARRAY($Y$4),_xlpm.r,ROWS(stayCity[[#Headers],[city]]:stayCity[[#This Row],[city]])-1,IF(_xlpm.r&lt;=ROWS(_xlpm.S),INDEX(_xlpm.S,_xlpm.r,1),""))</f>
        <v/>
      </c>
      <c r="AC607" s="1405">
        <f t="array" ref="AC607">_xlfn.LET(_xlpm.S,_xlfn.ANCHORARRAY($Y$4),_xlpm.r,ROWS(stayCity[[#Headers],[city]]:stayCity[[#This Row],[city]])-1,IF(_xlpm.r&lt;=ROWS(_xlpm.S),INDEX(_xlpm.S,_xlpm.r,2),""))</f>
        <v/>
      </c>
      <c r="AD607" s="1405">
        <f t="array" ref="AD607">_xlfn.LET(_xlpm.S,_xlfn.ANCHORARRAY($Y$4),_xlpm.r,ROWS(stayCity[[#Headers],[city]]:stayCity[[#This Row],[city]])-1,IF(_xlpm.r&lt;=ROWS(_xlpm.S),INDEX(_xlpm.S,_xlpm.r,3),""))</f>
        <v/>
      </c>
      <c r="AE607" s="1400">
        <f>IF(stayCity[[#This Row],[out]]&lt;&gt;"",stayCity[[#This Row],[out]]-stayCity[[#This Row],[in]],"-")</f>
        <v/>
      </c>
      <c r="AF607" s="1406">
        <f>IF(Y607="","-",YEAR(stayCity[[#This Row],[in]]))</f>
        <v/>
      </c>
      <c r="AG607" s="1392" t="n"/>
      <c r="AH607" s="1392" t="n"/>
      <c r="AI607" s="1392" t="n"/>
      <c r="AJ607" s="1392" t="n"/>
      <c r="AK607" s="1392" t="n"/>
      <c r="AL607" s="1392" t="n"/>
      <c r="AM607" s="1392" t="n"/>
      <c r="AN607" s="1392" t="n"/>
      <c r="AO607" s="1392" t="n"/>
      <c r="AP607" s="1392" t="n"/>
      <c r="AQ607" s="1392" t="n"/>
      <c r="AR607" s="1392" t="n"/>
      <c r="AS607" s="1422" t="n"/>
      <c r="AT607" s="1392" t="n"/>
      <c r="AU607" s="1392" t="n"/>
      <c r="AV607" s="1392" t="n"/>
      <c r="AW607" s="1392" t="n"/>
      <c r="AX607" s="1392" t="n"/>
      <c r="AY607" s="1392" t="n"/>
      <c r="AZ607" s="1392" t="n"/>
      <c r="BA607" s="1392" t="n"/>
      <c r="BB607" s="1422" t="n"/>
      <c r="BC607" s="1392" t="n"/>
      <c r="BD607" s="1392" t="n"/>
      <c r="BE607" s="1392" t="n"/>
      <c r="BF607" s="1392" t="n"/>
      <c r="BG607" s="1392" t="n"/>
      <c r="BH607" s="1392" t="n"/>
      <c r="BI607" s="1392" t="n"/>
      <c r="BJ607" s="1392" t="n"/>
      <c r="BK607" s="1392" t="n"/>
      <c r="BL607" s="1392" t="n"/>
      <c r="BM607" s="1392" t="n"/>
      <c r="BN607" s="1392" t="n"/>
      <c r="BO607" s="1392" t="n"/>
      <c r="BP607" s="1392" t="n"/>
      <c r="BQ607" s="1392" t="n"/>
      <c r="BR607" s="1392" t="n"/>
      <c r="BS607" s="1392" t="n"/>
      <c r="BT607" s="1392" t="n"/>
      <c r="BU607" s="1416" t="n"/>
      <c r="BV607" s="1392" t="n"/>
      <c r="BW607" s="1392" t="n"/>
      <c r="BX607" s="1392" t="n"/>
      <c r="BY607" s="1392" t="n"/>
      <c r="BZ607" s="1416" t="n"/>
      <c r="CA607" s="1392" t="n"/>
      <c r="CB607" s="1392" t="n"/>
      <c r="CC607" s="1392" t="n"/>
      <c r="CD607" s="1392" t="n"/>
      <c r="CE607" s="1392" t="n"/>
      <c r="CF607" s="1392" t="n"/>
      <c r="CG607" s="1392" t="n"/>
      <c r="CH607" s="1392" t="n"/>
      <c r="CI607" s="1392" t="n"/>
      <c r="CJ607" s="1392" t="n"/>
      <c r="CK607" s="1392" t="n"/>
      <c r="CL607" s="1392" t="n"/>
    </row>
    <row r="608">
      <c r="A608" s="5" t="inlineStr">
        <is>
          <t>.</t>
        </is>
      </c>
      <c r="B608" s="5" t="inlineStr">
        <is>
          <t>.</t>
        </is>
      </c>
      <c r="C608" s="1378">
        <f>IF(raw[[#This Row],[city]]="","-",IF(raw[[#This Row],[city]]="TODAY","-",C607+1))</f>
        <v/>
      </c>
      <c r="D608" s="1393" t="inlineStr">
        <is>
          <t>SSA</t>
        </is>
      </c>
      <c r="E608" s="1394" t="n">
        <v>36465</v>
      </c>
      <c r="F608" s="1394" t="n">
        <v>36495</v>
      </c>
      <c r="G608" s="1393" t="inlineStr">
        <is>
          <t>-</t>
        </is>
      </c>
      <c r="H608" s="1393" t="inlineStr">
        <is>
          <t>Joao Pondé</t>
        </is>
      </c>
      <c r="I608" s="1393" t="inlineStr">
        <is>
          <t>-</t>
        </is>
      </c>
      <c r="J608" s="1393" t="inlineStr">
        <is>
          <t>-</t>
        </is>
      </c>
      <c r="K608" s="1395">
        <f>IF(raw[[#This Row],[city]]&lt;&gt;"",_xlfn.XLOOKUP($D608,ccc[city],ccc[prov],"-"),"-")</f>
        <v/>
      </c>
      <c r="L608" s="1395">
        <f>IF(raw[[#This Row],[city]]&lt;&gt;"",_xlfn.XLOOKUP($D608,ccc[city],ccc[ctry],"-"),"-")</f>
        <v/>
      </c>
      <c r="M608" s="1395">
        <f>IF(raw[[#This Row],[city]]&lt;&gt;"",_xlfn.XLOOKUP($D608,ccc[city],ccc[cont],"-"),"-")</f>
        <v/>
      </c>
      <c r="N608" s="1396">
        <f>IF(raw[[#This Row],[city]]="","-",IF(raw[[#This Row],[cont]]="B",raw[[#This Row],[cont]],"W"))</f>
        <v/>
      </c>
      <c r="O608" s="1397">
        <f>IF(raw[[#This Row],[out]]=0,0,IF(raw[[#This Row],[out]]=raw[[#This Row],[in]],0.01,raw[[#This Row],[out]]-raw[[#This Row],[in]]))</f>
        <v/>
      </c>
      <c r="P608" s="1397">
        <f>IF(raw[[#This Row],[in]]=0,0,MONTH(raw[[#This Row],[in]]))</f>
        <v/>
      </c>
      <c r="Q608" s="1397">
        <f>IF(raw[[#This Row],[in]]=0,0,YEAR(raw[[#This Row],[in]]))</f>
        <v/>
      </c>
      <c r="R608" s="1397">
        <f>INT(raw[[#This Row],[yr]]/10)*10</f>
        <v/>
      </c>
      <c r="S608" s="1395">
        <f>IF(raw[[#This Row],[city]]="","-",IF(raw[[#This Row],[city]]&lt;&gt;_xlfn.XLOOKUP(raw[[#This Row],[home]],homes[home],homes[city],"-"),1,0))</f>
        <v/>
      </c>
      <c r="T608" s="1398" t="inlineStr">
        <is>
          <t>.</t>
        </is>
      </c>
      <c r="U608" s="1399">
        <f>IF(raw[[#This Row],[wb]]="w",raw[[#This Row],[stay]]+U607,U607)</f>
        <v/>
      </c>
      <c r="V608" s="1400">
        <f>IF(raw[[#This Row],[out]]=0,V607,(raw[[#This Row],[out]]-E$5))</f>
        <v/>
      </c>
      <c r="W608" s="1401">
        <f>U608/V608</f>
        <v/>
      </c>
      <c r="X608" s="1378" t="inlineStr">
        <is>
          <t>.</t>
        </is>
      </c>
      <c r="Y608" s="1402">
        <f/>
        <v/>
      </c>
      <c r="Z608" s="1403">
        <f/>
        <v/>
      </c>
      <c r="AA608" s="1403">
        <f/>
        <v/>
      </c>
      <c r="AB608" s="1400">
        <f t="array" ref="AB608">_xlfn.LET(_xlpm.S,_xlfn.ANCHORARRAY($Y$4),_xlpm.r,ROWS(stayCity[[#Headers],[city]]:stayCity[[#This Row],[city]])-1,IF(_xlpm.r&lt;=ROWS(_xlpm.S),INDEX(_xlpm.S,_xlpm.r,1),""))</f>
        <v/>
      </c>
      <c r="AC608" s="1405">
        <f t="array" ref="AC608">_xlfn.LET(_xlpm.S,_xlfn.ANCHORARRAY($Y$4),_xlpm.r,ROWS(stayCity[[#Headers],[city]]:stayCity[[#This Row],[city]])-1,IF(_xlpm.r&lt;=ROWS(_xlpm.S),INDEX(_xlpm.S,_xlpm.r,2),""))</f>
        <v/>
      </c>
      <c r="AD608" s="1405">
        <f t="array" ref="AD608">_xlfn.LET(_xlpm.S,_xlfn.ANCHORARRAY($Y$4),_xlpm.r,ROWS(stayCity[[#Headers],[city]]:stayCity[[#This Row],[city]])-1,IF(_xlpm.r&lt;=ROWS(_xlpm.S),INDEX(_xlpm.S,_xlpm.r,3),""))</f>
        <v/>
      </c>
      <c r="AE608" s="1400">
        <f>IF(stayCity[[#This Row],[out]]&lt;&gt;"",stayCity[[#This Row],[out]]-stayCity[[#This Row],[in]],"-")</f>
        <v/>
      </c>
      <c r="AF608" s="1406">
        <f>IF(Y608="","-",YEAR(stayCity[[#This Row],[in]]))</f>
        <v/>
      </c>
      <c r="AG608" s="1392" t="n"/>
      <c r="AH608" s="1392" t="n"/>
      <c r="AI608" s="1392" t="n"/>
      <c r="AJ608" s="1392" t="n"/>
      <c r="AK608" s="1392" t="n"/>
      <c r="AL608" s="1392" t="n"/>
      <c r="AM608" s="1392" t="n"/>
      <c r="AN608" s="1392" t="n"/>
      <c r="AO608" s="1392" t="n"/>
      <c r="AP608" s="1392" t="n"/>
      <c r="AQ608" s="1392" t="n"/>
      <c r="AR608" s="1392" t="n"/>
      <c r="AS608" s="1422" t="n"/>
      <c r="AT608" s="1392" t="n"/>
      <c r="AU608" s="1392" t="n"/>
      <c r="AV608" s="1392" t="n"/>
      <c r="AW608" s="1392" t="n"/>
      <c r="AX608" s="1392" t="n"/>
      <c r="AY608" s="1392" t="n"/>
      <c r="AZ608" s="1392" t="n"/>
      <c r="BA608" s="1392" t="n"/>
      <c r="BB608" s="1422" t="n"/>
      <c r="BC608" s="1392" t="n"/>
      <c r="BD608" s="1392" t="n"/>
      <c r="BE608" s="1392" t="n"/>
      <c r="BF608" s="1392" t="n"/>
      <c r="BG608" s="1392" t="n"/>
      <c r="BH608" s="1392" t="n"/>
      <c r="BI608" s="1392" t="n"/>
      <c r="BJ608" s="1392" t="n"/>
      <c r="BK608" s="1392" t="n"/>
      <c r="BL608" s="1392" t="n"/>
      <c r="BM608" s="1392" t="n"/>
      <c r="BN608" s="1392" t="n"/>
      <c r="BO608" s="1392" t="n"/>
      <c r="BP608" s="1392" t="n"/>
      <c r="BQ608" s="1392" t="n"/>
      <c r="BR608" s="1392" t="n"/>
      <c r="BS608" s="1392" t="n"/>
      <c r="BT608" s="1392" t="n"/>
      <c r="BU608" s="1416" t="n"/>
      <c r="BV608" s="1392" t="n"/>
      <c r="BW608" s="1392" t="n"/>
      <c r="BX608" s="1392" t="n"/>
      <c r="BY608" s="1392" t="n"/>
      <c r="BZ608" s="1416" t="n"/>
      <c r="CA608" s="1392" t="n"/>
      <c r="CB608" s="1392" t="n"/>
      <c r="CC608" s="1392" t="n"/>
      <c r="CD608" s="1392" t="n"/>
      <c r="CE608" s="1392" t="n"/>
      <c r="CF608" s="1392" t="n"/>
      <c r="CG608" s="1392" t="n"/>
      <c r="CH608" s="1392" t="n"/>
      <c r="CI608" s="1392" t="n"/>
      <c r="CJ608" s="1392" t="n"/>
      <c r="CK608" s="1392" t="n"/>
      <c r="CL608" s="1392" t="n"/>
    </row>
    <row r="609">
      <c r="A609" s="5" t="inlineStr">
        <is>
          <t>.</t>
        </is>
      </c>
      <c r="B609" s="5" t="inlineStr">
        <is>
          <t>.</t>
        </is>
      </c>
      <c r="C609" s="1378">
        <f>IF(raw[[#This Row],[city]]="","-",IF(raw[[#This Row],[city]]="TODAY","-",C608+1))</f>
        <v/>
      </c>
      <c r="D609" s="1393" t="inlineStr">
        <is>
          <t>SSA</t>
        </is>
      </c>
      <c r="E609" s="1394" t="n">
        <v>36495</v>
      </c>
      <c r="F609" s="1394" t="n">
        <v>36521</v>
      </c>
      <c r="G609" s="1393" t="inlineStr">
        <is>
          <t>-</t>
        </is>
      </c>
      <c r="H609" s="1393" t="inlineStr">
        <is>
          <t>Joao Pondé</t>
        </is>
      </c>
      <c r="I609" s="1393" t="inlineStr">
        <is>
          <t>-</t>
        </is>
      </c>
      <c r="J609" s="1393" t="inlineStr">
        <is>
          <t>-</t>
        </is>
      </c>
      <c r="K609" s="1395">
        <f>IF(raw[[#This Row],[city]]&lt;&gt;"",_xlfn.XLOOKUP($D609,ccc[city],ccc[prov],"-"),"-")</f>
        <v/>
      </c>
      <c r="L609" s="1395">
        <f>IF(raw[[#This Row],[city]]&lt;&gt;"",_xlfn.XLOOKUP($D609,ccc[city],ccc[ctry],"-"),"-")</f>
        <v/>
      </c>
      <c r="M609" s="1395">
        <f>IF(raw[[#This Row],[city]]&lt;&gt;"",_xlfn.XLOOKUP($D609,ccc[city],ccc[cont],"-"),"-")</f>
        <v/>
      </c>
      <c r="N609" s="1396">
        <f>IF(raw[[#This Row],[city]]="","-",IF(raw[[#This Row],[cont]]="B",raw[[#This Row],[cont]],"W"))</f>
        <v/>
      </c>
      <c r="O609" s="1397">
        <f>IF(raw[[#This Row],[out]]=0,0,IF(raw[[#This Row],[out]]=raw[[#This Row],[in]],0.01,raw[[#This Row],[out]]-raw[[#This Row],[in]]))</f>
        <v/>
      </c>
      <c r="P609" s="1397">
        <f>IF(raw[[#This Row],[in]]=0,0,MONTH(raw[[#This Row],[in]]))</f>
        <v/>
      </c>
      <c r="Q609" s="1397">
        <f>IF(raw[[#This Row],[in]]=0,0,YEAR(raw[[#This Row],[in]]))</f>
        <v/>
      </c>
      <c r="R609" s="1397">
        <f>INT(raw[[#This Row],[yr]]/10)*10</f>
        <v/>
      </c>
      <c r="S609" s="1395">
        <f>IF(raw[[#This Row],[city]]="","-",IF(raw[[#This Row],[city]]&lt;&gt;_xlfn.XLOOKUP(raw[[#This Row],[home]],homes[home],homes[city],"-"),1,0))</f>
        <v/>
      </c>
      <c r="T609" s="1398" t="inlineStr">
        <is>
          <t>.</t>
        </is>
      </c>
      <c r="U609" s="1399">
        <f>IF(raw[[#This Row],[wb]]="w",raw[[#This Row],[stay]]+U608,U608)</f>
        <v/>
      </c>
      <c r="V609" s="1400">
        <f>IF(raw[[#This Row],[out]]=0,V608,(raw[[#This Row],[out]]-E$5))</f>
        <v/>
      </c>
      <c r="W609" s="1401">
        <f>U609/V609</f>
        <v/>
      </c>
      <c r="X609" s="1378" t="inlineStr">
        <is>
          <t>.</t>
        </is>
      </c>
      <c r="Y609" s="1402">
        <f/>
        <v/>
      </c>
      <c r="Z609" s="1403">
        <f/>
        <v/>
      </c>
      <c r="AA609" s="1403">
        <f/>
        <v/>
      </c>
      <c r="AB609" s="1400">
        <f t="array" ref="AB609">_xlfn.LET(_xlpm.S,_xlfn.ANCHORARRAY($Y$4),_xlpm.r,ROWS(stayCity[[#Headers],[city]]:stayCity[[#This Row],[city]])-1,IF(_xlpm.r&lt;=ROWS(_xlpm.S),INDEX(_xlpm.S,_xlpm.r,1),""))</f>
        <v/>
      </c>
      <c r="AC609" s="1405">
        <f t="array" ref="AC609">_xlfn.LET(_xlpm.S,_xlfn.ANCHORARRAY($Y$4),_xlpm.r,ROWS(stayCity[[#Headers],[city]]:stayCity[[#This Row],[city]])-1,IF(_xlpm.r&lt;=ROWS(_xlpm.S),INDEX(_xlpm.S,_xlpm.r,2),""))</f>
        <v/>
      </c>
      <c r="AD609" s="1405">
        <f t="array" ref="AD609">_xlfn.LET(_xlpm.S,_xlfn.ANCHORARRAY($Y$4),_xlpm.r,ROWS(stayCity[[#Headers],[city]]:stayCity[[#This Row],[city]])-1,IF(_xlpm.r&lt;=ROWS(_xlpm.S),INDEX(_xlpm.S,_xlpm.r,3),""))</f>
        <v/>
      </c>
      <c r="AE609" s="1400">
        <f>IF(stayCity[[#This Row],[out]]&lt;&gt;"",stayCity[[#This Row],[out]]-stayCity[[#This Row],[in]],"-")</f>
        <v/>
      </c>
      <c r="AF609" s="1406">
        <f>IF(Y609="","-",YEAR(stayCity[[#This Row],[in]]))</f>
        <v/>
      </c>
      <c r="AG609" s="1392" t="n"/>
      <c r="AH609" s="1392" t="n"/>
      <c r="AI609" s="1392" t="n"/>
      <c r="AJ609" s="1392" t="n"/>
      <c r="AK609" s="1392" t="n"/>
      <c r="AL609" s="1392" t="n"/>
      <c r="AM609" s="1392" t="n"/>
      <c r="AN609" s="1392" t="n"/>
      <c r="AO609" s="1392" t="n"/>
      <c r="AP609" s="1392" t="n"/>
      <c r="AQ609" s="1392" t="n"/>
      <c r="AR609" s="1392" t="n"/>
      <c r="AS609" s="1422" t="n"/>
      <c r="AT609" s="1392" t="n"/>
      <c r="AU609" s="1392" t="n"/>
      <c r="AV609" s="1392" t="n"/>
      <c r="AW609" s="1392" t="n"/>
      <c r="AX609" s="1392" t="n"/>
      <c r="AY609" s="1392" t="n"/>
      <c r="AZ609" s="1392" t="n"/>
      <c r="BA609" s="1392" t="n"/>
      <c r="BB609" s="1422" t="n"/>
      <c r="BC609" s="1392" t="n"/>
      <c r="BD609" s="1392" t="n"/>
      <c r="BE609" s="1392" t="n"/>
      <c r="BF609" s="1392" t="n"/>
      <c r="BG609" s="1392" t="n"/>
      <c r="BH609" s="1392" t="n"/>
      <c r="BI609" s="1392" t="n"/>
      <c r="BJ609" s="1392" t="n"/>
      <c r="BK609" s="1392" t="n"/>
      <c r="BL609" s="1392" t="n"/>
      <c r="BM609" s="1392" t="n"/>
      <c r="BN609" s="1392" t="n"/>
      <c r="BO609" s="1392" t="n"/>
      <c r="BP609" s="1392" t="n"/>
      <c r="BQ609" s="1392" t="n"/>
      <c r="BR609" s="1392" t="n"/>
      <c r="BS609" s="1392" t="n"/>
      <c r="BT609" s="1392" t="n"/>
      <c r="BU609" s="1416" t="n"/>
      <c r="BV609" s="1392" t="n"/>
      <c r="BW609" s="1392" t="n"/>
      <c r="BX609" s="1392" t="n"/>
      <c r="BY609" s="1392" t="n"/>
      <c r="BZ609" s="1416" t="n"/>
      <c r="CA609" s="1392" t="n"/>
      <c r="CB609" s="1392" t="n"/>
      <c r="CC609" s="1392" t="n"/>
      <c r="CD609" s="1392" t="n"/>
      <c r="CE609" s="1392" t="n"/>
      <c r="CF609" s="1392" t="n"/>
      <c r="CG609" s="1392" t="n"/>
      <c r="CH609" s="1392" t="n"/>
      <c r="CI609" s="1392" t="n"/>
      <c r="CJ609" s="1392" t="n"/>
      <c r="CK609" s="1392" t="n"/>
      <c r="CL609" s="1392" t="n"/>
    </row>
    <row r="610">
      <c r="A610" s="5" t="inlineStr">
        <is>
          <t>.</t>
        </is>
      </c>
      <c r="B610" s="5" t="inlineStr">
        <is>
          <t>.</t>
        </is>
      </c>
      <c r="C610" s="1378">
        <f>IF(raw[[#This Row],[city]]="","-",IF(raw[[#This Row],[city]]="TODAY","-",C609+1))</f>
        <v/>
      </c>
      <c r="D610" s="1393" t="inlineStr">
        <is>
          <t>Porto Seguro</t>
        </is>
      </c>
      <c r="E610" s="1394" t="n">
        <v>36521</v>
      </c>
      <c r="F610" s="1394" t="n">
        <v>36526</v>
      </c>
      <c r="G610" s="1393" t="inlineStr">
        <is>
          <t>-</t>
        </is>
      </c>
      <c r="H610" s="1393" t="inlineStr">
        <is>
          <t>Joao Pondé</t>
        </is>
      </c>
      <c r="I610" s="1393" t="inlineStr">
        <is>
          <t>-</t>
        </is>
      </c>
      <c r="J610" s="1393" t="inlineStr">
        <is>
          <t>-</t>
        </is>
      </c>
      <c r="K610" s="1395">
        <f>IF(raw[[#This Row],[city]]&lt;&gt;"",_xlfn.XLOOKUP($D610,ccc[city],ccc[prov],"-"),"-")</f>
        <v/>
      </c>
      <c r="L610" s="1395">
        <f>IF(raw[[#This Row],[city]]&lt;&gt;"",_xlfn.XLOOKUP($D610,ccc[city],ccc[ctry],"-"),"-")</f>
        <v/>
      </c>
      <c r="M610" s="1395">
        <f>IF(raw[[#This Row],[city]]&lt;&gt;"",_xlfn.XLOOKUP($D610,ccc[city],ccc[cont],"-"),"-")</f>
        <v/>
      </c>
      <c r="N610" s="1396">
        <f>IF(raw[[#This Row],[city]]="","-",IF(raw[[#This Row],[cont]]="B",raw[[#This Row],[cont]],"W"))</f>
        <v/>
      </c>
      <c r="O610" s="1397">
        <f>IF(raw[[#This Row],[out]]=0,0,IF(raw[[#This Row],[out]]=raw[[#This Row],[in]],0.01,raw[[#This Row],[out]]-raw[[#This Row],[in]]))</f>
        <v/>
      </c>
      <c r="P610" s="1397">
        <f>IF(raw[[#This Row],[in]]=0,0,MONTH(raw[[#This Row],[in]]))</f>
        <v/>
      </c>
      <c r="Q610" s="1397">
        <f>IF(raw[[#This Row],[in]]=0,0,YEAR(raw[[#This Row],[in]]))</f>
        <v/>
      </c>
      <c r="R610" s="1397">
        <f>INT(raw[[#This Row],[yr]]/10)*10</f>
        <v/>
      </c>
      <c r="S610" s="1395">
        <f>IF(raw[[#This Row],[city]]="","-",IF(raw[[#This Row],[city]]&lt;&gt;_xlfn.XLOOKUP(raw[[#This Row],[home]],homes[home],homes[city],"-"),1,0))</f>
        <v/>
      </c>
      <c r="T610" s="1398" t="inlineStr">
        <is>
          <t>.</t>
        </is>
      </c>
      <c r="U610" s="1399">
        <f>IF(raw[[#This Row],[wb]]="w",raw[[#This Row],[stay]]+U609,U609)</f>
        <v/>
      </c>
      <c r="V610" s="1400">
        <f>IF(raw[[#This Row],[out]]=0,V609,(raw[[#This Row],[out]]-E$5))</f>
        <v/>
      </c>
      <c r="W610" s="1401">
        <f>U610/V610</f>
        <v/>
      </c>
      <c r="X610" s="1378" t="inlineStr">
        <is>
          <t>.</t>
        </is>
      </c>
      <c r="Y610" s="1402">
        <f/>
        <v/>
      </c>
      <c r="Z610" s="1403">
        <f/>
        <v/>
      </c>
      <c r="AA610" s="1403">
        <f/>
        <v/>
      </c>
      <c r="AB610" s="1400">
        <f t="array" ref="AB610">_xlfn.LET(_xlpm.S,_xlfn.ANCHORARRAY($Y$4),_xlpm.r,ROWS(stayCity[[#Headers],[city]]:stayCity[[#This Row],[city]])-1,IF(_xlpm.r&lt;=ROWS(_xlpm.S),INDEX(_xlpm.S,_xlpm.r,1),""))</f>
        <v/>
      </c>
      <c r="AC610" s="1405">
        <f t="array" ref="AC610">_xlfn.LET(_xlpm.S,_xlfn.ANCHORARRAY($Y$4),_xlpm.r,ROWS(stayCity[[#Headers],[city]]:stayCity[[#This Row],[city]])-1,IF(_xlpm.r&lt;=ROWS(_xlpm.S),INDEX(_xlpm.S,_xlpm.r,2),""))</f>
        <v/>
      </c>
      <c r="AD610" s="1405">
        <f t="array" ref="AD610">_xlfn.LET(_xlpm.S,_xlfn.ANCHORARRAY($Y$4),_xlpm.r,ROWS(stayCity[[#Headers],[city]]:stayCity[[#This Row],[city]])-1,IF(_xlpm.r&lt;=ROWS(_xlpm.S),INDEX(_xlpm.S,_xlpm.r,3),""))</f>
        <v/>
      </c>
      <c r="AE610" s="1400">
        <f>IF(stayCity[[#This Row],[out]]&lt;&gt;"",stayCity[[#This Row],[out]]-stayCity[[#This Row],[in]],"-")</f>
        <v/>
      </c>
      <c r="AF610" s="1406">
        <f>IF(Y610="","-",YEAR(stayCity[[#This Row],[in]]))</f>
        <v/>
      </c>
      <c r="AG610" s="1392" t="n"/>
      <c r="AH610" s="1392" t="n"/>
      <c r="AI610" s="1392" t="n"/>
      <c r="AJ610" s="1392" t="n"/>
      <c r="AK610" s="1392" t="n"/>
      <c r="AL610" s="1392" t="n"/>
      <c r="AM610" s="1392" t="n"/>
      <c r="AN610" s="1392" t="n"/>
      <c r="AO610" s="1392" t="n"/>
      <c r="AP610" s="1392" t="n"/>
      <c r="AQ610" s="1392" t="n"/>
      <c r="AR610" s="1392" t="n"/>
      <c r="AS610" s="1422" t="n"/>
      <c r="AT610" s="1392" t="n"/>
      <c r="AU610" s="1392" t="n"/>
      <c r="AV610" s="1392" t="n"/>
      <c r="AW610" s="1392" t="n"/>
      <c r="AX610" s="1392" t="n"/>
      <c r="AY610" s="1392" t="n"/>
      <c r="AZ610" s="1392" t="n"/>
      <c r="BA610" s="1392" t="n"/>
      <c r="BB610" s="1422" t="n"/>
      <c r="BC610" s="1392" t="n"/>
      <c r="BD610" s="1392" t="n"/>
      <c r="BE610" s="1392" t="n"/>
      <c r="BF610" s="1392" t="n"/>
      <c r="BG610" s="1392" t="n"/>
      <c r="BH610" s="1392" t="n"/>
      <c r="BI610" s="1392" t="n"/>
      <c r="BJ610" s="1392" t="n"/>
      <c r="BK610" s="1392" t="n"/>
      <c r="BL610" s="1392" t="n"/>
      <c r="BM610" s="1392" t="n"/>
      <c r="BN610" s="1392" t="n"/>
      <c r="BO610" s="1392" t="n"/>
      <c r="BP610" s="1392" t="n"/>
      <c r="BQ610" s="1392" t="n"/>
      <c r="BR610" s="1392" t="n"/>
      <c r="BS610" s="1392" t="n"/>
      <c r="BT610" s="1392" t="n"/>
      <c r="BU610" s="1416" t="n"/>
      <c r="BV610" s="1392" t="n"/>
      <c r="BW610" s="1392" t="n"/>
      <c r="BX610" s="1392" t="n"/>
      <c r="BY610" s="1392" t="n"/>
      <c r="BZ610" s="1416" t="n"/>
      <c r="CA610" s="1392" t="n"/>
      <c r="CB610" s="1392" t="n"/>
      <c r="CC610" s="1392" t="n"/>
      <c r="CD610" s="1392" t="n"/>
      <c r="CE610" s="1392" t="n"/>
      <c r="CF610" s="1392" t="n"/>
      <c r="CG610" s="1392" t="n"/>
      <c r="CH610" s="1392" t="n"/>
      <c r="CI610" s="1392" t="n"/>
      <c r="CJ610" s="1392" t="n"/>
      <c r="CK610" s="1392" t="n"/>
      <c r="CL610" s="1392" t="n"/>
    </row>
    <row r="611">
      <c r="A611" s="5" t="inlineStr">
        <is>
          <t>.</t>
        </is>
      </c>
      <c r="B611" s="5" t="inlineStr">
        <is>
          <t>.</t>
        </is>
      </c>
      <c r="C611" s="1378">
        <f>IF(raw[[#This Row],[city]]="","-",IF(raw[[#This Row],[city]]="TODAY","-",C610+1))</f>
        <v/>
      </c>
      <c r="D611" s="1393" t="inlineStr">
        <is>
          <t>Porto Seguro</t>
        </is>
      </c>
      <c r="E611" s="1394" t="n">
        <v>36526</v>
      </c>
      <c r="F611" s="1394" t="n">
        <v>36530</v>
      </c>
      <c r="G611" s="1393" t="inlineStr">
        <is>
          <t>-</t>
        </is>
      </c>
      <c r="H611" s="1393" t="inlineStr">
        <is>
          <t>Joao Pondé</t>
        </is>
      </c>
      <c r="I611" s="1393" t="inlineStr">
        <is>
          <t>-</t>
        </is>
      </c>
      <c r="J611" s="1393" t="inlineStr">
        <is>
          <t>REV</t>
        </is>
      </c>
      <c r="K611" s="1395">
        <f>IF(raw[[#This Row],[city]]&lt;&gt;"",_xlfn.XLOOKUP($D611,ccc[city],ccc[prov],"-"),"-")</f>
        <v/>
      </c>
      <c r="L611" s="1395">
        <f>IF(raw[[#This Row],[city]]&lt;&gt;"",_xlfn.XLOOKUP($D611,ccc[city],ccc[ctry],"-"),"-")</f>
        <v/>
      </c>
      <c r="M611" s="1395">
        <f>IF(raw[[#This Row],[city]]&lt;&gt;"",_xlfn.XLOOKUP($D611,ccc[city],ccc[cont],"-"),"-")</f>
        <v/>
      </c>
      <c r="N611" s="1396">
        <f>IF(raw[[#This Row],[city]]="","-",IF(raw[[#This Row],[cont]]="B",raw[[#This Row],[cont]],"W"))</f>
        <v/>
      </c>
      <c r="O611" s="1397">
        <f>IF(raw[[#This Row],[out]]=0,0,IF(raw[[#This Row],[out]]=raw[[#This Row],[in]],0.01,raw[[#This Row],[out]]-raw[[#This Row],[in]]))</f>
        <v/>
      </c>
      <c r="P611" s="1397">
        <f>IF(raw[[#This Row],[in]]=0,0,MONTH(raw[[#This Row],[in]]))</f>
        <v/>
      </c>
      <c r="Q611" s="1397">
        <f>IF(raw[[#This Row],[in]]=0,0,YEAR(raw[[#This Row],[in]]))</f>
        <v/>
      </c>
      <c r="R611" s="1397">
        <f>INT(raw[[#This Row],[yr]]/10)*10</f>
        <v/>
      </c>
      <c r="S611" s="1395">
        <f>IF(raw[[#This Row],[city]]="","-",IF(raw[[#This Row],[city]]&lt;&gt;_xlfn.XLOOKUP(raw[[#This Row],[home]],homes[home],homes[city],"-"),1,0))</f>
        <v/>
      </c>
      <c r="T611" s="1398" t="inlineStr">
        <is>
          <t>.</t>
        </is>
      </c>
      <c r="U611" s="1399">
        <f>IF(raw[[#This Row],[wb]]="w",raw[[#This Row],[stay]]+U610,U610)</f>
        <v/>
      </c>
      <c r="V611" s="1400">
        <f>IF(raw[[#This Row],[out]]=0,V610,(raw[[#This Row],[out]]-E$5))</f>
        <v/>
      </c>
      <c r="W611" s="1401">
        <f>U611/V611</f>
        <v/>
      </c>
      <c r="X611" s="1378" t="inlineStr">
        <is>
          <t>.</t>
        </is>
      </c>
      <c r="Y611" s="1402">
        <f/>
        <v/>
      </c>
      <c r="Z611" s="1403">
        <f/>
        <v/>
      </c>
      <c r="AA611" s="1403">
        <f/>
        <v/>
      </c>
      <c r="AB611" s="1400">
        <f t="array" ref="AB611">_xlfn.LET(_xlpm.S,_xlfn.ANCHORARRAY($Y$4),_xlpm.r,ROWS(stayCity[[#Headers],[city]]:stayCity[[#This Row],[city]])-1,IF(_xlpm.r&lt;=ROWS(_xlpm.S),INDEX(_xlpm.S,_xlpm.r,1),""))</f>
        <v/>
      </c>
      <c r="AC611" s="1405">
        <f t="array" ref="AC611">_xlfn.LET(_xlpm.S,_xlfn.ANCHORARRAY($Y$4),_xlpm.r,ROWS(stayCity[[#Headers],[city]]:stayCity[[#This Row],[city]])-1,IF(_xlpm.r&lt;=ROWS(_xlpm.S),INDEX(_xlpm.S,_xlpm.r,2),""))</f>
        <v/>
      </c>
      <c r="AD611" s="1405">
        <f t="array" ref="AD611">_xlfn.LET(_xlpm.S,_xlfn.ANCHORARRAY($Y$4),_xlpm.r,ROWS(stayCity[[#Headers],[city]]:stayCity[[#This Row],[city]])-1,IF(_xlpm.r&lt;=ROWS(_xlpm.S),INDEX(_xlpm.S,_xlpm.r,3),""))</f>
        <v/>
      </c>
      <c r="AE611" s="1400">
        <f>IF(stayCity[[#This Row],[out]]&lt;&gt;"",stayCity[[#This Row],[out]]-stayCity[[#This Row],[in]],"-")</f>
        <v/>
      </c>
      <c r="AF611" s="1406">
        <f>IF(Y611="","-",YEAR(stayCity[[#This Row],[in]]))</f>
        <v/>
      </c>
      <c r="AG611" s="1392" t="n"/>
      <c r="AH611" s="1392" t="n"/>
      <c r="AI611" s="1392" t="n"/>
      <c r="AJ611" s="1392" t="n"/>
      <c r="AK611" s="1392" t="n"/>
      <c r="AL611" s="1392" t="n"/>
      <c r="AM611" s="1392" t="n"/>
      <c r="AN611" s="1392" t="n"/>
      <c r="AO611" s="1392" t="n"/>
      <c r="AP611" s="1392" t="n"/>
      <c r="AQ611" s="1392" t="n"/>
      <c r="AR611" s="1392" t="n"/>
      <c r="AS611" s="1422" t="n"/>
      <c r="AT611" s="1392" t="n"/>
      <c r="AU611" s="1392" t="n"/>
      <c r="AV611" s="1392" t="n"/>
      <c r="AW611" s="1392" t="n"/>
      <c r="AX611" s="1392" t="n"/>
      <c r="AY611" s="1392" t="n"/>
      <c r="AZ611" s="1392" t="n"/>
      <c r="BA611" s="1392" t="n"/>
      <c r="BB611" s="1422" t="n"/>
      <c r="BC611" s="1392" t="n"/>
      <c r="BD611" s="1392" t="n"/>
      <c r="BE611" s="1392" t="n"/>
      <c r="BF611" s="1392" t="n"/>
      <c r="BG611" s="1392" t="n"/>
      <c r="BH611" s="1392" t="n"/>
      <c r="BI611" s="1392" t="n"/>
      <c r="BJ611" s="1392" t="n"/>
      <c r="BK611" s="1392" t="n"/>
      <c r="BL611" s="1392" t="n"/>
      <c r="BM611" s="1392" t="n"/>
      <c r="BN611" s="1392" t="n"/>
      <c r="BO611" s="1392" t="n"/>
      <c r="BP611" s="1392" t="n"/>
      <c r="BQ611" s="1392" t="n"/>
      <c r="BR611" s="1392" t="n"/>
      <c r="BS611" s="1392" t="n"/>
      <c r="BT611" s="1392" t="n"/>
      <c r="BU611" s="1416" t="n"/>
      <c r="BV611" s="1392" t="n"/>
      <c r="BW611" s="1392" t="n"/>
      <c r="BX611" s="1392" t="n"/>
      <c r="BY611" s="1392" t="n"/>
      <c r="BZ611" s="1416" t="n"/>
      <c r="CA611" s="1392" t="n"/>
      <c r="CB611" s="1392" t="n"/>
      <c r="CC611" s="1392" t="n"/>
      <c r="CD611" s="1392" t="n"/>
      <c r="CE611" s="1392" t="n"/>
      <c r="CF611" s="1392" t="n"/>
      <c r="CG611" s="1392" t="n"/>
      <c r="CH611" s="1392" t="n"/>
      <c r="CI611" s="1392" t="n"/>
      <c r="CJ611" s="1392" t="n"/>
      <c r="CK611" s="1392" t="n"/>
      <c r="CL611" s="1392" t="n"/>
    </row>
    <row r="612">
      <c r="A612" s="5" t="inlineStr">
        <is>
          <t>.</t>
        </is>
      </c>
      <c r="B612" s="5" t="inlineStr">
        <is>
          <t>.</t>
        </is>
      </c>
      <c r="C612" s="1378">
        <f>IF(raw[[#This Row],[city]]="","-",IF(raw[[#This Row],[city]]="TODAY","-",C611+1))</f>
        <v/>
      </c>
      <c r="D612" s="1393" t="inlineStr">
        <is>
          <t>SSA</t>
        </is>
      </c>
      <c r="E612" s="1394" t="n">
        <v>36530</v>
      </c>
      <c r="F612" s="1394" t="n">
        <v>36557</v>
      </c>
      <c r="G612" s="1393" t="inlineStr">
        <is>
          <t>-</t>
        </is>
      </c>
      <c r="H612" s="1393" t="inlineStr">
        <is>
          <t>Joao Pondé</t>
        </is>
      </c>
      <c r="I612" s="1393" t="inlineStr">
        <is>
          <t>-</t>
        </is>
      </c>
      <c r="J612" s="1393" t="inlineStr">
        <is>
          <t>-</t>
        </is>
      </c>
      <c r="K612" s="1395">
        <f>IF(raw[[#This Row],[city]]&lt;&gt;"",_xlfn.XLOOKUP($D612,ccc[city],ccc[prov],"-"),"-")</f>
        <v/>
      </c>
      <c r="L612" s="1395">
        <f>IF(raw[[#This Row],[city]]&lt;&gt;"",_xlfn.XLOOKUP($D612,ccc[city],ccc[ctry],"-"),"-")</f>
        <v/>
      </c>
      <c r="M612" s="1395">
        <f>IF(raw[[#This Row],[city]]&lt;&gt;"",_xlfn.XLOOKUP($D612,ccc[city],ccc[cont],"-"),"-")</f>
        <v/>
      </c>
      <c r="N612" s="1396">
        <f>IF(raw[[#This Row],[city]]="","-",IF(raw[[#This Row],[cont]]="B",raw[[#This Row],[cont]],"W"))</f>
        <v/>
      </c>
      <c r="O612" s="1397">
        <f>IF(raw[[#This Row],[out]]=0,0,IF(raw[[#This Row],[out]]=raw[[#This Row],[in]],0.01,raw[[#This Row],[out]]-raw[[#This Row],[in]]))</f>
        <v/>
      </c>
      <c r="P612" s="1397">
        <f>IF(raw[[#This Row],[in]]=0,0,MONTH(raw[[#This Row],[in]]))</f>
        <v/>
      </c>
      <c r="Q612" s="1397">
        <f>IF(raw[[#This Row],[in]]=0,0,YEAR(raw[[#This Row],[in]]))</f>
        <v/>
      </c>
      <c r="R612" s="1397">
        <f>INT(raw[[#This Row],[yr]]/10)*10</f>
        <v/>
      </c>
      <c r="S612" s="1395">
        <f>IF(raw[[#This Row],[city]]="","-",IF(raw[[#This Row],[city]]&lt;&gt;_xlfn.XLOOKUP(raw[[#This Row],[home]],homes[home],homes[city],"-"),1,0))</f>
        <v/>
      </c>
      <c r="T612" s="1398" t="inlineStr">
        <is>
          <t>.</t>
        </is>
      </c>
      <c r="U612" s="1399">
        <f>IF(raw[[#This Row],[wb]]="w",raw[[#This Row],[stay]]+U611,U611)</f>
        <v/>
      </c>
      <c r="V612" s="1400">
        <f>IF(raw[[#This Row],[out]]=0,V611,(raw[[#This Row],[out]]-E$5))</f>
        <v/>
      </c>
      <c r="W612" s="1401">
        <f>U612/V612</f>
        <v/>
      </c>
      <c r="X612" s="1378" t="inlineStr">
        <is>
          <t>.</t>
        </is>
      </c>
      <c r="Y612" s="1402">
        <f/>
        <v/>
      </c>
      <c r="Z612" s="1403">
        <f/>
        <v/>
      </c>
      <c r="AA612" s="1403">
        <f/>
        <v/>
      </c>
      <c r="AB612" s="1400">
        <f t="array" ref="AB612">_xlfn.LET(_xlpm.S,_xlfn.ANCHORARRAY($Y$4),_xlpm.r,ROWS(stayCity[[#Headers],[city]]:stayCity[[#This Row],[city]])-1,IF(_xlpm.r&lt;=ROWS(_xlpm.S),INDEX(_xlpm.S,_xlpm.r,1),""))</f>
        <v/>
      </c>
      <c r="AC612" s="1405">
        <f t="array" ref="AC612">_xlfn.LET(_xlpm.S,_xlfn.ANCHORARRAY($Y$4),_xlpm.r,ROWS(stayCity[[#Headers],[city]]:stayCity[[#This Row],[city]])-1,IF(_xlpm.r&lt;=ROWS(_xlpm.S),INDEX(_xlpm.S,_xlpm.r,2),""))</f>
        <v/>
      </c>
      <c r="AD612" s="1405">
        <f t="array" ref="AD612">_xlfn.LET(_xlpm.S,_xlfn.ANCHORARRAY($Y$4),_xlpm.r,ROWS(stayCity[[#Headers],[city]]:stayCity[[#This Row],[city]])-1,IF(_xlpm.r&lt;=ROWS(_xlpm.S),INDEX(_xlpm.S,_xlpm.r,3),""))</f>
        <v/>
      </c>
      <c r="AE612" s="1400">
        <f>IF(stayCity[[#This Row],[out]]&lt;&gt;"",stayCity[[#This Row],[out]]-stayCity[[#This Row],[in]],"-")</f>
        <v/>
      </c>
      <c r="AF612" s="1406">
        <f>IF(Y612="","-",YEAR(stayCity[[#This Row],[in]]))</f>
        <v/>
      </c>
      <c r="AG612" s="1392" t="n"/>
      <c r="AH612" s="1392" t="n"/>
      <c r="AI612" s="1392" t="n"/>
      <c r="AJ612" s="1392" t="n"/>
      <c r="AK612" s="1392" t="n"/>
      <c r="AL612" s="1392" t="n"/>
      <c r="AM612" s="1392" t="n"/>
      <c r="AN612" s="1392" t="n"/>
      <c r="AO612" s="1392" t="n"/>
      <c r="AP612" s="1392" t="n"/>
      <c r="AQ612" s="1392" t="n"/>
      <c r="AR612" s="1392" t="n"/>
      <c r="AS612" s="1422" t="n"/>
      <c r="AT612" s="1392" t="n"/>
      <c r="AU612" s="1392" t="n"/>
      <c r="AV612" s="1392" t="n"/>
      <c r="AW612" s="1392" t="n"/>
      <c r="AX612" s="1392" t="n"/>
      <c r="AY612" s="1392" t="n"/>
      <c r="AZ612" s="1392" t="n"/>
      <c r="BA612" s="1392" t="n"/>
      <c r="BB612" s="1422" t="n"/>
      <c r="BC612" s="1392" t="n"/>
      <c r="BD612" s="1392" t="n"/>
      <c r="BE612" s="1392" t="n"/>
      <c r="BF612" s="1392" t="n"/>
      <c r="BG612" s="1392" t="n"/>
      <c r="BH612" s="1392" t="n"/>
      <c r="BI612" s="1392" t="n"/>
      <c r="BJ612" s="1392" t="n"/>
      <c r="BK612" s="1392" t="n"/>
      <c r="BL612" s="1392" t="n"/>
      <c r="BM612" s="1392" t="n"/>
      <c r="BN612" s="1392" t="n"/>
      <c r="BO612" s="1392" t="n"/>
      <c r="BP612" s="1392" t="n"/>
      <c r="BQ612" s="1392" t="n"/>
      <c r="BR612" s="1392" t="n"/>
      <c r="BS612" s="1392" t="n"/>
      <c r="BT612" s="1392" t="n"/>
      <c r="BU612" s="1416" t="n"/>
      <c r="BV612" s="1392" t="n"/>
      <c r="BW612" s="1392" t="n"/>
      <c r="BX612" s="1392" t="n"/>
      <c r="BY612" s="1392" t="n"/>
      <c r="BZ612" s="1416" t="n"/>
      <c r="CA612" s="1392" t="n"/>
      <c r="CB612" s="1392" t="n"/>
      <c r="CC612" s="1392" t="n"/>
      <c r="CD612" s="1392" t="n"/>
      <c r="CE612" s="1392" t="n"/>
      <c r="CF612" s="1392" t="n"/>
      <c r="CG612" s="1392" t="n"/>
      <c r="CH612" s="1392" t="n"/>
      <c r="CI612" s="1392" t="n"/>
      <c r="CJ612" s="1392" t="n"/>
      <c r="CK612" s="1392" t="n"/>
      <c r="CL612" s="1392" t="n"/>
    </row>
    <row r="613">
      <c r="A613" s="5" t="inlineStr">
        <is>
          <t>.</t>
        </is>
      </c>
      <c r="B613" s="5" t="inlineStr">
        <is>
          <t>.</t>
        </is>
      </c>
      <c r="C613" s="1378">
        <f>IF(raw[[#This Row],[city]]="","-",IF(raw[[#This Row],[city]]="TODAY","-",C612+1))</f>
        <v/>
      </c>
      <c r="D613" s="1393" t="inlineStr">
        <is>
          <t>SSA</t>
        </is>
      </c>
      <c r="E613" s="1394" t="n">
        <v>36557</v>
      </c>
      <c r="F613" s="1394" t="n">
        <v>36561</v>
      </c>
      <c r="G613" s="1393" t="n">
        <v>1</v>
      </c>
      <c r="H613" s="1393" t="inlineStr">
        <is>
          <t>Joao Pondé</t>
        </is>
      </c>
      <c r="I613" s="1393" t="inlineStr">
        <is>
          <t>-</t>
        </is>
      </c>
      <c r="J613" s="1393" t="inlineStr">
        <is>
          <t>-</t>
        </is>
      </c>
      <c r="K613" s="1395">
        <f>IF(raw[[#This Row],[city]]&lt;&gt;"",_xlfn.XLOOKUP($D613,ccc[city],ccc[prov],"-"),"-")</f>
        <v/>
      </c>
      <c r="L613" s="1395">
        <f>IF(raw[[#This Row],[city]]&lt;&gt;"",_xlfn.XLOOKUP($D613,ccc[city],ccc[ctry],"-"),"-")</f>
        <v/>
      </c>
      <c r="M613" s="1395">
        <f>IF(raw[[#This Row],[city]]&lt;&gt;"",_xlfn.XLOOKUP($D613,ccc[city],ccc[cont],"-"),"-")</f>
        <v/>
      </c>
      <c r="N613" s="1396">
        <f>IF(raw[[#This Row],[city]]="","-",IF(raw[[#This Row],[cont]]="B",raw[[#This Row],[cont]],"W"))</f>
        <v/>
      </c>
      <c r="O613" s="1397">
        <f>IF(raw[[#This Row],[out]]=0,0,IF(raw[[#This Row],[out]]=raw[[#This Row],[in]],0.01,raw[[#This Row],[out]]-raw[[#This Row],[in]]))</f>
        <v/>
      </c>
      <c r="P613" s="1397">
        <f>IF(raw[[#This Row],[in]]=0,0,MONTH(raw[[#This Row],[in]]))</f>
        <v/>
      </c>
      <c r="Q613" s="1397">
        <f>IF(raw[[#This Row],[in]]=0,0,YEAR(raw[[#This Row],[in]]))</f>
        <v/>
      </c>
      <c r="R613" s="1397">
        <f>INT(raw[[#This Row],[yr]]/10)*10</f>
        <v/>
      </c>
      <c r="S613" s="1395">
        <f>IF(raw[[#This Row],[city]]="","-",IF(raw[[#This Row],[city]]&lt;&gt;_xlfn.XLOOKUP(raw[[#This Row],[home]],homes[home],homes[city],"-"),1,0))</f>
        <v/>
      </c>
      <c r="T613" s="1398" t="inlineStr">
        <is>
          <t>.</t>
        </is>
      </c>
      <c r="U613" s="1399">
        <f>IF(raw[[#This Row],[wb]]="w",raw[[#This Row],[stay]]+U612,U612)</f>
        <v/>
      </c>
      <c r="V613" s="1400">
        <f>IF(raw[[#This Row],[out]]=0,V612,(raw[[#This Row],[out]]-E$5))</f>
        <v/>
      </c>
      <c r="W613" s="1401">
        <f>U613/V613</f>
        <v/>
      </c>
      <c r="X613" s="1378" t="inlineStr">
        <is>
          <t>.</t>
        </is>
      </c>
      <c r="Y613" s="1402">
        <f/>
        <v/>
      </c>
      <c r="Z613" s="1403">
        <f/>
        <v/>
      </c>
      <c r="AA613" s="1403">
        <f/>
        <v/>
      </c>
      <c r="AB613" s="1400">
        <f t="array" ref="AB613">_xlfn.LET(_xlpm.S,_xlfn.ANCHORARRAY($Y$4),_xlpm.r,ROWS(stayCity[[#Headers],[city]]:stayCity[[#This Row],[city]])-1,IF(_xlpm.r&lt;=ROWS(_xlpm.S),INDEX(_xlpm.S,_xlpm.r,1),""))</f>
        <v/>
      </c>
      <c r="AC613" s="1405">
        <f t="array" ref="AC613">_xlfn.LET(_xlpm.S,_xlfn.ANCHORARRAY($Y$4),_xlpm.r,ROWS(stayCity[[#Headers],[city]]:stayCity[[#This Row],[city]])-1,IF(_xlpm.r&lt;=ROWS(_xlpm.S),INDEX(_xlpm.S,_xlpm.r,2),""))</f>
        <v/>
      </c>
      <c r="AD613" s="1405">
        <f t="array" ref="AD613">_xlfn.LET(_xlpm.S,_xlfn.ANCHORARRAY($Y$4),_xlpm.r,ROWS(stayCity[[#Headers],[city]]:stayCity[[#This Row],[city]])-1,IF(_xlpm.r&lt;=ROWS(_xlpm.S),INDEX(_xlpm.S,_xlpm.r,3),""))</f>
        <v/>
      </c>
      <c r="AE613" s="1400">
        <f>IF(stayCity[[#This Row],[out]]&lt;&gt;"",stayCity[[#This Row],[out]]-stayCity[[#This Row],[in]],"-")</f>
        <v/>
      </c>
      <c r="AF613" s="1406">
        <f>IF(Y613="","-",YEAR(stayCity[[#This Row],[in]]))</f>
        <v/>
      </c>
      <c r="AG613" s="1392" t="n"/>
      <c r="AH613" s="1392" t="n"/>
      <c r="AI613" s="1392" t="n"/>
      <c r="AJ613" s="1392" t="n"/>
      <c r="AK613" s="1392" t="n"/>
      <c r="AL613" s="1392" t="n"/>
      <c r="AM613" s="1392" t="n"/>
      <c r="AN613" s="1392" t="n"/>
      <c r="AO613" s="1392" t="n"/>
      <c r="AP613" s="1392" t="n"/>
      <c r="AQ613" s="1392" t="n"/>
      <c r="AR613" s="1392" t="n"/>
      <c r="AS613" s="1422" t="n"/>
      <c r="AT613" s="1392" t="n"/>
      <c r="AU613" s="1392" t="n"/>
      <c r="AV613" s="1392" t="n"/>
      <c r="AW613" s="1392" t="n"/>
      <c r="AX613" s="1392" t="n"/>
      <c r="AY613" s="1392" t="n"/>
      <c r="AZ613" s="1392" t="n"/>
      <c r="BA613" s="1392" t="n"/>
      <c r="BB613" s="1422" t="n"/>
      <c r="BC613" s="1392" t="n"/>
      <c r="BD613" s="1392" t="n"/>
      <c r="BE613" s="1392" t="n"/>
      <c r="BF613" s="1392" t="n"/>
      <c r="BG613" s="1392" t="n"/>
      <c r="BH613" s="1392" t="n"/>
      <c r="BI613" s="1392" t="n"/>
      <c r="BJ613" s="1392" t="n"/>
      <c r="BK613" s="1392" t="n"/>
      <c r="BL613" s="1392" t="n"/>
      <c r="BM613" s="1392" t="n"/>
      <c r="BN613" s="1392" t="n"/>
      <c r="BO613" s="1392" t="n"/>
      <c r="BP613" s="1392" t="n"/>
      <c r="BQ613" s="1392" t="n"/>
      <c r="BR613" s="1392" t="n"/>
      <c r="BS613" s="1392" t="n"/>
      <c r="BT613" s="1392" t="n"/>
      <c r="BU613" s="1416" t="n"/>
      <c r="BV613" s="1392" t="n"/>
      <c r="BW613" s="1392" t="n"/>
      <c r="BX613" s="1392" t="n"/>
      <c r="BY613" s="1392" t="n"/>
      <c r="BZ613" s="1416" t="n"/>
      <c r="CA613" s="1392" t="n"/>
      <c r="CB613" s="1392" t="n"/>
      <c r="CC613" s="1392" t="n"/>
      <c r="CD613" s="1392" t="n"/>
      <c r="CE613" s="1392" t="n"/>
      <c r="CF613" s="1392" t="n"/>
      <c r="CG613" s="1392" t="n"/>
      <c r="CH613" s="1392" t="n"/>
      <c r="CI613" s="1392" t="n"/>
      <c r="CJ613" s="1392" t="n"/>
      <c r="CK613" s="1392" t="n"/>
      <c r="CL613" s="1392" t="n"/>
    </row>
    <row r="614">
      <c r="A614" s="5" t="inlineStr">
        <is>
          <t>.</t>
        </is>
      </c>
      <c r="B614" s="5" t="inlineStr">
        <is>
          <t>.</t>
        </is>
      </c>
      <c r="C614" s="1378">
        <f>IF(raw[[#This Row],[city]]="","-",IF(raw[[#This Row],[city]]="TODAY","-",C613+1))</f>
        <v/>
      </c>
      <c r="D614" s="1393" t="inlineStr">
        <is>
          <t>SP</t>
        </is>
      </c>
      <c r="E614" s="1394" t="n">
        <v>36561</v>
      </c>
      <c r="F614" s="1394" t="n">
        <v>36586</v>
      </c>
      <c r="G614" s="1393" t="inlineStr">
        <is>
          <t>-</t>
        </is>
      </c>
      <c r="H614" s="1393" t="inlineStr">
        <is>
          <t>Transit</t>
        </is>
      </c>
      <c r="I614" s="1393" t="inlineStr">
        <is>
          <t>Casa Branca</t>
        </is>
      </c>
      <c r="J614" s="1393" t="inlineStr">
        <is>
          <t>-</t>
        </is>
      </c>
      <c r="K614" s="1395">
        <f>IF(raw[[#This Row],[city]]&lt;&gt;"",_xlfn.XLOOKUP($D614,ccc[city],ccc[prov],"-"),"-")</f>
        <v/>
      </c>
      <c r="L614" s="1395">
        <f>IF(raw[[#This Row],[city]]&lt;&gt;"",_xlfn.XLOOKUP($D614,ccc[city],ccc[ctry],"-"),"-")</f>
        <v/>
      </c>
      <c r="M614" s="1395">
        <f>IF(raw[[#This Row],[city]]&lt;&gt;"",_xlfn.XLOOKUP($D614,ccc[city],ccc[cont],"-"),"-")</f>
        <v/>
      </c>
      <c r="N614" s="1396">
        <f>IF(raw[[#This Row],[city]]="","-",IF(raw[[#This Row],[cont]]="B",raw[[#This Row],[cont]],"W"))</f>
        <v/>
      </c>
      <c r="O614" s="1397">
        <f>IF(raw[[#This Row],[out]]=0,0,IF(raw[[#This Row],[out]]=raw[[#This Row],[in]],0.01,raw[[#This Row],[out]]-raw[[#This Row],[in]]))</f>
        <v/>
      </c>
      <c r="P614" s="1397">
        <f>IF(raw[[#This Row],[in]]=0,0,MONTH(raw[[#This Row],[in]]))</f>
        <v/>
      </c>
      <c r="Q614" s="1397">
        <f>IF(raw[[#This Row],[in]]=0,0,YEAR(raw[[#This Row],[in]]))</f>
        <v/>
      </c>
      <c r="R614" s="1397">
        <f>INT(raw[[#This Row],[yr]]/10)*10</f>
        <v/>
      </c>
      <c r="S614" s="1395">
        <f>IF(raw[[#This Row],[city]]="","-",IF(raw[[#This Row],[city]]&lt;&gt;_xlfn.XLOOKUP(raw[[#This Row],[home]],homes[home],homes[city],"-"),1,0))</f>
        <v/>
      </c>
      <c r="T614" s="1398" t="inlineStr">
        <is>
          <t>.</t>
        </is>
      </c>
      <c r="U614" s="1399">
        <f>IF(raw[[#This Row],[wb]]="w",raw[[#This Row],[stay]]+U613,U613)</f>
        <v/>
      </c>
      <c r="V614" s="1400">
        <f>IF(raw[[#This Row],[out]]=0,V613,(raw[[#This Row],[out]]-E$5))</f>
        <v/>
      </c>
      <c r="W614" s="1401">
        <f>U614/V614</f>
        <v/>
      </c>
      <c r="X614" s="1378" t="inlineStr">
        <is>
          <t>.</t>
        </is>
      </c>
      <c r="Y614" s="1402">
        <f/>
        <v/>
      </c>
      <c r="Z614" s="1403">
        <f/>
        <v/>
      </c>
      <c r="AA614" s="1403">
        <f/>
        <v/>
      </c>
      <c r="AB614" s="1400">
        <f t="array" ref="AB614">_xlfn.LET(_xlpm.S,_xlfn.ANCHORARRAY($Y$4),_xlpm.r,ROWS(stayCity[[#Headers],[city]]:stayCity[[#This Row],[city]])-1,IF(_xlpm.r&lt;=ROWS(_xlpm.S),INDEX(_xlpm.S,_xlpm.r,1),""))</f>
        <v/>
      </c>
      <c r="AC614" s="1405">
        <f t="array" ref="AC614">_xlfn.LET(_xlpm.S,_xlfn.ANCHORARRAY($Y$4),_xlpm.r,ROWS(stayCity[[#Headers],[city]]:stayCity[[#This Row],[city]])-1,IF(_xlpm.r&lt;=ROWS(_xlpm.S),INDEX(_xlpm.S,_xlpm.r,2),""))</f>
        <v/>
      </c>
      <c r="AD614" s="1405">
        <f t="array" ref="AD614">_xlfn.LET(_xlpm.S,_xlfn.ANCHORARRAY($Y$4),_xlpm.r,ROWS(stayCity[[#Headers],[city]]:stayCity[[#This Row],[city]])-1,IF(_xlpm.r&lt;=ROWS(_xlpm.S),INDEX(_xlpm.S,_xlpm.r,3),""))</f>
        <v/>
      </c>
      <c r="AE614" s="1400">
        <f>IF(stayCity[[#This Row],[out]]&lt;&gt;"",stayCity[[#This Row],[out]]-stayCity[[#This Row],[in]],"-")</f>
        <v/>
      </c>
      <c r="AF614" s="1406">
        <f>IF(Y614="","-",YEAR(stayCity[[#This Row],[in]]))</f>
        <v/>
      </c>
      <c r="AG614" s="1392" t="n"/>
      <c r="AH614" s="1392" t="n"/>
      <c r="AI614" s="1392" t="n"/>
      <c r="AJ614" s="1392" t="n"/>
      <c r="AK614" s="1392" t="n"/>
      <c r="AL614" s="1392" t="n"/>
      <c r="AM614" s="1392" t="n"/>
      <c r="AN614" s="1392" t="n"/>
      <c r="AO614" s="1392" t="n"/>
      <c r="AP614" s="1392" t="n"/>
      <c r="AQ614" s="1392" t="n"/>
      <c r="AR614" s="1392" t="n"/>
      <c r="AS614" s="1422" t="n"/>
      <c r="AT614" s="1392" t="n"/>
      <c r="AU614" s="1392" t="n"/>
      <c r="AV614" s="1392" t="n"/>
      <c r="AW614" s="1392" t="n"/>
      <c r="AX614" s="1392" t="n"/>
      <c r="AY614" s="1392" t="n"/>
      <c r="AZ614" s="1392" t="n"/>
      <c r="BA614" s="1392" t="n"/>
      <c r="BB614" s="1422" t="n"/>
      <c r="BC614" s="1392" t="n"/>
      <c r="BD614" s="1392" t="n"/>
      <c r="BE614" s="1392" t="n"/>
      <c r="BF614" s="1392" t="n"/>
      <c r="BG614" s="1392" t="n"/>
      <c r="BH614" s="1392" t="n"/>
      <c r="BI614" s="1392" t="n"/>
      <c r="BJ614" s="1392" t="n"/>
      <c r="BK614" s="1392" t="n"/>
      <c r="BL614" s="1392" t="n"/>
      <c r="BM614" s="1392" t="n"/>
      <c r="BN614" s="1392" t="n"/>
      <c r="BO614" s="1392" t="n"/>
      <c r="BP614" s="1392" t="n"/>
      <c r="BQ614" s="1392" t="n"/>
      <c r="BR614" s="1392" t="n"/>
      <c r="BS614" s="1392" t="n"/>
      <c r="BT614" s="1392" t="n"/>
      <c r="BU614" s="1416" t="n"/>
      <c r="BV614" s="1392" t="n"/>
      <c r="BW614" s="1392" t="n"/>
      <c r="BX614" s="1392" t="n"/>
      <c r="BY614" s="1392" t="n"/>
      <c r="BZ614" s="1416" t="n"/>
      <c r="CA614" s="1392" t="n"/>
      <c r="CB614" s="1392" t="n"/>
      <c r="CC614" s="1392" t="n"/>
      <c r="CD614" s="1392" t="n"/>
      <c r="CE614" s="1392" t="n"/>
      <c r="CF614" s="1392" t="n"/>
      <c r="CG614" s="1392" t="n"/>
      <c r="CH614" s="1392" t="n"/>
      <c r="CI614" s="1392" t="n"/>
      <c r="CJ614" s="1392" t="n"/>
      <c r="CK614" s="1392" t="n"/>
      <c r="CL614" s="1392" t="n"/>
    </row>
    <row r="615">
      <c r="A615" s="5" t="inlineStr">
        <is>
          <t>.</t>
        </is>
      </c>
      <c r="B615" s="5" t="inlineStr">
        <is>
          <t>.</t>
        </is>
      </c>
      <c r="C615" s="1378">
        <f>IF(raw[[#This Row],[city]]="","-",IF(raw[[#This Row],[city]]="TODAY","-",C614+1))</f>
        <v/>
      </c>
      <c r="D615" s="1393" t="inlineStr">
        <is>
          <t>SP</t>
        </is>
      </c>
      <c r="E615" s="1394" t="n">
        <v>36586</v>
      </c>
      <c r="F615" s="1394" t="n">
        <v>36607</v>
      </c>
      <c r="G615" s="1393" t="n">
        <v>1</v>
      </c>
      <c r="H615" s="1393" t="inlineStr">
        <is>
          <t>Joaquim Eugenio</t>
        </is>
      </c>
      <c r="I615" s="1393" t="inlineStr">
        <is>
          <t>-</t>
        </is>
      </c>
      <c r="J615" s="1393" t="inlineStr">
        <is>
          <t>-</t>
        </is>
      </c>
      <c r="K615" s="1395">
        <f>IF(raw[[#This Row],[city]]&lt;&gt;"",_xlfn.XLOOKUP($D615,ccc[city],ccc[prov],"-"),"-")</f>
        <v/>
      </c>
      <c r="L615" s="1395">
        <f>IF(raw[[#This Row],[city]]&lt;&gt;"",_xlfn.XLOOKUP($D615,ccc[city],ccc[ctry],"-"),"-")</f>
        <v/>
      </c>
      <c r="M615" s="1395">
        <f>IF(raw[[#This Row],[city]]&lt;&gt;"",_xlfn.XLOOKUP($D615,ccc[city],ccc[cont],"-"),"-")</f>
        <v/>
      </c>
      <c r="N615" s="1396">
        <f>IF(raw[[#This Row],[city]]="","-",IF(raw[[#This Row],[cont]]="B",raw[[#This Row],[cont]],"W"))</f>
        <v/>
      </c>
      <c r="O615" s="1397">
        <f>IF(raw[[#This Row],[out]]=0,0,IF(raw[[#This Row],[out]]=raw[[#This Row],[in]],0.01,raw[[#This Row],[out]]-raw[[#This Row],[in]]))</f>
        <v/>
      </c>
      <c r="P615" s="1397">
        <f>IF(raw[[#This Row],[in]]=0,0,MONTH(raw[[#This Row],[in]]))</f>
        <v/>
      </c>
      <c r="Q615" s="1397">
        <f>IF(raw[[#This Row],[in]]=0,0,YEAR(raw[[#This Row],[in]]))</f>
        <v/>
      </c>
      <c r="R615" s="1397">
        <f>INT(raw[[#This Row],[yr]]/10)*10</f>
        <v/>
      </c>
      <c r="S615" s="1395">
        <f>IF(raw[[#This Row],[city]]="","-",IF(raw[[#This Row],[city]]&lt;&gt;_xlfn.XLOOKUP(raw[[#This Row],[home]],homes[home],homes[city],"-"),1,0))</f>
        <v/>
      </c>
      <c r="T615" s="1398" t="inlineStr">
        <is>
          <t>.</t>
        </is>
      </c>
      <c r="U615" s="1399">
        <f>IF(raw[[#This Row],[wb]]="w",raw[[#This Row],[stay]]+U614,U614)</f>
        <v/>
      </c>
      <c r="V615" s="1400">
        <f>IF(raw[[#This Row],[out]]=0,V614,(raw[[#This Row],[out]]-E$5))</f>
        <v/>
      </c>
      <c r="W615" s="1401">
        <f>U615/V615</f>
        <v/>
      </c>
      <c r="X615" s="1378" t="inlineStr">
        <is>
          <t>.</t>
        </is>
      </c>
      <c r="Y615" s="1402">
        <f/>
        <v/>
      </c>
      <c r="Z615" s="1403">
        <f/>
        <v/>
      </c>
      <c r="AA615" s="1403">
        <f/>
        <v/>
      </c>
      <c r="AB615" s="1400">
        <f t="array" ref="AB615">_xlfn.LET(_xlpm.S,_xlfn.ANCHORARRAY($Y$4),_xlpm.r,ROWS(stayCity[[#Headers],[city]]:stayCity[[#This Row],[city]])-1,IF(_xlpm.r&lt;=ROWS(_xlpm.S),INDEX(_xlpm.S,_xlpm.r,1),""))</f>
        <v/>
      </c>
      <c r="AC615" s="1405">
        <f t="array" ref="AC615">_xlfn.LET(_xlpm.S,_xlfn.ANCHORARRAY($Y$4),_xlpm.r,ROWS(stayCity[[#Headers],[city]]:stayCity[[#This Row],[city]])-1,IF(_xlpm.r&lt;=ROWS(_xlpm.S),INDEX(_xlpm.S,_xlpm.r,2),""))</f>
        <v/>
      </c>
      <c r="AD615" s="1405">
        <f t="array" ref="AD615">_xlfn.LET(_xlpm.S,_xlfn.ANCHORARRAY($Y$4),_xlpm.r,ROWS(stayCity[[#Headers],[city]]:stayCity[[#This Row],[city]])-1,IF(_xlpm.r&lt;=ROWS(_xlpm.S),INDEX(_xlpm.S,_xlpm.r,3),""))</f>
        <v/>
      </c>
      <c r="AE615" s="1400">
        <f>IF(stayCity[[#This Row],[out]]&lt;&gt;"",stayCity[[#This Row],[out]]-stayCity[[#This Row],[in]],"-")</f>
        <v/>
      </c>
      <c r="AF615" s="1406">
        <f>IF(Y615="","-",YEAR(stayCity[[#This Row],[in]]))</f>
        <v/>
      </c>
      <c r="AG615" s="1392" t="n"/>
      <c r="AH615" s="1392" t="n"/>
      <c r="AI615" s="1392" t="n"/>
      <c r="AJ615" s="1392" t="n"/>
      <c r="AK615" s="1392" t="n"/>
      <c r="AL615" s="1392" t="n"/>
      <c r="AM615" s="1392" t="n"/>
      <c r="AN615" s="1392" t="n"/>
      <c r="AO615" s="1392" t="n"/>
      <c r="AP615" s="1392" t="n"/>
      <c r="AQ615" s="1392" t="n"/>
      <c r="AR615" s="1392" t="n"/>
      <c r="AS615" s="1422" t="n"/>
      <c r="AT615" s="1392" t="n"/>
      <c r="AU615" s="1392" t="n"/>
      <c r="AV615" s="1392" t="n"/>
      <c r="AW615" s="1392" t="n"/>
      <c r="AX615" s="1392" t="n"/>
      <c r="AY615" s="1392" t="n"/>
      <c r="AZ615" s="1392" t="n"/>
      <c r="BA615" s="1392" t="n"/>
      <c r="BB615" s="1422" t="n"/>
      <c r="BC615" s="1392" t="n"/>
      <c r="BD615" s="1392" t="n"/>
      <c r="BE615" s="1392" t="n"/>
      <c r="BF615" s="1392" t="n"/>
      <c r="BG615" s="1392" t="n"/>
      <c r="BH615" s="1392" t="n"/>
      <c r="BI615" s="1392" t="n"/>
      <c r="BJ615" s="1392" t="n"/>
      <c r="BK615" s="1392" t="n"/>
      <c r="BL615" s="1392" t="n"/>
      <c r="BM615" s="1392" t="n"/>
      <c r="BN615" s="1392" t="n"/>
      <c r="BO615" s="1392" t="n"/>
      <c r="BP615" s="1392" t="n"/>
      <c r="BQ615" s="1392" t="n"/>
      <c r="BR615" s="1392" t="n"/>
      <c r="BS615" s="1392" t="n"/>
      <c r="BT615" s="1392" t="n"/>
      <c r="BU615" s="1416" t="n"/>
      <c r="BV615" s="1392" t="n"/>
      <c r="BW615" s="1392" t="n"/>
      <c r="BX615" s="1392" t="n"/>
      <c r="BY615" s="1392" t="n"/>
      <c r="BZ615" s="1416" t="n"/>
      <c r="CA615" s="1392" t="n"/>
      <c r="CB615" s="1392" t="n"/>
      <c r="CC615" s="1392" t="n"/>
      <c r="CD615" s="1392" t="n"/>
      <c r="CE615" s="1392" t="n"/>
      <c r="CF615" s="1392" t="n"/>
      <c r="CG615" s="1392" t="n"/>
      <c r="CH615" s="1392" t="n"/>
      <c r="CI615" s="1392" t="n"/>
      <c r="CJ615" s="1392" t="n"/>
      <c r="CK615" s="1392" t="n"/>
      <c r="CL615" s="1392" t="n"/>
    </row>
    <row r="616">
      <c r="A616" s="5" t="inlineStr">
        <is>
          <t>.</t>
        </is>
      </c>
      <c r="B616" s="5" t="inlineStr">
        <is>
          <t>.</t>
        </is>
      </c>
      <c r="C616" s="1378">
        <f>IF(raw[[#This Row],[city]]="","-",IF(raw[[#This Row],[city]]="TODAY","-",C615+1))</f>
        <v/>
      </c>
      <c r="D616" s="1393" t="inlineStr">
        <is>
          <t>SSA</t>
        </is>
      </c>
      <c r="E616" s="1394" t="n">
        <v>36607</v>
      </c>
      <c r="F616" s="1394" t="n">
        <v>36614</v>
      </c>
      <c r="G616" s="1393" t="n">
        <v>1</v>
      </c>
      <c r="H616" s="1393" t="inlineStr">
        <is>
          <t>Joaquim Eugenio</t>
        </is>
      </c>
      <c r="I616" s="1393" t="inlineStr">
        <is>
          <t>Ondina</t>
        </is>
      </c>
      <c r="J616" s="1393" t="inlineStr">
        <is>
          <t>-</t>
        </is>
      </c>
      <c r="K616" s="1395">
        <f>IF(raw[[#This Row],[city]]&lt;&gt;"",_xlfn.XLOOKUP($D616,ccc[city],ccc[prov],"-"),"-")</f>
        <v/>
      </c>
      <c r="L616" s="1395">
        <f>IF(raw[[#This Row],[city]]&lt;&gt;"",_xlfn.XLOOKUP($D616,ccc[city],ccc[ctry],"-"),"-")</f>
        <v/>
      </c>
      <c r="M616" s="1395">
        <f>IF(raw[[#This Row],[city]]&lt;&gt;"",_xlfn.XLOOKUP($D616,ccc[city],ccc[cont],"-"),"-")</f>
        <v/>
      </c>
      <c r="N616" s="1396">
        <f>IF(raw[[#This Row],[city]]="","-",IF(raw[[#This Row],[cont]]="B",raw[[#This Row],[cont]],"W"))</f>
        <v/>
      </c>
      <c r="O616" s="1397">
        <f>IF(raw[[#This Row],[out]]=0,0,IF(raw[[#This Row],[out]]=raw[[#This Row],[in]],0.01,raw[[#This Row],[out]]-raw[[#This Row],[in]]))</f>
        <v/>
      </c>
      <c r="P616" s="1397">
        <f>IF(raw[[#This Row],[in]]=0,0,MONTH(raw[[#This Row],[in]]))</f>
        <v/>
      </c>
      <c r="Q616" s="1397">
        <f>IF(raw[[#This Row],[in]]=0,0,YEAR(raw[[#This Row],[in]]))</f>
        <v/>
      </c>
      <c r="R616" s="1397">
        <f>INT(raw[[#This Row],[yr]]/10)*10</f>
        <v/>
      </c>
      <c r="S616" s="1395">
        <f>IF(raw[[#This Row],[city]]="","-",IF(raw[[#This Row],[city]]&lt;&gt;_xlfn.XLOOKUP(raw[[#This Row],[home]],homes[home],homes[city],"-"),1,0))</f>
        <v/>
      </c>
      <c r="T616" s="1398" t="inlineStr">
        <is>
          <t>.</t>
        </is>
      </c>
      <c r="U616" s="1399">
        <f>IF(raw[[#This Row],[wb]]="w",raw[[#This Row],[stay]]+U615,U615)</f>
        <v/>
      </c>
      <c r="V616" s="1400">
        <f>IF(raw[[#This Row],[out]]=0,V615,(raw[[#This Row],[out]]-E$5))</f>
        <v/>
      </c>
      <c r="W616" s="1401">
        <f>U616/V616</f>
        <v/>
      </c>
      <c r="X616" s="1378" t="inlineStr">
        <is>
          <t>.</t>
        </is>
      </c>
      <c r="Y616" s="1402">
        <f/>
        <v/>
      </c>
      <c r="Z616" s="1403">
        <f/>
        <v/>
      </c>
      <c r="AA616" s="1403">
        <f/>
        <v/>
      </c>
      <c r="AB616" s="1400">
        <f t="array" ref="AB616">_xlfn.LET(_xlpm.S,_xlfn.ANCHORARRAY($Y$4),_xlpm.r,ROWS(stayCity[[#Headers],[city]]:stayCity[[#This Row],[city]])-1,IF(_xlpm.r&lt;=ROWS(_xlpm.S),INDEX(_xlpm.S,_xlpm.r,1),""))</f>
        <v/>
      </c>
      <c r="AC616" s="1405">
        <f t="array" ref="AC616">_xlfn.LET(_xlpm.S,_xlfn.ANCHORARRAY($Y$4),_xlpm.r,ROWS(stayCity[[#Headers],[city]]:stayCity[[#This Row],[city]])-1,IF(_xlpm.r&lt;=ROWS(_xlpm.S),INDEX(_xlpm.S,_xlpm.r,2),""))</f>
        <v/>
      </c>
      <c r="AD616" s="1405">
        <f t="array" ref="AD616">_xlfn.LET(_xlpm.S,_xlfn.ANCHORARRAY($Y$4),_xlpm.r,ROWS(stayCity[[#Headers],[city]]:stayCity[[#This Row],[city]])-1,IF(_xlpm.r&lt;=ROWS(_xlpm.S),INDEX(_xlpm.S,_xlpm.r,3),""))</f>
        <v/>
      </c>
      <c r="AE616" s="1400">
        <f>IF(stayCity[[#This Row],[out]]&lt;&gt;"",stayCity[[#This Row],[out]]-stayCity[[#This Row],[in]],"-")</f>
        <v/>
      </c>
      <c r="AF616" s="1406">
        <f>IF(Y616="","-",YEAR(stayCity[[#This Row],[in]]))</f>
        <v/>
      </c>
      <c r="AG616" s="1392" t="n"/>
      <c r="AH616" s="1392" t="n"/>
      <c r="AI616" s="1392" t="n"/>
      <c r="AJ616" s="1392" t="n"/>
      <c r="AK616" s="1392" t="n"/>
      <c r="AL616" s="1392" t="n"/>
      <c r="AM616" s="1392" t="n"/>
      <c r="AN616" s="1392" t="n"/>
      <c r="AO616" s="1392" t="n"/>
      <c r="AP616" s="1392" t="n"/>
      <c r="AQ616" s="1392" t="n"/>
      <c r="AR616" s="1392" t="n"/>
      <c r="AS616" s="1422" t="n"/>
      <c r="AT616" s="1392" t="n"/>
      <c r="AU616" s="1392" t="n"/>
      <c r="AV616" s="1392" t="n"/>
      <c r="AW616" s="1392" t="n"/>
      <c r="AX616" s="1392" t="n"/>
      <c r="AY616" s="1392" t="n"/>
      <c r="AZ616" s="1392" t="n"/>
      <c r="BA616" s="1392" t="n"/>
      <c r="BB616" s="1422" t="n"/>
      <c r="BC616" s="1392" t="n"/>
      <c r="BD616" s="1392" t="n"/>
      <c r="BE616" s="1392" t="n"/>
      <c r="BF616" s="1392" t="n"/>
      <c r="BG616" s="1392" t="n"/>
      <c r="BH616" s="1392" t="n"/>
      <c r="BI616" s="1392" t="n"/>
      <c r="BJ616" s="1392" t="n"/>
      <c r="BK616" s="1392" t="n"/>
      <c r="BL616" s="1392" t="n"/>
      <c r="BM616" s="1392" t="n"/>
      <c r="BN616" s="1392" t="n"/>
      <c r="BO616" s="1392" t="n"/>
      <c r="BP616" s="1392" t="n"/>
      <c r="BQ616" s="1392" t="n"/>
      <c r="BR616" s="1392" t="n"/>
      <c r="BS616" s="1392" t="n"/>
      <c r="BT616" s="1392" t="n"/>
      <c r="BU616" s="1416" t="n"/>
      <c r="BV616" s="1392" t="n"/>
      <c r="BW616" s="1392" t="n"/>
      <c r="BX616" s="1392" t="n"/>
      <c r="BY616" s="1392" t="n"/>
      <c r="BZ616" s="1416" t="n"/>
      <c r="CA616" s="1392" t="n"/>
      <c r="CB616" s="1392" t="n"/>
      <c r="CC616" s="1392" t="n"/>
      <c r="CD616" s="1392" t="n"/>
      <c r="CE616" s="1392" t="n"/>
      <c r="CF616" s="1392" t="n"/>
      <c r="CG616" s="1392" t="n"/>
      <c r="CH616" s="1392" t="n"/>
      <c r="CI616" s="1392" t="n"/>
      <c r="CJ616" s="1392" t="n"/>
      <c r="CK616" s="1392" t="n"/>
      <c r="CL616" s="1392" t="n"/>
    </row>
    <row r="617">
      <c r="A617" s="5" t="inlineStr">
        <is>
          <t>.</t>
        </is>
      </c>
      <c r="B617" s="5" t="inlineStr">
        <is>
          <t>.</t>
        </is>
      </c>
      <c r="C617" s="1378">
        <f>IF(raw[[#This Row],[city]]="","-",IF(raw[[#This Row],[city]]="TODAY","-",C616+1))</f>
        <v/>
      </c>
      <c r="D617" s="1393" t="inlineStr">
        <is>
          <t>SP</t>
        </is>
      </c>
      <c r="E617" s="1394" t="n">
        <v>36614</v>
      </c>
      <c r="F617" s="1394" t="n">
        <v>36617</v>
      </c>
      <c r="G617" s="1393" t="inlineStr">
        <is>
          <t>-</t>
        </is>
      </c>
      <c r="H617" s="1393" t="inlineStr">
        <is>
          <t>Joaquim Eugenio</t>
        </is>
      </c>
      <c r="I617" s="1393" t="inlineStr">
        <is>
          <t>-</t>
        </is>
      </c>
      <c r="J617" s="1393" t="inlineStr">
        <is>
          <t>-</t>
        </is>
      </c>
      <c r="K617" s="1395">
        <f>IF(raw[[#This Row],[city]]&lt;&gt;"",_xlfn.XLOOKUP($D617,ccc[city],ccc[prov],"-"),"-")</f>
        <v/>
      </c>
      <c r="L617" s="1395">
        <f>IF(raw[[#This Row],[city]]&lt;&gt;"",_xlfn.XLOOKUP($D617,ccc[city],ccc[ctry],"-"),"-")</f>
        <v/>
      </c>
      <c r="M617" s="1395">
        <f>IF(raw[[#This Row],[city]]&lt;&gt;"",_xlfn.XLOOKUP($D617,ccc[city],ccc[cont],"-"),"-")</f>
        <v/>
      </c>
      <c r="N617" s="1396">
        <f>IF(raw[[#This Row],[city]]="","-",IF(raw[[#This Row],[cont]]="B",raw[[#This Row],[cont]],"W"))</f>
        <v/>
      </c>
      <c r="O617" s="1397">
        <f>IF(raw[[#This Row],[out]]=0,0,IF(raw[[#This Row],[out]]=raw[[#This Row],[in]],0.01,raw[[#This Row],[out]]-raw[[#This Row],[in]]))</f>
        <v/>
      </c>
      <c r="P617" s="1397">
        <f>IF(raw[[#This Row],[in]]=0,0,MONTH(raw[[#This Row],[in]]))</f>
        <v/>
      </c>
      <c r="Q617" s="1397">
        <f>IF(raw[[#This Row],[in]]=0,0,YEAR(raw[[#This Row],[in]]))</f>
        <v/>
      </c>
      <c r="R617" s="1397">
        <f>INT(raw[[#This Row],[yr]]/10)*10</f>
        <v/>
      </c>
      <c r="S617" s="1395">
        <f>IF(raw[[#This Row],[city]]="","-",IF(raw[[#This Row],[city]]&lt;&gt;_xlfn.XLOOKUP(raw[[#This Row],[home]],homes[home],homes[city],"-"),1,0))</f>
        <v/>
      </c>
      <c r="T617" s="1398" t="inlineStr">
        <is>
          <t>.</t>
        </is>
      </c>
      <c r="U617" s="1399">
        <f>IF(raw[[#This Row],[wb]]="w",raw[[#This Row],[stay]]+U616,U616)</f>
        <v/>
      </c>
      <c r="V617" s="1400">
        <f>IF(raw[[#This Row],[out]]=0,V616,(raw[[#This Row],[out]]-E$5))</f>
        <v/>
      </c>
      <c r="W617" s="1401">
        <f>U617/V617</f>
        <v/>
      </c>
      <c r="X617" s="1378" t="inlineStr">
        <is>
          <t>.</t>
        </is>
      </c>
      <c r="Y617" s="1402">
        <f/>
        <v/>
      </c>
      <c r="Z617" s="1403">
        <f/>
        <v/>
      </c>
      <c r="AA617" s="1403">
        <f/>
        <v/>
      </c>
      <c r="AB617" s="1400">
        <f t="array" ref="AB617">_xlfn.LET(_xlpm.S,_xlfn.ANCHORARRAY($Y$4),_xlpm.r,ROWS(stayCity[[#Headers],[city]]:stayCity[[#This Row],[city]])-1,IF(_xlpm.r&lt;=ROWS(_xlpm.S),INDEX(_xlpm.S,_xlpm.r,1),""))</f>
        <v/>
      </c>
      <c r="AC617" s="1405">
        <f t="array" ref="AC617">_xlfn.LET(_xlpm.S,_xlfn.ANCHORARRAY($Y$4),_xlpm.r,ROWS(stayCity[[#Headers],[city]]:stayCity[[#This Row],[city]])-1,IF(_xlpm.r&lt;=ROWS(_xlpm.S),INDEX(_xlpm.S,_xlpm.r,2),""))</f>
        <v/>
      </c>
      <c r="AD617" s="1405">
        <f t="array" ref="AD617">_xlfn.LET(_xlpm.S,_xlfn.ANCHORARRAY($Y$4),_xlpm.r,ROWS(stayCity[[#Headers],[city]]:stayCity[[#This Row],[city]])-1,IF(_xlpm.r&lt;=ROWS(_xlpm.S),INDEX(_xlpm.S,_xlpm.r,3),""))</f>
        <v/>
      </c>
      <c r="AE617" s="1400">
        <f>IF(stayCity[[#This Row],[out]]&lt;&gt;"",stayCity[[#This Row],[out]]-stayCity[[#This Row],[in]],"-")</f>
        <v/>
      </c>
      <c r="AF617" s="1406">
        <f>IF(Y617="","-",YEAR(stayCity[[#This Row],[in]]))</f>
        <v/>
      </c>
      <c r="AG617" s="1392" t="n"/>
      <c r="AH617" s="1392" t="n"/>
      <c r="AI617" s="1392" t="n"/>
      <c r="AJ617" s="1392" t="n"/>
      <c r="AK617" s="1392" t="n"/>
      <c r="AL617" s="1392" t="n"/>
      <c r="AM617" s="1392" t="n"/>
      <c r="AN617" s="1392" t="n"/>
      <c r="AO617" s="1392" t="n"/>
      <c r="AP617" s="1392" t="n"/>
      <c r="AQ617" s="1392" t="n"/>
      <c r="AR617" s="1392" t="n"/>
      <c r="AS617" s="1422" t="n"/>
      <c r="AT617" s="1392" t="n"/>
      <c r="AU617" s="1392" t="n"/>
      <c r="AV617" s="1392" t="n"/>
      <c r="AW617" s="1392" t="n"/>
      <c r="AX617" s="1392" t="n"/>
      <c r="AY617" s="1392" t="n"/>
      <c r="AZ617" s="1392" t="n"/>
      <c r="BA617" s="1392" t="n"/>
      <c r="BB617" s="1422" t="n"/>
      <c r="BC617" s="1392" t="n"/>
      <c r="BD617" s="1392" t="n"/>
      <c r="BE617" s="1392" t="n"/>
      <c r="BF617" s="1392" t="n"/>
      <c r="BG617" s="1392" t="n"/>
      <c r="BH617" s="1392" t="n"/>
      <c r="BI617" s="1392" t="n"/>
      <c r="BJ617" s="1392" t="n"/>
      <c r="BK617" s="1392" t="n"/>
      <c r="BL617" s="1392" t="n"/>
      <c r="BM617" s="1392" t="n"/>
      <c r="BN617" s="1392" t="n"/>
      <c r="BO617" s="1392" t="n"/>
      <c r="BP617" s="1392" t="n"/>
      <c r="BQ617" s="1392" t="n"/>
      <c r="BR617" s="1392" t="n"/>
      <c r="BS617" s="1392" t="n"/>
      <c r="BT617" s="1392" t="n"/>
      <c r="BU617" s="1416" t="n"/>
      <c r="BV617" s="1392" t="n"/>
      <c r="BW617" s="1392" t="n"/>
      <c r="BX617" s="1392" t="n"/>
      <c r="BY617" s="1392" t="n"/>
      <c r="BZ617" s="1416" t="n"/>
      <c r="CA617" s="1392" t="n"/>
      <c r="CB617" s="1392" t="n"/>
      <c r="CC617" s="1392" t="n"/>
      <c r="CD617" s="1392" t="n"/>
      <c r="CE617" s="1392" t="n"/>
      <c r="CF617" s="1392" t="n"/>
      <c r="CG617" s="1392" t="n"/>
      <c r="CH617" s="1392" t="n"/>
      <c r="CI617" s="1392" t="n"/>
      <c r="CJ617" s="1392" t="n"/>
      <c r="CK617" s="1392" t="n"/>
      <c r="CL617" s="1392" t="n"/>
    </row>
    <row r="618">
      <c r="A618" s="5" t="inlineStr">
        <is>
          <t>.</t>
        </is>
      </c>
      <c r="B618" s="5" t="inlineStr">
        <is>
          <t>.</t>
        </is>
      </c>
      <c r="C618" s="1378">
        <f>IF(raw[[#This Row],[city]]="","-",IF(raw[[#This Row],[city]]="TODAY","-",C617+1))</f>
        <v/>
      </c>
      <c r="D618" s="1393" t="inlineStr">
        <is>
          <t>SP</t>
        </is>
      </c>
      <c r="E618" s="1394" t="n">
        <v>36617</v>
      </c>
      <c r="F618" s="1394" t="n">
        <v>36647</v>
      </c>
      <c r="G618" s="1393" t="inlineStr">
        <is>
          <t>-</t>
        </is>
      </c>
      <c r="H618" s="1393" t="inlineStr">
        <is>
          <t>Joaquim Eugenio</t>
        </is>
      </c>
      <c r="I618" s="1393" t="inlineStr">
        <is>
          <t>-</t>
        </is>
      </c>
      <c r="J618" s="1393" t="inlineStr">
        <is>
          <t>-</t>
        </is>
      </c>
      <c r="K618" s="1395">
        <f>IF(raw[[#This Row],[city]]&lt;&gt;"",_xlfn.XLOOKUP($D618,ccc[city],ccc[prov],"-"),"-")</f>
        <v/>
      </c>
      <c r="L618" s="1395">
        <f>IF(raw[[#This Row],[city]]&lt;&gt;"",_xlfn.XLOOKUP($D618,ccc[city],ccc[ctry],"-"),"-")</f>
        <v/>
      </c>
      <c r="M618" s="1395">
        <f>IF(raw[[#This Row],[city]]&lt;&gt;"",_xlfn.XLOOKUP($D618,ccc[city],ccc[cont],"-"),"-")</f>
        <v/>
      </c>
      <c r="N618" s="1396">
        <f>IF(raw[[#This Row],[city]]="","-",IF(raw[[#This Row],[cont]]="B",raw[[#This Row],[cont]],"W"))</f>
        <v/>
      </c>
      <c r="O618" s="1397">
        <f>IF(raw[[#This Row],[out]]=0,0,IF(raw[[#This Row],[out]]=raw[[#This Row],[in]],0.01,raw[[#This Row],[out]]-raw[[#This Row],[in]]))</f>
        <v/>
      </c>
      <c r="P618" s="1397">
        <f>IF(raw[[#This Row],[in]]=0,0,MONTH(raw[[#This Row],[in]]))</f>
        <v/>
      </c>
      <c r="Q618" s="1397">
        <f>IF(raw[[#This Row],[in]]=0,0,YEAR(raw[[#This Row],[in]]))</f>
        <v/>
      </c>
      <c r="R618" s="1397">
        <f>INT(raw[[#This Row],[yr]]/10)*10</f>
        <v/>
      </c>
      <c r="S618" s="1395">
        <f>IF(raw[[#This Row],[city]]="","-",IF(raw[[#This Row],[city]]&lt;&gt;_xlfn.XLOOKUP(raw[[#This Row],[home]],homes[home],homes[city],"-"),1,0))</f>
        <v/>
      </c>
      <c r="T618" s="1398" t="inlineStr">
        <is>
          <t>.</t>
        </is>
      </c>
      <c r="U618" s="1399">
        <f>IF(raw[[#This Row],[wb]]="w",raw[[#This Row],[stay]]+U617,U617)</f>
        <v/>
      </c>
      <c r="V618" s="1400">
        <f>IF(raw[[#This Row],[out]]=0,V617,(raw[[#This Row],[out]]-E$5))</f>
        <v/>
      </c>
      <c r="W618" s="1401">
        <f>U618/V618</f>
        <v/>
      </c>
      <c r="X618" s="1378" t="inlineStr">
        <is>
          <t>.</t>
        </is>
      </c>
      <c r="Y618" s="1402">
        <f/>
        <v/>
      </c>
      <c r="Z618" s="1403">
        <f/>
        <v/>
      </c>
      <c r="AA618" s="1403">
        <f/>
        <v/>
      </c>
      <c r="AB618" s="1400">
        <f t="array" ref="AB618">_xlfn.LET(_xlpm.S,_xlfn.ANCHORARRAY($Y$4),_xlpm.r,ROWS(stayCity[[#Headers],[city]]:stayCity[[#This Row],[city]])-1,IF(_xlpm.r&lt;=ROWS(_xlpm.S),INDEX(_xlpm.S,_xlpm.r,1),""))</f>
        <v/>
      </c>
      <c r="AC618" s="1405">
        <f t="array" ref="AC618">_xlfn.LET(_xlpm.S,_xlfn.ANCHORARRAY($Y$4),_xlpm.r,ROWS(stayCity[[#Headers],[city]]:stayCity[[#This Row],[city]])-1,IF(_xlpm.r&lt;=ROWS(_xlpm.S),INDEX(_xlpm.S,_xlpm.r,2),""))</f>
        <v/>
      </c>
      <c r="AD618" s="1405">
        <f t="array" ref="AD618">_xlfn.LET(_xlpm.S,_xlfn.ANCHORARRAY($Y$4),_xlpm.r,ROWS(stayCity[[#Headers],[city]]:stayCity[[#This Row],[city]])-1,IF(_xlpm.r&lt;=ROWS(_xlpm.S),INDEX(_xlpm.S,_xlpm.r,3),""))</f>
        <v/>
      </c>
      <c r="AE618" s="1400">
        <f>IF(stayCity[[#This Row],[out]]&lt;&gt;"",stayCity[[#This Row],[out]]-stayCity[[#This Row],[in]],"-")</f>
        <v/>
      </c>
      <c r="AF618" s="1406">
        <f>IF(Y618="","-",YEAR(stayCity[[#This Row],[in]]))</f>
        <v/>
      </c>
      <c r="AG618" s="1392" t="n"/>
      <c r="AH618" s="1392" t="n"/>
      <c r="AI618" s="1392" t="n"/>
      <c r="AJ618" s="1392" t="n"/>
      <c r="AK618" s="1392" t="n"/>
      <c r="AL618" s="1392" t="n"/>
      <c r="AM618" s="1392" t="n"/>
      <c r="AN618" s="1392" t="n"/>
      <c r="AO618" s="1392" t="n"/>
      <c r="AP618" s="1392" t="n"/>
      <c r="AQ618" s="1392" t="n"/>
      <c r="AR618" s="1392" t="n"/>
      <c r="AS618" s="1422" t="n"/>
      <c r="AT618" s="1392" t="n"/>
      <c r="AU618" s="1392" t="n"/>
      <c r="AV618" s="1392" t="n"/>
      <c r="AW618" s="1392" t="n"/>
      <c r="AX618" s="1392" t="n"/>
      <c r="AY618" s="1392" t="n"/>
      <c r="AZ618" s="1392" t="n"/>
      <c r="BA618" s="1392" t="n"/>
      <c r="BB618" s="1422" t="n"/>
      <c r="BC618" s="1392" t="n"/>
      <c r="BD618" s="1392" t="n"/>
      <c r="BE618" s="1392" t="n"/>
      <c r="BF618" s="1392" t="n"/>
      <c r="BG618" s="1392" t="n"/>
      <c r="BH618" s="1392" t="n"/>
      <c r="BI618" s="1392" t="n"/>
      <c r="BJ618" s="1392" t="n"/>
      <c r="BK618" s="1392" t="n"/>
      <c r="BL618" s="1392" t="n"/>
      <c r="BM618" s="1392" t="n"/>
      <c r="BN618" s="1392" t="n"/>
      <c r="BO618" s="1392" t="n"/>
      <c r="BP618" s="1392" t="n"/>
      <c r="BQ618" s="1392" t="n"/>
      <c r="BR618" s="1392" t="n"/>
      <c r="BS618" s="1392" t="n"/>
      <c r="BT618" s="1392" t="n"/>
      <c r="BU618" s="1416" t="n"/>
      <c r="BV618" s="1392" t="n"/>
      <c r="BW618" s="1392" t="n"/>
      <c r="BX618" s="1392" t="n"/>
      <c r="BY618" s="1392" t="n"/>
      <c r="BZ618" s="1416" t="n"/>
      <c r="CA618" s="1392" t="n"/>
      <c r="CB618" s="1392" t="n"/>
      <c r="CC618" s="1392" t="n"/>
      <c r="CD618" s="1392" t="n"/>
      <c r="CE618" s="1392" t="n"/>
      <c r="CF618" s="1392" t="n"/>
      <c r="CG618" s="1392" t="n"/>
      <c r="CH618" s="1392" t="n"/>
      <c r="CI618" s="1392" t="n"/>
      <c r="CJ618" s="1392" t="n"/>
      <c r="CK618" s="1392" t="n"/>
      <c r="CL618" s="1392" t="n"/>
    </row>
    <row r="619">
      <c r="A619" s="5" t="inlineStr">
        <is>
          <t>.</t>
        </is>
      </c>
      <c r="B619" s="5" t="inlineStr">
        <is>
          <t>.</t>
        </is>
      </c>
      <c r="C619" s="1378">
        <f>IF(raw[[#This Row],[city]]="","-",IF(raw[[#This Row],[city]]="TODAY","-",C618+1))</f>
        <v/>
      </c>
      <c r="D619" s="1393" t="inlineStr">
        <is>
          <t>SP</t>
        </is>
      </c>
      <c r="E619" s="1394" t="n">
        <v>36647</v>
      </c>
      <c r="F619" s="1394" t="n">
        <v>36678</v>
      </c>
      <c r="G619" s="1393" t="inlineStr">
        <is>
          <t>-</t>
        </is>
      </c>
      <c r="H619" s="1393" t="inlineStr">
        <is>
          <t>Joaquim Eugenio</t>
        </is>
      </c>
      <c r="I619" s="1393" t="inlineStr">
        <is>
          <t>-</t>
        </is>
      </c>
      <c r="J619" s="1393" t="inlineStr">
        <is>
          <t>-</t>
        </is>
      </c>
      <c r="K619" s="1395">
        <f>IF(raw[[#This Row],[city]]&lt;&gt;"",_xlfn.XLOOKUP($D619,ccc[city],ccc[prov],"-"),"-")</f>
        <v/>
      </c>
      <c r="L619" s="1395">
        <f>IF(raw[[#This Row],[city]]&lt;&gt;"",_xlfn.XLOOKUP($D619,ccc[city],ccc[ctry],"-"),"-")</f>
        <v/>
      </c>
      <c r="M619" s="1395">
        <f>IF(raw[[#This Row],[city]]&lt;&gt;"",_xlfn.XLOOKUP($D619,ccc[city],ccc[cont],"-"),"-")</f>
        <v/>
      </c>
      <c r="N619" s="1396">
        <f>IF(raw[[#This Row],[city]]="","-",IF(raw[[#This Row],[cont]]="B",raw[[#This Row],[cont]],"W"))</f>
        <v/>
      </c>
      <c r="O619" s="1397">
        <f>IF(raw[[#This Row],[out]]=0,0,IF(raw[[#This Row],[out]]=raw[[#This Row],[in]],0.01,raw[[#This Row],[out]]-raw[[#This Row],[in]]))</f>
        <v/>
      </c>
      <c r="P619" s="1397">
        <f>IF(raw[[#This Row],[in]]=0,0,MONTH(raw[[#This Row],[in]]))</f>
        <v/>
      </c>
      <c r="Q619" s="1397">
        <f>IF(raw[[#This Row],[in]]=0,0,YEAR(raw[[#This Row],[in]]))</f>
        <v/>
      </c>
      <c r="R619" s="1397">
        <f>INT(raw[[#This Row],[yr]]/10)*10</f>
        <v/>
      </c>
      <c r="S619" s="1395">
        <f>IF(raw[[#This Row],[city]]="","-",IF(raw[[#This Row],[city]]&lt;&gt;_xlfn.XLOOKUP(raw[[#This Row],[home]],homes[home],homes[city],"-"),1,0))</f>
        <v/>
      </c>
      <c r="T619" s="1398" t="inlineStr">
        <is>
          <t>.</t>
        </is>
      </c>
      <c r="U619" s="1399">
        <f>IF(raw[[#This Row],[wb]]="w",raw[[#This Row],[stay]]+U618,U618)</f>
        <v/>
      </c>
      <c r="V619" s="1400">
        <f>IF(raw[[#This Row],[out]]=0,V618,(raw[[#This Row],[out]]-E$5))</f>
        <v/>
      </c>
      <c r="W619" s="1401">
        <f>U619/V619</f>
        <v/>
      </c>
      <c r="X619" s="1378" t="inlineStr">
        <is>
          <t>.</t>
        </is>
      </c>
      <c r="Y619" s="1402">
        <f/>
        <v/>
      </c>
      <c r="Z619" s="1403">
        <f/>
        <v/>
      </c>
      <c r="AA619" s="1403">
        <f/>
        <v/>
      </c>
      <c r="AB619" s="1400">
        <f t="array" ref="AB619">_xlfn.LET(_xlpm.S,_xlfn.ANCHORARRAY($Y$4),_xlpm.r,ROWS(stayCity[[#Headers],[city]]:stayCity[[#This Row],[city]])-1,IF(_xlpm.r&lt;=ROWS(_xlpm.S),INDEX(_xlpm.S,_xlpm.r,1),""))</f>
        <v/>
      </c>
      <c r="AC619" s="1405">
        <f t="array" ref="AC619">_xlfn.LET(_xlpm.S,_xlfn.ANCHORARRAY($Y$4),_xlpm.r,ROWS(stayCity[[#Headers],[city]]:stayCity[[#This Row],[city]])-1,IF(_xlpm.r&lt;=ROWS(_xlpm.S),INDEX(_xlpm.S,_xlpm.r,2),""))</f>
        <v/>
      </c>
      <c r="AD619" s="1405">
        <f t="array" ref="AD619">_xlfn.LET(_xlpm.S,_xlfn.ANCHORARRAY($Y$4),_xlpm.r,ROWS(stayCity[[#Headers],[city]]:stayCity[[#This Row],[city]])-1,IF(_xlpm.r&lt;=ROWS(_xlpm.S),INDEX(_xlpm.S,_xlpm.r,3),""))</f>
        <v/>
      </c>
      <c r="AE619" s="1400">
        <f>IF(stayCity[[#This Row],[out]]&lt;&gt;"",stayCity[[#This Row],[out]]-stayCity[[#This Row],[in]],"-")</f>
        <v/>
      </c>
      <c r="AF619" s="1406">
        <f>IF(Y619="","-",YEAR(stayCity[[#This Row],[in]]))</f>
        <v/>
      </c>
      <c r="AG619" s="1392" t="n"/>
      <c r="AH619" s="1392" t="n"/>
      <c r="AI619" s="1392" t="n"/>
      <c r="AJ619" s="1392" t="n"/>
      <c r="AK619" s="1392" t="n"/>
      <c r="AL619" s="1392" t="n"/>
      <c r="AM619" s="1392" t="n"/>
      <c r="AN619" s="1392" t="n"/>
      <c r="AO619" s="1392" t="n"/>
      <c r="AP619" s="1392" t="n"/>
      <c r="AQ619" s="1392" t="n"/>
      <c r="AR619" s="1392" t="n"/>
      <c r="AS619" s="1422" t="n"/>
      <c r="AT619" s="1392" t="n"/>
      <c r="AU619" s="1392" t="n"/>
      <c r="AV619" s="1392" t="n"/>
      <c r="AW619" s="1392" t="n"/>
      <c r="AX619" s="1392" t="n"/>
      <c r="AY619" s="1392" t="n"/>
      <c r="AZ619" s="1392" t="n"/>
      <c r="BA619" s="1392" t="n"/>
      <c r="BB619" s="1422" t="n"/>
      <c r="BC619" s="1392" t="n"/>
      <c r="BD619" s="1392" t="n"/>
      <c r="BE619" s="1392" t="n"/>
      <c r="BF619" s="1392" t="n"/>
      <c r="BG619" s="1392" t="n"/>
      <c r="BH619" s="1392" t="n"/>
      <c r="BI619" s="1392" t="n"/>
      <c r="BJ619" s="1392" t="n"/>
      <c r="BK619" s="1392" t="n"/>
      <c r="BL619" s="1392" t="n"/>
      <c r="BM619" s="1392" t="n"/>
      <c r="BN619" s="1392" t="n"/>
      <c r="BO619" s="1392" t="n"/>
      <c r="BP619" s="1392" t="n"/>
      <c r="BQ619" s="1392" t="n"/>
      <c r="BR619" s="1392" t="n"/>
      <c r="BS619" s="1392" t="n"/>
      <c r="BT619" s="1392" t="n"/>
      <c r="BU619" s="1416" t="n"/>
      <c r="BV619" s="1392" t="n"/>
      <c r="BW619" s="1392" t="n"/>
      <c r="BX619" s="1392" t="n"/>
      <c r="BY619" s="1392" t="n"/>
      <c r="BZ619" s="1416" t="n"/>
      <c r="CA619" s="1392" t="n"/>
      <c r="CB619" s="1392" t="n"/>
      <c r="CC619" s="1392" t="n"/>
      <c r="CD619" s="1392" t="n"/>
      <c r="CE619" s="1392" t="n"/>
      <c r="CF619" s="1392" t="n"/>
      <c r="CG619" s="1392" t="n"/>
      <c r="CH619" s="1392" t="n"/>
      <c r="CI619" s="1392" t="n"/>
      <c r="CJ619" s="1392" t="n"/>
      <c r="CK619" s="1392" t="n"/>
      <c r="CL619" s="1392" t="n"/>
    </row>
    <row r="620">
      <c r="A620" s="5" t="inlineStr">
        <is>
          <t>.</t>
        </is>
      </c>
      <c r="B620" s="5" t="inlineStr">
        <is>
          <t>.</t>
        </is>
      </c>
      <c r="C620" s="1378">
        <f>IF(raw[[#This Row],[city]]="","-",IF(raw[[#This Row],[city]]="TODAY","-",C619+1))</f>
        <v/>
      </c>
      <c r="D620" s="1393" t="inlineStr">
        <is>
          <t>SP</t>
        </is>
      </c>
      <c r="E620" s="1394" t="n">
        <v>36678</v>
      </c>
      <c r="F620" s="1394" t="n">
        <v>36699</v>
      </c>
      <c r="G620" s="1393" t="inlineStr">
        <is>
          <t>-</t>
        </is>
      </c>
      <c r="H620" s="1393" t="inlineStr">
        <is>
          <t>Joaquim Eugenio</t>
        </is>
      </c>
      <c r="I620" s="1393" t="inlineStr">
        <is>
          <t>-</t>
        </is>
      </c>
      <c r="J620" s="1393" t="inlineStr">
        <is>
          <t>-</t>
        </is>
      </c>
      <c r="K620" s="1395">
        <f>IF(raw[[#This Row],[city]]&lt;&gt;"",_xlfn.XLOOKUP($D620,ccc[city],ccc[prov],"-"),"-")</f>
        <v/>
      </c>
      <c r="L620" s="1395">
        <f>IF(raw[[#This Row],[city]]&lt;&gt;"",_xlfn.XLOOKUP($D620,ccc[city],ccc[ctry],"-"),"-")</f>
        <v/>
      </c>
      <c r="M620" s="1395">
        <f>IF(raw[[#This Row],[city]]&lt;&gt;"",_xlfn.XLOOKUP($D620,ccc[city],ccc[cont],"-"),"-")</f>
        <v/>
      </c>
      <c r="N620" s="1396">
        <f>IF(raw[[#This Row],[city]]="","-",IF(raw[[#This Row],[cont]]="B",raw[[#This Row],[cont]],"W"))</f>
        <v/>
      </c>
      <c r="O620" s="1397">
        <f>IF(raw[[#This Row],[out]]=0,0,IF(raw[[#This Row],[out]]=raw[[#This Row],[in]],0.01,raw[[#This Row],[out]]-raw[[#This Row],[in]]))</f>
        <v/>
      </c>
      <c r="P620" s="1397">
        <f>IF(raw[[#This Row],[in]]=0,0,MONTH(raw[[#This Row],[in]]))</f>
        <v/>
      </c>
      <c r="Q620" s="1397">
        <f>IF(raw[[#This Row],[in]]=0,0,YEAR(raw[[#This Row],[in]]))</f>
        <v/>
      </c>
      <c r="R620" s="1397">
        <f>INT(raw[[#This Row],[yr]]/10)*10</f>
        <v/>
      </c>
      <c r="S620" s="1395">
        <f>IF(raw[[#This Row],[city]]="","-",IF(raw[[#This Row],[city]]&lt;&gt;_xlfn.XLOOKUP(raw[[#This Row],[home]],homes[home],homes[city],"-"),1,0))</f>
        <v/>
      </c>
      <c r="T620" s="1398" t="inlineStr">
        <is>
          <t>.</t>
        </is>
      </c>
      <c r="U620" s="1399">
        <f>IF(raw[[#This Row],[wb]]="w",raw[[#This Row],[stay]]+U619,U619)</f>
        <v/>
      </c>
      <c r="V620" s="1400">
        <f>IF(raw[[#This Row],[out]]=0,V619,(raw[[#This Row],[out]]-E$5))</f>
        <v/>
      </c>
      <c r="W620" s="1401">
        <f>U620/V620</f>
        <v/>
      </c>
      <c r="X620" s="1378" t="inlineStr">
        <is>
          <t>.</t>
        </is>
      </c>
      <c r="Y620" s="1402">
        <f/>
        <v/>
      </c>
      <c r="Z620" s="1403">
        <f/>
        <v/>
      </c>
      <c r="AA620" s="1403">
        <f/>
        <v/>
      </c>
      <c r="AB620" s="1400">
        <f t="array" ref="AB620">_xlfn.LET(_xlpm.S,_xlfn.ANCHORARRAY($Y$4),_xlpm.r,ROWS(stayCity[[#Headers],[city]]:stayCity[[#This Row],[city]])-1,IF(_xlpm.r&lt;=ROWS(_xlpm.S),INDEX(_xlpm.S,_xlpm.r,1),""))</f>
        <v/>
      </c>
      <c r="AC620" s="1405">
        <f t="array" ref="AC620">_xlfn.LET(_xlpm.S,_xlfn.ANCHORARRAY($Y$4),_xlpm.r,ROWS(stayCity[[#Headers],[city]]:stayCity[[#This Row],[city]])-1,IF(_xlpm.r&lt;=ROWS(_xlpm.S),INDEX(_xlpm.S,_xlpm.r,2),""))</f>
        <v/>
      </c>
      <c r="AD620" s="1405">
        <f t="array" ref="AD620">_xlfn.LET(_xlpm.S,_xlfn.ANCHORARRAY($Y$4),_xlpm.r,ROWS(stayCity[[#Headers],[city]]:stayCity[[#This Row],[city]])-1,IF(_xlpm.r&lt;=ROWS(_xlpm.S),INDEX(_xlpm.S,_xlpm.r,3),""))</f>
        <v/>
      </c>
      <c r="AE620" s="1400">
        <f>IF(stayCity[[#This Row],[out]]&lt;&gt;"",stayCity[[#This Row],[out]]-stayCity[[#This Row],[in]],"-")</f>
        <v/>
      </c>
      <c r="AF620" s="1406">
        <f>IF(Y620="","-",YEAR(stayCity[[#This Row],[in]]))</f>
        <v/>
      </c>
      <c r="AG620" s="1392" t="n"/>
      <c r="AH620" s="1392" t="n"/>
      <c r="AI620" s="1392" t="n"/>
      <c r="AJ620" s="1392" t="n"/>
      <c r="AK620" s="1392" t="n"/>
      <c r="AL620" s="1392" t="n"/>
      <c r="AM620" s="1392" t="n"/>
      <c r="AN620" s="1392" t="n"/>
      <c r="AO620" s="1392" t="n"/>
      <c r="AP620" s="1392" t="n"/>
      <c r="AQ620" s="1392" t="n"/>
      <c r="AR620" s="1392" t="n"/>
      <c r="AS620" s="1422" t="n"/>
      <c r="AT620" s="1392" t="n"/>
      <c r="AU620" s="1392" t="n"/>
      <c r="AV620" s="1392" t="n"/>
      <c r="AW620" s="1392" t="n"/>
      <c r="AX620" s="1392" t="n"/>
      <c r="AY620" s="1392" t="n"/>
      <c r="AZ620" s="1392" t="n"/>
      <c r="BA620" s="1392" t="n"/>
      <c r="BB620" s="1422" t="n"/>
      <c r="BC620" s="1392" t="n"/>
      <c r="BD620" s="1392" t="n"/>
      <c r="BE620" s="1392" t="n"/>
      <c r="BF620" s="1392" t="n"/>
      <c r="BG620" s="1392" t="n"/>
      <c r="BH620" s="1392" t="n"/>
      <c r="BI620" s="1392" t="n"/>
      <c r="BJ620" s="1392" t="n"/>
      <c r="BK620" s="1392" t="n"/>
      <c r="BL620" s="1392" t="n"/>
      <c r="BM620" s="1392" t="n"/>
      <c r="BN620" s="1392" t="n"/>
      <c r="BO620" s="1392" t="n"/>
      <c r="BP620" s="1392" t="n"/>
      <c r="BQ620" s="1392" t="n"/>
      <c r="BR620" s="1392" t="n"/>
      <c r="BS620" s="1392" t="n"/>
      <c r="BT620" s="1392" t="n"/>
      <c r="BU620" s="1416" t="n"/>
      <c r="BV620" s="1392" t="n"/>
      <c r="BW620" s="1392" t="n"/>
      <c r="BX620" s="1392" t="n"/>
      <c r="BY620" s="1392" t="n"/>
      <c r="BZ620" s="1416" t="n"/>
      <c r="CA620" s="1392" t="n"/>
      <c r="CB620" s="1392" t="n"/>
      <c r="CC620" s="1392" t="n"/>
      <c r="CD620" s="1392" t="n"/>
      <c r="CE620" s="1392" t="n"/>
      <c r="CF620" s="1392" t="n"/>
      <c r="CG620" s="1392" t="n"/>
      <c r="CH620" s="1392" t="n"/>
      <c r="CI620" s="1392" t="n"/>
      <c r="CJ620" s="1392" t="n"/>
      <c r="CK620" s="1392" t="n"/>
      <c r="CL620" s="1392" t="n"/>
    </row>
    <row r="621">
      <c r="A621" s="5" t="inlineStr">
        <is>
          <t>.</t>
        </is>
      </c>
      <c r="B621" s="5" t="inlineStr">
        <is>
          <t>.</t>
        </is>
      </c>
      <c r="C621" s="1378">
        <f>IF(raw[[#This Row],[city]]="","-",IF(raw[[#This Row],[city]]="TODAY","-",C620+1))</f>
        <v/>
      </c>
      <c r="D621" s="1393" t="inlineStr">
        <is>
          <t>Rio</t>
        </is>
      </c>
      <c r="E621" s="1394" t="n">
        <v>36699</v>
      </c>
      <c r="F621" s="1394" t="n">
        <v>36702</v>
      </c>
      <c r="G621" s="1393" t="inlineStr">
        <is>
          <t>-</t>
        </is>
      </c>
      <c r="H621" s="1393" t="inlineStr">
        <is>
          <t>Joaquim Eugenio</t>
        </is>
      </c>
      <c r="I621" s="1393" t="inlineStr">
        <is>
          <t>-</t>
        </is>
      </c>
      <c r="J621" s="1393" t="inlineStr">
        <is>
          <t>-</t>
        </is>
      </c>
      <c r="K621" s="1395">
        <f>IF(raw[[#This Row],[city]]&lt;&gt;"",_xlfn.XLOOKUP($D621,ccc[city],ccc[prov],"-"),"-")</f>
        <v/>
      </c>
      <c r="L621" s="1395">
        <f>IF(raw[[#This Row],[city]]&lt;&gt;"",_xlfn.XLOOKUP($D621,ccc[city],ccc[ctry],"-"),"-")</f>
        <v/>
      </c>
      <c r="M621" s="1395">
        <f>IF(raw[[#This Row],[city]]&lt;&gt;"",_xlfn.XLOOKUP($D621,ccc[city],ccc[cont],"-"),"-")</f>
        <v/>
      </c>
      <c r="N621" s="1396">
        <f>IF(raw[[#This Row],[city]]="","-",IF(raw[[#This Row],[cont]]="B",raw[[#This Row],[cont]],"W"))</f>
        <v/>
      </c>
      <c r="O621" s="1397">
        <f>IF(raw[[#This Row],[out]]=0,0,IF(raw[[#This Row],[out]]=raw[[#This Row],[in]],0.01,raw[[#This Row],[out]]-raw[[#This Row],[in]]))</f>
        <v/>
      </c>
      <c r="P621" s="1397">
        <f>IF(raw[[#This Row],[in]]=0,0,MONTH(raw[[#This Row],[in]]))</f>
        <v/>
      </c>
      <c r="Q621" s="1397">
        <f>IF(raw[[#This Row],[in]]=0,0,YEAR(raw[[#This Row],[in]]))</f>
        <v/>
      </c>
      <c r="R621" s="1397">
        <f>INT(raw[[#This Row],[yr]]/10)*10</f>
        <v/>
      </c>
      <c r="S621" s="1395">
        <f>IF(raw[[#This Row],[city]]="","-",IF(raw[[#This Row],[city]]&lt;&gt;_xlfn.XLOOKUP(raw[[#This Row],[home]],homes[home],homes[city],"-"),1,0))</f>
        <v/>
      </c>
      <c r="T621" s="1398" t="inlineStr">
        <is>
          <t>.</t>
        </is>
      </c>
      <c r="U621" s="1399">
        <f>IF(raw[[#This Row],[wb]]="w",raw[[#This Row],[stay]]+U620,U620)</f>
        <v/>
      </c>
      <c r="V621" s="1400">
        <f>IF(raw[[#This Row],[out]]=0,V620,(raw[[#This Row],[out]]-E$5))</f>
        <v/>
      </c>
      <c r="W621" s="1401">
        <f>U621/V621</f>
        <v/>
      </c>
      <c r="X621" s="1378" t="inlineStr">
        <is>
          <t>.</t>
        </is>
      </c>
      <c r="Y621" s="1402">
        <f/>
        <v/>
      </c>
      <c r="Z621" s="1403">
        <f/>
        <v/>
      </c>
      <c r="AA621" s="1403">
        <f/>
        <v/>
      </c>
      <c r="AB621" s="1400">
        <f t="array" ref="AB621">_xlfn.LET(_xlpm.S,_xlfn.ANCHORARRAY($Y$4),_xlpm.r,ROWS(stayCity[[#Headers],[city]]:stayCity[[#This Row],[city]])-1,IF(_xlpm.r&lt;=ROWS(_xlpm.S),INDEX(_xlpm.S,_xlpm.r,1),""))</f>
        <v/>
      </c>
      <c r="AC621" s="1405">
        <f t="array" ref="AC621">_xlfn.LET(_xlpm.S,_xlfn.ANCHORARRAY($Y$4),_xlpm.r,ROWS(stayCity[[#Headers],[city]]:stayCity[[#This Row],[city]])-1,IF(_xlpm.r&lt;=ROWS(_xlpm.S),INDEX(_xlpm.S,_xlpm.r,2),""))</f>
        <v/>
      </c>
      <c r="AD621" s="1405">
        <f t="array" ref="AD621">_xlfn.LET(_xlpm.S,_xlfn.ANCHORARRAY($Y$4),_xlpm.r,ROWS(stayCity[[#Headers],[city]]:stayCity[[#This Row],[city]])-1,IF(_xlpm.r&lt;=ROWS(_xlpm.S),INDEX(_xlpm.S,_xlpm.r,3),""))</f>
        <v/>
      </c>
      <c r="AE621" s="1400">
        <f>IF(stayCity[[#This Row],[out]]&lt;&gt;"",stayCity[[#This Row],[out]]-stayCity[[#This Row],[in]],"-")</f>
        <v/>
      </c>
      <c r="AF621" s="1406">
        <f>IF(Y621="","-",YEAR(stayCity[[#This Row],[in]]))</f>
        <v/>
      </c>
      <c r="AG621" s="1392" t="n"/>
      <c r="AH621" s="1392" t="n"/>
      <c r="AI621" s="1392" t="n"/>
      <c r="AJ621" s="1392" t="n"/>
      <c r="AK621" s="1392" t="n"/>
      <c r="AL621" s="1392" t="n"/>
      <c r="AM621" s="1392" t="n"/>
      <c r="AN621" s="1392" t="n"/>
      <c r="AO621" s="1392" t="n"/>
      <c r="AP621" s="1392" t="n"/>
      <c r="AQ621" s="1392" t="n"/>
      <c r="AR621" s="1392" t="n"/>
      <c r="AS621" s="1422" t="n"/>
      <c r="AT621" s="1392" t="n"/>
      <c r="AU621" s="1392" t="n"/>
      <c r="AV621" s="1392" t="n"/>
      <c r="AW621" s="1392" t="n"/>
      <c r="AX621" s="1392" t="n"/>
      <c r="AY621" s="1392" t="n"/>
      <c r="AZ621" s="1392" t="n"/>
      <c r="BA621" s="1392" t="n"/>
      <c r="BB621" s="1422" t="n"/>
      <c r="BC621" s="1392" t="n"/>
      <c r="BD621" s="1392" t="n"/>
      <c r="BE621" s="1392" t="n"/>
      <c r="BF621" s="1392" t="n"/>
      <c r="BG621" s="1392" t="n"/>
      <c r="BH621" s="1392" t="n"/>
      <c r="BI621" s="1392" t="n"/>
      <c r="BJ621" s="1392" t="n"/>
      <c r="BK621" s="1392" t="n"/>
      <c r="BL621" s="1392" t="n"/>
      <c r="BM621" s="1392" t="n"/>
      <c r="BN621" s="1392" t="n"/>
      <c r="BO621" s="1392" t="n"/>
      <c r="BP621" s="1392" t="n"/>
      <c r="BQ621" s="1392" t="n"/>
      <c r="BR621" s="1392" t="n"/>
      <c r="BS621" s="1392" t="n"/>
      <c r="BT621" s="1392" t="n"/>
      <c r="BU621" s="1416" t="n"/>
      <c r="BV621" s="1392" t="n"/>
      <c r="BW621" s="1392" t="n"/>
      <c r="BX621" s="1392" t="n"/>
      <c r="BY621" s="1392" t="n"/>
      <c r="BZ621" s="1416" t="n"/>
      <c r="CA621" s="1392" t="n"/>
      <c r="CB621" s="1392" t="n"/>
      <c r="CC621" s="1392" t="n"/>
      <c r="CD621" s="1392" t="n"/>
      <c r="CE621" s="1392" t="n"/>
      <c r="CF621" s="1392" t="n"/>
      <c r="CG621" s="1392" t="n"/>
      <c r="CH621" s="1392" t="n"/>
      <c r="CI621" s="1392" t="n"/>
      <c r="CJ621" s="1392" t="n"/>
      <c r="CK621" s="1392" t="n"/>
      <c r="CL621" s="1392" t="n"/>
    </row>
    <row r="622">
      <c r="A622" s="5" t="inlineStr">
        <is>
          <t>.</t>
        </is>
      </c>
      <c r="B622" s="5" t="inlineStr">
        <is>
          <t>.</t>
        </is>
      </c>
      <c r="C622" s="1378">
        <f>IF(raw[[#This Row],[city]]="","-",IF(raw[[#This Row],[city]]="TODAY","-",C621+1))</f>
        <v/>
      </c>
      <c r="D622" s="1393" t="inlineStr">
        <is>
          <t>SP</t>
        </is>
      </c>
      <c r="E622" s="1394" t="n">
        <v>36702</v>
      </c>
      <c r="F622" s="1394" t="n">
        <v>36708</v>
      </c>
      <c r="G622" s="1393" t="inlineStr">
        <is>
          <t>-</t>
        </is>
      </c>
      <c r="H622" s="1393" t="inlineStr">
        <is>
          <t>Joaquim Eugenio</t>
        </is>
      </c>
      <c r="I622" s="1393" t="inlineStr">
        <is>
          <t>-</t>
        </is>
      </c>
      <c r="J622" s="1393" t="inlineStr">
        <is>
          <t>-</t>
        </is>
      </c>
      <c r="K622" s="1395">
        <f>IF(raw[[#This Row],[city]]&lt;&gt;"",_xlfn.XLOOKUP($D622,ccc[city],ccc[prov],"-"),"-")</f>
        <v/>
      </c>
      <c r="L622" s="1395">
        <f>IF(raw[[#This Row],[city]]&lt;&gt;"",_xlfn.XLOOKUP($D622,ccc[city],ccc[ctry],"-"),"-")</f>
        <v/>
      </c>
      <c r="M622" s="1395">
        <f>IF(raw[[#This Row],[city]]&lt;&gt;"",_xlfn.XLOOKUP($D622,ccc[city],ccc[cont],"-"),"-")</f>
        <v/>
      </c>
      <c r="N622" s="1396">
        <f>IF(raw[[#This Row],[city]]="","-",IF(raw[[#This Row],[cont]]="B",raw[[#This Row],[cont]],"W"))</f>
        <v/>
      </c>
      <c r="O622" s="1397">
        <f>IF(raw[[#This Row],[out]]=0,0,IF(raw[[#This Row],[out]]=raw[[#This Row],[in]],0.01,raw[[#This Row],[out]]-raw[[#This Row],[in]]))</f>
        <v/>
      </c>
      <c r="P622" s="1397">
        <f>IF(raw[[#This Row],[in]]=0,0,MONTH(raw[[#This Row],[in]]))</f>
        <v/>
      </c>
      <c r="Q622" s="1397">
        <f>IF(raw[[#This Row],[in]]=0,0,YEAR(raw[[#This Row],[in]]))</f>
        <v/>
      </c>
      <c r="R622" s="1397">
        <f>INT(raw[[#This Row],[yr]]/10)*10</f>
        <v/>
      </c>
      <c r="S622" s="1395">
        <f>IF(raw[[#This Row],[city]]="","-",IF(raw[[#This Row],[city]]&lt;&gt;_xlfn.XLOOKUP(raw[[#This Row],[home]],homes[home],homes[city],"-"),1,0))</f>
        <v/>
      </c>
      <c r="T622" s="1398" t="inlineStr">
        <is>
          <t>.</t>
        </is>
      </c>
      <c r="U622" s="1399">
        <f>IF(raw[[#This Row],[wb]]="w",raw[[#This Row],[stay]]+U621,U621)</f>
        <v/>
      </c>
      <c r="V622" s="1400">
        <f>IF(raw[[#This Row],[out]]=0,V621,(raw[[#This Row],[out]]-E$5))</f>
        <v/>
      </c>
      <c r="W622" s="1401">
        <f>U622/V622</f>
        <v/>
      </c>
      <c r="X622" s="1378" t="inlineStr">
        <is>
          <t>.</t>
        </is>
      </c>
      <c r="Y622" s="1402">
        <f/>
        <v/>
      </c>
      <c r="Z622" s="1403">
        <f/>
        <v/>
      </c>
      <c r="AA622" s="1403">
        <f/>
        <v/>
      </c>
      <c r="AB622" s="1400">
        <f t="array" ref="AB622">_xlfn.LET(_xlpm.S,_xlfn.ANCHORARRAY($Y$4),_xlpm.r,ROWS(stayCity[[#Headers],[city]]:stayCity[[#This Row],[city]])-1,IF(_xlpm.r&lt;=ROWS(_xlpm.S),INDEX(_xlpm.S,_xlpm.r,1),""))</f>
        <v/>
      </c>
      <c r="AC622" s="1405">
        <f t="array" ref="AC622">_xlfn.LET(_xlpm.S,_xlfn.ANCHORARRAY($Y$4),_xlpm.r,ROWS(stayCity[[#Headers],[city]]:stayCity[[#This Row],[city]])-1,IF(_xlpm.r&lt;=ROWS(_xlpm.S),INDEX(_xlpm.S,_xlpm.r,2),""))</f>
        <v/>
      </c>
      <c r="AD622" s="1405">
        <f t="array" ref="AD622">_xlfn.LET(_xlpm.S,_xlfn.ANCHORARRAY($Y$4),_xlpm.r,ROWS(stayCity[[#Headers],[city]]:stayCity[[#This Row],[city]])-1,IF(_xlpm.r&lt;=ROWS(_xlpm.S),INDEX(_xlpm.S,_xlpm.r,3),""))</f>
        <v/>
      </c>
      <c r="AE622" s="1400">
        <f>IF(stayCity[[#This Row],[out]]&lt;&gt;"",stayCity[[#This Row],[out]]-stayCity[[#This Row],[in]],"-")</f>
        <v/>
      </c>
      <c r="AF622" s="1406">
        <f>IF(Y622="","-",YEAR(stayCity[[#This Row],[in]]))</f>
        <v/>
      </c>
      <c r="AG622" s="1392" t="n"/>
      <c r="AH622" s="1392" t="n"/>
      <c r="AI622" s="1392" t="n"/>
      <c r="AJ622" s="1392" t="n"/>
      <c r="AK622" s="1392" t="n"/>
      <c r="AL622" s="1392" t="n"/>
      <c r="AM622" s="1392" t="n"/>
      <c r="AN622" s="1392" t="n"/>
      <c r="AO622" s="1392" t="n"/>
      <c r="AP622" s="1392" t="n"/>
      <c r="AQ622" s="1392" t="n"/>
      <c r="AR622" s="1392" t="n"/>
      <c r="AS622" s="1422" t="n"/>
      <c r="AT622" s="1392" t="n"/>
      <c r="AU622" s="1392" t="n"/>
      <c r="AV622" s="1392" t="n"/>
      <c r="AW622" s="1392" t="n"/>
      <c r="AX622" s="1392" t="n"/>
      <c r="AY622" s="1392" t="n"/>
      <c r="AZ622" s="1392" t="n"/>
      <c r="BA622" s="1392" t="n"/>
      <c r="BB622" s="1422" t="n"/>
      <c r="BC622" s="1392" t="n"/>
      <c r="BD622" s="1392" t="n"/>
      <c r="BE622" s="1392" t="n"/>
      <c r="BF622" s="1392" t="n"/>
      <c r="BG622" s="1392" t="n"/>
      <c r="BH622" s="1392" t="n"/>
      <c r="BI622" s="1392" t="n"/>
      <c r="BJ622" s="1392" t="n"/>
      <c r="BK622" s="1392" t="n"/>
      <c r="BL622" s="1392" t="n"/>
      <c r="BM622" s="1392" t="n"/>
      <c r="BN622" s="1392" t="n"/>
      <c r="BO622" s="1392" t="n"/>
      <c r="BP622" s="1392" t="n"/>
      <c r="BQ622" s="1392" t="n"/>
      <c r="BR622" s="1392" t="n"/>
      <c r="BS622" s="1392" t="n"/>
      <c r="BT622" s="1392" t="n"/>
      <c r="BU622" s="1416" t="n"/>
      <c r="BV622" s="1392" t="n"/>
      <c r="BW622" s="1392" t="n"/>
      <c r="BX622" s="1392" t="n"/>
      <c r="BY622" s="1392" t="n"/>
      <c r="BZ622" s="1416" t="n"/>
      <c r="CA622" s="1392" t="n"/>
      <c r="CB622" s="1392" t="n"/>
      <c r="CC622" s="1392" t="n"/>
      <c r="CD622" s="1392" t="n"/>
      <c r="CE622" s="1392" t="n"/>
      <c r="CF622" s="1392" t="n"/>
      <c r="CG622" s="1392" t="n"/>
      <c r="CH622" s="1392" t="n"/>
      <c r="CI622" s="1392" t="n"/>
      <c r="CJ622" s="1392" t="n"/>
      <c r="CK622" s="1392" t="n"/>
      <c r="CL622" s="1392" t="n"/>
    </row>
    <row r="623">
      <c r="A623" s="5" t="inlineStr">
        <is>
          <t>.</t>
        </is>
      </c>
      <c r="B623" s="5" t="inlineStr">
        <is>
          <t>.</t>
        </is>
      </c>
      <c r="C623" s="1378">
        <f>IF(raw[[#This Row],[city]]="","-",IF(raw[[#This Row],[city]]="TODAY","-",C622+1))</f>
        <v/>
      </c>
      <c r="D623" s="1393" t="inlineStr">
        <is>
          <t>SP</t>
        </is>
      </c>
      <c r="E623" s="1394" t="n">
        <v>36708</v>
      </c>
      <c r="F623" s="1394" t="n">
        <v>36739</v>
      </c>
      <c r="G623" s="1393" t="inlineStr">
        <is>
          <t>-</t>
        </is>
      </c>
      <c r="H623" s="1393" t="inlineStr">
        <is>
          <t>Joaquim Eugenio</t>
        </is>
      </c>
      <c r="I623" s="1393" t="inlineStr">
        <is>
          <t>-</t>
        </is>
      </c>
      <c r="J623" s="1393" t="inlineStr">
        <is>
          <t>-</t>
        </is>
      </c>
      <c r="K623" s="1395">
        <f>IF(raw[[#This Row],[city]]&lt;&gt;"",_xlfn.XLOOKUP($D623,ccc[city],ccc[prov],"-"),"-")</f>
        <v/>
      </c>
      <c r="L623" s="1395">
        <f>IF(raw[[#This Row],[city]]&lt;&gt;"",_xlfn.XLOOKUP($D623,ccc[city],ccc[ctry],"-"),"-")</f>
        <v/>
      </c>
      <c r="M623" s="1395">
        <f>IF(raw[[#This Row],[city]]&lt;&gt;"",_xlfn.XLOOKUP($D623,ccc[city],ccc[cont],"-"),"-")</f>
        <v/>
      </c>
      <c r="N623" s="1396">
        <f>IF(raw[[#This Row],[city]]="","-",IF(raw[[#This Row],[cont]]="B",raw[[#This Row],[cont]],"W"))</f>
        <v/>
      </c>
      <c r="O623" s="1397">
        <f>IF(raw[[#This Row],[out]]=0,0,IF(raw[[#This Row],[out]]=raw[[#This Row],[in]],0.01,raw[[#This Row],[out]]-raw[[#This Row],[in]]))</f>
        <v/>
      </c>
      <c r="P623" s="1397">
        <f>IF(raw[[#This Row],[in]]=0,0,MONTH(raw[[#This Row],[in]]))</f>
        <v/>
      </c>
      <c r="Q623" s="1397">
        <f>IF(raw[[#This Row],[in]]=0,0,YEAR(raw[[#This Row],[in]]))</f>
        <v/>
      </c>
      <c r="R623" s="1397">
        <f>INT(raw[[#This Row],[yr]]/10)*10</f>
        <v/>
      </c>
      <c r="S623" s="1395">
        <f>IF(raw[[#This Row],[city]]="","-",IF(raw[[#This Row],[city]]&lt;&gt;_xlfn.XLOOKUP(raw[[#This Row],[home]],homes[home],homes[city],"-"),1,0))</f>
        <v/>
      </c>
      <c r="T623" s="1398" t="inlineStr">
        <is>
          <t>.</t>
        </is>
      </c>
      <c r="U623" s="1399">
        <f>IF(raw[[#This Row],[wb]]="w",raw[[#This Row],[stay]]+U622,U622)</f>
        <v/>
      </c>
      <c r="V623" s="1400">
        <f>IF(raw[[#This Row],[out]]=0,V622,(raw[[#This Row],[out]]-E$5))</f>
        <v/>
      </c>
      <c r="W623" s="1401">
        <f>U623/V623</f>
        <v/>
      </c>
      <c r="X623" s="1378" t="inlineStr">
        <is>
          <t>.</t>
        </is>
      </c>
      <c r="Y623" s="1402">
        <f/>
        <v/>
      </c>
      <c r="Z623" s="1403">
        <f/>
        <v/>
      </c>
      <c r="AA623" s="1403">
        <f/>
        <v/>
      </c>
      <c r="AB623" s="1400">
        <f t="array" ref="AB623">_xlfn.LET(_xlpm.S,_xlfn.ANCHORARRAY($Y$4),_xlpm.r,ROWS(stayCity[[#Headers],[city]]:stayCity[[#This Row],[city]])-1,IF(_xlpm.r&lt;=ROWS(_xlpm.S),INDEX(_xlpm.S,_xlpm.r,1),""))</f>
        <v/>
      </c>
      <c r="AC623" s="1405">
        <f t="array" ref="AC623">_xlfn.LET(_xlpm.S,_xlfn.ANCHORARRAY($Y$4),_xlpm.r,ROWS(stayCity[[#Headers],[city]]:stayCity[[#This Row],[city]])-1,IF(_xlpm.r&lt;=ROWS(_xlpm.S),INDEX(_xlpm.S,_xlpm.r,2),""))</f>
        <v/>
      </c>
      <c r="AD623" s="1405">
        <f t="array" ref="AD623">_xlfn.LET(_xlpm.S,_xlfn.ANCHORARRAY($Y$4),_xlpm.r,ROWS(stayCity[[#Headers],[city]]:stayCity[[#This Row],[city]])-1,IF(_xlpm.r&lt;=ROWS(_xlpm.S),INDEX(_xlpm.S,_xlpm.r,3),""))</f>
        <v/>
      </c>
      <c r="AE623" s="1400">
        <f>IF(stayCity[[#This Row],[out]]&lt;&gt;"",stayCity[[#This Row],[out]]-stayCity[[#This Row],[in]],"-")</f>
        <v/>
      </c>
      <c r="AF623" s="1406">
        <f>IF(Y623="","-",YEAR(stayCity[[#This Row],[in]]))</f>
        <v/>
      </c>
      <c r="AG623" s="1392" t="n"/>
      <c r="AH623" s="1392" t="n"/>
      <c r="AI623" s="1392" t="n"/>
      <c r="AJ623" s="1392" t="n"/>
      <c r="AK623" s="1392" t="n"/>
      <c r="AL623" s="1392" t="n"/>
      <c r="AM623" s="1392" t="n"/>
      <c r="AN623" s="1392" t="n"/>
      <c r="AO623" s="1392" t="n"/>
      <c r="AP623" s="1392" t="n"/>
      <c r="AQ623" s="1392" t="n"/>
      <c r="AR623" s="1392" t="n"/>
      <c r="AS623" s="1422" t="n"/>
      <c r="AT623" s="1392" t="n"/>
      <c r="AU623" s="1392" t="n"/>
      <c r="AV623" s="1392" t="n"/>
      <c r="AW623" s="1392" t="n"/>
      <c r="AX623" s="1392" t="n"/>
      <c r="AY623" s="1392" t="n"/>
      <c r="AZ623" s="1392" t="n"/>
      <c r="BA623" s="1392" t="n"/>
      <c r="BB623" s="1422" t="n"/>
      <c r="BC623" s="1392" t="n"/>
      <c r="BD623" s="1392" t="n"/>
      <c r="BE623" s="1392" t="n"/>
      <c r="BF623" s="1392" t="n"/>
      <c r="BG623" s="1392" t="n"/>
      <c r="BH623" s="1392" t="n"/>
      <c r="BI623" s="1392" t="n"/>
      <c r="BJ623" s="1392" t="n"/>
      <c r="BK623" s="1392" t="n"/>
      <c r="BL623" s="1392" t="n"/>
      <c r="BM623" s="1392" t="n"/>
      <c r="BN623" s="1392" t="n"/>
      <c r="BO623" s="1392" t="n"/>
      <c r="BP623" s="1392" t="n"/>
      <c r="BQ623" s="1392" t="n"/>
      <c r="BR623" s="1392" t="n"/>
      <c r="BS623" s="1392" t="n"/>
      <c r="BT623" s="1392" t="n"/>
      <c r="BU623" s="1416" t="n"/>
      <c r="BV623" s="1392" t="n"/>
      <c r="BW623" s="1392" t="n"/>
      <c r="BX623" s="1392" t="n"/>
      <c r="BY623" s="1392" t="n"/>
      <c r="BZ623" s="1416" t="n"/>
      <c r="CA623" s="1392" t="n"/>
      <c r="CB623" s="1392" t="n"/>
      <c r="CC623" s="1392" t="n"/>
      <c r="CD623" s="1392" t="n"/>
      <c r="CE623" s="1392" t="n"/>
      <c r="CF623" s="1392" t="n"/>
      <c r="CG623" s="1392" t="n"/>
      <c r="CH623" s="1392" t="n"/>
      <c r="CI623" s="1392" t="n"/>
      <c r="CJ623" s="1392" t="n"/>
      <c r="CK623" s="1392" t="n"/>
      <c r="CL623" s="1392" t="n"/>
    </row>
    <row r="624">
      <c r="A624" s="5" t="inlineStr">
        <is>
          <t>.</t>
        </is>
      </c>
      <c r="B624" s="5" t="inlineStr">
        <is>
          <t>.</t>
        </is>
      </c>
      <c r="C624" s="1378">
        <f>IF(raw[[#This Row],[city]]="","-",IF(raw[[#This Row],[city]]="TODAY","-",C623+1))</f>
        <v/>
      </c>
      <c r="D624" s="1393" t="inlineStr">
        <is>
          <t>SP</t>
        </is>
      </c>
      <c r="E624" s="1394" t="n">
        <v>36739</v>
      </c>
      <c r="F624" s="1394" t="n">
        <v>36770</v>
      </c>
      <c r="G624" s="1393" t="inlineStr">
        <is>
          <t>-</t>
        </is>
      </c>
      <c r="H624" s="1393" t="inlineStr">
        <is>
          <t>Joaquim Eugenio</t>
        </is>
      </c>
      <c r="I624" s="1393" t="inlineStr">
        <is>
          <t>-</t>
        </is>
      </c>
      <c r="J624" s="1393" t="inlineStr">
        <is>
          <t>BDAY</t>
        </is>
      </c>
      <c r="K624" s="1395">
        <f>IF(raw[[#This Row],[city]]&lt;&gt;"",_xlfn.XLOOKUP($D624,ccc[city],ccc[prov],"-"),"-")</f>
        <v/>
      </c>
      <c r="L624" s="1395">
        <f>IF(raw[[#This Row],[city]]&lt;&gt;"",_xlfn.XLOOKUP($D624,ccc[city],ccc[ctry],"-"),"-")</f>
        <v/>
      </c>
      <c r="M624" s="1395">
        <f>IF(raw[[#This Row],[city]]&lt;&gt;"",_xlfn.XLOOKUP($D624,ccc[city],ccc[cont],"-"),"-")</f>
        <v/>
      </c>
      <c r="N624" s="1396">
        <f>IF(raw[[#This Row],[city]]="","-",IF(raw[[#This Row],[cont]]="B",raw[[#This Row],[cont]],"W"))</f>
        <v/>
      </c>
      <c r="O624" s="1397">
        <f>IF(raw[[#This Row],[out]]=0,0,IF(raw[[#This Row],[out]]=raw[[#This Row],[in]],0.01,raw[[#This Row],[out]]-raw[[#This Row],[in]]))</f>
        <v/>
      </c>
      <c r="P624" s="1397">
        <f>IF(raw[[#This Row],[in]]=0,0,MONTH(raw[[#This Row],[in]]))</f>
        <v/>
      </c>
      <c r="Q624" s="1397">
        <f>IF(raw[[#This Row],[in]]=0,0,YEAR(raw[[#This Row],[in]]))</f>
        <v/>
      </c>
      <c r="R624" s="1397">
        <f>INT(raw[[#This Row],[yr]]/10)*10</f>
        <v/>
      </c>
      <c r="S624" s="1395">
        <f>IF(raw[[#This Row],[city]]="","-",IF(raw[[#This Row],[city]]&lt;&gt;_xlfn.XLOOKUP(raw[[#This Row],[home]],homes[home],homes[city],"-"),1,0))</f>
        <v/>
      </c>
      <c r="T624" s="1398" t="inlineStr">
        <is>
          <t>.</t>
        </is>
      </c>
      <c r="U624" s="1399">
        <f>IF(raw[[#This Row],[wb]]="w",raw[[#This Row],[stay]]+U623,U623)</f>
        <v/>
      </c>
      <c r="V624" s="1400">
        <f>IF(raw[[#This Row],[out]]=0,V623,(raw[[#This Row],[out]]-E$5))</f>
        <v/>
      </c>
      <c r="W624" s="1401">
        <f>U624/V624</f>
        <v/>
      </c>
      <c r="X624" s="1378" t="inlineStr">
        <is>
          <t>.</t>
        </is>
      </c>
      <c r="Y624" s="1402">
        <f/>
        <v/>
      </c>
      <c r="Z624" s="1403">
        <f/>
        <v/>
      </c>
      <c r="AA624" s="1403">
        <f/>
        <v/>
      </c>
      <c r="AB624" s="1400">
        <f t="array" ref="AB624">_xlfn.LET(_xlpm.S,_xlfn.ANCHORARRAY($Y$4),_xlpm.r,ROWS(stayCity[[#Headers],[city]]:stayCity[[#This Row],[city]])-1,IF(_xlpm.r&lt;=ROWS(_xlpm.S),INDEX(_xlpm.S,_xlpm.r,1),""))</f>
        <v/>
      </c>
      <c r="AC624" s="1405">
        <f t="array" ref="AC624">_xlfn.LET(_xlpm.S,_xlfn.ANCHORARRAY($Y$4),_xlpm.r,ROWS(stayCity[[#Headers],[city]]:stayCity[[#This Row],[city]])-1,IF(_xlpm.r&lt;=ROWS(_xlpm.S),INDEX(_xlpm.S,_xlpm.r,2),""))</f>
        <v/>
      </c>
      <c r="AD624" s="1405">
        <f t="array" ref="AD624">_xlfn.LET(_xlpm.S,_xlfn.ANCHORARRAY($Y$4),_xlpm.r,ROWS(stayCity[[#Headers],[city]]:stayCity[[#This Row],[city]])-1,IF(_xlpm.r&lt;=ROWS(_xlpm.S),INDEX(_xlpm.S,_xlpm.r,3),""))</f>
        <v/>
      </c>
      <c r="AE624" s="1400">
        <f>IF(stayCity[[#This Row],[out]]&lt;&gt;"",stayCity[[#This Row],[out]]-stayCity[[#This Row],[in]],"-")</f>
        <v/>
      </c>
      <c r="AF624" s="1406">
        <f>IF(Y624="","-",YEAR(stayCity[[#This Row],[in]]))</f>
        <v/>
      </c>
      <c r="AG624" s="1392" t="n"/>
      <c r="AH624" s="1392" t="n"/>
      <c r="AI624" s="1392" t="n"/>
      <c r="AJ624" s="1392" t="n"/>
      <c r="AK624" s="1392" t="n"/>
      <c r="AL624" s="1392" t="n"/>
      <c r="AM624" s="1392" t="n"/>
      <c r="AN624" s="1392" t="n"/>
      <c r="AO624" s="1392" t="n"/>
      <c r="AP624" s="1392" t="n"/>
      <c r="AQ624" s="1392" t="n"/>
      <c r="AR624" s="1392" t="n"/>
      <c r="AS624" s="1422" t="n"/>
      <c r="AT624" s="1392" t="n"/>
      <c r="AU624" s="1392" t="n"/>
      <c r="AV624" s="1392" t="n"/>
      <c r="AW624" s="1392" t="n"/>
      <c r="AX624" s="1392" t="n"/>
      <c r="AY624" s="1392" t="n"/>
      <c r="AZ624" s="1392" t="n"/>
      <c r="BA624" s="1392" t="n"/>
      <c r="BB624" s="1422" t="n"/>
      <c r="BC624" s="1392" t="n"/>
      <c r="BD624" s="1392" t="n"/>
      <c r="BE624" s="1392" t="n"/>
      <c r="BF624" s="1392" t="n"/>
      <c r="BG624" s="1392" t="n"/>
      <c r="BH624" s="1392" t="n"/>
      <c r="BI624" s="1392" t="n"/>
      <c r="BJ624" s="1392" t="n"/>
      <c r="BK624" s="1392" t="n"/>
      <c r="BL624" s="1392" t="n"/>
      <c r="BM624" s="1392" t="n"/>
      <c r="BN624" s="1392" t="n"/>
      <c r="BO624" s="1392" t="n"/>
      <c r="BP624" s="1392" t="n"/>
      <c r="BQ624" s="1392" t="n"/>
      <c r="BR624" s="1392" t="n"/>
      <c r="BS624" s="1392" t="n"/>
      <c r="BT624" s="1392" t="n"/>
      <c r="BU624" s="1416" t="n"/>
      <c r="BV624" s="1392" t="n"/>
      <c r="BW624" s="1392" t="n"/>
      <c r="BX624" s="1392" t="n"/>
      <c r="BY624" s="1392" t="n"/>
      <c r="BZ624" s="1416" t="n"/>
      <c r="CA624" s="1392" t="n"/>
      <c r="CB624" s="1392" t="n"/>
      <c r="CC624" s="1392" t="n"/>
      <c r="CD624" s="1392" t="n"/>
      <c r="CE624" s="1392" t="n"/>
      <c r="CF624" s="1392" t="n"/>
      <c r="CG624" s="1392" t="n"/>
      <c r="CH624" s="1392" t="n"/>
      <c r="CI624" s="1392" t="n"/>
      <c r="CJ624" s="1392" t="n"/>
      <c r="CK624" s="1392" t="n"/>
      <c r="CL624" s="1392" t="n"/>
    </row>
    <row r="625">
      <c r="A625" s="5" t="inlineStr">
        <is>
          <t>.</t>
        </is>
      </c>
      <c r="B625" s="5" t="inlineStr">
        <is>
          <t>.</t>
        </is>
      </c>
      <c r="C625" s="1378">
        <f>IF(raw[[#This Row],[city]]="","-",IF(raw[[#This Row],[city]]="TODAY","-",C624+1))</f>
        <v/>
      </c>
      <c r="D625" s="1393" t="inlineStr">
        <is>
          <t>SP</t>
        </is>
      </c>
      <c r="E625" s="1394" t="n">
        <v>36770</v>
      </c>
      <c r="F625" s="1394" t="n">
        <v>36776</v>
      </c>
      <c r="G625" s="1393" t="inlineStr">
        <is>
          <t>-</t>
        </is>
      </c>
      <c r="H625" s="1393" t="inlineStr">
        <is>
          <t>Joaquim Eugenio</t>
        </is>
      </c>
      <c r="I625" s="1393" t="inlineStr">
        <is>
          <t>-</t>
        </is>
      </c>
      <c r="J625" s="1393" t="inlineStr">
        <is>
          <t>-</t>
        </is>
      </c>
      <c r="K625" s="1395">
        <f>IF(raw[[#This Row],[city]]&lt;&gt;"",_xlfn.XLOOKUP($D625,ccc[city],ccc[prov],"-"),"-")</f>
        <v/>
      </c>
      <c r="L625" s="1395">
        <f>IF(raw[[#This Row],[city]]&lt;&gt;"",_xlfn.XLOOKUP($D625,ccc[city],ccc[ctry],"-"),"-")</f>
        <v/>
      </c>
      <c r="M625" s="1395">
        <f>IF(raw[[#This Row],[city]]&lt;&gt;"",_xlfn.XLOOKUP($D625,ccc[city],ccc[cont],"-"),"-")</f>
        <v/>
      </c>
      <c r="N625" s="1396">
        <f>IF(raw[[#This Row],[city]]="","-",IF(raw[[#This Row],[cont]]="B",raw[[#This Row],[cont]],"W"))</f>
        <v/>
      </c>
      <c r="O625" s="1397">
        <f>IF(raw[[#This Row],[out]]=0,0,IF(raw[[#This Row],[out]]=raw[[#This Row],[in]],0.01,raw[[#This Row],[out]]-raw[[#This Row],[in]]))</f>
        <v/>
      </c>
      <c r="P625" s="1397">
        <f>IF(raw[[#This Row],[in]]=0,0,MONTH(raw[[#This Row],[in]]))</f>
        <v/>
      </c>
      <c r="Q625" s="1397">
        <f>IF(raw[[#This Row],[in]]=0,0,YEAR(raw[[#This Row],[in]]))</f>
        <v/>
      </c>
      <c r="R625" s="1397">
        <f>INT(raw[[#This Row],[yr]]/10)*10</f>
        <v/>
      </c>
      <c r="S625" s="1395">
        <f>IF(raw[[#This Row],[city]]="","-",IF(raw[[#This Row],[city]]&lt;&gt;_xlfn.XLOOKUP(raw[[#This Row],[home]],homes[home],homes[city],"-"),1,0))</f>
        <v/>
      </c>
      <c r="T625" s="1398" t="inlineStr">
        <is>
          <t>.</t>
        </is>
      </c>
      <c r="U625" s="1399">
        <f>IF(raw[[#This Row],[wb]]="w",raw[[#This Row],[stay]]+U624,U624)</f>
        <v/>
      </c>
      <c r="V625" s="1400">
        <f>IF(raw[[#This Row],[out]]=0,V624,(raw[[#This Row],[out]]-E$5))</f>
        <v/>
      </c>
      <c r="W625" s="1401">
        <f>U625/V625</f>
        <v/>
      </c>
      <c r="X625" s="1378" t="inlineStr">
        <is>
          <t>.</t>
        </is>
      </c>
      <c r="Y625" s="1402">
        <f/>
        <v/>
      </c>
      <c r="Z625" s="1403">
        <f/>
        <v/>
      </c>
      <c r="AA625" s="1403">
        <f/>
        <v/>
      </c>
      <c r="AB625" s="1400">
        <f t="array" ref="AB625">_xlfn.LET(_xlpm.S,_xlfn.ANCHORARRAY($Y$4),_xlpm.r,ROWS(stayCity[[#Headers],[city]]:stayCity[[#This Row],[city]])-1,IF(_xlpm.r&lt;=ROWS(_xlpm.S),INDEX(_xlpm.S,_xlpm.r,1),""))</f>
        <v/>
      </c>
      <c r="AC625" s="1405">
        <f t="array" ref="AC625">_xlfn.LET(_xlpm.S,_xlfn.ANCHORARRAY($Y$4),_xlpm.r,ROWS(stayCity[[#Headers],[city]]:stayCity[[#This Row],[city]])-1,IF(_xlpm.r&lt;=ROWS(_xlpm.S),INDEX(_xlpm.S,_xlpm.r,2),""))</f>
        <v/>
      </c>
      <c r="AD625" s="1405">
        <f t="array" ref="AD625">_xlfn.LET(_xlpm.S,_xlfn.ANCHORARRAY($Y$4),_xlpm.r,ROWS(stayCity[[#Headers],[city]]:stayCity[[#This Row],[city]])-1,IF(_xlpm.r&lt;=ROWS(_xlpm.S),INDEX(_xlpm.S,_xlpm.r,3),""))</f>
        <v/>
      </c>
      <c r="AE625" s="1400">
        <f>IF(stayCity[[#This Row],[out]]&lt;&gt;"",stayCity[[#This Row],[out]]-stayCity[[#This Row],[in]],"-")</f>
        <v/>
      </c>
      <c r="AF625" s="1406">
        <f>IF(Y625="","-",YEAR(stayCity[[#This Row],[in]]))</f>
        <v/>
      </c>
      <c r="AG625" s="1392" t="n"/>
      <c r="AH625" s="1392" t="n"/>
      <c r="AI625" s="1392" t="n"/>
      <c r="AJ625" s="1392" t="n"/>
      <c r="AK625" s="1392" t="n"/>
      <c r="AL625" s="1392" t="n"/>
      <c r="AM625" s="1392" t="n"/>
      <c r="AN625" s="1392" t="n"/>
      <c r="AO625" s="1392" t="n"/>
      <c r="AP625" s="1392" t="n"/>
      <c r="AQ625" s="1392" t="n"/>
      <c r="AR625" s="1392" t="n"/>
      <c r="AS625" s="1422" t="n"/>
      <c r="AT625" s="1392" t="n"/>
      <c r="AU625" s="1392" t="n"/>
      <c r="AV625" s="1392" t="n"/>
      <c r="AW625" s="1392" t="n"/>
      <c r="AX625" s="1392" t="n"/>
      <c r="AY625" s="1392" t="n"/>
      <c r="AZ625" s="1392" t="n"/>
      <c r="BA625" s="1392" t="n"/>
      <c r="BB625" s="1422" t="n"/>
      <c r="BC625" s="1392" t="n"/>
      <c r="BD625" s="1392" t="n"/>
      <c r="BE625" s="1392" t="n"/>
      <c r="BF625" s="1392" t="n"/>
      <c r="BG625" s="1392" t="n"/>
      <c r="BH625" s="1392" t="n"/>
      <c r="BI625" s="1392" t="n"/>
      <c r="BJ625" s="1392" t="n"/>
      <c r="BK625" s="1392" t="n"/>
      <c r="BL625" s="1392" t="n"/>
      <c r="BM625" s="1392" t="n"/>
      <c r="BN625" s="1392" t="n"/>
      <c r="BO625" s="1392" t="n"/>
      <c r="BP625" s="1392" t="n"/>
      <c r="BQ625" s="1392" t="n"/>
      <c r="BR625" s="1392" t="n"/>
      <c r="BS625" s="1392" t="n"/>
      <c r="BT625" s="1392" t="n"/>
      <c r="BU625" s="1416" t="n"/>
      <c r="BV625" s="1392" t="n"/>
      <c r="BW625" s="1392" t="n"/>
      <c r="BX625" s="1392" t="n"/>
      <c r="BY625" s="1392" t="n"/>
      <c r="BZ625" s="1416" t="n"/>
      <c r="CA625" s="1392" t="n"/>
      <c r="CB625" s="1392" t="n"/>
      <c r="CC625" s="1392" t="n"/>
      <c r="CD625" s="1392" t="n"/>
      <c r="CE625" s="1392" t="n"/>
      <c r="CF625" s="1392" t="n"/>
      <c r="CG625" s="1392" t="n"/>
      <c r="CH625" s="1392" t="n"/>
      <c r="CI625" s="1392" t="n"/>
      <c r="CJ625" s="1392" t="n"/>
      <c r="CK625" s="1392" t="n"/>
      <c r="CL625" s="1392" t="n"/>
    </row>
    <row r="626">
      <c r="A626" s="5" t="inlineStr">
        <is>
          <t>.</t>
        </is>
      </c>
      <c r="B626" s="5" t="inlineStr">
        <is>
          <t>.</t>
        </is>
      </c>
      <c r="C626" s="1378">
        <f>IF(raw[[#This Row],[city]]="","-",IF(raw[[#This Row],[city]]="TODAY","-",C625+1))</f>
        <v/>
      </c>
      <c r="D626" s="1393" t="inlineStr">
        <is>
          <t>Cunha</t>
        </is>
      </c>
      <c r="E626" s="1394" t="n">
        <v>36776</v>
      </c>
      <c r="F626" s="1394" t="n">
        <v>36779</v>
      </c>
      <c r="G626" s="1393" t="inlineStr">
        <is>
          <t>-</t>
        </is>
      </c>
      <c r="H626" s="1393" t="inlineStr">
        <is>
          <t>Joaquim Eugenio</t>
        </is>
      </c>
      <c r="I626" s="1393" t="inlineStr">
        <is>
          <t>Cunha/Guto</t>
        </is>
      </c>
      <c r="J626" s="1393" t="inlineStr">
        <is>
          <t>-</t>
        </is>
      </c>
      <c r="K626" s="1395">
        <f>IF(raw[[#This Row],[city]]&lt;&gt;"",_xlfn.XLOOKUP($D626,ccc[city],ccc[prov],"-"),"-")</f>
        <v/>
      </c>
      <c r="L626" s="1395">
        <f>IF(raw[[#This Row],[city]]&lt;&gt;"",_xlfn.XLOOKUP($D626,ccc[city],ccc[ctry],"-"),"-")</f>
        <v/>
      </c>
      <c r="M626" s="1395">
        <f>IF(raw[[#This Row],[city]]&lt;&gt;"",_xlfn.XLOOKUP($D626,ccc[city],ccc[cont],"-"),"-")</f>
        <v/>
      </c>
      <c r="N626" s="1396">
        <f>IF(raw[[#This Row],[city]]="","-",IF(raw[[#This Row],[cont]]="B",raw[[#This Row],[cont]],"W"))</f>
        <v/>
      </c>
      <c r="O626" s="1397">
        <f>IF(raw[[#This Row],[out]]=0,0,IF(raw[[#This Row],[out]]=raw[[#This Row],[in]],0.01,raw[[#This Row],[out]]-raw[[#This Row],[in]]))</f>
        <v/>
      </c>
      <c r="P626" s="1397">
        <f>IF(raw[[#This Row],[in]]=0,0,MONTH(raw[[#This Row],[in]]))</f>
        <v/>
      </c>
      <c r="Q626" s="1397">
        <f>IF(raw[[#This Row],[in]]=0,0,YEAR(raw[[#This Row],[in]]))</f>
        <v/>
      </c>
      <c r="R626" s="1397">
        <f>INT(raw[[#This Row],[yr]]/10)*10</f>
        <v/>
      </c>
      <c r="S626" s="1395">
        <f>IF(raw[[#This Row],[city]]="","-",IF(raw[[#This Row],[city]]&lt;&gt;_xlfn.XLOOKUP(raw[[#This Row],[home]],homes[home],homes[city],"-"),1,0))</f>
        <v/>
      </c>
      <c r="T626" s="1398" t="inlineStr">
        <is>
          <t>.</t>
        </is>
      </c>
      <c r="U626" s="1399">
        <f>IF(raw[[#This Row],[wb]]="w",raw[[#This Row],[stay]]+U625,U625)</f>
        <v/>
      </c>
      <c r="V626" s="1400">
        <f>IF(raw[[#This Row],[out]]=0,V625,(raw[[#This Row],[out]]-E$5))</f>
        <v/>
      </c>
      <c r="W626" s="1401">
        <f>U626/V626</f>
        <v/>
      </c>
      <c r="X626" s="1378" t="inlineStr">
        <is>
          <t>.</t>
        </is>
      </c>
      <c r="Y626" s="1402">
        <f/>
        <v/>
      </c>
      <c r="Z626" s="1403">
        <f/>
        <v/>
      </c>
      <c r="AA626" s="1403">
        <f/>
        <v/>
      </c>
      <c r="AB626" s="1400">
        <f t="array" ref="AB626">_xlfn.LET(_xlpm.S,_xlfn.ANCHORARRAY($Y$4),_xlpm.r,ROWS(stayCity[[#Headers],[city]]:stayCity[[#This Row],[city]])-1,IF(_xlpm.r&lt;=ROWS(_xlpm.S),INDEX(_xlpm.S,_xlpm.r,1),""))</f>
        <v/>
      </c>
      <c r="AC626" s="1405">
        <f t="array" ref="AC626">_xlfn.LET(_xlpm.S,_xlfn.ANCHORARRAY($Y$4),_xlpm.r,ROWS(stayCity[[#Headers],[city]]:stayCity[[#This Row],[city]])-1,IF(_xlpm.r&lt;=ROWS(_xlpm.S),INDEX(_xlpm.S,_xlpm.r,2),""))</f>
        <v/>
      </c>
      <c r="AD626" s="1405">
        <f t="array" ref="AD626">_xlfn.LET(_xlpm.S,_xlfn.ANCHORARRAY($Y$4),_xlpm.r,ROWS(stayCity[[#Headers],[city]]:stayCity[[#This Row],[city]])-1,IF(_xlpm.r&lt;=ROWS(_xlpm.S),INDEX(_xlpm.S,_xlpm.r,3),""))</f>
        <v/>
      </c>
      <c r="AE626" s="1400">
        <f>IF(stayCity[[#This Row],[out]]&lt;&gt;"",stayCity[[#This Row],[out]]-stayCity[[#This Row],[in]],"-")</f>
        <v/>
      </c>
      <c r="AF626" s="1406">
        <f>IF(Y626="","-",YEAR(stayCity[[#This Row],[in]]))</f>
        <v/>
      </c>
      <c r="AG626" s="1392" t="n"/>
      <c r="AH626" s="1392" t="n"/>
      <c r="AI626" s="1392" t="n"/>
      <c r="AJ626" s="1392" t="n"/>
      <c r="AK626" s="1392" t="n"/>
      <c r="AL626" s="1392" t="n"/>
      <c r="AM626" s="1392" t="n"/>
      <c r="AN626" s="1392" t="n"/>
      <c r="AO626" s="1392" t="n"/>
      <c r="AP626" s="1392" t="n"/>
      <c r="AQ626" s="1392" t="n"/>
      <c r="AR626" s="1392" t="n"/>
      <c r="AS626" s="1422" t="n"/>
      <c r="AT626" s="1392" t="n"/>
      <c r="AU626" s="1392" t="n"/>
      <c r="AV626" s="1392" t="n"/>
      <c r="AW626" s="1392" t="n"/>
      <c r="AX626" s="1392" t="n"/>
      <c r="AY626" s="1392" t="n"/>
      <c r="AZ626" s="1392" t="n"/>
      <c r="BA626" s="1392" t="n"/>
      <c r="BB626" s="1422" t="n"/>
      <c r="BC626" s="1392" t="n"/>
      <c r="BD626" s="1392" t="n"/>
      <c r="BE626" s="1392" t="n"/>
      <c r="BF626" s="1392" t="n"/>
      <c r="BG626" s="1392" t="n"/>
      <c r="BH626" s="1392" t="n"/>
      <c r="BI626" s="1392" t="n"/>
      <c r="BJ626" s="1392" t="n"/>
      <c r="BK626" s="1392" t="n"/>
      <c r="BL626" s="1392" t="n"/>
      <c r="BM626" s="1392" t="n"/>
      <c r="BN626" s="1392" t="n"/>
      <c r="BO626" s="1392" t="n"/>
      <c r="BP626" s="1392" t="n"/>
      <c r="BQ626" s="1392" t="n"/>
      <c r="BR626" s="1392" t="n"/>
      <c r="BS626" s="1392" t="n"/>
      <c r="BT626" s="1392" t="n"/>
      <c r="BU626" s="1416" t="n"/>
      <c r="BV626" s="1392" t="n"/>
      <c r="BW626" s="1392" t="n"/>
      <c r="BX626" s="1392" t="n"/>
      <c r="BY626" s="1392" t="n"/>
      <c r="BZ626" s="1416" t="n"/>
      <c r="CA626" s="1392" t="n"/>
      <c r="CB626" s="1392" t="n"/>
      <c r="CC626" s="1392" t="n"/>
      <c r="CD626" s="1392" t="n"/>
      <c r="CE626" s="1392" t="n"/>
      <c r="CF626" s="1392" t="n"/>
      <c r="CG626" s="1392" t="n"/>
      <c r="CH626" s="1392" t="n"/>
      <c r="CI626" s="1392" t="n"/>
      <c r="CJ626" s="1392" t="n"/>
      <c r="CK626" s="1392" t="n"/>
      <c r="CL626" s="1392" t="n"/>
    </row>
    <row r="627">
      <c r="A627" s="5" t="inlineStr">
        <is>
          <t>.</t>
        </is>
      </c>
      <c r="B627" s="5" t="inlineStr">
        <is>
          <t>.</t>
        </is>
      </c>
      <c r="C627" s="1378">
        <f>IF(raw[[#This Row],[city]]="","-",IF(raw[[#This Row],[city]]="TODAY","-",C626+1))</f>
        <v/>
      </c>
      <c r="D627" s="1393" t="inlineStr">
        <is>
          <t>SP</t>
        </is>
      </c>
      <c r="E627" s="1394" t="n">
        <v>36779</v>
      </c>
      <c r="F627" s="1394" t="n">
        <v>36800</v>
      </c>
      <c r="G627" s="1393" t="inlineStr">
        <is>
          <t>-</t>
        </is>
      </c>
      <c r="H627" s="1393" t="inlineStr">
        <is>
          <t>Joaquim Eugenio</t>
        </is>
      </c>
      <c r="I627" s="1393" t="inlineStr">
        <is>
          <t>-</t>
        </is>
      </c>
      <c r="J627" s="1393" t="inlineStr">
        <is>
          <t>-</t>
        </is>
      </c>
      <c r="K627" s="1395">
        <f>IF(raw[[#This Row],[city]]&lt;&gt;"",_xlfn.XLOOKUP($D627,ccc[city],ccc[prov],"-"),"-")</f>
        <v/>
      </c>
      <c r="L627" s="1395">
        <f>IF(raw[[#This Row],[city]]&lt;&gt;"",_xlfn.XLOOKUP($D627,ccc[city],ccc[ctry],"-"),"-")</f>
        <v/>
      </c>
      <c r="M627" s="1395">
        <f>IF(raw[[#This Row],[city]]&lt;&gt;"",_xlfn.XLOOKUP($D627,ccc[city],ccc[cont],"-"),"-")</f>
        <v/>
      </c>
      <c r="N627" s="1396">
        <f>IF(raw[[#This Row],[city]]="","-",IF(raw[[#This Row],[cont]]="B",raw[[#This Row],[cont]],"W"))</f>
        <v/>
      </c>
      <c r="O627" s="1397">
        <f>IF(raw[[#This Row],[out]]=0,0,IF(raw[[#This Row],[out]]=raw[[#This Row],[in]],0.01,raw[[#This Row],[out]]-raw[[#This Row],[in]]))</f>
        <v/>
      </c>
      <c r="P627" s="1397">
        <f>IF(raw[[#This Row],[in]]=0,0,MONTH(raw[[#This Row],[in]]))</f>
        <v/>
      </c>
      <c r="Q627" s="1397">
        <f>IF(raw[[#This Row],[in]]=0,0,YEAR(raw[[#This Row],[in]]))</f>
        <v/>
      </c>
      <c r="R627" s="1397">
        <f>INT(raw[[#This Row],[yr]]/10)*10</f>
        <v/>
      </c>
      <c r="S627" s="1395">
        <f>IF(raw[[#This Row],[city]]="","-",IF(raw[[#This Row],[city]]&lt;&gt;_xlfn.XLOOKUP(raw[[#This Row],[home]],homes[home],homes[city],"-"),1,0))</f>
        <v/>
      </c>
      <c r="T627" s="1398" t="inlineStr">
        <is>
          <t>.</t>
        </is>
      </c>
      <c r="U627" s="1399">
        <f>IF(raw[[#This Row],[wb]]="w",raw[[#This Row],[stay]]+U626,U626)</f>
        <v/>
      </c>
      <c r="V627" s="1400">
        <f>IF(raw[[#This Row],[out]]=0,V626,(raw[[#This Row],[out]]-E$5))</f>
        <v/>
      </c>
      <c r="W627" s="1401">
        <f>U627/V627</f>
        <v/>
      </c>
      <c r="X627" s="1378" t="inlineStr">
        <is>
          <t>.</t>
        </is>
      </c>
      <c r="Y627" s="1402">
        <f/>
        <v/>
      </c>
      <c r="Z627" s="1403">
        <f/>
        <v/>
      </c>
      <c r="AA627" s="1403">
        <f/>
        <v/>
      </c>
      <c r="AB627" s="1400">
        <f t="array" ref="AB627">_xlfn.LET(_xlpm.S,_xlfn.ANCHORARRAY($Y$4),_xlpm.r,ROWS(stayCity[[#Headers],[city]]:stayCity[[#This Row],[city]])-1,IF(_xlpm.r&lt;=ROWS(_xlpm.S),INDEX(_xlpm.S,_xlpm.r,1),""))</f>
        <v/>
      </c>
      <c r="AC627" s="1405">
        <f t="array" ref="AC627">_xlfn.LET(_xlpm.S,_xlfn.ANCHORARRAY($Y$4),_xlpm.r,ROWS(stayCity[[#Headers],[city]]:stayCity[[#This Row],[city]])-1,IF(_xlpm.r&lt;=ROWS(_xlpm.S),INDEX(_xlpm.S,_xlpm.r,2),""))</f>
        <v/>
      </c>
      <c r="AD627" s="1405">
        <f t="array" ref="AD627">_xlfn.LET(_xlpm.S,_xlfn.ANCHORARRAY($Y$4),_xlpm.r,ROWS(stayCity[[#Headers],[city]]:stayCity[[#This Row],[city]])-1,IF(_xlpm.r&lt;=ROWS(_xlpm.S),INDEX(_xlpm.S,_xlpm.r,3),""))</f>
        <v/>
      </c>
      <c r="AE627" s="1400">
        <f>IF(stayCity[[#This Row],[out]]&lt;&gt;"",stayCity[[#This Row],[out]]-stayCity[[#This Row],[in]],"-")</f>
        <v/>
      </c>
      <c r="AF627" s="1406">
        <f>IF(Y627="","-",YEAR(stayCity[[#This Row],[in]]))</f>
        <v/>
      </c>
      <c r="AG627" s="1392" t="n"/>
      <c r="AH627" s="1392" t="n"/>
      <c r="AI627" s="1392" t="n"/>
      <c r="AJ627" s="1392" t="n"/>
      <c r="AK627" s="1392" t="n"/>
      <c r="AL627" s="1392" t="n"/>
      <c r="AM627" s="1392" t="n"/>
      <c r="AN627" s="1392" t="n"/>
      <c r="AO627" s="1392" t="n"/>
      <c r="AP627" s="1392" t="n"/>
      <c r="AQ627" s="1392" t="n"/>
      <c r="AR627" s="1392" t="n"/>
      <c r="AS627" s="1422" t="n"/>
      <c r="AT627" s="1392" t="n"/>
      <c r="AU627" s="1392" t="n"/>
      <c r="AV627" s="1392" t="n"/>
      <c r="AW627" s="1392" t="n"/>
      <c r="AX627" s="1392" t="n"/>
      <c r="AY627" s="1392" t="n"/>
      <c r="AZ627" s="1392" t="n"/>
      <c r="BA627" s="1392" t="n"/>
      <c r="BB627" s="1422" t="n"/>
      <c r="BC627" s="1392" t="n"/>
      <c r="BD627" s="1392" t="n"/>
      <c r="BE627" s="1392" t="n"/>
      <c r="BF627" s="1392" t="n"/>
      <c r="BG627" s="1392" t="n"/>
      <c r="BH627" s="1392" t="n"/>
      <c r="BI627" s="1392" t="n"/>
      <c r="BJ627" s="1392" t="n"/>
      <c r="BK627" s="1392" t="n"/>
      <c r="BL627" s="1392" t="n"/>
      <c r="BM627" s="1392" t="n"/>
      <c r="BN627" s="1392" t="n"/>
      <c r="BO627" s="1392" t="n"/>
      <c r="BP627" s="1392" t="n"/>
      <c r="BQ627" s="1392" t="n"/>
      <c r="BR627" s="1392" t="n"/>
      <c r="BS627" s="1392" t="n"/>
      <c r="BT627" s="1392" t="n"/>
      <c r="BU627" s="1416" t="n"/>
      <c r="BV627" s="1392" t="n"/>
      <c r="BW627" s="1392" t="n"/>
      <c r="BX627" s="1392" t="n"/>
      <c r="BY627" s="1392" t="n"/>
      <c r="BZ627" s="1416" t="n"/>
      <c r="CA627" s="1392" t="n"/>
      <c r="CB627" s="1392" t="n"/>
      <c r="CC627" s="1392" t="n"/>
      <c r="CD627" s="1392" t="n"/>
      <c r="CE627" s="1392" t="n"/>
      <c r="CF627" s="1392" t="n"/>
      <c r="CG627" s="1392" t="n"/>
      <c r="CH627" s="1392" t="n"/>
      <c r="CI627" s="1392" t="n"/>
      <c r="CJ627" s="1392" t="n"/>
      <c r="CK627" s="1392" t="n"/>
      <c r="CL627" s="1392" t="n"/>
    </row>
    <row r="628">
      <c r="A628" s="5" t="inlineStr">
        <is>
          <t>.</t>
        </is>
      </c>
      <c r="B628" s="5" t="inlineStr">
        <is>
          <t>.</t>
        </is>
      </c>
      <c r="C628" s="1378">
        <f>IF(raw[[#This Row],[city]]="","-",IF(raw[[#This Row],[city]]="TODAY","-",C627+1))</f>
        <v/>
      </c>
      <c r="D628" s="1393" t="inlineStr">
        <is>
          <t>SP</t>
        </is>
      </c>
      <c r="E628" s="1394" t="n">
        <v>36800</v>
      </c>
      <c r="F628" s="1394" t="n">
        <v>36810</v>
      </c>
      <c r="G628" s="1393" t="n">
        <v>1</v>
      </c>
      <c r="H628" s="1393" t="inlineStr">
        <is>
          <t>Joaquim Eugenio</t>
        </is>
      </c>
      <c r="I628" s="1393" t="inlineStr">
        <is>
          <t>-</t>
        </is>
      </c>
      <c r="J628" s="1393" t="inlineStr">
        <is>
          <t>-</t>
        </is>
      </c>
      <c r="K628" s="1395">
        <f>IF(raw[[#This Row],[city]]&lt;&gt;"",_xlfn.XLOOKUP($D628,ccc[city],ccc[prov],"-"),"-")</f>
        <v/>
      </c>
      <c r="L628" s="1395">
        <f>IF(raw[[#This Row],[city]]&lt;&gt;"",_xlfn.XLOOKUP($D628,ccc[city],ccc[ctry],"-"),"-")</f>
        <v/>
      </c>
      <c r="M628" s="1395">
        <f>IF(raw[[#This Row],[city]]&lt;&gt;"",_xlfn.XLOOKUP($D628,ccc[city],ccc[cont],"-"),"-")</f>
        <v/>
      </c>
      <c r="N628" s="1396">
        <f>IF(raw[[#This Row],[city]]="","-",IF(raw[[#This Row],[cont]]="B",raw[[#This Row],[cont]],"W"))</f>
        <v/>
      </c>
      <c r="O628" s="1397">
        <f>IF(raw[[#This Row],[out]]=0,0,IF(raw[[#This Row],[out]]=raw[[#This Row],[in]],0.01,raw[[#This Row],[out]]-raw[[#This Row],[in]]))</f>
        <v/>
      </c>
      <c r="P628" s="1397">
        <f>IF(raw[[#This Row],[in]]=0,0,MONTH(raw[[#This Row],[in]]))</f>
        <v/>
      </c>
      <c r="Q628" s="1397">
        <f>IF(raw[[#This Row],[in]]=0,0,YEAR(raw[[#This Row],[in]]))</f>
        <v/>
      </c>
      <c r="R628" s="1397">
        <f>INT(raw[[#This Row],[yr]]/10)*10</f>
        <v/>
      </c>
      <c r="S628" s="1395">
        <f>IF(raw[[#This Row],[city]]="","-",IF(raw[[#This Row],[city]]&lt;&gt;_xlfn.XLOOKUP(raw[[#This Row],[home]],homes[home],homes[city],"-"),1,0))</f>
        <v/>
      </c>
      <c r="T628" s="1398" t="inlineStr">
        <is>
          <t>.</t>
        </is>
      </c>
      <c r="U628" s="1399">
        <f>IF(raw[[#This Row],[wb]]="w",raw[[#This Row],[stay]]+U627,U627)</f>
        <v/>
      </c>
      <c r="V628" s="1400">
        <f>IF(raw[[#This Row],[out]]=0,V627,(raw[[#This Row],[out]]-E$5))</f>
        <v/>
      </c>
      <c r="W628" s="1401">
        <f>U628/V628</f>
        <v/>
      </c>
      <c r="X628" s="1378" t="inlineStr">
        <is>
          <t>.</t>
        </is>
      </c>
      <c r="Y628" s="1402">
        <f/>
        <v/>
      </c>
      <c r="Z628" s="1403">
        <f/>
        <v/>
      </c>
      <c r="AA628" s="1403">
        <f/>
        <v/>
      </c>
      <c r="AB628" s="1400">
        <f t="array" ref="AB628">_xlfn.LET(_xlpm.S,_xlfn.ANCHORARRAY($Y$4),_xlpm.r,ROWS(stayCity[[#Headers],[city]]:stayCity[[#This Row],[city]])-1,IF(_xlpm.r&lt;=ROWS(_xlpm.S),INDEX(_xlpm.S,_xlpm.r,1),""))</f>
        <v/>
      </c>
      <c r="AC628" s="1405">
        <f t="array" ref="AC628">_xlfn.LET(_xlpm.S,_xlfn.ANCHORARRAY($Y$4),_xlpm.r,ROWS(stayCity[[#Headers],[city]]:stayCity[[#This Row],[city]])-1,IF(_xlpm.r&lt;=ROWS(_xlpm.S),INDEX(_xlpm.S,_xlpm.r,2),""))</f>
        <v/>
      </c>
      <c r="AD628" s="1405">
        <f t="array" ref="AD628">_xlfn.LET(_xlpm.S,_xlfn.ANCHORARRAY($Y$4),_xlpm.r,ROWS(stayCity[[#Headers],[city]]:stayCity[[#This Row],[city]])-1,IF(_xlpm.r&lt;=ROWS(_xlpm.S),INDEX(_xlpm.S,_xlpm.r,3),""))</f>
        <v/>
      </c>
      <c r="AE628" s="1400">
        <f>IF(stayCity[[#This Row],[out]]&lt;&gt;"",stayCity[[#This Row],[out]]-stayCity[[#This Row],[in]],"-")</f>
        <v/>
      </c>
      <c r="AF628" s="1406">
        <f>IF(Y628="","-",YEAR(stayCity[[#This Row],[in]]))</f>
        <v/>
      </c>
      <c r="AG628" s="1392" t="n"/>
      <c r="AH628" s="1392" t="n"/>
      <c r="AI628" s="1392" t="n"/>
      <c r="AJ628" s="1392" t="n"/>
      <c r="AK628" s="1392" t="n"/>
      <c r="AL628" s="1392" t="n"/>
      <c r="AM628" s="1392" t="n"/>
      <c r="AN628" s="1392" t="n"/>
      <c r="AO628" s="1392" t="n"/>
      <c r="AP628" s="1392" t="n"/>
      <c r="AQ628" s="1392" t="n"/>
      <c r="AR628" s="1392" t="n"/>
      <c r="AS628" s="1422" t="n"/>
      <c r="AT628" s="1392" t="n"/>
      <c r="AU628" s="1392" t="n"/>
      <c r="AV628" s="1392" t="n"/>
      <c r="AW628" s="1392" t="n"/>
      <c r="AX628" s="1392" t="n"/>
      <c r="AY628" s="1392" t="n"/>
      <c r="AZ628" s="1392" t="n"/>
      <c r="BA628" s="1392" t="n"/>
      <c r="BB628" s="1422" t="n"/>
      <c r="BC628" s="1392" t="n"/>
      <c r="BD628" s="1392" t="n"/>
      <c r="BE628" s="1392" t="n"/>
      <c r="BF628" s="1392" t="n"/>
      <c r="BG628" s="1392" t="n"/>
      <c r="BH628" s="1392" t="n"/>
      <c r="BI628" s="1392" t="n"/>
      <c r="BJ628" s="1392" t="n"/>
      <c r="BK628" s="1392" t="n"/>
      <c r="BL628" s="1392" t="n"/>
      <c r="BM628" s="1392" t="n"/>
      <c r="BN628" s="1392" t="n"/>
      <c r="BO628" s="1392" t="n"/>
      <c r="BP628" s="1392" t="n"/>
      <c r="BQ628" s="1392" t="n"/>
      <c r="BR628" s="1392" t="n"/>
      <c r="BS628" s="1392" t="n"/>
      <c r="BT628" s="1392" t="n"/>
      <c r="BU628" s="1416" t="n"/>
      <c r="BV628" s="1392" t="n"/>
      <c r="BW628" s="1392" t="n"/>
      <c r="BX628" s="1392" t="n"/>
      <c r="BY628" s="1392" t="n"/>
      <c r="BZ628" s="1416" t="n"/>
      <c r="CA628" s="1392" t="n"/>
      <c r="CB628" s="1392" t="n"/>
      <c r="CC628" s="1392" t="n"/>
      <c r="CD628" s="1392" t="n"/>
      <c r="CE628" s="1392" t="n"/>
      <c r="CF628" s="1392" t="n"/>
      <c r="CG628" s="1392" t="n"/>
      <c r="CH628" s="1392" t="n"/>
      <c r="CI628" s="1392" t="n"/>
      <c r="CJ628" s="1392" t="n"/>
      <c r="CK628" s="1392" t="n"/>
      <c r="CL628" s="1392" t="n"/>
    </row>
    <row r="629">
      <c r="A629" s="5" t="inlineStr">
        <is>
          <t>.</t>
        </is>
      </c>
      <c r="B629" s="5" t="inlineStr">
        <is>
          <t>.</t>
        </is>
      </c>
      <c r="C629" s="1378">
        <f>IF(raw[[#This Row],[city]]="","-",IF(raw[[#This Row],[city]]="TODAY","-",C628+1))</f>
        <v/>
      </c>
      <c r="D629" s="1393" t="inlineStr">
        <is>
          <t>SSA</t>
        </is>
      </c>
      <c r="E629" s="1394" t="n">
        <v>36810</v>
      </c>
      <c r="F629" s="1394" t="n">
        <v>36816</v>
      </c>
      <c r="G629" s="1393" t="n">
        <v>1</v>
      </c>
      <c r="H629" s="1393" t="inlineStr">
        <is>
          <t>Joaquim Eugenio</t>
        </is>
      </c>
      <c r="I629" s="1393" t="inlineStr">
        <is>
          <t>Ondina</t>
        </is>
      </c>
      <c r="J629" s="1393" t="inlineStr">
        <is>
          <t>-</t>
        </is>
      </c>
      <c r="K629" s="1395">
        <f>IF(raw[[#This Row],[city]]&lt;&gt;"",_xlfn.XLOOKUP($D629,ccc[city],ccc[prov],"-"),"-")</f>
        <v/>
      </c>
      <c r="L629" s="1395">
        <f>IF(raw[[#This Row],[city]]&lt;&gt;"",_xlfn.XLOOKUP($D629,ccc[city],ccc[ctry],"-"),"-")</f>
        <v/>
      </c>
      <c r="M629" s="1395">
        <f>IF(raw[[#This Row],[city]]&lt;&gt;"",_xlfn.XLOOKUP($D629,ccc[city],ccc[cont],"-"),"-")</f>
        <v/>
      </c>
      <c r="N629" s="1396">
        <f>IF(raw[[#This Row],[city]]="","-",IF(raw[[#This Row],[cont]]="B",raw[[#This Row],[cont]],"W"))</f>
        <v/>
      </c>
      <c r="O629" s="1397">
        <f>IF(raw[[#This Row],[out]]=0,0,IF(raw[[#This Row],[out]]=raw[[#This Row],[in]],0.01,raw[[#This Row],[out]]-raw[[#This Row],[in]]))</f>
        <v/>
      </c>
      <c r="P629" s="1397">
        <f>IF(raw[[#This Row],[in]]=0,0,MONTH(raw[[#This Row],[in]]))</f>
        <v/>
      </c>
      <c r="Q629" s="1397">
        <f>IF(raw[[#This Row],[in]]=0,0,YEAR(raw[[#This Row],[in]]))</f>
        <v/>
      </c>
      <c r="R629" s="1397">
        <f>INT(raw[[#This Row],[yr]]/10)*10</f>
        <v/>
      </c>
      <c r="S629" s="1395">
        <f>IF(raw[[#This Row],[city]]="","-",IF(raw[[#This Row],[city]]&lt;&gt;_xlfn.XLOOKUP(raw[[#This Row],[home]],homes[home],homes[city],"-"),1,0))</f>
        <v/>
      </c>
      <c r="T629" s="1398" t="inlineStr">
        <is>
          <t>.</t>
        </is>
      </c>
      <c r="U629" s="1399">
        <f>IF(raw[[#This Row],[wb]]="w",raw[[#This Row],[stay]]+U628,U628)</f>
        <v/>
      </c>
      <c r="V629" s="1400">
        <f>IF(raw[[#This Row],[out]]=0,V628,(raw[[#This Row],[out]]-E$5))</f>
        <v/>
      </c>
      <c r="W629" s="1401">
        <f>U629/V629</f>
        <v/>
      </c>
      <c r="X629" s="1378" t="inlineStr">
        <is>
          <t>.</t>
        </is>
      </c>
      <c r="Y629" s="1402">
        <f/>
        <v/>
      </c>
      <c r="Z629" s="1403">
        <f/>
        <v/>
      </c>
      <c r="AA629" s="1403">
        <f/>
        <v/>
      </c>
      <c r="AB629" s="1400">
        <f t="array" ref="AB629">_xlfn.LET(_xlpm.S,_xlfn.ANCHORARRAY($Y$4),_xlpm.r,ROWS(stayCity[[#Headers],[city]]:stayCity[[#This Row],[city]])-1,IF(_xlpm.r&lt;=ROWS(_xlpm.S),INDEX(_xlpm.S,_xlpm.r,1),""))</f>
        <v/>
      </c>
      <c r="AC629" s="1405">
        <f t="array" ref="AC629">_xlfn.LET(_xlpm.S,_xlfn.ANCHORARRAY($Y$4),_xlpm.r,ROWS(stayCity[[#Headers],[city]]:stayCity[[#This Row],[city]])-1,IF(_xlpm.r&lt;=ROWS(_xlpm.S),INDEX(_xlpm.S,_xlpm.r,2),""))</f>
        <v/>
      </c>
      <c r="AD629" s="1405">
        <f t="array" ref="AD629">_xlfn.LET(_xlpm.S,_xlfn.ANCHORARRAY($Y$4),_xlpm.r,ROWS(stayCity[[#Headers],[city]]:stayCity[[#This Row],[city]])-1,IF(_xlpm.r&lt;=ROWS(_xlpm.S),INDEX(_xlpm.S,_xlpm.r,3),""))</f>
        <v/>
      </c>
      <c r="AE629" s="1400">
        <f>IF(stayCity[[#This Row],[out]]&lt;&gt;"",stayCity[[#This Row],[out]]-stayCity[[#This Row],[in]],"-")</f>
        <v/>
      </c>
      <c r="AF629" s="1406">
        <f>IF(Y629="","-",YEAR(stayCity[[#This Row],[in]]))</f>
        <v/>
      </c>
      <c r="AG629" s="1392" t="n"/>
      <c r="AH629" s="1392" t="n"/>
      <c r="AI629" s="1392" t="n"/>
      <c r="AJ629" s="1392" t="n"/>
      <c r="AK629" s="1392" t="n"/>
      <c r="AL629" s="1392" t="n"/>
      <c r="AM629" s="1392" t="n"/>
      <c r="AN629" s="1392" t="n"/>
      <c r="AO629" s="1392" t="n"/>
      <c r="AP629" s="1392" t="n"/>
      <c r="AQ629" s="1392" t="n"/>
      <c r="AR629" s="1392" t="n"/>
      <c r="AS629" s="1422" t="n"/>
      <c r="AT629" s="1392" t="n"/>
      <c r="AU629" s="1392" t="n"/>
      <c r="AV629" s="1392" t="n"/>
      <c r="AW629" s="1392" t="n"/>
      <c r="AX629" s="1392" t="n"/>
      <c r="AY629" s="1392" t="n"/>
      <c r="AZ629" s="1392" t="n"/>
      <c r="BA629" s="1392" t="n"/>
      <c r="BB629" s="1422" t="n"/>
      <c r="BC629" s="1392" t="n"/>
      <c r="BD629" s="1392" t="n"/>
      <c r="BE629" s="1392" t="n"/>
      <c r="BF629" s="1392" t="n"/>
      <c r="BG629" s="1392" t="n"/>
      <c r="BH629" s="1392" t="n"/>
      <c r="BI629" s="1392" t="n"/>
      <c r="BJ629" s="1392" t="n"/>
      <c r="BK629" s="1392" t="n"/>
      <c r="BL629" s="1392" t="n"/>
      <c r="BM629" s="1392" t="n"/>
      <c r="BN629" s="1392" t="n"/>
      <c r="BO629" s="1392" t="n"/>
      <c r="BP629" s="1392" t="n"/>
      <c r="BQ629" s="1392" t="n"/>
      <c r="BR629" s="1392" t="n"/>
      <c r="BS629" s="1392" t="n"/>
      <c r="BT629" s="1392" t="n"/>
      <c r="BU629" s="1416" t="n"/>
      <c r="BV629" s="1392" t="n"/>
      <c r="BW629" s="1392" t="n"/>
      <c r="BX629" s="1392" t="n"/>
      <c r="BY629" s="1392" t="n"/>
      <c r="BZ629" s="1416" t="n"/>
      <c r="CA629" s="1392" t="n"/>
      <c r="CB629" s="1392" t="n"/>
      <c r="CC629" s="1392" t="n"/>
      <c r="CD629" s="1392" t="n"/>
      <c r="CE629" s="1392" t="n"/>
      <c r="CF629" s="1392" t="n"/>
      <c r="CG629" s="1392" t="n"/>
      <c r="CH629" s="1392" t="n"/>
      <c r="CI629" s="1392" t="n"/>
      <c r="CJ629" s="1392" t="n"/>
      <c r="CK629" s="1392" t="n"/>
      <c r="CL629" s="1392" t="n"/>
    </row>
    <row r="630">
      <c r="A630" s="5" t="inlineStr">
        <is>
          <t>.</t>
        </is>
      </c>
      <c r="B630" s="5" t="inlineStr">
        <is>
          <t>.</t>
        </is>
      </c>
      <c r="C630" s="1378">
        <f>IF(raw[[#This Row],[city]]="","-",IF(raw[[#This Row],[city]]="TODAY","-",C629+1))</f>
        <v/>
      </c>
      <c r="D630" s="1393" t="inlineStr">
        <is>
          <t>SP</t>
        </is>
      </c>
      <c r="E630" s="1394" t="n">
        <v>36816</v>
      </c>
      <c r="F630" s="1394" t="n">
        <v>36831</v>
      </c>
      <c r="G630" s="1393" t="inlineStr">
        <is>
          <t>-</t>
        </is>
      </c>
      <c r="H630" s="1393" t="inlineStr">
        <is>
          <t>Joaquim Eugenio</t>
        </is>
      </c>
      <c r="I630" s="1393" t="inlineStr">
        <is>
          <t>-</t>
        </is>
      </c>
      <c r="J630" s="1393" t="inlineStr">
        <is>
          <t>-</t>
        </is>
      </c>
      <c r="K630" s="1395">
        <f>IF(raw[[#This Row],[city]]&lt;&gt;"",_xlfn.XLOOKUP($D630,ccc[city],ccc[prov],"-"),"-")</f>
        <v/>
      </c>
      <c r="L630" s="1395">
        <f>IF(raw[[#This Row],[city]]&lt;&gt;"",_xlfn.XLOOKUP($D630,ccc[city],ccc[ctry],"-"),"-")</f>
        <v/>
      </c>
      <c r="M630" s="1395">
        <f>IF(raw[[#This Row],[city]]&lt;&gt;"",_xlfn.XLOOKUP($D630,ccc[city],ccc[cont],"-"),"-")</f>
        <v/>
      </c>
      <c r="N630" s="1396">
        <f>IF(raw[[#This Row],[city]]="","-",IF(raw[[#This Row],[cont]]="B",raw[[#This Row],[cont]],"W"))</f>
        <v/>
      </c>
      <c r="O630" s="1397">
        <f>IF(raw[[#This Row],[out]]=0,0,IF(raw[[#This Row],[out]]=raw[[#This Row],[in]],0.01,raw[[#This Row],[out]]-raw[[#This Row],[in]]))</f>
        <v/>
      </c>
      <c r="P630" s="1397">
        <f>IF(raw[[#This Row],[in]]=0,0,MONTH(raw[[#This Row],[in]]))</f>
        <v/>
      </c>
      <c r="Q630" s="1397">
        <f>IF(raw[[#This Row],[in]]=0,0,YEAR(raw[[#This Row],[in]]))</f>
        <v/>
      </c>
      <c r="R630" s="1397">
        <f>INT(raw[[#This Row],[yr]]/10)*10</f>
        <v/>
      </c>
      <c r="S630" s="1395">
        <f>IF(raw[[#This Row],[city]]="","-",IF(raw[[#This Row],[city]]&lt;&gt;_xlfn.XLOOKUP(raw[[#This Row],[home]],homes[home],homes[city],"-"),1,0))</f>
        <v/>
      </c>
      <c r="T630" s="1398" t="inlineStr">
        <is>
          <t>.</t>
        </is>
      </c>
      <c r="U630" s="1399">
        <f>IF(raw[[#This Row],[wb]]="w",raw[[#This Row],[stay]]+U629,U629)</f>
        <v/>
      </c>
      <c r="V630" s="1400">
        <f>IF(raw[[#This Row],[out]]=0,V629,(raw[[#This Row],[out]]-E$5))</f>
        <v/>
      </c>
      <c r="W630" s="1401">
        <f>U630/V630</f>
        <v/>
      </c>
      <c r="X630" s="1378" t="inlineStr">
        <is>
          <t>.</t>
        </is>
      </c>
      <c r="Y630" s="1402">
        <f/>
        <v/>
      </c>
      <c r="Z630" s="1403">
        <f/>
        <v/>
      </c>
      <c r="AA630" s="1403">
        <f/>
        <v/>
      </c>
      <c r="AB630" s="1400">
        <f t="array" ref="AB630">_xlfn.LET(_xlpm.S,_xlfn.ANCHORARRAY($Y$4),_xlpm.r,ROWS(stayCity[[#Headers],[city]]:stayCity[[#This Row],[city]])-1,IF(_xlpm.r&lt;=ROWS(_xlpm.S),INDEX(_xlpm.S,_xlpm.r,1),""))</f>
        <v/>
      </c>
      <c r="AC630" s="1405">
        <f t="array" ref="AC630">_xlfn.LET(_xlpm.S,_xlfn.ANCHORARRAY($Y$4),_xlpm.r,ROWS(stayCity[[#Headers],[city]]:stayCity[[#This Row],[city]])-1,IF(_xlpm.r&lt;=ROWS(_xlpm.S),INDEX(_xlpm.S,_xlpm.r,2),""))</f>
        <v/>
      </c>
      <c r="AD630" s="1405">
        <f t="array" ref="AD630">_xlfn.LET(_xlpm.S,_xlfn.ANCHORARRAY($Y$4),_xlpm.r,ROWS(stayCity[[#Headers],[city]]:stayCity[[#This Row],[city]])-1,IF(_xlpm.r&lt;=ROWS(_xlpm.S),INDEX(_xlpm.S,_xlpm.r,3),""))</f>
        <v/>
      </c>
      <c r="AE630" s="1400">
        <f>IF(stayCity[[#This Row],[out]]&lt;&gt;"",stayCity[[#This Row],[out]]-stayCity[[#This Row],[in]],"-")</f>
        <v/>
      </c>
      <c r="AF630" s="1406">
        <f>IF(Y630="","-",YEAR(stayCity[[#This Row],[in]]))</f>
        <v/>
      </c>
      <c r="AG630" s="1392" t="n"/>
      <c r="AH630" s="1392" t="n"/>
      <c r="AI630" s="1392" t="n"/>
      <c r="AJ630" s="1392" t="n"/>
      <c r="AK630" s="1392" t="n"/>
      <c r="AL630" s="1392" t="n"/>
      <c r="AM630" s="1392" t="n"/>
      <c r="AN630" s="1392" t="n"/>
      <c r="AO630" s="1392" t="n"/>
      <c r="AP630" s="1392" t="n"/>
      <c r="AQ630" s="1392" t="n"/>
      <c r="AR630" s="1392" t="n"/>
      <c r="AS630" s="1422" t="n"/>
      <c r="AT630" s="1392" t="n"/>
      <c r="AU630" s="1392" t="n"/>
      <c r="AV630" s="1392" t="n"/>
      <c r="AW630" s="1392" t="n"/>
      <c r="AX630" s="1392" t="n"/>
      <c r="AY630" s="1392" t="n"/>
      <c r="AZ630" s="1392" t="n"/>
      <c r="BA630" s="1392" t="n"/>
      <c r="BB630" s="1422" t="n"/>
      <c r="BC630" s="1392" t="n"/>
      <c r="BD630" s="1392" t="n"/>
      <c r="BE630" s="1392" t="n"/>
      <c r="BF630" s="1392" t="n"/>
      <c r="BG630" s="1392" t="n"/>
      <c r="BH630" s="1392" t="n"/>
      <c r="BI630" s="1392" t="n"/>
      <c r="BJ630" s="1392" t="n"/>
      <c r="BK630" s="1392" t="n"/>
      <c r="BL630" s="1392" t="n"/>
      <c r="BM630" s="1392" t="n"/>
      <c r="BN630" s="1392" t="n"/>
      <c r="BO630" s="1392" t="n"/>
      <c r="BP630" s="1392" t="n"/>
      <c r="BQ630" s="1392" t="n"/>
      <c r="BR630" s="1392" t="n"/>
      <c r="BS630" s="1392" t="n"/>
      <c r="BT630" s="1392" t="n"/>
      <c r="BU630" s="1416" t="n"/>
      <c r="BV630" s="1392" t="n"/>
      <c r="BW630" s="1392" t="n"/>
      <c r="BX630" s="1392" t="n"/>
      <c r="BY630" s="1392" t="n"/>
      <c r="BZ630" s="1416" t="n"/>
      <c r="CA630" s="1392" t="n"/>
      <c r="CB630" s="1392" t="n"/>
      <c r="CC630" s="1392" t="n"/>
      <c r="CD630" s="1392" t="n"/>
      <c r="CE630" s="1392" t="n"/>
      <c r="CF630" s="1392" t="n"/>
      <c r="CG630" s="1392" t="n"/>
      <c r="CH630" s="1392" t="n"/>
      <c r="CI630" s="1392" t="n"/>
      <c r="CJ630" s="1392" t="n"/>
      <c r="CK630" s="1392" t="n"/>
      <c r="CL630" s="1392" t="n"/>
    </row>
    <row r="631">
      <c r="A631" s="5" t="inlineStr">
        <is>
          <t>.</t>
        </is>
      </c>
      <c r="B631" s="5" t="inlineStr">
        <is>
          <t>.</t>
        </is>
      </c>
      <c r="C631" s="1378">
        <f>IF(raw[[#This Row],[city]]="","-",IF(raw[[#This Row],[city]]="TODAY","-",C630+1))</f>
        <v/>
      </c>
      <c r="D631" s="1393" t="inlineStr">
        <is>
          <t>SP</t>
        </is>
      </c>
      <c r="E631" s="1394" t="n">
        <v>36831</v>
      </c>
      <c r="F631" s="1394" t="n">
        <v>36848</v>
      </c>
      <c r="G631" s="1393" t="inlineStr">
        <is>
          <t>-</t>
        </is>
      </c>
      <c r="H631" s="1393" t="inlineStr">
        <is>
          <t>Joaquim Eugenio</t>
        </is>
      </c>
      <c r="I631" s="1393" t="inlineStr">
        <is>
          <t>-</t>
        </is>
      </c>
      <c r="J631" s="1393" t="inlineStr">
        <is>
          <t>-</t>
        </is>
      </c>
      <c r="K631" s="1395">
        <f>IF(raw[[#This Row],[city]]&lt;&gt;"",_xlfn.XLOOKUP($D631,ccc[city],ccc[prov],"-"),"-")</f>
        <v/>
      </c>
      <c r="L631" s="1395">
        <f>IF(raw[[#This Row],[city]]&lt;&gt;"",_xlfn.XLOOKUP($D631,ccc[city],ccc[ctry],"-"),"-")</f>
        <v/>
      </c>
      <c r="M631" s="1395">
        <f>IF(raw[[#This Row],[city]]&lt;&gt;"",_xlfn.XLOOKUP($D631,ccc[city],ccc[cont],"-"),"-")</f>
        <v/>
      </c>
      <c r="N631" s="1396">
        <f>IF(raw[[#This Row],[city]]="","-",IF(raw[[#This Row],[cont]]="B",raw[[#This Row],[cont]],"W"))</f>
        <v/>
      </c>
      <c r="O631" s="1397">
        <f>IF(raw[[#This Row],[out]]=0,0,IF(raw[[#This Row],[out]]=raw[[#This Row],[in]],0.01,raw[[#This Row],[out]]-raw[[#This Row],[in]]))</f>
        <v/>
      </c>
      <c r="P631" s="1397">
        <f>IF(raw[[#This Row],[in]]=0,0,MONTH(raw[[#This Row],[in]]))</f>
        <v/>
      </c>
      <c r="Q631" s="1397">
        <f>IF(raw[[#This Row],[in]]=0,0,YEAR(raw[[#This Row],[in]]))</f>
        <v/>
      </c>
      <c r="R631" s="1397">
        <f>INT(raw[[#This Row],[yr]]/10)*10</f>
        <v/>
      </c>
      <c r="S631" s="1395">
        <f>IF(raw[[#This Row],[city]]="","-",IF(raw[[#This Row],[city]]&lt;&gt;_xlfn.XLOOKUP(raw[[#This Row],[home]],homes[home],homes[city],"-"),1,0))</f>
        <v/>
      </c>
      <c r="T631" s="1398" t="inlineStr">
        <is>
          <t>.</t>
        </is>
      </c>
      <c r="U631" s="1399">
        <f>IF(raw[[#This Row],[wb]]="w",raw[[#This Row],[stay]]+U630,U630)</f>
        <v/>
      </c>
      <c r="V631" s="1400">
        <f>IF(raw[[#This Row],[out]]=0,V630,(raw[[#This Row],[out]]-E$5))</f>
        <v/>
      </c>
      <c r="W631" s="1401">
        <f>U631/V631</f>
        <v/>
      </c>
      <c r="X631" s="1378" t="inlineStr">
        <is>
          <t>.</t>
        </is>
      </c>
      <c r="Y631" s="1402">
        <f/>
        <v/>
      </c>
      <c r="Z631" s="1403">
        <f/>
        <v/>
      </c>
      <c r="AA631" s="1403">
        <f/>
        <v/>
      </c>
      <c r="AB631" s="1400">
        <f t="array" ref="AB631">_xlfn.LET(_xlpm.S,_xlfn.ANCHORARRAY($Y$4),_xlpm.r,ROWS(stayCity[[#Headers],[city]]:stayCity[[#This Row],[city]])-1,IF(_xlpm.r&lt;=ROWS(_xlpm.S),INDEX(_xlpm.S,_xlpm.r,1),""))</f>
        <v/>
      </c>
      <c r="AC631" s="1405">
        <f t="array" ref="AC631">_xlfn.LET(_xlpm.S,_xlfn.ANCHORARRAY($Y$4),_xlpm.r,ROWS(stayCity[[#Headers],[city]]:stayCity[[#This Row],[city]])-1,IF(_xlpm.r&lt;=ROWS(_xlpm.S),INDEX(_xlpm.S,_xlpm.r,2),""))</f>
        <v/>
      </c>
      <c r="AD631" s="1405">
        <f t="array" ref="AD631">_xlfn.LET(_xlpm.S,_xlfn.ANCHORARRAY($Y$4),_xlpm.r,ROWS(stayCity[[#Headers],[city]]:stayCity[[#This Row],[city]])-1,IF(_xlpm.r&lt;=ROWS(_xlpm.S),INDEX(_xlpm.S,_xlpm.r,3),""))</f>
        <v/>
      </c>
      <c r="AE631" s="1400">
        <f>IF(stayCity[[#This Row],[out]]&lt;&gt;"",stayCity[[#This Row],[out]]-stayCity[[#This Row],[in]],"-")</f>
        <v/>
      </c>
      <c r="AF631" s="1406">
        <f>IF(Y631="","-",YEAR(stayCity[[#This Row],[in]]))</f>
        <v/>
      </c>
      <c r="AG631" s="1392" t="n"/>
      <c r="AH631" s="1392" t="n"/>
      <c r="AI631" s="1392" t="n"/>
      <c r="AJ631" s="1392" t="n"/>
      <c r="AK631" s="1392" t="n"/>
      <c r="AL631" s="1392" t="n"/>
      <c r="AM631" s="1392" t="n"/>
      <c r="AN631" s="1392" t="n"/>
      <c r="AO631" s="1392" t="n"/>
      <c r="AP631" s="1392" t="n"/>
      <c r="AQ631" s="1392" t="n"/>
      <c r="AR631" s="1392" t="n"/>
      <c r="AS631" s="1422" t="n"/>
      <c r="AT631" s="1392" t="n"/>
      <c r="AU631" s="1392" t="n"/>
      <c r="AV631" s="1392" t="n"/>
      <c r="AW631" s="1392" t="n"/>
      <c r="AX631" s="1392" t="n"/>
      <c r="AY631" s="1392" t="n"/>
      <c r="AZ631" s="1392" t="n"/>
      <c r="BA631" s="1392" t="n"/>
      <c r="BB631" s="1422" t="n"/>
      <c r="BC631" s="1392" t="n"/>
      <c r="BD631" s="1392" t="n"/>
      <c r="BE631" s="1392" t="n"/>
      <c r="BF631" s="1392" t="n"/>
      <c r="BG631" s="1392" t="n"/>
      <c r="BH631" s="1392" t="n"/>
      <c r="BI631" s="1392" t="n"/>
      <c r="BJ631" s="1392" t="n"/>
      <c r="BK631" s="1392" t="n"/>
      <c r="BL631" s="1392" t="n"/>
      <c r="BM631" s="1392" t="n"/>
      <c r="BN631" s="1392" t="n"/>
      <c r="BO631" s="1392" t="n"/>
      <c r="BP631" s="1392" t="n"/>
      <c r="BQ631" s="1392" t="n"/>
      <c r="BR631" s="1392" t="n"/>
      <c r="BS631" s="1392" t="n"/>
      <c r="BT631" s="1392" t="n"/>
      <c r="BU631" s="1416" t="n"/>
      <c r="BV631" s="1392" t="n"/>
      <c r="BW631" s="1392" t="n"/>
      <c r="BX631" s="1392" t="n"/>
      <c r="BY631" s="1392" t="n"/>
      <c r="BZ631" s="1416" t="n"/>
      <c r="CA631" s="1392" t="n"/>
      <c r="CB631" s="1392" t="n"/>
      <c r="CC631" s="1392" t="n"/>
      <c r="CD631" s="1392" t="n"/>
      <c r="CE631" s="1392" t="n"/>
      <c r="CF631" s="1392" t="n"/>
      <c r="CG631" s="1392" t="n"/>
      <c r="CH631" s="1392" t="n"/>
      <c r="CI631" s="1392" t="n"/>
      <c r="CJ631" s="1392" t="n"/>
      <c r="CK631" s="1392" t="n"/>
      <c r="CL631" s="1392" t="n"/>
    </row>
    <row r="632">
      <c r="A632" s="5" t="inlineStr">
        <is>
          <t>.</t>
        </is>
      </c>
      <c r="B632" s="5" t="inlineStr">
        <is>
          <t>.</t>
        </is>
      </c>
      <c r="C632" s="1378">
        <f>IF(raw[[#This Row],[city]]="","-",IF(raw[[#This Row],[city]]="TODAY","-",C631+1))</f>
        <v/>
      </c>
      <c r="D632" s="1393" t="inlineStr">
        <is>
          <t>Cunha</t>
        </is>
      </c>
      <c r="E632" s="1394" t="n">
        <v>36848</v>
      </c>
      <c r="F632" s="1394" t="n">
        <v>36850</v>
      </c>
      <c r="G632" s="1393" t="inlineStr">
        <is>
          <t>-</t>
        </is>
      </c>
      <c r="H632" s="1393" t="inlineStr">
        <is>
          <t>Joaquim Eugenio</t>
        </is>
      </c>
      <c r="I632" s="1393" t="inlineStr">
        <is>
          <t>Cunha/Guto</t>
        </is>
      </c>
      <c r="J632" s="1393" t="inlineStr">
        <is>
          <t>-</t>
        </is>
      </c>
      <c r="K632" s="1395">
        <f>IF(raw[[#This Row],[city]]&lt;&gt;"",_xlfn.XLOOKUP($D632,ccc[city],ccc[prov],"-"),"-")</f>
        <v/>
      </c>
      <c r="L632" s="1395">
        <f>IF(raw[[#This Row],[city]]&lt;&gt;"",_xlfn.XLOOKUP($D632,ccc[city],ccc[ctry],"-"),"-")</f>
        <v/>
      </c>
      <c r="M632" s="1395">
        <f>IF(raw[[#This Row],[city]]&lt;&gt;"",_xlfn.XLOOKUP($D632,ccc[city],ccc[cont],"-"),"-")</f>
        <v/>
      </c>
      <c r="N632" s="1396">
        <f>IF(raw[[#This Row],[city]]="","-",IF(raw[[#This Row],[cont]]="B",raw[[#This Row],[cont]],"W"))</f>
        <v/>
      </c>
      <c r="O632" s="1397">
        <f>IF(raw[[#This Row],[out]]=0,0,IF(raw[[#This Row],[out]]=raw[[#This Row],[in]],0.01,raw[[#This Row],[out]]-raw[[#This Row],[in]]))</f>
        <v/>
      </c>
      <c r="P632" s="1397">
        <f>IF(raw[[#This Row],[in]]=0,0,MONTH(raw[[#This Row],[in]]))</f>
        <v/>
      </c>
      <c r="Q632" s="1397">
        <f>IF(raw[[#This Row],[in]]=0,0,YEAR(raw[[#This Row],[in]]))</f>
        <v/>
      </c>
      <c r="R632" s="1397">
        <f>INT(raw[[#This Row],[yr]]/10)*10</f>
        <v/>
      </c>
      <c r="S632" s="1395">
        <f>IF(raw[[#This Row],[city]]="","-",IF(raw[[#This Row],[city]]&lt;&gt;_xlfn.XLOOKUP(raw[[#This Row],[home]],homes[home],homes[city],"-"),1,0))</f>
        <v/>
      </c>
      <c r="T632" s="1398" t="inlineStr">
        <is>
          <t>.</t>
        </is>
      </c>
      <c r="U632" s="1399">
        <f>IF(raw[[#This Row],[wb]]="w",raw[[#This Row],[stay]]+U631,U631)</f>
        <v/>
      </c>
      <c r="V632" s="1400">
        <f>IF(raw[[#This Row],[out]]=0,V631,(raw[[#This Row],[out]]-E$5))</f>
        <v/>
      </c>
      <c r="W632" s="1401">
        <f>U632/V632</f>
        <v/>
      </c>
      <c r="X632" s="1378" t="inlineStr">
        <is>
          <t>.</t>
        </is>
      </c>
      <c r="Y632" s="1402">
        <f/>
        <v/>
      </c>
      <c r="Z632" s="1403">
        <f/>
        <v/>
      </c>
      <c r="AA632" s="1403">
        <f/>
        <v/>
      </c>
      <c r="AB632" s="1400">
        <f t="array" ref="AB632">_xlfn.LET(_xlpm.S,_xlfn.ANCHORARRAY($Y$4),_xlpm.r,ROWS(stayCity[[#Headers],[city]]:stayCity[[#This Row],[city]])-1,IF(_xlpm.r&lt;=ROWS(_xlpm.S),INDEX(_xlpm.S,_xlpm.r,1),""))</f>
        <v/>
      </c>
      <c r="AC632" s="1405">
        <f t="array" ref="AC632">_xlfn.LET(_xlpm.S,_xlfn.ANCHORARRAY($Y$4),_xlpm.r,ROWS(stayCity[[#Headers],[city]]:stayCity[[#This Row],[city]])-1,IF(_xlpm.r&lt;=ROWS(_xlpm.S),INDEX(_xlpm.S,_xlpm.r,2),""))</f>
        <v/>
      </c>
      <c r="AD632" s="1405">
        <f t="array" ref="AD632">_xlfn.LET(_xlpm.S,_xlfn.ANCHORARRAY($Y$4),_xlpm.r,ROWS(stayCity[[#Headers],[city]]:stayCity[[#This Row],[city]])-1,IF(_xlpm.r&lt;=ROWS(_xlpm.S),INDEX(_xlpm.S,_xlpm.r,3),""))</f>
        <v/>
      </c>
      <c r="AE632" s="1400">
        <f>IF(stayCity[[#This Row],[out]]&lt;&gt;"",stayCity[[#This Row],[out]]-stayCity[[#This Row],[in]],"-")</f>
        <v/>
      </c>
      <c r="AF632" s="1406">
        <f>IF(Y632="","-",YEAR(stayCity[[#This Row],[in]]))</f>
        <v/>
      </c>
      <c r="AG632" s="1392" t="n"/>
      <c r="AH632" s="1392" t="n"/>
      <c r="AI632" s="1392" t="n"/>
      <c r="AJ632" s="1392" t="n"/>
      <c r="AK632" s="1392" t="n"/>
      <c r="AL632" s="1392" t="n"/>
      <c r="AM632" s="1392" t="n"/>
      <c r="AN632" s="1392" t="n"/>
      <c r="AO632" s="1392" t="n"/>
      <c r="AP632" s="1392" t="n"/>
      <c r="AQ632" s="1392" t="n"/>
      <c r="AR632" s="1392" t="n"/>
      <c r="AS632" s="1422" t="n"/>
      <c r="AT632" s="1392" t="n"/>
      <c r="AU632" s="1392" t="n"/>
      <c r="AV632" s="1392" t="n"/>
      <c r="AW632" s="1392" t="n"/>
      <c r="AX632" s="1392" t="n"/>
      <c r="AY632" s="1392" t="n"/>
      <c r="AZ632" s="1392" t="n"/>
      <c r="BA632" s="1392" t="n"/>
      <c r="BB632" s="1422" t="n"/>
      <c r="BC632" s="1392" t="n"/>
      <c r="BD632" s="1392" t="n"/>
      <c r="BE632" s="1392" t="n"/>
      <c r="BF632" s="1392" t="n"/>
      <c r="BG632" s="1392" t="n"/>
      <c r="BH632" s="1392" t="n"/>
      <c r="BI632" s="1392" t="n"/>
      <c r="BJ632" s="1392" t="n"/>
      <c r="BK632" s="1392" t="n"/>
      <c r="BL632" s="1392" t="n"/>
      <c r="BM632" s="1392" t="n"/>
      <c r="BN632" s="1392" t="n"/>
      <c r="BO632" s="1392" t="n"/>
      <c r="BP632" s="1392" t="n"/>
      <c r="BQ632" s="1392" t="n"/>
      <c r="BR632" s="1392" t="n"/>
      <c r="BS632" s="1392" t="n"/>
      <c r="BT632" s="1392" t="n"/>
      <c r="BU632" s="1416" t="n"/>
      <c r="BV632" s="1392" t="n"/>
      <c r="BW632" s="1392" t="n"/>
      <c r="BX632" s="1392" t="n"/>
      <c r="BY632" s="1392" t="n"/>
      <c r="BZ632" s="1416" t="n"/>
      <c r="CA632" s="1392" t="n"/>
      <c r="CB632" s="1392" t="n"/>
      <c r="CC632" s="1392" t="n"/>
      <c r="CD632" s="1392" t="n"/>
      <c r="CE632" s="1392" t="n"/>
      <c r="CF632" s="1392" t="n"/>
      <c r="CG632" s="1392" t="n"/>
      <c r="CH632" s="1392" t="n"/>
      <c r="CI632" s="1392" t="n"/>
      <c r="CJ632" s="1392" t="n"/>
      <c r="CK632" s="1392" t="n"/>
      <c r="CL632" s="1392" t="n"/>
    </row>
    <row r="633">
      <c r="A633" s="5" t="inlineStr">
        <is>
          <t>.</t>
        </is>
      </c>
      <c r="B633" s="5" t="inlineStr">
        <is>
          <t>.</t>
        </is>
      </c>
      <c r="C633" s="1378">
        <f>IF(raw[[#This Row],[city]]="","-",IF(raw[[#This Row],[city]]="TODAY","-",C632+1))</f>
        <v/>
      </c>
      <c r="D633" s="1393" t="inlineStr">
        <is>
          <t>SP</t>
        </is>
      </c>
      <c r="E633" s="1394" t="n">
        <v>36850</v>
      </c>
      <c r="F633" s="1394" t="n">
        <v>36861</v>
      </c>
      <c r="G633" s="1393" t="inlineStr">
        <is>
          <t>-</t>
        </is>
      </c>
      <c r="H633" s="1393" t="inlineStr">
        <is>
          <t>Joaquim Eugenio</t>
        </is>
      </c>
      <c r="I633" s="1393" t="inlineStr">
        <is>
          <t>-</t>
        </is>
      </c>
      <c r="J633" s="1393" t="inlineStr">
        <is>
          <t>-</t>
        </is>
      </c>
      <c r="K633" s="1395">
        <f>IF(raw[[#This Row],[city]]&lt;&gt;"",_xlfn.XLOOKUP($D633,ccc[city],ccc[prov],"-"),"-")</f>
        <v/>
      </c>
      <c r="L633" s="1395">
        <f>IF(raw[[#This Row],[city]]&lt;&gt;"",_xlfn.XLOOKUP($D633,ccc[city],ccc[ctry],"-"),"-")</f>
        <v/>
      </c>
      <c r="M633" s="1395">
        <f>IF(raw[[#This Row],[city]]&lt;&gt;"",_xlfn.XLOOKUP($D633,ccc[city],ccc[cont],"-"),"-")</f>
        <v/>
      </c>
      <c r="N633" s="1396">
        <f>IF(raw[[#This Row],[city]]="","-",IF(raw[[#This Row],[cont]]="B",raw[[#This Row],[cont]],"W"))</f>
        <v/>
      </c>
      <c r="O633" s="1397">
        <f>IF(raw[[#This Row],[out]]=0,0,IF(raw[[#This Row],[out]]=raw[[#This Row],[in]],0.01,raw[[#This Row],[out]]-raw[[#This Row],[in]]))</f>
        <v/>
      </c>
      <c r="P633" s="1397">
        <f>IF(raw[[#This Row],[in]]=0,0,MONTH(raw[[#This Row],[in]]))</f>
        <v/>
      </c>
      <c r="Q633" s="1397">
        <f>IF(raw[[#This Row],[in]]=0,0,YEAR(raw[[#This Row],[in]]))</f>
        <v/>
      </c>
      <c r="R633" s="1397">
        <f>INT(raw[[#This Row],[yr]]/10)*10</f>
        <v/>
      </c>
      <c r="S633" s="1395">
        <f>IF(raw[[#This Row],[city]]="","-",IF(raw[[#This Row],[city]]&lt;&gt;_xlfn.XLOOKUP(raw[[#This Row],[home]],homes[home],homes[city],"-"),1,0))</f>
        <v/>
      </c>
      <c r="T633" s="1398" t="inlineStr">
        <is>
          <t>.</t>
        </is>
      </c>
      <c r="U633" s="1399">
        <f>IF(raw[[#This Row],[wb]]="w",raw[[#This Row],[stay]]+U632,U632)</f>
        <v/>
      </c>
      <c r="V633" s="1400">
        <f>IF(raw[[#This Row],[out]]=0,V632,(raw[[#This Row],[out]]-E$5))</f>
        <v/>
      </c>
      <c r="W633" s="1401">
        <f>U633/V633</f>
        <v/>
      </c>
      <c r="X633" s="1378" t="inlineStr">
        <is>
          <t>.</t>
        </is>
      </c>
      <c r="Y633" s="1402">
        <f/>
        <v/>
      </c>
      <c r="Z633" s="1403">
        <f/>
        <v/>
      </c>
      <c r="AA633" s="1403">
        <f/>
        <v/>
      </c>
      <c r="AB633" s="1400">
        <f t="array" ref="AB633">_xlfn.LET(_xlpm.S,_xlfn.ANCHORARRAY($Y$4),_xlpm.r,ROWS(stayCity[[#Headers],[city]]:stayCity[[#This Row],[city]])-1,IF(_xlpm.r&lt;=ROWS(_xlpm.S),INDEX(_xlpm.S,_xlpm.r,1),""))</f>
        <v/>
      </c>
      <c r="AC633" s="1405">
        <f t="array" ref="AC633">_xlfn.LET(_xlpm.S,_xlfn.ANCHORARRAY($Y$4),_xlpm.r,ROWS(stayCity[[#Headers],[city]]:stayCity[[#This Row],[city]])-1,IF(_xlpm.r&lt;=ROWS(_xlpm.S),INDEX(_xlpm.S,_xlpm.r,2),""))</f>
        <v/>
      </c>
      <c r="AD633" s="1405">
        <f t="array" ref="AD633">_xlfn.LET(_xlpm.S,_xlfn.ANCHORARRAY($Y$4),_xlpm.r,ROWS(stayCity[[#Headers],[city]]:stayCity[[#This Row],[city]])-1,IF(_xlpm.r&lt;=ROWS(_xlpm.S),INDEX(_xlpm.S,_xlpm.r,3),""))</f>
        <v/>
      </c>
      <c r="AE633" s="1400">
        <f>IF(stayCity[[#This Row],[out]]&lt;&gt;"",stayCity[[#This Row],[out]]-stayCity[[#This Row],[in]],"-")</f>
        <v/>
      </c>
      <c r="AF633" s="1406">
        <f>IF(Y633="","-",YEAR(stayCity[[#This Row],[in]]))</f>
        <v/>
      </c>
      <c r="AG633" s="1392" t="n"/>
      <c r="AH633" s="1392" t="n"/>
      <c r="AI633" s="1392" t="n"/>
      <c r="AJ633" s="1392" t="n"/>
      <c r="AK633" s="1392" t="n"/>
      <c r="AL633" s="1392" t="n"/>
      <c r="AM633" s="1392" t="n"/>
      <c r="AN633" s="1392" t="n"/>
      <c r="AO633" s="1392" t="n"/>
      <c r="AP633" s="1392" t="n"/>
      <c r="AQ633" s="1392" t="n"/>
      <c r="AR633" s="1392" t="n"/>
      <c r="AS633" s="1422" t="n"/>
      <c r="AT633" s="1392" t="n"/>
      <c r="AU633" s="1392" t="n"/>
      <c r="AV633" s="1392" t="n"/>
      <c r="AW633" s="1392" t="n"/>
      <c r="AX633" s="1392" t="n"/>
      <c r="AY633" s="1392" t="n"/>
      <c r="AZ633" s="1392" t="n"/>
      <c r="BA633" s="1392" t="n"/>
      <c r="BB633" s="1422" t="n"/>
      <c r="BC633" s="1392" t="n"/>
      <c r="BD633" s="1392" t="n"/>
      <c r="BE633" s="1392" t="n"/>
      <c r="BF633" s="1392" t="n"/>
      <c r="BG633" s="1392" t="n"/>
      <c r="BH633" s="1392" t="n"/>
      <c r="BI633" s="1392" t="n"/>
      <c r="BJ633" s="1392" t="n"/>
      <c r="BK633" s="1392" t="n"/>
      <c r="BL633" s="1392" t="n"/>
      <c r="BM633" s="1392" t="n"/>
      <c r="BN633" s="1392" t="n"/>
      <c r="BO633" s="1392" t="n"/>
      <c r="BP633" s="1392" t="n"/>
      <c r="BQ633" s="1392" t="n"/>
      <c r="BR633" s="1392" t="n"/>
      <c r="BS633" s="1392" t="n"/>
      <c r="BT633" s="1392" t="n"/>
      <c r="BU633" s="1416" t="n"/>
      <c r="BV633" s="1392" t="n"/>
      <c r="BW633" s="1392" t="n"/>
      <c r="BX633" s="1392" t="n"/>
      <c r="BY633" s="1392" t="n"/>
      <c r="BZ633" s="1416" t="n"/>
      <c r="CA633" s="1392" t="n"/>
      <c r="CB633" s="1392" t="n"/>
      <c r="CC633" s="1392" t="n"/>
      <c r="CD633" s="1392" t="n"/>
      <c r="CE633" s="1392" t="n"/>
      <c r="CF633" s="1392" t="n"/>
      <c r="CG633" s="1392" t="n"/>
      <c r="CH633" s="1392" t="n"/>
      <c r="CI633" s="1392" t="n"/>
      <c r="CJ633" s="1392" t="n"/>
      <c r="CK633" s="1392" t="n"/>
      <c r="CL633" s="1392" t="n"/>
    </row>
    <row r="634">
      <c r="A634" s="5" t="inlineStr">
        <is>
          <t>.</t>
        </is>
      </c>
      <c r="B634" s="5" t="inlineStr">
        <is>
          <t>.</t>
        </is>
      </c>
      <c r="C634" s="1378">
        <f>IF(raw[[#This Row],[city]]="","-",IF(raw[[#This Row],[city]]="TODAY","-",C633+1))</f>
        <v/>
      </c>
      <c r="D634" s="1393" t="inlineStr">
        <is>
          <t>SP</t>
        </is>
      </c>
      <c r="E634" s="1394" t="n">
        <v>36861</v>
      </c>
      <c r="F634" s="1394" t="n">
        <v>36883</v>
      </c>
      <c r="G634" s="1393" t="inlineStr">
        <is>
          <t>-</t>
        </is>
      </c>
      <c r="H634" s="1393" t="inlineStr">
        <is>
          <t>Joaquim Eugenio</t>
        </is>
      </c>
      <c r="I634" s="1393" t="inlineStr">
        <is>
          <t>-</t>
        </is>
      </c>
      <c r="J634" s="1393" t="inlineStr">
        <is>
          <t>-</t>
        </is>
      </c>
      <c r="K634" s="1395">
        <f>IF(raw[[#This Row],[city]]&lt;&gt;"",_xlfn.XLOOKUP($D634,ccc[city],ccc[prov],"-"),"-")</f>
        <v/>
      </c>
      <c r="L634" s="1395">
        <f>IF(raw[[#This Row],[city]]&lt;&gt;"",_xlfn.XLOOKUP($D634,ccc[city],ccc[ctry],"-"),"-")</f>
        <v/>
      </c>
      <c r="M634" s="1395">
        <f>IF(raw[[#This Row],[city]]&lt;&gt;"",_xlfn.XLOOKUP($D634,ccc[city],ccc[cont],"-"),"-")</f>
        <v/>
      </c>
      <c r="N634" s="1396">
        <f>IF(raw[[#This Row],[city]]="","-",IF(raw[[#This Row],[cont]]="B",raw[[#This Row],[cont]],"W"))</f>
        <v/>
      </c>
      <c r="O634" s="1397">
        <f>IF(raw[[#This Row],[out]]=0,0,IF(raw[[#This Row],[out]]=raw[[#This Row],[in]],0.01,raw[[#This Row],[out]]-raw[[#This Row],[in]]))</f>
        <v/>
      </c>
      <c r="P634" s="1397">
        <f>IF(raw[[#This Row],[in]]=0,0,MONTH(raw[[#This Row],[in]]))</f>
        <v/>
      </c>
      <c r="Q634" s="1397">
        <f>IF(raw[[#This Row],[in]]=0,0,YEAR(raw[[#This Row],[in]]))</f>
        <v/>
      </c>
      <c r="R634" s="1397">
        <f>INT(raw[[#This Row],[yr]]/10)*10</f>
        <v/>
      </c>
      <c r="S634" s="1395">
        <f>IF(raw[[#This Row],[city]]="","-",IF(raw[[#This Row],[city]]&lt;&gt;_xlfn.XLOOKUP(raw[[#This Row],[home]],homes[home],homes[city],"-"),1,0))</f>
        <v/>
      </c>
      <c r="T634" s="1398" t="inlineStr">
        <is>
          <t>.</t>
        </is>
      </c>
      <c r="U634" s="1399">
        <f>IF(raw[[#This Row],[wb]]="w",raw[[#This Row],[stay]]+U633,U633)</f>
        <v/>
      </c>
      <c r="V634" s="1400">
        <f>IF(raw[[#This Row],[out]]=0,V633,(raw[[#This Row],[out]]-E$5))</f>
        <v/>
      </c>
      <c r="W634" s="1401">
        <f>U634/V634</f>
        <v/>
      </c>
      <c r="X634" s="1378" t="inlineStr">
        <is>
          <t>.</t>
        </is>
      </c>
      <c r="Y634" s="1402">
        <f/>
        <v/>
      </c>
      <c r="Z634" s="1403">
        <f/>
        <v/>
      </c>
      <c r="AA634" s="1403">
        <f/>
        <v/>
      </c>
      <c r="AB634" s="1400">
        <f t="array" ref="AB634">_xlfn.LET(_xlpm.S,_xlfn.ANCHORARRAY($Y$4),_xlpm.r,ROWS(stayCity[[#Headers],[city]]:stayCity[[#This Row],[city]])-1,IF(_xlpm.r&lt;=ROWS(_xlpm.S),INDEX(_xlpm.S,_xlpm.r,1),""))</f>
        <v/>
      </c>
      <c r="AC634" s="1405">
        <f t="array" ref="AC634">_xlfn.LET(_xlpm.S,_xlfn.ANCHORARRAY($Y$4),_xlpm.r,ROWS(stayCity[[#Headers],[city]]:stayCity[[#This Row],[city]])-1,IF(_xlpm.r&lt;=ROWS(_xlpm.S),INDEX(_xlpm.S,_xlpm.r,2),""))</f>
        <v/>
      </c>
      <c r="AD634" s="1405">
        <f t="array" ref="AD634">_xlfn.LET(_xlpm.S,_xlfn.ANCHORARRAY($Y$4),_xlpm.r,ROWS(stayCity[[#Headers],[city]]:stayCity[[#This Row],[city]])-1,IF(_xlpm.r&lt;=ROWS(_xlpm.S),INDEX(_xlpm.S,_xlpm.r,3),""))</f>
        <v/>
      </c>
      <c r="AE634" s="1400">
        <f>IF(stayCity[[#This Row],[out]]&lt;&gt;"",stayCity[[#This Row],[out]]-stayCity[[#This Row],[in]],"-")</f>
        <v/>
      </c>
      <c r="AF634" s="1406">
        <f>IF(Y634="","-",YEAR(stayCity[[#This Row],[in]]))</f>
        <v/>
      </c>
      <c r="AG634" s="1392" t="n"/>
      <c r="AH634" s="1392" t="n"/>
      <c r="AI634" s="1392" t="n"/>
      <c r="AJ634" s="1392" t="n"/>
      <c r="AK634" s="1392" t="n"/>
      <c r="AL634" s="1392" t="n"/>
      <c r="AM634" s="1392" t="n"/>
      <c r="AN634" s="1392" t="n"/>
      <c r="AO634" s="1392" t="n"/>
      <c r="AP634" s="1392" t="n"/>
      <c r="AQ634" s="1392" t="n"/>
      <c r="AR634" s="1392" t="n"/>
      <c r="AS634" s="1422" t="n"/>
      <c r="AT634" s="1392" t="n"/>
      <c r="AU634" s="1392" t="n"/>
      <c r="AV634" s="1392" t="n"/>
      <c r="AW634" s="1392" t="n"/>
      <c r="AX634" s="1392" t="n"/>
      <c r="AY634" s="1392" t="n"/>
      <c r="AZ634" s="1392" t="n"/>
      <c r="BA634" s="1392" t="n"/>
      <c r="BB634" s="1422" t="n"/>
      <c r="BC634" s="1392" t="n"/>
      <c r="BD634" s="1392" t="n"/>
      <c r="BE634" s="1392" t="n"/>
      <c r="BF634" s="1392" t="n"/>
      <c r="BG634" s="1392" t="n"/>
      <c r="BH634" s="1392" t="n"/>
      <c r="BI634" s="1392" t="n"/>
      <c r="BJ634" s="1392" t="n"/>
      <c r="BK634" s="1392" t="n"/>
      <c r="BL634" s="1392" t="n"/>
      <c r="BM634" s="1392" t="n"/>
      <c r="BN634" s="1392" t="n"/>
      <c r="BO634" s="1392" t="n"/>
      <c r="BP634" s="1392" t="n"/>
      <c r="BQ634" s="1392" t="n"/>
      <c r="BR634" s="1392" t="n"/>
      <c r="BS634" s="1392" t="n"/>
      <c r="BT634" s="1392" t="n"/>
      <c r="BU634" s="1416" t="n"/>
      <c r="BV634" s="1392" t="n"/>
      <c r="BW634" s="1392" t="n"/>
      <c r="BX634" s="1392" t="n"/>
      <c r="BY634" s="1392" t="n"/>
      <c r="BZ634" s="1416" t="n"/>
      <c r="CA634" s="1392" t="n"/>
      <c r="CB634" s="1392" t="n"/>
      <c r="CC634" s="1392" t="n"/>
      <c r="CD634" s="1392" t="n"/>
      <c r="CE634" s="1392" t="n"/>
      <c r="CF634" s="1392" t="n"/>
      <c r="CG634" s="1392" t="n"/>
      <c r="CH634" s="1392" t="n"/>
      <c r="CI634" s="1392" t="n"/>
      <c r="CJ634" s="1392" t="n"/>
      <c r="CK634" s="1392" t="n"/>
      <c r="CL634" s="1392" t="n"/>
    </row>
    <row r="635">
      <c r="A635" s="5" t="inlineStr">
        <is>
          <t>.</t>
        </is>
      </c>
      <c r="B635" s="5" t="inlineStr">
        <is>
          <t>.</t>
        </is>
      </c>
      <c r="C635" s="1378">
        <f>IF(raw[[#This Row],[city]]="","-",IF(raw[[#This Row],[city]]="TODAY","-",C634+1))</f>
        <v/>
      </c>
      <c r="D635" s="1393" t="inlineStr">
        <is>
          <t>Boituva</t>
        </is>
      </c>
      <c r="E635" s="1394" t="n">
        <v>36883</v>
      </c>
      <c r="F635" s="1394" t="n">
        <v>36884</v>
      </c>
      <c r="G635" s="1393" t="inlineStr">
        <is>
          <t>-</t>
        </is>
      </c>
      <c r="H635" s="1393" t="inlineStr">
        <is>
          <t>Joaquim Eugenio</t>
        </is>
      </c>
      <c r="I635" s="1393" t="inlineStr">
        <is>
          <t>-</t>
        </is>
      </c>
      <c r="J635" s="1393" t="inlineStr">
        <is>
          <t>-</t>
        </is>
      </c>
      <c r="K635" s="1395">
        <f>IF(raw[[#This Row],[city]]&lt;&gt;"",_xlfn.XLOOKUP($D635,ccc[city],ccc[prov],"-"),"-")</f>
        <v/>
      </c>
      <c r="L635" s="1395">
        <f>IF(raw[[#This Row],[city]]&lt;&gt;"",_xlfn.XLOOKUP($D635,ccc[city],ccc[ctry],"-"),"-")</f>
        <v/>
      </c>
      <c r="M635" s="1395">
        <f>IF(raw[[#This Row],[city]]&lt;&gt;"",_xlfn.XLOOKUP($D635,ccc[city],ccc[cont],"-"),"-")</f>
        <v/>
      </c>
      <c r="N635" s="1396">
        <f>IF(raw[[#This Row],[city]]="","-",IF(raw[[#This Row],[cont]]="B",raw[[#This Row],[cont]],"W"))</f>
        <v/>
      </c>
      <c r="O635" s="1397">
        <f>IF(raw[[#This Row],[out]]=0,0,IF(raw[[#This Row],[out]]=raw[[#This Row],[in]],0.01,raw[[#This Row],[out]]-raw[[#This Row],[in]]))</f>
        <v/>
      </c>
      <c r="P635" s="1397">
        <f>IF(raw[[#This Row],[in]]=0,0,MONTH(raw[[#This Row],[in]]))</f>
        <v/>
      </c>
      <c r="Q635" s="1397">
        <f>IF(raw[[#This Row],[in]]=0,0,YEAR(raw[[#This Row],[in]]))</f>
        <v/>
      </c>
      <c r="R635" s="1397">
        <f>INT(raw[[#This Row],[yr]]/10)*10</f>
        <v/>
      </c>
      <c r="S635" s="1395">
        <f>IF(raw[[#This Row],[city]]="","-",IF(raw[[#This Row],[city]]&lt;&gt;_xlfn.XLOOKUP(raw[[#This Row],[home]],homes[home],homes[city],"-"),1,0))</f>
        <v/>
      </c>
      <c r="T635" s="1398" t="inlineStr">
        <is>
          <t>.</t>
        </is>
      </c>
      <c r="U635" s="1399">
        <f>IF(raw[[#This Row],[wb]]="w",raw[[#This Row],[stay]]+U634,U634)</f>
        <v/>
      </c>
      <c r="V635" s="1400">
        <f>IF(raw[[#This Row],[out]]=0,V634,(raw[[#This Row],[out]]-E$5))</f>
        <v/>
      </c>
      <c r="W635" s="1401">
        <f>U635/V635</f>
        <v/>
      </c>
      <c r="X635" s="1378" t="inlineStr">
        <is>
          <t>.</t>
        </is>
      </c>
      <c r="Y635" s="1402">
        <f/>
        <v/>
      </c>
      <c r="Z635" s="1403">
        <f/>
        <v/>
      </c>
      <c r="AA635" s="1403">
        <f/>
        <v/>
      </c>
      <c r="AB635" s="1400">
        <f t="array" ref="AB635">_xlfn.LET(_xlpm.S,_xlfn.ANCHORARRAY($Y$4),_xlpm.r,ROWS(stayCity[[#Headers],[city]]:stayCity[[#This Row],[city]])-1,IF(_xlpm.r&lt;=ROWS(_xlpm.S),INDEX(_xlpm.S,_xlpm.r,1),""))</f>
        <v/>
      </c>
      <c r="AC635" s="1405">
        <f t="array" ref="AC635">_xlfn.LET(_xlpm.S,_xlfn.ANCHORARRAY($Y$4),_xlpm.r,ROWS(stayCity[[#Headers],[city]]:stayCity[[#This Row],[city]])-1,IF(_xlpm.r&lt;=ROWS(_xlpm.S),INDEX(_xlpm.S,_xlpm.r,2),""))</f>
        <v/>
      </c>
      <c r="AD635" s="1405">
        <f t="array" ref="AD635">_xlfn.LET(_xlpm.S,_xlfn.ANCHORARRAY($Y$4),_xlpm.r,ROWS(stayCity[[#Headers],[city]]:stayCity[[#This Row],[city]])-1,IF(_xlpm.r&lt;=ROWS(_xlpm.S),INDEX(_xlpm.S,_xlpm.r,3),""))</f>
        <v/>
      </c>
      <c r="AE635" s="1400">
        <f>IF(stayCity[[#This Row],[out]]&lt;&gt;"",stayCity[[#This Row],[out]]-stayCity[[#This Row],[in]],"-")</f>
        <v/>
      </c>
      <c r="AF635" s="1406">
        <f>IF(Y635="","-",YEAR(stayCity[[#This Row],[in]]))</f>
        <v/>
      </c>
      <c r="AG635" s="1392" t="n"/>
      <c r="AH635" s="1392" t="n"/>
      <c r="AI635" s="1392" t="n"/>
      <c r="AJ635" s="1392" t="n"/>
      <c r="AK635" s="1392" t="n"/>
      <c r="AL635" s="1392" t="n"/>
      <c r="AM635" s="1392" t="n"/>
      <c r="AN635" s="1392" t="n"/>
      <c r="AO635" s="1392" t="n"/>
      <c r="AP635" s="1392" t="n"/>
      <c r="AQ635" s="1392" t="n"/>
      <c r="AR635" s="1392" t="n"/>
      <c r="AS635" s="1422" t="n"/>
      <c r="AT635" s="1392" t="n"/>
      <c r="AU635" s="1392" t="n"/>
      <c r="AV635" s="1392" t="n"/>
      <c r="AW635" s="1392" t="n"/>
      <c r="AX635" s="1392" t="n"/>
      <c r="AY635" s="1392" t="n"/>
      <c r="AZ635" s="1392" t="n"/>
      <c r="BA635" s="1392" t="n"/>
      <c r="BB635" s="1422" t="n"/>
      <c r="BC635" s="1392" t="n"/>
      <c r="BD635" s="1392" t="n"/>
      <c r="BE635" s="1392" t="n"/>
      <c r="BF635" s="1392" t="n"/>
      <c r="BG635" s="1392" t="n"/>
      <c r="BH635" s="1392" t="n"/>
      <c r="BI635" s="1392" t="n"/>
      <c r="BJ635" s="1392" t="n"/>
      <c r="BK635" s="1392" t="n"/>
      <c r="BL635" s="1392" t="n"/>
      <c r="BM635" s="1392" t="n"/>
      <c r="BN635" s="1392" t="n"/>
      <c r="BO635" s="1392" t="n"/>
      <c r="BP635" s="1392" t="n"/>
      <c r="BQ635" s="1392" t="n"/>
      <c r="BR635" s="1392" t="n"/>
      <c r="BS635" s="1392" t="n"/>
      <c r="BT635" s="1392" t="n"/>
      <c r="BU635" s="1416" t="n"/>
      <c r="BV635" s="1392" t="n"/>
      <c r="BW635" s="1392" t="n"/>
      <c r="BX635" s="1392" t="n"/>
      <c r="BY635" s="1392" t="n"/>
      <c r="BZ635" s="1416" t="n"/>
      <c r="CA635" s="1392" t="n"/>
      <c r="CB635" s="1392" t="n"/>
      <c r="CC635" s="1392" t="n"/>
      <c r="CD635" s="1392" t="n"/>
      <c r="CE635" s="1392" t="n"/>
      <c r="CF635" s="1392" t="n"/>
      <c r="CG635" s="1392" t="n"/>
      <c r="CH635" s="1392" t="n"/>
      <c r="CI635" s="1392" t="n"/>
      <c r="CJ635" s="1392" t="n"/>
      <c r="CK635" s="1392" t="n"/>
      <c r="CL635" s="1392" t="n"/>
    </row>
    <row r="636">
      <c r="A636" s="5" t="inlineStr">
        <is>
          <t>.</t>
        </is>
      </c>
      <c r="B636" s="5" t="inlineStr">
        <is>
          <t>.</t>
        </is>
      </c>
      <c r="C636" s="1378">
        <f>IF(raw[[#This Row],[city]]="","-",IF(raw[[#This Row],[city]]="TODAY","-",C635+1))</f>
        <v/>
      </c>
      <c r="D636" s="1393" t="inlineStr">
        <is>
          <t>SP</t>
        </is>
      </c>
      <c r="E636" s="1394" t="n">
        <v>36884</v>
      </c>
      <c r="F636" s="1394" t="n">
        <v>36890</v>
      </c>
      <c r="G636" s="1393" t="inlineStr">
        <is>
          <t>-</t>
        </is>
      </c>
      <c r="H636" s="1393" t="inlineStr">
        <is>
          <t>Joaquim Eugenio</t>
        </is>
      </c>
      <c r="I636" s="1393" t="inlineStr">
        <is>
          <t>-</t>
        </is>
      </c>
      <c r="J636" s="1393" t="inlineStr">
        <is>
          <t>-</t>
        </is>
      </c>
      <c r="K636" s="1395">
        <f>IF(raw[[#This Row],[city]]&lt;&gt;"",_xlfn.XLOOKUP($D636,ccc[city],ccc[prov],"-"),"-")</f>
        <v/>
      </c>
      <c r="L636" s="1395">
        <f>IF(raw[[#This Row],[city]]&lt;&gt;"",_xlfn.XLOOKUP($D636,ccc[city],ccc[ctry],"-"),"-")</f>
        <v/>
      </c>
      <c r="M636" s="1395">
        <f>IF(raw[[#This Row],[city]]&lt;&gt;"",_xlfn.XLOOKUP($D636,ccc[city],ccc[cont],"-"),"-")</f>
        <v/>
      </c>
      <c r="N636" s="1396">
        <f>IF(raw[[#This Row],[city]]="","-",IF(raw[[#This Row],[cont]]="B",raw[[#This Row],[cont]],"W"))</f>
        <v/>
      </c>
      <c r="O636" s="1397">
        <f>IF(raw[[#This Row],[out]]=0,0,IF(raw[[#This Row],[out]]=raw[[#This Row],[in]],0.01,raw[[#This Row],[out]]-raw[[#This Row],[in]]))</f>
        <v/>
      </c>
      <c r="P636" s="1397">
        <f>IF(raw[[#This Row],[in]]=0,0,MONTH(raw[[#This Row],[in]]))</f>
        <v/>
      </c>
      <c r="Q636" s="1397">
        <f>IF(raw[[#This Row],[in]]=0,0,YEAR(raw[[#This Row],[in]]))</f>
        <v/>
      </c>
      <c r="R636" s="1397">
        <f>INT(raw[[#This Row],[yr]]/10)*10</f>
        <v/>
      </c>
      <c r="S636" s="1395">
        <f>IF(raw[[#This Row],[city]]="","-",IF(raw[[#This Row],[city]]&lt;&gt;_xlfn.XLOOKUP(raw[[#This Row],[home]],homes[home],homes[city],"-"),1,0))</f>
        <v/>
      </c>
      <c r="T636" s="1398" t="inlineStr">
        <is>
          <t>.</t>
        </is>
      </c>
      <c r="U636" s="1399">
        <f>IF(raw[[#This Row],[wb]]="w",raw[[#This Row],[stay]]+U635,U635)</f>
        <v/>
      </c>
      <c r="V636" s="1400">
        <f>IF(raw[[#This Row],[out]]=0,V635,(raw[[#This Row],[out]]-E$5))</f>
        <v/>
      </c>
      <c r="W636" s="1401">
        <f>U636/V636</f>
        <v/>
      </c>
      <c r="X636" s="1378" t="inlineStr">
        <is>
          <t>.</t>
        </is>
      </c>
      <c r="Y636" s="1402">
        <f/>
        <v/>
      </c>
      <c r="Z636" s="1403">
        <f/>
        <v/>
      </c>
      <c r="AA636" s="1403">
        <f/>
        <v/>
      </c>
      <c r="AB636" s="1400">
        <f t="array" ref="AB636">_xlfn.LET(_xlpm.S,_xlfn.ANCHORARRAY($Y$4),_xlpm.r,ROWS(stayCity[[#Headers],[city]]:stayCity[[#This Row],[city]])-1,IF(_xlpm.r&lt;=ROWS(_xlpm.S),INDEX(_xlpm.S,_xlpm.r,1),""))</f>
        <v/>
      </c>
      <c r="AC636" s="1405">
        <f t="array" ref="AC636">_xlfn.LET(_xlpm.S,_xlfn.ANCHORARRAY($Y$4),_xlpm.r,ROWS(stayCity[[#Headers],[city]]:stayCity[[#This Row],[city]])-1,IF(_xlpm.r&lt;=ROWS(_xlpm.S),INDEX(_xlpm.S,_xlpm.r,2),""))</f>
        <v/>
      </c>
      <c r="AD636" s="1405">
        <f t="array" ref="AD636">_xlfn.LET(_xlpm.S,_xlfn.ANCHORARRAY($Y$4),_xlpm.r,ROWS(stayCity[[#Headers],[city]]:stayCity[[#This Row],[city]])-1,IF(_xlpm.r&lt;=ROWS(_xlpm.S),INDEX(_xlpm.S,_xlpm.r,3),""))</f>
        <v/>
      </c>
      <c r="AE636" s="1400">
        <f>IF(stayCity[[#This Row],[out]]&lt;&gt;"",stayCity[[#This Row],[out]]-stayCity[[#This Row],[in]],"-")</f>
        <v/>
      </c>
      <c r="AF636" s="1406">
        <f>IF(Y636="","-",YEAR(stayCity[[#This Row],[in]]))</f>
        <v/>
      </c>
      <c r="AG636" s="1392" t="n"/>
      <c r="AH636" s="1392" t="n"/>
      <c r="AI636" s="1392" t="n"/>
      <c r="AJ636" s="1392" t="n"/>
      <c r="AK636" s="1392" t="n"/>
      <c r="AL636" s="1392" t="n"/>
      <c r="AM636" s="1392" t="n"/>
      <c r="AN636" s="1392" t="n"/>
      <c r="AO636" s="1392" t="n"/>
      <c r="AP636" s="1392" t="n"/>
      <c r="AQ636" s="1392" t="n"/>
      <c r="AR636" s="1392" t="n"/>
      <c r="AS636" s="1422" t="n"/>
      <c r="AT636" s="1392" t="n"/>
      <c r="AU636" s="1392" t="n"/>
      <c r="AV636" s="1392" t="n"/>
      <c r="AW636" s="1392" t="n"/>
      <c r="AX636" s="1392" t="n"/>
      <c r="AY636" s="1392" t="n"/>
      <c r="AZ636" s="1392" t="n"/>
      <c r="BA636" s="1392" t="n"/>
      <c r="BB636" s="1422" t="n"/>
      <c r="BC636" s="1392" t="n"/>
      <c r="BD636" s="1392" t="n"/>
      <c r="BE636" s="1392" t="n"/>
      <c r="BF636" s="1392" t="n"/>
      <c r="BG636" s="1392" t="n"/>
      <c r="BH636" s="1392" t="n"/>
      <c r="BI636" s="1392" t="n"/>
      <c r="BJ636" s="1392" t="n"/>
      <c r="BK636" s="1392" t="n"/>
      <c r="BL636" s="1392" t="n"/>
      <c r="BM636" s="1392" t="n"/>
      <c r="BN636" s="1392" t="n"/>
      <c r="BO636" s="1392" t="n"/>
      <c r="BP636" s="1392" t="n"/>
      <c r="BQ636" s="1392" t="n"/>
      <c r="BR636" s="1392" t="n"/>
      <c r="BS636" s="1392" t="n"/>
      <c r="BT636" s="1392" t="n"/>
      <c r="BU636" s="1416" t="n"/>
      <c r="BV636" s="1392" t="n"/>
      <c r="BW636" s="1392" t="n"/>
      <c r="BX636" s="1392" t="n"/>
      <c r="BY636" s="1392" t="n"/>
      <c r="BZ636" s="1416" t="n"/>
      <c r="CA636" s="1392" t="n"/>
      <c r="CB636" s="1392" t="n"/>
      <c r="CC636" s="1392" t="n"/>
      <c r="CD636" s="1392" t="n"/>
      <c r="CE636" s="1392" t="n"/>
      <c r="CF636" s="1392" t="n"/>
      <c r="CG636" s="1392" t="n"/>
      <c r="CH636" s="1392" t="n"/>
      <c r="CI636" s="1392" t="n"/>
      <c r="CJ636" s="1392" t="n"/>
      <c r="CK636" s="1392" t="n"/>
      <c r="CL636" s="1392" t="n"/>
    </row>
    <row r="637">
      <c r="A637" s="5" t="inlineStr">
        <is>
          <t>.</t>
        </is>
      </c>
      <c r="B637" s="5" t="inlineStr">
        <is>
          <t>.</t>
        </is>
      </c>
      <c r="C637" s="1378">
        <f>IF(raw[[#This Row],[city]]="","-",IF(raw[[#This Row],[city]]="TODAY","-",C636+1))</f>
        <v/>
      </c>
      <c r="D637" s="1393" t="inlineStr">
        <is>
          <t>Cunha</t>
        </is>
      </c>
      <c r="E637" s="1394" t="n">
        <v>36890</v>
      </c>
      <c r="F637" s="1394" t="n">
        <v>36892</v>
      </c>
      <c r="G637" s="1393" t="inlineStr">
        <is>
          <t>-</t>
        </is>
      </c>
      <c r="H637" s="1393" t="inlineStr">
        <is>
          <t>Joaquim Eugenio</t>
        </is>
      </c>
      <c r="I637" s="1393" t="inlineStr">
        <is>
          <t>Cunha/Guto</t>
        </is>
      </c>
      <c r="J637" s="1393" t="inlineStr">
        <is>
          <t>-</t>
        </is>
      </c>
      <c r="K637" s="1395">
        <f>IF(raw[[#This Row],[city]]&lt;&gt;"",_xlfn.XLOOKUP($D637,ccc[city],ccc[prov],"-"),"-")</f>
        <v/>
      </c>
      <c r="L637" s="1395">
        <f>IF(raw[[#This Row],[city]]&lt;&gt;"",_xlfn.XLOOKUP($D637,ccc[city],ccc[ctry],"-"),"-")</f>
        <v/>
      </c>
      <c r="M637" s="1395">
        <f>IF(raw[[#This Row],[city]]&lt;&gt;"",_xlfn.XLOOKUP($D637,ccc[city],ccc[cont],"-"),"-")</f>
        <v/>
      </c>
      <c r="N637" s="1396">
        <f>IF(raw[[#This Row],[city]]="","-",IF(raw[[#This Row],[cont]]="B",raw[[#This Row],[cont]],"W"))</f>
        <v/>
      </c>
      <c r="O637" s="1397">
        <f>IF(raw[[#This Row],[out]]=0,0,IF(raw[[#This Row],[out]]=raw[[#This Row],[in]],0.01,raw[[#This Row],[out]]-raw[[#This Row],[in]]))</f>
        <v/>
      </c>
      <c r="P637" s="1397">
        <f>IF(raw[[#This Row],[in]]=0,0,MONTH(raw[[#This Row],[in]]))</f>
        <v/>
      </c>
      <c r="Q637" s="1397">
        <f>IF(raw[[#This Row],[in]]=0,0,YEAR(raw[[#This Row],[in]]))</f>
        <v/>
      </c>
      <c r="R637" s="1397">
        <f>INT(raw[[#This Row],[yr]]/10)*10</f>
        <v/>
      </c>
      <c r="S637" s="1395">
        <f>IF(raw[[#This Row],[city]]="","-",IF(raw[[#This Row],[city]]&lt;&gt;_xlfn.XLOOKUP(raw[[#This Row],[home]],homes[home],homes[city],"-"),1,0))</f>
        <v/>
      </c>
      <c r="T637" s="1398" t="inlineStr">
        <is>
          <t>.</t>
        </is>
      </c>
      <c r="U637" s="1399">
        <f>IF(raw[[#This Row],[wb]]="w",raw[[#This Row],[stay]]+U636,U636)</f>
        <v/>
      </c>
      <c r="V637" s="1400">
        <f>IF(raw[[#This Row],[out]]=0,V636,(raw[[#This Row],[out]]-E$5))</f>
        <v/>
      </c>
      <c r="W637" s="1401">
        <f>U637/V637</f>
        <v/>
      </c>
      <c r="X637" s="1378" t="inlineStr">
        <is>
          <t>.</t>
        </is>
      </c>
      <c r="Y637" s="1402">
        <f/>
        <v/>
      </c>
      <c r="Z637" s="1403">
        <f/>
        <v/>
      </c>
      <c r="AA637" s="1403">
        <f/>
        <v/>
      </c>
      <c r="AB637" s="1400">
        <f t="array" ref="AB637">_xlfn.LET(_xlpm.S,_xlfn.ANCHORARRAY($Y$4),_xlpm.r,ROWS(stayCity[[#Headers],[city]]:stayCity[[#This Row],[city]])-1,IF(_xlpm.r&lt;=ROWS(_xlpm.S),INDEX(_xlpm.S,_xlpm.r,1),""))</f>
        <v/>
      </c>
      <c r="AC637" s="1405">
        <f t="array" ref="AC637">_xlfn.LET(_xlpm.S,_xlfn.ANCHORARRAY($Y$4),_xlpm.r,ROWS(stayCity[[#Headers],[city]]:stayCity[[#This Row],[city]])-1,IF(_xlpm.r&lt;=ROWS(_xlpm.S),INDEX(_xlpm.S,_xlpm.r,2),""))</f>
        <v/>
      </c>
      <c r="AD637" s="1405">
        <f t="array" ref="AD637">_xlfn.LET(_xlpm.S,_xlfn.ANCHORARRAY($Y$4),_xlpm.r,ROWS(stayCity[[#Headers],[city]]:stayCity[[#This Row],[city]])-1,IF(_xlpm.r&lt;=ROWS(_xlpm.S),INDEX(_xlpm.S,_xlpm.r,3),""))</f>
        <v/>
      </c>
      <c r="AE637" s="1400">
        <f>IF(stayCity[[#This Row],[out]]&lt;&gt;"",stayCity[[#This Row],[out]]-stayCity[[#This Row],[in]],"-")</f>
        <v/>
      </c>
      <c r="AF637" s="1406">
        <f>IF(Y637="","-",YEAR(stayCity[[#This Row],[in]]))</f>
        <v/>
      </c>
      <c r="AG637" s="1392" t="n"/>
      <c r="AH637" s="1392" t="n"/>
      <c r="AI637" s="1392" t="n"/>
      <c r="AJ637" s="1392" t="n"/>
      <c r="AK637" s="1392" t="n"/>
      <c r="AL637" s="1392" t="n"/>
      <c r="AM637" s="1392" t="n"/>
      <c r="AN637" s="1392" t="n"/>
      <c r="AO637" s="1392" t="n"/>
      <c r="AP637" s="1392" t="n"/>
      <c r="AQ637" s="1392" t="n"/>
      <c r="AR637" s="1392" t="n"/>
      <c r="AS637" s="1422" t="n"/>
      <c r="AT637" s="1392" t="n"/>
      <c r="AU637" s="1392" t="n"/>
      <c r="AV637" s="1392" t="n"/>
      <c r="AW637" s="1392" t="n"/>
      <c r="AX637" s="1392" t="n"/>
      <c r="AY637" s="1392" t="n"/>
      <c r="AZ637" s="1392" t="n"/>
      <c r="BA637" s="1392" t="n"/>
      <c r="BB637" s="1422" t="n"/>
      <c r="BC637" s="1392" t="n"/>
      <c r="BD637" s="1392" t="n"/>
      <c r="BE637" s="1392" t="n"/>
      <c r="BF637" s="1392" t="n"/>
      <c r="BG637" s="1392" t="n"/>
      <c r="BH637" s="1392" t="n"/>
      <c r="BI637" s="1392" t="n"/>
      <c r="BJ637" s="1392" t="n"/>
      <c r="BK637" s="1392" t="n"/>
      <c r="BL637" s="1392" t="n"/>
      <c r="BM637" s="1392" t="n"/>
      <c r="BN637" s="1392" t="n"/>
      <c r="BO637" s="1392" t="n"/>
      <c r="BP637" s="1392" t="n"/>
      <c r="BQ637" s="1392" t="n"/>
      <c r="BR637" s="1392" t="n"/>
      <c r="BS637" s="1392" t="n"/>
      <c r="BT637" s="1392" t="n"/>
      <c r="BU637" s="1416" t="n"/>
      <c r="BV637" s="1392" t="n"/>
      <c r="BW637" s="1392" t="n"/>
      <c r="BX637" s="1392" t="n"/>
      <c r="BY637" s="1392" t="n"/>
      <c r="BZ637" s="1416" t="n"/>
      <c r="CA637" s="1392" t="n"/>
      <c r="CB637" s="1392" t="n"/>
      <c r="CC637" s="1392" t="n"/>
      <c r="CD637" s="1392" t="n"/>
      <c r="CE637" s="1392" t="n"/>
      <c r="CF637" s="1392" t="n"/>
      <c r="CG637" s="1392" t="n"/>
      <c r="CH637" s="1392" t="n"/>
      <c r="CI637" s="1392" t="n"/>
      <c r="CJ637" s="1392" t="n"/>
      <c r="CK637" s="1392" t="n"/>
      <c r="CL637" s="1392" t="n"/>
    </row>
    <row r="638">
      <c r="A638" s="5" t="inlineStr">
        <is>
          <t>.</t>
        </is>
      </c>
      <c r="B638" s="5" t="inlineStr">
        <is>
          <t>.</t>
        </is>
      </c>
      <c r="C638" s="1378">
        <f>IF(raw[[#This Row],[city]]="","-",IF(raw[[#This Row],[city]]="TODAY","-",C637+1))</f>
        <v/>
      </c>
      <c r="D638" s="1393" t="inlineStr">
        <is>
          <t>Cunha</t>
        </is>
      </c>
      <c r="E638" s="1394" t="n">
        <v>36892</v>
      </c>
      <c r="F638" s="1394" t="n">
        <v>36893</v>
      </c>
      <c r="G638" s="1393" t="inlineStr">
        <is>
          <t>-</t>
        </is>
      </c>
      <c r="H638" s="1393" t="inlineStr">
        <is>
          <t>Joaquim Eugenio</t>
        </is>
      </c>
      <c r="I638" s="1393" t="inlineStr">
        <is>
          <t>Cunha/Guto</t>
        </is>
      </c>
      <c r="J638" s="1393" t="inlineStr">
        <is>
          <t>REV</t>
        </is>
      </c>
      <c r="K638" s="1395">
        <f>IF(raw[[#This Row],[city]]&lt;&gt;"",_xlfn.XLOOKUP($D638,ccc[city],ccc[prov],"-"),"-")</f>
        <v/>
      </c>
      <c r="L638" s="1395">
        <f>IF(raw[[#This Row],[city]]&lt;&gt;"",_xlfn.XLOOKUP($D638,ccc[city],ccc[ctry],"-"),"-")</f>
        <v/>
      </c>
      <c r="M638" s="1395">
        <f>IF(raw[[#This Row],[city]]&lt;&gt;"",_xlfn.XLOOKUP($D638,ccc[city],ccc[cont],"-"),"-")</f>
        <v/>
      </c>
      <c r="N638" s="1396">
        <f>IF(raw[[#This Row],[city]]="","-",IF(raw[[#This Row],[cont]]="B",raw[[#This Row],[cont]],"W"))</f>
        <v/>
      </c>
      <c r="O638" s="1397">
        <f>IF(raw[[#This Row],[out]]=0,0,IF(raw[[#This Row],[out]]=raw[[#This Row],[in]],0.01,raw[[#This Row],[out]]-raw[[#This Row],[in]]))</f>
        <v/>
      </c>
      <c r="P638" s="1397">
        <f>IF(raw[[#This Row],[in]]=0,0,MONTH(raw[[#This Row],[in]]))</f>
        <v/>
      </c>
      <c r="Q638" s="1397">
        <f>IF(raw[[#This Row],[in]]=0,0,YEAR(raw[[#This Row],[in]]))</f>
        <v/>
      </c>
      <c r="R638" s="1397">
        <f>INT(raw[[#This Row],[yr]]/10)*10</f>
        <v/>
      </c>
      <c r="S638" s="1395">
        <f>IF(raw[[#This Row],[city]]="","-",IF(raw[[#This Row],[city]]&lt;&gt;_xlfn.XLOOKUP(raw[[#This Row],[home]],homes[home],homes[city],"-"),1,0))</f>
        <v/>
      </c>
      <c r="T638" s="1398" t="inlineStr">
        <is>
          <t>.</t>
        </is>
      </c>
      <c r="U638" s="1399">
        <f>IF(raw[[#This Row],[wb]]="w",raw[[#This Row],[stay]]+U637,U637)</f>
        <v/>
      </c>
      <c r="V638" s="1400">
        <f>IF(raw[[#This Row],[out]]=0,V637,(raw[[#This Row],[out]]-E$5))</f>
        <v/>
      </c>
      <c r="W638" s="1401">
        <f>U638/V638</f>
        <v/>
      </c>
      <c r="X638" s="1378" t="inlineStr">
        <is>
          <t>.</t>
        </is>
      </c>
      <c r="Y638" s="1402">
        <f/>
        <v/>
      </c>
      <c r="Z638" s="1403">
        <f/>
        <v/>
      </c>
      <c r="AA638" s="1403">
        <f/>
        <v/>
      </c>
      <c r="AB638" s="1400">
        <f t="array" ref="AB638">_xlfn.LET(_xlpm.S,_xlfn.ANCHORARRAY($Y$4),_xlpm.r,ROWS(stayCity[[#Headers],[city]]:stayCity[[#This Row],[city]])-1,IF(_xlpm.r&lt;=ROWS(_xlpm.S),INDEX(_xlpm.S,_xlpm.r,1),""))</f>
        <v/>
      </c>
      <c r="AC638" s="1405">
        <f t="array" ref="AC638">_xlfn.LET(_xlpm.S,_xlfn.ANCHORARRAY($Y$4),_xlpm.r,ROWS(stayCity[[#Headers],[city]]:stayCity[[#This Row],[city]])-1,IF(_xlpm.r&lt;=ROWS(_xlpm.S),INDEX(_xlpm.S,_xlpm.r,2),""))</f>
        <v/>
      </c>
      <c r="AD638" s="1405">
        <f t="array" ref="AD638">_xlfn.LET(_xlpm.S,_xlfn.ANCHORARRAY($Y$4),_xlpm.r,ROWS(stayCity[[#Headers],[city]]:stayCity[[#This Row],[city]])-1,IF(_xlpm.r&lt;=ROWS(_xlpm.S),INDEX(_xlpm.S,_xlpm.r,3),""))</f>
        <v/>
      </c>
      <c r="AE638" s="1400">
        <f>IF(stayCity[[#This Row],[out]]&lt;&gt;"",stayCity[[#This Row],[out]]-stayCity[[#This Row],[in]],"-")</f>
        <v/>
      </c>
      <c r="AF638" s="1406">
        <f>IF(Y638="","-",YEAR(stayCity[[#This Row],[in]]))</f>
        <v/>
      </c>
      <c r="AG638" s="1392" t="n"/>
      <c r="AH638" s="1392" t="n"/>
      <c r="AI638" s="1392" t="n"/>
      <c r="AJ638" s="1392" t="n"/>
      <c r="AK638" s="1392" t="n"/>
      <c r="AL638" s="1392" t="n"/>
      <c r="AM638" s="1392" t="n"/>
      <c r="AN638" s="1392" t="n"/>
      <c r="AO638" s="1392" t="n"/>
      <c r="AP638" s="1392" t="n"/>
      <c r="AQ638" s="1392" t="n"/>
      <c r="AR638" s="1392" t="n"/>
      <c r="AS638" s="1422" t="n"/>
      <c r="AT638" s="1392" t="n"/>
      <c r="AU638" s="1392" t="n"/>
      <c r="AV638" s="1392" t="n"/>
      <c r="AW638" s="1392" t="n"/>
      <c r="AX638" s="1392" t="n"/>
      <c r="AY638" s="1392" t="n"/>
      <c r="AZ638" s="1392" t="n"/>
      <c r="BA638" s="1392" t="n"/>
      <c r="BB638" s="1422" t="n"/>
      <c r="BC638" s="1392" t="n"/>
      <c r="BD638" s="1392" t="n"/>
      <c r="BE638" s="1392" t="n"/>
      <c r="BF638" s="1392" t="n"/>
      <c r="BG638" s="1392" t="n"/>
      <c r="BH638" s="1392" t="n"/>
      <c r="BI638" s="1392" t="n"/>
      <c r="BJ638" s="1392" t="n"/>
      <c r="BK638" s="1392" t="n"/>
      <c r="BL638" s="1392" t="n"/>
      <c r="BM638" s="1392" t="n"/>
      <c r="BN638" s="1392" t="n"/>
      <c r="BO638" s="1392" t="n"/>
      <c r="BP638" s="1392" t="n"/>
      <c r="BQ638" s="1392" t="n"/>
      <c r="BR638" s="1392" t="n"/>
      <c r="BS638" s="1392" t="n"/>
      <c r="BT638" s="1392" t="n"/>
      <c r="BU638" s="1416" t="n"/>
      <c r="BV638" s="1392" t="n"/>
      <c r="BW638" s="1392" t="n"/>
      <c r="BX638" s="1392" t="n"/>
      <c r="BY638" s="1392" t="n"/>
      <c r="BZ638" s="1416" t="n"/>
      <c r="CA638" s="1392" t="n"/>
      <c r="CB638" s="1392" t="n"/>
      <c r="CC638" s="1392" t="n"/>
      <c r="CD638" s="1392" t="n"/>
      <c r="CE638" s="1392" t="n"/>
      <c r="CF638" s="1392" t="n"/>
      <c r="CG638" s="1392" t="n"/>
      <c r="CH638" s="1392" t="n"/>
      <c r="CI638" s="1392" t="n"/>
      <c r="CJ638" s="1392" t="n"/>
      <c r="CK638" s="1392" t="n"/>
      <c r="CL638" s="1392" t="n"/>
    </row>
    <row r="639">
      <c r="A639" s="5" t="inlineStr">
        <is>
          <t>.</t>
        </is>
      </c>
      <c r="B639" s="5" t="inlineStr">
        <is>
          <t>.</t>
        </is>
      </c>
      <c r="C639" s="1378">
        <f>IF(raw[[#This Row],[city]]="","-",IF(raw[[#This Row],[city]]="TODAY","-",C638+1))</f>
        <v/>
      </c>
      <c r="D639" s="1393" t="inlineStr">
        <is>
          <t>SP</t>
        </is>
      </c>
      <c r="E639" s="1394" t="n">
        <v>36893</v>
      </c>
      <c r="F639" s="1394" t="n">
        <v>36897</v>
      </c>
      <c r="G639" s="1393" t="inlineStr">
        <is>
          <t>-</t>
        </is>
      </c>
      <c r="H639" s="1393" t="inlineStr">
        <is>
          <t>Joaquim Eugenio</t>
        </is>
      </c>
      <c r="I639" s="1393" t="inlineStr">
        <is>
          <t>-</t>
        </is>
      </c>
      <c r="J639" s="1393" t="inlineStr">
        <is>
          <t>-</t>
        </is>
      </c>
      <c r="K639" s="1395">
        <f>IF(raw[[#This Row],[city]]&lt;&gt;"",_xlfn.XLOOKUP($D639,ccc[city],ccc[prov],"-"),"-")</f>
        <v/>
      </c>
      <c r="L639" s="1395">
        <f>IF(raw[[#This Row],[city]]&lt;&gt;"",_xlfn.XLOOKUP($D639,ccc[city],ccc[ctry],"-"),"-")</f>
        <v/>
      </c>
      <c r="M639" s="1395">
        <f>IF(raw[[#This Row],[city]]&lt;&gt;"",_xlfn.XLOOKUP($D639,ccc[city],ccc[cont],"-"),"-")</f>
        <v/>
      </c>
      <c r="N639" s="1396">
        <f>IF(raw[[#This Row],[city]]="","-",IF(raw[[#This Row],[cont]]="B",raw[[#This Row],[cont]],"W"))</f>
        <v/>
      </c>
      <c r="O639" s="1397">
        <f>IF(raw[[#This Row],[out]]=0,0,IF(raw[[#This Row],[out]]=raw[[#This Row],[in]],0.01,raw[[#This Row],[out]]-raw[[#This Row],[in]]))</f>
        <v/>
      </c>
      <c r="P639" s="1397">
        <f>IF(raw[[#This Row],[in]]=0,0,MONTH(raw[[#This Row],[in]]))</f>
        <v/>
      </c>
      <c r="Q639" s="1397">
        <f>IF(raw[[#This Row],[in]]=0,0,YEAR(raw[[#This Row],[in]]))</f>
        <v/>
      </c>
      <c r="R639" s="1397">
        <f>INT(raw[[#This Row],[yr]]/10)*10</f>
        <v/>
      </c>
      <c r="S639" s="1395">
        <f>IF(raw[[#This Row],[city]]="","-",IF(raw[[#This Row],[city]]&lt;&gt;_xlfn.XLOOKUP(raw[[#This Row],[home]],homes[home],homes[city],"-"),1,0))</f>
        <v/>
      </c>
      <c r="T639" s="1398" t="inlineStr">
        <is>
          <t>.</t>
        </is>
      </c>
      <c r="U639" s="1399">
        <f>IF(raw[[#This Row],[wb]]="w",raw[[#This Row],[stay]]+U638,U638)</f>
        <v/>
      </c>
      <c r="V639" s="1400">
        <f>IF(raw[[#This Row],[out]]=0,V638,(raw[[#This Row],[out]]-E$5))</f>
        <v/>
      </c>
      <c r="W639" s="1401">
        <f>U639/V639</f>
        <v/>
      </c>
      <c r="X639" s="1378" t="inlineStr">
        <is>
          <t>.</t>
        </is>
      </c>
      <c r="Y639" s="1402">
        <f/>
        <v/>
      </c>
      <c r="Z639" s="1403">
        <f/>
        <v/>
      </c>
      <c r="AA639" s="1403">
        <f/>
        <v/>
      </c>
      <c r="AB639" s="1400">
        <f t="array" ref="AB639">_xlfn.LET(_xlpm.S,_xlfn.ANCHORARRAY($Y$4),_xlpm.r,ROWS(stayCity[[#Headers],[city]]:stayCity[[#This Row],[city]])-1,IF(_xlpm.r&lt;=ROWS(_xlpm.S),INDEX(_xlpm.S,_xlpm.r,1),""))</f>
        <v/>
      </c>
      <c r="AC639" s="1405">
        <f t="array" ref="AC639">_xlfn.LET(_xlpm.S,_xlfn.ANCHORARRAY($Y$4),_xlpm.r,ROWS(stayCity[[#Headers],[city]]:stayCity[[#This Row],[city]])-1,IF(_xlpm.r&lt;=ROWS(_xlpm.S),INDEX(_xlpm.S,_xlpm.r,2),""))</f>
        <v/>
      </c>
      <c r="AD639" s="1405">
        <f t="array" ref="AD639">_xlfn.LET(_xlpm.S,_xlfn.ANCHORARRAY($Y$4),_xlpm.r,ROWS(stayCity[[#Headers],[city]]:stayCity[[#This Row],[city]])-1,IF(_xlpm.r&lt;=ROWS(_xlpm.S),INDEX(_xlpm.S,_xlpm.r,3),""))</f>
        <v/>
      </c>
      <c r="AE639" s="1400">
        <f>IF(stayCity[[#This Row],[out]]&lt;&gt;"",stayCity[[#This Row],[out]]-stayCity[[#This Row],[in]],"-")</f>
        <v/>
      </c>
      <c r="AF639" s="1406">
        <f>IF(Y639="","-",YEAR(stayCity[[#This Row],[in]]))</f>
        <v/>
      </c>
      <c r="AG639" s="1392" t="n"/>
      <c r="AH639" s="1392" t="n"/>
      <c r="AI639" s="1392" t="n"/>
      <c r="AJ639" s="1392" t="n"/>
      <c r="AK639" s="1392" t="n"/>
      <c r="AL639" s="1392" t="n"/>
      <c r="AM639" s="1392" t="n"/>
      <c r="AN639" s="1392" t="n"/>
      <c r="AO639" s="1392" t="n"/>
      <c r="AP639" s="1392" t="n"/>
      <c r="AQ639" s="1392" t="n"/>
      <c r="AR639" s="1392" t="n"/>
      <c r="AS639" s="1422" t="n"/>
      <c r="AT639" s="1392" t="n"/>
      <c r="AU639" s="1392" t="n"/>
      <c r="AV639" s="1392" t="n"/>
      <c r="AW639" s="1392" t="n"/>
      <c r="AX639" s="1392" t="n"/>
      <c r="AY639" s="1392" t="n"/>
      <c r="AZ639" s="1392" t="n"/>
      <c r="BA639" s="1392" t="n"/>
      <c r="BB639" s="1422" t="n"/>
      <c r="BC639" s="1392" t="n"/>
      <c r="BD639" s="1392" t="n"/>
      <c r="BE639" s="1392" t="n"/>
      <c r="BF639" s="1392" t="n"/>
      <c r="BG639" s="1392" t="n"/>
      <c r="BH639" s="1392" t="n"/>
      <c r="BI639" s="1392" t="n"/>
      <c r="BJ639" s="1392" t="n"/>
      <c r="BK639" s="1392" t="n"/>
      <c r="BL639" s="1392" t="n"/>
      <c r="BM639" s="1392" t="n"/>
      <c r="BN639" s="1392" t="n"/>
      <c r="BO639" s="1392" t="n"/>
      <c r="BP639" s="1392" t="n"/>
      <c r="BQ639" s="1392" t="n"/>
      <c r="BR639" s="1392" t="n"/>
      <c r="BS639" s="1392" t="n"/>
      <c r="BT639" s="1392" t="n"/>
      <c r="BU639" s="1416" t="n"/>
      <c r="BV639" s="1392" t="n"/>
      <c r="BW639" s="1392" t="n"/>
      <c r="BX639" s="1392" t="n"/>
      <c r="BY639" s="1392" t="n"/>
      <c r="BZ639" s="1416" t="n"/>
      <c r="CA639" s="1392" t="n"/>
      <c r="CB639" s="1392" t="n"/>
      <c r="CC639" s="1392" t="n"/>
      <c r="CD639" s="1392" t="n"/>
      <c r="CE639" s="1392" t="n"/>
      <c r="CF639" s="1392" t="n"/>
      <c r="CG639" s="1392" t="n"/>
      <c r="CH639" s="1392" t="n"/>
      <c r="CI639" s="1392" t="n"/>
      <c r="CJ639" s="1392" t="n"/>
      <c r="CK639" s="1392" t="n"/>
      <c r="CL639" s="1392" t="n"/>
    </row>
    <row r="640">
      <c r="A640" s="5" t="inlineStr">
        <is>
          <t>.</t>
        </is>
      </c>
      <c r="B640" s="5" t="inlineStr">
        <is>
          <t>.</t>
        </is>
      </c>
      <c r="C640" s="1378">
        <f>IF(raw[[#This Row],[city]]="","-",IF(raw[[#This Row],[city]]="TODAY","-",C639+1))</f>
        <v/>
      </c>
      <c r="D640" s="1393" t="inlineStr">
        <is>
          <t>Boituva</t>
        </is>
      </c>
      <c r="E640" s="1394" t="n">
        <v>36897</v>
      </c>
      <c r="F640" s="1394" t="n">
        <v>36898</v>
      </c>
      <c r="G640" s="1393" t="inlineStr">
        <is>
          <t>-</t>
        </is>
      </c>
      <c r="H640" s="1393" t="inlineStr">
        <is>
          <t>Joaquim Eugenio</t>
        </is>
      </c>
      <c r="I640" s="1393" t="inlineStr">
        <is>
          <t>-</t>
        </is>
      </c>
      <c r="J640" s="1393" t="inlineStr">
        <is>
          <t>-</t>
        </is>
      </c>
      <c r="K640" s="1395">
        <f>IF(raw[[#This Row],[city]]&lt;&gt;"",_xlfn.XLOOKUP($D640,ccc[city],ccc[prov],"-"),"-")</f>
        <v/>
      </c>
      <c r="L640" s="1395">
        <f>IF(raw[[#This Row],[city]]&lt;&gt;"",_xlfn.XLOOKUP($D640,ccc[city],ccc[ctry],"-"),"-")</f>
        <v/>
      </c>
      <c r="M640" s="1395">
        <f>IF(raw[[#This Row],[city]]&lt;&gt;"",_xlfn.XLOOKUP($D640,ccc[city],ccc[cont],"-"),"-")</f>
        <v/>
      </c>
      <c r="N640" s="1396">
        <f>IF(raw[[#This Row],[city]]="","-",IF(raw[[#This Row],[cont]]="B",raw[[#This Row],[cont]],"W"))</f>
        <v/>
      </c>
      <c r="O640" s="1397">
        <f>IF(raw[[#This Row],[out]]=0,0,IF(raw[[#This Row],[out]]=raw[[#This Row],[in]],0.01,raw[[#This Row],[out]]-raw[[#This Row],[in]]))</f>
        <v/>
      </c>
      <c r="P640" s="1397">
        <f>IF(raw[[#This Row],[in]]=0,0,MONTH(raw[[#This Row],[in]]))</f>
        <v/>
      </c>
      <c r="Q640" s="1397">
        <f>IF(raw[[#This Row],[in]]=0,0,YEAR(raw[[#This Row],[in]]))</f>
        <v/>
      </c>
      <c r="R640" s="1397">
        <f>INT(raw[[#This Row],[yr]]/10)*10</f>
        <v/>
      </c>
      <c r="S640" s="1395">
        <f>IF(raw[[#This Row],[city]]="","-",IF(raw[[#This Row],[city]]&lt;&gt;_xlfn.XLOOKUP(raw[[#This Row],[home]],homes[home],homes[city],"-"),1,0))</f>
        <v/>
      </c>
      <c r="T640" s="1398" t="inlineStr">
        <is>
          <t>.</t>
        </is>
      </c>
      <c r="U640" s="1399">
        <f>IF(raw[[#This Row],[wb]]="w",raw[[#This Row],[stay]]+U639,U639)</f>
        <v/>
      </c>
      <c r="V640" s="1400">
        <f>IF(raw[[#This Row],[out]]=0,V639,(raw[[#This Row],[out]]-E$5))</f>
        <v/>
      </c>
      <c r="W640" s="1401">
        <f>U640/V640</f>
        <v/>
      </c>
      <c r="X640" s="1378" t="inlineStr">
        <is>
          <t>.</t>
        </is>
      </c>
      <c r="Y640" s="1402">
        <f/>
        <v/>
      </c>
      <c r="Z640" s="1403">
        <f/>
        <v/>
      </c>
      <c r="AA640" s="1403">
        <f/>
        <v/>
      </c>
      <c r="AB640" s="1400">
        <f t="array" ref="AB640">_xlfn.LET(_xlpm.S,_xlfn.ANCHORARRAY($Y$4),_xlpm.r,ROWS(stayCity[[#Headers],[city]]:stayCity[[#This Row],[city]])-1,IF(_xlpm.r&lt;=ROWS(_xlpm.S),INDEX(_xlpm.S,_xlpm.r,1),""))</f>
        <v/>
      </c>
      <c r="AC640" s="1405">
        <f t="array" ref="AC640">_xlfn.LET(_xlpm.S,_xlfn.ANCHORARRAY($Y$4),_xlpm.r,ROWS(stayCity[[#Headers],[city]]:stayCity[[#This Row],[city]])-1,IF(_xlpm.r&lt;=ROWS(_xlpm.S),INDEX(_xlpm.S,_xlpm.r,2),""))</f>
        <v/>
      </c>
      <c r="AD640" s="1405">
        <f t="array" ref="AD640">_xlfn.LET(_xlpm.S,_xlfn.ANCHORARRAY($Y$4),_xlpm.r,ROWS(stayCity[[#Headers],[city]]:stayCity[[#This Row],[city]])-1,IF(_xlpm.r&lt;=ROWS(_xlpm.S),INDEX(_xlpm.S,_xlpm.r,3),""))</f>
        <v/>
      </c>
      <c r="AE640" s="1400">
        <f>IF(stayCity[[#This Row],[out]]&lt;&gt;"",stayCity[[#This Row],[out]]-stayCity[[#This Row],[in]],"-")</f>
        <v/>
      </c>
      <c r="AF640" s="1406">
        <f>IF(Y640="","-",YEAR(stayCity[[#This Row],[in]]))</f>
        <v/>
      </c>
      <c r="AG640" s="1392" t="n"/>
      <c r="AH640" s="1392" t="n"/>
      <c r="AI640" s="1392" t="n"/>
      <c r="AJ640" s="1392" t="n"/>
      <c r="AK640" s="1392" t="n"/>
      <c r="AL640" s="1392" t="n"/>
      <c r="AM640" s="1392" t="n"/>
      <c r="AN640" s="1392" t="n"/>
      <c r="AO640" s="1392" t="n"/>
      <c r="AP640" s="1392" t="n"/>
      <c r="AQ640" s="1392" t="n"/>
      <c r="AR640" s="1392" t="n"/>
      <c r="AS640" s="1422" t="n"/>
      <c r="AT640" s="1392" t="n"/>
      <c r="AU640" s="1392" t="n"/>
      <c r="AV640" s="1392" t="n"/>
      <c r="AW640" s="1392" t="n"/>
      <c r="AX640" s="1392" t="n"/>
      <c r="AY640" s="1392" t="n"/>
      <c r="AZ640" s="1392" t="n"/>
      <c r="BA640" s="1392" t="n"/>
      <c r="BB640" s="1422" t="n"/>
      <c r="BC640" s="1392" t="n"/>
      <c r="BD640" s="1392" t="n"/>
      <c r="BE640" s="1392" t="n"/>
      <c r="BF640" s="1392" t="n"/>
      <c r="BG640" s="1392" t="n"/>
      <c r="BH640" s="1392" t="n"/>
      <c r="BI640" s="1392" t="n"/>
      <c r="BJ640" s="1392" t="n"/>
      <c r="BK640" s="1392" t="n"/>
      <c r="BL640" s="1392" t="n"/>
      <c r="BM640" s="1392" t="n"/>
      <c r="BN640" s="1392" t="n"/>
      <c r="BO640" s="1392" t="n"/>
      <c r="BP640" s="1392" t="n"/>
      <c r="BQ640" s="1392" t="n"/>
      <c r="BR640" s="1392" t="n"/>
      <c r="BS640" s="1392" t="n"/>
      <c r="BT640" s="1392" t="n"/>
      <c r="BU640" s="1416" t="n"/>
      <c r="BV640" s="1392" t="n"/>
      <c r="BW640" s="1392" t="n"/>
      <c r="BX640" s="1392" t="n"/>
      <c r="BY640" s="1392" t="n"/>
      <c r="BZ640" s="1416" t="n"/>
      <c r="CA640" s="1392" t="n"/>
      <c r="CB640" s="1392" t="n"/>
      <c r="CC640" s="1392" t="n"/>
      <c r="CD640" s="1392" t="n"/>
      <c r="CE640" s="1392" t="n"/>
      <c r="CF640" s="1392" t="n"/>
      <c r="CG640" s="1392" t="n"/>
      <c r="CH640" s="1392" t="n"/>
      <c r="CI640" s="1392" t="n"/>
      <c r="CJ640" s="1392" t="n"/>
      <c r="CK640" s="1392" t="n"/>
      <c r="CL640" s="1392" t="n"/>
    </row>
    <row r="641">
      <c r="A641" s="5" t="inlineStr">
        <is>
          <t>.</t>
        </is>
      </c>
      <c r="B641" s="5" t="inlineStr">
        <is>
          <t>.</t>
        </is>
      </c>
      <c r="C641" s="1378">
        <f>IF(raw[[#This Row],[city]]="","-",IF(raw[[#This Row],[city]]="TODAY","-",C640+1))</f>
        <v/>
      </c>
      <c r="D641" s="1393" t="inlineStr">
        <is>
          <t>SP</t>
        </is>
      </c>
      <c r="E641" s="1394" t="n">
        <v>36898</v>
      </c>
      <c r="F641" s="1394" t="n">
        <v>36917</v>
      </c>
      <c r="G641" s="1393" t="inlineStr">
        <is>
          <t>-</t>
        </is>
      </c>
      <c r="H641" s="1393" t="inlineStr">
        <is>
          <t>Joaquim Eugenio</t>
        </is>
      </c>
      <c r="I641" s="1393" t="inlineStr">
        <is>
          <t>-</t>
        </is>
      </c>
      <c r="J641" s="1393" t="inlineStr">
        <is>
          <t>-</t>
        </is>
      </c>
      <c r="K641" s="1395">
        <f>IF(raw[[#This Row],[city]]&lt;&gt;"",_xlfn.XLOOKUP($D641,ccc[city],ccc[prov],"-"),"-")</f>
        <v/>
      </c>
      <c r="L641" s="1395">
        <f>IF(raw[[#This Row],[city]]&lt;&gt;"",_xlfn.XLOOKUP($D641,ccc[city],ccc[ctry],"-"),"-")</f>
        <v/>
      </c>
      <c r="M641" s="1395">
        <f>IF(raw[[#This Row],[city]]&lt;&gt;"",_xlfn.XLOOKUP($D641,ccc[city],ccc[cont],"-"),"-")</f>
        <v/>
      </c>
      <c r="N641" s="1396">
        <f>IF(raw[[#This Row],[city]]="","-",IF(raw[[#This Row],[cont]]="B",raw[[#This Row],[cont]],"W"))</f>
        <v/>
      </c>
      <c r="O641" s="1397">
        <f>IF(raw[[#This Row],[out]]=0,0,IF(raw[[#This Row],[out]]=raw[[#This Row],[in]],0.01,raw[[#This Row],[out]]-raw[[#This Row],[in]]))</f>
        <v/>
      </c>
      <c r="P641" s="1397">
        <f>IF(raw[[#This Row],[in]]=0,0,MONTH(raw[[#This Row],[in]]))</f>
        <v/>
      </c>
      <c r="Q641" s="1397">
        <f>IF(raw[[#This Row],[in]]=0,0,YEAR(raw[[#This Row],[in]]))</f>
        <v/>
      </c>
      <c r="R641" s="1397">
        <f>INT(raw[[#This Row],[yr]]/10)*10</f>
        <v/>
      </c>
      <c r="S641" s="1395">
        <f>IF(raw[[#This Row],[city]]="","-",IF(raw[[#This Row],[city]]&lt;&gt;_xlfn.XLOOKUP(raw[[#This Row],[home]],homes[home],homes[city],"-"),1,0))</f>
        <v/>
      </c>
      <c r="T641" s="1398" t="inlineStr">
        <is>
          <t>.</t>
        </is>
      </c>
      <c r="U641" s="1399">
        <f>IF(raw[[#This Row],[wb]]="w",raw[[#This Row],[stay]]+U640,U640)</f>
        <v/>
      </c>
      <c r="V641" s="1400">
        <f>IF(raw[[#This Row],[out]]=0,V640,(raw[[#This Row],[out]]-E$5))</f>
        <v/>
      </c>
      <c r="W641" s="1401">
        <f>U641/V641</f>
        <v/>
      </c>
      <c r="X641" s="1378" t="inlineStr">
        <is>
          <t>.</t>
        </is>
      </c>
      <c r="Y641" s="1402">
        <f/>
        <v/>
      </c>
      <c r="Z641" s="1403">
        <f/>
        <v/>
      </c>
      <c r="AA641" s="1403">
        <f/>
        <v/>
      </c>
      <c r="AB641" s="1400">
        <f t="array" ref="AB641">_xlfn.LET(_xlpm.S,_xlfn.ANCHORARRAY($Y$4),_xlpm.r,ROWS(stayCity[[#Headers],[city]]:stayCity[[#This Row],[city]])-1,IF(_xlpm.r&lt;=ROWS(_xlpm.S),INDEX(_xlpm.S,_xlpm.r,1),""))</f>
        <v/>
      </c>
      <c r="AC641" s="1405">
        <f t="array" ref="AC641">_xlfn.LET(_xlpm.S,_xlfn.ANCHORARRAY($Y$4),_xlpm.r,ROWS(stayCity[[#Headers],[city]]:stayCity[[#This Row],[city]])-1,IF(_xlpm.r&lt;=ROWS(_xlpm.S),INDEX(_xlpm.S,_xlpm.r,2),""))</f>
        <v/>
      </c>
      <c r="AD641" s="1405">
        <f t="array" ref="AD641">_xlfn.LET(_xlpm.S,_xlfn.ANCHORARRAY($Y$4),_xlpm.r,ROWS(stayCity[[#Headers],[city]]:stayCity[[#This Row],[city]])-1,IF(_xlpm.r&lt;=ROWS(_xlpm.S),INDEX(_xlpm.S,_xlpm.r,3),""))</f>
        <v/>
      </c>
      <c r="AE641" s="1400">
        <f>IF(stayCity[[#This Row],[out]]&lt;&gt;"",stayCity[[#This Row],[out]]-stayCity[[#This Row],[in]],"-")</f>
        <v/>
      </c>
      <c r="AF641" s="1406">
        <f>IF(Y641="","-",YEAR(stayCity[[#This Row],[in]]))</f>
        <v/>
      </c>
      <c r="AG641" s="1392" t="n"/>
      <c r="AH641" s="1392" t="n"/>
      <c r="AI641" s="1392" t="n"/>
      <c r="AJ641" s="1392" t="n"/>
      <c r="AK641" s="1392" t="n"/>
      <c r="AL641" s="1392" t="n"/>
      <c r="AM641" s="1392" t="n"/>
      <c r="AN641" s="1392" t="n"/>
      <c r="AO641" s="1392" t="n"/>
      <c r="AP641" s="1392" t="n"/>
      <c r="AQ641" s="1392" t="n"/>
      <c r="AR641" s="1392" t="n"/>
      <c r="AS641" s="1422" t="n"/>
      <c r="AT641" s="1392" t="n"/>
      <c r="AU641" s="1392" t="n"/>
      <c r="AV641" s="1392" t="n"/>
      <c r="AW641" s="1392" t="n"/>
      <c r="AX641" s="1392" t="n"/>
      <c r="AY641" s="1392" t="n"/>
      <c r="AZ641" s="1392" t="n"/>
      <c r="BA641" s="1392" t="n"/>
      <c r="BB641" s="1422" t="n"/>
      <c r="BC641" s="1392" t="n"/>
      <c r="BD641" s="1392" t="n"/>
      <c r="BE641" s="1392" t="n"/>
      <c r="BF641" s="1392" t="n"/>
      <c r="BG641" s="1392" t="n"/>
      <c r="BH641" s="1392" t="n"/>
      <c r="BI641" s="1392" t="n"/>
      <c r="BJ641" s="1392" t="n"/>
      <c r="BK641" s="1392" t="n"/>
      <c r="BL641" s="1392" t="n"/>
      <c r="BM641" s="1392" t="n"/>
      <c r="BN641" s="1392" t="n"/>
      <c r="BO641" s="1392" t="n"/>
      <c r="BP641" s="1392" t="n"/>
      <c r="BQ641" s="1392" t="n"/>
      <c r="BR641" s="1392" t="n"/>
      <c r="BS641" s="1392" t="n"/>
      <c r="BT641" s="1392" t="n"/>
      <c r="BU641" s="1416" t="n"/>
      <c r="BV641" s="1392" t="n"/>
      <c r="BW641" s="1392" t="n"/>
      <c r="BX641" s="1392" t="n"/>
      <c r="BY641" s="1392" t="n"/>
      <c r="BZ641" s="1416" t="n"/>
      <c r="CA641" s="1392" t="n"/>
      <c r="CB641" s="1392" t="n"/>
      <c r="CC641" s="1392" t="n"/>
      <c r="CD641" s="1392" t="n"/>
      <c r="CE641" s="1392" t="n"/>
      <c r="CF641" s="1392" t="n"/>
      <c r="CG641" s="1392" t="n"/>
      <c r="CH641" s="1392" t="n"/>
      <c r="CI641" s="1392" t="n"/>
      <c r="CJ641" s="1392" t="n"/>
      <c r="CK641" s="1392" t="n"/>
      <c r="CL641" s="1392" t="n"/>
    </row>
    <row r="642">
      <c r="A642" s="5" t="inlineStr">
        <is>
          <t>.</t>
        </is>
      </c>
      <c r="B642" s="5" t="inlineStr">
        <is>
          <t>.</t>
        </is>
      </c>
      <c r="C642" s="1378">
        <f>IF(raw[[#This Row],[city]]="","-",IF(raw[[#This Row],[city]]="TODAY","-",C641+1))</f>
        <v/>
      </c>
      <c r="D642" s="1393" t="inlineStr">
        <is>
          <t>Iporanga</t>
        </is>
      </c>
      <c r="E642" s="1394" t="n">
        <v>36917</v>
      </c>
      <c r="F642" s="1394" t="n">
        <v>36919</v>
      </c>
      <c r="G642" s="1393" t="inlineStr">
        <is>
          <t>-</t>
        </is>
      </c>
      <c r="H642" s="1393" t="inlineStr">
        <is>
          <t>Joaquim Eugenio</t>
        </is>
      </c>
      <c r="I642" s="1393" t="inlineStr">
        <is>
          <t>-</t>
        </is>
      </c>
      <c r="J642" s="1393" t="inlineStr">
        <is>
          <t>-</t>
        </is>
      </c>
      <c r="K642" s="1395">
        <f>IF(raw[[#This Row],[city]]&lt;&gt;"",_xlfn.XLOOKUP($D642,ccc[city],ccc[prov],"-"),"-")</f>
        <v/>
      </c>
      <c r="L642" s="1395">
        <f>IF(raw[[#This Row],[city]]&lt;&gt;"",_xlfn.XLOOKUP($D642,ccc[city],ccc[ctry],"-"),"-")</f>
        <v/>
      </c>
      <c r="M642" s="1395">
        <f>IF(raw[[#This Row],[city]]&lt;&gt;"",_xlfn.XLOOKUP($D642,ccc[city],ccc[cont],"-"),"-")</f>
        <v/>
      </c>
      <c r="N642" s="1396">
        <f>IF(raw[[#This Row],[city]]="","-",IF(raw[[#This Row],[cont]]="B",raw[[#This Row],[cont]],"W"))</f>
        <v/>
      </c>
      <c r="O642" s="1397">
        <f>IF(raw[[#This Row],[out]]=0,0,IF(raw[[#This Row],[out]]=raw[[#This Row],[in]],0.01,raw[[#This Row],[out]]-raw[[#This Row],[in]]))</f>
        <v/>
      </c>
      <c r="P642" s="1397">
        <f>IF(raw[[#This Row],[in]]=0,0,MONTH(raw[[#This Row],[in]]))</f>
        <v/>
      </c>
      <c r="Q642" s="1397">
        <f>IF(raw[[#This Row],[in]]=0,0,YEAR(raw[[#This Row],[in]]))</f>
        <v/>
      </c>
      <c r="R642" s="1397">
        <f>INT(raw[[#This Row],[yr]]/10)*10</f>
        <v/>
      </c>
      <c r="S642" s="1395">
        <f>IF(raw[[#This Row],[city]]="","-",IF(raw[[#This Row],[city]]&lt;&gt;_xlfn.XLOOKUP(raw[[#This Row],[home]],homes[home],homes[city],"-"),1,0))</f>
        <v/>
      </c>
      <c r="T642" s="1398" t="inlineStr">
        <is>
          <t>.</t>
        </is>
      </c>
      <c r="U642" s="1399">
        <f>IF(raw[[#This Row],[wb]]="w",raw[[#This Row],[stay]]+U641,U641)</f>
        <v/>
      </c>
      <c r="V642" s="1400">
        <f>IF(raw[[#This Row],[out]]=0,V641,(raw[[#This Row],[out]]-E$5))</f>
        <v/>
      </c>
      <c r="W642" s="1401">
        <f>U642/V642</f>
        <v/>
      </c>
      <c r="X642" s="1378" t="inlineStr">
        <is>
          <t>.</t>
        </is>
      </c>
      <c r="Y642" s="1402">
        <f/>
        <v/>
      </c>
      <c r="Z642" s="1403">
        <f/>
        <v/>
      </c>
      <c r="AA642" s="1403">
        <f/>
        <v/>
      </c>
      <c r="AB642" s="1400">
        <f t="array" ref="AB642">_xlfn.LET(_xlpm.S,_xlfn.ANCHORARRAY($Y$4),_xlpm.r,ROWS(stayCity[[#Headers],[city]]:stayCity[[#This Row],[city]])-1,IF(_xlpm.r&lt;=ROWS(_xlpm.S),INDEX(_xlpm.S,_xlpm.r,1),""))</f>
        <v/>
      </c>
      <c r="AC642" s="1405">
        <f t="array" ref="AC642">_xlfn.LET(_xlpm.S,_xlfn.ANCHORARRAY($Y$4),_xlpm.r,ROWS(stayCity[[#Headers],[city]]:stayCity[[#This Row],[city]])-1,IF(_xlpm.r&lt;=ROWS(_xlpm.S),INDEX(_xlpm.S,_xlpm.r,2),""))</f>
        <v/>
      </c>
      <c r="AD642" s="1405">
        <f t="array" ref="AD642">_xlfn.LET(_xlpm.S,_xlfn.ANCHORARRAY($Y$4),_xlpm.r,ROWS(stayCity[[#Headers],[city]]:stayCity[[#This Row],[city]])-1,IF(_xlpm.r&lt;=ROWS(_xlpm.S),INDEX(_xlpm.S,_xlpm.r,3),""))</f>
        <v/>
      </c>
      <c r="AE642" s="1400">
        <f>IF(stayCity[[#This Row],[out]]&lt;&gt;"",stayCity[[#This Row],[out]]-stayCity[[#This Row],[in]],"-")</f>
        <v/>
      </c>
      <c r="AF642" s="1406">
        <f>IF(Y642="","-",YEAR(stayCity[[#This Row],[in]]))</f>
        <v/>
      </c>
      <c r="AG642" s="1392" t="n"/>
      <c r="AH642" s="1392" t="n"/>
      <c r="AI642" s="1392" t="n"/>
      <c r="AJ642" s="1392" t="n"/>
      <c r="AK642" s="1392" t="n"/>
      <c r="AL642" s="1392" t="n"/>
      <c r="AM642" s="1392" t="n"/>
      <c r="AN642" s="1392" t="n"/>
      <c r="AO642" s="1392" t="n"/>
      <c r="AP642" s="1392" t="n"/>
      <c r="AQ642" s="1392" t="n"/>
      <c r="AR642" s="1392" t="n"/>
      <c r="AS642" s="1422" t="n"/>
      <c r="AT642" s="1392" t="n"/>
      <c r="AU642" s="1392" t="n"/>
      <c r="AV642" s="1392" t="n"/>
      <c r="AW642" s="1392" t="n"/>
      <c r="AX642" s="1392" t="n"/>
      <c r="AY642" s="1392" t="n"/>
      <c r="AZ642" s="1392" t="n"/>
      <c r="BA642" s="1392" t="n"/>
      <c r="BB642" s="1422" t="n"/>
      <c r="BC642" s="1392" t="n"/>
      <c r="BD642" s="1392" t="n"/>
      <c r="BE642" s="1392" t="n"/>
      <c r="BF642" s="1392" t="n"/>
      <c r="BG642" s="1392" t="n"/>
      <c r="BH642" s="1392" t="n"/>
      <c r="BI642" s="1392" t="n"/>
      <c r="BJ642" s="1392" t="n"/>
      <c r="BK642" s="1392" t="n"/>
      <c r="BL642" s="1392" t="n"/>
      <c r="BM642" s="1392" t="n"/>
      <c r="BN642" s="1392" t="n"/>
      <c r="BO642" s="1392" t="n"/>
      <c r="BP642" s="1392" t="n"/>
      <c r="BQ642" s="1392" t="n"/>
      <c r="BR642" s="1392" t="n"/>
      <c r="BS642" s="1392" t="n"/>
      <c r="BT642" s="1392" t="n"/>
      <c r="BU642" s="1416" t="n"/>
      <c r="BV642" s="1392" t="n"/>
      <c r="BW642" s="1392" t="n"/>
      <c r="BX642" s="1392" t="n"/>
      <c r="BY642" s="1392" t="n"/>
      <c r="BZ642" s="1416" t="n"/>
      <c r="CA642" s="1392" t="n"/>
      <c r="CB642" s="1392" t="n"/>
      <c r="CC642" s="1392" t="n"/>
      <c r="CD642" s="1392" t="n"/>
      <c r="CE642" s="1392" t="n"/>
      <c r="CF642" s="1392" t="n"/>
      <c r="CG642" s="1392" t="n"/>
      <c r="CH642" s="1392" t="n"/>
      <c r="CI642" s="1392" t="n"/>
      <c r="CJ642" s="1392" t="n"/>
      <c r="CK642" s="1392" t="n"/>
      <c r="CL642" s="1392" t="n"/>
    </row>
    <row r="643">
      <c r="A643" s="5" t="inlineStr">
        <is>
          <t>.</t>
        </is>
      </c>
      <c r="B643" s="5" t="inlineStr">
        <is>
          <t>.</t>
        </is>
      </c>
      <c r="C643" s="1378">
        <f>IF(raw[[#This Row],[city]]="","-",IF(raw[[#This Row],[city]]="TODAY","-",C642+1))</f>
        <v/>
      </c>
      <c r="D643" s="1393" t="inlineStr">
        <is>
          <t>SP</t>
        </is>
      </c>
      <c r="E643" s="1394" t="n">
        <v>36919</v>
      </c>
      <c r="F643" s="1394" t="n">
        <v>36923</v>
      </c>
      <c r="G643" s="1393" t="inlineStr">
        <is>
          <t>-</t>
        </is>
      </c>
      <c r="H643" s="1393" t="inlineStr">
        <is>
          <t>Joaquim Eugenio</t>
        </is>
      </c>
      <c r="I643" s="1393" t="inlineStr">
        <is>
          <t>-</t>
        </is>
      </c>
      <c r="J643" s="1393" t="inlineStr">
        <is>
          <t>-</t>
        </is>
      </c>
      <c r="K643" s="1395">
        <f>IF(raw[[#This Row],[city]]&lt;&gt;"",_xlfn.XLOOKUP($D643,ccc[city],ccc[prov],"-"),"-")</f>
        <v/>
      </c>
      <c r="L643" s="1395">
        <f>IF(raw[[#This Row],[city]]&lt;&gt;"",_xlfn.XLOOKUP($D643,ccc[city],ccc[ctry],"-"),"-")</f>
        <v/>
      </c>
      <c r="M643" s="1395">
        <f>IF(raw[[#This Row],[city]]&lt;&gt;"",_xlfn.XLOOKUP($D643,ccc[city],ccc[cont],"-"),"-")</f>
        <v/>
      </c>
      <c r="N643" s="1396">
        <f>IF(raw[[#This Row],[city]]="","-",IF(raw[[#This Row],[cont]]="B",raw[[#This Row],[cont]],"W"))</f>
        <v/>
      </c>
      <c r="O643" s="1397">
        <f>IF(raw[[#This Row],[out]]=0,0,IF(raw[[#This Row],[out]]=raw[[#This Row],[in]],0.01,raw[[#This Row],[out]]-raw[[#This Row],[in]]))</f>
        <v/>
      </c>
      <c r="P643" s="1397">
        <f>IF(raw[[#This Row],[in]]=0,0,MONTH(raw[[#This Row],[in]]))</f>
        <v/>
      </c>
      <c r="Q643" s="1397">
        <f>IF(raw[[#This Row],[in]]=0,0,YEAR(raw[[#This Row],[in]]))</f>
        <v/>
      </c>
      <c r="R643" s="1397">
        <f>INT(raw[[#This Row],[yr]]/10)*10</f>
        <v/>
      </c>
      <c r="S643" s="1395">
        <f>IF(raw[[#This Row],[city]]="","-",IF(raw[[#This Row],[city]]&lt;&gt;_xlfn.XLOOKUP(raw[[#This Row],[home]],homes[home],homes[city],"-"),1,0))</f>
        <v/>
      </c>
      <c r="T643" s="1398" t="inlineStr">
        <is>
          <t>.</t>
        </is>
      </c>
      <c r="U643" s="1399">
        <f>IF(raw[[#This Row],[wb]]="w",raw[[#This Row],[stay]]+U642,U642)</f>
        <v/>
      </c>
      <c r="V643" s="1400">
        <f>IF(raw[[#This Row],[out]]=0,V642,(raw[[#This Row],[out]]-E$5))</f>
        <v/>
      </c>
      <c r="W643" s="1401">
        <f>U643/V643</f>
        <v/>
      </c>
      <c r="X643" s="1378" t="inlineStr">
        <is>
          <t>.</t>
        </is>
      </c>
      <c r="Y643" s="1402">
        <f/>
        <v/>
      </c>
      <c r="Z643" s="1403">
        <f/>
        <v/>
      </c>
      <c r="AA643" s="1403">
        <f/>
        <v/>
      </c>
      <c r="AB643" s="1400">
        <f t="array" ref="AB643">_xlfn.LET(_xlpm.S,_xlfn.ANCHORARRAY($Y$4),_xlpm.r,ROWS(stayCity[[#Headers],[city]]:stayCity[[#This Row],[city]])-1,IF(_xlpm.r&lt;=ROWS(_xlpm.S),INDEX(_xlpm.S,_xlpm.r,1),""))</f>
        <v/>
      </c>
      <c r="AC643" s="1405">
        <f t="array" ref="AC643">_xlfn.LET(_xlpm.S,_xlfn.ANCHORARRAY($Y$4),_xlpm.r,ROWS(stayCity[[#Headers],[city]]:stayCity[[#This Row],[city]])-1,IF(_xlpm.r&lt;=ROWS(_xlpm.S),INDEX(_xlpm.S,_xlpm.r,2),""))</f>
        <v/>
      </c>
      <c r="AD643" s="1405">
        <f t="array" ref="AD643">_xlfn.LET(_xlpm.S,_xlfn.ANCHORARRAY($Y$4),_xlpm.r,ROWS(stayCity[[#Headers],[city]]:stayCity[[#This Row],[city]])-1,IF(_xlpm.r&lt;=ROWS(_xlpm.S),INDEX(_xlpm.S,_xlpm.r,3),""))</f>
        <v/>
      </c>
      <c r="AE643" s="1400">
        <f>IF(stayCity[[#This Row],[out]]&lt;&gt;"",stayCity[[#This Row],[out]]-stayCity[[#This Row],[in]],"-")</f>
        <v/>
      </c>
      <c r="AF643" s="1406">
        <f>IF(Y643="","-",YEAR(stayCity[[#This Row],[in]]))</f>
        <v/>
      </c>
      <c r="AG643" s="1392" t="n"/>
      <c r="AH643" s="1392" t="n"/>
      <c r="AI643" s="1392" t="n"/>
      <c r="AJ643" s="1392" t="n"/>
      <c r="AK643" s="1392" t="n"/>
      <c r="AL643" s="1392" t="n"/>
      <c r="AM643" s="1392" t="n"/>
      <c r="AN643" s="1392" t="n"/>
      <c r="AO643" s="1392" t="n"/>
      <c r="AP643" s="1392" t="n"/>
      <c r="AQ643" s="1392" t="n"/>
      <c r="AR643" s="1392" t="n"/>
      <c r="AS643" s="1422" t="n"/>
      <c r="AT643" s="1392" t="n"/>
      <c r="AU643" s="1392" t="n"/>
      <c r="AV643" s="1392" t="n"/>
      <c r="AW643" s="1392" t="n"/>
      <c r="AX643" s="1392" t="n"/>
      <c r="AY643" s="1392" t="n"/>
      <c r="AZ643" s="1392" t="n"/>
      <c r="BA643" s="1392" t="n"/>
      <c r="BB643" s="1422" t="n"/>
      <c r="BC643" s="1392" t="n"/>
      <c r="BD643" s="1392" t="n"/>
      <c r="BE643" s="1392" t="n"/>
      <c r="BF643" s="1392" t="n"/>
      <c r="BG643" s="1392" t="n"/>
      <c r="BH643" s="1392" t="n"/>
      <c r="BI643" s="1392" t="n"/>
      <c r="BJ643" s="1392" t="n"/>
      <c r="BK643" s="1392" t="n"/>
      <c r="BL643" s="1392" t="n"/>
      <c r="BM643" s="1392" t="n"/>
      <c r="BN643" s="1392" t="n"/>
      <c r="BO643" s="1392" t="n"/>
      <c r="BP643" s="1392" t="n"/>
      <c r="BQ643" s="1392" t="n"/>
      <c r="BR643" s="1392" t="n"/>
      <c r="BS643" s="1392" t="n"/>
      <c r="BT643" s="1392" t="n"/>
      <c r="BU643" s="1416" t="n"/>
      <c r="BV643" s="1392" t="n"/>
      <c r="BW643" s="1392" t="n"/>
      <c r="BX643" s="1392" t="n"/>
      <c r="BY643" s="1392" t="n"/>
      <c r="BZ643" s="1416" t="n"/>
      <c r="CA643" s="1392" t="n"/>
      <c r="CB643" s="1392" t="n"/>
      <c r="CC643" s="1392" t="n"/>
      <c r="CD643" s="1392" t="n"/>
      <c r="CE643" s="1392" t="n"/>
      <c r="CF643" s="1392" t="n"/>
      <c r="CG643" s="1392" t="n"/>
      <c r="CH643" s="1392" t="n"/>
      <c r="CI643" s="1392" t="n"/>
      <c r="CJ643" s="1392" t="n"/>
      <c r="CK643" s="1392" t="n"/>
      <c r="CL643" s="1392" t="n"/>
    </row>
    <row r="644">
      <c r="A644" s="5" t="inlineStr">
        <is>
          <t>.</t>
        </is>
      </c>
      <c r="B644" s="5" t="inlineStr">
        <is>
          <t>.</t>
        </is>
      </c>
      <c r="C644" s="1378">
        <f>IF(raw[[#This Row],[city]]="","-",IF(raw[[#This Row],[city]]="TODAY","-",C643+1))</f>
        <v/>
      </c>
      <c r="D644" s="1393" t="inlineStr">
        <is>
          <t>SP</t>
        </is>
      </c>
      <c r="E644" s="1394" t="n">
        <v>36923</v>
      </c>
      <c r="F644" s="1394" t="n">
        <v>36925</v>
      </c>
      <c r="G644" s="1393" t="inlineStr">
        <is>
          <t>-</t>
        </is>
      </c>
      <c r="H644" s="1393" t="inlineStr">
        <is>
          <t>Joaquim Eugenio</t>
        </is>
      </c>
      <c r="I644" s="1393" t="inlineStr">
        <is>
          <t>-</t>
        </is>
      </c>
      <c r="J644" s="1393" t="inlineStr">
        <is>
          <t>-</t>
        </is>
      </c>
      <c r="K644" s="1395">
        <f>IF(raw[[#This Row],[city]]&lt;&gt;"",_xlfn.XLOOKUP($D644,ccc[city],ccc[prov],"-"),"-")</f>
        <v/>
      </c>
      <c r="L644" s="1395">
        <f>IF(raw[[#This Row],[city]]&lt;&gt;"",_xlfn.XLOOKUP($D644,ccc[city],ccc[ctry],"-"),"-")</f>
        <v/>
      </c>
      <c r="M644" s="1395">
        <f>IF(raw[[#This Row],[city]]&lt;&gt;"",_xlfn.XLOOKUP($D644,ccc[city],ccc[cont],"-"),"-")</f>
        <v/>
      </c>
      <c r="N644" s="1396">
        <f>IF(raw[[#This Row],[city]]="","-",IF(raw[[#This Row],[cont]]="B",raw[[#This Row],[cont]],"W"))</f>
        <v/>
      </c>
      <c r="O644" s="1397">
        <f>IF(raw[[#This Row],[out]]=0,0,IF(raw[[#This Row],[out]]=raw[[#This Row],[in]],0.01,raw[[#This Row],[out]]-raw[[#This Row],[in]]))</f>
        <v/>
      </c>
      <c r="P644" s="1397">
        <f>IF(raw[[#This Row],[in]]=0,0,MONTH(raw[[#This Row],[in]]))</f>
        <v/>
      </c>
      <c r="Q644" s="1397">
        <f>IF(raw[[#This Row],[in]]=0,0,YEAR(raw[[#This Row],[in]]))</f>
        <v/>
      </c>
      <c r="R644" s="1397">
        <f>INT(raw[[#This Row],[yr]]/10)*10</f>
        <v/>
      </c>
      <c r="S644" s="1395">
        <f>IF(raw[[#This Row],[city]]="","-",IF(raw[[#This Row],[city]]&lt;&gt;_xlfn.XLOOKUP(raw[[#This Row],[home]],homes[home],homes[city],"-"),1,0))</f>
        <v/>
      </c>
      <c r="T644" s="1398" t="inlineStr">
        <is>
          <t>.</t>
        </is>
      </c>
      <c r="U644" s="1399">
        <f>IF(raw[[#This Row],[wb]]="w",raw[[#This Row],[stay]]+U643,U643)</f>
        <v/>
      </c>
      <c r="V644" s="1400">
        <f>IF(raw[[#This Row],[out]]=0,V643,(raw[[#This Row],[out]]-E$5))</f>
        <v/>
      </c>
      <c r="W644" s="1401">
        <f>U644/V644</f>
        <v/>
      </c>
      <c r="X644" s="1378" t="inlineStr">
        <is>
          <t>.</t>
        </is>
      </c>
      <c r="Y644" s="1402">
        <f/>
        <v/>
      </c>
      <c r="Z644" s="1403">
        <f/>
        <v/>
      </c>
      <c r="AA644" s="1403">
        <f/>
        <v/>
      </c>
      <c r="AB644" s="1400">
        <f t="array" ref="AB644">_xlfn.LET(_xlpm.S,_xlfn.ANCHORARRAY($Y$4),_xlpm.r,ROWS(stayCity[[#Headers],[city]]:stayCity[[#This Row],[city]])-1,IF(_xlpm.r&lt;=ROWS(_xlpm.S),INDEX(_xlpm.S,_xlpm.r,1),""))</f>
        <v/>
      </c>
      <c r="AC644" s="1405">
        <f t="array" ref="AC644">_xlfn.LET(_xlpm.S,_xlfn.ANCHORARRAY($Y$4),_xlpm.r,ROWS(stayCity[[#Headers],[city]]:stayCity[[#This Row],[city]])-1,IF(_xlpm.r&lt;=ROWS(_xlpm.S),INDEX(_xlpm.S,_xlpm.r,2),""))</f>
        <v/>
      </c>
      <c r="AD644" s="1405">
        <f t="array" ref="AD644">_xlfn.LET(_xlpm.S,_xlfn.ANCHORARRAY($Y$4),_xlpm.r,ROWS(stayCity[[#Headers],[city]]:stayCity[[#This Row],[city]])-1,IF(_xlpm.r&lt;=ROWS(_xlpm.S),INDEX(_xlpm.S,_xlpm.r,3),""))</f>
        <v/>
      </c>
      <c r="AE644" s="1400">
        <f>IF(stayCity[[#This Row],[out]]&lt;&gt;"",stayCity[[#This Row],[out]]-stayCity[[#This Row],[in]],"-")</f>
        <v/>
      </c>
      <c r="AF644" s="1406">
        <f>IF(Y644="","-",YEAR(stayCity[[#This Row],[in]]))</f>
        <v/>
      </c>
      <c r="AG644" s="1392" t="n"/>
      <c r="AH644" s="1392" t="n"/>
      <c r="AI644" s="1392" t="n"/>
      <c r="AJ644" s="1392" t="n"/>
      <c r="AK644" s="1392" t="n"/>
      <c r="AL644" s="1392" t="n"/>
      <c r="AM644" s="1392" t="n"/>
      <c r="AN644" s="1392" t="n"/>
      <c r="AO644" s="1392" t="n"/>
      <c r="AP644" s="1392" t="n"/>
      <c r="AQ644" s="1392" t="n"/>
      <c r="AR644" s="1392" t="n"/>
      <c r="AS644" s="1422" t="n"/>
      <c r="AT644" s="1392" t="n"/>
      <c r="AU644" s="1392" t="n"/>
      <c r="AV644" s="1392" t="n"/>
      <c r="AW644" s="1392" t="n"/>
      <c r="AX644" s="1392" t="n"/>
      <c r="AY644" s="1392" t="n"/>
      <c r="AZ644" s="1392" t="n"/>
      <c r="BA644" s="1392" t="n"/>
      <c r="BB644" s="1422" t="n"/>
      <c r="BC644" s="1392" t="n"/>
      <c r="BD644" s="1392" t="n"/>
      <c r="BE644" s="1392" t="n"/>
      <c r="BF644" s="1392" t="n"/>
      <c r="BG644" s="1392" t="n"/>
      <c r="BH644" s="1392" t="n"/>
      <c r="BI644" s="1392" t="n"/>
      <c r="BJ644" s="1392" t="n"/>
      <c r="BK644" s="1392" t="n"/>
      <c r="BL644" s="1392" t="n"/>
      <c r="BM644" s="1392" t="n"/>
      <c r="BN644" s="1392" t="n"/>
      <c r="BO644" s="1392" t="n"/>
      <c r="BP644" s="1392" t="n"/>
      <c r="BQ644" s="1392" t="n"/>
      <c r="BR644" s="1392" t="n"/>
      <c r="BS644" s="1392" t="n"/>
      <c r="BT644" s="1392" t="n"/>
      <c r="BU644" s="1416" t="n"/>
      <c r="BV644" s="1392" t="n"/>
      <c r="BW644" s="1392" t="n"/>
      <c r="BX644" s="1392" t="n"/>
      <c r="BY644" s="1392" t="n"/>
      <c r="BZ644" s="1416" t="n"/>
      <c r="CA644" s="1392" t="n"/>
      <c r="CB644" s="1392" t="n"/>
      <c r="CC644" s="1392" t="n"/>
      <c r="CD644" s="1392" t="n"/>
      <c r="CE644" s="1392" t="n"/>
      <c r="CF644" s="1392" t="n"/>
      <c r="CG644" s="1392" t="n"/>
      <c r="CH644" s="1392" t="n"/>
      <c r="CI644" s="1392" t="n"/>
      <c r="CJ644" s="1392" t="n"/>
      <c r="CK644" s="1392" t="n"/>
      <c r="CL644" s="1392" t="n"/>
    </row>
    <row r="645">
      <c r="A645" s="5" t="inlineStr">
        <is>
          <t>.</t>
        </is>
      </c>
      <c r="B645" s="5" t="inlineStr">
        <is>
          <t>.</t>
        </is>
      </c>
      <c r="C645" s="1378">
        <f>IF(raw[[#This Row],[city]]="","-",IF(raw[[#This Row],[city]]="TODAY","-",C644+1))</f>
        <v/>
      </c>
      <c r="D645" s="1393" t="inlineStr">
        <is>
          <t>Itapeva</t>
        </is>
      </c>
      <c r="E645" s="1394" t="n">
        <v>36925</v>
      </c>
      <c r="F645" s="1394" t="n">
        <v>36927</v>
      </c>
      <c r="G645" s="1393" t="inlineStr">
        <is>
          <t>-</t>
        </is>
      </c>
      <c r="H645" s="1393" t="inlineStr">
        <is>
          <t>Joaquim Eugenio</t>
        </is>
      </c>
      <c r="I645" s="1393" t="inlineStr">
        <is>
          <t>-</t>
        </is>
      </c>
      <c r="J645" s="1393" t="inlineStr">
        <is>
          <t>-</t>
        </is>
      </c>
      <c r="K645" s="1395">
        <f>IF(raw[[#This Row],[city]]&lt;&gt;"",_xlfn.XLOOKUP($D645,ccc[city],ccc[prov],"-"),"-")</f>
        <v/>
      </c>
      <c r="L645" s="1395">
        <f>IF(raw[[#This Row],[city]]&lt;&gt;"",_xlfn.XLOOKUP($D645,ccc[city],ccc[ctry],"-"),"-")</f>
        <v/>
      </c>
      <c r="M645" s="1395">
        <f>IF(raw[[#This Row],[city]]&lt;&gt;"",_xlfn.XLOOKUP($D645,ccc[city],ccc[cont],"-"),"-")</f>
        <v/>
      </c>
      <c r="N645" s="1396">
        <f>IF(raw[[#This Row],[city]]="","-",IF(raw[[#This Row],[cont]]="B",raw[[#This Row],[cont]],"W"))</f>
        <v/>
      </c>
      <c r="O645" s="1397">
        <f>IF(raw[[#This Row],[out]]=0,0,IF(raw[[#This Row],[out]]=raw[[#This Row],[in]],0.01,raw[[#This Row],[out]]-raw[[#This Row],[in]]))</f>
        <v/>
      </c>
      <c r="P645" s="1397">
        <f>IF(raw[[#This Row],[in]]=0,0,MONTH(raw[[#This Row],[in]]))</f>
        <v/>
      </c>
      <c r="Q645" s="1397">
        <f>IF(raw[[#This Row],[in]]=0,0,YEAR(raw[[#This Row],[in]]))</f>
        <v/>
      </c>
      <c r="R645" s="1397">
        <f>INT(raw[[#This Row],[yr]]/10)*10</f>
        <v/>
      </c>
      <c r="S645" s="1395">
        <f>IF(raw[[#This Row],[city]]="","-",IF(raw[[#This Row],[city]]&lt;&gt;_xlfn.XLOOKUP(raw[[#This Row],[home]],homes[home],homes[city],"-"),1,0))</f>
        <v/>
      </c>
      <c r="T645" s="1398" t="inlineStr">
        <is>
          <t>.</t>
        </is>
      </c>
      <c r="U645" s="1399">
        <f>IF(raw[[#This Row],[wb]]="w",raw[[#This Row],[stay]]+U644,U644)</f>
        <v/>
      </c>
      <c r="V645" s="1400">
        <f>IF(raw[[#This Row],[out]]=0,V644,(raw[[#This Row],[out]]-E$5))</f>
        <v/>
      </c>
      <c r="W645" s="1401">
        <f>U645/V645</f>
        <v/>
      </c>
      <c r="X645" s="1378" t="inlineStr">
        <is>
          <t>.</t>
        </is>
      </c>
      <c r="Y645" s="1402">
        <f/>
        <v/>
      </c>
      <c r="Z645" s="1403">
        <f/>
        <v/>
      </c>
      <c r="AA645" s="1403">
        <f/>
        <v/>
      </c>
      <c r="AB645" s="1400">
        <f t="array" ref="AB645">_xlfn.LET(_xlpm.S,_xlfn.ANCHORARRAY($Y$4),_xlpm.r,ROWS(stayCity[[#Headers],[city]]:stayCity[[#This Row],[city]])-1,IF(_xlpm.r&lt;=ROWS(_xlpm.S),INDEX(_xlpm.S,_xlpm.r,1),""))</f>
        <v/>
      </c>
      <c r="AC645" s="1405">
        <f t="array" ref="AC645">_xlfn.LET(_xlpm.S,_xlfn.ANCHORARRAY($Y$4),_xlpm.r,ROWS(stayCity[[#Headers],[city]]:stayCity[[#This Row],[city]])-1,IF(_xlpm.r&lt;=ROWS(_xlpm.S),INDEX(_xlpm.S,_xlpm.r,2),""))</f>
        <v/>
      </c>
      <c r="AD645" s="1405">
        <f t="array" ref="AD645">_xlfn.LET(_xlpm.S,_xlfn.ANCHORARRAY($Y$4),_xlpm.r,ROWS(stayCity[[#Headers],[city]]:stayCity[[#This Row],[city]])-1,IF(_xlpm.r&lt;=ROWS(_xlpm.S),INDEX(_xlpm.S,_xlpm.r,3),""))</f>
        <v/>
      </c>
      <c r="AE645" s="1400">
        <f>IF(stayCity[[#This Row],[out]]&lt;&gt;"",stayCity[[#This Row],[out]]-stayCity[[#This Row],[in]],"-")</f>
        <v/>
      </c>
      <c r="AF645" s="1406">
        <f>IF(Y645="","-",YEAR(stayCity[[#This Row],[in]]))</f>
        <v/>
      </c>
      <c r="AG645" s="1392" t="n"/>
      <c r="AH645" s="1392" t="n"/>
      <c r="AI645" s="1392" t="n"/>
      <c r="AJ645" s="1392" t="n"/>
      <c r="AK645" s="1392" t="n"/>
      <c r="AL645" s="1392" t="n"/>
      <c r="AM645" s="1392" t="n"/>
      <c r="AN645" s="1392" t="n"/>
      <c r="AO645" s="1392" t="n"/>
      <c r="AP645" s="1392" t="n"/>
      <c r="AQ645" s="1392" t="n"/>
      <c r="AR645" s="1392" t="n"/>
      <c r="AS645" s="1422" t="n"/>
      <c r="AT645" s="1392" t="n"/>
      <c r="AU645" s="1392" t="n"/>
      <c r="AV645" s="1392" t="n"/>
      <c r="AW645" s="1392" t="n"/>
      <c r="AX645" s="1392" t="n"/>
      <c r="AY645" s="1392" t="n"/>
      <c r="AZ645" s="1392" t="n"/>
      <c r="BA645" s="1392" t="n"/>
      <c r="BB645" s="1422" t="n"/>
      <c r="BC645" s="1392" t="n"/>
      <c r="BD645" s="1392" t="n"/>
      <c r="BE645" s="1392" t="n"/>
      <c r="BF645" s="1392" t="n"/>
      <c r="BG645" s="1392" t="n"/>
      <c r="BH645" s="1392" t="n"/>
      <c r="BI645" s="1392" t="n"/>
      <c r="BJ645" s="1392" t="n"/>
      <c r="BK645" s="1392" t="n"/>
      <c r="BL645" s="1392" t="n"/>
      <c r="BM645" s="1392" t="n"/>
      <c r="BN645" s="1392" t="n"/>
      <c r="BO645" s="1392" t="n"/>
      <c r="BP645" s="1392" t="n"/>
      <c r="BQ645" s="1392" t="n"/>
      <c r="BR645" s="1392" t="n"/>
      <c r="BS645" s="1392" t="n"/>
      <c r="BT645" s="1392" t="n"/>
      <c r="BU645" s="1416" t="n"/>
      <c r="BV645" s="1392" t="n"/>
      <c r="BW645" s="1392" t="n"/>
      <c r="BX645" s="1392" t="n"/>
      <c r="BY645" s="1392" t="n"/>
      <c r="BZ645" s="1416" t="n"/>
      <c r="CA645" s="1392" t="n"/>
      <c r="CB645" s="1392" t="n"/>
      <c r="CC645" s="1392" t="n"/>
      <c r="CD645" s="1392" t="n"/>
      <c r="CE645" s="1392" t="n"/>
      <c r="CF645" s="1392" t="n"/>
      <c r="CG645" s="1392" t="n"/>
      <c r="CH645" s="1392" t="n"/>
      <c r="CI645" s="1392" t="n"/>
      <c r="CJ645" s="1392" t="n"/>
      <c r="CK645" s="1392" t="n"/>
      <c r="CL645" s="1392" t="n"/>
    </row>
    <row r="646">
      <c r="A646" s="5" t="inlineStr">
        <is>
          <t>.</t>
        </is>
      </c>
      <c r="B646" s="5" t="inlineStr">
        <is>
          <t>.</t>
        </is>
      </c>
      <c r="C646" s="1378">
        <f>IF(raw[[#This Row],[city]]="","-",IF(raw[[#This Row],[city]]="TODAY","-",C645+1))</f>
        <v/>
      </c>
      <c r="D646" s="1393" t="inlineStr">
        <is>
          <t>SP</t>
        </is>
      </c>
      <c r="E646" s="1394" t="n">
        <v>36927</v>
      </c>
      <c r="F646" s="1394" t="n">
        <v>36929</v>
      </c>
      <c r="G646" s="1393" t="n">
        <v>1</v>
      </c>
      <c r="H646" s="1393" t="inlineStr">
        <is>
          <t>Joaquim Eugenio</t>
        </is>
      </c>
      <c r="I646" s="1393" t="inlineStr">
        <is>
          <t>-</t>
        </is>
      </c>
      <c r="J646" s="1393" t="inlineStr">
        <is>
          <t>-</t>
        </is>
      </c>
      <c r="K646" s="1395">
        <f>IF(raw[[#This Row],[city]]&lt;&gt;"",_xlfn.XLOOKUP($D646,ccc[city],ccc[prov],"-"),"-")</f>
        <v/>
      </c>
      <c r="L646" s="1395">
        <f>IF(raw[[#This Row],[city]]&lt;&gt;"",_xlfn.XLOOKUP($D646,ccc[city],ccc[ctry],"-"),"-")</f>
        <v/>
      </c>
      <c r="M646" s="1395">
        <f>IF(raw[[#This Row],[city]]&lt;&gt;"",_xlfn.XLOOKUP($D646,ccc[city],ccc[cont],"-"),"-")</f>
        <v/>
      </c>
      <c r="N646" s="1396">
        <f>IF(raw[[#This Row],[city]]="","-",IF(raw[[#This Row],[cont]]="B",raw[[#This Row],[cont]],"W"))</f>
        <v/>
      </c>
      <c r="O646" s="1397">
        <f>IF(raw[[#This Row],[out]]=0,0,IF(raw[[#This Row],[out]]=raw[[#This Row],[in]],0.01,raw[[#This Row],[out]]-raw[[#This Row],[in]]))</f>
        <v/>
      </c>
      <c r="P646" s="1397">
        <f>IF(raw[[#This Row],[in]]=0,0,MONTH(raw[[#This Row],[in]]))</f>
        <v/>
      </c>
      <c r="Q646" s="1397">
        <f>IF(raw[[#This Row],[in]]=0,0,YEAR(raw[[#This Row],[in]]))</f>
        <v/>
      </c>
      <c r="R646" s="1397">
        <f>INT(raw[[#This Row],[yr]]/10)*10</f>
        <v/>
      </c>
      <c r="S646" s="1395">
        <f>IF(raw[[#This Row],[city]]="","-",IF(raw[[#This Row],[city]]&lt;&gt;_xlfn.XLOOKUP(raw[[#This Row],[home]],homes[home],homes[city],"-"),1,0))</f>
        <v/>
      </c>
      <c r="T646" s="1398" t="inlineStr">
        <is>
          <t>.</t>
        </is>
      </c>
      <c r="U646" s="1399">
        <f>IF(raw[[#This Row],[wb]]="w",raw[[#This Row],[stay]]+U645,U645)</f>
        <v/>
      </c>
      <c r="V646" s="1400">
        <f>IF(raw[[#This Row],[out]]=0,V645,(raw[[#This Row],[out]]-E$5))</f>
        <v/>
      </c>
      <c r="W646" s="1401">
        <f>U646/V646</f>
        <v/>
      </c>
      <c r="X646" s="1378" t="inlineStr">
        <is>
          <t>.</t>
        </is>
      </c>
      <c r="Y646" s="1402">
        <f/>
        <v/>
      </c>
      <c r="Z646" s="1403">
        <f/>
        <v/>
      </c>
      <c r="AA646" s="1403">
        <f/>
        <v/>
      </c>
      <c r="AB646" s="1400">
        <f t="array" ref="AB646">_xlfn.LET(_xlpm.S,_xlfn.ANCHORARRAY($Y$4),_xlpm.r,ROWS(stayCity[[#Headers],[city]]:stayCity[[#This Row],[city]])-1,IF(_xlpm.r&lt;=ROWS(_xlpm.S),INDEX(_xlpm.S,_xlpm.r,1),""))</f>
        <v/>
      </c>
      <c r="AC646" s="1405">
        <f t="array" ref="AC646">_xlfn.LET(_xlpm.S,_xlfn.ANCHORARRAY($Y$4),_xlpm.r,ROWS(stayCity[[#Headers],[city]]:stayCity[[#This Row],[city]])-1,IF(_xlpm.r&lt;=ROWS(_xlpm.S),INDEX(_xlpm.S,_xlpm.r,2),""))</f>
        <v/>
      </c>
      <c r="AD646" s="1405">
        <f t="array" ref="AD646">_xlfn.LET(_xlpm.S,_xlfn.ANCHORARRAY($Y$4),_xlpm.r,ROWS(stayCity[[#Headers],[city]]:stayCity[[#This Row],[city]])-1,IF(_xlpm.r&lt;=ROWS(_xlpm.S),INDEX(_xlpm.S,_xlpm.r,3),""))</f>
        <v/>
      </c>
      <c r="AE646" s="1400">
        <f>IF(stayCity[[#This Row],[out]]&lt;&gt;"",stayCity[[#This Row],[out]]-stayCity[[#This Row],[in]],"-")</f>
        <v/>
      </c>
      <c r="AF646" s="1406">
        <f>IF(Y646="","-",YEAR(stayCity[[#This Row],[in]]))</f>
        <v/>
      </c>
      <c r="AG646" s="1392" t="n"/>
      <c r="AH646" s="1392" t="n"/>
      <c r="AI646" s="1392" t="n"/>
      <c r="AJ646" s="1392" t="n"/>
      <c r="AK646" s="1392" t="n"/>
      <c r="AL646" s="1392" t="n"/>
      <c r="AM646" s="1392" t="n"/>
      <c r="AN646" s="1392" t="n"/>
      <c r="AO646" s="1392" t="n"/>
      <c r="AP646" s="1392" t="n"/>
      <c r="AQ646" s="1392" t="n"/>
      <c r="AR646" s="1392" t="n"/>
      <c r="AS646" s="1422" t="n"/>
      <c r="AT646" s="1392" t="n"/>
      <c r="AU646" s="1392" t="n"/>
      <c r="AV646" s="1392" t="n"/>
      <c r="AW646" s="1392" t="n"/>
      <c r="AX646" s="1392" t="n"/>
      <c r="AY646" s="1392" t="n"/>
      <c r="AZ646" s="1392" t="n"/>
      <c r="BA646" s="1392" t="n"/>
      <c r="BB646" s="1422" t="n"/>
      <c r="BC646" s="1392" t="n"/>
      <c r="BD646" s="1392" t="n"/>
      <c r="BE646" s="1392" t="n"/>
      <c r="BF646" s="1392" t="n"/>
      <c r="BG646" s="1392" t="n"/>
      <c r="BH646" s="1392" t="n"/>
      <c r="BI646" s="1392" t="n"/>
      <c r="BJ646" s="1392" t="n"/>
      <c r="BK646" s="1392" t="n"/>
      <c r="BL646" s="1392" t="n"/>
      <c r="BM646" s="1392" t="n"/>
      <c r="BN646" s="1392" t="n"/>
      <c r="BO646" s="1392" t="n"/>
      <c r="BP646" s="1392" t="n"/>
      <c r="BQ646" s="1392" t="n"/>
      <c r="BR646" s="1392" t="n"/>
      <c r="BS646" s="1392" t="n"/>
      <c r="BT646" s="1392" t="n"/>
      <c r="BU646" s="1416" t="n"/>
      <c r="BV646" s="1392" t="n"/>
      <c r="BW646" s="1392" t="n"/>
      <c r="BX646" s="1392" t="n"/>
      <c r="BY646" s="1392" t="n"/>
      <c r="BZ646" s="1416" t="n"/>
      <c r="CA646" s="1392" t="n"/>
      <c r="CB646" s="1392" t="n"/>
      <c r="CC646" s="1392" t="n"/>
      <c r="CD646" s="1392" t="n"/>
      <c r="CE646" s="1392" t="n"/>
      <c r="CF646" s="1392" t="n"/>
      <c r="CG646" s="1392" t="n"/>
      <c r="CH646" s="1392" t="n"/>
      <c r="CI646" s="1392" t="n"/>
      <c r="CJ646" s="1392" t="n"/>
      <c r="CK646" s="1392" t="n"/>
      <c r="CL646" s="1392" t="n"/>
    </row>
    <row r="647">
      <c r="A647" s="5" t="inlineStr">
        <is>
          <t>.</t>
        </is>
      </c>
      <c r="B647" s="5" t="inlineStr">
        <is>
          <t>.</t>
        </is>
      </c>
      <c r="C647" s="1378">
        <f>IF(raw[[#This Row],[city]]="","-",IF(raw[[#This Row],[city]]="TODAY","-",C646+1))</f>
        <v/>
      </c>
      <c r="D647" s="1393" t="inlineStr">
        <is>
          <t>SSA</t>
        </is>
      </c>
      <c r="E647" s="1394" t="n">
        <v>36929</v>
      </c>
      <c r="F647" s="1394" t="n">
        <v>36951</v>
      </c>
      <c r="G647" s="1393" t="inlineStr">
        <is>
          <t>-</t>
        </is>
      </c>
      <c r="H647" s="1393" t="inlineStr">
        <is>
          <t>Joaquim Eugenio</t>
        </is>
      </c>
      <c r="I647" s="1393" t="inlineStr">
        <is>
          <t>Ondina</t>
        </is>
      </c>
      <c r="J647" s="1393" t="inlineStr">
        <is>
          <t>-</t>
        </is>
      </c>
      <c r="K647" s="1395">
        <f>IF(raw[[#This Row],[city]]&lt;&gt;"",_xlfn.XLOOKUP($D647,ccc[city],ccc[prov],"-"),"-")</f>
        <v/>
      </c>
      <c r="L647" s="1395">
        <f>IF(raw[[#This Row],[city]]&lt;&gt;"",_xlfn.XLOOKUP($D647,ccc[city],ccc[ctry],"-"),"-")</f>
        <v/>
      </c>
      <c r="M647" s="1395">
        <f>IF(raw[[#This Row],[city]]&lt;&gt;"",_xlfn.XLOOKUP($D647,ccc[city],ccc[cont],"-"),"-")</f>
        <v/>
      </c>
      <c r="N647" s="1396">
        <f>IF(raw[[#This Row],[city]]="","-",IF(raw[[#This Row],[cont]]="B",raw[[#This Row],[cont]],"W"))</f>
        <v/>
      </c>
      <c r="O647" s="1397">
        <f>IF(raw[[#This Row],[out]]=0,0,IF(raw[[#This Row],[out]]=raw[[#This Row],[in]],0.01,raw[[#This Row],[out]]-raw[[#This Row],[in]]))</f>
        <v/>
      </c>
      <c r="P647" s="1397">
        <f>IF(raw[[#This Row],[in]]=0,0,MONTH(raw[[#This Row],[in]]))</f>
        <v/>
      </c>
      <c r="Q647" s="1397">
        <f>IF(raw[[#This Row],[in]]=0,0,YEAR(raw[[#This Row],[in]]))</f>
        <v/>
      </c>
      <c r="R647" s="1397">
        <f>INT(raw[[#This Row],[yr]]/10)*10</f>
        <v/>
      </c>
      <c r="S647" s="1395">
        <f>IF(raw[[#This Row],[city]]="","-",IF(raw[[#This Row],[city]]&lt;&gt;_xlfn.XLOOKUP(raw[[#This Row],[home]],homes[home],homes[city],"-"),1,0))</f>
        <v/>
      </c>
      <c r="T647" s="1398" t="inlineStr">
        <is>
          <t>.</t>
        </is>
      </c>
      <c r="U647" s="1399">
        <f>IF(raw[[#This Row],[wb]]="w",raw[[#This Row],[stay]]+U646,U646)</f>
        <v/>
      </c>
      <c r="V647" s="1400">
        <f>IF(raw[[#This Row],[out]]=0,V646,(raw[[#This Row],[out]]-E$5))</f>
        <v/>
      </c>
      <c r="W647" s="1401">
        <f>U647/V647</f>
        <v/>
      </c>
      <c r="X647" s="1378" t="inlineStr">
        <is>
          <t>.</t>
        </is>
      </c>
      <c r="Y647" s="1402">
        <f/>
        <v/>
      </c>
      <c r="Z647" s="1403">
        <f/>
        <v/>
      </c>
      <c r="AA647" s="1403">
        <f/>
        <v/>
      </c>
      <c r="AB647" s="1400">
        <f t="array" ref="AB647">_xlfn.LET(_xlpm.S,_xlfn.ANCHORARRAY($Y$4),_xlpm.r,ROWS(stayCity[[#Headers],[city]]:stayCity[[#This Row],[city]])-1,IF(_xlpm.r&lt;=ROWS(_xlpm.S),INDEX(_xlpm.S,_xlpm.r,1),""))</f>
        <v/>
      </c>
      <c r="AC647" s="1405">
        <f t="array" ref="AC647">_xlfn.LET(_xlpm.S,_xlfn.ANCHORARRAY($Y$4),_xlpm.r,ROWS(stayCity[[#Headers],[city]]:stayCity[[#This Row],[city]])-1,IF(_xlpm.r&lt;=ROWS(_xlpm.S),INDEX(_xlpm.S,_xlpm.r,2),""))</f>
        <v/>
      </c>
      <c r="AD647" s="1405">
        <f t="array" ref="AD647">_xlfn.LET(_xlpm.S,_xlfn.ANCHORARRAY($Y$4),_xlpm.r,ROWS(stayCity[[#Headers],[city]]:stayCity[[#This Row],[city]])-1,IF(_xlpm.r&lt;=ROWS(_xlpm.S),INDEX(_xlpm.S,_xlpm.r,3),""))</f>
        <v/>
      </c>
      <c r="AE647" s="1400">
        <f>IF(stayCity[[#This Row],[out]]&lt;&gt;"",stayCity[[#This Row],[out]]-stayCity[[#This Row],[in]],"-")</f>
        <v/>
      </c>
      <c r="AF647" s="1406">
        <f>IF(Y647="","-",YEAR(stayCity[[#This Row],[in]]))</f>
        <v/>
      </c>
      <c r="AG647" s="1392" t="n"/>
      <c r="AH647" s="1392" t="n"/>
      <c r="AI647" s="1392" t="n"/>
      <c r="AJ647" s="1392" t="n"/>
      <c r="AK647" s="1392" t="n"/>
      <c r="AL647" s="1392" t="n"/>
      <c r="AM647" s="1392" t="n"/>
      <c r="AN647" s="1392" t="n"/>
      <c r="AO647" s="1392" t="n"/>
      <c r="AP647" s="1392" t="n"/>
      <c r="AQ647" s="1392" t="n"/>
      <c r="AR647" s="1392" t="n"/>
      <c r="AS647" s="1422" t="n"/>
      <c r="AT647" s="1392" t="n"/>
      <c r="AU647" s="1392" t="n"/>
      <c r="AV647" s="1392" t="n"/>
      <c r="AW647" s="1392" t="n"/>
      <c r="AX647" s="1392" t="n"/>
      <c r="AY647" s="1392" t="n"/>
      <c r="AZ647" s="1392" t="n"/>
      <c r="BA647" s="1392" t="n"/>
      <c r="BB647" s="1422" t="n"/>
      <c r="BC647" s="1392" t="n"/>
      <c r="BD647" s="1392" t="n"/>
      <c r="BE647" s="1392" t="n"/>
      <c r="BF647" s="1392" t="n"/>
      <c r="BG647" s="1392" t="n"/>
      <c r="BH647" s="1392" t="n"/>
      <c r="BI647" s="1392" t="n"/>
      <c r="BJ647" s="1392" t="n"/>
      <c r="BK647" s="1392" t="n"/>
      <c r="BL647" s="1392" t="n"/>
      <c r="BM647" s="1392" t="n"/>
      <c r="BN647" s="1392" t="n"/>
      <c r="BO647" s="1392" t="n"/>
      <c r="BP647" s="1392" t="n"/>
      <c r="BQ647" s="1392" t="n"/>
      <c r="BR647" s="1392" t="n"/>
      <c r="BS647" s="1392" t="n"/>
      <c r="BT647" s="1392" t="n"/>
      <c r="BU647" s="1416" t="n"/>
      <c r="BV647" s="1392" t="n"/>
      <c r="BW647" s="1392" t="n"/>
      <c r="BX647" s="1392" t="n"/>
      <c r="BY647" s="1392" t="n"/>
      <c r="BZ647" s="1416" t="n"/>
      <c r="CA647" s="1392" t="n"/>
      <c r="CB647" s="1392" t="n"/>
      <c r="CC647" s="1392" t="n"/>
      <c r="CD647" s="1392" t="n"/>
      <c r="CE647" s="1392" t="n"/>
      <c r="CF647" s="1392" t="n"/>
      <c r="CG647" s="1392" t="n"/>
      <c r="CH647" s="1392" t="n"/>
      <c r="CI647" s="1392" t="n"/>
      <c r="CJ647" s="1392" t="n"/>
      <c r="CK647" s="1392" t="n"/>
      <c r="CL647" s="1392" t="n"/>
    </row>
    <row r="648">
      <c r="A648" s="5" t="inlineStr">
        <is>
          <t>.</t>
        </is>
      </c>
      <c r="B648" s="5" t="inlineStr">
        <is>
          <t>.</t>
        </is>
      </c>
      <c r="C648" s="1378">
        <f>IF(raw[[#This Row],[city]]="","-",IF(raw[[#This Row],[city]]="TODAY","-",C647+1))</f>
        <v/>
      </c>
      <c r="D648" s="1393" t="inlineStr">
        <is>
          <t>SSA</t>
        </is>
      </c>
      <c r="E648" s="1394" t="n">
        <v>36951</v>
      </c>
      <c r="F648" s="1394" t="n">
        <v>36956</v>
      </c>
      <c r="G648" s="1393" t="n">
        <v>1</v>
      </c>
      <c r="H648" s="1393" t="inlineStr">
        <is>
          <t>Joaquim Eugenio</t>
        </is>
      </c>
      <c r="I648" s="1393" t="inlineStr">
        <is>
          <t>Ondina</t>
        </is>
      </c>
      <c r="J648" s="1393" t="inlineStr">
        <is>
          <t>-</t>
        </is>
      </c>
      <c r="K648" s="1395">
        <f>IF(raw[[#This Row],[city]]&lt;&gt;"",_xlfn.XLOOKUP($D648,ccc[city],ccc[prov],"-"),"-")</f>
        <v/>
      </c>
      <c r="L648" s="1395">
        <f>IF(raw[[#This Row],[city]]&lt;&gt;"",_xlfn.XLOOKUP($D648,ccc[city],ccc[ctry],"-"),"-")</f>
        <v/>
      </c>
      <c r="M648" s="1395">
        <f>IF(raw[[#This Row],[city]]&lt;&gt;"",_xlfn.XLOOKUP($D648,ccc[city],ccc[cont],"-"),"-")</f>
        <v/>
      </c>
      <c r="N648" s="1396">
        <f>IF(raw[[#This Row],[city]]="","-",IF(raw[[#This Row],[cont]]="B",raw[[#This Row],[cont]],"W"))</f>
        <v/>
      </c>
      <c r="O648" s="1397">
        <f>IF(raw[[#This Row],[out]]=0,0,IF(raw[[#This Row],[out]]=raw[[#This Row],[in]],0.01,raw[[#This Row],[out]]-raw[[#This Row],[in]]))</f>
        <v/>
      </c>
      <c r="P648" s="1397">
        <f>IF(raw[[#This Row],[in]]=0,0,MONTH(raw[[#This Row],[in]]))</f>
        <v/>
      </c>
      <c r="Q648" s="1397">
        <f>IF(raw[[#This Row],[in]]=0,0,YEAR(raw[[#This Row],[in]]))</f>
        <v/>
      </c>
      <c r="R648" s="1397">
        <f>INT(raw[[#This Row],[yr]]/10)*10</f>
        <v/>
      </c>
      <c r="S648" s="1395">
        <f>IF(raw[[#This Row],[city]]="","-",IF(raw[[#This Row],[city]]&lt;&gt;_xlfn.XLOOKUP(raw[[#This Row],[home]],homes[home],homes[city],"-"),1,0))</f>
        <v/>
      </c>
      <c r="T648" s="1398" t="inlineStr">
        <is>
          <t>.</t>
        </is>
      </c>
      <c r="U648" s="1399">
        <f>IF(raw[[#This Row],[wb]]="w",raw[[#This Row],[stay]]+U647,U647)</f>
        <v/>
      </c>
      <c r="V648" s="1400">
        <f>IF(raw[[#This Row],[out]]=0,V647,(raw[[#This Row],[out]]-E$5))</f>
        <v/>
      </c>
      <c r="W648" s="1401">
        <f>U648/V648</f>
        <v/>
      </c>
      <c r="X648" s="1378" t="inlineStr">
        <is>
          <t>.</t>
        </is>
      </c>
      <c r="Y648" s="1402">
        <f/>
        <v/>
      </c>
      <c r="Z648" s="1403">
        <f/>
        <v/>
      </c>
      <c r="AA648" s="1403">
        <f/>
        <v/>
      </c>
      <c r="AB648" s="1400">
        <f t="array" ref="AB648">_xlfn.LET(_xlpm.S,_xlfn.ANCHORARRAY($Y$4),_xlpm.r,ROWS(stayCity[[#Headers],[city]]:stayCity[[#This Row],[city]])-1,IF(_xlpm.r&lt;=ROWS(_xlpm.S),INDEX(_xlpm.S,_xlpm.r,1),""))</f>
        <v/>
      </c>
      <c r="AC648" s="1405">
        <f t="array" ref="AC648">_xlfn.LET(_xlpm.S,_xlfn.ANCHORARRAY($Y$4),_xlpm.r,ROWS(stayCity[[#Headers],[city]]:stayCity[[#This Row],[city]])-1,IF(_xlpm.r&lt;=ROWS(_xlpm.S),INDEX(_xlpm.S,_xlpm.r,2),""))</f>
        <v/>
      </c>
      <c r="AD648" s="1405">
        <f t="array" ref="AD648">_xlfn.LET(_xlpm.S,_xlfn.ANCHORARRAY($Y$4),_xlpm.r,ROWS(stayCity[[#Headers],[city]]:stayCity[[#This Row],[city]])-1,IF(_xlpm.r&lt;=ROWS(_xlpm.S),INDEX(_xlpm.S,_xlpm.r,3),""))</f>
        <v/>
      </c>
      <c r="AE648" s="1400">
        <f>IF(stayCity[[#This Row],[out]]&lt;&gt;"",stayCity[[#This Row],[out]]-stayCity[[#This Row],[in]],"-")</f>
        <v/>
      </c>
      <c r="AF648" s="1406">
        <f>IF(Y648="","-",YEAR(stayCity[[#This Row],[in]]))</f>
        <v/>
      </c>
      <c r="AG648" s="1392" t="n"/>
      <c r="AH648" s="1392" t="n"/>
      <c r="AI648" s="1392" t="n"/>
      <c r="AJ648" s="1392" t="n"/>
      <c r="AK648" s="1392" t="n"/>
      <c r="AL648" s="1392" t="n"/>
      <c r="AM648" s="1392" t="n"/>
      <c r="AN648" s="1392" t="n"/>
      <c r="AO648" s="1392" t="n"/>
      <c r="AP648" s="1392" t="n"/>
      <c r="AQ648" s="1392" t="n"/>
      <c r="AR648" s="1392" t="n"/>
      <c r="AS648" s="1422" t="n"/>
      <c r="AT648" s="1392" t="n"/>
      <c r="AU648" s="1392" t="n"/>
      <c r="AV648" s="1392" t="n"/>
      <c r="AW648" s="1392" t="n"/>
      <c r="AX648" s="1392" t="n"/>
      <c r="AY648" s="1392" t="n"/>
      <c r="AZ648" s="1392" t="n"/>
      <c r="BA648" s="1392" t="n"/>
      <c r="BB648" s="1422" t="n"/>
      <c r="BC648" s="1392" t="n"/>
      <c r="BD648" s="1392" t="n"/>
      <c r="BE648" s="1392" t="n"/>
      <c r="BF648" s="1392" t="n"/>
      <c r="BG648" s="1392" t="n"/>
      <c r="BH648" s="1392" t="n"/>
      <c r="BI648" s="1392" t="n"/>
      <c r="BJ648" s="1392" t="n"/>
      <c r="BK648" s="1392" t="n"/>
      <c r="BL648" s="1392" t="n"/>
      <c r="BM648" s="1392" t="n"/>
      <c r="BN648" s="1392" t="n"/>
      <c r="BO648" s="1392" t="n"/>
      <c r="BP648" s="1392" t="n"/>
      <c r="BQ648" s="1392" t="n"/>
      <c r="BR648" s="1392" t="n"/>
      <c r="BS648" s="1392" t="n"/>
      <c r="BT648" s="1392" t="n"/>
      <c r="BU648" s="1416" t="n"/>
      <c r="BV648" s="1392" t="n"/>
      <c r="BW648" s="1392" t="n"/>
      <c r="BX648" s="1392" t="n"/>
      <c r="BY648" s="1392" t="n"/>
      <c r="BZ648" s="1416" t="n"/>
      <c r="CA648" s="1392" t="n"/>
      <c r="CB648" s="1392" t="n"/>
      <c r="CC648" s="1392" t="n"/>
      <c r="CD648" s="1392" t="n"/>
      <c r="CE648" s="1392" t="n"/>
      <c r="CF648" s="1392" t="n"/>
      <c r="CG648" s="1392" t="n"/>
      <c r="CH648" s="1392" t="n"/>
      <c r="CI648" s="1392" t="n"/>
      <c r="CJ648" s="1392" t="n"/>
      <c r="CK648" s="1392" t="n"/>
      <c r="CL648" s="1392" t="n"/>
    </row>
    <row r="649">
      <c r="A649" s="5" t="inlineStr">
        <is>
          <t>.</t>
        </is>
      </c>
      <c r="B649" s="5" t="inlineStr">
        <is>
          <t>.</t>
        </is>
      </c>
      <c r="C649" s="1378">
        <f>IF(raw[[#This Row],[city]]="","-",IF(raw[[#This Row],[city]]="TODAY","-",C648+1))</f>
        <v/>
      </c>
      <c r="D649" s="1393" t="inlineStr">
        <is>
          <t>SP</t>
        </is>
      </c>
      <c r="E649" s="1394" t="n">
        <v>36956</v>
      </c>
      <c r="F649" s="1394" t="n">
        <v>36982</v>
      </c>
      <c r="G649" s="1393" t="inlineStr">
        <is>
          <t>-</t>
        </is>
      </c>
      <c r="H649" s="1393" t="inlineStr">
        <is>
          <t>Joaquim Eugenio</t>
        </is>
      </c>
      <c r="I649" s="1393" t="inlineStr">
        <is>
          <t>-</t>
        </is>
      </c>
      <c r="J649" s="1393" t="inlineStr">
        <is>
          <t>-</t>
        </is>
      </c>
      <c r="K649" s="1395">
        <f>IF(raw[[#This Row],[city]]&lt;&gt;"",_xlfn.XLOOKUP($D649,ccc[city],ccc[prov],"-"),"-")</f>
        <v/>
      </c>
      <c r="L649" s="1395">
        <f>IF(raw[[#This Row],[city]]&lt;&gt;"",_xlfn.XLOOKUP($D649,ccc[city],ccc[ctry],"-"),"-")</f>
        <v/>
      </c>
      <c r="M649" s="1395">
        <f>IF(raw[[#This Row],[city]]&lt;&gt;"",_xlfn.XLOOKUP($D649,ccc[city],ccc[cont],"-"),"-")</f>
        <v/>
      </c>
      <c r="N649" s="1396">
        <f>IF(raw[[#This Row],[city]]="","-",IF(raw[[#This Row],[cont]]="B",raw[[#This Row],[cont]],"W"))</f>
        <v/>
      </c>
      <c r="O649" s="1397">
        <f>IF(raw[[#This Row],[out]]=0,0,IF(raw[[#This Row],[out]]=raw[[#This Row],[in]],0.01,raw[[#This Row],[out]]-raw[[#This Row],[in]]))</f>
        <v/>
      </c>
      <c r="P649" s="1397">
        <f>IF(raw[[#This Row],[in]]=0,0,MONTH(raw[[#This Row],[in]]))</f>
        <v/>
      </c>
      <c r="Q649" s="1397">
        <f>IF(raw[[#This Row],[in]]=0,0,YEAR(raw[[#This Row],[in]]))</f>
        <v/>
      </c>
      <c r="R649" s="1397">
        <f>INT(raw[[#This Row],[yr]]/10)*10</f>
        <v/>
      </c>
      <c r="S649" s="1395">
        <f>IF(raw[[#This Row],[city]]="","-",IF(raw[[#This Row],[city]]&lt;&gt;_xlfn.XLOOKUP(raw[[#This Row],[home]],homes[home],homes[city],"-"),1,0))</f>
        <v/>
      </c>
      <c r="T649" s="1398" t="inlineStr">
        <is>
          <t>.</t>
        </is>
      </c>
      <c r="U649" s="1399">
        <f>IF(raw[[#This Row],[wb]]="w",raw[[#This Row],[stay]]+U648,U648)</f>
        <v/>
      </c>
      <c r="V649" s="1400">
        <f>IF(raw[[#This Row],[out]]=0,V648,(raw[[#This Row],[out]]-E$5))</f>
        <v/>
      </c>
      <c r="W649" s="1401">
        <f>U649/V649</f>
        <v/>
      </c>
      <c r="X649" s="1378" t="inlineStr">
        <is>
          <t>.</t>
        </is>
      </c>
      <c r="Y649" s="1402">
        <f/>
        <v/>
      </c>
      <c r="Z649" s="1403">
        <f/>
        <v/>
      </c>
      <c r="AA649" s="1403">
        <f/>
        <v/>
      </c>
      <c r="AB649" s="1400">
        <f t="array" ref="AB649">_xlfn.LET(_xlpm.S,_xlfn.ANCHORARRAY($Y$4),_xlpm.r,ROWS(stayCity[[#Headers],[city]]:stayCity[[#This Row],[city]])-1,IF(_xlpm.r&lt;=ROWS(_xlpm.S),INDEX(_xlpm.S,_xlpm.r,1),""))</f>
        <v/>
      </c>
      <c r="AC649" s="1405">
        <f t="array" ref="AC649">_xlfn.LET(_xlpm.S,_xlfn.ANCHORARRAY($Y$4),_xlpm.r,ROWS(stayCity[[#Headers],[city]]:stayCity[[#This Row],[city]])-1,IF(_xlpm.r&lt;=ROWS(_xlpm.S),INDEX(_xlpm.S,_xlpm.r,2),""))</f>
        <v/>
      </c>
      <c r="AD649" s="1405">
        <f t="array" ref="AD649">_xlfn.LET(_xlpm.S,_xlfn.ANCHORARRAY($Y$4),_xlpm.r,ROWS(stayCity[[#Headers],[city]]:stayCity[[#This Row],[city]])-1,IF(_xlpm.r&lt;=ROWS(_xlpm.S),INDEX(_xlpm.S,_xlpm.r,3),""))</f>
        <v/>
      </c>
      <c r="AE649" s="1400">
        <f>IF(stayCity[[#This Row],[out]]&lt;&gt;"",stayCity[[#This Row],[out]]-stayCity[[#This Row],[in]],"-")</f>
        <v/>
      </c>
      <c r="AF649" s="1406">
        <f>IF(Y649="","-",YEAR(stayCity[[#This Row],[in]]))</f>
        <v/>
      </c>
      <c r="AG649" s="1392" t="n"/>
      <c r="AH649" s="1392" t="n"/>
      <c r="AI649" s="1392" t="n"/>
      <c r="AJ649" s="1392" t="n"/>
      <c r="AK649" s="1392" t="n"/>
      <c r="AL649" s="1392" t="n"/>
      <c r="AM649" s="1392" t="n"/>
      <c r="AN649" s="1392" t="n"/>
      <c r="AO649" s="1392" t="n"/>
      <c r="AP649" s="1392" t="n"/>
      <c r="AQ649" s="1392" t="n"/>
      <c r="AR649" s="1392" t="n"/>
      <c r="AS649" s="1422" t="n"/>
      <c r="AT649" s="1392" t="n"/>
      <c r="AU649" s="1392" t="n"/>
      <c r="AV649" s="1392" t="n"/>
      <c r="AW649" s="1392" t="n"/>
      <c r="AX649" s="1392" t="n"/>
      <c r="AY649" s="1392" t="n"/>
      <c r="AZ649" s="1392" t="n"/>
      <c r="BA649" s="1392" t="n"/>
      <c r="BB649" s="1422" t="n"/>
      <c r="BC649" s="1392" t="n"/>
      <c r="BD649" s="1392" t="n"/>
      <c r="BE649" s="1392" t="n"/>
      <c r="BF649" s="1392" t="n"/>
      <c r="BG649" s="1392" t="n"/>
      <c r="BH649" s="1392" t="n"/>
      <c r="BI649" s="1392" t="n"/>
      <c r="BJ649" s="1392" t="n"/>
      <c r="BK649" s="1392" t="n"/>
      <c r="BL649" s="1392" t="n"/>
      <c r="BM649" s="1392" t="n"/>
      <c r="BN649" s="1392" t="n"/>
      <c r="BO649" s="1392" t="n"/>
      <c r="BP649" s="1392" t="n"/>
      <c r="BQ649" s="1392" t="n"/>
      <c r="BR649" s="1392" t="n"/>
      <c r="BS649" s="1392" t="n"/>
      <c r="BT649" s="1392" t="n"/>
      <c r="BU649" s="1416" t="n"/>
      <c r="BV649" s="1392" t="n"/>
      <c r="BW649" s="1392" t="n"/>
      <c r="BX649" s="1392" t="n"/>
      <c r="BY649" s="1392" t="n"/>
      <c r="BZ649" s="1416" t="n"/>
      <c r="CA649" s="1392" t="n"/>
      <c r="CB649" s="1392" t="n"/>
      <c r="CC649" s="1392" t="n"/>
      <c r="CD649" s="1392" t="n"/>
      <c r="CE649" s="1392" t="n"/>
      <c r="CF649" s="1392" t="n"/>
      <c r="CG649" s="1392" t="n"/>
      <c r="CH649" s="1392" t="n"/>
      <c r="CI649" s="1392" t="n"/>
      <c r="CJ649" s="1392" t="n"/>
      <c r="CK649" s="1392" t="n"/>
      <c r="CL649" s="1392" t="n"/>
    </row>
    <row r="650">
      <c r="A650" s="5" t="inlineStr">
        <is>
          <t>.</t>
        </is>
      </c>
      <c r="B650" s="5" t="inlineStr">
        <is>
          <t>.</t>
        </is>
      </c>
      <c r="C650" s="1378">
        <f>IF(raw[[#This Row],[city]]="","-",IF(raw[[#This Row],[city]]="TODAY","-",C649+1))</f>
        <v/>
      </c>
      <c r="D650" s="1393" t="inlineStr">
        <is>
          <t>SP</t>
        </is>
      </c>
      <c r="E650" s="1394" t="n">
        <v>36982</v>
      </c>
      <c r="F650" s="1394" t="n">
        <v>36988</v>
      </c>
      <c r="G650" s="1393" t="inlineStr">
        <is>
          <t>-</t>
        </is>
      </c>
      <c r="H650" s="1393" t="inlineStr">
        <is>
          <t>Joaquim Eugenio</t>
        </is>
      </c>
      <c r="I650" s="1393" t="inlineStr">
        <is>
          <t>-</t>
        </is>
      </c>
      <c r="J650" s="1393" t="inlineStr">
        <is>
          <t>-</t>
        </is>
      </c>
      <c r="K650" s="1395">
        <f>IF(raw[[#This Row],[city]]&lt;&gt;"",_xlfn.XLOOKUP($D650,ccc[city],ccc[prov],"-"),"-")</f>
        <v/>
      </c>
      <c r="L650" s="1395">
        <f>IF(raw[[#This Row],[city]]&lt;&gt;"",_xlfn.XLOOKUP($D650,ccc[city],ccc[ctry],"-"),"-")</f>
        <v/>
      </c>
      <c r="M650" s="1395">
        <f>IF(raw[[#This Row],[city]]&lt;&gt;"",_xlfn.XLOOKUP($D650,ccc[city],ccc[cont],"-"),"-")</f>
        <v/>
      </c>
      <c r="N650" s="1396">
        <f>IF(raw[[#This Row],[city]]="","-",IF(raw[[#This Row],[cont]]="B",raw[[#This Row],[cont]],"W"))</f>
        <v/>
      </c>
      <c r="O650" s="1397">
        <f>IF(raw[[#This Row],[out]]=0,0,IF(raw[[#This Row],[out]]=raw[[#This Row],[in]],0.01,raw[[#This Row],[out]]-raw[[#This Row],[in]]))</f>
        <v/>
      </c>
      <c r="P650" s="1397">
        <f>IF(raw[[#This Row],[in]]=0,0,MONTH(raw[[#This Row],[in]]))</f>
        <v/>
      </c>
      <c r="Q650" s="1397">
        <f>IF(raw[[#This Row],[in]]=0,0,YEAR(raw[[#This Row],[in]]))</f>
        <v/>
      </c>
      <c r="R650" s="1397">
        <f>INT(raw[[#This Row],[yr]]/10)*10</f>
        <v/>
      </c>
      <c r="S650" s="1395">
        <f>IF(raw[[#This Row],[city]]="","-",IF(raw[[#This Row],[city]]&lt;&gt;_xlfn.XLOOKUP(raw[[#This Row],[home]],homes[home],homes[city],"-"),1,0))</f>
        <v/>
      </c>
      <c r="T650" s="1398" t="inlineStr">
        <is>
          <t>.</t>
        </is>
      </c>
      <c r="U650" s="1399">
        <f>IF(raw[[#This Row],[wb]]="w",raw[[#This Row],[stay]]+U649,U649)</f>
        <v/>
      </c>
      <c r="V650" s="1400">
        <f>IF(raw[[#This Row],[out]]=0,V649,(raw[[#This Row],[out]]-E$5))</f>
        <v/>
      </c>
      <c r="W650" s="1401">
        <f>U650/V650</f>
        <v/>
      </c>
      <c r="X650" s="1378" t="inlineStr">
        <is>
          <t>.</t>
        </is>
      </c>
      <c r="Y650" s="1402">
        <f/>
        <v/>
      </c>
      <c r="Z650" s="1403">
        <f/>
        <v/>
      </c>
      <c r="AA650" s="1403">
        <f/>
        <v/>
      </c>
      <c r="AB650" s="1400">
        <f t="array" ref="AB650">_xlfn.LET(_xlpm.S,_xlfn.ANCHORARRAY($Y$4),_xlpm.r,ROWS(stayCity[[#Headers],[city]]:stayCity[[#This Row],[city]])-1,IF(_xlpm.r&lt;=ROWS(_xlpm.S),INDEX(_xlpm.S,_xlpm.r,1),""))</f>
        <v/>
      </c>
      <c r="AC650" s="1405">
        <f t="array" ref="AC650">_xlfn.LET(_xlpm.S,_xlfn.ANCHORARRAY($Y$4),_xlpm.r,ROWS(stayCity[[#Headers],[city]]:stayCity[[#This Row],[city]])-1,IF(_xlpm.r&lt;=ROWS(_xlpm.S),INDEX(_xlpm.S,_xlpm.r,2),""))</f>
        <v/>
      </c>
      <c r="AD650" s="1405">
        <f t="array" ref="AD650">_xlfn.LET(_xlpm.S,_xlfn.ANCHORARRAY($Y$4),_xlpm.r,ROWS(stayCity[[#Headers],[city]]:stayCity[[#This Row],[city]])-1,IF(_xlpm.r&lt;=ROWS(_xlpm.S),INDEX(_xlpm.S,_xlpm.r,3),""))</f>
        <v/>
      </c>
      <c r="AE650" s="1400">
        <f>IF(stayCity[[#This Row],[out]]&lt;&gt;"",stayCity[[#This Row],[out]]-stayCity[[#This Row],[in]],"-")</f>
        <v/>
      </c>
      <c r="AF650" s="1406">
        <f>IF(Y650="","-",YEAR(stayCity[[#This Row],[in]]))</f>
        <v/>
      </c>
      <c r="AG650" s="1392" t="n"/>
      <c r="AH650" s="1392" t="n"/>
      <c r="AI650" s="1392" t="n"/>
      <c r="AJ650" s="1392" t="n"/>
      <c r="AK650" s="1392" t="n"/>
      <c r="AL650" s="1392" t="n"/>
      <c r="AM650" s="1392" t="n"/>
      <c r="AN650" s="1392" t="n"/>
      <c r="AO650" s="1392" t="n"/>
      <c r="AP650" s="1392" t="n"/>
      <c r="AQ650" s="1392" t="n"/>
      <c r="AR650" s="1392" t="n"/>
      <c r="AS650" s="1422" t="n"/>
      <c r="AT650" s="1392" t="n"/>
      <c r="AU650" s="1392" t="n"/>
      <c r="AV650" s="1392" t="n"/>
      <c r="AW650" s="1392" t="n"/>
      <c r="AX650" s="1392" t="n"/>
      <c r="AY650" s="1392" t="n"/>
      <c r="AZ650" s="1392" t="n"/>
      <c r="BA650" s="1392" t="n"/>
      <c r="BB650" s="1422" t="n"/>
      <c r="BC650" s="1392" t="n"/>
      <c r="BD650" s="1392" t="n"/>
      <c r="BE650" s="1392" t="n"/>
      <c r="BF650" s="1392" t="n"/>
      <c r="BG650" s="1392" t="n"/>
      <c r="BH650" s="1392" t="n"/>
      <c r="BI650" s="1392" t="n"/>
      <c r="BJ650" s="1392" t="n"/>
      <c r="BK650" s="1392" t="n"/>
      <c r="BL650" s="1392" t="n"/>
      <c r="BM650" s="1392" t="n"/>
      <c r="BN650" s="1392" t="n"/>
      <c r="BO650" s="1392" t="n"/>
      <c r="BP650" s="1392" t="n"/>
      <c r="BQ650" s="1392" t="n"/>
      <c r="BR650" s="1392" t="n"/>
      <c r="BS650" s="1392" t="n"/>
      <c r="BT650" s="1392" t="n"/>
      <c r="BU650" s="1416" t="n"/>
      <c r="BV650" s="1392" t="n"/>
      <c r="BW650" s="1392" t="n"/>
      <c r="BX650" s="1392" t="n"/>
      <c r="BY650" s="1392" t="n"/>
      <c r="BZ650" s="1416" t="n"/>
      <c r="CA650" s="1392" t="n"/>
      <c r="CB650" s="1392" t="n"/>
      <c r="CC650" s="1392" t="n"/>
      <c r="CD650" s="1392" t="n"/>
      <c r="CE650" s="1392" t="n"/>
      <c r="CF650" s="1392" t="n"/>
      <c r="CG650" s="1392" t="n"/>
      <c r="CH650" s="1392" t="n"/>
      <c r="CI650" s="1392" t="n"/>
      <c r="CJ650" s="1392" t="n"/>
      <c r="CK650" s="1392" t="n"/>
      <c r="CL650" s="1392" t="n"/>
    </row>
    <row r="651">
      <c r="A651" s="5" t="inlineStr">
        <is>
          <t>.</t>
        </is>
      </c>
      <c r="B651" s="5" t="inlineStr">
        <is>
          <t>.</t>
        </is>
      </c>
      <c r="C651" s="1378">
        <f>IF(raw[[#This Row],[city]]="","-",IF(raw[[#This Row],[city]]="TODAY","-",C650+1))</f>
        <v/>
      </c>
      <c r="D651" s="1393" t="inlineStr">
        <is>
          <t>Lagoinha</t>
        </is>
      </c>
      <c r="E651" s="1394" t="n">
        <v>36988</v>
      </c>
      <c r="F651" s="1394" t="n">
        <v>36988</v>
      </c>
      <c r="G651" s="1393" t="inlineStr">
        <is>
          <t>-</t>
        </is>
      </c>
      <c r="H651" s="1393" t="inlineStr">
        <is>
          <t>Joaquim Eugenio</t>
        </is>
      </c>
      <c r="I651" s="1393" t="inlineStr">
        <is>
          <t>-</t>
        </is>
      </c>
      <c r="J651" s="1393" t="inlineStr">
        <is>
          <t>-</t>
        </is>
      </c>
      <c r="K651" s="1395">
        <f>IF(raw[[#This Row],[city]]&lt;&gt;"",_xlfn.XLOOKUP($D651,ccc[city],ccc[prov],"-"),"-")</f>
        <v/>
      </c>
      <c r="L651" s="1395">
        <f>IF(raw[[#This Row],[city]]&lt;&gt;"",_xlfn.XLOOKUP($D651,ccc[city],ccc[ctry],"-"),"-")</f>
        <v/>
      </c>
      <c r="M651" s="1395">
        <f>IF(raw[[#This Row],[city]]&lt;&gt;"",_xlfn.XLOOKUP($D651,ccc[city],ccc[cont],"-"),"-")</f>
        <v/>
      </c>
      <c r="N651" s="1396">
        <f>IF(raw[[#This Row],[city]]="","-",IF(raw[[#This Row],[cont]]="B",raw[[#This Row],[cont]],"W"))</f>
        <v/>
      </c>
      <c r="O651" s="1397">
        <f>IF(raw[[#This Row],[out]]=0,0,IF(raw[[#This Row],[out]]=raw[[#This Row],[in]],0.01,raw[[#This Row],[out]]-raw[[#This Row],[in]]))</f>
        <v/>
      </c>
      <c r="P651" s="1397">
        <f>IF(raw[[#This Row],[in]]=0,0,MONTH(raw[[#This Row],[in]]))</f>
        <v/>
      </c>
      <c r="Q651" s="1397">
        <f>IF(raw[[#This Row],[in]]=0,0,YEAR(raw[[#This Row],[in]]))</f>
        <v/>
      </c>
      <c r="R651" s="1397">
        <f>INT(raw[[#This Row],[yr]]/10)*10</f>
        <v/>
      </c>
      <c r="S651" s="1395">
        <f>IF(raw[[#This Row],[city]]="","-",IF(raw[[#This Row],[city]]&lt;&gt;_xlfn.XLOOKUP(raw[[#This Row],[home]],homes[home],homes[city],"-"),1,0))</f>
        <v/>
      </c>
      <c r="T651" s="1398" t="inlineStr">
        <is>
          <t>.</t>
        </is>
      </c>
      <c r="U651" s="1399">
        <f>IF(raw[[#This Row],[wb]]="w",raw[[#This Row],[stay]]+U650,U650)</f>
        <v/>
      </c>
      <c r="V651" s="1400">
        <f>IF(raw[[#This Row],[out]]=0,V650,(raw[[#This Row],[out]]-E$5))</f>
        <v/>
      </c>
      <c r="W651" s="1401">
        <f>U651/V651</f>
        <v/>
      </c>
      <c r="X651" s="1378" t="inlineStr">
        <is>
          <t>.</t>
        </is>
      </c>
      <c r="Y651" s="1402">
        <f/>
        <v/>
      </c>
      <c r="Z651" s="1403">
        <f/>
        <v/>
      </c>
      <c r="AA651" s="1403">
        <f/>
        <v/>
      </c>
      <c r="AB651" s="1400">
        <f t="array" ref="AB651">_xlfn.LET(_xlpm.S,_xlfn.ANCHORARRAY($Y$4),_xlpm.r,ROWS(stayCity[[#Headers],[city]]:stayCity[[#This Row],[city]])-1,IF(_xlpm.r&lt;=ROWS(_xlpm.S),INDEX(_xlpm.S,_xlpm.r,1),""))</f>
        <v/>
      </c>
      <c r="AC651" s="1405">
        <f t="array" ref="AC651">_xlfn.LET(_xlpm.S,_xlfn.ANCHORARRAY($Y$4),_xlpm.r,ROWS(stayCity[[#Headers],[city]]:stayCity[[#This Row],[city]])-1,IF(_xlpm.r&lt;=ROWS(_xlpm.S),INDEX(_xlpm.S,_xlpm.r,2),""))</f>
        <v/>
      </c>
      <c r="AD651" s="1405">
        <f t="array" ref="AD651">_xlfn.LET(_xlpm.S,_xlfn.ANCHORARRAY($Y$4),_xlpm.r,ROWS(stayCity[[#Headers],[city]]:stayCity[[#This Row],[city]])-1,IF(_xlpm.r&lt;=ROWS(_xlpm.S),INDEX(_xlpm.S,_xlpm.r,3),""))</f>
        <v/>
      </c>
      <c r="AE651" s="1400">
        <f>IF(stayCity[[#This Row],[out]]&lt;&gt;"",stayCity[[#This Row],[out]]-stayCity[[#This Row],[in]],"-")</f>
        <v/>
      </c>
      <c r="AF651" s="1406">
        <f>IF(Y651="","-",YEAR(stayCity[[#This Row],[in]]))</f>
        <v/>
      </c>
      <c r="AG651" s="1392" t="n"/>
      <c r="AH651" s="1392" t="n"/>
      <c r="AI651" s="1392" t="n"/>
      <c r="AJ651" s="1392" t="n"/>
      <c r="AK651" s="1392" t="n"/>
      <c r="AL651" s="1392" t="n"/>
      <c r="AM651" s="1392" t="n"/>
      <c r="AN651" s="1392" t="n"/>
      <c r="AO651" s="1392" t="n"/>
      <c r="AP651" s="1392" t="n"/>
      <c r="AQ651" s="1392" t="n"/>
      <c r="AR651" s="1392" t="n"/>
      <c r="AS651" s="1422" t="n"/>
      <c r="AT651" s="1392" t="n"/>
      <c r="AU651" s="1392" t="n"/>
      <c r="AV651" s="1392" t="n"/>
      <c r="AW651" s="1392" t="n"/>
      <c r="AX651" s="1392" t="n"/>
      <c r="AY651" s="1392" t="n"/>
      <c r="AZ651" s="1392" t="n"/>
      <c r="BA651" s="1392" t="n"/>
      <c r="BB651" s="1422" t="n"/>
      <c r="BC651" s="1392" t="n"/>
      <c r="BD651" s="1392" t="n"/>
      <c r="BE651" s="1392" t="n"/>
      <c r="BF651" s="1392" t="n"/>
      <c r="BG651" s="1392" t="n"/>
      <c r="BH651" s="1392" t="n"/>
      <c r="BI651" s="1392" t="n"/>
      <c r="BJ651" s="1392" t="n"/>
      <c r="BK651" s="1392" t="n"/>
      <c r="BL651" s="1392" t="n"/>
      <c r="BM651" s="1392" t="n"/>
      <c r="BN651" s="1392" t="n"/>
      <c r="BO651" s="1392" t="n"/>
      <c r="BP651" s="1392" t="n"/>
      <c r="BQ651" s="1392" t="n"/>
      <c r="BR651" s="1392" t="n"/>
      <c r="BS651" s="1392" t="n"/>
      <c r="BT651" s="1392" t="n"/>
      <c r="BU651" s="1416" t="n"/>
      <c r="BV651" s="1392" t="n"/>
      <c r="BW651" s="1392" t="n"/>
      <c r="BX651" s="1392" t="n"/>
      <c r="BY651" s="1392" t="n"/>
      <c r="BZ651" s="1416" t="n"/>
      <c r="CA651" s="1392" t="n"/>
      <c r="CB651" s="1392" t="n"/>
      <c r="CC651" s="1392" t="n"/>
      <c r="CD651" s="1392" t="n"/>
      <c r="CE651" s="1392" t="n"/>
      <c r="CF651" s="1392" t="n"/>
      <c r="CG651" s="1392" t="n"/>
      <c r="CH651" s="1392" t="n"/>
      <c r="CI651" s="1392" t="n"/>
      <c r="CJ651" s="1392" t="n"/>
      <c r="CK651" s="1392" t="n"/>
      <c r="CL651" s="1392" t="n"/>
    </row>
    <row r="652">
      <c r="A652" s="5" t="inlineStr">
        <is>
          <t>.</t>
        </is>
      </c>
      <c r="B652" s="5" t="inlineStr">
        <is>
          <t>.</t>
        </is>
      </c>
      <c r="C652" s="1378">
        <f>IF(raw[[#This Row],[city]]="","-",IF(raw[[#This Row],[city]]="TODAY","-",C651+1))</f>
        <v/>
      </c>
      <c r="D652" s="1393" t="inlineStr">
        <is>
          <t>Sao Luis de Piratininga</t>
        </is>
      </c>
      <c r="E652" s="1394" t="n">
        <v>36988</v>
      </c>
      <c r="F652" s="1394" t="n">
        <v>36988</v>
      </c>
      <c r="G652" s="1393" t="inlineStr">
        <is>
          <t>-</t>
        </is>
      </c>
      <c r="H652" s="1393" t="inlineStr">
        <is>
          <t>Joaquim Eugenio</t>
        </is>
      </c>
      <c r="I652" s="1393" t="inlineStr">
        <is>
          <t>-</t>
        </is>
      </c>
      <c r="J652" s="1393" t="inlineStr">
        <is>
          <t>-</t>
        </is>
      </c>
      <c r="K652" s="1395">
        <f>IF(raw[[#This Row],[city]]&lt;&gt;"",_xlfn.XLOOKUP($D652,ccc[city],ccc[prov],"-"),"-")</f>
        <v/>
      </c>
      <c r="L652" s="1395">
        <f>IF(raw[[#This Row],[city]]&lt;&gt;"",_xlfn.XLOOKUP($D652,ccc[city],ccc[ctry],"-"),"-")</f>
        <v/>
      </c>
      <c r="M652" s="1395">
        <f>IF(raw[[#This Row],[city]]&lt;&gt;"",_xlfn.XLOOKUP($D652,ccc[city],ccc[cont],"-"),"-")</f>
        <v/>
      </c>
      <c r="N652" s="1396">
        <f>IF(raw[[#This Row],[city]]="","-",IF(raw[[#This Row],[cont]]="B",raw[[#This Row],[cont]],"W"))</f>
        <v/>
      </c>
      <c r="O652" s="1397">
        <f>IF(raw[[#This Row],[out]]=0,0,IF(raw[[#This Row],[out]]=raw[[#This Row],[in]],0.01,raw[[#This Row],[out]]-raw[[#This Row],[in]]))</f>
        <v/>
      </c>
      <c r="P652" s="1397">
        <f>IF(raw[[#This Row],[in]]=0,0,MONTH(raw[[#This Row],[in]]))</f>
        <v/>
      </c>
      <c r="Q652" s="1397">
        <f>IF(raw[[#This Row],[in]]=0,0,YEAR(raw[[#This Row],[in]]))</f>
        <v/>
      </c>
      <c r="R652" s="1397">
        <f>INT(raw[[#This Row],[yr]]/10)*10</f>
        <v/>
      </c>
      <c r="S652" s="1395">
        <f>IF(raw[[#This Row],[city]]="","-",IF(raw[[#This Row],[city]]&lt;&gt;_xlfn.XLOOKUP(raw[[#This Row],[home]],homes[home],homes[city],"-"),1,0))</f>
        <v/>
      </c>
      <c r="T652" s="1398" t="inlineStr">
        <is>
          <t>.</t>
        </is>
      </c>
      <c r="U652" s="1399">
        <f>IF(raw[[#This Row],[wb]]="w",raw[[#This Row],[stay]]+U651,U651)</f>
        <v/>
      </c>
      <c r="V652" s="1400">
        <f>IF(raw[[#This Row],[out]]=0,V651,(raw[[#This Row],[out]]-E$5))</f>
        <v/>
      </c>
      <c r="W652" s="1401">
        <f>U652/V652</f>
        <v/>
      </c>
      <c r="X652" s="1378" t="inlineStr">
        <is>
          <t>.</t>
        </is>
      </c>
      <c r="Y652" s="1402">
        <f/>
        <v/>
      </c>
      <c r="Z652" s="1403">
        <f/>
        <v/>
      </c>
      <c r="AA652" s="1403">
        <f/>
        <v/>
      </c>
      <c r="AB652" s="1400">
        <f t="array" ref="AB652">_xlfn.LET(_xlpm.S,_xlfn.ANCHORARRAY($Y$4),_xlpm.r,ROWS(stayCity[[#Headers],[city]]:stayCity[[#This Row],[city]])-1,IF(_xlpm.r&lt;=ROWS(_xlpm.S),INDEX(_xlpm.S,_xlpm.r,1),""))</f>
        <v/>
      </c>
      <c r="AC652" s="1405">
        <f t="array" ref="AC652">_xlfn.LET(_xlpm.S,_xlfn.ANCHORARRAY($Y$4),_xlpm.r,ROWS(stayCity[[#Headers],[city]]:stayCity[[#This Row],[city]])-1,IF(_xlpm.r&lt;=ROWS(_xlpm.S),INDEX(_xlpm.S,_xlpm.r,2),""))</f>
        <v/>
      </c>
      <c r="AD652" s="1405">
        <f t="array" ref="AD652">_xlfn.LET(_xlpm.S,_xlfn.ANCHORARRAY($Y$4),_xlpm.r,ROWS(stayCity[[#Headers],[city]]:stayCity[[#This Row],[city]])-1,IF(_xlpm.r&lt;=ROWS(_xlpm.S),INDEX(_xlpm.S,_xlpm.r,3),""))</f>
        <v/>
      </c>
      <c r="AE652" s="1400">
        <f>IF(stayCity[[#This Row],[out]]&lt;&gt;"",stayCity[[#This Row],[out]]-stayCity[[#This Row],[in]],"-")</f>
        <v/>
      </c>
      <c r="AF652" s="1406">
        <f>IF(Y652="","-",YEAR(stayCity[[#This Row],[in]]))</f>
        <v/>
      </c>
      <c r="AG652" s="1392" t="n"/>
      <c r="AH652" s="1392" t="n"/>
      <c r="AI652" s="1392" t="n"/>
      <c r="AJ652" s="1392" t="n"/>
      <c r="AK652" s="1392" t="n"/>
      <c r="AL652" s="1392" t="n"/>
      <c r="AM652" s="1392" t="n"/>
      <c r="AN652" s="1392" t="n"/>
      <c r="AO652" s="1392" t="n"/>
      <c r="AP652" s="1392" t="n"/>
      <c r="AQ652" s="1392" t="n"/>
      <c r="AR652" s="1392" t="n"/>
      <c r="AS652" s="1422" t="n"/>
      <c r="AT652" s="1392" t="n"/>
      <c r="AU652" s="1392" t="n"/>
      <c r="AV652" s="1392" t="n"/>
      <c r="AW652" s="1392" t="n"/>
      <c r="AX652" s="1392" t="n"/>
      <c r="AY652" s="1392" t="n"/>
      <c r="AZ652" s="1392" t="n"/>
      <c r="BA652" s="1392" t="n"/>
      <c r="BB652" s="1422" t="n"/>
      <c r="BC652" s="1392" t="n"/>
      <c r="BD652" s="1392" t="n"/>
      <c r="BE652" s="1392" t="n"/>
      <c r="BF652" s="1392" t="n"/>
      <c r="BG652" s="1392" t="n"/>
      <c r="BH652" s="1392" t="n"/>
      <c r="BI652" s="1392" t="n"/>
      <c r="BJ652" s="1392" t="n"/>
      <c r="BK652" s="1392" t="n"/>
      <c r="BL652" s="1392" t="n"/>
      <c r="BM652" s="1392" t="n"/>
      <c r="BN652" s="1392" t="n"/>
      <c r="BO652" s="1392" t="n"/>
      <c r="BP652" s="1392" t="n"/>
      <c r="BQ652" s="1392" t="n"/>
      <c r="BR652" s="1392" t="n"/>
      <c r="BS652" s="1392" t="n"/>
      <c r="BT652" s="1392" t="n"/>
      <c r="BU652" s="1416" t="n"/>
      <c r="BV652" s="1392" t="n"/>
      <c r="BW652" s="1392" t="n"/>
      <c r="BX652" s="1392" t="n"/>
      <c r="BY652" s="1392" t="n"/>
      <c r="BZ652" s="1416" t="n"/>
      <c r="CA652" s="1392" t="n"/>
      <c r="CB652" s="1392" t="n"/>
      <c r="CC652" s="1392" t="n"/>
      <c r="CD652" s="1392" t="n"/>
      <c r="CE652" s="1392" t="n"/>
      <c r="CF652" s="1392" t="n"/>
      <c r="CG652" s="1392" t="n"/>
      <c r="CH652" s="1392" t="n"/>
      <c r="CI652" s="1392" t="n"/>
      <c r="CJ652" s="1392" t="n"/>
      <c r="CK652" s="1392" t="n"/>
      <c r="CL652" s="1392" t="n"/>
    </row>
    <row r="653">
      <c r="A653" s="5" t="inlineStr">
        <is>
          <t>.</t>
        </is>
      </c>
      <c r="B653" s="5" t="inlineStr">
        <is>
          <t>.</t>
        </is>
      </c>
      <c r="C653" s="1378">
        <f>IF(raw[[#This Row],[city]]="","-",IF(raw[[#This Row],[city]]="TODAY","-",C652+1))</f>
        <v/>
      </c>
      <c r="D653" s="1393" t="inlineStr">
        <is>
          <t>SP</t>
        </is>
      </c>
      <c r="E653" s="1394" t="n">
        <v>36988</v>
      </c>
      <c r="F653" s="1394" t="n">
        <v>36994</v>
      </c>
      <c r="G653" s="1393" t="inlineStr">
        <is>
          <t>-</t>
        </is>
      </c>
      <c r="H653" s="1393" t="inlineStr">
        <is>
          <t>Joaquim Eugenio</t>
        </is>
      </c>
      <c r="I653" s="1393" t="inlineStr">
        <is>
          <t>-</t>
        </is>
      </c>
      <c r="J653" s="1393" t="inlineStr">
        <is>
          <t>-</t>
        </is>
      </c>
      <c r="K653" s="1395">
        <f>IF(raw[[#This Row],[city]]&lt;&gt;"",_xlfn.XLOOKUP($D653,ccc[city],ccc[prov],"-"),"-")</f>
        <v/>
      </c>
      <c r="L653" s="1395">
        <f>IF(raw[[#This Row],[city]]&lt;&gt;"",_xlfn.XLOOKUP($D653,ccc[city],ccc[ctry],"-"),"-")</f>
        <v/>
      </c>
      <c r="M653" s="1395">
        <f>IF(raw[[#This Row],[city]]&lt;&gt;"",_xlfn.XLOOKUP($D653,ccc[city],ccc[cont],"-"),"-")</f>
        <v/>
      </c>
      <c r="N653" s="1396">
        <f>IF(raw[[#This Row],[city]]="","-",IF(raw[[#This Row],[cont]]="B",raw[[#This Row],[cont]],"W"))</f>
        <v/>
      </c>
      <c r="O653" s="1397">
        <f>IF(raw[[#This Row],[out]]=0,0,IF(raw[[#This Row],[out]]=raw[[#This Row],[in]],0.01,raw[[#This Row],[out]]-raw[[#This Row],[in]]))</f>
        <v/>
      </c>
      <c r="P653" s="1397">
        <f>IF(raw[[#This Row],[in]]=0,0,MONTH(raw[[#This Row],[in]]))</f>
        <v/>
      </c>
      <c r="Q653" s="1397">
        <f>IF(raw[[#This Row],[in]]=0,0,YEAR(raw[[#This Row],[in]]))</f>
        <v/>
      </c>
      <c r="R653" s="1397">
        <f>INT(raw[[#This Row],[yr]]/10)*10</f>
        <v/>
      </c>
      <c r="S653" s="1395">
        <f>IF(raw[[#This Row],[city]]="","-",IF(raw[[#This Row],[city]]&lt;&gt;_xlfn.XLOOKUP(raw[[#This Row],[home]],homes[home],homes[city],"-"),1,0))</f>
        <v/>
      </c>
      <c r="T653" s="1398" t="inlineStr">
        <is>
          <t>.</t>
        </is>
      </c>
      <c r="U653" s="1399">
        <f>IF(raw[[#This Row],[wb]]="w",raw[[#This Row],[stay]]+U652,U652)</f>
        <v/>
      </c>
      <c r="V653" s="1400">
        <f>IF(raw[[#This Row],[out]]=0,V652,(raw[[#This Row],[out]]-E$5))</f>
        <v/>
      </c>
      <c r="W653" s="1401">
        <f>U653/V653</f>
        <v/>
      </c>
      <c r="X653" s="1378" t="inlineStr">
        <is>
          <t>.</t>
        </is>
      </c>
      <c r="Y653" s="1402">
        <f/>
        <v/>
      </c>
      <c r="Z653" s="1403">
        <f/>
        <v/>
      </c>
      <c r="AA653" s="1403">
        <f/>
        <v/>
      </c>
      <c r="AB653" s="1400">
        <f t="array" ref="AB653">_xlfn.LET(_xlpm.S,_xlfn.ANCHORARRAY($Y$4),_xlpm.r,ROWS(stayCity[[#Headers],[city]]:stayCity[[#This Row],[city]])-1,IF(_xlpm.r&lt;=ROWS(_xlpm.S),INDEX(_xlpm.S,_xlpm.r,1),""))</f>
        <v/>
      </c>
      <c r="AC653" s="1405">
        <f t="array" ref="AC653">_xlfn.LET(_xlpm.S,_xlfn.ANCHORARRAY($Y$4),_xlpm.r,ROWS(stayCity[[#Headers],[city]]:stayCity[[#This Row],[city]])-1,IF(_xlpm.r&lt;=ROWS(_xlpm.S),INDEX(_xlpm.S,_xlpm.r,2),""))</f>
        <v/>
      </c>
      <c r="AD653" s="1405">
        <f t="array" ref="AD653">_xlfn.LET(_xlpm.S,_xlfn.ANCHORARRAY($Y$4),_xlpm.r,ROWS(stayCity[[#Headers],[city]]:stayCity[[#This Row],[city]])-1,IF(_xlpm.r&lt;=ROWS(_xlpm.S),INDEX(_xlpm.S,_xlpm.r,3),""))</f>
        <v/>
      </c>
      <c r="AE653" s="1400">
        <f>IF(stayCity[[#This Row],[out]]&lt;&gt;"",stayCity[[#This Row],[out]]-stayCity[[#This Row],[in]],"-")</f>
        <v/>
      </c>
      <c r="AF653" s="1406">
        <f>IF(Y653="","-",YEAR(stayCity[[#This Row],[in]]))</f>
        <v/>
      </c>
      <c r="AG653" s="1392" t="n"/>
      <c r="AH653" s="1392" t="n"/>
      <c r="AI653" s="1392" t="n"/>
      <c r="AJ653" s="1392" t="n"/>
      <c r="AK653" s="1392" t="n"/>
      <c r="AL653" s="1392" t="n"/>
      <c r="AM653" s="1392" t="n"/>
      <c r="AN653" s="1392" t="n"/>
      <c r="AO653" s="1392" t="n"/>
      <c r="AP653" s="1392" t="n"/>
      <c r="AQ653" s="1392" t="n"/>
      <c r="AR653" s="1392" t="n"/>
      <c r="AS653" s="1422" t="n"/>
      <c r="AT653" s="1392" t="n"/>
      <c r="AU653" s="1392" t="n"/>
      <c r="AV653" s="1392" t="n"/>
      <c r="AW653" s="1392" t="n"/>
      <c r="AX653" s="1392" t="n"/>
      <c r="AY653" s="1392" t="n"/>
      <c r="AZ653" s="1392" t="n"/>
      <c r="BA653" s="1392" t="n"/>
      <c r="BB653" s="1422" t="n"/>
      <c r="BC653" s="1392" t="n"/>
      <c r="BD653" s="1392" t="n"/>
      <c r="BE653" s="1392" t="n"/>
      <c r="BF653" s="1392" t="n"/>
      <c r="BG653" s="1392" t="n"/>
      <c r="BH653" s="1392" t="n"/>
      <c r="BI653" s="1392" t="n"/>
      <c r="BJ653" s="1392" t="n"/>
      <c r="BK653" s="1392" t="n"/>
      <c r="BL653" s="1392" t="n"/>
      <c r="BM653" s="1392" t="n"/>
      <c r="BN653" s="1392" t="n"/>
      <c r="BO653" s="1392" t="n"/>
      <c r="BP653" s="1392" t="n"/>
      <c r="BQ653" s="1392" t="n"/>
      <c r="BR653" s="1392" t="n"/>
      <c r="BS653" s="1392" t="n"/>
      <c r="BT653" s="1392" t="n"/>
      <c r="BU653" s="1416" t="n"/>
      <c r="BV653" s="1392" t="n"/>
      <c r="BW653" s="1392" t="n"/>
      <c r="BX653" s="1392" t="n"/>
      <c r="BY653" s="1392" t="n"/>
      <c r="BZ653" s="1416" t="n"/>
      <c r="CA653" s="1392" t="n"/>
      <c r="CB653" s="1392" t="n"/>
      <c r="CC653" s="1392" t="n"/>
      <c r="CD653" s="1392" t="n"/>
      <c r="CE653" s="1392" t="n"/>
      <c r="CF653" s="1392" t="n"/>
      <c r="CG653" s="1392" t="n"/>
      <c r="CH653" s="1392" t="n"/>
      <c r="CI653" s="1392" t="n"/>
      <c r="CJ653" s="1392" t="n"/>
      <c r="CK653" s="1392" t="n"/>
      <c r="CL653" s="1392" t="n"/>
    </row>
    <row r="654">
      <c r="A654" s="5" t="inlineStr">
        <is>
          <t>.</t>
        </is>
      </c>
      <c r="B654" s="5" t="inlineStr">
        <is>
          <t>.</t>
        </is>
      </c>
      <c r="C654" s="1378">
        <f>IF(raw[[#This Row],[city]]="","-",IF(raw[[#This Row],[city]]="TODAY","-",C653+1))</f>
        <v/>
      </c>
      <c r="D654" s="1393" t="inlineStr">
        <is>
          <t>Campos do Jordao</t>
        </is>
      </c>
      <c r="E654" s="1394" t="n">
        <v>36994</v>
      </c>
      <c r="F654" s="1394" t="n">
        <v>36996</v>
      </c>
      <c r="G654" s="1393" t="inlineStr">
        <is>
          <t>-</t>
        </is>
      </c>
      <c r="H654" s="1393" t="inlineStr">
        <is>
          <t>Joaquim Eugenio</t>
        </is>
      </c>
      <c r="I654" s="1393" t="inlineStr">
        <is>
          <t>-</t>
        </is>
      </c>
      <c r="J654" s="1393" t="inlineStr">
        <is>
          <t>-</t>
        </is>
      </c>
      <c r="K654" s="1395">
        <f>IF(raw[[#This Row],[city]]&lt;&gt;"",_xlfn.XLOOKUP($D654,ccc[city],ccc[prov],"-"),"-")</f>
        <v/>
      </c>
      <c r="L654" s="1395">
        <f>IF(raw[[#This Row],[city]]&lt;&gt;"",_xlfn.XLOOKUP($D654,ccc[city],ccc[ctry],"-"),"-")</f>
        <v/>
      </c>
      <c r="M654" s="1395">
        <f>IF(raw[[#This Row],[city]]&lt;&gt;"",_xlfn.XLOOKUP($D654,ccc[city],ccc[cont],"-"),"-")</f>
        <v/>
      </c>
      <c r="N654" s="1396">
        <f>IF(raw[[#This Row],[city]]="","-",IF(raw[[#This Row],[cont]]="B",raw[[#This Row],[cont]],"W"))</f>
        <v/>
      </c>
      <c r="O654" s="1397">
        <f>IF(raw[[#This Row],[out]]=0,0,IF(raw[[#This Row],[out]]=raw[[#This Row],[in]],0.01,raw[[#This Row],[out]]-raw[[#This Row],[in]]))</f>
        <v/>
      </c>
      <c r="P654" s="1397">
        <f>IF(raw[[#This Row],[in]]=0,0,MONTH(raw[[#This Row],[in]]))</f>
        <v/>
      </c>
      <c r="Q654" s="1397">
        <f>IF(raw[[#This Row],[in]]=0,0,YEAR(raw[[#This Row],[in]]))</f>
        <v/>
      </c>
      <c r="R654" s="1397">
        <f>INT(raw[[#This Row],[yr]]/10)*10</f>
        <v/>
      </c>
      <c r="S654" s="1395">
        <f>IF(raw[[#This Row],[city]]="","-",IF(raw[[#This Row],[city]]&lt;&gt;_xlfn.XLOOKUP(raw[[#This Row],[home]],homes[home],homes[city],"-"),1,0))</f>
        <v/>
      </c>
      <c r="T654" s="1398" t="inlineStr">
        <is>
          <t>.</t>
        </is>
      </c>
      <c r="U654" s="1399">
        <f>IF(raw[[#This Row],[wb]]="w",raw[[#This Row],[stay]]+U653,U653)</f>
        <v/>
      </c>
      <c r="V654" s="1400">
        <f>IF(raw[[#This Row],[out]]=0,V653,(raw[[#This Row],[out]]-E$5))</f>
        <v/>
      </c>
      <c r="W654" s="1401">
        <f>U654/V654</f>
        <v/>
      </c>
      <c r="X654" s="1378" t="inlineStr">
        <is>
          <t>.</t>
        </is>
      </c>
      <c r="Y654" s="1402">
        <f/>
        <v/>
      </c>
      <c r="Z654" s="1403">
        <f/>
        <v/>
      </c>
      <c r="AA654" s="1403">
        <f/>
        <v/>
      </c>
      <c r="AB654" s="1400">
        <f t="array" ref="AB654">_xlfn.LET(_xlpm.S,_xlfn.ANCHORARRAY($Y$4),_xlpm.r,ROWS(stayCity[[#Headers],[city]]:stayCity[[#This Row],[city]])-1,IF(_xlpm.r&lt;=ROWS(_xlpm.S),INDEX(_xlpm.S,_xlpm.r,1),""))</f>
        <v/>
      </c>
      <c r="AC654" s="1405">
        <f t="array" ref="AC654">_xlfn.LET(_xlpm.S,_xlfn.ANCHORARRAY($Y$4),_xlpm.r,ROWS(stayCity[[#Headers],[city]]:stayCity[[#This Row],[city]])-1,IF(_xlpm.r&lt;=ROWS(_xlpm.S),INDEX(_xlpm.S,_xlpm.r,2),""))</f>
        <v/>
      </c>
      <c r="AD654" s="1405">
        <f t="array" ref="AD654">_xlfn.LET(_xlpm.S,_xlfn.ANCHORARRAY($Y$4),_xlpm.r,ROWS(stayCity[[#Headers],[city]]:stayCity[[#This Row],[city]])-1,IF(_xlpm.r&lt;=ROWS(_xlpm.S),INDEX(_xlpm.S,_xlpm.r,3),""))</f>
        <v/>
      </c>
      <c r="AE654" s="1400">
        <f>IF(stayCity[[#This Row],[out]]&lt;&gt;"",stayCity[[#This Row],[out]]-stayCity[[#This Row],[in]],"-")</f>
        <v/>
      </c>
      <c r="AF654" s="1406">
        <f>IF(Y654="","-",YEAR(stayCity[[#This Row],[in]]))</f>
        <v/>
      </c>
      <c r="AG654" s="1392" t="n"/>
      <c r="AH654" s="1392" t="n"/>
      <c r="AI654" s="1392" t="n"/>
      <c r="AJ654" s="1392" t="n"/>
      <c r="AK654" s="1392" t="n"/>
      <c r="AL654" s="1392" t="n"/>
      <c r="AM654" s="1392" t="n"/>
      <c r="AN654" s="1392" t="n"/>
      <c r="AO654" s="1392" t="n"/>
      <c r="AP654" s="1392" t="n"/>
      <c r="AQ654" s="1392" t="n"/>
      <c r="AR654" s="1392" t="n"/>
      <c r="AS654" s="1422" t="n"/>
      <c r="AT654" s="1392" t="n"/>
      <c r="AU654" s="1392" t="n"/>
      <c r="AV654" s="1392" t="n"/>
      <c r="AW654" s="1392" t="n"/>
      <c r="AX654" s="1392" t="n"/>
      <c r="AY654" s="1392" t="n"/>
      <c r="AZ654" s="1392" t="n"/>
      <c r="BA654" s="1392" t="n"/>
      <c r="BB654" s="1422" t="n"/>
      <c r="BC654" s="1392" t="n"/>
      <c r="BD654" s="1392" t="n"/>
      <c r="BE654" s="1392" t="n"/>
      <c r="BF654" s="1392" t="n"/>
      <c r="BG654" s="1392" t="n"/>
      <c r="BH654" s="1392" t="n"/>
      <c r="BI654" s="1392" t="n"/>
      <c r="BJ654" s="1392" t="n"/>
      <c r="BK654" s="1392" t="n"/>
      <c r="BL654" s="1392" t="n"/>
      <c r="BM654" s="1392" t="n"/>
      <c r="BN654" s="1392" t="n"/>
      <c r="BO654" s="1392" t="n"/>
      <c r="BP654" s="1392" t="n"/>
      <c r="BQ654" s="1392" t="n"/>
      <c r="BR654" s="1392" t="n"/>
      <c r="BS654" s="1392" t="n"/>
      <c r="BT654" s="1392" t="n"/>
      <c r="BU654" s="1416" t="n"/>
      <c r="BV654" s="1392" t="n"/>
      <c r="BW654" s="1392" t="n"/>
      <c r="BX654" s="1392" t="n"/>
      <c r="BY654" s="1392" t="n"/>
      <c r="BZ654" s="1416" t="n"/>
      <c r="CA654" s="1392" t="n"/>
      <c r="CB654" s="1392" t="n"/>
      <c r="CC654" s="1392" t="n"/>
      <c r="CD654" s="1392" t="n"/>
      <c r="CE654" s="1392" t="n"/>
      <c r="CF654" s="1392" t="n"/>
      <c r="CG654" s="1392" t="n"/>
      <c r="CH654" s="1392" t="n"/>
      <c r="CI654" s="1392" t="n"/>
      <c r="CJ654" s="1392" t="n"/>
      <c r="CK654" s="1392" t="n"/>
      <c r="CL654" s="1392" t="n"/>
    </row>
    <row r="655">
      <c r="A655" s="5" t="inlineStr">
        <is>
          <t>.</t>
        </is>
      </c>
      <c r="B655" s="5" t="inlineStr">
        <is>
          <t>.</t>
        </is>
      </c>
      <c r="C655" s="1378">
        <f>IF(raw[[#This Row],[city]]="","-",IF(raw[[#This Row],[city]]="TODAY","-",C654+1))</f>
        <v/>
      </c>
      <c r="D655" s="1393" t="inlineStr">
        <is>
          <t>SP</t>
        </is>
      </c>
      <c r="E655" s="1394" t="n">
        <v>36996</v>
      </c>
      <c r="F655" s="1394" t="n">
        <v>37011</v>
      </c>
      <c r="G655" s="1393" t="inlineStr">
        <is>
          <t>-</t>
        </is>
      </c>
      <c r="H655" s="1393" t="inlineStr">
        <is>
          <t>Joaquim Eugenio</t>
        </is>
      </c>
      <c r="I655" s="1393" t="inlineStr">
        <is>
          <t>-</t>
        </is>
      </c>
      <c r="J655" s="1393" t="inlineStr">
        <is>
          <t>-</t>
        </is>
      </c>
      <c r="K655" s="1395">
        <f>IF(raw[[#This Row],[city]]&lt;&gt;"",_xlfn.XLOOKUP($D655,ccc[city],ccc[prov],"-"),"-")</f>
        <v/>
      </c>
      <c r="L655" s="1395">
        <f>IF(raw[[#This Row],[city]]&lt;&gt;"",_xlfn.XLOOKUP($D655,ccc[city],ccc[ctry],"-"),"-")</f>
        <v/>
      </c>
      <c r="M655" s="1395">
        <f>IF(raw[[#This Row],[city]]&lt;&gt;"",_xlfn.XLOOKUP($D655,ccc[city],ccc[cont],"-"),"-")</f>
        <v/>
      </c>
      <c r="N655" s="1396">
        <f>IF(raw[[#This Row],[city]]="","-",IF(raw[[#This Row],[cont]]="B",raw[[#This Row],[cont]],"W"))</f>
        <v/>
      </c>
      <c r="O655" s="1397">
        <f>IF(raw[[#This Row],[out]]=0,0,IF(raw[[#This Row],[out]]=raw[[#This Row],[in]],0.01,raw[[#This Row],[out]]-raw[[#This Row],[in]]))</f>
        <v/>
      </c>
      <c r="P655" s="1397">
        <f>IF(raw[[#This Row],[in]]=0,0,MONTH(raw[[#This Row],[in]]))</f>
        <v/>
      </c>
      <c r="Q655" s="1397">
        <f>IF(raw[[#This Row],[in]]=0,0,YEAR(raw[[#This Row],[in]]))</f>
        <v/>
      </c>
      <c r="R655" s="1397">
        <f>INT(raw[[#This Row],[yr]]/10)*10</f>
        <v/>
      </c>
      <c r="S655" s="1395">
        <f>IF(raw[[#This Row],[city]]="","-",IF(raw[[#This Row],[city]]&lt;&gt;_xlfn.XLOOKUP(raw[[#This Row],[home]],homes[home],homes[city],"-"),1,0))</f>
        <v/>
      </c>
      <c r="T655" s="1398" t="inlineStr">
        <is>
          <t>.</t>
        </is>
      </c>
      <c r="U655" s="1399">
        <f>IF(raw[[#This Row],[wb]]="w",raw[[#This Row],[stay]]+U654,U654)</f>
        <v/>
      </c>
      <c r="V655" s="1400">
        <f>IF(raw[[#This Row],[out]]=0,V654,(raw[[#This Row],[out]]-E$5))</f>
        <v/>
      </c>
      <c r="W655" s="1401">
        <f>U655/V655</f>
        <v/>
      </c>
      <c r="X655" s="1378" t="inlineStr">
        <is>
          <t>.</t>
        </is>
      </c>
      <c r="Y655" s="1402">
        <f/>
        <v/>
      </c>
      <c r="Z655" s="1403">
        <f/>
        <v/>
      </c>
      <c r="AA655" s="1403">
        <f/>
        <v/>
      </c>
      <c r="AB655" s="1400">
        <f t="array" ref="AB655">_xlfn.LET(_xlpm.S,_xlfn.ANCHORARRAY($Y$4),_xlpm.r,ROWS(stayCity[[#Headers],[city]]:stayCity[[#This Row],[city]])-1,IF(_xlpm.r&lt;=ROWS(_xlpm.S),INDEX(_xlpm.S,_xlpm.r,1),""))</f>
        <v/>
      </c>
      <c r="AC655" s="1405">
        <f t="array" ref="AC655">_xlfn.LET(_xlpm.S,_xlfn.ANCHORARRAY($Y$4),_xlpm.r,ROWS(stayCity[[#Headers],[city]]:stayCity[[#This Row],[city]])-1,IF(_xlpm.r&lt;=ROWS(_xlpm.S),INDEX(_xlpm.S,_xlpm.r,2),""))</f>
        <v/>
      </c>
      <c r="AD655" s="1405">
        <f t="array" ref="AD655">_xlfn.LET(_xlpm.S,_xlfn.ANCHORARRAY($Y$4),_xlpm.r,ROWS(stayCity[[#Headers],[city]]:stayCity[[#This Row],[city]])-1,IF(_xlpm.r&lt;=ROWS(_xlpm.S),INDEX(_xlpm.S,_xlpm.r,3),""))</f>
        <v/>
      </c>
      <c r="AE655" s="1400">
        <f>IF(stayCity[[#This Row],[out]]&lt;&gt;"",stayCity[[#This Row],[out]]-stayCity[[#This Row],[in]],"-")</f>
        <v/>
      </c>
      <c r="AF655" s="1406">
        <f>IF(Y655="","-",YEAR(stayCity[[#This Row],[in]]))</f>
        <v/>
      </c>
      <c r="AG655" s="1392" t="n"/>
      <c r="AH655" s="1392" t="n"/>
      <c r="AI655" s="1392" t="n"/>
      <c r="AJ655" s="1392" t="n"/>
      <c r="AK655" s="1392" t="n"/>
      <c r="AL655" s="1392" t="n"/>
      <c r="AM655" s="1392" t="n"/>
      <c r="AN655" s="1392" t="n"/>
      <c r="AO655" s="1392" t="n"/>
      <c r="AP655" s="1392" t="n"/>
      <c r="AQ655" s="1392" t="n"/>
      <c r="AR655" s="1392" t="n"/>
      <c r="AS655" s="1422" t="n"/>
      <c r="AT655" s="1392" t="n"/>
      <c r="AU655" s="1392" t="n"/>
      <c r="AV655" s="1392" t="n"/>
      <c r="AW655" s="1392" t="n"/>
      <c r="AX655" s="1392" t="n"/>
      <c r="AY655" s="1392" t="n"/>
      <c r="AZ655" s="1392" t="n"/>
      <c r="BA655" s="1392" t="n"/>
      <c r="BB655" s="1422" t="n"/>
      <c r="BC655" s="1392" t="n"/>
      <c r="BD655" s="1392" t="n"/>
      <c r="BE655" s="1392" t="n"/>
      <c r="BF655" s="1392" t="n"/>
      <c r="BG655" s="1392" t="n"/>
      <c r="BH655" s="1392" t="n"/>
      <c r="BI655" s="1392" t="n"/>
      <c r="BJ655" s="1392" t="n"/>
      <c r="BK655" s="1392" t="n"/>
      <c r="BL655" s="1392" t="n"/>
      <c r="BM655" s="1392" t="n"/>
      <c r="BN655" s="1392" t="n"/>
      <c r="BO655" s="1392" t="n"/>
      <c r="BP655" s="1392" t="n"/>
      <c r="BQ655" s="1392" t="n"/>
      <c r="BR655" s="1392" t="n"/>
      <c r="BS655" s="1392" t="n"/>
      <c r="BT655" s="1392" t="n"/>
      <c r="BU655" s="1416" t="n"/>
      <c r="BV655" s="1392" t="n"/>
      <c r="BW655" s="1392" t="n"/>
      <c r="BX655" s="1392" t="n"/>
      <c r="BY655" s="1392" t="n"/>
      <c r="BZ655" s="1416" t="n"/>
      <c r="CA655" s="1392" t="n"/>
      <c r="CB655" s="1392" t="n"/>
      <c r="CC655" s="1392" t="n"/>
      <c r="CD655" s="1392" t="n"/>
      <c r="CE655" s="1392" t="n"/>
      <c r="CF655" s="1392" t="n"/>
      <c r="CG655" s="1392" t="n"/>
      <c r="CH655" s="1392" t="n"/>
      <c r="CI655" s="1392" t="n"/>
      <c r="CJ655" s="1392" t="n"/>
      <c r="CK655" s="1392" t="n"/>
      <c r="CL655" s="1392" t="n"/>
    </row>
    <row r="656">
      <c r="A656" s="5" t="inlineStr">
        <is>
          <t>.</t>
        </is>
      </c>
      <c r="B656" s="5" t="inlineStr">
        <is>
          <t>.</t>
        </is>
      </c>
      <c r="C656" s="1378">
        <f>IF(raw[[#This Row],[city]]="","-",IF(raw[[#This Row],[city]]="TODAY","-",C655+1))</f>
        <v/>
      </c>
      <c r="D656" s="1393" t="inlineStr">
        <is>
          <t>Atibaia</t>
        </is>
      </c>
      <c r="E656" s="1394" t="n">
        <v>37011</v>
      </c>
      <c r="F656" s="1394" t="n">
        <v>37012</v>
      </c>
      <c r="G656" s="1393" t="inlineStr">
        <is>
          <t>-</t>
        </is>
      </c>
      <c r="H656" s="1393" t="inlineStr">
        <is>
          <t>Joaquim Eugenio</t>
        </is>
      </c>
      <c r="I656" s="1393" t="inlineStr">
        <is>
          <t>-</t>
        </is>
      </c>
      <c r="J656" s="1393" t="inlineStr">
        <is>
          <t>-</t>
        </is>
      </c>
      <c r="K656" s="1395">
        <f>IF(raw[[#This Row],[city]]&lt;&gt;"",_xlfn.XLOOKUP($D656,ccc[city],ccc[prov],"-"),"-")</f>
        <v/>
      </c>
      <c r="L656" s="1395">
        <f>IF(raw[[#This Row],[city]]&lt;&gt;"",_xlfn.XLOOKUP($D656,ccc[city],ccc[ctry],"-"),"-")</f>
        <v/>
      </c>
      <c r="M656" s="1395">
        <f>IF(raw[[#This Row],[city]]&lt;&gt;"",_xlfn.XLOOKUP($D656,ccc[city],ccc[cont],"-"),"-")</f>
        <v/>
      </c>
      <c r="N656" s="1396">
        <f>IF(raw[[#This Row],[city]]="","-",IF(raw[[#This Row],[cont]]="B",raw[[#This Row],[cont]],"W"))</f>
        <v/>
      </c>
      <c r="O656" s="1397">
        <f>IF(raw[[#This Row],[out]]=0,0,IF(raw[[#This Row],[out]]=raw[[#This Row],[in]],0.01,raw[[#This Row],[out]]-raw[[#This Row],[in]]))</f>
        <v/>
      </c>
      <c r="P656" s="1397">
        <f>IF(raw[[#This Row],[in]]=0,0,MONTH(raw[[#This Row],[in]]))</f>
        <v/>
      </c>
      <c r="Q656" s="1397">
        <f>IF(raw[[#This Row],[in]]=0,0,YEAR(raw[[#This Row],[in]]))</f>
        <v/>
      </c>
      <c r="R656" s="1397">
        <f>INT(raw[[#This Row],[yr]]/10)*10</f>
        <v/>
      </c>
      <c r="S656" s="1395">
        <f>IF(raw[[#This Row],[city]]="","-",IF(raw[[#This Row],[city]]&lt;&gt;_xlfn.XLOOKUP(raw[[#This Row],[home]],homes[home],homes[city],"-"),1,0))</f>
        <v/>
      </c>
      <c r="T656" s="1398" t="inlineStr">
        <is>
          <t>.</t>
        </is>
      </c>
      <c r="U656" s="1399">
        <f>IF(raw[[#This Row],[wb]]="w",raw[[#This Row],[stay]]+U655,U655)</f>
        <v/>
      </c>
      <c r="V656" s="1400">
        <f>IF(raw[[#This Row],[out]]=0,V655,(raw[[#This Row],[out]]-E$5))</f>
        <v/>
      </c>
      <c r="W656" s="1401">
        <f>U656/V656</f>
        <v/>
      </c>
      <c r="X656" s="1378" t="inlineStr">
        <is>
          <t>.</t>
        </is>
      </c>
      <c r="Y656" s="1402">
        <f/>
        <v/>
      </c>
      <c r="Z656" s="1403">
        <f/>
        <v/>
      </c>
      <c r="AA656" s="1403">
        <f/>
        <v/>
      </c>
      <c r="AB656" s="1400">
        <f t="array" ref="AB656">_xlfn.LET(_xlpm.S,_xlfn.ANCHORARRAY($Y$4),_xlpm.r,ROWS(stayCity[[#Headers],[city]]:stayCity[[#This Row],[city]])-1,IF(_xlpm.r&lt;=ROWS(_xlpm.S),INDEX(_xlpm.S,_xlpm.r,1),""))</f>
        <v/>
      </c>
      <c r="AC656" s="1405">
        <f t="array" ref="AC656">_xlfn.LET(_xlpm.S,_xlfn.ANCHORARRAY($Y$4),_xlpm.r,ROWS(stayCity[[#Headers],[city]]:stayCity[[#This Row],[city]])-1,IF(_xlpm.r&lt;=ROWS(_xlpm.S),INDEX(_xlpm.S,_xlpm.r,2),""))</f>
        <v/>
      </c>
      <c r="AD656" s="1405">
        <f t="array" ref="AD656">_xlfn.LET(_xlpm.S,_xlfn.ANCHORARRAY($Y$4),_xlpm.r,ROWS(stayCity[[#Headers],[city]]:stayCity[[#This Row],[city]])-1,IF(_xlpm.r&lt;=ROWS(_xlpm.S),INDEX(_xlpm.S,_xlpm.r,3),""))</f>
        <v/>
      </c>
      <c r="AE656" s="1400">
        <f>IF(stayCity[[#This Row],[out]]&lt;&gt;"",stayCity[[#This Row],[out]]-stayCity[[#This Row],[in]],"-")</f>
        <v/>
      </c>
      <c r="AF656" s="1406">
        <f>IF(Y656="","-",YEAR(stayCity[[#This Row],[in]]))</f>
        <v/>
      </c>
      <c r="AG656" s="1392" t="n"/>
      <c r="AH656" s="1392" t="n"/>
      <c r="AI656" s="1392" t="n"/>
      <c r="AJ656" s="1392" t="n"/>
      <c r="AK656" s="1392" t="n"/>
      <c r="AL656" s="1392" t="n"/>
      <c r="AM656" s="1392" t="n"/>
      <c r="AN656" s="1392" t="n"/>
      <c r="AO656" s="1392" t="n"/>
      <c r="AP656" s="1392" t="n"/>
      <c r="AQ656" s="1392" t="n"/>
      <c r="AR656" s="1392" t="n"/>
      <c r="AS656" s="1422" t="n"/>
      <c r="AT656" s="1392" t="n"/>
      <c r="AU656" s="1392" t="n"/>
      <c r="AV656" s="1392" t="n"/>
      <c r="AW656" s="1392" t="n"/>
      <c r="AX656" s="1392" t="n"/>
      <c r="AY656" s="1392" t="n"/>
      <c r="AZ656" s="1392" t="n"/>
      <c r="BA656" s="1392" t="n"/>
      <c r="BB656" s="1422" t="n"/>
      <c r="BC656" s="1392" t="n"/>
      <c r="BD656" s="1392" t="n"/>
      <c r="BE656" s="1392" t="n"/>
      <c r="BF656" s="1392" t="n"/>
      <c r="BG656" s="1392" t="n"/>
      <c r="BH656" s="1392" t="n"/>
      <c r="BI656" s="1392" t="n"/>
      <c r="BJ656" s="1392" t="n"/>
      <c r="BK656" s="1392" t="n"/>
      <c r="BL656" s="1392" t="n"/>
      <c r="BM656" s="1392" t="n"/>
      <c r="BN656" s="1392" t="n"/>
      <c r="BO656" s="1392" t="n"/>
      <c r="BP656" s="1392" t="n"/>
      <c r="BQ656" s="1392" t="n"/>
      <c r="BR656" s="1392" t="n"/>
      <c r="BS656" s="1392" t="n"/>
      <c r="BT656" s="1392" t="n"/>
      <c r="BU656" s="1416" t="n"/>
      <c r="BV656" s="1392" t="n"/>
      <c r="BW656" s="1392" t="n"/>
      <c r="BX656" s="1392" t="n"/>
      <c r="BY656" s="1392" t="n"/>
      <c r="BZ656" s="1416" t="n"/>
      <c r="CA656" s="1392" t="n"/>
      <c r="CB656" s="1392" t="n"/>
      <c r="CC656" s="1392" t="n"/>
      <c r="CD656" s="1392" t="n"/>
      <c r="CE656" s="1392" t="n"/>
      <c r="CF656" s="1392" t="n"/>
      <c r="CG656" s="1392" t="n"/>
      <c r="CH656" s="1392" t="n"/>
      <c r="CI656" s="1392" t="n"/>
      <c r="CJ656" s="1392" t="n"/>
      <c r="CK656" s="1392" t="n"/>
      <c r="CL656" s="1392" t="n"/>
    </row>
    <row r="657">
      <c r="A657" s="5" t="inlineStr">
        <is>
          <t>.</t>
        </is>
      </c>
      <c r="B657" s="5" t="inlineStr">
        <is>
          <t>.</t>
        </is>
      </c>
      <c r="C657" s="1378">
        <f>IF(raw[[#This Row],[city]]="","-",IF(raw[[#This Row],[city]]="TODAY","-",C656+1))</f>
        <v/>
      </c>
      <c r="D657" s="1393" t="inlineStr">
        <is>
          <t>SP</t>
        </is>
      </c>
      <c r="E657" s="1394" t="n">
        <v>37012</v>
      </c>
      <c r="F657" s="1394" t="n">
        <v>37043</v>
      </c>
      <c r="G657" s="1393" t="inlineStr">
        <is>
          <t>-</t>
        </is>
      </c>
      <c r="H657" s="1393" t="inlineStr">
        <is>
          <t>Joaquim Eugenio</t>
        </is>
      </c>
      <c r="I657" s="1393" t="inlineStr">
        <is>
          <t>-</t>
        </is>
      </c>
      <c r="J657" s="1393" t="inlineStr">
        <is>
          <t>-</t>
        </is>
      </c>
      <c r="K657" s="1395">
        <f>IF(raw[[#This Row],[city]]&lt;&gt;"",_xlfn.XLOOKUP($D657,ccc[city],ccc[prov],"-"),"-")</f>
        <v/>
      </c>
      <c r="L657" s="1395">
        <f>IF(raw[[#This Row],[city]]&lt;&gt;"",_xlfn.XLOOKUP($D657,ccc[city],ccc[ctry],"-"),"-")</f>
        <v/>
      </c>
      <c r="M657" s="1395">
        <f>IF(raw[[#This Row],[city]]&lt;&gt;"",_xlfn.XLOOKUP($D657,ccc[city],ccc[cont],"-"),"-")</f>
        <v/>
      </c>
      <c r="N657" s="1396">
        <f>IF(raw[[#This Row],[city]]="","-",IF(raw[[#This Row],[cont]]="B",raw[[#This Row],[cont]],"W"))</f>
        <v/>
      </c>
      <c r="O657" s="1397">
        <f>IF(raw[[#This Row],[out]]=0,0,IF(raw[[#This Row],[out]]=raw[[#This Row],[in]],0.01,raw[[#This Row],[out]]-raw[[#This Row],[in]]))</f>
        <v/>
      </c>
      <c r="P657" s="1397">
        <f>IF(raw[[#This Row],[in]]=0,0,MONTH(raw[[#This Row],[in]]))</f>
        <v/>
      </c>
      <c r="Q657" s="1397">
        <f>IF(raw[[#This Row],[in]]=0,0,YEAR(raw[[#This Row],[in]]))</f>
        <v/>
      </c>
      <c r="R657" s="1397">
        <f>INT(raw[[#This Row],[yr]]/10)*10</f>
        <v/>
      </c>
      <c r="S657" s="1395">
        <f>IF(raw[[#This Row],[city]]="","-",IF(raw[[#This Row],[city]]&lt;&gt;_xlfn.XLOOKUP(raw[[#This Row],[home]],homes[home],homes[city],"-"),1,0))</f>
        <v/>
      </c>
      <c r="T657" s="1398" t="inlineStr">
        <is>
          <t>.</t>
        </is>
      </c>
      <c r="U657" s="1399">
        <f>IF(raw[[#This Row],[wb]]="w",raw[[#This Row],[stay]]+U656,U656)</f>
        <v/>
      </c>
      <c r="V657" s="1400">
        <f>IF(raw[[#This Row],[out]]=0,V656,(raw[[#This Row],[out]]-E$5))</f>
        <v/>
      </c>
      <c r="W657" s="1401">
        <f>U657/V657</f>
        <v/>
      </c>
      <c r="X657" s="1378" t="inlineStr">
        <is>
          <t>.</t>
        </is>
      </c>
      <c r="Y657" s="1402">
        <f/>
        <v/>
      </c>
      <c r="Z657" s="1403">
        <f/>
        <v/>
      </c>
      <c r="AA657" s="1403">
        <f/>
        <v/>
      </c>
      <c r="AB657" s="1400">
        <f t="array" ref="AB657">_xlfn.LET(_xlpm.S,_xlfn.ANCHORARRAY($Y$4),_xlpm.r,ROWS(stayCity[[#Headers],[city]]:stayCity[[#This Row],[city]])-1,IF(_xlpm.r&lt;=ROWS(_xlpm.S),INDEX(_xlpm.S,_xlpm.r,1),""))</f>
        <v/>
      </c>
      <c r="AC657" s="1405">
        <f t="array" ref="AC657">_xlfn.LET(_xlpm.S,_xlfn.ANCHORARRAY($Y$4),_xlpm.r,ROWS(stayCity[[#Headers],[city]]:stayCity[[#This Row],[city]])-1,IF(_xlpm.r&lt;=ROWS(_xlpm.S),INDEX(_xlpm.S,_xlpm.r,2),""))</f>
        <v/>
      </c>
      <c r="AD657" s="1405">
        <f t="array" ref="AD657">_xlfn.LET(_xlpm.S,_xlfn.ANCHORARRAY($Y$4),_xlpm.r,ROWS(stayCity[[#Headers],[city]]:stayCity[[#This Row],[city]])-1,IF(_xlpm.r&lt;=ROWS(_xlpm.S),INDEX(_xlpm.S,_xlpm.r,3),""))</f>
        <v/>
      </c>
      <c r="AE657" s="1400">
        <f>IF(stayCity[[#This Row],[out]]&lt;&gt;"",stayCity[[#This Row],[out]]-stayCity[[#This Row],[in]],"-")</f>
        <v/>
      </c>
      <c r="AF657" s="1406">
        <f>IF(Y657="","-",YEAR(stayCity[[#This Row],[in]]))</f>
        <v/>
      </c>
      <c r="AG657" s="1392" t="n"/>
      <c r="AH657" s="1392" t="n"/>
      <c r="AI657" s="1392" t="n"/>
      <c r="AJ657" s="1392" t="n"/>
      <c r="AK657" s="1392" t="n"/>
      <c r="AL657" s="1392" t="n"/>
      <c r="AM657" s="1392" t="n"/>
      <c r="AN657" s="1392" t="n"/>
      <c r="AO657" s="1392" t="n"/>
      <c r="AP657" s="1392" t="n"/>
      <c r="AQ657" s="1392" t="n"/>
      <c r="AR657" s="1392" t="n"/>
      <c r="AS657" s="1422" t="n"/>
      <c r="AT657" s="1392" t="n"/>
      <c r="AU657" s="1392" t="n"/>
      <c r="AV657" s="1392" t="n"/>
      <c r="AW657" s="1392" t="n"/>
      <c r="AX657" s="1392" t="n"/>
      <c r="AY657" s="1392" t="n"/>
      <c r="AZ657" s="1392" t="n"/>
      <c r="BA657" s="1392" t="n"/>
      <c r="BB657" s="1422" t="n"/>
      <c r="BC657" s="1392" t="n"/>
      <c r="BD657" s="1392" t="n"/>
      <c r="BE657" s="1392" t="n"/>
      <c r="BF657" s="1392" t="n"/>
      <c r="BG657" s="1392" t="n"/>
      <c r="BH657" s="1392" t="n"/>
      <c r="BI657" s="1392" t="n"/>
      <c r="BJ657" s="1392" t="n"/>
      <c r="BK657" s="1392" t="n"/>
      <c r="BL657" s="1392" t="n"/>
      <c r="BM657" s="1392" t="n"/>
      <c r="BN657" s="1392" t="n"/>
      <c r="BO657" s="1392" t="n"/>
      <c r="BP657" s="1392" t="n"/>
      <c r="BQ657" s="1392" t="n"/>
      <c r="BR657" s="1392" t="n"/>
      <c r="BS657" s="1392" t="n"/>
      <c r="BT657" s="1392" t="n"/>
      <c r="BU657" s="1416" t="n"/>
      <c r="BV657" s="1392" t="n"/>
      <c r="BW657" s="1392" t="n"/>
      <c r="BX657" s="1392" t="n"/>
      <c r="BY657" s="1392" t="n"/>
      <c r="BZ657" s="1416" t="n"/>
      <c r="CA657" s="1392" t="n"/>
      <c r="CB657" s="1392" t="n"/>
      <c r="CC657" s="1392" t="n"/>
      <c r="CD657" s="1392" t="n"/>
      <c r="CE657" s="1392" t="n"/>
      <c r="CF657" s="1392" t="n"/>
      <c r="CG657" s="1392" t="n"/>
      <c r="CH657" s="1392" t="n"/>
      <c r="CI657" s="1392" t="n"/>
      <c r="CJ657" s="1392" t="n"/>
      <c r="CK657" s="1392" t="n"/>
      <c r="CL657" s="1392" t="n"/>
    </row>
    <row r="658">
      <c r="A658" s="5" t="inlineStr">
        <is>
          <t>.</t>
        </is>
      </c>
      <c r="B658" s="5" t="inlineStr">
        <is>
          <t>.</t>
        </is>
      </c>
      <c r="C658" s="1378">
        <f>IF(raw[[#This Row],[city]]="","-",IF(raw[[#This Row],[city]]="TODAY","-",C657+1))</f>
        <v/>
      </c>
      <c r="D658" s="1393" t="inlineStr">
        <is>
          <t>SP</t>
        </is>
      </c>
      <c r="E658" s="1394" t="n">
        <v>37043</v>
      </c>
      <c r="F658" s="1394" t="n">
        <v>37057</v>
      </c>
      <c r="G658" s="1393" t="inlineStr">
        <is>
          <t>-</t>
        </is>
      </c>
      <c r="H658" s="1393" t="inlineStr">
        <is>
          <t>Joaquim Eugenio</t>
        </is>
      </c>
      <c r="I658" s="1393" t="inlineStr">
        <is>
          <t>-</t>
        </is>
      </c>
      <c r="J658" s="1393" t="inlineStr">
        <is>
          <t>-</t>
        </is>
      </c>
      <c r="K658" s="1395">
        <f>IF(raw[[#This Row],[city]]&lt;&gt;"",_xlfn.XLOOKUP($D658,ccc[city],ccc[prov],"-"),"-")</f>
        <v/>
      </c>
      <c r="L658" s="1395">
        <f>IF(raw[[#This Row],[city]]&lt;&gt;"",_xlfn.XLOOKUP($D658,ccc[city],ccc[ctry],"-"),"-")</f>
        <v/>
      </c>
      <c r="M658" s="1395">
        <f>IF(raw[[#This Row],[city]]&lt;&gt;"",_xlfn.XLOOKUP($D658,ccc[city],ccc[cont],"-"),"-")</f>
        <v/>
      </c>
      <c r="N658" s="1396">
        <f>IF(raw[[#This Row],[city]]="","-",IF(raw[[#This Row],[cont]]="B",raw[[#This Row],[cont]],"W"))</f>
        <v/>
      </c>
      <c r="O658" s="1397">
        <f>IF(raw[[#This Row],[out]]=0,0,IF(raw[[#This Row],[out]]=raw[[#This Row],[in]],0.01,raw[[#This Row],[out]]-raw[[#This Row],[in]]))</f>
        <v/>
      </c>
      <c r="P658" s="1397">
        <f>IF(raw[[#This Row],[in]]=0,0,MONTH(raw[[#This Row],[in]]))</f>
        <v/>
      </c>
      <c r="Q658" s="1397">
        <f>IF(raw[[#This Row],[in]]=0,0,YEAR(raw[[#This Row],[in]]))</f>
        <v/>
      </c>
      <c r="R658" s="1397">
        <f>INT(raw[[#This Row],[yr]]/10)*10</f>
        <v/>
      </c>
      <c r="S658" s="1395">
        <f>IF(raw[[#This Row],[city]]="","-",IF(raw[[#This Row],[city]]&lt;&gt;_xlfn.XLOOKUP(raw[[#This Row],[home]],homes[home],homes[city],"-"),1,0))</f>
        <v/>
      </c>
      <c r="T658" s="1398" t="inlineStr">
        <is>
          <t>.</t>
        </is>
      </c>
      <c r="U658" s="1399">
        <f>IF(raw[[#This Row],[wb]]="w",raw[[#This Row],[stay]]+U657,U657)</f>
        <v/>
      </c>
      <c r="V658" s="1400">
        <f>IF(raw[[#This Row],[out]]=0,V657,(raw[[#This Row],[out]]-E$5))</f>
        <v/>
      </c>
      <c r="W658" s="1401">
        <f>U658/V658</f>
        <v/>
      </c>
      <c r="X658" s="1378" t="inlineStr">
        <is>
          <t>.</t>
        </is>
      </c>
      <c r="Y658" s="1402">
        <f/>
        <v/>
      </c>
      <c r="Z658" s="1403">
        <f/>
        <v/>
      </c>
      <c r="AA658" s="1403">
        <f/>
        <v/>
      </c>
      <c r="AB658" s="1400">
        <f t="array" ref="AB658">_xlfn.LET(_xlpm.S,_xlfn.ANCHORARRAY($Y$4),_xlpm.r,ROWS(stayCity[[#Headers],[city]]:stayCity[[#This Row],[city]])-1,IF(_xlpm.r&lt;=ROWS(_xlpm.S),INDEX(_xlpm.S,_xlpm.r,1),""))</f>
        <v/>
      </c>
      <c r="AC658" s="1405">
        <f t="array" ref="AC658">_xlfn.LET(_xlpm.S,_xlfn.ANCHORARRAY($Y$4),_xlpm.r,ROWS(stayCity[[#Headers],[city]]:stayCity[[#This Row],[city]])-1,IF(_xlpm.r&lt;=ROWS(_xlpm.S),INDEX(_xlpm.S,_xlpm.r,2),""))</f>
        <v/>
      </c>
      <c r="AD658" s="1405">
        <f t="array" ref="AD658">_xlfn.LET(_xlpm.S,_xlfn.ANCHORARRAY($Y$4),_xlpm.r,ROWS(stayCity[[#Headers],[city]]:stayCity[[#This Row],[city]])-1,IF(_xlpm.r&lt;=ROWS(_xlpm.S),INDEX(_xlpm.S,_xlpm.r,3),""))</f>
        <v/>
      </c>
      <c r="AE658" s="1400">
        <f>IF(stayCity[[#This Row],[out]]&lt;&gt;"",stayCity[[#This Row],[out]]-stayCity[[#This Row],[in]],"-")</f>
        <v/>
      </c>
      <c r="AF658" s="1406">
        <f>IF(Y658="","-",YEAR(stayCity[[#This Row],[in]]))</f>
        <v/>
      </c>
      <c r="AG658" s="1392" t="n"/>
      <c r="AH658" s="1392" t="n"/>
      <c r="AI658" s="1392" t="n"/>
      <c r="AJ658" s="1392" t="n"/>
      <c r="AK658" s="1392" t="n"/>
      <c r="AL658" s="1392" t="n"/>
      <c r="AM658" s="1392" t="n"/>
      <c r="AN658" s="1392" t="n"/>
      <c r="AO658" s="1392" t="n"/>
      <c r="AP658" s="1392" t="n"/>
      <c r="AQ658" s="1392" t="n"/>
      <c r="AR658" s="1392" t="n"/>
      <c r="AS658" s="1422" t="n"/>
      <c r="AT658" s="1392" t="n"/>
      <c r="AU658" s="1392" t="n"/>
      <c r="AV658" s="1392" t="n"/>
      <c r="AW658" s="1392" t="n"/>
      <c r="AX658" s="1392" t="n"/>
      <c r="AY658" s="1392" t="n"/>
      <c r="AZ658" s="1392" t="n"/>
      <c r="BA658" s="1392" t="n"/>
      <c r="BB658" s="1422" t="n"/>
      <c r="BC658" s="1392" t="n"/>
      <c r="BD658" s="1392" t="n"/>
      <c r="BE658" s="1392" t="n"/>
      <c r="BF658" s="1392" t="n"/>
      <c r="BG658" s="1392" t="n"/>
      <c r="BH658" s="1392" t="n"/>
      <c r="BI658" s="1392" t="n"/>
      <c r="BJ658" s="1392" t="n"/>
      <c r="BK658" s="1392" t="n"/>
      <c r="BL658" s="1392" t="n"/>
      <c r="BM658" s="1392" t="n"/>
      <c r="BN658" s="1392" t="n"/>
      <c r="BO658" s="1392" t="n"/>
      <c r="BP658" s="1392" t="n"/>
      <c r="BQ658" s="1392" t="n"/>
      <c r="BR658" s="1392" t="n"/>
      <c r="BS658" s="1392" t="n"/>
      <c r="BT658" s="1392" t="n"/>
      <c r="BU658" s="1416" t="n"/>
      <c r="BV658" s="1392" t="n"/>
      <c r="BW658" s="1392" t="n"/>
      <c r="BX658" s="1392" t="n"/>
      <c r="BY658" s="1392" t="n"/>
      <c r="BZ658" s="1416" t="n"/>
      <c r="CA658" s="1392" t="n"/>
      <c r="CB658" s="1392" t="n"/>
      <c r="CC658" s="1392" t="n"/>
      <c r="CD658" s="1392" t="n"/>
      <c r="CE658" s="1392" t="n"/>
      <c r="CF658" s="1392" t="n"/>
      <c r="CG658" s="1392" t="n"/>
      <c r="CH658" s="1392" t="n"/>
      <c r="CI658" s="1392" t="n"/>
      <c r="CJ658" s="1392" t="n"/>
      <c r="CK658" s="1392" t="n"/>
      <c r="CL658" s="1392" t="n"/>
    </row>
    <row r="659">
      <c r="A659" s="5" t="inlineStr">
        <is>
          <t>.</t>
        </is>
      </c>
      <c r="B659" s="5" t="inlineStr">
        <is>
          <t>.</t>
        </is>
      </c>
      <c r="C659" s="1378">
        <f>IF(raw[[#This Row],[city]]="","-",IF(raw[[#This Row],[city]]="TODAY","-",C658+1))</f>
        <v/>
      </c>
      <c r="D659" s="1393" t="inlineStr">
        <is>
          <t>Ilhabela</t>
        </is>
      </c>
      <c r="E659" s="1394" t="n">
        <v>37057</v>
      </c>
      <c r="F659" s="1394" t="n">
        <v>37059</v>
      </c>
      <c r="G659" s="1393" t="inlineStr">
        <is>
          <t>-</t>
        </is>
      </c>
      <c r="H659" s="1393" t="inlineStr">
        <is>
          <t>Joaquim Eugenio</t>
        </is>
      </c>
      <c r="I659" s="1393" t="inlineStr">
        <is>
          <t>-</t>
        </is>
      </c>
      <c r="J659" s="1393" t="inlineStr">
        <is>
          <t>-</t>
        </is>
      </c>
      <c r="K659" s="1395">
        <f>IF(raw[[#This Row],[city]]&lt;&gt;"",_xlfn.XLOOKUP($D659,ccc[city],ccc[prov],"-"),"-")</f>
        <v/>
      </c>
      <c r="L659" s="1395">
        <f>IF(raw[[#This Row],[city]]&lt;&gt;"",_xlfn.XLOOKUP($D659,ccc[city],ccc[ctry],"-"),"-")</f>
        <v/>
      </c>
      <c r="M659" s="1395">
        <f>IF(raw[[#This Row],[city]]&lt;&gt;"",_xlfn.XLOOKUP($D659,ccc[city],ccc[cont],"-"),"-")</f>
        <v/>
      </c>
      <c r="N659" s="1396">
        <f>IF(raw[[#This Row],[city]]="","-",IF(raw[[#This Row],[cont]]="B",raw[[#This Row],[cont]],"W"))</f>
        <v/>
      </c>
      <c r="O659" s="1397">
        <f>IF(raw[[#This Row],[out]]=0,0,IF(raw[[#This Row],[out]]=raw[[#This Row],[in]],0.01,raw[[#This Row],[out]]-raw[[#This Row],[in]]))</f>
        <v/>
      </c>
      <c r="P659" s="1397">
        <f>IF(raw[[#This Row],[in]]=0,0,MONTH(raw[[#This Row],[in]]))</f>
        <v/>
      </c>
      <c r="Q659" s="1397">
        <f>IF(raw[[#This Row],[in]]=0,0,YEAR(raw[[#This Row],[in]]))</f>
        <v/>
      </c>
      <c r="R659" s="1397">
        <f>INT(raw[[#This Row],[yr]]/10)*10</f>
        <v/>
      </c>
      <c r="S659" s="1395">
        <f>IF(raw[[#This Row],[city]]="","-",IF(raw[[#This Row],[city]]&lt;&gt;_xlfn.XLOOKUP(raw[[#This Row],[home]],homes[home],homes[city],"-"),1,0))</f>
        <v/>
      </c>
      <c r="T659" s="1398" t="inlineStr">
        <is>
          <t>.</t>
        </is>
      </c>
      <c r="U659" s="1399">
        <f>IF(raw[[#This Row],[wb]]="w",raw[[#This Row],[stay]]+U658,U658)</f>
        <v/>
      </c>
      <c r="V659" s="1400">
        <f>IF(raw[[#This Row],[out]]=0,V658,(raw[[#This Row],[out]]-E$5))</f>
        <v/>
      </c>
      <c r="W659" s="1401">
        <f>U659/V659</f>
        <v/>
      </c>
      <c r="X659" s="1378" t="inlineStr">
        <is>
          <t>.</t>
        </is>
      </c>
      <c r="Y659" s="1402">
        <f/>
        <v/>
      </c>
      <c r="Z659" s="1403">
        <f/>
        <v/>
      </c>
      <c r="AA659" s="1403">
        <f/>
        <v/>
      </c>
      <c r="AB659" s="1400">
        <f t="array" ref="AB659">_xlfn.LET(_xlpm.S,_xlfn.ANCHORARRAY($Y$4),_xlpm.r,ROWS(stayCity[[#Headers],[city]]:stayCity[[#This Row],[city]])-1,IF(_xlpm.r&lt;=ROWS(_xlpm.S),INDEX(_xlpm.S,_xlpm.r,1),""))</f>
        <v/>
      </c>
      <c r="AC659" s="1405">
        <f t="array" ref="AC659">_xlfn.LET(_xlpm.S,_xlfn.ANCHORARRAY($Y$4),_xlpm.r,ROWS(stayCity[[#Headers],[city]]:stayCity[[#This Row],[city]])-1,IF(_xlpm.r&lt;=ROWS(_xlpm.S),INDEX(_xlpm.S,_xlpm.r,2),""))</f>
        <v/>
      </c>
      <c r="AD659" s="1405">
        <f t="array" ref="AD659">_xlfn.LET(_xlpm.S,_xlfn.ANCHORARRAY($Y$4),_xlpm.r,ROWS(stayCity[[#Headers],[city]]:stayCity[[#This Row],[city]])-1,IF(_xlpm.r&lt;=ROWS(_xlpm.S),INDEX(_xlpm.S,_xlpm.r,3),""))</f>
        <v/>
      </c>
      <c r="AE659" s="1400">
        <f>IF(stayCity[[#This Row],[out]]&lt;&gt;"",stayCity[[#This Row],[out]]-stayCity[[#This Row],[in]],"-")</f>
        <v/>
      </c>
      <c r="AF659" s="1406">
        <f>IF(Y659="","-",YEAR(stayCity[[#This Row],[in]]))</f>
        <v/>
      </c>
      <c r="AG659" s="1392" t="n"/>
      <c r="AH659" s="1392" t="n"/>
      <c r="AI659" s="1392" t="n"/>
      <c r="AJ659" s="1392" t="n"/>
      <c r="AK659" s="1392" t="n"/>
      <c r="AL659" s="1392" t="n"/>
      <c r="AM659" s="1392" t="n"/>
      <c r="AN659" s="1392" t="n"/>
      <c r="AO659" s="1392" t="n"/>
      <c r="AP659" s="1392" t="n"/>
      <c r="AQ659" s="1392" t="n"/>
      <c r="AR659" s="1392" t="n"/>
      <c r="AS659" s="1422" t="n"/>
      <c r="AT659" s="1392" t="n"/>
      <c r="AU659" s="1392" t="n"/>
      <c r="AV659" s="1392" t="n"/>
      <c r="AW659" s="1392" t="n"/>
      <c r="AX659" s="1392" t="n"/>
      <c r="AY659" s="1392" t="n"/>
      <c r="AZ659" s="1392" t="n"/>
      <c r="BA659" s="1392" t="n"/>
      <c r="BB659" s="1422" t="n"/>
      <c r="BC659" s="1392" t="n"/>
      <c r="BD659" s="1392" t="n"/>
      <c r="BE659" s="1392" t="n"/>
      <c r="BF659" s="1392" t="n"/>
      <c r="BG659" s="1392" t="n"/>
      <c r="BH659" s="1392" t="n"/>
      <c r="BI659" s="1392" t="n"/>
      <c r="BJ659" s="1392" t="n"/>
      <c r="BK659" s="1392" t="n"/>
      <c r="BL659" s="1392" t="n"/>
      <c r="BM659" s="1392" t="n"/>
      <c r="BN659" s="1392" t="n"/>
      <c r="BO659" s="1392" t="n"/>
      <c r="BP659" s="1392" t="n"/>
      <c r="BQ659" s="1392" t="n"/>
      <c r="BR659" s="1392" t="n"/>
      <c r="BS659" s="1392" t="n"/>
      <c r="BT659" s="1392" t="n"/>
      <c r="BU659" s="1416" t="n"/>
      <c r="BV659" s="1392" t="n"/>
      <c r="BW659" s="1392" t="n"/>
      <c r="BX659" s="1392" t="n"/>
      <c r="BY659" s="1392" t="n"/>
      <c r="BZ659" s="1416" t="n"/>
      <c r="CA659" s="1392" t="n"/>
      <c r="CB659" s="1392" t="n"/>
      <c r="CC659" s="1392" t="n"/>
      <c r="CD659" s="1392" t="n"/>
      <c r="CE659" s="1392" t="n"/>
      <c r="CF659" s="1392" t="n"/>
      <c r="CG659" s="1392" t="n"/>
      <c r="CH659" s="1392" t="n"/>
      <c r="CI659" s="1392" t="n"/>
      <c r="CJ659" s="1392" t="n"/>
      <c r="CK659" s="1392" t="n"/>
      <c r="CL659" s="1392" t="n"/>
    </row>
    <row r="660">
      <c r="A660" s="5" t="inlineStr">
        <is>
          <t>.</t>
        </is>
      </c>
      <c r="B660" s="5" t="inlineStr">
        <is>
          <t>.</t>
        </is>
      </c>
      <c r="C660" s="1378">
        <f>IF(raw[[#This Row],[city]]="","-",IF(raw[[#This Row],[city]]="TODAY","-",C659+1))</f>
        <v/>
      </c>
      <c r="D660" s="1393" t="inlineStr">
        <is>
          <t>SP</t>
        </is>
      </c>
      <c r="E660" s="1394" t="n">
        <v>37059</v>
      </c>
      <c r="F660" s="1394" t="n">
        <v>37073</v>
      </c>
      <c r="G660" s="1393" t="inlineStr">
        <is>
          <t>-</t>
        </is>
      </c>
      <c r="H660" s="1393" t="inlineStr">
        <is>
          <t>Joaquim Eugenio</t>
        </is>
      </c>
      <c r="I660" s="1393" t="inlineStr">
        <is>
          <t>-</t>
        </is>
      </c>
      <c r="J660" s="1393" t="inlineStr">
        <is>
          <t>-</t>
        </is>
      </c>
      <c r="K660" s="1395">
        <f>IF(raw[[#This Row],[city]]&lt;&gt;"",_xlfn.XLOOKUP($D660,ccc[city],ccc[prov],"-"),"-")</f>
        <v/>
      </c>
      <c r="L660" s="1395">
        <f>IF(raw[[#This Row],[city]]&lt;&gt;"",_xlfn.XLOOKUP($D660,ccc[city],ccc[ctry],"-"),"-")</f>
        <v/>
      </c>
      <c r="M660" s="1395">
        <f>IF(raw[[#This Row],[city]]&lt;&gt;"",_xlfn.XLOOKUP($D660,ccc[city],ccc[cont],"-"),"-")</f>
        <v/>
      </c>
      <c r="N660" s="1396">
        <f>IF(raw[[#This Row],[city]]="","-",IF(raw[[#This Row],[cont]]="B",raw[[#This Row],[cont]],"W"))</f>
        <v/>
      </c>
      <c r="O660" s="1397">
        <f>IF(raw[[#This Row],[out]]=0,0,IF(raw[[#This Row],[out]]=raw[[#This Row],[in]],0.01,raw[[#This Row],[out]]-raw[[#This Row],[in]]))</f>
        <v/>
      </c>
      <c r="P660" s="1397">
        <f>IF(raw[[#This Row],[in]]=0,0,MONTH(raw[[#This Row],[in]]))</f>
        <v/>
      </c>
      <c r="Q660" s="1397">
        <f>IF(raw[[#This Row],[in]]=0,0,YEAR(raw[[#This Row],[in]]))</f>
        <v/>
      </c>
      <c r="R660" s="1397">
        <f>INT(raw[[#This Row],[yr]]/10)*10</f>
        <v/>
      </c>
      <c r="S660" s="1395">
        <f>IF(raw[[#This Row],[city]]="","-",IF(raw[[#This Row],[city]]&lt;&gt;_xlfn.XLOOKUP(raw[[#This Row],[home]],homes[home],homes[city],"-"),1,0))</f>
        <v/>
      </c>
      <c r="T660" s="1398" t="inlineStr">
        <is>
          <t>.</t>
        </is>
      </c>
      <c r="U660" s="1399">
        <f>IF(raw[[#This Row],[wb]]="w",raw[[#This Row],[stay]]+U659,U659)</f>
        <v/>
      </c>
      <c r="V660" s="1400">
        <f>IF(raw[[#This Row],[out]]=0,V659,(raw[[#This Row],[out]]-E$5))</f>
        <v/>
      </c>
      <c r="W660" s="1401">
        <f>U660/V660</f>
        <v/>
      </c>
      <c r="X660" s="1378" t="inlineStr">
        <is>
          <t>.</t>
        </is>
      </c>
      <c r="Y660" s="1402">
        <f/>
        <v/>
      </c>
      <c r="Z660" s="1403">
        <f/>
        <v/>
      </c>
      <c r="AA660" s="1403">
        <f/>
        <v/>
      </c>
      <c r="AB660" s="1400">
        <f t="array" ref="AB660">_xlfn.LET(_xlpm.S,_xlfn.ANCHORARRAY($Y$4),_xlpm.r,ROWS(stayCity[[#Headers],[city]]:stayCity[[#This Row],[city]])-1,IF(_xlpm.r&lt;=ROWS(_xlpm.S),INDEX(_xlpm.S,_xlpm.r,1),""))</f>
        <v/>
      </c>
      <c r="AC660" s="1405">
        <f t="array" ref="AC660">_xlfn.LET(_xlpm.S,_xlfn.ANCHORARRAY($Y$4),_xlpm.r,ROWS(stayCity[[#Headers],[city]]:stayCity[[#This Row],[city]])-1,IF(_xlpm.r&lt;=ROWS(_xlpm.S),INDEX(_xlpm.S,_xlpm.r,2),""))</f>
        <v/>
      </c>
      <c r="AD660" s="1405">
        <f t="array" ref="AD660">_xlfn.LET(_xlpm.S,_xlfn.ANCHORARRAY($Y$4),_xlpm.r,ROWS(stayCity[[#Headers],[city]]:stayCity[[#This Row],[city]])-1,IF(_xlpm.r&lt;=ROWS(_xlpm.S),INDEX(_xlpm.S,_xlpm.r,3),""))</f>
        <v/>
      </c>
      <c r="AE660" s="1400">
        <f>IF(stayCity[[#This Row],[out]]&lt;&gt;"",stayCity[[#This Row],[out]]-stayCity[[#This Row],[in]],"-")</f>
        <v/>
      </c>
      <c r="AF660" s="1406">
        <f>IF(Y660="","-",YEAR(stayCity[[#This Row],[in]]))</f>
        <v/>
      </c>
      <c r="AG660" s="1392" t="n"/>
      <c r="AH660" s="1392" t="n"/>
      <c r="AI660" s="1392" t="n"/>
      <c r="AJ660" s="1392" t="n"/>
      <c r="AK660" s="1392" t="n"/>
      <c r="AL660" s="1392" t="n"/>
      <c r="AM660" s="1392" t="n"/>
      <c r="AN660" s="1392" t="n"/>
      <c r="AO660" s="1392" t="n"/>
      <c r="AP660" s="1392" t="n"/>
      <c r="AQ660" s="1392" t="n"/>
      <c r="AR660" s="1392" t="n"/>
      <c r="AS660" s="1422" t="n"/>
      <c r="AT660" s="1392" t="n"/>
      <c r="AU660" s="1392" t="n"/>
      <c r="AV660" s="1392" t="n"/>
      <c r="AW660" s="1392" t="n"/>
      <c r="AX660" s="1392" t="n"/>
      <c r="AY660" s="1392" t="n"/>
      <c r="AZ660" s="1392" t="n"/>
      <c r="BA660" s="1392" t="n"/>
      <c r="BB660" s="1422" t="n"/>
      <c r="BC660" s="1392" t="n"/>
      <c r="BD660" s="1392" t="n"/>
      <c r="BE660" s="1392" t="n"/>
      <c r="BF660" s="1392" t="n"/>
      <c r="BG660" s="1392" t="n"/>
      <c r="BH660" s="1392" t="n"/>
      <c r="BI660" s="1392" t="n"/>
      <c r="BJ660" s="1392" t="n"/>
      <c r="BK660" s="1392" t="n"/>
      <c r="BL660" s="1392" t="n"/>
      <c r="BM660" s="1392" t="n"/>
      <c r="BN660" s="1392" t="n"/>
      <c r="BO660" s="1392" t="n"/>
      <c r="BP660" s="1392" t="n"/>
      <c r="BQ660" s="1392" t="n"/>
      <c r="BR660" s="1392" t="n"/>
      <c r="BS660" s="1392" t="n"/>
      <c r="BT660" s="1392" t="n"/>
      <c r="BU660" s="1416" t="n"/>
      <c r="BV660" s="1392" t="n"/>
      <c r="BW660" s="1392" t="n"/>
      <c r="BX660" s="1392" t="n"/>
      <c r="BY660" s="1392" t="n"/>
      <c r="BZ660" s="1416" t="n"/>
      <c r="CA660" s="1392" t="n"/>
      <c r="CB660" s="1392" t="n"/>
      <c r="CC660" s="1392" t="n"/>
      <c r="CD660" s="1392" t="n"/>
      <c r="CE660" s="1392" t="n"/>
      <c r="CF660" s="1392" t="n"/>
      <c r="CG660" s="1392" t="n"/>
      <c r="CH660" s="1392" t="n"/>
      <c r="CI660" s="1392" t="n"/>
      <c r="CJ660" s="1392" t="n"/>
      <c r="CK660" s="1392" t="n"/>
      <c r="CL660" s="1392" t="n"/>
    </row>
    <row r="661">
      <c r="A661" s="5" t="inlineStr">
        <is>
          <t>.</t>
        </is>
      </c>
      <c r="B661" s="5" t="inlineStr">
        <is>
          <t>.</t>
        </is>
      </c>
      <c r="C661" s="1378">
        <f>IF(raw[[#This Row],[city]]="","-",IF(raw[[#This Row],[city]]="TODAY","-",C660+1))</f>
        <v/>
      </c>
      <c r="D661" s="1393" t="inlineStr">
        <is>
          <t>SP</t>
        </is>
      </c>
      <c r="E661" s="1394" t="n">
        <v>37073</v>
      </c>
      <c r="F661" s="1394" t="n">
        <v>37079</v>
      </c>
      <c r="G661" s="1393" t="inlineStr">
        <is>
          <t>-</t>
        </is>
      </c>
      <c r="H661" s="1393" t="inlineStr">
        <is>
          <t>Joaquim Eugenio</t>
        </is>
      </c>
      <c r="I661" s="1393" t="inlineStr">
        <is>
          <t>-</t>
        </is>
      </c>
      <c r="J661" s="1393" t="inlineStr">
        <is>
          <t>-</t>
        </is>
      </c>
      <c r="K661" s="1395">
        <f>IF(raw[[#This Row],[city]]&lt;&gt;"",_xlfn.XLOOKUP($D661,ccc[city],ccc[prov],"-"),"-")</f>
        <v/>
      </c>
      <c r="L661" s="1395">
        <f>IF(raw[[#This Row],[city]]&lt;&gt;"",_xlfn.XLOOKUP($D661,ccc[city],ccc[ctry],"-"),"-")</f>
        <v/>
      </c>
      <c r="M661" s="1395">
        <f>IF(raw[[#This Row],[city]]&lt;&gt;"",_xlfn.XLOOKUP($D661,ccc[city],ccc[cont],"-"),"-")</f>
        <v/>
      </c>
      <c r="N661" s="1396">
        <f>IF(raw[[#This Row],[city]]="","-",IF(raw[[#This Row],[cont]]="B",raw[[#This Row],[cont]],"W"))</f>
        <v/>
      </c>
      <c r="O661" s="1397">
        <f>IF(raw[[#This Row],[out]]=0,0,IF(raw[[#This Row],[out]]=raw[[#This Row],[in]],0.01,raw[[#This Row],[out]]-raw[[#This Row],[in]]))</f>
        <v/>
      </c>
      <c r="P661" s="1397">
        <f>IF(raw[[#This Row],[in]]=0,0,MONTH(raw[[#This Row],[in]]))</f>
        <v/>
      </c>
      <c r="Q661" s="1397">
        <f>IF(raw[[#This Row],[in]]=0,0,YEAR(raw[[#This Row],[in]]))</f>
        <v/>
      </c>
      <c r="R661" s="1397">
        <f>INT(raw[[#This Row],[yr]]/10)*10</f>
        <v/>
      </c>
      <c r="S661" s="1395">
        <f>IF(raw[[#This Row],[city]]="","-",IF(raw[[#This Row],[city]]&lt;&gt;_xlfn.XLOOKUP(raw[[#This Row],[home]],homes[home],homes[city],"-"),1,0))</f>
        <v/>
      </c>
      <c r="T661" s="1398" t="inlineStr">
        <is>
          <t>.</t>
        </is>
      </c>
      <c r="U661" s="1399">
        <f>IF(raw[[#This Row],[wb]]="w",raw[[#This Row],[stay]]+U660,U660)</f>
        <v/>
      </c>
      <c r="V661" s="1400">
        <f>IF(raw[[#This Row],[out]]=0,V660,(raw[[#This Row],[out]]-E$5))</f>
        <v/>
      </c>
      <c r="W661" s="1401">
        <f>U661/V661</f>
        <v/>
      </c>
      <c r="X661" s="1378" t="inlineStr">
        <is>
          <t>.</t>
        </is>
      </c>
      <c r="Y661" s="1402">
        <f/>
        <v/>
      </c>
      <c r="Z661" s="1403">
        <f/>
        <v/>
      </c>
      <c r="AA661" s="1403">
        <f/>
        <v/>
      </c>
      <c r="AB661" s="1400">
        <f t="array" ref="AB661">_xlfn.LET(_xlpm.S,_xlfn.ANCHORARRAY($Y$4),_xlpm.r,ROWS(stayCity[[#Headers],[city]]:stayCity[[#This Row],[city]])-1,IF(_xlpm.r&lt;=ROWS(_xlpm.S),INDEX(_xlpm.S,_xlpm.r,1),""))</f>
        <v/>
      </c>
      <c r="AC661" s="1405">
        <f t="array" ref="AC661">_xlfn.LET(_xlpm.S,_xlfn.ANCHORARRAY($Y$4),_xlpm.r,ROWS(stayCity[[#Headers],[city]]:stayCity[[#This Row],[city]])-1,IF(_xlpm.r&lt;=ROWS(_xlpm.S),INDEX(_xlpm.S,_xlpm.r,2),""))</f>
        <v/>
      </c>
      <c r="AD661" s="1405">
        <f t="array" ref="AD661">_xlfn.LET(_xlpm.S,_xlfn.ANCHORARRAY($Y$4),_xlpm.r,ROWS(stayCity[[#Headers],[city]]:stayCity[[#This Row],[city]])-1,IF(_xlpm.r&lt;=ROWS(_xlpm.S),INDEX(_xlpm.S,_xlpm.r,3),""))</f>
        <v/>
      </c>
      <c r="AE661" s="1400">
        <f>IF(stayCity[[#This Row],[out]]&lt;&gt;"",stayCity[[#This Row],[out]]-stayCity[[#This Row],[in]],"-")</f>
        <v/>
      </c>
      <c r="AF661" s="1406">
        <f>IF(Y661="","-",YEAR(stayCity[[#This Row],[in]]))</f>
        <v/>
      </c>
      <c r="AG661" s="1392" t="n"/>
      <c r="AH661" s="1392" t="n"/>
      <c r="AI661" s="1392" t="n"/>
      <c r="AJ661" s="1392" t="n"/>
      <c r="AK661" s="1392" t="n"/>
      <c r="AL661" s="1392" t="n"/>
      <c r="AM661" s="1392" t="n"/>
      <c r="AN661" s="1392" t="n"/>
      <c r="AO661" s="1392" t="n"/>
      <c r="AP661" s="1392" t="n"/>
      <c r="AQ661" s="1392" t="n"/>
      <c r="AR661" s="1392" t="n"/>
      <c r="AS661" s="1422" t="n"/>
      <c r="AT661" s="1392" t="n"/>
      <c r="AU661" s="1392" t="n"/>
      <c r="AV661" s="1392" t="n"/>
      <c r="AW661" s="1392" t="n"/>
      <c r="AX661" s="1392" t="n"/>
      <c r="AY661" s="1392" t="n"/>
      <c r="AZ661" s="1392" t="n"/>
      <c r="BA661" s="1392" t="n"/>
      <c r="BB661" s="1422" t="n"/>
      <c r="BC661" s="1392" t="n"/>
      <c r="BD661" s="1392" t="n"/>
      <c r="BE661" s="1392" t="n"/>
      <c r="BF661" s="1392" t="n"/>
      <c r="BG661" s="1392" t="n"/>
      <c r="BH661" s="1392" t="n"/>
      <c r="BI661" s="1392" t="n"/>
      <c r="BJ661" s="1392" t="n"/>
      <c r="BK661" s="1392" t="n"/>
      <c r="BL661" s="1392" t="n"/>
      <c r="BM661" s="1392" t="n"/>
      <c r="BN661" s="1392" t="n"/>
      <c r="BO661" s="1392" t="n"/>
      <c r="BP661" s="1392" t="n"/>
      <c r="BQ661" s="1392" t="n"/>
      <c r="BR661" s="1392" t="n"/>
      <c r="BS661" s="1392" t="n"/>
      <c r="BT661" s="1392" t="n"/>
      <c r="BU661" s="1416" t="n"/>
      <c r="BV661" s="1392" t="n"/>
      <c r="BW661" s="1392" t="n"/>
      <c r="BX661" s="1392" t="n"/>
      <c r="BY661" s="1392" t="n"/>
      <c r="BZ661" s="1416" t="n"/>
      <c r="CA661" s="1392" t="n"/>
      <c r="CB661" s="1392" t="n"/>
      <c r="CC661" s="1392" t="n"/>
      <c r="CD661" s="1392" t="n"/>
      <c r="CE661" s="1392" t="n"/>
      <c r="CF661" s="1392" t="n"/>
      <c r="CG661" s="1392" t="n"/>
      <c r="CH661" s="1392" t="n"/>
      <c r="CI661" s="1392" t="n"/>
      <c r="CJ661" s="1392" t="n"/>
      <c r="CK661" s="1392" t="n"/>
      <c r="CL661" s="1392" t="n"/>
    </row>
    <row r="662">
      <c r="A662" s="5" t="inlineStr">
        <is>
          <t>.</t>
        </is>
      </c>
      <c r="B662" s="5" t="inlineStr">
        <is>
          <t>.</t>
        </is>
      </c>
      <c r="C662" s="1378">
        <f>IF(raw[[#This Row],[city]]="","-",IF(raw[[#This Row],[city]]="TODAY","-",C661+1))</f>
        <v/>
      </c>
      <c r="D662" s="1393" t="inlineStr">
        <is>
          <t>Guaratinguetá</t>
        </is>
      </c>
      <c r="E662" s="1394" t="n">
        <v>37079</v>
      </c>
      <c r="F662" s="1394" t="n">
        <v>37081</v>
      </c>
      <c r="G662" s="1393" t="inlineStr">
        <is>
          <t>-</t>
        </is>
      </c>
      <c r="H662" s="1393" t="inlineStr">
        <is>
          <t>Joaquim Eugenio</t>
        </is>
      </c>
      <c r="I662" s="1393" t="inlineStr">
        <is>
          <t>-</t>
        </is>
      </c>
      <c r="J662" s="1393" t="inlineStr">
        <is>
          <t>-</t>
        </is>
      </c>
      <c r="K662" s="1395">
        <f>IF(raw[[#This Row],[city]]&lt;&gt;"",_xlfn.XLOOKUP($D662,ccc[city],ccc[prov],"-"),"-")</f>
        <v/>
      </c>
      <c r="L662" s="1395">
        <f>IF(raw[[#This Row],[city]]&lt;&gt;"",_xlfn.XLOOKUP($D662,ccc[city],ccc[ctry],"-"),"-")</f>
        <v/>
      </c>
      <c r="M662" s="1395">
        <f>IF(raw[[#This Row],[city]]&lt;&gt;"",_xlfn.XLOOKUP($D662,ccc[city],ccc[cont],"-"),"-")</f>
        <v/>
      </c>
      <c r="N662" s="1396">
        <f>IF(raw[[#This Row],[city]]="","-",IF(raw[[#This Row],[cont]]="B",raw[[#This Row],[cont]],"W"))</f>
        <v/>
      </c>
      <c r="O662" s="1397">
        <f>IF(raw[[#This Row],[out]]=0,0,IF(raw[[#This Row],[out]]=raw[[#This Row],[in]],0.01,raw[[#This Row],[out]]-raw[[#This Row],[in]]))</f>
        <v/>
      </c>
      <c r="P662" s="1397">
        <f>IF(raw[[#This Row],[in]]=0,0,MONTH(raw[[#This Row],[in]]))</f>
        <v/>
      </c>
      <c r="Q662" s="1397">
        <f>IF(raw[[#This Row],[in]]=0,0,YEAR(raw[[#This Row],[in]]))</f>
        <v/>
      </c>
      <c r="R662" s="1397">
        <f>INT(raw[[#This Row],[yr]]/10)*10</f>
        <v/>
      </c>
      <c r="S662" s="1395">
        <f>IF(raw[[#This Row],[city]]="","-",IF(raw[[#This Row],[city]]&lt;&gt;_xlfn.XLOOKUP(raw[[#This Row],[home]],homes[home],homes[city],"-"),1,0))</f>
        <v/>
      </c>
      <c r="T662" s="1398" t="inlineStr">
        <is>
          <t>.</t>
        </is>
      </c>
      <c r="U662" s="1399">
        <f>IF(raw[[#This Row],[wb]]="w",raw[[#This Row],[stay]]+U661,U661)</f>
        <v/>
      </c>
      <c r="V662" s="1400">
        <f>IF(raw[[#This Row],[out]]=0,V661,(raw[[#This Row],[out]]-E$5))</f>
        <v/>
      </c>
      <c r="W662" s="1401">
        <f>U662/V662</f>
        <v/>
      </c>
      <c r="X662" s="1378" t="inlineStr">
        <is>
          <t>.</t>
        </is>
      </c>
      <c r="Y662" s="1402">
        <f/>
        <v/>
      </c>
      <c r="Z662" s="1403">
        <f/>
        <v/>
      </c>
      <c r="AA662" s="1403">
        <f/>
        <v/>
      </c>
      <c r="AB662" s="1400">
        <f t="array" ref="AB662">_xlfn.LET(_xlpm.S,_xlfn.ANCHORARRAY($Y$4),_xlpm.r,ROWS(stayCity[[#Headers],[city]]:stayCity[[#This Row],[city]])-1,IF(_xlpm.r&lt;=ROWS(_xlpm.S),INDEX(_xlpm.S,_xlpm.r,1),""))</f>
        <v/>
      </c>
      <c r="AC662" s="1405">
        <f t="array" ref="AC662">_xlfn.LET(_xlpm.S,_xlfn.ANCHORARRAY($Y$4),_xlpm.r,ROWS(stayCity[[#Headers],[city]]:stayCity[[#This Row],[city]])-1,IF(_xlpm.r&lt;=ROWS(_xlpm.S),INDEX(_xlpm.S,_xlpm.r,2),""))</f>
        <v/>
      </c>
      <c r="AD662" s="1405">
        <f t="array" ref="AD662">_xlfn.LET(_xlpm.S,_xlfn.ANCHORARRAY($Y$4),_xlpm.r,ROWS(stayCity[[#Headers],[city]]:stayCity[[#This Row],[city]])-1,IF(_xlpm.r&lt;=ROWS(_xlpm.S),INDEX(_xlpm.S,_xlpm.r,3),""))</f>
        <v/>
      </c>
      <c r="AE662" s="1400">
        <f>IF(stayCity[[#This Row],[out]]&lt;&gt;"",stayCity[[#This Row],[out]]-stayCity[[#This Row],[in]],"-")</f>
        <v/>
      </c>
      <c r="AF662" s="1406">
        <f>IF(Y662="","-",YEAR(stayCity[[#This Row],[in]]))</f>
        <v/>
      </c>
      <c r="AG662" s="1392" t="n"/>
      <c r="AH662" s="1392" t="n"/>
      <c r="AI662" s="1392" t="n"/>
      <c r="AJ662" s="1392" t="n"/>
      <c r="AK662" s="1392" t="n"/>
      <c r="AL662" s="1392" t="n"/>
      <c r="AM662" s="1392" t="n"/>
      <c r="AN662" s="1392" t="n"/>
      <c r="AO662" s="1392" t="n"/>
      <c r="AP662" s="1392" t="n"/>
      <c r="AQ662" s="1392" t="n"/>
      <c r="AR662" s="1392" t="n"/>
      <c r="AS662" s="1422" t="n"/>
      <c r="AT662" s="1392" t="n"/>
      <c r="AU662" s="1392" t="n"/>
      <c r="AV662" s="1392" t="n"/>
      <c r="AW662" s="1392" t="n"/>
      <c r="AX662" s="1392" t="n"/>
      <c r="AY662" s="1392" t="n"/>
      <c r="AZ662" s="1392" t="n"/>
      <c r="BA662" s="1392" t="n"/>
      <c r="BB662" s="1422" t="n"/>
      <c r="BC662" s="1392" t="n"/>
      <c r="BD662" s="1392" t="n"/>
      <c r="BE662" s="1392" t="n"/>
      <c r="BF662" s="1392" t="n"/>
      <c r="BG662" s="1392" t="n"/>
      <c r="BH662" s="1392" t="n"/>
      <c r="BI662" s="1392" t="n"/>
      <c r="BJ662" s="1392" t="n"/>
      <c r="BK662" s="1392" t="n"/>
      <c r="BL662" s="1392" t="n"/>
      <c r="BM662" s="1392" t="n"/>
      <c r="BN662" s="1392" t="n"/>
      <c r="BO662" s="1392" t="n"/>
      <c r="BP662" s="1392" t="n"/>
      <c r="BQ662" s="1392" t="n"/>
      <c r="BR662" s="1392" t="n"/>
      <c r="BS662" s="1392" t="n"/>
      <c r="BT662" s="1392" t="n"/>
      <c r="BU662" s="1416" t="n"/>
      <c r="BV662" s="1392" t="n"/>
      <c r="BW662" s="1392" t="n"/>
      <c r="BX662" s="1392" t="n"/>
      <c r="BY662" s="1392" t="n"/>
      <c r="BZ662" s="1416" t="n"/>
      <c r="CA662" s="1392" t="n"/>
      <c r="CB662" s="1392" t="n"/>
      <c r="CC662" s="1392" t="n"/>
      <c r="CD662" s="1392" t="n"/>
      <c r="CE662" s="1392" t="n"/>
      <c r="CF662" s="1392" t="n"/>
      <c r="CG662" s="1392" t="n"/>
      <c r="CH662" s="1392" t="n"/>
      <c r="CI662" s="1392" t="n"/>
      <c r="CJ662" s="1392" t="n"/>
      <c r="CK662" s="1392" t="n"/>
      <c r="CL662" s="1392" t="n"/>
    </row>
    <row r="663">
      <c r="A663" s="5" t="inlineStr">
        <is>
          <t>.</t>
        </is>
      </c>
      <c r="B663" s="5" t="inlineStr">
        <is>
          <t>.</t>
        </is>
      </c>
      <c r="C663" s="1378">
        <f>IF(raw[[#This Row],[city]]="","-",IF(raw[[#This Row],[city]]="TODAY","-",C662+1))</f>
        <v/>
      </c>
      <c r="D663" s="1393" t="inlineStr">
        <is>
          <t>SP</t>
        </is>
      </c>
      <c r="E663" s="1394" t="n">
        <v>37081</v>
      </c>
      <c r="F663" s="1394" t="n">
        <v>37104</v>
      </c>
      <c r="G663" s="1393" t="inlineStr">
        <is>
          <t>-</t>
        </is>
      </c>
      <c r="H663" s="1393" t="inlineStr">
        <is>
          <t>Joaquim Eugenio</t>
        </is>
      </c>
      <c r="I663" s="1393" t="inlineStr">
        <is>
          <t>-</t>
        </is>
      </c>
      <c r="J663" s="1393" t="inlineStr">
        <is>
          <t>-</t>
        </is>
      </c>
      <c r="K663" s="1395">
        <f>IF(raw[[#This Row],[city]]&lt;&gt;"",_xlfn.XLOOKUP($D663,ccc[city],ccc[prov],"-"),"-")</f>
        <v/>
      </c>
      <c r="L663" s="1395">
        <f>IF(raw[[#This Row],[city]]&lt;&gt;"",_xlfn.XLOOKUP($D663,ccc[city],ccc[ctry],"-"),"-")</f>
        <v/>
      </c>
      <c r="M663" s="1395">
        <f>IF(raw[[#This Row],[city]]&lt;&gt;"",_xlfn.XLOOKUP($D663,ccc[city],ccc[cont],"-"),"-")</f>
        <v/>
      </c>
      <c r="N663" s="1396">
        <f>IF(raw[[#This Row],[city]]="","-",IF(raw[[#This Row],[cont]]="B",raw[[#This Row],[cont]],"W"))</f>
        <v/>
      </c>
      <c r="O663" s="1397">
        <f>IF(raw[[#This Row],[out]]=0,0,IF(raw[[#This Row],[out]]=raw[[#This Row],[in]],0.01,raw[[#This Row],[out]]-raw[[#This Row],[in]]))</f>
        <v/>
      </c>
      <c r="P663" s="1397">
        <f>IF(raw[[#This Row],[in]]=0,0,MONTH(raw[[#This Row],[in]]))</f>
        <v/>
      </c>
      <c r="Q663" s="1397">
        <f>IF(raw[[#This Row],[in]]=0,0,YEAR(raw[[#This Row],[in]]))</f>
        <v/>
      </c>
      <c r="R663" s="1397">
        <f>INT(raw[[#This Row],[yr]]/10)*10</f>
        <v/>
      </c>
      <c r="S663" s="1395">
        <f>IF(raw[[#This Row],[city]]="","-",IF(raw[[#This Row],[city]]&lt;&gt;_xlfn.XLOOKUP(raw[[#This Row],[home]],homes[home],homes[city],"-"),1,0))</f>
        <v/>
      </c>
      <c r="T663" s="1398" t="inlineStr">
        <is>
          <t>.</t>
        </is>
      </c>
      <c r="U663" s="1399">
        <f>IF(raw[[#This Row],[wb]]="w",raw[[#This Row],[stay]]+U662,U662)</f>
        <v/>
      </c>
      <c r="V663" s="1400">
        <f>IF(raw[[#This Row],[out]]=0,V662,(raw[[#This Row],[out]]-E$5))</f>
        <v/>
      </c>
      <c r="W663" s="1401">
        <f>U663/V663</f>
        <v/>
      </c>
      <c r="X663" s="1378" t="inlineStr">
        <is>
          <t>.</t>
        </is>
      </c>
      <c r="Y663" s="1402">
        <f/>
        <v/>
      </c>
      <c r="Z663" s="1403">
        <f/>
        <v/>
      </c>
      <c r="AA663" s="1403">
        <f/>
        <v/>
      </c>
      <c r="AB663" s="1400">
        <f t="array" ref="AB663">_xlfn.LET(_xlpm.S,_xlfn.ANCHORARRAY($Y$4),_xlpm.r,ROWS(stayCity[[#Headers],[city]]:stayCity[[#This Row],[city]])-1,IF(_xlpm.r&lt;=ROWS(_xlpm.S),INDEX(_xlpm.S,_xlpm.r,1),""))</f>
        <v/>
      </c>
      <c r="AC663" s="1405">
        <f t="array" ref="AC663">_xlfn.LET(_xlpm.S,_xlfn.ANCHORARRAY($Y$4),_xlpm.r,ROWS(stayCity[[#Headers],[city]]:stayCity[[#This Row],[city]])-1,IF(_xlpm.r&lt;=ROWS(_xlpm.S),INDEX(_xlpm.S,_xlpm.r,2),""))</f>
        <v/>
      </c>
      <c r="AD663" s="1405">
        <f t="array" ref="AD663">_xlfn.LET(_xlpm.S,_xlfn.ANCHORARRAY($Y$4),_xlpm.r,ROWS(stayCity[[#Headers],[city]]:stayCity[[#This Row],[city]])-1,IF(_xlpm.r&lt;=ROWS(_xlpm.S),INDEX(_xlpm.S,_xlpm.r,3),""))</f>
        <v/>
      </c>
      <c r="AE663" s="1400">
        <f>IF(stayCity[[#This Row],[out]]&lt;&gt;"",stayCity[[#This Row],[out]]-stayCity[[#This Row],[in]],"-")</f>
        <v/>
      </c>
      <c r="AF663" s="1406">
        <f>IF(Y663="","-",YEAR(stayCity[[#This Row],[in]]))</f>
        <v/>
      </c>
      <c r="AG663" s="1392" t="n"/>
      <c r="AH663" s="1392" t="n"/>
      <c r="AI663" s="1392" t="n"/>
      <c r="AJ663" s="1392" t="n"/>
      <c r="AK663" s="1392" t="n"/>
      <c r="AL663" s="1392" t="n"/>
      <c r="AM663" s="1392" t="n"/>
      <c r="AN663" s="1392" t="n"/>
      <c r="AO663" s="1392" t="n"/>
      <c r="AP663" s="1392" t="n"/>
      <c r="AQ663" s="1392" t="n"/>
      <c r="AR663" s="1392" t="n"/>
      <c r="AS663" s="1422" t="n"/>
      <c r="AT663" s="1392" t="n"/>
      <c r="AU663" s="1392" t="n"/>
      <c r="AV663" s="1392" t="n"/>
      <c r="AW663" s="1392" t="n"/>
      <c r="AX663" s="1392" t="n"/>
      <c r="AY663" s="1392" t="n"/>
      <c r="AZ663" s="1392" t="n"/>
      <c r="BA663" s="1392" t="n"/>
      <c r="BB663" s="1422" t="n"/>
      <c r="BC663" s="1392" t="n"/>
      <c r="BD663" s="1392" t="n"/>
      <c r="BE663" s="1392" t="n"/>
      <c r="BF663" s="1392" t="n"/>
      <c r="BG663" s="1392" t="n"/>
      <c r="BH663" s="1392" t="n"/>
      <c r="BI663" s="1392" t="n"/>
      <c r="BJ663" s="1392" t="n"/>
      <c r="BK663" s="1392" t="n"/>
      <c r="BL663" s="1392" t="n"/>
      <c r="BM663" s="1392" t="n"/>
      <c r="BN663" s="1392" t="n"/>
      <c r="BO663" s="1392" t="n"/>
      <c r="BP663" s="1392" t="n"/>
      <c r="BQ663" s="1392" t="n"/>
      <c r="BR663" s="1392" t="n"/>
      <c r="BS663" s="1392" t="n"/>
      <c r="BT663" s="1392" t="n"/>
      <c r="BU663" s="1416" t="n"/>
      <c r="BV663" s="1392" t="n"/>
      <c r="BW663" s="1392" t="n"/>
      <c r="BX663" s="1392" t="n"/>
      <c r="BY663" s="1392" t="n"/>
      <c r="BZ663" s="1416" t="n"/>
      <c r="CA663" s="1392" t="n"/>
      <c r="CB663" s="1392" t="n"/>
      <c r="CC663" s="1392" t="n"/>
      <c r="CD663" s="1392" t="n"/>
      <c r="CE663" s="1392" t="n"/>
      <c r="CF663" s="1392" t="n"/>
      <c r="CG663" s="1392" t="n"/>
      <c r="CH663" s="1392" t="n"/>
      <c r="CI663" s="1392" t="n"/>
      <c r="CJ663" s="1392" t="n"/>
      <c r="CK663" s="1392" t="n"/>
      <c r="CL663" s="1392" t="n"/>
    </row>
    <row r="664">
      <c r="A664" s="5" t="inlineStr">
        <is>
          <t>.</t>
        </is>
      </c>
      <c r="B664" s="5" t="inlineStr">
        <is>
          <t>.</t>
        </is>
      </c>
      <c r="C664" s="1378">
        <f>IF(raw[[#This Row],[city]]="","-",IF(raw[[#This Row],[city]]="TODAY","-",C663+1))</f>
        <v/>
      </c>
      <c r="D664" s="1393" t="inlineStr">
        <is>
          <t>SP</t>
        </is>
      </c>
      <c r="E664" s="1394" t="n">
        <v>37104</v>
      </c>
      <c r="F664" s="1394" t="n">
        <v>37112</v>
      </c>
      <c r="G664" s="1393" t="inlineStr">
        <is>
          <t>-</t>
        </is>
      </c>
      <c r="H664" s="1393" t="inlineStr">
        <is>
          <t>Joaquim Eugenio</t>
        </is>
      </c>
      <c r="I664" s="1393" t="inlineStr">
        <is>
          <t>-</t>
        </is>
      </c>
      <c r="J664" s="1393" t="inlineStr">
        <is>
          <t>-</t>
        </is>
      </c>
      <c r="K664" s="1395">
        <f>IF(raw[[#This Row],[city]]&lt;&gt;"",_xlfn.XLOOKUP($D664,ccc[city],ccc[prov],"-"),"-")</f>
        <v/>
      </c>
      <c r="L664" s="1395">
        <f>IF(raw[[#This Row],[city]]&lt;&gt;"",_xlfn.XLOOKUP($D664,ccc[city],ccc[ctry],"-"),"-")</f>
        <v/>
      </c>
      <c r="M664" s="1395">
        <f>IF(raw[[#This Row],[city]]&lt;&gt;"",_xlfn.XLOOKUP($D664,ccc[city],ccc[cont],"-"),"-")</f>
        <v/>
      </c>
      <c r="N664" s="1396">
        <f>IF(raw[[#This Row],[city]]="","-",IF(raw[[#This Row],[cont]]="B",raw[[#This Row],[cont]],"W"))</f>
        <v/>
      </c>
      <c r="O664" s="1397">
        <f>IF(raw[[#This Row],[out]]=0,0,IF(raw[[#This Row],[out]]=raw[[#This Row],[in]],0.01,raw[[#This Row],[out]]-raw[[#This Row],[in]]))</f>
        <v/>
      </c>
      <c r="P664" s="1397">
        <f>IF(raw[[#This Row],[in]]=0,0,MONTH(raw[[#This Row],[in]]))</f>
        <v/>
      </c>
      <c r="Q664" s="1397">
        <f>IF(raw[[#This Row],[in]]=0,0,YEAR(raw[[#This Row],[in]]))</f>
        <v/>
      </c>
      <c r="R664" s="1397">
        <f>INT(raw[[#This Row],[yr]]/10)*10</f>
        <v/>
      </c>
      <c r="S664" s="1395">
        <f>IF(raw[[#This Row],[city]]="","-",IF(raw[[#This Row],[city]]&lt;&gt;_xlfn.XLOOKUP(raw[[#This Row],[home]],homes[home],homes[city],"-"),1,0))</f>
        <v/>
      </c>
      <c r="T664" s="1398" t="inlineStr">
        <is>
          <t>.</t>
        </is>
      </c>
      <c r="U664" s="1399">
        <f>IF(raw[[#This Row],[wb]]="w",raw[[#This Row],[stay]]+U663,U663)</f>
        <v/>
      </c>
      <c r="V664" s="1400">
        <f>IF(raw[[#This Row],[out]]=0,V663,(raw[[#This Row],[out]]-E$5))</f>
        <v/>
      </c>
      <c r="W664" s="1401">
        <f>U664/V664</f>
        <v/>
      </c>
      <c r="X664" s="1378" t="inlineStr">
        <is>
          <t>.</t>
        </is>
      </c>
      <c r="Y664" s="1402">
        <f/>
        <v/>
      </c>
      <c r="Z664" s="1403">
        <f/>
        <v/>
      </c>
      <c r="AA664" s="1403">
        <f/>
        <v/>
      </c>
      <c r="AB664" s="1400">
        <f t="array" ref="AB664">_xlfn.LET(_xlpm.S,_xlfn.ANCHORARRAY($Y$4),_xlpm.r,ROWS(stayCity[[#Headers],[city]]:stayCity[[#This Row],[city]])-1,IF(_xlpm.r&lt;=ROWS(_xlpm.S),INDEX(_xlpm.S,_xlpm.r,1),""))</f>
        <v/>
      </c>
      <c r="AC664" s="1405">
        <f t="array" ref="AC664">_xlfn.LET(_xlpm.S,_xlfn.ANCHORARRAY($Y$4),_xlpm.r,ROWS(stayCity[[#Headers],[city]]:stayCity[[#This Row],[city]])-1,IF(_xlpm.r&lt;=ROWS(_xlpm.S),INDEX(_xlpm.S,_xlpm.r,2),""))</f>
        <v/>
      </c>
      <c r="AD664" s="1405">
        <f t="array" ref="AD664">_xlfn.LET(_xlpm.S,_xlfn.ANCHORARRAY($Y$4),_xlpm.r,ROWS(stayCity[[#Headers],[city]]:stayCity[[#This Row],[city]])-1,IF(_xlpm.r&lt;=ROWS(_xlpm.S),INDEX(_xlpm.S,_xlpm.r,3),""))</f>
        <v/>
      </c>
      <c r="AE664" s="1400">
        <f>IF(stayCity[[#This Row],[out]]&lt;&gt;"",stayCity[[#This Row],[out]]-stayCity[[#This Row],[in]],"-")</f>
        <v/>
      </c>
      <c r="AF664" s="1406">
        <f>IF(Y664="","-",YEAR(stayCity[[#This Row],[in]]))</f>
        <v/>
      </c>
      <c r="AG664" s="1392" t="n"/>
      <c r="AH664" s="1392" t="n"/>
      <c r="AI664" s="1392" t="n"/>
      <c r="AJ664" s="1392" t="n"/>
      <c r="AK664" s="1392" t="n"/>
      <c r="AL664" s="1392" t="n"/>
      <c r="AM664" s="1392" t="n"/>
      <c r="AN664" s="1392" t="n"/>
      <c r="AO664" s="1392" t="n"/>
      <c r="AP664" s="1392" t="n"/>
      <c r="AQ664" s="1392" t="n"/>
      <c r="AR664" s="1392" t="n"/>
      <c r="AS664" s="1422" t="n"/>
      <c r="AT664" s="1392" t="n"/>
      <c r="AU664" s="1392" t="n"/>
      <c r="AV664" s="1392" t="n"/>
      <c r="AW664" s="1392" t="n"/>
      <c r="AX664" s="1392" t="n"/>
      <c r="AY664" s="1392" t="n"/>
      <c r="AZ664" s="1392" t="n"/>
      <c r="BA664" s="1392" t="n"/>
      <c r="BB664" s="1422" t="n"/>
      <c r="BC664" s="1392" t="n"/>
      <c r="BD664" s="1392" t="n"/>
      <c r="BE664" s="1392" t="n"/>
      <c r="BF664" s="1392" t="n"/>
      <c r="BG664" s="1392" t="n"/>
      <c r="BH664" s="1392" t="n"/>
      <c r="BI664" s="1392" t="n"/>
      <c r="BJ664" s="1392" t="n"/>
      <c r="BK664" s="1392" t="n"/>
      <c r="BL664" s="1392" t="n"/>
      <c r="BM664" s="1392" t="n"/>
      <c r="BN664" s="1392" t="n"/>
      <c r="BO664" s="1392" t="n"/>
      <c r="BP664" s="1392" t="n"/>
      <c r="BQ664" s="1392" t="n"/>
      <c r="BR664" s="1392" t="n"/>
      <c r="BS664" s="1392" t="n"/>
      <c r="BT664" s="1392" t="n"/>
      <c r="BU664" s="1416" t="n"/>
      <c r="BV664" s="1392" t="n"/>
      <c r="BW664" s="1392" t="n"/>
      <c r="BX664" s="1392" t="n"/>
      <c r="BY664" s="1392" t="n"/>
      <c r="BZ664" s="1416" t="n"/>
      <c r="CA664" s="1392" t="n"/>
      <c r="CB664" s="1392" t="n"/>
      <c r="CC664" s="1392" t="n"/>
      <c r="CD664" s="1392" t="n"/>
      <c r="CE664" s="1392" t="n"/>
      <c r="CF664" s="1392" t="n"/>
      <c r="CG664" s="1392" t="n"/>
      <c r="CH664" s="1392" t="n"/>
      <c r="CI664" s="1392" t="n"/>
      <c r="CJ664" s="1392" t="n"/>
      <c r="CK664" s="1392" t="n"/>
      <c r="CL664" s="1392" t="n"/>
    </row>
    <row r="665">
      <c r="A665" s="5" t="inlineStr">
        <is>
          <t>.</t>
        </is>
      </c>
      <c r="B665" s="5" t="inlineStr">
        <is>
          <t>.</t>
        </is>
      </c>
      <c r="C665" s="1378">
        <f>IF(raw[[#This Row],[city]]="","-",IF(raw[[#This Row],[city]]="TODAY","-",C664+1))</f>
        <v/>
      </c>
      <c r="D665" s="1393" t="inlineStr">
        <is>
          <t>Campos do Jordao</t>
        </is>
      </c>
      <c r="E665" s="1394" t="n">
        <v>37112</v>
      </c>
      <c r="F665" s="1394" t="n">
        <v>37115</v>
      </c>
      <c r="G665" s="1393" t="inlineStr">
        <is>
          <t>-</t>
        </is>
      </c>
      <c r="H665" s="1393" t="inlineStr">
        <is>
          <t>Joaquim Eugenio</t>
        </is>
      </c>
      <c r="I665" s="1393" t="inlineStr">
        <is>
          <t>-</t>
        </is>
      </c>
      <c r="J665" s="1393" t="inlineStr">
        <is>
          <t>-</t>
        </is>
      </c>
      <c r="K665" s="1395">
        <f>IF(raw[[#This Row],[city]]&lt;&gt;"",_xlfn.XLOOKUP($D665,ccc[city],ccc[prov],"-"),"-")</f>
        <v/>
      </c>
      <c r="L665" s="1395">
        <f>IF(raw[[#This Row],[city]]&lt;&gt;"",_xlfn.XLOOKUP($D665,ccc[city],ccc[ctry],"-"),"-")</f>
        <v/>
      </c>
      <c r="M665" s="1395">
        <f>IF(raw[[#This Row],[city]]&lt;&gt;"",_xlfn.XLOOKUP($D665,ccc[city],ccc[cont],"-"),"-")</f>
        <v/>
      </c>
      <c r="N665" s="1396">
        <f>IF(raw[[#This Row],[city]]="","-",IF(raw[[#This Row],[cont]]="B",raw[[#This Row],[cont]],"W"))</f>
        <v/>
      </c>
      <c r="O665" s="1397">
        <f>IF(raw[[#This Row],[out]]=0,0,IF(raw[[#This Row],[out]]=raw[[#This Row],[in]],0.01,raw[[#This Row],[out]]-raw[[#This Row],[in]]))</f>
        <v/>
      </c>
      <c r="P665" s="1397">
        <f>IF(raw[[#This Row],[in]]=0,0,MONTH(raw[[#This Row],[in]]))</f>
        <v/>
      </c>
      <c r="Q665" s="1397">
        <f>IF(raw[[#This Row],[in]]=0,0,YEAR(raw[[#This Row],[in]]))</f>
        <v/>
      </c>
      <c r="R665" s="1397">
        <f>INT(raw[[#This Row],[yr]]/10)*10</f>
        <v/>
      </c>
      <c r="S665" s="1395">
        <f>IF(raw[[#This Row],[city]]="","-",IF(raw[[#This Row],[city]]&lt;&gt;_xlfn.XLOOKUP(raw[[#This Row],[home]],homes[home],homes[city],"-"),1,0))</f>
        <v/>
      </c>
      <c r="T665" s="1398" t="inlineStr">
        <is>
          <t>.</t>
        </is>
      </c>
      <c r="U665" s="1399">
        <f>IF(raw[[#This Row],[wb]]="w",raw[[#This Row],[stay]]+U664,U664)</f>
        <v/>
      </c>
      <c r="V665" s="1400">
        <f>IF(raw[[#This Row],[out]]=0,V664,(raw[[#This Row],[out]]-E$5))</f>
        <v/>
      </c>
      <c r="W665" s="1401">
        <f>U665/V665</f>
        <v/>
      </c>
      <c r="X665" s="1378" t="inlineStr">
        <is>
          <t>.</t>
        </is>
      </c>
      <c r="Y665" s="1402">
        <f/>
        <v/>
      </c>
      <c r="Z665" s="1403">
        <f/>
        <v/>
      </c>
      <c r="AA665" s="1403">
        <f/>
        <v/>
      </c>
      <c r="AB665" s="1400">
        <f t="array" ref="AB665">_xlfn.LET(_xlpm.S,_xlfn.ANCHORARRAY($Y$4),_xlpm.r,ROWS(stayCity[[#Headers],[city]]:stayCity[[#This Row],[city]])-1,IF(_xlpm.r&lt;=ROWS(_xlpm.S),INDEX(_xlpm.S,_xlpm.r,1),""))</f>
        <v/>
      </c>
      <c r="AC665" s="1405">
        <f t="array" ref="AC665">_xlfn.LET(_xlpm.S,_xlfn.ANCHORARRAY($Y$4),_xlpm.r,ROWS(stayCity[[#Headers],[city]]:stayCity[[#This Row],[city]])-1,IF(_xlpm.r&lt;=ROWS(_xlpm.S),INDEX(_xlpm.S,_xlpm.r,2),""))</f>
        <v/>
      </c>
      <c r="AD665" s="1405">
        <f t="array" ref="AD665">_xlfn.LET(_xlpm.S,_xlfn.ANCHORARRAY($Y$4),_xlpm.r,ROWS(stayCity[[#Headers],[city]]:stayCity[[#This Row],[city]])-1,IF(_xlpm.r&lt;=ROWS(_xlpm.S),INDEX(_xlpm.S,_xlpm.r,3),""))</f>
        <v/>
      </c>
      <c r="AE665" s="1400">
        <f>IF(stayCity[[#This Row],[out]]&lt;&gt;"",stayCity[[#This Row],[out]]-stayCity[[#This Row],[in]],"-")</f>
        <v/>
      </c>
      <c r="AF665" s="1406">
        <f>IF(Y665="","-",YEAR(stayCity[[#This Row],[in]]))</f>
        <v/>
      </c>
      <c r="AG665" s="1392" t="n"/>
      <c r="AH665" s="1392" t="n"/>
      <c r="AI665" s="1392" t="n"/>
      <c r="AJ665" s="1392" t="n"/>
      <c r="AK665" s="1392" t="n"/>
      <c r="AL665" s="1392" t="n"/>
      <c r="AM665" s="1392" t="n"/>
      <c r="AN665" s="1392" t="n"/>
      <c r="AO665" s="1392" t="n"/>
      <c r="AP665" s="1392" t="n"/>
      <c r="AQ665" s="1392" t="n"/>
      <c r="AR665" s="1392" t="n"/>
      <c r="AS665" s="1422" t="n"/>
      <c r="AT665" s="1392" t="n"/>
      <c r="AU665" s="1392" t="n"/>
      <c r="AV665" s="1392" t="n"/>
      <c r="AW665" s="1392" t="n"/>
      <c r="AX665" s="1392" t="n"/>
      <c r="AY665" s="1392" t="n"/>
      <c r="AZ665" s="1392" t="n"/>
      <c r="BA665" s="1392" t="n"/>
      <c r="BB665" s="1422" t="n"/>
      <c r="BC665" s="1392" t="n"/>
      <c r="BD665" s="1392" t="n"/>
      <c r="BE665" s="1392" t="n"/>
      <c r="BF665" s="1392" t="n"/>
      <c r="BG665" s="1392" t="n"/>
      <c r="BH665" s="1392" t="n"/>
      <c r="BI665" s="1392" t="n"/>
      <c r="BJ665" s="1392" t="n"/>
      <c r="BK665" s="1392" t="n"/>
      <c r="BL665" s="1392" t="n"/>
      <c r="BM665" s="1392" t="n"/>
      <c r="BN665" s="1392" t="n"/>
      <c r="BO665" s="1392" t="n"/>
      <c r="BP665" s="1392" t="n"/>
      <c r="BQ665" s="1392" t="n"/>
      <c r="BR665" s="1392" t="n"/>
      <c r="BS665" s="1392" t="n"/>
      <c r="BT665" s="1392" t="n"/>
      <c r="BU665" s="1416" t="n"/>
      <c r="BV665" s="1392" t="n"/>
      <c r="BW665" s="1392" t="n"/>
      <c r="BX665" s="1392" t="n"/>
      <c r="BY665" s="1392" t="n"/>
      <c r="BZ665" s="1416" t="n"/>
      <c r="CA665" s="1392" t="n"/>
      <c r="CB665" s="1392" t="n"/>
      <c r="CC665" s="1392" t="n"/>
      <c r="CD665" s="1392" t="n"/>
      <c r="CE665" s="1392" t="n"/>
      <c r="CF665" s="1392" t="n"/>
      <c r="CG665" s="1392" t="n"/>
      <c r="CH665" s="1392" t="n"/>
      <c r="CI665" s="1392" t="n"/>
      <c r="CJ665" s="1392" t="n"/>
      <c r="CK665" s="1392" t="n"/>
      <c r="CL665" s="1392" t="n"/>
    </row>
    <row r="666">
      <c r="A666" s="5" t="inlineStr">
        <is>
          <t>.</t>
        </is>
      </c>
      <c r="B666" s="5" t="inlineStr">
        <is>
          <t>.</t>
        </is>
      </c>
      <c r="C666" s="1378">
        <f>IF(raw[[#This Row],[city]]="","-",IF(raw[[#This Row],[city]]="TODAY","-",C665+1))</f>
        <v/>
      </c>
      <c r="D666" s="1393" t="inlineStr">
        <is>
          <t>SP</t>
        </is>
      </c>
      <c r="E666" s="1394" t="n">
        <v>37115</v>
      </c>
      <c r="F666" s="1394" t="n">
        <v>37135</v>
      </c>
      <c r="G666" s="1393" t="inlineStr">
        <is>
          <t>-</t>
        </is>
      </c>
      <c r="H666" s="1393" t="inlineStr">
        <is>
          <t>Joaquim Eugenio</t>
        </is>
      </c>
      <c r="I666" s="1393" t="inlineStr">
        <is>
          <t>-</t>
        </is>
      </c>
      <c r="J666" s="1393" t="inlineStr">
        <is>
          <t>BDAY</t>
        </is>
      </c>
      <c r="K666" s="1395">
        <f>IF(raw[[#This Row],[city]]&lt;&gt;"",_xlfn.XLOOKUP($D666,ccc[city],ccc[prov],"-"),"-")</f>
        <v/>
      </c>
      <c r="L666" s="1395">
        <f>IF(raw[[#This Row],[city]]&lt;&gt;"",_xlfn.XLOOKUP($D666,ccc[city],ccc[ctry],"-"),"-")</f>
        <v/>
      </c>
      <c r="M666" s="1395">
        <f>IF(raw[[#This Row],[city]]&lt;&gt;"",_xlfn.XLOOKUP($D666,ccc[city],ccc[cont],"-"),"-")</f>
        <v/>
      </c>
      <c r="N666" s="1396">
        <f>IF(raw[[#This Row],[city]]="","-",IF(raw[[#This Row],[cont]]="B",raw[[#This Row],[cont]],"W"))</f>
        <v/>
      </c>
      <c r="O666" s="1397">
        <f>IF(raw[[#This Row],[out]]=0,0,IF(raw[[#This Row],[out]]=raw[[#This Row],[in]],0.01,raw[[#This Row],[out]]-raw[[#This Row],[in]]))</f>
        <v/>
      </c>
      <c r="P666" s="1397">
        <f>IF(raw[[#This Row],[in]]=0,0,MONTH(raw[[#This Row],[in]]))</f>
        <v/>
      </c>
      <c r="Q666" s="1397">
        <f>IF(raw[[#This Row],[in]]=0,0,YEAR(raw[[#This Row],[in]]))</f>
        <v/>
      </c>
      <c r="R666" s="1397">
        <f>INT(raw[[#This Row],[yr]]/10)*10</f>
        <v/>
      </c>
      <c r="S666" s="1395">
        <f>IF(raw[[#This Row],[city]]="","-",IF(raw[[#This Row],[city]]&lt;&gt;_xlfn.XLOOKUP(raw[[#This Row],[home]],homes[home],homes[city],"-"),1,0))</f>
        <v/>
      </c>
      <c r="T666" s="1398" t="inlineStr">
        <is>
          <t>.</t>
        </is>
      </c>
      <c r="U666" s="1399">
        <f>IF(raw[[#This Row],[wb]]="w",raw[[#This Row],[stay]]+U665,U665)</f>
        <v/>
      </c>
      <c r="V666" s="1400">
        <f>IF(raw[[#This Row],[out]]=0,V665,(raw[[#This Row],[out]]-E$5))</f>
        <v/>
      </c>
      <c r="W666" s="1401">
        <f>U666/V666</f>
        <v/>
      </c>
      <c r="X666" s="1378" t="inlineStr">
        <is>
          <t>.</t>
        </is>
      </c>
      <c r="Y666" s="1402">
        <f/>
        <v/>
      </c>
      <c r="Z666" s="1403">
        <f/>
        <v/>
      </c>
      <c r="AA666" s="1403">
        <f/>
        <v/>
      </c>
      <c r="AB666" s="1400">
        <f t="array" ref="AB666">_xlfn.LET(_xlpm.S,_xlfn.ANCHORARRAY($Y$4),_xlpm.r,ROWS(stayCity[[#Headers],[city]]:stayCity[[#This Row],[city]])-1,IF(_xlpm.r&lt;=ROWS(_xlpm.S),INDEX(_xlpm.S,_xlpm.r,1),""))</f>
        <v/>
      </c>
      <c r="AC666" s="1405">
        <f t="array" ref="AC666">_xlfn.LET(_xlpm.S,_xlfn.ANCHORARRAY($Y$4),_xlpm.r,ROWS(stayCity[[#Headers],[city]]:stayCity[[#This Row],[city]])-1,IF(_xlpm.r&lt;=ROWS(_xlpm.S),INDEX(_xlpm.S,_xlpm.r,2),""))</f>
        <v/>
      </c>
      <c r="AD666" s="1405">
        <f t="array" ref="AD666">_xlfn.LET(_xlpm.S,_xlfn.ANCHORARRAY($Y$4),_xlpm.r,ROWS(stayCity[[#Headers],[city]]:stayCity[[#This Row],[city]])-1,IF(_xlpm.r&lt;=ROWS(_xlpm.S),INDEX(_xlpm.S,_xlpm.r,3),""))</f>
        <v/>
      </c>
      <c r="AE666" s="1400">
        <f>IF(stayCity[[#This Row],[out]]&lt;&gt;"",stayCity[[#This Row],[out]]-stayCity[[#This Row],[in]],"-")</f>
        <v/>
      </c>
      <c r="AF666" s="1406">
        <f>IF(Y666="","-",YEAR(stayCity[[#This Row],[in]]))</f>
        <v/>
      </c>
      <c r="AG666" s="1392" t="n"/>
      <c r="AH666" s="1392" t="n"/>
      <c r="AI666" s="1392" t="n"/>
      <c r="AJ666" s="1392" t="n"/>
      <c r="AK666" s="1392" t="n"/>
      <c r="AL666" s="1392" t="n"/>
      <c r="AM666" s="1392" t="n"/>
      <c r="AN666" s="1392" t="n"/>
      <c r="AO666" s="1392" t="n"/>
      <c r="AP666" s="1392" t="n"/>
      <c r="AQ666" s="1392" t="n"/>
      <c r="AR666" s="1392" t="n"/>
      <c r="AS666" s="1422" t="n"/>
      <c r="AT666" s="1392" t="n"/>
      <c r="AU666" s="1392" t="n"/>
      <c r="AV666" s="1392" t="n"/>
      <c r="AW666" s="1392" t="n"/>
      <c r="AX666" s="1392" t="n"/>
      <c r="AY666" s="1392" t="n"/>
      <c r="AZ666" s="1392" t="n"/>
      <c r="BA666" s="1392" t="n"/>
      <c r="BB666" s="1422" t="n"/>
      <c r="BC666" s="1392" t="n"/>
      <c r="BD666" s="1392" t="n"/>
      <c r="BE666" s="1392" t="n"/>
      <c r="BF666" s="1392" t="n"/>
      <c r="BG666" s="1392" t="n"/>
      <c r="BH666" s="1392" t="n"/>
      <c r="BI666" s="1392" t="n"/>
      <c r="BJ666" s="1392" t="n"/>
      <c r="BK666" s="1392" t="n"/>
      <c r="BL666" s="1392" t="n"/>
      <c r="BM666" s="1392" t="n"/>
      <c r="BN666" s="1392" t="n"/>
      <c r="BO666" s="1392" t="n"/>
      <c r="BP666" s="1392" t="n"/>
      <c r="BQ666" s="1392" t="n"/>
      <c r="BR666" s="1392" t="n"/>
      <c r="BS666" s="1392" t="n"/>
      <c r="BT666" s="1392" t="n"/>
      <c r="BU666" s="1416" t="n"/>
      <c r="BV666" s="1392" t="n"/>
      <c r="BW666" s="1392" t="n"/>
      <c r="BX666" s="1392" t="n"/>
      <c r="BY666" s="1392" t="n"/>
      <c r="BZ666" s="1416" t="n"/>
      <c r="CA666" s="1392" t="n"/>
      <c r="CB666" s="1392" t="n"/>
      <c r="CC666" s="1392" t="n"/>
      <c r="CD666" s="1392" t="n"/>
      <c r="CE666" s="1392" t="n"/>
      <c r="CF666" s="1392" t="n"/>
      <c r="CG666" s="1392" t="n"/>
      <c r="CH666" s="1392" t="n"/>
      <c r="CI666" s="1392" t="n"/>
      <c r="CJ666" s="1392" t="n"/>
      <c r="CK666" s="1392" t="n"/>
      <c r="CL666" s="1392" t="n"/>
    </row>
    <row r="667">
      <c r="A667" s="5" t="inlineStr">
        <is>
          <t>.</t>
        </is>
      </c>
      <c r="B667" s="5" t="inlineStr">
        <is>
          <t>.</t>
        </is>
      </c>
      <c r="C667" s="1378">
        <f>IF(raw[[#This Row],[city]]="","-",IF(raw[[#This Row],[city]]="TODAY","-",C666+1))</f>
        <v/>
      </c>
      <c r="D667" s="1393" t="inlineStr">
        <is>
          <t>SP</t>
        </is>
      </c>
      <c r="E667" s="1394" t="n">
        <v>37135</v>
      </c>
      <c r="F667" s="1394" t="n">
        <v>37141</v>
      </c>
      <c r="G667" s="1393" t="inlineStr">
        <is>
          <t>-</t>
        </is>
      </c>
      <c r="H667" s="1393" t="inlineStr">
        <is>
          <t>Joaquim Eugenio</t>
        </is>
      </c>
      <c r="I667" s="1393" t="inlineStr">
        <is>
          <t>-</t>
        </is>
      </c>
      <c r="J667" s="1393" t="inlineStr">
        <is>
          <t>-</t>
        </is>
      </c>
      <c r="K667" s="1395">
        <f>IF(raw[[#This Row],[city]]&lt;&gt;"",_xlfn.XLOOKUP($D667,ccc[city],ccc[prov],"-"),"-")</f>
        <v/>
      </c>
      <c r="L667" s="1395">
        <f>IF(raw[[#This Row],[city]]&lt;&gt;"",_xlfn.XLOOKUP($D667,ccc[city],ccc[ctry],"-"),"-")</f>
        <v/>
      </c>
      <c r="M667" s="1395">
        <f>IF(raw[[#This Row],[city]]&lt;&gt;"",_xlfn.XLOOKUP($D667,ccc[city],ccc[cont],"-"),"-")</f>
        <v/>
      </c>
      <c r="N667" s="1396">
        <f>IF(raw[[#This Row],[city]]="","-",IF(raw[[#This Row],[cont]]="B",raw[[#This Row],[cont]],"W"))</f>
        <v/>
      </c>
      <c r="O667" s="1397">
        <f>IF(raw[[#This Row],[out]]=0,0,IF(raw[[#This Row],[out]]=raw[[#This Row],[in]],0.01,raw[[#This Row],[out]]-raw[[#This Row],[in]]))</f>
        <v/>
      </c>
      <c r="P667" s="1397">
        <f>IF(raw[[#This Row],[in]]=0,0,MONTH(raw[[#This Row],[in]]))</f>
        <v/>
      </c>
      <c r="Q667" s="1397">
        <f>IF(raw[[#This Row],[in]]=0,0,YEAR(raw[[#This Row],[in]]))</f>
        <v/>
      </c>
      <c r="R667" s="1397">
        <f>INT(raw[[#This Row],[yr]]/10)*10</f>
        <v/>
      </c>
      <c r="S667" s="1395">
        <f>IF(raw[[#This Row],[city]]="","-",IF(raw[[#This Row],[city]]&lt;&gt;_xlfn.XLOOKUP(raw[[#This Row],[home]],homes[home],homes[city],"-"),1,0))</f>
        <v/>
      </c>
      <c r="T667" s="1398" t="inlineStr">
        <is>
          <t>.</t>
        </is>
      </c>
      <c r="U667" s="1399">
        <f>IF(raw[[#This Row],[wb]]="w",raw[[#This Row],[stay]]+U666,U666)</f>
        <v/>
      </c>
      <c r="V667" s="1400">
        <f>IF(raw[[#This Row],[out]]=0,V666,(raw[[#This Row],[out]]-E$5))</f>
        <v/>
      </c>
      <c r="W667" s="1401">
        <f>U667/V667</f>
        <v/>
      </c>
      <c r="X667" s="1378" t="inlineStr">
        <is>
          <t>.</t>
        </is>
      </c>
      <c r="Y667" s="1402">
        <f/>
        <v/>
      </c>
      <c r="Z667" s="1403">
        <f/>
        <v/>
      </c>
      <c r="AA667" s="1403">
        <f/>
        <v/>
      </c>
      <c r="AB667" s="1400">
        <f t="array" ref="AB667">_xlfn.LET(_xlpm.S,_xlfn.ANCHORARRAY($Y$4),_xlpm.r,ROWS(stayCity[[#Headers],[city]]:stayCity[[#This Row],[city]])-1,IF(_xlpm.r&lt;=ROWS(_xlpm.S),INDEX(_xlpm.S,_xlpm.r,1),""))</f>
        <v/>
      </c>
      <c r="AC667" s="1405">
        <f t="array" ref="AC667">_xlfn.LET(_xlpm.S,_xlfn.ANCHORARRAY($Y$4),_xlpm.r,ROWS(stayCity[[#Headers],[city]]:stayCity[[#This Row],[city]])-1,IF(_xlpm.r&lt;=ROWS(_xlpm.S),INDEX(_xlpm.S,_xlpm.r,2),""))</f>
        <v/>
      </c>
      <c r="AD667" s="1405">
        <f t="array" ref="AD667">_xlfn.LET(_xlpm.S,_xlfn.ANCHORARRAY($Y$4),_xlpm.r,ROWS(stayCity[[#Headers],[city]]:stayCity[[#This Row],[city]])-1,IF(_xlpm.r&lt;=ROWS(_xlpm.S),INDEX(_xlpm.S,_xlpm.r,3),""))</f>
        <v/>
      </c>
      <c r="AE667" s="1400">
        <f>IF(stayCity[[#This Row],[out]]&lt;&gt;"",stayCity[[#This Row],[out]]-stayCity[[#This Row],[in]],"-")</f>
        <v/>
      </c>
      <c r="AF667" s="1406">
        <f>IF(Y667="","-",YEAR(stayCity[[#This Row],[in]]))</f>
        <v/>
      </c>
      <c r="AG667" s="1392" t="n"/>
      <c r="AH667" s="1392" t="n"/>
      <c r="AI667" s="1392" t="n"/>
      <c r="AJ667" s="1392" t="n"/>
      <c r="AK667" s="1392" t="n"/>
      <c r="AL667" s="1392" t="n"/>
      <c r="AM667" s="1392" t="n"/>
      <c r="AN667" s="1392" t="n"/>
      <c r="AO667" s="1392" t="n"/>
      <c r="AP667" s="1392" t="n"/>
      <c r="AQ667" s="1392" t="n"/>
      <c r="AR667" s="1392" t="n"/>
      <c r="AS667" s="1422" t="n"/>
      <c r="AT667" s="1392" t="n"/>
      <c r="AU667" s="1392" t="n"/>
      <c r="AV667" s="1392" t="n"/>
      <c r="AW667" s="1392" t="n"/>
      <c r="AX667" s="1392" t="n"/>
      <c r="AY667" s="1392" t="n"/>
      <c r="AZ667" s="1392" t="n"/>
      <c r="BA667" s="1392" t="n"/>
      <c r="BB667" s="1422" t="n"/>
      <c r="BC667" s="1392" t="n"/>
      <c r="BD667" s="1392" t="n"/>
      <c r="BE667" s="1392" t="n"/>
      <c r="BF667" s="1392" t="n"/>
      <c r="BG667" s="1392" t="n"/>
      <c r="BH667" s="1392" t="n"/>
      <c r="BI667" s="1392" t="n"/>
      <c r="BJ667" s="1392" t="n"/>
      <c r="BK667" s="1392" t="n"/>
      <c r="BL667" s="1392" t="n"/>
      <c r="BM667" s="1392" t="n"/>
      <c r="BN667" s="1392" t="n"/>
      <c r="BO667" s="1392" t="n"/>
      <c r="BP667" s="1392" t="n"/>
      <c r="BQ667" s="1392" t="n"/>
      <c r="BR667" s="1392" t="n"/>
      <c r="BS667" s="1392" t="n"/>
      <c r="BT667" s="1392" t="n"/>
      <c r="BU667" s="1416" t="n"/>
      <c r="BV667" s="1392" t="n"/>
      <c r="BW667" s="1392" t="n"/>
      <c r="BX667" s="1392" t="n"/>
      <c r="BY667" s="1392" t="n"/>
      <c r="BZ667" s="1416" t="n"/>
      <c r="CA667" s="1392" t="n"/>
      <c r="CB667" s="1392" t="n"/>
      <c r="CC667" s="1392" t="n"/>
      <c r="CD667" s="1392" t="n"/>
      <c r="CE667" s="1392" t="n"/>
      <c r="CF667" s="1392" t="n"/>
      <c r="CG667" s="1392" t="n"/>
      <c r="CH667" s="1392" t="n"/>
      <c r="CI667" s="1392" t="n"/>
      <c r="CJ667" s="1392" t="n"/>
      <c r="CK667" s="1392" t="n"/>
      <c r="CL667" s="1392" t="n"/>
    </row>
    <row r="668">
      <c r="A668" s="5" t="inlineStr">
        <is>
          <t>.</t>
        </is>
      </c>
      <c r="B668" s="5" t="inlineStr">
        <is>
          <t>.</t>
        </is>
      </c>
      <c r="C668" s="1378">
        <f>IF(raw[[#This Row],[city]]="","-",IF(raw[[#This Row],[city]]="TODAY","-",C667+1))</f>
        <v/>
      </c>
      <c r="D668" s="1393" t="inlineStr">
        <is>
          <t>Paraty</t>
        </is>
      </c>
      <c r="E668" s="1394" t="n">
        <v>37141</v>
      </c>
      <c r="F668" s="1394" t="n">
        <v>37143</v>
      </c>
      <c r="G668" s="1393" t="inlineStr">
        <is>
          <t>-</t>
        </is>
      </c>
      <c r="H668" s="1393" t="inlineStr">
        <is>
          <t>Joaquim Eugenio</t>
        </is>
      </c>
      <c r="I668" s="1393" t="inlineStr">
        <is>
          <t>-</t>
        </is>
      </c>
      <c r="J668" s="1393" t="inlineStr">
        <is>
          <t>-</t>
        </is>
      </c>
      <c r="K668" s="1395">
        <f>IF(raw[[#This Row],[city]]&lt;&gt;"",_xlfn.XLOOKUP($D668,ccc[city],ccc[prov],"-"),"-")</f>
        <v/>
      </c>
      <c r="L668" s="1395">
        <f>IF(raw[[#This Row],[city]]&lt;&gt;"",_xlfn.XLOOKUP($D668,ccc[city],ccc[ctry],"-"),"-")</f>
        <v/>
      </c>
      <c r="M668" s="1395">
        <f>IF(raw[[#This Row],[city]]&lt;&gt;"",_xlfn.XLOOKUP($D668,ccc[city],ccc[cont],"-"),"-")</f>
        <v/>
      </c>
      <c r="N668" s="1396">
        <f>IF(raw[[#This Row],[city]]="","-",IF(raw[[#This Row],[cont]]="B",raw[[#This Row],[cont]],"W"))</f>
        <v/>
      </c>
      <c r="O668" s="1397">
        <f>IF(raw[[#This Row],[out]]=0,0,IF(raw[[#This Row],[out]]=raw[[#This Row],[in]],0.01,raw[[#This Row],[out]]-raw[[#This Row],[in]]))</f>
        <v/>
      </c>
      <c r="P668" s="1397">
        <f>IF(raw[[#This Row],[in]]=0,0,MONTH(raw[[#This Row],[in]]))</f>
        <v/>
      </c>
      <c r="Q668" s="1397">
        <f>IF(raw[[#This Row],[in]]=0,0,YEAR(raw[[#This Row],[in]]))</f>
        <v/>
      </c>
      <c r="R668" s="1397">
        <f>INT(raw[[#This Row],[yr]]/10)*10</f>
        <v/>
      </c>
      <c r="S668" s="1395">
        <f>IF(raw[[#This Row],[city]]="","-",IF(raw[[#This Row],[city]]&lt;&gt;_xlfn.XLOOKUP(raw[[#This Row],[home]],homes[home],homes[city],"-"),1,0))</f>
        <v/>
      </c>
      <c r="T668" s="1398" t="inlineStr">
        <is>
          <t>.</t>
        </is>
      </c>
      <c r="U668" s="1399">
        <f>IF(raw[[#This Row],[wb]]="w",raw[[#This Row],[stay]]+U667,U667)</f>
        <v/>
      </c>
      <c r="V668" s="1400">
        <f>IF(raw[[#This Row],[out]]=0,V667,(raw[[#This Row],[out]]-E$5))</f>
        <v/>
      </c>
      <c r="W668" s="1401">
        <f>U668/V668</f>
        <v/>
      </c>
      <c r="X668" s="1378" t="inlineStr">
        <is>
          <t>.</t>
        </is>
      </c>
      <c r="Y668" s="1402">
        <f/>
        <v/>
      </c>
      <c r="Z668" s="1403">
        <f/>
        <v/>
      </c>
      <c r="AA668" s="1403">
        <f/>
        <v/>
      </c>
      <c r="AB668" s="1400">
        <f t="array" ref="AB668">_xlfn.LET(_xlpm.S,_xlfn.ANCHORARRAY($Y$4),_xlpm.r,ROWS(stayCity[[#Headers],[city]]:stayCity[[#This Row],[city]])-1,IF(_xlpm.r&lt;=ROWS(_xlpm.S),INDEX(_xlpm.S,_xlpm.r,1),""))</f>
        <v/>
      </c>
      <c r="AC668" s="1405">
        <f t="array" ref="AC668">_xlfn.LET(_xlpm.S,_xlfn.ANCHORARRAY($Y$4),_xlpm.r,ROWS(stayCity[[#Headers],[city]]:stayCity[[#This Row],[city]])-1,IF(_xlpm.r&lt;=ROWS(_xlpm.S),INDEX(_xlpm.S,_xlpm.r,2),""))</f>
        <v/>
      </c>
      <c r="AD668" s="1405">
        <f t="array" ref="AD668">_xlfn.LET(_xlpm.S,_xlfn.ANCHORARRAY($Y$4),_xlpm.r,ROWS(stayCity[[#Headers],[city]]:stayCity[[#This Row],[city]])-1,IF(_xlpm.r&lt;=ROWS(_xlpm.S),INDEX(_xlpm.S,_xlpm.r,3),""))</f>
        <v/>
      </c>
      <c r="AE668" s="1400">
        <f>IF(stayCity[[#This Row],[out]]&lt;&gt;"",stayCity[[#This Row],[out]]-stayCity[[#This Row],[in]],"-")</f>
        <v/>
      </c>
      <c r="AF668" s="1406">
        <f>IF(Y668="","-",YEAR(stayCity[[#This Row],[in]]))</f>
        <v/>
      </c>
      <c r="AG668" s="1392" t="n"/>
      <c r="AH668" s="1392" t="n"/>
      <c r="AI668" s="1392" t="n"/>
      <c r="AJ668" s="1392" t="n"/>
      <c r="AK668" s="1392" t="n"/>
      <c r="AL668" s="1392" t="n"/>
      <c r="AM668" s="1392" t="n"/>
      <c r="AN668" s="1392" t="n"/>
      <c r="AO668" s="1392" t="n"/>
      <c r="AP668" s="1392" t="n"/>
      <c r="AQ668" s="1392" t="n"/>
      <c r="AR668" s="1392" t="n"/>
      <c r="AS668" s="1422" t="n"/>
      <c r="AT668" s="1392" t="n"/>
      <c r="AU668" s="1392" t="n"/>
      <c r="AV668" s="1392" t="n"/>
      <c r="AW668" s="1392" t="n"/>
      <c r="AX668" s="1392" t="n"/>
      <c r="AY668" s="1392" t="n"/>
      <c r="AZ668" s="1392" t="n"/>
      <c r="BA668" s="1392" t="n"/>
      <c r="BB668" s="1422" t="n"/>
      <c r="BC668" s="1392" t="n"/>
      <c r="BD668" s="1392" t="n"/>
      <c r="BE668" s="1392" t="n"/>
      <c r="BF668" s="1392" t="n"/>
      <c r="BG668" s="1392" t="n"/>
      <c r="BH668" s="1392" t="n"/>
      <c r="BI668" s="1392" t="n"/>
      <c r="BJ668" s="1392" t="n"/>
      <c r="BK668" s="1392" t="n"/>
      <c r="BL668" s="1392" t="n"/>
      <c r="BM668" s="1392" t="n"/>
      <c r="BN668" s="1392" t="n"/>
      <c r="BO668" s="1392" t="n"/>
      <c r="BP668" s="1392" t="n"/>
      <c r="BQ668" s="1392" t="n"/>
      <c r="BR668" s="1392" t="n"/>
      <c r="BS668" s="1392" t="n"/>
      <c r="BT668" s="1392" t="n"/>
      <c r="BU668" s="1416" t="n"/>
      <c r="BV668" s="1392" t="n"/>
      <c r="BW668" s="1392" t="n"/>
      <c r="BX668" s="1392" t="n"/>
      <c r="BY668" s="1392" t="n"/>
      <c r="BZ668" s="1416" t="n"/>
      <c r="CA668" s="1392" t="n"/>
      <c r="CB668" s="1392" t="n"/>
      <c r="CC668" s="1392" t="n"/>
      <c r="CD668" s="1392" t="n"/>
      <c r="CE668" s="1392" t="n"/>
      <c r="CF668" s="1392" t="n"/>
      <c r="CG668" s="1392" t="n"/>
      <c r="CH668" s="1392" t="n"/>
      <c r="CI668" s="1392" t="n"/>
      <c r="CJ668" s="1392" t="n"/>
      <c r="CK668" s="1392" t="n"/>
      <c r="CL668" s="1392" t="n"/>
    </row>
    <row r="669">
      <c r="A669" s="5" t="inlineStr">
        <is>
          <t>.</t>
        </is>
      </c>
      <c r="B669" s="5" t="inlineStr">
        <is>
          <t>.</t>
        </is>
      </c>
      <c r="C669" s="1378">
        <f>IF(raw[[#This Row],[city]]="","-",IF(raw[[#This Row],[city]]="TODAY","-",C668+1))</f>
        <v/>
      </c>
      <c r="D669" s="1393" t="inlineStr">
        <is>
          <t>Trindade</t>
        </is>
      </c>
      <c r="E669" s="1394" t="n">
        <v>37142</v>
      </c>
      <c r="F669" s="1394" t="n">
        <v>37142</v>
      </c>
      <c r="G669" s="1393" t="inlineStr">
        <is>
          <t>-</t>
        </is>
      </c>
      <c r="H669" s="1393" t="inlineStr">
        <is>
          <t>Joaquim Eugenio</t>
        </is>
      </c>
      <c r="I669" s="1393" t="inlineStr">
        <is>
          <t>-</t>
        </is>
      </c>
      <c r="J669" s="1393" t="inlineStr">
        <is>
          <t>-</t>
        </is>
      </c>
      <c r="K669" s="1395">
        <f>IF(raw[[#This Row],[city]]&lt;&gt;"",_xlfn.XLOOKUP($D669,ccc[city],ccc[prov],"-"),"-")</f>
        <v/>
      </c>
      <c r="L669" s="1395">
        <f>IF(raw[[#This Row],[city]]&lt;&gt;"",_xlfn.XLOOKUP($D669,ccc[city],ccc[ctry],"-"),"-")</f>
        <v/>
      </c>
      <c r="M669" s="1395">
        <f>IF(raw[[#This Row],[city]]&lt;&gt;"",_xlfn.XLOOKUP($D669,ccc[city],ccc[cont],"-"),"-")</f>
        <v/>
      </c>
      <c r="N669" s="1396">
        <f>IF(raw[[#This Row],[city]]="","-",IF(raw[[#This Row],[cont]]="B",raw[[#This Row],[cont]],"W"))</f>
        <v/>
      </c>
      <c r="O669" s="1397">
        <f>IF(raw[[#This Row],[out]]=0,0,IF(raw[[#This Row],[out]]=raw[[#This Row],[in]],0.01,raw[[#This Row],[out]]-raw[[#This Row],[in]]))</f>
        <v/>
      </c>
      <c r="P669" s="1397">
        <f>IF(raw[[#This Row],[in]]=0,0,MONTH(raw[[#This Row],[in]]))</f>
        <v/>
      </c>
      <c r="Q669" s="1397">
        <f>IF(raw[[#This Row],[in]]=0,0,YEAR(raw[[#This Row],[in]]))</f>
        <v/>
      </c>
      <c r="R669" s="1397">
        <f>INT(raw[[#This Row],[yr]]/10)*10</f>
        <v/>
      </c>
      <c r="S669" s="1395">
        <f>IF(raw[[#This Row],[city]]="","-",IF(raw[[#This Row],[city]]&lt;&gt;_xlfn.XLOOKUP(raw[[#This Row],[home]],homes[home],homes[city],"-"),1,0))</f>
        <v/>
      </c>
      <c r="T669" s="1398" t="inlineStr">
        <is>
          <t>.</t>
        </is>
      </c>
      <c r="U669" s="1399">
        <f>IF(raw[[#This Row],[wb]]="w",raw[[#This Row],[stay]]+U668,U668)</f>
        <v/>
      </c>
      <c r="V669" s="1400">
        <f>IF(raw[[#This Row],[out]]=0,V668,(raw[[#This Row],[out]]-E$5))</f>
        <v/>
      </c>
      <c r="W669" s="1401">
        <f>U669/V669</f>
        <v/>
      </c>
      <c r="X669" s="1378" t="inlineStr">
        <is>
          <t>.</t>
        </is>
      </c>
      <c r="Y669" s="1402">
        <f/>
        <v/>
      </c>
      <c r="Z669" s="1403">
        <f/>
        <v/>
      </c>
      <c r="AA669" s="1403">
        <f/>
        <v/>
      </c>
      <c r="AB669" s="1400">
        <f t="array" ref="AB669">_xlfn.LET(_xlpm.S,_xlfn.ANCHORARRAY($Y$4),_xlpm.r,ROWS(stayCity[[#Headers],[city]]:stayCity[[#This Row],[city]])-1,IF(_xlpm.r&lt;=ROWS(_xlpm.S),INDEX(_xlpm.S,_xlpm.r,1),""))</f>
        <v/>
      </c>
      <c r="AC669" s="1405">
        <f t="array" ref="AC669">_xlfn.LET(_xlpm.S,_xlfn.ANCHORARRAY($Y$4),_xlpm.r,ROWS(stayCity[[#Headers],[city]]:stayCity[[#This Row],[city]])-1,IF(_xlpm.r&lt;=ROWS(_xlpm.S),INDEX(_xlpm.S,_xlpm.r,2),""))</f>
        <v/>
      </c>
      <c r="AD669" s="1405">
        <f t="array" ref="AD669">_xlfn.LET(_xlpm.S,_xlfn.ANCHORARRAY($Y$4),_xlpm.r,ROWS(stayCity[[#Headers],[city]]:stayCity[[#This Row],[city]])-1,IF(_xlpm.r&lt;=ROWS(_xlpm.S),INDEX(_xlpm.S,_xlpm.r,3),""))</f>
        <v/>
      </c>
      <c r="AE669" s="1400">
        <f>IF(stayCity[[#This Row],[out]]&lt;&gt;"",stayCity[[#This Row],[out]]-stayCity[[#This Row],[in]],"-")</f>
        <v/>
      </c>
      <c r="AF669" s="1406">
        <f>IF(Y669="","-",YEAR(stayCity[[#This Row],[in]]))</f>
        <v/>
      </c>
      <c r="AG669" s="1392" t="n"/>
      <c r="AH669" s="1392" t="n"/>
      <c r="AI669" s="1392" t="n"/>
      <c r="AJ669" s="1392" t="n"/>
      <c r="AK669" s="1392" t="n"/>
      <c r="AL669" s="1392" t="n"/>
      <c r="AM669" s="1392" t="n"/>
      <c r="AN669" s="1392" t="n"/>
      <c r="AO669" s="1392" t="n"/>
      <c r="AP669" s="1392" t="n"/>
      <c r="AQ669" s="1392" t="n"/>
      <c r="AR669" s="1392" t="n"/>
      <c r="AS669" s="1422" t="n"/>
      <c r="AT669" s="1392" t="n"/>
      <c r="AU669" s="1392" t="n"/>
      <c r="AV669" s="1392" t="n"/>
      <c r="AW669" s="1392" t="n"/>
      <c r="AX669" s="1392" t="n"/>
      <c r="AY669" s="1392" t="n"/>
      <c r="AZ669" s="1392" t="n"/>
      <c r="BA669" s="1392" t="n"/>
      <c r="BB669" s="1422" t="n"/>
      <c r="BC669" s="1392" t="n"/>
      <c r="BD669" s="1392" t="n"/>
      <c r="BE669" s="1392" t="n"/>
      <c r="BF669" s="1392" t="n"/>
      <c r="BG669" s="1392" t="n"/>
      <c r="BH669" s="1392" t="n"/>
      <c r="BI669" s="1392" t="n"/>
      <c r="BJ669" s="1392" t="n"/>
      <c r="BK669" s="1392" t="n"/>
      <c r="BL669" s="1392" t="n"/>
      <c r="BM669" s="1392" t="n"/>
      <c r="BN669" s="1392" t="n"/>
      <c r="BO669" s="1392" t="n"/>
      <c r="BP669" s="1392" t="n"/>
      <c r="BQ669" s="1392" t="n"/>
      <c r="BR669" s="1392" t="n"/>
      <c r="BS669" s="1392" t="n"/>
      <c r="BT669" s="1392" t="n"/>
      <c r="BU669" s="1416" t="n"/>
      <c r="BV669" s="1392" t="n"/>
      <c r="BW669" s="1392" t="n"/>
      <c r="BX669" s="1392" t="n"/>
      <c r="BY669" s="1392" t="n"/>
      <c r="BZ669" s="1416" t="n"/>
      <c r="CA669" s="1392" t="n"/>
      <c r="CB669" s="1392" t="n"/>
      <c r="CC669" s="1392" t="n"/>
      <c r="CD669" s="1392" t="n"/>
      <c r="CE669" s="1392" t="n"/>
      <c r="CF669" s="1392" t="n"/>
      <c r="CG669" s="1392" t="n"/>
      <c r="CH669" s="1392" t="n"/>
      <c r="CI669" s="1392" t="n"/>
      <c r="CJ669" s="1392" t="n"/>
      <c r="CK669" s="1392" t="n"/>
      <c r="CL669" s="1392" t="n"/>
    </row>
    <row r="670">
      <c r="A670" s="5" t="inlineStr">
        <is>
          <t>.</t>
        </is>
      </c>
      <c r="B670" s="5" t="inlineStr">
        <is>
          <t>.</t>
        </is>
      </c>
      <c r="C670" s="1378">
        <f>IF(raw[[#This Row],[city]]="","-",IF(raw[[#This Row],[city]]="TODAY","-",C669+1))</f>
        <v/>
      </c>
      <c r="D670" s="1393" t="inlineStr">
        <is>
          <t>SP</t>
        </is>
      </c>
      <c r="E670" s="1394" t="n">
        <v>37143</v>
      </c>
      <c r="F670" s="1394" t="n">
        <v>37165</v>
      </c>
      <c r="G670" s="1393" t="inlineStr">
        <is>
          <t>-</t>
        </is>
      </c>
      <c r="H670" s="1393" t="inlineStr">
        <is>
          <t>Joaquim Eugenio</t>
        </is>
      </c>
      <c r="I670" s="1393" t="inlineStr">
        <is>
          <t>-</t>
        </is>
      </c>
      <c r="J670" s="1393" t="inlineStr">
        <is>
          <t>-</t>
        </is>
      </c>
      <c r="K670" s="1395">
        <f>IF(raw[[#This Row],[city]]&lt;&gt;"",_xlfn.XLOOKUP($D670,ccc[city],ccc[prov],"-"),"-")</f>
        <v/>
      </c>
      <c r="L670" s="1395">
        <f>IF(raw[[#This Row],[city]]&lt;&gt;"",_xlfn.XLOOKUP($D670,ccc[city],ccc[ctry],"-"),"-")</f>
        <v/>
      </c>
      <c r="M670" s="1395">
        <f>IF(raw[[#This Row],[city]]&lt;&gt;"",_xlfn.XLOOKUP($D670,ccc[city],ccc[cont],"-"),"-")</f>
        <v/>
      </c>
      <c r="N670" s="1396">
        <f>IF(raw[[#This Row],[city]]="","-",IF(raw[[#This Row],[cont]]="B",raw[[#This Row],[cont]],"W"))</f>
        <v/>
      </c>
      <c r="O670" s="1397">
        <f>IF(raw[[#This Row],[out]]=0,0,IF(raw[[#This Row],[out]]=raw[[#This Row],[in]],0.01,raw[[#This Row],[out]]-raw[[#This Row],[in]]))</f>
        <v/>
      </c>
      <c r="P670" s="1397">
        <f>IF(raw[[#This Row],[in]]=0,0,MONTH(raw[[#This Row],[in]]))</f>
        <v/>
      </c>
      <c r="Q670" s="1397">
        <f>IF(raw[[#This Row],[in]]=0,0,YEAR(raw[[#This Row],[in]]))</f>
        <v/>
      </c>
      <c r="R670" s="1397">
        <f>INT(raw[[#This Row],[yr]]/10)*10</f>
        <v/>
      </c>
      <c r="S670" s="1395">
        <f>IF(raw[[#This Row],[city]]="","-",IF(raw[[#This Row],[city]]&lt;&gt;_xlfn.XLOOKUP(raw[[#This Row],[home]],homes[home],homes[city],"-"),1,0))</f>
        <v/>
      </c>
      <c r="T670" s="1398" t="inlineStr">
        <is>
          <t>.</t>
        </is>
      </c>
      <c r="U670" s="1399">
        <f>IF(raw[[#This Row],[wb]]="w",raw[[#This Row],[stay]]+U669,U669)</f>
        <v/>
      </c>
      <c r="V670" s="1400">
        <f>IF(raw[[#This Row],[out]]=0,V669,(raw[[#This Row],[out]]-E$5))</f>
        <v/>
      </c>
      <c r="W670" s="1401">
        <f>U670/V670</f>
        <v/>
      </c>
      <c r="X670" s="1378" t="inlineStr">
        <is>
          <t>.</t>
        </is>
      </c>
      <c r="Y670" s="1402">
        <f/>
        <v/>
      </c>
      <c r="Z670" s="1403">
        <f/>
        <v/>
      </c>
      <c r="AA670" s="1403">
        <f/>
        <v/>
      </c>
      <c r="AB670" s="1400">
        <f t="array" ref="AB670">_xlfn.LET(_xlpm.S,_xlfn.ANCHORARRAY($Y$4),_xlpm.r,ROWS(stayCity[[#Headers],[city]]:stayCity[[#This Row],[city]])-1,IF(_xlpm.r&lt;=ROWS(_xlpm.S),INDEX(_xlpm.S,_xlpm.r,1),""))</f>
        <v/>
      </c>
      <c r="AC670" s="1405">
        <f t="array" ref="AC670">_xlfn.LET(_xlpm.S,_xlfn.ANCHORARRAY($Y$4),_xlpm.r,ROWS(stayCity[[#Headers],[city]]:stayCity[[#This Row],[city]])-1,IF(_xlpm.r&lt;=ROWS(_xlpm.S),INDEX(_xlpm.S,_xlpm.r,2),""))</f>
        <v/>
      </c>
      <c r="AD670" s="1405">
        <f t="array" ref="AD670">_xlfn.LET(_xlpm.S,_xlfn.ANCHORARRAY($Y$4),_xlpm.r,ROWS(stayCity[[#Headers],[city]]:stayCity[[#This Row],[city]])-1,IF(_xlpm.r&lt;=ROWS(_xlpm.S),INDEX(_xlpm.S,_xlpm.r,3),""))</f>
        <v/>
      </c>
      <c r="AE670" s="1400">
        <f>IF(stayCity[[#This Row],[out]]&lt;&gt;"",stayCity[[#This Row],[out]]-stayCity[[#This Row],[in]],"-")</f>
        <v/>
      </c>
      <c r="AF670" s="1406">
        <f>IF(Y670="","-",YEAR(stayCity[[#This Row],[in]]))</f>
        <v/>
      </c>
      <c r="AG670" s="1392" t="n"/>
      <c r="AH670" s="1392" t="n"/>
      <c r="AI670" s="1392" t="n"/>
      <c r="AJ670" s="1392" t="n"/>
      <c r="AK670" s="1392" t="n"/>
      <c r="AL670" s="1392" t="n"/>
      <c r="AM670" s="1392" t="n"/>
      <c r="AN670" s="1392" t="n"/>
      <c r="AO670" s="1392" t="n"/>
      <c r="AP670" s="1392" t="n"/>
      <c r="AQ670" s="1392" t="n"/>
      <c r="AR670" s="1392" t="n"/>
      <c r="AS670" s="1422" t="n"/>
      <c r="AT670" s="1392" t="n"/>
      <c r="AU670" s="1392" t="n"/>
      <c r="AV670" s="1392" t="n"/>
      <c r="AW670" s="1392" t="n"/>
      <c r="AX670" s="1392" t="n"/>
      <c r="AY670" s="1392" t="n"/>
      <c r="AZ670" s="1392" t="n"/>
      <c r="BA670" s="1392" t="n"/>
      <c r="BB670" s="1422" t="n"/>
      <c r="BC670" s="1392" t="n"/>
      <c r="BD670" s="1392" t="n"/>
      <c r="BE670" s="1392" t="n"/>
      <c r="BF670" s="1392" t="n"/>
      <c r="BG670" s="1392" t="n"/>
      <c r="BH670" s="1392" t="n"/>
      <c r="BI670" s="1392" t="n"/>
      <c r="BJ670" s="1392" t="n"/>
      <c r="BK670" s="1392" t="n"/>
      <c r="BL670" s="1392" t="n"/>
      <c r="BM670" s="1392" t="n"/>
      <c r="BN670" s="1392" t="n"/>
      <c r="BO670" s="1392" t="n"/>
      <c r="BP670" s="1392" t="n"/>
      <c r="BQ670" s="1392" t="n"/>
      <c r="BR670" s="1392" t="n"/>
      <c r="BS670" s="1392" t="n"/>
      <c r="BT670" s="1392" t="n"/>
      <c r="BU670" s="1416" t="n"/>
      <c r="BV670" s="1392" t="n"/>
      <c r="BW670" s="1392" t="n"/>
      <c r="BX670" s="1392" t="n"/>
      <c r="BY670" s="1392" t="n"/>
      <c r="BZ670" s="1416" t="n"/>
      <c r="CA670" s="1392" t="n"/>
      <c r="CB670" s="1392" t="n"/>
      <c r="CC670" s="1392" t="n"/>
      <c r="CD670" s="1392" t="n"/>
      <c r="CE670" s="1392" t="n"/>
      <c r="CF670" s="1392" t="n"/>
      <c r="CG670" s="1392" t="n"/>
      <c r="CH670" s="1392" t="n"/>
      <c r="CI670" s="1392" t="n"/>
      <c r="CJ670" s="1392" t="n"/>
      <c r="CK670" s="1392" t="n"/>
      <c r="CL670" s="1392" t="n"/>
    </row>
    <row r="671">
      <c r="A671" s="5" t="inlineStr">
        <is>
          <t>.</t>
        </is>
      </c>
      <c r="B671" s="5" t="inlineStr">
        <is>
          <t>.</t>
        </is>
      </c>
      <c r="C671" s="1378">
        <f>IF(raw[[#This Row],[city]]="","-",IF(raw[[#This Row],[city]]="TODAY","-",C670+1))</f>
        <v/>
      </c>
      <c r="D671" s="1393" t="inlineStr">
        <is>
          <t>SP</t>
        </is>
      </c>
      <c r="E671" s="1394" t="n">
        <v>37165</v>
      </c>
      <c r="F671" s="1394" t="n">
        <v>37181</v>
      </c>
      <c r="G671" s="1393" t="inlineStr">
        <is>
          <t>-</t>
        </is>
      </c>
      <c r="H671" s="1393" t="inlineStr">
        <is>
          <t>Joaquim Eugenio</t>
        </is>
      </c>
      <c r="I671" s="1393" t="inlineStr">
        <is>
          <t>-</t>
        </is>
      </c>
      <c r="J671" s="1393" t="inlineStr">
        <is>
          <t>-</t>
        </is>
      </c>
      <c r="K671" s="1395">
        <f>IF(raw[[#This Row],[city]]&lt;&gt;"",_xlfn.XLOOKUP($D671,ccc[city],ccc[prov],"-"),"-")</f>
        <v/>
      </c>
      <c r="L671" s="1395">
        <f>IF(raw[[#This Row],[city]]&lt;&gt;"",_xlfn.XLOOKUP($D671,ccc[city],ccc[ctry],"-"),"-")</f>
        <v/>
      </c>
      <c r="M671" s="1395">
        <f>IF(raw[[#This Row],[city]]&lt;&gt;"",_xlfn.XLOOKUP($D671,ccc[city],ccc[cont],"-"),"-")</f>
        <v/>
      </c>
      <c r="N671" s="1396">
        <f>IF(raw[[#This Row],[city]]="","-",IF(raw[[#This Row],[cont]]="B",raw[[#This Row],[cont]],"W"))</f>
        <v/>
      </c>
      <c r="O671" s="1397">
        <f>IF(raw[[#This Row],[out]]=0,0,IF(raw[[#This Row],[out]]=raw[[#This Row],[in]],0.01,raw[[#This Row],[out]]-raw[[#This Row],[in]]))</f>
        <v/>
      </c>
      <c r="P671" s="1397">
        <f>IF(raw[[#This Row],[in]]=0,0,MONTH(raw[[#This Row],[in]]))</f>
        <v/>
      </c>
      <c r="Q671" s="1397">
        <f>IF(raw[[#This Row],[in]]=0,0,YEAR(raw[[#This Row],[in]]))</f>
        <v/>
      </c>
      <c r="R671" s="1397">
        <f>INT(raw[[#This Row],[yr]]/10)*10</f>
        <v/>
      </c>
      <c r="S671" s="1395">
        <f>IF(raw[[#This Row],[city]]="","-",IF(raw[[#This Row],[city]]&lt;&gt;_xlfn.XLOOKUP(raw[[#This Row],[home]],homes[home],homes[city],"-"),1,0))</f>
        <v/>
      </c>
      <c r="T671" s="1398" t="inlineStr">
        <is>
          <t>.</t>
        </is>
      </c>
      <c r="U671" s="1399">
        <f>IF(raw[[#This Row],[wb]]="w",raw[[#This Row],[stay]]+U670,U670)</f>
        <v/>
      </c>
      <c r="V671" s="1400">
        <f>IF(raw[[#This Row],[out]]=0,V670,(raw[[#This Row],[out]]-E$5))</f>
        <v/>
      </c>
      <c r="W671" s="1401">
        <f>U671/V671</f>
        <v/>
      </c>
      <c r="X671" s="1378" t="inlineStr">
        <is>
          <t>.</t>
        </is>
      </c>
      <c r="Y671" s="1402">
        <f/>
        <v/>
      </c>
      <c r="Z671" s="1403">
        <f/>
        <v/>
      </c>
      <c r="AA671" s="1403">
        <f/>
        <v/>
      </c>
      <c r="AB671" s="1400">
        <f t="array" ref="AB671">_xlfn.LET(_xlpm.S,_xlfn.ANCHORARRAY($Y$4),_xlpm.r,ROWS(stayCity[[#Headers],[city]]:stayCity[[#This Row],[city]])-1,IF(_xlpm.r&lt;=ROWS(_xlpm.S),INDEX(_xlpm.S,_xlpm.r,1),""))</f>
        <v/>
      </c>
      <c r="AC671" s="1405">
        <f t="array" ref="AC671">_xlfn.LET(_xlpm.S,_xlfn.ANCHORARRAY($Y$4),_xlpm.r,ROWS(stayCity[[#Headers],[city]]:stayCity[[#This Row],[city]])-1,IF(_xlpm.r&lt;=ROWS(_xlpm.S),INDEX(_xlpm.S,_xlpm.r,2),""))</f>
        <v/>
      </c>
      <c r="AD671" s="1405">
        <f t="array" ref="AD671">_xlfn.LET(_xlpm.S,_xlfn.ANCHORARRAY($Y$4),_xlpm.r,ROWS(stayCity[[#Headers],[city]]:stayCity[[#This Row],[city]])-1,IF(_xlpm.r&lt;=ROWS(_xlpm.S),INDEX(_xlpm.S,_xlpm.r,3),""))</f>
        <v/>
      </c>
      <c r="AE671" s="1400">
        <f>IF(stayCity[[#This Row],[out]]&lt;&gt;"",stayCity[[#This Row],[out]]-stayCity[[#This Row],[in]],"-")</f>
        <v/>
      </c>
      <c r="AF671" s="1406">
        <f>IF(Y671="","-",YEAR(stayCity[[#This Row],[in]]))</f>
        <v/>
      </c>
      <c r="AG671" s="1392" t="n"/>
      <c r="AH671" s="1392" t="n"/>
      <c r="AI671" s="1392" t="n"/>
      <c r="AJ671" s="1392" t="n"/>
      <c r="AK671" s="1392" t="n"/>
      <c r="AL671" s="1392" t="n"/>
      <c r="AM671" s="1392" t="n"/>
      <c r="AN671" s="1392" t="n"/>
      <c r="AO671" s="1392" t="n"/>
      <c r="AP671" s="1392" t="n"/>
      <c r="AQ671" s="1392" t="n"/>
      <c r="AR671" s="1392" t="n"/>
      <c r="AS671" s="1422" t="n"/>
      <c r="AT671" s="1392" t="n"/>
      <c r="AU671" s="1392" t="n"/>
      <c r="AV671" s="1392" t="n"/>
      <c r="AW671" s="1392" t="n"/>
      <c r="AX671" s="1392" t="n"/>
      <c r="AY671" s="1392" t="n"/>
      <c r="AZ671" s="1392" t="n"/>
      <c r="BA671" s="1392" t="n"/>
      <c r="BB671" s="1422" t="n"/>
      <c r="BC671" s="1392" t="n"/>
      <c r="BD671" s="1392" t="n"/>
      <c r="BE671" s="1392" t="n"/>
      <c r="BF671" s="1392" t="n"/>
      <c r="BG671" s="1392" t="n"/>
      <c r="BH671" s="1392" t="n"/>
      <c r="BI671" s="1392" t="n"/>
      <c r="BJ671" s="1392" t="n"/>
      <c r="BK671" s="1392" t="n"/>
      <c r="BL671" s="1392" t="n"/>
      <c r="BM671" s="1392" t="n"/>
      <c r="BN671" s="1392" t="n"/>
      <c r="BO671" s="1392" t="n"/>
      <c r="BP671" s="1392" t="n"/>
      <c r="BQ671" s="1392" t="n"/>
      <c r="BR671" s="1392" t="n"/>
      <c r="BS671" s="1392" t="n"/>
      <c r="BT671" s="1392" t="n"/>
      <c r="BU671" s="1416" t="n"/>
      <c r="BV671" s="1392" t="n"/>
      <c r="BW671" s="1392" t="n"/>
      <c r="BX671" s="1392" t="n"/>
      <c r="BY671" s="1392" t="n"/>
      <c r="BZ671" s="1416" t="n"/>
      <c r="CA671" s="1392" t="n"/>
      <c r="CB671" s="1392" t="n"/>
      <c r="CC671" s="1392" t="n"/>
      <c r="CD671" s="1392" t="n"/>
      <c r="CE671" s="1392" t="n"/>
      <c r="CF671" s="1392" t="n"/>
      <c r="CG671" s="1392" t="n"/>
      <c r="CH671" s="1392" t="n"/>
      <c r="CI671" s="1392" t="n"/>
      <c r="CJ671" s="1392" t="n"/>
      <c r="CK671" s="1392" t="n"/>
      <c r="CL671" s="1392" t="n"/>
    </row>
    <row r="672">
      <c r="A672" s="5" t="inlineStr">
        <is>
          <t>.</t>
        </is>
      </c>
      <c r="B672" s="5" t="inlineStr">
        <is>
          <t>.</t>
        </is>
      </c>
      <c r="C672" s="1378">
        <f>IF(raw[[#This Row],[city]]="","-",IF(raw[[#This Row],[city]]="TODAY","-",C671+1))</f>
        <v/>
      </c>
      <c r="D672" s="1393" t="inlineStr">
        <is>
          <t>Brotas</t>
        </is>
      </c>
      <c r="E672" s="1394" t="n">
        <v>37181</v>
      </c>
      <c r="F672" s="1394" t="n">
        <v>37181</v>
      </c>
      <c r="G672" s="1393" t="inlineStr">
        <is>
          <t>-</t>
        </is>
      </c>
      <c r="H672" s="1393" t="inlineStr">
        <is>
          <t>Joaquim Eugenio</t>
        </is>
      </c>
      <c r="I672" s="1393" t="inlineStr">
        <is>
          <t>-</t>
        </is>
      </c>
      <c r="J672" s="1393" t="inlineStr">
        <is>
          <t>-</t>
        </is>
      </c>
      <c r="K672" s="1395">
        <f>IF(raw[[#This Row],[city]]&lt;&gt;"",_xlfn.XLOOKUP($D672,ccc[city],ccc[prov],"-"),"-")</f>
        <v/>
      </c>
      <c r="L672" s="1395">
        <f>IF(raw[[#This Row],[city]]&lt;&gt;"",_xlfn.XLOOKUP($D672,ccc[city],ccc[ctry],"-"),"-")</f>
        <v/>
      </c>
      <c r="M672" s="1395">
        <f>IF(raw[[#This Row],[city]]&lt;&gt;"",_xlfn.XLOOKUP($D672,ccc[city],ccc[cont],"-"),"-")</f>
        <v/>
      </c>
      <c r="N672" s="1396">
        <f>IF(raw[[#This Row],[city]]="","-",IF(raw[[#This Row],[cont]]="B",raw[[#This Row],[cont]],"W"))</f>
        <v/>
      </c>
      <c r="O672" s="1397">
        <f>IF(raw[[#This Row],[out]]=0,0,IF(raw[[#This Row],[out]]=raw[[#This Row],[in]],0.01,raw[[#This Row],[out]]-raw[[#This Row],[in]]))</f>
        <v/>
      </c>
      <c r="P672" s="1397">
        <f>IF(raw[[#This Row],[in]]=0,0,MONTH(raw[[#This Row],[in]]))</f>
        <v/>
      </c>
      <c r="Q672" s="1397">
        <f>IF(raw[[#This Row],[in]]=0,0,YEAR(raw[[#This Row],[in]]))</f>
        <v/>
      </c>
      <c r="R672" s="1397">
        <f>INT(raw[[#This Row],[yr]]/10)*10</f>
        <v/>
      </c>
      <c r="S672" s="1395">
        <f>IF(raw[[#This Row],[city]]="","-",IF(raw[[#This Row],[city]]&lt;&gt;_xlfn.XLOOKUP(raw[[#This Row],[home]],homes[home],homes[city],"-"),1,0))</f>
        <v/>
      </c>
      <c r="T672" s="1398" t="inlineStr">
        <is>
          <t>.</t>
        </is>
      </c>
      <c r="U672" s="1399">
        <f>IF(raw[[#This Row],[wb]]="w",raw[[#This Row],[stay]]+U671,U671)</f>
        <v/>
      </c>
      <c r="V672" s="1400">
        <f>IF(raw[[#This Row],[out]]=0,V671,(raw[[#This Row],[out]]-E$5))</f>
        <v/>
      </c>
      <c r="W672" s="1401">
        <f>U672/V672</f>
        <v/>
      </c>
      <c r="X672" s="1378" t="inlineStr">
        <is>
          <t>.</t>
        </is>
      </c>
      <c r="Y672" s="1402">
        <f/>
        <v/>
      </c>
      <c r="Z672" s="1403">
        <f/>
        <v/>
      </c>
      <c r="AA672" s="1403">
        <f/>
        <v/>
      </c>
      <c r="AB672" s="1400">
        <f t="array" ref="AB672">_xlfn.LET(_xlpm.S,_xlfn.ANCHORARRAY($Y$4),_xlpm.r,ROWS(stayCity[[#Headers],[city]]:stayCity[[#This Row],[city]])-1,IF(_xlpm.r&lt;=ROWS(_xlpm.S),INDEX(_xlpm.S,_xlpm.r,1),""))</f>
        <v/>
      </c>
      <c r="AC672" s="1405">
        <f t="array" ref="AC672">_xlfn.LET(_xlpm.S,_xlfn.ANCHORARRAY($Y$4),_xlpm.r,ROWS(stayCity[[#Headers],[city]]:stayCity[[#This Row],[city]])-1,IF(_xlpm.r&lt;=ROWS(_xlpm.S),INDEX(_xlpm.S,_xlpm.r,2),""))</f>
        <v/>
      </c>
      <c r="AD672" s="1405">
        <f t="array" ref="AD672">_xlfn.LET(_xlpm.S,_xlfn.ANCHORARRAY($Y$4),_xlpm.r,ROWS(stayCity[[#Headers],[city]]:stayCity[[#This Row],[city]])-1,IF(_xlpm.r&lt;=ROWS(_xlpm.S),INDEX(_xlpm.S,_xlpm.r,3),""))</f>
        <v/>
      </c>
      <c r="AE672" s="1400">
        <f>IF(stayCity[[#This Row],[out]]&lt;&gt;"",stayCity[[#This Row],[out]]-stayCity[[#This Row],[in]],"-")</f>
        <v/>
      </c>
      <c r="AF672" s="1406">
        <f>IF(Y672="","-",YEAR(stayCity[[#This Row],[in]]))</f>
        <v/>
      </c>
      <c r="AG672" s="1392" t="n"/>
      <c r="AH672" s="1392" t="n"/>
      <c r="AI672" s="1392" t="n"/>
      <c r="AJ672" s="1392" t="n"/>
      <c r="AK672" s="1392" t="n"/>
      <c r="AL672" s="1392" t="n"/>
      <c r="AM672" s="1392" t="n"/>
      <c r="AN672" s="1392" t="n"/>
      <c r="AO672" s="1392" t="n"/>
      <c r="AP672" s="1392" t="n"/>
      <c r="AQ672" s="1392" t="n"/>
      <c r="AR672" s="1392" t="n"/>
      <c r="AS672" s="1422" t="n"/>
      <c r="AT672" s="1392" t="n"/>
      <c r="AU672" s="1392" t="n"/>
      <c r="AV672" s="1392" t="n"/>
      <c r="AW672" s="1392" t="n"/>
      <c r="AX672" s="1392" t="n"/>
      <c r="AY672" s="1392" t="n"/>
      <c r="AZ672" s="1392" t="n"/>
      <c r="BA672" s="1392" t="n"/>
      <c r="BB672" s="1422" t="n"/>
      <c r="BC672" s="1392" t="n"/>
      <c r="BD672" s="1392" t="n"/>
      <c r="BE672" s="1392" t="n"/>
      <c r="BF672" s="1392" t="n"/>
      <c r="BG672" s="1392" t="n"/>
      <c r="BH672" s="1392" t="n"/>
      <c r="BI672" s="1392" t="n"/>
      <c r="BJ672" s="1392" t="n"/>
      <c r="BK672" s="1392" t="n"/>
      <c r="BL672" s="1392" t="n"/>
      <c r="BM672" s="1392" t="n"/>
      <c r="BN672" s="1392" t="n"/>
      <c r="BO672" s="1392" t="n"/>
      <c r="BP672" s="1392" t="n"/>
      <c r="BQ672" s="1392" t="n"/>
      <c r="BR672" s="1392" t="n"/>
      <c r="BS672" s="1392" t="n"/>
      <c r="BT672" s="1392" t="n"/>
      <c r="BU672" s="1416" t="n"/>
      <c r="BV672" s="1392" t="n"/>
      <c r="BW672" s="1392" t="n"/>
      <c r="BX672" s="1392" t="n"/>
      <c r="BY672" s="1392" t="n"/>
      <c r="BZ672" s="1416" t="n"/>
      <c r="CA672" s="1392" t="n"/>
      <c r="CB672" s="1392" t="n"/>
      <c r="CC672" s="1392" t="n"/>
      <c r="CD672" s="1392" t="n"/>
      <c r="CE672" s="1392" t="n"/>
      <c r="CF672" s="1392" t="n"/>
      <c r="CG672" s="1392" t="n"/>
      <c r="CH672" s="1392" t="n"/>
      <c r="CI672" s="1392" t="n"/>
      <c r="CJ672" s="1392" t="n"/>
      <c r="CK672" s="1392" t="n"/>
      <c r="CL672" s="1392" t="n"/>
    </row>
    <row r="673">
      <c r="A673" s="5" t="inlineStr">
        <is>
          <t>.</t>
        </is>
      </c>
      <c r="B673" s="5" t="inlineStr">
        <is>
          <t>.</t>
        </is>
      </c>
      <c r="C673" s="1378">
        <f>IF(raw[[#This Row],[city]]="","-",IF(raw[[#This Row],[city]]="TODAY","-",C672+1))</f>
        <v/>
      </c>
      <c r="D673" s="1393" t="inlineStr">
        <is>
          <t>SP</t>
        </is>
      </c>
      <c r="E673" s="1394" t="n">
        <v>37181</v>
      </c>
      <c r="F673" s="1394" t="n">
        <v>37196</v>
      </c>
      <c r="G673" s="1393" t="inlineStr">
        <is>
          <t>-</t>
        </is>
      </c>
      <c r="H673" s="1393" t="inlineStr">
        <is>
          <t>Joaquim Eugenio</t>
        </is>
      </c>
      <c r="I673" s="1393" t="inlineStr">
        <is>
          <t>-</t>
        </is>
      </c>
      <c r="J673" s="1393" t="inlineStr">
        <is>
          <t>-</t>
        </is>
      </c>
      <c r="K673" s="1395">
        <f>IF(raw[[#This Row],[city]]&lt;&gt;"",_xlfn.XLOOKUP($D673,ccc[city],ccc[prov],"-"),"-")</f>
        <v/>
      </c>
      <c r="L673" s="1395">
        <f>IF(raw[[#This Row],[city]]&lt;&gt;"",_xlfn.XLOOKUP($D673,ccc[city],ccc[ctry],"-"),"-")</f>
        <v/>
      </c>
      <c r="M673" s="1395">
        <f>IF(raw[[#This Row],[city]]&lt;&gt;"",_xlfn.XLOOKUP($D673,ccc[city],ccc[cont],"-"),"-")</f>
        <v/>
      </c>
      <c r="N673" s="1396">
        <f>IF(raw[[#This Row],[city]]="","-",IF(raw[[#This Row],[cont]]="B",raw[[#This Row],[cont]],"W"))</f>
        <v/>
      </c>
      <c r="O673" s="1397">
        <f>IF(raw[[#This Row],[out]]=0,0,IF(raw[[#This Row],[out]]=raw[[#This Row],[in]],0.01,raw[[#This Row],[out]]-raw[[#This Row],[in]]))</f>
        <v/>
      </c>
      <c r="P673" s="1397">
        <f>IF(raw[[#This Row],[in]]=0,0,MONTH(raw[[#This Row],[in]]))</f>
        <v/>
      </c>
      <c r="Q673" s="1397">
        <f>IF(raw[[#This Row],[in]]=0,0,YEAR(raw[[#This Row],[in]]))</f>
        <v/>
      </c>
      <c r="R673" s="1397">
        <f>INT(raw[[#This Row],[yr]]/10)*10</f>
        <v/>
      </c>
      <c r="S673" s="1395">
        <f>IF(raw[[#This Row],[city]]="","-",IF(raw[[#This Row],[city]]&lt;&gt;_xlfn.XLOOKUP(raw[[#This Row],[home]],homes[home],homes[city],"-"),1,0))</f>
        <v/>
      </c>
      <c r="T673" s="1398" t="inlineStr">
        <is>
          <t>.</t>
        </is>
      </c>
      <c r="U673" s="1399">
        <f>IF(raw[[#This Row],[wb]]="w",raw[[#This Row],[stay]]+U672,U672)</f>
        <v/>
      </c>
      <c r="V673" s="1400">
        <f>IF(raw[[#This Row],[out]]=0,V672,(raw[[#This Row],[out]]-E$5))</f>
        <v/>
      </c>
      <c r="W673" s="1401">
        <f>U673/V673</f>
        <v/>
      </c>
      <c r="X673" s="1378" t="inlineStr">
        <is>
          <t>.</t>
        </is>
      </c>
      <c r="Y673" s="1402">
        <f/>
        <v/>
      </c>
      <c r="Z673" s="1403">
        <f/>
        <v/>
      </c>
      <c r="AA673" s="1403">
        <f/>
        <v/>
      </c>
      <c r="AB673" s="1400">
        <f t="array" ref="AB673">_xlfn.LET(_xlpm.S,_xlfn.ANCHORARRAY($Y$4),_xlpm.r,ROWS(stayCity[[#Headers],[city]]:stayCity[[#This Row],[city]])-1,IF(_xlpm.r&lt;=ROWS(_xlpm.S),INDEX(_xlpm.S,_xlpm.r,1),""))</f>
        <v/>
      </c>
      <c r="AC673" s="1405">
        <f t="array" ref="AC673">_xlfn.LET(_xlpm.S,_xlfn.ANCHORARRAY($Y$4),_xlpm.r,ROWS(stayCity[[#Headers],[city]]:stayCity[[#This Row],[city]])-1,IF(_xlpm.r&lt;=ROWS(_xlpm.S),INDEX(_xlpm.S,_xlpm.r,2),""))</f>
        <v/>
      </c>
      <c r="AD673" s="1405">
        <f t="array" ref="AD673">_xlfn.LET(_xlpm.S,_xlfn.ANCHORARRAY($Y$4),_xlpm.r,ROWS(stayCity[[#Headers],[city]]:stayCity[[#This Row],[city]])-1,IF(_xlpm.r&lt;=ROWS(_xlpm.S),INDEX(_xlpm.S,_xlpm.r,3),""))</f>
        <v/>
      </c>
      <c r="AE673" s="1400">
        <f>IF(stayCity[[#This Row],[out]]&lt;&gt;"",stayCity[[#This Row],[out]]-stayCity[[#This Row],[in]],"-")</f>
        <v/>
      </c>
      <c r="AF673" s="1406">
        <f>IF(Y673="","-",YEAR(stayCity[[#This Row],[in]]))</f>
        <v/>
      </c>
      <c r="AG673" s="1392" t="n"/>
      <c r="AH673" s="1392" t="n"/>
      <c r="AI673" s="1392" t="n"/>
      <c r="AJ673" s="1392" t="n"/>
      <c r="AK673" s="1392" t="n"/>
      <c r="AL673" s="1392" t="n"/>
      <c r="AM673" s="1392" t="n"/>
      <c r="AN673" s="1392" t="n"/>
      <c r="AO673" s="1392" t="n"/>
      <c r="AP673" s="1392" t="n"/>
      <c r="AQ673" s="1392" t="n"/>
      <c r="AR673" s="1392" t="n"/>
      <c r="AS673" s="1422" t="n"/>
      <c r="AT673" s="1392" t="n"/>
      <c r="AU673" s="1392" t="n"/>
      <c r="AV673" s="1392" t="n"/>
      <c r="AW673" s="1392" t="n"/>
      <c r="AX673" s="1392" t="n"/>
      <c r="AY673" s="1392" t="n"/>
      <c r="AZ673" s="1392" t="n"/>
      <c r="BA673" s="1392" t="n"/>
      <c r="BB673" s="1422" t="n"/>
      <c r="BC673" s="1392" t="n"/>
      <c r="BD673" s="1392" t="n"/>
      <c r="BE673" s="1392" t="n"/>
      <c r="BF673" s="1392" t="n"/>
      <c r="BG673" s="1392" t="n"/>
      <c r="BH673" s="1392" t="n"/>
      <c r="BI673" s="1392" t="n"/>
      <c r="BJ673" s="1392" t="n"/>
      <c r="BK673" s="1392" t="n"/>
      <c r="BL673" s="1392" t="n"/>
      <c r="BM673" s="1392" t="n"/>
      <c r="BN673" s="1392" t="n"/>
      <c r="BO673" s="1392" t="n"/>
      <c r="BP673" s="1392" t="n"/>
      <c r="BQ673" s="1392" t="n"/>
      <c r="BR673" s="1392" t="n"/>
      <c r="BS673" s="1392" t="n"/>
      <c r="BT673" s="1392" t="n"/>
      <c r="BU673" s="1416" t="n"/>
      <c r="BV673" s="1392" t="n"/>
      <c r="BW673" s="1392" t="n"/>
      <c r="BX673" s="1392" t="n"/>
      <c r="BY673" s="1392" t="n"/>
      <c r="BZ673" s="1416" t="n"/>
      <c r="CA673" s="1392" t="n"/>
      <c r="CB673" s="1392" t="n"/>
      <c r="CC673" s="1392" t="n"/>
      <c r="CD673" s="1392" t="n"/>
      <c r="CE673" s="1392" t="n"/>
      <c r="CF673" s="1392" t="n"/>
      <c r="CG673" s="1392" t="n"/>
      <c r="CH673" s="1392" t="n"/>
      <c r="CI673" s="1392" t="n"/>
      <c r="CJ673" s="1392" t="n"/>
      <c r="CK673" s="1392" t="n"/>
      <c r="CL673" s="1392" t="n"/>
    </row>
    <row r="674">
      <c r="A674" s="5" t="inlineStr">
        <is>
          <t>.</t>
        </is>
      </c>
      <c r="B674" s="5" t="inlineStr">
        <is>
          <t>.</t>
        </is>
      </c>
      <c r="C674" s="1378">
        <f>IF(raw[[#This Row],[city]]="","-",IF(raw[[#This Row],[city]]="TODAY","-",C673+1))</f>
        <v/>
      </c>
      <c r="D674" s="1393" t="inlineStr">
        <is>
          <t>Ubatuba</t>
        </is>
      </c>
      <c r="E674" s="1394" t="n">
        <v>37196</v>
      </c>
      <c r="F674" s="1394" t="n">
        <v>37199</v>
      </c>
      <c r="G674" s="1393" t="inlineStr">
        <is>
          <t>-</t>
        </is>
      </c>
      <c r="H674" s="1393" t="inlineStr">
        <is>
          <t>Joaquim Eugenio</t>
        </is>
      </c>
      <c r="I674" s="1393" t="inlineStr">
        <is>
          <t>-</t>
        </is>
      </c>
      <c r="J674" s="1393" t="inlineStr">
        <is>
          <t>-</t>
        </is>
      </c>
      <c r="K674" s="1395">
        <f>IF(raw[[#This Row],[city]]&lt;&gt;"",_xlfn.XLOOKUP($D674,ccc[city],ccc[prov],"-"),"-")</f>
        <v/>
      </c>
      <c r="L674" s="1395">
        <f>IF(raw[[#This Row],[city]]&lt;&gt;"",_xlfn.XLOOKUP($D674,ccc[city],ccc[ctry],"-"),"-")</f>
        <v/>
      </c>
      <c r="M674" s="1395">
        <f>IF(raw[[#This Row],[city]]&lt;&gt;"",_xlfn.XLOOKUP($D674,ccc[city],ccc[cont],"-"),"-")</f>
        <v/>
      </c>
      <c r="N674" s="1396">
        <f>IF(raw[[#This Row],[city]]="","-",IF(raw[[#This Row],[cont]]="B",raw[[#This Row],[cont]],"W"))</f>
        <v/>
      </c>
      <c r="O674" s="1397">
        <f>IF(raw[[#This Row],[out]]=0,0,IF(raw[[#This Row],[out]]=raw[[#This Row],[in]],0.01,raw[[#This Row],[out]]-raw[[#This Row],[in]]))</f>
        <v/>
      </c>
      <c r="P674" s="1397">
        <f>IF(raw[[#This Row],[in]]=0,0,MONTH(raw[[#This Row],[in]]))</f>
        <v/>
      </c>
      <c r="Q674" s="1397">
        <f>IF(raw[[#This Row],[in]]=0,0,YEAR(raw[[#This Row],[in]]))</f>
        <v/>
      </c>
      <c r="R674" s="1397">
        <f>INT(raw[[#This Row],[yr]]/10)*10</f>
        <v/>
      </c>
      <c r="S674" s="1395">
        <f>IF(raw[[#This Row],[city]]="","-",IF(raw[[#This Row],[city]]&lt;&gt;_xlfn.XLOOKUP(raw[[#This Row],[home]],homes[home],homes[city],"-"),1,0))</f>
        <v/>
      </c>
      <c r="T674" s="1398" t="inlineStr">
        <is>
          <t>.</t>
        </is>
      </c>
      <c r="U674" s="1399">
        <f>IF(raw[[#This Row],[wb]]="w",raw[[#This Row],[stay]]+U673,U673)</f>
        <v/>
      </c>
      <c r="V674" s="1400">
        <f>IF(raw[[#This Row],[out]]=0,V673,(raw[[#This Row],[out]]-E$5))</f>
        <v/>
      </c>
      <c r="W674" s="1401">
        <f>U674/V674</f>
        <v/>
      </c>
      <c r="X674" s="1378" t="inlineStr">
        <is>
          <t>.</t>
        </is>
      </c>
      <c r="Y674" s="1402">
        <f/>
        <v/>
      </c>
      <c r="Z674" s="1403">
        <f/>
        <v/>
      </c>
      <c r="AA674" s="1403">
        <f/>
        <v/>
      </c>
      <c r="AB674" s="1400">
        <f t="array" ref="AB674">_xlfn.LET(_xlpm.S,_xlfn.ANCHORARRAY($Y$4),_xlpm.r,ROWS(stayCity[[#Headers],[city]]:stayCity[[#This Row],[city]])-1,IF(_xlpm.r&lt;=ROWS(_xlpm.S),INDEX(_xlpm.S,_xlpm.r,1),""))</f>
        <v/>
      </c>
      <c r="AC674" s="1405">
        <f t="array" ref="AC674">_xlfn.LET(_xlpm.S,_xlfn.ANCHORARRAY($Y$4),_xlpm.r,ROWS(stayCity[[#Headers],[city]]:stayCity[[#This Row],[city]])-1,IF(_xlpm.r&lt;=ROWS(_xlpm.S),INDEX(_xlpm.S,_xlpm.r,2),""))</f>
        <v/>
      </c>
      <c r="AD674" s="1405">
        <f t="array" ref="AD674">_xlfn.LET(_xlpm.S,_xlfn.ANCHORARRAY($Y$4),_xlpm.r,ROWS(stayCity[[#Headers],[city]]:stayCity[[#This Row],[city]])-1,IF(_xlpm.r&lt;=ROWS(_xlpm.S),INDEX(_xlpm.S,_xlpm.r,3),""))</f>
        <v/>
      </c>
      <c r="AE674" s="1400">
        <f>IF(stayCity[[#This Row],[out]]&lt;&gt;"",stayCity[[#This Row],[out]]-stayCity[[#This Row],[in]],"-")</f>
        <v/>
      </c>
      <c r="AF674" s="1406">
        <f>IF(Y674="","-",YEAR(stayCity[[#This Row],[in]]))</f>
        <v/>
      </c>
      <c r="AG674" s="1392" t="n"/>
      <c r="AH674" s="1392" t="n"/>
      <c r="AI674" s="1392" t="n"/>
      <c r="AJ674" s="1392" t="n"/>
      <c r="AK674" s="1392" t="n"/>
      <c r="AL674" s="1392" t="n"/>
      <c r="AM674" s="1392" t="n"/>
      <c r="AN674" s="1392" t="n"/>
      <c r="AO674" s="1392" t="n"/>
      <c r="AP674" s="1392" t="n"/>
      <c r="AQ674" s="1392" t="n"/>
      <c r="AR674" s="1392" t="n"/>
      <c r="AS674" s="1422" t="n"/>
      <c r="AT674" s="1392" t="n"/>
      <c r="AU674" s="1392" t="n"/>
      <c r="AV674" s="1392" t="n"/>
      <c r="AW674" s="1392" t="n"/>
      <c r="AX674" s="1392" t="n"/>
      <c r="AY674" s="1392" t="n"/>
      <c r="AZ674" s="1392" t="n"/>
      <c r="BA674" s="1392" t="n"/>
      <c r="BB674" s="1422" t="n"/>
      <c r="BC674" s="1392" t="n"/>
      <c r="BD674" s="1392" t="n"/>
      <c r="BE674" s="1392" t="n"/>
      <c r="BF674" s="1392" t="n"/>
      <c r="BG674" s="1392" t="n"/>
      <c r="BH674" s="1392" t="n"/>
      <c r="BI674" s="1392" t="n"/>
      <c r="BJ674" s="1392" t="n"/>
      <c r="BK674" s="1392" t="n"/>
      <c r="BL674" s="1392" t="n"/>
      <c r="BM674" s="1392" t="n"/>
      <c r="BN674" s="1392" t="n"/>
      <c r="BO674" s="1392" t="n"/>
      <c r="BP674" s="1392" t="n"/>
      <c r="BQ674" s="1392" t="n"/>
      <c r="BR674" s="1392" t="n"/>
      <c r="BS674" s="1392" t="n"/>
      <c r="BT674" s="1392" t="n"/>
      <c r="BU674" s="1416" t="n"/>
      <c r="BV674" s="1392" t="n"/>
      <c r="BW674" s="1392" t="n"/>
      <c r="BX674" s="1392" t="n"/>
      <c r="BY674" s="1392" t="n"/>
      <c r="BZ674" s="1416" t="n"/>
      <c r="CA674" s="1392" t="n"/>
      <c r="CB674" s="1392" t="n"/>
      <c r="CC674" s="1392" t="n"/>
      <c r="CD674" s="1392" t="n"/>
      <c r="CE674" s="1392" t="n"/>
      <c r="CF674" s="1392" t="n"/>
      <c r="CG674" s="1392" t="n"/>
      <c r="CH674" s="1392" t="n"/>
      <c r="CI674" s="1392" t="n"/>
      <c r="CJ674" s="1392" t="n"/>
      <c r="CK674" s="1392" t="n"/>
      <c r="CL674" s="1392" t="n"/>
    </row>
    <row r="675">
      <c r="A675" s="5" t="inlineStr">
        <is>
          <t>.</t>
        </is>
      </c>
      <c r="B675" s="5" t="inlineStr">
        <is>
          <t>.</t>
        </is>
      </c>
      <c r="C675" s="1378">
        <f>IF(raw[[#This Row],[city]]="","-",IF(raw[[#This Row],[city]]="TODAY","-",C674+1))</f>
        <v/>
      </c>
      <c r="D675" s="1393" t="inlineStr">
        <is>
          <t>SP</t>
        </is>
      </c>
      <c r="E675" s="1394" t="n">
        <v>37199</v>
      </c>
      <c r="F675" s="1394" t="n">
        <v>37225</v>
      </c>
      <c r="G675" s="1393" t="n">
        <v>1</v>
      </c>
      <c r="H675" s="1393" t="inlineStr">
        <is>
          <t>Joaquim Eugenio</t>
        </is>
      </c>
      <c r="I675" s="1393" t="inlineStr">
        <is>
          <t>-</t>
        </is>
      </c>
      <c r="J675" s="1393" t="inlineStr">
        <is>
          <t>-</t>
        </is>
      </c>
      <c r="K675" s="1395">
        <f>IF(raw[[#This Row],[city]]&lt;&gt;"",_xlfn.XLOOKUP($D675,ccc[city],ccc[prov],"-"),"-")</f>
        <v/>
      </c>
      <c r="L675" s="1395">
        <f>IF(raw[[#This Row],[city]]&lt;&gt;"",_xlfn.XLOOKUP($D675,ccc[city],ccc[ctry],"-"),"-")</f>
        <v/>
      </c>
      <c r="M675" s="1395">
        <f>IF(raw[[#This Row],[city]]&lt;&gt;"",_xlfn.XLOOKUP($D675,ccc[city],ccc[cont],"-"),"-")</f>
        <v/>
      </c>
      <c r="N675" s="1396">
        <f>IF(raw[[#This Row],[city]]="","-",IF(raw[[#This Row],[cont]]="B",raw[[#This Row],[cont]],"W"))</f>
        <v/>
      </c>
      <c r="O675" s="1397">
        <f>IF(raw[[#This Row],[out]]=0,0,IF(raw[[#This Row],[out]]=raw[[#This Row],[in]],0.01,raw[[#This Row],[out]]-raw[[#This Row],[in]]))</f>
        <v/>
      </c>
      <c r="P675" s="1397">
        <f>IF(raw[[#This Row],[in]]=0,0,MONTH(raw[[#This Row],[in]]))</f>
        <v/>
      </c>
      <c r="Q675" s="1397">
        <f>IF(raw[[#This Row],[in]]=0,0,YEAR(raw[[#This Row],[in]]))</f>
        <v/>
      </c>
      <c r="R675" s="1397">
        <f>INT(raw[[#This Row],[yr]]/10)*10</f>
        <v/>
      </c>
      <c r="S675" s="1395">
        <f>IF(raw[[#This Row],[city]]="","-",IF(raw[[#This Row],[city]]&lt;&gt;_xlfn.XLOOKUP(raw[[#This Row],[home]],homes[home],homes[city],"-"),1,0))</f>
        <v/>
      </c>
      <c r="T675" s="1398" t="inlineStr">
        <is>
          <t>.</t>
        </is>
      </c>
      <c r="U675" s="1399">
        <f>IF(raw[[#This Row],[wb]]="w",raw[[#This Row],[stay]]+U674,U674)</f>
        <v/>
      </c>
      <c r="V675" s="1400">
        <f>IF(raw[[#This Row],[out]]=0,V674,(raw[[#This Row],[out]]-E$5))</f>
        <v/>
      </c>
      <c r="W675" s="1401">
        <f>U675/V675</f>
        <v/>
      </c>
      <c r="X675" s="1378" t="inlineStr">
        <is>
          <t>.</t>
        </is>
      </c>
      <c r="Y675" s="1402">
        <f/>
        <v/>
      </c>
      <c r="Z675" s="1403">
        <f/>
        <v/>
      </c>
      <c r="AA675" s="1403">
        <f/>
        <v/>
      </c>
      <c r="AB675" s="1400">
        <f t="array" ref="AB675">_xlfn.LET(_xlpm.S,_xlfn.ANCHORARRAY($Y$4),_xlpm.r,ROWS(stayCity[[#Headers],[city]]:stayCity[[#This Row],[city]])-1,IF(_xlpm.r&lt;=ROWS(_xlpm.S),INDEX(_xlpm.S,_xlpm.r,1),""))</f>
        <v/>
      </c>
      <c r="AC675" s="1405">
        <f t="array" ref="AC675">_xlfn.LET(_xlpm.S,_xlfn.ANCHORARRAY($Y$4),_xlpm.r,ROWS(stayCity[[#Headers],[city]]:stayCity[[#This Row],[city]])-1,IF(_xlpm.r&lt;=ROWS(_xlpm.S),INDEX(_xlpm.S,_xlpm.r,2),""))</f>
        <v/>
      </c>
      <c r="AD675" s="1405">
        <f t="array" ref="AD675">_xlfn.LET(_xlpm.S,_xlfn.ANCHORARRAY($Y$4),_xlpm.r,ROWS(stayCity[[#Headers],[city]]:stayCity[[#This Row],[city]])-1,IF(_xlpm.r&lt;=ROWS(_xlpm.S),INDEX(_xlpm.S,_xlpm.r,3),""))</f>
        <v/>
      </c>
      <c r="AE675" s="1400">
        <f>IF(stayCity[[#This Row],[out]]&lt;&gt;"",stayCity[[#This Row],[out]]-stayCity[[#This Row],[in]],"-")</f>
        <v/>
      </c>
      <c r="AF675" s="1406">
        <f>IF(Y675="","-",YEAR(stayCity[[#This Row],[in]]))</f>
        <v/>
      </c>
      <c r="AG675" s="1392" t="n"/>
      <c r="AH675" s="1392" t="n"/>
      <c r="AI675" s="1392" t="n"/>
      <c r="AJ675" s="1392" t="n"/>
      <c r="AK675" s="1392" t="n"/>
      <c r="AL675" s="1392" t="n"/>
      <c r="AM675" s="1392" t="n"/>
      <c r="AN675" s="1392" t="n"/>
      <c r="AO675" s="1392" t="n"/>
      <c r="AP675" s="1392" t="n"/>
      <c r="AQ675" s="1392" t="n"/>
      <c r="AR675" s="1392" t="n"/>
      <c r="AS675" s="1422" t="n"/>
      <c r="AT675" s="1392" t="n"/>
      <c r="AU675" s="1392" t="n"/>
      <c r="AV675" s="1392" t="n"/>
      <c r="AW675" s="1392" t="n"/>
      <c r="AX675" s="1392" t="n"/>
      <c r="AY675" s="1392" t="n"/>
      <c r="AZ675" s="1392" t="n"/>
      <c r="BA675" s="1392" t="n"/>
      <c r="BB675" s="1422" t="n"/>
      <c r="BC675" s="1392" t="n"/>
      <c r="BD675" s="1392" t="n"/>
      <c r="BE675" s="1392" t="n"/>
      <c r="BF675" s="1392" t="n"/>
      <c r="BG675" s="1392" t="n"/>
      <c r="BH675" s="1392" t="n"/>
      <c r="BI675" s="1392" t="n"/>
      <c r="BJ675" s="1392" t="n"/>
      <c r="BK675" s="1392" t="n"/>
      <c r="BL675" s="1392" t="n"/>
      <c r="BM675" s="1392" t="n"/>
      <c r="BN675" s="1392" t="n"/>
      <c r="BO675" s="1392" t="n"/>
      <c r="BP675" s="1392" t="n"/>
      <c r="BQ675" s="1392" t="n"/>
      <c r="BR675" s="1392" t="n"/>
      <c r="BS675" s="1392" t="n"/>
      <c r="BT675" s="1392" t="n"/>
      <c r="BU675" s="1416" t="n"/>
      <c r="BV675" s="1392" t="n"/>
      <c r="BW675" s="1392" t="n"/>
      <c r="BX675" s="1392" t="n"/>
      <c r="BY675" s="1392" t="n"/>
      <c r="BZ675" s="1416" t="n"/>
      <c r="CA675" s="1392" t="n"/>
      <c r="CB675" s="1392" t="n"/>
      <c r="CC675" s="1392" t="n"/>
      <c r="CD675" s="1392" t="n"/>
      <c r="CE675" s="1392" t="n"/>
      <c r="CF675" s="1392" t="n"/>
      <c r="CG675" s="1392" t="n"/>
      <c r="CH675" s="1392" t="n"/>
      <c r="CI675" s="1392" t="n"/>
      <c r="CJ675" s="1392" t="n"/>
      <c r="CK675" s="1392" t="n"/>
      <c r="CL675" s="1392" t="n"/>
    </row>
    <row r="676">
      <c r="A676" s="5" t="inlineStr">
        <is>
          <t>.</t>
        </is>
      </c>
      <c r="B676" s="5" t="inlineStr">
        <is>
          <t>.</t>
        </is>
      </c>
      <c r="C676" s="1378">
        <f>IF(raw[[#This Row],[city]]="","-",IF(raw[[#This Row],[city]]="TODAY","-",C675+1))</f>
        <v/>
      </c>
      <c r="D676" s="1393" t="inlineStr">
        <is>
          <t>SSA</t>
        </is>
      </c>
      <c r="E676" s="1394" t="n">
        <v>37225</v>
      </c>
      <c r="F676" s="1394" t="n">
        <v>37226</v>
      </c>
      <c r="G676" s="1393" t="inlineStr">
        <is>
          <t>-</t>
        </is>
      </c>
      <c r="H676" s="1393" t="inlineStr">
        <is>
          <t>Joaquim Eugenio</t>
        </is>
      </c>
      <c r="I676" s="1393" t="inlineStr">
        <is>
          <t>Ondina</t>
        </is>
      </c>
      <c r="J676" s="1393" t="inlineStr">
        <is>
          <t>-</t>
        </is>
      </c>
      <c r="K676" s="1395">
        <f>IF(raw[[#This Row],[city]]&lt;&gt;"",_xlfn.XLOOKUP($D676,ccc[city],ccc[prov],"-"),"-")</f>
        <v/>
      </c>
      <c r="L676" s="1395">
        <f>IF(raw[[#This Row],[city]]&lt;&gt;"",_xlfn.XLOOKUP($D676,ccc[city],ccc[ctry],"-"),"-")</f>
        <v/>
      </c>
      <c r="M676" s="1395">
        <f>IF(raw[[#This Row],[city]]&lt;&gt;"",_xlfn.XLOOKUP($D676,ccc[city],ccc[cont],"-"),"-")</f>
        <v/>
      </c>
      <c r="N676" s="1396">
        <f>IF(raw[[#This Row],[city]]="","-",IF(raw[[#This Row],[cont]]="B",raw[[#This Row],[cont]],"W"))</f>
        <v/>
      </c>
      <c r="O676" s="1397">
        <f>IF(raw[[#This Row],[out]]=0,0,IF(raw[[#This Row],[out]]=raw[[#This Row],[in]],0.01,raw[[#This Row],[out]]-raw[[#This Row],[in]]))</f>
        <v/>
      </c>
      <c r="P676" s="1397">
        <f>IF(raw[[#This Row],[in]]=0,0,MONTH(raw[[#This Row],[in]]))</f>
        <v/>
      </c>
      <c r="Q676" s="1397">
        <f>IF(raw[[#This Row],[in]]=0,0,YEAR(raw[[#This Row],[in]]))</f>
        <v/>
      </c>
      <c r="R676" s="1397">
        <f>INT(raw[[#This Row],[yr]]/10)*10</f>
        <v/>
      </c>
      <c r="S676" s="1395">
        <f>IF(raw[[#This Row],[city]]="","-",IF(raw[[#This Row],[city]]&lt;&gt;_xlfn.XLOOKUP(raw[[#This Row],[home]],homes[home],homes[city],"-"),1,0))</f>
        <v/>
      </c>
      <c r="T676" s="1398" t="inlineStr">
        <is>
          <t>.</t>
        </is>
      </c>
      <c r="U676" s="1399">
        <f>IF(raw[[#This Row],[wb]]="w",raw[[#This Row],[stay]]+U675,U675)</f>
        <v/>
      </c>
      <c r="V676" s="1400">
        <f>IF(raw[[#This Row],[out]]=0,V675,(raw[[#This Row],[out]]-E$5))</f>
        <v/>
      </c>
      <c r="W676" s="1401">
        <f>U676/V676</f>
        <v/>
      </c>
      <c r="X676" s="1378" t="inlineStr">
        <is>
          <t>.</t>
        </is>
      </c>
      <c r="Y676" s="1402">
        <f/>
        <v/>
      </c>
      <c r="Z676" s="1403">
        <f/>
        <v/>
      </c>
      <c r="AA676" s="1403">
        <f/>
        <v/>
      </c>
      <c r="AB676" s="1400">
        <f t="array" ref="AB676">_xlfn.LET(_xlpm.S,_xlfn.ANCHORARRAY($Y$4),_xlpm.r,ROWS(stayCity[[#Headers],[city]]:stayCity[[#This Row],[city]])-1,IF(_xlpm.r&lt;=ROWS(_xlpm.S),INDEX(_xlpm.S,_xlpm.r,1),""))</f>
        <v/>
      </c>
      <c r="AC676" s="1405">
        <f t="array" ref="AC676">_xlfn.LET(_xlpm.S,_xlfn.ANCHORARRAY($Y$4),_xlpm.r,ROWS(stayCity[[#Headers],[city]]:stayCity[[#This Row],[city]])-1,IF(_xlpm.r&lt;=ROWS(_xlpm.S),INDEX(_xlpm.S,_xlpm.r,2),""))</f>
        <v/>
      </c>
      <c r="AD676" s="1405">
        <f t="array" ref="AD676">_xlfn.LET(_xlpm.S,_xlfn.ANCHORARRAY($Y$4),_xlpm.r,ROWS(stayCity[[#Headers],[city]]:stayCity[[#This Row],[city]])-1,IF(_xlpm.r&lt;=ROWS(_xlpm.S),INDEX(_xlpm.S,_xlpm.r,3),""))</f>
        <v/>
      </c>
      <c r="AE676" s="1400">
        <f>IF(stayCity[[#This Row],[out]]&lt;&gt;"",stayCity[[#This Row],[out]]-stayCity[[#This Row],[in]],"-")</f>
        <v/>
      </c>
      <c r="AF676" s="1406">
        <f>IF(Y676="","-",YEAR(stayCity[[#This Row],[in]]))</f>
        <v/>
      </c>
      <c r="AG676" s="1392" t="n"/>
      <c r="AH676" s="1392" t="n"/>
      <c r="AI676" s="1392" t="n"/>
      <c r="AJ676" s="1392" t="n"/>
      <c r="AK676" s="1392" t="n"/>
      <c r="AL676" s="1392" t="n"/>
      <c r="AM676" s="1392" t="n"/>
      <c r="AN676" s="1392" t="n"/>
      <c r="AO676" s="1392" t="n"/>
      <c r="AP676" s="1392" t="n"/>
      <c r="AQ676" s="1392" t="n"/>
      <c r="AR676" s="1392" t="n"/>
      <c r="AS676" s="1422" t="n"/>
      <c r="AT676" s="1392" t="n"/>
      <c r="AU676" s="1392" t="n"/>
      <c r="AV676" s="1392" t="n"/>
      <c r="AW676" s="1392" t="n"/>
      <c r="AX676" s="1392" t="n"/>
      <c r="AY676" s="1392" t="n"/>
      <c r="AZ676" s="1392" t="n"/>
      <c r="BA676" s="1392" t="n"/>
      <c r="BB676" s="1422" t="n"/>
      <c r="BC676" s="1392" t="n"/>
      <c r="BD676" s="1392" t="n"/>
      <c r="BE676" s="1392" t="n"/>
      <c r="BF676" s="1392" t="n"/>
      <c r="BG676" s="1392" t="n"/>
      <c r="BH676" s="1392" t="n"/>
      <c r="BI676" s="1392" t="n"/>
      <c r="BJ676" s="1392" t="n"/>
      <c r="BK676" s="1392" t="n"/>
      <c r="BL676" s="1392" t="n"/>
      <c r="BM676" s="1392" t="n"/>
      <c r="BN676" s="1392" t="n"/>
      <c r="BO676" s="1392" t="n"/>
      <c r="BP676" s="1392" t="n"/>
      <c r="BQ676" s="1392" t="n"/>
      <c r="BR676" s="1392" t="n"/>
      <c r="BS676" s="1392" t="n"/>
      <c r="BT676" s="1392" t="n"/>
      <c r="BU676" s="1416" t="n"/>
      <c r="BV676" s="1392" t="n"/>
      <c r="BW676" s="1392" t="n"/>
      <c r="BX676" s="1392" t="n"/>
      <c r="BY676" s="1392" t="n"/>
      <c r="BZ676" s="1416" t="n"/>
      <c r="CA676" s="1392" t="n"/>
      <c r="CB676" s="1392" t="n"/>
      <c r="CC676" s="1392" t="n"/>
      <c r="CD676" s="1392" t="n"/>
      <c r="CE676" s="1392" t="n"/>
      <c r="CF676" s="1392" t="n"/>
      <c r="CG676" s="1392" t="n"/>
      <c r="CH676" s="1392" t="n"/>
      <c r="CI676" s="1392" t="n"/>
      <c r="CJ676" s="1392" t="n"/>
      <c r="CK676" s="1392" t="n"/>
      <c r="CL676" s="1392" t="n"/>
    </row>
    <row r="677">
      <c r="A677" s="5" t="inlineStr">
        <is>
          <t>.</t>
        </is>
      </c>
      <c r="B677" s="5" t="inlineStr">
        <is>
          <t>.</t>
        </is>
      </c>
      <c r="C677" s="1378">
        <f>IF(raw[[#This Row],[city]]="","-",IF(raw[[#This Row],[city]]="TODAY","-",C676+1))</f>
        <v/>
      </c>
      <c r="D677" s="1393" t="inlineStr">
        <is>
          <t>SSA</t>
        </is>
      </c>
      <c r="E677" s="1394" t="n">
        <v>37226</v>
      </c>
      <c r="F677" s="1394" t="n">
        <v>37235</v>
      </c>
      <c r="G677" s="1393" t="n">
        <v>1</v>
      </c>
      <c r="H677" s="1393" t="inlineStr">
        <is>
          <t>Joaquim Eugenio</t>
        </is>
      </c>
      <c r="I677" s="1393" t="inlineStr">
        <is>
          <t>Ondina</t>
        </is>
      </c>
      <c r="J677" s="1393" t="inlineStr">
        <is>
          <t>-</t>
        </is>
      </c>
      <c r="K677" s="1395">
        <f>IF(raw[[#This Row],[city]]&lt;&gt;"",_xlfn.XLOOKUP($D677,ccc[city],ccc[prov],"-"),"-")</f>
        <v/>
      </c>
      <c r="L677" s="1395">
        <f>IF(raw[[#This Row],[city]]&lt;&gt;"",_xlfn.XLOOKUP($D677,ccc[city],ccc[ctry],"-"),"-")</f>
        <v/>
      </c>
      <c r="M677" s="1395">
        <f>IF(raw[[#This Row],[city]]&lt;&gt;"",_xlfn.XLOOKUP($D677,ccc[city],ccc[cont],"-"),"-")</f>
        <v/>
      </c>
      <c r="N677" s="1396">
        <f>IF(raw[[#This Row],[city]]="","-",IF(raw[[#This Row],[cont]]="B",raw[[#This Row],[cont]],"W"))</f>
        <v/>
      </c>
      <c r="O677" s="1397">
        <f>IF(raw[[#This Row],[out]]=0,0,IF(raw[[#This Row],[out]]=raw[[#This Row],[in]],0.01,raw[[#This Row],[out]]-raw[[#This Row],[in]]))</f>
        <v/>
      </c>
      <c r="P677" s="1397">
        <f>IF(raw[[#This Row],[in]]=0,0,MONTH(raw[[#This Row],[in]]))</f>
        <v/>
      </c>
      <c r="Q677" s="1397">
        <f>IF(raw[[#This Row],[in]]=0,0,YEAR(raw[[#This Row],[in]]))</f>
        <v/>
      </c>
      <c r="R677" s="1397">
        <f>INT(raw[[#This Row],[yr]]/10)*10</f>
        <v/>
      </c>
      <c r="S677" s="1395">
        <f>IF(raw[[#This Row],[city]]="","-",IF(raw[[#This Row],[city]]&lt;&gt;_xlfn.XLOOKUP(raw[[#This Row],[home]],homes[home],homes[city],"-"),1,0))</f>
        <v/>
      </c>
      <c r="T677" s="1398" t="inlineStr">
        <is>
          <t>.</t>
        </is>
      </c>
      <c r="U677" s="1399">
        <f>IF(raw[[#This Row],[wb]]="w",raw[[#This Row],[stay]]+U676,U676)</f>
        <v/>
      </c>
      <c r="V677" s="1400">
        <f>IF(raw[[#This Row],[out]]=0,V676,(raw[[#This Row],[out]]-E$5))</f>
        <v/>
      </c>
      <c r="W677" s="1401">
        <f>U677/V677</f>
        <v/>
      </c>
      <c r="X677" s="1378" t="inlineStr">
        <is>
          <t>.</t>
        </is>
      </c>
      <c r="Y677" s="1402">
        <f/>
        <v/>
      </c>
      <c r="Z677" s="1403">
        <f/>
        <v/>
      </c>
      <c r="AA677" s="1403">
        <f/>
        <v/>
      </c>
      <c r="AB677" s="1400">
        <f t="array" ref="AB677">_xlfn.LET(_xlpm.S,_xlfn.ANCHORARRAY($Y$4),_xlpm.r,ROWS(stayCity[[#Headers],[city]]:stayCity[[#This Row],[city]])-1,IF(_xlpm.r&lt;=ROWS(_xlpm.S),INDEX(_xlpm.S,_xlpm.r,1),""))</f>
        <v/>
      </c>
      <c r="AC677" s="1405">
        <f t="array" ref="AC677">_xlfn.LET(_xlpm.S,_xlfn.ANCHORARRAY($Y$4),_xlpm.r,ROWS(stayCity[[#Headers],[city]]:stayCity[[#This Row],[city]])-1,IF(_xlpm.r&lt;=ROWS(_xlpm.S),INDEX(_xlpm.S,_xlpm.r,2),""))</f>
        <v/>
      </c>
      <c r="AD677" s="1405">
        <f t="array" ref="AD677">_xlfn.LET(_xlpm.S,_xlfn.ANCHORARRAY($Y$4),_xlpm.r,ROWS(stayCity[[#Headers],[city]]:stayCity[[#This Row],[city]])-1,IF(_xlpm.r&lt;=ROWS(_xlpm.S),INDEX(_xlpm.S,_xlpm.r,3),""))</f>
        <v/>
      </c>
      <c r="AE677" s="1400">
        <f>IF(stayCity[[#This Row],[out]]&lt;&gt;"",stayCity[[#This Row],[out]]-stayCity[[#This Row],[in]],"-")</f>
        <v/>
      </c>
      <c r="AF677" s="1406">
        <f>IF(Y677="","-",YEAR(stayCity[[#This Row],[in]]))</f>
        <v/>
      </c>
      <c r="AG677" s="1392" t="n"/>
      <c r="AH677" s="1392" t="n"/>
      <c r="AI677" s="1392" t="n"/>
      <c r="AJ677" s="1392" t="n"/>
      <c r="AK677" s="1392" t="n"/>
      <c r="AL677" s="1392" t="n"/>
      <c r="AM677" s="1392" t="n"/>
      <c r="AN677" s="1392" t="n"/>
      <c r="AO677" s="1392" t="n"/>
      <c r="AP677" s="1392" t="n"/>
      <c r="AQ677" s="1392" t="n"/>
      <c r="AR677" s="1392" t="n"/>
      <c r="AS677" s="1422" t="n"/>
      <c r="AT677" s="1392" t="n"/>
      <c r="AU677" s="1392" t="n"/>
      <c r="AV677" s="1392" t="n"/>
      <c r="AW677" s="1392" t="n"/>
      <c r="AX677" s="1392" t="n"/>
      <c r="AY677" s="1392" t="n"/>
      <c r="AZ677" s="1392" t="n"/>
      <c r="BA677" s="1392" t="n"/>
      <c r="BB677" s="1422" t="n"/>
      <c r="BC677" s="1392" t="n"/>
      <c r="BD677" s="1392" t="n"/>
      <c r="BE677" s="1392" t="n"/>
      <c r="BF677" s="1392" t="n"/>
      <c r="BG677" s="1392" t="n"/>
      <c r="BH677" s="1392" t="n"/>
      <c r="BI677" s="1392" t="n"/>
      <c r="BJ677" s="1392" t="n"/>
      <c r="BK677" s="1392" t="n"/>
      <c r="BL677" s="1392" t="n"/>
      <c r="BM677" s="1392" t="n"/>
      <c r="BN677" s="1392" t="n"/>
      <c r="BO677" s="1392" t="n"/>
      <c r="BP677" s="1392" t="n"/>
      <c r="BQ677" s="1392" t="n"/>
      <c r="BR677" s="1392" t="n"/>
      <c r="BS677" s="1392" t="n"/>
      <c r="BT677" s="1392" t="n"/>
      <c r="BU677" s="1416" t="n"/>
      <c r="BV677" s="1392" t="n"/>
      <c r="BW677" s="1392" t="n"/>
      <c r="BX677" s="1392" t="n"/>
      <c r="BY677" s="1392" t="n"/>
      <c r="BZ677" s="1416" t="n"/>
      <c r="CA677" s="1392" t="n"/>
      <c r="CB677" s="1392" t="n"/>
      <c r="CC677" s="1392" t="n"/>
      <c r="CD677" s="1392" t="n"/>
      <c r="CE677" s="1392" t="n"/>
      <c r="CF677" s="1392" t="n"/>
      <c r="CG677" s="1392" t="n"/>
      <c r="CH677" s="1392" t="n"/>
      <c r="CI677" s="1392" t="n"/>
      <c r="CJ677" s="1392" t="n"/>
      <c r="CK677" s="1392" t="n"/>
      <c r="CL677" s="1392" t="n"/>
    </row>
    <row r="678">
      <c r="A678" s="5" t="inlineStr">
        <is>
          <t>.</t>
        </is>
      </c>
      <c r="B678" s="5" t="inlineStr">
        <is>
          <t>.</t>
        </is>
      </c>
      <c r="C678" s="1378">
        <f>IF(raw[[#This Row],[city]]="","-",IF(raw[[#This Row],[city]]="TODAY","-",C677+1))</f>
        <v/>
      </c>
      <c r="D678" s="1393" t="inlineStr">
        <is>
          <t>SP</t>
        </is>
      </c>
      <c r="E678" s="1394" t="n">
        <v>37235</v>
      </c>
      <c r="F678" s="1394" t="n">
        <v>37253</v>
      </c>
      <c r="G678" s="1393" t="inlineStr">
        <is>
          <t>-</t>
        </is>
      </c>
      <c r="H678" s="1393" t="inlineStr">
        <is>
          <t>Joaquim Eugenio</t>
        </is>
      </c>
      <c r="I678" s="1393" t="inlineStr">
        <is>
          <t>-</t>
        </is>
      </c>
      <c r="J678" s="1393" t="inlineStr">
        <is>
          <t>-</t>
        </is>
      </c>
      <c r="K678" s="1395">
        <f>IF(raw[[#This Row],[city]]&lt;&gt;"",_xlfn.XLOOKUP($D678,ccc[city],ccc[prov],"-"),"-")</f>
        <v/>
      </c>
      <c r="L678" s="1395">
        <f>IF(raw[[#This Row],[city]]&lt;&gt;"",_xlfn.XLOOKUP($D678,ccc[city],ccc[ctry],"-"),"-")</f>
        <v/>
      </c>
      <c r="M678" s="1395">
        <f>IF(raw[[#This Row],[city]]&lt;&gt;"",_xlfn.XLOOKUP($D678,ccc[city],ccc[cont],"-"),"-")</f>
        <v/>
      </c>
      <c r="N678" s="1396">
        <f>IF(raw[[#This Row],[city]]="","-",IF(raw[[#This Row],[cont]]="B",raw[[#This Row],[cont]],"W"))</f>
        <v/>
      </c>
      <c r="O678" s="1397">
        <f>IF(raw[[#This Row],[out]]=0,0,IF(raw[[#This Row],[out]]=raw[[#This Row],[in]],0.01,raw[[#This Row],[out]]-raw[[#This Row],[in]]))</f>
        <v/>
      </c>
      <c r="P678" s="1397">
        <f>IF(raw[[#This Row],[in]]=0,0,MONTH(raw[[#This Row],[in]]))</f>
        <v/>
      </c>
      <c r="Q678" s="1397">
        <f>IF(raw[[#This Row],[in]]=0,0,YEAR(raw[[#This Row],[in]]))</f>
        <v/>
      </c>
      <c r="R678" s="1397">
        <f>INT(raw[[#This Row],[yr]]/10)*10</f>
        <v/>
      </c>
      <c r="S678" s="1395">
        <f>IF(raw[[#This Row],[city]]="","-",IF(raw[[#This Row],[city]]&lt;&gt;_xlfn.XLOOKUP(raw[[#This Row],[home]],homes[home],homes[city],"-"),1,0))</f>
        <v/>
      </c>
      <c r="T678" s="1398" t="inlineStr">
        <is>
          <t>.</t>
        </is>
      </c>
      <c r="U678" s="1399">
        <f>IF(raw[[#This Row],[wb]]="w",raw[[#This Row],[stay]]+U677,U677)</f>
        <v/>
      </c>
      <c r="V678" s="1400">
        <f>IF(raw[[#This Row],[out]]=0,V677,(raw[[#This Row],[out]]-E$5))</f>
        <v/>
      </c>
      <c r="W678" s="1401">
        <f>U678/V678</f>
        <v/>
      </c>
      <c r="X678" s="1378" t="inlineStr">
        <is>
          <t>.</t>
        </is>
      </c>
      <c r="Y678" s="1402">
        <f/>
        <v/>
      </c>
      <c r="Z678" s="1403">
        <f/>
        <v/>
      </c>
      <c r="AA678" s="1403">
        <f/>
        <v/>
      </c>
      <c r="AB678" s="1400">
        <f t="array" ref="AB678">_xlfn.LET(_xlpm.S,_xlfn.ANCHORARRAY($Y$4),_xlpm.r,ROWS(stayCity[[#Headers],[city]]:stayCity[[#This Row],[city]])-1,IF(_xlpm.r&lt;=ROWS(_xlpm.S),INDEX(_xlpm.S,_xlpm.r,1),""))</f>
        <v/>
      </c>
      <c r="AC678" s="1405">
        <f t="array" ref="AC678">_xlfn.LET(_xlpm.S,_xlfn.ANCHORARRAY($Y$4),_xlpm.r,ROWS(stayCity[[#Headers],[city]]:stayCity[[#This Row],[city]])-1,IF(_xlpm.r&lt;=ROWS(_xlpm.S),INDEX(_xlpm.S,_xlpm.r,2),""))</f>
        <v/>
      </c>
      <c r="AD678" s="1405">
        <f t="array" ref="AD678">_xlfn.LET(_xlpm.S,_xlfn.ANCHORARRAY($Y$4),_xlpm.r,ROWS(stayCity[[#Headers],[city]]:stayCity[[#This Row],[city]])-1,IF(_xlpm.r&lt;=ROWS(_xlpm.S),INDEX(_xlpm.S,_xlpm.r,3),""))</f>
        <v/>
      </c>
      <c r="AE678" s="1400">
        <f>IF(stayCity[[#This Row],[out]]&lt;&gt;"",stayCity[[#This Row],[out]]-stayCity[[#This Row],[in]],"-")</f>
        <v/>
      </c>
      <c r="AF678" s="1406">
        <f>IF(Y678="","-",YEAR(stayCity[[#This Row],[in]]))</f>
        <v/>
      </c>
      <c r="AG678" s="1392" t="n"/>
      <c r="AH678" s="1392" t="n"/>
      <c r="AI678" s="1392" t="n"/>
      <c r="AJ678" s="1392" t="n"/>
      <c r="AK678" s="1392" t="n"/>
      <c r="AL678" s="1392" t="n"/>
      <c r="AM678" s="1392" t="n"/>
      <c r="AN678" s="1392" t="n"/>
      <c r="AO678" s="1392" t="n"/>
      <c r="AP678" s="1392" t="n"/>
      <c r="AQ678" s="1392" t="n"/>
      <c r="AR678" s="1392" t="n"/>
      <c r="AS678" s="1422" t="n"/>
      <c r="AT678" s="1392" t="n"/>
      <c r="AU678" s="1392" t="n"/>
      <c r="AV678" s="1392" t="n"/>
      <c r="AW678" s="1392" t="n"/>
      <c r="AX678" s="1392" t="n"/>
      <c r="AY678" s="1392" t="n"/>
      <c r="AZ678" s="1392" t="n"/>
      <c r="BA678" s="1392" t="n"/>
      <c r="BB678" s="1422" t="n"/>
      <c r="BC678" s="1392" t="n"/>
      <c r="BD678" s="1392" t="n"/>
      <c r="BE678" s="1392" t="n"/>
      <c r="BF678" s="1392" t="n"/>
      <c r="BG678" s="1392" t="n"/>
      <c r="BH678" s="1392" t="n"/>
      <c r="BI678" s="1392" t="n"/>
      <c r="BJ678" s="1392" t="n"/>
      <c r="BK678" s="1392" t="n"/>
      <c r="BL678" s="1392" t="n"/>
      <c r="BM678" s="1392" t="n"/>
      <c r="BN678" s="1392" t="n"/>
      <c r="BO678" s="1392" t="n"/>
      <c r="BP678" s="1392" t="n"/>
      <c r="BQ678" s="1392" t="n"/>
      <c r="BR678" s="1392" t="n"/>
      <c r="BS678" s="1392" t="n"/>
      <c r="BT678" s="1392" t="n"/>
      <c r="BU678" s="1416" t="n"/>
      <c r="BV678" s="1392" t="n"/>
      <c r="BW678" s="1392" t="n"/>
      <c r="BX678" s="1392" t="n"/>
      <c r="BY678" s="1392" t="n"/>
      <c r="BZ678" s="1416" t="n"/>
      <c r="CA678" s="1392" t="n"/>
      <c r="CB678" s="1392" t="n"/>
      <c r="CC678" s="1392" t="n"/>
      <c r="CD678" s="1392" t="n"/>
      <c r="CE678" s="1392" t="n"/>
      <c r="CF678" s="1392" t="n"/>
      <c r="CG678" s="1392" t="n"/>
      <c r="CH678" s="1392" t="n"/>
      <c r="CI678" s="1392" t="n"/>
      <c r="CJ678" s="1392" t="n"/>
      <c r="CK678" s="1392" t="n"/>
      <c r="CL678" s="1392" t="n"/>
    </row>
    <row r="679">
      <c r="A679" s="5" t="inlineStr">
        <is>
          <t>.</t>
        </is>
      </c>
      <c r="B679" s="5" t="inlineStr">
        <is>
          <t>.</t>
        </is>
      </c>
      <c r="C679" s="1378">
        <f>IF(raw[[#This Row],[city]]="","-",IF(raw[[#This Row],[city]]="TODAY","-",C678+1))</f>
        <v/>
      </c>
      <c r="D679" s="1393" t="inlineStr">
        <is>
          <t>Camboriú</t>
        </is>
      </c>
      <c r="E679" s="1394" t="n">
        <v>37253</v>
      </c>
      <c r="F679" s="1394" t="n">
        <v>37257</v>
      </c>
      <c r="G679" s="1393" t="inlineStr">
        <is>
          <t>-</t>
        </is>
      </c>
      <c r="H679" s="1393" t="inlineStr">
        <is>
          <t>Joaquim Eugenio</t>
        </is>
      </c>
      <c r="I679" s="1393" t="inlineStr">
        <is>
          <t>-</t>
        </is>
      </c>
      <c r="J679" s="1393" t="inlineStr">
        <is>
          <t>-</t>
        </is>
      </c>
      <c r="K679" s="1395">
        <f>IF(raw[[#This Row],[city]]&lt;&gt;"",_xlfn.XLOOKUP($D679,ccc[city],ccc[prov],"-"),"-")</f>
        <v/>
      </c>
      <c r="L679" s="1395">
        <f>IF(raw[[#This Row],[city]]&lt;&gt;"",_xlfn.XLOOKUP($D679,ccc[city],ccc[ctry],"-"),"-")</f>
        <v/>
      </c>
      <c r="M679" s="1395">
        <f>IF(raw[[#This Row],[city]]&lt;&gt;"",_xlfn.XLOOKUP($D679,ccc[city],ccc[cont],"-"),"-")</f>
        <v/>
      </c>
      <c r="N679" s="1396">
        <f>IF(raw[[#This Row],[city]]="","-",IF(raw[[#This Row],[cont]]="B",raw[[#This Row],[cont]],"W"))</f>
        <v/>
      </c>
      <c r="O679" s="1397">
        <f>IF(raw[[#This Row],[out]]=0,0,IF(raw[[#This Row],[out]]=raw[[#This Row],[in]],0.01,raw[[#This Row],[out]]-raw[[#This Row],[in]]))</f>
        <v/>
      </c>
      <c r="P679" s="1397">
        <f>IF(raw[[#This Row],[in]]=0,0,MONTH(raw[[#This Row],[in]]))</f>
        <v/>
      </c>
      <c r="Q679" s="1397">
        <f>IF(raw[[#This Row],[in]]=0,0,YEAR(raw[[#This Row],[in]]))</f>
        <v/>
      </c>
      <c r="R679" s="1397">
        <f>INT(raw[[#This Row],[yr]]/10)*10</f>
        <v/>
      </c>
      <c r="S679" s="1395">
        <f>IF(raw[[#This Row],[city]]="","-",IF(raw[[#This Row],[city]]&lt;&gt;_xlfn.XLOOKUP(raw[[#This Row],[home]],homes[home],homes[city],"-"),1,0))</f>
        <v/>
      </c>
      <c r="T679" s="1398" t="inlineStr">
        <is>
          <t>.</t>
        </is>
      </c>
      <c r="U679" s="1399">
        <f>IF(raw[[#This Row],[wb]]="w",raw[[#This Row],[stay]]+U678,U678)</f>
        <v/>
      </c>
      <c r="V679" s="1400">
        <f>IF(raw[[#This Row],[out]]=0,V678,(raw[[#This Row],[out]]-E$5))</f>
        <v/>
      </c>
      <c r="W679" s="1401">
        <f>U679/V679</f>
        <v/>
      </c>
      <c r="X679" s="1378" t="inlineStr">
        <is>
          <t>.</t>
        </is>
      </c>
      <c r="Y679" s="1402">
        <f/>
        <v/>
      </c>
      <c r="Z679" s="1403">
        <f/>
        <v/>
      </c>
      <c r="AA679" s="1403">
        <f/>
        <v/>
      </c>
      <c r="AB679" s="1400">
        <f t="array" ref="AB679">_xlfn.LET(_xlpm.S,_xlfn.ANCHORARRAY($Y$4),_xlpm.r,ROWS(stayCity[[#Headers],[city]]:stayCity[[#This Row],[city]])-1,IF(_xlpm.r&lt;=ROWS(_xlpm.S),INDEX(_xlpm.S,_xlpm.r,1),""))</f>
        <v/>
      </c>
      <c r="AC679" s="1405">
        <f t="array" ref="AC679">_xlfn.LET(_xlpm.S,_xlfn.ANCHORARRAY($Y$4),_xlpm.r,ROWS(stayCity[[#Headers],[city]]:stayCity[[#This Row],[city]])-1,IF(_xlpm.r&lt;=ROWS(_xlpm.S),INDEX(_xlpm.S,_xlpm.r,2),""))</f>
        <v/>
      </c>
      <c r="AD679" s="1405">
        <f t="array" ref="AD679">_xlfn.LET(_xlpm.S,_xlfn.ANCHORARRAY($Y$4),_xlpm.r,ROWS(stayCity[[#Headers],[city]]:stayCity[[#This Row],[city]])-1,IF(_xlpm.r&lt;=ROWS(_xlpm.S),INDEX(_xlpm.S,_xlpm.r,3),""))</f>
        <v/>
      </c>
      <c r="AE679" s="1400">
        <f>IF(stayCity[[#This Row],[out]]&lt;&gt;"",stayCity[[#This Row],[out]]-stayCity[[#This Row],[in]],"-")</f>
        <v/>
      </c>
      <c r="AF679" s="1406">
        <f>IF(Y679="","-",YEAR(stayCity[[#This Row],[in]]))</f>
        <v/>
      </c>
      <c r="AG679" s="1392" t="n"/>
      <c r="AH679" s="1392" t="n"/>
      <c r="AI679" s="1392" t="n"/>
      <c r="AJ679" s="1392" t="n"/>
      <c r="AK679" s="1392" t="n"/>
      <c r="AL679" s="1392" t="n"/>
      <c r="AM679" s="1392" t="n"/>
      <c r="AN679" s="1392" t="n"/>
      <c r="AO679" s="1392" t="n"/>
      <c r="AP679" s="1392" t="n"/>
      <c r="AQ679" s="1392" t="n"/>
      <c r="AR679" s="1392" t="n"/>
      <c r="AS679" s="1422" t="n"/>
      <c r="AT679" s="1392" t="n"/>
      <c r="AU679" s="1392" t="n"/>
      <c r="AV679" s="1392" t="n"/>
      <c r="AW679" s="1392" t="n"/>
      <c r="AX679" s="1392" t="n"/>
      <c r="AY679" s="1392" t="n"/>
      <c r="AZ679" s="1392" t="n"/>
      <c r="BA679" s="1392" t="n"/>
      <c r="BB679" s="1422" t="n"/>
      <c r="BC679" s="1392" t="n"/>
      <c r="BD679" s="1392" t="n"/>
      <c r="BE679" s="1392" t="n"/>
      <c r="BF679" s="1392" t="n"/>
      <c r="BG679" s="1392" t="n"/>
      <c r="BH679" s="1392" t="n"/>
      <c r="BI679" s="1392" t="n"/>
      <c r="BJ679" s="1392" t="n"/>
      <c r="BK679" s="1392" t="n"/>
      <c r="BL679" s="1392" t="n"/>
      <c r="BM679" s="1392" t="n"/>
      <c r="BN679" s="1392" t="n"/>
      <c r="BO679" s="1392" t="n"/>
      <c r="BP679" s="1392" t="n"/>
      <c r="BQ679" s="1392" t="n"/>
      <c r="BR679" s="1392" t="n"/>
      <c r="BS679" s="1392" t="n"/>
      <c r="BT679" s="1392" t="n"/>
      <c r="BU679" s="1416" t="n"/>
      <c r="BV679" s="1392" t="n"/>
      <c r="BW679" s="1392" t="n"/>
      <c r="BX679" s="1392" t="n"/>
      <c r="BY679" s="1392" t="n"/>
      <c r="BZ679" s="1416" t="n"/>
      <c r="CA679" s="1392" t="n"/>
      <c r="CB679" s="1392" t="n"/>
      <c r="CC679" s="1392" t="n"/>
      <c r="CD679" s="1392" t="n"/>
      <c r="CE679" s="1392" t="n"/>
      <c r="CF679" s="1392" t="n"/>
      <c r="CG679" s="1392" t="n"/>
      <c r="CH679" s="1392" t="n"/>
      <c r="CI679" s="1392" t="n"/>
      <c r="CJ679" s="1392" t="n"/>
      <c r="CK679" s="1392" t="n"/>
      <c r="CL679" s="1392" t="n"/>
    </row>
    <row r="680">
      <c r="A680" s="5" t="inlineStr">
        <is>
          <t>.</t>
        </is>
      </c>
      <c r="B680" s="5" t="inlineStr">
        <is>
          <t>.</t>
        </is>
      </c>
      <c r="C680" s="1378">
        <f>IF(raw[[#This Row],[city]]="","-",IF(raw[[#This Row],[city]]="TODAY","-",C679+1))</f>
        <v/>
      </c>
      <c r="D680" s="1393" t="inlineStr">
        <is>
          <t>Camboriú</t>
        </is>
      </c>
      <c r="E680" s="1394" t="n">
        <v>37257</v>
      </c>
      <c r="F680" s="1394" t="n">
        <v>37258</v>
      </c>
      <c r="G680" s="1393" t="inlineStr">
        <is>
          <t>-</t>
        </is>
      </c>
      <c r="H680" s="1393" t="inlineStr">
        <is>
          <t>Joaquim Eugenio</t>
        </is>
      </c>
      <c r="I680" s="1393" t="inlineStr">
        <is>
          <t>-</t>
        </is>
      </c>
      <c r="J680" s="1393" t="inlineStr">
        <is>
          <t>REV</t>
        </is>
      </c>
      <c r="K680" s="1395">
        <f>IF(raw[[#This Row],[city]]&lt;&gt;"",_xlfn.XLOOKUP($D680,ccc[city],ccc[prov],"-"),"-")</f>
        <v/>
      </c>
      <c r="L680" s="1395">
        <f>IF(raw[[#This Row],[city]]&lt;&gt;"",_xlfn.XLOOKUP($D680,ccc[city],ccc[ctry],"-"),"-")</f>
        <v/>
      </c>
      <c r="M680" s="1395">
        <f>IF(raw[[#This Row],[city]]&lt;&gt;"",_xlfn.XLOOKUP($D680,ccc[city],ccc[cont],"-"),"-")</f>
        <v/>
      </c>
      <c r="N680" s="1396">
        <f>IF(raw[[#This Row],[city]]="","-",IF(raw[[#This Row],[cont]]="B",raw[[#This Row],[cont]],"W"))</f>
        <v/>
      </c>
      <c r="O680" s="1397">
        <f>IF(raw[[#This Row],[out]]=0,0,IF(raw[[#This Row],[out]]=raw[[#This Row],[in]],0.01,raw[[#This Row],[out]]-raw[[#This Row],[in]]))</f>
        <v/>
      </c>
      <c r="P680" s="1397">
        <f>IF(raw[[#This Row],[in]]=0,0,MONTH(raw[[#This Row],[in]]))</f>
        <v/>
      </c>
      <c r="Q680" s="1397">
        <f>IF(raw[[#This Row],[in]]=0,0,YEAR(raw[[#This Row],[in]]))</f>
        <v/>
      </c>
      <c r="R680" s="1397">
        <f>INT(raw[[#This Row],[yr]]/10)*10</f>
        <v/>
      </c>
      <c r="S680" s="1395">
        <f>IF(raw[[#This Row],[city]]="","-",IF(raw[[#This Row],[city]]&lt;&gt;_xlfn.XLOOKUP(raw[[#This Row],[home]],homes[home],homes[city],"-"),1,0))</f>
        <v/>
      </c>
      <c r="T680" s="1398" t="inlineStr">
        <is>
          <t>.</t>
        </is>
      </c>
      <c r="U680" s="1399">
        <f>IF(raw[[#This Row],[wb]]="w",raw[[#This Row],[stay]]+U679,U679)</f>
        <v/>
      </c>
      <c r="V680" s="1400">
        <f>IF(raw[[#This Row],[out]]=0,V679,(raw[[#This Row],[out]]-E$5))</f>
        <v/>
      </c>
      <c r="W680" s="1401">
        <f>U680/V680</f>
        <v/>
      </c>
      <c r="X680" s="1378" t="inlineStr">
        <is>
          <t>.</t>
        </is>
      </c>
      <c r="Y680" s="1402">
        <f/>
        <v/>
      </c>
      <c r="Z680" s="1403">
        <f/>
        <v/>
      </c>
      <c r="AA680" s="1403">
        <f/>
        <v/>
      </c>
      <c r="AB680" s="1400">
        <f t="array" ref="AB680">_xlfn.LET(_xlpm.S,_xlfn.ANCHORARRAY($Y$4),_xlpm.r,ROWS(stayCity[[#Headers],[city]]:stayCity[[#This Row],[city]])-1,IF(_xlpm.r&lt;=ROWS(_xlpm.S),INDEX(_xlpm.S,_xlpm.r,1),""))</f>
        <v/>
      </c>
      <c r="AC680" s="1405">
        <f t="array" ref="AC680">_xlfn.LET(_xlpm.S,_xlfn.ANCHORARRAY($Y$4),_xlpm.r,ROWS(stayCity[[#Headers],[city]]:stayCity[[#This Row],[city]])-1,IF(_xlpm.r&lt;=ROWS(_xlpm.S),INDEX(_xlpm.S,_xlpm.r,2),""))</f>
        <v/>
      </c>
      <c r="AD680" s="1405">
        <f t="array" ref="AD680">_xlfn.LET(_xlpm.S,_xlfn.ANCHORARRAY($Y$4),_xlpm.r,ROWS(stayCity[[#Headers],[city]]:stayCity[[#This Row],[city]])-1,IF(_xlpm.r&lt;=ROWS(_xlpm.S),INDEX(_xlpm.S,_xlpm.r,3),""))</f>
        <v/>
      </c>
      <c r="AE680" s="1400">
        <f>IF(stayCity[[#This Row],[out]]&lt;&gt;"",stayCity[[#This Row],[out]]-stayCity[[#This Row],[in]],"-")</f>
        <v/>
      </c>
      <c r="AF680" s="1406">
        <f>IF(Y680="","-",YEAR(stayCity[[#This Row],[in]]))</f>
        <v/>
      </c>
      <c r="AG680" s="1392" t="n"/>
      <c r="AH680" s="1392" t="n"/>
      <c r="AI680" s="1392" t="n"/>
      <c r="AJ680" s="1392" t="n"/>
      <c r="AK680" s="1392" t="n"/>
      <c r="AL680" s="1392" t="n"/>
      <c r="AM680" s="1392" t="n"/>
      <c r="AN680" s="1392" t="n"/>
      <c r="AO680" s="1392" t="n"/>
      <c r="AP680" s="1392" t="n"/>
      <c r="AQ680" s="1392" t="n"/>
      <c r="AR680" s="1392" t="n"/>
      <c r="AS680" s="1422" t="n"/>
      <c r="AT680" s="1392" t="n"/>
      <c r="AU680" s="1392" t="n"/>
      <c r="AV680" s="1392" t="n"/>
      <c r="AW680" s="1392" t="n"/>
      <c r="AX680" s="1392" t="n"/>
      <c r="AY680" s="1392" t="n"/>
      <c r="AZ680" s="1392" t="n"/>
      <c r="BA680" s="1392" t="n"/>
      <c r="BB680" s="1422" t="n"/>
      <c r="BC680" s="1392" t="n"/>
      <c r="BD680" s="1392" t="n"/>
      <c r="BE680" s="1392" t="n"/>
      <c r="BF680" s="1392" t="n"/>
      <c r="BG680" s="1392" t="n"/>
      <c r="BH680" s="1392" t="n"/>
      <c r="BI680" s="1392" t="n"/>
      <c r="BJ680" s="1392" t="n"/>
      <c r="BK680" s="1392" t="n"/>
      <c r="BL680" s="1392" t="n"/>
      <c r="BM680" s="1392" t="n"/>
      <c r="BN680" s="1392" t="n"/>
      <c r="BO680" s="1392" t="n"/>
      <c r="BP680" s="1392" t="n"/>
      <c r="BQ680" s="1392" t="n"/>
      <c r="BR680" s="1392" t="n"/>
      <c r="BS680" s="1392" t="n"/>
      <c r="BT680" s="1392" t="n"/>
      <c r="BU680" s="1416" t="n"/>
      <c r="BV680" s="1392" t="n"/>
      <c r="BW680" s="1392" t="n"/>
      <c r="BX680" s="1392" t="n"/>
      <c r="BY680" s="1392" t="n"/>
      <c r="BZ680" s="1416" t="n"/>
      <c r="CA680" s="1392" t="n"/>
      <c r="CB680" s="1392" t="n"/>
      <c r="CC680" s="1392" t="n"/>
      <c r="CD680" s="1392" t="n"/>
      <c r="CE680" s="1392" t="n"/>
      <c r="CF680" s="1392" t="n"/>
      <c r="CG680" s="1392" t="n"/>
      <c r="CH680" s="1392" t="n"/>
      <c r="CI680" s="1392" t="n"/>
      <c r="CJ680" s="1392" t="n"/>
      <c r="CK680" s="1392" t="n"/>
      <c r="CL680" s="1392" t="n"/>
    </row>
    <row r="681">
      <c r="A681" s="5" t="inlineStr">
        <is>
          <t>.</t>
        </is>
      </c>
      <c r="B681" s="5" t="inlineStr">
        <is>
          <t>.</t>
        </is>
      </c>
      <c r="C681" s="1378">
        <f>IF(raw[[#This Row],[city]]="","-",IF(raw[[#This Row],[city]]="TODAY","-",C680+1))</f>
        <v/>
      </c>
      <c r="D681" s="1393" t="inlineStr">
        <is>
          <t>SP</t>
        </is>
      </c>
      <c r="E681" s="1394" t="n">
        <v>37258</v>
      </c>
      <c r="F681" s="1394" t="n">
        <v>37274</v>
      </c>
      <c r="G681" s="1393" t="inlineStr">
        <is>
          <t>-</t>
        </is>
      </c>
      <c r="H681" s="1393" t="inlineStr">
        <is>
          <t>Joaquim Eugenio</t>
        </is>
      </c>
      <c r="I681" s="1393" t="inlineStr">
        <is>
          <t>-</t>
        </is>
      </c>
      <c r="J681" s="1393" t="inlineStr">
        <is>
          <t>-</t>
        </is>
      </c>
      <c r="K681" s="1395">
        <f>IF(raw[[#This Row],[city]]&lt;&gt;"",_xlfn.XLOOKUP($D681,ccc[city],ccc[prov],"-"),"-")</f>
        <v/>
      </c>
      <c r="L681" s="1395">
        <f>IF(raw[[#This Row],[city]]&lt;&gt;"",_xlfn.XLOOKUP($D681,ccc[city],ccc[ctry],"-"),"-")</f>
        <v/>
      </c>
      <c r="M681" s="1395">
        <f>IF(raw[[#This Row],[city]]&lt;&gt;"",_xlfn.XLOOKUP($D681,ccc[city],ccc[cont],"-"),"-")</f>
        <v/>
      </c>
      <c r="N681" s="1396">
        <f>IF(raw[[#This Row],[city]]="","-",IF(raw[[#This Row],[cont]]="B",raw[[#This Row],[cont]],"W"))</f>
        <v/>
      </c>
      <c r="O681" s="1397">
        <f>IF(raw[[#This Row],[out]]=0,0,IF(raw[[#This Row],[out]]=raw[[#This Row],[in]],0.01,raw[[#This Row],[out]]-raw[[#This Row],[in]]))</f>
        <v/>
      </c>
      <c r="P681" s="1397">
        <f>IF(raw[[#This Row],[in]]=0,0,MONTH(raw[[#This Row],[in]]))</f>
        <v/>
      </c>
      <c r="Q681" s="1397">
        <f>IF(raw[[#This Row],[in]]=0,0,YEAR(raw[[#This Row],[in]]))</f>
        <v/>
      </c>
      <c r="R681" s="1397">
        <f>INT(raw[[#This Row],[yr]]/10)*10</f>
        <v/>
      </c>
      <c r="S681" s="1395">
        <f>IF(raw[[#This Row],[city]]="","-",IF(raw[[#This Row],[city]]&lt;&gt;_xlfn.XLOOKUP(raw[[#This Row],[home]],homes[home],homes[city],"-"),1,0))</f>
        <v/>
      </c>
      <c r="T681" s="1398" t="inlineStr">
        <is>
          <t>.</t>
        </is>
      </c>
      <c r="U681" s="1399">
        <f>IF(raw[[#This Row],[wb]]="w",raw[[#This Row],[stay]]+U680,U680)</f>
        <v/>
      </c>
      <c r="V681" s="1400">
        <f>IF(raw[[#This Row],[out]]=0,V680,(raw[[#This Row],[out]]-E$5))</f>
        <v/>
      </c>
      <c r="W681" s="1401">
        <f>U681/V681</f>
        <v/>
      </c>
      <c r="X681" s="1378" t="inlineStr">
        <is>
          <t>.</t>
        </is>
      </c>
      <c r="Y681" s="1402">
        <f/>
        <v/>
      </c>
      <c r="Z681" s="1403">
        <f/>
        <v/>
      </c>
      <c r="AA681" s="1403">
        <f/>
        <v/>
      </c>
      <c r="AB681" s="1400">
        <f t="array" ref="AB681">_xlfn.LET(_xlpm.S,_xlfn.ANCHORARRAY($Y$4),_xlpm.r,ROWS(stayCity[[#Headers],[city]]:stayCity[[#This Row],[city]])-1,IF(_xlpm.r&lt;=ROWS(_xlpm.S),INDEX(_xlpm.S,_xlpm.r,1),""))</f>
        <v/>
      </c>
      <c r="AC681" s="1405">
        <f t="array" ref="AC681">_xlfn.LET(_xlpm.S,_xlfn.ANCHORARRAY($Y$4),_xlpm.r,ROWS(stayCity[[#Headers],[city]]:stayCity[[#This Row],[city]])-1,IF(_xlpm.r&lt;=ROWS(_xlpm.S),INDEX(_xlpm.S,_xlpm.r,2),""))</f>
        <v/>
      </c>
      <c r="AD681" s="1405">
        <f t="array" ref="AD681">_xlfn.LET(_xlpm.S,_xlfn.ANCHORARRAY($Y$4),_xlpm.r,ROWS(stayCity[[#Headers],[city]]:stayCity[[#This Row],[city]])-1,IF(_xlpm.r&lt;=ROWS(_xlpm.S),INDEX(_xlpm.S,_xlpm.r,3),""))</f>
        <v/>
      </c>
      <c r="AE681" s="1400">
        <f>IF(stayCity[[#This Row],[out]]&lt;&gt;"",stayCity[[#This Row],[out]]-stayCity[[#This Row],[in]],"-")</f>
        <v/>
      </c>
      <c r="AF681" s="1406">
        <f>IF(Y681="","-",YEAR(stayCity[[#This Row],[in]]))</f>
        <v/>
      </c>
      <c r="AG681" s="1392" t="n"/>
      <c r="AH681" s="1392" t="n"/>
      <c r="AI681" s="1392" t="n"/>
      <c r="AJ681" s="1392" t="n"/>
      <c r="AK681" s="1392" t="n"/>
      <c r="AL681" s="1392" t="n"/>
      <c r="AM681" s="1392" t="n"/>
      <c r="AN681" s="1392" t="n"/>
      <c r="AO681" s="1392" t="n"/>
      <c r="AP681" s="1392" t="n"/>
      <c r="AQ681" s="1392" t="n"/>
      <c r="AR681" s="1392" t="n"/>
      <c r="AS681" s="1422" t="n"/>
      <c r="AT681" s="1392" t="n"/>
      <c r="AU681" s="1392" t="n"/>
      <c r="AV681" s="1392" t="n"/>
      <c r="AW681" s="1392" t="n"/>
      <c r="AX681" s="1392" t="n"/>
      <c r="AY681" s="1392" t="n"/>
      <c r="AZ681" s="1392" t="n"/>
      <c r="BA681" s="1392" t="n"/>
      <c r="BB681" s="1422" t="n"/>
      <c r="BC681" s="1392" t="n"/>
      <c r="BD681" s="1392" t="n"/>
      <c r="BE681" s="1392" t="n"/>
      <c r="BF681" s="1392" t="n"/>
      <c r="BG681" s="1392" t="n"/>
      <c r="BH681" s="1392" t="n"/>
      <c r="BI681" s="1392" t="n"/>
      <c r="BJ681" s="1392" t="n"/>
      <c r="BK681" s="1392" t="n"/>
      <c r="BL681" s="1392" t="n"/>
      <c r="BM681" s="1392" t="n"/>
      <c r="BN681" s="1392" t="n"/>
      <c r="BO681" s="1392" t="n"/>
      <c r="BP681" s="1392" t="n"/>
      <c r="BQ681" s="1392" t="n"/>
      <c r="BR681" s="1392" t="n"/>
      <c r="BS681" s="1392" t="n"/>
      <c r="BT681" s="1392" t="n"/>
      <c r="BU681" s="1416" t="n"/>
      <c r="BV681" s="1392" t="n"/>
      <c r="BW681" s="1392" t="n"/>
      <c r="BX681" s="1392" t="n"/>
      <c r="BY681" s="1392" t="n"/>
      <c r="BZ681" s="1416" t="n"/>
      <c r="CA681" s="1392" t="n"/>
      <c r="CB681" s="1392" t="n"/>
      <c r="CC681" s="1392" t="n"/>
      <c r="CD681" s="1392" t="n"/>
      <c r="CE681" s="1392" t="n"/>
      <c r="CF681" s="1392" t="n"/>
      <c r="CG681" s="1392" t="n"/>
      <c r="CH681" s="1392" t="n"/>
      <c r="CI681" s="1392" t="n"/>
      <c r="CJ681" s="1392" t="n"/>
      <c r="CK681" s="1392" t="n"/>
      <c r="CL681" s="1392" t="n"/>
    </row>
    <row r="682">
      <c r="A682" s="5" t="inlineStr">
        <is>
          <t>.</t>
        </is>
      </c>
      <c r="B682" s="5" t="inlineStr">
        <is>
          <t>.</t>
        </is>
      </c>
      <c r="C682" s="1378">
        <f>IF(raw[[#This Row],[city]]="","-",IF(raw[[#This Row],[city]]="TODAY","-",C681+1))</f>
        <v/>
      </c>
      <c r="D682" s="1393" t="inlineStr">
        <is>
          <t>Rio</t>
        </is>
      </c>
      <c r="E682" s="1394" t="n">
        <v>37274</v>
      </c>
      <c r="F682" s="1394" t="n">
        <v>37288</v>
      </c>
      <c r="G682" s="1393" t="n">
        <v>1</v>
      </c>
      <c r="H682" s="1393" t="inlineStr">
        <is>
          <t>Transit</t>
        </is>
      </c>
      <c r="I682" s="1393" t="inlineStr">
        <is>
          <t>Renê/Humaitá</t>
        </is>
      </c>
      <c r="J682" s="1393" t="inlineStr">
        <is>
          <t>-</t>
        </is>
      </c>
      <c r="K682" s="1395">
        <f>IF(raw[[#This Row],[city]]&lt;&gt;"",_xlfn.XLOOKUP($D682,ccc[city],ccc[prov],"-"),"-")</f>
        <v/>
      </c>
      <c r="L682" s="1395">
        <f>IF(raw[[#This Row],[city]]&lt;&gt;"",_xlfn.XLOOKUP($D682,ccc[city],ccc[ctry],"-"),"-")</f>
        <v/>
      </c>
      <c r="M682" s="1395">
        <f>IF(raw[[#This Row],[city]]&lt;&gt;"",_xlfn.XLOOKUP($D682,ccc[city],ccc[cont],"-"),"-")</f>
        <v/>
      </c>
      <c r="N682" s="1396">
        <f>IF(raw[[#This Row],[city]]="","-",IF(raw[[#This Row],[cont]]="B",raw[[#This Row],[cont]],"W"))</f>
        <v/>
      </c>
      <c r="O682" s="1397">
        <f>IF(raw[[#This Row],[out]]=0,0,IF(raw[[#This Row],[out]]=raw[[#This Row],[in]],0.01,raw[[#This Row],[out]]-raw[[#This Row],[in]]))</f>
        <v/>
      </c>
      <c r="P682" s="1397">
        <f>IF(raw[[#This Row],[in]]=0,0,MONTH(raw[[#This Row],[in]]))</f>
        <v/>
      </c>
      <c r="Q682" s="1397">
        <f>IF(raw[[#This Row],[in]]=0,0,YEAR(raw[[#This Row],[in]]))</f>
        <v/>
      </c>
      <c r="R682" s="1397">
        <f>INT(raw[[#This Row],[yr]]/10)*10</f>
        <v/>
      </c>
      <c r="S682" s="1395">
        <f>IF(raw[[#This Row],[city]]="","-",IF(raw[[#This Row],[city]]&lt;&gt;_xlfn.XLOOKUP(raw[[#This Row],[home]],homes[home],homes[city],"-"),1,0))</f>
        <v/>
      </c>
      <c r="T682" s="1398" t="inlineStr">
        <is>
          <t>.</t>
        </is>
      </c>
      <c r="U682" s="1399">
        <f>IF(raw[[#This Row],[wb]]="w",raw[[#This Row],[stay]]+U681,U681)</f>
        <v/>
      </c>
      <c r="V682" s="1400">
        <f>IF(raw[[#This Row],[out]]=0,V681,(raw[[#This Row],[out]]-E$5))</f>
        <v/>
      </c>
      <c r="W682" s="1401">
        <f>U682/V682</f>
        <v/>
      </c>
      <c r="X682" s="1378" t="inlineStr">
        <is>
          <t>.</t>
        </is>
      </c>
      <c r="Y682" s="1402">
        <f/>
        <v/>
      </c>
      <c r="Z682" s="1403">
        <f/>
        <v/>
      </c>
      <c r="AA682" s="1403">
        <f/>
        <v/>
      </c>
      <c r="AB682" s="1400">
        <f t="array" ref="AB682">_xlfn.LET(_xlpm.S,_xlfn.ANCHORARRAY($Y$4),_xlpm.r,ROWS(stayCity[[#Headers],[city]]:stayCity[[#This Row],[city]])-1,IF(_xlpm.r&lt;=ROWS(_xlpm.S),INDEX(_xlpm.S,_xlpm.r,1),""))</f>
        <v/>
      </c>
      <c r="AC682" s="1405">
        <f t="array" ref="AC682">_xlfn.LET(_xlpm.S,_xlfn.ANCHORARRAY($Y$4),_xlpm.r,ROWS(stayCity[[#Headers],[city]]:stayCity[[#This Row],[city]])-1,IF(_xlpm.r&lt;=ROWS(_xlpm.S),INDEX(_xlpm.S,_xlpm.r,2),""))</f>
        <v/>
      </c>
      <c r="AD682" s="1405">
        <f t="array" ref="AD682">_xlfn.LET(_xlpm.S,_xlfn.ANCHORARRAY($Y$4),_xlpm.r,ROWS(stayCity[[#Headers],[city]]:stayCity[[#This Row],[city]])-1,IF(_xlpm.r&lt;=ROWS(_xlpm.S),INDEX(_xlpm.S,_xlpm.r,3),""))</f>
        <v/>
      </c>
      <c r="AE682" s="1400">
        <f>IF(stayCity[[#This Row],[out]]&lt;&gt;"",stayCity[[#This Row],[out]]-stayCity[[#This Row],[in]],"-")</f>
        <v/>
      </c>
      <c r="AF682" s="1406">
        <f>IF(Y682="","-",YEAR(stayCity[[#This Row],[in]]))</f>
        <v/>
      </c>
      <c r="AG682" s="1392" t="n"/>
      <c r="AH682" s="1392" t="n"/>
      <c r="AI682" s="1392" t="n"/>
      <c r="AJ682" s="1392" t="n"/>
      <c r="AK682" s="1392" t="n"/>
      <c r="AL682" s="1392" t="n"/>
      <c r="AM682" s="1392" t="n"/>
      <c r="AN682" s="1392" t="n"/>
      <c r="AO682" s="1392" t="n"/>
      <c r="AP682" s="1392" t="n"/>
      <c r="AQ682" s="1392" t="n"/>
      <c r="AR682" s="1392" t="n"/>
      <c r="AS682" s="1422" t="n"/>
      <c r="AT682" s="1392" t="n"/>
      <c r="AU682" s="1392" t="n"/>
      <c r="AV682" s="1392" t="n"/>
      <c r="AW682" s="1392" t="n"/>
      <c r="AX682" s="1392" t="n"/>
      <c r="AY682" s="1392" t="n"/>
      <c r="AZ682" s="1392" t="n"/>
      <c r="BA682" s="1392" t="n"/>
      <c r="BB682" s="1422" t="n"/>
      <c r="BC682" s="1392" t="n"/>
      <c r="BD682" s="1392" t="n"/>
      <c r="BE682" s="1392" t="n"/>
      <c r="BF682" s="1392" t="n"/>
      <c r="BG682" s="1392" t="n"/>
      <c r="BH682" s="1392" t="n"/>
      <c r="BI682" s="1392" t="n"/>
      <c r="BJ682" s="1392" t="n"/>
      <c r="BK682" s="1392" t="n"/>
      <c r="BL682" s="1392" t="n"/>
      <c r="BM682" s="1392" t="n"/>
      <c r="BN682" s="1392" t="n"/>
      <c r="BO682" s="1392" t="n"/>
      <c r="BP682" s="1392" t="n"/>
      <c r="BQ682" s="1392" t="n"/>
      <c r="BR682" s="1392" t="n"/>
      <c r="BS682" s="1392" t="n"/>
      <c r="BT682" s="1392" t="n"/>
      <c r="BU682" s="1416" t="n"/>
      <c r="BV682" s="1392" t="n"/>
      <c r="BW682" s="1392" t="n"/>
      <c r="BX682" s="1392" t="n"/>
      <c r="BY682" s="1392" t="n"/>
      <c r="BZ682" s="1416" t="n"/>
      <c r="CA682" s="1392" t="n"/>
      <c r="CB682" s="1392" t="n"/>
      <c r="CC682" s="1392" t="n"/>
      <c r="CD682" s="1392" t="n"/>
      <c r="CE682" s="1392" t="n"/>
      <c r="CF682" s="1392" t="n"/>
      <c r="CG682" s="1392" t="n"/>
      <c r="CH682" s="1392" t="n"/>
      <c r="CI682" s="1392" t="n"/>
      <c r="CJ682" s="1392" t="n"/>
      <c r="CK682" s="1392" t="n"/>
      <c r="CL682" s="1392" t="n"/>
    </row>
    <row r="683">
      <c r="A683" s="5" t="inlineStr">
        <is>
          <t>.</t>
        </is>
      </c>
      <c r="B683" s="5" t="inlineStr">
        <is>
          <t>.</t>
        </is>
      </c>
      <c r="C683" s="1378">
        <f>IF(raw[[#This Row],[city]]="","-",IF(raw[[#This Row],[city]]="TODAY","-",C682+1))</f>
        <v/>
      </c>
      <c r="D683" s="1393" t="inlineStr">
        <is>
          <t>SSA</t>
        </is>
      </c>
      <c r="E683" s="1394" t="n">
        <v>37288</v>
      </c>
      <c r="F683" s="1394" t="n">
        <v>37304</v>
      </c>
      <c r="G683" s="1393" t="n">
        <v>1</v>
      </c>
      <c r="H683" s="1393" t="inlineStr">
        <is>
          <t>Transit</t>
        </is>
      </c>
      <c r="I683" s="1393" t="inlineStr">
        <is>
          <t>Ondina</t>
        </is>
      </c>
      <c r="J683" s="1393" t="inlineStr">
        <is>
          <t>-</t>
        </is>
      </c>
      <c r="K683" s="1395">
        <f>IF(raw[[#This Row],[city]]&lt;&gt;"",_xlfn.XLOOKUP($D683,ccc[city],ccc[prov],"-"),"-")</f>
        <v/>
      </c>
      <c r="L683" s="1395">
        <f>IF(raw[[#This Row],[city]]&lt;&gt;"",_xlfn.XLOOKUP($D683,ccc[city],ccc[ctry],"-"),"-")</f>
        <v/>
      </c>
      <c r="M683" s="1395">
        <f>IF(raw[[#This Row],[city]]&lt;&gt;"",_xlfn.XLOOKUP($D683,ccc[city],ccc[cont],"-"),"-")</f>
        <v/>
      </c>
      <c r="N683" s="1396">
        <f>IF(raw[[#This Row],[city]]="","-",IF(raw[[#This Row],[cont]]="B",raw[[#This Row],[cont]],"W"))</f>
        <v/>
      </c>
      <c r="O683" s="1397">
        <f>IF(raw[[#This Row],[out]]=0,0,IF(raw[[#This Row],[out]]=raw[[#This Row],[in]],0.01,raw[[#This Row],[out]]-raw[[#This Row],[in]]))</f>
        <v/>
      </c>
      <c r="P683" s="1397">
        <f>IF(raw[[#This Row],[in]]=0,0,MONTH(raw[[#This Row],[in]]))</f>
        <v/>
      </c>
      <c r="Q683" s="1397">
        <f>IF(raw[[#This Row],[in]]=0,0,YEAR(raw[[#This Row],[in]]))</f>
        <v/>
      </c>
      <c r="R683" s="1397">
        <f>INT(raw[[#This Row],[yr]]/10)*10</f>
        <v/>
      </c>
      <c r="S683" s="1395">
        <f>IF(raw[[#This Row],[city]]="","-",IF(raw[[#This Row],[city]]&lt;&gt;_xlfn.XLOOKUP(raw[[#This Row],[home]],homes[home],homes[city],"-"),1,0))</f>
        <v/>
      </c>
      <c r="T683" s="1398" t="inlineStr">
        <is>
          <t>.</t>
        </is>
      </c>
      <c r="U683" s="1399">
        <f>IF(raw[[#This Row],[wb]]="w",raw[[#This Row],[stay]]+U682,U682)</f>
        <v/>
      </c>
      <c r="V683" s="1400">
        <f>IF(raw[[#This Row],[out]]=0,V682,(raw[[#This Row],[out]]-E$5))</f>
        <v/>
      </c>
      <c r="W683" s="1401">
        <f>U683/V683</f>
        <v/>
      </c>
      <c r="X683" s="1378" t="inlineStr">
        <is>
          <t>.</t>
        </is>
      </c>
      <c r="Y683" s="1402">
        <f/>
        <v/>
      </c>
      <c r="Z683" s="1403">
        <f/>
        <v/>
      </c>
      <c r="AA683" s="1403">
        <f/>
        <v/>
      </c>
      <c r="AB683" s="1400">
        <f t="array" ref="AB683">_xlfn.LET(_xlpm.S,_xlfn.ANCHORARRAY($Y$4),_xlpm.r,ROWS(stayCity[[#Headers],[city]]:stayCity[[#This Row],[city]])-1,IF(_xlpm.r&lt;=ROWS(_xlpm.S),INDEX(_xlpm.S,_xlpm.r,1),""))</f>
        <v/>
      </c>
      <c r="AC683" s="1405">
        <f t="array" ref="AC683">_xlfn.LET(_xlpm.S,_xlfn.ANCHORARRAY($Y$4),_xlpm.r,ROWS(stayCity[[#Headers],[city]]:stayCity[[#This Row],[city]])-1,IF(_xlpm.r&lt;=ROWS(_xlpm.S),INDEX(_xlpm.S,_xlpm.r,2),""))</f>
        <v/>
      </c>
      <c r="AD683" s="1405">
        <f t="array" ref="AD683">_xlfn.LET(_xlpm.S,_xlfn.ANCHORARRAY($Y$4),_xlpm.r,ROWS(stayCity[[#Headers],[city]]:stayCity[[#This Row],[city]])-1,IF(_xlpm.r&lt;=ROWS(_xlpm.S),INDEX(_xlpm.S,_xlpm.r,3),""))</f>
        <v/>
      </c>
      <c r="AE683" s="1400">
        <f>IF(stayCity[[#This Row],[out]]&lt;&gt;"",stayCity[[#This Row],[out]]-stayCity[[#This Row],[in]],"-")</f>
        <v/>
      </c>
      <c r="AF683" s="1406">
        <f>IF(Y683="","-",YEAR(stayCity[[#This Row],[in]]))</f>
        <v/>
      </c>
      <c r="AG683" s="1392" t="n"/>
      <c r="AH683" s="1392" t="n"/>
      <c r="AI683" s="1392" t="n"/>
      <c r="AJ683" s="1392" t="n"/>
      <c r="AK683" s="1392" t="n"/>
      <c r="AL683" s="1392" t="n"/>
      <c r="AM683" s="1392" t="n"/>
      <c r="AN683" s="1392" t="n"/>
      <c r="AO683" s="1392" t="n"/>
      <c r="AP683" s="1392" t="n"/>
      <c r="AQ683" s="1392" t="n"/>
      <c r="AR683" s="1392" t="n"/>
      <c r="AS683" s="1422" t="n"/>
      <c r="AT683" s="1392" t="n"/>
      <c r="AU683" s="1392" t="n"/>
      <c r="AV683" s="1392" t="n"/>
      <c r="AW683" s="1392" t="n"/>
      <c r="AX683" s="1392" t="n"/>
      <c r="AY683" s="1392" t="n"/>
      <c r="AZ683" s="1392" t="n"/>
      <c r="BA683" s="1392" t="n"/>
      <c r="BB683" s="1422" t="n"/>
      <c r="BC683" s="1392" t="n"/>
      <c r="BD683" s="1392" t="n"/>
      <c r="BE683" s="1392" t="n"/>
      <c r="BF683" s="1392" t="n"/>
      <c r="BG683" s="1392" t="n"/>
      <c r="BH683" s="1392" t="n"/>
      <c r="BI683" s="1392" t="n"/>
      <c r="BJ683" s="1392" t="n"/>
      <c r="BK683" s="1392" t="n"/>
      <c r="BL683" s="1392" t="n"/>
      <c r="BM683" s="1392" t="n"/>
      <c r="BN683" s="1392" t="n"/>
      <c r="BO683" s="1392" t="n"/>
      <c r="BP683" s="1392" t="n"/>
      <c r="BQ683" s="1392" t="n"/>
      <c r="BR683" s="1392" t="n"/>
      <c r="BS683" s="1392" t="n"/>
      <c r="BT683" s="1392" t="n"/>
      <c r="BU683" s="1416" t="n"/>
      <c r="BV683" s="1392" t="n"/>
      <c r="BW683" s="1392" t="n"/>
      <c r="BX683" s="1392" t="n"/>
      <c r="BY683" s="1392" t="n"/>
      <c r="BZ683" s="1416" t="n"/>
      <c r="CA683" s="1392" t="n"/>
      <c r="CB683" s="1392" t="n"/>
      <c r="CC683" s="1392" t="n"/>
      <c r="CD683" s="1392" t="n"/>
      <c r="CE683" s="1392" t="n"/>
      <c r="CF683" s="1392" t="n"/>
      <c r="CG683" s="1392" t="n"/>
      <c r="CH683" s="1392" t="n"/>
      <c r="CI683" s="1392" t="n"/>
      <c r="CJ683" s="1392" t="n"/>
      <c r="CK683" s="1392" t="n"/>
      <c r="CL683" s="1392" t="n"/>
    </row>
    <row r="684">
      <c r="A684" s="5" t="inlineStr">
        <is>
          <t>.</t>
        </is>
      </c>
      <c r="B684" s="5" t="inlineStr">
        <is>
          <t>.</t>
        </is>
      </c>
      <c r="C684" s="1378">
        <f>IF(raw[[#This Row],[city]]="","-",IF(raw[[#This Row],[city]]="TODAY","-",C683+1))</f>
        <v/>
      </c>
      <c r="D684" s="1393" t="inlineStr">
        <is>
          <t>SP</t>
        </is>
      </c>
      <c r="E684" s="1394" t="n">
        <v>37304</v>
      </c>
      <c r="F684" s="1394" t="n">
        <v>37312</v>
      </c>
      <c r="G684" s="1393" t="inlineStr">
        <is>
          <t>-</t>
        </is>
      </c>
      <c r="H684" s="1393" t="inlineStr">
        <is>
          <t>Salto Grande</t>
        </is>
      </c>
      <c r="I684" s="1393" t="inlineStr">
        <is>
          <t>-</t>
        </is>
      </c>
      <c r="J684" s="1393" t="inlineStr">
        <is>
          <t>-</t>
        </is>
      </c>
      <c r="K684" s="1395">
        <f>IF(raw[[#This Row],[city]]&lt;&gt;"",_xlfn.XLOOKUP($D684,ccc[city],ccc[prov],"-"),"-")</f>
        <v/>
      </c>
      <c r="L684" s="1395">
        <f>IF(raw[[#This Row],[city]]&lt;&gt;"",_xlfn.XLOOKUP($D684,ccc[city],ccc[ctry],"-"),"-")</f>
        <v/>
      </c>
      <c r="M684" s="1395">
        <f>IF(raw[[#This Row],[city]]&lt;&gt;"",_xlfn.XLOOKUP($D684,ccc[city],ccc[cont],"-"),"-")</f>
        <v/>
      </c>
      <c r="N684" s="1396">
        <f>IF(raw[[#This Row],[city]]="","-",IF(raw[[#This Row],[cont]]="B",raw[[#This Row],[cont]],"W"))</f>
        <v/>
      </c>
      <c r="O684" s="1397">
        <f>IF(raw[[#This Row],[out]]=0,0,IF(raw[[#This Row],[out]]=raw[[#This Row],[in]],0.01,raw[[#This Row],[out]]-raw[[#This Row],[in]]))</f>
        <v/>
      </c>
      <c r="P684" s="1397">
        <f>IF(raw[[#This Row],[in]]=0,0,MONTH(raw[[#This Row],[in]]))</f>
        <v/>
      </c>
      <c r="Q684" s="1397">
        <f>IF(raw[[#This Row],[in]]=0,0,YEAR(raw[[#This Row],[in]]))</f>
        <v/>
      </c>
      <c r="R684" s="1397">
        <f>INT(raw[[#This Row],[yr]]/10)*10</f>
        <v/>
      </c>
      <c r="S684" s="1395">
        <f>IF(raw[[#This Row],[city]]="","-",IF(raw[[#This Row],[city]]&lt;&gt;_xlfn.XLOOKUP(raw[[#This Row],[home]],homes[home],homes[city],"-"),1,0))</f>
        <v/>
      </c>
      <c r="T684" s="1398" t="inlineStr">
        <is>
          <t>.</t>
        </is>
      </c>
      <c r="U684" s="1399">
        <f>IF(raw[[#This Row],[wb]]="w",raw[[#This Row],[stay]]+U683,U683)</f>
        <v/>
      </c>
      <c r="V684" s="1400">
        <f>IF(raw[[#This Row],[out]]=0,V683,(raw[[#This Row],[out]]-E$5))</f>
        <v/>
      </c>
      <c r="W684" s="1401">
        <f>U684/V684</f>
        <v/>
      </c>
      <c r="X684" s="1378" t="inlineStr">
        <is>
          <t>.</t>
        </is>
      </c>
      <c r="Y684" s="1402">
        <f/>
        <v/>
      </c>
      <c r="Z684" s="1403">
        <f/>
        <v/>
      </c>
      <c r="AA684" s="1403">
        <f/>
        <v/>
      </c>
      <c r="AB684" s="1400">
        <f t="array" ref="AB684">_xlfn.LET(_xlpm.S,_xlfn.ANCHORARRAY($Y$4),_xlpm.r,ROWS(stayCity[[#Headers],[city]]:stayCity[[#This Row],[city]])-1,IF(_xlpm.r&lt;=ROWS(_xlpm.S),INDEX(_xlpm.S,_xlpm.r,1),""))</f>
        <v/>
      </c>
      <c r="AC684" s="1405">
        <f t="array" ref="AC684">_xlfn.LET(_xlpm.S,_xlfn.ANCHORARRAY($Y$4),_xlpm.r,ROWS(stayCity[[#Headers],[city]]:stayCity[[#This Row],[city]])-1,IF(_xlpm.r&lt;=ROWS(_xlpm.S),INDEX(_xlpm.S,_xlpm.r,2),""))</f>
        <v/>
      </c>
      <c r="AD684" s="1405">
        <f t="array" ref="AD684">_xlfn.LET(_xlpm.S,_xlfn.ANCHORARRAY($Y$4),_xlpm.r,ROWS(stayCity[[#Headers],[city]]:stayCity[[#This Row],[city]])-1,IF(_xlpm.r&lt;=ROWS(_xlpm.S),INDEX(_xlpm.S,_xlpm.r,3),""))</f>
        <v/>
      </c>
      <c r="AE684" s="1400">
        <f>IF(stayCity[[#This Row],[out]]&lt;&gt;"",stayCity[[#This Row],[out]]-stayCity[[#This Row],[in]],"-")</f>
        <v/>
      </c>
      <c r="AF684" s="1406">
        <f>IF(Y684="","-",YEAR(stayCity[[#This Row],[in]]))</f>
        <v/>
      </c>
      <c r="AG684" s="1392" t="n"/>
      <c r="AH684" s="1392" t="n"/>
      <c r="AI684" s="1392" t="n"/>
      <c r="AJ684" s="1392" t="n"/>
      <c r="AK684" s="1392" t="n"/>
      <c r="AL684" s="1392" t="n"/>
      <c r="AM684" s="1392" t="n"/>
      <c r="AN684" s="1392" t="n"/>
      <c r="AO684" s="1392" t="n"/>
      <c r="AP684" s="1392" t="n"/>
      <c r="AQ684" s="1392" t="n"/>
      <c r="AR684" s="1392" t="n"/>
      <c r="AS684" s="1422" t="n"/>
      <c r="AT684" s="1392" t="n"/>
      <c r="AU684" s="1392" t="n"/>
      <c r="AV684" s="1392" t="n"/>
      <c r="AW684" s="1392" t="n"/>
      <c r="AX684" s="1392" t="n"/>
      <c r="AY684" s="1392" t="n"/>
      <c r="AZ684" s="1392" t="n"/>
      <c r="BA684" s="1392" t="n"/>
      <c r="BB684" s="1422" t="n"/>
      <c r="BC684" s="1392" t="n"/>
      <c r="BD684" s="1392" t="n"/>
      <c r="BE684" s="1392" t="n"/>
      <c r="BF684" s="1392" t="n"/>
      <c r="BG684" s="1392" t="n"/>
      <c r="BH684" s="1392" t="n"/>
      <c r="BI684" s="1392" t="n"/>
      <c r="BJ684" s="1392" t="n"/>
      <c r="BK684" s="1392" t="n"/>
      <c r="BL684" s="1392" t="n"/>
      <c r="BM684" s="1392" t="n"/>
      <c r="BN684" s="1392" t="n"/>
      <c r="BO684" s="1392" t="n"/>
      <c r="BP684" s="1392" t="n"/>
      <c r="BQ684" s="1392" t="n"/>
      <c r="BR684" s="1392" t="n"/>
      <c r="BS684" s="1392" t="n"/>
      <c r="BT684" s="1392" t="n"/>
      <c r="BU684" s="1416" t="n"/>
      <c r="BV684" s="1392" t="n"/>
      <c r="BW684" s="1392" t="n"/>
      <c r="BX684" s="1392" t="n"/>
      <c r="BY684" s="1392" t="n"/>
      <c r="BZ684" s="1416" t="n"/>
      <c r="CA684" s="1392" t="n"/>
      <c r="CB684" s="1392" t="n"/>
      <c r="CC684" s="1392" t="n"/>
      <c r="CD684" s="1392" t="n"/>
      <c r="CE684" s="1392" t="n"/>
      <c r="CF684" s="1392" t="n"/>
      <c r="CG684" s="1392" t="n"/>
      <c r="CH684" s="1392" t="n"/>
      <c r="CI684" s="1392" t="n"/>
      <c r="CJ684" s="1392" t="n"/>
      <c r="CK684" s="1392" t="n"/>
      <c r="CL684" s="1392" t="n"/>
    </row>
    <row r="685">
      <c r="A685" s="5" t="inlineStr">
        <is>
          <t>.</t>
        </is>
      </c>
      <c r="B685" s="5" t="inlineStr">
        <is>
          <t>.</t>
        </is>
      </c>
      <c r="C685" s="1378">
        <f>IF(raw[[#This Row],[city]]="","-",IF(raw[[#This Row],[city]]="TODAY","-",C684+1))</f>
        <v/>
      </c>
      <c r="D685" s="1393" t="inlineStr">
        <is>
          <t>Guaecá</t>
        </is>
      </c>
      <c r="E685" s="1394" t="n">
        <v>37312</v>
      </c>
      <c r="F685" s="1394" t="n">
        <v>37315</v>
      </c>
      <c r="G685" s="1393" t="inlineStr">
        <is>
          <t>-</t>
        </is>
      </c>
      <c r="H685" s="1393" t="inlineStr">
        <is>
          <t>Salto Grande</t>
        </is>
      </c>
      <c r="I685" s="1393" t="inlineStr">
        <is>
          <t>Guaecá</t>
        </is>
      </c>
      <c r="J685" s="1393" t="inlineStr">
        <is>
          <t>-</t>
        </is>
      </c>
      <c r="K685" s="1395">
        <f>IF(raw[[#This Row],[city]]&lt;&gt;"",_xlfn.XLOOKUP($D685,ccc[city],ccc[prov],"-"),"-")</f>
        <v/>
      </c>
      <c r="L685" s="1395">
        <f>IF(raw[[#This Row],[city]]&lt;&gt;"",_xlfn.XLOOKUP($D685,ccc[city],ccc[ctry],"-"),"-")</f>
        <v/>
      </c>
      <c r="M685" s="1395">
        <f>IF(raw[[#This Row],[city]]&lt;&gt;"",_xlfn.XLOOKUP($D685,ccc[city],ccc[cont],"-"),"-")</f>
        <v/>
      </c>
      <c r="N685" s="1396">
        <f>IF(raw[[#This Row],[city]]="","-",IF(raw[[#This Row],[cont]]="B",raw[[#This Row],[cont]],"W"))</f>
        <v/>
      </c>
      <c r="O685" s="1397">
        <f>IF(raw[[#This Row],[out]]=0,0,IF(raw[[#This Row],[out]]=raw[[#This Row],[in]],0.01,raw[[#This Row],[out]]-raw[[#This Row],[in]]))</f>
        <v/>
      </c>
      <c r="P685" s="1397">
        <f>IF(raw[[#This Row],[in]]=0,0,MONTH(raw[[#This Row],[in]]))</f>
        <v/>
      </c>
      <c r="Q685" s="1397">
        <f>IF(raw[[#This Row],[in]]=0,0,YEAR(raw[[#This Row],[in]]))</f>
        <v/>
      </c>
      <c r="R685" s="1397">
        <f>INT(raw[[#This Row],[yr]]/10)*10</f>
        <v/>
      </c>
      <c r="S685" s="1395">
        <f>IF(raw[[#This Row],[city]]="","-",IF(raw[[#This Row],[city]]&lt;&gt;_xlfn.XLOOKUP(raw[[#This Row],[home]],homes[home],homes[city],"-"),1,0))</f>
        <v/>
      </c>
      <c r="T685" s="1398" t="inlineStr">
        <is>
          <t>.</t>
        </is>
      </c>
      <c r="U685" s="1399">
        <f>IF(raw[[#This Row],[wb]]="w",raw[[#This Row],[stay]]+U684,U684)</f>
        <v/>
      </c>
      <c r="V685" s="1400">
        <f>IF(raw[[#This Row],[out]]=0,V684,(raw[[#This Row],[out]]-E$5))</f>
        <v/>
      </c>
      <c r="W685" s="1401">
        <f>U685/V685</f>
        <v/>
      </c>
      <c r="X685" s="1378" t="inlineStr">
        <is>
          <t>.</t>
        </is>
      </c>
      <c r="Y685" s="1402">
        <f/>
        <v/>
      </c>
      <c r="Z685" s="1403">
        <f/>
        <v/>
      </c>
      <c r="AA685" s="1403">
        <f/>
        <v/>
      </c>
      <c r="AB685" s="1400">
        <f t="array" ref="AB685">_xlfn.LET(_xlpm.S,_xlfn.ANCHORARRAY($Y$4),_xlpm.r,ROWS(stayCity[[#Headers],[city]]:stayCity[[#This Row],[city]])-1,IF(_xlpm.r&lt;=ROWS(_xlpm.S),INDEX(_xlpm.S,_xlpm.r,1),""))</f>
        <v/>
      </c>
      <c r="AC685" s="1405">
        <f t="array" ref="AC685">_xlfn.LET(_xlpm.S,_xlfn.ANCHORARRAY($Y$4),_xlpm.r,ROWS(stayCity[[#Headers],[city]]:stayCity[[#This Row],[city]])-1,IF(_xlpm.r&lt;=ROWS(_xlpm.S),INDEX(_xlpm.S,_xlpm.r,2),""))</f>
        <v/>
      </c>
      <c r="AD685" s="1405">
        <f t="array" ref="AD685">_xlfn.LET(_xlpm.S,_xlfn.ANCHORARRAY($Y$4),_xlpm.r,ROWS(stayCity[[#Headers],[city]]:stayCity[[#This Row],[city]])-1,IF(_xlpm.r&lt;=ROWS(_xlpm.S),INDEX(_xlpm.S,_xlpm.r,3),""))</f>
        <v/>
      </c>
      <c r="AE685" s="1400">
        <f>IF(stayCity[[#This Row],[out]]&lt;&gt;"",stayCity[[#This Row],[out]]-stayCity[[#This Row],[in]],"-")</f>
        <v/>
      </c>
      <c r="AF685" s="1406">
        <f>IF(Y685="","-",YEAR(stayCity[[#This Row],[in]]))</f>
        <v/>
      </c>
      <c r="AG685" s="1392" t="n"/>
      <c r="AH685" s="1392" t="n"/>
      <c r="AI685" s="1392" t="n"/>
      <c r="AJ685" s="1392" t="n"/>
      <c r="AK685" s="1392" t="n"/>
      <c r="AL685" s="1392" t="n"/>
      <c r="AM685" s="1392" t="n"/>
      <c r="AN685" s="1392" t="n"/>
      <c r="AO685" s="1392" t="n"/>
      <c r="AP685" s="1392" t="n"/>
      <c r="AQ685" s="1392" t="n"/>
      <c r="AR685" s="1392" t="n"/>
      <c r="AS685" s="1422" t="n"/>
      <c r="AT685" s="1392" t="n"/>
      <c r="AU685" s="1392" t="n"/>
      <c r="AV685" s="1392" t="n"/>
      <c r="AW685" s="1392" t="n"/>
      <c r="AX685" s="1392" t="n"/>
      <c r="AY685" s="1392" t="n"/>
      <c r="AZ685" s="1392" t="n"/>
      <c r="BA685" s="1392" t="n"/>
      <c r="BB685" s="1422" t="n"/>
      <c r="BC685" s="1392" t="n"/>
      <c r="BD685" s="1392" t="n"/>
      <c r="BE685" s="1392" t="n"/>
      <c r="BF685" s="1392" t="n"/>
      <c r="BG685" s="1392" t="n"/>
      <c r="BH685" s="1392" t="n"/>
      <c r="BI685" s="1392" t="n"/>
      <c r="BJ685" s="1392" t="n"/>
      <c r="BK685" s="1392" t="n"/>
      <c r="BL685" s="1392" t="n"/>
      <c r="BM685" s="1392" t="n"/>
      <c r="BN685" s="1392" t="n"/>
      <c r="BO685" s="1392" t="n"/>
      <c r="BP685" s="1392" t="n"/>
      <c r="BQ685" s="1392" t="n"/>
      <c r="BR685" s="1392" t="n"/>
      <c r="BS685" s="1392" t="n"/>
      <c r="BT685" s="1392" t="n"/>
      <c r="BU685" s="1416" t="n"/>
      <c r="BV685" s="1392" t="n"/>
      <c r="BW685" s="1392" t="n"/>
      <c r="BX685" s="1392" t="n"/>
      <c r="BY685" s="1392" t="n"/>
      <c r="BZ685" s="1416" t="n"/>
      <c r="CA685" s="1392" t="n"/>
      <c r="CB685" s="1392" t="n"/>
      <c r="CC685" s="1392" t="n"/>
      <c r="CD685" s="1392" t="n"/>
      <c r="CE685" s="1392" t="n"/>
      <c r="CF685" s="1392" t="n"/>
      <c r="CG685" s="1392" t="n"/>
      <c r="CH685" s="1392" t="n"/>
      <c r="CI685" s="1392" t="n"/>
      <c r="CJ685" s="1392" t="n"/>
      <c r="CK685" s="1392" t="n"/>
      <c r="CL685" s="1392" t="n"/>
    </row>
    <row r="686">
      <c r="A686" s="5" t="inlineStr">
        <is>
          <t>.</t>
        </is>
      </c>
      <c r="B686" s="5" t="inlineStr">
        <is>
          <t>.</t>
        </is>
      </c>
      <c r="C686" s="1378">
        <f>IF(raw[[#This Row],[city]]="","-",IF(raw[[#This Row],[city]]="TODAY","-",C685+1))</f>
        <v/>
      </c>
      <c r="D686" s="1393" t="inlineStr">
        <is>
          <t>SP</t>
        </is>
      </c>
      <c r="E686" s="1394" t="n">
        <v>37315</v>
      </c>
      <c r="F686" s="1394" t="n">
        <v>37316</v>
      </c>
      <c r="G686" s="1393" t="inlineStr">
        <is>
          <t>-</t>
        </is>
      </c>
      <c r="H686" s="1393" t="inlineStr">
        <is>
          <t>Salto Grande</t>
        </is>
      </c>
      <c r="I686" s="1393" t="inlineStr">
        <is>
          <t>-</t>
        </is>
      </c>
      <c r="J686" s="1393" t="inlineStr">
        <is>
          <t>-</t>
        </is>
      </c>
      <c r="K686" s="1395">
        <f>IF(raw[[#This Row],[city]]&lt;&gt;"",_xlfn.XLOOKUP($D686,ccc[city],ccc[prov],"-"),"-")</f>
        <v/>
      </c>
      <c r="L686" s="1395">
        <f>IF(raw[[#This Row],[city]]&lt;&gt;"",_xlfn.XLOOKUP($D686,ccc[city],ccc[ctry],"-"),"-")</f>
        <v/>
      </c>
      <c r="M686" s="1395">
        <f>IF(raw[[#This Row],[city]]&lt;&gt;"",_xlfn.XLOOKUP($D686,ccc[city],ccc[cont],"-"),"-")</f>
        <v/>
      </c>
      <c r="N686" s="1396">
        <f>IF(raw[[#This Row],[city]]="","-",IF(raw[[#This Row],[cont]]="B",raw[[#This Row],[cont]],"W"))</f>
        <v/>
      </c>
      <c r="O686" s="1397">
        <f>IF(raw[[#This Row],[out]]=0,0,IF(raw[[#This Row],[out]]=raw[[#This Row],[in]],0.01,raw[[#This Row],[out]]-raw[[#This Row],[in]]))</f>
        <v/>
      </c>
      <c r="P686" s="1397">
        <f>IF(raw[[#This Row],[in]]=0,0,MONTH(raw[[#This Row],[in]]))</f>
        <v/>
      </c>
      <c r="Q686" s="1397">
        <f>IF(raw[[#This Row],[in]]=0,0,YEAR(raw[[#This Row],[in]]))</f>
        <v/>
      </c>
      <c r="R686" s="1397">
        <f>INT(raw[[#This Row],[yr]]/10)*10</f>
        <v/>
      </c>
      <c r="S686" s="1395">
        <f>IF(raw[[#This Row],[city]]="","-",IF(raw[[#This Row],[city]]&lt;&gt;_xlfn.XLOOKUP(raw[[#This Row],[home]],homes[home],homes[city],"-"),1,0))</f>
        <v/>
      </c>
      <c r="T686" s="1398" t="inlineStr">
        <is>
          <t>.</t>
        </is>
      </c>
      <c r="U686" s="1399">
        <f>IF(raw[[#This Row],[wb]]="w",raw[[#This Row],[stay]]+U685,U685)</f>
        <v/>
      </c>
      <c r="V686" s="1400">
        <f>IF(raw[[#This Row],[out]]=0,V685,(raw[[#This Row],[out]]-E$5))</f>
        <v/>
      </c>
      <c r="W686" s="1401">
        <f>U686/V686</f>
        <v/>
      </c>
      <c r="X686" s="1378" t="inlineStr">
        <is>
          <t>.</t>
        </is>
      </c>
      <c r="Y686" s="1402">
        <f/>
        <v/>
      </c>
      <c r="Z686" s="1403">
        <f/>
        <v/>
      </c>
      <c r="AA686" s="1403">
        <f/>
        <v/>
      </c>
      <c r="AB686" s="1400">
        <f t="array" ref="AB686">_xlfn.LET(_xlpm.S,_xlfn.ANCHORARRAY($Y$4),_xlpm.r,ROWS(stayCity[[#Headers],[city]]:stayCity[[#This Row],[city]])-1,IF(_xlpm.r&lt;=ROWS(_xlpm.S),INDEX(_xlpm.S,_xlpm.r,1),""))</f>
        <v/>
      </c>
      <c r="AC686" s="1405">
        <f t="array" ref="AC686">_xlfn.LET(_xlpm.S,_xlfn.ANCHORARRAY($Y$4),_xlpm.r,ROWS(stayCity[[#Headers],[city]]:stayCity[[#This Row],[city]])-1,IF(_xlpm.r&lt;=ROWS(_xlpm.S),INDEX(_xlpm.S,_xlpm.r,2),""))</f>
        <v/>
      </c>
      <c r="AD686" s="1405">
        <f t="array" ref="AD686">_xlfn.LET(_xlpm.S,_xlfn.ANCHORARRAY($Y$4),_xlpm.r,ROWS(stayCity[[#Headers],[city]]:stayCity[[#This Row],[city]])-1,IF(_xlpm.r&lt;=ROWS(_xlpm.S),INDEX(_xlpm.S,_xlpm.r,3),""))</f>
        <v/>
      </c>
      <c r="AE686" s="1400">
        <f>IF(stayCity[[#This Row],[out]]&lt;&gt;"",stayCity[[#This Row],[out]]-stayCity[[#This Row],[in]],"-")</f>
        <v/>
      </c>
      <c r="AF686" s="1406">
        <f>IF(Y686="","-",YEAR(stayCity[[#This Row],[in]]))</f>
        <v/>
      </c>
      <c r="AG686" s="1392" t="n"/>
      <c r="AH686" s="1392" t="n"/>
      <c r="AI686" s="1392" t="n"/>
      <c r="AJ686" s="1392" t="n"/>
      <c r="AK686" s="1392" t="n"/>
      <c r="AL686" s="1392" t="n"/>
      <c r="AM686" s="1392" t="n"/>
      <c r="AN686" s="1392" t="n"/>
      <c r="AO686" s="1392" t="n"/>
      <c r="AP686" s="1392" t="n"/>
      <c r="AQ686" s="1392" t="n"/>
      <c r="AR686" s="1392" t="n"/>
      <c r="AS686" s="1422" t="n"/>
      <c r="AT686" s="1392" t="n"/>
      <c r="AU686" s="1392" t="n"/>
      <c r="AV686" s="1392" t="n"/>
      <c r="AW686" s="1392" t="n"/>
      <c r="AX686" s="1392" t="n"/>
      <c r="AY686" s="1392" t="n"/>
      <c r="AZ686" s="1392" t="n"/>
      <c r="BA686" s="1392" t="n"/>
      <c r="BB686" s="1422" t="n"/>
      <c r="BC686" s="1392" t="n"/>
      <c r="BD686" s="1392" t="n"/>
      <c r="BE686" s="1392" t="n"/>
      <c r="BF686" s="1392" t="n"/>
      <c r="BG686" s="1392" t="n"/>
      <c r="BH686" s="1392" t="n"/>
      <c r="BI686" s="1392" t="n"/>
      <c r="BJ686" s="1392" t="n"/>
      <c r="BK686" s="1392" t="n"/>
      <c r="BL686" s="1392" t="n"/>
      <c r="BM686" s="1392" t="n"/>
      <c r="BN686" s="1392" t="n"/>
      <c r="BO686" s="1392" t="n"/>
      <c r="BP686" s="1392" t="n"/>
      <c r="BQ686" s="1392" t="n"/>
      <c r="BR686" s="1392" t="n"/>
      <c r="BS686" s="1392" t="n"/>
      <c r="BT686" s="1392" t="n"/>
      <c r="BU686" s="1416" t="n"/>
      <c r="BV686" s="1392" t="n"/>
      <c r="BW686" s="1392" t="n"/>
      <c r="BX686" s="1392" t="n"/>
      <c r="BY686" s="1392" t="n"/>
      <c r="BZ686" s="1416" t="n"/>
      <c r="CA686" s="1392" t="n"/>
      <c r="CB686" s="1392" t="n"/>
      <c r="CC686" s="1392" t="n"/>
      <c r="CD686" s="1392" t="n"/>
      <c r="CE686" s="1392" t="n"/>
      <c r="CF686" s="1392" t="n"/>
      <c r="CG686" s="1392" t="n"/>
      <c r="CH686" s="1392" t="n"/>
      <c r="CI686" s="1392" t="n"/>
      <c r="CJ686" s="1392" t="n"/>
      <c r="CK686" s="1392" t="n"/>
      <c r="CL686" s="1392" t="n"/>
    </row>
    <row r="687">
      <c r="A687" s="5" t="inlineStr">
        <is>
          <t>.</t>
        </is>
      </c>
      <c r="B687" s="5" t="inlineStr">
        <is>
          <t>.</t>
        </is>
      </c>
      <c r="C687" s="1378">
        <f>IF(raw[[#This Row],[city]]="","-",IF(raw[[#This Row],[city]]="TODAY","-",C686+1))</f>
        <v/>
      </c>
      <c r="D687" s="1393" t="inlineStr">
        <is>
          <t>SP</t>
        </is>
      </c>
      <c r="E687" s="1394" t="n">
        <v>37316</v>
      </c>
      <c r="F687" s="1394" t="n">
        <v>37344</v>
      </c>
      <c r="G687" s="1393" t="inlineStr">
        <is>
          <t>-</t>
        </is>
      </c>
      <c r="H687" s="1393" t="inlineStr">
        <is>
          <t>Salto Grande</t>
        </is>
      </c>
      <c r="I687" s="1393" t="inlineStr">
        <is>
          <t>-</t>
        </is>
      </c>
      <c r="J687" s="1393" t="inlineStr">
        <is>
          <t>-</t>
        </is>
      </c>
      <c r="K687" s="1395">
        <f>IF(raw[[#This Row],[city]]&lt;&gt;"",_xlfn.XLOOKUP($D687,ccc[city],ccc[prov],"-"),"-")</f>
        <v/>
      </c>
      <c r="L687" s="1395">
        <f>IF(raw[[#This Row],[city]]&lt;&gt;"",_xlfn.XLOOKUP($D687,ccc[city],ccc[ctry],"-"),"-")</f>
        <v/>
      </c>
      <c r="M687" s="1395">
        <f>IF(raw[[#This Row],[city]]&lt;&gt;"",_xlfn.XLOOKUP($D687,ccc[city],ccc[cont],"-"),"-")</f>
        <v/>
      </c>
      <c r="N687" s="1396">
        <f>IF(raw[[#This Row],[city]]="","-",IF(raw[[#This Row],[cont]]="B",raw[[#This Row],[cont]],"W"))</f>
        <v/>
      </c>
      <c r="O687" s="1397">
        <f>IF(raw[[#This Row],[out]]=0,0,IF(raw[[#This Row],[out]]=raw[[#This Row],[in]],0.01,raw[[#This Row],[out]]-raw[[#This Row],[in]]))</f>
        <v/>
      </c>
      <c r="P687" s="1397">
        <f>IF(raw[[#This Row],[in]]=0,0,MONTH(raw[[#This Row],[in]]))</f>
        <v/>
      </c>
      <c r="Q687" s="1397">
        <f>IF(raw[[#This Row],[in]]=0,0,YEAR(raw[[#This Row],[in]]))</f>
        <v/>
      </c>
      <c r="R687" s="1397">
        <f>INT(raw[[#This Row],[yr]]/10)*10</f>
        <v/>
      </c>
      <c r="S687" s="1395">
        <f>IF(raw[[#This Row],[city]]="","-",IF(raw[[#This Row],[city]]&lt;&gt;_xlfn.XLOOKUP(raw[[#This Row],[home]],homes[home],homes[city],"-"),1,0))</f>
        <v/>
      </c>
      <c r="T687" s="1398" t="inlineStr">
        <is>
          <t>.</t>
        </is>
      </c>
      <c r="U687" s="1399">
        <f>IF(raw[[#This Row],[wb]]="w",raw[[#This Row],[stay]]+U686,U686)</f>
        <v/>
      </c>
      <c r="V687" s="1400">
        <f>IF(raw[[#This Row],[out]]=0,V686,(raw[[#This Row],[out]]-E$5))</f>
        <v/>
      </c>
      <c r="W687" s="1401">
        <f>U687/V687</f>
        <v/>
      </c>
      <c r="X687" s="1378" t="inlineStr">
        <is>
          <t>.</t>
        </is>
      </c>
      <c r="Y687" s="1402">
        <f/>
        <v/>
      </c>
      <c r="Z687" s="1403">
        <f/>
        <v/>
      </c>
      <c r="AA687" s="1403">
        <f/>
        <v/>
      </c>
      <c r="AB687" s="1400">
        <f t="array" ref="AB687">_xlfn.LET(_xlpm.S,_xlfn.ANCHORARRAY($Y$4),_xlpm.r,ROWS(stayCity[[#Headers],[city]]:stayCity[[#This Row],[city]])-1,IF(_xlpm.r&lt;=ROWS(_xlpm.S),INDEX(_xlpm.S,_xlpm.r,1),""))</f>
        <v/>
      </c>
      <c r="AC687" s="1405">
        <f t="array" ref="AC687">_xlfn.LET(_xlpm.S,_xlfn.ANCHORARRAY($Y$4),_xlpm.r,ROWS(stayCity[[#Headers],[city]]:stayCity[[#This Row],[city]])-1,IF(_xlpm.r&lt;=ROWS(_xlpm.S),INDEX(_xlpm.S,_xlpm.r,2),""))</f>
        <v/>
      </c>
      <c r="AD687" s="1405">
        <f t="array" ref="AD687">_xlfn.LET(_xlpm.S,_xlfn.ANCHORARRAY($Y$4),_xlpm.r,ROWS(stayCity[[#Headers],[city]]:stayCity[[#This Row],[city]])-1,IF(_xlpm.r&lt;=ROWS(_xlpm.S),INDEX(_xlpm.S,_xlpm.r,3),""))</f>
        <v/>
      </c>
      <c r="AE687" s="1400">
        <f>IF(stayCity[[#This Row],[out]]&lt;&gt;"",stayCity[[#This Row],[out]]-stayCity[[#This Row],[in]],"-")</f>
        <v/>
      </c>
      <c r="AF687" s="1406">
        <f>IF(Y687="","-",YEAR(stayCity[[#This Row],[in]]))</f>
        <v/>
      </c>
      <c r="AG687" s="1392" t="n"/>
      <c r="AH687" s="1392" t="n"/>
      <c r="AI687" s="1392" t="n"/>
      <c r="AJ687" s="1392" t="n"/>
      <c r="AK687" s="1392" t="n"/>
      <c r="AL687" s="1392" t="n"/>
      <c r="AM687" s="1392" t="n"/>
      <c r="AN687" s="1392" t="n"/>
      <c r="AO687" s="1392" t="n"/>
      <c r="AP687" s="1392" t="n"/>
      <c r="AQ687" s="1392" t="n"/>
      <c r="AR687" s="1392" t="n"/>
      <c r="AS687" s="1422" t="n"/>
      <c r="AT687" s="1392" t="n"/>
      <c r="AU687" s="1392" t="n"/>
      <c r="AV687" s="1392" t="n"/>
      <c r="AW687" s="1392" t="n"/>
      <c r="AX687" s="1392" t="n"/>
      <c r="AY687" s="1392" t="n"/>
      <c r="AZ687" s="1392" t="n"/>
      <c r="BA687" s="1392" t="n"/>
      <c r="BB687" s="1422" t="n"/>
      <c r="BC687" s="1392" t="n"/>
      <c r="BD687" s="1392" t="n"/>
      <c r="BE687" s="1392" t="n"/>
      <c r="BF687" s="1392" t="n"/>
      <c r="BG687" s="1392" t="n"/>
      <c r="BH687" s="1392" t="n"/>
      <c r="BI687" s="1392" t="n"/>
      <c r="BJ687" s="1392" t="n"/>
      <c r="BK687" s="1392" t="n"/>
      <c r="BL687" s="1392" t="n"/>
      <c r="BM687" s="1392" t="n"/>
      <c r="BN687" s="1392" t="n"/>
      <c r="BO687" s="1392" t="n"/>
      <c r="BP687" s="1392" t="n"/>
      <c r="BQ687" s="1392" t="n"/>
      <c r="BR687" s="1392" t="n"/>
      <c r="BS687" s="1392" t="n"/>
      <c r="BT687" s="1392" t="n"/>
      <c r="BU687" s="1416" t="n"/>
      <c r="BV687" s="1392" t="n"/>
      <c r="BW687" s="1392" t="n"/>
      <c r="BX687" s="1392" t="n"/>
      <c r="BY687" s="1392" t="n"/>
      <c r="BZ687" s="1416" t="n"/>
      <c r="CA687" s="1392" t="n"/>
      <c r="CB687" s="1392" t="n"/>
      <c r="CC687" s="1392" t="n"/>
      <c r="CD687" s="1392" t="n"/>
      <c r="CE687" s="1392" t="n"/>
      <c r="CF687" s="1392" t="n"/>
      <c r="CG687" s="1392" t="n"/>
      <c r="CH687" s="1392" t="n"/>
      <c r="CI687" s="1392" t="n"/>
      <c r="CJ687" s="1392" t="n"/>
      <c r="CK687" s="1392" t="n"/>
      <c r="CL687" s="1392" t="n"/>
    </row>
    <row r="688">
      <c r="A688" s="5" t="inlineStr">
        <is>
          <t>.</t>
        </is>
      </c>
      <c r="B688" s="5" t="inlineStr">
        <is>
          <t>.</t>
        </is>
      </c>
      <c r="C688" s="1378">
        <f>IF(raw[[#This Row],[city]]="","-",IF(raw[[#This Row],[city]]="TODAY","-",C687+1))</f>
        <v/>
      </c>
      <c r="D688" s="1393" t="inlineStr">
        <is>
          <t>Guaecá</t>
        </is>
      </c>
      <c r="E688" s="1394" t="n">
        <v>37344</v>
      </c>
      <c r="F688" s="1394" t="n">
        <v>37347</v>
      </c>
      <c r="G688" s="1393" t="inlineStr">
        <is>
          <t>-</t>
        </is>
      </c>
      <c r="H688" s="1393" t="inlineStr">
        <is>
          <t>Salto Grande</t>
        </is>
      </c>
      <c r="I688" s="1393" t="inlineStr">
        <is>
          <t>Guaecá</t>
        </is>
      </c>
      <c r="J688" s="1393" t="inlineStr">
        <is>
          <t>-</t>
        </is>
      </c>
      <c r="K688" s="1395">
        <f>IF(raw[[#This Row],[city]]&lt;&gt;"",_xlfn.XLOOKUP($D688,ccc[city],ccc[prov],"-"),"-")</f>
        <v/>
      </c>
      <c r="L688" s="1395">
        <f>IF(raw[[#This Row],[city]]&lt;&gt;"",_xlfn.XLOOKUP($D688,ccc[city],ccc[ctry],"-"),"-")</f>
        <v/>
      </c>
      <c r="M688" s="1395">
        <f>IF(raw[[#This Row],[city]]&lt;&gt;"",_xlfn.XLOOKUP($D688,ccc[city],ccc[cont],"-"),"-")</f>
        <v/>
      </c>
      <c r="N688" s="1396">
        <f>IF(raw[[#This Row],[city]]="","-",IF(raw[[#This Row],[cont]]="B",raw[[#This Row],[cont]],"W"))</f>
        <v/>
      </c>
      <c r="O688" s="1397">
        <f>IF(raw[[#This Row],[out]]=0,0,IF(raw[[#This Row],[out]]=raw[[#This Row],[in]],0.01,raw[[#This Row],[out]]-raw[[#This Row],[in]]))</f>
        <v/>
      </c>
      <c r="P688" s="1397">
        <f>IF(raw[[#This Row],[in]]=0,0,MONTH(raw[[#This Row],[in]]))</f>
        <v/>
      </c>
      <c r="Q688" s="1397">
        <f>IF(raw[[#This Row],[in]]=0,0,YEAR(raw[[#This Row],[in]]))</f>
        <v/>
      </c>
      <c r="R688" s="1397">
        <f>INT(raw[[#This Row],[yr]]/10)*10</f>
        <v/>
      </c>
      <c r="S688" s="1395">
        <f>IF(raw[[#This Row],[city]]="","-",IF(raw[[#This Row],[city]]&lt;&gt;_xlfn.XLOOKUP(raw[[#This Row],[home]],homes[home],homes[city],"-"),1,0))</f>
        <v/>
      </c>
      <c r="T688" s="1398" t="inlineStr">
        <is>
          <t>.</t>
        </is>
      </c>
      <c r="U688" s="1399">
        <f>IF(raw[[#This Row],[wb]]="w",raw[[#This Row],[stay]]+U687,U687)</f>
        <v/>
      </c>
      <c r="V688" s="1400">
        <f>IF(raw[[#This Row],[out]]=0,V687,(raw[[#This Row],[out]]-E$5))</f>
        <v/>
      </c>
      <c r="W688" s="1401">
        <f>U688/V688</f>
        <v/>
      </c>
      <c r="X688" s="1378" t="inlineStr">
        <is>
          <t>.</t>
        </is>
      </c>
      <c r="Y688" s="1402">
        <f/>
        <v/>
      </c>
      <c r="Z688" s="1403">
        <f/>
        <v/>
      </c>
      <c r="AA688" s="1403">
        <f/>
        <v/>
      </c>
      <c r="AB688" s="1400">
        <f t="array" ref="AB688">_xlfn.LET(_xlpm.S,_xlfn.ANCHORARRAY($Y$4),_xlpm.r,ROWS(stayCity[[#Headers],[city]]:stayCity[[#This Row],[city]])-1,IF(_xlpm.r&lt;=ROWS(_xlpm.S),INDEX(_xlpm.S,_xlpm.r,1),""))</f>
        <v/>
      </c>
      <c r="AC688" s="1405">
        <f t="array" ref="AC688">_xlfn.LET(_xlpm.S,_xlfn.ANCHORARRAY($Y$4),_xlpm.r,ROWS(stayCity[[#Headers],[city]]:stayCity[[#This Row],[city]])-1,IF(_xlpm.r&lt;=ROWS(_xlpm.S),INDEX(_xlpm.S,_xlpm.r,2),""))</f>
        <v/>
      </c>
      <c r="AD688" s="1405">
        <f t="array" ref="AD688">_xlfn.LET(_xlpm.S,_xlfn.ANCHORARRAY($Y$4),_xlpm.r,ROWS(stayCity[[#Headers],[city]]:stayCity[[#This Row],[city]])-1,IF(_xlpm.r&lt;=ROWS(_xlpm.S),INDEX(_xlpm.S,_xlpm.r,3),""))</f>
        <v/>
      </c>
      <c r="AE688" s="1400">
        <f>IF(stayCity[[#This Row],[out]]&lt;&gt;"",stayCity[[#This Row],[out]]-stayCity[[#This Row],[in]],"-")</f>
        <v/>
      </c>
      <c r="AF688" s="1406">
        <f>IF(Y688="","-",YEAR(stayCity[[#This Row],[in]]))</f>
        <v/>
      </c>
      <c r="AG688" s="1392" t="n"/>
      <c r="AH688" s="1392" t="n"/>
      <c r="AI688" s="1392" t="n"/>
      <c r="AJ688" s="1392" t="n"/>
      <c r="AK688" s="1392" t="n"/>
      <c r="AL688" s="1392" t="n"/>
      <c r="AM688" s="1392" t="n"/>
      <c r="AN688" s="1392" t="n"/>
      <c r="AO688" s="1392" t="n"/>
      <c r="AP688" s="1392" t="n"/>
      <c r="AQ688" s="1392" t="n"/>
      <c r="AR688" s="1392" t="n"/>
      <c r="AS688" s="1422" t="n"/>
      <c r="AT688" s="1392" t="n"/>
      <c r="AU688" s="1392" t="n"/>
      <c r="AV688" s="1392" t="n"/>
      <c r="AW688" s="1392" t="n"/>
      <c r="AX688" s="1392" t="n"/>
      <c r="AY688" s="1392" t="n"/>
      <c r="AZ688" s="1392" t="n"/>
      <c r="BA688" s="1392" t="n"/>
      <c r="BB688" s="1422" t="n"/>
      <c r="BC688" s="1392" t="n"/>
      <c r="BD688" s="1392" t="n"/>
      <c r="BE688" s="1392" t="n"/>
      <c r="BF688" s="1392" t="n"/>
      <c r="BG688" s="1392" t="n"/>
      <c r="BH688" s="1392" t="n"/>
      <c r="BI688" s="1392" t="n"/>
      <c r="BJ688" s="1392" t="n"/>
      <c r="BK688" s="1392" t="n"/>
      <c r="BL688" s="1392" t="n"/>
      <c r="BM688" s="1392" t="n"/>
      <c r="BN688" s="1392" t="n"/>
      <c r="BO688" s="1392" t="n"/>
      <c r="BP688" s="1392" t="n"/>
      <c r="BQ688" s="1392" t="n"/>
      <c r="BR688" s="1392" t="n"/>
      <c r="BS688" s="1392" t="n"/>
      <c r="BT688" s="1392" t="n"/>
      <c r="BU688" s="1416" t="n"/>
      <c r="BV688" s="1392" t="n"/>
      <c r="BW688" s="1392" t="n"/>
      <c r="BX688" s="1392" t="n"/>
      <c r="BY688" s="1392" t="n"/>
      <c r="BZ688" s="1416" t="n"/>
      <c r="CA688" s="1392" t="n"/>
      <c r="CB688" s="1392" t="n"/>
      <c r="CC688" s="1392" t="n"/>
      <c r="CD688" s="1392" t="n"/>
      <c r="CE688" s="1392" t="n"/>
      <c r="CF688" s="1392" t="n"/>
      <c r="CG688" s="1392" t="n"/>
      <c r="CH688" s="1392" t="n"/>
      <c r="CI688" s="1392" t="n"/>
      <c r="CJ688" s="1392" t="n"/>
      <c r="CK688" s="1392" t="n"/>
      <c r="CL688" s="1392" t="n"/>
    </row>
    <row r="689">
      <c r="A689" s="5" t="inlineStr">
        <is>
          <t>.</t>
        </is>
      </c>
      <c r="B689" s="5" t="inlineStr">
        <is>
          <t>.</t>
        </is>
      </c>
      <c r="C689" s="1378">
        <f>IF(raw[[#This Row],[city]]="","-",IF(raw[[#This Row],[city]]="TODAY","-",C688+1))</f>
        <v/>
      </c>
      <c r="D689" s="1393" t="inlineStr">
        <is>
          <t>SP</t>
        </is>
      </c>
      <c r="E689" s="1394" t="n">
        <v>37347</v>
      </c>
      <c r="F689" s="1394" t="n">
        <v>37377</v>
      </c>
      <c r="G689" s="1393" t="inlineStr">
        <is>
          <t>-</t>
        </is>
      </c>
      <c r="H689" s="1393" t="inlineStr">
        <is>
          <t>Salto Grande</t>
        </is>
      </c>
      <c r="I689" s="1393" t="inlineStr">
        <is>
          <t>-</t>
        </is>
      </c>
      <c r="J689" s="1393" t="inlineStr">
        <is>
          <t>-</t>
        </is>
      </c>
      <c r="K689" s="1395">
        <f>IF(raw[[#This Row],[city]]&lt;&gt;"",_xlfn.XLOOKUP($D689,ccc[city],ccc[prov],"-"),"-")</f>
        <v/>
      </c>
      <c r="L689" s="1395">
        <f>IF(raw[[#This Row],[city]]&lt;&gt;"",_xlfn.XLOOKUP($D689,ccc[city],ccc[ctry],"-"),"-")</f>
        <v/>
      </c>
      <c r="M689" s="1395">
        <f>IF(raw[[#This Row],[city]]&lt;&gt;"",_xlfn.XLOOKUP($D689,ccc[city],ccc[cont],"-"),"-")</f>
        <v/>
      </c>
      <c r="N689" s="1396">
        <f>IF(raw[[#This Row],[city]]="","-",IF(raw[[#This Row],[cont]]="B",raw[[#This Row],[cont]],"W"))</f>
        <v/>
      </c>
      <c r="O689" s="1397">
        <f>IF(raw[[#This Row],[out]]=0,0,IF(raw[[#This Row],[out]]=raw[[#This Row],[in]],0.01,raw[[#This Row],[out]]-raw[[#This Row],[in]]))</f>
        <v/>
      </c>
      <c r="P689" s="1397">
        <f>IF(raw[[#This Row],[in]]=0,0,MONTH(raw[[#This Row],[in]]))</f>
        <v/>
      </c>
      <c r="Q689" s="1397">
        <f>IF(raw[[#This Row],[in]]=0,0,YEAR(raw[[#This Row],[in]]))</f>
        <v/>
      </c>
      <c r="R689" s="1397">
        <f>INT(raw[[#This Row],[yr]]/10)*10</f>
        <v/>
      </c>
      <c r="S689" s="1395">
        <f>IF(raw[[#This Row],[city]]="","-",IF(raw[[#This Row],[city]]&lt;&gt;_xlfn.XLOOKUP(raw[[#This Row],[home]],homes[home],homes[city],"-"),1,0))</f>
        <v/>
      </c>
      <c r="T689" s="1398" t="inlineStr">
        <is>
          <t>.</t>
        </is>
      </c>
      <c r="U689" s="1399">
        <f>IF(raw[[#This Row],[wb]]="w",raw[[#This Row],[stay]]+U688,U688)</f>
        <v/>
      </c>
      <c r="V689" s="1400">
        <f>IF(raw[[#This Row],[out]]=0,V688,(raw[[#This Row],[out]]-E$5))</f>
        <v/>
      </c>
      <c r="W689" s="1401">
        <f>U689/V689</f>
        <v/>
      </c>
      <c r="X689" s="1378" t="inlineStr">
        <is>
          <t>.</t>
        </is>
      </c>
      <c r="Y689" s="1402">
        <f/>
        <v/>
      </c>
      <c r="Z689" s="1403">
        <f/>
        <v/>
      </c>
      <c r="AA689" s="1403">
        <f/>
        <v/>
      </c>
      <c r="AB689" s="1400">
        <f t="array" ref="AB689">_xlfn.LET(_xlpm.S,_xlfn.ANCHORARRAY($Y$4),_xlpm.r,ROWS(stayCity[[#Headers],[city]]:stayCity[[#This Row],[city]])-1,IF(_xlpm.r&lt;=ROWS(_xlpm.S),INDEX(_xlpm.S,_xlpm.r,1),""))</f>
        <v/>
      </c>
      <c r="AC689" s="1405">
        <f t="array" ref="AC689">_xlfn.LET(_xlpm.S,_xlfn.ANCHORARRAY($Y$4),_xlpm.r,ROWS(stayCity[[#Headers],[city]]:stayCity[[#This Row],[city]])-1,IF(_xlpm.r&lt;=ROWS(_xlpm.S),INDEX(_xlpm.S,_xlpm.r,2),""))</f>
        <v/>
      </c>
      <c r="AD689" s="1405">
        <f t="array" ref="AD689">_xlfn.LET(_xlpm.S,_xlfn.ANCHORARRAY($Y$4),_xlpm.r,ROWS(stayCity[[#Headers],[city]]:stayCity[[#This Row],[city]])-1,IF(_xlpm.r&lt;=ROWS(_xlpm.S),INDEX(_xlpm.S,_xlpm.r,3),""))</f>
        <v/>
      </c>
      <c r="AE689" s="1400">
        <f>IF(stayCity[[#This Row],[out]]&lt;&gt;"",stayCity[[#This Row],[out]]-stayCity[[#This Row],[in]],"-")</f>
        <v/>
      </c>
      <c r="AF689" s="1406">
        <f>IF(Y689="","-",YEAR(stayCity[[#This Row],[in]]))</f>
        <v/>
      </c>
      <c r="AG689" s="1392" t="n"/>
      <c r="AH689" s="1392" t="n"/>
      <c r="AI689" s="1392" t="n"/>
      <c r="AJ689" s="1392" t="n"/>
      <c r="AK689" s="1392" t="n"/>
      <c r="AL689" s="1392" t="n"/>
      <c r="AM689" s="1392" t="n"/>
      <c r="AN689" s="1392" t="n"/>
      <c r="AO689" s="1392" t="n"/>
      <c r="AP689" s="1392" t="n"/>
      <c r="AQ689" s="1392" t="n"/>
      <c r="AR689" s="1392" t="n"/>
      <c r="AS689" s="1422" t="n"/>
      <c r="AT689" s="1392" t="n"/>
      <c r="AU689" s="1392" t="n"/>
      <c r="AV689" s="1392" t="n"/>
      <c r="AW689" s="1392" t="n"/>
      <c r="AX689" s="1392" t="n"/>
      <c r="AY689" s="1392" t="n"/>
      <c r="AZ689" s="1392" t="n"/>
      <c r="BA689" s="1392" t="n"/>
      <c r="BB689" s="1422" t="n"/>
      <c r="BC689" s="1392" t="n"/>
      <c r="BD689" s="1392" t="n"/>
      <c r="BE689" s="1392" t="n"/>
      <c r="BF689" s="1392" t="n"/>
      <c r="BG689" s="1392" t="n"/>
      <c r="BH689" s="1392" t="n"/>
      <c r="BI689" s="1392" t="n"/>
      <c r="BJ689" s="1392" t="n"/>
      <c r="BK689" s="1392" t="n"/>
      <c r="BL689" s="1392" t="n"/>
      <c r="BM689" s="1392" t="n"/>
      <c r="BN689" s="1392" t="n"/>
      <c r="BO689" s="1392" t="n"/>
      <c r="BP689" s="1392" t="n"/>
      <c r="BQ689" s="1392" t="n"/>
      <c r="BR689" s="1392" t="n"/>
      <c r="BS689" s="1392" t="n"/>
      <c r="BT689" s="1392" t="n"/>
      <c r="BU689" s="1416" t="n"/>
      <c r="BV689" s="1392" t="n"/>
      <c r="BW689" s="1392" t="n"/>
      <c r="BX689" s="1392" t="n"/>
      <c r="BY689" s="1392" t="n"/>
      <c r="BZ689" s="1416" t="n"/>
      <c r="CA689" s="1392" t="n"/>
      <c r="CB689" s="1392" t="n"/>
      <c r="CC689" s="1392" t="n"/>
      <c r="CD689" s="1392" t="n"/>
      <c r="CE689" s="1392" t="n"/>
      <c r="CF689" s="1392" t="n"/>
      <c r="CG689" s="1392" t="n"/>
      <c r="CH689" s="1392" t="n"/>
      <c r="CI689" s="1392" t="n"/>
      <c r="CJ689" s="1392" t="n"/>
      <c r="CK689" s="1392" t="n"/>
      <c r="CL689" s="1392" t="n"/>
    </row>
    <row r="690">
      <c r="A690" s="5" t="inlineStr">
        <is>
          <t>.</t>
        </is>
      </c>
      <c r="B690" s="5" t="inlineStr">
        <is>
          <t>.</t>
        </is>
      </c>
      <c r="C690" s="1378">
        <f>IF(raw[[#This Row],[city]]="","-",IF(raw[[#This Row],[city]]="TODAY","-",C689+1))</f>
        <v/>
      </c>
      <c r="D690" s="1393" t="inlineStr">
        <is>
          <t>SP</t>
        </is>
      </c>
      <c r="E690" s="1394" t="n">
        <v>37377</v>
      </c>
      <c r="F690" s="1394" t="n">
        <v>37403</v>
      </c>
      <c r="G690" s="1393" t="inlineStr">
        <is>
          <t>-</t>
        </is>
      </c>
      <c r="H690" s="1393" t="inlineStr">
        <is>
          <t>Salto Grande</t>
        </is>
      </c>
      <c r="I690" s="1393" t="inlineStr">
        <is>
          <t>-</t>
        </is>
      </c>
      <c r="J690" s="1393" t="inlineStr">
        <is>
          <t>-</t>
        </is>
      </c>
      <c r="K690" s="1395">
        <f>IF(raw[[#This Row],[city]]&lt;&gt;"",_xlfn.XLOOKUP($D690,ccc[city],ccc[prov],"-"),"-")</f>
        <v/>
      </c>
      <c r="L690" s="1395">
        <f>IF(raw[[#This Row],[city]]&lt;&gt;"",_xlfn.XLOOKUP($D690,ccc[city],ccc[ctry],"-"),"-")</f>
        <v/>
      </c>
      <c r="M690" s="1395">
        <f>IF(raw[[#This Row],[city]]&lt;&gt;"",_xlfn.XLOOKUP($D690,ccc[city],ccc[cont],"-"),"-")</f>
        <v/>
      </c>
      <c r="N690" s="1396">
        <f>IF(raw[[#This Row],[city]]="","-",IF(raw[[#This Row],[cont]]="B",raw[[#This Row],[cont]],"W"))</f>
        <v/>
      </c>
      <c r="O690" s="1397">
        <f>IF(raw[[#This Row],[out]]=0,0,IF(raw[[#This Row],[out]]=raw[[#This Row],[in]],0.01,raw[[#This Row],[out]]-raw[[#This Row],[in]]))</f>
        <v/>
      </c>
      <c r="P690" s="1397">
        <f>IF(raw[[#This Row],[in]]=0,0,MONTH(raw[[#This Row],[in]]))</f>
        <v/>
      </c>
      <c r="Q690" s="1397">
        <f>IF(raw[[#This Row],[in]]=0,0,YEAR(raw[[#This Row],[in]]))</f>
        <v/>
      </c>
      <c r="R690" s="1397">
        <f>INT(raw[[#This Row],[yr]]/10)*10</f>
        <v/>
      </c>
      <c r="S690" s="1395">
        <f>IF(raw[[#This Row],[city]]="","-",IF(raw[[#This Row],[city]]&lt;&gt;_xlfn.XLOOKUP(raw[[#This Row],[home]],homes[home],homes[city],"-"),1,0))</f>
        <v/>
      </c>
      <c r="T690" s="1398" t="inlineStr">
        <is>
          <t>.</t>
        </is>
      </c>
      <c r="U690" s="1399">
        <f>IF(raw[[#This Row],[wb]]="w",raw[[#This Row],[stay]]+U689,U689)</f>
        <v/>
      </c>
      <c r="V690" s="1400">
        <f>IF(raw[[#This Row],[out]]=0,V689,(raw[[#This Row],[out]]-E$5))</f>
        <v/>
      </c>
      <c r="W690" s="1401">
        <f>U690/V690</f>
        <v/>
      </c>
      <c r="X690" s="1378" t="inlineStr">
        <is>
          <t>.</t>
        </is>
      </c>
      <c r="Y690" s="1402">
        <f/>
        <v/>
      </c>
      <c r="Z690" s="1403">
        <f/>
        <v/>
      </c>
      <c r="AA690" s="1403">
        <f/>
        <v/>
      </c>
      <c r="AB690" s="1400">
        <f t="array" ref="AB690">_xlfn.LET(_xlpm.S,_xlfn.ANCHORARRAY($Y$4),_xlpm.r,ROWS(stayCity[[#Headers],[city]]:stayCity[[#This Row],[city]])-1,IF(_xlpm.r&lt;=ROWS(_xlpm.S),INDEX(_xlpm.S,_xlpm.r,1),""))</f>
        <v/>
      </c>
      <c r="AC690" s="1405">
        <f t="array" ref="AC690">_xlfn.LET(_xlpm.S,_xlfn.ANCHORARRAY($Y$4),_xlpm.r,ROWS(stayCity[[#Headers],[city]]:stayCity[[#This Row],[city]])-1,IF(_xlpm.r&lt;=ROWS(_xlpm.S),INDEX(_xlpm.S,_xlpm.r,2),""))</f>
        <v/>
      </c>
      <c r="AD690" s="1405">
        <f t="array" ref="AD690">_xlfn.LET(_xlpm.S,_xlfn.ANCHORARRAY($Y$4),_xlpm.r,ROWS(stayCity[[#Headers],[city]]:stayCity[[#This Row],[city]])-1,IF(_xlpm.r&lt;=ROWS(_xlpm.S),INDEX(_xlpm.S,_xlpm.r,3),""))</f>
        <v/>
      </c>
      <c r="AE690" s="1400">
        <f>IF(stayCity[[#This Row],[out]]&lt;&gt;"",stayCity[[#This Row],[out]]-stayCity[[#This Row],[in]],"-")</f>
        <v/>
      </c>
      <c r="AF690" s="1406">
        <f>IF(Y690="","-",YEAR(stayCity[[#This Row],[in]]))</f>
        <v/>
      </c>
      <c r="AG690" s="1392" t="n"/>
      <c r="AH690" s="1392" t="n"/>
      <c r="AI690" s="1392" t="n"/>
      <c r="AJ690" s="1392" t="n"/>
      <c r="AK690" s="1392" t="n"/>
      <c r="AL690" s="1392" t="n"/>
      <c r="AM690" s="1392" t="n"/>
      <c r="AN690" s="1392" t="n"/>
      <c r="AO690" s="1392" t="n"/>
      <c r="AP690" s="1392" t="n"/>
      <c r="AQ690" s="1392" t="n"/>
      <c r="AR690" s="1392" t="n"/>
      <c r="AS690" s="1422" t="n"/>
      <c r="AT690" s="1392" t="n"/>
      <c r="AU690" s="1392" t="n"/>
      <c r="AV690" s="1392" t="n"/>
      <c r="AW690" s="1392" t="n"/>
      <c r="AX690" s="1392" t="n"/>
      <c r="AY690" s="1392" t="n"/>
      <c r="AZ690" s="1392" t="n"/>
      <c r="BA690" s="1392" t="n"/>
      <c r="BB690" s="1422" t="n"/>
      <c r="BC690" s="1392" t="n"/>
      <c r="BD690" s="1392" t="n"/>
      <c r="BE690" s="1392" t="n"/>
      <c r="BF690" s="1392" t="n"/>
      <c r="BG690" s="1392" t="n"/>
      <c r="BH690" s="1392" t="n"/>
      <c r="BI690" s="1392" t="n"/>
      <c r="BJ690" s="1392" t="n"/>
      <c r="BK690" s="1392" t="n"/>
      <c r="BL690" s="1392" t="n"/>
      <c r="BM690" s="1392" t="n"/>
      <c r="BN690" s="1392" t="n"/>
      <c r="BO690" s="1392" t="n"/>
      <c r="BP690" s="1392" t="n"/>
      <c r="BQ690" s="1392" t="n"/>
      <c r="BR690" s="1392" t="n"/>
      <c r="BS690" s="1392" t="n"/>
      <c r="BT690" s="1392" t="n"/>
      <c r="BU690" s="1416" t="n"/>
      <c r="BV690" s="1392" t="n"/>
      <c r="BW690" s="1392" t="n"/>
      <c r="BX690" s="1392" t="n"/>
      <c r="BY690" s="1392" t="n"/>
      <c r="BZ690" s="1416" t="n"/>
      <c r="CA690" s="1392" t="n"/>
      <c r="CB690" s="1392" t="n"/>
      <c r="CC690" s="1392" t="n"/>
      <c r="CD690" s="1392" t="n"/>
      <c r="CE690" s="1392" t="n"/>
      <c r="CF690" s="1392" t="n"/>
      <c r="CG690" s="1392" t="n"/>
      <c r="CH690" s="1392" t="n"/>
      <c r="CI690" s="1392" t="n"/>
      <c r="CJ690" s="1392" t="n"/>
      <c r="CK690" s="1392" t="n"/>
      <c r="CL690" s="1392" t="n"/>
    </row>
    <row r="691">
      <c r="A691" s="5" t="inlineStr">
        <is>
          <t>.</t>
        </is>
      </c>
      <c r="B691" s="5" t="inlineStr">
        <is>
          <t>.</t>
        </is>
      </c>
      <c r="C691" s="1378">
        <f>IF(raw[[#This Row],[city]]="","-",IF(raw[[#This Row],[city]]="TODAY","-",C690+1))</f>
        <v/>
      </c>
      <c r="D691" s="1393" t="inlineStr">
        <is>
          <t>Lindoia</t>
        </is>
      </c>
      <c r="E691" s="1394" t="n">
        <v>37403</v>
      </c>
      <c r="F691" s="1394" t="n">
        <v>37405</v>
      </c>
      <c r="G691" s="1393" t="inlineStr">
        <is>
          <t>-</t>
        </is>
      </c>
      <c r="H691" s="1393" t="inlineStr">
        <is>
          <t>Salto Grande</t>
        </is>
      </c>
      <c r="I691" s="1393" t="inlineStr">
        <is>
          <t>-</t>
        </is>
      </c>
      <c r="J691" s="1393" t="inlineStr">
        <is>
          <t>-</t>
        </is>
      </c>
      <c r="K691" s="1395">
        <f>IF(raw[[#This Row],[city]]&lt;&gt;"",_xlfn.XLOOKUP($D691,ccc[city],ccc[prov],"-"),"-")</f>
        <v/>
      </c>
      <c r="L691" s="1395">
        <f>IF(raw[[#This Row],[city]]&lt;&gt;"",_xlfn.XLOOKUP($D691,ccc[city],ccc[ctry],"-"),"-")</f>
        <v/>
      </c>
      <c r="M691" s="1395">
        <f>IF(raw[[#This Row],[city]]&lt;&gt;"",_xlfn.XLOOKUP($D691,ccc[city],ccc[cont],"-"),"-")</f>
        <v/>
      </c>
      <c r="N691" s="1396">
        <f>IF(raw[[#This Row],[city]]="","-",IF(raw[[#This Row],[cont]]="B",raw[[#This Row],[cont]],"W"))</f>
        <v/>
      </c>
      <c r="O691" s="1397">
        <f>IF(raw[[#This Row],[out]]=0,0,IF(raw[[#This Row],[out]]=raw[[#This Row],[in]],0.01,raw[[#This Row],[out]]-raw[[#This Row],[in]]))</f>
        <v/>
      </c>
      <c r="P691" s="1397">
        <f>IF(raw[[#This Row],[in]]=0,0,MONTH(raw[[#This Row],[in]]))</f>
        <v/>
      </c>
      <c r="Q691" s="1397">
        <f>IF(raw[[#This Row],[in]]=0,0,YEAR(raw[[#This Row],[in]]))</f>
        <v/>
      </c>
      <c r="R691" s="1397">
        <f>INT(raw[[#This Row],[yr]]/10)*10</f>
        <v/>
      </c>
      <c r="S691" s="1395">
        <f>IF(raw[[#This Row],[city]]="","-",IF(raw[[#This Row],[city]]&lt;&gt;_xlfn.XLOOKUP(raw[[#This Row],[home]],homes[home],homes[city],"-"),1,0))</f>
        <v/>
      </c>
      <c r="T691" s="1398" t="inlineStr">
        <is>
          <t>.</t>
        </is>
      </c>
      <c r="U691" s="1399">
        <f>IF(raw[[#This Row],[wb]]="w",raw[[#This Row],[stay]]+U690,U690)</f>
        <v/>
      </c>
      <c r="V691" s="1400">
        <f>IF(raw[[#This Row],[out]]=0,V690,(raw[[#This Row],[out]]-E$5))</f>
        <v/>
      </c>
      <c r="W691" s="1401">
        <f>U691/V691</f>
        <v/>
      </c>
      <c r="X691" s="1378" t="inlineStr">
        <is>
          <t>.</t>
        </is>
      </c>
      <c r="Y691" s="1402">
        <f/>
        <v/>
      </c>
      <c r="Z691" s="1403">
        <f/>
        <v/>
      </c>
      <c r="AA691" s="1403">
        <f/>
        <v/>
      </c>
      <c r="AB691" s="1400">
        <f t="array" ref="AB691">_xlfn.LET(_xlpm.S,_xlfn.ANCHORARRAY($Y$4),_xlpm.r,ROWS(stayCity[[#Headers],[city]]:stayCity[[#This Row],[city]])-1,IF(_xlpm.r&lt;=ROWS(_xlpm.S),INDEX(_xlpm.S,_xlpm.r,1),""))</f>
        <v/>
      </c>
      <c r="AC691" s="1405">
        <f t="array" ref="AC691">_xlfn.LET(_xlpm.S,_xlfn.ANCHORARRAY($Y$4),_xlpm.r,ROWS(stayCity[[#Headers],[city]]:stayCity[[#This Row],[city]])-1,IF(_xlpm.r&lt;=ROWS(_xlpm.S),INDEX(_xlpm.S,_xlpm.r,2),""))</f>
        <v/>
      </c>
      <c r="AD691" s="1405">
        <f t="array" ref="AD691">_xlfn.LET(_xlpm.S,_xlfn.ANCHORARRAY($Y$4),_xlpm.r,ROWS(stayCity[[#Headers],[city]]:stayCity[[#This Row],[city]])-1,IF(_xlpm.r&lt;=ROWS(_xlpm.S),INDEX(_xlpm.S,_xlpm.r,3),""))</f>
        <v/>
      </c>
      <c r="AE691" s="1400">
        <f>IF(stayCity[[#This Row],[out]]&lt;&gt;"",stayCity[[#This Row],[out]]-stayCity[[#This Row],[in]],"-")</f>
        <v/>
      </c>
      <c r="AF691" s="1406">
        <f>IF(Y691="","-",YEAR(stayCity[[#This Row],[in]]))</f>
        <v/>
      </c>
      <c r="AG691" s="1392" t="n"/>
      <c r="AH691" s="1392" t="n"/>
      <c r="AI691" s="1392" t="n"/>
      <c r="AJ691" s="1392" t="n"/>
      <c r="AK691" s="1392" t="n"/>
      <c r="AL691" s="1392" t="n"/>
      <c r="AM691" s="1392" t="n"/>
      <c r="AN691" s="1392" t="n"/>
      <c r="AO691" s="1392" t="n"/>
      <c r="AP691" s="1392" t="n"/>
      <c r="AQ691" s="1392" t="n"/>
      <c r="AR691" s="1392" t="n"/>
      <c r="AS691" s="1422" t="n"/>
      <c r="AT691" s="1392" t="n"/>
      <c r="AU691" s="1392" t="n"/>
      <c r="AV691" s="1392" t="n"/>
      <c r="AW691" s="1392" t="n"/>
      <c r="AX691" s="1392" t="n"/>
      <c r="AY691" s="1392" t="n"/>
      <c r="AZ691" s="1392" t="n"/>
      <c r="BA691" s="1392" t="n"/>
      <c r="BB691" s="1422" t="n"/>
      <c r="BC691" s="1392" t="n"/>
      <c r="BD691" s="1392" t="n"/>
      <c r="BE691" s="1392" t="n"/>
      <c r="BF691" s="1392" t="n"/>
      <c r="BG691" s="1392" t="n"/>
      <c r="BH691" s="1392" t="n"/>
      <c r="BI691" s="1392" t="n"/>
      <c r="BJ691" s="1392" t="n"/>
      <c r="BK691" s="1392" t="n"/>
      <c r="BL691" s="1392" t="n"/>
      <c r="BM691" s="1392" t="n"/>
      <c r="BN691" s="1392" t="n"/>
      <c r="BO691" s="1392" t="n"/>
      <c r="BP691" s="1392" t="n"/>
      <c r="BQ691" s="1392" t="n"/>
      <c r="BR691" s="1392" t="n"/>
      <c r="BS691" s="1392" t="n"/>
      <c r="BT691" s="1392" t="n"/>
      <c r="BU691" s="1416" t="n"/>
      <c r="BV691" s="1392" t="n"/>
      <c r="BW691" s="1392" t="n"/>
      <c r="BX691" s="1392" t="n"/>
      <c r="BY691" s="1392" t="n"/>
      <c r="BZ691" s="1416" t="n"/>
      <c r="CA691" s="1392" t="n"/>
      <c r="CB691" s="1392" t="n"/>
      <c r="CC691" s="1392" t="n"/>
      <c r="CD691" s="1392" t="n"/>
      <c r="CE691" s="1392" t="n"/>
      <c r="CF691" s="1392" t="n"/>
      <c r="CG691" s="1392" t="n"/>
      <c r="CH691" s="1392" t="n"/>
      <c r="CI691" s="1392" t="n"/>
      <c r="CJ691" s="1392" t="n"/>
      <c r="CK691" s="1392" t="n"/>
      <c r="CL691" s="1392" t="n"/>
    </row>
    <row r="692">
      <c r="A692" s="5" t="inlineStr">
        <is>
          <t>.</t>
        </is>
      </c>
      <c r="B692" s="5" t="inlineStr">
        <is>
          <t>.</t>
        </is>
      </c>
      <c r="C692" s="1378">
        <f>IF(raw[[#This Row],[city]]="","-",IF(raw[[#This Row],[city]]="TODAY","-",C691+1))</f>
        <v/>
      </c>
      <c r="D692" s="1393" t="inlineStr">
        <is>
          <t>Paraty</t>
        </is>
      </c>
      <c r="E692" s="1394" t="n">
        <v>37405</v>
      </c>
      <c r="F692" s="1394" t="n">
        <v>37405</v>
      </c>
      <c r="G692" s="1393" t="inlineStr">
        <is>
          <t>-</t>
        </is>
      </c>
      <c r="H692" s="1393" t="inlineStr">
        <is>
          <t>Salto Grande</t>
        </is>
      </c>
      <c r="I692" s="1393" t="inlineStr">
        <is>
          <t>-</t>
        </is>
      </c>
      <c r="J692" s="1393" t="inlineStr">
        <is>
          <t>-</t>
        </is>
      </c>
      <c r="K692" s="1395">
        <f>IF(raw[[#This Row],[city]]&lt;&gt;"",_xlfn.XLOOKUP($D692,ccc[city],ccc[prov],"-"),"-")</f>
        <v/>
      </c>
      <c r="L692" s="1395">
        <f>IF(raw[[#This Row],[city]]&lt;&gt;"",_xlfn.XLOOKUP($D692,ccc[city],ccc[ctry],"-"),"-")</f>
        <v/>
      </c>
      <c r="M692" s="1395">
        <f>IF(raw[[#This Row],[city]]&lt;&gt;"",_xlfn.XLOOKUP($D692,ccc[city],ccc[cont],"-"),"-")</f>
        <v/>
      </c>
      <c r="N692" s="1396">
        <f>IF(raw[[#This Row],[city]]="","-",IF(raw[[#This Row],[cont]]="B",raw[[#This Row],[cont]],"W"))</f>
        <v/>
      </c>
      <c r="O692" s="1397">
        <f>IF(raw[[#This Row],[out]]=0,0,IF(raw[[#This Row],[out]]=raw[[#This Row],[in]],0.01,raw[[#This Row],[out]]-raw[[#This Row],[in]]))</f>
        <v/>
      </c>
      <c r="P692" s="1397">
        <f>IF(raw[[#This Row],[in]]=0,0,MONTH(raw[[#This Row],[in]]))</f>
        <v/>
      </c>
      <c r="Q692" s="1397">
        <f>IF(raw[[#This Row],[in]]=0,0,YEAR(raw[[#This Row],[in]]))</f>
        <v/>
      </c>
      <c r="R692" s="1397">
        <f>INT(raw[[#This Row],[yr]]/10)*10</f>
        <v/>
      </c>
      <c r="S692" s="1395">
        <f>IF(raw[[#This Row],[city]]="","-",IF(raw[[#This Row],[city]]&lt;&gt;_xlfn.XLOOKUP(raw[[#This Row],[home]],homes[home],homes[city],"-"),1,0))</f>
        <v/>
      </c>
      <c r="T692" s="1398" t="inlineStr">
        <is>
          <t>.</t>
        </is>
      </c>
      <c r="U692" s="1399">
        <f>IF(raw[[#This Row],[wb]]="w",raw[[#This Row],[stay]]+U691,U691)</f>
        <v/>
      </c>
      <c r="V692" s="1400">
        <f>IF(raw[[#This Row],[out]]=0,V691,(raw[[#This Row],[out]]-E$5))</f>
        <v/>
      </c>
      <c r="W692" s="1401">
        <f>U692/V692</f>
        <v/>
      </c>
      <c r="X692" s="1378" t="inlineStr">
        <is>
          <t>.</t>
        </is>
      </c>
      <c r="Y692" s="1402">
        <f/>
        <v/>
      </c>
      <c r="Z692" s="1403">
        <f/>
        <v/>
      </c>
      <c r="AA692" s="1403">
        <f/>
        <v/>
      </c>
      <c r="AB692" s="1400">
        <f t="array" ref="AB692">_xlfn.LET(_xlpm.S,_xlfn.ANCHORARRAY($Y$4),_xlpm.r,ROWS(stayCity[[#Headers],[city]]:stayCity[[#This Row],[city]])-1,IF(_xlpm.r&lt;=ROWS(_xlpm.S),INDEX(_xlpm.S,_xlpm.r,1),""))</f>
        <v/>
      </c>
      <c r="AC692" s="1405">
        <f t="array" ref="AC692">_xlfn.LET(_xlpm.S,_xlfn.ANCHORARRAY($Y$4),_xlpm.r,ROWS(stayCity[[#Headers],[city]]:stayCity[[#This Row],[city]])-1,IF(_xlpm.r&lt;=ROWS(_xlpm.S),INDEX(_xlpm.S,_xlpm.r,2),""))</f>
        <v/>
      </c>
      <c r="AD692" s="1405">
        <f t="array" ref="AD692">_xlfn.LET(_xlpm.S,_xlfn.ANCHORARRAY($Y$4),_xlpm.r,ROWS(stayCity[[#Headers],[city]]:stayCity[[#This Row],[city]])-1,IF(_xlpm.r&lt;=ROWS(_xlpm.S),INDEX(_xlpm.S,_xlpm.r,3),""))</f>
        <v/>
      </c>
      <c r="AE692" s="1400">
        <f>IF(stayCity[[#This Row],[out]]&lt;&gt;"",stayCity[[#This Row],[out]]-stayCity[[#This Row],[in]],"-")</f>
        <v/>
      </c>
      <c r="AF692" s="1406">
        <f>IF(Y692="","-",YEAR(stayCity[[#This Row],[in]]))</f>
        <v/>
      </c>
      <c r="AG692" s="1392" t="n"/>
      <c r="AH692" s="1392" t="n"/>
      <c r="AI692" s="1392" t="n"/>
      <c r="AJ692" s="1392" t="n"/>
      <c r="AK692" s="1392" t="n"/>
      <c r="AL692" s="1392" t="n"/>
      <c r="AM692" s="1392" t="n"/>
      <c r="AN692" s="1392" t="n"/>
      <c r="AO692" s="1392" t="n"/>
      <c r="AP692" s="1392" t="n"/>
      <c r="AQ692" s="1392" t="n"/>
      <c r="AR692" s="1392" t="n"/>
      <c r="AS692" s="1422" t="n"/>
      <c r="AT692" s="1392" t="n"/>
      <c r="AU692" s="1392" t="n"/>
      <c r="AV692" s="1392" t="n"/>
      <c r="AW692" s="1392" t="n"/>
      <c r="AX692" s="1392" t="n"/>
      <c r="AY692" s="1392" t="n"/>
      <c r="AZ692" s="1392" t="n"/>
      <c r="BA692" s="1392" t="n"/>
      <c r="BB692" s="1422" t="n"/>
      <c r="BC692" s="1392" t="n"/>
      <c r="BD692" s="1392" t="n"/>
      <c r="BE692" s="1392" t="n"/>
      <c r="BF692" s="1392" t="n"/>
      <c r="BG692" s="1392" t="n"/>
      <c r="BH692" s="1392" t="n"/>
      <c r="BI692" s="1392" t="n"/>
      <c r="BJ692" s="1392" t="n"/>
      <c r="BK692" s="1392" t="n"/>
      <c r="BL692" s="1392" t="n"/>
      <c r="BM692" s="1392" t="n"/>
      <c r="BN692" s="1392" t="n"/>
      <c r="BO692" s="1392" t="n"/>
      <c r="BP692" s="1392" t="n"/>
      <c r="BQ692" s="1392" t="n"/>
      <c r="BR692" s="1392" t="n"/>
      <c r="BS692" s="1392" t="n"/>
      <c r="BT692" s="1392" t="n"/>
      <c r="BU692" s="1416" t="n"/>
      <c r="BV692" s="1392" t="n"/>
      <c r="BW692" s="1392" t="n"/>
      <c r="BX692" s="1392" t="n"/>
      <c r="BY692" s="1392" t="n"/>
      <c r="BZ692" s="1416" t="n"/>
      <c r="CA692" s="1392" t="n"/>
      <c r="CB692" s="1392" t="n"/>
      <c r="CC692" s="1392" t="n"/>
      <c r="CD692" s="1392" t="n"/>
      <c r="CE692" s="1392" t="n"/>
      <c r="CF692" s="1392" t="n"/>
      <c r="CG692" s="1392" t="n"/>
      <c r="CH692" s="1392" t="n"/>
      <c r="CI692" s="1392" t="n"/>
      <c r="CJ692" s="1392" t="n"/>
      <c r="CK692" s="1392" t="n"/>
      <c r="CL692" s="1392" t="n"/>
    </row>
    <row r="693">
      <c r="A693" s="5" t="inlineStr">
        <is>
          <t>.</t>
        </is>
      </c>
      <c r="B693" s="5" t="inlineStr">
        <is>
          <t>.</t>
        </is>
      </c>
      <c r="C693" s="1378">
        <f>IF(raw[[#This Row],[city]]="","-",IF(raw[[#This Row],[city]]="TODAY","-",C692+1))</f>
        <v/>
      </c>
      <c r="D693" s="1393" t="inlineStr">
        <is>
          <t>Trindade</t>
        </is>
      </c>
      <c r="E693" s="1394" t="n">
        <v>37405</v>
      </c>
      <c r="F693" s="1394" t="n">
        <v>37405</v>
      </c>
      <c r="G693" s="1393" t="inlineStr">
        <is>
          <t>-</t>
        </is>
      </c>
      <c r="H693" s="1393" t="inlineStr">
        <is>
          <t>Salto Grande</t>
        </is>
      </c>
      <c r="I693" s="1393" t="inlineStr">
        <is>
          <t>-</t>
        </is>
      </c>
      <c r="J693" s="1393" t="inlineStr">
        <is>
          <t>-</t>
        </is>
      </c>
      <c r="K693" s="1395">
        <f>IF(raw[[#This Row],[city]]&lt;&gt;"",_xlfn.XLOOKUP($D693,ccc[city],ccc[prov],"-"),"-")</f>
        <v/>
      </c>
      <c r="L693" s="1395">
        <f>IF(raw[[#This Row],[city]]&lt;&gt;"",_xlfn.XLOOKUP($D693,ccc[city],ccc[ctry],"-"),"-")</f>
        <v/>
      </c>
      <c r="M693" s="1395">
        <f>IF(raw[[#This Row],[city]]&lt;&gt;"",_xlfn.XLOOKUP($D693,ccc[city],ccc[cont],"-"),"-")</f>
        <v/>
      </c>
      <c r="N693" s="1396">
        <f>IF(raw[[#This Row],[city]]="","-",IF(raw[[#This Row],[cont]]="B",raw[[#This Row],[cont]],"W"))</f>
        <v/>
      </c>
      <c r="O693" s="1397">
        <f>IF(raw[[#This Row],[out]]=0,0,IF(raw[[#This Row],[out]]=raw[[#This Row],[in]],0.01,raw[[#This Row],[out]]-raw[[#This Row],[in]]))</f>
        <v/>
      </c>
      <c r="P693" s="1397">
        <f>IF(raw[[#This Row],[in]]=0,0,MONTH(raw[[#This Row],[in]]))</f>
        <v/>
      </c>
      <c r="Q693" s="1397">
        <f>IF(raw[[#This Row],[in]]=0,0,YEAR(raw[[#This Row],[in]]))</f>
        <v/>
      </c>
      <c r="R693" s="1397">
        <f>INT(raw[[#This Row],[yr]]/10)*10</f>
        <v/>
      </c>
      <c r="S693" s="1395">
        <f>IF(raw[[#This Row],[city]]="","-",IF(raw[[#This Row],[city]]&lt;&gt;_xlfn.XLOOKUP(raw[[#This Row],[home]],homes[home],homes[city],"-"),1,0))</f>
        <v/>
      </c>
      <c r="T693" s="1398" t="inlineStr">
        <is>
          <t>.</t>
        </is>
      </c>
      <c r="U693" s="1399">
        <f>IF(raw[[#This Row],[wb]]="w",raw[[#This Row],[stay]]+U692,U692)</f>
        <v/>
      </c>
      <c r="V693" s="1400">
        <f>IF(raw[[#This Row],[out]]=0,V692,(raw[[#This Row],[out]]-E$5))</f>
        <v/>
      </c>
      <c r="W693" s="1401">
        <f>U693/V693</f>
        <v/>
      </c>
      <c r="X693" s="1378" t="inlineStr">
        <is>
          <t>.</t>
        </is>
      </c>
      <c r="Y693" s="1402">
        <f/>
        <v/>
      </c>
      <c r="Z693" s="1403">
        <f/>
        <v/>
      </c>
      <c r="AA693" s="1403">
        <f/>
        <v/>
      </c>
      <c r="AB693" s="1400">
        <f t="array" ref="AB693">_xlfn.LET(_xlpm.S,_xlfn.ANCHORARRAY($Y$4),_xlpm.r,ROWS(stayCity[[#Headers],[city]]:stayCity[[#This Row],[city]])-1,IF(_xlpm.r&lt;=ROWS(_xlpm.S),INDEX(_xlpm.S,_xlpm.r,1),""))</f>
        <v/>
      </c>
      <c r="AC693" s="1405">
        <f t="array" ref="AC693">_xlfn.LET(_xlpm.S,_xlfn.ANCHORARRAY($Y$4),_xlpm.r,ROWS(stayCity[[#Headers],[city]]:stayCity[[#This Row],[city]])-1,IF(_xlpm.r&lt;=ROWS(_xlpm.S),INDEX(_xlpm.S,_xlpm.r,2),""))</f>
        <v/>
      </c>
      <c r="AD693" s="1405">
        <f t="array" ref="AD693">_xlfn.LET(_xlpm.S,_xlfn.ANCHORARRAY($Y$4),_xlpm.r,ROWS(stayCity[[#Headers],[city]]:stayCity[[#This Row],[city]])-1,IF(_xlpm.r&lt;=ROWS(_xlpm.S),INDEX(_xlpm.S,_xlpm.r,3),""))</f>
        <v/>
      </c>
      <c r="AE693" s="1400">
        <f>IF(stayCity[[#This Row],[out]]&lt;&gt;"",stayCity[[#This Row],[out]]-stayCity[[#This Row],[in]],"-")</f>
        <v/>
      </c>
      <c r="AF693" s="1406">
        <f>IF(Y693="","-",YEAR(stayCity[[#This Row],[in]]))</f>
        <v/>
      </c>
      <c r="AG693" s="1392" t="n"/>
      <c r="AH693" s="1392" t="n"/>
      <c r="AI693" s="1392" t="n"/>
      <c r="AJ693" s="1392" t="n"/>
      <c r="AK693" s="1392" t="n"/>
      <c r="AL693" s="1392" t="n"/>
      <c r="AM693" s="1392" t="n"/>
      <c r="AN693" s="1392" t="n"/>
      <c r="AO693" s="1392" t="n"/>
      <c r="AP693" s="1392" t="n"/>
      <c r="AQ693" s="1392" t="n"/>
      <c r="AR693" s="1392" t="n"/>
      <c r="AS693" s="1422" t="n"/>
      <c r="AT693" s="1392" t="n"/>
      <c r="AU693" s="1392" t="n"/>
      <c r="AV693" s="1392" t="n"/>
      <c r="AW693" s="1392" t="n"/>
      <c r="AX693" s="1392" t="n"/>
      <c r="AY693" s="1392" t="n"/>
      <c r="AZ693" s="1392" t="n"/>
      <c r="BA693" s="1392" t="n"/>
      <c r="BB693" s="1422" t="n"/>
      <c r="BC693" s="1392" t="n"/>
      <c r="BD693" s="1392" t="n"/>
      <c r="BE693" s="1392" t="n"/>
      <c r="BF693" s="1392" t="n"/>
      <c r="BG693" s="1392" t="n"/>
      <c r="BH693" s="1392" t="n"/>
      <c r="BI693" s="1392" t="n"/>
      <c r="BJ693" s="1392" t="n"/>
      <c r="BK693" s="1392" t="n"/>
      <c r="BL693" s="1392" t="n"/>
      <c r="BM693" s="1392" t="n"/>
      <c r="BN693" s="1392" t="n"/>
      <c r="BO693" s="1392" t="n"/>
      <c r="BP693" s="1392" t="n"/>
      <c r="BQ693" s="1392" t="n"/>
      <c r="BR693" s="1392" t="n"/>
      <c r="BS693" s="1392" t="n"/>
      <c r="BT693" s="1392" t="n"/>
      <c r="BU693" s="1416" t="n"/>
      <c r="BV693" s="1392" t="n"/>
      <c r="BW693" s="1392" t="n"/>
      <c r="BX693" s="1392" t="n"/>
      <c r="BY693" s="1392" t="n"/>
      <c r="BZ693" s="1416" t="n"/>
      <c r="CA693" s="1392" t="n"/>
      <c r="CB693" s="1392" t="n"/>
      <c r="CC693" s="1392" t="n"/>
      <c r="CD693" s="1392" t="n"/>
      <c r="CE693" s="1392" t="n"/>
      <c r="CF693" s="1392" t="n"/>
      <c r="CG693" s="1392" t="n"/>
      <c r="CH693" s="1392" t="n"/>
      <c r="CI693" s="1392" t="n"/>
      <c r="CJ693" s="1392" t="n"/>
      <c r="CK693" s="1392" t="n"/>
      <c r="CL693" s="1392" t="n"/>
    </row>
    <row r="694">
      <c r="A694" s="5" t="inlineStr">
        <is>
          <t>.</t>
        </is>
      </c>
      <c r="B694" s="5" t="inlineStr">
        <is>
          <t>.</t>
        </is>
      </c>
      <c r="C694" s="1378">
        <f>IF(raw[[#This Row],[city]]="","-",IF(raw[[#This Row],[city]]="TODAY","-",C693+1))</f>
        <v/>
      </c>
      <c r="D694" s="1393" t="inlineStr">
        <is>
          <t>Paraty</t>
        </is>
      </c>
      <c r="E694" s="1394" t="n">
        <v>37405</v>
      </c>
      <c r="F694" s="1394" t="n">
        <v>37408</v>
      </c>
      <c r="G694" s="1393" t="inlineStr">
        <is>
          <t>-</t>
        </is>
      </c>
      <c r="H694" s="1393" t="inlineStr">
        <is>
          <t>Salto Grande</t>
        </is>
      </c>
      <c r="I694" s="1393" t="inlineStr">
        <is>
          <t>-</t>
        </is>
      </c>
      <c r="J694" s="1393" t="inlineStr">
        <is>
          <t>-</t>
        </is>
      </c>
      <c r="K694" s="1395">
        <f>IF(raw[[#This Row],[city]]&lt;&gt;"",_xlfn.XLOOKUP($D694,ccc[city],ccc[prov],"-"),"-")</f>
        <v/>
      </c>
      <c r="L694" s="1395">
        <f>IF(raw[[#This Row],[city]]&lt;&gt;"",_xlfn.XLOOKUP($D694,ccc[city],ccc[ctry],"-"),"-")</f>
        <v/>
      </c>
      <c r="M694" s="1395">
        <f>IF(raw[[#This Row],[city]]&lt;&gt;"",_xlfn.XLOOKUP($D694,ccc[city],ccc[cont],"-"),"-")</f>
        <v/>
      </c>
      <c r="N694" s="1396">
        <f>IF(raw[[#This Row],[city]]="","-",IF(raw[[#This Row],[cont]]="B",raw[[#This Row],[cont]],"W"))</f>
        <v/>
      </c>
      <c r="O694" s="1397">
        <f>IF(raw[[#This Row],[out]]=0,0,IF(raw[[#This Row],[out]]=raw[[#This Row],[in]],0.01,raw[[#This Row],[out]]-raw[[#This Row],[in]]))</f>
        <v/>
      </c>
      <c r="P694" s="1397">
        <f>IF(raw[[#This Row],[in]]=0,0,MONTH(raw[[#This Row],[in]]))</f>
        <v/>
      </c>
      <c r="Q694" s="1397">
        <f>IF(raw[[#This Row],[in]]=0,0,YEAR(raw[[#This Row],[in]]))</f>
        <v/>
      </c>
      <c r="R694" s="1397">
        <f>INT(raw[[#This Row],[yr]]/10)*10</f>
        <v/>
      </c>
      <c r="S694" s="1395">
        <f>IF(raw[[#This Row],[city]]="","-",IF(raw[[#This Row],[city]]&lt;&gt;_xlfn.XLOOKUP(raw[[#This Row],[home]],homes[home],homes[city],"-"),1,0))</f>
        <v/>
      </c>
      <c r="T694" s="1398" t="inlineStr">
        <is>
          <t>.</t>
        </is>
      </c>
      <c r="U694" s="1399">
        <f>IF(raw[[#This Row],[wb]]="w",raw[[#This Row],[stay]]+U693,U693)</f>
        <v/>
      </c>
      <c r="V694" s="1400">
        <f>IF(raw[[#This Row],[out]]=0,V693,(raw[[#This Row],[out]]-E$5))</f>
        <v/>
      </c>
      <c r="W694" s="1401">
        <f>U694/V694</f>
        <v/>
      </c>
      <c r="X694" s="1378" t="inlineStr">
        <is>
          <t>.</t>
        </is>
      </c>
      <c r="Y694" s="1402">
        <f/>
        <v/>
      </c>
      <c r="Z694" s="1403">
        <f/>
        <v/>
      </c>
      <c r="AA694" s="1403">
        <f/>
        <v/>
      </c>
      <c r="AB694" s="1400">
        <f t="array" ref="AB694">_xlfn.LET(_xlpm.S,_xlfn.ANCHORARRAY($Y$4),_xlpm.r,ROWS(stayCity[[#Headers],[city]]:stayCity[[#This Row],[city]])-1,IF(_xlpm.r&lt;=ROWS(_xlpm.S),INDEX(_xlpm.S,_xlpm.r,1),""))</f>
        <v/>
      </c>
      <c r="AC694" s="1405">
        <f t="array" ref="AC694">_xlfn.LET(_xlpm.S,_xlfn.ANCHORARRAY($Y$4),_xlpm.r,ROWS(stayCity[[#Headers],[city]]:stayCity[[#This Row],[city]])-1,IF(_xlpm.r&lt;=ROWS(_xlpm.S),INDEX(_xlpm.S,_xlpm.r,2),""))</f>
        <v/>
      </c>
      <c r="AD694" s="1405">
        <f t="array" ref="AD694">_xlfn.LET(_xlpm.S,_xlfn.ANCHORARRAY($Y$4),_xlpm.r,ROWS(stayCity[[#Headers],[city]]:stayCity[[#This Row],[city]])-1,IF(_xlpm.r&lt;=ROWS(_xlpm.S),INDEX(_xlpm.S,_xlpm.r,3),""))</f>
        <v/>
      </c>
      <c r="AE694" s="1400">
        <f>IF(stayCity[[#This Row],[out]]&lt;&gt;"",stayCity[[#This Row],[out]]-stayCity[[#This Row],[in]],"-")</f>
        <v/>
      </c>
      <c r="AF694" s="1406">
        <f>IF(Y694="","-",YEAR(stayCity[[#This Row],[in]]))</f>
        <v/>
      </c>
      <c r="AG694" s="1392" t="n"/>
      <c r="AH694" s="1392" t="n"/>
      <c r="AI694" s="1392" t="n"/>
      <c r="AJ694" s="1392" t="n"/>
      <c r="AK694" s="1392" t="n"/>
      <c r="AL694" s="1392" t="n"/>
      <c r="AM694" s="1392" t="n"/>
      <c r="AN694" s="1392" t="n"/>
      <c r="AO694" s="1392" t="n"/>
      <c r="AP694" s="1392" t="n"/>
      <c r="AQ694" s="1392" t="n"/>
      <c r="AR694" s="1392" t="n"/>
      <c r="AS694" s="1422" t="n"/>
      <c r="AT694" s="1392" t="n"/>
      <c r="AU694" s="1392" t="n"/>
      <c r="AV694" s="1392" t="n"/>
      <c r="AW694" s="1392" t="n"/>
      <c r="AX694" s="1392" t="n"/>
      <c r="AY694" s="1392" t="n"/>
      <c r="AZ694" s="1392" t="n"/>
      <c r="BA694" s="1392" t="n"/>
      <c r="BB694" s="1422" t="n"/>
      <c r="BC694" s="1392" t="n"/>
      <c r="BD694" s="1392" t="n"/>
      <c r="BE694" s="1392" t="n"/>
      <c r="BF694" s="1392" t="n"/>
      <c r="BG694" s="1392" t="n"/>
      <c r="BH694" s="1392" t="n"/>
      <c r="BI694" s="1392" t="n"/>
      <c r="BJ694" s="1392" t="n"/>
      <c r="BK694" s="1392" t="n"/>
      <c r="BL694" s="1392" t="n"/>
      <c r="BM694" s="1392" t="n"/>
      <c r="BN694" s="1392" t="n"/>
      <c r="BO694" s="1392" t="n"/>
      <c r="BP694" s="1392" t="n"/>
      <c r="BQ694" s="1392" t="n"/>
      <c r="BR694" s="1392" t="n"/>
      <c r="BS694" s="1392" t="n"/>
      <c r="BT694" s="1392" t="n"/>
      <c r="BU694" s="1416" t="n"/>
      <c r="BV694" s="1392" t="n"/>
      <c r="BW694" s="1392" t="n"/>
      <c r="BX694" s="1392" t="n"/>
      <c r="BY694" s="1392" t="n"/>
      <c r="BZ694" s="1416" t="n"/>
      <c r="CA694" s="1392" t="n"/>
      <c r="CB694" s="1392" t="n"/>
      <c r="CC694" s="1392" t="n"/>
      <c r="CD694" s="1392" t="n"/>
      <c r="CE694" s="1392" t="n"/>
      <c r="CF694" s="1392" t="n"/>
      <c r="CG694" s="1392" t="n"/>
      <c r="CH694" s="1392" t="n"/>
      <c r="CI694" s="1392" t="n"/>
      <c r="CJ694" s="1392" t="n"/>
      <c r="CK694" s="1392" t="n"/>
      <c r="CL694" s="1392" t="n"/>
    </row>
    <row r="695">
      <c r="A695" s="5" t="inlineStr">
        <is>
          <t>.</t>
        </is>
      </c>
      <c r="B695" s="5" t="inlineStr">
        <is>
          <t>.</t>
        </is>
      </c>
      <c r="C695" s="1378">
        <f>IF(raw[[#This Row],[city]]="","-",IF(raw[[#This Row],[city]]="TODAY","-",C694+1))</f>
        <v/>
      </c>
      <c r="D695" s="1393" t="inlineStr">
        <is>
          <t>Paraty</t>
        </is>
      </c>
      <c r="E695" s="1394" t="n">
        <v>37408</v>
      </c>
      <c r="F695" s="1394" t="n">
        <v>37409</v>
      </c>
      <c r="G695" s="1393" t="inlineStr">
        <is>
          <t>-</t>
        </is>
      </c>
      <c r="H695" s="1393" t="inlineStr">
        <is>
          <t>Salto Grande</t>
        </is>
      </c>
      <c r="I695" s="1393" t="inlineStr">
        <is>
          <t>-</t>
        </is>
      </c>
      <c r="J695" s="1393" t="inlineStr">
        <is>
          <t>-</t>
        </is>
      </c>
      <c r="K695" s="1395">
        <f>IF(raw[[#This Row],[city]]&lt;&gt;"",_xlfn.XLOOKUP($D695,ccc[city],ccc[prov],"-"),"-")</f>
        <v/>
      </c>
      <c r="L695" s="1395">
        <f>IF(raw[[#This Row],[city]]&lt;&gt;"",_xlfn.XLOOKUP($D695,ccc[city],ccc[ctry],"-"),"-")</f>
        <v/>
      </c>
      <c r="M695" s="1395">
        <f>IF(raw[[#This Row],[city]]&lt;&gt;"",_xlfn.XLOOKUP($D695,ccc[city],ccc[cont],"-"),"-")</f>
        <v/>
      </c>
      <c r="N695" s="1396">
        <f>IF(raw[[#This Row],[city]]="","-",IF(raw[[#This Row],[cont]]="B",raw[[#This Row],[cont]],"W"))</f>
        <v/>
      </c>
      <c r="O695" s="1397">
        <f>IF(raw[[#This Row],[out]]=0,0,IF(raw[[#This Row],[out]]=raw[[#This Row],[in]],0.01,raw[[#This Row],[out]]-raw[[#This Row],[in]]))</f>
        <v/>
      </c>
      <c r="P695" s="1397">
        <f>IF(raw[[#This Row],[in]]=0,0,MONTH(raw[[#This Row],[in]]))</f>
        <v/>
      </c>
      <c r="Q695" s="1397">
        <f>IF(raw[[#This Row],[in]]=0,0,YEAR(raw[[#This Row],[in]]))</f>
        <v/>
      </c>
      <c r="R695" s="1397">
        <f>INT(raw[[#This Row],[yr]]/10)*10</f>
        <v/>
      </c>
      <c r="S695" s="1395">
        <f>IF(raw[[#This Row],[city]]="","-",IF(raw[[#This Row],[city]]&lt;&gt;_xlfn.XLOOKUP(raw[[#This Row],[home]],homes[home],homes[city],"-"),1,0))</f>
        <v/>
      </c>
      <c r="T695" s="1398" t="inlineStr">
        <is>
          <t>.</t>
        </is>
      </c>
      <c r="U695" s="1399">
        <f>IF(raw[[#This Row],[wb]]="w",raw[[#This Row],[stay]]+U694,U694)</f>
        <v/>
      </c>
      <c r="V695" s="1400">
        <f>IF(raw[[#This Row],[out]]=0,V694,(raw[[#This Row],[out]]-E$5))</f>
        <v/>
      </c>
      <c r="W695" s="1401">
        <f>U695/V695</f>
        <v/>
      </c>
      <c r="X695" s="1378" t="inlineStr">
        <is>
          <t>.</t>
        </is>
      </c>
      <c r="Y695" s="1402">
        <f/>
        <v/>
      </c>
      <c r="Z695" s="1403">
        <f/>
        <v/>
      </c>
      <c r="AA695" s="1403">
        <f/>
        <v/>
      </c>
      <c r="AB695" s="1400">
        <f t="array" ref="AB695">_xlfn.LET(_xlpm.S,_xlfn.ANCHORARRAY($Y$4),_xlpm.r,ROWS(stayCity[[#Headers],[city]]:stayCity[[#This Row],[city]])-1,IF(_xlpm.r&lt;=ROWS(_xlpm.S),INDEX(_xlpm.S,_xlpm.r,1),""))</f>
        <v/>
      </c>
      <c r="AC695" s="1405">
        <f t="array" ref="AC695">_xlfn.LET(_xlpm.S,_xlfn.ANCHORARRAY($Y$4),_xlpm.r,ROWS(stayCity[[#Headers],[city]]:stayCity[[#This Row],[city]])-1,IF(_xlpm.r&lt;=ROWS(_xlpm.S),INDEX(_xlpm.S,_xlpm.r,2),""))</f>
        <v/>
      </c>
      <c r="AD695" s="1405">
        <f t="array" ref="AD695">_xlfn.LET(_xlpm.S,_xlfn.ANCHORARRAY($Y$4),_xlpm.r,ROWS(stayCity[[#Headers],[city]]:stayCity[[#This Row],[city]])-1,IF(_xlpm.r&lt;=ROWS(_xlpm.S),INDEX(_xlpm.S,_xlpm.r,3),""))</f>
        <v/>
      </c>
      <c r="AE695" s="1400">
        <f>IF(stayCity[[#This Row],[out]]&lt;&gt;"",stayCity[[#This Row],[out]]-stayCity[[#This Row],[in]],"-")</f>
        <v/>
      </c>
      <c r="AF695" s="1406">
        <f>IF(Y695="","-",YEAR(stayCity[[#This Row],[in]]))</f>
        <v/>
      </c>
      <c r="AG695" s="1392" t="n"/>
      <c r="AH695" s="1392" t="n"/>
      <c r="AI695" s="1392" t="n"/>
      <c r="AJ695" s="1392" t="n"/>
      <c r="AK695" s="1392" t="n"/>
      <c r="AL695" s="1392" t="n"/>
      <c r="AM695" s="1392" t="n"/>
      <c r="AN695" s="1392" t="n"/>
      <c r="AO695" s="1392" t="n"/>
      <c r="AP695" s="1392" t="n"/>
      <c r="AQ695" s="1392" t="n"/>
      <c r="AR695" s="1392" t="n"/>
      <c r="AS695" s="1422" t="n"/>
      <c r="AT695" s="1392" t="n"/>
      <c r="AU695" s="1392" t="n"/>
      <c r="AV695" s="1392" t="n"/>
      <c r="AW695" s="1392" t="n"/>
      <c r="AX695" s="1392" t="n"/>
      <c r="AY695" s="1392" t="n"/>
      <c r="AZ695" s="1392" t="n"/>
      <c r="BA695" s="1392" t="n"/>
      <c r="BB695" s="1422" t="n"/>
      <c r="BC695" s="1392" t="n"/>
      <c r="BD695" s="1392" t="n"/>
      <c r="BE695" s="1392" t="n"/>
      <c r="BF695" s="1392" t="n"/>
      <c r="BG695" s="1392" t="n"/>
      <c r="BH695" s="1392" t="n"/>
      <c r="BI695" s="1392" t="n"/>
      <c r="BJ695" s="1392" t="n"/>
      <c r="BK695" s="1392" t="n"/>
      <c r="BL695" s="1392" t="n"/>
      <c r="BM695" s="1392" t="n"/>
      <c r="BN695" s="1392" t="n"/>
      <c r="BO695" s="1392" t="n"/>
      <c r="BP695" s="1392" t="n"/>
      <c r="BQ695" s="1392" t="n"/>
      <c r="BR695" s="1392" t="n"/>
      <c r="BS695" s="1392" t="n"/>
      <c r="BT695" s="1392" t="n"/>
      <c r="BU695" s="1416" t="n"/>
      <c r="BV695" s="1392" t="n"/>
      <c r="BW695" s="1392" t="n"/>
      <c r="BX695" s="1392" t="n"/>
      <c r="BY695" s="1392" t="n"/>
      <c r="BZ695" s="1416" t="n"/>
      <c r="CA695" s="1392" t="n"/>
      <c r="CB695" s="1392" t="n"/>
      <c r="CC695" s="1392" t="n"/>
      <c r="CD695" s="1392" t="n"/>
      <c r="CE695" s="1392" t="n"/>
      <c r="CF695" s="1392" t="n"/>
      <c r="CG695" s="1392" t="n"/>
      <c r="CH695" s="1392" t="n"/>
      <c r="CI695" s="1392" t="n"/>
      <c r="CJ695" s="1392" t="n"/>
      <c r="CK695" s="1392" t="n"/>
      <c r="CL695" s="1392" t="n"/>
    </row>
    <row r="696">
      <c r="A696" s="5" t="inlineStr">
        <is>
          <t>.</t>
        </is>
      </c>
      <c r="B696" s="5" t="inlineStr">
        <is>
          <t>.</t>
        </is>
      </c>
      <c r="C696" s="1378">
        <f>IF(raw[[#This Row],[city]]="","-",IF(raw[[#This Row],[city]]="TODAY","-",C695+1))</f>
        <v/>
      </c>
      <c r="D696" s="1393" t="inlineStr">
        <is>
          <t>SP</t>
        </is>
      </c>
      <c r="E696" s="1394" t="n">
        <v>37409</v>
      </c>
      <c r="F696" s="1394" t="n">
        <v>37423</v>
      </c>
      <c r="G696" s="1393" t="n">
        <v>1</v>
      </c>
      <c r="H696" s="1393" t="inlineStr">
        <is>
          <t>Salto Grande</t>
        </is>
      </c>
      <c r="I696" s="1393" t="inlineStr">
        <is>
          <t>-</t>
        </is>
      </c>
      <c r="J696" s="1393" t="inlineStr">
        <is>
          <t>-</t>
        </is>
      </c>
      <c r="K696" s="1395">
        <f>IF(raw[[#This Row],[city]]&lt;&gt;"",_xlfn.XLOOKUP($D696,ccc[city],ccc[prov],"-"),"-")</f>
        <v/>
      </c>
      <c r="L696" s="1395">
        <f>IF(raw[[#This Row],[city]]&lt;&gt;"",_xlfn.XLOOKUP($D696,ccc[city],ccc[ctry],"-"),"-")</f>
        <v/>
      </c>
      <c r="M696" s="1395">
        <f>IF(raw[[#This Row],[city]]&lt;&gt;"",_xlfn.XLOOKUP($D696,ccc[city],ccc[cont],"-"),"-")</f>
        <v/>
      </c>
      <c r="N696" s="1396">
        <f>IF(raw[[#This Row],[city]]="","-",IF(raw[[#This Row],[cont]]="B",raw[[#This Row],[cont]],"W"))</f>
        <v/>
      </c>
      <c r="O696" s="1397">
        <f>IF(raw[[#This Row],[out]]=0,0,IF(raw[[#This Row],[out]]=raw[[#This Row],[in]],0.01,raw[[#This Row],[out]]-raw[[#This Row],[in]]))</f>
        <v/>
      </c>
      <c r="P696" s="1397">
        <f>IF(raw[[#This Row],[in]]=0,0,MONTH(raw[[#This Row],[in]]))</f>
        <v/>
      </c>
      <c r="Q696" s="1397">
        <f>IF(raw[[#This Row],[in]]=0,0,YEAR(raw[[#This Row],[in]]))</f>
        <v/>
      </c>
      <c r="R696" s="1397">
        <f>INT(raw[[#This Row],[yr]]/10)*10</f>
        <v/>
      </c>
      <c r="S696" s="1395">
        <f>IF(raw[[#This Row],[city]]="","-",IF(raw[[#This Row],[city]]&lt;&gt;_xlfn.XLOOKUP(raw[[#This Row],[home]],homes[home],homes[city],"-"),1,0))</f>
        <v/>
      </c>
      <c r="T696" s="1398" t="inlineStr">
        <is>
          <t>.</t>
        </is>
      </c>
      <c r="U696" s="1399">
        <f>IF(raw[[#This Row],[wb]]="w",raw[[#This Row],[stay]]+U695,U695)</f>
        <v/>
      </c>
      <c r="V696" s="1400">
        <f>IF(raw[[#This Row],[out]]=0,V695,(raw[[#This Row],[out]]-E$5))</f>
        <v/>
      </c>
      <c r="W696" s="1401">
        <f>U696/V696</f>
        <v/>
      </c>
      <c r="X696" s="1378" t="inlineStr">
        <is>
          <t>.</t>
        </is>
      </c>
      <c r="Y696" s="1402">
        <f/>
        <v/>
      </c>
      <c r="Z696" s="1403">
        <f/>
        <v/>
      </c>
      <c r="AA696" s="1403">
        <f/>
        <v/>
      </c>
      <c r="AB696" s="1400">
        <f t="array" ref="AB696">_xlfn.LET(_xlpm.S,_xlfn.ANCHORARRAY($Y$4),_xlpm.r,ROWS(stayCity[[#Headers],[city]]:stayCity[[#This Row],[city]])-1,IF(_xlpm.r&lt;=ROWS(_xlpm.S),INDEX(_xlpm.S,_xlpm.r,1),""))</f>
        <v/>
      </c>
      <c r="AC696" s="1405">
        <f t="array" ref="AC696">_xlfn.LET(_xlpm.S,_xlfn.ANCHORARRAY($Y$4),_xlpm.r,ROWS(stayCity[[#Headers],[city]]:stayCity[[#This Row],[city]])-1,IF(_xlpm.r&lt;=ROWS(_xlpm.S),INDEX(_xlpm.S,_xlpm.r,2),""))</f>
        <v/>
      </c>
      <c r="AD696" s="1405">
        <f t="array" ref="AD696">_xlfn.LET(_xlpm.S,_xlfn.ANCHORARRAY($Y$4),_xlpm.r,ROWS(stayCity[[#Headers],[city]]:stayCity[[#This Row],[city]])-1,IF(_xlpm.r&lt;=ROWS(_xlpm.S),INDEX(_xlpm.S,_xlpm.r,3),""))</f>
        <v/>
      </c>
      <c r="AE696" s="1400">
        <f>IF(stayCity[[#This Row],[out]]&lt;&gt;"",stayCity[[#This Row],[out]]-stayCity[[#This Row],[in]],"-")</f>
        <v/>
      </c>
      <c r="AF696" s="1406">
        <f>IF(Y696="","-",YEAR(stayCity[[#This Row],[in]]))</f>
        <v/>
      </c>
      <c r="AG696" s="1392" t="n"/>
      <c r="AH696" s="1392" t="n"/>
      <c r="AI696" s="1392" t="n"/>
      <c r="AJ696" s="1392" t="n"/>
      <c r="AK696" s="1392" t="n"/>
      <c r="AL696" s="1392" t="n"/>
      <c r="AM696" s="1392" t="n"/>
      <c r="AN696" s="1392" t="n"/>
      <c r="AO696" s="1392" t="n"/>
      <c r="AP696" s="1392" t="n"/>
      <c r="AQ696" s="1392" t="n"/>
      <c r="AR696" s="1392" t="n"/>
      <c r="AS696" s="1422" t="n"/>
      <c r="AT696" s="1392" t="n"/>
      <c r="AU696" s="1392" t="n"/>
      <c r="AV696" s="1392" t="n"/>
      <c r="AW696" s="1392" t="n"/>
      <c r="AX696" s="1392" t="n"/>
      <c r="AY696" s="1392" t="n"/>
      <c r="AZ696" s="1392" t="n"/>
      <c r="BA696" s="1392" t="n"/>
      <c r="BB696" s="1422" t="n"/>
      <c r="BC696" s="1392" t="n"/>
      <c r="BD696" s="1392" t="n"/>
      <c r="BE696" s="1392" t="n"/>
      <c r="BF696" s="1392" t="n"/>
      <c r="BG696" s="1392" t="n"/>
      <c r="BH696" s="1392" t="n"/>
      <c r="BI696" s="1392" t="n"/>
      <c r="BJ696" s="1392" t="n"/>
      <c r="BK696" s="1392" t="n"/>
      <c r="BL696" s="1392" t="n"/>
      <c r="BM696" s="1392" t="n"/>
      <c r="BN696" s="1392" t="n"/>
      <c r="BO696" s="1392" t="n"/>
      <c r="BP696" s="1392" t="n"/>
      <c r="BQ696" s="1392" t="n"/>
      <c r="BR696" s="1392" t="n"/>
      <c r="BS696" s="1392" t="n"/>
      <c r="BT696" s="1392" t="n"/>
      <c r="BU696" s="1416" t="n"/>
      <c r="BV696" s="1392" t="n"/>
      <c r="BW696" s="1392" t="n"/>
      <c r="BX696" s="1392" t="n"/>
      <c r="BY696" s="1392" t="n"/>
      <c r="BZ696" s="1416" t="n"/>
      <c r="CA696" s="1392" t="n"/>
      <c r="CB696" s="1392" t="n"/>
      <c r="CC696" s="1392" t="n"/>
      <c r="CD696" s="1392" t="n"/>
      <c r="CE696" s="1392" t="n"/>
      <c r="CF696" s="1392" t="n"/>
      <c r="CG696" s="1392" t="n"/>
      <c r="CH696" s="1392" t="n"/>
      <c r="CI696" s="1392" t="n"/>
      <c r="CJ696" s="1392" t="n"/>
      <c r="CK696" s="1392" t="n"/>
      <c r="CL696" s="1392" t="n"/>
    </row>
    <row r="697">
      <c r="A697" s="5" t="inlineStr">
        <is>
          <t>.</t>
        </is>
      </c>
      <c r="B697" s="5" t="inlineStr">
        <is>
          <t>.</t>
        </is>
      </c>
      <c r="C697" s="1378">
        <f>IF(raw[[#This Row],[city]]="","-",IF(raw[[#This Row],[city]]="TODAY","-",C696+1))</f>
        <v/>
      </c>
      <c r="D697" s="1393" t="inlineStr">
        <is>
          <t>SSA</t>
        </is>
      </c>
      <c r="E697" s="1394" t="n">
        <v>37423</v>
      </c>
      <c r="F697" s="1394" t="n">
        <v>37427</v>
      </c>
      <c r="G697" s="1393" t="n">
        <v>1</v>
      </c>
      <c r="H697" s="1393" t="inlineStr">
        <is>
          <t>Salto Grande</t>
        </is>
      </c>
      <c r="I697" s="1393" t="inlineStr">
        <is>
          <t>Ondina</t>
        </is>
      </c>
      <c r="J697" s="1393" t="inlineStr">
        <is>
          <t>-</t>
        </is>
      </c>
      <c r="K697" s="1395">
        <f>IF(raw[[#This Row],[city]]&lt;&gt;"",_xlfn.XLOOKUP($D697,ccc[city],ccc[prov],"-"),"-")</f>
        <v/>
      </c>
      <c r="L697" s="1395">
        <f>IF(raw[[#This Row],[city]]&lt;&gt;"",_xlfn.XLOOKUP($D697,ccc[city],ccc[ctry],"-"),"-")</f>
        <v/>
      </c>
      <c r="M697" s="1395">
        <f>IF(raw[[#This Row],[city]]&lt;&gt;"",_xlfn.XLOOKUP($D697,ccc[city],ccc[cont],"-"),"-")</f>
        <v/>
      </c>
      <c r="N697" s="1396">
        <f>IF(raw[[#This Row],[city]]="","-",IF(raw[[#This Row],[cont]]="B",raw[[#This Row],[cont]],"W"))</f>
        <v/>
      </c>
      <c r="O697" s="1397">
        <f>IF(raw[[#This Row],[out]]=0,0,IF(raw[[#This Row],[out]]=raw[[#This Row],[in]],0.01,raw[[#This Row],[out]]-raw[[#This Row],[in]]))</f>
        <v/>
      </c>
      <c r="P697" s="1397">
        <f>IF(raw[[#This Row],[in]]=0,0,MONTH(raw[[#This Row],[in]]))</f>
        <v/>
      </c>
      <c r="Q697" s="1397">
        <f>IF(raw[[#This Row],[in]]=0,0,YEAR(raw[[#This Row],[in]]))</f>
        <v/>
      </c>
      <c r="R697" s="1397">
        <f>INT(raw[[#This Row],[yr]]/10)*10</f>
        <v/>
      </c>
      <c r="S697" s="1395">
        <f>IF(raw[[#This Row],[city]]="","-",IF(raw[[#This Row],[city]]&lt;&gt;_xlfn.XLOOKUP(raw[[#This Row],[home]],homes[home],homes[city],"-"),1,0))</f>
        <v/>
      </c>
      <c r="T697" s="1398" t="inlineStr">
        <is>
          <t>.</t>
        </is>
      </c>
      <c r="U697" s="1399">
        <f>IF(raw[[#This Row],[wb]]="w",raw[[#This Row],[stay]]+U696,U696)</f>
        <v/>
      </c>
      <c r="V697" s="1400">
        <f>IF(raw[[#This Row],[out]]=0,V696,(raw[[#This Row],[out]]-E$5))</f>
        <v/>
      </c>
      <c r="W697" s="1401">
        <f>U697/V697</f>
        <v/>
      </c>
      <c r="X697" s="1378" t="inlineStr">
        <is>
          <t>.</t>
        </is>
      </c>
      <c r="Y697" s="1402">
        <f/>
        <v/>
      </c>
      <c r="Z697" s="1403">
        <f/>
        <v/>
      </c>
      <c r="AA697" s="1403">
        <f/>
        <v/>
      </c>
      <c r="AB697" s="1400">
        <f t="array" ref="AB697">_xlfn.LET(_xlpm.S,_xlfn.ANCHORARRAY($Y$4),_xlpm.r,ROWS(stayCity[[#Headers],[city]]:stayCity[[#This Row],[city]])-1,IF(_xlpm.r&lt;=ROWS(_xlpm.S),INDEX(_xlpm.S,_xlpm.r,1),""))</f>
        <v/>
      </c>
      <c r="AC697" s="1405">
        <f t="array" ref="AC697">_xlfn.LET(_xlpm.S,_xlfn.ANCHORARRAY($Y$4),_xlpm.r,ROWS(stayCity[[#Headers],[city]]:stayCity[[#This Row],[city]])-1,IF(_xlpm.r&lt;=ROWS(_xlpm.S),INDEX(_xlpm.S,_xlpm.r,2),""))</f>
        <v/>
      </c>
      <c r="AD697" s="1405">
        <f t="array" ref="AD697">_xlfn.LET(_xlpm.S,_xlfn.ANCHORARRAY($Y$4),_xlpm.r,ROWS(stayCity[[#Headers],[city]]:stayCity[[#This Row],[city]])-1,IF(_xlpm.r&lt;=ROWS(_xlpm.S),INDEX(_xlpm.S,_xlpm.r,3),""))</f>
        <v/>
      </c>
      <c r="AE697" s="1400">
        <f>IF(stayCity[[#This Row],[out]]&lt;&gt;"",stayCity[[#This Row],[out]]-stayCity[[#This Row],[in]],"-")</f>
        <v/>
      </c>
      <c r="AF697" s="1406">
        <f>IF(Y697="","-",YEAR(stayCity[[#This Row],[in]]))</f>
        <v/>
      </c>
      <c r="AG697" s="1392" t="n"/>
      <c r="AH697" s="1392" t="n"/>
      <c r="AI697" s="1392" t="n"/>
      <c r="AJ697" s="1392" t="n"/>
      <c r="AK697" s="1392" t="n"/>
      <c r="AL697" s="1392" t="n"/>
      <c r="AM697" s="1392" t="n"/>
      <c r="AN697" s="1392" t="n"/>
      <c r="AO697" s="1392" t="n"/>
      <c r="AP697" s="1392" t="n"/>
      <c r="AQ697" s="1392" t="n"/>
      <c r="AR697" s="1392" t="n"/>
      <c r="AS697" s="1422" t="n"/>
      <c r="AT697" s="1392" t="n"/>
      <c r="AU697" s="1392" t="n"/>
      <c r="AV697" s="1392" t="n"/>
      <c r="AW697" s="1392" t="n"/>
      <c r="AX697" s="1392" t="n"/>
      <c r="AY697" s="1392" t="n"/>
      <c r="AZ697" s="1392" t="n"/>
      <c r="BA697" s="1392" t="n"/>
      <c r="BB697" s="1422" t="n"/>
      <c r="BC697" s="1392" t="n"/>
      <c r="BD697" s="1392" t="n"/>
      <c r="BE697" s="1392" t="n"/>
      <c r="BF697" s="1392" t="n"/>
      <c r="BG697" s="1392" t="n"/>
      <c r="BH697" s="1392" t="n"/>
      <c r="BI697" s="1392" t="n"/>
      <c r="BJ697" s="1392" t="n"/>
      <c r="BK697" s="1392" t="n"/>
      <c r="BL697" s="1392" t="n"/>
      <c r="BM697" s="1392" t="n"/>
      <c r="BN697" s="1392" t="n"/>
      <c r="BO697" s="1392" t="n"/>
      <c r="BP697" s="1392" t="n"/>
      <c r="BQ697" s="1392" t="n"/>
      <c r="BR697" s="1392" t="n"/>
      <c r="BS697" s="1392" t="n"/>
      <c r="BT697" s="1392" t="n"/>
      <c r="BU697" s="1416" t="n"/>
      <c r="BV697" s="1392" t="n"/>
      <c r="BW697" s="1392" t="n"/>
      <c r="BX697" s="1392" t="n"/>
      <c r="BY697" s="1392" t="n"/>
      <c r="BZ697" s="1416" t="n"/>
      <c r="CA697" s="1392" t="n"/>
      <c r="CB697" s="1392" t="n"/>
      <c r="CC697" s="1392" t="n"/>
      <c r="CD697" s="1392" t="n"/>
      <c r="CE697" s="1392" t="n"/>
      <c r="CF697" s="1392" t="n"/>
      <c r="CG697" s="1392" t="n"/>
      <c r="CH697" s="1392" t="n"/>
      <c r="CI697" s="1392" t="n"/>
      <c r="CJ697" s="1392" t="n"/>
      <c r="CK697" s="1392" t="n"/>
      <c r="CL697" s="1392" t="n"/>
    </row>
    <row r="698">
      <c r="A698" s="5" t="inlineStr">
        <is>
          <t>.</t>
        </is>
      </c>
      <c r="B698" s="5" t="inlineStr">
        <is>
          <t>.</t>
        </is>
      </c>
      <c r="C698" s="1378">
        <f>IF(raw[[#This Row],[city]]="","-",IF(raw[[#This Row],[city]]="TODAY","-",C697+1))</f>
        <v/>
      </c>
      <c r="D698" s="1393" t="inlineStr">
        <is>
          <t>SP</t>
        </is>
      </c>
      <c r="E698" s="1394" t="n">
        <v>37427</v>
      </c>
      <c r="F698" s="1394" t="n">
        <v>37434</v>
      </c>
      <c r="G698" s="1393" t="inlineStr">
        <is>
          <t>-</t>
        </is>
      </c>
      <c r="H698" s="1393" t="inlineStr">
        <is>
          <t>Salto Grande</t>
        </is>
      </c>
      <c r="I698" s="1393" t="inlineStr">
        <is>
          <t>-</t>
        </is>
      </c>
      <c r="J698" s="1393" t="inlineStr">
        <is>
          <t>-</t>
        </is>
      </c>
      <c r="K698" s="1395">
        <f>IF(raw[[#This Row],[city]]&lt;&gt;"",_xlfn.XLOOKUP($D698,ccc[city],ccc[prov],"-"),"-")</f>
        <v/>
      </c>
      <c r="L698" s="1395">
        <f>IF(raw[[#This Row],[city]]&lt;&gt;"",_xlfn.XLOOKUP($D698,ccc[city],ccc[ctry],"-"),"-")</f>
        <v/>
      </c>
      <c r="M698" s="1395">
        <f>IF(raw[[#This Row],[city]]&lt;&gt;"",_xlfn.XLOOKUP($D698,ccc[city],ccc[cont],"-"),"-")</f>
        <v/>
      </c>
      <c r="N698" s="1396">
        <f>IF(raw[[#This Row],[city]]="","-",IF(raw[[#This Row],[cont]]="B",raw[[#This Row],[cont]],"W"))</f>
        <v/>
      </c>
      <c r="O698" s="1397">
        <f>IF(raw[[#This Row],[out]]=0,0,IF(raw[[#This Row],[out]]=raw[[#This Row],[in]],0.01,raw[[#This Row],[out]]-raw[[#This Row],[in]]))</f>
        <v/>
      </c>
      <c r="P698" s="1397">
        <f>IF(raw[[#This Row],[in]]=0,0,MONTH(raw[[#This Row],[in]]))</f>
        <v/>
      </c>
      <c r="Q698" s="1397">
        <f>IF(raw[[#This Row],[in]]=0,0,YEAR(raw[[#This Row],[in]]))</f>
        <v/>
      </c>
      <c r="R698" s="1397">
        <f>INT(raw[[#This Row],[yr]]/10)*10</f>
        <v/>
      </c>
      <c r="S698" s="1395">
        <f>IF(raw[[#This Row],[city]]="","-",IF(raw[[#This Row],[city]]&lt;&gt;_xlfn.XLOOKUP(raw[[#This Row],[home]],homes[home],homes[city],"-"),1,0))</f>
        <v/>
      </c>
      <c r="T698" s="1398" t="inlineStr">
        <is>
          <t>.</t>
        </is>
      </c>
      <c r="U698" s="1399">
        <f>IF(raw[[#This Row],[wb]]="w",raw[[#This Row],[stay]]+U697,U697)</f>
        <v/>
      </c>
      <c r="V698" s="1400">
        <f>IF(raw[[#This Row],[out]]=0,V697,(raw[[#This Row],[out]]-E$5))</f>
        <v/>
      </c>
      <c r="W698" s="1401">
        <f>U698/V698</f>
        <v/>
      </c>
      <c r="X698" s="1378" t="inlineStr">
        <is>
          <t>.</t>
        </is>
      </c>
      <c r="Y698" s="1402">
        <f/>
        <v/>
      </c>
      <c r="Z698" s="1403">
        <f/>
        <v/>
      </c>
      <c r="AA698" s="1403">
        <f/>
        <v/>
      </c>
      <c r="AB698" s="1400">
        <f t="array" ref="AB698">_xlfn.LET(_xlpm.S,_xlfn.ANCHORARRAY($Y$4),_xlpm.r,ROWS(stayCity[[#Headers],[city]]:stayCity[[#This Row],[city]])-1,IF(_xlpm.r&lt;=ROWS(_xlpm.S),INDEX(_xlpm.S,_xlpm.r,1),""))</f>
        <v/>
      </c>
      <c r="AC698" s="1405">
        <f t="array" ref="AC698">_xlfn.LET(_xlpm.S,_xlfn.ANCHORARRAY($Y$4),_xlpm.r,ROWS(stayCity[[#Headers],[city]]:stayCity[[#This Row],[city]])-1,IF(_xlpm.r&lt;=ROWS(_xlpm.S),INDEX(_xlpm.S,_xlpm.r,2),""))</f>
        <v/>
      </c>
      <c r="AD698" s="1405">
        <f t="array" ref="AD698">_xlfn.LET(_xlpm.S,_xlfn.ANCHORARRAY($Y$4),_xlpm.r,ROWS(stayCity[[#Headers],[city]]:stayCity[[#This Row],[city]])-1,IF(_xlpm.r&lt;=ROWS(_xlpm.S),INDEX(_xlpm.S,_xlpm.r,3),""))</f>
        <v/>
      </c>
      <c r="AE698" s="1400">
        <f>IF(stayCity[[#This Row],[out]]&lt;&gt;"",stayCity[[#This Row],[out]]-stayCity[[#This Row],[in]],"-")</f>
        <v/>
      </c>
      <c r="AF698" s="1406">
        <f>IF(Y698="","-",YEAR(stayCity[[#This Row],[in]]))</f>
        <v/>
      </c>
      <c r="AG698" s="1392" t="n"/>
      <c r="AH698" s="1392" t="n"/>
      <c r="AI698" s="1392" t="n"/>
      <c r="AJ698" s="1392" t="n"/>
      <c r="AK698" s="1392" t="n"/>
      <c r="AL698" s="1392" t="n"/>
      <c r="AM698" s="1392" t="n"/>
      <c r="AN698" s="1392" t="n"/>
      <c r="AO698" s="1392" t="n"/>
      <c r="AP698" s="1392" t="n"/>
      <c r="AQ698" s="1392" t="n"/>
      <c r="AR698" s="1392" t="n"/>
      <c r="AS698" s="1422" t="n"/>
      <c r="AT698" s="1392" t="n"/>
      <c r="AU698" s="1392" t="n"/>
      <c r="AV698" s="1392" t="n"/>
      <c r="AW698" s="1392" t="n"/>
      <c r="AX698" s="1392" t="n"/>
      <c r="AY698" s="1392" t="n"/>
      <c r="AZ698" s="1392" t="n"/>
      <c r="BA698" s="1392" t="n"/>
      <c r="BB698" s="1422" t="n"/>
      <c r="BC698" s="1392" t="n"/>
      <c r="BD698" s="1392" t="n"/>
      <c r="BE698" s="1392" t="n"/>
      <c r="BF698" s="1392" t="n"/>
      <c r="BG698" s="1392" t="n"/>
      <c r="BH698" s="1392" t="n"/>
      <c r="BI698" s="1392" t="n"/>
      <c r="BJ698" s="1392" t="n"/>
      <c r="BK698" s="1392" t="n"/>
      <c r="BL698" s="1392" t="n"/>
      <c r="BM698" s="1392" t="n"/>
      <c r="BN698" s="1392" t="n"/>
      <c r="BO698" s="1392" t="n"/>
      <c r="BP698" s="1392" t="n"/>
      <c r="BQ698" s="1392" t="n"/>
      <c r="BR698" s="1392" t="n"/>
      <c r="BS698" s="1392" t="n"/>
      <c r="BT698" s="1392" t="n"/>
      <c r="BU698" s="1416" t="n"/>
      <c r="BV698" s="1392" t="n"/>
      <c r="BW698" s="1392" t="n"/>
      <c r="BX698" s="1392" t="n"/>
      <c r="BY698" s="1392" t="n"/>
      <c r="BZ698" s="1416" t="n"/>
      <c r="CA698" s="1392" t="n"/>
      <c r="CB698" s="1392" t="n"/>
      <c r="CC698" s="1392" t="n"/>
      <c r="CD698" s="1392" t="n"/>
      <c r="CE698" s="1392" t="n"/>
      <c r="CF698" s="1392" t="n"/>
      <c r="CG698" s="1392" t="n"/>
      <c r="CH698" s="1392" t="n"/>
      <c r="CI698" s="1392" t="n"/>
      <c r="CJ698" s="1392" t="n"/>
      <c r="CK698" s="1392" t="n"/>
      <c r="CL698" s="1392" t="n"/>
    </row>
    <row r="699">
      <c r="A699" s="5" t="inlineStr">
        <is>
          <t>.</t>
        </is>
      </c>
      <c r="B699" s="5" t="inlineStr">
        <is>
          <t>.</t>
        </is>
      </c>
      <c r="C699" s="1378">
        <f>IF(raw[[#This Row],[city]]="","-",IF(raw[[#This Row],[city]]="TODAY","-",C698+1))</f>
        <v/>
      </c>
      <c r="D699" s="1393" t="inlineStr">
        <is>
          <t>Rio</t>
        </is>
      </c>
      <c r="E699" s="1394" t="n">
        <v>37434</v>
      </c>
      <c r="F699" s="1394" t="n">
        <v>37436</v>
      </c>
      <c r="G699" s="1393" t="inlineStr">
        <is>
          <t>-</t>
        </is>
      </c>
      <c r="H699" s="1393" t="inlineStr">
        <is>
          <t>Salto Grande</t>
        </is>
      </c>
      <c r="I699" s="1393" t="inlineStr">
        <is>
          <t>-</t>
        </is>
      </c>
      <c r="J699" s="1393" t="inlineStr">
        <is>
          <t>-</t>
        </is>
      </c>
      <c r="K699" s="1395">
        <f>IF(raw[[#This Row],[city]]&lt;&gt;"",_xlfn.XLOOKUP($D699,ccc[city],ccc[prov],"-"),"-")</f>
        <v/>
      </c>
      <c r="L699" s="1395">
        <f>IF(raw[[#This Row],[city]]&lt;&gt;"",_xlfn.XLOOKUP($D699,ccc[city],ccc[ctry],"-"),"-")</f>
        <v/>
      </c>
      <c r="M699" s="1395">
        <f>IF(raw[[#This Row],[city]]&lt;&gt;"",_xlfn.XLOOKUP($D699,ccc[city],ccc[cont],"-"),"-")</f>
        <v/>
      </c>
      <c r="N699" s="1396">
        <f>IF(raw[[#This Row],[city]]="","-",IF(raw[[#This Row],[cont]]="B",raw[[#This Row],[cont]],"W"))</f>
        <v/>
      </c>
      <c r="O699" s="1397">
        <f>IF(raw[[#This Row],[out]]=0,0,IF(raw[[#This Row],[out]]=raw[[#This Row],[in]],0.01,raw[[#This Row],[out]]-raw[[#This Row],[in]]))</f>
        <v/>
      </c>
      <c r="P699" s="1397">
        <f>IF(raw[[#This Row],[in]]=0,0,MONTH(raw[[#This Row],[in]]))</f>
        <v/>
      </c>
      <c r="Q699" s="1397">
        <f>IF(raw[[#This Row],[in]]=0,0,YEAR(raw[[#This Row],[in]]))</f>
        <v/>
      </c>
      <c r="R699" s="1397">
        <f>INT(raw[[#This Row],[yr]]/10)*10</f>
        <v/>
      </c>
      <c r="S699" s="1395">
        <f>IF(raw[[#This Row],[city]]="","-",IF(raw[[#This Row],[city]]&lt;&gt;_xlfn.XLOOKUP(raw[[#This Row],[home]],homes[home],homes[city],"-"),1,0))</f>
        <v/>
      </c>
      <c r="T699" s="1398" t="inlineStr">
        <is>
          <t>.</t>
        </is>
      </c>
      <c r="U699" s="1399">
        <f>IF(raw[[#This Row],[wb]]="w",raw[[#This Row],[stay]]+U698,U698)</f>
        <v/>
      </c>
      <c r="V699" s="1400">
        <f>IF(raw[[#This Row],[out]]=0,V698,(raw[[#This Row],[out]]-E$5))</f>
        <v/>
      </c>
      <c r="W699" s="1401">
        <f>U699/V699</f>
        <v/>
      </c>
      <c r="X699" s="1378" t="inlineStr">
        <is>
          <t>.</t>
        </is>
      </c>
      <c r="Y699" s="1402">
        <f/>
        <v/>
      </c>
      <c r="Z699" s="1403">
        <f/>
        <v/>
      </c>
      <c r="AA699" s="1403">
        <f/>
        <v/>
      </c>
      <c r="AB699" s="1400">
        <f t="array" ref="AB699">_xlfn.LET(_xlpm.S,_xlfn.ANCHORARRAY($Y$4),_xlpm.r,ROWS(stayCity[[#Headers],[city]]:stayCity[[#This Row],[city]])-1,IF(_xlpm.r&lt;=ROWS(_xlpm.S),INDEX(_xlpm.S,_xlpm.r,1),""))</f>
        <v/>
      </c>
      <c r="AC699" s="1405">
        <f t="array" ref="AC699">_xlfn.LET(_xlpm.S,_xlfn.ANCHORARRAY($Y$4),_xlpm.r,ROWS(stayCity[[#Headers],[city]]:stayCity[[#This Row],[city]])-1,IF(_xlpm.r&lt;=ROWS(_xlpm.S),INDEX(_xlpm.S,_xlpm.r,2),""))</f>
        <v/>
      </c>
      <c r="AD699" s="1405">
        <f t="array" ref="AD699">_xlfn.LET(_xlpm.S,_xlfn.ANCHORARRAY($Y$4),_xlpm.r,ROWS(stayCity[[#Headers],[city]]:stayCity[[#This Row],[city]])-1,IF(_xlpm.r&lt;=ROWS(_xlpm.S),INDEX(_xlpm.S,_xlpm.r,3),""))</f>
        <v/>
      </c>
      <c r="AE699" s="1400">
        <f>IF(stayCity[[#This Row],[out]]&lt;&gt;"",stayCity[[#This Row],[out]]-stayCity[[#This Row],[in]],"-")</f>
        <v/>
      </c>
      <c r="AF699" s="1406">
        <f>IF(Y699="","-",YEAR(stayCity[[#This Row],[in]]))</f>
        <v/>
      </c>
      <c r="AG699" s="1392" t="n"/>
      <c r="AH699" s="1392" t="n"/>
      <c r="AI699" s="1392" t="n"/>
      <c r="AJ699" s="1392" t="n"/>
      <c r="AK699" s="1392" t="n"/>
      <c r="AL699" s="1392" t="n"/>
      <c r="AM699" s="1392" t="n"/>
      <c r="AN699" s="1392" t="n"/>
      <c r="AO699" s="1392" t="n"/>
      <c r="AP699" s="1392" t="n"/>
      <c r="AQ699" s="1392" t="n"/>
      <c r="AR699" s="1392" t="n"/>
      <c r="AS699" s="1422" t="n"/>
      <c r="AT699" s="1392" t="n"/>
      <c r="AU699" s="1392" t="n"/>
      <c r="AV699" s="1392" t="n"/>
      <c r="AW699" s="1392" t="n"/>
      <c r="AX699" s="1392" t="n"/>
      <c r="AY699" s="1392" t="n"/>
      <c r="AZ699" s="1392" t="n"/>
      <c r="BA699" s="1392" t="n"/>
      <c r="BB699" s="1422" t="n"/>
      <c r="BC699" s="1392" t="n"/>
      <c r="BD699" s="1392" t="n"/>
      <c r="BE699" s="1392" t="n"/>
      <c r="BF699" s="1392" t="n"/>
      <c r="BG699" s="1392" t="n"/>
      <c r="BH699" s="1392" t="n"/>
      <c r="BI699" s="1392" t="n"/>
      <c r="BJ699" s="1392" t="n"/>
      <c r="BK699" s="1392" t="n"/>
      <c r="BL699" s="1392" t="n"/>
      <c r="BM699" s="1392" t="n"/>
      <c r="BN699" s="1392" t="n"/>
      <c r="BO699" s="1392" t="n"/>
      <c r="BP699" s="1392" t="n"/>
      <c r="BQ699" s="1392" t="n"/>
      <c r="BR699" s="1392" t="n"/>
      <c r="BS699" s="1392" t="n"/>
      <c r="BT699" s="1392" t="n"/>
      <c r="BU699" s="1416" t="n"/>
      <c r="BV699" s="1392" t="n"/>
      <c r="BW699" s="1392" t="n"/>
      <c r="BX699" s="1392" t="n"/>
      <c r="BY699" s="1392" t="n"/>
      <c r="BZ699" s="1416" t="n"/>
      <c r="CA699" s="1392" t="n"/>
      <c r="CB699" s="1392" t="n"/>
      <c r="CC699" s="1392" t="n"/>
      <c r="CD699" s="1392" t="n"/>
      <c r="CE699" s="1392" t="n"/>
      <c r="CF699" s="1392" t="n"/>
      <c r="CG699" s="1392" t="n"/>
      <c r="CH699" s="1392" t="n"/>
      <c r="CI699" s="1392" t="n"/>
      <c r="CJ699" s="1392" t="n"/>
      <c r="CK699" s="1392" t="n"/>
      <c r="CL699" s="1392" t="n"/>
    </row>
    <row r="700">
      <c r="A700" s="5" t="inlineStr">
        <is>
          <t>.</t>
        </is>
      </c>
      <c r="B700" s="5" t="inlineStr">
        <is>
          <t>.</t>
        </is>
      </c>
      <c r="C700" s="1378">
        <f>IF(raw[[#This Row],[city]]="","-",IF(raw[[#This Row],[city]]="TODAY","-",C699+1))</f>
        <v/>
      </c>
      <c r="D700" s="1393" t="inlineStr">
        <is>
          <t>SP</t>
        </is>
      </c>
      <c r="E700" s="1394" t="n">
        <v>37436</v>
      </c>
      <c r="F700" s="1394" t="n">
        <v>37438</v>
      </c>
      <c r="G700" s="1393" t="inlineStr">
        <is>
          <t>-</t>
        </is>
      </c>
      <c r="H700" s="1393" t="inlineStr">
        <is>
          <t>Salto Grande</t>
        </is>
      </c>
      <c r="I700" s="1393" t="inlineStr">
        <is>
          <t>-</t>
        </is>
      </c>
      <c r="J700" s="1393" t="inlineStr">
        <is>
          <t>-</t>
        </is>
      </c>
      <c r="K700" s="1395">
        <f>IF(raw[[#This Row],[city]]&lt;&gt;"",_xlfn.XLOOKUP($D700,ccc[city],ccc[prov],"-"),"-")</f>
        <v/>
      </c>
      <c r="L700" s="1395">
        <f>IF(raw[[#This Row],[city]]&lt;&gt;"",_xlfn.XLOOKUP($D700,ccc[city],ccc[ctry],"-"),"-")</f>
        <v/>
      </c>
      <c r="M700" s="1395">
        <f>IF(raw[[#This Row],[city]]&lt;&gt;"",_xlfn.XLOOKUP($D700,ccc[city],ccc[cont],"-"),"-")</f>
        <v/>
      </c>
      <c r="N700" s="1396">
        <f>IF(raw[[#This Row],[city]]="","-",IF(raw[[#This Row],[cont]]="B",raw[[#This Row],[cont]],"W"))</f>
        <v/>
      </c>
      <c r="O700" s="1397">
        <f>IF(raw[[#This Row],[out]]=0,0,IF(raw[[#This Row],[out]]=raw[[#This Row],[in]],0.01,raw[[#This Row],[out]]-raw[[#This Row],[in]]))</f>
        <v/>
      </c>
      <c r="P700" s="1397">
        <f>IF(raw[[#This Row],[in]]=0,0,MONTH(raw[[#This Row],[in]]))</f>
        <v/>
      </c>
      <c r="Q700" s="1397">
        <f>IF(raw[[#This Row],[in]]=0,0,YEAR(raw[[#This Row],[in]]))</f>
        <v/>
      </c>
      <c r="R700" s="1397">
        <f>INT(raw[[#This Row],[yr]]/10)*10</f>
        <v/>
      </c>
      <c r="S700" s="1395">
        <f>IF(raw[[#This Row],[city]]="","-",IF(raw[[#This Row],[city]]&lt;&gt;_xlfn.XLOOKUP(raw[[#This Row],[home]],homes[home],homes[city],"-"),1,0))</f>
        <v/>
      </c>
      <c r="T700" s="1398" t="inlineStr">
        <is>
          <t>.</t>
        </is>
      </c>
      <c r="U700" s="1399">
        <f>IF(raw[[#This Row],[wb]]="w",raw[[#This Row],[stay]]+U699,U699)</f>
        <v/>
      </c>
      <c r="V700" s="1400">
        <f>IF(raw[[#This Row],[out]]=0,V699,(raw[[#This Row],[out]]-E$5))</f>
        <v/>
      </c>
      <c r="W700" s="1401">
        <f>U700/V700</f>
        <v/>
      </c>
      <c r="X700" s="1378" t="inlineStr">
        <is>
          <t>.</t>
        </is>
      </c>
      <c r="Y700" s="1402">
        <f/>
        <v/>
      </c>
      <c r="Z700" s="1403">
        <f/>
        <v/>
      </c>
      <c r="AA700" s="1403">
        <f/>
        <v/>
      </c>
      <c r="AB700" s="1400">
        <f t="array" ref="AB700">_xlfn.LET(_xlpm.S,_xlfn.ANCHORARRAY($Y$4),_xlpm.r,ROWS(stayCity[[#Headers],[city]]:stayCity[[#This Row],[city]])-1,IF(_xlpm.r&lt;=ROWS(_xlpm.S),INDEX(_xlpm.S,_xlpm.r,1),""))</f>
        <v/>
      </c>
      <c r="AC700" s="1405">
        <f t="array" ref="AC700">_xlfn.LET(_xlpm.S,_xlfn.ANCHORARRAY($Y$4),_xlpm.r,ROWS(stayCity[[#Headers],[city]]:stayCity[[#This Row],[city]])-1,IF(_xlpm.r&lt;=ROWS(_xlpm.S),INDEX(_xlpm.S,_xlpm.r,2),""))</f>
        <v/>
      </c>
      <c r="AD700" s="1405">
        <f t="array" ref="AD700">_xlfn.LET(_xlpm.S,_xlfn.ANCHORARRAY($Y$4),_xlpm.r,ROWS(stayCity[[#Headers],[city]]:stayCity[[#This Row],[city]])-1,IF(_xlpm.r&lt;=ROWS(_xlpm.S),INDEX(_xlpm.S,_xlpm.r,3),""))</f>
        <v/>
      </c>
      <c r="AE700" s="1400">
        <f>IF(stayCity[[#This Row],[out]]&lt;&gt;"",stayCity[[#This Row],[out]]-stayCity[[#This Row],[in]],"-")</f>
        <v/>
      </c>
      <c r="AF700" s="1406">
        <f>IF(Y700="","-",YEAR(stayCity[[#This Row],[in]]))</f>
        <v/>
      </c>
      <c r="AG700" s="1392" t="n"/>
      <c r="AH700" s="1392" t="n"/>
      <c r="AI700" s="1392" t="n"/>
      <c r="AJ700" s="1392" t="n"/>
      <c r="AK700" s="1392" t="n"/>
      <c r="AL700" s="1392" t="n"/>
      <c r="AM700" s="1392" t="n"/>
      <c r="AN700" s="1392" t="n"/>
      <c r="AO700" s="1392" t="n"/>
      <c r="AP700" s="1392" t="n"/>
      <c r="AQ700" s="1392" t="n"/>
      <c r="AR700" s="1392" t="n"/>
      <c r="AS700" s="1422" t="n"/>
      <c r="AT700" s="1392" t="n"/>
      <c r="AU700" s="1392" t="n"/>
      <c r="AV700" s="1392" t="n"/>
      <c r="AW700" s="1392" t="n"/>
      <c r="AX700" s="1392" t="n"/>
      <c r="AY700" s="1392" t="n"/>
      <c r="AZ700" s="1392" t="n"/>
      <c r="BA700" s="1392" t="n"/>
      <c r="BB700" s="1422" t="n"/>
      <c r="BC700" s="1392" t="n"/>
      <c r="BD700" s="1392" t="n"/>
      <c r="BE700" s="1392" t="n"/>
      <c r="BF700" s="1392" t="n"/>
      <c r="BG700" s="1392" t="n"/>
      <c r="BH700" s="1392" t="n"/>
      <c r="BI700" s="1392" t="n"/>
      <c r="BJ700" s="1392" t="n"/>
      <c r="BK700" s="1392" t="n"/>
      <c r="BL700" s="1392" t="n"/>
      <c r="BM700" s="1392" t="n"/>
      <c r="BN700" s="1392" t="n"/>
      <c r="BO700" s="1392" t="n"/>
      <c r="BP700" s="1392" t="n"/>
      <c r="BQ700" s="1392" t="n"/>
      <c r="BR700" s="1392" t="n"/>
      <c r="BS700" s="1392" t="n"/>
      <c r="BT700" s="1392" t="n"/>
      <c r="BU700" s="1416" t="n"/>
      <c r="BV700" s="1392" t="n"/>
      <c r="BW700" s="1392" t="n"/>
      <c r="BX700" s="1392" t="n"/>
      <c r="BY700" s="1392" t="n"/>
      <c r="BZ700" s="1416" t="n"/>
      <c r="CA700" s="1392" t="n"/>
      <c r="CB700" s="1392" t="n"/>
      <c r="CC700" s="1392" t="n"/>
      <c r="CD700" s="1392" t="n"/>
      <c r="CE700" s="1392" t="n"/>
      <c r="CF700" s="1392" t="n"/>
      <c r="CG700" s="1392" t="n"/>
      <c r="CH700" s="1392" t="n"/>
      <c r="CI700" s="1392" t="n"/>
      <c r="CJ700" s="1392" t="n"/>
      <c r="CK700" s="1392" t="n"/>
      <c r="CL700" s="1392" t="n"/>
    </row>
    <row r="701">
      <c r="A701" s="5" t="inlineStr">
        <is>
          <t>.</t>
        </is>
      </c>
      <c r="B701" s="5" t="inlineStr">
        <is>
          <t>.</t>
        </is>
      </c>
      <c r="C701" s="1378">
        <f>IF(raw[[#This Row],[city]]="","-",IF(raw[[#This Row],[city]]="TODAY","-",C700+1))</f>
        <v/>
      </c>
      <c r="D701" s="1393" t="inlineStr">
        <is>
          <t>SP</t>
        </is>
      </c>
      <c r="E701" s="1394" t="n">
        <v>37438</v>
      </c>
      <c r="F701" s="1394" t="n">
        <v>37440</v>
      </c>
      <c r="G701" s="1393" t="inlineStr">
        <is>
          <t>-</t>
        </is>
      </c>
      <c r="H701" s="1393" t="inlineStr">
        <is>
          <t>Salto Grande</t>
        </is>
      </c>
      <c r="I701" s="1393" t="inlineStr">
        <is>
          <t>-</t>
        </is>
      </c>
      <c r="J701" s="1393" t="inlineStr">
        <is>
          <t>-</t>
        </is>
      </c>
      <c r="K701" s="1395">
        <f>IF(raw[[#This Row],[city]]&lt;&gt;"",_xlfn.XLOOKUP($D701,ccc[city],ccc[prov],"-"),"-")</f>
        <v/>
      </c>
      <c r="L701" s="1395">
        <f>IF(raw[[#This Row],[city]]&lt;&gt;"",_xlfn.XLOOKUP($D701,ccc[city],ccc[ctry],"-"),"-")</f>
        <v/>
      </c>
      <c r="M701" s="1395">
        <f>IF(raw[[#This Row],[city]]&lt;&gt;"",_xlfn.XLOOKUP($D701,ccc[city],ccc[cont],"-"),"-")</f>
        <v/>
      </c>
      <c r="N701" s="1396">
        <f>IF(raw[[#This Row],[city]]="","-",IF(raw[[#This Row],[cont]]="B",raw[[#This Row],[cont]],"W"))</f>
        <v/>
      </c>
      <c r="O701" s="1397">
        <f>IF(raw[[#This Row],[out]]=0,0,IF(raw[[#This Row],[out]]=raw[[#This Row],[in]],0.01,raw[[#This Row],[out]]-raw[[#This Row],[in]]))</f>
        <v/>
      </c>
      <c r="P701" s="1397">
        <f>IF(raw[[#This Row],[in]]=0,0,MONTH(raw[[#This Row],[in]]))</f>
        <v/>
      </c>
      <c r="Q701" s="1397">
        <f>IF(raw[[#This Row],[in]]=0,0,YEAR(raw[[#This Row],[in]]))</f>
        <v/>
      </c>
      <c r="R701" s="1397">
        <f>INT(raw[[#This Row],[yr]]/10)*10</f>
        <v/>
      </c>
      <c r="S701" s="1395">
        <f>IF(raw[[#This Row],[city]]="","-",IF(raw[[#This Row],[city]]&lt;&gt;_xlfn.XLOOKUP(raw[[#This Row],[home]],homes[home],homes[city],"-"),1,0))</f>
        <v/>
      </c>
      <c r="T701" s="1398" t="inlineStr">
        <is>
          <t>.</t>
        </is>
      </c>
      <c r="U701" s="1399">
        <f>IF(raw[[#This Row],[wb]]="w",raw[[#This Row],[stay]]+U700,U700)</f>
        <v/>
      </c>
      <c r="V701" s="1400">
        <f>IF(raw[[#This Row],[out]]=0,V700,(raw[[#This Row],[out]]-E$5))</f>
        <v/>
      </c>
      <c r="W701" s="1401">
        <f>U701/V701</f>
        <v/>
      </c>
      <c r="X701" s="1378" t="inlineStr">
        <is>
          <t>.</t>
        </is>
      </c>
      <c r="Y701" s="1402">
        <f/>
        <v/>
      </c>
      <c r="Z701" s="1403">
        <f/>
        <v/>
      </c>
      <c r="AA701" s="1403">
        <f/>
        <v/>
      </c>
      <c r="AB701" s="1400">
        <f t="array" ref="AB701">_xlfn.LET(_xlpm.S,_xlfn.ANCHORARRAY($Y$4),_xlpm.r,ROWS(stayCity[[#Headers],[city]]:stayCity[[#This Row],[city]])-1,IF(_xlpm.r&lt;=ROWS(_xlpm.S),INDEX(_xlpm.S,_xlpm.r,1),""))</f>
        <v/>
      </c>
      <c r="AC701" s="1405">
        <f t="array" ref="AC701">_xlfn.LET(_xlpm.S,_xlfn.ANCHORARRAY($Y$4),_xlpm.r,ROWS(stayCity[[#Headers],[city]]:stayCity[[#This Row],[city]])-1,IF(_xlpm.r&lt;=ROWS(_xlpm.S),INDEX(_xlpm.S,_xlpm.r,2),""))</f>
        <v/>
      </c>
      <c r="AD701" s="1405">
        <f t="array" ref="AD701">_xlfn.LET(_xlpm.S,_xlfn.ANCHORARRAY($Y$4),_xlpm.r,ROWS(stayCity[[#Headers],[city]]:stayCity[[#This Row],[city]])-1,IF(_xlpm.r&lt;=ROWS(_xlpm.S),INDEX(_xlpm.S,_xlpm.r,3),""))</f>
        <v/>
      </c>
      <c r="AE701" s="1400">
        <f>IF(stayCity[[#This Row],[out]]&lt;&gt;"",stayCity[[#This Row],[out]]-stayCity[[#This Row],[in]],"-")</f>
        <v/>
      </c>
      <c r="AF701" s="1406">
        <f>IF(Y701="","-",YEAR(stayCity[[#This Row],[in]]))</f>
        <v/>
      </c>
      <c r="AG701" s="1392" t="n"/>
      <c r="AH701" s="1392" t="n"/>
      <c r="AI701" s="1392" t="n"/>
      <c r="AJ701" s="1392" t="n"/>
      <c r="AK701" s="1392" t="n"/>
      <c r="AL701" s="1392" t="n"/>
      <c r="AM701" s="1392" t="n"/>
      <c r="AN701" s="1392" t="n"/>
      <c r="AO701" s="1392" t="n"/>
      <c r="AP701" s="1392" t="n"/>
      <c r="AQ701" s="1392" t="n"/>
      <c r="AR701" s="1392" t="n"/>
      <c r="AS701" s="1422" t="n"/>
      <c r="AT701" s="1392" t="n"/>
      <c r="AU701" s="1392" t="n"/>
      <c r="AV701" s="1392" t="n"/>
      <c r="AW701" s="1392" t="n"/>
      <c r="AX701" s="1392" t="n"/>
      <c r="AY701" s="1392" t="n"/>
      <c r="AZ701" s="1392" t="n"/>
      <c r="BA701" s="1392" t="n"/>
      <c r="BB701" s="1422" t="n"/>
      <c r="BC701" s="1392" t="n"/>
      <c r="BD701" s="1392" t="n"/>
      <c r="BE701" s="1392" t="n"/>
      <c r="BF701" s="1392" t="n"/>
      <c r="BG701" s="1392" t="n"/>
      <c r="BH701" s="1392" t="n"/>
      <c r="BI701" s="1392" t="n"/>
      <c r="BJ701" s="1392" t="n"/>
      <c r="BK701" s="1392" t="n"/>
      <c r="BL701" s="1392" t="n"/>
      <c r="BM701" s="1392" t="n"/>
      <c r="BN701" s="1392" t="n"/>
      <c r="BO701" s="1392" t="n"/>
      <c r="BP701" s="1392" t="n"/>
      <c r="BQ701" s="1392" t="n"/>
      <c r="BR701" s="1392" t="n"/>
      <c r="BS701" s="1392" t="n"/>
      <c r="BT701" s="1392" t="n"/>
      <c r="BU701" s="1416" t="n"/>
      <c r="BV701" s="1392" t="n"/>
      <c r="BW701" s="1392" t="n"/>
      <c r="BX701" s="1392" t="n"/>
      <c r="BY701" s="1392" t="n"/>
      <c r="BZ701" s="1416" t="n"/>
      <c r="CA701" s="1392" t="n"/>
      <c r="CB701" s="1392" t="n"/>
      <c r="CC701" s="1392" t="n"/>
      <c r="CD701" s="1392" t="n"/>
      <c r="CE701" s="1392" t="n"/>
      <c r="CF701" s="1392" t="n"/>
      <c r="CG701" s="1392" t="n"/>
      <c r="CH701" s="1392" t="n"/>
      <c r="CI701" s="1392" t="n"/>
      <c r="CJ701" s="1392" t="n"/>
      <c r="CK701" s="1392" t="n"/>
      <c r="CL701" s="1392" t="n"/>
    </row>
    <row r="702">
      <c r="A702" s="5" t="inlineStr">
        <is>
          <t>.</t>
        </is>
      </c>
      <c r="B702" s="5" t="inlineStr">
        <is>
          <t>.</t>
        </is>
      </c>
      <c r="C702" s="1378">
        <f>IF(raw[[#This Row],[city]]="","-",IF(raw[[#This Row],[city]]="TODAY","-",C701+1))</f>
        <v/>
      </c>
      <c r="D702" s="1393" t="inlineStr">
        <is>
          <t>Bertioga</t>
        </is>
      </c>
      <c r="E702" s="1394" t="n">
        <v>37440</v>
      </c>
      <c r="F702" s="1394" t="n">
        <v>37441</v>
      </c>
      <c r="G702" s="1393" t="inlineStr">
        <is>
          <t>-</t>
        </is>
      </c>
      <c r="H702" s="1393" t="inlineStr">
        <is>
          <t>Bertioga</t>
        </is>
      </c>
      <c r="I702" s="1393" t="n"/>
      <c r="J702" s="1393" t="inlineStr">
        <is>
          <t>-</t>
        </is>
      </c>
      <c r="K702" s="1395">
        <f>IF(raw[[#This Row],[city]]&lt;&gt;"",_xlfn.XLOOKUP($D702,ccc[city],ccc[prov],"-"),"-")</f>
        <v/>
      </c>
      <c r="L702" s="1395">
        <f>IF(raw[[#This Row],[city]]&lt;&gt;"",_xlfn.XLOOKUP($D702,ccc[city],ccc[ctry],"-"),"-")</f>
        <v/>
      </c>
      <c r="M702" s="1395">
        <f>IF(raw[[#This Row],[city]]&lt;&gt;"",_xlfn.XLOOKUP($D702,ccc[city],ccc[cont],"-"),"-")</f>
        <v/>
      </c>
      <c r="N702" s="1396">
        <f>IF(raw[[#This Row],[city]]="","-",IF(raw[[#This Row],[cont]]="B",raw[[#This Row],[cont]],"W"))</f>
        <v/>
      </c>
      <c r="O702" s="1397">
        <f>IF(raw[[#This Row],[out]]=0,0,IF(raw[[#This Row],[out]]=raw[[#This Row],[in]],0.01,raw[[#This Row],[out]]-raw[[#This Row],[in]]))</f>
        <v/>
      </c>
      <c r="P702" s="1397">
        <f>IF(raw[[#This Row],[in]]=0,0,MONTH(raw[[#This Row],[in]]))</f>
        <v/>
      </c>
      <c r="Q702" s="1397">
        <f>IF(raw[[#This Row],[in]]=0,0,YEAR(raw[[#This Row],[in]]))</f>
        <v/>
      </c>
      <c r="R702" s="1397">
        <f>INT(raw[[#This Row],[yr]]/10)*10</f>
        <v/>
      </c>
      <c r="S702" s="1395">
        <f>IF(raw[[#This Row],[city]]="","-",IF(raw[[#This Row],[city]]&lt;&gt;_xlfn.XLOOKUP(raw[[#This Row],[home]],homes[home],homes[city],"-"),1,0))</f>
        <v/>
      </c>
      <c r="T702" s="1398" t="inlineStr">
        <is>
          <t>.</t>
        </is>
      </c>
      <c r="U702" s="1399">
        <f>IF(raw[[#This Row],[wb]]="w",raw[[#This Row],[stay]]+U701,U701)</f>
        <v/>
      </c>
      <c r="V702" s="1400">
        <f>IF(raw[[#This Row],[out]]=0,V701,(raw[[#This Row],[out]]-E$5))</f>
        <v/>
      </c>
      <c r="W702" s="1401">
        <f>U702/V702</f>
        <v/>
      </c>
      <c r="X702" s="1378" t="inlineStr">
        <is>
          <t>.</t>
        </is>
      </c>
      <c r="Y702" s="1402">
        <f/>
        <v/>
      </c>
      <c r="Z702" s="1403">
        <f/>
        <v/>
      </c>
      <c r="AA702" s="1403">
        <f/>
        <v/>
      </c>
      <c r="AB702" s="1400">
        <f t="array" ref="AB702">_xlfn.LET(_xlpm.S,_xlfn.ANCHORARRAY($Y$4),_xlpm.r,ROWS(stayCity[[#Headers],[city]]:stayCity[[#This Row],[city]])-1,IF(_xlpm.r&lt;=ROWS(_xlpm.S),INDEX(_xlpm.S,_xlpm.r,1),""))</f>
        <v/>
      </c>
      <c r="AC702" s="1405">
        <f t="array" ref="AC702">_xlfn.LET(_xlpm.S,_xlfn.ANCHORARRAY($Y$4),_xlpm.r,ROWS(stayCity[[#Headers],[city]]:stayCity[[#This Row],[city]])-1,IF(_xlpm.r&lt;=ROWS(_xlpm.S),INDEX(_xlpm.S,_xlpm.r,2),""))</f>
        <v/>
      </c>
      <c r="AD702" s="1405">
        <f t="array" ref="AD702">_xlfn.LET(_xlpm.S,_xlfn.ANCHORARRAY($Y$4),_xlpm.r,ROWS(stayCity[[#Headers],[city]]:stayCity[[#This Row],[city]])-1,IF(_xlpm.r&lt;=ROWS(_xlpm.S),INDEX(_xlpm.S,_xlpm.r,3),""))</f>
        <v/>
      </c>
      <c r="AE702" s="1400">
        <f>IF(stayCity[[#This Row],[out]]&lt;&gt;"",stayCity[[#This Row],[out]]-stayCity[[#This Row],[in]],"-")</f>
        <v/>
      </c>
      <c r="AF702" s="1406">
        <f>IF(Y702="","-",YEAR(stayCity[[#This Row],[in]]))</f>
        <v/>
      </c>
      <c r="AG702" s="1392" t="n"/>
      <c r="AH702" s="1392" t="n"/>
      <c r="AI702" s="1392" t="n"/>
      <c r="AJ702" s="1392" t="n"/>
      <c r="AK702" s="1392" t="n"/>
      <c r="AL702" s="1392" t="n"/>
      <c r="AM702" s="1392" t="n"/>
      <c r="AN702" s="1392" t="n"/>
      <c r="AO702" s="1392" t="n"/>
      <c r="AP702" s="1392" t="n"/>
      <c r="AQ702" s="1392" t="n"/>
      <c r="AR702" s="1392" t="n"/>
      <c r="AS702" s="1422" t="n"/>
      <c r="AT702" s="1392" t="n"/>
      <c r="AU702" s="1392" t="n"/>
      <c r="AV702" s="1392" t="n"/>
      <c r="AW702" s="1392" t="n"/>
      <c r="AX702" s="1392" t="n"/>
      <c r="AY702" s="1392" t="n"/>
      <c r="AZ702" s="1392" t="n"/>
      <c r="BA702" s="1392" t="n"/>
      <c r="BB702" s="1422" t="n"/>
      <c r="BC702" s="1392" t="n"/>
      <c r="BD702" s="1392" t="n"/>
      <c r="BE702" s="1392" t="n"/>
      <c r="BF702" s="1392" t="n"/>
      <c r="BG702" s="1392" t="n"/>
      <c r="BH702" s="1392" t="n"/>
      <c r="BI702" s="1392" t="n"/>
      <c r="BJ702" s="1392" t="n"/>
      <c r="BK702" s="1392" t="n"/>
      <c r="BL702" s="1392" t="n"/>
      <c r="BM702" s="1392" t="n"/>
      <c r="BN702" s="1392" t="n"/>
      <c r="BO702" s="1392" t="n"/>
      <c r="BP702" s="1392" t="n"/>
      <c r="BQ702" s="1392" t="n"/>
      <c r="BR702" s="1392" t="n"/>
      <c r="BS702" s="1392" t="n"/>
      <c r="BT702" s="1392" t="n"/>
      <c r="BU702" s="1416" t="n"/>
      <c r="BV702" s="1392" t="n"/>
      <c r="BW702" s="1392" t="n"/>
      <c r="BX702" s="1392" t="n"/>
      <c r="BY702" s="1392" t="n"/>
      <c r="BZ702" s="1416" t="n"/>
      <c r="CA702" s="1392" t="n"/>
      <c r="CB702" s="1392" t="n"/>
      <c r="CC702" s="1392" t="n"/>
      <c r="CD702" s="1392" t="n"/>
      <c r="CE702" s="1392" t="n"/>
      <c r="CF702" s="1392" t="n"/>
      <c r="CG702" s="1392" t="n"/>
      <c r="CH702" s="1392" t="n"/>
      <c r="CI702" s="1392" t="n"/>
      <c r="CJ702" s="1392" t="n"/>
      <c r="CK702" s="1392" t="n"/>
      <c r="CL702" s="1392" t="n"/>
    </row>
    <row r="703">
      <c r="A703" s="5" t="inlineStr">
        <is>
          <t>.</t>
        </is>
      </c>
      <c r="B703" s="5" t="inlineStr">
        <is>
          <t>.</t>
        </is>
      </c>
      <c r="C703" s="1378">
        <f>IF(raw[[#This Row],[city]]="","-",IF(raw[[#This Row],[city]]="TODAY","-",C702+1))</f>
        <v/>
      </c>
      <c r="D703" s="1393" t="inlineStr">
        <is>
          <t>SP</t>
        </is>
      </c>
      <c r="E703" s="1394" t="n">
        <v>37441</v>
      </c>
      <c r="F703" s="1394" t="n">
        <v>37445</v>
      </c>
      <c r="G703" s="1393" t="inlineStr">
        <is>
          <t>-</t>
        </is>
      </c>
      <c r="H703" s="1393" t="inlineStr">
        <is>
          <t>Bertioga</t>
        </is>
      </c>
      <c r="I703" s="1393" t="inlineStr">
        <is>
          <t>Salto Grande</t>
        </is>
      </c>
      <c r="J703" s="1393" t="inlineStr">
        <is>
          <t>-</t>
        </is>
      </c>
      <c r="K703" s="1395">
        <f>IF(raw[[#This Row],[city]]&lt;&gt;"",_xlfn.XLOOKUP($D703,ccc[city],ccc[prov],"-"),"-")</f>
        <v/>
      </c>
      <c r="L703" s="1395">
        <f>IF(raw[[#This Row],[city]]&lt;&gt;"",_xlfn.XLOOKUP($D703,ccc[city],ccc[ctry],"-"),"-")</f>
        <v/>
      </c>
      <c r="M703" s="1395">
        <f>IF(raw[[#This Row],[city]]&lt;&gt;"",_xlfn.XLOOKUP($D703,ccc[city],ccc[cont],"-"),"-")</f>
        <v/>
      </c>
      <c r="N703" s="1396">
        <f>IF(raw[[#This Row],[city]]="","-",IF(raw[[#This Row],[cont]]="B",raw[[#This Row],[cont]],"W"))</f>
        <v/>
      </c>
      <c r="O703" s="1397">
        <f>IF(raw[[#This Row],[out]]=0,0,IF(raw[[#This Row],[out]]=raw[[#This Row],[in]],0.01,raw[[#This Row],[out]]-raw[[#This Row],[in]]))</f>
        <v/>
      </c>
      <c r="P703" s="1397">
        <f>IF(raw[[#This Row],[in]]=0,0,MONTH(raw[[#This Row],[in]]))</f>
        <v/>
      </c>
      <c r="Q703" s="1397">
        <f>IF(raw[[#This Row],[in]]=0,0,YEAR(raw[[#This Row],[in]]))</f>
        <v/>
      </c>
      <c r="R703" s="1397">
        <f>INT(raw[[#This Row],[yr]]/10)*10</f>
        <v/>
      </c>
      <c r="S703" s="1395">
        <f>IF(raw[[#This Row],[city]]="","-",IF(raw[[#This Row],[city]]&lt;&gt;_xlfn.XLOOKUP(raw[[#This Row],[home]],homes[home],homes[city],"-"),1,0))</f>
        <v/>
      </c>
      <c r="T703" s="1398" t="inlineStr">
        <is>
          <t>.</t>
        </is>
      </c>
      <c r="U703" s="1399">
        <f>IF(raw[[#This Row],[wb]]="w",raw[[#This Row],[stay]]+U702,U702)</f>
        <v/>
      </c>
      <c r="V703" s="1400">
        <f>IF(raw[[#This Row],[out]]=0,V702,(raw[[#This Row],[out]]-E$5))</f>
        <v/>
      </c>
      <c r="W703" s="1401">
        <f>U703/V703</f>
        <v/>
      </c>
      <c r="X703" s="1378" t="inlineStr">
        <is>
          <t>.</t>
        </is>
      </c>
      <c r="Y703" s="1402">
        <f/>
        <v/>
      </c>
      <c r="Z703" s="1403">
        <f/>
        <v/>
      </c>
      <c r="AA703" s="1403">
        <f/>
        <v/>
      </c>
      <c r="AB703" s="1400">
        <f t="array" ref="AB703">_xlfn.LET(_xlpm.S,_xlfn.ANCHORARRAY($Y$4),_xlpm.r,ROWS(stayCity[[#Headers],[city]]:stayCity[[#This Row],[city]])-1,IF(_xlpm.r&lt;=ROWS(_xlpm.S),INDEX(_xlpm.S,_xlpm.r,1),""))</f>
        <v/>
      </c>
      <c r="AC703" s="1405">
        <f t="array" ref="AC703">_xlfn.LET(_xlpm.S,_xlfn.ANCHORARRAY($Y$4),_xlpm.r,ROWS(stayCity[[#Headers],[city]]:stayCity[[#This Row],[city]])-1,IF(_xlpm.r&lt;=ROWS(_xlpm.S),INDEX(_xlpm.S,_xlpm.r,2),""))</f>
        <v/>
      </c>
      <c r="AD703" s="1405">
        <f t="array" ref="AD703">_xlfn.LET(_xlpm.S,_xlfn.ANCHORARRAY($Y$4),_xlpm.r,ROWS(stayCity[[#Headers],[city]]:stayCity[[#This Row],[city]])-1,IF(_xlpm.r&lt;=ROWS(_xlpm.S),INDEX(_xlpm.S,_xlpm.r,3),""))</f>
        <v/>
      </c>
      <c r="AE703" s="1400">
        <f>IF(stayCity[[#This Row],[out]]&lt;&gt;"",stayCity[[#This Row],[out]]-stayCity[[#This Row],[in]],"-")</f>
        <v/>
      </c>
      <c r="AF703" s="1406">
        <f>IF(Y703="","-",YEAR(stayCity[[#This Row],[in]]))</f>
        <v/>
      </c>
      <c r="AG703" s="1392" t="n"/>
      <c r="AH703" s="1392" t="n"/>
      <c r="AI703" s="1392" t="n"/>
      <c r="AJ703" s="1392" t="n"/>
      <c r="AK703" s="1392" t="n"/>
      <c r="AL703" s="1392" t="n"/>
      <c r="AM703" s="1392" t="n"/>
      <c r="AN703" s="1392" t="n"/>
      <c r="AO703" s="1392" t="n"/>
      <c r="AP703" s="1392" t="n"/>
      <c r="AQ703" s="1392" t="n"/>
      <c r="AR703" s="1392" t="n"/>
      <c r="AS703" s="1422" t="n"/>
      <c r="AT703" s="1392" t="n"/>
      <c r="AU703" s="1392" t="n"/>
      <c r="AV703" s="1392" t="n"/>
      <c r="AW703" s="1392" t="n"/>
      <c r="AX703" s="1392" t="n"/>
      <c r="AY703" s="1392" t="n"/>
      <c r="AZ703" s="1392" t="n"/>
      <c r="BA703" s="1392" t="n"/>
      <c r="BB703" s="1422" t="n"/>
      <c r="BC703" s="1392" t="n"/>
      <c r="BD703" s="1392" t="n"/>
      <c r="BE703" s="1392" t="n"/>
      <c r="BF703" s="1392" t="n"/>
      <c r="BG703" s="1392" t="n"/>
      <c r="BH703" s="1392" t="n"/>
      <c r="BI703" s="1392" t="n"/>
      <c r="BJ703" s="1392" t="n"/>
      <c r="BK703" s="1392" t="n"/>
      <c r="BL703" s="1392" t="n"/>
      <c r="BM703" s="1392" t="n"/>
      <c r="BN703" s="1392" t="n"/>
      <c r="BO703" s="1392" t="n"/>
      <c r="BP703" s="1392" t="n"/>
      <c r="BQ703" s="1392" t="n"/>
      <c r="BR703" s="1392" t="n"/>
      <c r="BS703" s="1392" t="n"/>
      <c r="BT703" s="1392" t="n"/>
      <c r="BU703" s="1416" t="n"/>
      <c r="BV703" s="1392" t="n"/>
      <c r="BW703" s="1392" t="n"/>
      <c r="BX703" s="1392" t="n"/>
      <c r="BY703" s="1392" t="n"/>
      <c r="BZ703" s="1416" t="n"/>
      <c r="CA703" s="1392" t="n"/>
      <c r="CB703" s="1392" t="n"/>
      <c r="CC703" s="1392" t="n"/>
      <c r="CD703" s="1392" t="n"/>
      <c r="CE703" s="1392" t="n"/>
      <c r="CF703" s="1392" t="n"/>
      <c r="CG703" s="1392" t="n"/>
      <c r="CH703" s="1392" t="n"/>
      <c r="CI703" s="1392" t="n"/>
      <c r="CJ703" s="1392" t="n"/>
      <c r="CK703" s="1392" t="n"/>
      <c r="CL703" s="1392" t="n"/>
    </row>
    <row r="704">
      <c r="A704" s="5" t="inlineStr">
        <is>
          <t>.</t>
        </is>
      </c>
      <c r="B704" s="5" t="inlineStr">
        <is>
          <t>.</t>
        </is>
      </c>
      <c r="C704" s="1378">
        <f>IF(raw[[#This Row],[city]]="","-",IF(raw[[#This Row],[city]]="TODAY","-",C703+1))</f>
        <v/>
      </c>
      <c r="D704" s="1393" t="inlineStr">
        <is>
          <t>Bertioga</t>
        </is>
      </c>
      <c r="E704" s="1394" t="n">
        <v>37445</v>
      </c>
      <c r="F704" s="1394" t="n">
        <v>37469</v>
      </c>
      <c r="G704" s="1393" t="inlineStr">
        <is>
          <t>-</t>
        </is>
      </c>
      <c r="H704" s="1393" t="inlineStr">
        <is>
          <t>Bertioga</t>
        </is>
      </c>
      <c r="I704" s="1393" t="inlineStr">
        <is>
          <t>-</t>
        </is>
      </c>
      <c r="J704" s="1393" t="inlineStr">
        <is>
          <t>-</t>
        </is>
      </c>
      <c r="K704" s="1395">
        <f>IF(raw[[#This Row],[city]]&lt;&gt;"",_xlfn.XLOOKUP($D704,ccc[city],ccc[prov],"-"),"-")</f>
        <v/>
      </c>
      <c r="L704" s="1395">
        <f>IF(raw[[#This Row],[city]]&lt;&gt;"",_xlfn.XLOOKUP($D704,ccc[city],ccc[ctry],"-"),"-")</f>
        <v/>
      </c>
      <c r="M704" s="1395">
        <f>IF(raw[[#This Row],[city]]&lt;&gt;"",_xlfn.XLOOKUP($D704,ccc[city],ccc[cont],"-"),"-")</f>
        <v/>
      </c>
      <c r="N704" s="1396">
        <f>IF(raw[[#This Row],[city]]="","-",IF(raw[[#This Row],[cont]]="B",raw[[#This Row],[cont]],"W"))</f>
        <v/>
      </c>
      <c r="O704" s="1397">
        <f>IF(raw[[#This Row],[out]]=0,0,IF(raw[[#This Row],[out]]=raw[[#This Row],[in]],0.01,raw[[#This Row],[out]]-raw[[#This Row],[in]]))</f>
        <v/>
      </c>
      <c r="P704" s="1397">
        <f>IF(raw[[#This Row],[in]]=0,0,MONTH(raw[[#This Row],[in]]))</f>
        <v/>
      </c>
      <c r="Q704" s="1397">
        <f>IF(raw[[#This Row],[in]]=0,0,YEAR(raw[[#This Row],[in]]))</f>
        <v/>
      </c>
      <c r="R704" s="1397">
        <f>INT(raw[[#This Row],[yr]]/10)*10</f>
        <v/>
      </c>
      <c r="S704" s="1395">
        <f>IF(raw[[#This Row],[city]]="","-",IF(raw[[#This Row],[city]]&lt;&gt;_xlfn.XLOOKUP(raw[[#This Row],[home]],homes[home],homes[city],"-"),1,0))</f>
        <v/>
      </c>
      <c r="T704" s="1398" t="inlineStr">
        <is>
          <t>.</t>
        </is>
      </c>
      <c r="U704" s="1399">
        <f>IF(raw[[#This Row],[wb]]="w",raw[[#This Row],[stay]]+U703,U703)</f>
        <v/>
      </c>
      <c r="V704" s="1400">
        <f>IF(raw[[#This Row],[out]]=0,V703,(raw[[#This Row],[out]]-E$5))</f>
        <v/>
      </c>
      <c r="W704" s="1401">
        <f>U704/V704</f>
        <v/>
      </c>
      <c r="X704" s="1378" t="inlineStr">
        <is>
          <t>.</t>
        </is>
      </c>
      <c r="Y704" s="1402">
        <f/>
        <v/>
      </c>
      <c r="Z704" s="1403">
        <f/>
        <v/>
      </c>
      <c r="AA704" s="1403">
        <f/>
        <v/>
      </c>
      <c r="AB704" s="1400">
        <f t="array" ref="AB704">_xlfn.LET(_xlpm.S,_xlfn.ANCHORARRAY($Y$4),_xlpm.r,ROWS(stayCity[[#Headers],[city]]:stayCity[[#This Row],[city]])-1,IF(_xlpm.r&lt;=ROWS(_xlpm.S),INDEX(_xlpm.S,_xlpm.r,1),""))</f>
        <v/>
      </c>
      <c r="AC704" s="1405">
        <f t="array" ref="AC704">_xlfn.LET(_xlpm.S,_xlfn.ANCHORARRAY($Y$4),_xlpm.r,ROWS(stayCity[[#Headers],[city]]:stayCity[[#This Row],[city]])-1,IF(_xlpm.r&lt;=ROWS(_xlpm.S),INDEX(_xlpm.S,_xlpm.r,2),""))</f>
        <v/>
      </c>
      <c r="AD704" s="1405">
        <f t="array" ref="AD704">_xlfn.LET(_xlpm.S,_xlfn.ANCHORARRAY($Y$4),_xlpm.r,ROWS(stayCity[[#Headers],[city]]:stayCity[[#This Row],[city]])-1,IF(_xlpm.r&lt;=ROWS(_xlpm.S),INDEX(_xlpm.S,_xlpm.r,3),""))</f>
        <v/>
      </c>
      <c r="AE704" s="1400">
        <f>IF(stayCity[[#This Row],[out]]&lt;&gt;"",stayCity[[#This Row],[out]]-stayCity[[#This Row],[in]],"-")</f>
        <v/>
      </c>
      <c r="AF704" s="1406">
        <f>IF(Y704="","-",YEAR(stayCity[[#This Row],[in]]))</f>
        <v/>
      </c>
      <c r="AG704" s="1392" t="n"/>
      <c r="AH704" s="1392" t="n"/>
      <c r="AI704" s="1392" t="n"/>
      <c r="AJ704" s="1392" t="n"/>
      <c r="AK704" s="1392" t="n"/>
      <c r="AL704" s="1392" t="n"/>
      <c r="AM704" s="1392" t="n"/>
      <c r="AN704" s="1392" t="n"/>
      <c r="AO704" s="1392" t="n"/>
      <c r="AP704" s="1392" t="n"/>
      <c r="AQ704" s="1392" t="n"/>
      <c r="AR704" s="1392" t="n"/>
      <c r="AS704" s="1422" t="n"/>
      <c r="AT704" s="1392" t="n"/>
      <c r="AU704" s="1392" t="n"/>
      <c r="AV704" s="1392" t="n"/>
      <c r="AW704" s="1392" t="n"/>
      <c r="AX704" s="1392" t="n"/>
      <c r="AY704" s="1392" t="n"/>
      <c r="AZ704" s="1392" t="n"/>
      <c r="BA704" s="1392" t="n"/>
      <c r="BB704" s="1422" t="n"/>
      <c r="BC704" s="1392" t="n"/>
      <c r="BD704" s="1392" t="n"/>
      <c r="BE704" s="1392" t="n"/>
      <c r="BF704" s="1392" t="n"/>
      <c r="BG704" s="1392" t="n"/>
      <c r="BH704" s="1392" t="n"/>
      <c r="BI704" s="1392" t="n"/>
      <c r="BJ704" s="1392" t="n"/>
      <c r="BK704" s="1392" t="n"/>
      <c r="BL704" s="1392" t="n"/>
      <c r="BM704" s="1392" t="n"/>
      <c r="BN704" s="1392" t="n"/>
      <c r="BO704" s="1392" t="n"/>
      <c r="BP704" s="1392" t="n"/>
      <c r="BQ704" s="1392" t="n"/>
      <c r="BR704" s="1392" t="n"/>
      <c r="BS704" s="1392" t="n"/>
      <c r="BT704" s="1392" t="n"/>
      <c r="BU704" s="1416" t="n"/>
      <c r="BV704" s="1392" t="n"/>
      <c r="BW704" s="1392" t="n"/>
      <c r="BX704" s="1392" t="n"/>
      <c r="BY704" s="1392" t="n"/>
      <c r="BZ704" s="1416" t="n"/>
      <c r="CA704" s="1392" t="n"/>
      <c r="CB704" s="1392" t="n"/>
      <c r="CC704" s="1392" t="n"/>
      <c r="CD704" s="1392" t="n"/>
      <c r="CE704" s="1392" t="n"/>
      <c r="CF704" s="1392" t="n"/>
      <c r="CG704" s="1392" t="n"/>
      <c r="CH704" s="1392" t="n"/>
      <c r="CI704" s="1392" t="n"/>
      <c r="CJ704" s="1392" t="n"/>
      <c r="CK704" s="1392" t="n"/>
      <c r="CL704" s="1392" t="n"/>
    </row>
    <row r="705">
      <c r="A705" s="5" t="inlineStr">
        <is>
          <t>.</t>
        </is>
      </c>
      <c r="B705" s="5" t="inlineStr">
        <is>
          <t>.</t>
        </is>
      </c>
      <c r="C705" s="1378">
        <f>IF(raw[[#This Row],[city]]="","-",IF(raw[[#This Row],[city]]="TODAY","-",C704+1))</f>
        <v/>
      </c>
      <c r="D705" s="1393" t="inlineStr">
        <is>
          <t>SP</t>
        </is>
      </c>
      <c r="E705" s="1394" t="n">
        <v>37469</v>
      </c>
      <c r="F705" s="1394" t="n">
        <v>37473</v>
      </c>
      <c r="G705" s="1393" t="inlineStr">
        <is>
          <t>-</t>
        </is>
      </c>
      <c r="H705" s="1393" t="inlineStr">
        <is>
          <t>Bertioga</t>
        </is>
      </c>
      <c r="I705" s="1393" t="inlineStr">
        <is>
          <t>Salto Grande</t>
        </is>
      </c>
      <c r="J705" s="1393" t="inlineStr">
        <is>
          <t>-</t>
        </is>
      </c>
      <c r="K705" s="1395">
        <f>IF(raw[[#This Row],[city]]&lt;&gt;"",_xlfn.XLOOKUP($D705,ccc[city],ccc[prov],"-"),"-")</f>
        <v/>
      </c>
      <c r="L705" s="1395">
        <f>IF(raw[[#This Row],[city]]&lt;&gt;"",_xlfn.XLOOKUP($D705,ccc[city],ccc[ctry],"-"),"-")</f>
        <v/>
      </c>
      <c r="M705" s="1395">
        <f>IF(raw[[#This Row],[city]]&lt;&gt;"",_xlfn.XLOOKUP($D705,ccc[city],ccc[cont],"-"),"-")</f>
        <v/>
      </c>
      <c r="N705" s="1396">
        <f>IF(raw[[#This Row],[city]]="","-",IF(raw[[#This Row],[cont]]="B",raw[[#This Row],[cont]],"W"))</f>
        <v/>
      </c>
      <c r="O705" s="1397">
        <f>IF(raw[[#This Row],[out]]=0,0,IF(raw[[#This Row],[out]]=raw[[#This Row],[in]],0.01,raw[[#This Row],[out]]-raw[[#This Row],[in]]))</f>
        <v/>
      </c>
      <c r="P705" s="1397">
        <f>IF(raw[[#This Row],[in]]=0,0,MONTH(raw[[#This Row],[in]]))</f>
        <v/>
      </c>
      <c r="Q705" s="1397">
        <f>IF(raw[[#This Row],[in]]=0,0,YEAR(raw[[#This Row],[in]]))</f>
        <v/>
      </c>
      <c r="R705" s="1397">
        <f>INT(raw[[#This Row],[yr]]/10)*10</f>
        <v/>
      </c>
      <c r="S705" s="1395">
        <f>IF(raw[[#This Row],[city]]="","-",IF(raw[[#This Row],[city]]&lt;&gt;_xlfn.XLOOKUP(raw[[#This Row],[home]],homes[home],homes[city],"-"),1,0))</f>
        <v/>
      </c>
      <c r="T705" s="1398" t="inlineStr">
        <is>
          <t>.</t>
        </is>
      </c>
      <c r="U705" s="1399">
        <f>IF(raw[[#This Row],[wb]]="w",raw[[#This Row],[stay]]+U704,U704)</f>
        <v/>
      </c>
      <c r="V705" s="1400">
        <f>IF(raw[[#This Row],[out]]=0,V704,(raw[[#This Row],[out]]-E$5))</f>
        <v/>
      </c>
      <c r="W705" s="1401">
        <f>U705/V705</f>
        <v/>
      </c>
      <c r="X705" s="1378" t="inlineStr">
        <is>
          <t>.</t>
        </is>
      </c>
      <c r="Y705" s="1402">
        <f/>
        <v/>
      </c>
      <c r="Z705" s="1403">
        <f/>
        <v/>
      </c>
      <c r="AA705" s="1403">
        <f/>
        <v/>
      </c>
      <c r="AB705" s="1400">
        <f t="array" ref="AB705">_xlfn.LET(_xlpm.S,_xlfn.ANCHORARRAY($Y$4),_xlpm.r,ROWS(stayCity[[#Headers],[city]]:stayCity[[#This Row],[city]])-1,IF(_xlpm.r&lt;=ROWS(_xlpm.S),INDEX(_xlpm.S,_xlpm.r,1),""))</f>
        <v/>
      </c>
      <c r="AC705" s="1405">
        <f t="array" ref="AC705">_xlfn.LET(_xlpm.S,_xlfn.ANCHORARRAY($Y$4),_xlpm.r,ROWS(stayCity[[#Headers],[city]]:stayCity[[#This Row],[city]])-1,IF(_xlpm.r&lt;=ROWS(_xlpm.S),INDEX(_xlpm.S,_xlpm.r,2),""))</f>
        <v/>
      </c>
      <c r="AD705" s="1405">
        <f t="array" ref="AD705">_xlfn.LET(_xlpm.S,_xlfn.ANCHORARRAY($Y$4),_xlpm.r,ROWS(stayCity[[#Headers],[city]]:stayCity[[#This Row],[city]])-1,IF(_xlpm.r&lt;=ROWS(_xlpm.S),INDEX(_xlpm.S,_xlpm.r,3),""))</f>
        <v/>
      </c>
      <c r="AE705" s="1400">
        <f>IF(stayCity[[#This Row],[out]]&lt;&gt;"",stayCity[[#This Row],[out]]-stayCity[[#This Row],[in]],"-")</f>
        <v/>
      </c>
      <c r="AF705" s="1406">
        <f>IF(Y705="","-",YEAR(stayCity[[#This Row],[in]]))</f>
        <v/>
      </c>
      <c r="AG705" s="1392" t="n"/>
      <c r="AH705" s="1392" t="n"/>
      <c r="AI705" s="1392" t="n"/>
      <c r="AJ705" s="1392" t="n"/>
      <c r="AK705" s="1392" t="n"/>
      <c r="AL705" s="1392" t="n"/>
      <c r="AM705" s="1392" t="n"/>
      <c r="AN705" s="1392" t="n"/>
      <c r="AO705" s="1392" t="n"/>
      <c r="AP705" s="1392" t="n"/>
      <c r="AQ705" s="1392" t="n"/>
      <c r="AR705" s="1392" t="n"/>
      <c r="AS705" s="1422" t="n"/>
      <c r="AT705" s="1392" t="n"/>
      <c r="AU705" s="1392" t="n"/>
      <c r="AV705" s="1392" t="n"/>
      <c r="AW705" s="1392" t="n"/>
      <c r="AX705" s="1392" t="n"/>
      <c r="AY705" s="1392" t="n"/>
      <c r="AZ705" s="1392" t="n"/>
      <c r="BA705" s="1392" t="n"/>
      <c r="BB705" s="1422" t="n"/>
      <c r="BC705" s="1392" t="n"/>
      <c r="BD705" s="1392" t="n"/>
      <c r="BE705" s="1392" t="n"/>
      <c r="BF705" s="1392" t="n"/>
      <c r="BG705" s="1392" t="n"/>
      <c r="BH705" s="1392" t="n"/>
      <c r="BI705" s="1392" t="n"/>
      <c r="BJ705" s="1392" t="n"/>
      <c r="BK705" s="1392" t="n"/>
      <c r="BL705" s="1392" t="n"/>
      <c r="BM705" s="1392" t="n"/>
      <c r="BN705" s="1392" t="n"/>
      <c r="BO705" s="1392" t="n"/>
      <c r="BP705" s="1392" t="n"/>
      <c r="BQ705" s="1392" t="n"/>
      <c r="BR705" s="1392" t="n"/>
      <c r="BS705" s="1392" t="n"/>
      <c r="BT705" s="1392" t="n"/>
      <c r="BU705" s="1416" t="n"/>
      <c r="BV705" s="1392" t="n"/>
      <c r="BW705" s="1392" t="n"/>
      <c r="BX705" s="1392" t="n"/>
      <c r="BY705" s="1392" t="n"/>
      <c r="BZ705" s="1416" t="n"/>
      <c r="CA705" s="1392" t="n"/>
      <c r="CB705" s="1392" t="n"/>
      <c r="CC705" s="1392" t="n"/>
      <c r="CD705" s="1392" t="n"/>
      <c r="CE705" s="1392" t="n"/>
      <c r="CF705" s="1392" t="n"/>
      <c r="CG705" s="1392" t="n"/>
      <c r="CH705" s="1392" t="n"/>
      <c r="CI705" s="1392" t="n"/>
      <c r="CJ705" s="1392" t="n"/>
      <c r="CK705" s="1392" t="n"/>
      <c r="CL705" s="1392" t="n"/>
    </row>
    <row r="706">
      <c r="A706" s="5" t="inlineStr">
        <is>
          <t>.</t>
        </is>
      </c>
      <c r="B706" s="5" t="inlineStr">
        <is>
          <t>.</t>
        </is>
      </c>
      <c r="C706" s="1378">
        <f>IF(raw[[#This Row],[city]]="","-",IF(raw[[#This Row],[city]]="TODAY","-",C705+1))</f>
        <v/>
      </c>
      <c r="D706" s="1393" t="inlineStr">
        <is>
          <t>Bertioga</t>
        </is>
      </c>
      <c r="E706" s="1394" t="n">
        <v>37473</v>
      </c>
      <c r="F706" s="1394" t="n">
        <v>37478</v>
      </c>
      <c r="G706" s="1393" t="inlineStr">
        <is>
          <t>-</t>
        </is>
      </c>
      <c r="H706" s="1393" t="inlineStr">
        <is>
          <t>Bertioga</t>
        </is>
      </c>
      <c r="I706" s="1393" t="inlineStr">
        <is>
          <t>-</t>
        </is>
      </c>
      <c r="J706" s="1393" t="inlineStr">
        <is>
          <t>-</t>
        </is>
      </c>
      <c r="K706" s="1395">
        <f>IF(raw[[#This Row],[city]]&lt;&gt;"",_xlfn.XLOOKUP($D706,ccc[city],ccc[prov],"-"),"-")</f>
        <v/>
      </c>
      <c r="L706" s="1395">
        <f>IF(raw[[#This Row],[city]]&lt;&gt;"",_xlfn.XLOOKUP($D706,ccc[city],ccc[ctry],"-"),"-")</f>
        <v/>
      </c>
      <c r="M706" s="1395">
        <f>IF(raw[[#This Row],[city]]&lt;&gt;"",_xlfn.XLOOKUP($D706,ccc[city],ccc[cont],"-"),"-")</f>
        <v/>
      </c>
      <c r="N706" s="1396">
        <f>IF(raw[[#This Row],[city]]="","-",IF(raw[[#This Row],[cont]]="B",raw[[#This Row],[cont]],"W"))</f>
        <v/>
      </c>
      <c r="O706" s="1397">
        <f>IF(raw[[#This Row],[out]]=0,0,IF(raw[[#This Row],[out]]=raw[[#This Row],[in]],0.01,raw[[#This Row],[out]]-raw[[#This Row],[in]]))</f>
        <v/>
      </c>
      <c r="P706" s="1397">
        <f>IF(raw[[#This Row],[in]]=0,0,MONTH(raw[[#This Row],[in]]))</f>
        <v/>
      </c>
      <c r="Q706" s="1397">
        <f>IF(raw[[#This Row],[in]]=0,0,YEAR(raw[[#This Row],[in]]))</f>
        <v/>
      </c>
      <c r="R706" s="1397">
        <f>INT(raw[[#This Row],[yr]]/10)*10</f>
        <v/>
      </c>
      <c r="S706" s="1395">
        <f>IF(raw[[#This Row],[city]]="","-",IF(raw[[#This Row],[city]]&lt;&gt;_xlfn.XLOOKUP(raw[[#This Row],[home]],homes[home],homes[city],"-"),1,0))</f>
        <v/>
      </c>
      <c r="T706" s="1398" t="inlineStr">
        <is>
          <t>.</t>
        </is>
      </c>
      <c r="U706" s="1399">
        <f>IF(raw[[#This Row],[wb]]="w",raw[[#This Row],[stay]]+U705,U705)</f>
        <v/>
      </c>
      <c r="V706" s="1400">
        <f>IF(raw[[#This Row],[out]]=0,V705,(raw[[#This Row],[out]]-E$5))</f>
        <v/>
      </c>
      <c r="W706" s="1401">
        <f>U706/V706</f>
        <v/>
      </c>
      <c r="X706" s="1378" t="inlineStr">
        <is>
          <t>.</t>
        </is>
      </c>
      <c r="Y706" s="1402">
        <f/>
        <v/>
      </c>
      <c r="Z706" s="1403">
        <f/>
        <v/>
      </c>
      <c r="AA706" s="1403">
        <f/>
        <v/>
      </c>
      <c r="AB706" s="1400">
        <f t="array" ref="AB706">_xlfn.LET(_xlpm.S,_xlfn.ANCHORARRAY($Y$4),_xlpm.r,ROWS(stayCity[[#Headers],[city]]:stayCity[[#This Row],[city]])-1,IF(_xlpm.r&lt;=ROWS(_xlpm.S),INDEX(_xlpm.S,_xlpm.r,1),""))</f>
        <v/>
      </c>
      <c r="AC706" s="1405">
        <f t="array" ref="AC706">_xlfn.LET(_xlpm.S,_xlfn.ANCHORARRAY($Y$4),_xlpm.r,ROWS(stayCity[[#Headers],[city]]:stayCity[[#This Row],[city]])-1,IF(_xlpm.r&lt;=ROWS(_xlpm.S),INDEX(_xlpm.S,_xlpm.r,2),""))</f>
        <v/>
      </c>
      <c r="AD706" s="1405">
        <f t="array" ref="AD706">_xlfn.LET(_xlpm.S,_xlfn.ANCHORARRAY($Y$4),_xlpm.r,ROWS(stayCity[[#Headers],[city]]:stayCity[[#This Row],[city]])-1,IF(_xlpm.r&lt;=ROWS(_xlpm.S),INDEX(_xlpm.S,_xlpm.r,3),""))</f>
        <v/>
      </c>
      <c r="AE706" s="1400">
        <f>IF(stayCity[[#This Row],[out]]&lt;&gt;"",stayCity[[#This Row],[out]]-stayCity[[#This Row],[in]],"-")</f>
        <v/>
      </c>
      <c r="AF706" s="1406">
        <f>IF(Y706="","-",YEAR(stayCity[[#This Row],[in]]))</f>
        <v/>
      </c>
      <c r="AG706" s="1392" t="n"/>
      <c r="AH706" s="1392" t="n"/>
      <c r="AI706" s="1392" t="n"/>
      <c r="AJ706" s="1392" t="n"/>
      <c r="AK706" s="1392" t="n"/>
      <c r="AL706" s="1392" t="n"/>
      <c r="AM706" s="1392" t="n"/>
      <c r="AN706" s="1392" t="n"/>
      <c r="AO706" s="1392" t="n"/>
      <c r="AP706" s="1392" t="n"/>
      <c r="AQ706" s="1392" t="n"/>
      <c r="AR706" s="1392" t="n"/>
      <c r="AS706" s="1422" t="n"/>
      <c r="AT706" s="1392" t="n"/>
      <c r="AU706" s="1392" t="n"/>
      <c r="AV706" s="1392" t="n"/>
      <c r="AW706" s="1392" t="n"/>
      <c r="AX706" s="1392" t="n"/>
      <c r="AY706" s="1392" t="n"/>
      <c r="AZ706" s="1392" t="n"/>
      <c r="BA706" s="1392" t="n"/>
      <c r="BB706" s="1422" t="n"/>
      <c r="BC706" s="1392" t="n"/>
      <c r="BD706" s="1392" t="n"/>
      <c r="BE706" s="1392" t="n"/>
      <c r="BF706" s="1392" t="n"/>
      <c r="BG706" s="1392" t="n"/>
      <c r="BH706" s="1392" t="n"/>
      <c r="BI706" s="1392" t="n"/>
      <c r="BJ706" s="1392" t="n"/>
      <c r="BK706" s="1392" t="n"/>
      <c r="BL706" s="1392" t="n"/>
      <c r="BM706" s="1392" t="n"/>
      <c r="BN706" s="1392" t="n"/>
      <c r="BO706" s="1392" t="n"/>
      <c r="BP706" s="1392" t="n"/>
      <c r="BQ706" s="1392" t="n"/>
      <c r="BR706" s="1392" t="n"/>
      <c r="BS706" s="1392" t="n"/>
      <c r="BT706" s="1392" t="n"/>
      <c r="BU706" s="1416" t="n"/>
      <c r="BV706" s="1392" t="n"/>
      <c r="BW706" s="1392" t="n"/>
      <c r="BX706" s="1392" t="n"/>
      <c r="BY706" s="1392" t="n"/>
      <c r="BZ706" s="1416" t="n"/>
      <c r="CA706" s="1392" t="n"/>
      <c r="CB706" s="1392" t="n"/>
      <c r="CC706" s="1392" t="n"/>
      <c r="CD706" s="1392" t="n"/>
      <c r="CE706" s="1392" t="n"/>
      <c r="CF706" s="1392" t="n"/>
      <c r="CG706" s="1392" t="n"/>
      <c r="CH706" s="1392" t="n"/>
      <c r="CI706" s="1392" t="n"/>
      <c r="CJ706" s="1392" t="n"/>
      <c r="CK706" s="1392" t="n"/>
      <c r="CL706" s="1392" t="n"/>
    </row>
    <row r="707">
      <c r="A707" s="5" t="inlineStr">
        <is>
          <t>.</t>
        </is>
      </c>
      <c r="B707" s="5" t="inlineStr">
        <is>
          <t>.</t>
        </is>
      </c>
      <c r="C707" s="1378">
        <f>IF(raw[[#This Row],[city]]="","-",IF(raw[[#This Row],[city]]="TODAY","-",C706+1))</f>
        <v/>
      </c>
      <c r="D707" s="1393" t="inlineStr">
        <is>
          <t>SP</t>
        </is>
      </c>
      <c r="E707" s="1394" t="n">
        <v>37478</v>
      </c>
      <c r="F707" s="1394" t="n">
        <v>37486</v>
      </c>
      <c r="G707" s="1393" t="inlineStr">
        <is>
          <t>-</t>
        </is>
      </c>
      <c r="H707" s="1393" t="inlineStr">
        <is>
          <t>Bertioga</t>
        </is>
      </c>
      <c r="I707" s="1393" t="inlineStr">
        <is>
          <t>Salto Grande</t>
        </is>
      </c>
      <c r="J707" s="1393" t="inlineStr">
        <is>
          <t>-</t>
        </is>
      </c>
      <c r="K707" s="1395">
        <f>IF(raw[[#This Row],[city]]&lt;&gt;"",_xlfn.XLOOKUP($D707,ccc[city],ccc[prov],"-"),"-")</f>
        <v/>
      </c>
      <c r="L707" s="1395">
        <f>IF(raw[[#This Row],[city]]&lt;&gt;"",_xlfn.XLOOKUP($D707,ccc[city],ccc[ctry],"-"),"-")</f>
        <v/>
      </c>
      <c r="M707" s="1395">
        <f>IF(raw[[#This Row],[city]]&lt;&gt;"",_xlfn.XLOOKUP($D707,ccc[city],ccc[cont],"-"),"-")</f>
        <v/>
      </c>
      <c r="N707" s="1396">
        <f>IF(raw[[#This Row],[city]]="","-",IF(raw[[#This Row],[cont]]="B",raw[[#This Row],[cont]],"W"))</f>
        <v/>
      </c>
      <c r="O707" s="1397">
        <f>IF(raw[[#This Row],[out]]=0,0,IF(raw[[#This Row],[out]]=raw[[#This Row],[in]],0.01,raw[[#This Row],[out]]-raw[[#This Row],[in]]))</f>
        <v/>
      </c>
      <c r="P707" s="1397">
        <f>IF(raw[[#This Row],[in]]=0,0,MONTH(raw[[#This Row],[in]]))</f>
        <v/>
      </c>
      <c r="Q707" s="1397">
        <f>IF(raw[[#This Row],[in]]=0,0,YEAR(raw[[#This Row],[in]]))</f>
        <v/>
      </c>
      <c r="R707" s="1397">
        <f>INT(raw[[#This Row],[yr]]/10)*10</f>
        <v/>
      </c>
      <c r="S707" s="1395">
        <f>IF(raw[[#This Row],[city]]="","-",IF(raw[[#This Row],[city]]&lt;&gt;_xlfn.XLOOKUP(raw[[#This Row],[home]],homes[home],homes[city],"-"),1,0))</f>
        <v/>
      </c>
      <c r="T707" s="1398" t="inlineStr">
        <is>
          <t>.</t>
        </is>
      </c>
      <c r="U707" s="1399">
        <f>IF(raw[[#This Row],[wb]]="w",raw[[#This Row],[stay]]+U706,U706)</f>
        <v/>
      </c>
      <c r="V707" s="1400">
        <f>IF(raw[[#This Row],[out]]=0,V706,(raw[[#This Row],[out]]-E$5))</f>
        <v/>
      </c>
      <c r="W707" s="1401">
        <f>U707/V707</f>
        <v/>
      </c>
      <c r="X707" s="1378" t="inlineStr">
        <is>
          <t>.</t>
        </is>
      </c>
      <c r="Y707" s="1402">
        <f/>
        <v/>
      </c>
      <c r="Z707" s="1403">
        <f/>
        <v/>
      </c>
      <c r="AA707" s="1403">
        <f/>
        <v/>
      </c>
      <c r="AB707" s="1400">
        <f t="array" ref="AB707">_xlfn.LET(_xlpm.S,_xlfn.ANCHORARRAY($Y$4),_xlpm.r,ROWS(stayCity[[#Headers],[city]]:stayCity[[#This Row],[city]])-1,IF(_xlpm.r&lt;=ROWS(_xlpm.S),INDEX(_xlpm.S,_xlpm.r,1),""))</f>
        <v/>
      </c>
      <c r="AC707" s="1405">
        <f t="array" ref="AC707">_xlfn.LET(_xlpm.S,_xlfn.ANCHORARRAY($Y$4),_xlpm.r,ROWS(stayCity[[#Headers],[city]]:stayCity[[#This Row],[city]])-1,IF(_xlpm.r&lt;=ROWS(_xlpm.S),INDEX(_xlpm.S,_xlpm.r,2),""))</f>
        <v/>
      </c>
      <c r="AD707" s="1405">
        <f t="array" ref="AD707">_xlfn.LET(_xlpm.S,_xlfn.ANCHORARRAY($Y$4),_xlpm.r,ROWS(stayCity[[#Headers],[city]]:stayCity[[#This Row],[city]])-1,IF(_xlpm.r&lt;=ROWS(_xlpm.S),INDEX(_xlpm.S,_xlpm.r,3),""))</f>
        <v/>
      </c>
      <c r="AE707" s="1400">
        <f>IF(stayCity[[#This Row],[out]]&lt;&gt;"",stayCity[[#This Row],[out]]-stayCity[[#This Row],[in]],"-")</f>
        <v/>
      </c>
      <c r="AF707" s="1406">
        <f>IF(Y707="","-",YEAR(stayCity[[#This Row],[in]]))</f>
        <v/>
      </c>
      <c r="AG707" s="1392" t="n"/>
      <c r="AH707" s="1392" t="n"/>
      <c r="AI707" s="1392" t="n"/>
      <c r="AJ707" s="1392" t="n"/>
      <c r="AK707" s="1392" t="n"/>
      <c r="AL707" s="1392" t="n"/>
      <c r="AM707" s="1392" t="n"/>
      <c r="AN707" s="1392" t="n"/>
      <c r="AO707" s="1392" t="n"/>
      <c r="AP707" s="1392" t="n"/>
      <c r="AQ707" s="1392" t="n"/>
      <c r="AR707" s="1392" t="n"/>
      <c r="AS707" s="1422" t="n"/>
      <c r="AT707" s="1392" t="n"/>
      <c r="AU707" s="1392" t="n"/>
      <c r="AV707" s="1392" t="n"/>
      <c r="AW707" s="1392" t="n"/>
      <c r="AX707" s="1392" t="n"/>
      <c r="AY707" s="1392" t="n"/>
      <c r="AZ707" s="1392" t="n"/>
      <c r="BA707" s="1392" t="n"/>
      <c r="BB707" s="1422" t="n"/>
      <c r="BC707" s="1392" t="n"/>
      <c r="BD707" s="1392" t="n"/>
      <c r="BE707" s="1392" t="n"/>
      <c r="BF707" s="1392" t="n"/>
      <c r="BG707" s="1392" t="n"/>
      <c r="BH707" s="1392" t="n"/>
      <c r="BI707" s="1392" t="n"/>
      <c r="BJ707" s="1392" t="n"/>
      <c r="BK707" s="1392" t="n"/>
      <c r="BL707" s="1392" t="n"/>
      <c r="BM707" s="1392" t="n"/>
      <c r="BN707" s="1392" t="n"/>
      <c r="BO707" s="1392" t="n"/>
      <c r="BP707" s="1392" t="n"/>
      <c r="BQ707" s="1392" t="n"/>
      <c r="BR707" s="1392" t="n"/>
      <c r="BS707" s="1392" t="n"/>
      <c r="BT707" s="1392" t="n"/>
      <c r="BU707" s="1416" t="n"/>
      <c r="BV707" s="1392" t="n"/>
      <c r="BW707" s="1392" t="n"/>
      <c r="BX707" s="1392" t="n"/>
      <c r="BY707" s="1392" t="n"/>
      <c r="BZ707" s="1416" t="n"/>
      <c r="CA707" s="1392" t="n"/>
      <c r="CB707" s="1392" t="n"/>
      <c r="CC707" s="1392" t="n"/>
      <c r="CD707" s="1392" t="n"/>
      <c r="CE707" s="1392" t="n"/>
      <c r="CF707" s="1392" t="n"/>
      <c r="CG707" s="1392" t="n"/>
      <c r="CH707" s="1392" t="n"/>
      <c r="CI707" s="1392" t="n"/>
      <c r="CJ707" s="1392" t="n"/>
      <c r="CK707" s="1392" t="n"/>
      <c r="CL707" s="1392" t="n"/>
    </row>
    <row r="708">
      <c r="A708" s="5" t="inlineStr">
        <is>
          <t>.</t>
        </is>
      </c>
      <c r="B708" s="5" t="inlineStr">
        <is>
          <t>.</t>
        </is>
      </c>
      <c r="C708" s="1378">
        <f>IF(raw[[#This Row],[city]]="","-",IF(raw[[#This Row],[city]]="TODAY","-",C707+1))</f>
        <v/>
      </c>
      <c r="D708" s="1393" t="inlineStr">
        <is>
          <t>Bertioga</t>
        </is>
      </c>
      <c r="E708" s="1394" t="n">
        <v>37486</v>
      </c>
      <c r="F708" s="1394" t="n">
        <v>37491</v>
      </c>
      <c r="G708" s="1393" t="inlineStr">
        <is>
          <t>-</t>
        </is>
      </c>
      <c r="H708" s="1393" t="inlineStr">
        <is>
          <t>Bertioga</t>
        </is>
      </c>
      <c r="I708" s="1393" t="inlineStr">
        <is>
          <t>-</t>
        </is>
      </c>
      <c r="J708" s="1393" t="inlineStr">
        <is>
          <t>-</t>
        </is>
      </c>
      <c r="K708" s="1395">
        <f>IF(raw[[#This Row],[city]]&lt;&gt;"",_xlfn.XLOOKUP($D708,ccc[city],ccc[prov],"-"),"-")</f>
        <v/>
      </c>
      <c r="L708" s="1395">
        <f>IF(raw[[#This Row],[city]]&lt;&gt;"",_xlfn.XLOOKUP($D708,ccc[city],ccc[ctry],"-"),"-")</f>
        <v/>
      </c>
      <c r="M708" s="1395">
        <f>IF(raw[[#This Row],[city]]&lt;&gt;"",_xlfn.XLOOKUP($D708,ccc[city],ccc[cont],"-"),"-")</f>
        <v/>
      </c>
      <c r="N708" s="1396">
        <f>IF(raw[[#This Row],[city]]="","-",IF(raw[[#This Row],[cont]]="B",raw[[#This Row],[cont]],"W"))</f>
        <v/>
      </c>
      <c r="O708" s="1397">
        <f>IF(raw[[#This Row],[out]]=0,0,IF(raw[[#This Row],[out]]=raw[[#This Row],[in]],0.01,raw[[#This Row],[out]]-raw[[#This Row],[in]]))</f>
        <v/>
      </c>
      <c r="P708" s="1397">
        <f>IF(raw[[#This Row],[in]]=0,0,MONTH(raw[[#This Row],[in]]))</f>
        <v/>
      </c>
      <c r="Q708" s="1397">
        <f>IF(raw[[#This Row],[in]]=0,0,YEAR(raw[[#This Row],[in]]))</f>
        <v/>
      </c>
      <c r="R708" s="1397">
        <f>INT(raw[[#This Row],[yr]]/10)*10</f>
        <v/>
      </c>
      <c r="S708" s="1395">
        <f>IF(raw[[#This Row],[city]]="","-",IF(raw[[#This Row],[city]]&lt;&gt;_xlfn.XLOOKUP(raw[[#This Row],[home]],homes[home],homes[city],"-"),1,0))</f>
        <v/>
      </c>
      <c r="T708" s="1398" t="inlineStr">
        <is>
          <t>.</t>
        </is>
      </c>
      <c r="U708" s="1399">
        <f>IF(raw[[#This Row],[wb]]="w",raw[[#This Row],[stay]]+U707,U707)</f>
        <v/>
      </c>
      <c r="V708" s="1400">
        <f>IF(raw[[#This Row],[out]]=0,V707,(raw[[#This Row],[out]]-E$5))</f>
        <v/>
      </c>
      <c r="W708" s="1401">
        <f>U708/V708</f>
        <v/>
      </c>
      <c r="X708" s="1378" t="inlineStr">
        <is>
          <t>.</t>
        </is>
      </c>
      <c r="Y708" s="1402">
        <f/>
        <v/>
      </c>
      <c r="Z708" s="1403">
        <f/>
        <v/>
      </c>
      <c r="AA708" s="1403">
        <f/>
        <v/>
      </c>
      <c r="AB708" s="1400">
        <f t="array" ref="AB708">_xlfn.LET(_xlpm.S,_xlfn.ANCHORARRAY($Y$4),_xlpm.r,ROWS(stayCity[[#Headers],[city]]:stayCity[[#This Row],[city]])-1,IF(_xlpm.r&lt;=ROWS(_xlpm.S),INDEX(_xlpm.S,_xlpm.r,1),""))</f>
        <v/>
      </c>
      <c r="AC708" s="1405">
        <f t="array" ref="AC708">_xlfn.LET(_xlpm.S,_xlfn.ANCHORARRAY($Y$4),_xlpm.r,ROWS(stayCity[[#Headers],[city]]:stayCity[[#This Row],[city]])-1,IF(_xlpm.r&lt;=ROWS(_xlpm.S),INDEX(_xlpm.S,_xlpm.r,2),""))</f>
        <v/>
      </c>
      <c r="AD708" s="1405">
        <f t="array" ref="AD708">_xlfn.LET(_xlpm.S,_xlfn.ANCHORARRAY($Y$4),_xlpm.r,ROWS(stayCity[[#Headers],[city]]:stayCity[[#This Row],[city]])-1,IF(_xlpm.r&lt;=ROWS(_xlpm.S),INDEX(_xlpm.S,_xlpm.r,3),""))</f>
        <v/>
      </c>
      <c r="AE708" s="1400">
        <f>IF(stayCity[[#This Row],[out]]&lt;&gt;"",stayCity[[#This Row],[out]]-stayCity[[#This Row],[in]],"-")</f>
        <v/>
      </c>
      <c r="AF708" s="1406">
        <f>IF(Y708="","-",YEAR(stayCity[[#This Row],[in]]))</f>
        <v/>
      </c>
      <c r="AG708" s="1392" t="n"/>
      <c r="AH708" s="1392" t="n"/>
      <c r="AI708" s="1392" t="n"/>
      <c r="AJ708" s="1392" t="n"/>
      <c r="AK708" s="1392" t="n"/>
      <c r="AL708" s="1392" t="n"/>
      <c r="AM708" s="1392" t="n"/>
      <c r="AN708" s="1392" t="n"/>
      <c r="AO708" s="1392" t="n"/>
      <c r="AP708" s="1392" t="n"/>
      <c r="AQ708" s="1392" t="n"/>
      <c r="AR708" s="1392" t="n"/>
      <c r="AS708" s="1422" t="n"/>
      <c r="AT708" s="1392" t="n"/>
      <c r="AU708" s="1392" t="n"/>
      <c r="AV708" s="1392" t="n"/>
      <c r="AW708" s="1392" t="n"/>
      <c r="AX708" s="1392" t="n"/>
      <c r="AY708" s="1392" t="n"/>
      <c r="AZ708" s="1392" t="n"/>
      <c r="BA708" s="1392" t="n"/>
      <c r="BB708" s="1422" t="n"/>
      <c r="BC708" s="1392" t="n"/>
      <c r="BD708" s="1392" t="n"/>
      <c r="BE708" s="1392" t="n"/>
      <c r="BF708" s="1392" t="n"/>
      <c r="BG708" s="1392" t="n"/>
      <c r="BH708" s="1392" t="n"/>
      <c r="BI708" s="1392" t="n"/>
      <c r="BJ708" s="1392" t="n"/>
      <c r="BK708" s="1392" t="n"/>
      <c r="BL708" s="1392" t="n"/>
      <c r="BM708" s="1392" t="n"/>
      <c r="BN708" s="1392" t="n"/>
      <c r="BO708" s="1392" t="n"/>
      <c r="BP708" s="1392" t="n"/>
      <c r="BQ708" s="1392" t="n"/>
      <c r="BR708" s="1392" t="n"/>
      <c r="BS708" s="1392" t="n"/>
      <c r="BT708" s="1392" t="n"/>
      <c r="BU708" s="1416" t="n"/>
      <c r="BV708" s="1392" t="n"/>
      <c r="BW708" s="1392" t="n"/>
      <c r="BX708" s="1392" t="n"/>
      <c r="BY708" s="1392" t="n"/>
      <c r="BZ708" s="1416" t="n"/>
      <c r="CA708" s="1392" t="n"/>
      <c r="CB708" s="1392" t="n"/>
      <c r="CC708" s="1392" t="n"/>
      <c r="CD708" s="1392" t="n"/>
      <c r="CE708" s="1392" t="n"/>
      <c r="CF708" s="1392" t="n"/>
      <c r="CG708" s="1392" t="n"/>
      <c r="CH708" s="1392" t="n"/>
      <c r="CI708" s="1392" t="n"/>
      <c r="CJ708" s="1392" t="n"/>
      <c r="CK708" s="1392" t="n"/>
      <c r="CL708" s="1392" t="n"/>
    </row>
    <row r="709">
      <c r="A709" s="5" t="inlineStr">
        <is>
          <t>.</t>
        </is>
      </c>
      <c r="B709" s="5" t="inlineStr">
        <is>
          <t>.</t>
        </is>
      </c>
      <c r="C709" s="1378">
        <f>IF(raw[[#This Row],[city]]="","-",IF(raw[[#This Row],[city]]="TODAY","-",C708+1))</f>
        <v/>
      </c>
      <c r="D709" s="1393" t="inlineStr">
        <is>
          <t>Guaecá</t>
        </is>
      </c>
      <c r="E709" s="1394" t="n">
        <v>37491</v>
      </c>
      <c r="F709" s="1394" t="n">
        <v>37493</v>
      </c>
      <c r="G709" s="1393" t="inlineStr">
        <is>
          <t>-</t>
        </is>
      </c>
      <c r="H709" s="1393" t="inlineStr">
        <is>
          <t>Bertioga</t>
        </is>
      </c>
      <c r="I709" s="1393" t="inlineStr">
        <is>
          <t>-</t>
        </is>
      </c>
      <c r="J709" s="1393" t="inlineStr">
        <is>
          <t>BDAY</t>
        </is>
      </c>
      <c r="K709" s="1395">
        <f>IF(raw[[#This Row],[city]]&lt;&gt;"",_xlfn.XLOOKUP($D709,ccc[city],ccc[prov],"-"),"-")</f>
        <v/>
      </c>
      <c r="L709" s="1395">
        <f>IF(raw[[#This Row],[city]]&lt;&gt;"",_xlfn.XLOOKUP($D709,ccc[city],ccc[ctry],"-"),"-")</f>
        <v/>
      </c>
      <c r="M709" s="1395">
        <f>IF(raw[[#This Row],[city]]&lt;&gt;"",_xlfn.XLOOKUP($D709,ccc[city],ccc[cont],"-"),"-")</f>
        <v/>
      </c>
      <c r="N709" s="1396">
        <f>IF(raw[[#This Row],[city]]="","-",IF(raw[[#This Row],[cont]]="B",raw[[#This Row],[cont]],"W"))</f>
        <v/>
      </c>
      <c r="O709" s="1397">
        <f>IF(raw[[#This Row],[out]]=0,0,IF(raw[[#This Row],[out]]=raw[[#This Row],[in]],0.01,raw[[#This Row],[out]]-raw[[#This Row],[in]]))</f>
        <v/>
      </c>
      <c r="P709" s="1397">
        <f>IF(raw[[#This Row],[in]]=0,0,MONTH(raw[[#This Row],[in]]))</f>
        <v/>
      </c>
      <c r="Q709" s="1397">
        <f>IF(raw[[#This Row],[in]]=0,0,YEAR(raw[[#This Row],[in]]))</f>
        <v/>
      </c>
      <c r="R709" s="1397">
        <f>INT(raw[[#This Row],[yr]]/10)*10</f>
        <v/>
      </c>
      <c r="S709" s="1395">
        <f>IF(raw[[#This Row],[city]]="","-",IF(raw[[#This Row],[city]]&lt;&gt;_xlfn.XLOOKUP(raw[[#This Row],[home]],homes[home],homes[city],"-"),1,0))</f>
        <v/>
      </c>
      <c r="T709" s="1398" t="inlineStr">
        <is>
          <t>.</t>
        </is>
      </c>
      <c r="U709" s="1399">
        <f>IF(raw[[#This Row],[wb]]="w",raw[[#This Row],[stay]]+U708,U708)</f>
        <v/>
      </c>
      <c r="V709" s="1400">
        <f>IF(raw[[#This Row],[out]]=0,V708,(raw[[#This Row],[out]]-E$5))</f>
        <v/>
      </c>
      <c r="W709" s="1401">
        <f>U709/V709</f>
        <v/>
      </c>
      <c r="X709" s="1378" t="inlineStr">
        <is>
          <t>.</t>
        </is>
      </c>
      <c r="Y709" s="1402">
        <f/>
        <v/>
      </c>
      <c r="Z709" s="1403">
        <f/>
        <v/>
      </c>
      <c r="AA709" s="1403">
        <f/>
        <v/>
      </c>
      <c r="AB709" s="1400">
        <f t="array" ref="AB709">_xlfn.LET(_xlpm.S,_xlfn.ANCHORARRAY($Y$4),_xlpm.r,ROWS(stayCity[[#Headers],[city]]:stayCity[[#This Row],[city]])-1,IF(_xlpm.r&lt;=ROWS(_xlpm.S),INDEX(_xlpm.S,_xlpm.r,1),""))</f>
        <v/>
      </c>
      <c r="AC709" s="1405">
        <f t="array" ref="AC709">_xlfn.LET(_xlpm.S,_xlfn.ANCHORARRAY($Y$4),_xlpm.r,ROWS(stayCity[[#Headers],[city]]:stayCity[[#This Row],[city]])-1,IF(_xlpm.r&lt;=ROWS(_xlpm.S),INDEX(_xlpm.S,_xlpm.r,2),""))</f>
        <v/>
      </c>
      <c r="AD709" s="1405">
        <f t="array" ref="AD709">_xlfn.LET(_xlpm.S,_xlfn.ANCHORARRAY($Y$4),_xlpm.r,ROWS(stayCity[[#Headers],[city]]:stayCity[[#This Row],[city]])-1,IF(_xlpm.r&lt;=ROWS(_xlpm.S),INDEX(_xlpm.S,_xlpm.r,3),""))</f>
        <v/>
      </c>
      <c r="AE709" s="1400">
        <f>IF(stayCity[[#This Row],[out]]&lt;&gt;"",stayCity[[#This Row],[out]]-stayCity[[#This Row],[in]],"-")</f>
        <v/>
      </c>
      <c r="AF709" s="1406">
        <f>IF(Y709="","-",YEAR(stayCity[[#This Row],[in]]))</f>
        <v/>
      </c>
      <c r="AG709" s="1392" t="n"/>
      <c r="AH709" s="1392" t="n"/>
      <c r="AI709" s="1392" t="n"/>
      <c r="AJ709" s="1392" t="n"/>
      <c r="AK709" s="1392" t="n"/>
      <c r="AL709" s="1392" t="n"/>
      <c r="AM709" s="1392" t="n"/>
      <c r="AN709" s="1392" t="n"/>
      <c r="AO709" s="1392" t="n"/>
      <c r="AP709" s="1392" t="n"/>
      <c r="AQ709" s="1392" t="n"/>
      <c r="AR709" s="1392" t="n"/>
      <c r="AS709" s="1422" t="n"/>
      <c r="AT709" s="1392" t="n"/>
      <c r="AU709" s="1392" t="n"/>
      <c r="AV709" s="1392" t="n"/>
      <c r="AW709" s="1392" t="n"/>
      <c r="AX709" s="1392" t="n"/>
      <c r="AY709" s="1392" t="n"/>
      <c r="AZ709" s="1392" t="n"/>
      <c r="BA709" s="1392" t="n"/>
      <c r="BB709" s="1422" t="n"/>
      <c r="BC709" s="1392" t="n"/>
      <c r="BD709" s="1392" t="n"/>
      <c r="BE709" s="1392" t="n"/>
      <c r="BF709" s="1392" t="n"/>
      <c r="BG709" s="1392" t="n"/>
      <c r="BH709" s="1392" t="n"/>
      <c r="BI709" s="1392" t="n"/>
      <c r="BJ709" s="1392" t="n"/>
      <c r="BK709" s="1392" t="n"/>
      <c r="BL709" s="1392" t="n"/>
      <c r="BM709" s="1392" t="n"/>
      <c r="BN709" s="1392" t="n"/>
      <c r="BO709" s="1392" t="n"/>
      <c r="BP709" s="1392" t="n"/>
      <c r="BQ709" s="1392" t="n"/>
      <c r="BR709" s="1392" t="n"/>
      <c r="BS709" s="1392" t="n"/>
      <c r="BT709" s="1392" t="n"/>
      <c r="BU709" s="1416" t="n"/>
      <c r="BV709" s="1392" t="n"/>
      <c r="BW709" s="1392" t="n"/>
      <c r="BX709" s="1392" t="n"/>
      <c r="BY709" s="1392" t="n"/>
      <c r="BZ709" s="1416" t="n"/>
      <c r="CA709" s="1392" t="n"/>
      <c r="CB709" s="1392" t="n"/>
      <c r="CC709" s="1392" t="n"/>
      <c r="CD709" s="1392" t="n"/>
      <c r="CE709" s="1392" t="n"/>
      <c r="CF709" s="1392" t="n"/>
      <c r="CG709" s="1392" t="n"/>
      <c r="CH709" s="1392" t="n"/>
      <c r="CI709" s="1392" t="n"/>
      <c r="CJ709" s="1392" t="n"/>
      <c r="CK709" s="1392" t="n"/>
      <c r="CL709" s="1392" t="n"/>
    </row>
    <row r="710">
      <c r="A710" s="5" t="inlineStr">
        <is>
          <t>.</t>
        </is>
      </c>
      <c r="B710" s="5" t="inlineStr">
        <is>
          <t>.</t>
        </is>
      </c>
      <c r="C710" s="1378">
        <f>IF(raw[[#This Row],[city]]="","-",IF(raw[[#This Row],[city]]="TODAY","-",C709+1))</f>
        <v/>
      </c>
      <c r="D710" s="1393" t="inlineStr">
        <is>
          <t>Bertioga</t>
        </is>
      </c>
      <c r="E710" s="1394" t="n">
        <v>37493</v>
      </c>
      <c r="F710" s="1394" t="n">
        <v>37497</v>
      </c>
      <c r="G710" s="1393" t="inlineStr">
        <is>
          <t>-</t>
        </is>
      </c>
      <c r="H710" s="1393" t="inlineStr">
        <is>
          <t>Bertioga</t>
        </is>
      </c>
      <c r="I710" s="1393" t="inlineStr">
        <is>
          <t>-</t>
        </is>
      </c>
      <c r="J710" s="1393" t="inlineStr">
        <is>
          <t>BDAY2</t>
        </is>
      </c>
      <c r="K710" s="1395">
        <f>IF(raw[[#This Row],[city]]&lt;&gt;"",_xlfn.XLOOKUP($D710,ccc[city],ccc[prov],"-"),"-")</f>
        <v/>
      </c>
      <c r="L710" s="1395">
        <f>IF(raw[[#This Row],[city]]&lt;&gt;"",_xlfn.XLOOKUP($D710,ccc[city],ccc[ctry],"-"),"-")</f>
        <v/>
      </c>
      <c r="M710" s="1395">
        <f>IF(raw[[#This Row],[city]]&lt;&gt;"",_xlfn.XLOOKUP($D710,ccc[city],ccc[cont],"-"),"-")</f>
        <v/>
      </c>
      <c r="N710" s="1396">
        <f>IF(raw[[#This Row],[city]]="","-",IF(raw[[#This Row],[cont]]="B",raw[[#This Row],[cont]],"W"))</f>
        <v/>
      </c>
      <c r="O710" s="1397">
        <f>IF(raw[[#This Row],[out]]=0,0,IF(raw[[#This Row],[out]]=raw[[#This Row],[in]],0.01,raw[[#This Row],[out]]-raw[[#This Row],[in]]))</f>
        <v/>
      </c>
      <c r="P710" s="1397">
        <f>IF(raw[[#This Row],[in]]=0,0,MONTH(raw[[#This Row],[in]]))</f>
        <v/>
      </c>
      <c r="Q710" s="1397">
        <f>IF(raw[[#This Row],[in]]=0,0,YEAR(raw[[#This Row],[in]]))</f>
        <v/>
      </c>
      <c r="R710" s="1397">
        <f>INT(raw[[#This Row],[yr]]/10)*10</f>
        <v/>
      </c>
      <c r="S710" s="1395">
        <f>IF(raw[[#This Row],[city]]="","-",IF(raw[[#This Row],[city]]&lt;&gt;_xlfn.XLOOKUP(raw[[#This Row],[home]],homes[home],homes[city],"-"),1,0))</f>
        <v/>
      </c>
      <c r="T710" s="1398" t="inlineStr">
        <is>
          <t>.</t>
        </is>
      </c>
      <c r="U710" s="1399">
        <f>IF(raw[[#This Row],[wb]]="w",raw[[#This Row],[stay]]+U709,U709)</f>
        <v/>
      </c>
      <c r="V710" s="1400">
        <f>IF(raw[[#This Row],[out]]=0,V709,(raw[[#This Row],[out]]-E$5))</f>
        <v/>
      </c>
      <c r="W710" s="1401">
        <f>U710/V710</f>
        <v/>
      </c>
      <c r="X710" s="1378" t="inlineStr">
        <is>
          <t>.</t>
        </is>
      </c>
      <c r="Y710" s="1402">
        <f/>
        <v/>
      </c>
      <c r="Z710" s="1403">
        <f/>
        <v/>
      </c>
      <c r="AA710" s="1403">
        <f/>
        <v/>
      </c>
      <c r="AB710" s="1400">
        <f t="array" ref="AB710">_xlfn.LET(_xlpm.S,_xlfn.ANCHORARRAY($Y$4),_xlpm.r,ROWS(stayCity[[#Headers],[city]]:stayCity[[#This Row],[city]])-1,IF(_xlpm.r&lt;=ROWS(_xlpm.S),INDEX(_xlpm.S,_xlpm.r,1),""))</f>
        <v/>
      </c>
      <c r="AC710" s="1405">
        <f t="array" ref="AC710">_xlfn.LET(_xlpm.S,_xlfn.ANCHORARRAY($Y$4),_xlpm.r,ROWS(stayCity[[#Headers],[city]]:stayCity[[#This Row],[city]])-1,IF(_xlpm.r&lt;=ROWS(_xlpm.S),INDEX(_xlpm.S,_xlpm.r,2),""))</f>
        <v/>
      </c>
      <c r="AD710" s="1405">
        <f t="array" ref="AD710">_xlfn.LET(_xlpm.S,_xlfn.ANCHORARRAY($Y$4),_xlpm.r,ROWS(stayCity[[#Headers],[city]]:stayCity[[#This Row],[city]])-1,IF(_xlpm.r&lt;=ROWS(_xlpm.S),INDEX(_xlpm.S,_xlpm.r,3),""))</f>
        <v/>
      </c>
      <c r="AE710" s="1400">
        <f>IF(stayCity[[#This Row],[out]]&lt;&gt;"",stayCity[[#This Row],[out]]-stayCity[[#This Row],[in]],"-")</f>
        <v/>
      </c>
      <c r="AF710" s="1406">
        <f>IF(Y710="","-",YEAR(stayCity[[#This Row],[in]]))</f>
        <v/>
      </c>
      <c r="AG710" s="1392" t="n"/>
      <c r="AH710" s="1392" t="n"/>
      <c r="AI710" s="1392" t="n"/>
      <c r="AJ710" s="1392" t="n"/>
      <c r="AK710" s="1392" t="n"/>
      <c r="AL710" s="1392" t="n"/>
      <c r="AM710" s="1392" t="n"/>
      <c r="AN710" s="1392" t="n"/>
      <c r="AO710" s="1392" t="n"/>
      <c r="AP710" s="1392" t="n"/>
      <c r="AQ710" s="1392" t="n"/>
      <c r="AR710" s="1392" t="n"/>
      <c r="AS710" s="1422" t="n"/>
      <c r="AT710" s="1392" t="n"/>
      <c r="AU710" s="1392" t="n"/>
      <c r="AV710" s="1392" t="n"/>
      <c r="AW710" s="1392" t="n"/>
      <c r="AX710" s="1392" t="n"/>
      <c r="AY710" s="1392" t="n"/>
      <c r="AZ710" s="1392" t="n"/>
      <c r="BA710" s="1392" t="n"/>
      <c r="BB710" s="1422" t="n"/>
      <c r="BC710" s="1392" t="n"/>
      <c r="BD710" s="1392" t="n"/>
      <c r="BE710" s="1392" t="n"/>
      <c r="BF710" s="1392" t="n"/>
      <c r="BG710" s="1392" t="n"/>
      <c r="BH710" s="1392" t="n"/>
      <c r="BI710" s="1392" t="n"/>
      <c r="BJ710" s="1392" t="n"/>
      <c r="BK710" s="1392" t="n"/>
      <c r="BL710" s="1392" t="n"/>
      <c r="BM710" s="1392" t="n"/>
      <c r="BN710" s="1392" t="n"/>
      <c r="BO710" s="1392" t="n"/>
      <c r="BP710" s="1392" t="n"/>
      <c r="BQ710" s="1392" t="n"/>
      <c r="BR710" s="1392" t="n"/>
      <c r="BS710" s="1392" t="n"/>
      <c r="BT710" s="1392" t="n"/>
      <c r="BU710" s="1416" t="n"/>
      <c r="BV710" s="1392" t="n"/>
      <c r="BW710" s="1392" t="n"/>
      <c r="BX710" s="1392" t="n"/>
      <c r="BY710" s="1392" t="n"/>
      <c r="BZ710" s="1416" t="n"/>
      <c r="CA710" s="1392" t="n"/>
      <c r="CB710" s="1392" t="n"/>
      <c r="CC710" s="1392" t="n"/>
      <c r="CD710" s="1392" t="n"/>
      <c r="CE710" s="1392" t="n"/>
      <c r="CF710" s="1392" t="n"/>
      <c r="CG710" s="1392" t="n"/>
      <c r="CH710" s="1392" t="n"/>
      <c r="CI710" s="1392" t="n"/>
      <c r="CJ710" s="1392" t="n"/>
      <c r="CK710" s="1392" t="n"/>
      <c r="CL710" s="1392" t="n"/>
    </row>
    <row r="711">
      <c r="A711" s="5" t="inlineStr">
        <is>
          <t>.</t>
        </is>
      </c>
      <c r="B711" s="5" t="inlineStr">
        <is>
          <t>.</t>
        </is>
      </c>
      <c r="C711" s="1378">
        <f>IF(raw[[#This Row],[city]]="","-",IF(raw[[#This Row],[city]]="TODAY","-",C710+1))</f>
        <v/>
      </c>
      <c r="D711" s="1393" t="inlineStr">
        <is>
          <t>SP</t>
        </is>
      </c>
      <c r="E711" s="1394" t="n">
        <v>37497</v>
      </c>
      <c r="F711" s="1394" t="n">
        <v>37500</v>
      </c>
      <c r="G711" s="1393" t="inlineStr">
        <is>
          <t>-</t>
        </is>
      </c>
      <c r="H711" s="1393" t="inlineStr">
        <is>
          <t>Bertioga</t>
        </is>
      </c>
      <c r="I711" s="1393" t="inlineStr">
        <is>
          <t>Salto Grande</t>
        </is>
      </c>
      <c r="J711" s="1393" t="inlineStr">
        <is>
          <t>-</t>
        </is>
      </c>
      <c r="K711" s="1395">
        <f>IF(raw[[#This Row],[city]]&lt;&gt;"",_xlfn.XLOOKUP($D711,ccc[city],ccc[prov],"-"),"-")</f>
        <v/>
      </c>
      <c r="L711" s="1395">
        <f>IF(raw[[#This Row],[city]]&lt;&gt;"",_xlfn.XLOOKUP($D711,ccc[city],ccc[ctry],"-"),"-")</f>
        <v/>
      </c>
      <c r="M711" s="1395">
        <f>IF(raw[[#This Row],[city]]&lt;&gt;"",_xlfn.XLOOKUP($D711,ccc[city],ccc[cont],"-"),"-")</f>
        <v/>
      </c>
      <c r="N711" s="1396">
        <f>IF(raw[[#This Row],[city]]="","-",IF(raw[[#This Row],[cont]]="B",raw[[#This Row],[cont]],"W"))</f>
        <v/>
      </c>
      <c r="O711" s="1397">
        <f>IF(raw[[#This Row],[out]]=0,0,IF(raw[[#This Row],[out]]=raw[[#This Row],[in]],0.01,raw[[#This Row],[out]]-raw[[#This Row],[in]]))</f>
        <v/>
      </c>
      <c r="P711" s="1397">
        <f>IF(raw[[#This Row],[in]]=0,0,MONTH(raw[[#This Row],[in]]))</f>
        <v/>
      </c>
      <c r="Q711" s="1397">
        <f>IF(raw[[#This Row],[in]]=0,0,YEAR(raw[[#This Row],[in]]))</f>
        <v/>
      </c>
      <c r="R711" s="1397">
        <f>INT(raw[[#This Row],[yr]]/10)*10</f>
        <v/>
      </c>
      <c r="S711" s="1395">
        <f>IF(raw[[#This Row],[city]]="","-",IF(raw[[#This Row],[city]]&lt;&gt;_xlfn.XLOOKUP(raw[[#This Row],[home]],homes[home],homes[city],"-"),1,0))</f>
        <v/>
      </c>
      <c r="T711" s="1398" t="inlineStr">
        <is>
          <t>.</t>
        </is>
      </c>
      <c r="U711" s="1399">
        <f>IF(raw[[#This Row],[wb]]="w",raw[[#This Row],[stay]]+U710,U710)</f>
        <v/>
      </c>
      <c r="V711" s="1400">
        <f>IF(raw[[#This Row],[out]]=0,V710,(raw[[#This Row],[out]]-E$5))</f>
        <v/>
      </c>
      <c r="W711" s="1401">
        <f>U711/V711</f>
        <v/>
      </c>
      <c r="X711" s="1378" t="inlineStr">
        <is>
          <t>.</t>
        </is>
      </c>
      <c r="Y711" s="1402">
        <f/>
        <v/>
      </c>
      <c r="Z711" s="1403">
        <f/>
        <v/>
      </c>
      <c r="AA711" s="1403">
        <f/>
        <v/>
      </c>
      <c r="AB711" s="1400">
        <f t="array" ref="AB711">_xlfn.LET(_xlpm.S,_xlfn.ANCHORARRAY($Y$4),_xlpm.r,ROWS(stayCity[[#Headers],[city]]:stayCity[[#This Row],[city]])-1,IF(_xlpm.r&lt;=ROWS(_xlpm.S),INDEX(_xlpm.S,_xlpm.r,1),""))</f>
        <v/>
      </c>
      <c r="AC711" s="1405">
        <f t="array" ref="AC711">_xlfn.LET(_xlpm.S,_xlfn.ANCHORARRAY($Y$4),_xlpm.r,ROWS(stayCity[[#Headers],[city]]:stayCity[[#This Row],[city]])-1,IF(_xlpm.r&lt;=ROWS(_xlpm.S),INDEX(_xlpm.S,_xlpm.r,2),""))</f>
        <v/>
      </c>
      <c r="AD711" s="1405">
        <f t="array" ref="AD711">_xlfn.LET(_xlpm.S,_xlfn.ANCHORARRAY($Y$4),_xlpm.r,ROWS(stayCity[[#Headers],[city]]:stayCity[[#This Row],[city]])-1,IF(_xlpm.r&lt;=ROWS(_xlpm.S),INDEX(_xlpm.S,_xlpm.r,3),""))</f>
        <v/>
      </c>
      <c r="AE711" s="1400">
        <f>IF(stayCity[[#This Row],[out]]&lt;&gt;"",stayCity[[#This Row],[out]]-stayCity[[#This Row],[in]],"-")</f>
        <v/>
      </c>
      <c r="AF711" s="1406">
        <f>IF(Y711="","-",YEAR(stayCity[[#This Row],[in]]))</f>
        <v/>
      </c>
      <c r="AG711" s="1392" t="n"/>
      <c r="AH711" s="1392" t="n"/>
      <c r="AI711" s="1392" t="n"/>
      <c r="AJ711" s="1392" t="n"/>
      <c r="AK711" s="1392" t="n"/>
      <c r="AL711" s="1392" t="n"/>
      <c r="AM711" s="1392" t="n"/>
      <c r="AN711" s="1392" t="n"/>
      <c r="AO711" s="1392" t="n"/>
      <c r="AP711" s="1392" t="n"/>
      <c r="AQ711" s="1392" t="n"/>
      <c r="AR711" s="1392" t="n"/>
      <c r="AS711" s="1422" t="n"/>
      <c r="AT711" s="1392" t="n"/>
      <c r="AU711" s="1392" t="n"/>
      <c r="AV711" s="1392" t="n"/>
      <c r="AW711" s="1392" t="n"/>
      <c r="AX711" s="1392" t="n"/>
      <c r="AY711" s="1392" t="n"/>
      <c r="AZ711" s="1392" t="n"/>
      <c r="BA711" s="1392" t="n"/>
      <c r="BB711" s="1422" t="n"/>
      <c r="BC711" s="1392" t="n"/>
      <c r="BD711" s="1392" t="n"/>
      <c r="BE711" s="1392" t="n"/>
      <c r="BF711" s="1392" t="n"/>
      <c r="BG711" s="1392" t="n"/>
      <c r="BH711" s="1392" t="n"/>
      <c r="BI711" s="1392" t="n"/>
      <c r="BJ711" s="1392" t="n"/>
      <c r="BK711" s="1392" t="n"/>
      <c r="BL711" s="1392" t="n"/>
      <c r="BM711" s="1392" t="n"/>
      <c r="BN711" s="1392" t="n"/>
      <c r="BO711" s="1392" t="n"/>
      <c r="BP711" s="1392" t="n"/>
      <c r="BQ711" s="1392" t="n"/>
      <c r="BR711" s="1392" t="n"/>
      <c r="BS711" s="1392" t="n"/>
      <c r="BT711" s="1392" t="n"/>
      <c r="BU711" s="1416" t="n"/>
      <c r="BV711" s="1392" t="n"/>
      <c r="BW711" s="1392" t="n"/>
      <c r="BX711" s="1392" t="n"/>
      <c r="BY711" s="1392" t="n"/>
      <c r="BZ711" s="1416" t="n"/>
      <c r="CA711" s="1392" t="n"/>
      <c r="CB711" s="1392" t="n"/>
      <c r="CC711" s="1392" t="n"/>
      <c r="CD711" s="1392" t="n"/>
      <c r="CE711" s="1392" t="n"/>
      <c r="CF711" s="1392" t="n"/>
      <c r="CG711" s="1392" t="n"/>
      <c r="CH711" s="1392" t="n"/>
      <c r="CI711" s="1392" t="n"/>
      <c r="CJ711" s="1392" t="n"/>
      <c r="CK711" s="1392" t="n"/>
      <c r="CL711" s="1392" t="n"/>
    </row>
    <row r="712">
      <c r="A712" s="5" t="inlineStr">
        <is>
          <t>.</t>
        </is>
      </c>
      <c r="B712" s="5" t="inlineStr">
        <is>
          <t>.</t>
        </is>
      </c>
      <c r="C712" s="1378">
        <f>IF(raw[[#This Row],[city]]="","-",IF(raw[[#This Row],[city]]="TODAY","-",C711+1))</f>
        <v/>
      </c>
      <c r="D712" s="1393" t="inlineStr">
        <is>
          <t>SP</t>
        </is>
      </c>
      <c r="E712" s="1394" t="n">
        <v>37500</v>
      </c>
      <c r="F712" s="1394" t="n">
        <v>37501</v>
      </c>
      <c r="G712" s="1393" t="inlineStr">
        <is>
          <t>-</t>
        </is>
      </c>
      <c r="H712" s="1393" t="inlineStr">
        <is>
          <t>Bertioga</t>
        </is>
      </c>
      <c r="I712" s="1393" t="inlineStr">
        <is>
          <t>Salto Grande</t>
        </is>
      </c>
      <c r="J712" s="1393" t="inlineStr">
        <is>
          <t>-</t>
        </is>
      </c>
      <c r="K712" s="1395">
        <f>IF(raw[[#This Row],[city]]&lt;&gt;"",_xlfn.XLOOKUP($D712,ccc[city],ccc[prov],"-"),"-")</f>
        <v/>
      </c>
      <c r="L712" s="1395">
        <f>IF(raw[[#This Row],[city]]&lt;&gt;"",_xlfn.XLOOKUP($D712,ccc[city],ccc[ctry],"-"),"-")</f>
        <v/>
      </c>
      <c r="M712" s="1395">
        <f>IF(raw[[#This Row],[city]]&lt;&gt;"",_xlfn.XLOOKUP($D712,ccc[city],ccc[cont],"-"),"-")</f>
        <v/>
      </c>
      <c r="N712" s="1396">
        <f>IF(raw[[#This Row],[city]]="","-",IF(raw[[#This Row],[cont]]="B",raw[[#This Row],[cont]],"W"))</f>
        <v/>
      </c>
      <c r="O712" s="1397">
        <f>IF(raw[[#This Row],[out]]=0,0,IF(raw[[#This Row],[out]]=raw[[#This Row],[in]],0.01,raw[[#This Row],[out]]-raw[[#This Row],[in]]))</f>
        <v/>
      </c>
      <c r="P712" s="1397">
        <f>IF(raw[[#This Row],[in]]=0,0,MONTH(raw[[#This Row],[in]]))</f>
        <v/>
      </c>
      <c r="Q712" s="1397">
        <f>IF(raw[[#This Row],[in]]=0,0,YEAR(raw[[#This Row],[in]]))</f>
        <v/>
      </c>
      <c r="R712" s="1397">
        <f>INT(raw[[#This Row],[yr]]/10)*10</f>
        <v/>
      </c>
      <c r="S712" s="1395">
        <f>IF(raw[[#This Row],[city]]="","-",IF(raw[[#This Row],[city]]&lt;&gt;_xlfn.XLOOKUP(raw[[#This Row],[home]],homes[home],homes[city],"-"),1,0))</f>
        <v/>
      </c>
      <c r="T712" s="1398" t="inlineStr">
        <is>
          <t>.</t>
        </is>
      </c>
      <c r="U712" s="1399">
        <f>IF(raw[[#This Row],[wb]]="w",raw[[#This Row],[stay]]+U711,U711)</f>
        <v/>
      </c>
      <c r="V712" s="1400">
        <f>IF(raw[[#This Row],[out]]=0,V711,(raw[[#This Row],[out]]-E$5))</f>
        <v/>
      </c>
      <c r="W712" s="1401">
        <f>U712/V712</f>
        <v/>
      </c>
      <c r="X712" s="1378" t="inlineStr">
        <is>
          <t>.</t>
        </is>
      </c>
      <c r="Y712" s="1402">
        <f/>
        <v/>
      </c>
      <c r="Z712" s="1403">
        <f/>
        <v/>
      </c>
      <c r="AA712" s="1403">
        <f/>
        <v/>
      </c>
      <c r="AB712" s="1400">
        <f t="array" ref="AB712">_xlfn.LET(_xlpm.S,_xlfn.ANCHORARRAY($Y$4),_xlpm.r,ROWS(stayCity[[#Headers],[city]]:stayCity[[#This Row],[city]])-1,IF(_xlpm.r&lt;=ROWS(_xlpm.S),INDEX(_xlpm.S,_xlpm.r,1),""))</f>
        <v/>
      </c>
      <c r="AC712" s="1405">
        <f t="array" ref="AC712">_xlfn.LET(_xlpm.S,_xlfn.ANCHORARRAY($Y$4),_xlpm.r,ROWS(stayCity[[#Headers],[city]]:stayCity[[#This Row],[city]])-1,IF(_xlpm.r&lt;=ROWS(_xlpm.S),INDEX(_xlpm.S,_xlpm.r,2),""))</f>
        <v/>
      </c>
      <c r="AD712" s="1405">
        <f t="array" ref="AD712">_xlfn.LET(_xlpm.S,_xlfn.ANCHORARRAY($Y$4),_xlpm.r,ROWS(stayCity[[#Headers],[city]]:stayCity[[#This Row],[city]])-1,IF(_xlpm.r&lt;=ROWS(_xlpm.S),INDEX(_xlpm.S,_xlpm.r,3),""))</f>
        <v/>
      </c>
      <c r="AE712" s="1400">
        <f>IF(stayCity[[#This Row],[out]]&lt;&gt;"",stayCity[[#This Row],[out]]-stayCity[[#This Row],[in]],"-")</f>
        <v/>
      </c>
      <c r="AF712" s="1406">
        <f>IF(Y712="","-",YEAR(stayCity[[#This Row],[in]]))</f>
        <v/>
      </c>
      <c r="AG712" s="1392" t="n"/>
      <c r="AH712" s="1392" t="n"/>
      <c r="AI712" s="1392" t="n"/>
      <c r="AJ712" s="1392" t="n"/>
      <c r="AK712" s="1392" t="n"/>
      <c r="AL712" s="1392" t="n"/>
      <c r="AM712" s="1392" t="n"/>
      <c r="AN712" s="1392" t="n"/>
      <c r="AO712" s="1392" t="n"/>
      <c r="AP712" s="1392" t="n"/>
      <c r="AQ712" s="1392" t="n"/>
      <c r="AR712" s="1392" t="n"/>
      <c r="AS712" s="1422" t="n"/>
      <c r="AT712" s="1392" t="n"/>
      <c r="AU712" s="1392" t="n"/>
      <c r="AV712" s="1392" t="n"/>
      <c r="AW712" s="1392" t="n"/>
      <c r="AX712" s="1392" t="n"/>
      <c r="AY712" s="1392" t="n"/>
      <c r="AZ712" s="1392" t="n"/>
      <c r="BA712" s="1392" t="n"/>
      <c r="BB712" s="1422" t="n"/>
      <c r="BC712" s="1392" t="n"/>
      <c r="BD712" s="1392" t="n"/>
      <c r="BE712" s="1392" t="n"/>
      <c r="BF712" s="1392" t="n"/>
      <c r="BG712" s="1392" t="n"/>
      <c r="BH712" s="1392" t="n"/>
      <c r="BI712" s="1392" t="n"/>
      <c r="BJ712" s="1392" t="n"/>
      <c r="BK712" s="1392" t="n"/>
      <c r="BL712" s="1392" t="n"/>
      <c r="BM712" s="1392" t="n"/>
      <c r="BN712" s="1392" t="n"/>
      <c r="BO712" s="1392" t="n"/>
      <c r="BP712" s="1392" t="n"/>
      <c r="BQ712" s="1392" t="n"/>
      <c r="BR712" s="1392" t="n"/>
      <c r="BS712" s="1392" t="n"/>
      <c r="BT712" s="1392" t="n"/>
      <c r="BU712" s="1416" t="n"/>
      <c r="BV712" s="1392" t="n"/>
      <c r="BW712" s="1392" t="n"/>
      <c r="BX712" s="1392" t="n"/>
      <c r="BY712" s="1392" t="n"/>
      <c r="BZ712" s="1416" t="n"/>
      <c r="CA712" s="1392" t="n"/>
      <c r="CB712" s="1392" t="n"/>
      <c r="CC712" s="1392" t="n"/>
      <c r="CD712" s="1392" t="n"/>
      <c r="CE712" s="1392" t="n"/>
      <c r="CF712" s="1392" t="n"/>
      <c r="CG712" s="1392" t="n"/>
      <c r="CH712" s="1392" t="n"/>
      <c r="CI712" s="1392" t="n"/>
      <c r="CJ712" s="1392" t="n"/>
      <c r="CK712" s="1392" t="n"/>
      <c r="CL712" s="1392" t="n"/>
    </row>
    <row r="713">
      <c r="A713" s="5" t="inlineStr">
        <is>
          <t>.</t>
        </is>
      </c>
      <c r="B713" s="5" t="inlineStr">
        <is>
          <t>.</t>
        </is>
      </c>
      <c r="C713" s="1378">
        <f>IF(raw[[#This Row],[city]]="","-",IF(raw[[#This Row],[city]]="TODAY","-",C712+1))</f>
        <v/>
      </c>
      <c r="D713" s="1393" t="inlineStr">
        <is>
          <t>Bertioga</t>
        </is>
      </c>
      <c r="E713" s="1394" t="n">
        <v>37501</v>
      </c>
      <c r="F713" s="1394" t="n">
        <v>37504</v>
      </c>
      <c r="G713" s="1393" t="inlineStr">
        <is>
          <t>-</t>
        </is>
      </c>
      <c r="H713" s="1393" t="inlineStr">
        <is>
          <t>Bertioga</t>
        </is>
      </c>
      <c r="I713" s="1393" t="inlineStr">
        <is>
          <t>-</t>
        </is>
      </c>
      <c r="J713" s="1393" t="inlineStr">
        <is>
          <t>-</t>
        </is>
      </c>
      <c r="K713" s="1395">
        <f>IF(raw[[#This Row],[city]]&lt;&gt;"",_xlfn.XLOOKUP($D713,ccc[city],ccc[prov],"-"),"-")</f>
        <v/>
      </c>
      <c r="L713" s="1395">
        <f>IF(raw[[#This Row],[city]]&lt;&gt;"",_xlfn.XLOOKUP($D713,ccc[city],ccc[ctry],"-"),"-")</f>
        <v/>
      </c>
      <c r="M713" s="1395">
        <f>IF(raw[[#This Row],[city]]&lt;&gt;"",_xlfn.XLOOKUP($D713,ccc[city],ccc[cont],"-"),"-")</f>
        <v/>
      </c>
      <c r="N713" s="1396">
        <f>IF(raw[[#This Row],[city]]="","-",IF(raw[[#This Row],[cont]]="B",raw[[#This Row],[cont]],"W"))</f>
        <v/>
      </c>
      <c r="O713" s="1397">
        <f>IF(raw[[#This Row],[out]]=0,0,IF(raw[[#This Row],[out]]=raw[[#This Row],[in]],0.01,raw[[#This Row],[out]]-raw[[#This Row],[in]]))</f>
        <v/>
      </c>
      <c r="P713" s="1397">
        <f>IF(raw[[#This Row],[in]]=0,0,MONTH(raw[[#This Row],[in]]))</f>
        <v/>
      </c>
      <c r="Q713" s="1397">
        <f>IF(raw[[#This Row],[in]]=0,0,YEAR(raw[[#This Row],[in]]))</f>
        <v/>
      </c>
      <c r="R713" s="1397">
        <f>INT(raw[[#This Row],[yr]]/10)*10</f>
        <v/>
      </c>
      <c r="S713" s="1395">
        <f>IF(raw[[#This Row],[city]]="","-",IF(raw[[#This Row],[city]]&lt;&gt;_xlfn.XLOOKUP(raw[[#This Row],[home]],homes[home],homes[city],"-"),1,0))</f>
        <v/>
      </c>
      <c r="T713" s="1398" t="inlineStr">
        <is>
          <t>.</t>
        </is>
      </c>
      <c r="U713" s="1399">
        <f>IF(raw[[#This Row],[wb]]="w",raw[[#This Row],[stay]]+U712,U712)</f>
        <v/>
      </c>
      <c r="V713" s="1400">
        <f>IF(raw[[#This Row],[out]]=0,V712,(raw[[#This Row],[out]]-E$5))</f>
        <v/>
      </c>
      <c r="W713" s="1401">
        <f>U713/V713</f>
        <v/>
      </c>
      <c r="X713" s="1378" t="inlineStr">
        <is>
          <t>.</t>
        </is>
      </c>
      <c r="Y713" s="1402">
        <f/>
        <v/>
      </c>
      <c r="Z713" s="1403">
        <f/>
        <v/>
      </c>
      <c r="AA713" s="1403">
        <f/>
        <v/>
      </c>
      <c r="AB713" s="1400">
        <f t="array" ref="AB713">_xlfn.LET(_xlpm.S,_xlfn.ANCHORARRAY($Y$4),_xlpm.r,ROWS(stayCity[[#Headers],[city]]:stayCity[[#This Row],[city]])-1,IF(_xlpm.r&lt;=ROWS(_xlpm.S),INDEX(_xlpm.S,_xlpm.r,1),""))</f>
        <v/>
      </c>
      <c r="AC713" s="1405">
        <f t="array" ref="AC713">_xlfn.LET(_xlpm.S,_xlfn.ANCHORARRAY($Y$4),_xlpm.r,ROWS(stayCity[[#Headers],[city]]:stayCity[[#This Row],[city]])-1,IF(_xlpm.r&lt;=ROWS(_xlpm.S),INDEX(_xlpm.S,_xlpm.r,2),""))</f>
        <v/>
      </c>
      <c r="AD713" s="1405">
        <f t="array" ref="AD713">_xlfn.LET(_xlpm.S,_xlfn.ANCHORARRAY($Y$4),_xlpm.r,ROWS(stayCity[[#Headers],[city]]:stayCity[[#This Row],[city]])-1,IF(_xlpm.r&lt;=ROWS(_xlpm.S),INDEX(_xlpm.S,_xlpm.r,3),""))</f>
        <v/>
      </c>
      <c r="AE713" s="1400">
        <f>IF(stayCity[[#This Row],[out]]&lt;&gt;"",stayCity[[#This Row],[out]]-stayCity[[#This Row],[in]],"-")</f>
        <v/>
      </c>
      <c r="AF713" s="1406">
        <f>IF(Y713="","-",YEAR(stayCity[[#This Row],[in]]))</f>
        <v/>
      </c>
      <c r="AG713" s="1392" t="n"/>
      <c r="AH713" s="1392" t="n"/>
      <c r="AI713" s="1392" t="n"/>
      <c r="AJ713" s="1392" t="n"/>
      <c r="AK713" s="1392" t="n"/>
      <c r="AL713" s="1392" t="n"/>
      <c r="AM713" s="1392" t="n"/>
      <c r="AN713" s="1392" t="n"/>
      <c r="AO713" s="1392" t="n"/>
      <c r="AP713" s="1392" t="n"/>
      <c r="AQ713" s="1392" t="n"/>
      <c r="AR713" s="1392" t="n"/>
      <c r="AS713" s="1422" t="n"/>
      <c r="AT713" s="1392" t="n"/>
      <c r="AU713" s="1392" t="n"/>
      <c r="AV713" s="1392" t="n"/>
      <c r="AW713" s="1392" t="n"/>
      <c r="AX713" s="1392" t="n"/>
      <c r="AY713" s="1392" t="n"/>
      <c r="AZ713" s="1392" t="n"/>
      <c r="BA713" s="1392" t="n"/>
      <c r="BB713" s="1422" t="n"/>
      <c r="BC713" s="1392" t="n"/>
      <c r="BD713" s="1392" t="n"/>
      <c r="BE713" s="1392" t="n"/>
      <c r="BF713" s="1392" t="n"/>
      <c r="BG713" s="1392" t="n"/>
      <c r="BH713" s="1392" t="n"/>
      <c r="BI713" s="1392" t="n"/>
      <c r="BJ713" s="1392" t="n"/>
      <c r="BK713" s="1392" t="n"/>
      <c r="BL713" s="1392" t="n"/>
      <c r="BM713" s="1392" t="n"/>
      <c r="BN713" s="1392" t="n"/>
      <c r="BO713" s="1392" t="n"/>
      <c r="BP713" s="1392" t="n"/>
      <c r="BQ713" s="1392" t="n"/>
      <c r="BR713" s="1392" t="n"/>
      <c r="BS713" s="1392" t="n"/>
      <c r="BT713" s="1392" t="n"/>
      <c r="BU713" s="1416" t="n"/>
      <c r="BV713" s="1392" t="n"/>
      <c r="BW713" s="1392" t="n"/>
      <c r="BX713" s="1392" t="n"/>
      <c r="BY713" s="1392" t="n"/>
      <c r="BZ713" s="1416" t="n"/>
      <c r="CA713" s="1392" t="n"/>
      <c r="CB713" s="1392" t="n"/>
      <c r="CC713" s="1392" t="n"/>
      <c r="CD713" s="1392" t="n"/>
      <c r="CE713" s="1392" t="n"/>
      <c r="CF713" s="1392" t="n"/>
      <c r="CG713" s="1392" t="n"/>
      <c r="CH713" s="1392" t="n"/>
      <c r="CI713" s="1392" t="n"/>
      <c r="CJ713" s="1392" t="n"/>
      <c r="CK713" s="1392" t="n"/>
      <c r="CL713" s="1392" t="n"/>
    </row>
    <row r="714">
      <c r="A714" s="5" t="inlineStr">
        <is>
          <t>.</t>
        </is>
      </c>
      <c r="B714" s="5" t="inlineStr">
        <is>
          <t>.</t>
        </is>
      </c>
      <c r="C714" s="1378">
        <f>IF(raw[[#This Row],[city]]="","-",IF(raw[[#This Row],[city]]="TODAY","-",C713+1))</f>
        <v/>
      </c>
      <c r="D714" s="1393" t="inlineStr">
        <is>
          <t>SP</t>
        </is>
      </c>
      <c r="E714" s="1394" t="n">
        <v>37504</v>
      </c>
      <c r="F714" s="1394" t="n">
        <v>37506</v>
      </c>
      <c r="G714" s="1393" t="inlineStr">
        <is>
          <t>-</t>
        </is>
      </c>
      <c r="H714" s="1393" t="inlineStr">
        <is>
          <t>Bertioga</t>
        </is>
      </c>
      <c r="I714" s="1393" t="inlineStr">
        <is>
          <t>Salto Grande</t>
        </is>
      </c>
      <c r="J714" s="1393" t="inlineStr">
        <is>
          <t>-</t>
        </is>
      </c>
      <c r="K714" s="1395">
        <f>IF(raw[[#This Row],[city]]&lt;&gt;"",_xlfn.XLOOKUP($D714,ccc[city],ccc[prov],"-"),"-")</f>
        <v/>
      </c>
      <c r="L714" s="1395">
        <f>IF(raw[[#This Row],[city]]&lt;&gt;"",_xlfn.XLOOKUP($D714,ccc[city],ccc[ctry],"-"),"-")</f>
        <v/>
      </c>
      <c r="M714" s="1395">
        <f>IF(raw[[#This Row],[city]]&lt;&gt;"",_xlfn.XLOOKUP($D714,ccc[city],ccc[cont],"-"),"-")</f>
        <v/>
      </c>
      <c r="N714" s="1396">
        <f>IF(raw[[#This Row],[city]]="","-",IF(raw[[#This Row],[cont]]="B",raw[[#This Row],[cont]],"W"))</f>
        <v/>
      </c>
      <c r="O714" s="1397">
        <f>IF(raw[[#This Row],[out]]=0,0,IF(raw[[#This Row],[out]]=raw[[#This Row],[in]],0.01,raw[[#This Row],[out]]-raw[[#This Row],[in]]))</f>
        <v/>
      </c>
      <c r="P714" s="1397">
        <f>IF(raw[[#This Row],[in]]=0,0,MONTH(raw[[#This Row],[in]]))</f>
        <v/>
      </c>
      <c r="Q714" s="1397">
        <f>IF(raw[[#This Row],[in]]=0,0,YEAR(raw[[#This Row],[in]]))</f>
        <v/>
      </c>
      <c r="R714" s="1397">
        <f>INT(raw[[#This Row],[yr]]/10)*10</f>
        <v/>
      </c>
      <c r="S714" s="1395">
        <f>IF(raw[[#This Row],[city]]="","-",IF(raw[[#This Row],[city]]&lt;&gt;_xlfn.XLOOKUP(raw[[#This Row],[home]],homes[home],homes[city],"-"),1,0))</f>
        <v/>
      </c>
      <c r="T714" s="1398" t="inlineStr">
        <is>
          <t>.</t>
        </is>
      </c>
      <c r="U714" s="1399">
        <f>IF(raw[[#This Row],[wb]]="w",raw[[#This Row],[stay]]+U713,U713)</f>
        <v/>
      </c>
      <c r="V714" s="1400">
        <f>IF(raw[[#This Row],[out]]=0,V713,(raw[[#This Row],[out]]-E$5))</f>
        <v/>
      </c>
      <c r="W714" s="1401">
        <f>U714/V714</f>
        <v/>
      </c>
      <c r="X714" s="1378" t="inlineStr">
        <is>
          <t>.</t>
        </is>
      </c>
      <c r="Y714" s="1402">
        <f/>
        <v/>
      </c>
      <c r="Z714" s="1403">
        <f/>
        <v/>
      </c>
      <c r="AA714" s="1403">
        <f/>
        <v/>
      </c>
      <c r="AB714" s="1400">
        <f t="array" ref="AB714">_xlfn.LET(_xlpm.S,_xlfn.ANCHORARRAY($Y$4),_xlpm.r,ROWS(stayCity[[#Headers],[city]]:stayCity[[#This Row],[city]])-1,IF(_xlpm.r&lt;=ROWS(_xlpm.S),INDEX(_xlpm.S,_xlpm.r,1),""))</f>
        <v/>
      </c>
      <c r="AC714" s="1405">
        <f t="array" ref="AC714">_xlfn.LET(_xlpm.S,_xlfn.ANCHORARRAY($Y$4),_xlpm.r,ROWS(stayCity[[#Headers],[city]]:stayCity[[#This Row],[city]])-1,IF(_xlpm.r&lt;=ROWS(_xlpm.S),INDEX(_xlpm.S,_xlpm.r,2),""))</f>
        <v/>
      </c>
      <c r="AD714" s="1405">
        <f t="array" ref="AD714">_xlfn.LET(_xlpm.S,_xlfn.ANCHORARRAY($Y$4),_xlpm.r,ROWS(stayCity[[#Headers],[city]]:stayCity[[#This Row],[city]])-1,IF(_xlpm.r&lt;=ROWS(_xlpm.S),INDEX(_xlpm.S,_xlpm.r,3),""))</f>
        <v/>
      </c>
      <c r="AE714" s="1400">
        <f>IF(stayCity[[#This Row],[out]]&lt;&gt;"",stayCity[[#This Row],[out]]-stayCity[[#This Row],[in]],"-")</f>
        <v/>
      </c>
      <c r="AF714" s="1406">
        <f>IF(Y714="","-",YEAR(stayCity[[#This Row],[in]]))</f>
        <v/>
      </c>
      <c r="AG714" s="1392" t="n"/>
      <c r="AH714" s="1392" t="n"/>
      <c r="AI714" s="1392" t="n"/>
      <c r="AJ714" s="1392" t="n"/>
      <c r="AK714" s="1392" t="n"/>
      <c r="AL714" s="1392" t="n"/>
      <c r="AM714" s="1392" t="n"/>
      <c r="AN714" s="1392" t="n"/>
      <c r="AO714" s="1392" t="n"/>
      <c r="AP714" s="1392" t="n"/>
      <c r="AQ714" s="1392" t="n"/>
      <c r="AR714" s="1392" t="n"/>
      <c r="AS714" s="1422" t="n"/>
      <c r="AT714" s="1392" t="n"/>
      <c r="AU714" s="1392" t="n"/>
      <c r="AV714" s="1392" t="n"/>
      <c r="AW714" s="1392" t="n"/>
      <c r="AX714" s="1392" t="n"/>
      <c r="AY714" s="1392" t="n"/>
      <c r="AZ714" s="1392" t="n"/>
      <c r="BA714" s="1392" t="n"/>
      <c r="BB714" s="1422" t="n"/>
      <c r="BC714" s="1392" t="n"/>
      <c r="BD714" s="1392" t="n"/>
      <c r="BE714" s="1392" t="n"/>
      <c r="BF714" s="1392" t="n"/>
      <c r="BG714" s="1392" t="n"/>
      <c r="BH714" s="1392" t="n"/>
      <c r="BI714" s="1392" t="n"/>
      <c r="BJ714" s="1392" t="n"/>
      <c r="BK714" s="1392" t="n"/>
      <c r="BL714" s="1392" t="n"/>
      <c r="BM714" s="1392" t="n"/>
      <c r="BN714" s="1392" t="n"/>
      <c r="BO714" s="1392" t="n"/>
      <c r="BP714" s="1392" t="n"/>
      <c r="BQ714" s="1392" t="n"/>
      <c r="BR714" s="1392" t="n"/>
      <c r="BS714" s="1392" t="n"/>
      <c r="BT714" s="1392" t="n"/>
      <c r="BU714" s="1416" t="n"/>
      <c r="BV714" s="1392" t="n"/>
      <c r="BW714" s="1392" t="n"/>
      <c r="BX714" s="1392" t="n"/>
      <c r="BY714" s="1392" t="n"/>
      <c r="BZ714" s="1416" t="n"/>
      <c r="CA714" s="1392" t="n"/>
      <c r="CB714" s="1392" t="n"/>
      <c r="CC714" s="1392" t="n"/>
      <c r="CD714" s="1392" t="n"/>
      <c r="CE714" s="1392" t="n"/>
      <c r="CF714" s="1392" t="n"/>
      <c r="CG714" s="1392" t="n"/>
      <c r="CH714" s="1392" t="n"/>
      <c r="CI714" s="1392" t="n"/>
      <c r="CJ714" s="1392" t="n"/>
      <c r="CK714" s="1392" t="n"/>
      <c r="CL714" s="1392" t="n"/>
    </row>
    <row r="715">
      <c r="A715" s="5" t="inlineStr">
        <is>
          <t>.</t>
        </is>
      </c>
      <c r="B715" s="5" t="inlineStr">
        <is>
          <t>.</t>
        </is>
      </c>
      <c r="C715" s="1378">
        <f>IF(raw[[#This Row],[city]]="","-",IF(raw[[#This Row],[city]]="TODAY","-",C714+1))</f>
        <v/>
      </c>
      <c r="D715" s="1393" t="inlineStr">
        <is>
          <t>Bertioga</t>
        </is>
      </c>
      <c r="E715" s="1394" t="n">
        <v>37506</v>
      </c>
      <c r="F715" s="1394" t="n">
        <v>37510</v>
      </c>
      <c r="G715" s="1393" t="inlineStr">
        <is>
          <t>-</t>
        </is>
      </c>
      <c r="H715" s="1393" t="inlineStr">
        <is>
          <t>Bertioga</t>
        </is>
      </c>
      <c r="I715" s="1393" t="inlineStr">
        <is>
          <t>-</t>
        </is>
      </c>
      <c r="J715" s="1393" t="inlineStr">
        <is>
          <t>-</t>
        </is>
      </c>
      <c r="K715" s="1395">
        <f>IF(raw[[#This Row],[city]]&lt;&gt;"",_xlfn.XLOOKUP($D715,ccc[city],ccc[prov],"-"),"-")</f>
        <v/>
      </c>
      <c r="L715" s="1395">
        <f>IF(raw[[#This Row],[city]]&lt;&gt;"",_xlfn.XLOOKUP($D715,ccc[city],ccc[ctry],"-"),"-")</f>
        <v/>
      </c>
      <c r="M715" s="1395">
        <f>IF(raw[[#This Row],[city]]&lt;&gt;"",_xlfn.XLOOKUP($D715,ccc[city],ccc[cont],"-"),"-")</f>
        <v/>
      </c>
      <c r="N715" s="1396">
        <f>IF(raw[[#This Row],[city]]="","-",IF(raw[[#This Row],[cont]]="B",raw[[#This Row],[cont]],"W"))</f>
        <v/>
      </c>
      <c r="O715" s="1397">
        <f>IF(raw[[#This Row],[out]]=0,0,IF(raw[[#This Row],[out]]=raw[[#This Row],[in]],0.01,raw[[#This Row],[out]]-raw[[#This Row],[in]]))</f>
        <v/>
      </c>
      <c r="P715" s="1397">
        <f>IF(raw[[#This Row],[in]]=0,0,MONTH(raw[[#This Row],[in]]))</f>
        <v/>
      </c>
      <c r="Q715" s="1397">
        <f>IF(raw[[#This Row],[in]]=0,0,YEAR(raw[[#This Row],[in]]))</f>
        <v/>
      </c>
      <c r="R715" s="1397">
        <f>INT(raw[[#This Row],[yr]]/10)*10</f>
        <v/>
      </c>
      <c r="S715" s="1395">
        <f>IF(raw[[#This Row],[city]]="","-",IF(raw[[#This Row],[city]]&lt;&gt;_xlfn.XLOOKUP(raw[[#This Row],[home]],homes[home],homes[city],"-"),1,0))</f>
        <v/>
      </c>
      <c r="T715" s="1398" t="inlineStr">
        <is>
          <t>.</t>
        </is>
      </c>
      <c r="U715" s="1399">
        <f>IF(raw[[#This Row],[wb]]="w",raw[[#This Row],[stay]]+U714,U714)</f>
        <v/>
      </c>
      <c r="V715" s="1400">
        <f>IF(raw[[#This Row],[out]]=0,V714,(raw[[#This Row],[out]]-E$5))</f>
        <v/>
      </c>
      <c r="W715" s="1401">
        <f>U715/V715</f>
        <v/>
      </c>
      <c r="X715" s="1378" t="inlineStr">
        <is>
          <t>.</t>
        </is>
      </c>
      <c r="Y715" s="1402">
        <f/>
        <v/>
      </c>
      <c r="Z715" s="1403">
        <f/>
        <v/>
      </c>
      <c r="AA715" s="1403">
        <f/>
        <v/>
      </c>
      <c r="AB715" s="1400">
        <f t="array" ref="AB715">_xlfn.LET(_xlpm.S,_xlfn.ANCHORARRAY($Y$4),_xlpm.r,ROWS(stayCity[[#Headers],[city]]:stayCity[[#This Row],[city]])-1,IF(_xlpm.r&lt;=ROWS(_xlpm.S),INDEX(_xlpm.S,_xlpm.r,1),""))</f>
        <v/>
      </c>
      <c r="AC715" s="1405">
        <f t="array" ref="AC715">_xlfn.LET(_xlpm.S,_xlfn.ANCHORARRAY($Y$4),_xlpm.r,ROWS(stayCity[[#Headers],[city]]:stayCity[[#This Row],[city]])-1,IF(_xlpm.r&lt;=ROWS(_xlpm.S),INDEX(_xlpm.S,_xlpm.r,2),""))</f>
        <v/>
      </c>
      <c r="AD715" s="1405">
        <f t="array" ref="AD715">_xlfn.LET(_xlpm.S,_xlfn.ANCHORARRAY($Y$4),_xlpm.r,ROWS(stayCity[[#Headers],[city]]:stayCity[[#This Row],[city]])-1,IF(_xlpm.r&lt;=ROWS(_xlpm.S),INDEX(_xlpm.S,_xlpm.r,3),""))</f>
        <v/>
      </c>
      <c r="AE715" s="1400">
        <f>IF(stayCity[[#This Row],[out]]&lt;&gt;"",stayCity[[#This Row],[out]]-stayCity[[#This Row],[in]],"-")</f>
        <v/>
      </c>
      <c r="AF715" s="1406">
        <f>IF(Y715="","-",YEAR(stayCity[[#This Row],[in]]))</f>
        <v/>
      </c>
      <c r="AG715" s="1392" t="n"/>
      <c r="AH715" s="1392" t="n"/>
      <c r="AI715" s="1392" t="n"/>
      <c r="AJ715" s="1392" t="n"/>
      <c r="AK715" s="1392" t="n"/>
      <c r="AL715" s="1392" t="n"/>
      <c r="AM715" s="1392" t="n"/>
      <c r="AN715" s="1392" t="n"/>
      <c r="AO715" s="1392" t="n"/>
      <c r="AP715" s="1392" t="n"/>
      <c r="AQ715" s="1392" t="n"/>
      <c r="AR715" s="1392" t="n"/>
      <c r="AS715" s="1422" t="n"/>
      <c r="AT715" s="1392" t="n"/>
      <c r="AU715" s="1392" t="n"/>
      <c r="AV715" s="1392" t="n"/>
      <c r="AW715" s="1392" t="n"/>
      <c r="AX715" s="1392" t="n"/>
      <c r="AY715" s="1392" t="n"/>
      <c r="AZ715" s="1392" t="n"/>
      <c r="BA715" s="1392" t="n"/>
      <c r="BB715" s="1422" t="n"/>
      <c r="BC715" s="1392" t="n"/>
      <c r="BD715" s="1392" t="n"/>
      <c r="BE715" s="1392" t="n"/>
      <c r="BF715" s="1392" t="n"/>
      <c r="BG715" s="1392" t="n"/>
      <c r="BH715" s="1392" t="n"/>
      <c r="BI715" s="1392" t="n"/>
      <c r="BJ715" s="1392" t="n"/>
      <c r="BK715" s="1392" t="n"/>
      <c r="BL715" s="1392" t="n"/>
      <c r="BM715" s="1392" t="n"/>
      <c r="BN715" s="1392" t="n"/>
      <c r="BO715" s="1392" t="n"/>
      <c r="BP715" s="1392" t="n"/>
      <c r="BQ715" s="1392" t="n"/>
      <c r="BR715" s="1392" t="n"/>
      <c r="BS715" s="1392" t="n"/>
      <c r="BT715" s="1392" t="n"/>
      <c r="BU715" s="1416" t="n"/>
      <c r="BV715" s="1392" t="n"/>
      <c r="BW715" s="1392" t="n"/>
      <c r="BX715" s="1392" t="n"/>
      <c r="BY715" s="1392" t="n"/>
      <c r="BZ715" s="1416" t="n"/>
      <c r="CA715" s="1392" t="n"/>
      <c r="CB715" s="1392" t="n"/>
      <c r="CC715" s="1392" t="n"/>
      <c r="CD715" s="1392" t="n"/>
      <c r="CE715" s="1392" t="n"/>
      <c r="CF715" s="1392" t="n"/>
      <c r="CG715" s="1392" t="n"/>
      <c r="CH715" s="1392" t="n"/>
      <c r="CI715" s="1392" t="n"/>
      <c r="CJ715" s="1392" t="n"/>
      <c r="CK715" s="1392" t="n"/>
      <c r="CL715" s="1392" t="n"/>
    </row>
    <row r="716">
      <c r="A716" s="5" t="inlineStr">
        <is>
          <t>.</t>
        </is>
      </c>
      <c r="B716" s="5" t="inlineStr">
        <is>
          <t>.</t>
        </is>
      </c>
      <c r="C716" s="1378">
        <f>IF(raw[[#This Row],[city]]="","-",IF(raw[[#This Row],[city]]="TODAY","-",C715+1))</f>
        <v/>
      </c>
      <c r="D716" s="1393" t="inlineStr">
        <is>
          <t>SP</t>
        </is>
      </c>
      <c r="E716" s="1394" t="n">
        <v>37510</v>
      </c>
      <c r="F716" s="1394" t="n">
        <v>37512</v>
      </c>
      <c r="G716" s="1393" t="inlineStr">
        <is>
          <t>-</t>
        </is>
      </c>
      <c r="H716" s="1393" t="inlineStr">
        <is>
          <t>Bertioga</t>
        </is>
      </c>
      <c r="I716" s="1393" t="inlineStr">
        <is>
          <t>Salto Grande</t>
        </is>
      </c>
      <c r="J716" s="1393" t="inlineStr">
        <is>
          <t>-</t>
        </is>
      </c>
      <c r="K716" s="1395">
        <f>IF(raw[[#This Row],[city]]&lt;&gt;"",_xlfn.XLOOKUP($D716,ccc[city],ccc[prov],"-"),"-")</f>
        <v/>
      </c>
      <c r="L716" s="1395">
        <f>IF(raw[[#This Row],[city]]&lt;&gt;"",_xlfn.XLOOKUP($D716,ccc[city],ccc[ctry],"-"),"-")</f>
        <v/>
      </c>
      <c r="M716" s="1395">
        <f>IF(raw[[#This Row],[city]]&lt;&gt;"",_xlfn.XLOOKUP($D716,ccc[city],ccc[cont],"-"),"-")</f>
        <v/>
      </c>
      <c r="N716" s="1396">
        <f>IF(raw[[#This Row],[city]]="","-",IF(raw[[#This Row],[cont]]="B",raw[[#This Row],[cont]],"W"))</f>
        <v/>
      </c>
      <c r="O716" s="1397">
        <f>IF(raw[[#This Row],[out]]=0,0,IF(raw[[#This Row],[out]]=raw[[#This Row],[in]],0.01,raw[[#This Row],[out]]-raw[[#This Row],[in]]))</f>
        <v/>
      </c>
      <c r="P716" s="1397">
        <f>IF(raw[[#This Row],[in]]=0,0,MONTH(raw[[#This Row],[in]]))</f>
        <v/>
      </c>
      <c r="Q716" s="1397">
        <f>IF(raw[[#This Row],[in]]=0,0,YEAR(raw[[#This Row],[in]]))</f>
        <v/>
      </c>
      <c r="R716" s="1397">
        <f>INT(raw[[#This Row],[yr]]/10)*10</f>
        <v/>
      </c>
      <c r="S716" s="1395">
        <f>IF(raw[[#This Row],[city]]="","-",IF(raw[[#This Row],[city]]&lt;&gt;_xlfn.XLOOKUP(raw[[#This Row],[home]],homes[home],homes[city],"-"),1,0))</f>
        <v/>
      </c>
      <c r="T716" s="1398" t="inlineStr">
        <is>
          <t>.</t>
        </is>
      </c>
      <c r="U716" s="1399">
        <f>IF(raw[[#This Row],[wb]]="w",raw[[#This Row],[stay]]+U715,U715)</f>
        <v/>
      </c>
      <c r="V716" s="1400">
        <f>IF(raw[[#This Row],[out]]=0,V715,(raw[[#This Row],[out]]-E$5))</f>
        <v/>
      </c>
      <c r="W716" s="1401">
        <f>U716/V716</f>
        <v/>
      </c>
      <c r="X716" s="1378" t="inlineStr">
        <is>
          <t>.</t>
        </is>
      </c>
      <c r="Y716" s="1402">
        <f/>
        <v/>
      </c>
      <c r="Z716" s="1403">
        <f/>
        <v/>
      </c>
      <c r="AA716" s="1403">
        <f/>
        <v/>
      </c>
      <c r="AB716" s="1400">
        <f t="array" ref="AB716">_xlfn.LET(_xlpm.S,_xlfn.ANCHORARRAY($Y$4),_xlpm.r,ROWS(stayCity[[#Headers],[city]]:stayCity[[#This Row],[city]])-1,IF(_xlpm.r&lt;=ROWS(_xlpm.S),INDEX(_xlpm.S,_xlpm.r,1),""))</f>
        <v/>
      </c>
      <c r="AC716" s="1405">
        <f t="array" ref="AC716">_xlfn.LET(_xlpm.S,_xlfn.ANCHORARRAY($Y$4),_xlpm.r,ROWS(stayCity[[#Headers],[city]]:stayCity[[#This Row],[city]])-1,IF(_xlpm.r&lt;=ROWS(_xlpm.S),INDEX(_xlpm.S,_xlpm.r,2),""))</f>
        <v/>
      </c>
      <c r="AD716" s="1405">
        <f t="array" ref="AD716">_xlfn.LET(_xlpm.S,_xlfn.ANCHORARRAY($Y$4),_xlpm.r,ROWS(stayCity[[#Headers],[city]]:stayCity[[#This Row],[city]])-1,IF(_xlpm.r&lt;=ROWS(_xlpm.S),INDEX(_xlpm.S,_xlpm.r,3),""))</f>
        <v/>
      </c>
      <c r="AE716" s="1400">
        <f>IF(stayCity[[#This Row],[out]]&lt;&gt;"",stayCity[[#This Row],[out]]-stayCity[[#This Row],[in]],"-")</f>
        <v/>
      </c>
      <c r="AF716" s="1406">
        <f>IF(Y716="","-",YEAR(stayCity[[#This Row],[in]]))</f>
        <v/>
      </c>
      <c r="AG716" s="1392" t="n"/>
      <c r="AH716" s="1392" t="n"/>
      <c r="AI716" s="1392" t="n"/>
      <c r="AJ716" s="1392" t="n"/>
      <c r="AK716" s="1392" t="n"/>
      <c r="AL716" s="1392" t="n"/>
      <c r="AM716" s="1392" t="n"/>
      <c r="AN716" s="1392" t="n"/>
      <c r="AO716" s="1392" t="n"/>
      <c r="AP716" s="1392" t="n"/>
      <c r="AQ716" s="1392" t="n"/>
      <c r="AR716" s="1392" t="n"/>
      <c r="AS716" s="1422" t="n"/>
      <c r="AT716" s="1392" t="n"/>
      <c r="AU716" s="1392" t="n"/>
      <c r="AV716" s="1392" t="n"/>
      <c r="AW716" s="1392" t="n"/>
      <c r="AX716" s="1392" t="n"/>
      <c r="AY716" s="1392" t="n"/>
      <c r="AZ716" s="1392" t="n"/>
      <c r="BA716" s="1392" t="n"/>
      <c r="BB716" s="1422" t="n"/>
      <c r="BC716" s="1392" t="n"/>
      <c r="BD716" s="1392" t="n"/>
      <c r="BE716" s="1392" t="n"/>
      <c r="BF716" s="1392" t="n"/>
      <c r="BG716" s="1392" t="n"/>
      <c r="BH716" s="1392" t="n"/>
      <c r="BI716" s="1392" t="n"/>
      <c r="BJ716" s="1392" t="n"/>
      <c r="BK716" s="1392" t="n"/>
      <c r="BL716" s="1392" t="n"/>
      <c r="BM716" s="1392" t="n"/>
      <c r="BN716" s="1392" t="n"/>
      <c r="BO716" s="1392" t="n"/>
      <c r="BP716" s="1392" t="n"/>
      <c r="BQ716" s="1392" t="n"/>
      <c r="BR716" s="1392" t="n"/>
      <c r="BS716" s="1392" t="n"/>
      <c r="BT716" s="1392" t="n"/>
      <c r="BU716" s="1416" t="n"/>
      <c r="BV716" s="1392" t="n"/>
      <c r="BW716" s="1392" t="n"/>
      <c r="BX716" s="1392" t="n"/>
      <c r="BY716" s="1392" t="n"/>
      <c r="BZ716" s="1416" t="n"/>
      <c r="CA716" s="1392" t="n"/>
      <c r="CB716" s="1392" t="n"/>
      <c r="CC716" s="1392" t="n"/>
      <c r="CD716" s="1392" t="n"/>
      <c r="CE716" s="1392" t="n"/>
      <c r="CF716" s="1392" t="n"/>
      <c r="CG716" s="1392" t="n"/>
      <c r="CH716" s="1392" t="n"/>
      <c r="CI716" s="1392" t="n"/>
      <c r="CJ716" s="1392" t="n"/>
      <c r="CK716" s="1392" t="n"/>
      <c r="CL716" s="1392" t="n"/>
    </row>
    <row r="717">
      <c r="A717" s="5" t="inlineStr">
        <is>
          <t>.</t>
        </is>
      </c>
      <c r="B717" s="5" t="inlineStr">
        <is>
          <t>.</t>
        </is>
      </c>
      <c r="C717" s="1378">
        <f>IF(raw[[#This Row],[city]]="","-",IF(raw[[#This Row],[city]]="TODAY","-",C716+1))</f>
        <v/>
      </c>
      <c r="D717" s="1393" t="inlineStr">
        <is>
          <t>Bertioga</t>
        </is>
      </c>
      <c r="E717" s="1394" t="n">
        <v>37512</v>
      </c>
      <c r="F717" s="1394" t="n">
        <v>37516</v>
      </c>
      <c r="G717" s="1393" t="inlineStr">
        <is>
          <t>-</t>
        </is>
      </c>
      <c r="H717" s="1393" t="inlineStr">
        <is>
          <t>Bertioga</t>
        </is>
      </c>
      <c r="I717" s="1393" t="inlineStr">
        <is>
          <t>-</t>
        </is>
      </c>
      <c r="J717" s="1393" t="inlineStr">
        <is>
          <t>-</t>
        </is>
      </c>
      <c r="K717" s="1395">
        <f>IF(raw[[#This Row],[city]]&lt;&gt;"",_xlfn.XLOOKUP($D717,ccc[city],ccc[prov],"-"),"-")</f>
        <v/>
      </c>
      <c r="L717" s="1395">
        <f>IF(raw[[#This Row],[city]]&lt;&gt;"",_xlfn.XLOOKUP($D717,ccc[city],ccc[ctry],"-"),"-")</f>
        <v/>
      </c>
      <c r="M717" s="1395">
        <f>IF(raw[[#This Row],[city]]&lt;&gt;"",_xlfn.XLOOKUP($D717,ccc[city],ccc[cont],"-"),"-")</f>
        <v/>
      </c>
      <c r="N717" s="1396">
        <f>IF(raw[[#This Row],[city]]="","-",IF(raw[[#This Row],[cont]]="B",raw[[#This Row],[cont]],"W"))</f>
        <v/>
      </c>
      <c r="O717" s="1397">
        <f>IF(raw[[#This Row],[out]]=0,0,IF(raw[[#This Row],[out]]=raw[[#This Row],[in]],0.01,raw[[#This Row],[out]]-raw[[#This Row],[in]]))</f>
        <v/>
      </c>
      <c r="P717" s="1397">
        <f>IF(raw[[#This Row],[in]]=0,0,MONTH(raw[[#This Row],[in]]))</f>
        <v/>
      </c>
      <c r="Q717" s="1397">
        <f>IF(raw[[#This Row],[in]]=0,0,YEAR(raw[[#This Row],[in]]))</f>
        <v/>
      </c>
      <c r="R717" s="1397">
        <f>INT(raw[[#This Row],[yr]]/10)*10</f>
        <v/>
      </c>
      <c r="S717" s="1395">
        <f>IF(raw[[#This Row],[city]]="","-",IF(raw[[#This Row],[city]]&lt;&gt;_xlfn.XLOOKUP(raw[[#This Row],[home]],homes[home],homes[city],"-"),1,0))</f>
        <v/>
      </c>
      <c r="T717" s="1398" t="inlineStr">
        <is>
          <t>.</t>
        </is>
      </c>
      <c r="U717" s="1399">
        <f>IF(raw[[#This Row],[wb]]="w",raw[[#This Row],[stay]]+U716,U716)</f>
        <v/>
      </c>
      <c r="V717" s="1400">
        <f>IF(raw[[#This Row],[out]]=0,V716,(raw[[#This Row],[out]]-E$5))</f>
        <v/>
      </c>
      <c r="W717" s="1401">
        <f>U717/V717</f>
        <v/>
      </c>
      <c r="X717" s="1378" t="inlineStr">
        <is>
          <t>.</t>
        </is>
      </c>
      <c r="Y717" s="1402">
        <f/>
        <v/>
      </c>
      <c r="Z717" s="1403">
        <f/>
        <v/>
      </c>
      <c r="AA717" s="1403">
        <f/>
        <v/>
      </c>
      <c r="AB717" s="1400">
        <f t="array" ref="AB717">_xlfn.LET(_xlpm.S,_xlfn.ANCHORARRAY($Y$4),_xlpm.r,ROWS(stayCity[[#Headers],[city]]:stayCity[[#This Row],[city]])-1,IF(_xlpm.r&lt;=ROWS(_xlpm.S),INDEX(_xlpm.S,_xlpm.r,1),""))</f>
        <v/>
      </c>
      <c r="AC717" s="1405">
        <f t="array" ref="AC717">_xlfn.LET(_xlpm.S,_xlfn.ANCHORARRAY($Y$4),_xlpm.r,ROWS(stayCity[[#Headers],[city]]:stayCity[[#This Row],[city]])-1,IF(_xlpm.r&lt;=ROWS(_xlpm.S),INDEX(_xlpm.S,_xlpm.r,2),""))</f>
        <v/>
      </c>
      <c r="AD717" s="1405">
        <f t="array" ref="AD717">_xlfn.LET(_xlpm.S,_xlfn.ANCHORARRAY($Y$4),_xlpm.r,ROWS(stayCity[[#Headers],[city]]:stayCity[[#This Row],[city]])-1,IF(_xlpm.r&lt;=ROWS(_xlpm.S),INDEX(_xlpm.S,_xlpm.r,3),""))</f>
        <v/>
      </c>
      <c r="AE717" s="1400">
        <f>IF(stayCity[[#This Row],[out]]&lt;&gt;"",stayCity[[#This Row],[out]]-stayCity[[#This Row],[in]],"-")</f>
        <v/>
      </c>
      <c r="AF717" s="1406">
        <f>IF(Y717="","-",YEAR(stayCity[[#This Row],[in]]))</f>
        <v/>
      </c>
      <c r="AG717" s="1392" t="n"/>
      <c r="AH717" s="1392" t="n"/>
      <c r="AI717" s="1392" t="n"/>
      <c r="AJ717" s="1392" t="n"/>
      <c r="AK717" s="1392" t="n"/>
      <c r="AL717" s="1392" t="n"/>
      <c r="AM717" s="1392" t="n"/>
      <c r="AN717" s="1392" t="n"/>
      <c r="AO717" s="1392" t="n"/>
      <c r="AP717" s="1392" t="n"/>
      <c r="AQ717" s="1392" t="n"/>
      <c r="AR717" s="1392" t="n"/>
      <c r="AS717" s="1422" t="n"/>
      <c r="AT717" s="1392" t="n"/>
      <c r="AU717" s="1392" t="n"/>
      <c r="AV717" s="1392" t="n"/>
      <c r="AW717" s="1392" t="n"/>
      <c r="AX717" s="1392" t="n"/>
      <c r="AY717" s="1392" t="n"/>
      <c r="AZ717" s="1392" t="n"/>
      <c r="BA717" s="1392" t="n"/>
      <c r="BB717" s="1422" t="n"/>
      <c r="BC717" s="1392" t="n"/>
      <c r="BD717" s="1392" t="n"/>
      <c r="BE717" s="1392" t="n"/>
      <c r="BF717" s="1392" t="n"/>
      <c r="BG717" s="1392" t="n"/>
      <c r="BH717" s="1392" t="n"/>
      <c r="BI717" s="1392" t="n"/>
      <c r="BJ717" s="1392" t="n"/>
      <c r="BK717" s="1392" t="n"/>
      <c r="BL717" s="1392" t="n"/>
      <c r="BM717" s="1392" t="n"/>
      <c r="BN717" s="1392" t="n"/>
      <c r="BO717" s="1392" t="n"/>
      <c r="BP717" s="1392" t="n"/>
      <c r="BQ717" s="1392" t="n"/>
      <c r="BR717" s="1392" t="n"/>
      <c r="BS717" s="1392" t="n"/>
      <c r="BT717" s="1392" t="n"/>
      <c r="BU717" s="1416" t="n"/>
      <c r="BV717" s="1392" t="n"/>
      <c r="BW717" s="1392" t="n"/>
      <c r="BX717" s="1392" t="n"/>
      <c r="BY717" s="1392" t="n"/>
      <c r="BZ717" s="1416" t="n"/>
      <c r="CA717" s="1392" t="n"/>
      <c r="CB717" s="1392" t="n"/>
      <c r="CC717" s="1392" t="n"/>
      <c r="CD717" s="1392" t="n"/>
      <c r="CE717" s="1392" t="n"/>
      <c r="CF717" s="1392" t="n"/>
      <c r="CG717" s="1392" t="n"/>
      <c r="CH717" s="1392" t="n"/>
      <c r="CI717" s="1392" t="n"/>
      <c r="CJ717" s="1392" t="n"/>
      <c r="CK717" s="1392" t="n"/>
      <c r="CL717" s="1392" t="n"/>
    </row>
    <row r="718">
      <c r="A718" s="5" t="inlineStr">
        <is>
          <t>.</t>
        </is>
      </c>
      <c r="B718" s="5" t="inlineStr">
        <is>
          <t>.</t>
        </is>
      </c>
      <c r="C718" s="1378">
        <f>IF(raw[[#This Row],[city]]="","-",IF(raw[[#This Row],[city]]="TODAY","-",C717+1))</f>
        <v/>
      </c>
      <c r="D718" s="1393" t="inlineStr">
        <is>
          <t>SP</t>
        </is>
      </c>
      <c r="E718" s="1394" t="n">
        <v>37516</v>
      </c>
      <c r="F718" s="1394" t="n">
        <v>37519</v>
      </c>
      <c r="G718" s="1393" t="inlineStr">
        <is>
          <t>-</t>
        </is>
      </c>
      <c r="H718" s="1393" t="inlineStr">
        <is>
          <t>Bertioga</t>
        </is>
      </c>
      <c r="I718" s="1393" t="inlineStr">
        <is>
          <t>Salto Grande</t>
        </is>
      </c>
      <c r="J718" s="1393" t="inlineStr">
        <is>
          <t>-</t>
        </is>
      </c>
      <c r="K718" s="1395">
        <f>IF(raw[[#This Row],[city]]&lt;&gt;"",_xlfn.XLOOKUP($D718,ccc[city],ccc[prov],"-"),"-")</f>
        <v/>
      </c>
      <c r="L718" s="1395">
        <f>IF(raw[[#This Row],[city]]&lt;&gt;"",_xlfn.XLOOKUP($D718,ccc[city],ccc[ctry],"-"),"-")</f>
        <v/>
      </c>
      <c r="M718" s="1395">
        <f>IF(raw[[#This Row],[city]]&lt;&gt;"",_xlfn.XLOOKUP($D718,ccc[city],ccc[cont],"-"),"-")</f>
        <v/>
      </c>
      <c r="N718" s="1396">
        <f>IF(raw[[#This Row],[city]]="","-",IF(raw[[#This Row],[cont]]="B",raw[[#This Row],[cont]],"W"))</f>
        <v/>
      </c>
      <c r="O718" s="1397">
        <f>IF(raw[[#This Row],[out]]=0,0,IF(raw[[#This Row],[out]]=raw[[#This Row],[in]],0.01,raw[[#This Row],[out]]-raw[[#This Row],[in]]))</f>
        <v/>
      </c>
      <c r="P718" s="1397">
        <f>IF(raw[[#This Row],[in]]=0,0,MONTH(raw[[#This Row],[in]]))</f>
        <v/>
      </c>
      <c r="Q718" s="1397">
        <f>IF(raw[[#This Row],[in]]=0,0,YEAR(raw[[#This Row],[in]]))</f>
        <v/>
      </c>
      <c r="R718" s="1397">
        <f>INT(raw[[#This Row],[yr]]/10)*10</f>
        <v/>
      </c>
      <c r="S718" s="1395">
        <f>IF(raw[[#This Row],[city]]="","-",IF(raw[[#This Row],[city]]&lt;&gt;_xlfn.XLOOKUP(raw[[#This Row],[home]],homes[home],homes[city],"-"),1,0))</f>
        <v/>
      </c>
      <c r="T718" s="1398" t="inlineStr">
        <is>
          <t>.</t>
        </is>
      </c>
      <c r="U718" s="1399">
        <f>IF(raw[[#This Row],[wb]]="w",raw[[#This Row],[stay]]+U717,U717)</f>
        <v/>
      </c>
      <c r="V718" s="1400">
        <f>IF(raw[[#This Row],[out]]=0,V717,(raw[[#This Row],[out]]-E$5))</f>
        <v/>
      </c>
      <c r="W718" s="1401">
        <f>U718/V718</f>
        <v/>
      </c>
      <c r="X718" s="1378" t="inlineStr">
        <is>
          <t>.</t>
        </is>
      </c>
      <c r="Y718" s="1402">
        <f/>
        <v/>
      </c>
      <c r="Z718" s="1403">
        <f/>
        <v/>
      </c>
      <c r="AA718" s="1403">
        <f/>
        <v/>
      </c>
      <c r="AB718" s="1400">
        <f t="array" ref="AB718">_xlfn.LET(_xlpm.S,_xlfn.ANCHORARRAY($Y$4),_xlpm.r,ROWS(stayCity[[#Headers],[city]]:stayCity[[#This Row],[city]])-1,IF(_xlpm.r&lt;=ROWS(_xlpm.S),INDEX(_xlpm.S,_xlpm.r,1),""))</f>
        <v/>
      </c>
      <c r="AC718" s="1405">
        <f t="array" ref="AC718">_xlfn.LET(_xlpm.S,_xlfn.ANCHORARRAY($Y$4),_xlpm.r,ROWS(stayCity[[#Headers],[city]]:stayCity[[#This Row],[city]])-1,IF(_xlpm.r&lt;=ROWS(_xlpm.S),INDEX(_xlpm.S,_xlpm.r,2),""))</f>
        <v/>
      </c>
      <c r="AD718" s="1405">
        <f t="array" ref="AD718">_xlfn.LET(_xlpm.S,_xlfn.ANCHORARRAY($Y$4),_xlpm.r,ROWS(stayCity[[#Headers],[city]]:stayCity[[#This Row],[city]])-1,IF(_xlpm.r&lt;=ROWS(_xlpm.S),INDEX(_xlpm.S,_xlpm.r,3),""))</f>
        <v/>
      </c>
      <c r="AE718" s="1400">
        <f>IF(stayCity[[#This Row],[out]]&lt;&gt;"",stayCity[[#This Row],[out]]-stayCity[[#This Row],[in]],"-")</f>
        <v/>
      </c>
      <c r="AF718" s="1406">
        <f>IF(Y718="","-",YEAR(stayCity[[#This Row],[in]]))</f>
        <v/>
      </c>
      <c r="AG718" s="1392" t="n"/>
      <c r="AH718" s="1392" t="n"/>
      <c r="AI718" s="1392" t="n"/>
      <c r="AJ718" s="1392" t="n"/>
      <c r="AK718" s="1392" t="n"/>
      <c r="AL718" s="1392" t="n"/>
      <c r="AM718" s="1392" t="n"/>
      <c r="AN718" s="1392" t="n"/>
      <c r="AO718" s="1392" t="n"/>
      <c r="AP718" s="1392" t="n"/>
      <c r="AQ718" s="1392" t="n"/>
      <c r="AR718" s="1392" t="n"/>
      <c r="AS718" s="1422" t="n"/>
      <c r="AT718" s="1392" t="n"/>
      <c r="AU718" s="1392" t="n"/>
      <c r="AV718" s="1392" t="n"/>
      <c r="AW718" s="1392" t="n"/>
      <c r="AX718" s="1392" t="n"/>
      <c r="AY718" s="1392" t="n"/>
      <c r="AZ718" s="1392" t="n"/>
      <c r="BA718" s="1392" t="n"/>
      <c r="BB718" s="1422" t="n"/>
      <c r="BC718" s="1392" t="n"/>
      <c r="BD718" s="1392" t="n"/>
      <c r="BE718" s="1392" t="n"/>
      <c r="BF718" s="1392" t="n"/>
      <c r="BG718" s="1392" t="n"/>
      <c r="BH718" s="1392" t="n"/>
      <c r="BI718" s="1392" t="n"/>
      <c r="BJ718" s="1392" t="n"/>
      <c r="BK718" s="1392" t="n"/>
      <c r="BL718" s="1392" t="n"/>
      <c r="BM718" s="1392" t="n"/>
      <c r="BN718" s="1392" t="n"/>
      <c r="BO718" s="1392" t="n"/>
      <c r="BP718" s="1392" t="n"/>
      <c r="BQ718" s="1392" t="n"/>
      <c r="BR718" s="1392" t="n"/>
      <c r="BS718" s="1392" t="n"/>
      <c r="BT718" s="1392" t="n"/>
      <c r="BU718" s="1416" t="n"/>
      <c r="BV718" s="1392" t="n"/>
      <c r="BW718" s="1392" t="n"/>
      <c r="BX718" s="1392" t="n"/>
      <c r="BY718" s="1392" t="n"/>
      <c r="BZ718" s="1416" t="n"/>
      <c r="CA718" s="1392" t="n"/>
      <c r="CB718" s="1392" t="n"/>
      <c r="CC718" s="1392" t="n"/>
      <c r="CD718" s="1392" t="n"/>
      <c r="CE718" s="1392" t="n"/>
      <c r="CF718" s="1392" t="n"/>
      <c r="CG718" s="1392" t="n"/>
      <c r="CH718" s="1392" t="n"/>
      <c r="CI718" s="1392" t="n"/>
      <c r="CJ718" s="1392" t="n"/>
      <c r="CK718" s="1392" t="n"/>
      <c r="CL718" s="1392" t="n"/>
    </row>
    <row r="719">
      <c r="A719" s="5" t="inlineStr">
        <is>
          <t>.</t>
        </is>
      </c>
      <c r="B719" s="5" t="inlineStr">
        <is>
          <t>.</t>
        </is>
      </c>
      <c r="C719" s="1378">
        <f>IF(raw[[#This Row],[city]]="","-",IF(raw[[#This Row],[city]]="TODAY","-",C718+1))</f>
        <v/>
      </c>
      <c r="D719" s="1393" t="inlineStr">
        <is>
          <t>Bertioga</t>
        </is>
      </c>
      <c r="E719" s="1394" t="n">
        <v>37519</v>
      </c>
      <c r="F719" s="1394" t="n">
        <v>37523</v>
      </c>
      <c r="G719" s="1393" t="inlineStr">
        <is>
          <t>-</t>
        </is>
      </c>
      <c r="H719" s="1393" t="inlineStr">
        <is>
          <t>Bertioga</t>
        </is>
      </c>
      <c r="I719" s="1393" t="inlineStr">
        <is>
          <t>-</t>
        </is>
      </c>
      <c r="J719" s="1393" t="inlineStr">
        <is>
          <t>-</t>
        </is>
      </c>
      <c r="K719" s="1395">
        <f>IF(raw[[#This Row],[city]]&lt;&gt;"",_xlfn.XLOOKUP($D719,ccc[city],ccc[prov],"-"),"-")</f>
        <v/>
      </c>
      <c r="L719" s="1395">
        <f>IF(raw[[#This Row],[city]]&lt;&gt;"",_xlfn.XLOOKUP($D719,ccc[city],ccc[ctry],"-"),"-")</f>
        <v/>
      </c>
      <c r="M719" s="1395">
        <f>IF(raw[[#This Row],[city]]&lt;&gt;"",_xlfn.XLOOKUP($D719,ccc[city],ccc[cont],"-"),"-")</f>
        <v/>
      </c>
      <c r="N719" s="1396">
        <f>IF(raw[[#This Row],[city]]="","-",IF(raw[[#This Row],[cont]]="B",raw[[#This Row],[cont]],"W"))</f>
        <v/>
      </c>
      <c r="O719" s="1397">
        <f>IF(raw[[#This Row],[out]]=0,0,IF(raw[[#This Row],[out]]=raw[[#This Row],[in]],0.01,raw[[#This Row],[out]]-raw[[#This Row],[in]]))</f>
        <v/>
      </c>
      <c r="P719" s="1397">
        <f>IF(raw[[#This Row],[in]]=0,0,MONTH(raw[[#This Row],[in]]))</f>
        <v/>
      </c>
      <c r="Q719" s="1397">
        <f>IF(raw[[#This Row],[in]]=0,0,YEAR(raw[[#This Row],[in]]))</f>
        <v/>
      </c>
      <c r="R719" s="1397">
        <f>INT(raw[[#This Row],[yr]]/10)*10</f>
        <v/>
      </c>
      <c r="S719" s="1395">
        <f>IF(raw[[#This Row],[city]]="","-",IF(raw[[#This Row],[city]]&lt;&gt;_xlfn.XLOOKUP(raw[[#This Row],[home]],homes[home],homes[city],"-"),1,0))</f>
        <v/>
      </c>
      <c r="T719" s="1398" t="inlineStr">
        <is>
          <t>.</t>
        </is>
      </c>
      <c r="U719" s="1399">
        <f>IF(raw[[#This Row],[wb]]="w",raw[[#This Row],[stay]]+U718,U718)</f>
        <v/>
      </c>
      <c r="V719" s="1400">
        <f>IF(raw[[#This Row],[out]]=0,V718,(raw[[#This Row],[out]]-E$5))</f>
        <v/>
      </c>
      <c r="W719" s="1401">
        <f>U719/V719</f>
        <v/>
      </c>
      <c r="X719" s="1378" t="inlineStr">
        <is>
          <t>.</t>
        </is>
      </c>
      <c r="Y719" s="1402">
        <f/>
        <v/>
      </c>
      <c r="Z719" s="1403">
        <f/>
        <v/>
      </c>
      <c r="AA719" s="1403">
        <f/>
        <v/>
      </c>
      <c r="AB719" s="1400">
        <f t="array" ref="AB719">_xlfn.LET(_xlpm.S,_xlfn.ANCHORARRAY($Y$4),_xlpm.r,ROWS(stayCity[[#Headers],[city]]:stayCity[[#This Row],[city]])-1,IF(_xlpm.r&lt;=ROWS(_xlpm.S),INDEX(_xlpm.S,_xlpm.r,1),""))</f>
        <v/>
      </c>
      <c r="AC719" s="1405">
        <f t="array" ref="AC719">_xlfn.LET(_xlpm.S,_xlfn.ANCHORARRAY($Y$4),_xlpm.r,ROWS(stayCity[[#Headers],[city]]:stayCity[[#This Row],[city]])-1,IF(_xlpm.r&lt;=ROWS(_xlpm.S),INDEX(_xlpm.S,_xlpm.r,2),""))</f>
        <v/>
      </c>
      <c r="AD719" s="1405">
        <f t="array" ref="AD719">_xlfn.LET(_xlpm.S,_xlfn.ANCHORARRAY($Y$4),_xlpm.r,ROWS(stayCity[[#Headers],[city]]:stayCity[[#This Row],[city]])-1,IF(_xlpm.r&lt;=ROWS(_xlpm.S),INDEX(_xlpm.S,_xlpm.r,3),""))</f>
        <v/>
      </c>
      <c r="AE719" s="1400">
        <f>IF(stayCity[[#This Row],[out]]&lt;&gt;"",stayCity[[#This Row],[out]]-stayCity[[#This Row],[in]],"-")</f>
        <v/>
      </c>
      <c r="AF719" s="1406">
        <f>IF(Y719="","-",YEAR(stayCity[[#This Row],[in]]))</f>
        <v/>
      </c>
      <c r="AG719" s="1392" t="n"/>
      <c r="AH719" s="1392" t="n"/>
      <c r="AI719" s="1392" t="n"/>
      <c r="AJ719" s="1392" t="n"/>
      <c r="AK719" s="1392" t="n"/>
      <c r="AL719" s="1392" t="n"/>
      <c r="AM719" s="1392" t="n"/>
      <c r="AN719" s="1392" t="n"/>
      <c r="AO719" s="1392" t="n"/>
      <c r="AP719" s="1392" t="n"/>
      <c r="AQ719" s="1392" t="n"/>
      <c r="AR719" s="1392" t="n"/>
      <c r="AS719" s="1422" t="n"/>
      <c r="AT719" s="1392" t="n"/>
      <c r="AU719" s="1392" t="n"/>
      <c r="AV719" s="1392" t="n"/>
      <c r="AW719" s="1392" t="n"/>
      <c r="AX719" s="1392" t="n"/>
      <c r="AY719" s="1392" t="n"/>
      <c r="AZ719" s="1392" t="n"/>
      <c r="BA719" s="1392" t="n"/>
      <c r="BB719" s="1422" t="n"/>
      <c r="BC719" s="1392" t="n"/>
      <c r="BD719" s="1392" t="n"/>
      <c r="BE719" s="1392" t="n"/>
      <c r="BF719" s="1392" t="n"/>
      <c r="BG719" s="1392" t="n"/>
      <c r="BH719" s="1392" t="n"/>
      <c r="BI719" s="1392" t="n"/>
      <c r="BJ719" s="1392" t="n"/>
      <c r="BK719" s="1392" t="n"/>
      <c r="BL719" s="1392" t="n"/>
      <c r="BM719" s="1392" t="n"/>
      <c r="BN719" s="1392" t="n"/>
      <c r="BO719" s="1392" t="n"/>
      <c r="BP719" s="1392" t="n"/>
      <c r="BQ719" s="1392" t="n"/>
      <c r="BR719" s="1392" t="n"/>
      <c r="BS719" s="1392" t="n"/>
      <c r="BT719" s="1392" t="n"/>
      <c r="BU719" s="1416" t="n"/>
      <c r="BV719" s="1392" t="n"/>
      <c r="BW719" s="1392" t="n"/>
      <c r="BX719" s="1392" t="n"/>
      <c r="BY719" s="1392" t="n"/>
      <c r="BZ719" s="1416" t="n"/>
      <c r="CA719" s="1392" t="n"/>
      <c r="CB719" s="1392" t="n"/>
      <c r="CC719" s="1392" t="n"/>
      <c r="CD719" s="1392" t="n"/>
      <c r="CE719" s="1392" t="n"/>
      <c r="CF719" s="1392" t="n"/>
      <c r="CG719" s="1392" t="n"/>
      <c r="CH719" s="1392" t="n"/>
      <c r="CI719" s="1392" t="n"/>
      <c r="CJ719" s="1392" t="n"/>
      <c r="CK719" s="1392" t="n"/>
      <c r="CL719" s="1392" t="n"/>
    </row>
    <row r="720">
      <c r="A720" s="5" t="inlineStr">
        <is>
          <t>.</t>
        </is>
      </c>
      <c r="B720" s="5" t="inlineStr">
        <is>
          <t>.</t>
        </is>
      </c>
      <c r="C720" s="1378">
        <f>IF(raw[[#This Row],[city]]="","-",IF(raw[[#This Row],[city]]="TODAY","-",C719+1))</f>
        <v/>
      </c>
      <c r="D720" s="1393" t="inlineStr">
        <is>
          <t>SP</t>
        </is>
      </c>
      <c r="E720" s="1394" t="n">
        <v>37523</v>
      </c>
      <c r="F720" s="1394" t="n">
        <v>37525</v>
      </c>
      <c r="G720" s="1393" t="n">
        <v>1</v>
      </c>
      <c r="H720" s="1393" t="inlineStr">
        <is>
          <t>Bertioga</t>
        </is>
      </c>
      <c r="I720" s="1393" t="inlineStr">
        <is>
          <t>Salto Grande</t>
        </is>
      </c>
      <c r="J720" s="1393" t="inlineStr">
        <is>
          <t>-</t>
        </is>
      </c>
      <c r="K720" s="1395">
        <f>IF(raw[[#This Row],[city]]&lt;&gt;"",_xlfn.XLOOKUP($D720,ccc[city],ccc[prov],"-"),"-")</f>
        <v/>
      </c>
      <c r="L720" s="1395">
        <f>IF(raw[[#This Row],[city]]&lt;&gt;"",_xlfn.XLOOKUP($D720,ccc[city],ccc[ctry],"-"),"-")</f>
        <v/>
      </c>
      <c r="M720" s="1395">
        <f>IF(raw[[#This Row],[city]]&lt;&gt;"",_xlfn.XLOOKUP($D720,ccc[city],ccc[cont],"-"),"-")</f>
        <v/>
      </c>
      <c r="N720" s="1396">
        <f>IF(raw[[#This Row],[city]]="","-",IF(raw[[#This Row],[cont]]="B",raw[[#This Row],[cont]],"W"))</f>
        <v/>
      </c>
      <c r="O720" s="1397">
        <f>IF(raw[[#This Row],[out]]=0,0,IF(raw[[#This Row],[out]]=raw[[#This Row],[in]],0.01,raw[[#This Row],[out]]-raw[[#This Row],[in]]))</f>
        <v/>
      </c>
      <c r="P720" s="1397">
        <f>IF(raw[[#This Row],[in]]=0,0,MONTH(raw[[#This Row],[in]]))</f>
        <v/>
      </c>
      <c r="Q720" s="1397">
        <f>IF(raw[[#This Row],[in]]=0,0,YEAR(raw[[#This Row],[in]]))</f>
        <v/>
      </c>
      <c r="R720" s="1397">
        <f>INT(raw[[#This Row],[yr]]/10)*10</f>
        <v/>
      </c>
      <c r="S720" s="1395">
        <f>IF(raw[[#This Row],[city]]="","-",IF(raw[[#This Row],[city]]&lt;&gt;_xlfn.XLOOKUP(raw[[#This Row],[home]],homes[home],homes[city],"-"),1,0))</f>
        <v/>
      </c>
      <c r="T720" s="1398" t="inlineStr">
        <is>
          <t>.</t>
        </is>
      </c>
      <c r="U720" s="1399">
        <f>IF(raw[[#This Row],[wb]]="w",raw[[#This Row],[stay]]+U719,U719)</f>
        <v/>
      </c>
      <c r="V720" s="1400">
        <f>IF(raw[[#This Row],[out]]=0,V719,(raw[[#This Row],[out]]-E$5))</f>
        <v/>
      </c>
      <c r="W720" s="1401">
        <f>U720/V720</f>
        <v/>
      </c>
      <c r="X720" s="1378" t="inlineStr">
        <is>
          <t>.</t>
        </is>
      </c>
      <c r="Y720" s="1402">
        <f/>
        <v/>
      </c>
      <c r="Z720" s="1403">
        <f/>
        <v/>
      </c>
      <c r="AA720" s="1403">
        <f/>
        <v/>
      </c>
      <c r="AB720" s="1400">
        <f t="array" ref="AB720">_xlfn.LET(_xlpm.S,_xlfn.ANCHORARRAY($Y$4),_xlpm.r,ROWS(stayCity[[#Headers],[city]]:stayCity[[#This Row],[city]])-1,IF(_xlpm.r&lt;=ROWS(_xlpm.S),INDEX(_xlpm.S,_xlpm.r,1),""))</f>
        <v/>
      </c>
      <c r="AC720" s="1405">
        <f t="array" ref="AC720">_xlfn.LET(_xlpm.S,_xlfn.ANCHORARRAY($Y$4),_xlpm.r,ROWS(stayCity[[#Headers],[city]]:stayCity[[#This Row],[city]])-1,IF(_xlpm.r&lt;=ROWS(_xlpm.S),INDEX(_xlpm.S,_xlpm.r,2),""))</f>
        <v/>
      </c>
      <c r="AD720" s="1405">
        <f t="array" ref="AD720">_xlfn.LET(_xlpm.S,_xlfn.ANCHORARRAY($Y$4),_xlpm.r,ROWS(stayCity[[#Headers],[city]]:stayCity[[#This Row],[city]])-1,IF(_xlpm.r&lt;=ROWS(_xlpm.S),INDEX(_xlpm.S,_xlpm.r,3),""))</f>
        <v/>
      </c>
      <c r="AE720" s="1400">
        <f>IF(stayCity[[#This Row],[out]]&lt;&gt;"",stayCity[[#This Row],[out]]-stayCity[[#This Row],[in]],"-")</f>
        <v/>
      </c>
      <c r="AF720" s="1406">
        <f>IF(Y720="","-",YEAR(stayCity[[#This Row],[in]]))</f>
        <v/>
      </c>
      <c r="AG720" s="1392" t="n"/>
      <c r="AH720" s="1392" t="n"/>
      <c r="AI720" s="1392" t="n"/>
      <c r="AJ720" s="1392" t="n"/>
      <c r="AK720" s="1392" t="n"/>
      <c r="AL720" s="1392" t="n"/>
      <c r="AM720" s="1392" t="n"/>
      <c r="AN720" s="1392" t="n"/>
      <c r="AO720" s="1392" t="n"/>
      <c r="AP720" s="1392" t="n"/>
      <c r="AQ720" s="1392" t="n"/>
      <c r="AR720" s="1392" t="n"/>
      <c r="AS720" s="1422" t="n"/>
      <c r="AT720" s="1392" t="n"/>
      <c r="AU720" s="1392" t="n"/>
      <c r="AV720" s="1392" t="n"/>
      <c r="AW720" s="1392" t="n"/>
      <c r="AX720" s="1392" t="n"/>
      <c r="AY720" s="1392" t="n"/>
      <c r="AZ720" s="1392" t="n"/>
      <c r="BA720" s="1392" t="n"/>
      <c r="BB720" s="1422" t="n"/>
      <c r="BC720" s="1392" t="n"/>
      <c r="BD720" s="1392" t="n"/>
      <c r="BE720" s="1392" t="n"/>
      <c r="BF720" s="1392" t="n"/>
      <c r="BG720" s="1392" t="n"/>
      <c r="BH720" s="1392" t="n"/>
      <c r="BI720" s="1392" t="n"/>
      <c r="BJ720" s="1392" t="n"/>
      <c r="BK720" s="1392" t="n"/>
      <c r="BL720" s="1392" t="n"/>
      <c r="BM720" s="1392" t="n"/>
      <c r="BN720" s="1392" t="n"/>
      <c r="BO720" s="1392" t="n"/>
      <c r="BP720" s="1392" t="n"/>
      <c r="BQ720" s="1392" t="n"/>
      <c r="BR720" s="1392" t="n"/>
      <c r="BS720" s="1392" t="n"/>
      <c r="BT720" s="1392" t="n"/>
      <c r="BU720" s="1416" t="n"/>
      <c r="BV720" s="1392" t="n"/>
      <c r="BW720" s="1392" t="n"/>
      <c r="BX720" s="1392" t="n"/>
      <c r="BY720" s="1392" t="n"/>
      <c r="BZ720" s="1416" t="n"/>
      <c r="CA720" s="1392" t="n"/>
      <c r="CB720" s="1392" t="n"/>
      <c r="CC720" s="1392" t="n"/>
      <c r="CD720" s="1392" t="n"/>
      <c r="CE720" s="1392" t="n"/>
      <c r="CF720" s="1392" t="n"/>
      <c r="CG720" s="1392" t="n"/>
      <c r="CH720" s="1392" t="n"/>
      <c r="CI720" s="1392" t="n"/>
      <c r="CJ720" s="1392" t="n"/>
      <c r="CK720" s="1392" t="n"/>
      <c r="CL720" s="1392" t="n"/>
    </row>
    <row r="721">
      <c r="A721" s="5" t="inlineStr">
        <is>
          <t>.</t>
        </is>
      </c>
      <c r="B721" s="5" t="inlineStr">
        <is>
          <t>.</t>
        </is>
      </c>
      <c r="C721" s="1378">
        <f>IF(raw[[#This Row],[city]]="","-",IF(raw[[#This Row],[city]]="TODAY","-",C720+1))</f>
        <v/>
      </c>
      <c r="D721" s="1393" t="inlineStr">
        <is>
          <t>SSA</t>
        </is>
      </c>
      <c r="E721" s="1394" t="n">
        <v>37525</v>
      </c>
      <c r="F721" s="1394" t="n">
        <v>37530</v>
      </c>
      <c r="G721" s="1393" t="n">
        <v>1</v>
      </c>
      <c r="H721" s="1393" t="inlineStr">
        <is>
          <t>Bertioga</t>
        </is>
      </c>
      <c r="I721" s="1393" t="inlineStr">
        <is>
          <t>Ondina</t>
        </is>
      </c>
      <c r="J721" s="1393" t="inlineStr">
        <is>
          <t>-</t>
        </is>
      </c>
      <c r="K721" s="1395">
        <f>IF(raw[[#This Row],[city]]&lt;&gt;"",_xlfn.XLOOKUP($D721,ccc[city],ccc[prov],"-"),"-")</f>
        <v/>
      </c>
      <c r="L721" s="1395">
        <f>IF(raw[[#This Row],[city]]&lt;&gt;"",_xlfn.XLOOKUP($D721,ccc[city],ccc[ctry],"-"),"-")</f>
        <v/>
      </c>
      <c r="M721" s="1395">
        <f>IF(raw[[#This Row],[city]]&lt;&gt;"",_xlfn.XLOOKUP($D721,ccc[city],ccc[cont],"-"),"-")</f>
        <v/>
      </c>
      <c r="N721" s="1396">
        <f>IF(raw[[#This Row],[city]]="","-",IF(raw[[#This Row],[cont]]="B",raw[[#This Row],[cont]],"W"))</f>
        <v/>
      </c>
      <c r="O721" s="1397">
        <f>IF(raw[[#This Row],[out]]=0,0,IF(raw[[#This Row],[out]]=raw[[#This Row],[in]],0.01,raw[[#This Row],[out]]-raw[[#This Row],[in]]))</f>
        <v/>
      </c>
      <c r="P721" s="1397">
        <f>IF(raw[[#This Row],[in]]=0,0,MONTH(raw[[#This Row],[in]]))</f>
        <v/>
      </c>
      <c r="Q721" s="1397">
        <f>IF(raw[[#This Row],[in]]=0,0,YEAR(raw[[#This Row],[in]]))</f>
        <v/>
      </c>
      <c r="R721" s="1397">
        <f>INT(raw[[#This Row],[yr]]/10)*10</f>
        <v/>
      </c>
      <c r="S721" s="1395">
        <f>IF(raw[[#This Row],[city]]="","-",IF(raw[[#This Row],[city]]&lt;&gt;_xlfn.XLOOKUP(raw[[#This Row],[home]],homes[home],homes[city],"-"),1,0))</f>
        <v/>
      </c>
      <c r="T721" s="1398" t="inlineStr">
        <is>
          <t>.</t>
        </is>
      </c>
      <c r="U721" s="1399">
        <f>IF(raw[[#This Row],[wb]]="w",raw[[#This Row],[stay]]+U720,U720)</f>
        <v/>
      </c>
      <c r="V721" s="1400">
        <f>IF(raw[[#This Row],[out]]=0,V720,(raw[[#This Row],[out]]-E$5))</f>
        <v/>
      </c>
      <c r="W721" s="1401">
        <f>U721/V721</f>
        <v/>
      </c>
      <c r="X721" s="1378" t="inlineStr">
        <is>
          <t>.</t>
        </is>
      </c>
      <c r="Y721" s="1402">
        <f/>
        <v/>
      </c>
      <c r="Z721" s="1403">
        <f/>
        <v/>
      </c>
      <c r="AA721" s="1403">
        <f/>
        <v/>
      </c>
      <c r="AB721" s="1400">
        <f t="array" ref="AB721">_xlfn.LET(_xlpm.S,_xlfn.ANCHORARRAY($Y$4),_xlpm.r,ROWS(stayCity[[#Headers],[city]]:stayCity[[#This Row],[city]])-1,IF(_xlpm.r&lt;=ROWS(_xlpm.S),INDEX(_xlpm.S,_xlpm.r,1),""))</f>
        <v/>
      </c>
      <c r="AC721" s="1405">
        <f t="array" ref="AC721">_xlfn.LET(_xlpm.S,_xlfn.ANCHORARRAY($Y$4),_xlpm.r,ROWS(stayCity[[#Headers],[city]]:stayCity[[#This Row],[city]])-1,IF(_xlpm.r&lt;=ROWS(_xlpm.S),INDEX(_xlpm.S,_xlpm.r,2),""))</f>
        <v/>
      </c>
      <c r="AD721" s="1405">
        <f t="array" ref="AD721">_xlfn.LET(_xlpm.S,_xlfn.ANCHORARRAY($Y$4),_xlpm.r,ROWS(stayCity[[#Headers],[city]]:stayCity[[#This Row],[city]])-1,IF(_xlpm.r&lt;=ROWS(_xlpm.S),INDEX(_xlpm.S,_xlpm.r,3),""))</f>
        <v/>
      </c>
      <c r="AE721" s="1400">
        <f>IF(stayCity[[#This Row],[out]]&lt;&gt;"",stayCity[[#This Row],[out]]-stayCity[[#This Row],[in]],"-")</f>
        <v/>
      </c>
      <c r="AF721" s="1406">
        <f>IF(Y721="","-",YEAR(stayCity[[#This Row],[in]]))</f>
        <v/>
      </c>
      <c r="AG721" s="1392" t="n"/>
      <c r="AH721" s="1392" t="n"/>
      <c r="AI721" s="1392" t="n"/>
      <c r="AJ721" s="1392" t="n"/>
      <c r="AK721" s="1392" t="n"/>
      <c r="AL721" s="1392" t="n"/>
      <c r="AM721" s="1392" t="n"/>
      <c r="AN721" s="1392" t="n"/>
      <c r="AO721" s="1392" t="n"/>
      <c r="AP721" s="1392" t="n"/>
      <c r="AQ721" s="1392" t="n"/>
      <c r="AR721" s="1392" t="n"/>
      <c r="AS721" s="1422" t="n"/>
      <c r="AT721" s="1392" t="n"/>
      <c r="AU721" s="1392" t="n"/>
      <c r="AV721" s="1392" t="n"/>
      <c r="AW721" s="1392" t="n"/>
      <c r="AX721" s="1392" t="n"/>
      <c r="AY721" s="1392" t="n"/>
      <c r="AZ721" s="1392" t="n"/>
      <c r="BA721" s="1392" t="n"/>
      <c r="BB721" s="1422" t="n"/>
      <c r="BC721" s="1392" t="n"/>
      <c r="BD721" s="1392" t="n"/>
      <c r="BE721" s="1392" t="n"/>
      <c r="BF721" s="1392" t="n"/>
      <c r="BG721" s="1392" t="n"/>
      <c r="BH721" s="1392" t="n"/>
      <c r="BI721" s="1392" t="n"/>
      <c r="BJ721" s="1392" t="n"/>
      <c r="BK721" s="1392" t="n"/>
      <c r="BL721" s="1392" t="n"/>
      <c r="BM721" s="1392" t="n"/>
      <c r="BN721" s="1392" t="n"/>
      <c r="BO721" s="1392" t="n"/>
      <c r="BP721" s="1392" t="n"/>
      <c r="BQ721" s="1392" t="n"/>
      <c r="BR721" s="1392" t="n"/>
      <c r="BS721" s="1392" t="n"/>
      <c r="BT721" s="1392" t="n"/>
      <c r="BU721" s="1416" t="n"/>
      <c r="BV721" s="1392" t="n"/>
      <c r="BW721" s="1392" t="n"/>
      <c r="BX721" s="1392" t="n"/>
      <c r="BY721" s="1392" t="n"/>
      <c r="BZ721" s="1416" t="n"/>
      <c r="CA721" s="1392" t="n"/>
      <c r="CB721" s="1392" t="n"/>
      <c r="CC721" s="1392" t="n"/>
      <c r="CD721" s="1392" t="n"/>
      <c r="CE721" s="1392" t="n"/>
      <c r="CF721" s="1392" t="n"/>
      <c r="CG721" s="1392" t="n"/>
      <c r="CH721" s="1392" t="n"/>
      <c r="CI721" s="1392" t="n"/>
      <c r="CJ721" s="1392" t="n"/>
      <c r="CK721" s="1392" t="n"/>
      <c r="CL721" s="1392" t="n"/>
    </row>
    <row r="722">
      <c r="A722" s="5" t="inlineStr">
        <is>
          <t>.</t>
        </is>
      </c>
      <c r="B722" s="5" t="inlineStr">
        <is>
          <t>.</t>
        </is>
      </c>
      <c r="C722" s="1378">
        <f>IF(raw[[#This Row],[city]]="","-",IF(raw[[#This Row],[city]]="TODAY","-",C721+1))</f>
        <v/>
      </c>
      <c r="D722" s="1393" t="inlineStr">
        <is>
          <t>SP</t>
        </is>
      </c>
      <c r="E722" s="1394" t="n">
        <v>37530</v>
      </c>
      <c r="F722" s="1394" t="n">
        <v>37533</v>
      </c>
      <c r="G722" s="1393" t="inlineStr">
        <is>
          <t>-</t>
        </is>
      </c>
      <c r="H722" s="1393" t="inlineStr">
        <is>
          <t>Bertioga</t>
        </is>
      </c>
      <c r="I722" s="1393" t="inlineStr">
        <is>
          <t>Salto Grande</t>
        </is>
      </c>
      <c r="J722" s="1393" t="inlineStr">
        <is>
          <t>-</t>
        </is>
      </c>
      <c r="K722" s="1395">
        <f>IF(raw[[#This Row],[city]]&lt;&gt;"",_xlfn.XLOOKUP($D722,ccc[city],ccc[prov],"-"),"-")</f>
        <v/>
      </c>
      <c r="L722" s="1395">
        <f>IF(raw[[#This Row],[city]]&lt;&gt;"",_xlfn.XLOOKUP($D722,ccc[city],ccc[ctry],"-"),"-")</f>
        <v/>
      </c>
      <c r="M722" s="1395">
        <f>IF(raw[[#This Row],[city]]&lt;&gt;"",_xlfn.XLOOKUP($D722,ccc[city],ccc[cont],"-"),"-")</f>
        <v/>
      </c>
      <c r="N722" s="1396">
        <f>IF(raw[[#This Row],[city]]="","-",IF(raw[[#This Row],[cont]]="B",raw[[#This Row],[cont]],"W"))</f>
        <v/>
      </c>
      <c r="O722" s="1397">
        <f>IF(raw[[#This Row],[out]]=0,0,IF(raw[[#This Row],[out]]=raw[[#This Row],[in]],0.01,raw[[#This Row],[out]]-raw[[#This Row],[in]]))</f>
        <v/>
      </c>
      <c r="P722" s="1397">
        <f>IF(raw[[#This Row],[in]]=0,0,MONTH(raw[[#This Row],[in]]))</f>
        <v/>
      </c>
      <c r="Q722" s="1397">
        <f>IF(raw[[#This Row],[in]]=0,0,YEAR(raw[[#This Row],[in]]))</f>
        <v/>
      </c>
      <c r="R722" s="1397">
        <f>INT(raw[[#This Row],[yr]]/10)*10</f>
        <v/>
      </c>
      <c r="S722" s="1395">
        <f>IF(raw[[#This Row],[city]]="","-",IF(raw[[#This Row],[city]]&lt;&gt;_xlfn.XLOOKUP(raw[[#This Row],[home]],homes[home],homes[city],"-"),1,0))</f>
        <v/>
      </c>
      <c r="T722" s="1398" t="inlineStr">
        <is>
          <t>.</t>
        </is>
      </c>
      <c r="U722" s="1399">
        <f>IF(raw[[#This Row],[wb]]="w",raw[[#This Row],[stay]]+U721,U721)</f>
        <v/>
      </c>
      <c r="V722" s="1400">
        <f>IF(raw[[#This Row],[out]]=0,V721,(raw[[#This Row],[out]]-E$5))</f>
        <v/>
      </c>
      <c r="W722" s="1401">
        <f>U722/V722</f>
        <v/>
      </c>
      <c r="X722" s="1378" t="inlineStr">
        <is>
          <t>.</t>
        </is>
      </c>
      <c r="Y722" s="1402">
        <f/>
        <v/>
      </c>
      <c r="Z722" s="1403">
        <f/>
        <v/>
      </c>
      <c r="AA722" s="1403">
        <f/>
        <v/>
      </c>
      <c r="AB722" s="1400">
        <f t="array" ref="AB722">_xlfn.LET(_xlpm.S,_xlfn.ANCHORARRAY($Y$4),_xlpm.r,ROWS(stayCity[[#Headers],[city]]:stayCity[[#This Row],[city]])-1,IF(_xlpm.r&lt;=ROWS(_xlpm.S),INDEX(_xlpm.S,_xlpm.r,1),""))</f>
        <v/>
      </c>
      <c r="AC722" s="1405">
        <f t="array" ref="AC722">_xlfn.LET(_xlpm.S,_xlfn.ANCHORARRAY($Y$4),_xlpm.r,ROWS(stayCity[[#Headers],[city]]:stayCity[[#This Row],[city]])-1,IF(_xlpm.r&lt;=ROWS(_xlpm.S),INDEX(_xlpm.S,_xlpm.r,2),""))</f>
        <v/>
      </c>
      <c r="AD722" s="1405">
        <f t="array" ref="AD722">_xlfn.LET(_xlpm.S,_xlfn.ANCHORARRAY($Y$4),_xlpm.r,ROWS(stayCity[[#Headers],[city]]:stayCity[[#This Row],[city]])-1,IF(_xlpm.r&lt;=ROWS(_xlpm.S),INDEX(_xlpm.S,_xlpm.r,3),""))</f>
        <v/>
      </c>
      <c r="AE722" s="1400">
        <f>IF(stayCity[[#This Row],[out]]&lt;&gt;"",stayCity[[#This Row],[out]]-stayCity[[#This Row],[in]],"-")</f>
        <v/>
      </c>
      <c r="AF722" s="1406">
        <f>IF(Y722="","-",YEAR(stayCity[[#This Row],[in]]))</f>
        <v/>
      </c>
      <c r="AG722" s="1392" t="n"/>
      <c r="AH722" s="1392" t="n"/>
      <c r="AI722" s="1392" t="n"/>
      <c r="AJ722" s="1392" t="n"/>
      <c r="AK722" s="1392" t="n"/>
      <c r="AL722" s="1392" t="n"/>
      <c r="AM722" s="1392" t="n"/>
      <c r="AN722" s="1392" t="n"/>
      <c r="AO722" s="1392" t="n"/>
      <c r="AP722" s="1392" t="n"/>
      <c r="AQ722" s="1392" t="n"/>
      <c r="AR722" s="1392" t="n"/>
      <c r="AS722" s="1422" t="n"/>
      <c r="AT722" s="1392" t="n"/>
      <c r="AU722" s="1392" t="n"/>
      <c r="AV722" s="1392" t="n"/>
      <c r="AW722" s="1392" t="n"/>
      <c r="AX722" s="1392" t="n"/>
      <c r="AY722" s="1392" t="n"/>
      <c r="AZ722" s="1392" t="n"/>
      <c r="BA722" s="1392" t="n"/>
      <c r="BB722" s="1422" t="n"/>
      <c r="BC722" s="1392" t="n"/>
      <c r="BD722" s="1392" t="n"/>
      <c r="BE722" s="1392" t="n"/>
      <c r="BF722" s="1392" t="n"/>
      <c r="BG722" s="1392" t="n"/>
      <c r="BH722" s="1392" t="n"/>
      <c r="BI722" s="1392" t="n"/>
      <c r="BJ722" s="1392" t="n"/>
      <c r="BK722" s="1392" t="n"/>
      <c r="BL722" s="1392" t="n"/>
      <c r="BM722" s="1392" t="n"/>
      <c r="BN722" s="1392" t="n"/>
      <c r="BO722" s="1392" t="n"/>
      <c r="BP722" s="1392" t="n"/>
      <c r="BQ722" s="1392" t="n"/>
      <c r="BR722" s="1392" t="n"/>
      <c r="BS722" s="1392" t="n"/>
      <c r="BT722" s="1392" t="n"/>
      <c r="BU722" s="1416" t="n"/>
      <c r="BV722" s="1392" t="n"/>
      <c r="BW722" s="1392" t="n"/>
      <c r="BX722" s="1392" t="n"/>
      <c r="BY722" s="1392" t="n"/>
      <c r="BZ722" s="1416" t="n"/>
      <c r="CA722" s="1392" t="n"/>
      <c r="CB722" s="1392" t="n"/>
      <c r="CC722" s="1392" t="n"/>
      <c r="CD722" s="1392" t="n"/>
      <c r="CE722" s="1392" t="n"/>
      <c r="CF722" s="1392" t="n"/>
      <c r="CG722" s="1392" t="n"/>
      <c r="CH722" s="1392" t="n"/>
      <c r="CI722" s="1392" t="n"/>
      <c r="CJ722" s="1392" t="n"/>
      <c r="CK722" s="1392" t="n"/>
      <c r="CL722" s="1392" t="n"/>
    </row>
    <row r="723">
      <c r="A723" s="5" t="inlineStr">
        <is>
          <t>.</t>
        </is>
      </c>
      <c r="B723" s="5" t="inlineStr">
        <is>
          <t>.</t>
        </is>
      </c>
      <c r="C723" s="1378">
        <f>IF(raw[[#This Row],[city]]="","-",IF(raw[[#This Row],[city]]="TODAY","-",C722+1))</f>
        <v/>
      </c>
      <c r="D723" s="1393" t="inlineStr">
        <is>
          <t>Bertioga</t>
        </is>
      </c>
      <c r="E723" s="1394" t="n">
        <v>37533</v>
      </c>
      <c r="F723" s="1394" t="n">
        <v>37537</v>
      </c>
      <c r="G723" s="1393" t="inlineStr">
        <is>
          <t>-</t>
        </is>
      </c>
      <c r="H723" s="1393" t="inlineStr">
        <is>
          <t>Bertioga</t>
        </is>
      </c>
      <c r="I723" s="1393" t="inlineStr">
        <is>
          <t>-</t>
        </is>
      </c>
      <c r="J723" s="1393" t="inlineStr">
        <is>
          <t>-</t>
        </is>
      </c>
      <c r="K723" s="1395">
        <f>IF(raw[[#This Row],[city]]&lt;&gt;"",_xlfn.XLOOKUP($D723,ccc[city],ccc[prov],"-"),"-")</f>
        <v/>
      </c>
      <c r="L723" s="1395">
        <f>IF(raw[[#This Row],[city]]&lt;&gt;"",_xlfn.XLOOKUP($D723,ccc[city],ccc[ctry],"-"),"-")</f>
        <v/>
      </c>
      <c r="M723" s="1395">
        <f>IF(raw[[#This Row],[city]]&lt;&gt;"",_xlfn.XLOOKUP($D723,ccc[city],ccc[cont],"-"),"-")</f>
        <v/>
      </c>
      <c r="N723" s="1396">
        <f>IF(raw[[#This Row],[city]]="","-",IF(raw[[#This Row],[cont]]="B",raw[[#This Row],[cont]],"W"))</f>
        <v/>
      </c>
      <c r="O723" s="1397">
        <f>IF(raw[[#This Row],[out]]=0,0,IF(raw[[#This Row],[out]]=raw[[#This Row],[in]],0.01,raw[[#This Row],[out]]-raw[[#This Row],[in]]))</f>
        <v/>
      </c>
      <c r="P723" s="1397">
        <f>IF(raw[[#This Row],[in]]=0,0,MONTH(raw[[#This Row],[in]]))</f>
        <v/>
      </c>
      <c r="Q723" s="1397">
        <f>IF(raw[[#This Row],[in]]=0,0,YEAR(raw[[#This Row],[in]]))</f>
        <v/>
      </c>
      <c r="R723" s="1397">
        <f>INT(raw[[#This Row],[yr]]/10)*10</f>
        <v/>
      </c>
      <c r="S723" s="1395">
        <f>IF(raw[[#This Row],[city]]="","-",IF(raw[[#This Row],[city]]&lt;&gt;_xlfn.XLOOKUP(raw[[#This Row],[home]],homes[home],homes[city],"-"),1,0))</f>
        <v/>
      </c>
      <c r="T723" s="1398" t="inlineStr">
        <is>
          <t>.</t>
        </is>
      </c>
      <c r="U723" s="1399">
        <f>IF(raw[[#This Row],[wb]]="w",raw[[#This Row],[stay]]+U722,U722)</f>
        <v/>
      </c>
      <c r="V723" s="1400">
        <f>IF(raw[[#This Row],[out]]=0,V722,(raw[[#This Row],[out]]-E$5))</f>
        <v/>
      </c>
      <c r="W723" s="1401">
        <f>U723/V723</f>
        <v/>
      </c>
      <c r="X723" s="1378" t="inlineStr">
        <is>
          <t>.</t>
        </is>
      </c>
      <c r="Y723" s="1402">
        <f/>
        <v/>
      </c>
      <c r="Z723" s="1403">
        <f/>
        <v/>
      </c>
      <c r="AA723" s="1403">
        <f/>
        <v/>
      </c>
      <c r="AB723" s="1400">
        <f t="array" ref="AB723">_xlfn.LET(_xlpm.S,_xlfn.ANCHORARRAY($Y$4),_xlpm.r,ROWS(stayCity[[#Headers],[city]]:stayCity[[#This Row],[city]])-1,IF(_xlpm.r&lt;=ROWS(_xlpm.S),INDEX(_xlpm.S,_xlpm.r,1),""))</f>
        <v/>
      </c>
      <c r="AC723" s="1405">
        <f t="array" ref="AC723">_xlfn.LET(_xlpm.S,_xlfn.ANCHORARRAY($Y$4),_xlpm.r,ROWS(stayCity[[#Headers],[city]]:stayCity[[#This Row],[city]])-1,IF(_xlpm.r&lt;=ROWS(_xlpm.S),INDEX(_xlpm.S,_xlpm.r,2),""))</f>
        <v/>
      </c>
      <c r="AD723" s="1405">
        <f t="array" ref="AD723">_xlfn.LET(_xlpm.S,_xlfn.ANCHORARRAY($Y$4),_xlpm.r,ROWS(stayCity[[#Headers],[city]]:stayCity[[#This Row],[city]])-1,IF(_xlpm.r&lt;=ROWS(_xlpm.S),INDEX(_xlpm.S,_xlpm.r,3),""))</f>
        <v/>
      </c>
      <c r="AE723" s="1400">
        <f>IF(stayCity[[#This Row],[out]]&lt;&gt;"",stayCity[[#This Row],[out]]-stayCity[[#This Row],[in]],"-")</f>
        <v/>
      </c>
      <c r="AF723" s="1406">
        <f>IF(Y723="","-",YEAR(stayCity[[#This Row],[in]]))</f>
        <v/>
      </c>
      <c r="AG723" s="1392" t="n"/>
      <c r="AH723" s="1392" t="n"/>
      <c r="AI723" s="1392" t="n"/>
      <c r="AJ723" s="1392" t="n"/>
      <c r="AK723" s="1392" t="n"/>
      <c r="AL723" s="1392" t="n"/>
      <c r="AM723" s="1392" t="n"/>
      <c r="AN723" s="1392" t="n"/>
      <c r="AO723" s="1392" t="n"/>
      <c r="AP723" s="1392" t="n"/>
      <c r="AQ723" s="1392" t="n"/>
      <c r="AR723" s="1392" t="n"/>
      <c r="AS723" s="1422" t="n"/>
      <c r="AT723" s="1392" t="n"/>
      <c r="AU723" s="1392" t="n"/>
      <c r="AV723" s="1392" t="n"/>
      <c r="AW723" s="1392" t="n"/>
      <c r="AX723" s="1392" t="n"/>
      <c r="AY723" s="1392" t="n"/>
      <c r="AZ723" s="1392" t="n"/>
      <c r="BA723" s="1392" t="n"/>
      <c r="BB723" s="1422" t="n"/>
      <c r="BC723" s="1392" t="n"/>
      <c r="BD723" s="1392" t="n"/>
      <c r="BE723" s="1392" t="n"/>
      <c r="BF723" s="1392" t="n"/>
      <c r="BG723" s="1392" t="n"/>
      <c r="BH723" s="1392" t="n"/>
      <c r="BI723" s="1392" t="n"/>
      <c r="BJ723" s="1392" t="n"/>
      <c r="BK723" s="1392" t="n"/>
      <c r="BL723" s="1392" t="n"/>
      <c r="BM723" s="1392" t="n"/>
      <c r="BN723" s="1392" t="n"/>
      <c r="BO723" s="1392" t="n"/>
      <c r="BP723" s="1392" t="n"/>
      <c r="BQ723" s="1392" t="n"/>
      <c r="BR723" s="1392" t="n"/>
      <c r="BS723" s="1392" t="n"/>
      <c r="BT723" s="1392" t="n"/>
      <c r="BU723" s="1416" t="n"/>
      <c r="BV723" s="1392" t="n"/>
      <c r="BW723" s="1392" t="n"/>
      <c r="BX723" s="1392" t="n"/>
      <c r="BY723" s="1392" t="n"/>
      <c r="BZ723" s="1416" t="n"/>
      <c r="CA723" s="1392" t="n"/>
      <c r="CB723" s="1392" t="n"/>
      <c r="CC723" s="1392" t="n"/>
      <c r="CD723" s="1392" t="n"/>
      <c r="CE723" s="1392" t="n"/>
      <c r="CF723" s="1392" t="n"/>
      <c r="CG723" s="1392" t="n"/>
      <c r="CH723" s="1392" t="n"/>
      <c r="CI723" s="1392" t="n"/>
      <c r="CJ723" s="1392" t="n"/>
      <c r="CK723" s="1392" t="n"/>
      <c r="CL723" s="1392" t="n"/>
    </row>
    <row r="724">
      <c r="A724" s="5" t="inlineStr">
        <is>
          <t>.</t>
        </is>
      </c>
      <c r="B724" s="5" t="inlineStr">
        <is>
          <t>.</t>
        </is>
      </c>
      <c r="C724" s="1378">
        <f>IF(raw[[#This Row],[city]]="","-",IF(raw[[#This Row],[city]]="TODAY","-",C723+1))</f>
        <v/>
      </c>
      <c r="D724" s="1393" t="inlineStr">
        <is>
          <t>SP</t>
        </is>
      </c>
      <c r="E724" s="1394" t="n">
        <v>37537</v>
      </c>
      <c r="F724" s="1394" t="n">
        <v>37540</v>
      </c>
      <c r="G724" s="1393" t="inlineStr">
        <is>
          <t>-</t>
        </is>
      </c>
      <c r="H724" s="1393" t="inlineStr">
        <is>
          <t>Bertioga</t>
        </is>
      </c>
      <c r="I724" s="1393" t="inlineStr">
        <is>
          <t>Salto Grande</t>
        </is>
      </c>
      <c r="J724" s="1393" t="inlineStr">
        <is>
          <t>-</t>
        </is>
      </c>
      <c r="K724" s="1395">
        <f>IF(raw[[#This Row],[city]]&lt;&gt;"",_xlfn.XLOOKUP($D724,ccc[city],ccc[prov],"-"),"-")</f>
        <v/>
      </c>
      <c r="L724" s="1395">
        <f>IF(raw[[#This Row],[city]]&lt;&gt;"",_xlfn.XLOOKUP($D724,ccc[city],ccc[ctry],"-"),"-")</f>
        <v/>
      </c>
      <c r="M724" s="1395">
        <f>IF(raw[[#This Row],[city]]&lt;&gt;"",_xlfn.XLOOKUP($D724,ccc[city],ccc[cont],"-"),"-")</f>
        <v/>
      </c>
      <c r="N724" s="1396">
        <f>IF(raw[[#This Row],[city]]="","-",IF(raw[[#This Row],[cont]]="B",raw[[#This Row],[cont]],"W"))</f>
        <v/>
      </c>
      <c r="O724" s="1397">
        <f>IF(raw[[#This Row],[out]]=0,0,IF(raw[[#This Row],[out]]=raw[[#This Row],[in]],0.01,raw[[#This Row],[out]]-raw[[#This Row],[in]]))</f>
        <v/>
      </c>
      <c r="P724" s="1397">
        <f>IF(raw[[#This Row],[in]]=0,0,MONTH(raw[[#This Row],[in]]))</f>
        <v/>
      </c>
      <c r="Q724" s="1397">
        <f>IF(raw[[#This Row],[in]]=0,0,YEAR(raw[[#This Row],[in]]))</f>
        <v/>
      </c>
      <c r="R724" s="1397">
        <f>INT(raw[[#This Row],[yr]]/10)*10</f>
        <v/>
      </c>
      <c r="S724" s="1395">
        <f>IF(raw[[#This Row],[city]]="","-",IF(raw[[#This Row],[city]]&lt;&gt;_xlfn.XLOOKUP(raw[[#This Row],[home]],homes[home],homes[city],"-"),1,0))</f>
        <v/>
      </c>
      <c r="T724" s="1398" t="inlineStr">
        <is>
          <t>.</t>
        </is>
      </c>
      <c r="U724" s="1399">
        <f>IF(raw[[#This Row],[wb]]="w",raw[[#This Row],[stay]]+U723,U723)</f>
        <v/>
      </c>
      <c r="V724" s="1400">
        <f>IF(raw[[#This Row],[out]]=0,V723,(raw[[#This Row],[out]]-E$5))</f>
        <v/>
      </c>
      <c r="W724" s="1401">
        <f>U724/V724</f>
        <v/>
      </c>
      <c r="X724" s="1378" t="inlineStr">
        <is>
          <t>.</t>
        </is>
      </c>
      <c r="Y724" s="1402">
        <f/>
        <v/>
      </c>
      <c r="Z724" s="1403">
        <f/>
        <v/>
      </c>
      <c r="AA724" s="1403">
        <f/>
        <v/>
      </c>
      <c r="AB724" s="1400">
        <f t="array" ref="AB724">_xlfn.LET(_xlpm.S,_xlfn.ANCHORARRAY($Y$4),_xlpm.r,ROWS(stayCity[[#Headers],[city]]:stayCity[[#This Row],[city]])-1,IF(_xlpm.r&lt;=ROWS(_xlpm.S),INDEX(_xlpm.S,_xlpm.r,1),""))</f>
        <v/>
      </c>
      <c r="AC724" s="1405">
        <f t="array" ref="AC724">_xlfn.LET(_xlpm.S,_xlfn.ANCHORARRAY($Y$4),_xlpm.r,ROWS(stayCity[[#Headers],[city]]:stayCity[[#This Row],[city]])-1,IF(_xlpm.r&lt;=ROWS(_xlpm.S),INDEX(_xlpm.S,_xlpm.r,2),""))</f>
        <v/>
      </c>
      <c r="AD724" s="1405">
        <f t="array" ref="AD724">_xlfn.LET(_xlpm.S,_xlfn.ANCHORARRAY($Y$4),_xlpm.r,ROWS(stayCity[[#Headers],[city]]:stayCity[[#This Row],[city]])-1,IF(_xlpm.r&lt;=ROWS(_xlpm.S),INDEX(_xlpm.S,_xlpm.r,3),""))</f>
        <v/>
      </c>
      <c r="AE724" s="1400">
        <f>IF(stayCity[[#This Row],[out]]&lt;&gt;"",stayCity[[#This Row],[out]]-stayCity[[#This Row],[in]],"-")</f>
        <v/>
      </c>
      <c r="AF724" s="1406">
        <f>IF(Y724="","-",YEAR(stayCity[[#This Row],[in]]))</f>
        <v/>
      </c>
      <c r="AG724" s="1392" t="n"/>
      <c r="AH724" s="1392" t="n"/>
      <c r="AI724" s="1392" t="n"/>
      <c r="AJ724" s="1392" t="n"/>
      <c r="AK724" s="1392" t="n"/>
      <c r="AL724" s="1392" t="n"/>
      <c r="AM724" s="1392" t="n"/>
      <c r="AN724" s="1392" t="n"/>
      <c r="AO724" s="1392" t="n"/>
      <c r="AP724" s="1392" t="n"/>
      <c r="AQ724" s="1392" t="n"/>
      <c r="AR724" s="1392" t="n"/>
      <c r="AS724" s="1422" t="n"/>
      <c r="AT724" s="1392" t="n"/>
      <c r="AU724" s="1392" t="n"/>
      <c r="AV724" s="1392" t="n"/>
      <c r="AW724" s="1392" t="n"/>
      <c r="AX724" s="1392" t="n"/>
      <c r="AY724" s="1392" t="n"/>
      <c r="AZ724" s="1392" t="n"/>
      <c r="BA724" s="1392" t="n"/>
      <c r="BB724" s="1422" t="n"/>
      <c r="BC724" s="1392" t="n"/>
      <c r="BD724" s="1392" t="n"/>
      <c r="BE724" s="1392" t="n"/>
      <c r="BF724" s="1392" t="n"/>
      <c r="BG724" s="1392" t="n"/>
      <c r="BH724" s="1392" t="n"/>
      <c r="BI724" s="1392" t="n"/>
      <c r="BJ724" s="1392" t="n"/>
      <c r="BK724" s="1392" t="n"/>
      <c r="BL724" s="1392" t="n"/>
      <c r="BM724" s="1392" t="n"/>
      <c r="BN724" s="1392" t="n"/>
      <c r="BO724" s="1392" t="n"/>
      <c r="BP724" s="1392" t="n"/>
      <c r="BQ724" s="1392" t="n"/>
      <c r="BR724" s="1392" t="n"/>
      <c r="BS724" s="1392" t="n"/>
      <c r="BT724" s="1392" t="n"/>
      <c r="BU724" s="1416" t="n"/>
      <c r="BV724" s="1392" t="n"/>
      <c r="BW724" s="1392" t="n"/>
      <c r="BX724" s="1392" t="n"/>
      <c r="BY724" s="1392" t="n"/>
      <c r="BZ724" s="1416" t="n"/>
      <c r="CA724" s="1392" t="n"/>
      <c r="CB724" s="1392" t="n"/>
      <c r="CC724" s="1392" t="n"/>
      <c r="CD724" s="1392" t="n"/>
      <c r="CE724" s="1392" t="n"/>
      <c r="CF724" s="1392" t="n"/>
      <c r="CG724" s="1392" t="n"/>
      <c r="CH724" s="1392" t="n"/>
      <c r="CI724" s="1392" t="n"/>
      <c r="CJ724" s="1392" t="n"/>
      <c r="CK724" s="1392" t="n"/>
      <c r="CL724" s="1392" t="n"/>
    </row>
    <row r="725">
      <c r="A725" s="5" t="inlineStr">
        <is>
          <t>.</t>
        </is>
      </c>
      <c r="B725" s="5" t="inlineStr">
        <is>
          <t>.</t>
        </is>
      </c>
      <c r="C725" s="1378">
        <f>IF(raw[[#This Row],[city]]="","-",IF(raw[[#This Row],[city]]="TODAY","-",C724+1))</f>
        <v/>
      </c>
      <c r="D725" s="1393" t="inlineStr">
        <is>
          <t>Bertioga</t>
        </is>
      </c>
      <c r="E725" s="1394" t="n">
        <v>37540</v>
      </c>
      <c r="F725" s="1394" t="n">
        <v>37547</v>
      </c>
      <c r="G725" s="1393" t="inlineStr">
        <is>
          <t>-</t>
        </is>
      </c>
      <c r="H725" s="1393" t="inlineStr">
        <is>
          <t>Bertioga</t>
        </is>
      </c>
      <c r="I725" s="1393" t="inlineStr">
        <is>
          <t>-</t>
        </is>
      </c>
      <c r="J725" s="1393" t="inlineStr">
        <is>
          <t>-</t>
        </is>
      </c>
      <c r="K725" s="1395">
        <f>IF(raw[[#This Row],[city]]&lt;&gt;"",_xlfn.XLOOKUP($D725,ccc[city],ccc[prov],"-"),"-")</f>
        <v/>
      </c>
      <c r="L725" s="1395">
        <f>IF(raw[[#This Row],[city]]&lt;&gt;"",_xlfn.XLOOKUP($D725,ccc[city],ccc[ctry],"-"),"-")</f>
        <v/>
      </c>
      <c r="M725" s="1395">
        <f>IF(raw[[#This Row],[city]]&lt;&gt;"",_xlfn.XLOOKUP($D725,ccc[city],ccc[cont],"-"),"-")</f>
        <v/>
      </c>
      <c r="N725" s="1396">
        <f>IF(raw[[#This Row],[city]]="","-",IF(raw[[#This Row],[cont]]="B",raw[[#This Row],[cont]],"W"))</f>
        <v/>
      </c>
      <c r="O725" s="1397">
        <f>IF(raw[[#This Row],[out]]=0,0,IF(raw[[#This Row],[out]]=raw[[#This Row],[in]],0.01,raw[[#This Row],[out]]-raw[[#This Row],[in]]))</f>
        <v/>
      </c>
      <c r="P725" s="1397">
        <f>IF(raw[[#This Row],[in]]=0,0,MONTH(raw[[#This Row],[in]]))</f>
        <v/>
      </c>
      <c r="Q725" s="1397">
        <f>IF(raw[[#This Row],[in]]=0,0,YEAR(raw[[#This Row],[in]]))</f>
        <v/>
      </c>
      <c r="R725" s="1397">
        <f>INT(raw[[#This Row],[yr]]/10)*10</f>
        <v/>
      </c>
      <c r="S725" s="1395">
        <f>IF(raw[[#This Row],[city]]="","-",IF(raw[[#This Row],[city]]&lt;&gt;_xlfn.XLOOKUP(raw[[#This Row],[home]],homes[home],homes[city],"-"),1,0))</f>
        <v/>
      </c>
      <c r="T725" s="1398" t="inlineStr">
        <is>
          <t>.</t>
        </is>
      </c>
      <c r="U725" s="1399">
        <f>IF(raw[[#This Row],[wb]]="w",raw[[#This Row],[stay]]+U724,U724)</f>
        <v/>
      </c>
      <c r="V725" s="1400">
        <f>IF(raw[[#This Row],[out]]=0,V724,(raw[[#This Row],[out]]-E$5))</f>
        <v/>
      </c>
      <c r="W725" s="1401">
        <f>U725/V725</f>
        <v/>
      </c>
      <c r="X725" s="1378" t="inlineStr">
        <is>
          <t>.</t>
        </is>
      </c>
      <c r="Y725" s="1402">
        <f/>
        <v/>
      </c>
      <c r="Z725" s="1403">
        <f/>
        <v/>
      </c>
      <c r="AA725" s="1403">
        <f/>
        <v/>
      </c>
      <c r="AB725" s="1400">
        <f t="array" ref="AB725">_xlfn.LET(_xlpm.S,_xlfn.ANCHORARRAY($Y$4),_xlpm.r,ROWS(stayCity[[#Headers],[city]]:stayCity[[#This Row],[city]])-1,IF(_xlpm.r&lt;=ROWS(_xlpm.S),INDEX(_xlpm.S,_xlpm.r,1),""))</f>
        <v/>
      </c>
      <c r="AC725" s="1405">
        <f t="array" ref="AC725">_xlfn.LET(_xlpm.S,_xlfn.ANCHORARRAY($Y$4),_xlpm.r,ROWS(stayCity[[#Headers],[city]]:stayCity[[#This Row],[city]])-1,IF(_xlpm.r&lt;=ROWS(_xlpm.S),INDEX(_xlpm.S,_xlpm.r,2),""))</f>
        <v/>
      </c>
      <c r="AD725" s="1405">
        <f t="array" ref="AD725">_xlfn.LET(_xlpm.S,_xlfn.ANCHORARRAY($Y$4),_xlpm.r,ROWS(stayCity[[#Headers],[city]]:stayCity[[#This Row],[city]])-1,IF(_xlpm.r&lt;=ROWS(_xlpm.S),INDEX(_xlpm.S,_xlpm.r,3),""))</f>
        <v/>
      </c>
      <c r="AE725" s="1400">
        <f>IF(stayCity[[#This Row],[out]]&lt;&gt;"",stayCity[[#This Row],[out]]-stayCity[[#This Row],[in]],"-")</f>
        <v/>
      </c>
      <c r="AF725" s="1406">
        <f>IF(Y725="","-",YEAR(stayCity[[#This Row],[in]]))</f>
        <v/>
      </c>
      <c r="AG725" s="1392" t="n"/>
      <c r="AH725" s="1392" t="n"/>
      <c r="AI725" s="1392" t="n"/>
      <c r="AJ725" s="1392" t="n"/>
      <c r="AK725" s="1392" t="n"/>
      <c r="AL725" s="1392" t="n"/>
      <c r="AM725" s="1392" t="n"/>
      <c r="AN725" s="1392" t="n"/>
      <c r="AO725" s="1392" t="n"/>
      <c r="AP725" s="1392" t="n"/>
      <c r="AQ725" s="1392" t="n"/>
      <c r="AR725" s="1392" t="n"/>
      <c r="AS725" s="1422" t="n"/>
      <c r="AT725" s="1392" t="n"/>
      <c r="AU725" s="1392" t="n"/>
      <c r="AV725" s="1392" t="n"/>
      <c r="AW725" s="1392" t="n"/>
      <c r="AX725" s="1392" t="n"/>
      <c r="AY725" s="1392" t="n"/>
      <c r="AZ725" s="1392" t="n"/>
      <c r="BA725" s="1392" t="n"/>
      <c r="BB725" s="1422" t="n"/>
      <c r="BC725" s="1392" t="n"/>
      <c r="BD725" s="1392" t="n"/>
      <c r="BE725" s="1392" t="n"/>
      <c r="BF725" s="1392" t="n"/>
      <c r="BG725" s="1392" t="n"/>
      <c r="BH725" s="1392" t="n"/>
      <c r="BI725" s="1392" t="n"/>
      <c r="BJ725" s="1392" t="n"/>
      <c r="BK725" s="1392" t="n"/>
      <c r="BL725" s="1392" t="n"/>
      <c r="BM725" s="1392" t="n"/>
      <c r="BN725" s="1392" t="n"/>
      <c r="BO725" s="1392" t="n"/>
      <c r="BP725" s="1392" t="n"/>
      <c r="BQ725" s="1392" t="n"/>
      <c r="BR725" s="1392" t="n"/>
      <c r="BS725" s="1392" t="n"/>
      <c r="BT725" s="1392" t="n"/>
      <c r="BU725" s="1416" t="n"/>
      <c r="BV725" s="1392" t="n"/>
      <c r="BW725" s="1392" t="n"/>
      <c r="BX725" s="1392" t="n"/>
      <c r="BY725" s="1392" t="n"/>
      <c r="BZ725" s="1416" t="n"/>
      <c r="CA725" s="1392" t="n"/>
      <c r="CB725" s="1392" t="n"/>
      <c r="CC725" s="1392" t="n"/>
      <c r="CD725" s="1392" t="n"/>
      <c r="CE725" s="1392" t="n"/>
      <c r="CF725" s="1392" t="n"/>
      <c r="CG725" s="1392" t="n"/>
      <c r="CH725" s="1392" t="n"/>
      <c r="CI725" s="1392" t="n"/>
      <c r="CJ725" s="1392" t="n"/>
      <c r="CK725" s="1392" t="n"/>
      <c r="CL725" s="1392" t="n"/>
    </row>
    <row r="726">
      <c r="A726" s="5" t="inlineStr">
        <is>
          <t>.</t>
        </is>
      </c>
      <c r="B726" s="5" t="inlineStr">
        <is>
          <t>.</t>
        </is>
      </c>
      <c r="C726" s="1378">
        <f>IF(raw[[#This Row],[city]]="","-",IF(raw[[#This Row],[city]]="TODAY","-",C725+1))</f>
        <v/>
      </c>
      <c r="D726" s="1393" t="inlineStr">
        <is>
          <t>Guaecá</t>
        </is>
      </c>
      <c r="E726" s="1394" t="n">
        <v>37547</v>
      </c>
      <c r="F726" s="1394" t="n">
        <v>37551</v>
      </c>
      <c r="G726" s="1393" t="inlineStr">
        <is>
          <t>-</t>
        </is>
      </c>
      <c r="H726" s="1393" t="inlineStr">
        <is>
          <t>Bertioga</t>
        </is>
      </c>
      <c r="I726" s="1393" t="inlineStr">
        <is>
          <t>Guaecá</t>
        </is>
      </c>
      <c r="J726" s="1393" t="inlineStr">
        <is>
          <t>-</t>
        </is>
      </c>
      <c r="K726" s="1395">
        <f>IF(raw[[#This Row],[city]]&lt;&gt;"",_xlfn.XLOOKUP($D726,ccc[city],ccc[prov],"-"),"-")</f>
        <v/>
      </c>
      <c r="L726" s="1395">
        <f>IF(raw[[#This Row],[city]]&lt;&gt;"",_xlfn.XLOOKUP($D726,ccc[city],ccc[ctry],"-"),"-")</f>
        <v/>
      </c>
      <c r="M726" s="1395">
        <f>IF(raw[[#This Row],[city]]&lt;&gt;"",_xlfn.XLOOKUP($D726,ccc[city],ccc[cont],"-"),"-")</f>
        <v/>
      </c>
      <c r="N726" s="1396">
        <f>IF(raw[[#This Row],[city]]="","-",IF(raw[[#This Row],[cont]]="B",raw[[#This Row],[cont]],"W"))</f>
        <v/>
      </c>
      <c r="O726" s="1397">
        <f>IF(raw[[#This Row],[out]]=0,0,IF(raw[[#This Row],[out]]=raw[[#This Row],[in]],0.01,raw[[#This Row],[out]]-raw[[#This Row],[in]]))</f>
        <v/>
      </c>
      <c r="P726" s="1397">
        <f>IF(raw[[#This Row],[in]]=0,0,MONTH(raw[[#This Row],[in]]))</f>
        <v/>
      </c>
      <c r="Q726" s="1397">
        <f>IF(raw[[#This Row],[in]]=0,0,YEAR(raw[[#This Row],[in]]))</f>
        <v/>
      </c>
      <c r="R726" s="1397">
        <f>INT(raw[[#This Row],[yr]]/10)*10</f>
        <v/>
      </c>
      <c r="S726" s="1395">
        <f>IF(raw[[#This Row],[city]]="","-",IF(raw[[#This Row],[city]]&lt;&gt;_xlfn.XLOOKUP(raw[[#This Row],[home]],homes[home],homes[city],"-"),1,0))</f>
        <v/>
      </c>
      <c r="T726" s="1398" t="inlineStr">
        <is>
          <t>.</t>
        </is>
      </c>
      <c r="U726" s="1399">
        <f>IF(raw[[#This Row],[wb]]="w",raw[[#This Row],[stay]]+U725,U725)</f>
        <v/>
      </c>
      <c r="V726" s="1400">
        <f>IF(raw[[#This Row],[out]]=0,V725,(raw[[#This Row],[out]]-E$5))</f>
        <v/>
      </c>
      <c r="W726" s="1401">
        <f>U726/V726</f>
        <v/>
      </c>
      <c r="X726" s="1378" t="inlineStr">
        <is>
          <t>.</t>
        </is>
      </c>
      <c r="Y726" s="1402">
        <f/>
        <v/>
      </c>
      <c r="Z726" s="1403">
        <f/>
        <v/>
      </c>
      <c r="AA726" s="1403">
        <f/>
        <v/>
      </c>
      <c r="AB726" s="1400">
        <f t="array" ref="AB726">_xlfn.LET(_xlpm.S,_xlfn.ANCHORARRAY($Y$4),_xlpm.r,ROWS(stayCity[[#Headers],[city]]:stayCity[[#This Row],[city]])-1,IF(_xlpm.r&lt;=ROWS(_xlpm.S),INDEX(_xlpm.S,_xlpm.r,1),""))</f>
        <v/>
      </c>
      <c r="AC726" s="1405">
        <f t="array" ref="AC726">_xlfn.LET(_xlpm.S,_xlfn.ANCHORARRAY($Y$4),_xlpm.r,ROWS(stayCity[[#Headers],[city]]:stayCity[[#This Row],[city]])-1,IF(_xlpm.r&lt;=ROWS(_xlpm.S),INDEX(_xlpm.S,_xlpm.r,2),""))</f>
        <v/>
      </c>
      <c r="AD726" s="1405">
        <f t="array" ref="AD726">_xlfn.LET(_xlpm.S,_xlfn.ANCHORARRAY($Y$4),_xlpm.r,ROWS(stayCity[[#Headers],[city]]:stayCity[[#This Row],[city]])-1,IF(_xlpm.r&lt;=ROWS(_xlpm.S),INDEX(_xlpm.S,_xlpm.r,3),""))</f>
        <v/>
      </c>
      <c r="AE726" s="1400">
        <f>IF(stayCity[[#This Row],[out]]&lt;&gt;"",stayCity[[#This Row],[out]]-stayCity[[#This Row],[in]],"-")</f>
        <v/>
      </c>
      <c r="AF726" s="1406">
        <f>IF(Y726="","-",YEAR(stayCity[[#This Row],[in]]))</f>
        <v/>
      </c>
      <c r="AG726" s="1392" t="n"/>
      <c r="AH726" s="1392" t="n"/>
      <c r="AI726" s="1392" t="n"/>
      <c r="AJ726" s="1392" t="n"/>
      <c r="AK726" s="1392" t="n"/>
      <c r="AL726" s="1392" t="n"/>
      <c r="AM726" s="1392" t="n"/>
      <c r="AN726" s="1392" t="n"/>
      <c r="AO726" s="1392" t="n"/>
      <c r="AP726" s="1392" t="n"/>
      <c r="AQ726" s="1392" t="n"/>
      <c r="AR726" s="1392" t="n"/>
      <c r="AS726" s="1422" t="n"/>
      <c r="AT726" s="1392" t="n"/>
      <c r="AU726" s="1392" t="n"/>
      <c r="AV726" s="1392" t="n"/>
      <c r="AW726" s="1392" t="n"/>
      <c r="AX726" s="1392" t="n"/>
      <c r="AY726" s="1392" t="n"/>
      <c r="AZ726" s="1392" t="n"/>
      <c r="BA726" s="1392" t="n"/>
      <c r="BB726" s="1422" t="n"/>
      <c r="BC726" s="1392" t="n"/>
      <c r="BD726" s="1392" t="n"/>
      <c r="BE726" s="1392" t="n"/>
      <c r="BF726" s="1392" t="n"/>
      <c r="BG726" s="1392" t="n"/>
      <c r="BH726" s="1392" t="n"/>
      <c r="BI726" s="1392" t="n"/>
      <c r="BJ726" s="1392" t="n"/>
      <c r="BK726" s="1392" t="n"/>
      <c r="BL726" s="1392" t="n"/>
      <c r="BM726" s="1392" t="n"/>
      <c r="BN726" s="1392" t="n"/>
      <c r="BO726" s="1392" t="n"/>
      <c r="BP726" s="1392" t="n"/>
      <c r="BQ726" s="1392" t="n"/>
      <c r="BR726" s="1392" t="n"/>
      <c r="BS726" s="1392" t="n"/>
      <c r="BT726" s="1392" t="n"/>
      <c r="BU726" s="1416" t="n"/>
      <c r="BV726" s="1392" t="n"/>
      <c r="BW726" s="1392" t="n"/>
      <c r="BX726" s="1392" t="n"/>
      <c r="BY726" s="1392" t="n"/>
      <c r="BZ726" s="1416" t="n"/>
      <c r="CA726" s="1392" t="n"/>
      <c r="CB726" s="1392" t="n"/>
      <c r="CC726" s="1392" t="n"/>
      <c r="CD726" s="1392" t="n"/>
      <c r="CE726" s="1392" t="n"/>
      <c r="CF726" s="1392" t="n"/>
      <c r="CG726" s="1392" t="n"/>
      <c r="CH726" s="1392" t="n"/>
      <c r="CI726" s="1392" t="n"/>
      <c r="CJ726" s="1392" t="n"/>
      <c r="CK726" s="1392" t="n"/>
      <c r="CL726" s="1392" t="n"/>
    </row>
    <row r="727">
      <c r="A727" s="5" t="inlineStr">
        <is>
          <t>.</t>
        </is>
      </c>
      <c r="B727" s="5" t="inlineStr">
        <is>
          <t>.</t>
        </is>
      </c>
      <c r="C727" s="1378">
        <f>IF(raw[[#This Row],[city]]="","-",IF(raw[[#This Row],[city]]="TODAY","-",C726+1))</f>
        <v/>
      </c>
      <c r="D727" s="1393" t="inlineStr">
        <is>
          <t>Ilhabela</t>
        </is>
      </c>
      <c r="E727" s="1394" t="n">
        <v>37550</v>
      </c>
      <c r="F727" s="1394" t="n">
        <v>37550</v>
      </c>
      <c r="G727" s="1393" t="inlineStr">
        <is>
          <t>-</t>
        </is>
      </c>
      <c r="H727" s="1393" t="inlineStr">
        <is>
          <t>Bertioga</t>
        </is>
      </c>
      <c r="I727" s="1393" t="inlineStr">
        <is>
          <t>-</t>
        </is>
      </c>
      <c r="J727" s="1393" t="inlineStr">
        <is>
          <t>-</t>
        </is>
      </c>
      <c r="K727" s="1395">
        <f>IF(raw[[#This Row],[city]]&lt;&gt;"",_xlfn.XLOOKUP($D727,ccc[city],ccc[prov],"-"),"-")</f>
        <v/>
      </c>
      <c r="L727" s="1395">
        <f>IF(raw[[#This Row],[city]]&lt;&gt;"",_xlfn.XLOOKUP($D727,ccc[city],ccc[ctry],"-"),"-")</f>
        <v/>
      </c>
      <c r="M727" s="1395">
        <f>IF(raw[[#This Row],[city]]&lt;&gt;"",_xlfn.XLOOKUP($D727,ccc[city],ccc[cont],"-"),"-")</f>
        <v/>
      </c>
      <c r="N727" s="1396">
        <f>IF(raw[[#This Row],[city]]="","-",IF(raw[[#This Row],[cont]]="B",raw[[#This Row],[cont]],"W"))</f>
        <v/>
      </c>
      <c r="O727" s="1397">
        <f>IF(raw[[#This Row],[out]]=0,0,IF(raw[[#This Row],[out]]=raw[[#This Row],[in]],0.01,raw[[#This Row],[out]]-raw[[#This Row],[in]]))</f>
        <v/>
      </c>
      <c r="P727" s="1397">
        <f>IF(raw[[#This Row],[in]]=0,0,MONTH(raw[[#This Row],[in]]))</f>
        <v/>
      </c>
      <c r="Q727" s="1397">
        <f>IF(raw[[#This Row],[in]]=0,0,YEAR(raw[[#This Row],[in]]))</f>
        <v/>
      </c>
      <c r="R727" s="1397">
        <f>INT(raw[[#This Row],[yr]]/10)*10</f>
        <v/>
      </c>
      <c r="S727" s="1395">
        <f>IF(raw[[#This Row],[city]]="","-",IF(raw[[#This Row],[city]]&lt;&gt;_xlfn.XLOOKUP(raw[[#This Row],[home]],homes[home],homes[city],"-"),1,0))</f>
        <v/>
      </c>
      <c r="T727" s="1398" t="inlineStr">
        <is>
          <t>.</t>
        </is>
      </c>
      <c r="U727" s="1399">
        <f>IF(raw[[#This Row],[wb]]="w",raw[[#This Row],[stay]]+U726,U726)</f>
        <v/>
      </c>
      <c r="V727" s="1400">
        <f>IF(raw[[#This Row],[out]]=0,V726,(raw[[#This Row],[out]]-E$5))</f>
        <v/>
      </c>
      <c r="W727" s="1401">
        <f>U727/V727</f>
        <v/>
      </c>
      <c r="X727" s="1378" t="inlineStr">
        <is>
          <t>.</t>
        </is>
      </c>
      <c r="Y727" s="1402">
        <f/>
        <v/>
      </c>
      <c r="Z727" s="1403">
        <f/>
        <v/>
      </c>
      <c r="AA727" s="1403">
        <f/>
        <v/>
      </c>
      <c r="AB727" s="1400">
        <f t="array" ref="AB727">_xlfn.LET(_xlpm.S,_xlfn.ANCHORARRAY($Y$4),_xlpm.r,ROWS(stayCity[[#Headers],[city]]:stayCity[[#This Row],[city]])-1,IF(_xlpm.r&lt;=ROWS(_xlpm.S),INDEX(_xlpm.S,_xlpm.r,1),""))</f>
        <v/>
      </c>
      <c r="AC727" s="1405">
        <f t="array" ref="AC727">_xlfn.LET(_xlpm.S,_xlfn.ANCHORARRAY($Y$4),_xlpm.r,ROWS(stayCity[[#Headers],[city]]:stayCity[[#This Row],[city]])-1,IF(_xlpm.r&lt;=ROWS(_xlpm.S),INDEX(_xlpm.S,_xlpm.r,2),""))</f>
        <v/>
      </c>
      <c r="AD727" s="1405">
        <f t="array" ref="AD727">_xlfn.LET(_xlpm.S,_xlfn.ANCHORARRAY($Y$4),_xlpm.r,ROWS(stayCity[[#Headers],[city]]:stayCity[[#This Row],[city]])-1,IF(_xlpm.r&lt;=ROWS(_xlpm.S),INDEX(_xlpm.S,_xlpm.r,3),""))</f>
        <v/>
      </c>
      <c r="AE727" s="1400">
        <f>IF(stayCity[[#This Row],[out]]&lt;&gt;"",stayCity[[#This Row],[out]]-stayCity[[#This Row],[in]],"-")</f>
        <v/>
      </c>
      <c r="AF727" s="1406">
        <f>IF(Y727="","-",YEAR(stayCity[[#This Row],[in]]))</f>
        <v/>
      </c>
      <c r="AG727" s="1392" t="n"/>
      <c r="AH727" s="1392" t="n"/>
      <c r="AI727" s="1392" t="n"/>
      <c r="AJ727" s="1392" t="n"/>
      <c r="AK727" s="1392" t="n"/>
      <c r="AL727" s="1392" t="n"/>
      <c r="AM727" s="1392" t="n"/>
      <c r="AN727" s="1392" t="n"/>
      <c r="AO727" s="1392" t="n"/>
      <c r="AP727" s="1392" t="n"/>
      <c r="AQ727" s="1392" t="n"/>
      <c r="AR727" s="1392" t="n"/>
      <c r="AS727" s="1422" t="n"/>
      <c r="AT727" s="1392" t="n"/>
      <c r="AU727" s="1392" t="n"/>
      <c r="AV727" s="1392" t="n"/>
      <c r="AW727" s="1392" t="n"/>
      <c r="AX727" s="1392" t="n"/>
      <c r="AY727" s="1392" t="n"/>
      <c r="AZ727" s="1392" t="n"/>
      <c r="BA727" s="1392" t="n"/>
      <c r="BB727" s="1422" t="n"/>
      <c r="BC727" s="1392" t="n"/>
      <c r="BD727" s="1392" t="n"/>
      <c r="BE727" s="1392" t="n"/>
      <c r="BF727" s="1392" t="n"/>
      <c r="BG727" s="1392" t="n"/>
      <c r="BH727" s="1392" t="n"/>
      <c r="BI727" s="1392" t="n"/>
      <c r="BJ727" s="1392" t="n"/>
      <c r="BK727" s="1392" t="n"/>
      <c r="BL727" s="1392" t="n"/>
      <c r="BM727" s="1392" t="n"/>
      <c r="BN727" s="1392" t="n"/>
      <c r="BO727" s="1392" t="n"/>
      <c r="BP727" s="1392" t="n"/>
      <c r="BQ727" s="1392" t="n"/>
      <c r="BR727" s="1392" t="n"/>
      <c r="BS727" s="1392" t="n"/>
      <c r="BT727" s="1392" t="n"/>
      <c r="BU727" s="1416" t="n"/>
      <c r="BV727" s="1392" t="n"/>
      <c r="BW727" s="1392" t="n"/>
      <c r="BX727" s="1392" t="n"/>
      <c r="BY727" s="1392" t="n"/>
      <c r="BZ727" s="1416" t="n"/>
      <c r="CA727" s="1392" t="n"/>
      <c r="CB727" s="1392" t="n"/>
      <c r="CC727" s="1392" t="n"/>
      <c r="CD727" s="1392" t="n"/>
      <c r="CE727" s="1392" t="n"/>
      <c r="CF727" s="1392" t="n"/>
      <c r="CG727" s="1392" t="n"/>
      <c r="CH727" s="1392" t="n"/>
      <c r="CI727" s="1392" t="n"/>
      <c r="CJ727" s="1392" t="n"/>
      <c r="CK727" s="1392" t="n"/>
      <c r="CL727" s="1392" t="n"/>
    </row>
    <row r="728">
      <c r="A728" s="5" t="inlineStr">
        <is>
          <t>.</t>
        </is>
      </c>
      <c r="B728" s="5" t="inlineStr">
        <is>
          <t>.</t>
        </is>
      </c>
      <c r="C728" s="1378">
        <f>IF(raw[[#This Row],[city]]="","-",IF(raw[[#This Row],[city]]="TODAY","-",C727+1))</f>
        <v/>
      </c>
      <c r="D728" s="1393" t="inlineStr">
        <is>
          <t>Bertioga</t>
        </is>
      </c>
      <c r="E728" s="1394" t="n">
        <v>37551</v>
      </c>
      <c r="F728" s="1394" t="n">
        <v>37553</v>
      </c>
      <c r="G728" s="1393" t="inlineStr">
        <is>
          <t>-</t>
        </is>
      </c>
      <c r="H728" s="1393" t="inlineStr">
        <is>
          <t>Bertioga</t>
        </is>
      </c>
      <c r="I728" s="1393" t="inlineStr">
        <is>
          <t>-</t>
        </is>
      </c>
      <c r="J728" s="1393" t="inlineStr">
        <is>
          <t>-</t>
        </is>
      </c>
      <c r="K728" s="1395">
        <f>IF(raw[[#This Row],[city]]&lt;&gt;"",_xlfn.XLOOKUP($D728,ccc[city],ccc[prov],"-"),"-")</f>
        <v/>
      </c>
      <c r="L728" s="1395">
        <f>IF(raw[[#This Row],[city]]&lt;&gt;"",_xlfn.XLOOKUP($D728,ccc[city],ccc[ctry],"-"),"-")</f>
        <v/>
      </c>
      <c r="M728" s="1395">
        <f>IF(raw[[#This Row],[city]]&lt;&gt;"",_xlfn.XLOOKUP($D728,ccc[city],ccc[cont],"-"),"-")</f>
        <v/>
      </c>
      <c r="N728" s="1396">
        <f>IF(raw[[#This Row],[city]]="","-",IF(raw[[#This Row],[cont]]="B",raw[[#This Row],[cont]],"W"))</f>
        <v/>
      </c>
      <c r="O728" s="1397">
        <f>IF(raw[[#This Row],[out]]=0,0,IF(raw[[#This Row],[out]]=raw[[#This Row],[in]],0.01,raw[[#This Row],[out]]-raw[[#This Row],[in]]))</f>
        <v/>
      </c>
      <c r="P728" s="1397">
        <f>IF(raw[[#This Row],[in]]=0,0,MONTH(raw[[#This Row],[in]]))</f>
        <v/>
      </c>
      <c r="Q728" s="1397">
        <f>IF(raw[[#This Row],[in]]=0,0,YEAR(raw[[#This Row],[in]]))</f>
        <v/>
      </c>
      <c r="R728" s="1397">
        <f>INT(raw[[#This Row],[yr]]/10)*10</f>
        <v/>
      </c>
      <c r="S728" s="1395">
        <f>IF(raw[[#This Row],[city]]="","-",IF(raw[[#This Row],[city]]&lt;&gt;_xlfn.XLOOKUP(raw[[#This Row],[home]],homes[home],homes[city],"-"),1,0))</f>
        <v/>
      </c>
      <c r="T728" s="1398" t="inlineStr">
        <is>
          <t>.</t>
        </is>
      </c>
      <c r="U728" s="1399">
        <f>IF(raw[[#This Row],[wb]]="w",raw[[#This Row],[stay]]+U727,U727)</f>
        <v/>
      </c>
      <c r="V728" s="1400">
        <f>IF(raw[[#This Row],[out]]=0,V727,(raw[[#This Row],[out]]-E$5))</f>
        <v/>
      </c>
      <c r="W728" s="1401">
        <f>U728/V728</f>
        <v/>
      </c>
      <c r="X728" s="1378" t="inlineStr">
        <is>
          <t>.</t>
        </is>
      </c>
      <c r="Y728" s="1402">
        <f/>
        <v/>
      </c>
      <c r="Z728" s="1403">
        <f/>
        <v/>
      </c>
      <c r="AA728" s="1403">
        <f/>
        <v/>
      </c>
      <c r="AB728" s="1400">
        <f t="array" ref="AB728">_xlfn.LET(_xlpm.S,_xlfn.ANCHORARRAY($Y$4),_xlpm.r,ROWS(stayCity[[#Headers],[city]]:stayCity[[#This Row],[city]])-1,IF(_xlpm.r&lt;=ROWS(_xlpm.S),INDEX(_xlpm.S,_xlpm.r,1),""))</f>
        <v/>
      </c>
      <c r="AC728" s="1405">
        <f t="array" ref="AC728">_xlfn.LET(_xlpm.S,_xlfn.ANCHORARRAY($Y$4),_xlpm.r,ROWS(stayCity[[#Headers],[city]]:stayCity[[#This Row],[city]])-1,IF(_xlpm.r&lt;=ROWS(_xlpm.S),INDEX(_xlpm.S,_xlpm.r,2),""))</f>
        <v/>
      </c>
      <c r="AD728" s="1405">
        <f t="array" ref="AD728">_xlfn.LET(_xlpm.S,_xlfn.ANCHORARRAY($Y$4),_xlpm.r,ROWS(stayCity[[#Headers],[city]]:stayCity[[#This Row],[city]])-1,IF(_xlpm.r&lt;=ROWS(_xlpm.S),INDEX(_xlpm.S,_xlpm.r,3),""))</f>
        <v/>
      </c>
      <c r="AE728" s="1400">
        <f>IF(stayCity[[#This Row],[out]]&lt;&gt;"",stayCity[[#This Row],[out]]-stayCity[[#This Row],[in]],"-")</f>
        <v/>
      </c>
      <c r="AF728" s="1406">
        <f>IF(Y728="","-",YEAR(stayCity[[#This Row],[in]]))</f>
        <v/>
      </c>
      <c r="AG728" s="1392" t="n"/>
      <c r="AH728" s="1392" t="n"/>
      <c r="AI728" s="1392" t="n"/>
      <c r="AJ728" s="1392" t="n"/>
      <c r="AK728" s="1392" t="n"/>
      <c r="AL728" s="1392" t="n"/>
      <c r="AM728" s="1392" t="n"/>
      <c r="AN728" s="1392" t="n"/>
      <c r="AO728" s="1392" t="n"/>
      <c r="AP728" s="1392" t="n"/>
      <c r="AQ728" s="1392" t="n"/>
      <c r="AR728" s="1392" t="n"/>
      <c r="AS728" s="1422" t="n"/>
      <c r="AT728" s="1392" t="n"/>
      <c r="AU728" s="1392" t="n"/>
      <c r="AV728" s="1392" t="n"/>
      <c r="AW728" s="1392" t="n"/>
      <c r="AX728" s="1392" t="n"/>
      <c r="AY728" s="1392" t="n"/>
      <c r="AZ728" s="1392" t="n"/>
      <c r="BA728" s="1392" t="n"/>
      <c r="BB728" s="1422" t="n"/>
      <c r="BC728" s="1392" t="n"/>
      <c r="BD728" s="1392" t="n"/>
      <c r="BE728" s="1392" t="n"/>
      <c r="BF728" s="1392" t="n"/>
      <c r="BG728" s="1392" t="n"/>
      <c r="BH728" s="1392" t="n"/>
      <c r="BI728" s="1392" t="n"/>
      <c r="BJ728" s="1392" t="n"/>
      <c r="BK728" s="1392" t="n"/>
      <c r="BL728" s="1392" t="n"/>
      <c r="BM728" s="1392" t="n"/>
      <c r="BN728" s="1392" t="n"/>
      <c r="BO728" s="1392" t="n"/>
      <c r="BP728" s="1392" t="n"/>
      <c r="BQ728" s="1392" t="n"/>
      <c r="BR728" s="1392" t="n"/>
      <c r="BS728" s="1392" t="n"/>
      <c r="BT728" s="1392" t="n"/>
      <c r="BU728" s="1416" t="n"/>
      <c r="BV728" s="1392" t="n"/>
      <c r="BW728" s="1392" t="n"/>
      <c r="BX728" s="1392" t="n"/>
      <c r="BY728" s="1392" t="n"/>
      <c r="BZ728" s="1416" t="n"/>
      <c r="CA728" s="1392" t="n"/>
      <c r="CB728" s="1392" t="n"/>
      <c r="CC728" s="1392" t="n"/>
      <c r="CD728" s="1392" t="n"/>
      <c r="CE728" s="1392" t="n"/>
      <c r="CF728" s="1392" t="n"/>
      <c r="CG728" s="1392" t="n"/>
      <c r="CH728" s="1392" t="n"/>
      <c r="CI728" s="1392" t="n"/>
      <c r="CJ728" s="1392" t="n"/>
      <c r="CK728" s="1392" t="n"/>
      <c r="CL728" s="1392" t="n"/>
    </row>
    <row r="729">
      <c r="A729" s="5" t="inlineStr">
        <is>
          <t>.</t>
        </is>
      </c>
      <c r="B729" s="5" t="inlineStr">
        <is>
          <t>.</t>
        </is>
      </c>
      <c r="C729" s="1378">
        <f>IF(raw[[#This Row],[city]]="","-",IF(raw[[#This Row],[city]]="TODAY","-",C728+1))</f>
        <v/>
      </c>
      <c r="D729" s="1393" t="inlineStr">
        <is>
          <t>SP</t>
        </is>
      </c>
      <c r="E729" s="1394" t="n">
        <v>37553</v>
      </c>
      <c r="F729" s="1394" t="n">
        <v>37555</v>
      </c>
      <c r="G729" s="1393" t="n">
        <v>1</v>
      </c>
      <c r="H729" s="1393" t="inlineStr">
        <is>
          <t>Bertioga</t>
        </is>
      </c>
      <c r="I729" s="1393" t="inlineStr">
        <is>
          <t>Salto Grande</t>
        </is>
      </c>
      <c r="J729" s="1393" t="inlineStr">
        <is>
          <t>-</t>
        </is>
      </c>
      <c r="K729" s="1395">
        <f>IF(raw[[#This Row],[city]]&lt;&gt;"",_xlfn.XLOOKUP($D729,ccc[city],ccc[prov],"-"),"-")</f>
        <v/>
      </c>
      <c r="L729" s="1395">
        <f>IF(raw[[#This Row],[city]]&lt;&gt;"",_xlfn.XLOOKUP($D729,ccc[city],ccc[ctry],"-"),"-")</f>
        <v/>
      </c>
      <c r="M729" s="1395">
        <f>IF(raw[[#This Row],[city]]&lt;&gt;"",_xlfn.XLOOKUP($D729,ccc[city],ccc[cont],"-"),"-")</f>
        <v/>
      </c>
      <c r="N729" s="1396">
        <f>IF(raw[[#This Row],[city]]="","-",IF(raw[[#This Row],[cont]]="B",raw[[#This Row],[cont]],"W"))</f>
        <v/>
      </c>
      <c r="O729" s="1397">
        <f>IF(raw[[#This Row],[out]]=0,0,IF(raw[[#This Row],[out]]=raw[[#This Row],[in]],0.01,raw[[#This Row],[out]]-raw[[#This Row],[in]]))</f>
        <v/>
      </c>
      <c r="P729" s="1397">
        <f>IF(raw[[#This Row],[in]]=0,0,MONTH(raw[[#This Row],[in]]))</f>
        <v/>
      </c>
      <c r="Q729" s="1397">
        <f>IF(raw[[#This Row],[in]]=0,0,YEAR(raw[[#This Row],[in]]))</f>
        <v/>
      </c>
      <c r="R729" s="1397">
        <f>INT(raw[[#This Row],[yr]]/10)*10</f>
        <v/>
      </c>
      <c r="S729" s="1395">
        <f>IF(raw[[#This Row],[city]]="","-",IF(raw[[#This Row],[city]]&lt;&gt;_xlfn.XLOOKUP(raw[[#This Row],[home]],homes[home],homes[city],"-"),1,0))</f>
        <v/>
      </c>
      <c r="T729" s="1398" t="inlineStr">
        <is>
          <t>.</t>
        </is>
      </c>
      <c r="U729" s="1399">
        <f>IF(raw[[#This Row],[wb]]="w",raw[[#This Row],[stay]]+U728,U728)</f>
        <v/>
      </c>
      <c r="V729" s="1400">
        <f>IF(raw[[#This Row],[out]]=0,V728,(raw[[#This Row],[out]]-E$5))</f>
        <v/>
      </c>
      <c r="W729" s="1401">
        <f>U729/V729</f>
        <v/>
      </c>
      <c r="X729" s="1378" t="inlineStr">
        <is>
          <t>.</t>
        </is>
      </c>
      <c r="Y729" s="1402">
        <f/>
        <v/>
      </c>
      <c r="Z729" s="1403">
        <f/>
        <v/>
      </c>
      <c r="AA729" s="1403">
        <f/>
        <v/>
      </c>
      <c r="AB729" s="1400">
        <f t="array" ref="AB729">_xlfn.LET(_xlpm.S,_xlfn.ANCHORARRAY($Y$4),_xlpm.r,ROWS(stayCity[[#Headers],[city]]:stayCity[[#This Row],[city]])-1,IF(_xlpm.r&lt;=ROWS(_xlpm.S),INDEX(_xlpm.S,_xlpm.r,1),""))</f>
        <v/>
      </c>
      <c r="AC729" s="1405">
        <f t="array" ref="AC729">_xlfn.LET(_xlpm.S,_xlfn.ANCHORARRAY($Y$4),_xlpm.r,ROWS(stayCity[[#Headers],[city]]:stayCity[[#This Row],[city]])-1,IF(_xlpm.r&lt;=ROWS(_xlpm.S),INDEX(_xlpm.S,_xlpm.r,2),""))</f>
        <v/>
      </c>
      <c r="AD729" s="1405">
        <f t="array" ref="AD729">_xlfn.LET(_xlpm.S,_xlfn.ANCHORARRAY($Y$4),_xlpm.r,ROWS(stayCity[[#Headers],[city]]:stayCity[[#This Row],[city]])-1,IF(_xlpm.r&lt;=ROWS(_xlpm.S),INDEX(_xlpm.S,_xlpm.r,3),""))</f>
        <v/>
      </c>
      <c r="AE729" s="1400">
        <f>IF(stayCity[[#This Row],[out]]&lt;&gt;"",stayCity[[#This Row],[out]]-stayCity[[#This Row],[in]],"-")</f>
        <v/>
      </c>
      <c r="AF729" s="1406">
        <f>IF(Y729="","-",YEAR(stayCity[[#This Row],[in]]))</f>
        <v/>
      </c>
      <c r="AG729" s="1392" t="n"/>
      <c r="AH729" s="1392" t="n"/>
      <c r="AI729" s="1392" t="n"/>
      <c r="AJ729" s="1392" t="n"/>
      <c r="AK729" s="1392" t="n"/>
      <c r="AL729" s="1392" t="n"/>
      <c r="AM729" s="1392" t="n"/>
      <c r="AN729" s="1392" t="n"/>
      <c r="AO729" s="1392" t="n"/>
      <c r="AP729" s="1392" t="n"/>
      <c r="AQ729" s="1392" t="n"/>
      <c r="AR729" s="1392" t="n"/>
      <c r="AS729" s="1422" t="n"/>
      <c r="AT729" s="1392" t="n"/>
      <c r="AU729" s="1392" t="n"/>
      <c r="AV729" s="1392" t="n"/>
      <c r="AW729" s="1392" t="n"/>
      <c r="AX729" s="1392" t="n"/>
      <c r="AY729" s="1392" t="n"/>
      <c r="AZ729" s="1392" t="n"/>
      <c r="BA729" s="1392" t="n"/>
      <c r="BB729" s="1422" t="n"/>
      <c r="BC729" s="1392" t="n"/>
      <c r="BD729" s="1392" t="n"/>
      <c r="BE729" s="1392" t="n"/>
      <c r="BF729" s="1392" t="n"/>
      <c r="BG729" s="1392" t="n"/>
      <c r="BH729" s="1392" t="n"/>
      <c r="BI729" s="1392" t="n"/>
      <c r="BJ729" s="1392" t="n"/>
      <c r="BK729" s="1392" t="n"/>
      <c r="BL729" s="1392" t="n"/>
      <c r="BM729" s="1392" t="n"/>
      <c r="BN729" s="1392" t="n"/>
      <c r="BO729" s="1392" t="n"/>
      <c r="BP729" s="1392" t="n"/>
      <c r="BQ729" s="1392" t="n"/>
      <c r="BR729" s="1392" t="n"/>
      <c r="BS729" s="1392" t="n"/>
      <c r="BT729" s="1392" t="n"/>
      <c r="BU729" s="1416" t="n"/>
      <c r="BV729" s="1392" t="n"/>
      <c r="BW729" s="1392" t="n"/>
      <c r="BX729" s="1392" t="n"/>
      <c r="BY729" s="1392" t="n"/>
      <c r="BZ729" s="1416" t="n"/>
      <c r="CA729" s="1392" t="n"/>
      <c r="CB729" s="1392" t="n"/>
      <c r="CC729" s="1392" t="n"/>
      <c r="CD729" s="1392" t="n"/>
      <c r="CE729" s="1392" t="n"/>
      <c r="CF729" s="1392" t="n"/>
      <c r="CG729" s="1392" t="n"/>
      <c r="CH729" s="1392" t="n"/>
      <c r="CI729" s="1392" t="n"/>
      <c r="CJ729" s="1392" t="n"/>
      <c r="CK729" s="1392" t="n"/>
      <c r="CL729" s="1392" t="n"/>
    </row>
    <row r="730">
      <c r="A730" s="5" t="inlineStr">
        <is>
          <t>.</t>
        </is>
      </c>
      <c r="B730" s="5" t="inlineStr">
        <is>
          <t>.</t>
        </is>
      </c>
      <c r="C730" s="1378">
        <f>IF(raw[[#This Row],[city]]="","-",IF(raw[[#This Row],[city]]="TODAY","-",C729+1))</f>
        <v/>
      </c>
      <c r="D730" s="1393" t="inlineStr">
        <is>
          <t>SSA</t>
        </is>
      </c>
      <c r="E730" s="1394" t="n">
        <v>37555</v>
      </c>
      <c r="F730" s="1394" t="n">
        <v>37561</v>
      </c>
      <c r="G730" s="1393" t="inlineStr">
        <is>
          <t>-</t>
        </is>
      </c>
      <c r="H730" s="1393" t="inlineStr">
        <is>
          <t>Bertioga</t>
        </is>
      </c>
      <c r="I730" s="1393" t="inlineStr">
        <is>
          <t>Ondina</t>
        </is>
      </c>
      <c r="J730" s="1393" t="inlineStr">
        <is>
          <t>-</t>
        </is>
      </c>
      <c r="K730" s="1395">
        <f>IF(raw[[#This Row],[city]]&lt;&gt;"",_xlfn.XLOOKUP($D730,ccc[city],ccc[prov],"-"),"-")</f>
        <v/>
      </c>
      <c r="L730" s="1395">
        <f>IF(raw[[#This Row],[city]]&lt;&gt;"",_xlfn.XLOOKUP($D730,ccc[city],ccc[ctry],"-"),"-")</f>
        <v/>
      </c>
      <c r="M730" s="1395">
        <f>IF(raw[[#This Row],[city]]&lt;&gt;"",_xlfn.XLOOKUP($D730,ccc[city],ccc[cont],"-"),"-")</f>
        <v/>
      </c>
      <c r="N730" s="1396">
        <f>IF(raw[[#This Row],[city]]="","-",IF(raw[[#This Row],[cont]]="B",raw[[#This Row],[cont]],"W"))</f>
        <v/>
      </c>
      <c r="O730" s="1397">
        <f>IF(raw[[#This Row],[out]]=0,0,IF(raw[[#This Row],[out]]=raw[[#This Row],[in]],0.01,raw[[#This Row],[out]]-raw[[#This Row],[in]]))</f>
        <v/>
      </c>
      <c r="P730" s="1397">
        <f>IF(raw[[#This Row],[in]]=0,0,MONTH(raw[[#This Row],[in]]))</f>
        <v/>
      </c>
      <c r="Q730" s="1397">
        <f>IF(raw[[#This Row],[in]]=0,0,YEAR(raw[[#This Row],[in]]))</f>
        <v/>
      </c>
      <c r="R730" s="1397">
        <f>INT(raw[[#This Row],[yr]]/10)*10</f>
        <v/>
      </c>
      <c r="S730" s="1395">
        <f>IF(raw[[#This Row],[city]]="","-",IF(raw[[#This Row],[city]]&lt;&gt;_xlfn.XLOOKUP(raw[[#This Row],[home]],homes[home],homes[city],"-"),1,0))</f>
        <v/>
      </c>
      <c r="T730" s="1398" t="inlineStr">
        <is>
          <t>.</t>
        </is>
      </c>
      <c r="U730" s="1399">
        <f>IF(raw[[#This Row],[wb]]="w",raw[[#This Row],[stay]]+U729,U729)</f>
        <v/>
      </c>
      <c r="V730" s="1400">
        <f>IF(raw[[#This Row],[out]]=0,V729,(raw[[#This Row],[out]]-E$5))</f>
        <v/>
      </c>
      <c r="W730" s="1401">
        <f>U730/V730</f>
        <v/>
      </c>
      <c r="X730" s="1378" t="inlineStr">
        <is>
          <t>.</t>
        </is>
      </c>
      <c r="Y730" s="1402">
        <f/>
        <v/>
      </c>
      <c r="Z730" s="1403">
        <f/>
        <v/>
      </c>
      <c r="AA730" s="1403">
        <f/>
        <v/>
      </c>
      <c r="AB730" s="1400">
        <f t="array" ref="AB730">_xlfn.LET(_xlpm.S,_xlfn.ANCHORARRAY($Y$4),_xlpm.r,ROWS(stayCity[[#Headers],[city]]:stayCity[[#This Row],[city]])-1,IF(_xlpm.r&lt;=ROWS(_xlpm.S),INDEX(_xlpm.S,_xlpm.r,1),""))</f>
        <v/>
      </c>
      <c r="AC730" s="1405">
        <f t="array" ref="AC730">_xlfn.LET(_xlpm.S,_xlfn.ANCHORARRAY($Y$4),_xlpm.r,ROWS(stayCity[[#Headers],[city]]:stayCity[[#This Row],[city]])-1,IF(_xlpm.r&lt;=ROWS(_xlpm.S),INDEX(_xlpm.S,_xlpm.r,2),""))</f>
        <v/>
      </c>
      <c r="AD730" s="1405">
        <f t="array" ref="AD730">_xlfn.LET(_xlpm.S,_xlfn.ANCHORARRAY($Y$4),_xlpm.r,ROWS(stayCity[[#Headers],[city]]:stayCity[[#This Row],[city]])-1,IF(_xlpm.r&lt;=ROWS(_xlpm.S),INDEX(_xlpm.S,_xlpm.r,3),""))</f>
        <v/>
      </c>
      <c r="AE730" s="1400">
        <f>IF(stayCity[[#This Row],[out]]&lt;&gt;"",stayCity[[#This Row],[out]]-stayCity[[#This Row],[in]],"-")</f>
        <v/>
      </c>
      <c r="AF730" s="1406">
        <f>IF(Y730="","-",YEAR(stayCity[[#This Row],[in]]))</f>
        <v/>
      </c>
      <c r="AG730" s="1392" t="n"/>
      <c r="AH730" s="1392" t="n"/>
      <c r="AI730" s="1392" t="n"/>
      <c r="AJ730" s="1392" t="n"/>
      <c r="AK730" s="1392" t="n"/>
      <c r="AL730" s="1392" t="n"/>
      <c r="AM730" s="1392" t="n"/>
      <c r="AN730" s="1392" t="n"/>
      <c r="AO730" s="1392" t="n"/>
      <c r="AP730" s="1392" t="n"/>
      <c r="AQ730" s="1392" t="n"/>
      <c r="AR730" s="1392" t="n"/>
      <c r="AS730" s="1422" t="n"/>
      <c r="AT730" s="1392" t="n"/>
      <c r="AU730" s="1392" t="n"/>
      <c r="AV730" s="1392" t="n"/>
      <c r="AW730" s="1392" t="n"/>
      <c r="AX730" s="1392" t="n"/>
      <c r="AY730" s="1392" t="n"/>
      <c r="AZ730" s="1392" t="n"/>
      <c r="BA730" s="1392" t="n"/>
      <c r="BB730" s="1422" t="n"/>
      <c r="BC730" s="1392" t="n"/>
      <c r="BD730" s="1392" t="n"/>
      <c r="BE730" s="1392" t="n"/>
      <c r="BF730" s="1392" t="n"/>
      <c r="BG730" s="1392" t="n"/>
      <c r="BH730" s="1392" t="n"/>
      <c r="BI730" s="1392" t="n"/>
      <c r="BJ730" s="1392" t="n"/>
      <c r="BK730" s="1392" t="n"/>
      <c r="BL730" s="1392" t="n"/>
      <c r="BM730" s="1392" t="n"/>
      <c r="BN730" s="1392" t="n"/>
      <c r="BO730" s="1392" t="n"/>
      <c r="BP730" s="1392" t="n"/>
      <c r="BQ730" s="1392" t="n"/>
      <c r="BR730" s="1392" t="n"/>
      <c r="BS730" s="1392" t="n"/>
      <c r="BT730" s="1392" t="n"/>
      <c r="BU730" s="1416" t="n"/>
      <c r="BV730" s="1392" t="n"/>
      <c r="BW730" s="1392" t="n"/>
      <c r="BX730" s="1392" t="n"/>
      <c r="BY730" s="1392" t="n"/>
      <c r="BZ730" s="1416" t="n"/>
      <c r="CA730" s="1392" t="n"/>
      <c r="CB730" s="1392" t="n"/>
      <c r="CC730" s="1392" t="n"/>
      <c r="CD730" s="1392" t="n"/>
      <c r="CE730" s="1392" t="n"/>
      <c r="CF730" s="1392" t="n"/>
      <c r="CG730" s="1392" t="n"/>
      <c r="CH730" s="1392" t="n"/>
      <c r="CI730" s="1392" t="n"/>
      <c r="CJ730" s="1392" t="n"/>
      <c r="CK730" s="1392" t="n"/>
      <c r="CL730" s="1392" t="n"/>
    </row>
    <row r="731">
      <c r="A731" s="5" t="inlineStr">
        <is>
          <t>.</t>
        </is>
      </c>
      <c r="B731" s="5" t="inlineStr">
        <is>
          <t>.</t>
        </is>
      </c>
      <c r="C731" s="1378">
        <f>IF(raw[[#This Row],[city]]="","-",IF(raw[[#This Row],[city]]="TODAY","-",C730+1))</f>
        <v/>
      </c>
      <c r="D731" s="1393" t="inlineStr">
        <is>
          <t>SSA</t>
        </is>
      </c>
      <c r="E731" s="1394" t="n">
        <v>37561</v>
      </c>
      <c r="F731" s="1394" t="n">
        <v>37564</v>
      </c>
      <c r="G731" s="1393" t="n">
        <v>1</v>
      </c>
      <c r="H731" s="1393" t="inlineStr">
        <is>
          <t>Bertioga</t>
        </is>
      </c>
      <c r="I731" s="1393" t="inlineStr">
        <is>
          <t>Ondina</t>
        </is>
      </c>
      <c r="J731" s="1393" t="inlineStr">
        <is>
          <t>-</t>
        </is>
      </c>
      <c r="K731" s="1395">
        <f>IF(raw[[#This Row],[city]]&lt;&gt;"",_xlfn.XLOOKUP($D731,ccc[city],ccc[prov],"-"),"-")</f>
        <v/>
      </c>
      <c r="L731" s="1395">
        <f>IF(raw[[#This Row],[city]]&lt;&gt;"",_xlfn.XLOOKUP($D731,ccc[city],ccc[ctry],"-"),"-")</f>
        <v/>
      </c>
      <c r="M731" s="1395">
        <f>IF(raw[[#This Row],[city]]&lt;&gt;"",_xlfn.XLOOKUP($D731,ccc[city],ccc[cont],"-"),"-")</f>
        <v/>
      </c>
      <c r="N731" s="1396">
        <f>IF(raw[[#This Row],[city]]="","-",IF(raw[[#This Row],[cont]]="B",raw[[#This Row],[cont]],"W"))</f>
        <v/>
      </c>
      <c r="O731" s="1397">
        <f>IF(raw[[#This Row],[out]]=0,0,IF(raw[[#This Row],[out]]=raw[[#This Row],[in]],0.01,raw[[#This Row],[out]]-raw[[#This Row],[in]]))</f>
        <v/>
      </c>
      <c r="P731" s="1397">
        <f>IF(raw[[#This Row],[in]]=0,0,MONTH(raw[[#This Row],[in]]))</f>
        <v/>
      </c>
      <c r="Q731" s="1397">
        <f>IF(raw[[#This Row],[in]]=0,0,YEAR(raw[[#This Row],[in]]))</f>
        <v/>
      </c>
      <c r="R731" s="1397">
        <f>INT(raw[[#This Row],[yr]]/10)*10</f>
        <v/>
      </c>
      <c r="S731" s="1395">
        <f>IF(raw[[#This Row],[city]]="","-",IF(raw[[#This Row],[city]]&lt;&gt;_xlfn.XLOOKUP(raw[[#This Row],[home]],homes[home],homes[city],"-"),1,0))</f>
        <v/>
      </c>
      <c r="T731" s="1398" t="inlineStr">
        <is>
          <t>.</t>
        </is>
      </c>
      <c r="U731" s="1399">
        <f>IF(raw[[#This Row],[wb]]="w",raw[[#This Row],[stay]]+U730,U730)</f>
        <v/>
      </c>
      <c r="V731" s="1400">
        <f>IF(raw[[#This Row],[out]]=0,V730,(raw[[#This Row],[out]]-E$5))</f>
        <v/>
      </c>
      <c r="W731" s="1401">
        <f>U731/V731</f>
        <v/>
      </c>
      <c r="X731" s="1378" t="inlineStr">
        <is>
          <t>.</t>
        </is>
      </c>
      <c r="Y731" s="1402">
        <f/>
        <v/>
      </c>
      <c r="Z731" s="1403">
        <f/>
        <v/>
      </c>
      <c r="AA731" s="1403">
        <f/>
        <v/>
      </c>
      <c r="AB731" s="1400">
        <f t="array" ref="AB731">_xlfn.LET(_xlpm.S,_xlfn.ANCHORARRAY($Y$4),_xlpm.r,ROWS(stayCity[[#Headers],[city]]:stayCity[[#This Row],[city]])-1,IF(_xlpm.r&lt;=ROWS(_xlpm.S),INDEX(_xlpm.S,_xlpm.r,1),""))</f>
        <v/>
      </c>
      <c r="AC731" s="1405">
        <f t="array" ref="AC731">_xlfn.LET(_xlpm.S,_xlfn.ANCHORARRAY($Y$4),_xlpm.r,ROWS(stayCity[[#Headers],[city]]:stayCity[[#This Row],[city]])-1,IF(_xlpm.r&lt;=ROWS(_xlpm.S),INDEX(_xlpm.S,_xlpm.r,2),""))</f>
        <v/>
      </c>
      <c r="AD731" s="1405">
        <f t="array" ref="AD731">_xlfn.LET(_xlpm.S,_xlfn.ANCHORARRAY($Y$4),_xlpm.r,ROWS(stayCity[[#Headers],[city]]:stayCity[[#This Row],[city]])-1,IF(_xlpm.r&lt;=ROWS(_xlpm.S),INDEX(_xlpm.S,_xlpm.r,3),""))</f>
        <v/>
      </c>
      <c r="AE731" s="1400">
        <f>IF(stayCity[[#This Row],[out]]&lt;&gt;"",stayCity[[#This Row],[out]]-stayCity[[#This Row],[in]],"-")</f>
        <v/>
      </c>
      <c r="AF731" s="1406">
        <f>IF(Y731="","-",YEAR(stayCity[[#This Row],[in]]))</f>
        <v/>
      </c>
      <c r="AG731" s="1392" t="n"/>
      <c r="AH731" s="1392" t="n"/>
      <c r="AI731" s="1392" t="n"/>
      <c r="AJ731" s="1392" t="n"/>
      <c r="AK731" s="1392" t="n"/>
      <c r="AL731" s="1392" t="n"/>
      <c r="AM731" s="1392" t="n"/>
      <c r="AN731" s="1392" t="n"/>
      <c r="AO731" s="1392" t="n"/>
      <c r="AP731" s="1392" t="n"/>
      <c r="AQ731" s="1392" t="n"/>
      <c r="AR731" s="1392" t="n"/>
      <c r="AS731" s="1422" t="n"/>
      <c r="AT731" s="1392" t="n"/>
      <c r="AU731" s="1392" t="n"/>
      <c r="AV731" s="1392" t="n"/>
      <c r="AW731" s="1392" t="n"/>
      <c r="AX731" s="1392" t="n"/>
      <c r="AY731" s="1392" t="n"/>
      <c r="AZ731" s="1392" t="n"/>
      <c r="BA731" s="1392" t="n"/>
      <c r="BB731" s="1422" t="n"/>
      <c r="BC731" s="1392" t="n"/>
      <c r="BD731" s="1392" t="n"/>
      <c r="BE731" s="1392" t="n"/>
      <c r="BF731" s="1392" t="n"/>
      <c r="BG731" s="1392" t="n"/>
      <c r="BH731" s="1392" t="n"/>
      <c r="BI731" s="1392" t="n"/>
      <c r="BJ731" s="1392" t="n"/>
      <c r="BK731" s="1392" t="n"/>
      <c r="BL731" s="1392" t="n"/>
      <c r="BM731" s="1392" t="n"/>
      <c r="BN731" s="1392" t="n"/>
      <c r="BO731" s="1392" t="n"/>
      <c r="BP731" s="1392" t="n"/>
      <c r="BQ731" s="1392" t="n"/>
      <c r="BR731" s="1392" t="n"/>
      <c r="BS731" s="1392" t="n"/>
      <c r="BT731" s="1392" t="n"/>
      <c r="BU731" s="1416" t="n"/>
      <c r="BV731" s="1392" t="n"/>
      <c r="BW731" s="1392" t="n"/>
      <c r="BX731" s="1392" t="n"/>
      <c r="BY731" s="1392" t="n"/>
      <c r="BZ731" s="1416" t="n"/>
      <c r="CA731" s="1392" t="n"/>
      <c r="CB731" s="1392" t="n"/>
      <c r="CC731" s="1392" t="n"/>
      <c r="CD731" s="1392" t="n"/>
      <c r="CE731" s="1392" t="n"/>
      <c r="CF731" s="1392" t="n"/>
      <c r="CG731" s="1392" t="n"/>
      <c r="CH731" s="1392" t="n"/>
      <c r="CI731" s="1392" t="n"/>
      <c r="CJ731" s="1392" t="n"/>
      <c r="CK731" s="1392" t="n"/>
      <c r="CL731" s="1392" t="n"/>
    </row>
    <row r="732">
      <c r="A732" s="5" t="inlineStr">
        <is>
          <t>.</t>
        </is>
      </c>
      <c r="B732" s="5" t="inlineStr">
        <is>
          <t>.</t>
        </is>
      </c>
      <c r="C732" s="1378">
        <f>IF(raw[[#This Row],[city]]="","-",IF(raw[[#This Row],[city]]="TODAY","-",C731+1))</f>
        <v/>
      </c>
      <c r="D732" s="1393" t="inlineStr">
        <is>
          <t>SP</t>
        </is>
      </c>
      <c r="E732" s="1394" t="n">
        <v>37564</v>
      </c>
      <c r="F732" s="1394" t="n">
        <v>37569</v>
      </c>
      <c r="G732" s="1393" t="inlineStr">
        <is>
          <t>-</t>
        </is>
      </c>
      <c r="H732" s="1393" t="inlineStr">
        <is>
          <t>Bertioga</t>
        </is>
      </c>
      <c r="I732" s="1393" t="inlineStr">
        <is>
          <t>Salto Grande</t>
        </is>
      </c>
      <c r="J732" s="1393" t="inlineStr">
        <is>
          <t>-</t>
        </is>
      </c>
      <c r="K732" s="1395">
        <f>IF(raw[[#This Row],[city]]&lt;&gt;"",_xlfn.XLOOKUP($D732,ccc[city],ccc[prov],"-"),"-")</f>
        <v/>
      </c>
      <c r="L732" s="1395">
        <f>IF(raw[[#This Row],[city]]&lt;&gt;"",_xlfn.XLOOKUP($D732,ccc[city],ccc[ctry],"-"),"-")</f>
        <v/>
      </c>
      <c r="M732" s="1395">
        <f>IF(raw[[#This Row],[city]]&lt;&gt;"",_xlfn.XLOOKUP($D732,ccc[city],ccc[cont],"-"),"-")</f>
        <v/>
      </c>
      <c r="N732" s="1396">
        <f>IF(raw[[#This Row],[city]]="","-",IF(raw[[#This Row],[cont]]="B",raw[[#This Row],[cont]],"W"))</f>
        <v/>
      </c>
      <c r="O732" s="1397">
        <f>IF(raw[[#This Row],[out]]=0,0,IF(raw[[#This Row],[out]]=raw[[#This Row],[in]],0.01,raw[[#This Row],[out]]-raw[[#This Row],[in]]))</f>
        <v/>
      </c>
      <c r="P732" s="1397">
        <f>IF(raw[[#This Row],[in]]=0,0,MONTH(raw[[#This Row],[in]]))</f>
        <v/>
      </c>
      <c r="Q732" s="1397">
        <f>IF(raw[[#This Row],[in]]=0,0,YEAR(raw[[#This Row],[in]]))</f>
        <v/>
      </c>
      <c r="R732" s="1397">
        <f>INT(raw[[#This Row],[yr]]/10)*10</f>
        <v/>
      </c>
      <c r="S732" s="1395">
        <f>IF(raw[[#This Row],[city]]="","-",IF(raw[[#This Row],[city]]&lt;&gt;_xlfn.XLOOKUP(raw[[#This Row],[home]],homes[home],homes[city],"-"),1,0))</f>
        <v/>
      </c>
      <c r="T732" s="1398" t="inlineStr">
        <is>
          <t>.</t>
        </is>
      </c>
      <c r="U732" s="1399">
        <f>IF(raw[[#This Row],[wb]]="w",raw[[#This Row],[stay]]+U731,U731)</f>
        <v/>
      </c>
      <c r="V732" s="1400">
        <f>IF(raw[[#This Row],[out]]=0,V731,(raw[[#This Row],[out]]-E$5))</f>
        <v/>
      </c>
      <c r="W732" s="1401">
        <f>U732/V732</f>
        <v/>
      </c>
      <c r="X732" s="1378" t="inlineStr">
        <is>
          <t>.</t>
        </is>
      </c>
      <c r="Y732" s="1402">
        <f/>
        <v/>
      </c>
      <c r="Z732" s="1403">
        <f/>
        <v/>
      </c>
      <c r="AA732" s="1403">
        <f/>
        <v/>
      </c>
      <c r="AB732" s="1400">
        <f t="array" ref="AB732">_xlfn.LET(_xlpm.S,_xlfn.ANCHORARRAY($Y$4),_xlpm.r,ROWS(stayCity[[#Headers],[city]]:stayCity[[#This Row],[city]])-1,IF(_xlpm.r&lt;=ROWS(_xlpm.S),INDEX(_xlpm.S,_xlpm.r,1),""))</f>
        <v/>
      </c>
      <c r="AC732" s="1405">
        <f t="array" ref="AC732">_xlfn.LET(_xlpm.S,_xlfn.ANCHORARRAY($Y$4),_xlpm.r,ROWS(stayCity[[#Headers],[city]]:stayCity[[#This Row],[city]])-1,IF(_xlpm.r&lt;=ROWS(_xlpm.S),INDEX(_xlpm.S,_xlpm.r,2),""))</f>
        <v/>
      </c>
      <c r="AD732" s="1405">
        <f t="array" ref="AD732">_xlfn.LET(_xlpm.S,_xlfn.ANCHORARRAY($Y$4),_xlpm.r,ROWS(stayCity[[#Headers],[city]]:stayCity[[#This Row],[city]])-1,IF(_xlpm.r&lt;=ROWS(_xlpm.S),INDEX(_xlpm.S,_xlpm.r,3),""))</f>
        <v/>
      </c>
      <c r="AE732" s="1400">
        <f>IF(stayCity[[#This Row],[out]]&lt;&gt;"",stayCity[[#This Row],[out]]-stayCity[[#This Row],[in]],"-")</f>
        <v/>
      </c>
      <c r="AF732" s="1406">
        <f>IF(Y732="","-",YEAR(stayCity[[#This Row],[in]]))</f>
        <v/>
      </c>
      <c r="AG732" s="1392" t="n"/>
      <c r="AH732" s="1392" t="n"/>
      <c r="AI732" s="1392" t="n"/>
      <c r="AJ732" s="1392" t="n"/>
      <c r="AK732" s="1392" t="n"/>
      <c r="AL732" s="1392" t="n"/>
      <c r="AM732" s="1392" t="n"/>
      <c r="AN732" s="1392" t="n"/>
      <c r="AO732" s="1392" t="n"/>
      <c r="AP732" s="1392" t="n"/>
      <c r="AQ732" s="1392" t="n"/>
      <c r="AR732" s="1392" t="n"/>
      <c r="AS732" s="1422" t="n"/>
      <c r="AT732" s="1392" t="n"/>
      <c r="AU732" s="1392" t="n"/>
      <c r="AV732" s="1392" t="n"/>
      <c r="AW732" s="1392" t="n"/>
      <c r="AX732" s="1392" t="n"/>
      <c r="AY732" s="1392" t="n"/>
      <c r="AZ732" s="1392" t="n"/>
      <c r="BA732" s="1392" t="n"/>
      <c r="BB732" s="1422" t="n"/>
      <c r="BC732" s="1392" t="n"/>
      <c r="BD732" s="1392" t="n"/>
      <c r="BE732" s="1392" t="n"/>
      <c r="BF732" s="1392" t="n"/>
      <c r="BG732" s="1392" t="n"/>
      <c r="BH732" s="1392" t="n"/>
      <c r="BI732" s="1392" t="n"/>
      <c r="BJ732" s="1392" t="n"/>
      <c r="BK732" s="1392" t="n"/>
      <c r="BL732" s="1392" t="n"/>
      <c r="BM732" s="1392" t="n"/>
      <c r="BN732" s="1392" t="n"/>
      <c r="BO732" s="1392" t="n"/>
      <c r="BP732" s="1392" t="n"/>
      <c r="BQ732" s="1392" t="n"/>
      <c r="BR732" s="1392" t="n"/>
      <c r="BS732" s="1392" t="n"/>
      <c r="BT732" s="1392" t="n"/>
      <c r="BU732" s="1416" t="n"/>
      <c r="BV732" s="1392" t="n"/>
      <c r="BW732" s="1392" t="n"/>
      <c r="BX732" s="1392" t="n"/>
      <c r="BY732" s="1392" t="n"/>
      <c r="BZ732" s="1416" t="n"/>
      <c r="CA732" s="1392" t="n"/>
      <c r="CB732" s="1392" t="n"/>
      <c r="CC732" s="1392" t="n"/>
      <c r="CD732" s="1392" t="n"/>
      <c r="CE732" s="1392" t="n"/>
      <c r="CF732" s="1392" t="n"/>
      <c r="CG732" s="1392" t="n"/>
      <c r="CH732" s="1392" t="n"/>
      <c r="CI732" s="1392" t="n"/>
      <c r="CJ732" s="1392" t="n"/>
      <c r="CK732" s="1392" t="n"/>
      <c r="CL732" s="1392" t="n"/>
    </row>
    <row r="733">
      <c r="A733" s="5" t="inlineStr">
        <is>
          <t>.</t>
        </is>
      </c>
      <c r="B733" s="5" t="inlineStr">
        <is>
          <t>.</t>
        </is>
      </c>
      <c r="C733" s="1378">
        <f>IF(raw[[#This Row],[city]]="","-",IF(raw[[#This Row],[city]]="TODAY","-",C732+1))</f>
        <v/>
      </c>
      <c r="D733" s="1393" t="inlineStr">
        <is>
          <t>Bertioga</t>
        </is>
      </c>
      <c r="E733" s="1394" t="n">
        <v>37569</v>
      </c>
      <c r="F733" s="1394" t="n">
        <v>37573</v>
      </c>
      <c r="G733" s="1393" t="inlineStr">
        <is>
          <t>-</t>
        </is>
      </c>
      <c r="H733" s="1393" t="inlineStr">
        <is>
          <t>Bertioga</t>
        </is>
      </c>
      <c r="I733" s="1393" t="inlineStr">
        <is>
          <t>-</t>
        </is>
      </c>
      <c r="J733" s="1393" t="inlineStr">
        <is>
          <t>-</t>
        </is>
      </c>
      <c r="K733" s="1395">
        <f>IF(raw[[#This Row],[city]]&lt;&gt;"",_xlfn.XLOOKUP($D733,ccc[city],ccc[prov],"-"),"-")</f>
        <v/>
      </c>
      <c r="L733" s="1395">
        <f>IF(raw[[#This Row],[city]]&lt;&gt;"",_xlfn.XLOOKUP($D733,ccc[city],ccc[ctry],"-"),"-")</f>
        <v/>
      </c>
      <c r="M733" s="1395">
        <f>IF(raw[[#This Row],[city]]&lt;&gt;"",_xlfn.XLOOKUP($D733,ccc[city],ccc[cont],"-"),"-")</f>
        <v/>
      </c>
      <c r="N733" s="1396">
        <f>IF(raw[[#This Row],[city]]="","-",IF(raw[[#This Row],[cont]]="B",raw[[#This Row],[cont]],"W"))</f>
        <v/>
      </c>
      <c r="O733" s="1397">
        <f>IF(raw[[#This Row],[out]]=0,0,IF(raw[[#This Row],[out]]=raw[[#This Row],[in]],0.01,raw[[#This Row],[out]]-raw[[#This Row],[in]]))</f>
        <v/>
      </c>
      <c r="P733" s="1397">
        <f>IF(raw[[#This Row],[in]]=0,0,MONTH(raw[[#This Row],[in]]))</f>
        <v/>
      </c>
      <c r="Q733" s="1397">
        <f>IF(raw[[#This Row],[in]]=0,0,YEAR(raw[[#This Row],[in]]))</f>
        <v/>
      </c>
      <c r="R733" s="1397">
        <f>INT(raw[[#This Row],[yr]]/10)*10</f>
        <v/>
      </c>
      <c r="S733" s="1395">
        <f>IF(raw[[#This Row],[city]]="","-",IF(raw[[#This Row],[city]]&lt;&gt;_xlfn.XLOOKUP(raw[[#This Row],[home]],homes[home],homes[city],"-"),1,0))</f>
        <v/>
      </c>
      <c r="T733" s="1398" t="inlineStr">
        <is>
          <t>.</t>
        </is>
      </c>
      <c r="U733" s="1399">
        <f>IF(raw[[#This Row],[wb]]="w",raw[[#This Row],[stay]]+U732,U732)</f>
        <v/>
      </c>
      <c r="V733" s="1400">
        <f>IF(raw[[#This Row],[out]]=0,V732,(raw[[#This Row],[out]]-E$5))</f>
        <v/>
      </c>
      <c r="W733" s="1401">
        <f>U733/V733</f>
        <v/>
      </c>
      <c r="X733" s="1378" t="inlineStr">
        <is>
          <t>.</t>
        </is>
      </c>
      <c r="Y733" s="1402">
        <f/>
        <v/>
      </c>
      <c r="Z733" s="1403">
        <f/>
        <v/>
      </c>
      <c r="AA733" s="1403">
        <f/>
        <v/>
      </c>
      <c r="AB733" s="1400">
        <f t="array" ref="AB733">_xlfn.LET(_xlpm.S,_xlfn.ANCHORARRAY($Y$4),_xlpm.r,ROWS(stayCity[[#Headers],[city]]:stayCity[[#This Row],[city]])-1,IF(_xlpm.r&lt;=ROWS(_xlpm.S),INDEX(_xlpm.S,_xlpm.r,1),""))</f>
        <v/>
      </c>
      <c r="AC733" s="1405">
        <f t="array" ref="AC733">_xlfn.LET(_xlpm.S,_xlfn.ANCHORARRAY($Y$4),_xlpm.r,ROWS(stayCity[[#Headers],[city]]:stayCity[[#This Row],[city]])-1,IF(_xlpm.r&lt;=ROWS(_xlpm.S),INDEX(_xlpm.S,_xlpm.r,2),""))</f>
        <v/>
      </c>
      <c r="AD733" s="1405">
        <f t="array" ref="AD733">_xlfn.LET(_xlpm.S,_xlfn.ANCHORARRAY($Y$4),_xlpm.r,ROWS(stayCity[[#Headers],[city]]:stayCity[[#This Row],[city]])-1,IF(_xlpm.r&lt;=ROWS(_xlpm.S),INDEX(_xlpm.S,_xlpm.r,3),""))</f>
        <v/>
      </c>
      <c r="AE733" s="1400">
        <f>IF(stayCity[[#This Row],[out]]&lt;&gt;"",stayCity[[#This Row],[out]]-stayCity[[#This Row],[in]],"-")</f>
        <v/>
      </c>
      <c r="AF733" s="1406">
        <f>IF(Y733="","-",YEAR(stayCity[[#This Row],[in]]))</f>
        <v/>
      </c>
      <c r="AG733" s="1392" t="n"/>
      <c r="AH733" s="1392" t="n"/>
      <c r="AI733" s="1392" t="n"/>
      <c r="AJ733" s="1392" t="n"/>
      <c r="AK733" s="1392" t="n"/>
      <c r="AL733" s="1392" t="n"/>
      <c r="AM733" s="1392" t="n"/>
      <c r="AN733" s="1392" t="n"/>
      <c r="AO733" s="1392" t="n"/>
      <c r="AP733" s="1392" t="n"/>
      <c r="AQ733" s="1392" t="n"/>
      <c r="AR733" s="1392" t="n"/>
      <c r="AS733" s="1422" t="n"/>
      <c r="AT733" s="1392" t="n"/>
      <c r="AU733" s="1392" t="n"/>
      <c r="AV733" s="1392" t="n"/>
      <c r="AW733" s="1392" t="n"/>
      <c r="AX733" s="1392" t="n"/>
      <c r="AY733" s="1392" t="n"/>
      <c r="AZ733" s="1392" t="n"/>
      <c r="BA733" s="1392" t="n"/>
      <c r="BB733" s="1422" t="n"/>
      <c r="BC733" s="1392" t="n"/>
      <c r="BD733" s="1392" t="n"/>
      <c r="BE733" s="1392" t="n"/>
      <c r="BF733" s="1392" t="n"/>
      <c r="BG733" s="1392" t="n"/>
      <c r="BH733" s="1392" t="n"/>
      <c r="BI733" s="1392" t="n"/>
      <c r="BJ733" s="1392" t="n"/>
      <c r="BK733" s="1392" t="n"/>
      <c r="BL733" s="1392" t="n"/>
      <c r="BM733" s="1392" t="n"/>
      <c r="BN733" s="1392" t="n"/>
      <c r="BO733" s="1392" t="n"/>
      <c r="BP733" s="1392" t="n"/>
      <c r="BQ733" s="1392" t="n"/>
      <c r="BR733" s="1392" t="n"/>
      <c r="BS733" s="1392" t="n"/>
      <c r="BT733" s="1392" t="n"/>
      <c r="BU733" s="1416" t="n"/>
      <c r="BV733" s="1392" t="n"/>
      <c r="BW733" s="1392" t="n"/>
      <c r="BX733" s="1392" t="n"/>
      <c r="BY733" s="1392" t="n"/>
      <c r="BZ733" s="1416" t="n"/>
      <c r="CA733" s="1392" t="n"/>
      <c r="CB733" s="1392" t="n"/>
      <c r="CC733" s="1392" t="n"/>
      <c r="CD733" s="1392" t="n"/>
      <c r="CE733" s="1392" t="n"/>
      <c r="CF733" s="1392" t="n"/>
      <c r="CG733" s="1392" t="n"/>
      <c r="CH733" s="1392" t="n"/>
      <c r="CI733" s="1392" t="n"/>
      <c r="CJ733" s="1392" t="n"/>
      <c r="CK733" s="1392" t="n"/>
      <c r="CL733" s="1392" t="n"/>
    </row>
    <row r="734">
      <c r="A734" s="5" t="inlineStr">
        <is>
          <t>.</t>
        </is>
      </c>
      <c r="B734" s="5" t="inlineStr">
        <is>
          <t>.</t>
        </is>
      </c>
      <c r="C734" s="1378">
        <f>IF(raw[[#This Row],[city]]="","-",IF(raw[[#This Row],[city]]="TODAY","-",C733+1))</f>
        <v/>
      </c>
      <c r="D734" s="1393" t="inlineStr">
        <is>
          <t>SP</t>
        </is>
      </c>
      <c r="E734" s="1394" t="n">
        <v>37573</v>
      </c>
      <c r="F734" s="1394" t="n">
        <v>37573</v>
      </c>
      <c r="G734" s="1393" t="n">
        <v>1</v>
      </c>
      <c r="H734" s="1393" t="inlineStr">
        <is>
          <t>Bertioga</t>
        </is>
      </c>
      <c r="I734" s="1393" t="inlineStr">
        <is>
          <t>-</t>
        </is>
      </c>
      <c r="J734" s="1393" t="inlineStr">
        <is>
          <t>-</t>
        </is>
      </c>
      <c r="K734" s="1395">
        <f>IF(raw[[#This Row],[city]]&lt;&gt;"",_xlfn.XLOOKUP($D734,ccc[city],ccc[prov],"-"),"-")</f>
        <v/>
      </c>
      <c r="L734" s="1395">
        <f>IF(raw[[#This Row],[city]]&lt;&gt;"",_xlfn.XLOOKUP($D734,ccc[city],ccc[ctry],"-"),"-")</f>
        <v/>
      </c>
      <c r="M734" s="1395">
        <f>IF(raw[[#This Row],[city]]&lt;&gt;"",_xlfn.XLOOKUP($D734,ccc[city],ccc[cont],"-"),"-")</f>
        <v/>
      </c>
      <c r="N734" s="1396">
        <f>IF(raw[[#This Row],[city]]="","-",IF(raw[[#This Row],[cont]]="B",raw[[#This Row],[cont]],"W"))</f>
        <v/>
      </c>
      <c r="O734" s="1397">
        <f>IF(raw[[#This Row],[out]]=0,0,IF(raw[[#This Row],[out]]=raw[[#This Row],[in]],0.01,raw[[#This Row],[out]]-raw[[#This Row],[in]]))</f>
        <v/>
      </c>
      <c r="P734" s="1397">
        <f>IF(raw[[#This Row],[in]]=0,0,MONTH(raw[[#This Row],[in]]))</f>
        <v/>
      </c>
      <c r="Q734" s="1397">
        <f>IF(raw[[#This Row],[in]]=0,0,YEAR(raw[[#This Row],[in]]))</f>
        <v/>
      </c>
      <c r="R734" s="1397">
        <f>INT(raw[[#This Row],[yr]]/10)*10</f>
        <v/>
      </c>
      <c r="S734" s="1395">
        <f>IF(raw[[#This Row],[city]]="","-",IF(raw[[#This Row],[city]]&lt;&gt;_xlfn.XLOOKUP(raw[[#This Row],[home]],homes[home],homes[city],"-"),1,0))</f>
        <v/>
      </c>
      <c r="T734" s="1398" t="inlineStr">
        <is>
          <t>.</t>
        </is>
      </c>
      <c r="U734" s="1399">
        <f>IF(raw[[#This Row],[wb]]="w",raw[[#This Row],[stay]]+U733,U733)</f>
        <v/>
      </c>
      <c r="V734" s="1400">
        <f>IF(raw[[#This Row],[out]]=0,V733,(raw[[#This Row],[out]]-E$5))</f>
        <v/>
      </c>
      <c r="W734" s="1401">
        <f>U734/V734</f>
        <v/>
      </c>
      <c r="X734" s="1378" t="inlineStr">
        <is>
          <t>.</t>
        </is>
      </c>
      <c r="Y734" s="1402">
        <f/>
        <v/>
      </c>
      <c r="Z734" s="1403">
        <f/>
        <v/>
      </c>
      <c r="AA734" s="1403">
        <f/>
        <v/>
      </c>
      <c r="AB734" s="1400">
        <f t="array" ref="AB734">_xlfn.LET(_xlpm.S,_xlfn.ANCHORARRAY($Y$4),_xlpm.r,ROWS(stayCity[[#Headers],[city]]:stayCity[[#This Row],[city]])-1,IF(_xlpm.r&lt;=ROWS(_xlpm.S),INDEX(_xlpm.S,_xlpm.r,1),""))</f>
        <v/>
      </c>
      <c r="AC734" s="1405">
        <f t="array" ref="AC734">_xlfn.LET(_xlpm.S,_xlfn.ANCHORARRAY($Y$4),_xlpm.r,ROWS(stayCity[[#Headers],[city]]:stayCity[[#This Row],[city]])-1,IF(_xlpm.r&lt;=ROWS(_xlpm.S),INDEX(_xlpm.S,_xlpm.r,2),""))</f>
        <v/>
      </c>
      <c r="AD734" s="1405">
        <f t="array" ref="AD734">_xlfn.LET(_xlpm.S,_xlfn.ANCHORARRAY($Y$4),_xlpm.r,ROWS(stayCity[[#Headers],[city]]:stayCity[[#This Row],[city]])-1,IF(_xlpm.r&lt;=ROWS(_xlpm.S),INDEX(_xlpm.S,_xlpm.r,3),""))</f>
        <v/>
      </c>
      <c r="AE734" s="1400">
        <f>IF(stayCity[[#This Row],[out]]&lt;&gt;"",stayCity[[#This Row],[out]]-stayCity[[#This Row],[in]],"-")</f>
        <v/>
      </c>
      <c r="AF734" s="1406">
        <f>IF(Y734="","-",YEAR(stayCity[[#This Row],[in]]))</f>
        <v/>
      </c>
      <c r="AG734" s="1392" t="n"/>
      <c r="AH734" s="1392" t="n"/>
      <c r="AI734" s="1392" t="n"/>
      <c r="AJ734" s="1392" t="n"/>
      <c r="AK734" s="1392" t="n"/>
      <c r="AL734" s="1392" t="n"/>
      <c r="AM734" s="1392" t="n"/>
      <c r="AN734" s="1392" t="n"/>
      <c r="AO734" s="1392" t="n"/>
      <c r="AP734" s="1392" t="n"/>
      <c r="AQ734" s="1392" t="n"/>
      <c r="AR734" s="1392" t="n"/>
      <c r="AS734" s="1422" t="n"/>
      <c r="AT734" s="1392" t="n"/>
      <c r="AU734" s="1392" t="n"/>
      <c r="AV734" s="1392" t="n"/>
      <c r="AW734" s="1392" t="n"/>
      <c r="AX734" s="1392" t="n"/>
      <c r="AY734" s="1392" t="n"/>
      <c r="AZ734" s="1392" t="n"/>
      <c r="BA734" s="1392" t="n"/>
      <c r="BB734" s="1422" t="n"/>
      <c r="BC734" s="1392" t="n"/>
      <c r="BD734" s="1392" t="n"/>
      <c r="BE734" s="1392" t="n"/>
      <c r="BF734" s="1392" t="n"/>
      <c r="BG734" s="1392" t="n"/>
      <c r="BH734" s="1392" t="n"/>
      <c r="BI734" s="1392" t="n"/>
      <c r="BJ734" s="1392" t="n"/>
      <c r="BK734" s="1392" t="n"/>
      <c r="BL734" s="1392" t="n"/>
      <c r="BM734" s="1392" t="n"/>
      <c r="BN734" s="1392" t="n"/>
      <c r="BO734" s="1392" t="n"/>
      <c r="BP734" s="1392" t="n"/>
      <c r="BQ734" s="1392" t="n"/>
      <c r="BR734" s="1392" t="n"/>
      <c r="BS734" s="1392" t="n"/>
      <c r="BT734" s="1392" t="n"/>
      <c r="BU734" s="1416" t="n"/>
      <c r="BV734" s="1392" t="n"/>
      <c r="BW734" s="1392" t="n"/>
      <c r="BX734" s="1392" t="n"/>
      <c r="BY734" s="1392" t="n"/>
      <c r="BZ734" s="1416" t="n"/>
      <c r="CA734" s="1392" t="n"/>
      <c r="CB734" s="1392" t="n"/>
      <c r="CC734" s="1392" t="n"/>
      <c r="CD734" s="1392" t="n"/>
      <c r="CE734" s="1392" t="n"/>
      <c r="CF734" s="1392" t="n"/>
      <c r="CG734" s="1392" t="n"/>
      <c r="CH734" s="1392" t="n"/>
      <c r="CI734" s="1392" t="n"/>
      <c r="CJ734" s="1392" t="n"/>
      <c r="CK734" s="1392" t="n"/>
      <c r="CL734" s="1392" t="n"/>
    </row>
    <row r="735">
      <c r="A735" s="5" t="inlineStr">
        <is>
          <t>.</t>
        </is>
      </c>
      <c r="B735" s="5" t="inlineStr">
        <is>
          <t>.</t>
        </is>
      </c>
      <c r="C735" s="1378">
        <f>IF(raw[[#This Row],[city]]="","-",IF(raw[[#This Row],[city]]="TODAY","-",C734+1))</f>
        <v/>
      </c>
      <c r="D735" s="1393" t="inlineStr">
        <is>
          <t>BH</t>
        </is>
      </c>
      <c r="E735" s="1394" t="n">
        <v>37573</v>
      </c>
      <c r="F735" s="1394" t="n">
        <v>37577</v>
      </c>
      <c r="G735" s="1393" t="inlineStr">
        <is>
          <t>-</t>
        </is>
      </c>
      <c r="H735" s="1393" t="inlineStr">
        <is>
          <t>Bertioga</t>
        </is>
      </c>
      <c r="I735" s="1393" t="inlineStr">
        <is>
          <t>-</t>
        </is>
      </c>
      <c r="J735" s="1393" t="inlineStr">
        <is>
          <t>-</t>
        </is>
      </c>
      <c r="K735" s="1395">
        <f>IF(raw[[#This Row],[city]]&lt;&gt;"",_xlfn.XLOOKUP($D735,ccc[city],ccc[prov],"-"),"-")</f>
        <v/>
      </c>
      <c r="L735" s="1395">
        <f>IF(raw[[#This Row],[city]]&lt;&gt;"",_xlfn.XLOOKUP($D735,ccc[city],ccc[ctry],"-"),"-")</f>
        <v/>
      </c>
      <c r="M735" s="1395">
        <f>IF(raw[[#This Row],[city]]&lt;&gt;"",_xlfn.XLOOKUP($D735,ccc[city],ccc[cont],"-"),"-")</f>
        <v/>
      </c>
      <c r="N735" s="1396">
        <f>IF(raw[[#This Row],[city]]="","-",IF(raw[[#This Row],[cont]]="B",raw[[#This Row],[cont]],"W"))</f>
        <v/>
      </c>
      <c r="O735" s="1397">
        <f>IF(raw[[#This Row],[out]]=0,0,IF(raw[[#This Row],[out]]=raw[[#This Row],[in]],0.01,raw[[#This Row],[out]]-raw[[#This Row],[in]]))</f>
        <v/>
      </c>
      <c r="P735" s="1397">
        <f>IF(raw[[#This Row],[in]]=0,0,MONTH(raw[[#This Row],[in]]))</f>
        <v/>
      </c>
      <c r="Q735" s="1397">
        <f>IF(raw[[#This Row],[in]]=0,0,YEAR(raw[[#This Row],[in]]))</f>
        <v/>
      </c>
      <c r="R735" s="1397">
        <f>INT(raw[[#This Row],[yr]]/10)*10</f>
        <v/>
      </c>
      <c r="S735" s="1395">
        <f>IF(raw[[#This Row],[city]]="","-",IF(raw[[#This Row],[city]]&lt;&gt;_xlfn.XLOOKUP(raw[[#This Row],[home]],homes[home],homes[city],"-"),1,0))</f>
        <v/>
      </c>
      <c r="T735" s="1398" t="inlineStr">
        <is>
          <t>.</t>
        </is>
      </c>
      <c r="U735" s="1399">
        <f>IF(raw[[#This Row],[wb]]="w",raw[[#This Row],[stay]]+U734,U734)</f>
        <v/>
      </c>
      <c r="V735" s="1400">
        <f>IF(raw[[#This Row],[out]]=0,V734,(raw[[#This Row],[out]]-E$5))</f>
        <v/>
      </c>
      <c r="W735" s="1401">
        <f>U735/V735</f>
        <v/>
      </c>
      <c r="X735" s="1378" t="inlineStr">
        <is>
          <t>.</t>
        </is>
      </c>
      <c r="Y735" s="1402">
        <f/>
        <v/>
      </c>
      <c r="Z735" s="1403">
        <f/>
        <v/>
      </c>
      <c r="AA735" s="1403">
        <f/>
        <v/>
      </c>
      <c r="AB735" s="1400">
        <f t="array" ref="AB735">_xlfn.LET(_xlpm.S,_xlfn.ANCHORARRAY($Y$4),_xlpm.r,ROWS(stayCity[[#Headers],[city]]:stayCity[[#This Row],[city]])-1,IF(_xlpm.r&lt;=ROWS(_xlpm.S),INDEX(_xlpm.S,_xlpm.r,1),""))</f>
        <v/>
      </c>
      <c r="AC735" s="1405">
        <f t="array" ref="AC735">_xlfn.LET(_xlpm.S,_xlfn.ANCHORARRAY($Y$4),_xlpm.r,ROWS(stayCity[[#Headers],[city]]:stayCity[[#This Row],[city]])-1,IF(_xlpm.r&lt;=ROWS(_xlpm.S),INDEX(_xlpm.S,_xlpm.r,2),""))</f>
        <v/>
      </c>
      <c r="AD735" s="1405">
        <f t="array" ref="AD735">_xlfn.LET(_xlpm.S,_xlfn.ANCHORARRAY($Y$4),_xlpm.r,ROWS(stayCity[[#Headers],[city]]:stayCity[[#This Row],[city]])-1,IF(_xlpm.r&lt;=ROWS(_xlpm.S),INDEX(_xlpm.S,_xlpm.r,3),""))</f>
        <v/>
      </c>
      <c r="AE735" s="1400">
        <f>IF(stayCity[[#This Row],[out]]&lt;&gt;"",stayCity[[#This Row],[out]]-stayCity[[#This Row],[in]],"-")</f>
        <v/>
      </c>
      <c r="AF735" s="1406">
        <f>IF(Y735="","-",YEAR(stayCity[[#This Row],[in]]))</f>
        <v/>
      </c>
      <c r="AG735" s="1392" t="n"/>
      <c r="AH735" s="1392" t="n"/>
      <c r="AI735" s="1392" t="n"/>
      <c r="AJ735" s="1392" t="n"/>
      <c r="AK735" s="1392" t="n"/>
      <c r="AL735" s="1392" t="n"/>
      <c r="AM735" s="1392" t="n"/>
      <c r="AN735" s="1392" t="n"/>
      <c r="AO735" s="1392" t="n"/>
      <c r="AP735" s="1392" t="n"/>
      <c r="AQ735" s="1392" t="n"/>
      <c r="AR735" s="1392" t="n"/>
      <c r="AS735" s="1422" t="n"/>
      <c r="AT735" s="1392" t="n"/>
      <c r="AU735" s="1392" t="n"/>
      <c r="AV735" s="1392" t="n"/>
      <c r="AW735" s="1392" t="n"/>
      <c r="AX735" s="1392" t="n"/>
      <c r="AY735" s="1392" t="n"/>
      <c r="AZ735" s="1392" t="n"/>
      <c r="BA735" s="1392" t="n"/>
      <c r="BB735" s="1422" t="n"/>
      <c r="BC735" s="1392" t="n"/>
      <c r="BD735" s="1392" t="n"/>
      <c r="BE735" s="1392" t="n"/>
      <c r="BF735" s="1392" t="n"/>
      <c r="BG735" s="1392" t="n"/>
      <c r="BH735" s="1392" t="n"/>
      <c r="BI735" s="1392" t="n"/>
      <c r="BJ735" s="1392" t="n"/>
      <c r="BK735" s="1392" t="n"/>
      <c r="BL735" s="1392" t="n"/>
      <c r="BM735" s="1392" t="n"/>
      <c r="BN735" s="1392" t="n"/>
      <c r="BO735" s="1392" t="n"/>
      <c r="BP735" s="1392" t="n"/>
      <c r="BQ735" s="1392" t="n"/>
      <c r="BR735" s="1392" t="n"/>
      <c r="BS735" s="1392" t="n"/>
      <c r="BT735" s="1392" t="n"/>
      <c r="BU735" s="1416" t="n"/>
      <c r="BV735" s="1392" t="n"/>
      <c r="BW735" s="1392" t="n"/>
      <c r="BX735" s="1392" t="n"/>
      <c r="BY735" s="1392" t="n"/>
      <c r="BZ735" s="1416" t="n"/>
      <c r="CA735" s="1392" t="n"/>
      <c r="CB735" s="1392" t="n"/>
      <c r="CC735" s="1392" t="n"/>
      <c r="CD735" s="1392" t="n"/>
      <c r="CE735" s="1392" t="n"/>
      <c r="CF735" s="1392" t="n"/>
      <c r="CG735" s="1392" t="n"/>
      <c r="CH735" s="1392" t="n"/>
      <c r="CI735" s="1392" t="n"/>
      <c r="CJ735" s="1392" t="n"/>
      <c r="CK735" s="1392" t="n"/>
      <c r="CL735" s="1392" t="n"/>
    </row>
    <row r="736">
      <c r="A736" s="5" t="inlineStr">
        <is>
          <t>.</t>
        </is>
      </c>
      <c r="B736" s="5" t="inlineStr">
        <is>
          <t>.</t>
        </is>
      </c>
      <c r="C736" s="1378">
        <f>IF(raw[[#This Row],[city]]="","-",IF(raw[[#This Row],[city]]="TODAY","-",C735+1))</f>
        <v/>
      </c>
      <c r="D736" s="1393" t="inlineStr">
        <is>
          <t>Bertioga</t>
        </is>
      </c>
      <c r="E736" s="1394" t="n">
        <v>37577</v>
      </c>
      <c r="F736" s="1394" t="n">
        <v>37580</v>
      </c>
      <c r="G736" s="1393" t="inlineStr">
        <is>
          <t>-</t>
        </is>
      </c>
      <c r="H736" s="1393" t="inlineStr">
        <is>
          <t>Bertioga</t>
        </is>
      </c>
      <c r="I736" s="1393" t="inlineStr">
        <is>
          <t>-</t>
        </is>
      </c>
      <c r="J736" s="1393" t="inlineStr">
        <is>
          <t>-</t>
        </is>
      </c>
      <c r="K736" s="1395">
        <f>IF(raw[[#This Row],[city]]&lt;&gt;"",_xlfn.XLOOKUP($D736,ccc[city],ccc[prov],"-"),"-")</f>
        <v/>
      </c>
      <c r="L736" s="1395">
        <f>IF(raw[[#This Row],[city]]&lt;&gt;"",_xlfn.XLOOKUP($D736,ccc[city],ccc[ctry],"-"),"-")</f>
        <v/>
      </c>
      <c r="M736" s="1395">
        <f>IF(raw[[#This Row],[city]]&lt;&gt;"",_xlfn.XLOOKUP($D736,ccc[city],ccc[cont],"-"),"-")</f>
        <v/>
      </c>
      <c r="N736" s="1396">
        <f>IF(raw[[#This Row],[city]]="","-",IF(raw[[#This Row],[cont]]="B",raw[[#This Row],[cont]],"W"))</f>
        <v/>
      </c>
      <c r="O736" s="1397">
        <f>IF(raw[[#This Row],[out]]=0,0,IF(raw[[#This Row],[out]]=raw[[#This Row],[in]],0.01,raw[[#This Row],[out]]-raw[[#This Row],[in]]))</f>
        <v/>
      </c>
      <c r="P736" s="1397">
        <f>IF(raw[[#This Row],[in]]=0,0,MONTH(raw[[#This Row],[in]]))</f>
        <v/>
      </c>
      <c r="Q736" s="1397">
        <f>IF(raw[[#This Row],[in]]=0,0,YEAR(raw[[#This Row],[in]]))</f>
        <v/>
      </c>
      <c r="R736" s="1397">
        <f>INT(raw[[#This Row],[yr]]/10)*10</f>
        <v/>
      </c>
      <c r="S736" s="1395">
        <f>IF(raw[[#This Row],[city]]="","-",IF(raw[[#This Row],[city]]&lt;&gt;_xlfn.XLOOKUP(raw[[#This Row],[home]],homes[home],homes[city],"-"),1,0))</f>
        <v/>
      </c>
      <c r="T736" s="1398" t="inlineStr">
        <is>
          <t>.</t>
        </is>
      </c>
      <c r="U736" s="1399">
        <f>IF(raw[[#This Row],[wb]]="w",raw[[#This Row],[stay]]+U735,U735)</f>
        <v/>
      </c>
      <c r="V736" s="1400">
        <f>IF(raw[[#This Row],[out]]=0,V735,(raw[[#This Row],[out]]-E$5))</f>
        <v/>
      </c>
      <c r="W736" s="1401">
        <f>U736/V736</f>
        <v/>
      </c>
      <c r="X736" s="1378" t="inlineStr">
        <is>
          <t>.</t>
        </is>
      </c>
      <c r="Y736" s="1402">
        <f/>
        <v/>
      </c>
      <c r="Z736" s="1403">
        <f/>
        <v/>
      </c>
      <c r="AA736" s="1403">
        <f/>
        <v/>
      </c>
      <c r="AB736" s="1400">
        <f t="array" ref="AB736">_xlfn.LET(_xlpm.S,_xlfn.ANCHORARRAY($Y$4),_xlpm.r,ROWS(stayCity[[#Headers],[city]]:stayCity[[#This Row],[city]])-1,IF(_xlpm.r&lt;=ROWS(_xlpm.S),INDEX(_xlpm.S,_xlpm.r,1),""))</f>
        <v/>
      </c>
      <c r="AC736" s="1405">
        <f t="array" ref="AC736">_xlfn.LET(_xlpm.S,_xlfn.ANCHORARRAY($Y$4),_xlpm.r,ROWS(stayCity[[#Headers],[city]]:stayCity[[#This Row],[city]])-1,IF(_xlpm.r&lt;=ROWS(_xlpm.S),INDEX(_xlpm.S,_xlpm.r,2),""))</f>
        <v/>
      </c>
      <c r="AD736" s="1405">
        <f t="array" ref="AD736">_xlfn.LET(_xlpm.S,_xlfn.ANCHORARRAY($Y$4),_xlpm.r,ROWS(stayCity[[#Headers],[city]]:stayCity[[#This Row],[city]])-1,IF(_xlpm.r&lt;=ROWS(_xlpm.S),INDEX(_xlpm.S,_xlpm.r,3),""))</f>
        <v/>
      </c>
      <c r="AE736" s="1400">
        <f>IF(stayCity[[#This Row],[out]]&lt;&gt;"",stayCity[[#This Row],[out]]-stayCity[[#This Row],[in]],"-")</f>
        <v/>
      </c>
      <c r="AF736" s="1406">
        <f>IF(Y736="","-",YEAR(stayCity[[#This Row],[in]]))</f>
        <v/>
      </c>
      <c r="AG736" s="1392" t="n"/>
      <c r="AH736" s="1392" t="n"/>
      <c r="AI736" s="1392" t="n"/>
      <c r="AJ736" s="1392" t="n"/>
      <c r="AK736" s="1392" t="n"/>
      <c r="AL736" s="1392" t="n"/>
      <c r="AM736" s="1392" t="n"/>
      <c r="AN736" s="1392" t="n"/>
      <c r="AO736" s="1392" t="n"/>
      <c r="AP736" s="1392" t="n"/>
      <c r="AQ736" s="1392" t="n"/>
      <c r="AR736" s="1392" t="n"/>
      <c r="AS736" s="1422" t="n"/>
      <c r="AT736" s="1392" t="n"/>
      <c r="AU736" s="1392" t="n"/>
      <c r="AV736" s="1392" t="n"/>
      <c r="AW736" s="1392" t="n"/>
      <c r="AX736" s="1392" t="n"/>
      <c r="AY736" s="1392" t="n"/>
      <c r="AZ736" s="1392" t="n"/>
      <c r="BA736" s="1392" t="n"/>
      <c r="BB736" s="1422" t="n"/>
      <c r="BC736" s="1392" t="n"/>
      <c r="BD736" s="1392" t="n"/>
      <c r="BE736" s="1392" t="n"/>
      <c r="BF736" s="1392" t="n"/>
      <c r="BG736" s="1392" t="n"/>
      <c r="BH736" s="1392" t="n"/>
      <c r="BI736" s="1392" t="n"/>
      <c r="BJ736" s="1392" t="n"/>
      <c r="BK736" s="1392" t="n"/>
      <c r="BL736" s="1392" t="n"/>
      <c r="BM736" s="1392" t="n"/>
      <c r="BN736" s="1392" t="n"/>
      <c r="BO736" s="1392" t="n"/>
      <c r="BP736" s="1392" t="n"/>
      <c r="BQ736" s="1392" t="n"/>
      <c r="BR736" s="1392" t="n"/>
      <c r="BS736" s="1392" t="n"/>
      <c r="BT736" s="1392" t="n"/>
      <c r="BU736" s="1416" t="n"/>
      <c r="BV736" s="1392" t="n"/>
      <c r="BW736" s="1392" t="n"/>
      <c r="BX736" s="1392" t="n"/>
      <c r="BY736" s="1392" t="n"/>
      <c r="BZ736" s="1416" t="n"/>
      <c r="CA736" s="1392" t="n"/>
      <c r="CB736" s="1392" t="n"/>
      <c r="CC736" s="1392" t="n"/>
      <c r="CD736" s="1392" t="n"/>
      <c r="CE736" s="1392" t="n"/>
      <c r="CF736" s="1392" t="n"/>
      <c r="CG736" s="1392" t="n"/>
      <c r="CH736" s="1392" t="n"/>
      <c r="CI736" s="1392" t="n"/>
      <c r="CJ736" s="1392" t="n"/>
      <c r="CK736" s="1392" t="n"/>
      <c r="CL736" s="1392" t="n"/>
    </row>
    <row r="737">
      <c r="A737" s="5" t="inlineStr">
        <is>
          <t>.</t>
        </is>
      </c>
      <c r="B737" s="5" t="inlineStr">
        <is>
          <t>.</t>
        </is>
      </c>
      <c r="C737" s="1378">
        <f>IF(raw[[#This Row],[city]]="","-",IF(raw[[#This Row],[city]]="TODAY","-",C736+1))</f>
        <v/>
      </c>
      <c r="D737" s="1393" t="inlineStr">
        <is>
          <t>SP</t>
        </is>
      </c>
      <c r="E737" s="1394" t="n">
        <v>37580</v>
      </c>
      <c r="F737" s="1394" t="n">
        <v>37582</v>
      </c>
      <c r="G737" s="1393" t="inlineStr">
        <is>
          <t>-</t>
        </is>
      </c>
      <c r="H737" s="1393" t="inlineStr">
        <is>
          <t>Bertioga</t>
        </is>
      </c>
      <c r="I737" s="1393" t="inlineStr">
        <is>
          <t>Salto Grande</t>
        </is>
      </c>
      <c r="J737" s="1393" t="inlineStr">
        <is>
          <t>-</t>
        </is>
      </c>
      <c r="K737" s="1395">
        <f>IF(raw[[#This Row],[city]]&lt;&gt;"",_xlfn.XLOOKUP($D737,ccc[city],ccc[prov],"-"),"-")</f>
        <v/>
      </c>
      <c r="L737" s="1395">
        <f>IF(raw[[#This Row],[city]]&lt;&gt;"",_xlfn.XLOOKUP($D737,ccc[city],ccc[ctry],"-"),"-")</f>
        <v/>
      </c>
      <c r="M737" s="1395">
        <f>IF(raw[[#This Row],[city]]&lt;&gt;"",_xlfn.XLOOKUP($D737,ccc[city],ccc[cont],"-"),"-")</f>
        <v/>
      </c>
      <c r="N737" s="1396">
        <f>IF(raw[[#This Row],[city]]="","-",IF(raw[[#This Row],[cont]]="B",raw[[#This Row],[cont]],"W"))</f>
        <v/>
      </c>
      <c r="O737" s="1397">
        <f>IF(raw[[#This Row],[out]]=0,0,IF(raw[[#This Row],[out]]=raw[[#This Row],[in]],0.01,raw[[#This Row],[out]]-raw[[#This Row],[in]]))</f>
        <v/>
      </c>
      <c r="P737" s="1397">
        <f>IF(raw[[#This Row],[in]]=0,0,MONTH(raw[[#This Row],[in]]))</f>
        <v/>
      </c>
      <c r="Q737" s="1397">
        <f>IF(raw[[#This Row],[in]]=0,0,YEAR(raw[[#This Row],[in]]))</f>
        <v/>
      </c>
      <c r="R737" s="1397">
        <f>INT(raw[[#This Row],[yr]]/10)*10</f>
        <v/>
      </c>
      <c r="S737" s="1395">
        <f>IF(raw[[#This Row],[city]]="","-",IF(raw[[#This Row],[city]]&lt;&gt;_xlfn.XLOOKUP(raw[[#This Row],[home]],homes[home],homes[city],"-"),1,0))</f>
        <v/>
      </c>
      <c r="T737" s="1398" t="inlineStr">
        <is>
          <t>.</t>
        </is>
      </c>
      <c r="U737" s="1399">
        <f>IF(raw[[#This Row],[wb]]="w",raw[[#This Row],[stay]]+U736,U736)</f>
        <v/>
      </c>
      <c r="V737" s="1400">
        <f>IF(raw[[#This Row],[out]]=0,V736,(raw[[#This Row],[out]]-E$5))</f>
        <v/>
      </c>
      <c r="W737" s="1401">
        <f>U737/V737</f>
        <v/>
      </c>
      <c r="X737" s="1378" t="inlineStr">
        <is>
          <t>.</t>
        </is>
      </c>
      <c r="Y737" s="1402">
        <f/>
        <v/>
      </c>
      <c r="Z737" s="1403">
        <f/>
        <v/>
      </c>
      <c r="AA737" s="1403">
        <f/>
        <v/>
      </c>
      <c r="AB737" s="1400">
        <f t="array" ref="AB737">_xlfn.LET(_xlpm.S,_xlfn.ANCHORARRAY($Y$4),_xlpm.r,ROWS(stayCity[[#Headers],[city]]:stayCity[[#This Row],[city]])-1,IF(_xlpm.r&lt;=ROWS(_xlpm.S),INDEX(_xlpm.S,_xlpm.r,1),""))</f>
        <v/>
      </c>
      <c r="AC737" s="1405">
        <f t="array" ref="AC737">_xlfn.LET(_xlpm.S,_xlfn.ANCHORARRAY($Y$4),_xlpm.r,ROWS(stayCity[[#Headers],[city]]:stayCity[[#This Row],[city]])-1,IF(_xlpm.r&lt;=ROWS(_xlpm.S),INDEX(_xlpm.S,_xlpm.r,2),""))</f>
        <v/>
      </c>
      <c r="AD737" s="1405">
        <f t="array" ref="AD737">_xlfn.LET(_xlpm.S,_xlfn.ANCHORARRAY($Y$4),_xlpm.r,ROWS(stayCity[[#Headers],[city]]:stayCity[[#This Row],[city]])-1,IF(_xlpm.r&lt;=ROWS(_xlpm.S),INDEX(_xlpm.S,_xlpm.r,3),""))</f>
        <v/>
      </c>
      <c r="AE737" s="1400">
        <f>IF(stayCity[[#This Row],[out]]&lt;&gt;"",stayCity[[#This Row],[out]]-stayCity[[#This Row],[in]],"-")</f>
        <v/>
      </c>
      <c r="AF737" s="1406">
        <f>IF(Y737="","-",YEAR(stayCity[[#This Row],[in]]))</f>
        <v/>
      </c>
      <c r="AG737" s="1392" t="n"/>
      <c r="AH737" s="1392" t="n"/>
      <c r="AI737" s="1392" t="n"/>
      <c r="AJ737" s="1392" t="n"/>
      <c r="AK737" s="1392" t="n"/>
      <c r="AL737" s="1392" t="n"/>
      <c r="AM737" s="1392" t="n"/>
      <c r="AN737" s="1392" t="n"/>
      <c r="AO737" s="1392" t="n"/>
      <c r="AP737" s="1392" t="n"/>
      <c r="AQ737" s="1392" t="n"/>
      <c r="AR737" s="1392" t="n"/>
      <c r="AS737" s="1422" t="n"/>
      <c r="AT737" s="1392" t="n"/>
      <c r="AU737" s="1392" t="n"/>
      <c r="AV737" s="1392" t="n"/>
      <c r="AW737" s="1392" t="n"/>
      <c r="AX737" s="1392" t="n"/>
      <c r="AY737" s="1392" t="n"/>
      <c r="AZ737" s="1392" t="n"/>
      <c r="BA737" s="1392" t="n"/>
      <c r="BB737" s="1422" t="n"/>
      <c r="BC737" s="1392" t="n"/>
      <c r="BD737" s="1392" t="n"/>
      <c r="BE737" s="1392" t="n"/>
      <c r="BF737" s="1392" t="n"/>
      <c r="BG737" s="1392" t="n"/>
      <c r="BH737" s="1392" t="n"/>
      <c r="BI737" s="1392" t="n"/>
      <c r="BJ737" s="1392" t="n"/>
      <c r="BK737" s="1392" t="n"/>
      <c r="BL737" s="1392" t="n"/>
      <c r="BM737" s="1392" t="n"/>
      <c r="BN737" s="1392" t="n"/>
      <c r="BO737" s="1392" t="n"/>
      <c r="BP737" s="1392" t="n"/>
      <c r="BQ737" s="1392" t="n"/>
      <c r="BR737" s="1392" t="n"/>
      <c r="BS737" s="1392" t="n"/>
      <c r="BT737" s="1392" t="n"/>
      <c r="BU737" s="1416" t="n"/>
      <c r="BV737" s="1392" t="n"/>
      <c r="BW737" s="1392" t="n"/>
      <c r="BX737" s="1392" t="n"/>
      <c r="BY737" s="1392" t="n"/>
      <c r="BZ737" s="1416" t="n"/>
      <c r="CA737" s="1392" t="n"/>
      <c r="CB737" s="1392" t="n"/>
      <c r="CC737" s="1392" t="n"/>
      <c r="CD737" s="1392" t="n"/>
      <c r="CE737" s="1392" t="n"/>
      <c r="CF737" s="1392" t="n"/>
      <c r="CG737" s="1392" t="n"/>
      <c r="CH737" s="1392" t="n"/>
      <c r="CI737" s="1392" t="n"/>
      <c r="CJ737" s="1392" t="n"/>
      <c r="CK737" s="1392" t="n"/>
      <c r="CL737" s="1392" t="n"/>
    </row>
    <row r="738">
      <c r="A738" s="5" t="inlineStr">
        <is>
          <t>.</t>
        </is>
      </c>
      <c r="B738" s="5" t="inlineStr">
        <is>
          <t>.</t>
        </is>
      </c>
      <c r="C738" s="1378">
        <f>IF(raw[[#This Row],[city]]="","-",IF(raw[[#This Row],[city]]="TODAY","-",C737+1))</f>
        <v/>
      </c>
      <c r="D738" s="1393" t="inlineStr">
        <is>
          <t>Bertioga</t>
        </is>
      </c>
      <c r="E738" s="1394" t="n">
        <v>37582</v>
      </c>
      <c r="F738" s="1394" t="n">
        <v>37591</v>
      </c>
      <c r="G738" s="1393" t="inlineStr">
        <is>
          <t>-</t>
        </is>
      </c>
      <c r="H738" s="1393" t="inlineStr">
        <is>
          <t>Bertioga</t>
        </is>
      </c>
      <c r="I738" s="1393" t="inlineStr">
        <is>
          <t>-</t>
        </is>
      </c>
      <c r="J738" s="1393" t="inlineStr">
        <is>
          <t>-</t>
        </is>
      </c>
      <c r="K738" s="1395">
        <f>IF(raw[[#This Row],[city]]&lt;&gt;"",_xlfn.XLOOKUP($D738,ccc[city],ccc[prov],"-"),"-")</f>
        <v/>
      </c>
      <c r="L738" s="1395">
        <f>IF(raw[[#This Row],[city]]&lt;&gt;"",_xlfn.XLOOKUP($D738,ccc[city],ccc[ctry],"-"),"-")</f>
        <v/>
      </c>
      <c r="M738" s="1395">
        <f>IF(raw[[#This Row],[city]]&lt;&gt;"",_xlfn.XLOOKUP($D738,ccc[city],ccc[cont],"-"),"-")</f>
        <v/>
      </c>
      <c r="N738" s="1396">
        <f>IF(raw[[#This Row],[city]]="","-",IF(raw[[#This Row],[cont]]="B",raw[[#This Row],[cont]],"W"))</f>
        <v/>
      </c>
      <c r="O738" s="1397">
        <f>IF(raw[[#This Row],[out]]=0,0,IF(raw[[#This Row],[out]]=raw[[#This Row],[in]],0.01,raw[[#This Row],[out]]-raw[[#This Row],[in]]))</f>
        <v/>
      </c>
      <c r="P738" s="1397">
        <f>IF(raw[[#This Row],[in]]=0,0,MONTH(raw[[#This Row],[in]]))</f>
        <v/>
      </c>
      <c r="Q738" s="1397">
        <f>IF(raw[[#This Row],[in]]=0,0,YEAR(raw[[#This Row],[in]]))</f>
        <v/>
      </c>
      <c r="R738" s="1397">
        <f>INT(raw[[#This Row],[yr]]/10)*10</f>
        <v/>
      </c>
      <c r="S738" s="1395">
        <f>IF(raw[[#This Row],[city]]="","-",IF(raw[[#This Row],[city]]&lt;&gt;_xlfn.XLOOKUP(raw[[#This Row],[home]],homes[home],homes[city],"-"),1,0))</f>
        <v/>
      </c>
      <c r="T738" s="1398" t="inlineStr">
        <is>
          <t>.</t>
        </is>
      </c>
      <c r="U738" s="1399">
        <f>IF(raw[[#This Row],[wb]]="w",raw[[#This Row],[stay]]+U737,U737)</f>
        <v/>
      </c>
      <c r="V738" s="1400">
        <f>IF(raw[[#This Row],[out]]=0,V737,(raw[[#This Row],[out]]-E$5))</f>
        <v/>
      </c>
      <c r="W738" s="1401">
        <f>U738/V738</f>
        <v/>
      </c>
      <c r="X738" s="1378" t="inlineStr">
        <is>
          <t>.</t>
        </is>
      </c>
      <c r="Y738" s="1402">
        <f/>
        <v/>
      </c>
      <c r="Z738" s="1403">
        <f/>
        <v/>
      </c>
      <c r="AA738" s="1403">
        <f/>
        <v/>
      </c>
      <c r="AB738" s="1400">
        <f t="array" ref="AB738">_xlfn.LET(_xlpm.S,_xlfn.ANCHORARRAY($Y$4),_xlpm.r,ROWS(stayCity[[#Headers],[city]]:stayCity[[#This Row],[city]])-1,IF(_xlpm.r&lt;=ROWS(_xlpm.S),INDEX(_xlpm.S,_xlpm.r,1),""))</f>
        <v/>
      </c>
      <c r="AC738" s="1405">
        <f t="array" ref="AC738">_xlfn.LET(_xlpm.S,_xlfn.ANCHORARRAY($Y$4),_xlpm.r,ROWS(stayCity[[#Headers],[city]]:stayCity[[#This Row],[city]])-1,IF(_xlpm.r&lt;=ROWS(_xlpm.S),INDEX(_xlpm.S,_xlpm.r,2),""))</f>
        <v/>
      </c>
      <c r="AD738" s="1405">
        <f t="array" ref="AD738">_xlfn.LET(_xlpm.S,_xlfn.ANCHORARRAY($Y$4),_xlpm.r,ROWS(stayCity[[#Headers],[city]]:stayCity[[#This Row],[city]])-1,IF(_xlpm.r&lt;=ROWS(_xlpm.S),INDEX(_xlpm.S,_xlpm.r,3),""))</f>
        <v/>
      </c>
      <c r="AE738" s="1400">
        <f>IF(stayCity[[#This Row],[out]]&lt;&gt;"",stayCity[[#This Row],[out]]-stayCity[[#This Row],[in]],"-")</f>
        <v/>
      </c>
      <c r="AF738" s="1406">
        <f>IF(Y738="","-",YEAR(stayCity[[#This Row],[in]]))</f>
        <v/>
      </c>
      <c r="AG738" s="1392" t="n"/>
      <c r="AH738" s="1392" t="n"/>
      <c r="AI738" s="1392" t="n"/>
      <c r="AJ738" s="1392" t="n"/>
      <c r="AK738" s="1392" t="n"/>
      <c r="AL738" s="1392" t="n"/>
      <c r="AM738" s="1392" t="n"/>
      <c r="AN738" s="1392" t="n"/>
      <c r="AO738" s="1392" t="n"/>
      <c r="AP738" s="1392" t="n"/>
      <c r="AQ738" s="1392" t="n"/>
      <c r="AR738" s="1392" t="n"/>
      <c r="AS738" s="1422" t="n"/>
      <c r="AT738" s="1392" t="n"/>
      <c r="AU738" s="1392" t="n"/>
      <c r="AV738" s="1392" t="n"/>
      <c r="AW738" s="1392" t="n"/>
      <c r="AX738" s="1392" t="n"/>
      <c r="AY738" s="1392" t="n"/>
      <c r="AZ738" s="1392" t="n"/>
      <c r="BA738" s="1392" t="n"/>
      <c r="BB738" s="1422" t="n"/>
      <c r="BC738" s="1392" t="n"/>
      <c r="BD738" s="1392" t="n"/>
      <c r="BE738" s="1392" t="n"/>
      <c r="BF738" s="1392" t="n"/>
      <c r="BG738" s="1392" t="n"/>
      <c r="BH738" s="1392" t="n"/>
      <c r="BI738" s="1392" t="n"/>
      <c r="BJ738" s="1392" t="n"/>
      <c r="BK738" s="1392" t="n"/>
      <c r="BL738" s="1392" t="n"/>
      <c r="BM738" s="1392" t="n"/>
      <c r="BN738" s="1392" t="n"/>
      <c r="BO738" s="1392" t="n"/>
      <c r="BP738" s="1392" t="n"/>
      <c r="BQ738" s="1392" t="n"/>
      <c r="BR738" s="1392" t="n"/>
      <c r="BS738" s="1392" t="n"/>
      <c r="BT738" s="1392" t="n"/>
      <c r="BU738" s="1416" t="n"/>
      <c r="BV738" s="1392" t="n"/>
      <c r="BW738" s="1392" t="n"/>
      <c r="BX738" s="1392" t="n"/>
      <c r="BY738" s="1392" t="n"/>
      <c r="BZ738" s="1416" t="n"/>
      <c r="CA738" s="1392" t="n"/>
      <c r="CB738" s="1392" t="n"/>
      <c r="CC738" s="1392" t="n"/>
      <c r="CD738" s="1392" t="n"/>
      <c r="CE738" s="1392" t="n"/>
      <c r="CF738" s="1392" t="n"/>
      <c r="CG738" s="1392" t="n"/>
      <c r="CH738" s="1392" t="n"/>
      <c r="CI738" s="1392" t="n"/>
      <c r="CJ738" s="1392" t="n"/>
      <c r="CK738" s="1392" t="n"/>
      <c r="CL738" s="1392" t="n"/>
    </row>
    <row r="739">
      <c r="A739" s="5" t="inlineStr">
        <is>
          <t>.</t>
        </is>
      </c>
      <c r="B739" s="5" t="inlineStr">
        <is>
          <t>.</t>
        </is>
      </c>
      <c r="C739" s="1378">
        <f>IF(raw[[#This Row],[city]]="","-",IF(raw[[#This Row],[city]]="TODAY","-",C738+1))</f>
        <v/>
      </c>
      <c r="D739" s="1393" t="inlineStr">
        <is>
          <t>Guaecá</t>
        </is>
      </c>
      <c r="E739" s="1394" t="n">
        <v>37591</v>
      </c>
      <c r="F739" s="1394" t="n">
        <v>37592</v>
      </c>
      <c r="G739" s="1393" t="inlineStr">
        <is>
          <t>-</t>
        </is>
      </c>
      <c r="H739" s="1393" t="inlineStr">
        <is>
          <t>Bertioga</t>
        </is>
      </c>
      <c r="I739" s="1393" t="inlineStr">
        <is>
          <t>Guaecá</t>
        </is>
      </c>
      <c r="J739" s="1393" t="inlineStr">
        <is>
          <t>-</t>
        </is>
      </c>
      <c r="K739" s="1395">
        <f>IF(raw[[#This Row],[city]]&lt;&gt;"",_xlfn.XLOOKUP($D739,ccc[city],ccc[prov],"-"),"-")</f>
        <v/>
      </c>
      <c r="L739" s="1395">
        <f>IF(raw[[#This Row],[city]]&lt;&gt;"",_xlfn.XLOOKUP($D739,ccc[city],ccc[ctry],"-"),"-")</f>
        <v/>
      </c>
      <c r="M739" s="1395">
        <f>IF(raw[[#This Row],[city]]&lt;&gt;"",_xlfn.XLOOKUP($D739,ccc[city],ccc[cont],"-"),"-")</f>
        <v/>
      </c>
      <c r="N739" s="1396">
        <f>IF(raw[[#This Row],[city]]="","-",IF(raw[[#This Row],[cont]]="B",raw[[#This Row],[cont]],"W"))</f>
        <v/>
      </c>
      <c r="O739" s="1397">
        <f>IF(raw[[#This Row],[out]]=0,0,IF(raw[[#This Row],[out]]=raw[[#This Row],[in]],0.01,raw[[#This Row],[out]]-raw[[#This Row],[in]]))</f>
        <v/>
      </c>
      <c r="P739" s="1397">
        <f>IF(raw[[#This Row],[in]]=0,0,MONTH(raw[[#This Row],[in]]))</f>
        <v/>
      </c>
      <c r="Q739" s="1397">
        <f>IF(raw[[#This Row],[in]]=0,0,YEAR(raw[[#This Row],[in]]))</f>
        <v/>
      </c>
      <c r="R739" s="1397">
        <f>INT(raw[[#This Row],[yr]]/10)*10</f>
        <v/>
      </c>
      <c r="S739" s="1395">
        <f>IF(raw[[#This Row],[city]]="","-",IF(raw[[#This Row],[city]]&lt;&gt;_xlfn.XLOOKUP(raw[[#This Row],[home]],homes[home],homes[city],"-"),1,0))</f>
        <v/>
      </c>
      <c r="T739" s="1398" t="inlineStr">
        <is>
          <t>.</t>
        </is>
      </c>
      <c r="U739" s="1399">
        <f>IF(raw[[#This Row],[wb]]="w",raw[[#This Row],[stay]]+U738,U738)</f>
        <v/>
      </c>
      <c r="V739" s="1400">
        <f>IF(raw[[#This Row],[out]]=0,V738,(raw[[#This Row],[out]]-E$5))</f>
        <v/>
      </c>
      <c r="W739" s="1401">
        <f>U739/V739</f>
        <v/>
      </c>
      <c r="X739" s="1378" t="inlineStr">
        <is>
          <t>.</t>
        </is>
      </c>
      <c r="Y739" s="1402">
        <f/>
        <v/>
      </c>
      <c r="Z739" s="1403">
        <f/>
        <v/>
      </c>
      <c r="AA739" s="1403">
        <f/>
        <v/>
      </c>
      <c r="AB739" s="1400">
        <f t="array" ref="AB739">_xlfn.LET(_xlpm.S,_xlfn.ANCHORARRAY($Y$4),_xlpm.r,ROWS(stayCity[[#Headers],[city]]:stayCity[[#This Row],[city]])-1,IF(_xlpm.r&lt;=ROWS(_xlpm.S),INDEX(_xlpm.S,_xlpm.r,1),""))</f>
        <v/>
      </c>
      <c r="AC739" s="1405">
        <f t="array" ref="AC739">_xlfn.LET(_xlpm.S,_xlfn.ANCHORARRAY($Y$4),_xlpm.r,ROWS(stayCity[[#Headers],[city]]:stayCity[[#This Row],[city]])-1,IF(_xlpm.r&lt;=ROWS(_xlpm.S),INDEX(_xlpm.S,_xlpm.r,2),""))</f>
        <v/>
      </c>
      <c r="AD739" s="1405">
        <f t="array" ref="AD739">_xlfn.LET(_xlpm.S,_xlfn.ANCHORARRAY($Y$4),_xlpm.r,ROWS(stayCity[[#Headers],[city]]:stayCity[[#This Row],[city]])-1,IF(_xlpm.r&lt;=ROWS(_xlpm.S),INDEX(_xlpm.S,_xlpm.r,3),""))</f>
        <v/>
      </c>
      <c r="AE739" s="1400">
        <f>IF(stayCity[[#This Row],[out]]&lt;&gt;"",stayCity[[#This Row],[out]]-stayCity[[#This Row],[in]],"-")</f>
        <v/>
      </c>
      <c r="AF739" s="1406">
        <f>IF(Y739="","-",YEAR(stayCity[[#This Row],[in]]))</f>
        <v/>
      </c>
      <c r="AG739" s="1392" t="n"/>
      <c r="AH739" s="1392" t="n"/>
      <c r="AI739" s="1392" t="n"/>
      <c r="AJ739" s="1392" t="n"/>
      <c r="AK739" s="1392" t="n"/>
      <c r="AL739" s="1392" t="n"/>
      <c r="AM739" s="1392" t="n"/>
      <c r="AN739" s="1392" t="n"/>
      <c r="AO739" s="1392" t="n"/>
      <c r="AP739" s="1392" t="n"/>
      <c r="AQ739" s="1392" t="n"/>
      <c r="AR739" s="1392" t="n"/>
      <c r="AS739" s="1422" t="n"/>
      <c r="AT739" s="1392" t="n"/>
      <c r="AU739" s="1392" t="n"/>
      <c r="AV739" s="1392" t="n"/>
      <c r="AW739" s="1392" t="n"/>
      <c r="AX739" s="1392" t="n"/>
      <c r="AY739" s="1392" t="n"/>
      <c r="AZ739" s="1392" t="n"/>
      <c r="BA739" s="1392" t="n"/>
      <c r="BB739" s="1422" t="n"/>
      <c r="BC739" s="1392" t="n"/>
      <c r="BD739" s="1392" t="n"/>
      <c r="BE739" s="1392" t="n"/>
      <c r="BF739" s="1392" t="n"/>
      <c r="BG739" s="1392" t="n"/>
      <c r="BH739" s="1392" t="n"/>
      <c r="BI739" s="1392" t="n"/>
      <c r="BJ739" s="1392" t="n"/>
      <c r="BK739" s="1392" t="n"/>
      <c r="BL739" s="1392" t="n"/>
      <c r="BM739" s="1392" t="n"/>
      <c r="BN739" s="1392" t="n"/>
      <c r="BO739" s="1392" t="n"/>
      <c r="BP739" s="1392" t="n"/>
      <c r="BQ739" s="1392" t="n"/>
      <c r="BR739" s="1392" t="n"/>
      <c r="BS739" s="1392" t="n"/>
      <c r="BT739" s="1392" t="n"/>
      <c r="BU739" s="1416" t="n"/>
      <c r="BV739" s="1392" t="n"/>
      <c r="BW739" s="1392" t="n"/>
      <c r="BX739" s="1392" t="n"/>
      <c r="BY739" s="1392" t="n"/>
      <c r="BZ739" s="1416" t="n"/>
      <c r="CA739" s="1392" t="n"/>
      <c r="CB739" s="1392" t="n"/>
      <c r="CC739" s="1392" t="n"/>
      <c r="CD739" s="1392" t="n"/>
      <c r="CE739" s="1392" t="n"/>
      <c r="CF739" s="1392" t="n"/>
      <c r="CG739" s="1392" t="n"/>
      <c r="CH739" s="1392" t="n"/>
      <c r="CI739" s="1392" t="n"/>
      <c r="CJ739" s="1392" t="n"/>
      <c r="CK739" s="1392" t="n"/>
      <c r="CL739" s="1392" t="n"/>
    </row>
    <row r="740">
      <c r="A740" s="5" t="inlineStr">
        <is>
          <t>.</t>
        </is>
      </c>
      <c r="B740" s="5" t="inlineStr">
        <is>
          <t>.</t>
        </is>
      </c>
      <c r="C740" s="1378">
        <f>IF(raw[[#This Row],[city]]="","-",IF(raw[[#This Row],[city]]="TODAY","-",C739+1))</f>
        <v/>
      </c>
      <c r="D740" s="1393" t="inlineStr">
        <is>
          <t>Bertioga</t>
        </is>
      </c>
      <c r="E740" s="1394" t="n">
        <v>37592</v>
      </c>
      <c r="F740" s="1394" t="n">
        <v>37598</v>
      </c>
      <c r="G740" s="1393" t="inlineStr">
        <is>
          <t>-</t>
        </is>
      </c>
      <c r="H740" s="1393" t="inlineStr">
        <is>
          <t>Bertioga</t>
        </is>
      </c>
      <c r="I740" s="1393" t="inlineStr">
        <is>
          <t>-</t>
        </is>
      </c>
      <c r="J740" s="1393" t="inlineStr">
        <is>
          <t>-</t>
        </is>
      </c>
      <c r="K740" s="1395">
        <f>IF(raw[[#This Row],[city]]&lt;&gt;"",_xlfn.XLOOKUP($D740,ccc[city],ccc[prov],"-"),"-")</f>
        <v/>
      </c>
      <c r="L740" s="1395">
        <f>IF(raw[[#This Row],[city]]&lt;&gt;"",_xlfn.XLOOKUP($D740,ccc[city],ccc[ctry],"-"),"-")</f>
        <v/>
      </c>
      <c r="M740" s="1395">
        <f>IF(raw[[#This Row],[city]]&lt;&gt;"",_xlfn.XLOOKUP($D740,ccc[city],ccc[cont],"-"),"-")</f>
        <v/>
      </c>
      <c r="N740" s="1396">
        <f>IF(raw[[#This Row],[city]]="","-",IF(raw[[#This Row],[cont]]="B",raw[[#This Row],[cont]],"W"))</f>
        <v/>
      </c>
      <c r="O740" s="1397">
        <f>IF(raw[[#This Row],[out]]=0,0,IF(raw[[#This Row],[out]]=raw[[#This Row],[in]],0.01,raw[[#This Row],[out]]-raw[[#This Row],[in]]))</f>
        <v/>
      </c>
      <c r="P740" s="1397">
        <f>IF(raw[[#This Row],[in]]=0,0,MONTH(raw[[#This Row],[in]]))</f>
        <v/>
      </c>
      <c r="Q740" s="1397">
        <f>IF(raw[[#This Row],[in]]=0,0,YEAR(raw[[#This Row],[in]]))</f>
        <v/>
      </c>
      <c r="R740" s="1397">
        <f>INT(raw[[#This Row],[yr]]/10)*10</f>
        <v/>
      </c>
      <c r="S740" s="1395">
        <f>IF(raw[[#This Row],[city]]="","-",IF(raw[[#This Row],[city]]&lt;&gt;_xlfn.XLOOKUP(raw[[#This Row],[home]],homes[home],homes[city],"-"),1,0))</f>
        <v/>
      </c>
      <c r="T740" s="1398" t="inlineStr">
        <is>
          <t>.</t>
        </is>
      </c>
      <c r="U740" s="1399">
        <f>IF(raw[[#This Row],[wb]]="w",raw[[#This Row],[stay]]+U739,U739)</f>
        <v/>
      </c>
      <c r="V740" s="1400">
        <f>IF(raw[[#This Row],[out]]=0,V739,(raw[[#This Row],[out]]-E$5))</f>
        <v/>
      </c>
      <c r="W740" s="1401">
        <f>U740/V740</f>
        <v/>
      </c>
      <c r="X740" s="1378" t="inlineStr">
        <is>
          <t>.</t>
        </is>
      </c>
      <c r="Y740" s="1402">
        <f/>
        <v/>
      </c>
      <c r="Z740" s="1403">
        <f/>
        <v/>
      </c>
      <c r="AA740" s="1403">
        <f/>
        <v/>
      </c>
      <c r="AB740" s="1400">
        <f t="array" ref="AB740">_xlfn.LET(_xlpm.S,_xlfn.ANCHORARRAY($Y$4),_xlpm.r,ROWS(stayCity[[#Headers],[city]]:stayCity[[#This Row],[city]])-1,IF(_xlpm.r&lt;=ROWS(_xlpm.S),INDEX(_xlpm.S,_xlpm.r,1),""))</f>
        <v/>
      </c>
      <c r="AC740" s="1405">
        <f t="array" ref="AC740">_xlfn.LET(_xlpm.S,_xlfn.ANCHORARRAY($Y$4),_xlpm.r,ROWS(stayCity[[#Headers],[city]]:stayCity[[#This Row],[city]])-1,IF(_xlpm.r&lt;=ROWS(_xlpm.S),INDEX(_xlpm.S,_xlpm.r,2),""))</f>
        <v/>
      </c>
      <c r="AD740" s="1405">
        <f t="array" ref="AD740">_xlfn.LET(_xlpm.S,_xlfn.ANCHORARRAY($Y$4),_xlpm.r,ROWS(stayCity[[#Headers],[city]]:stayCity[[#This Row],[city]])-1,IF(_xlpm.r&lt;=ROWS(_xlpm.S),INDEX(_xlpm.S,_xlpm.r,3),""))</f>
        <v/>
      </c>
      <c r="AE740" s="1400">
        <f>IF(stayCity[[#This Row],[out]]&lt;&gt;"",stayCity[[#This Row],[out]]-stayCity[[#This Row],[in]],"-")</f>
        <v/>
      </c>
      <c r="AF740" s="1406">
        <f>IF(Y740="","-",YEAR(stayCity[[#This Row],[in]]))</f>
        <v/>
      </c>
      <c r="AG740" s="1392" t="n"/>
      <c r="AH740" s="1392" t="n"/>
      <c r="AI740" s="1392" t="n"/>
      <c r="AJ740" s="1392" t="n"/>
      <c r="AK740" s="1392" t="n"/>
      <c r="AL740" s="1392" t="n"/>
      <c r="AM740" s="1392" t="n"/>
      <c r="AN740" s="1392" t="n"/>
      <c r="AO740" s="1392" t="n"/>
      <c r="AP740" s="1392" t="n"/>
      <c r="AQ740" s="1392" t="n"/>
      <c r="AR740" s="1392" t="n"/>
      <c r="AS740" s="1422" t="n"/>
      <c r="AT740" s="1392" t="n"/>
      <c r="AU740" s="1392" t="n"/>
      <c r="AV740" s="1392" t="n"/>
      <c r="AW740" s="1392" t="n"/>
      <c r="AX740" s="1392" t="n"/>
      <c r="AY740" s="1392" t="n"/>
      <c r="AZ740" s="1392" t="n"/>
      <c r="BA740" s="1392" t="n"/>
      <c r="BB740" s="1422" t="n"/>
      <c r="BC740" s="1392" t="n"/>
      <c r="BD740" s="1392" t="n"/>
      <c r="BE740" s="1392" t="n"/>
      <c r="BF740" s="1392" t="n"/>
      <c r="BG740" s="1392" t="n"/>
      <c r="BH740" s="1392" t="n"/>
      <c r="BI740" s="1392" t="n"/>
      <c r="BJ740" s="1392" t="n"/>
      <c r="BK740" s="1392" t="n"/>
      <c r="BL740" s="1392" t="n"/>
      <c r="BM740" s="1392" t="n"/>
      <c r="BN740" s="1392" t="n"/>
      <c r="BO740" s="1392" t="n"/>
      <c r="BP740" s="1392" t="n"/>
      <c r="BQ740" s="1392" t="n"/>
      <c r="BR740" s="1392" t="n"/>
      <c r="BS740" s="1392" t="n"/>
      <c r="BT740" s="1392" t="n"/>
      <c r="BU740" s="1416" t="n"/>
      <c r="BV740" s="1392" t="n"/>
      <c r="BW740" s="1392" t="n"/>
      <c r="BX740" s="1392" t="n"/>
      <c r="BY740" s="1392" t="n"/>
      <c r="BZ740" s="1416" t="n"/>
      <c r="CA740" s="1392" t="n"/>
      <c r="CB740" s="1392" t="n"/>
      <c r="CC740" s="1392" t="n"/>
      <c r="CD740" s="1392" t="n"/>
      <c r="CE740" s="1392" t="n"/>
      <c r="CF740" s="1392" t="n"/>
      <c r="CG740" s="1392" t="n"/>
      <c r="CH740" s="1392" t="n"/>
      <c r="CI740" s="1392" t="n"/>
      <c r="CJ740" s="1392" t="n"/>
      <c r="CK740" s="1392" t="n"/>
      <c r="CL740" s="1392" t="n"/>
    </row>
    <row r="741">
      <c r="A741" s="5" t="inlineStr">
        <is>
          <t>.</t>
        </is>
      </c>
      <c r="B741" s="5" t="inlineStr">
        <is>
          <t>.</t>
        </is>
      </c>
      <c r="C741" s="1378">
        <f>IF(raw[[#This Row],[city]]="","-",IF(raw[[#This Row],[city]]="TODAY","-",C740+1))</f>
        <v/>
      </c>
      <c r="D741" s="1393" t="inlineStr">
        <is>
          <t>Guaecá</t>
        </is>
      </c>
      <c r="E741" s="1394" t="n">
        <v>37598</v>
      </c>
      <c r="F741" s="1394" t="n">
        <v>37602</v>
      </c>
      <c r="G741" s="1393" t="inlineStr">
        <is>
          <t>-</t>
        </is>
      </c>
      <c r="H741" s="1393" t="inlineStr">
        <is>
          <t>Transit</t>
        </is>
      </c>
      <c r="I741" s="1393" t="inlineStr">
        <is>
          <t>Guaecá</t>
        </is>
      </c>
      <c r="J741" s="1393" t="inlineStr">
        <is>
          <t>-</t>
        </is>
      </c>
      <c r="K741" s="1395">
        <f>IF(raw[[#This Row],[city]]&lt;&gt;"",_xlfn.XLOOKUP($D741,ccc[city],ccc[prov],"-"),"-")</f>
        <v/>
      </c>
      <c r="L741" s="1395">
        <f>IF(raw[[#This Row],[city]]&lt;&gt;"",_xlfn.XLOOKUP($D741,ccc[city],ccc[ctry],"-"),"-")</f>
        <v/>
      </c>
      <c r="M741" s="1395">
        <f>IF(raw[[#This Row],[city]]&lt;&gt;"",_xlfn.XLOOKUP($D741,ccc[city],ccc[cont],"-"),"-")</f>
        <v/>
      </c>
      <c r="N741" s="1396">
        <f>IF(raw[[#This Row],[city]]="","-",IF(raw[[#This Row],[cont]]="B",raw[[#This Row],[cont]],"W"))</f>
        <v/>
      </c>
      <c r="O741" s="1397">
        <f>IF(raw[[#This Row],[out]]=0,0,IF(raw[[#This Row],[out]]=raw[[#This Row],[in]],0.01,raw[[#This Row],[out]]-raw[[#This Row],[in]]))</f>
        <v/>
      </c>
      <c r="P741" s="1397">
        <f>IF(raw[[#This Row],[in]]=0,0,MONTH(raw[[#This Row],[in]]))</f>
        <v/>
      </c>
      <c r="Q741" s="1397">
        <f>IF(raw[[#This Row],[in]]=0,0,YEAR(raw[[#This Row],[in]]))</f>
        <v/>
      </c>
      <c r="R741" s="1397">
        <f>INT(raw[[#This Row],[yr]]/10)*10</f>
        <v/>
      </c>
      <c r="S741" s="1395">
        <f>IF(raw[[#This Row],[city]]="","-",IF(raw[[#This Row],[city]]&lt;&gt;_xlfn.XLOOKUP(raw[[#This Row],[home]],homes[home],homes[city],"-"),1,0))</f>
        <v/>
      </c>
      <c r="T741" s="1398" t="inlineStr">
        <is>
          <t>.</t>
        </is>
      </c>
      <c r="U741" s="1399">
        <f>IF(raw[[#This Row],[wb]]="w",raw[[#This Row],[stay]]+U740,U740)</f>
        <v/>
      </c>
      <c r="V741" s="1400">
        <f>IF(raw[[#This Row],[out]]=0,V740,(raw[[#This Row],[out]]-E$5))</f>
        <v/>
      </c>
      <c r="W741" s="1401">
        <f>U741/V741</f>
        <v/>
      </c>
      <c r="X741" s="1378" t="inlineStr">
        <is>
          <t>.</t>
        </is>
      </c>
      <c r="Y741" s="1402">
        <f/>
        <v/>
      </c>
      <c r="Z741" s="1403">
        <f/>
        <v/>
      </c>
      <c r="AA741" s="1403">
        <f/>
        <v/>
      </c>
      <c r="AB741" s="1400">
        <f t="array" ref="AB741">_xlfn.LET(_xlpm.S,_xlfn.ANCHORARRAY($Y$4),_xlpm.r,ROWS(stayCity[[#Headers],[city]]:stayCity[[#This Row],[city]])-1,IF(_xlpm.r&lt;=ROWS(_xlpm.S),INDEX(_xlpm.S,_xlpm.r,1),""))</f>
        <v/>
      </c>
      <c r="AC741" s="1405">
        <f t="array" ref="AC741">_xlfn.LET(_xlpm.S,_xlfn.ANCHORARRAY($Y$4),_xlpm.r,ROWS(stayCity[[#Headers],[city]]:stayCity[[#This Row],[city]])-1,IF(_xlpm.r&lt;=ROWS(_xlpm.S),INDEX(_xlpm.S,_xlpm.r,2),""))</f>
        <v/>
      </c>
      <c r="AD741" s="1405">
        <f t="array" ref="AD741">_xlfn.LET(_xlpm.S,_xlfn.ANCHORARRAY($Y$4),_xlpm.r,ROWS(stayCity[[#Headers],[city]]:stayCity[[#This Row],[city]])-1,IF(_xlpm.r&lt;=ROWS(_xlpm.S),INDEX(_xlpm.S,_xlpm.r,3),""))</f>
        <v/>
      </c>
      <c r="AE741" s="1400">
        <f>IF(stayCity[[#This Row],[out]]&lt;&gt;"",stayCity[[#This Row],[out]]-stayCity[[#This Row],[in]],"-")</f>
        <v/>
      </c>
      <c r="AF741" s="1406">
        <f>IF(Y741="","-",YEAR(stayCity[[#This Row],[in]]))</f>
        <v/>
      </c>
      <c r="AG741" s="1392" t="n"/>
      <c r="AH741" s="1392" t="n"/>
      <c r="AI741" s="1392" t="n"/>
      <c r="AJ741" s="1392" t="n"/>
      <c r="AK741" s="1392" t="n"/>
      <c r="AL741" s="1392" t="n"/>
      <c r="AM741" s="1392" t="n"/>
      <c r="AN741" s="1392" t="n"/>
      <c r="AO741" s="1392" t="n"/>
      <c r="AP741" s="1392" t="n"/>
      <c r="AQ741" s="1392" t="n"/>
      <c r="AR741" s="1392" t="n"/>
      <c r="AS741" s="1422" t="n"/>
      <c r="AT741" s="1392" t="n"/>
      <c r="AU741" s="1392" t="n"/>
      <c r="AV741" s="1392" t="n"/>
      <c r="AW741" s="1392" t="n"/>
      <c r="AX741" s="1392" t="n"/>
      <c r="AY741" s="1392" t="n"/>
      <c r="AZ741" s="1392" t="n"/>
      <c r="BA741" s="1392" t="n"/>
      <c r="BB741" s="1422" t="n"/>
      <c r="BC741" s="1392" t="n"/>
      <c r="BD741" s="1392" t="n"/>
      <c r="BE741" s="1392" t="n"/>
      <c r="BF741" s="1392" t="n"/>
      <c r="BG741" s="1392" t="n"/>
      <c r="BH741" s="1392" t="n"/>
      <c r="BI741" s="1392" t="n"/>
      <c r="BJ741" s="1392" t="n"/>
      <c r="BK741" s="1392" t="n"/>
      <c r="BL741" s="1392" t="n"/>
      <c r="BM741" s="1392" t="n"/>
      <c r="BN741" s="1392" t="n"/>
      <c r="BO741" s="1392" t="n"/>
      <c r="BP741" s="1392" t="n"/>
      <c r="BQ741" s="1392" t="n"/>
      <c r="BR741" s="1392" t="n"/>
      <c r="BS741" s="1392" t="n"/>
      <c r="BT741" s="1392" t="n"/>
      <c r="BU741" s="1416" t="n"/>
      <c r="BV741" s="1392" t="n"/>
      <c r="BW741" s="1392" t="n"/>
      <c r="BX741" s="1392" t="n"/>
      <c r="BY741" s="1392" t="n"/>
      <c r="BZ741" s="1416" t="n"/>
      <c r="CA741" s="1392" t="n"/>
      <c r="CB741" s="1392" t="n"/>
      <c r="CC741" s="1392" t="n"/>
      <c r="CD741" s="1392" t="n"/>
      <c r="CE741" s="1392" t="n"/>
      <c r="CF741" s="1392" t="n"/>
      <c r="CG741" s="1392" t="n"/>
      <c r="CH741" s="1392" t="n"/>
      <c r="CI741" s="1392" t="n"/>
      <c r="CJ741" s="1392" t="n"/>
      <c r="CK741" s="1392" t="n"/>
      <c r="CL741" s="1392" t="n"/>
    </row>
    <row r="742">
      <c r="A742" s="5" t="inlineStr">
        <is>
          <t>.</t>
        </is>
      </c>
      <c r="B742" s="5" t="inlineStr">
        <is>
          <t>.</t>
        </is>
      </c>
      <c r="C742" s="1378">
        <f>IF(raw[[#This Row],[city]]="","-",IF(raw[[#This Row],[city]]="TODAY","-",C741+1))</f>
        <v/>
      </c>
      <c r="D742" s="1393" t="inlineStr">
        <is>
          <t>SP</t>
        </is>
      </c>
      <c r="E742" s="1394" t="n">
        <v>37602</v>
      </c>
      <c r="F742" s="1394" t="n">
        <v>37605</v>
      </c>
      <c r="G742" s="1393" t="inlineStr">
        <is>
          <t>-</t>
        </is>
      </c>
      <c r="H742" s="1393" t="inlineStr">
        <is>
          <t>Transit</t>
        </is>
      </c>
      <c r="I742" s="1393" t="inlineStr">
        <is>
          <t>Salto Grande</t>
        </is>
      </c>
      <c r="J742" s="1393" t="inlineStr">
        <is>
          <t>-</t>
        </is>
      </c>
      <c r="K742" s="1395">
        <f>IF(raw[[#This Row],[city]]&lt;&gt;"",_xlfn.XLOOKUP($D742,ccc[city],ccc[prov],"-"),"-")</f>
        <v/>
      </c>
      <c r="L742" s="1395">
        <f>IF(raw[[#This Row],[city]]&lt;&gt;"",_xlfn.XLOOKUP($D742,ccc[city],ccc[ctry],"-"),"-")</f>
        <v/>
      </c>
      <c r="M742" s="1395">
        <f>IF(raw[[#This Row],[city]]&lt;&gt;"",_xlfn.XLOOKUP($D742,ccc[city],ccc[cont],"-"),"-")</f>
        <v/>
      </c>
      <c r="N742" s="1396">
        <f>IF(raw[[#This Row],[city]]="","-",IF(raw[[#This Row],[cont]]="B",raw[[#This Row],[cont]],"W"))</f>
        <v/>
      </c>
      <c r="O742" s="1397">
        <f>IF(raw[[#This Row],[out]]=0,0,IF(raw[[#This Row],[out]]=raw[[#This Row],[in]],0.01,raw[[#This Row],[out]]-raw[[#This Row],[in]]))</f>
        <v/>
      </c>
      <c r="P742" s="1397">
        <f>IF(raw[[#This Row],[in]]=0,0,MONTH(raw[[#This Row],[in]]))</f>
        <v/>
      </c>
      <c r="Q742" s="1397">
        <f>IF(raw[[#This Row],[in]]=0,0,YEAR(raw[[#This Row],[in]]))</f>
        <v/>
      </c>
      <c r="R742" s="1397">
        <f>INT(raw[[#This Row],[yr]]/10)*10</f>
        <v/>
      </c>
      <c r="S742" s="1395">
        <f>IF(raw[[#This Row],[city]]="","-",IF(raw[[#This Row],[city]]&lt;&gt;_xlfn.XLOOKUP(raw[[#This Row],[home]],homes[home],homes[city],"-"),1,0))</f>
        <v/>
      </c>
      <c r="T742" s="1398" t="inlineStr">
        <is>
          <t>.</t>
        </is>
      </c>
      <c r="U742" s="1399">
        <f>IF(raw[[#This Row],[wb]]="w",raw[[#This Row],[stay]]+U741,U741)</f>
        <v/>
      </c>
      <c r="V742" s="1400">
        <f>IF(raw[[#This Row],[out]]=0,V741,(raw[[#This Row],[out]]-E$5))</f>
        <v/>
      </c>
      <c r="W742" s="1401">
        <f>U742/V742</f>
        <v/>
      </c>
      <c r="X742" s="1378" t="inlineStr">
        <is>
          <t>.</t>
        </is>
      </c>
      <c r="Y742" s="1402">
        <f/>
        <v/>
      </c>
      <c r="Z742" s="1403">
        <f/>
        <v/>
      </c>
      <c r="AA742" s="1403">
        <f/>
        <v/>
      </c>
      <c r="AB742" s="1400">
        <f t="array" ref="AB742">_xlfn.LET(_xlpm.S,_xlfn.ANCHORARRAY($Y$4),_xlpm.r,ROWS(stayCity[[#Headers],[city]]:stayCity[[#This Row],[city]])-1,IF(_xlpm.r&lt;=ROWS(_xlpm.S),INDEX(_xlpm.S,_xlpm.r,1),""))</f>
        <v/>
      </c>
      <c r="AC742" s="1405">
        <f t="array" ref="AC742">_xlfn.LET(_xlpm.S,_xlfn.ANCHORARRAY($Y$4),_xlpm.r,ROWS(stayCity[[#Headers],[city]]:stayCity[[#This Row],[city]])-1,IF(_xlpm.r&lt;=ROWS(_xlpm.S),INDEX(_xlpm.S,_xlpm.r,2),""))</f>
        <v/>
      </c>
      <c r="AD742" s="1405">
        <f t="array" ref="AD742">_xlfn.LET(_xlpm.S,_xlfn.ANCHORARRAY($Y$4),_xlpm.r,ROWS(stayCity[[#Headers],[city]]:stayCity[[#This Row],[city]])-1,IF(_xlpm.r&lt;=ROWS(_xlpm.S),INDEX(_xlpm.S,_xlpm.r,3),""))</f>
        <v/>
      </c>
      <c r="AE742" s="1400">
        <f>IF(stayCity[[#This Row],[out]]&lt;&gt;"",stayCity[[#This Row],[out]]-stayCity[[#This Row],[in]],"-")</f>
        <v/>
      </c>
      <c r="AF742" s="1406">
        <f>IF(Y742="","-",YEAR(stayCity[[#This Row],[in]]))</f>
        <v/>
      </c>
      <c r="AG742" s="1392" t="n"/>
      <c r="AH742" s="1392" t="n"/>
      <c r="AI742" s="1392" t="n"/>
      <c r="AJ742" s="1392" t="n"/>
      <c r="AK742" s="1392" t="n"/>
      <c r="AL742" s="1392" t="n"/>
      <c r="AM742" s="1392" t="n"/>
      <c r="AN742" s="1392" t="n"/>
      <c r="AO742" s="1392" t="n"/>
      <c r="AP742" s="1392" t="n"/>
      <c r="AQ742" s="1392" t="n"/>
      <c r="AR742" s="1392" t="n"/>
      <c r="AS742" s="1422" t="n"/>
      <c r="AT742" s="1392" t="n"/>
      <c r="AU742" s="1392" t="n"/>
      <c r="AV742" s="1392" t="n"/>
      <c r="AW742" s="1392" t="n"/>
      <c r="AX742" s="1392" t="n"/>
      <c r="AY742" s="1392" t="n"/>
      <c r="AZ742" s="1392" t="n"/>
      <c r="BA742" s="1392" t="n"/>
      <c r="BB742" s="1422" t="n"/>
      <c r="BC742" s="1392" t="n"/>
      <c r="BD742" s="1392" t="n"/>
      <c r="BE742" s="1392" t="n"/>
      <c r="BF742" s="1392" t="n"/>
      <c r="BG742" s="1392" t="n"/>
      <c r="BH742" s="1392" t="n"/>
      <c r="BI742" s="1392" t="n"/>
      <c r="BJ742" s="1392" t="n"/>
      <c r="BK742" s="1392" t="n"/>
      <c r="BL742" s="1392" t="n"/>
      <c r="BM742" s="1392" t="n"/>
      <c r="BN742" s="1392" t="n"/>
      <c r="BO742" s="1392" t="n"/>
      <c r="BP742" s="1392" t="n"/>
      <c r="BQ742" s="1392" t="n"/>
      <c r="BR742" s="1392" t="n"/>
      <c r="BS742" s="1392" t="n"/>
      <c r="BT742" s="1392" t="n"/>
      <c r="BU742" s="1416" t="n"/>
      <c r="BV742" s="1392" t="n"/>
      <c r="BW742" s="1392" t="n"/>
      <c r="BX742" s="1392" t="n"/>
      <c r="BY742" s="1392" t="n"/>
      <c r="BZ742" s="1416" t="n"/>
      <c r="CA742" s="1392" t="n"/>
      <c r="CB742" s="1392" t="n"/>
      <c r="CC742" s="1392" t="n"/>
      <c r="CD742" s="1392" t="n"/>
      <c r="CE742" s="1392" t="n"/>
      <c r="CF742" s="1392" t="n"/>
      <c r="CG742" s="1392" t="n"/>
      <c r="CH742" s="1392" t="n"/>
      <c r="CI742" s="1392" t="n"/>
      <c r="CJ742" s="1392" t="n"/>
      <c r="CK742" s="1392" t="n"/>
      <c r="CL742" s="1392" t="n"/>
    </row>
    <row r="743">
      <c r="A743" s="5" t="inlineStr">
        <is>
          <t>.</t>
        </is>
      </c>
      <c r="B743" s="5" t="inlineStr">
        <is>
          <t>.</t>
        </is>
      </c>
      <c r="C743" s="1378">
        <f>IF(raw[[#This Row],[city]]="","-",IF(raw[[#This Row],[city]]="TODAY","-",C742+1))</f>
        <v/>
      </c>
      <c r="D743" s="1393" t="inlineStr">
        <is>
          <t>Guaecá</t>
        </is>
      </c>
      <c r="E743" s="1394" t="n">
        <v>37605</v>
      </c>
      <c r="F743" s="1394" t="n">
        <v>37608</v>
      </c>
      <c r="G743" s="1393" t="inlineStr">
        <is>
          <t>-</t>
        </is>
      </c>
      <c r="H743" s="1393" t="inlineStr">
        <is>
          <t>Transit</t>
        </is>
      </c>
      <c r="I743" s="1393" t="inlineStr">
        <is>
          <t>Guaecá</t>
        </is>
      </c>
      <c r="J743" s="1393" t="inlineStr">
        <is>
          <t>-</t>
        </is>
      </c>
      <c r="K743" s="1395">
        <f>IF(raw[[#This Row],[city]]&lt;&gt;"",_xlfn.XLOOKUP($D743,ccc[city],ccc[prov],"-"),"-")</f>
        <v/>
      </c>
      <c r="L743" s="1395">
        <f>IF(raw[[#This Row],[city]]&lt;&gt;"",_xlfn.XLOOKUP($D743,ccc[city],ccc[ctry],"-"),"-")</f>
        <v/>
      </c>
      <c r="M743" s="1395">
        <f>IF(raw[[#This Row],[city]]&lt;&gt;"",_xlfn.XLOOKUP($D743,ccc[city],ccc[cont],"-"),"-")</f>
        <v/>
      </c>
      <c r="N743" s="1396">
        <f>IF(raw[[#This Row],[city]]="","-",IF(raw[[#This Row],[cont]]="B",raw[[#This Row],[cont]],"W"))</f>
        <v/>
      </c>
      <c r="O743" s="1397">
        <f>IF(raw[[#This Row],[out]]=0,0,IF(raw[[#This Row],[out]]=raw[[#This Row],[in]],0.01,raw[[#This Row],[out]]-raw[[#This Row],[in]]))</f>
        <v/>
      </c>
      <c r="P743" s="1397">
        <f>IF(raw[[#This Row],[in]]=0,0,MONTH(raw[[#This Row],[in]]))</f>
        <v/>
      </c>
      <c r="Q743" s="1397">
        <f>IF(raw[[#This Row],[in]]=0,0,YEAR(raw[[#This Row],[in]]))</f>
        <v/>
      </c>
      <c r="R743" s="1397">
        <f>INT(raw[[#This Row],[yr]]/10)*10</f>
        <v/>
      </c>
      <c r="S743" s="1395">
        <f>IF(raw[[#This Row],[city]]="","-",IF(raw[[#This Row],[city]]&lt;&gt;_xlfn.XLOOKUP(raw[[#This Row],[home]],homes[home],homes[city],"-"),1,0))</f>
        <v/>
      </c>
      <c r="T743" s="1398" t="inlineStr">
        <is>
          <t>.</t>
        </is>
      </c>
      <c r="U743" s="1399">
        <f>IF(raw[[#This Row],[wb]]="w",raw[[#This Row],[stay]]+U742,U742)</f>
        <v/>
      </c>
      <c r="V743" s="1400">
        <f>IF(raw[[#This Row],[out]]=0,V742,(raw[[#This Row],[out]]-E$5))</f>
        <v/>
      </c>
      <c r="W743" s="1401">
        <f>U743/V743</f>
        <v/>
      </c>
      <c r="X743" s="1378" t="inlineStr">
        <is>
          <t>.</t>
        </is>
      </c>
      <c r="Y743" s="1402">
        <f/>
        <v/>
      </c>
      <c r="Z743" s="1403">
        <f/>
        <v/>
      </c>
      <c r="AA743" s="1403">
        <f/>
        <v/>
      </c>
      <c r="AB743" s="1400">
        <f t="array" ref="AB743">_xlfn.LET(_xlpm.S,_xlfn.ANCHORARRAY($Y$4),_xlpm.r,ROWS(stayCity[[#Headers],[city]]:stayCity[[#This Row],[city]])-1,IF(_xlpm.r&lt;=ROWS(_xlpm.S),INDEX(_xlpm.S,_xlpm.r,1),""))</f>
        <v/>
      </c>
      <c r="AC743" s="1405">
        <f t="array" ref="AC743">_xlfn.LET(_xlpm.S,_xlfn.ANCHORARRAY($Y$4),_xlpm.r,ROWS(stayCity[[#Headers],[city]]:stayCity[[#This Row],[city]])-1,IF(_xlpm.r&lt;=ROWS(_xlpm.S),INDEX(_xlpm.S,_xlpm.r,2),""))</f>
        <v/>
      </c>
      <c r="AD743" s="1405">
        <f t="array" ref="AD743">_xlfn.LET(_xlpm.S,_xlfn.ANCHORARRAY($Y$4),_xlpm.r,ROWS(stayCity[[#Headers],[city]]:stayCity[[#This Row],[city]])-1,IF(_xlpm.r&lt;=ROWS(_xlpm.S),INDEX(_xlpm.S,_xlpm.r,3),""))</f>
        <v/>
      </c>
      <c r="AE743" s="1400">
        <f>IF(stayCity[[#This Row],[out]]&lt;&gt;"",stayCity[[#This Row],[out]]-stayCity[[#This Row],[in]],"-")</f>
        <v/>
      </c>
      <c r="AF743" s="1406">
        <f>IF(Y743="","-",YEAR(stayCity[[#This Row],[in]]))</f>
        <v/>
      </c>
      <c r="AG743" s="1392" t="n"/>
      <c r="AH743" s="1392" t="n"/>
      <c r="AI743" s="1392" t="n"/>
      <c r="AJ743" s="1392" t="n"/>
      <c r="AK743" s="1392" t="n"/>
      <c r="AL743" s="1392" t="n"/>
      <c r="AM743" s="1392" t="n"/>
      <c r="AN743" s="1392" t="n"/>
      <c r="AO743" s="1392" t="n"/>
      <c r="AP743" s="1392" t="n"/>
      <c r="AQ743" s="1392" t="n"/>
      <c r="AR743" s="1392" t="n"/>
      <c r="AS743" s="1422" t="n"/>
      <c r="AT743" s="1392" t="n"/>
      <c r="AU743" s="1392" t="n"/>
      <c r="AV743" s="1392" t="n"/>
      <c r="AW743" s="1392" t="n"/>
      <c r="AX743" s="1392" t="n"/>
      <c r="AY743" s="1392" t="n"/>
      <c r="AZ743" s="1392" t="n"/>
      <c r="BA743" s="1392" t="n"/>
      <c r="BB743" s="1422" t="n"/>
      <c r="BC743" s="1392" t="n"/>
      <c r="BD743" s="1392" t="n"/>
      <c r="BE743" s="1392" t="n"/>
      <c r="BF743" s="1392" t="n"/>
      <c r="BG743" s="1392" t="n"/>
      <c r="BH743" s="1392" t="n"/>
      <c r="BI743" s="1392" t="n"/>
      <c r="BJ743" s="1392" t="n"/>
      <c r="BK743" s="1392" t="n"/>
      <c r="BL743" s="1392" t="n"/>
      <c r="BM743" s="1392" t="n"/>
      <c r="BN743" s="1392" t="n"/>
      <c r="BO743" s="1392" t="n"/>
      <c r="BP743" s="1392" t="n"/>
      <c r="BQ743" s="1392" t="n"/>
      <c r="BR743" s="1392" t="n"/>
      <c r="BS743" s="1392" t="n"/>
      <c r="BT743" s="1392" t="n"/>
      <c r="BU743" s="1416" t="n"/>
      <c r="BV743" s="1392" t="n"/>
      <c r="BW743" s="1392" t="n"/>
      <c r="BX743" s="1392" t="n"/>
      <c r="BY743" s="1392" t="n"/>
      <c r="BZ743" s="1416" t="n"/>
      <c r="CA743" s="1392" t="n"/>
      <c r="CB743" s="1392" t="n"/>
      <c r="CC743" s="1392" t="n"/>
      <c r="CD743" s="1392" t="n"/>
      <c r="CE743" s="1392" t="n"/>
      <c r="CF743" s="1392" t="n"/>
      <c r="CG743" s="1392" t="n"/>
      <c r="CH743" s="1392" t="n"/>
      <c r="CI743" s="1392" t="n"/>
      <c r="CJ743" s="1392" t="n"/>
      <c r="CK743" s="1392" t="n"/>
      <c r="CL743" s="1392" t="n"/>
    </row>
    <row r="744">
      <c r="A744" s="5" t="inlineStr">
        <is>
          <t>.</t>
        </is>
      </c>
      <c r="B744" s="5" t="inlineStr">
        <is>
          <t>.</t>
        </is>
      </c>
      <c r="C744" s="1378">
        <f>IF(raw[[#This Row],[city]]="","-",IF(raw[[#This Row],[city]]="TODAY","-",C743+1))</f>
        <v/>
      </c>
      <c r="D744" s="1393" t="inlineStr">
        <is>
          <t>SP</t>
        </is>
      </c>
      <c r="E744" s="1394" t="n">
        <v>37608</v>
      </c>
      <c r="F744" s="1394" t="n">
        <v>37609</v>
      </c>
      <c r="G744" s="1393" t="n">
        <v>1</v>
      </c>
      <c r="H744" s="1393" t="inlineStr">
        <is>
          <t>Transit</t>
        </is>
      </c>
      <c r="I744" s="1393" t="inlineStr">
        <is>
          <t>Salto Grande</t>
        </is>
      </c>
      <c r="J744" s="1393" t="inlineStr">
        <is>
          <t>-</t>
        </is>
      </c>
      <c r="K744" s="1395">
        <f>IF(raw[[#This Row],[city]]&lt;&gt;"",_xlfn.XLOOKUP($D744,ccc[city],ccc[prov],"-"),"-")</f>
        <v/>
      </c>
      <c r="L744" s="1395">
        <f>IF(raw[[#This Row],[city]]&lt;&gt;"",_xlfn.XLOOKUP($D744,ccc[city],ccc[ctry],"-"),"-")</f>
        <v/>
      </c>
      <c r="M744" s="1395">
        <f>IF(raw[[#This Row],[city]]&lt;&gt;"",_xlfn.XLOOKUP($D744,ccc[city],ccc[cont],"-"),"-")</f>
        <v/>
      </c>
      <c r="N744" s="1396">
        <f>IF(raw[[#This Row],[city]]="","-",IF(raw[[#This Row],[cont]]="B",raw[[#This Row],[cont]],"W"))</f>
        <v/>
      </c>
      <c r="O744" s="1397">
        <f>IF(raw[[#This Row],[out]]=0,0,IF(raw[[#This Row],[out]]=raw[[#This Row],[in]],0.01,raw[[#This Row],[out]]-raw[[#This Row],[in]]))</f>
        <v/>
      </c>
      <c r="P744" s="1397">
        <f>IF(raw[[#This Row],[in]]=0,0,MONTH(raw[[#This Row],[in]]))</f>
        <v/>
      </c>
      <c r="Q744" s="1397">
        <f>IF(raw[[#This Row],[in]]=0,0,YEAR(raw[[#This Row],[in]]))</f>
        <v/>
      </c>
      <c r="R744" s="1397">
        <f>INT(raw[[#This Row],[yr]]/10)*10</f>
        <v/>
      </c>
      <c r="S744" s="1395">
        <f>IF(raw[[#This Row],[city]]="","-",IF(raw[[#This Row],[city]]&lt;&gt;_xlfn.XLOOKUP(raw[[#This Row],[home]],homes[home],homes[city],"-"),1,0))</f>
        <v/>
      </c>
      <c r="T744" s="1398" t="inlineStr">
        <is>
          <t>.</t>
        </is>
      </c>
      <c r="U744" s="1399">
        <f>IF(raw[[#This Row],[wb]]="w",raw[[#This Row],[stay]]+U743,U743)</f>
        <v/>
      </c>
      <c r="V744" s="1400">
        <f>IF(raw[[#This Row],[out]]=0,V743,(raw[[#This Row],[out]]-E$5))</f>
        <v/>
      </c>
      <c r="W744" s="1401">
        <f>U744/V744</f>
        <v/>
      </c>
      <c r="X744" s="1378" t="inlineStr">
        <is>
          <t>.</t>
        </is>
      </c>
      <c r="Y744" s="1402">
        <f/>
        <v/>
      </c>
      <c r="Z744" s="1403">
        <f/>
        <v/>
      </c>
      <c r="AA744" s="1403">
        <f/>
        <v/>
      </c>
      <c r="AB744" s="1400">
        <f t="array" ref="AB744">_xlfn.LET(_xlpm.S,_xlfn.ANCHORARRAY($Y$4),_xlpm.r,ROWS(stayCity[[#Headers],[city]]:stayCity[[#This Row],[city]])-1,IF(_xlpm.r&lt;=ROWS(_xlpm.S),INDEX(_xlpm.S,_xlpm.r,1),""))</f>
        <v/>
      </c>
      <c r="AC744" s="1405">
        <f t="array" ref="AC744">_xlfn.LET(_xlpm.S,_xlfn.ANCHORARRAY($Y$4),_xlpm.r,ROWS(stayCity[[#Headers],[city]]:stayCity[[#This Row],[city]])-1,IF(_xlpm.r&lt;=ROWS(_xlpm.S),INDEX(_xlpm.S,_xlpm.r,2),""))</f>
        <v/>
      </c>
      <c r="AD744" s="1405">
        <f t="array" ref="AD744">_xlfn.LET(_xlpm.S,_xlfn.ANCHORARRAY($Y$4),_xlpm.r,ROWS(stayCity[[#Headers],[city]]:stayCity[[#This Row],[city]])-1,IF(_xlpm.r&lt;=ROWS(_xlpm.S),INDEX(_xlpm.S,_xlpm.r,3),""))</f>
        <v/>
      </c>
      <c r="AE744" s="1400">
        <f>IF(stayCity[[#This Row],[out]]&lt;&gt;"",stayCity[[#This Row],[out]]-stayCity[[#This Row],[in]],"-")</f>
        <v/>
      </c>
      <c r="AF744" s="1406">
        <f>IF(Y744="","-",YEAR(stayCity[[#This Row],[in]]))</f>
        <v/>
      </c>
      <c r="AG744" s="1392" t="n"/>
      <c r="AH744" s="1392" t="n"/>
      <c r="AI744" s="1392" t="n"/>
      <c r="AJ744" s="1392" t="n"/>
      <c r="AK744" s="1392" t="n"/>
      <c r="AL744" s="1392" t="n"/>
      <c r="AM744" s="1392" t="n"/>
      <c r="AN744" s="1392" t="n"/>
      <c r="AO744" s="1392" t="n"/>
      <c r="AP744" s="1392" t="n"/>
      <c r="AQ744" s="1392" t="n"/>
      <c r="AR744" s="1392" t="n"/>
      <c r="AS744" s="1422" t="n"/>
      <c r="AT744" s="1392" t="n"/>
      <c r="AU744" s="1392" t="n"/>
      <c r="AV744" s="1392" t="n"/>
      <c r="AW744" s="1392" t="n"/>
      <c r="AX744" s="1392" t="n"/>
      <c r="AY744" s="1392" t="n"/>
      <c r="AZ744" s="1392" t="n"/>
      <c r="BA744" s="1392" t="n"/>
      <c r="BB744" s="1422" t="n"/>
      <c r="BC744" s="1392" t="n"/>
      <c r="BD744" s="1392" t="n"/>
      <c r="BE744" s="1392" t="n"/>
      <c r="BF744" s="1392" t="n"/>
      <c r="BG744" s="1392" t="n"/>
      <c r="BH744" s="1392" t="n"/>
      <c r="BI744" s="1392" t="n"/>
      <c r="BJ744" s="1392" t="n"/>
      <c r="BK744" s="1392" t="n"/>
      <c r="BL744" s="1392" t="n"/>
      <c r="BM744" s="1392" t="n"/>
      <c r="BN744" s="1392" t="n"/>
      <c r="BO744" s="1392" t="n"/>
      <c r="BP744" s="1392" t="n"/>
      <c r="BQ744" s="1392" t="n"/>
      <c r="BR744" s="1392" t="n"/>
      <c r="BS744" s="1392" t="n"/>
      <c r="BT744" s="1392" t="n"/>
      <c r="BU744" s="1416" t="n"/>
      <c r="BV744" s="1392" t="n"/>
      <c r="BW744" s="1392" t="n"/>
      <c r="BX744" s="1392" t="n"/>
      <c r="BY744" s="1392" t="n"/>
      <c r="BZ744" s="1416" t="n"/>
      <c r="CA744" s="1392" t="n"/>
      <c r="CB744" s="1392" t="n"/>
      <c r="CC744" s="1392" t="n"/>
      <c r="CD744" s="1392" t="n"/>
      <c r="CE744" s="1392" t="n"/>
      <c r="CF744" s="1392" t="n"/>
      <c r="CG744" s="1392" t="n"/>
      <c r="CH744" s="1392" t="n"/>
      <c r="CI744" s="1392" t="n"/>
      <c r="CJ744" s="1392" t="n"/>
      <c r="CK744" s="1392" t="n"/>
      <c r="CL744" s="1392" t="n"/>
    </row>
    <row r="745">
      <c r="A745" s="5" t="inlineStr">
        <is>
          <t>.</t>
        </is>
      </c>
      <c r="B745" s="5" t="inlineStr">
        <is>
          <t>.</t>
        </is>
      </c>
      <c r="C745" s="1378">
        <f>IF(raw[[#This Row],[city]]="","-",IF(raw[[#This Row],[city]]="TODAY","-",C744+1))</f>
        <v/>
      </c>
      <c r="D745" s="1393" t="inlineStr">
        <is>
          <t>Rio</t>
        </is>
      </c>
      <c r="E745" s="1394" t="n">
        <v>37609</v>
      </c>
      <c r="F745" s="1394" t="n">
        <v>37611</v>
      </c>
      <c r="G745" s="1393" t="inlineStr">
        <is>
          <t>-</t>
        </is>
      </c>
      <c r="H745" s="1393" t="inlineStr">
        <is>
          <t>Transit</t>
        </is>
      </c>
      <c r="I745" s="1393" t="inlineStr">
        <is>
          <t>-</t>
        </is>
      </c>
      <c r="J745" s="1393" t="inlineStr">
        <is>
          <t>-</t>
        </is>
      </c>
      <c r="K745" s="1395">
        <f>IF(raw[[#This Row],[city]]&lt;&gt;"",_xlfn.XLOOKUP($D745,ccc[city],ccc[prov],"-"),"-")</f>
        <v/>
      </c>
      <c r="L745" s="1395">
        <f>IF(raw[[#This Row],[city]]&lt;&gt;"",_xlfn.XLOOKUP($D745,ccc[city],ccc[ctry],"-"),"-")</f>
        <v/>
      </c>
      <c r="M745" s="1395">
        <f>IF(raw[[#This Row],[city]]&lt;&gt;"",_xlfn.XLOOKUP($D745,ccc[city],ccc[cont],"-"),"-")</f>
        <v/>
      </c>
      <c r="N745" s="1396">
        <f>IF(raw[[#This Row],[city]]="","-",IF(raw[[#This Row],[cont]]="B",raw[[#This Row],[cont]],"W"))</f>
        <v/>
      </c>
      <c r="O745" s="1397">
        <f>IF(raw[[#This Row],[out]]=0,0,IF(raw[[#This Row],[out]]=raw[[#This Row],[in]],0.01,raw[[#This Row],[out]]-raw[[#This Row],[in]]))</f>
        <v/>
      </c>
      <c r="P745" s="1397">
        <f>IF(raw[[#This Row],[in]]=0,0,MONTH(raw[[#This Row],[in]]))</f>
        <v/>
      </c>
      <c r="Q745" s="1397">
        <f>IF(raw[[#This Row],[in]]=0,0,YEAR(raw[[#This Row],[in]]))</f>
        <v/>
      </c>
      <c r="R745" s="1397">
        <f>INT(raw[[#This Row],[yr]]/10)*10</f>
        <v/>
      </c>
      <c r="S745" s="1395">
        <f>IF(raw[[#This Row],[city]]="","-",IF(raw[[#This Row],[city]]&lt;&gt;_xlfn.XLOOKUP(raw[[#This Row],[home]],homes[home],homes[city],"-"),1,0))</f>
        <v/>
      </c>
      <c r="T745" s="1398" t="inlineStr">
        <is>
          <t>.</t>
        </is>
      </c>
      <c r="U745" s="1399">
        <f>IF(raw[[#This Row],[wb]]="w",raw[[#This Row],[stay]]+U744,U744)</f>
        <v/>
      </c>
      <c r="V745" s="1400">
        <f>IF(raw[[#This Row],[out]]=0,V744,(raw[[#This Row],[out]]-E$5))</f>
        <v/>
      </c>
      <c r="W745" s="1401">
        <f>U745/V745</f>
        <v/>
      </c>
      <c r="X745" s="1378" t="inlineStr">
        <is>
          <t>.</t>
        </is>
      </c>
      <c r="Y745" s="1402">
        <f/>
        <v/>
      </c>
      <c r="Z745" s="1403">
        <f/>
        <v/>
      </c>
      <c r="AA745" s="1403">
        <f/>
        <v/>
      </c>
      <c r="AB745" s="1400">
        <f t="array" ref="AB745">_xlfn.LET(_xlpm.S,_xlfn.ANCHORARRAY($Y$4),_xlpm.r,ROWS(stayCity[[#Headers],[city]]:stayCity[[#This Row],[city]])-1,IF(_xlpm.r&lt;=ROWS(_xlpm.S),INDEX(_xlpm.S,_xlpm.r,1),""))</f>
        <v/>
      </c>
      <c r="AC745" s="1405">
        <f t="array" ref="AC745">_xlfn.LET(_xlpm.S,_xlfn.ANCHORARRAY($Y$4),_xlpm.r,ROWS(stayCity[[#Headers],[city]]:stayCity[[#This Row],[city]])-1,IF(_xlpm.r&lt;=ROWS(_xlpm.S),INDEX(_xlpm.S,_xlpm.r,2),""))</f>
        <v/>
      </c>
      <c r="AD745" s="1405">
        <f t="array" ref="AD745">_xlfn.LET(_xlpm.S,_xlfn.ANCHORARRAY($Y$4),_xlpm.r,ROWS(stayCity[[#Headers],[city]]:stayCity[[#This Row],[city]])-1,IF(_xlpm.r&lt;=ROWS(_xlpm.S),INDEX(_xlpm.S,_xlpm.r,3),""))</f>
        <v/>
      </c>
      <c r="AE745" s="1400">
        <f>IF(stayCity[[#This Row],[out]]&lt;&gt;"",stayCity[[#This Row],[out]]-stayCity[[#This Row],[in]],"-")</f>
        <v/>
      </c>
      <c r="AF745" s="1406">
        <f>IF(Y745="","-",YEAR(stayCity[[#This Row],[in]]))</f>
        <v/>
      </c>
      <c r="AG745" s="1392" t="n"/>
      <c r="AH745" s="1392" t="n"/>
      <c r="AI745" s="1392" t="n"/>
      <c r="AJ745" s="1392" t="n"/>
      <c r="AK745" s="1392" t="n"/>
      <c r="AL745" s="1392" t="n"/>
      <c r="AM745" s="1392" t="n"/>
      <c r="AN745" s="1392" t="n"/>
      <c r="AO745" s="1392" t="n"/>
      <c r="AP745" s="1392" t="n"/>
      <c r="AQ745" s="1392" t="n"/>
      <c r="AR745" s="1392" t="n"/>
      <c r="AS745" s="1422" t="n"/>
      <c r="AT745" s="1392" t="n"/>
      <c r="AU745" s="1392" t="n"/>
      <c r="AV745" s="1392" t="n"/>
      <c r="AW745" s="1392" t="n"/>
      <c r="AX745" s="1392" t="n"/>
      <c r="AY745" s="1392" t="n"/>
      <c r="AZ745" s="1392" t="n"/>
      <c r="BA745" s="1392" t="n"/>
      <c r="BB745" s="1422" t="n"/>
      <c r="BC745" s="1392" t="n"/>
      <c r="BD745" s="1392" t="n"/>
      <c r="BE745" s="1392" t="n"/>
      <c r="BF745" s="1392" t="n"/>
      <c r="BG745" s="1392" t="n"/>
      <c r="BH745" s="1392" t="n"/>
      <c r="BI745" s="1392" t="n"/>
      <c r="BJ745" s="1392" t="n"/>
      <c r="BK745" s="1392" t="n"/>
      <c r="BL745" s="1392" t="n"/>
      <c r="BM745" s="1392" t="n"/>
      <c r="BN745" s="1392" t="n"/>
      <c r="BO745" s="1392" t="n"/>
      <c r="BP745" s="1392" t="n"/>
      <c r="BQ745" s="1392" t="n"/>
      <c r="BR745" s="1392" t="n"/>
      <c r="BS745" s="1392" t="n"/>
      <c r="BT745" s="1392" t="n"/>
      <c r="BU745" s="1416" t="n"/>
      <c r="BV745" s="1392" t="n"/>
      <c r="BW745" s="1392" t="n"/>
      <c r="BX745" s="1392" t="n"/>
      <c r="BY745" s="1392" t="n"/>
      <c r="BZ745" s="1416" t="n"/>
      <c r="CA745" s="1392" t="n"/>
      <c r="CB745" s="1392" t="n"/>
      <c r="CC745" s="1392" t="n"/>
      <c r="CD745" s="1392" t="n"/>
      <c r="CE745" s="1392" t="n"/>
      <c r="CF745" s="1392" t="n"/>
      <c r="CG745" s="1392" t="n"/>
      <c r="CH745" s="1392" t="n"/>
      <c r="CI745" s="1392" t="n"/>
      <c r="CJ745" s="1392" t="n"/>
      <c r="CK745" s="1392" t="n"/>
      <c r="CL745" s="1392" t="n"/>
    </row>
    <row r="746">
      <c r="A746" s="5" t="inlineStr">
        <is>
          <t>.</t>
        </is>
      </c>
      <c r="B746" s="5" t="inlineStr">
        <is>
          <t>.</t>
        </is>
      </c>
      <c r="C746" s="1378">
        <f>IF(raw[[#This Row],[city]]="","-",IF(raw[[#This Row],[city]]="TODAY","-",C745+1))</f>
        <v/>
      </c>
      <c r="D746" s="1393" t="inlineStr">
        <is>
          <t>SSA</t>
        </is>
      </c>
      <c r="E746" s="1394" t="n">
        <v>37611</v>
      </c>
      <c r="F746" s="1394" t="n">
        <v>37616</v>
      </c>
      <c r="G746" s="1393" t="inlineStr">
        <is>
          <t>-</t>
        </is>
      </c>
      <c r="H746" s="1393" t="inlineStr">
        <is>
          <t>Ondina</t>
        </is>
      </c>
      <c r="I746" s="1393" t="inlineStr">
        <is>
          <t>-</t>
        </is>
      </c>
      <c r="J746" s="1393" t="inlineStr">
        <is>
          <t>-</t>
        </is>
      </c>
      <c r="K746" s="1395">
        <f>IF(raw[[#This Row],[city]]&lt;&gt;"",_xlfn.XLOOKUP($D746,ccc[city],ccc[prov],"-"),"-")</f>
        <v/>
      </c>
      <c r="L746" s="1395">
        <f>IF(raw[[#This Row],[city]]&lt;&gt;"",_xlfn.XLOOKUP($D746,ccc[city],ccc[ctry],"-"),"-")</f>
        <v/>
      </c>
      <c r="M746" s="1395">
        <f>IF(raw[[#This Row],[city]]&lt;&gt;"",_xlfn.XLOOKUP($D746,ccc[city],ccc[cont],"-"),"-")</f>
        <v/>
      </c>
      <c r="N746" s="1396">
        <f>IF(raw[[#This Row],[city]]="","-",IF(raw[[#This Row],[cont]]="B",raw[[#This Row],[cont]],"W"))</f>
        <v/>
      </c>
      <c r="O746" s="1397">
        <f>IF(raw[[#This Row],[out]]=0,0,IF(raw[[#This Row],[out]]=raw[[#This Row],[in]],0.01,raw[[#This Row],[out]]-raw[[#This Row],[in]]))</f>
        <v/>
      </c>
      <c r="P746" s="1397">
        <f>IF(raw[[#This Row],[in]]=0,0,MONTH(raw[[#This Row],[in]]))</f>
        <v/>
      </c>
      <c r="Q746" s="1397">
        <f>IF(raw[[#This Row],[in]]=0,0,YEAR(raw[[#This Row],[in]]))</f>
        <v/>
      </c>
      <c r="R746" s="1397">
        <f>INT(raw[[#This Row],[yr]]/10)*10</f>
        <v/>
      </c>
      <c r="S746" s="1395">
        <f>IF(raw[[#This Row],[city]]="","-",IF(raw[[#This Row],[city]]&lt;&gt;_xlfn.XLOOKUP(raw[[#This Row],[home]],homes[home],homes[city],"-"),1,0))</f>
        <v/>
      </c>
      <c r="T746" s="1398" t="inlineStr">
        <is>
          <t>.</t>
        </is>
      </c>
      <c r="U746" s="1399">
        <f>IF(raw[[#This Row],[wb]]="w",raw[[#This Row],[stay]]+U745,U745)</f>
        <v/>
      </c>
      <c r="V746" s="1400">
        <f>IF(raw[[#This Row],[out]]=0,V745,(raw[[#This Row],[out]]-E$5))</f>
        <v/>
      </c>
      <c r="W746" s="1401">
        <f>U746/V746</f>
        <v/>
      </c>
      <c r="X746" s="1378" t="inlineStr">
        <is>
          <t>.</t>
        </is>
      </c>
      <c r="Y746" s="1402">
        <f/>
        <v/>
      </c>
      <c r="Z746" s="1403">
        <f/>
        <v/>
      </c>
      <c r="AA746" s="1403">
        <f/>
        <v/>
      </c>
      <c r="AB746" s="1400">
        <f t="array" ref="AB746">_xlfn.LET(_xlpm.S,_xlfn.ANCHORARRAY($Y$4),_xlpm.r,ROWS(stayCity[[#Headers],[city]]:stayCity[[#This Row],[city]])-1,IF(_xlpm.r&lt;=ROWS(_xlpm.S),INDEX(_xlpm.S,_xlpm.r,1),""))</f>
        <v/>
      </c>
      <c r="AC746" s="1405">
        <f t="array" ref="AC746">_xlfn.LET(_xlpm.S,_xlfn.ANCHORARRAY($Y$4),_xlpm.r,ROWS(stayCity[[#Headers],[city]]:stayCity[[#This Row],[city]])-1,IF(_xlpm.r&lt;=ROWS(_xlpm.S),INDEX(_xlpm.S,_xlpm.r,2),""))</f>
        <v/>
      </c>
      <c r="AD746" s="1405">
        <f t="array" ref="AD746">_xlfn.LET(_xlpm.S,_xlfn.ANCHORARRAY($Y$4),_xlpm.r,ROWS(stayCity[[#Headers],[city]]:stayCity[[#This Row],[city]])-1,IF(_xlpm.r&lt;=ROWS(_xlpm.S),INDEX(_xlpm.S,_xlpm.r,3),""))</f>
        <v/>
      </c>
      <c r="AE746" s="1400">
        <f>IF(stayCity[[#This Row],[out]]&lt;&gt;"",stayCity[[#This Row],[out]]-stayCity[[#This Row],[in]],"-")</f>
        <v/>
      </c>
      <c r="AF746" s="1406">
        <f>IF(Y746="","-",YEAR(stayCity[[#This Row],[in]]))</f>
        <v/>
      </c>
      <c r="AG746" s="1392" t="n"/>
      <c r="AH746" s="1392" t="n"/>
      <c r="AI746" s="1392" t="n"/>
      <c r="AJ746" s="1392" t="n"/>
      <c r="AK746" s="1392" t="n"/>
      <c r="AL746" s="1392" t="n"/>
      <c r="AM746" s="1392" t="n"/>
      <c r="AN746" s="1392" t="n"/>
      <c r="AO746" s="1392" t="n"/>
      <c r="AP746" s="1392" t="n"/>
      <c r="AQ746" s="1392" t="n"/>
      <c r="AR746" s="1392" t="n"/>
      <c r="AS746" s="1422" t="n"/>
      <c r="AT746" s="1392" t="n"/>
      <c r="AU746" s="1392" t="n"/>
      <c r="AV746" s="1392" t="n"/>
      <c r="AW746" s="1392" t="n"/>
      <c r="AX746" s="1392" t="n"/>
      <c r="AY746" s="1392" t="n"/>
      <c r="AZ746" s="1392" t="n"/>
      <c r="BA746" s="1392" t="n"/>
      <c r="BB746" s="1422" t="n"/>
      <c r="BC746" s="1392" t="n"/>
      <c r="BD746" s="1392" t="n"/>
      <c r="BE746" s="1392" t="n"/>
      <c r="BF746" s="1392" t="n"/>
      <c r="BG746" s="1392" t="n"/>
      <c r="BH746" s="1392" t="n"/>
      <c r="BI746" s="1392" t="n"/>
      <c r="BJ746" s="1392" t="n"/>
      <c r="BK746" s="1392" t="n"/>
      <c r="BL746" s="1392" t="n"/>
      <c r="BM746" s="1392" t="n"/>
      <c r="BN746" s="1392" t="n"/>
      <c r="BO746" s="1392" t="n"/>
      <c r="BP746" s="1392" t="n"/>
      <c r="BQ746" s="1392" t="n"/>
      <c r="BR746" s="1392" t="n"/>
      <c r="BS746" s="1392" t="n"/>
      <c r="BT746" s="1392" t="n"/>
      <c r="BU746" s="1416" t="n"/>
      <c r="BV746" s="1392" t="n"/>
      <c r="BW746" s="1392" t="n"/>
      <c r="BX746" s="1392" t="n"/>
      <c r="BY746" s="1392" t="n"/>
      <c r="BZ746" s="1416" t="n"/>
      <c r="CA746" s="1392" t="n"/>
      <c r="CB746" s="1392" t="n"/>
      <c r="CC746" s="1392" t="n"/>
      <c r="CD746" s="1392" t="n"/>
      <c r="CE746" s="1392" t="n"/>
      <c r="CF746" s="1392" t="n"/>
      <c r="CG746" s="1392" t="n"/>
      <c r="CH746" s="1392" t="n"/>
      <c r="CI746" s="1392" t="n"/>
      <c r="CJ746" s="1392" t="n"/>
      <c r="CK746" s="1392" t="n"/>
      <c r="CL746" s="1392" t="n"/>
    </row>
    <row r="747">
      <c r="A747" s="5" t="inlineStr">
        <is>
          <t>.</t>
        </is>
      </c>
      <c r="B747" s="5" t="inlineStr">
        <is>
          <t>.</t>
        </is>
      </c>
      <c r="C747" s="1378">
        <f>IF(raw[[#This Row],[city]]="","-",IF(raw[[#This Row],[city]]="TODAY","-",C746+1))</f>
        <v/>
      </c>
      <c r="D747" s="1393" t="inlineStr">
        <is>
          <t>Porto Seguro</t>
        </is>
      </c>
      <c r="E747" s="1394" t="n">
        <v>37616</v>
      </c>
      <c r="F747" s="1394" t="n">
        <v>37622</v>
      </c>
      <c r="G747" s="1393" t="inlineStr">
        <is>
          <t>-</t>
        </is>
      </c>
      <c r="H747" s="1393" t="inlineStr">
        <is>
          <t>Ondina</t>
        </is>
      </c>
      <c r="I747" s="1393" t="inlineStr">
        <is>
          <t>-</t>
        </is>
      </c>
      <c r="J747" s="1393" t="inlineStr">
        <is>
          <t>REV</t>
        </is>
      </c>
      <c r="K747" s="1395">
        <f>IF(raw[[#This Row],[city]]&lt;&gt;"",_xlfn.XLOOKUP($D747,ccc[city],ccc[prov],"-"),"-")</f>
        <v/>
      </c>
      <c r="L747" s="1395">
        <f>IF(raw[[#This Row],[city]]&lt;&gt;"",_xlfn.XLOOKUP($D747,ccc[city],ccc[ctry],"-"),"-")</f>
        <v/>
      </c>
      <c r="M747" s="1395">
        <f>IF(raw[[#This Row],[city]]&lt;&gt;"",_xlfn.XLOOKUP($D747,ccc[city],ccc[cont],"-"),"-")</f>
        <v/>
      </c>
      <c r="N747" s="1396">
        <f>IF(raw[[#This Row],[city]]="","-",IF(raw[[#This Row],[cont]]="B",raw[[#This Row],[cont]],"W"))</f>
        <v/>
      </c>
      <c r="O747" s="1397">
        <f>IF(raw[[#This Row],[out]]=0,0,IF(raw[[#This Row],[out]]=raw[[#This Row],[in]],0.01,raw[[#This Row],[out]]-raw[[#This Row],[in]]))</f>
        <v/>
      </c>
      <c r="P747" s="1397">
        <f>IF(raw[[#This Row],[in]]=0,0,MONTH(raw[[#This Row],[in]]))</f>
        <v/>
      </c>
      <c r="Q747" s="1397">
        <f>IF(raw[[#This Row],[in]]=0,0,YEAR(raw[[#This Row],[in]]))</f>
        <v/>
      </c>
      <c r="R747" s="1397">
        <f>INT(raw[[#This Row],[yr]]/10)*10</f>
        <v/>
      </c>
      <c r="S747" s="1395">
        <f>IF(raw[[#This Row],[city]]="","-",IF(raw[[#This Row],[city]]&lt;&gt;_xlfn.XLOOKUP(raw[[#This Row],[home]],homes[home],homes[city],"-"),1,0))</f>
        <v/>
      </c>
      <c r="T747" s="1398" t="inlineStr">
        <is>
          <t>.</t>
        </is>
      </c>
      <c r="U747" s="1399">
        <f>IF(raw[[#This Row],[wb]]="w",raw[[#This Row],[stay]]+U746,U746)</f>
        <v/>
      </c>
      <c r="V747" s="1400">
        <f>IF(raw[[#This Row],[out]]=0,V746,(raw[[#This Row],[out]]-E$5))</f>
        <v/>
      </c>
      <c r="W747" s="1401">
        <f>U747/V747</f>
        <v/>
      </c>
      <c r="X747" s="1378" t="inlineStr">
        <is>
          <t>.</t>
        </is>
      </c>
      <c r="Y747" s="1402">
        <f/>
        <v/>
      </c>
      <c r="Z747" s="1403">
        <f/>
        <v/>
      </c>
      <c r="AA747" s="1403">
        <f/>
        <v/>
      </c>
      <c r="AB747" s="1400">
        <f t="array" ref="AB747">_xlfn.LET(_xlpm.S,_xlfn.ANCHORARRAY($Y$4),_xlpm.r,ROWS(stayCity[[#Headers],[city]]:stayCity[[#This Row],[city]])-1,IF(_xlpm.r&lt;=ROWS(_xlpm.S),INDEX(_xlpm.S,_xlpm.r,1),""))</f>
        <v/>
      </c>
      <c r="AC747" s="1405">
        <f t="array" ref="AC747">_xlfn.LET(_xlpm.S,_xlfn.ANCHORARRAY($Y$4),_xlpm.r,ROWS(stayCity[[#Headers],[city]]:stayCity[[#This Row],[city]])-1,IF(_xlpm.r&lt;=ROWS(_xlpm.S),INDEX(_xlpm.S,_xlpm.r,2),""))</f>
        <v/>
      </c>
      <c r="AD747" s="1405">
        <f t="array" ref="AD747">_xlfn.LET(_xlpm.S,_xlfn.ANCHORARRAY($Y$4),_xlpm.r,ROWS(stayCity[[#Headers],[city]]:stayCity[[#This Row],[city]])-1,IF(_xlpm.r&lt;=ROWS(_xlpm.S),INDEX(_xlpm.S,_xlpm.r,3),""))</f>
        <v/>
      </c>
      <c r="AE747" s="1400">
        <f>IF(stayCity[[#This Row],[out]]&lt;&gt;"",stayCity[[#This Row],[out]]-stayCity[[#This Row],[in]],"-")</f>
        <v/>
      </c>
      <c r="AF747" s="1406">
        <f>IF(Y747="","-",YEAR(stayCity[[#This Row],[in]]))</f>
        <v/>
      </c>
      <c r="AG747" s="1392" t="n"/>
      <c r="AH747" s="1392" t="n"/>
      <c r="AI747" s="1392" t="n"/>
      <c r="AJ747" s="1392" t="n"/>
      <c r="AK747" s="1392" t="n"/>
      <c r="AL747" s="1392" t="n"/>
      <c r="AM747" s="1392" t="n"/>
      <c r="AN747" s="1392" t="n"/>
      <c r="AO747" s="1392" t="n"/>
      <c r="AP747" s="1392" t="n"/>
      <c r="AQ747" s="1392" t="n"/>
      <c r="AR747" s="1392" t="n"/>
      <c r="AS747" s="1422" t="n"/>
      <c r="AT747" s="1392" t="n"/>
      <c r="AU747" s="1392" t="n"/>
      <c r="AV747" s="1392" t="n"/>
      <c r="AW747" s="1392" t="n"/>
      <c r="AX747" s="1392" t="n"/>
      <c r="AY747" s="1392" t="n"/>
      <c r="AZ747" s="1392" t="n"/>
      <c r="BA747" s="1392" t="n"/>
      <c r="BB747" s="1422" t="n"/>
      <c r="BC747" s="1392" t="n"/>
      <c r="BD747" s="1392" t="n"/>
      <c r="BE747" s="1392" t="n"/>
      <c r="BF747" s="1392" t="n"/>
      <c r="BG747" s="1392" t="n"/>
      <c r="BH747" s="1392" t="n"/>
      <c r="BI747" s="1392" t="n"/>
      <c r="BJ747" s="1392" t="n"/>
      <c r="BK747" s="1392" t="n"/>
      <c r="BL747" s="1392" t="n"/>
      <c r="BM747" s="1392" t="n"/>
      <c r="BN747" s="1392" t="n"/>
      <c r="BO747" s="1392" t="n"/>
      <c r="BP747" s="1392" t="n"/>
      <c r="BQ747" s="1392" t="n"/>
      <c r="BR747" s="1392" t="n"/>
      <c r="BS747" s="1392" t="n"/>
      <c r="BT747" s="1392" t="n"/>
      <c r="BU747" s="1416" t="n"/>
      <c r="BV747" s="1392" t="n"/>
      <c r="BW747" s="1392" t="n"/>
      <c r="BX747" s="1392" t="n"/>
      <c r="BY747" s="1392" t="n"/>
      <c r="BZ747" s="1416" t="n"/>
      <c r="CA747" s="1392" t="n"/>
      <c r="CB747" s="1392" t="n"/>
      <c r="CC747" s="1392" t="n"/>
      <c r="CD747" s="1392" t="n"/>
      <c r="CE747" s="1392" t="n"/>
      <c r="CF747" s="1392" t="n"/>
      <c r="CG747" s="1392" t="n"/>
      <c r="CH747" s="1392" t="n"/>
      <c r="CI747" s="1392" t="n"/>
      <c r="CJ747" s="1392" t="n"/>
      <c r="CK747" s="1392" t="n"/>
      <c r="CL747" s="1392" t="n"/>
    </row>
    <row r="748">
      <c r="A748" s="5" t="inlineStr">
        <is>
          <t>.</t>
        </is>
      </c>
      <c r="B748" s="5" t="inlineStr">
        <is>
          <t>.</t>
        </is>
      </c>
      <c r="C748" s="1378">
        <f>IF(raw[[#This Row],[city]]="","-",IF(raw[[#This Row],[city]]="TODAY","-",C747+1))</f>
        <v/>
      </c>
      <c r="D748" s="1393" t="inlineStr">
        <is>
          <t>Arraial d'Ajuda</t>
        </is>
      </c>
      <c r="E748" s="1394" t="n">
        <v>37617</v>
      </c>
      <c r="F748" s="1394" t="n">
        <v>37617</v>
      </c>
      <c r="G748" s="1393" t="inlineStr">
        <is>
          <t>-</t>
        </is>
      </c>
      <c r="H748" s="1393" t="inlineStr">
        <is>
          <t>Ondina</t>
        </is>
      </c>
      <c r="I748" s="1393" t="inlineStr">
        <is>
          <t>-</t>
        </is>
      </c>
      <c r="J748" s="1423" t="inlineStr">
        <is>
          <t>-</t>
        </is>
      </c>
      <c r="K748" s="1424">
        <f>IF(raw[[#This Row],[city]]&lt;&gt;"",_xlfn.XLOOKUP($D748,ccc[city],ccc[prov],"-"),"-")</f>
        <v/>
      </c>
      <c r="L748" s="1395">
        <f>IF(raw[[#This Row],[city]]&lt;&gt;"",_xlfn.XLOOKUP($D748,ccc[city],ccc[ctry],"-"),"-")</f>
        <v/>
      </c>
      <c r="M748" s="1395">
        <f>IF(raw[[#This Row],[city]]&lt;&gt;"",_xlfn.XLOOKUP($D748,ccc[city],ccc[cont],"-"),"-")</f>
        <v/>
      </c>
      <c r="N748" s="1396">
        <f>IF(raw[[#This Row],[city]]="","-",IF(raw[[#This Row],[cont]]="B",raw[[#This Row],[cont]],"W"))</f>
        <v/>
      </c>
      <c r="O748" s="1397">
        <f>IF(raw[[#This Row],[out]]=0,0,IF(raw[[#This Row],[out]]=raw[[#This Row],[in]],0.01,raw[[#This Row],[out]]-raw[[#This Row],[in]]))</f>
        <v/>
      </c>
      <c r="P748" s="1397">
        <f>IF(raw[[#This Row],[in]]=0,0,MONTH(raw[[#This Row],[in]]))</f>
        <v/>
      </c>
      <c r="Q748" s="1397">
        <f>IF(raw[[#This Row],[in]]=0,0,YEAR(raw[[#This Row],[in]]))</f>
        <v/>
      </c>
      <c r="R748" s="1397">
        <f>INT(raw[[#This Row],[yr]]/10)*10</f>
        <v/>
      </c>
      <c r="S748" s="1395">
        <f>IF(raw[[#This Row],[city]]="","-",IF(raw[[#This Row],[city]]&lt;&gt;_xlfn.XLOOKUP(raw[[#This Row],[home]],homes[home],homes[city],"-"),1,0))</f>
        <v/>
      </c>
      <c r="T748" s="1398" t="inlineStr">
        <is>
          <t>.</t>
        </is>
      </c>
      <c r="U748" s="1399">
        <f>IF(raw[[#This Row],[wb]]="w",raw[[#This Row],[stay]]+U747,U747)</f>
        <v/>
      </c>
      <c r="V748" s="1400">
        <f>IF(raw[[#This Row],[out]]=0,V747,(raw[[#This Row],[out]]-E$5))</f>
        <v/>
      </c>
      <c r="W748" s="1401">
        <f>U748/V748</f>
        <v/>
      </c>
      <c r="X748" s="1378" t="inlineStr">
        <is>
          <t>.</t>
        </is>
      </c>
      <c r="Y748" s="1402">
        <f/>
        <v/>
      </c>
      <c r="Z748" s="1403">
        <f/>
        <v/>
      </c>
      <c r="AA748" s="1403">
        <f/>
        <v/>
      </c>
      <c r="AB748" s="1400">
        <f t="array" ref="AB748">_xlfn.LET(_xlpm.S,_xlfn.ANCHORARRAY($Y$4),_xlpm.r,ROWS(stayCity[[#Headers],[city]]:stayCity[[#This Row],[city]])-1,IF(_xlpm.r&lt;=ROWS(_xlpm.S),INDEX(_xlpm.S,_xlpm.r,1),""))</f>
        <v/>
      </c>
      <c r="AC748" s="1405">
        <f t="array" ref="AC748">_xlfn.LET(_xlpm.S,_xlfn.ANCHORARRAY($Y$4),_xlpm.r,ROWS(stayCity[[#Headers],[city]]:stayCity[[#This Row],[city]])-1,IF(_xlpm.r&lt;=ROWS(_xlpm.S),INDEX(_xlpm.S,_xlpm.r,2),""))</f>
        <v/>
      </c>
      <c r="AD748" s="1405">
        <f t="array" ref="AD748">_xlfn.LET(_xlpm.S,_xlfn.ANCHORARRAY($Y$4),_xlpm.r,ROWS(stayCity[[#Headers],[city]]:stayCity[[#This Row],[city]])-1,IF(_xlpm.r&lt;=ROWS(_xlpm.S),INDEX(_xlpm.S,_xlpm.r,3),""))</f>
        <v/>
      </c>
      <c r="AE748" s="1400">
        <f>IF(stayCity[[#This Row],[out]]&lt;&gt;"",stayCity[[#This Row],[out]]-stayCity[[#This Row],[in]],"-")</f>
        <v/>
      </c>
      <c r="AF748" s="1406">
        <f>IF(Y748="","-",YEAR(stayCity[[#This Row],[in]]))</f>
        <v/>
      </c>
      <c r="AG748" s="1392" t="n"/>
      <c r="AH748" s="1392" t="n"/>
      <c r="AI748" s="1392" t="n"/>
      <c r="AJ748" s="1392" t="n"/>
      <c r="AK748" s="1392" t="n"/>
      <c r="AL748" s="1392" t="n"/>
      <c r="AM748" s="1392" t="n"/>
      <c r="AN748" s="1392" t="n"/>
      <c r="AO748" s="1392" t="n"/>
      <c r="AP748" s="1392" t="n"/>
      <c r="AQ748" s="1392" t="n"/>
      <c r="AR748" s="1392" t="n"/>
      <c r="AS748" s="1422" t="n"/>
      <c r="AT748" s="1392" t="n"/>
      <c r="AU748" s="1392" t="n"/>
      <c r="AV748" s="1392" t="n"/>
      <c r="AW748" s="1392" t="n"/>
      <c r="AX748" s="1392" t="n"/>
      <c r="AY748" s="1392" t="n"/>
      <c r="AZ748" s="1392" t="n"/>
      <c r="BA748" s="1392" t="n"/>
      <c r="BB748" s="1422" t="n"/>
      <c r="BC748" s="1392" t="n"/>
      <c r="BD748" s="1392" t="n"/>
      <c r="BE748" s="1392" t="n"/>
      <c r="BF748" s="1392" t="n"/>
      <c r="BG748" s="1392" t="n"/>
      <c r="BH748" s="1392" t="n"/>
      <c r="BI748" s="1392" t="n"/>
      <c r="BJ748" s="1392" t="n"/>
      <c r="BK748" s="1392" t="n"/>
      <c r="BL748" s="1392" t="n"/>
      <c r="BM748" s="1392" t="n"/>
      <c r="BN748" s="1392" t="n"/>
      <c r="BO748" s="1392" t="n"/>
      <c r="BP748" s="1392" t="n"/>
      <c r="BQ748" s="1392" t="n"/>
      <c r="BR748" s="1392" t="n"/>
      <c r="BS748" s="1392" t="n"/>
      <c r="BT748" s="1392" t="n"/>
      <c r="BU748" s="1416" t="n"/>
      <c r="BV748" s="1392" t="n"/>
      <c r="BW748" s="1392" t="n"/>
      <c r="BX748" s="1392" t="n"/>
      <c r="BY748" s="1392" t="n"/>
      <c r="BZ748" s="1416" t="n"/>
      <c r="CA748" s="1392" t="n"/>
      <c r="CB748" s="1392" t="n"/>
      <c r="CC748" s="1392" t="n"/>
      <c r="CD748" s="1392" t="n"/>
      <c r="CE748" s="1392" t="n"/>
      <c r="CF748" s="1392" t="n"/>
      <c r="CG748" s="1392" t="n"/>
      <c r="CH748" s="1392" t="n"/>
      <c r="CI748" s="1392" t="n"/>
      <c r="CJ748" s="1392" t="n"/>
      <c r="CK748" s="1392" t="n"/>
      <c r="CL748" s="1392" t="n"/>
    </row>
    <row r="749">
      <c r="A749" s="5" t="inlineStr">
        <is>
          <t>.</t>
        </is>
      </c>
      <c r="B749" s="5" t="inlineStr">
        <is>
          <t>.</t>
        </is>
      </c>
      <c r="C749" s="1378">
        <f>IF(raw[[#This Row],[city]]="","-",IF(raw[[#This Row],[city]]="TODAY","-",C748+1))</f>
        <v/>
      </c>
      <c r="D749" s="1393" t="inlineStr">
        <is>
          <t>SSA</t>
        </is>
      </c>
      <c r="E749" s="1394" t="n">
        <v>37622</v>
      </c>
      <c r="F749" s="1394" t="n">
        <v>37632</v>
      </c>
      <c r="G749" s="1393" t="n">
        <v>1</v>
      </c>
      <c r="H749" s="1393" t="inlineStr">
        <is>
          <t>Ondina</t>
        </is>
      </c>
      <c r="I749" s="1393" t="inlineStr">
        <is>
          <t>-</t>
        </is>
      </c>
      <c r="J749" s="1393" t="inlineStr">
        <is>
          <t>-</t>
        </is>
      </c>
      <c r="K749" s="1395">
        <f>IF(raw[[#This Row],[city]]&lt;&gt;"",_xlfn.XLOOKUP($D749,ccc[city],ccc[prov],"-"),"-")</f>
        <v/>
      </c>
      <c r="L749" s="1395">
        <f>IF(raw[[#This Row],[city]]&lt;&gt;"",_xlfn.XLOOKUP($D749,ccc[city],ccc[ctry],"-"),"-")</f>
        <v/>
      </c>
      <c r="M749" s="1395">
        <f>IF(raw[[#This Row],[city]]&lt;&gt;"",_xlfn.XLOOKUP($D749,ccc[city],ccc[cont],"-"),"-")</f>
        <v/>
      </c>
      <c r="N749" s="1396">
        <f>IF(raw[[#This Row],[city]]="","-",IF(raw[[#This Row],[cont]]="B",raw[[#This Row],[cont]],"W"))</f>
        <v/>
      </c>
      <c r="O749" s="1397">
        <f>IF(raw[[#This Row],[out]]=0,0,IF(raw[[#This Row],[out]]=raw[[#This Row],[in]],0.01,raw[[#This Row],[out]]-raw[[#This Row],[in]]))</f>
        <v/>
      </c>
      <c r="P749" s="1397">
        <f>IF(raw[[#This Row],[in]]=0,0,MONTH(raw[[#This Row],[in]]))</f>
        <v/>
      </c>
      <c r="Q749" s="1397">
        <f>IF(raw[[#This Row],[in]]=0,0,YEAR(raw[[#This Row],[in]]))</f>
        <v/>
      </c>
      <c r="R749" s="1397">
        <f>INT(raw[[#This Row],[yr]]/10)*10</f>
        <v/>
      </c>
      <c r="S749" s="1395">
        <f>IF(raw[[#This Row],[city]]="","-",IF(raw[[#This Row],[city]]&lt;&gt;_xlfn.XLOOKUP(raw[[#This Row],[home]],homes[home],homes[city],"-"),1,0))</f>
        <v/>
      </c>
      <c r="T749" s="1398" t="inlineStr">
        <is>
          <t>.</t>
        </is>
      </c>
      <c r="U749" s="1399">
        <f>IF(raw[[#This Row],[wb]]="w",raw[[#This Row],[stay]]+U748,U748)</f>
        <v/>
      </c>
      <c r="V749" s="1400">
        <f>IF(raw[[#This Row],[out]]=0,V748,(raw[[#This Row],[out]]-E$5))</f>
        <v/>
      </c>
      <c r="W749" s="1401">
        <f>U749/V749</f>
        <v/>
      </c>
      <c r="X749" s="1378" t="inlineStr">
        <is>
          <t>.</t>
        </is>
      </c>
      <c r="Y749" s="1402">
        <f/>
        <v/>
      </c>
      <c r="Z749" s="1403">
        <f/>
        <v/>
      </c>
      <c r="AA749" s="1403">
        <f/>
        <v/>
      </c>
      <c r="AB749" s="1400">
        <f t="array" ref="AB749">_xlfn.LET(_xlpm.S,_xlfn.ANCHORARRAY($Y$4),_xlpm.r,ROWS(stayCity[[#Headers],[city]]:stayCity[[#This Row],[city]])-1,IF(_xlpm.r&lt;=ROWS(_xlpm.S),INDEX(_xlpm.S,_xlpm.r,1),""))</f>
        <v/>
      </c>
      <c r="AC749" s="1405">
        <f t="array" ref="AC749">_xlfn.LET(_xlpm.S,_xlfn.ANCHORARRAY($Y$4),_xlpm.r,ROWS(stayCity[[#Headers],[city]]:stayCity[[#This Row],[city]])-1,IF(_xlpm.r&lt;=ROWS(_xlpm.S),INDEX(_xlpm.S,_xlpm.r,2),""))</f>
        <v/>
      </c>
      <c r="AD749" s="1405">
        <f t="array" ref="AD749">_xlfn.LET(_xlpm.S,_xlfn.ANCHORARRAY($Y$4),_xlpm.r,ROWS(stayCity[[#Headers],[city]]:stayCity[[#This Row],[city]])-1,IF(_xlpm.r&lt;=ROWS(_xlpm.S),INDEX(_xlpm.S,_xlpm.r,3),""))</f>
        <v/>
      </c>
      <c r="AE749" s="1400">
        <f>IF(stayCity[[#This Row],[out]]&lt;&gt;"",stayCity[[#This Row],[out]]-stayCity[[#This Row],[in]],"-")</f>
        <v/>
      </c>
      <c r="AF749" s="1406">
        <f>IF(Y749="","-",YEAR(stayCity[[#This Row],[in]]))</f>
        <v/>
      </c>
      <c r="AG749" s="1392" t="n"/>
      <c r="AH749" s="1392" t="n"/>
      <c r="AI749" s="1392" t="n"/>
      <c r="AJ749" s="1392" t="n"/>
      <c r="AK749" s="1392" t="n"/>
      <c r="AL749" s="1392" t="n"/>
      <c r="AM749" s="1392" t="n"/>
      <c r="AN749" s="1392" t="n"/>
      <c r="AO749" s="1392" t="n"/>
      <c r="AP749" s="1392" t="n"/>
      <c r="AQ749" s="1392" t="n"/>
      <c r="AR749" s="1392" t="n"/>
      <c r="AS749" s="1422" t="n"/>
      <c r="AT749" s="1392" t="n"/>
      <c r="AU749" s="1392" t="n"/>
      <c r="AV749" s="1392" t="n"/>
      <c r="AW749" s="1392" t="n"/>
      <c r="AX749" s="1392" t="n"/>
      <c r="AY749" s="1392" t="n"/>
      <c r="AZ749" s="1392" t="n"/>
      <c r="BA749" s="1392" t="n"/>
      <c r="BB749" s="1422" t="n"/>
      <c r="BC749" s="1392" t="n"/>
      <c r="BD749" s="1392" t="n"/>
      <c r="BE749" s="1392" t="n"/>
      <c r="BF749" s="1392" t="n"/>
      <c r="BG749" s="1392" t="n"/>
      <c r="BH749" s="1392" t="n"/>
      <c r="BI749" s="1392" t="n"/>
      <c r="BJ749" s="1392" t="n"/>
      <c r="BK749" s="1392" t="n"/>
      <c r="BL749" s="1392" t="n"/>
      <c r="BM749" s="1392" t="n"/>
      <c r="BN749" s="1392" t="n"/>
      <c r="BO749" s="1392" t="n"/>
      <c r="BP749" s="1392" t="n"/>
      <c r="BQ749" s="1392" t="n"/>
      <c r="BR749" s="1392" t="n"/>
      <c r="BS749" s="1392" t="n"/>
      <c r="BT749" s="1392" t="n"/>
      <c r="BU749" s="1416" t="n"/>
      <c r="BV749" s="1392" t="n"/>
      <c r="BW749" s="1392" t="n"/>
      <c r="BX749" s="1392" t="n"/>
      <c r="BY749" s="1392" t="n"/>
      <c r="BZ749" s="1416" t="n"/>
      <c r="CA749" s="1392" t="n"/>
      <c r="CB749" s="1392" t="n"/>
      <c r="CC749" s="1392" t="n"/>
      <c r="CD749" s="1392" t="n"/>
      <c r="CE749" s="1392" t="n"/>
      <c r="CF749" s="1392" t="n"/>
      <c r="CG749" s="1392" t="n"/>
      <c r="CH749" s="1392" t="n"/>
      <c r="CI749" s="1392" t="n"/>
      <c r="CJ749" s="1392" t="n"/>
      <c r="CK749" s="1392" t="n"/>
      <c r="CL749" s="1392" t="n"/>
    </row>
    <row r="750">
      <c r="A750" s="5" t="inlineStr">
        <is>
          <t>.</t>
        </is>
      </c>
      <c r="B750" s="5" t="inlineStr">
        <is>
          <t>.</t>
        </is>
      </c>
      <c r="C750" s="1378">
        <f>IF(raw[[#This Row],[city]]="","-",IF(raw[[#This Row],[city]]="TODAY","-",C749+1))</f>
        <v/>
      </c>
      <c r="D750" s="1393" t="inlineStr">
        <is>
          <t>SP</t>
        </is>
      </c>
      <c r="E750" s="1394" t="n">
        <v>37632</v>
      </c>
      <c r="F750" s="1394" t="n">
        <v>37637</v>
      </c>
      <c r="G750" s="1393" t="n">
        <v>1</v>
      </c>
      <c r="H750" s="1393" t="inlineStr">
        <is>
          <t>Ondina</t>
        </is>
      </c>
      <c r="I750" s="1393" t="inlineStr">
        <is>
          <t>Salto Grande</t>
        </is>
      </c>
      <c r="J750" s="1393" t="inlineStr">
        <is>
          <t>-</t>
        </is>
      </c>
      <c r="K750" s="1395">
        <f>IF(raw[[#This Row],[city]]&lt;&gt;"",_xlfn.XLOOKUP($D750,ccc[city],ccc[prov],"-"),"-")</f>
        <v/>
      </c>
      <c r="L750" s="1395">
        <f>IF(raw[[#This Row],[city]]&lt;&gt;"",_xlfn.XLOOKUP($D750,ccc[city],ccc[ctry],"-"),"-")</f>
        <v/>
      </c>
      <c r="M750" s="1395">
        <f>IF(raw[[#This Row],[city]]&lt;&gt;"",_xlfn.XLOOKUP($D750,ccc[city],ccc[cont],"-"),"-")</f>
        <v/>
      </c>
      <c r="N750" s="1396">
        <f>IF(raw[[#This Row],[city]]="","-",IF(raw[[#This Row],[cont]]="B",raw[[#This Row],[cont]],"W"))</f>
        <v/>
      </c>
      <c r="O750" s="1397">
        <f>IF(raw[[#This Row],[out]]=0,0,IF(raw[[#This Row],[out]]=raw[[#This Row],[in]],0.01,raw[[#This Row],[out]]-raw[[#This Row],[in]]))</f>
        <v/>
      </c>
      <c r="P750" s="1397">
        <f>IF(raw[[#This Row],[in]]=0,0,MONTH(raw[[#This Row],[in]]))</f>
        <v/>
      </c>
      <c r="Q750" s="1397">
        <f>IF(raw[[#This Row],[in]]=0,0,YEAR(raw[[#This Row],[in]]))</f>
        <v/>
      </c>
      <c r="R750" s="1397">
        <f>INT(raw[[#This Row],[yr]]/10)*10</f>
        <v/>
      </c>
      <c r="S750" s="1395">
        <f>IF(raw[[#This Row],[city]]="","-",IF(raw[[#This Row],[city]]&lt;&gt;_xlfn.XLOOKUP(raw[[#This Row],[home]],homes[home],homes[city],"-"),1,0))</f>
        <v/>
      </c>
      <c r="T750" s="1398" t="inlineStr">
        <is>
          <t>.</t>
        </is>
      </c>
      <c r="U750" s="1399">
        <f>IF(raw[[#This Row],[wb]]="w",raw[[#This Row],[stay]]+U749,U749)</f>
        <v/>
      </c>
      <c r="V750" s="1400">
        <f>IF(raw[[#This Row],[out]]=0,V749,(raw[[#This Row],[out]]-E$5))</f>
        <v/>
      </c>
      <c r="W750" s="1401">
        <f>U750/V750</f>
        <v/>
      </c>
      <c r="X750" s="1378" t="inlineStr">
        <is>
          <t>.</t>
        </is>
      </c>
      <c r="Y750" s="1402">
        <f/>
        <v/>
      </c>
      <c r="Z750" s="1403">
        <f/>
        <v/>
      </c>
      <c r="AA750" s="1403">
        <f/>
        <v/>
      </c>
      <c r="AB750" s="1400">
        <f t="array" ref="AB750">_xlfn.LET(_xlpm.S,_xlfn.ANCHORARRAY($Y$4),_xlpm.r,ROWS(stayCity[[#Headers],[city]]:stayCity[[#This Row],[city]])-1,IF(_xlpm.r&lt;=ROWS(_xlpm.S),INDEX(_xlpm.S,_xlpm.r,1),""))</f>
        <v/>
      </c>
      <c r="AC750" s="1405">
        <f t="array" ref="AC750">_xlfn.LET(_xlpm.S,_xlfn.ANCHORARRAY($Y$4),_xlpm.r,ROWS(stayCity[[#Headers],[city]]:stayCity[[#This Row],[city]])-1,IF(_xlpm.r&lt;=ROWS(_xlpm.S),INDEX(_xlpm.S,_xlpm.r,2),""))</f>
        <v/>
      </c>
      <c r="AD750" s="1405">
        <f t="array" ref="AD750">_xlfn.LET(_xlpm.S,_xlfn.ANCHORARRAY($Y$4),_xlpm.r,ROWS(stayCity[[#Headers],[city]]:stayCity[[#This Row],[city]])-1,IF(_xlpm.r&lt;=ROWS(_xlpm.S),INDEX(_xlpm.S,_xlpm.r,3),""))</f>
        <v/>
      </c>
      <c r="AE750" s="1400">
        <f>IF(stayCity[[#This Row],[out]]&lt;&gt;"",stayCity[[#This Row],[out]]-stayCity[[#This Row],[in]],"-")</f>
        <v/>
      </c>
      <c r="AF750" s="1406">
        <f>IF(Y750="","-",YEAR(stayCity[[#This Row],[in]]))</f>
        <v/>
      </c>
      <c r="AG750" s="1392" t="n"/>
      <c r="AH750" s="1392" t="n"/>
      <c r="AI750" s="1392" t="n"/>
      <c r="AJ750" s="1392" t="n"/>
      <c r="AK750" s="1392" t="n"/>
      <c r="AL750" s="1392" t="n"/>
      <c r="AM750" s="1392" t="n"/>
      <c r="AN750" s="1392" t="n"/>
      <c r="AO750" s="1392" t="n"/>
      <c r="AP750" s="1392" t="n"/>
      <c r="AQ750" s="1392" t="n"/>
      <c r="AR750" s="1392" t="n"/>
      <c r="AS750" s="1422" t="n"/>
      <c r="AT750" s="1392" t="n"/>
      <c r="AU750" s="1392" t="n"/>
      <c r="AV750" s="1392" t="n"/>
      <c r="AW750" s="1392" t="n"/>
      <c r="AX750" s="1392" t="n"/>
      <c r="AY750" s="1392" t="n"/>
      <c r="AZ750" s="1392" t="n"/>
      <c r="BA750" s="1392" t="n"/>
      <c r="BB750" s="1422" t="n"/>
      <c r="BC750" s="1392" t="n"/>
      <c r="BD750" s="1392" t="n"/>
      <c r="BE750" s="1392" t="n"/>
      <c r="BF750" s="1392" t="n"/>
      <c r="BG750" s="1392" t="n"/>
      <c r="BH750" s="1392" t="n"/>
      <c r="BI750" s="1392" t="n"/>
      <c r="BJ750" s="1392" t="n"/>
      <c r="BK750" s="1392" t="n"/>
      <c r="BL750" s="1392" t="n"/>
      <c r="BM750" s="1392" t="n"/>
      <c r="BN750" s="1392" t="n"/>
      <c r="BO750" s="1392" t="n"/>
      <c r="BP750" s="1392" t="n"/>
      <c r="BQ750" s="1392" t="n"/>
      <c r="BR750" s="1392" t="n"/>
      <c r="BS750" s="1392" t="n"/>
      <c r="BT750" s="1392" t="n"/>
      <c r="BU750" s="1416" t="n"/>
      <c r="BV750" s="1392" t="n"/>
      <c r="BW750" s="1392" t="n"/>
      <c r="BX750" s="1392" t="n"/>
      <c r="BY750" s="1392" t="n"/>
      <c r="BZ750" s="1416" t="n"/>
      <c r="CA750" s="1392" t="n"/>
      <c r="CB750" s="1392" t="n"/>
      <c r="CC750" s="1392" t="n"/>
      <c r="CD750" s="1392" t="n"/>
      <c r="CE750" s="1392" t="n"/>
      <c r="CF750" s="1392" t="n"/>
      <c r="CG750" s="1392" t="n"/>
      <c r="CH750" s="1392" t="n"/>
      <c r="CI750" s="1392" t="n"/>
      <c r="CJ750" s="1392" t="n"/>
      <c r="CK750" s="1392" t="n"/>
      <c r="CL750" s="1392" t="n"/>
    </row>
    <row r="751">
      <c r="A751" s="5" t="inlineStr">
        <is>
          <t>.</t>
        </is>
      </c>
      <c r="B751" s="5" t="inlineStr">
        <is>
          <t>.</t>
        </is>
      </c>
      <c r="C751" s="1378">
        <f>IF(raw[[#This Row],[city]]="","-",IF(raw[[#This Row],[city]]="TODAY","-",C750+1))</f>
        <v/>
      </c>
      <c r="D751" s="1393" t="inlineStr">
        <is>
          <t>SSA</t>
        </is>
      </c>
      <c r="E751" s="1394" t="n">
        <v>37637</v>
      </c>
      <c r="F751" s="1394" t="n">
        <v>37646</v>
      </c>
      <c r="G751" s="1393" t="inlineStr">
        <is>
          <t>-</t>
        </is>
      </c>
      <c r="H751" s="1393" t="inlineStr">
        <is>
          <t>Ondina</t>
        </is>
      </c>
      <c r="I751" s="1393" t="inlineStr">
        <is>
          <t>-</t>
        </is>
      </c>
      <c r="J751" s="1393" t="inlineStr">
        <is>
          <t>-</t>
        </is>
      </c>
      <c r="K751" s="1395">
        <f>IF(raw[[#This Row],[city]]&lt;&gt;"",_xlfn.XLOOKUP($D751,ccc[city],ccc[prov],"-"),"-")</f>
        <v/>
      </c>
      <c r="L751" s="1395">
        <f>IF(raw[[#This Row],[city]]&lt;&gt;"",_xlfn.XLOOKUP($D751,ccc[city],ccc[ctry],"-"),"-")</f>
        <v/>
      </c>
      <c r="M751" s="1395">
        <f>IF(raw[[#This Row],[city]]&lt;&gt;"",_xlfn.XLOOKUP($D751,ccc[city],ccc[cont],"-"),"-")</f>
        <v/>
      </c>
      <c r="N751" s="1396">
        <f>IF(raw[[#This Row],[city]]="","-",IF(raw[[#This Row],[cont]]="B",raw[[#This Row],[cont]],"W"))</f>
        <v/>
      </c>
      <c r="O751" s="1397">
        <f>IF(raw[[#This Row],[out]]=0,0,IF(raw[[#This Row],[out]]=raw[[#This Row],[in]],0.01,raw[[#This Row],[out]]-raw[[#This Row],[in]]))</f>
        <v/>
      </c>
      <c r="P751" s="1397">
        <f>IF(raw[[#This Row],[in]]=0,0,MONTH(raw[[#This Row],[in]]))</f>
        <v/>
      </c>
      <c r="Q751" s="1397">
        <f>IF(raw[[#This Row],[in]]=0,0,YEAR(raw[[#This Row],[in]]))</f>
        <v/>
      </c>
      <c r="R751" s="1397">
        <f>INT(raw[[#This Row],[yr]]/10)*10</f>
        <v/>
      </c>
      <c r="S751" s="1395">
        <f>IF(raw[[#This Row],[city]]="","-",IF(raw[[#This Row],[city]]&lt;&gt;_xlfn.XLOOKUP(raw[[#This Row],[home]],homes[home],homes[city],"-"),1,0))</f>
        <v/>
      </c>
      <c r="T751" s="1398" t="inlineStr">
        <is>
          <t>.</t>
        </is>
      </c>
      <c r="U751" s="1399">
        <f>IF(raw[[#This Row],[wb]]="w",raw[[#This Row],[stay]]+U750,U750)</f>
        <v/>
      </c>
      <c r="V751" s="1400">
        <f>IF(raw[[#This Row],[out]]=0,V750,(raw[[#This Row],[out]]-E$5))</f>
        <v/>
      </c>
      <c r="W751" s="1401">
        <f>U751/V751</f>
        <v/>
      </c>
      <c r="X751" s="1378" t="inlineStr">
        <is>
          <t>.</t>
        </is>
      </c>
      <c r="Y751" s="1402">
        <f/>
        <v/>
      </c>
      <c r="Z751" s="1403">
        <f/>
        <v/>
      </c>
      <c r="AA751" s="1403">
        <f/>
        <v/>
      </c>
      <c r="AB751" s="1400">
        <f t="array" ref="AB751">_xlfn.LET(_xlpm.S,_xlfn.ANCHORARRAY($Y$4),_xlpm.r,ROWS(stayCity[[#Headers],[city]]:stayCity[[#This Row],[city]])-1,IF(_xlpm.r&lt;=ROWS(_xlpm.S),INDEX(_xlpm.S,_xlpm.r,1),""))</f>
        <v/>
      </c>
      <c r="AC751" s="1405">
        <f t="array" ref="AC751">_xlfn.LET(_xlpm.S,_xlfn.ANCHORARRAY($Y$4),_xlpm.r,ROWS(stayCity[[#Headers],[city]]:stayCity[[#This Row],[city]])-1,IF(_xlpm.r&lt;=ROWS(_xlpm.S),INDEX(_xlpm.S,_xlpm.r,2),""))</f>
        <v/>
      </c>
      <c r="AD751" s="1405">
        <f t="array" ref="AD751">_xlfn.LET(_xlpm.S,_xlfn.ANCHORARRAY($Y$4),_xlpm.r,ROWS(stayCity[[#Headers],[city]]:stayCity[[#This Row],[city]])-1,IF(_xlpm.r&lt;=ROWS(_xlpm.S),INDEX(_xlpm.S,_xlpm.r,3),""))</f>
        <v/>
      </c>
      <c r="AE751" s="1400">
        <f>IF(stayCity[[#This Row],[out]]&lt;&gt;"",stayCity[[#This Row],[out]]-stayCity[[#This Row],[in]],"-")</f>
        <v/>
      </c>
      <c r="AF751" s="1406">
        <f>IF(Y751="","-",YEAR(stayCity[[#This Row],[in]]))</f>
        <v/>
      </c>
      <c r="AG751" s="1392" t="n"/>
      <c r="AH751" s="1392" t="n"/>
      <c r="AI751" s="1392" t="n"/>
      <c r="AJ751" s="1392" t="n"/>
      <c r="AK751" s="1392" t="n"/>
      <c r="AL751" s="1392" t="n"/>
      <c r="AM751" s="1392" t="n"/>
      <c r="AN751" s="1392" t="n"/>
      <c r="AO751" s="1392" t="n"/>
      <c r="AP751" s="1392" t="n"/>
      <c r="AQ751" s="1392" t="n"/>
      <c r="AR751" s="1392" t="n"/>
      <c r="AS751" s="1422" t="n"/>
      <c r="AT751" s="1392" t="n"/>
      <c r="AU751" s="1392" t="n"/>
      <c r="AV751" s="1392" t="n"/>
      <c r="AW751" s="1392" t="n"/>
      <c r="AX751" s="1392" t="n"/>
      <c r="AY751" s="1392" t="n"/>
      <c r="AZ751" s="1392" t="n"/>
      <c r="BA751" s="1392" t="n"/>
      <c r="BB751" s="1422" t="n"/>
      <c r="BC751" s="1392" t="n"/>
      <c r="BD751" s="1392" t="n"/>
      <c r="BE751" s="1392" t="n"/>
      <c r="BF751" s="1392" t="n"/>
      <c r="BG751" s="1392" t="n"/>
      <c r="BH751" s="1392" t="n"/>
      <c r="BI751" s="1392" t="n"/>
      <c r="BJ751" s="1392" t="n"/>
      <c r="BK751" s="1392" t="n"/>
      <c r="BL751" s="1392" t="n"/>
      <c r="BM751" s="1392" t="n"/>
      <c r="BN751" s="1392" t="n"/>
      <c r="BO751" s="1392" t="n"/>
      <c r="BP751" s="1392" t="n"/>
      <c r="BQ751" s="1392" t="n"/>
      <c r="BR751" s="1392" t="n"/>
      <c r="BS751" s="1392" t="n"/>
      <c r="BT751" s="1392" t="n"/>
      <c r="BU751" s="1416" t="n"/>
      <c r="BV751" s="1392" t="n"/>
      <c r="BW751" s="1392" t="n"/>
      <c r="BX751" s="1392" t="n"/>
      <c r="BY751" s="1392" t="n"/>
      <c r="BZ751" s="1416" t="n"/>
      <c r="CA751" s="1392" t="n"/>
      <c r="CB751" s="1392" t="n"/>
      <c r="CC751" s="1392" t="n"/>
      <c r="CD751" s="1392" t="n"/>
      <c r="CE751" s="1392" t="n"/>
      <c r="CF751" s="1392" t="n"/>
      <c r="CG751" s="1392" t="n"/>
      <c r="CH751" s="1392" t="n"/>
      <c r="CI751" s="1392" t="n"/>
      <c r="CJ751" s="1392" t="n"/>
      <c r="CK751" s="1392" t="n"/>
      <c r="CL751" s="1392" t="n"/>
    </row>
    <row r="752">
      <c r="A752" s="5" t="inlineStr">
        <is>
          <t>.</t>
        </is>
      </c>
      <c r="B752" s="5" t="inlineStr">
        <is>
          <t>.</t>
        </is>
      </c>
      <c r="C752" s="1378">
        <f>IF(raw[[#This Row],[city]]="","-",IF(raw[[#This Row],[city]]="TODAY","-",C751+1))</f>
        <v/>
      </c>
      <c r="D752" s="1393" t="inlineStr">
        <is>
          <t>Lauro de Freitas</t>
        </is>
      </c>
      <c r="E752" s="1394" t="n">
        <v>37646</v>
      </c>
      <c r="F752" s="1394" t="n">
        <v>37653</v>
      </c>
      <c r="G752" s="1393" t="inlineStr">
        <is>
          <t>-</t>
        </is>
      </c>
      <c r="H752" s="1393" t="inlineStr">
        <is>
          <t>Ondina</t>
        </is>
      </c>
      <c r="I752" s="1393" t="inlineStr">
        <is>
          <t>Encontro</t>
        </is>
      </c>
      <c r="J752" s="1393" t="inlineStr">
        <is>
          <t>-</t>
        </is>
      </c>
      <c r="K752" s="1395">
        <f>IF(raw[[#This Row],[city]]&lt;&gt;"",_xlfn.XLOOKUP($D752,ccc[city],ccc[prov],"-"),"-")</f>
        <v/>
      </c>
      <c r="L752" s="1395">
        <f>IF(raw[[#This Row],[city]]&lt;&gt;"",_xlfn.XLOOKUP($D752,ccc[city],ccc[ctry],"-"),"-")</f>
        <v/>
      </c>
      <c r="M752" s="1395">
        <f>IF(raw[[#This Row],[city]]&lt;&gt;"",_xlfn.XLOOKUP($D752,ccc[city],ccc[cont],"-"),"-")</f>
        <v/>
      </c>
      <c r="N752" s="1396">
        <f>IF(raw[[#This Row],[city]]="","-",IF(raw[[#This Row],[cont]]="B",raw[[#This Row],[cont]],"W"))</f>
        <v/>
      </c>
      <c r="O752" s="1397">
        <f>IF(raw[[#This Row],[out]]=0,0,IF(raw[[#This Row],[out]]=raw[[#This Row],[in]],0.01,raw[[#This Row],[out]]-raw[[#This Row],[in]]))</f>
        <v/>
      </c>
      <c r="P752" s="1397">
        <f>IF(raw[[#This Row],[in]]=0,0,MONTH(raw[[#This Row],[in]]))</f>
        <v/>
      </c>
      <c r="Q752" s="1397">
        <f>IF(raw[[#This Row],[in]]=0,0,YEAR(raw[[#This Row],[in]]))</f>
        <v/>
      </c>
      <c r="R752" s="1397">
        <f>INT(raw[[#This Row],[yr]]/10)*10</f>
        <v/>
      </c>
      <c r="S752" s="1395">
        <f>IF(raw[[#This Row],[city]]="","-",IF(raw[[#This Row],[city]]&lt;&gt;_xlfn.XLOOKUP(raw[[#This Row],[home]],homes[home],homes[city],"-"),1,0))</f>
        <v/>
      </c>
      <c r="T752" s="1398" t="inlineStr">
        <is>
          <t>.</t>
        </is>
      </c>
      <c r="U752" s="1399">
        <f>IF(raw[[#This Row],[wb]]="w",raw[[#This Row],[stay]]+U751,U751)</f>
        <v/>
      </c>
      <c r="V752" s="1400">
        <f>IF(raw[[#This Row],[out]]=0,V751,(raw[[#This Row],[out]]-E$5))</f>
        <v/>
      </c>
      <c r="W752" s="1401">
        <f>U752/V752</f>
        <v/>
      </c>
      <c r="X752" s="1378" t="inlineStr">
        <is>
          <t>.</t>
        </is>
      </c>
      <c r="Y752" s="1402">
        <f/>
        <v/>
      </c>
      <c r="Z752" s="1403">
        <f/>
        <v/>
      </c>
      <c r="AA752" s="1403">
        <f/>
        <v/>
      </c>
      <c r="AB752" s="1400">
        <f t="array" ref="AB752">_xlfn.LET(_xlpm.S,_xlfn.ANCHORARRAY($Y$4),_xlpm.r,ROWS(stayCity[[#Headers],[city]]:stayCity[[#This Row],[city]])-1,IF(_xlpm.r&lt;=ROWS(_xlpm.S),INDEX(_xlpm.S,_xlpm.r,1),""))</f>
        <v/>
      </c>
      <c r="AC752" s="1405">
        <f t="array" ref="AC752">_xlfn.LET(_xlpm.S,_xlfn.ANCHORARRAY($Y$4),_xlpm.r,ROWS(stayCity[[#Headers],[city]]:stayCity[[#This Row],[city]])-1,IF(_xlpm.r&lt;=ROWS(_xlpm.S),INDEX(_xlpm.S,_xlpm.r,2),""))</f>
        <v/>
      </c>
      <c r="AD752" s="1405">
        <f t="array" ref="AD752">_xlfn.LET(_xlpm.S,_xlfn.ANCHORARRAY($Y$4),_xlpm.r,ROWS(stayCity[[#Headers],[city]]:stayCity[[#This Row],[city]])-1,IF(_xlpm.r&lt;=ROWS(_xlpm.S),INDEX(_xlpm.S,_xlpm.r,3),""))</f>
        <v/>
      </c>
      <c r="AE752" s="1400">
        <f>IF(stayCity[[#This Row],[out]]&lt;&gt;"",stayCity[[#This Row],[out]]-stayCity[[#This Row],[in]],"-")</f>
        <v/>
      </c>
      <c r="AF752" s="1406">
        <f>IF(Y752="","-",YEAR(stayCity[[#This Row],[in]]))</f>
        <v/>
      </c>
      <c r="AG752" s="1392" t="n"/>
      <c r="AH752" s="1392" t="n"/>
      <c r="AI752" s="1392" t="n"/>
      <c r="AJ752" s="1392" t="n"/>
      <c r="AK752" s="1392" t="n"/>
      <c r="AL752" s="1392" t="n"/>
      <c r="AM752" s="1392" t="n"/>
      <c r="AN752" s="1392" t="n"/>
      <c r="AO752" s="1392" t="n"/>
      <c r="AP752" s="1392" t="n"/>
      <c r="AQ752" s="1392" t="n"/>
      <c r="AR752" s="1392" t="n"/>
      <c r="AS752" s="1422" t="n"/>
      <c r="AT752" s="1392" t="n"/>
      <c r="AU752" s="1392" t="n"/>
      <c r="AV752" s="1392" t="n"/>
      <c r="AW752" s="1392" t="n"/>
      <c r="AX752" s="1392" t="n"/>
      <c r="AY752" s="1392" t="n"/>
      <c r="AZ752" s="1392" t="n"/>
      <c r="BA752" s="1392" t="n"/>
      <c r="BB752" s="1422" t="n"/>
      <c r="BC752" s="1392" t="n"/>
      <c r="BD752" s="1392" t="n"/>
      <c r="BE752" s="1392" t="n"/>
      <c r="BF752" s="1392" t="n"/>
      <c r="BG752" s="1392" t="n"/>
      <c r="BH752" s="1392" t="n"/>
      <c r="BI752" s="1392" t="n"/>
      <c r="BJ752" s="1392" t="n"/>
      <c r="BK752" s="1392" t="n"/>
      <c r="BL752" s="1392" t="n"/>
      <c r="BM752" s="1392" t="n"/>
      <c r="BN752" s="1392" t="n"/>
      <c r="BO752" s="1392" t="n"/>
      <c r="BP752" s="1392" t="n"/>
      <c r="BQ752" s="1392" t="n"/>
      <c r="BR752" s="1392" t="n"/>
      <c r="BS752" s="1392" t="n"/>
      <c r="BT752" s="1392" t="n"/>
      <c r="BU752" s="1416" t="n"/>
      <c r="BV752" s="1392" t="n"/>
      <c r="BW752" s="1392" t="n"/>
      <c r="BX752" s="1392" t="n"/>
      <c r="BY752" s="1392" t="n"/>
      <c r="BZ752" s="1416" t="n"/>
      <c r="CA752" s="1392" t="n"/>
      <c r="CB752" s="1392" t="n"/>
      <c r="CC752" s="1392" t="n"/>
      <c r="CD752" s="1392" t="n"/>
      <c r="CE752" s="1392" t="n"/>
      <c r="CF752" s="1392" t="n"/>
      <c r="CG752" s="1392" t="n"/>
      <c r="CH752" s="1392" t="n"/>
      <c r="CI752" s="1392" t="n"/>
      <c r="CJ752" s="1392" t="n"/>
      <c r="CK752" s="1392" t="n"/>
      <c r="CL752" s="1392" t="n"/>
    </row>
    <row r="753">
      <c r="A753" s="5" t="inlineStr">
        <is>
          <t>.</t>
        </is>
      </c>
      <c r="B753" s="5" t="inlineStr">
        <is>
          <t>.</t>
        </is>
      </c>
      <c r="C753" s="1378">
        <f>IF(raw[[#This Row],[city]]="","-",IF(raw[[#This Row],[city]]="TODAY","-",C752+1))</f>
        <v/>
      </c>
      <c r="D753" s="1393" t="inlineStr">
        <is>
          <t>Lauro de Freitas</t>
        </is>
      </c>
      <c r="E753" s="1394" t="n">
        <v>37653</v>
      </c>
      <c r="F753" s="1394" t="n">
        <v>37668</v>
      </c>
      <c r="G753" s="1393" t="inlineStr">
        <is>
          <t>-</t>
        </is>
      </c>
      <c r="H753" s="1393" t="inlineStr">
        <is>
          <t>Ondina</t>
        </is>
      </c>
      <c r="I753" s="1393" t="inlineStr">
        <is>
          <t>Encontro</t>
        </is>
      </c>
      <c r="J753" s="1393" t="inlineStr">
        <is>
          <t>-</t>
        </is>
      </c>
      <c r="K753" s="1395">
        <f>IF(raw[[#This Row],[city]]&lt;&gt;"",_xlfn.XLOOKUP($D753,ccc[city],ccc[prov],"-"),"-")</f>
        <v/>
      </c>
      <c r="L753" s="1395">
        <f>IF(raw[[#This Row],[city]]&lt;&gt;"",_xlfn.XLOOKUP($D753,ccc[city],ccc[ctry],"-"),"-")</f>
        <v/>
      </c>
      <c r="M753" s="1395">
        <f>IF(raw[[#This Row],[city]]&lt;&gt;"",_xlfn.XLOOKUP($D753,ccc[city],ccc[cont],"-"),"-")</f>
        <v/>
      </c>
      <c r="N753" s="1396">
        <f>IF(raw[[#This Row],[city]]="","-",IF(raw[[#This Row],[cont]]="B",raw[[#This Row],[cont]],"W"))</f>
        <v/>
      </c>
      <c r="O753" s="1397">
        <f>IF(raw[[#This Row],[out]]=0,0,IF(raw[[#This Row],[out]]=raw[[#This Row],[in]],0.01,raw[[#This Row],[out]]-raw[[#This Row],[in]]))</f>
        <v/>
      </c>
      <c r="P753" s="1397">
        <f>IF(raw[[#This Row],[in]]=0,0,MONTH(raw[[#This Row],[in]]))</f>
        <v/>
      </c>
      <c r="Q753" s="1397">
        <f>IF(raw[[#This Row],[in]]=0,0,YEAR(raw[[#This Row],[in]]))</f>
        <v/>
      </c>
      <c r="R753" s="1397">
        <f>INT(raw[[#This Row],[yr]]/10)*10</f>
        <v/>
      </c>
      <c r="S753" s="1395">
        <f>IF(raw[[#This Row],[city]]="","-",IF(raw[[#This Row],[city]]&lt;&gt;_xlfn.XLOOKUP(raw[[#This Row],[home]],homes[home],homes[city],"-"),1,0))</f>
        <v/>
      </c>
      <c r="T753" s="1398" t="inlineStr">
        <is>
          <t>.</t>
        </is>
      </c>
      <c r="U753" s="1399">
        <f>IF(raw[[#This Row],[wb]]="w",raw[[#This Row],[stay]]+U752,U752)</f>
        <v/>
      </c>
      <c r="V753" s="1400">
        <f>IF(raw[[#This Row],[out]]=0,V752,(raw[[#This Row],[out]]-E$5))</f>
        <v/>
      </c>
      <c r="W753" s="1401">
        <f>U753/V753</f>
        <v/>
      </c>
      <c r="X753" s="1378" t="inlineStr">
        <is>
          <t>.</t>
        </is>
      </c>
      <c r="Y753" s="1402">
        <f/>
        <v/>
      </c>
      <c r="Z753" s="1403">
        <f/>
        <v/>
      </c>
      <c r="AA753" s="1403">
        <f/>
        <v/>
      </c>
      <c r="AB753" s="1400">
        <f t="array" ref="AB753">_xlfn.LET(_xlpm.S,_xlfn.ANCHORARRAY($Y$4),_xlpm.r,ROWS(stayCity[[#Headers],[city]]:stayCity[[#This Row],[city]])-1,IF(_xlpm.r&lt;=ROWS(_xlpm.S),INDEX(_xlpm.S,_xlpm.r,1),""))</f>
        <v/>
      </c>
      <c r="AC753" s="1405">
        <f t="array" ref="AC753">_xlfn.LET(_xlpm.S,_xlfn.ANCHORARRAY($Y$4),_xlpm.r,ROWS(stayCity[[#Headers],[city]]:stayCity[[#This Row],[city]])-1,IF(_xlpm.r&lt;=ROWS(_xlpm.S),INDEX(_xlpm.S,_xlpm.r,2),""))</f>
        <v/>
      </c>
      <c r="AD753" s="1405">
        <f t="array" ref="AD753">_xlfn.LET(_xlpm.S,_xlfn.ANCHORARRAY($Y$4),_xlpm.r,ROWS(stayCity[[#Headers],[city]]:stayCity[[#This Row],[city]])-1,IF(_xlpm.r&lt;=ROWS(_xlpm.S),INDEX(_xlpm.S,_xlpm.r,3),""))</f>
        <v/>
      </c>
      <c r="AE753" s="1400">
        <f>IF(stayCity[[#This Row],[out]]&lt;&gt;"",stayCity[[#This Row],[out]]-stayCity[[#This Row],[in]],"-")</f>
        <v/>
      </c>
      <c r="AF753" s="1406">
        <f>IF(Y753="","-",YEAR(stayCity[[#This Row],[in]]))</f>
        <v/>
      </c>
      <c r="AG753" s="1392" t="n"/>
      <c r="AH753" s="1392" t="n"/>
      <c r="AI753" s="1392" t="n"/>
      <c r="AJ753" s="1392" t="n"/>
      <c r="AK753" s="1392" t="n"/>
      <c r="AL753" s="1392" t="n"/>
      <c r="AM753" s="1392" t="n"/>
      <c r="AN753" s="1392" t="n"/>
      <c r="AO753" s="1392" t="n"/>
      <c r="AP753" s="1392" t="n"/>
      <c r="AQ753" s="1392" t="n"/>
      <c r="AR753" s="1392" t="n"/>
      <c r="AS753" s="1422" t="n"/>
      <c r="AT753" s="1392" t="n"/>
      <c r="AU753" s="1392" t="n"/>
      <c r="AV753" s="1392" t="n"/>
      <c r="AW753" s="1392" t="n"/>
      <c r="AX753" s="1392" t="n"/>
      <c r="AY753" s="1392" t="n"/>
      <c r="AZ753" s="1392" t="n"/>
      <c r="BA753" s="1392" t="n"/>
      <c r="BB753" s="1422" t="n"/>
      <c r="BC753" s="1392" t="n"/>
      <c r="BD753" s="1392" t="n"/>
      <c r="BE753" s="1392" t="n"/>
      <c r="BF753" s="1392" t="n"/>
      <c r="BG753" s="1392" t="n"/>
      <c r="BH753" s="1392" t="n"/>
      <c r="BI753" s="1392" t="n"/>
      <c r="BJ753" s="1392" t="n"/>
      <c r="BK753" s="1392" t="n"/>
      <c r="BL753" s="1392" t="n"/>
      <c r="BM753" s="1392" t="n"/>
      <c r="BN753" s="1392" t="n"/>
      <c r="BO753" s="1392" t="n"/>
      <c r="BP753" s="1392" t="n"/>
      <c r="BQ753" s="1392" t="n"/>
      <c r="BR753" s="1392" t="n"/>
      <c r="BS753" s="1392" t="n"/>
      <c r="BT753" s="1392" t="n"/>
      <c r="BU753" s="1416" t="n"/>
      <c r="BV753" s="1392" t="n"/>
      <c r="BW753" s="1392" t="n"/>
      <c r="BX753" s="1392" t="n"/>
      <c r="BY753" s="1392" t="n"/>
      <c r="BZ753" s="1416" t="n"/>
      <c r="CA753" s="1392" t="n"/>
      <c r="CB753" s="1392" t="n"/>
      <c r="CC753" s="1392" t="n"/>
      <c r="CD753" s="1392" t="n"/>
      <c r="CE753" s="1392" t="n"/>
      <c r="CF753" s="1392" t="n"/>
      <c r="CG753" s="1392" t="n"/>
      <c r="CH753" s="1392" t="n"/>
      <c r="CI753" s="1392" t="n"/>
      <c r="CJ753" s="1392" t="n"/>
      <c r="CK753" s="1392" t="n"/>
      <c r="CL753" s="1392" t="n"/>
    </row>
    <row r="754">
      <c r="A754" s="5" t="inlineStr">
        <is>
          <t>.</t>
        </is>
      </c>
      <c r="B754" s="5" t="inlineStr">
        <is>
          <t>.</t>
        </is>
      </c>
      <c r="C754" s="1378">
        <f>IF(raw[[#This Row],[city]]="","-",IF(raw[[#This Row],[city]]="TODAY","-",C753+1))</f>
        <v/>
      </c>
      <c r="D754" s="1393" t="inlineStr">
        <is>
          <t>SSA</t>
        </is>
      </c>
      <c r="E754" s="1394" t="n">
        <v>37668</v>
      </c>
      <c r="F754" s="1394" t="n">
        <v>37681</v>
      </c>
      <c r="G754" s="1393" t="inlineStr">
        <is>
          <t>-</t>
        </is>
      </c>
      <c r="H754" s="1393" t="inlineStr">
        <is>
          <t>Ondina</t>
        </is>
      </c>
      <c r="I754" s="1393" t="inlineStr">
        <is>
          <t>-</t>
        </is>
      </c>
      <c r="J754" s="1393" t="inlineStr">
        <is>
          <t>-</t>
        </is>
      </c>
      <c r="K754" s="1395">
        <f>IF(raw[[#This Row],[city]]&lt;&gt;"",_xlfn.XLOOKUP($D754,ccc[city],ccc[prov],"-"),"-")</f>
        <v/>
      </c>
      <c r="L754" s="1395">
        <f>IF(raw[[#This Row],[city]]&lt;&gt;"",_xlfn.XLOOKUP($D754,ccc[city],ccc[ctry],"-"),"-")</f>
        <v/>
      </c>
      <c r="M754" s="1395">
        <f>IF(raw[[#This Row],[city]]&lt;&gt;"",_xlfn.XLOOKUP($D754,ccc[city],ccc[cont],"-"),"-")</f>
        <v/>
      </c>
      <c r="N754" s="1396">
        <f>IF(raw[[#This Row],[city]]="","-",IF(raw[[#This Row],[cont]]="B",raw[[#This Row],[cont]],"W"))</f>
        <v/>
      </c>
      <c r="O754" s="1397">
        <f>IF(raw[[#This Row],[out]]=0,0,IF(raw[[#This Row],[out]]=raw[[#This Row],[in]],0.01,raw[[#This Row],[out]]-raw[[#This Row],[in]]))</f>
        <v/>
      </c>
      <c r="P754" s="1397">
        <f>IF(raw[[#This Row],[in]]=0,0,MONTH(raw[[#This Row],[in]]))</f>
        <v/>
      </c>
      <c r="Q754" s="1397">
        <f>IF(raw[[#This Row],[in]]=0,0,YEAR(raw[[#This Row],[in]]))</f>
        <v/>
      </c>
      <c r="R754" s="1397">
        <f>INT(raw[[#This Row],[yr]]/10)*10</f>
        <v/>
      </c>
      <c r="S754" s="1395">
        <f>IF(raw[[#This Row],[city]]="","-",IF(raw[[#This Row],[city]]&lt;&gt;_xlfn.XLOOKUP(raw[[#This Row],[home]],homes[home],homes[city],"-"),1,0))</f>
        <v/>
      </c>
      <c r="T754" s="1398" t="inlineStr">
        <is>
          <t>.</t>
        </is>
      </c>
      <c r="U754" s="1399">
        <f>IF(raw[[#This Row],[wb]]="w",raw[[#This Row],[stay]]+U753,U753)</f>
        <v/>
      </c>
      <c r="V754" s="1400">
        <f>IF(raw[[#This Row],[out]]=0,V753,(raw[[#This Row],[out]]-E$5))</f>
        <v/>
      </c>
      <c r="W754" s="1401">
        <f>U754/V754</f>
        <v/>
      </c>
      <c r="X754" s="1378" t="inlineStr">
        <is>
          <t>.</t>
        </is>
      </c>
      <c r="Y754" s="1402">
        <f/>
        <v/>
      </c>
      <c r="Z754" s="1403">
        <f/>
        <v/>
      </c>
      <c r="AA754" s="1403">
        <f/>
        <v/>
      </c>
      <c r="AB754" s="1400">
        <f t="array" ref="AB754">_xlfn.LET(_xlpm.S,_xlfn.ANCHORARRAY($Y$4),_xlpm.r,ROWS(stayCity[[#Headers],[city]]:stayCity[[#This Row],[city]])-1,IF(_xlpm.r&lt;=ROWS(_xlpm.S),INDEX(_xlpm.S,_xlpm.r,1),""))</f>
        <v/>
      </c>
      <c r="AC754" s="1405">
        <f t="array" ref="AC754">_xlfn.LET(_xlpm.S,_xlfn.ANCHORARRAY($Y$4),_xlpm.r,ROWS(stayCity[[#Headers],[city]]:stayCity[[#This Row],[city]])-1,IF(_xlpm.r&lt;=ROWS(_xlpm.S),INDEX(_xlpm.S,_xlpm.r,2),""))</f>
        <v/>
      </c>
      <c r="AD754" s="1405">
        <f t="array" ref="AD754">_xlfn.LET(_xlpm.S,_xlfn.ANCHORARRAY($Y$4),_xlpm.r,ROWS(stayCity[[#Headers],[city]]:stayCity[[#This Row],[city]])-1,IF(_xlpm.r&lt;=ROWS(_xlpm.S),INDEX(_xlpm.S,_xlpm.r,3),""))</f>
        <v/>
      </c>
      <c r="AE754" s="1400">
        <f>IF(stayCity[[#This Row],[out]]&lt;&gt;"",stayCity[[#This Row],[out]]-stayCity[[#This Row],[in]],"-")</f>
        <v/>
      </c>
      <c r="AF754" s="1406">
        <f>IF(Y754="","-",YEAR(stayCity[[#This Row],[in]]))</f>
        <v/>
      </c>
      <c r="AG754" s="1392" t="n"/>
      <c r="AH754" s="1392" t="n"/>
      <c r="AI754" s="1392" t="n"/>
      <c r="AJ754" s="1392" t="n"/>
      <c r="AK754" s="1392" t="n"/>
      <c r="AL754" s="1392" t="n"/>
      <c r="AM754" s="1392" t="n"/>
      <c r="AN754" s="1392" t="n"/>
      <c r="AO754" s="1392" t="n"/>
      <c r="AP754" s="1392" t="n"/>
      <c r="AQ754" s="1392" t="n"/>
      <c r="AR754" s="1392" t="n"/>
      <c r="AS754" s="1422" t="n"/>
      <c r="AT754" s="1392" t="n"/>
      <c r="AU754" s="1392" t="n"/>
      <c r="AV754" s="1392" t="n"/>
      <c r="AW754" s="1392" t="n"/>
      <c r="AX754" s="1392" t="n"/>
      <c r="AY754" s="1392" t="n"/>
      <c r="AZ754" s="1392" t="n"/>
      <c r="BA754" s="1392" t="n"/>
      <c r="BB754" s="1422" t="n"/>
      <c r="BC754" s="1392" t="n"/>
      <c r="BD754" s="1392" t="n"/>
      <c r="BE754" s="1392" t="n"/>
      <c r="BF754" s="1392" t="n"/>
      <c r="BG754" s="1392" t="n"/>
      <c r="BH754" s="1392" t="n"/>
      <c r="BI754" s="1392" t="n"/>
      <c r="BJ754" s="1392" t="n"/>
      <c r="BK754" s="1392" t="n"/>
      <c r="BL754" s="1392" t="n"/>
      <c r="BM754" s="1392" t="n"/>
      <c r="BN754" s="1392" t="n"/>
      <c r="BO754" s="1392" t="n"/>
      <c r="BP754" s="1392" t="n"/>
      <c r="BQ754" s="1392" t="n"/>
      <c r="BR754" s="1392" t="n"/>
      <c r="BS754" s="1392" t="n"/>
      <c r="BT754" s="1392" t="n"/>
      <c r="BU754" s="1416" t="n"/>
      <c r="BV754" s="1392" t="n"/>
      <c r="BW754" s="1392" t="n"/>
      <c r="BX754" s="1392" t="n"/>
      <c r="BY754" s="1392" t="n"/>
      <c r="BZ754" s="1416" t="n"/>
      <c r="CA754" s="1392" t="n"/>
      <c r="CB754" s="1392" t="n"/>
      <c r="CC754" s="1392" t="n"/>
      <c r="CD754" s="1392" t="n"/>
      <c r="CE754" s="1392" t="n"/>
      <c r="CF754" s="1392" t="n"/>
      <c r="CG754" s="1392" t="n"/>
      <c r="CH754" s="1392" t="n"/>
      <c r="CI754" s="1392" t="n"/>
      <c r="CJ754" s="1392" t="n"/>
      <c r="CK754" s="1392" t="n"/>
      <c r="CL754" s="1392" t="n"/>
    </row>
    <row r="755">
      <c r="A755" s="5" t="inlineStr">
        <is>
          <t>.</t>
        </is>
      </c>
      <c r="B755" s="5" t="inlineStr">
        <is>
          <t>.</t>
        </is>
      </c>
      <c r="C755" s="1378">
        <f>IF(raw[[#This Row],[city]]="","-",IF(raw[[#This Row],[city]]="TODAY","-",C754+1))</f>
        <v/>
      </c>
      <c r="D755" s="1393" t="inlineStr">
        <is>
          <t>SSA</t>
        </is>
      </c>
      <c r="E755" s="1394" t="n">
        <v>37681</v>
      </c>
      <c r="F755" s="1394" t="n">
        <v>37692</v>
      </c>
      <c r="G755" s="1393" t="n">
        <v>1</v>
      </c>
      <c r="H755" s="1393" t="inlineStr">
        <is>
          <t>Ondina</t>
        </is>
      </c>
      <c r="I755" s="1393" t="inlineStr">
        <is>
          <t>-</t>
        </is>
      </c>
      <c r="J755" s="1393" t="inlineStr">
        <is>
          <t>-</t>
        </is>
      </c>
      <c r="K755" s="1395">
        <f>IF(raw[[#This Row],[city]]&lt;&gt;"",_xlfn.XLOOKUP($D755,ccc[city],ccc[prov],"-"),"-")</f>
        <v/>
      </c>
      <c r="L755" s="1395">
        <f>IF(raw[[#This Row],[city]]&lt;&gt;"",_xlfn.XLOOKUP($D755,ccc[city],ccc[ctry],"-"),"-")</f>
        <v/>
      </c>
      <c r="M755" s="1395">
        <f>IF(raw[[#This Row],[city]]&lt;&gt;"",_xlfn.XLOOKUP($D755,ccc[city],ccc[cont],"-"),"-")</f>
        <v/>
      </c>
      <c r="N755" s="1396">
        <f>IF(raw[[#This Row],[city]]="","-",IF(raw[[#This Row],[cont]]="B",raw[[#This Row],[cont]],"W"))</f>
        <v/>
      </c>
      <c r="O755" s="1397">
        <f>IF(raw[[#This Row],[out]]=0,0,IF(raw[[#This Row],[out]]=raw[[#This Row],[in]],0.01,raw[[#This Row],[out]]-raw[[#This Row],[in]]))</f>
        <v/>
      </c>
      <c r="P755" s="1397">
        <f>IF(raw[[#This Row],[in]]=0,0,MONTH(raw[[#This Row],[in]]))</f>
        <v/>
      </c>
      <c r="Q755" s="1397">
        <f>IF(raw[[#This Row],[in]]=0,0,YEAR(raw[[#This Row],[in]]))</f>
        <v/>
      </c>
      <c r="R755" s="1397">
        <f>INT(raw[[#This Row],[yr]]/10)*10</f>
        <v/>
      </c>
      <c r="S755" s="1395">
        <f>IF(raw[[#This Row],[city]]="","-",IF(raw[[#This Row],[city]]&lt;&gt;_xlfn.XLOOKUP(raw[[#This Row],[home]],homes[home],homes[city],"-"),1,0))</f>
        <v/>
      </c>
      <c r="T755" s="1398" t="inlineStr">
        <is>
          <t>.</t>
        </is>
      </c>
      <c r="U755" s="1399">
        <f>IF(raw[[#This Row],[wb]]="w",raw[[#This Row],[stay]]+U754,U754)</f>
        <v/>
      </c>
      <c r="V755" s="1400">
        <f>IF(raw[[#This Row],[out]]=0,V754,(raw[[#This Row],[out]]-E$5))</f>
        <v/>
      </c>
      <c r="W755" s="1401">
        <f>U755/V755</f>
        <v/>
      </c>
      <c r="X755" s="1378" t="inlineStr">
        <is>
          <t>.</t>
        </is>
      </c>
      <c r="Y755" s="1402">
        <f/>
        <v/>
      </c>
      <c r="Z755" s="1403">
        <f/>
        <v/>
      </c>
      <c r="AA755" s="1403">
        <f/>
        <v/>
      </c>
      <c r="AB755" s="1400">
        <f t="array" ref="AB755">_xlfn.LET(_xlpm.S,_xlfn.ANCHORARRAY($Y$4),_xlpm.r,ROWS(stayCity[[#Headers],[city]]:stayCity[[#This Row],[city]])-1,IF(_xlpm.r&lt;=ROWS(_xlpm.S),INDEX(_xlpm.S,_xlpm.r,1),""))</f>
        <v/>
      </c>
      <c r="AC755" s="1405">
        <f t="array" ref="AC755">_xlfn.LET(_xlpm.S,_xlfn.ANCHORARRAY($Y$4),_xlpm.r,ROWS(stayCity[[#Headers],[city]]:stayCity[[#This Row],[city]])-1,IF(_xlpm.r&lt;=ROWS(_xlpm.S),INDEX(_xlpm.S,_xlpm.r,2),""))</f>
        <v/>
      </c>
      <c r="AD755" s="1405">
        <f t="array" ref="AD755">_xlfn.LET(_xlpm.S,_xlfn.ANCHORARRAY($Y$4),_xlpm.r,ROWS(stayCity[[#Headers],[city]]:stayCity[[#This Row],[city]])-1,IF(_xlpm.r&lt;=ROWS(_xlpm.S),INDEX(_xlpm.S,_xlpm.r,3),""))</f>
        <v/>
      </c>
      <c r="AE755" s="1400">
        <f>IF(stayCity[[#This Row],[out]]&lt;&gt;"",stayCity[[#This Row],[out]]-stayCity[[#This Row],[in]],"-")</f>
        <v/>
      </c>
      <c r="AF755" s="1406">
        <f>IF(Y755="","-",YEAR(stayCity[[#This Row],[in]]))</f>
        <v/>
      </c>
      <c r="AG755" s="1392" t="n"/>
      <c r="AH755" s="1392" t="n"/>
      <c r="AI755" s="1392" t="n"/>
      <c r="AJ755" s="1392" t="n"/>
      <c r="AK755" s="1392" t="n"/>
      <c r="AL755" s="1392" t="n"/>
      <c r="AM755" s="1392" t="n"/>
      <c r="AN755" s="1392" t="n"/>
      <c r="AO755" s="1392" t="n"/>
      <c r="AP755" s="1392" t="n"/>
      <c r="AQ755" s="1392" t="n"/>
      <c r="AR755" s="1392" t="n"/>
      <c r="AS755" s="1422" t="n"/>
      <c r="AT755" s="1392" t="n"/>
      <c r="AU755" s="1392" t="n"/>
      <c r="AV755" s="1392" t="n"/>
      <c r="AW755" s="1392" t="n"/>
      <c r="AX755" s="1392" t="n"/>
      <c r="AY755" s="1392" t="n"/>
      <c r="AZ755" s="1392" t="n"/>
      <c r="BA755" s="1392" t="n"/>
      <c r="BB755" s="1422" t="n"/>
      <c r="BC755" s="1392" t="n"/>
      <c r="BD755" s="1392" t="n"/>
      <c r="BE755" s="1392" t="n"/>
      <c r="BF755" s="1392" t="n"/>
      <c r="BG755" s="1392" t="n"/>
      <c r="BH755" s="1392" t="n"/>
      <c r="BI755" s="1392" t="n"/>
      <c r="BJ755" s="1392" t="n"/>
      <c r="BK755" s="1392" t="n"/>
      <c r="BL755" s="1392" t="n"/>
      <c r="BM755" s="1392" t="n"/>
      <c r="BN755" s="1392" t="n"/>
      <c r="BO755" s="1392" t="n"/>
      <c r="BP755" s="1392" t="n"/>
      <c r="BQ755" s="1392" t="n"/>
      <c r="BR755" s="1392" t="n"/>
      <c r="BS755" s="1392" t="n"/>
      <c r="BT755" s="1392" t="n"/>
      <c r="BU755" s="1416" t="n"/>
      <c r="BV755" s="1392" t="n"/>
      <c r="BW755" s="1392" t="n"/>
      <c r="BX755" s="1392" t="n"/>
      <c r="BY755" s="1392" t="n"/>
      <c r="BZ755" s="1416" t="n"/>
      <c r="CA755" s="1392" t="n"/>
      <c r="CB755" s="1392" t="n"/>
      <c r="CC755" s="1392" t="n"/>
      <c r="CD755" s="1392" t="n"/>
      <c r="CE755" s="1392" t="n"/>
      <c r="CF755" s="1392" t="n"/>
      <c r="CG755" s="1392" t="n"/>
      <c r="CH755" s="1392" t="n"/>
      <c r="CI755" s="1392" t="n"/>
      <c r="CJ755" s="1392" t="n"/>
      <c r="CK755" s="1392" t="n"/>
      <c r="CL755" s="1392" t="n"/>
    </row>
    <row r="756">
      <c r="A756" s="5" t="inlineStr">
        <is>
          <t>.</t>
        </is>
      </c>
      <c r="B756" s="5" t="inlineStr">
        <is>
          <t>.</t>
        </is>
      </c>
      <c r="C756" s="1378">
        <f>IF(raw[[#This Row],[city]]="","-",IF(raw[[#This Row],[city]]="TODAY","-",C755+1))</f>
        <v/>
      </c>
      <c r="D756" s="1393" t="inlineStr">
        <is>
          <t>SP</t>
        </is>
      </c>
      <c r="E756" s="1394" t="n">
        <v>37692</v>
      </c>
      <c r="F756" s="1394" t="n">
        <v>37712</v>
      </c>
      <c r="G756" s="1393" t="inlineStr">
        <is>
          <t>-</t>
        </is>
      </c>
      <c r="H756" s="1393" t="inlineStr">
        <is>
          <t>Transit</t>
        </is>
      </c>
      <c r="I756" s="1393" t="inlineStr">
        <is>
          <t>Salto Grande</t>
        </is>
      </c>
      <c r="J756" s="1393" t="inlineStr">
        <is>
          <t>-</t>
        </is>
      </c>
      <c r="K756" s="1395">
        <f>IF(raw[[#This Row],[city]]&lt;&gt;"",_xlfn.XLOOKUP($D756,ccc[city],ccc[prov],"-"),"-")</f>
        <v/>
      </c>
      <c r="L756" s="1395">
        <f>IF(raw[[#This Row],[city]]&lt;&gt;"",_xlfn.XLOOKUP($D756,ccc[city],ccc[ctry],"-"),"-")</f>
        <v/>
      </c>
      <c r="M756" s="1395">
        <f>IF(raw[[#This Row],[city]]&lt;&gt;"",_xlfn.XLOOKUP($D756,ccc[city],ccc[cont],"-"),"-")</f>
        <v/>
      </c>
      <c r="N756" s="1396">
        <f>IF(raw[[#This Row],[city]]="","-",IF(raw[[#This Row],[cont]]="B",raw[[#This Row],[cont]],"W"))</f>
        <v/>
      </c>
      <c r="O756" s="1397">
        <f>IF(raw[[#This Row],[out]]=0,0,IF(raw[[#This Row],[out]]=raw[[#This Row],[in]],0.01,raw[[#This Row],[out]]-raw[[#This Row],[in]]))</f>
        <v/>
      </c>
      <c r="P756" s="1397">
        <f>IF(raw[[#This Row],[in]]=0,0,MONTH(raw[[#This Row],[in]]))</f>
        <v/>
      </c>
      <c r="Q756" s="1397">
        <f>IF(raw[[#This Row],[in]]=0,0,YEAR(raw[[#This Row],[in]]))</f>
        <v/>
      </c>
      <c r="R756" s="1397">
        <f>INT(raw[[#This Row],[yr]]/10)*10</f>
        <v/>
      </c>
      <c r="S756" s="1395">
        <f>IF(raw[[#This Row],[city]]="","-",IF(raw[[#This Row],[city]]&lt;&gt;_xlfn.XLOOKUP(raw[[#This Row],[home]],homes[home],homes[city],"-"),1,0))</f>
        <v/>
      </c>
      <c r="T756" s="1398" t="inlineStr">
        <is>
          <t>.</t>
        </is>
      </c>
      <c r="U756" s="1399">
        <f>IF(raw[[#This Row],[wb]]="w",raw[[#This Row],[stay]]+U755,U755)</f>
        <v/>
      </c>
      <c r="V756" s="1400">
        <f>IF(raw[[#This Row],[out]]=0,V755,(raw[[#This Row],[out]]-E$5))</f>
        <v/>
      </c>
      <c r="W756" s="1401">
        <f>U756/V756</f>
        <v/>
      </c>
      <c r="X756" s="1378" t="inlineStr">
        <is>
          <t>.</t>
        </is>
      </c>
      <c r="Y756" s="1402">
        <f/>
        <v/>
      </c>
      <c r="Z756" s="1403">
        <f/>
        <v/>
      </c>
      <c r="AA756" s="1403">
        <f/>
        <v/>
      </c>
      <c r="AB756" s="1400">
        <f t="array" ref="AB756">_xlfn.LET(_xlpm.S,_xlfn.ANCHORARRAY($Y$4),_xlpm.r,ROWS(stayCity[[#Headers],[city]]:stayCity[[#This Row],[city]])-1,IF(_xlpm.r&lt;=ROWS(_xlpm.S),INDEX(_xlpm.S,_xlpm.r,1),""))</f>
        <v/>
      </c>
      <c r="AC756" s="1405">
        <f t="array" ref="AC756">_xlfn.LET(_xlpm.S,_xlfn.ANCHORARRAY($Y$4),_xlpm.r,ROWS(stayCity[[#Headers],[city]]:stayCity[[#This Row],[city]])-1,IF(_xlpm.r&lt;=ROWS(_xlpm.S),INDEX(_xlpm.S,_xlpm.r,2),""))</f>
        <v/>
      </c>
      <c r="AD756" s="1405">
        <f t="array" ref="AD756">_xlfn.LET(_xlpm.S,_xlfn.ANCHORARRAY($Y$4),_xlpm.r,ROWS(stayCity[[#Headers],[city]]:stayCity[[#This Row],[city]])-1,IF(_xlpm.r&lt;=ROWS(_xlpm.S),INDEX(_xlpm.S,_xlpm.r,3),""))</f>
        <v/>
      </c>
      <c r="AE756" s="1400">
        <f>IF(stayCity[[#This Row],[out]]&lt;&gt;"",stayCity[[#This Row],[out]]-stayCity[[#This Row],[in]],"-")</f>
        <v/>
      </c>
      <c r="AF756" s="1406">
        <f>IF(Y756="","-",YEAR(stayCity[[#This Row],[in]]))</f>
        <v/>
      </c>
      <c r="AG756" s="1392" t="n"/>
      <c r="AH756" s="1392" t="n"/>
      <c r="AI756" s="1392" t="n"/>
      <c r="AJ756" s="1392" t="n"/>
      <c r="AK756" s="1392" t="n"/>
      <c r="AL756" s="1392" t="n"/>
      <c r="AM756" s="1392" t="n"/>
      <c r="AN756" s="1392" t="n"/>
      <c r="AO756" s="1392" t="n"/>
      <c r="AP756" s="1392" t="n"/>
      <c r="AQ756" s="1392" t="n"/>
      <c r="AR756" s="1392" t="n"/>
      <c r="AS756" s="1422" t="n"/>
      <c r="AT756" s="1392" t="n"/>
      <c r="AU756" s="1392" t="n"/>
      <c r="AV756" s="1392" t="n"/>
      <c r="AW756" s="1392" t="n"/>
      <c r="AX756" s="1392" t="n"/>
      <c r="AY756" s="1392" t="n"/>
      <c r="AZ756" s="1392" t="n"/>
      <c r="BA756" s="1392" t="n"/>
      <c r="BB756" s="1422" t="n"/>
      <c r="BC756" s="1392" t="n"/>
      <c r="BD756" s="1392" t="n"/>
      <c r="BE756" s="1392" t="n"/>
      <c r="BF756" s="1392" t="n"/>
      <c r="BG756" s="1392" t="n"/>
      <c r="BH756" s="1392" t="n"/>
      <c r="BI756" s="1392" t="n"/>
      <c r="BJ756" s="1392" t="n"/>
      <c r="BK756" s="1392" t="n"/>
      <c r="BL756" s="1392" t="n"/>
      <c r="BM756" s="1392" t="n"/>
      <c r="BN756" s="1392" t="n"/>
      <c r="BO756" s="1392" t="n"/>
      <c r="BP756" s="1392" t="n"/>
      <c r="BQ756" s="1392" t="n"/>
      <c r="BR756" s="1392" t="n"/>
      <c r="BS756" s="1392" t="n"/>
      <c r="BT756" s="1392" t="n"/>
      <c r="BU756" s="1416" t="n"/>
      <c r="BV756" s="1392" t="n"/>
      <c r="BW756" s="1392" t="n"/>
      <c r="BX756" s="1392" t="n"/>
      <c r="BY756" s="1392" t="n"/>
      <c r="BZ756" s="1416" t="n"/>
      <c r="CA756" s="1392" t="n"/>
      <c r="CB756" s="1392" t="n"/>
      <c r="CC756" s="1392" t="n"/>
      <c r="CD756" s="1392" t="n"/>
      <c r="CE756" s="1392" t="n"/>
      <c r="CF756" s="1392" t="n"/>
      <c r="CG756" s="1392" t="n"/>
      <c r="CH756" s="1392" t="n"/>
      <c r="CI756" s="1392" t="n"/>
      <c r="CJ756" s="1392" t="n"/>
      <c r="CK756" s="1392" t="n"/>
      <c r="CL756" s="1392" t="n"/>
    </row>
    <row r="757">
      <c r="A757" s="5" t="inlineStr">
        <is>
          <t>.</t>
        </is>
      </c>
      <c r="B757" s="5" t="inlineStr">
        <is>
          <t>.</t>
        </is>
      </c>
      <c r="C757" s="1378">
        <f>IF(raw[[#This Row],[city]]="","-",IF(raw[[#This Row],[city]]="TODAY","-",C756+1))</f>
        <v/>
      </c>
      <c r="D757" s="1393" t="inlineStr">
        <is>
          <t>SP</t>
        </is>
      </c>
      <c r="E757" s="1394" t="n">
        <v>37712</v>
      </c>
      <c r="F757" s="1394" t="n">
        <v>37742</v>
      </c>
      <c r="G757" s="1393" t="inlineStr">
        <is>
          <t>-</t>
        </is>
      </c>
      <c r="H757" s="1393" t="inlineStr">
        <is>
          <t>Joao Moura</t>
        </is>
      </c>
      <c r="I757" s="1393" t="inlineStr">
        <is>
          <t>-</t>
        </is>
      </c>
      <c r="J757" s="1393" t="inlineStr">
        <is>
          <t>-</t>
        </is>
      </c>
      <c r="K757" s="1395">
        <f>IF(raw[[#This Row],[city]]&lt;&gt;"",_xlfn.XLOOKUP($D757,ccc[city],ccc[prov],"-"),"-")</f>
        <v/>
      </c>
      <c r="L757" s="1395">
        <f>IF(raw[[#This Row],[city]]&lt;&gt;"",_xlfn.XLOOKUP($D757,ccc[city],ccc[ctry],"-"),"-")</f>
        <v/>
      </c>
      <c r="M757" s="1395">
        <f>IF(raw[[#This Row],[city]]&lt;&gt;"",_xlfn.XLOOKUP($D757,ccc[city],ccc[cont],"-"),"-")</f>
        <v/>
      </c>
      <c r="N757" s="1396">
        <f>IF(raw[[#This Row],[city]]="","-",IF(raw[[#This Row],[cont]]="B",raw[[#This Row],[cont]],"W"))</f>
        <v/>
      </c>
      <c r="O757" s="1397">
        <f>IF(raw[[#This Row],[out]]=0,0,IF(raw[[#This Row],[out]]=raw[[#This Row],[in]],0.01,raw[[#This Row],[out]]-raw[[#This Row],[in]]))</f>
        <v/>
      </c>
      <c r="P757" s="1397">
        <f>IF(raw[[#This Row],[in]]=0,0,MONTH(raw[[#This Row],[in]]))</f>
        <v/>
      </c>
      <c r="Q757" s="1397">
        <f>IF(raw[[#This Row],[in]]=0,0,YEAR(raw[[#This Row],[in]]))</f>
        <v/>
      </c>
      <c r="R757" s="1397">
        <f>INT(raw[[#This Row],[yr]]/10)*10</f>
        <v/>
      </c>
      <c r="S757" s="1395">
        <f>IF(raw[[#This Row],[city]]="","-",IF(raw[[#This Row],[city]]&lt;&gt;_xlfn.XLOOKUP(raw[[#This Row],[home]],homes[home],homes[city],"-"),1,0))</f>
        <v/>
      </c>
      <c r="T757" s="1398" t="inlineStr">
        <is>
          <t>.</t>
        </is>
      </c>
      <c r="U757" s="1399">
        <f>IF(raw[[#This Row],[wb]]="w",raw[[#This Row],[stay]]+U756,U756)</f>
        <v/>
      </c>
      <c r="V757" s="1400">
        <f>IF(raw[[#This Row],[out]]=0,V756,(raw[[#This Row],[out]]-E$5))</f>
        <v/>
      </c>
      <c r="W757" s="1401">
        <f>U757/V757</f>
        <v/>
      </c>
      <c r="X757" s="1378" t="inlineStr">
        <is>
          <t>.</t>
        </is>
      </c>
      <c r="Y757" s="1402">
        <f/>
        <v/>
      </c>
      <c r="Z757" s="1403">
        <f/>
        <v/>
      </c>
      <c r="AA757" s="1403">
        <f/>
        <v/>
      </c>
      <c r="AB757" s="1400">
        <f t="array" ref="AB757">_xlfn.LET(_xlpm.S,_xlfn.ANCHORARRAY($Y$4),_xlpm.r,ROWS(stayCity[[#Headers],[city]]:stayCity[[#This Row],[city]])-1,IF(_xlpm.r&lt;=ROWS(_xlpm.S),INDEX(_xlpm.S,_xlpm.r,1),""))</f>
        <v/>
      </c>
      <c r="AC757" s="1405">
        <f t="array" ref="AC757">_xlfn.LET(_xlpm.S,_xlfn.ANCHORARRAY($Y$4),_xlpm.r,ROWS(stayCity[[#Headers],[city]]:stayCity[[#This Row],[city]])-1,IF(_xlpm.r&lt;=ROWS(_xlpm.S),INDEX(_xlpm.S,_xlpm.r,2),""))</f>
        <v/>
      </c>
      <c r="AD757" s="1405">
        <f t="array" ref="AD757">_xlfn.LET(_xlpm.S,_xlfn.ANCHORARRAY($Y$4),_xlpm.r,ROWS(stayCity[[#Headers],[city]]:stayCity[[#This Row],[city]])-1,IF(_xlpm.r&lt;=ROWS(_xlpm.S),INDEX(_xlpm.S,_xlpm.r,3),""))</f>
        <v/>
      </c>
      <c r="AE757" s="1400">
        <f>IF(stayCity[[#This Row],[out]]&lt;&gt;"",stayCity[[#This Row],[out]]-stayCity[[#This Row],[in]],"-")</f>
        <v/>
      </c>
      <c r="AF757" s="1406">
        <f>IF(Y757="","-",YEAR(stayCity[[#This Row],[in]]))</f>
        <v/>
      </c>
      <c r="AG757" s="1392" t="n"/>
      <c r="AH757" s="1392" t="n"/>
      <c r="AI757" s="1392" t="n"/>
      <c r="AJ757" s="1392" t="n"/>
      <c r="AK757" s="1392" t="n"/>
      <c r="AL757" s="1392" t="n"/>
      <c r="AM757" s="1392" t="n"/>
      <c r="AN757" s="1392" t="n"/>
      <c r="AO757" s="1392" t="n"/>
      <c r="AP757" s="1392" t="n"/>
      <c r="AQ757" s="1392" t="n"/>
      <c r="AR757" s="1392" t="n"/>
      <c r="AS757" s="1422" t="n"/>
      <c r="AT757" s="1392" t="n"/>
      <c r="AU757" s="1392" t="n"/>
      <c r="AV757" s="1392" t="n"/>
      <c r="AW757" s="1392" t="n"/>
      <c r="AX757" s="1392" t="n"/>
      <c r="AY757" s="1392" t="n"/>
      <c r="AZ757" s="1392" t="n"/>
      <c r="BA757" s="1392" t="n"/>
      <c r="BB757" s="1422" t="n"/>
      <c r="BC757" s="1392" t="n"/>
      <c r="BD757" s="1392" t="n"/>
      <c r="BE757" s="1392" t="n"/>
      <c r="BF757" s="1392" t="n"/>
      <c r="BG757" s="1392" t="n"/>
      <c r="BH757" s="1392" t="n"/>
      <c r="BI757" s="1392" t="n"/>
      <c r="BJ757" s="1392" t="n"/>
      <c r="BK757" s="1392" t="n"/>
      <c r="BL757" s="1392" t="n"/>
      <c r="BM757" s="1392" t="n"/>
      <c r="BN757" s="1392" t="n"/>
      <c r="BO757" s="1392" t="n"/>
      <c r="BP757" s="1392" t="n"/>
      <c r="BQ757" s="1392" t="n"/>
      <c r="BR757" s="1392" t="n"/>
      <c r="BS757" s="1392" t="n"/>
      <c r="BT757" s="1392" t="n"/>
      <c r="BU757" s="1416" t="n"/>
      <c r="BV757" s="1392" t="n"/>
      <c r="BW757" s="1392" t="n"/>
      <c r="BX757" s="1392" t="n"/>
      <c r="BY757" s="1392" t="n"/>
      <c r="BZ757" s="1416" t="n"/>
      <c r="CA757" s="1392" t="n"/>
      <c r="CB757" s="1392" t="n"/>
      <c r="CC757" s="1392" t="n"/>
      <c r="CD757" s="1392" t="n"/>
      <c r="CE757" s="1392" t="n"/>
      <c r="CF757" s="1392" t="n"/>
      <c r="CG757" s="1392" t="n"/>
      <c r="CH757" s="1392" t="n"/>
      <c r="CI757" s="1392" t="n"/>
      <c r="CJ757" s="1392" t="n"/>
      <c r="CK757" s="1392" t="n"/>
      <c r="CL757" s="1392" t="n"/>
    </row>
    <row r="758">
      <c r="A758" s="5" t="inlineStr">
        <is>
          <t>.</t>
        </is>
      </c>
      <c r="B758" s="5" t="inlineStr">
        <is>
          <t>.</t>
        </is>
      </c>
      <c r="C758" s="1378">
        <f>IF(raw[[#This Row],[city]]="","-",IF(raw[[#This Row],[city]]="TODAY","-",C757+1))</f>
        <v/>
      </c>
      <c r="D758" s="1393" t="inlineStr">
        <is>
          <t>SP</t>
        </is>
      </c>
      <c r="E758" s="1394" t="n">
        <v>37742</v>
      </c>
      <c r="F758" s="1394" t="n">
        <v>37767</v>
      </c>
      <c r="G758" s="1393" t="inlineStr">
        <is>
          <t>-</t>
        </is>
      </c>
      <c r="H758" s="1393" t="inlineStr">
        <is>
          <t>Joao Moura</t>
        </is>
      </c>
      <c r="I758" s="1393" t="inlineStr">
        <is>
          <t>-</t>
        </is>
      </c>
      <c r="J758" s="1393" t="inlineStr">
        <is>
          <t>-</t>
        </is>
      </c>
      <c r="K758" s="1395">
        <f>IF(raw[[#This Row],[city]]&lt;&gt;"",_xlfn.XLOOKUP($D758,ccc[city],ccc[prov],"-"),"-")</f>
        <v/>
      </c>
      <c r="L758" s="1395">
        <f>IF(raw[[#This Row],[city]]&lt;&gt;"",_xlfn.XLOOKUP($D758,ccc[city],ccc[ctry],"-"),"-")</f>
        <v/>
      </c>
      <c r="M758" s="1395">
        <f>IF(raw[[#This Row],[city]]&lt;&gt;"",_xlfn.XLOOKUP($D758,ccc[city],ccc[cont],"-"),"-")</f>
        <v/>
      </c>
      <c r="N758" s="1396">
        <f>IF(raw[[#This Row],[city]]="","-",IF(raw[[#This Row],[cont]]="B",raw[[#This Row],[cont]],"W"))</f>
        <v/>
      </c>
      <c r="O758" s="1397">
        <f>IF(raw[[#This Row],[out]]=0,0,IF(raw[[#This Row],[out]]=raw[[#This Row],[in]],0.01,raw[[#This Row],[out]]-raw[[#This Row],[in]]))</f>
        <v/>
      </c>
      <c r="P758" s="1397">
        <f>IF(raw[[#This Row],[in]]=0,0,MONTH(raw[[#This Row],[in]]))</f>
        <v/>
      </c>
      <c r="Q758" s="1397">
        <f>IF(raw[[#This Row],[in]]=0,0,YEAR(raw[[#This Row],[in]]))</f>
        <v/>
      </c>
      <c r="R758" s="1397">
        <f>INT(raw[[#This Row],[yr]]/10)*10</f>
        <v/>
      </c>
      <c r="S758" s="1395">
        <f>IF(raw[[#This Row],[city]]="","-",IF(raw[[#This Row],[city]]&lt;&gt;_xlfn.XLOOKUP(raw[[#This Row],[home]],homes[home],homes[city],"-"),1,0))</f>
        <v/>
      </c>
      <c r="T758" s="1398" t="inlineStr">
        <is>
          <t>.</t>
        </is>
      </c>
      <c r="U758" s="1399">
        <f>IF(raw[[#This Row],[wb]]="w",raw[[#This Row],[stay]]+U757,U757)</f>
        <v/>
      </c>
      <c r="V758" s="1400">
        <f>IF(raw[[#This Row],[out]]=0,V757,(raw[[#This Row],[out]]-E$5))</f>
        <v/>
      </c>
      <c r="W758" s="1401">
        <f>U758/V758</f>
        <v/>
      </c>
      <c r="X758" s="1378" t="inlineStr">
        <is>
          <t>.</t>
        </is>
      </c>
      <c r="Y758" s="1402">
        <f/>
        <v/>
      </c>
      <c r="Z758" s="1403">
        <f/>
        <v/>
      </c>
      <c r="AA758" s="1403">
        <f/>
        <v/>
      </c>
      <c r="AB758" s="1400">
        <f t="array" ref="AB758">_xlfn.LET(_xlpm.S,_xlfn.ANCHORARRAY($Y$4),_xlpm.r,ROWS(stayCity[[#Headers],[city]]:stayCity[[#This Row],[city]])-1,IF(_xlpm.r&lt;=ROWS(_xlpm.S),INDEX(_xlpm.S,_xlpm.r,1),""))</f>
        <v/>
      </c>
      <c r="AC758" s="1405">
        <f t="array" ref="AC758">_xlfn.LET(_xlpm.S,_xlfn.ANCHORARRAY($Y$4),_xlpm.r,ROWS(stayCity[[#Headers],[city]]:stayCity[[#This Row],[city]])-1,IF(_xlpm.r&lt;=ROWS(_xlpm.S),INDEX(_xlpm.S,_xlpm.r,2),""))</f>
        <v/>
      </c>
      <c r="AD758" s="1405">
        <f t="array" ref="AD758">_xlfn.LET(_xlpm.S,_xlfn.ANCHORARRAY($Y$4),_xlpm.r,ROWS(stayCity[[#Headers],[city]]:stayCity[[#This Row],[city]])-1,IF(_xlpm.r&lt;=ROWS(_xlpm.S),INDEX(_xlpm.S,_xlpm.r,3),""))</f>
        <v/>
      </c>
      <c r="AE758" s="1400">
        <f>IF(stayCity[[#This Row],[out]]&lt;&gt;"",stayCity[[#This Row],[out]]-stayCity[[#This Row],[in]],"-")</f>
        <v/>
      </c>
      <c r="AF758" s="1406">
        <f>IF(Y758="","-",YEAR(stayCity[[#This Row],[in]]))</f>
        <v/>
      </c>
      <c r="AG758" s="1392" t="n"/>
      <c r="AH758" s="1392" t="n"/>
      <c r="AI758" s="1392" t="n"/>
      <c r="AJ758" s="1392" t="n"/>
      <c r="AK758" s="1392" t="n"/>
      <c r="AL758" s="1392" t="n"/>
      <c r="AM758" s="1392" t="n"/>
      <c r="AN758" s="1392" t="n"/>
      <c r="AO758" s="1392" t="n"/>
      <c r="AP758" s="1392" t="n"/>
      <c r="AQ758" s="1392" t="n"/>
      <c r="AR758" s="1392" t="n"/>
      <c r="AS758" s="1422" t="n"/>
      <c r="AT758" s="1392" t="n"/>
      <c r="AU758" s="1392" t="n"/>
      <c r="AV758" s="1392" t="n"/>
      <c r="AW758" s="1392" t="n"/>
      <c r="AX758" s="1392" t="n"/>
      <c r="AY758" s="1392" t="n"/>
      <c r="AZ758" s="1392" t="n"/>
      <c r="BA758" s="1392" t="n"/>
      <c r="BB758" s="1422" t="n"/>
      <c r="BC758" s="1392" t="n"/>
      <c r="BD758" s="1392" t="n"/>
      <c r="BE758" s="1392" t="n"/>
      <c r="BF758" s="1392" t="n"/>
      <c r="BG758" s="1392" t="n"/>
      <c r="BH758" s="1392" t="n"/>
      <c r="BI758" s="1392" t="n"/>
      <c r="BJ758" s="1392" t="n"/>
      <c r="BK758" s="1392" t="n"/>
      <c r="BL758" s="1392" t="n"/>
      <c r="BM758" s="1392" t="n"/>
      <c r="BN758" s="1392" t="n"/>
      <c r="BO758" s="1392" t="n"/>
      <c r="BP758" s="1392" t="n"/>
      <c r="BQ758" s="1392" t="n"/>
      <c r="BR758" s="1392" t="n"/>
      <c r="BS758" s="1392" t="n"/>
      <c r="BT758" s="1392" t="n"/>
      <c r="BU758" s="1416" t="n"/>
      <c r="BV758" s="1392" t="n"/>
      <c r="BW758" s="1392" t="n"/>
      <c r="BX758" s="1392" t="n"/>
      <c r="BY758" s="1392" t="n"/>
      <c r="BZ758" s="1416" t="n"/>
      <c r="CA758" s="1392" t="n"/>
      <c r="CB758" s="1392" t="n"/>
      <c r="CC758" s="1392" t="n"/>
      <c r="CD758" s="1392" t="n"/>
      <c r="CE758" s="1392" t="n"/>
      <c r="CF758" s="1392" t="n"/>
      <c r="CG758" s="1392" t="n"/>
      <c r="CH758" s="1392" t="n"/>
      <c r="CI758" s="1392" t="n"/>
      <c r="CJ758" s="1392" t="n"/>
      <c r="CK758" s="1392" t="n"/>
      <c r="CL758" s="1392" t="n"/>
    </row>
    <row r="759">
      <c r="A759" s="5" t="inlineStr">
        <is>
          <t>.</t>
        </is>
      </c>
      <c r="B759" s="5" t="inlineStr">
        <is>
          <t>.</t>
        </is>
      </c>
      <c r="C759" s="1378">
        <f>IF(raw[[#This Row],[city]]="","-",IF(raw[[#This Row],[city]]="TODAY","-",C758+1))</f>
        <v/>
      </c>
      <c r="D759" s="1393" t="inlineStr">
        <is>
          <t>Campinas</t>
        </is>
      </c>
      <c r="E759" s="1394" t="n">
        <v>37767</v>
      </c>
      <c r="F759" s="1394" t="n">
        <v>37768</v>
      </c>
      <c r="G759" s="1393" t="inlineStr">
        <is>
          <t>-</t>
        </is>
      </c>
      <c r="H759" s="1393" t="inlineStr">
        <is>
          <t>Joao Moura</t>
        </is>
      </c>
      <c r="I759" s="1393" t="inlineStr">
        <is>
          <t>-</t>
        </is>
      </c>
      <c r="J759" s="1393" t="inlineStr">
        <is>
          <t>-</t>
        </is>
      </c>
      <c r="K759" s="1395">
        <f>IF(raw[[#This Row],[city]]&lt;&gt;"",_xlfn.XLOOKUP($D759,ccc[city],ccc[prov],"-"),"-")</f>
        <v/>
      </c>
      <c r="L759" s="1395">
        <f>IF(raw[[#This Row],[city]]&lt;&gt;"",_xlfn.XLOOKUP($D759,ccc[city],ccc[ctry],"-"),"-")</f>
        <v/>
      </c>
      <c r="M759" s="1395">
        <f>IF(raw[[#This Row],[city]]&lt;&gt;"",_xlfn.XLOOKUP($D759,ccc[city],ccc[cont],"-"),"-")</f>
        <v/>
      </c>
      <c r="N759" s="1396">
        <f>IF(raw[[#This Row],[city]]="","-",IF(raw[[#This Row],[cont]]="B",raw[[#This Row],[cont]],"W"))</f>
        <v/>
      </c>
      <c r="O759" s="1397">
        <f>IF(raw[[#This Row],[out]]=0,0,IF(raw[[#This Row],[out]]=raw[[#This Row],[in]],0.01,raw[[#This Row],[out]]-raw[[#This Row],[in]]))</f>
        <v/>
      </c>
      <c r="P759" s="1397">
        <f>IF(raw[[#This Row],[in]]=0,0,MONTH(raw[[#This Row],[in]]))</f>
        <v/>
      </c>
      <c r="Q759" s="1397">
        <f>IF(raw[[#This Row],[in]]=0,0,YEAR(raw[[#This Row],[in]]))</f>
        <v/>
      </c>
      <c r="R759" s="1397">
        <f>INT(raw[[#This Row],[yr]]/10)*10</f>
        <v/>
      </c>
      <c r="S759" s="1395">
        <f>IF(raw[[#This Row],[city]]="","-",IF(raw[[#This Row],[city]]&lt;&gt;_xlfn.XLOOKUP(raw[[#This Row],[home]],homes[home],homes[city],"-"),1,0))</f>
        <v/>
      </c>
      <c r="T759" s="1398" t="inlineStr">
        <is>
          <t>.</t>
        </is>
      </c>
      <c r="U759" s="1399">
        <f>IF(raw[[#This Row],[wb]]="w",raw[[#This Row],[stay]]+U758,U758)</f>
        <v/>
      </c>
      <c r="V759" s="1400">
        <f>IF(raw[[#This Row],[out]]=0,V758,(raw[[#This Row],[out]]-E$5))</f>
        <v/>
      </c>
      <c r="W759" s="1401">
        <f>U759/V759</f>
        <v/>
      </c>
      <c r="X759" s="1378" t="inlineStr">
        <is>
          <t>.</t>
        </is>
      </c>
      <c r="Y759" s="1402">
        <f/>
        <v/>
      </c>
      <c r="Z759" s="1403">
        <f/>
        <v/>
      </c>
      <c r="AA759" s="1403">
        <f/>
        <v/>
      </c>
      <c r="AB759" s="1400">
        <f t="array" ref="AB759">_xlfn.LET(_xlpm.S,_xlfn.ANCHORARRAY($Y$4),_xlpm.r,ROWS(stayCity[[#Headers],[city]]:stayCity[[#This Row],[city]])-1,IF(_xlpm.r&lt;=ROWS(_xlpm.S),INDEX(_xlpm.S,_xlpm.r,1),""))</f>
        <v/>
      </c>
      <c r="AC759" s="1405">
        <f t="array" ref="AC759">_xlfn.LET(_xlpm.S,_xlfn.ANCHORARRAY($Y$4),_xlpm.r,ROWS(stayCity[[#Headers],[city]]:stayCity[[#This Row],[city]])-1,IF(_xlpm.r&lt;=ROWS(_xlpm.S),INDEX(_xlpm.S,_xlpm.r,2),""))</f>
        <v/>
      </c>
      <c r="AD759" s="1405">
        <f t="array" ref="AD759">_xlfn.LET(_xlpm.S,_xlfn.ANCHORARRAY($Y$4),_xlpm.r,ROWS(stayCity[[#Headers],[city]]:stayCity[[#This Row],[city]])-1,IF(_xlpm.r&lt;=ROWS(_xlpm.S),INDEX(_xlpm.S,_xlpm.r,3),""))</f>
        <v/>
      </c>
      <c r="AE759" s="1400">
        <f>IF(stayCity[[#This Row],[out]]&lt;&gt;"",stayCity[[#This Row],[out]]-stayCity[[#This Row],[in]],"-")</f>
        <v/>
      </c>
      <c r="AF759" s="1406">
        <f>IF(Y759="","-",YEAR(stayCity[[#This Row],[in]]))</f>
        <v/>
      </c>
      <c r="AG759" s="1392" t="n"/>
      <c r="AH759" s="1392" t="n"/>
      <c r="AI759" s="1392" t="n"/>
      <c r="AJ759" s="1392" t="n"/>
      <c r="AK759" s="1392" t="n"/>
      <c r="AL759" s="1392" t="n"/>
      <c r="AM759" s="1392" t="n"/>
      <c r="AN759" s="1392" t="n"/>
      <c r="AO759" s="1392" t="n"/>
      <c r="AP759" s="1392" t="n"/>
      <c r="AQ759" s="1392" t="n"/>
      <c r="AR759" s="1392" t="n"/>
      <c r="AS759" s="1422" t="n"/>
      <c r="AT759" s="1392" t="n"/>
      <c r="AU759" s="1392" t="n"/>
      <c r="AV759" s="1392" t="n"/>
      <c r="AW759" s="1392" t="n"/>
      <c r="AX759" s="1392" t="n"/>
      <c r="AY759" s="1392" t="n"/>
      <c r="AZ759" s="1392" t="n"/>
      <c r="BA759" s="1392" t="n"/>
      <c r="BB759" s="1422" t="n"/>
      <c r="BC759" s="1392" t="n"/>
      <c r="BD759" s="1392" t="n"/>
      <c r="BE759" s="1392" t="n"/>
      <c r="BF759" s="1392" t="n"/>
      <c r="BG759" s="1392" t="n"/>
      <c r="BH759" s="1392" t="n"/>
      <c r="BI759" s="1392" t="n"/>
      <c r="BJ759" s="1392" t="n"/>
      <c r="BK759" s="1392" t="n"/>
      <c r="BL759" s="1392" t="n"/>
      <c r="BM759" s="1392" t="n"/>
      <c r="BN759" s="1392" t="n"/>
      <c r="BO759" s="1392" t="n"/>
      <c r="BP759" s="1392" t="n"/>
      <c r="BQ759" s="1392" t="n"/>
      <c r="BR759" s="1392" t="n"/>
      <c r="BS759" s="1392" t="n"/>
      <c r="BT759" s="1392" t="n"/>
      <c r="BU759" s="1416" t="n"/>
      <c r="BV759" s="1392" t="n"/>
      <c r="BW759" s="1392" t="n"/>
      <c r="BX759" s="1392" t="n"/>
      <c r="BY759" s="1392" t="n"/>
      <c r="BZ759" s="1416" t="n"/>
      <c r="CA759" s="1392" t="n"/>
      <c r="CB759" s="1392" t="n"/>
      <c r="CC759" s="1392" t="n"/>
      <c r="CD759" s="1392" t="n"/>
      <c r="CE759" s="1392" t="n"/>
      <c r="CF759" s="1392" t="n"/>
      <c r="CG759" s="1392" t="n"/>
      <c r="CH759" s="1392" t="n"/>
      <c r="CI759" s="1392" t="n"/>
      <c r="CJ759" s="1392" t="n"/>
      <c r="CK759" s="1392" t="n"/>
      <c r="CL759" s="1392" t="n"/>
    </row>
    <row r="760">
      <c r="A760" s="5" t="inlineStr">
        <is>
          <t>.</t>
        </is>
      </c>
      <c r="B760" s="5" t="inlineStr">
        <is>
          <t>.</t>
        </is>
      </c>
      <c r="C760" s="1378">
        <f>IF(raw[[#This Row],[city]]="","-",IF(raw[[#This Row],[city]]="TODAY","-",C759+1))</f>
        <v/>
      </c>
      <c r="D760" s="1393" t="inlineStr">
        <is>
          <t>SP</t>
        </is>
      </c>
      <c r="E760" s="1394" t="n">
        <v>37768</v>
      </c>
      <c r="F760" s="1394" t="n">
        <v>37773</v>
      </c>
      <c r="G760" s="1393" t="inlineStr">
        <is>
          <t>-</t>
        </is>
      </c>
      <c r="H760" s="1393" t="inlineStr">
        <is>
          <t>Joao Moura</t>
        </is>
      </c>
      <c r="I760" s="1393" t="inlineStr">
        <is>
          <t>-</t>
        </is>
      </c>
      <c r="J760" s="1393" t="inlineStr">
        <is>
          <t>-</t>
        </is>
      </c>
      <c r="K760" s="1395">
        <f>IF(raw[[#This Row],[city]]&lt;&gt;"",_xlfn.XLOOKUP($D760,ccc[city],ccc[prov],"-"),"-")</f>
        <v/>
      </c>
      <c r="L760" s="1395">
        <f>IF(raw[[#This Row],[city]]&lt;&gt;"",_xlfn.XLOOKUP($D760,ccc[city],ccc[ctry],"-"),"-")</f>
        <v/>
      </c>
      <c r="M760" s="1395">
        <f>IF(raw[[#This Row],[city]]&lt;&gt;"",_xlfn.XLOOKUP($D760,ccc[city],ccc[cont],"-"),"-")</f>
        <v/>
      </c>
      <c r="N760" s="1396">
        <f>IF(raw[[#This Row],[city]]="","-",IF(raw[[#This Row],[cont]]="B",raw[[#This Row],[cont]],"W"))</f>
        <v/>
      </c>
      <c r="O760" s="1397">
        <f>IF(raw[[#This Row],[out]]=0,0,IF(raw[[#This Row],[out]]=raw[[#This Row],[in]],0.01,raw[[#This Row],[out]]-raw[[#This Row],[in]]))</f>
        <v/>
      </c>
      <c r="P760" s="1397">
        <f>IF(raw[[#This Row],[in]]=0,0,MONTH(raw[[#This Row],[in]]))</f>
        <v/>
      </c>
      <c r="Q760" s="1397">
        <f>IF(raw[[#This Row],[in]]=0,0,YEAR(raw[[#This Row],[in]]))</f>
        <v/>
      </c>
      <c r="R760" s="1397">
        <f>INT(raw[[#This Row],[yr]]/10)*10</f>
        <v/>
      </c>
      <c r="S760" s="1395">
        <f>IF(raw[[#This Row],[city]]="","-",IF(raw[[#This Row],[city]]&lt;&gt;_xlfn.XLOOKUP(raw[[#This Row],[home]],homes[home],homes[city],"-"),1,0))</f>
        <v/>
      </c>
      <c r="T760" s="1398" t="inlineStr">
        <is>
          <t>.</t>
        </is>
      </c>
      <c r="U760" s="1399">
        <f>IF(raw[[#This Row],[wb]]="w",raw[[#This Row],[stay]]+U759,U759)</f>
        <v/>
      </c>
      <c r="V760" s="1400">
        <f>IF(raw[[#This Row],[out]]=0,V759,(raw[[#This Row],[out]]-E$5))</f>
        <v/>
      </c>
      <c r="W760" s="1401">
        <f>U760/V760</f>
        <v/>
      </c>
      <c r="X760" s="1378" t="inlineStr">
        <is>
          <t>.</t>
        </is>
      </c>
      <c r="Y760" s="1402">
        <f/>
        <v/>
      </c>
      <c r="Z760" s="1403">
        <f/>
        <v/>
      </c>
      <c r="AA760" s="1403">
        <f/>
        <v/>
      </c>
      <c r="AB760" s="1400">
        <f t="array" ref="AB760">_xlfn.LET(_xlpm.S,_xlfn.ANCHORARRAY($Y$4),_xlpm.r,ROWS(stayCity[[#Headers],[city]]:stayCity[[#This Row],[city]])-1,IF(_xlpm.r&lt;=ROWS(_xlpm.S),INDEX(_xlpm.S,_xlpm.r,1),""))</f>
        <v/>
      </c>
      <c r="AC760" s="1405">
        <f t="array" ref="AC760">_xlfn.LET(_xlpm.S,_xlfn.ANCHORARRAY($Y$4),_xlpm.r,ROWS(stayCity[[#Headers],[city]]:stayCity[[#This Row],[city]])-1,IF(_xlpm.r&lt;=ROWS(_xlpm.S),INDEX(_xlpm.S,_xlpm.r,2),""))</f>
        <v/>
      </c>
      <c r="AD760" s="1405">
        <f t="array" ref="AD760">_xlfn.LET(_xlpm.S,_xlfn.ANCHORARRAY($Y$4),_xlpm.r,ROWS(stayCity[[#Headers],[city]]:stayCity[[#This Row],[city]])-1,IF(_xlpm.r&lt;=ROWS(_xlpm.S),INDEX(_xlpm.S,_xlpm.r,3),""))</f>
        <v/>
      </c>
      <c r="AE760" s="1400">
        <f>IF(stayCity[[#This Row],[out]]&lt;&gt;"",stayCity[[#This Row],[out]]-stayCity[[#This Row],[in]],"-")</f>
        <v/>
      </c>
      <c r="AF760" s="1406">
        <f>IF(Y760="","-",YEAR(stayCity[[#This Row],[in]]))</f>
        <v/>
      </c>
      <c r="AG760" s="1392" t="n"/>
      <c r="AH760" s="1392" t="n"/>
      <c r="AI760" s="1392" t="n"/>
      <c r="AJ760" s="1392" t="n"/>
      <c r="AK760" s="1392" t="n"/>
      <c r="AL760" s="1392" t="n"/>
      <c r="AM760" s="1392" t="n"/>
      <c r="AN760" s="1392" t="n"/>
      <c r="AO760" s="1392" t="n"/>
      <c r="AP760" s="1392" t="n"/>
      <c r="AQ760" s="1392" t="n"/>
      <c r="AR760" s="1392" t="n"/>
      <c r="AS760" s="1422" t="n"/>
      <c r="AT760" s="1392" t="n"/>
      <c r="AU760" s="1392" t="n"/>
      <c r="AV760" s="1392" t="n"/>
      <c r="AW760" s="1392" t="n"/>
      <c r="AX760" s="1392" t="n"/>
      <c r="AY760" s="1392" t="n"/>
      <c r="AZ760" s="1392" t="n"/>
      <c r="BA760" s="1392" t="n"/>
      <c r="BB760" s="1422" t="n"/>
      <c r="BC760" s="1392" t="n"/>
      <c r="BD760" s="1392" t="n"/>
      <c r="BE760" s="1392" t="n"/>
      <c r="BF760" s="1392" t="n"/>
      <c r="BG760" s="1392" t="n"/>
      <c r="BH760" s="1392" t="n"/>
      <c r="BI760" s="1392" t="n"/>
      <c r="BJ760" s="1392" t="n"/>
      <c r="BK760" s="1392" t="n"/>
      <c r="BL760" s="1392" t="n"/>
      <c r="BM760" s="1392" t="n"/>
      <c r="BN760" s="1392" t="n"/>
      <c r="BO760" s="1392" t="n"/>
      <c r="BP760" s="1392" t="n"/>
      <c r="BQ760" s="1392" t="n"/>
      <c r="BR760" s="1392" t="n"/>
      <c r="BS760" s="1392" t="n"/>
      <c r="BT760" s="1392" t="n"/>
      <c r="BU760" s="1416" t="n"/>
      <c r="BV760" s="1392" t="n"/>
      <c r="BW760" s="1392" t="n"/>
      <c r="BX760" s="1392" t="n"/>
      <c r="BY760" s="1392" t="n"/>
      <c r="BZ760" s="1416" t="n"/>
      <c r="CA760" s="1392" t="n"/>
      <c r="CB760" s="1392" t="n"/>
      <c r="CC760" s="1392" t="n"/>
      <c r="CD760" s="1392" t="n"/>
      <c r="CE760" s="1392" t="n"/>
      <c r="CF760" s="1392" t="n"/>
      <c r="CG760" s="1392" t="n"/>
      <c r="CH760" s="1392" t="n"/>
      <c r="CI760" s="1392" t="n"/>
      <c r="CJ760" s="1392" t="n"/>
      <c r="CK760" s="1392" t="n"/>
      <c r="CL760" s="1392" t="n"/>
    </row>
    <row r="761">
      <c r="A761" s="5" t="inlineStr">
        <is>
          <t>.</t>
        </is>
      </c>
      <c r="B761" s="5" t="inlineStr">
        <is>
          <t>.</t>
        </is>
      </c>
      <c r="C761" s="1378">
        <f>IF(raw[[#This Row],[city]]="","-",IF(raw[[#This Row],[city]]="TODAY","-",C760+1))</f>
        <v/>
      </c>
      <c r="D761" s="1393" t="inlineStr">
        <is>
          <t>SP</t>
        </is>
      </c>
      <c r="E761" s="1394" t="n">
        <v>37773</v>
      </c>
      <c r="F761" s="1394" t="n">
        <v>37803</v>
      </c>
      <c r="G761" s="1393" t="inlineStr">
        <is>
          <t>-</t>
        </is>
      </c>
      <c r="H761" s="1393" t="inlineStr">
        <is>
          <t>Joao Moura</t>
        </is>
      </c>
      <c r="I761" s="1393" t="inlineStr">
        <is>
          <t>-</t>
        </is>
      </c>
      <c r="J761" s="1393" t="inlineStr">
        <is>
          <t>-</t>
        </is>
      </c>
      <c r="K761" s="1395">
        <f>IF(raw[[#This Row],[city]]&lt;&gt;"",_xlfn.XLOOKUP($D761,ccc[city],ccc[prov],"-"),"-")</f>
        <v/>
      </c>
      <c r="L761" s="1395">
        <f>IF(raw[[#This Row],[city]]&lt;&gt;"",_xlfn.XLOOKUP($D761,ccc[city],ccc[ctry],"-"),"-")</f>
        <v/>
      </c>
      <c r="M761" s="1395">
        <f>IF(raw[[#This Row],[city]]&lt;&gt;"",_xlfn.XLOOKUP($D761,ccc[city],ccc[cont],"-"),"-")</f>
        <v/>
      </c>
      <c r="N761" s="1396">
        <f>IF(raw[[#This Row],[city]]="","-",IF(raw[[#This Row],[cont]]="B",raw[[#This Row],[cont]],"W"))</f>
        <v/>
      </c>
      <c r="O761" s="1397">
        <f>IF(raw[[#This Row],[out]]=0,0,IF(raw[[#This Row],[out]]=raw[[#This Row],[in]],0.01,raw[[#This Row],[out]]-raw[[#This Row],[in]]))</f>
        <v/>
      </c>
      <c r="P761" s="1397">
        <f>IF(raw[[#This Row],[in]]=0,0,MONTH(raw[[#This Row],[in]]))</f>
        <v/>
      </c>
      <c r="Q761" s="1397">
        <f>IF(raw[[#This Row],[in]]=0,0,YEAR(raw[[#This Row],[in]]))</f>
        <v/>
      </c>
      <c r="R761" s="1397">
        <f>INT(raw[[#This Row],[yr]]/10)*10</f>
        <v/>
      </c>
      <c r="S761" s="1395">
        <f>IF(raw[[#This Row],[city]]="","-",IF(raw[[#This Row],[city]]&lt;&gt;_xlfn.XLOOKUP(raw[[#This Row],[home]],homes[home],homes[city],"-"),1,0))</f>
        <v/>
      </c>
      <c r="T761" s="1398" t="inlineStr">
        <is>
          <t>.</t>
        </is>
      </c>
      <c r="U761" s="1399">
        <f>IF(raw[[#This Row],[wb]]="w",raw[[#This Row],[stay]]+U760,U760)</f>
        <v/>
      </c>
      <c r="V761" s="1400">
        <f>IF(raw[[#This Row],[out]]=0,V760,(raw[[#This Row],[out]]-E$5))</f>
        <v/>
      </c>
      <c r="W761" s="1401">
        <f>U761/V761</f>
        <v/>
      </c>
      <c r="X761" s="1378" t="inlineStr">
        <is>
          <t>.</t>
        </is>
      </c>
      <c r="Y761" s="1402">
        <f/>
        <v/>
      </c>
      <c r="Z761" s="1403">
        <f/>
        <v/>
      </c>
      <c r="AA761" s="1403">
        <f/>
        <v/>
      </c>
      <c r="AB761" s="1400">
        <f t="array" ref="AB761">_xlfn.LET(_xlpm.S,_xlfn.ANCHORARRAY($Y$4),_xlpm.r,ROWS(stayCity[[#Headers],[city]]:stayCity[[#This Row],[city]])-1,IF(_xlpm.r&lt;=ROWS(_xlpm.S),INDEX(_xlpm.S,_xlpm.r,1),""))</f>
        <v/>
      </c>
      <c r="AC761" s="1405">
        <f t="array" ref="AC761">_xlfn.LET(_xlpm.S,_xlfn.ANCHORARRAY($Y$4),_xlpm.r,ROWS(stayCity[[#Headers],[city]]:stayCity[[#This Row],[city]])-1,IF(_xlpm.r&lt;=ROWS(_xlpm.S),INDEX(_xlpm.S,_xlpm.r,2),""))</f>
        <v/>
      </c>
      <c r="AD761" s="1405">
        <f t="array" ref="AD761">_xlfn.LET(_xlpm.S,_xlfn.ANCHORARRAY($Y$4),_xlpm.r,ROWS(stayCity[[#Headers],[city]]:stayCity[[#This Row],[city]])-1,IF(_xlpm.r&lt;=ROWS(_xlpm.S),INDEX(_xlpm.S,_xlpm.r,3),""))</f>
        <v/>
      </c>
      <c r="AE761" s="1400">
        <f>IF(stayCity[[#This Row],[out]]&lt;&gt;"",stayCity[[#This Row],[out]]-stayCity[[#This Row],[in]],"-")</f>
        <v/>
      </c>
      <c r="AF761" s="1406">
        <f>IF(Y761="","-",YEAR(stayCity[[#This Row],[in]]))</f>
        <v/>
      </c>
      <c r="AG761" s="1392" t="n"/>
      <c r="AH761" s="1392" t="n"/>
      <c r="AI761" s="1392" t="n"/>
      <c r="AJ761" s="1392" t="n"/>
      <c r="AK761" s="1392" t="n"/>
      <c r="AL761" s="1392" t="n"/>
      <c r="AM761" s="1392" t="n"/>
      <c r="AN761" s="1392" t="n"/>
      <c r="AO761" s="1392" t="n"/>
      <c r="AP761" s="1392" t="n"/>
      <c r="AQ761" s="1392" t="n"/>
      <c r="AR761" s="1392" t="n"/>
      <c r="AS761" s="1422" t="n"/>
      <c r="AT761" s="1392" t="n"/>
      <c r="AU761" s="1392" t="n"/>
      <c r="AV761" s="1392" t="n"/>
      <c r="AW761" s="1392" t="n"/>
      <c r="AX761" s="1392" t="n"/>
      <c r="AY761" s="1392" t="n"/>
      <c r="AZ761" s="1392" t="n"/>
      <c r="BA761" s="1392" t="n"/>
      <c r="BB761" s="1422" t="n"/>
      <c r="BC761" s="1392" t="n"/>
      <c r="BD761" s="1392" t="n"/>
      <c r="BE761" s="1392" t="n"/>
      <c r="BF761" s="1392" t="n"/>
      <c r="BG761" s="1392" t="n"/>
      <c r="BH761" s="1392" t="n"/>
      <c r="BI761" s="1392" t="n"/>
      <c r="BJ761" s="1392" t="n"/>
      <c r="BK761" s="1392" t="n"/>
      <c r="BL761" s="1392" t="n"/>
      <c r="BM761" s="1392" t="n"/>
      <c r="BN761" s="1392" t="n"/>
      <c r="BO761" s="1392" t="n"/>
      <c r="BP761" s="1392" t="n"/>
      <c r="BQ761" s="1392" t="n"/>
      <c r="BR761" s="1392" t="n"/>
      <c r="BS761" s="1392" t="n"/>
      <c r="BT761" s="1392" t="n"/>
      <c r="BU761" s="1416" t="n"/>
      <c r="BV761" s="1392" t="n"/>
      <c r="BW761" s="1392" t="n"/>
      <c r="BX761" s="1392" t="n"/>
      <c r="BY761" s="1392" t="n"/>
      <c r="BZ761" s="1416" t="n"/>
      <c r="CA761" s="1392" t="n"/>
      <c r="CB761" s="1392" t="n"/>
      <c r="CC761" s="1392" t="n"/>
      <c r="CD761" s="1392" t="n"/>
      <c r="CE761" s="1392" t="n"/>
      <c r="CF761" s="1392" t="n"/>
      <c r="CG761" s="1392" t="n"/>
      <c r="CH761" s="1392" t="n"/>
      <c r="CI761" s="1392" t="n"/>
      <c r="CJ761" s="1392" t="n"/>
      <c r="CK761" s="1392" t="n"/>
      <c r="CL761" s="1392" t="n"/>
    </row>
    <row r="762">
      <c r="A762" s="5" t="inlineStr">
        <is>
          <t>.</t>
        </is>
      </c>
      <c r="B762" s="5" t="inlineStr">
        <is>
          <t>.</t>
        </is>
      </c>
      <c r="C762" s="1378">
        <f>IF(raw[[#This Row],[city]]="","-",IF(raw[[#This Row],[city]]="TODAY","-",C761+1))</f>
        <v/>
      </c>
      <c r="D762" s="1393" t="inlineStr">
        <is>
          <t>SP</t>
        </is>
      </c>
      <c r="E762" s="1394" t="n">
        <v>37803</v>
      </c>
      <c r="F762" s="1394" t="n">
        <v>37816</v>
      </c>
      <c r="G762" s="1393" t="n">
        <v>1</v>
      </c>
      <c r="H762" s="1393" t="inlineStr">
        <is>
          <t>Joao Moura</t>
        </is>
      </c>
      <c r="I762" s="1393" t="inlineStr">
        <is>
          <t>-</t>
        </is>
      </c>
      <c r="J762" s="1393" t="inlineStr">
        <is>
          <t>-</t>
        </is>
      </c>
      <c r="K762" s="1395">
        <f>IF(raw[[#This Row],[city]]&lt;&gt;"",_xlfn.XLOOKUP($D762,ccc[city],ccc[prov],"-"),"-")</f>
        <v/>
      </c>
      <c r="L762" s="1395">
        <f>IF(raw[[#This Row],[city]]&lt;&gt;"",_xlfn.XLOOKUP($D762,ccc[city],ccc[ctry],"-"),"-")</f>
        <v/>
      </c>
      <c r="M762" s="1395">
        <f>IF(raw[[#This Row],[city]]&lt;&gt;"",_xlfn.XLOOKUP($D762,ccc[city],ccc[cont],"-"),"-")</f>
        <v/>
      </c>
      <c r="N762" s="1396">
        <f>IF(raw[[#This Row],[city]]="","-",IF(raw[[#This Row],[cont]]="B",raw[[#This Row],[cont]],"W"))</f>
        <v/>
      </c>
      <c r="O762" s="1397">
        <f>IF(raw[[#This Row],[out]]=0,0,IF(raw[[#This Row],[out]]=raw[[#This Row],[in]],0.01,raw[[#This Row],[out]]-raw[[#This Row],[in]]))</f>
        <v/>
      </c>
      <c r="P762" s="1397">
        <f>IF(raw[[#This Row],[in]]=0,0,MONTH(raw[[#This Row],[in]]))</f>
        <v/>
      </c>
      <c r="Q762" s="1397">
        <f>IF(raw[[#This Row],[in]]=0,0,YEAR(raw[[#This Row],[in]]))</f>
        <v/>
      </c>
      <c r="R762" s="1397">
        <f>INT(raw[[#This Row],[yr]]/10)*10</f>
        <v/>
      </c>
      <c r="S762" s="1395">
        <f>IF(raw[[#This Row],[city]]="","-",IF(raw[[#This Row],[city]]&lt;&gt;_xlfn.XLOOKUP(raw[[#This Row],[home]],homes[home],homes[city],"-"),1,0))</f>
        <v/>
      </c>
      <c r="T762" s="1398" t="inlineStr">
        <is>
          <t>.</t>
        </is>
      </c>
      <c r="U762" s="1399">
        <f>IF(raw[[#This Row],[wb]]="w",raw[[#This Row],[stay]]+U761,U761)</f>
        <v/>
      </c>
      <c r="V762" s="1400">
        <f>IF(raw[[#This Row],[out]]=0,V761,(raw[[#This Row],[out]]-E$5))</f>
        <v/>
      </c>
      <c r="W762" s="1401">
        <f>U762/V762</f>
        <v/>
      </c>
      <c r="X762" s="1378" t="inlineStr">
        <is>
          <t>.</t>
        </is>
      </c>
      <c r="Y762" s="1402">
        <f/>
        <v/>
      </c>
      <c r="Z762" s="1403">
        <f/>
        <v/>
      </c>
      <c r="AA762" s="1403">
        <f/>
        <v/>
      </c>
      <c r="AB762" s="1400">
        <f t="array" ref="AB762">_xlfn.LET(_xlpm.S,_xlfn.ANCHORARRAY($Y$4),_xlpm.r,ROWS(stayCity[[#Headers],[city]]:stayCity[[#This Row],[city]])-1,IF(_xlpm.r&lt;=ROWS(_xlpm.S),INDEX(_xlpm.S,_xlpm.r,1),""))</f>
        <v/>
      </c>
      <c r="AC762" s="1405">
        <f t="array" ref="AC762">_xlfn.LET(_xlpm.S,_xlfn.ANCHORARRAY($Y$4),_xlpm.r,ROWS(stayCity[[#Headers],[city]]:stayCity[[#This Row],[city]])-1,IF(_xlpm.r&lt;=ROWS(_xlpm.S),INDEX(_xlpm.S,_xlpm.r,2),""))</f>
        <v/>
      </c>
      <c r="AD762" s="1405">
        <f t="array" ref="AD762">_xlfn.LET(_xlpm.S,_xlfn.ANCHORARRAY($Y$4),_xlpm.r,ROWS(stayCity[[#Headers],[city]]:stayCity[[#This Row],[city]])-1,IF(_xlpm.r&lt;=ROWS(_xlpm.S),INDEX(_xlpm.S,_xlpm.r,3),""))</f>
        <v/>
      </c>
      <c r="AE762" s="1400">
        <f>IF(stayCity[[#This Row],[out]]&lt;&gt;"",stayCity[[#This Row],[out]]-stayCity[[#This Row],[in]],"-")</f>
        <v/>
      </c>
      <c r="AF762" s="1406">
        <f>IF(Y762="","-",YEAR(stayCity[[#This Row],[in]]))</f>
        <v/>
      </c>
      <c r="AG762" s="1392" t="n"/>
      <c r="AH762" s="1392" t="n"/>
      <c r="AI762" s="1392" t="n"/>
      <c r="AJ762" s="1392" t="n"/>
      <c r="AK762" s="1392" t="n"/>
      <c r="AL762" s="1392" t="n"/>
      <c r="AM762" s="1392" t="n"/>
      <c r="AN762" s="1392" t="n"/>
      <c r="AO762" s="1392" t="n"/>
      <c r="AP762" s="1392" t="n"/>
      <c r="AQ762" s="1392" t="n"/>
      <c r="AR762" s="1392" t="n"/>
      <c r="AS762" s="1422" t="n"/>
      <c r="AT762" s="1392" t="n"/>
      <c r="AU762" s="1392" t="n"/>
      <c r="AV762" s="1392" t="n"/>
      <c r="AW762" s="1392" t="n"/>
      <c r="AX762" s="1392" t="n"/>
      <c r="AY762" s="1392" t="n"/>
      <c r="AZ762" s="1392" t="n"/>
      <c r="BA762" s="1392" t="n"/>
      <c r="BB762" s="1422" t="n"/>
      <c r="BC762" s="1392" t="n"/>
      <c r="BD762" s="1392" t="n"/>
      <c r="BE762" s="1392" t="n"/>
      <c r="BF762" s="1392" t="n"/>
      <c r="BG762" s="1392" t="n"/>
      <c r="BH762" s="1392" t="n"/>
      <c r="BI762" s="1392" t="n"/>
      <c r="BJ762" s="1392" t="n"/>
      <c r="BK762" s="1392" t="n"/>
      <c r="BL762" s="1392" t="n"/>
      <c r="BM762" s="1392" t="n"/>
      <c r="BN762" s="1392" t="n"/>
      <c r="BO762" s="1392" t="n"/>
      <c r="BP762" s="1392" t="n"/>
      <c r="BQ762" s="1392" t="n"/>
      <c r="BR762" s="1392" t="n"/>
      <c r="BS762" s="1392" t="n"/>
      <c r="BT762" s="1392" t="n"/>
      <c r="BU762" s="1416" t="n"/>
      <c r="BV762" s="1392" t="n"/>
      <c r="BW762" s="1392" t="n"/>
      <c r="BX762" s="1392" t="n"/>
      <c r="BY762" s="1392" t="n"/>
      <c r="BZ762" s="1416" t="n"/>
      <c r="CA762" s="1392" t="n"/>
      <c r="CB762" s="1392" t="n"/>
      <c r="CC762" s="1392" t="n"/>
      <c r="CD762" s="1392" t="n"/>
      <c r="CE762" s="1392" t="n"/>
      <c r="CF762" s="1392" t="n"/>
      <c r="CG762" s="1392" t="n"/>
      <c r="CH762" s="1392" t="n"/>
      <c r="CI762" s="1392" t="n"/>
      <c r="CJ762" s="1392" t="n"/>
      <c r="CK762" s="1392" t="n"/>
      <c r="CL762" s="1392" t="n"/>
    </row>
    <row r="763">
      <c r="A763" s="5" t="inlineStr">
        <is>
          <t>.</t>
        </is>
      </c>
      <c r="B763" s="5" t="inlineStr">
        <is>
          <t>.</t>
        </is>
      </c>
      <c r="C763" s="1378">
        <f>IF(raw[[#This Row],[city]]="","-",IF(raw[[#This Row],[city]]="TODAY","-",C762+1))</f>
        <v/>
      </c>
      <c r="D763" s="1393" t="inlineStr">
        <is>
          <t>AIR</t>
        </is>
      </c>
      <c r="E763" s="1394" t="n">
        <v>37816</v>
      </c>
      <c r="F763" s="1394" t="n">
        <v>37817</v>
      </c>
      <c r="G763" s="1393" t="inlineStr">
        <is>
          <t>x</t>
        </is>
      </c>
      <c r="H763" s="1393" t="inlineStr">
        <is>
          <t>Transit</t>
        </is>
      </c>
      <c r="I763" s="1393" t="inlineStr">
        <is>
          <t>-</t>
        </is>
      </c>
      <c r="J763" s="1393" t="inlineStr">
        <is>
          <t>-</t>
        </is>
      </c>
      <c r="K763" s="1395">
        <f>IF(raw[[#This Row],[city]]&lt;&gt;"",_xlfn.XLOOKUP($D763,ccc[city],ccc[prov],"-"),"-")</f>
        <v/>
      </c>
      <c r="L763" s="1395">
        <f>IF(raw[[#This Row],[city]]&lt;&gt;"",_xlfn.XLOOKUP($D763,ccc[city],ccc[ctry],"-"),"-")</f>
        <v/>
      </c>
      <c r="M763" s="1395">
        <f>IF(raw[[#This Row],[city]]&lt;&gt;"",_xlfn.XLOOKUP($D763,ccc[city],ccc[cont],"-"),"-")</f>
        <v/>
      </c>
      <c r="N763" s="1396">
        <f>IF(raw[[#This Row],[city]]="","-",IF(raw[[#This Row],[cont]]="B",raw[[#This Row],[cont]],"W"))</f>
        <v/>
      </c>
      <c r="O763" s="1397">
        <f>IF(raw[[#This Row],[out]]=0,0,IF(raw[[#This Row],[out]]=raw[[#This Row],[in]],0.01,raw[[#This Row],[out]]-raw[[#This Row],[in]]))</f>
        <v/>
      </c>
      <c r="P763" s="1397">
        <f>IF(raw[[#This Row],[in]]=0,0,MONTH(raw[[#This Row],[in]]))</f>
        <v/>
      </c>
      <c r="Q763" s="1397">
        <f>IF(raw[[#This Row],[in]]=0,0,YEAR(raw[[#This Row],[in]]))</f>
        <v/>
      </c>
      <c r="R763" s="1397">
        <f>INT(raw[[#This Row],[yr]]/10)*10</f>
        <v/>
      </c>
      <c r="S763" s="1395">
        <f>IF(raw[[#This Row],[city]]="","-",IF(raw[[#This Row],[city]]&lt;&gt;_xlfn.XLOOKUP(raw[[#This Row],[home]],homes[home],homes[city],"-"),1,0))</f>
        <v/>
      </c>
      <c r="T763" s="1398" t="inlineStr">
        <is>
          <t>.</t>
        </is>
      </c>
      <c r="U763" s="1399">
        <f>IF(raw[[#This Row],[wb]]="w",raw[[#This Row],[stay]]+U762,U762)</f>
        <v/>
      </c>
      <c r="V763" s="1400">
        <f>IF(raw[[#This Row],[out]]=0,V762,(raw[[#This Row],[out]]-E$5))</f>
        <v/>
      </c>
      <c r="W763" s="1401">
        <f>U763/V763</f>
        <v/>
      </c>
      <c r="X763" s="1378" t="inlineStr">
        <is>
          <t>.</t>
        </is>
      </c>
      <c r="Y763" s="1402">
        <f/>
        <v/>
      </c>
      <c r="Z763" s="1403">
        <f/>
        <v/>
      </c>
      <c r="AA763" s="1403">
        <f/>
        <v/>
      </c>
      <c r="AB763" s="1400">
        <f t="array" ref="AB763">_xlfn.LET(_xlpm.S,_xlfn.ANCHORARRAY($Y$4),_xlpm.r,ROWS(stayCity[[#Headers],[city]]:stayCity[[#This Row],[city]])-1,IF(_xlpm.r&lt;=ROWS(_xlpm.S),INDEX(_xlpm.S,_xlpm.r,1),""))</f>
        <v/>
      </c>
      <c r="AC763" s="1405">
        <f t="array" ref="AC763">_xlfn.LET(_xlpm.S,_xlfn.ANCHORARRAY($Y$4),_xlpm.r,ROWS(stayCity[[#Headers],[city]]:stayCity[[#This Row],[city]])-1,IF(_xlpm.r&lt;=ROWS(_xlpm.S),INDEX(_xlpm.S,_xlpm.r,2),""))</f>
        <v/>
      </c>
      <c r="AD763" s="1405">
        <f t="array" ref="AD763">_xlfn.LET(_xlpm.S,_xlfn.ANCHORARRAY($Y$4),_xlpm.r,ROWS(stayCity[[#Headers],[city]]:stayCity[[#This Row],[city]])-1,IF(_xlpm.r&lt;=ROWS(_xlpm.S),INDEX(_xlpm.S,_xlpm.r,3),""))</f>
        <v/>
      </c>
      <c r="AE763" s="1400">
        <f>IF(stayCity[[#This Row],[out]]&lt;&gt;"",stayCity[[#This Row],[out]]-stayCity[[#This Row],[in]],"-")</f>
        <v/>
      </c>
      <c r="AF763" s="1406">
        <f>IF(Y763="","-",YEAR(stayCity[[#This Row],[in]]))</f>
        <v/>
      </c>
      <c r="AG763" s="1392" t="n"/>
      <c r="AH763" s="1392" t="n"/>
      <c r="AI763" s="1392" t="n"/>
      <c r="AJ763" s="1392" t="n"/>
      <c r="AK763" s="1392" t="n"/>
      <c r="AL763" s="1392" t="n"/>
      <c r="AM763" s="1392" t="n"/>
      <c r="AN763" s="1392" t="n"/>
      <c r="AO763" s="1392" t="n"/>
      <c r="AP763" s="1392" t="n"/>
      <c r="AQ763" s="1392" t="n"/>
      <c r="AR763" s="1392" t="n"/>
      <c r="AS763" s="1422" t="n"/>
      <c r="AT763" s="1392" t="n"/>
      <c r="AU763" s="1392" t="n"/>
      <c r="AV763" s="1392" t="n"/>
      <c r="AW763" s="1392" t="n"/>
      <c r="AX763" s="1392" t="n"/>
      <c r="AY763" s="1392" t="n"/>
      <c r="AZ763" s="1392" t="n"/>
      <c r="BA763" s="1392" t="n"/>
      <c r="BB763" s="1422" t="n"/>
      <c r="BC763" s="1392" t="n"/>
      <c r="BD763" s="1392" t="n"/>
      <c r="BE763" s="1392" t="n"/>
      <c r="BF763" s="1392" t="n"/>
      <c r="BG763" s="1392" t="n"/>
      <c r="BH763" s="1392" t="n"/>
      <c r="BI763" s="1392" t="n"/>
      <c r="BJ763" s="1392" t="n"/>
      <c r="BK763" s="1392" t="n"/>
      <c r="BL763" s="1392" t="n"/>
      <c r="BM763" s="1392" t="n"/>
      <c r="BN763" s="1392" t="n"/>
      <c r="BO763" s="1392" t="n"/>
      <c r="BP763" s="1392" t="n"/>
      <c r="BQ763" s="1392" t="n"/>
      <c r="BR763" s="1392" t="n"/>
      <c r="BS763" s="1392" t="n"/>
      <c r="BT763" s="1392" t="n"/>
      <c r="BU763" s="1416" t="n"/>
      <c r="BV763" s="1392" t="n"/>
      <c r="BW763" s="1392" t="n"/>
      <c r="BX763" s="1392" t="n"/>
      <c r="BY763" s="1392" t="n"/>
      <c r="BZ763" s="1416" t="n"/>
      <c r="CA763" s="1392" t="n"/>
      <c r="CB763" s="1392" t="n"/>
      <c r="CC763" s="1392" t="n"/>
      <c r="CD763" s="1392" t="n"/>
      <c r="CE763" s="1392" t="n"/>
      <c r="CF763" s="1392" t="n"/>
      <c r="CG763" s="1392" t="n"/>
      <c r="CH763" s="1392" t="n"/>
      <c r="CI763" s="1392" t="n"/>
      <c r="CJ763" s="1392" t="n"/>
      <c r="CK763" s="1392" t="n"/>
      <c r="CL763" s="1392" t="n"/>
    </row>
    <row r="764">
      <c r="A764" s="5" t="inlineStr">
        <is>
          <t>.</t>
        </is>
      </c>
      <c r="B764" s="5" t="inlineStr">
        <is>
          <t>.</t>
        </is>
      </c>
      <c r="C764" s="1378">
        <f>IF(raw[[#This Row],[city]]="","-",IF(raw[[#This Row],[city]]="TODAY","-",C763+1))</f>
        <v/>
      </c>
      <c r="D764" s="1393" t="inlineStr">
        <is>
          <t>NYC</t>
        </is>
      </c>
      <c r="E764" s="1394" t="n">
        <v>37817</v>
      </c>
      <c r="F764" s="1394" t="n">
        <v>37824</v>
      </c>
      <c r="G764" s="1393" t="n">
        <v>1</v>
      </c>
      <c r="H764" s="1393" t="inlineStr">
        <is>
          <t>Transit</t>
        </is>
      </c>
      <c r="I764" s="1393" t="inlineStr">
        <is>
          <t>Fred/Long Island</t>
        </is>
      </c>
      <c r="J764" s="1393" t="inlineStr">
        <is>
          <t>-</t>
        </is>
      </c>
      <c r="K764" s="1395">
        <f>IF(raw[[#This Row],[city]]&lt;&gt;"",_xlfn.XLOOKUP($D764,ccc[city],ccc[prov],"-"),"-")</f>
        <v/>
      </c>
      <c r="L764" s="1395">
        <f>IF(raw[[#This Row],[city]]&lt;&gt;"",_xlfn.XLOOKUP($D764,ccc[city],ccc[ctry],"-"),"-")</f>
        <v/>
      </c>
      <c r="M764" s="1395">
        <f>IF(raw[[#This Row],[city]]&lt;&gt;"",_xlfn.XLOOKUP($D764,ccc[city],ccc[cont],"-"),"-")</f>
        <v/>
      </c>
      <c r="N764" s="1396">
        <f>IF(raw[[#This Row],[city]]="","-",IF(raw[[#This Row],[cont]]="B",raw[[#This Row],[cont]],"W"))</f>
        <v/>
      </c>
      <c r="O764" s="1397">
        <f>IF(raw[[#This Row],[out]]=0,0,IF(raw[[#This Row],[out]]=raw[[#This Row],[in]],0.01,raw[[#This Row],[out]]-raw[[#This Row],[in]]))</f>
        <v/>
      </c>
      <c r="P764" s="1397">
        <f>IF(raw[[#This Row],[in]]=0,0,MONTH(raw[[#This Row],[in]]))</f>
        <v/>
      </c>
      <c r="Q764" s="1397">
        <f>IF(raw[[#This Row],[in]]=0,0,YEAR(raw[[#This Row],[in]]))</f>
        <v/>
      </c>
      <c r="R764" s="1397">
        <f>INT(raw[[#This Row],[yr]]/10)*10</f>
        <v/>
      </c>
      <c r="S764" s="1395">
        <f>IF(raw[[#This Row],[city]]="","-",IF(raw[[#This Row],[city]]&lt;&gt;_xlfn.XLOOKUP(raw[[#This Row],[home]],homes[home],homes[city],"-"),1,0))</f>
        <v/>
      </c>
      <c r="T764" s="1398" t="inlineStr">
        <is>
          <t>.</t>
        </is>
      </c>
      <c r="U764" s="1399">
        <f>IF(raw[[#This Row],[wb]]="w",raw[[#This Row],[stay]]+U763,U763)</f>
        <v/>
      </c>
      <c r="V764" s="1400">
        <f>IF(raw[[#This Row],[out]]=0,V763,(raw[[#This Row],[out]]-E$5))</f>
        <v/>
      </c>
      <c r="W764" s="1401">
        <f>U764/V764</f>
        <v/>
      </c>
      <c r="X764" s="1378" t="inlineStr">
        <is>
          <t>.</t>
        </is>
      </c>
      <c r="Y764" s="1402">
        <f/>
        <v/>
      </c>
      <c r="Z764" s="1403">
        <f/>
        <v/>
      </c>
      <c r="AA764" s="1403">
        <f/>
        <v/>
      </c>
      <c r="AB764" s="1400">
        <f t="array" ref="AB764">_xlfn.LET(_xlpm.S,_xlfn.ANCHORARRAY($Y$4),_xlpm.r,ROWS(stayCity[[#Headers],[city]]:stayCity[[#This Row],[city]])-1,IF(_xlpm.r&lt;=ROWS(_xlpm.S),INDEX(_xlpm.S,_xlpm.r,1),""))</f>
        <v/>
      </c>
      <c r="AC764" s="1405">
        <f t="array" ref="AC764">_xlfn.LET(_xlpm.S,_xlfn.ANCHORARRAY($Y$4),_xlpm.r,ROWS(stayCity[[#Headers],[city]]:stayCity[[#This Row],[city]])-1,IF(_xlpm.r&lt;=ROWS(_xlpm.S),INDEX(_xlpm.S,_xlpm.r,2),""))</f>
        <v/>
      </c>
      <c r="AD764" s="1405">
        <f t="array" ref="AD764">_xlfn.LET(_xlpm.S,_xlfn.ANCHORARRAY($Y$4),_xlpm.r,ROWS(stayCity[[#Headers],[city]]:stayCity[[#This Row],[city]])-1,IF(_xlpm.r&lt;=ROWS(_xlpm.S),INDEX(_xlpm.S,_xlpm.r,3),""))</f>
        <v/>
      </c>
      <c r="AE764" s="1400">
        <f>IF(stayCity[[#This Row],[out]]&lt;&gt;"",stayCity[[#This Row],[out]]-stayCity[[#This Row],[in]],"-")</f>
        <v/>
      </c>
      <c r="AF764" s="1406">
        <f>IF(Y764="","-",YEAR(stayCity[[#This Row],[in]]))</f>
        <v/>
      </c>
      <c r="AG764" s="1392" t="n"/>
      <c r="AH764" s="1392" t="n"/>
      <c r="AI764" s="1392" t="n"/>
      <c r="AJ764" s="1392" t="n"/>
      <c r="AK764" s="1392" t="n"/>
      <c r="AL764" s="1392" t="n"/>
      <c r="AM764" s="1392" t="n"/>
      <c r="AN764" s="1392" t="n"/>
      <c r="AO764" s="1392" t="n"/>
      <c r="AP764" s="1392" t="n"/>
      <c r="AQ764" s="1392" t="n"/>
      <c r="AR764" s="1392" t="n"/>
      <c r="AS764" s="1422" t="n"/>
      <c r="AT764" s="1392" t="n"/>
      <c r="AU764" s="1392" t="n"/>
      <c r="AV764" s="1392" t="n"/>
      <c r="AW764" s="1392" t="n"/>
      <c r="AX764" s="1392" t="n"/>
      <c r="AY764" s="1392" t="n"/>
      <c r="AZ764" s="1392" t="n"/>
      <c r="BA764" s="1392" t="n"/>
      <c r="BB764" s="1422" t="n"/>
      <c r="BC764" s="1392" t="n"/>
      <c r="BD764" s="1392" t="n"/>
      <c r="BE764" s="1392" t="n"/>
      <c r="BF764" s="1392" t="n"/>
      <c r="BG764" s="1392" t="n"/>
      <c r="BH764" s="1392" t="n"/>
      <c r="BI764" s="1392" t="n"/>
      <c r="BJ764" s="1392" t="n"/>
      <c r="BK764" s="1392" t="n"/>
      <c r="BL764" s="1392" t="n"/>
      <c r="BM764" s="1392" t="n"/>
      <c r="BN764" s="1392" t="n"/>
      <c r="BO764" s="1392" t="n"/>
      <c r="BP764" s="1392" t="n"/>
      <c r="BQ764" s="1392" t="n"/>
      <c r="BR764" s="1392" t="n"/>
      <c r="BS764" s="1392" t="n"/>
      <c r="BT764" s="1392" t="n"/>
      <c r="BU764" s="1416" t="n"/>
      <c r="BV764" s="1392" t="n"/>
      <c r="BW764" s="1392" t="n"/>
      <c r="BX764" s="1392" t="n"/>
      <c r="BY764" s="1392" t="n"/>
      <c r="BZ764" s="1416" t="n"/>
      <c r="CA764" s="1392" t="n"/>
      <c r="CB764" s="1392" t="n"/>
      <c r="CC764" s="1392" t="n"/>
      <c r="CD764" s="1392" t="n"/>
      <c r="CE764" s="1392" t="n"/>
      <c r="CF764" s="1392" t="n"/>
      <c r="CG764" s="1392" t="n"/>
      <c r="CH764" s="1392" t="n"/>
      <c r="CI764" s="1392" t="n"/>
      <c r="CJ764" s="1392" t="n"/>
      <c r="CK764" s="1392" t="n"/>
      <c r="CL764" s="1392" t="n"/>
    </row>
    <row r="765">
      <c r="A765" s="5" t="inlineStr">
        <is>
          <t>.</t>
        </is>
      </c>
      <c r="B765" s="5" t="inlineStr">
        <is>
          <t>.</t>
        </is>
      </c>
      <c r="C765" s="1378">
        <f>IF(raw[[#This Row],[city]]="","-",IF(raw[[#This Row],[city]]="TODAY","-",C764+1))</f>
        <v/>
      </c>
      <c r="D765" s="1393" t="inlineStr">
        <is>
          <t>AIR</t>
        </is>
      </c>
      <c r="E765" s="1394" t="n">
        <v>37824</v>
      </c>
      <c r="F765" s="1394" t="n">
        <v>37825</v>
      </c>
      <c r="G765" s="1393" t="inlineStr">
        <is>
          <t>x</t>
        </is>
      </c>
      <c r="H765" s="1393" t="inlineStr">
        <is>
          <t>Transit</t>
        </is>
      </c>
      <c r="I765" s="1393" t="inlineStr">
        <is>
          <t>-</t>
        </is>
      </c>
      <c r="J765" s="1393" t="inlineStr">
        <is>
          <t>-</t>
        </is>
      </c>
      <c r="K765" s="1395">
        <f>IF(raw[[#This Row],[city]]&lt;&gt;"",_xlfn.XLOOKUP($D765,ccc[city],ccc[prov],"-"),"-")</f>
        <v/>
      </c>
      <c r="L765" s="1395">
        <f>IF(raw[[#This Row],[city]]&lt;&gt;"",_xlfn.XLOOKUP($D765,ccc[city],ccc[ctry],"-"),"-")</f>
        <v/>
      </c>
      <c r="M765" s="1395">
        <f>IF(raw[[#This Row],[city]]&lt;&gt;"",_xlfn.XLOOKUP($D765,ccc[city],ccc[cont],"-"),"-")</f>
        <v/>
      </c>
      <c r="N765" s="1396">
        <f>IF(raw[[#This Row],[city]]="","-",IF(raw[[#This Row],[cont]]="B",raw[[#This Row],[cont]],"W"))</f>
        <v/>
      </c>
      <c r="O765" s="1397">
        <f>IF(raw[[#This Row],[out]]=0,0,IF(raw[[#This Row],[out]]=raw[[#This Row],[in]],0.01,raw[[#This Row],[out]]-raw[[#This Row],[in]]))</f>
        <v/>
      </c>
      <c r="P765" s="1397">
        <f>IF(raw[[#This Row],[in]]=0,0,MONTH(raw[[#This Row],[in]]))</f>
        <v/>
      </c>
      <c r="Q765" s="1397">
        <f>IF(raw[[#This Row],[in]]=0,0,YEAR(raw[[#This Row],[in]]))</f>
        <v/>
      </c>
      <c r="R765" s="1397">
        <f>INT(raw[[#This Row],[yr]]/10)*10</f>
        <v/>
      </c>
      <c r="S765" s="1395">
        <f>IF(raw[[#This Row],[city]]="","-",IF(raw[[#This Row],[city]]&lt;&gt;_xlfn.XLOOKUP(raw[[#This Row],[home]],homes[home],homes[city],"-"),1,0))</f>
        <v/>
      </c>
      <c r="T765" s="1398" t="inlineStr">
        <is>
          <t>.</t>
        </is>
      </c>
      <c r="U765" s="1399">
        <f>IF(raw[[#This Row],[wb]]="w",raw[[#This Row],[stay]]+U764,U764)</f>
        <v/>
      </c>
      <c r="V765" s="1400">
        <f>IF(raw[[#This Row],[out]]=0,V764,(raw[[#This Row],[out]]-E$5))</f>
        <v/>
      </c>
      <c r="W765" s="1401">
        <f>U765/V765</f>
        <v/>
      </c>
      <c r="X765" s="1378" t="inlineStr">
        <is>
          <t>.</t>
        </is>
      </c>
      <c r="Y765" s="1402">
        <f/>
        <v/>
      </c>
      <c r="Z765" s="1403">
        <f/>
        <v/>
      </c>
      <c r="AA765" s="1403">
        <f/>
        <v/>
      </c>
      <c r="AB765" s="1400">
        <f t="array" ref="AB765">_xlfn.LET(_xlpm.S,_xlfn.ANCHORARRAY($Y$4),_xlpm.r,ROWS(stayCity[[#Headers],[city]]:stayCity[[#This Row],[city]])-1,IF(_xlpm.r&lt;=ROWS(_xlpm.S),INDEX(_xlpm.S,_xlpm.r,1),""))</f>
        <v/>
      </c>
      <c r="AC765" s="1405">
        <f t="array" ref="AC765">_xlfn.LET(_xlpm.S,_xlfn.ANCHORARRAY($Y$4),_xlpm.r,ROWS(stayCity[[#Headers],[city]]:stayCity[[#This Row],[city]])-1,IF(_xlpm.r&lt;=ROWS(_xlpm.S),INDEX(_xlpm.S,_xlpm.r,2),""))</f>
        <v/>
      </c>
      <c r="AD765" s="1405">
        <f t="array" ref="AD765">_xlfn.LET(_xlpm.S,_xlfn.ANCHORARRAY($Y$4),_xlpm.r,ROWS(stayCity[[#Headers],[city]]:stayCity[[#This Row],[city]])-1,IF(_xlpm.r&lt;=ROWS(_xlpm.S),INDEX(_xlpm.S,_xlpm.r,3),""))</f>
        <v/>
      </c>
      <c r="AE765" s="1400">
        <f>IF(stayCity[[#This Row],[out]]&lt;&gt;"",stayCity[[#This Row],[out]]-stayCity[[#This Row],[in]],"-")</f>
        <v/>
      </c>
      <c r="AF765" s="1406">
        <f>IF(Y765="","-",YEAR(stayCity[[#This Row],[in]]))</f>
        <v/>
      </c>
      <c r="AG765" s="1392" t="n"/>
      <c r="AH765" s="1392" t="n"/>
      <c r="AI765" s="1392" t="n"/>
      <c r="AJ765" s="1392" t="n"/>
      <c r="AK765" s="1392" t="n"/>
      <c r="AL765" s="1392" t="n"/>
      <c r="AM765" s="1392" t="n"/>
      <c r="AN765" s="1392" t="n"/>
      <c r="AO765" s="1392" t="n"/>
      <c r="AP765" s="1392" t="n"/>
      <c r="AQ765" s="1392" t="n"/>
      <c r="AR765" s="1392" t="n"/>
      <c r="AS765" s="1422" t="n"/>
      <c r="AT765" s="1392" t="n"/>
      <c r="AU765" s="1392" t="n"/>
      <c r="AV765" s="1392" t="n"/>
      <c r="AW765" s="1392" t="n"/>
      <c r="AX765" s="1392" t="n"/>
      <c r="AY765" s="1392" t="n"/>
      <c r="AZ765" s="1392" t="n"/>
      <c r="BA765" s="1392" t="n"/>
      <c r="BB765" s="1422" t="n"/>
      <c r="BC765" s="1392" t="n"/>
      <c r="BD765" s="1392" t="n"/>
      <c r="BE765" s="1392" t="n"/>
      <c r="BF765" s="1392" t="n"/>
      <c r="BG765" s="1392" t="n"/>
      <c r="BH765" s="1392" t="n"/>
      <c r="BI765" s="1392" t="n"/>
      <c r="BJ765" s="1392" t="n"/>
      <c r="BK765" s="1392" t="n"/>
      <c r="BL765" s="1392" t="n"/>
      <c r="BM765" s="1392" t="n"/>
      <c r="BN765" s="1392" t="n"/>
      <c r="BO765" s="1392" t="n"/>
      <c r="BP765" s="1392" t="n"/>
      <c r="BQ765" s="1392" t="n"/>
      <c r="BR765" s="1392" t="n"/>
      <c r="BS765" s="1392" t="n"/>
      <c r="BT765" s="1392" t="n"/>
      <c r="BU765" s="1416" t="n"/>
      <c r="BV765" s="1392" t="n"/>
      <c r="BW765" s="1392" t="n"/>
      <c r="BX765" s="1392" t="n"/>
      <c r="BY765" s="1392" t="n"/>
      <c r="BZ765" s="1416" t="n"/>
      <c r="CA765" s="1392" t="n"/>
      <c r="CB765" s="1392" t="n"/>
      <c r="CC765" s="1392" t="n"/>
      <c r="CD765" s="1392" t="n"/>
      <c r="CE765" s="1392" t="n"/>
      <c r="CF765" s="1392" t="n"/>
      <c r="CG765" s="1392" t="n"/>
      <c r="CH765" s="1392" t="n"/>
      <c r="CI765" s="1392" t="n"/>
      <c r="CJ765" s="1392" t="n"/>
      <c r="CK765" s="1392" t="n"/>
      <c r="CL765" s="1392" t="n"/>
    </row>
    <row r="766">
      <c r="A766" s="5" t="inlineStr">
        <is>
          <t>.</t>
        </is>
      </c>
      <c r="B766" s="5" t="inlineStr">
        <is>
          <t>.</t>
        </is>
      </c>
      <c r="C766" s="1378">
        <f>IF(raw[[#This Row],[city]]="","-",IF(raw[[#This Row],[city]]="TODAY","-",C765+1))</f>
        <v/>
      </c>
      <c r="D766" s="1393" t="inlineStr">
        <is>
          <t>London</t>
        </is>
      </c>
      <c r="E766" s="1394" t="n">
        <v>37825</v>
      </c>
      <c r="F766" s="1394" t="n">
        <v>37834</v>
      </c>
      <c r="G766" s="1393" t="inlineStr">
        <is>
          <t>-</t>
        </is>
      </c>
      <c r="H766" s="1393" t="inlineStr">
        <is>
          <t>David's</t>
        </is>
      </c>
      <c r="I766" s="1393" t="inlineStr">
        <is>
          <t>-</t>
        </is>
      </c>
      <c r="J766" s="1393" t="inlineStr">
        <is>
          <t>-</t>
        </is>
      </c>
      <c r="K766" s="1395">
        <f>IF(raw[[#This Row],[city]]&lt;&gt;"",_xlfn.XLOOKUP($D766,ccc[city],ccc[prov],"-"),"-")</f>
        <v/>
      </c>
      <c r="L766" s="1395">
        <f>IF(raw[[#This Row],[city]]&lt;&gt;"",_xlfn.XLOOKUP($D766,ccc[city],ccc[ctry],"-"),"-")</f>
        <v/>
      </c>
      <c r="M766" s="1395">
        <f>IF(raw[[#This Row],[city]]&lt;&gt;"",_xlfn.XLOOKUP($D766,ccc[city],ccc[cont],"-"),"-")</f>
        <v/>
      </c>
      <c r="N766" s="1396">
        <f>IF(raw[[#This Row],[city]]="","-",IF(raw[[#This Row],[cont]]="B",raw[[#This Row],[cont]],"W"))</f>
        <v/>
      </c>
      <c r="O766" s="1397">
        <f>IF(raw[[#This Row],[out]]=0,0,IF(raw[[#This Row],[out]]=raw[[#This Row],[in]],0.01,raw[[#This Row],[out]]-raw[[#This Row],[in]]))</f>
        <v/>
      </c>
      <c r="P766" s="1397">
        <f>IF(raw[[#This Row],[in]]=0,0,MONTH(raw[[#This Row],[in]]))</f>
        <v/>
      </c>
      <c r="Q766" s="1397">
        <f>IF(raw[[#This Row],[in]]=0,0,YEAR(raw[[#This Row],[in]]))</f>
        <v/>
      </c>
      <c r="R766" s="1397">
        <f>INT(raw[[#This Row],[yr]]/10)*10</f>
        <v/>
      </c>
      <c r="S766" s="1395">
        <f>IF(raw[[#This Row],[city]]="","-",IF(raw[[#This Row],[city]]&lt;&gt;_xlfn.XLOOKUP(raw[[#This Row],[home]],homes[home],homes[city],"-"),1,0))</f>
        <v/>
      </c>
      <c r="T766" s="1398" t="inlineStr">
        <is>
          <t>.</t>
        </is>
      </c>
      <c r="U766" s="1399">
        <f>IF(raw[[#This Row],[wb]]="w",raw[[#This Row],[stay]]+U765,U765)</f>
        <v/>
      </c>
      <c r="V766" s="1400">
        <f>IF(raw[[#This Row],[out]]=0,V765,(raw[[#This Row],[out]]-E$5))</f>
        <v/>
      </c>
      <c r="W766" s="1401">
        <f>U766/V766</f>
        <v/>
      </c>
      <c r="X766" s="1378" t="inlineStr">
        <is>
          <t>.</t>
        </is>
      </c>
      <c r="Y766" s="1402">
        <f/>
        <v/>
      </c>
      <c r="Z766" s="1403">
        <f/>
        <v/>
      </c>
      <c r="AA766" s="1403">
        <f/>
        <v/>
      </c>
      <c r="AB766" s="1400">
        <f t="array" ref="AB766">_xlfn.LET(_xlpm.S,_xlfn.ANCHORARRAY($Y$4),_xlpm.r,ROWS(stayCity[[#Headers],[city]]:stayCity[[#This Row],[city]])-1,IF(_xlpm.r&lt;=ROWS(_xlpm.S),INDEX(_xlpm.S,_xlpm.r,1),""))</f>
        <v/>
      </c>
      <c r="AC766" s="1405">
        <f t="array" ref="AC766">_xlfn.LET(_xlpm.S,_xlfn.ANCHORARRAY($Y$4),_xlpm.r,ROWS(stayCity[[#Headers],[city]]:stayCity[[#This Row],[city]])-1,IF(_xlpm.r&lt;=ROWS(_xlpm.S),INDEX(_xlpm.S,_xlpm.r,2),""))</f>
        <v/>
      </c>
      <c r="AD766" s="1405">
        <f t="array" ref="AD766">_xlfn.LET(_xlpm.S,_xlfn.ANCHORARRAY($Y$4),_xlpm.r,ROWS(stayCity[[#Headers],[city]]:stayCity[[#This Row],[city]])-1,IF(_xlpm.r&lt;=ROWS(_xlpm.S),INDEX(_xlpm.S,_xlpm.r,3),""))</f>
        <v/>
      </c>
      <c r="AE766" s="1400">
        <f>IF(stayCity[[#This Row],[out]]&lt;&gt;"",stayCity[[#This Row],[out]]-stayCity[[#This Row],[in]],"-")</f>
        <v/>
      </c>
      <c r="AF766" s="1406">
        <f>IF(Y766="","-",YEAR(stayCity[[#This Row],[in]]))</f>
        <v/>
      </c>
      <c r="AG766" s="1392" t="n"/>
      <c r="AH766" s="1392" t="n"/>
      <c r="AI766" s="1392" t="n"/>
      <c r="AJ766" s="1392" t="n"/>
      <c r="AK766" s="1392" t="n"/>
      <c r="AL766" s="1392" t="n"/>
      <c r="AM766" s="1392" t="n"/>
      <c r="AN766" s="1392" t="n"/>
      <c r="AO766" s="1392" t="n"/>
      <c r="AP766" s="1392" t="n"/>
      <c r="AQ766" s="1392" t="n"/>
      <c r="AR766" s="1392" t="n"/>
      <c r="AS766" s="1422" t="n"/>
      <c r="AT766" s="1392" t="n"/>
      <c r="AU766" s="1392" t="n"/>
      <c r="AV766" s="1392" t="n"/>
      <c r="AW766" s="1392" t="n"/>
      <c r="AX766" s="1392" t="n"/>
      <c r="AY766" s="1392" t="n"/>
      <c r="AZ766" s="1392" t="n"/>
      <c r="BA766" s="1392" t="n"/>
      <c r="BB766" s="1422" t="n"/>
      <c r="BC766" s="1392" t="n"/>
      <c r="BD766" s="1392" t="n"/>
      <c r="BE766" s="1392" t="n"/>
      <c r="BF766" s="1392" t="n"/>
      <c r="BG766" s="1392" t="n"/>
      <c r="BH766" s="1392" t="n"/>
      <c r="BI766" s="1392" t="n"/>
      <c r="BJ766" s="1392" t="n"/>
      <c r="BK766" s="1392" t="n"/>
      <c r="BL766" s="1392" t="n"/>
      <c r="BM766" s="1392" t="n"/>
      <c r="BN766" s="1392" t="n"/>
      <c r="BO766" s="1392" t="n"/>
      <c r="BP766" s="1392" t="n"/>
      <c r="BQ766" s="1392" t="n"/>
      <c r="BR766" s="1392" t="n"/>
      <c r="BS766" s="1392" t="n"/>
      <c r="BT766" s="1392" t="n"/>
      <c r="BU766" s="1416" t="n"/>
      <c r="BV766" s="1392" t="n"/>
      <c r="BW766" s="1392" t="n"/>
      <c r="BX766" s="1392" t="n"/>
      <c r="BY766" s="1392" t="n"/>
      <c r="BZ766" s="1416" t="n"/>
      <c r="CA766" s="1392" t="n"/>
      <c r="CB766" s="1392" t="n"/>
      <c r="CC766" s="1392" t="n"/>
      <c r="CD766" s="1392" t="n"/>
      <c r="CE766" s="1392" t="n"/>
      <c r="CF766" s="1392" t="n"/>
      <c r="CG766" s="1392" t="n"/>
      <c r="CH766" s="1392" t="n"/>
      <c r="CI766" s="1392" t="n"/>
      <c r="CJ766" s="1392" t="n"/>
      <c r="CK766" s="1392" t="n"/>
      <c r="CL766" s="1392" t="n"/>
    </row>
    <row r="767">
      <c r="A767" s="5" t="inlineStr">
        <is>
          <t>.</t>
        </is>
      </c>
      <c r="B767" s="5" t="inlineStr">
        <is>
          <t>.</t>
        </is>
      </c>
      <c r="C767" s="1378">
        <f>IF(raw[[#This Row],[city]]="","-",IF(raw[[#This Row],[city]]="TODAY","-",C766+1))</f>
        <v/>
      </c>
      <c r="D767" s="1393" t="inlineStr">
        <is>
          <t>London</t>
        </is>
      </c>
      <c r="E767" s="1394" t="n">
        <v>37834</v>
      </c>
      <c r="F767" s="1394" t="n">
        <v>37841</v>
      </c>
      <c r="G767" s="1393" t="inlineStr">
        <is>
          <t>-</t>
        </is>
      </c>
      <c r="H767" s="1393" t="inlineStr">
        <is>
          <t>David's</t>
        </is>
      </c>
      <c r="I767" s="1393" t="inlineStr">
        <is>
          <t>-</t>
        </is>
      </c>
      <c r="J767" s="1393" t="inlineStr">
        <is>
          <t>-</t>
        </is>
      </c>
      <c r="K767" s="1395">
        <f>IF(raw[[#This Row],[city]]&lt;&gt;"",_xlfn.XLOOKUP($D767,ccc[city],ccc[prov],"-"),"-")</f>
        <v/>
      </c>
      <c r="L767" s="1395">
        <f>IF(raw[[#This Row],[city]]&lt;&gt;"",_xlfn.XLOOKUP($D767,ccc[city],ccc[ctry],"-"),"-")</f>
        <v/>
      </c>
      <c r="M767" s="1395">
        <f>IF(raw[[#This Row],[city]]&lt;&gt;"",_xlfn.XLOOKUP($D767,ccc[city],ccc[cont],"-"),"-")</f>
        <v/>
      </c>
      <c r="N767" s="1396">
        <f>IF(raw[[#This Row],[city]]="","-",IF(raw[[#This Row],[cont]]="B",raw[[#This Row],[cont]],"W"))</f>
        <v/>
      </c>
      <c r="O767" s="1397">
        <f>IF(raw[[#This Row],[out]]=0,0,IF(raw[[#This Row],[out]]=raw[[#This Row],[in]],0.01,raw[[#This Row],[out]]-raw[[#This Row],[in]]))</f>
        <v/>
      </c>
      <c r="P767" s="1397">
        <f>IF(raw[[#This Row],[in]]=0,0,MONTH(raw[[#This Row],[in]]))</f>
        <v/>
      </c>
      <c r="Q767" s="1397">
        <f>IF(raw[[#This Row],[in]]=0,0,YEAR(raw[[#This Row],[in]]))</f>
        <v/>
      </c>
      <c r="R767" s="1397">
        <f>INT(raw[[#This Row],[yr]]/10)*10</f>
        <v/>
      </c>
      <c r="S767" s="1395">
        <f>IF(raw[[#This Row],[city]]="","-",IF(raw[[#This Row],[city]]&lt;&gt;_xlfn.XLOOKUP(raw[[#This Row],[home]],homes[home],homes[city],"-"),1,0))</f>
        <v/>
      </c>
      <c r="T767" s="1398" t="inlineStr">
        <is>
          <t>.</t>
        </is>
      </c>
      <c r="U767" s="1399">
        <f>IF(raw[[#This Row],[wb]]="w",raw[[#This Row],[stay]]+U766,U766)</f>
        <v/>
      </c>
      <c r="V767" s="1400">
        <f>IF(raw[[#This Row],[out]]=0,V766,(raw[[#This Row],[out]]-E$5))</f>
        <v/>
      </c>
      <c r="W767" s="1401">
        <f>U767/V767</f>
        <v/>
      </c>
      <c r="X767" s="1378" t="inlineStr">
        <is>
          <t>.</t>
        </is>
      </c>
      <c r="Y767" s="1402">
        <f/>
        <v/>
      </c>
      <c r="Z767" s="1403">
        <f/>
        <v/>
      </c>
      <c r="AA767" s="1403">
        <f/>
        <v/>
      </c>
      <c r="AB767" s="1400">
        <f t="array" ref="AB767">_xlfn.LET(_xlpm.S,_xlfn.ANCHORARRAY($Y$4),_xlpm.r,ROWS(stayCity[[#Headers],[city]]:stayCity[[#This Row],[city]])-1,IF(_xlpm.r&lt;=ROWS(_xlpm.S),INDEX(_xlpm.S,_xlpm.r,1),""))</f>
        <v/>
      </c>
      <c r="AC767" s="1405">
        <f t="array" ref="AC767">_xlfn.LET(_xlpm.S,_xlfn.ANCHORARRAY($Y$4),_xlpm.r,ROWS(stayCity[[#Headers],[city]]:stayCity[[#This Row],[city]])-1,IF(_xlpm.r&lt;=ROWS(_xlpm.S),INDEX(_xlpm.S,_xlpm.r,2),""))</f>
        <v/>
      </c>
      <c r="AD767" s="1405">
        <f t="array" ref="AD767">_xlfn.LET(_xlpm.S,_xlfn.ANCHORARRAY($Y$4),_xlpm.r,ROWS(stayCity[[#Headers],[city]]:stayCity[[#This Row],[city]])-1,IF(_xlpm.r&lt;=ROWS(_xlpm.S),INDEX(_xlpm.S,_xlpm.r,3),""))</f>
        <v/>
      </c>
      <c r="AE767" s="1400">
        <f>IF(stayCity[[#This Row],[out]]&lt;&gt;"",stayCity[[#This Row],[out]]-stayCity[[#This Row],[in]],"-")</f>
        <v/>
      </c>
      <c r="AF767" s="1406">
        <f>IF(Y767="","-",YEAR(stayCity[[#This Row],[in]]))</f>
        <v/>
      </c>
      <c r="AG767" s="1392" t="n"/>
      <c r="AH767" s="1392" t="n"/>
      <c r="AI767" s="1392" t="n"/>
      <c r="AJ767" s="1392" t="n"/>
      <c r="AK767" s="1392" t="n"/>
      <c r="AL767" s="1392" t="n"/>
      <c r="AM767" s="1392" t="n"/>
      <c r="AN767" s="1392" t="n"/>
      <c r="AO767" s="1392" t="n"/>
      <c r="AP767" s="1392" t="n"/>
      <c r="AQ767" s="1392" t="n"/>
      <c r="AR767" s="1392" t="n"/>
      <c r="AS767" s="1422" t="n"/>
      <c r="AT767" s="1392" t="n"/>
      <c r="AU767" s="1392" t="n"/>
      <c r="AV767" s="1392" t="n"/>
      <c r="AW767" s="1392" t="n"/>
      <c r="AX767" s="1392" t="n"/>
      <c r="AY767" s="1392" t="n"/>
      <c r="AZ767" s="1392" t="n"/>
      <c r="BA767" s="1392" t="n"/>
      <c r="BB767" s="1422" t="n"/>
      <c r="BC767" s="1392" t="n"/>
      <c r="BD767" s="1392" t="n"/>
      <c r="BE767" s="1392" t="n"/>
      <c r="BF767" s="1392" t="n"/>
      <c r="BG767" s="1392" t="n"/>
      <c r="BH767" s="1392" t="n"/>
      <c r="BI767" s="1392" t="n"/>
      <c r="BJ767" s="1392" t="n"/>
      <c r="BK767" s="1392" t="n"/>
      <c r="BL767" s="1392" t="n"/>
      <c r="BM767" s="1392" t="n"/>
      <c r="BN767" s="1392" t="n"/>
      <c r="BO767" s="1392" t="n"/>
      <c r="BP767" s="1392" t="n"/>
      <c r="BQ767" s="1392" t="n"/>
      <c r="BR767" s="1392" t="n"/>
      <c r="BS767" s="1392" t="n"/>
      <c r="BT767" s="1392" t="n"/>
      <c r="BU767" s="1416" t="n"/>
      <c r="BV767" s="1392" t="n"/>
      <c r="BW767" s="1392" t="n"/>
      <c r="BX767" s="1392" t="n"/>
      <c r="BY767" s="1392" t="n"/>
      <c r="BZ767" s="1416" t="n"/>
      <c r="CA767" s="1392" t="n"/>
      <c r="CB767" s="1392" t="n"/>
      <c r="CC767" s="1392" t="n"/>
      <c r="CD767" s="1392" t="n"/>
      <c r="CE767" s="1392" t="n"/>
      <c r="CF767" s="1392" t="n"/>
      <c r="CG767" s="1392" t="n"/>
      <c r="CH767" s="1392" t="n"/>
      <c r="CI767" s="1392" t="n"/>
      <c r="CJ767" s="1392" t="n"/>
      <c r="CK767" s="1392" t="n"/>
      <c r="CL767" s="1392" t="n"/>
    </row>
    <row r="768">
      <c r="A768" s="5" t="inlineStr">
        <is>
          <t>.</t>
        </is>
      </c>
      <c r="B768" s="5" t="inlineStr">
        <is>
          <t>.</t>
        </is>
      </c>
      <c r="C768" s="1378">
        <f>IF(raw[[#This Row],[city]]="","-",IF(raw[[#This Row],[city]]="TODAY","-",C767+1))</f>
        <v/>
      </c>
      <c r="D768" s="1393" t="inlineStr">
        <is>
          <t>Bournemouth</t>
        </is>
      </c>
      <c r="E768" s="1394" t="n">
        <v>37841</v>
      </c>
      <c r="F768" s="1394" t="n">
        <v>37842</v>
      </c>
      <c r="G768" s="1393" t="inlineStr">
        <is>
          <t>-</t>
        </is>
      </c>
      <c r="H768" s="1393" t="inlineStr">
        <is>
          <t>David's</t>
        </is>
      </c>
      <c r="I768" s="1393" t="inlineStr">
        <is>
          <t>-</t>
        </is>
      </c>
      <c r="J768" s="1393" t="inlineStr">
        <is>
          <t>-</t>
        </is>
      </c>
      <c r="K768" s="1395">
        <f>IF(raw[[#This Row],[city]]&lt;&gt;"",_xlfn.XLOOKUP($D768,ccc[city],ccc[prov],"-"),"-")</f>
        <v/>
      </c>
      <c r="L768" s="1395">
        <f>IF(raw[[#This Row],[city]]&lt;&gt;"",_xlfn.XLOOKUP($D768,ccc[city],ccc[ctry],"-"),"-")</f>
        <v/>
      </c>
      <c r="M768" s="1395">
        <f>IF(raw[[#This Row],[city]]&lt;&gt;"",_xlfn.XLOOKUP($D768,ccc[city],ccc[cont],"-"),"-")</f>
        <v/>
      </c>
      <c r="N768" s="1396">
        <f>IF(raw[[#This Row],[city]]="","-",IF(raw[[#This Row],[cont]]="B",raw[[#This Row],[cont]],"W"))</f>
        <v/>
      </c>
      <c r="O768" s="1397">
        <f>IF(raw[[#This Row],[out]]=0,0,IF(raw[[#This Row],[out]]=raw[[#This Row],[in]],0.01,raw[[#This Row],[out]]-raw[[#This Row],[in]]))</f>
        <v/>
      </c>
      <c r="P768" s="1397">
        <f>IF(raw[[#This Row],[in]]=0,0,MONTH(raw[[#This Row],[in]]))</f>
        <v/>
      </c>
      <c r="Q768" s="1397">
        <f>IF(raw[[#This Row],[in]]=0,0,YEAR(raw[[#This Row],[in]]))</f>
        <v/>
      </c>
      <c r="R768" s="1397">
        <f>INT(raw[[#This Row],[yr]]/10)*10</f>
        <v/>
      </c>
      <c r="S768" s="1395">
        <f>IF(raw[[#This Row],[city]]="","-",IF(raw[[#This Row],[city]]&lt;&gt;_xlfn.XLOOKUP(raw[[#This Row],[home]],homes[home],homes[city],"-"),1,0))</f>
        <v/>
      </c>
      <c r="T768" s="1398" t="inlineStr">
        <is>
          <t>.</t>
        </is>
      </c>
      <c r="U768" s="1399">
        <f>IF(raw[[#This Row],[wb]]="w",raw[[#This Row],[stay]]+U767,U767)</f>
        <v/>
      </c>
      <c r="V768" s="1400">
        <f>IF(raw[[#This Row],[out]]=0,V767,(raw[[#This Row],[out]]-E$5))</f>
        <v/>
      </c>
      <c r="W768" s="1401">
        <f>U768/V768</f>
        <v/>
      </c>
      <c r="X768" s="1378" t="inlineStr">
        <is>
          <t>.</t>
        </is>
      </c>
      <c r="Y768" s="1402">
        <f/>
        <v/>
      </c>
      <c r="Z768" s="1403">
        <f/>
        <v/>
      </c>
      <c r="AA768" s="1403">
        <f/>
        <v/>
      </c>
      <c r="AB768" s="1400">
        <f t="array" ref="AB768">_xlfn.LET(_xlpm.S,_xlfn.ANCHORARRAY($Y$4),_xlpm.r,ROWS(stayCity[[#Headers],[city]]:stayCity[[#This Row],[city]])-1,IF(_xlpm.r&lt;=ROWS(_xlpm.S),INDEX(_xlpm.S,_xlpm.r,1),""))</f>
        <v/>
      </c>
      <c r="AC768" s="1405">
        <f t="array" ref="AC768">_xlfn.LET(_xlpm.S,_xlfn.ANCHORARRAY($Y$4),_xlpm.r,ROWS(stayCity[[#Headers],[city]]:stayCity[[#This Row],[city]])-1,IF(_xlpm.r&lt;=ROWS(_xlpm.S),INDEX(_xlpm.S,_xlpm.r,2),""))</f>
        <v/>
      </c>
      <c r="AD768" s="1405">
        <f t="array" ref="AD768">_xlfn.LET(_xlpm.S,_xlfn.ANCHORARRAY($Y$4),_xlpm.r,ROWS(stayCity[[#Headers],[city]]:stayCity[[#This Row],[city]])-1,IF(_xlpm.r&lt;=ROWS(_xlpm.S),INDEX(_xlpm.S,_xlpm.r,3),""))</f>
        <v/>
      </c>
      <c r="AE768" s="1400">
        <f>IF(stayCity[[#This Row],[out]]&lt;&gt;"",stayCity[[#This Row],[out]]-stayCity[[#This Row],[in]],"-")</f>
        <v/>
      </c>
      <c r="AF768" s="1406">
        <f>IF(Y768="","-",YEAR(stayCity[[#This Row],[in]]))</f>
        <v/>
      </c>
      <c r="AG768" s="1392" t="n"/>
      <c r="AH768" s="1392" t="n"/>
      <c r="AI768" s="1392" t="n"/>
      <c r="AJ768" s="1392" t="n"/>
      <c r="AK768" s="1392" t="n"/>
      <c r="AL768" s="1392" t="n"/>
      <c r="AM768" s="1392" t="n"/>
      <c r="AN768" s="1392" t="n"/>
      <c r="AO768" s="1392" t="n"/>
      <c r="AP768" s="1392" t="n"/>
      <c r="AQ768" s="1392" t="n"/>
      <c r="AR768" s="1392" t="n"/>
      <c r="AS768" s="1422" t="n"/>
      <c r="AT768" s="1392" t="n"/>
      <c r="AU768" s="1392" t="n"/>
      <c r="AV768" s="1392" t="n"/>
      <c r="AW768" s="1392" t="n"/>
      <c r="AX768" s="1392" t="n"/>
      <c r="AY768" s="1392" t="n"/>
      <c r="AZ768" s="1392" t="n"/>
      <c r="BA768" s="1392" t="n"/>
      <c r="BB768" s="1422" t="n"/>
      <c r="BC768" s="1392" t="n"/>
      <c r="BD768" s="1392" t="n"/>
      <c r="BE768" s="1392" t="n"/>
      <c r="BF768" s="1392" t="n"/>
      <c r="BG768" s="1392" t="n"/>
      <c r="BH768" s="1392" t="n"/>
      <c r="BI768" s="1392" t="n"/>
      <c r="BJ768" s="1392" t="n"/>
      <c r="BK768" s="1392" t="n"/>
      <c r="BL768" s="1392" t="n"/>
      <c r="BM768" s="1392" t="n"/>
      <c r="BN768" s="1392" t="n"/>
      <c r="BO768" s="1392" t="n"/>
      <c r="BP768" s="1392" t="n"/>
      <c r="BQ768" s="1392" t="n"/>
      <c r="BR768" s="1392" t="n"/>
      <c r="BS768" s="1392" t="n"/>
      <c r="BT768" s="1392" t="n"/>
      <c r="BU768" s="1416" t="n"/>
      <c r="BV768" s="1392" t="n"/>
      <c r="BW768" s="1392" t="n"/>
      <c r="BX768" s="1392" t="n"/>
      <c r="BY768" s="1392" t="n"/>
      <c r="BZ768" s="1416" t="n"/>
      <c r="CA768" s="1392" t="n"/>
      <c r="CB768" s="1392" t="n"/>
      <c r="CC768" s="1392" t="n"/>
      <c r="CD768" s="1392" t="n"/>
      <c r="CE768" s="1392" t="n"/>
      <c r="CF768" s="1392" t="n"/>
      <c r="CG768" s="1392" t="n"/>
      <c r="CH768" s="1392" t="n"/>
      <c r="CI768" s="1392" t="n"/>
      <c r="CJ768" s="1392" t="n"/>
      <c r="CK768" s="1392" t="n"/>
      <c r="CL768" s="1392" t="n"/>
    </row>
    <row r="769">
      <c r="A769" s="5" t="inlineStr">
        <is>
          <t>.</t>
        </is>
      </c>
      <c r="B769" s="5" t="inlineStr">
        <is>
          <t>.</t>
        </is>
      </c>
      <c r="C769" s="1378">
        <f>IF(raw[[#This Row],[city]]="","-",IF(raw[[#This Row],[city]]="TODAY","-",C768+1))</f>
        <v/>
      </c>
      <c r="D769" s="1393" t="inlineStr">
        <is>
          <t>Stonehenge</t>
        </is>
      </c>
      <c r="E769" s="1394" t="n">
        <v>37842</v>
      </c>
      <c r="F769" s="1394" t="n">
        <v>37842</v>
      </c>
      <c r="G769" s="1393" t="inlineStr">
        <is>
          <t>-</t>
        </is>
      </c>
      <c r="H769" s="1393" t="inlineStr">
        <is>
          <t>David's</t>
        </is>
      </c>
      <c r="I769" s="1393" t="inlineStr">
        <is>
          <t>-</t>
        </is>
      </c>
      <c r="J769" s="1393" t="inlineStr">
        <is>
          <t>-</t>
        </is>
      </c>
      <c r="K769" s="1395">
        <f>IF(raw[[#This Row],[city]]&lt;&gt;"",_xlfn.XLOOKUP($D769,ccc[city],ccc[prov],"-"),"-")</f>
        <v/>
      </c>
      <c r="L769" s="1395">
        <f>IF(raw[[#This Row],[city]]&lt;&gt;"",_xlfn.XLOOKUP($D769,ccc[city],ccc[ctry],"-"),"-")</f>
        <v/>
      </c>
      <c r="M769" s="1395">
        <f>IF(raw[[#This Row],[city]]&lt;&gt;"",_xlfn.XLOOKUP($D769,ccc[city],ccc[cont],"-"),"-")</f>
        <v/>
      </c>
      <c r="N769" s="1396">
        <f>IF(raw[[#This Row],[city]]="","-",IF(raw[[#This Row],[cont]]="B",raw[[#This Row],[cont]],"W"))</f>
        <v/>
      </c>
      <c r="O769" s="1397">
        <f>IF(raw[[#This Row],[out]]=0,0,IF(raw[[#This Row],[out]]=raw[[#This Row],[in]],0.01,raw[[#This Row],[out]]-raw[[#This Row],[in]]))</f>
        <v/>
      </c>
      <c r="P769" s="1397">
        <f>IF(raw[[#This Row],[in]]=0,0,MONTH(raw[[#This Row],[in]]))</f>
        <v/>
      </c>
      <c r="Q769" s="1397">
        <f>IF(raw[[#This Row],[in]]=0,0,YEAR(raw[[#This Row],[in]]))</f>
        <v/>
      </c>
      <c r="R769" s="1397">
        <f>INT(raw[[#This Row],[yr]]/10)*10</f>
        <v/>
      </c>
      <c r="S769" s="1395">
        <f>IF(raw[[#This Row],[city]]="","-",IF(raw[[#This Row],[city]]&lt;&gt;_xlfn.XLOOKUP(raw[[#This Row],[home]],homes[home],homes[city],"-"),1,0))</f>
        <v/>
      </c>
      <c r="T769" s="1398" t="inlineStr">
        <is>
          <t>.</t>
        </is>
      </c>
      <c r="U769" s="1399">
        <f>IF(raw[[#This Row],[wb]]="w",raw[[#This Row],[stay]]+U768,U768)</f>
        <v/>
      </c>
      <c r="V769" s="1400">
        <f>IF(raw[[#This Row],[out]]=0,V768,(raw[[#This Row],[out]]-E$5))</f>
        <v/>
      </c>
      <c r="W769" s="1401">
        <f>U769/V769</f>
        <v/>
      </c>
      <c r="X769" s="1378" t="inlineStr">
        <is>
          <t>.</t>
        </is>
      </c>
      <c r="Y769" s="1402">
        <f/>
        <v/>
      </c>
      <c r="Z769" s="1403">
        <f/>
        <v/>
      </c>
      <c r="AA769" s="1403">
        <f/>
        <v/>
      </c>
      <c r="AB769" s="1400">
        <f t="array" ref="AB769">_xlfn.LET(_xlpm.S,_xlfn.ANCHORARRAY($Y$4),_xlpm.r,ROWS(stayCity[[#Headers],[city]]:stayCity[[#This Row],[city]])-1,IF(_xlpm.r&lt;=ROWS(_xlpm.S),INDEX(_xlpm.S,_xlpm.r,1),""))</f>
        <v/>
      </c>
      <c r="AC769" s="1405">
        <f t="array" ref="AC769">_xlfn.LET(_xlpm.S,_xlfn.ANCHORARRAY($Y$4),_xlpm.r,ROWS(stayCity[[#Headers],[city]]:stayCity[[#This Row],[city]])-1,IF(_xlpm.r&lt;=ROWS(_xlpm.S),INDEX(_xlpm.S,_xlpm.r,2),""))</f>
        <v/>
      </c>
      <c r="AD769" s="1405">
        <f t="array" ref="AD769">_xlfn.LET(_xlpm.S,_xlfn.ANCHORARRAY($Y$4),_xlpm.r,ROWS(stayCity[[#Headers],[city]]:stayCity[[#This Row],[city]])-1,IF(_xlpm.r&lt;=ROWS(_xlpm.S),INDEX(_xlpm.S,_xlpm.r,3),""))</f>
        <v/>
      </c>
      <c r="AE769" s="1400">
        <f>IF(stayCity[[#This Row],[out]]&lt;&gt;"",stayCity[[#This Row],[out]]-stayCity[[#This Row],[in]],"-")</f>
        <v/>
      </c>
      <c r="AF769" s="1406">
        <f>IF(Y769="","-",YEAR(stayCity[[#This Row],[in]]))</f>
        <v/>
      </c>
      <c r="AG769" s="1392" t="n"/>
      <c r="AH769" s="1392" t="n"/>
      <c r="AI769" s="1392" t="n"/>
      <c r="AJ769" s="1392" t="n"/>
      <c r="AK769" s="1392" t="n"/>
      <c r="AL769" s="1392" t="n"/>
      <c r="AM769" s="1392" t="n"/>
      <c r="AN769" s="1392" t="n"/>
      <c r="AO769" s="1392" t="n"/>
      <c r="AP769" s="1392" t="n"/>
      <c r="AQ769" s="1392" t="n"/>
      <c r="AR769" s="1392" t="n"/>
      <c r="AS769" s="1422" t="n"/>
      <c r="AT769" s="1392" t="n"/>
      <c r="AU769" s="1392" t="n"/>
      <c r="AV769" s="1392" t="n"/>
      <c r="AW769" s="1392" t="n"/>
      <c r="AX769" s="1392" t="n"/>
      <c r="AY769" s="1392" t="n"/>
      <c r="AZ769" s="1392" t="n"/>
      <c r="BA769" s="1392" t="n"/>
      <c r="BB769" s="1422" t="n"/>
      <c r="BC769" s="1392" t="n"/>
      <c r="BD769" s="1392" t="n"/>
      <c r="BE769" s="1392" t="n"/>
      <c r="BF769" s="1392" t="n"/>
      <c r="BG769" s="1392" t="n"/>
      <c r="BH769" s="1392" t="n"/>
      <c r="BI769" s="1392" t="n"/>
      <c r="BJ769" s="1392" t="n"/>
      <c r="BK769" s="1392" t="n"/>
      <c r="BL769" s="1392" t="n"/>
      <c r="BM769" s="1392" t="n"/>
      <c r="BN769" s="1392" t="n"/>
      <c r="BO769" s="1392" t="n"/>
      <c r="BP769" s="1392" t="n"/>
      <c r="BQ769" s="1392" t="n"/>
      <c r="BR769" s="1392" t="n"/>
      <c r="BS769" s="1392" t="n"/>
      <c r="BT769" s="1392" t="n"/>
      <c r="BU769" s="1416" t="n"/>
      <c r="BV769" s="1392" t="n"/>
      <c r="BW769" s="1392" t="n"/>
      <c r="BX769" s="1392" t="n"/>
      <c r="BY769" s="1392" t="n"/>
      <c r="BZ769" s="1416" t="n"/>
      <c r="CA769" s="1392" t="n"/>
      <c r="CB769" s="1392" t="n"/>
      <c r="CC769" s="1392" t="n"/>
      <c r="CD769" s="1392" t="n"/>
      <c r="CE769" s="1392" t="n"/>
      <c r="CF769" s="1392" t="n"/>
      <c r="CG769" s="1392" t="n"/>
      <c r="CH769" s="1392" t="n"/>
      <c r="CI769" s="1392" t="n"/>
      <c r="CJ769" s="1392" t="n"/>
      <c r="CK769" s="1392" t="n"/>
      <c r="CL769" s="1392" t="n"/>
    </row>
    <row r="770">
      <c r="A770" s="5" t="inlineStr">
        <is>
          <t>.</t>
        </is>
      </c>
      <c r="B770" s="5" t="inlineStr">
        <is>
          <t>.</t>
        </is>
      </c>
      <c r="C770" s="1378">
        <f>IF(raw[[#This Row],[city]]="","-",IF(raw[[#This Row],[city]]="TODAY","-",C769+1))</f>
        <v/>
      </c>
      <c r="D770" s="1393" t="inlineStr">
        <is>
          <t>London</t>
        </is>
      </c>
      <c r="E770" s="1394" t="n">
        <v>37842</v>
      </c>
      <c r="F770" s="1394" t="n">
        <v>37856</v>
      </c>
      <c r="G770" s="1393" t="inlineStr">
        <is>
          <t>-</t>
        </is>
      </c>
      <c r="H770" s="1393" t="inlineStr">
        <is>
          <t>David's</t>
        </is>
      </c>
      <c r="I770" s="1393" t="inlineStr">
        <is>
          <t>-</t>
        </is>
      </c>
      <c r="J770" s="1393" t="inlineStr">
        <is>
          <t>-</t>
        </is>
      </c>
      <c r="K770" s="1395">
        <f>IF(raw[[#This Row],[city]]&lt;&gt;"",_xlfn.XLOOKUP($D770,ccc[city],ccc[prov],"-"),"-")</f>
        <v/>
      </c>
      <c r="L770" s="1395">
        <f>IF(raw[[#This Row],[city]]&lt;&gt;"",_xlfn.XLOOKUP($D770,ccc[city],ccc[ctry],"-"),"-")</f>
        <v/>
      </c>
      <c r="M770" s="1395">
        <f>IF(raw[[#This Row],[city]]&lt;&gt;"",_xlfn.XLOOKUP($D770,ccc[city],ccc[cont],"-"),"-")</f>
        <v/>
      </c>
      <c r="N770" s="1396">
        <f>IF(raw[[#This Row],[city]]="","-",IF(raw[[#This Row],[cont]]="B",raw[[#This Row],[cont]],"W"))</f>
        <v/>
      </c>
      <c r="O770" s="1397">
        <f>IF(raw[[#This Row],[out]]=0,0,IF(raw[[#This Row],[out]]=raw[[#This Row],[in]],0.01,raw[[#This Row],[out]]-raw[[#This Row],[in]]))</f>
        <v/>
      </c>
      <c r="P770" s="1397">
        <f>IF(raw[[#This Row],[in]]=0,0,MONTH(raw[[#This Row],[in]]))</f>
        <v/>
      </c>
      <c r="Q770" s="1397">
        <f>IF(raw[[#This Row],[in]]=0,0,YEAR(raw[[#This Row],[in]]))</f>
        <v/>
      </c>
      <c r="R770" s="1397">
        <f>INT(raw[[#This Row],[yr]]/10)*10</f>
        <v/>
      </c>
      <c r="S770" s="1395">
        <f>IF(raw[[#This Row],[city]]="","-",IF(raw[[#This Row],[city]]&lt;&gt;_xlfn.XLOOKUP(raw[[#This Row],[home]],homes[home],homes[city],"-"),1,0))</f>
        <v/>
      </c>
      <c r="T770" s="1398" t="inlineStr">
        <is>
          <t>.</t>
        </is>
      </c>
      <c r="U770" s="1399">
        <f>IF(raw[[#This Row],[wb]]="w",raw[[#This Row],[stay]]+U769,U769)</f>
        <v/>
      </c>
      <c r="V770" s="1400">
        <f>IF(raw[[#This Row],[out]]=0,V769,(raw[[#This Row],[out]]-E$5))</f>
        <v/>
      </c>
      <c r="W770" s="1401">
        <f>U770/V770</f>
        <v/>
      </c>
      <c r="X770" s="1378" t="inlineStr">
        <is>
          <t>.</t>
        </is>
      </c>
      <c r="Y770" s="1402">
        <f/>
        <v/>
      </c>
      <c r="Z770" s="1403">
        <f/>
        <v/>
      </c>
      <c r="AA770" s="1403">
        <f/>
        <v/>
      </c>
      <c r="AB770" s="1400">
        <f t="array" ref="AB770">_xlfn.LET(_xlpm.S,_xlfn.ANCHORARRAY($Y$4),_xlpm.r,ROWS(stayCity[[#Headers],[city]]:stayCity[[#This Row],[city]])-1,IF(_xlpm.r&lt;=ROWS(_xlpm.S),INDEX(_xlpm.S,_xlpm.r,1),""))</f>
        <v/>
      </c>
      <c r="AC770" s="1405">
        <f t="array" ref="AC770">_xlfn.LET(_xlpm.S,_xlfn.ANCHORARRAY($Y$4),_xlpm.r,ROWS(stayCity[[#Headers],[city]]:stayCity[[#This Row],[city]])-1,IF(_xlpm.r&lt;=ROWS(_xlpm.S),INDEX(_xlpm.S,_xlpm.r,2),""))</f>
        <v/>
      </c>
      <c r="AD770" s="1405">
        <f t="array" ref="AD770">_xlfn.LET(_xlpm.S,_xlfn.ANCHORARRAY($Y$4),_xlpm.r,ROWS(stayCity[[#Headers],[city]]:stayCity[[#This Row],[city]])-1,IF(_xlpm.r&lt;=ROWS(_xlpm.S),INDEX(_xlpm.S,_xlpm.r,3),""))</f>
        <v/>
      </c>
      <c r="AE770" s="1400">
        <f>IF(stayCity[[#This Row],[out]]&lt;&gt;"",stayCity[[#This Row],[out]]-stayCity[[#This Row],[in]],"-")</f>
        <v/>
      </c>
      <c r="AF770" s="1406">
        <f>IF(Y770="","-",YEAR(stayCity[[#This Row],[in]]))</f>
        <v/>
      </c>
      <c r="AG770" s="1392" t="n"/>
      <c r="AH770" s="1392" t="n"/>
      <c r="AI770" s="1392" t="n"/>
      <c r="AJ770" s="1392" t="n"/>
      <c r="AK770" s="1392" t="n"/>
      <c r="AL770" s="1392" t="n"/>
      <c r="AM770" s="1392" t="n"/>
      <c r="AN770" s="1392" t="n"/>
      <c r="AO770" s="1392" t="n"/>
      <c r="AP770" s="1392" t="n"/>
      <c r="AQ770" s="1392" t="n"/>
      <c r="AR770" s="1392" t="n"/>
      <c r="AS770" s="1422" t="n"/>
      <c r="AT770" s="1392" t="n"/>
      <c r="AU770" s="1392" t="n"/>
      <c r="AV770" s="1392" t="n"/>
      <c r="AW770" s="1392" t="n"/>
      <c r="AX770" s="1392" t="n"/>
      <c r="AY770" s="1392" t="n"/>
      <c r="AZ770" s="1392" t="n"/>
      <c r="BA770" s="1392" t="n"/>
      <c r="BB770" s="1422" t="n"/>
      <c r="BC770" s="1392" t="n"/>
      <c r="BD770" s="1392" t="n"/>
      <c r="BE770" s="1392" t="n"/>
      <c r="BF770" s="1392" t="n"/>
      <c r="BG770" s="1392" t="n"/>
      <c r="BH770" s="1392" t="n"/>
      <c r="BI770" s="1392" t="n"/>
      <c r="BJ770" s="1392" t="n"/>
      <c r="BK770" s="1392" t="n"/>
      <c r="BL770" s="1392" t="n"/>
      <c r="BM770" s="1392" t="n"/>
      <c r="BN770" s="1392" t="n"/>
      <c r="BO770" s="1392" t="n"/>
      <c r="BP770" s="1392" t="n"/>
      <c r="BQ770" s="1392" t="n"/>
      <c r="BR770" s="1392" t="n"/>
      <c r="BS770" s="1392" t="n"/>
      <c r="BT770" s="1392" t="n"/>
      <c r="BU770" s="1416" t="n"/>
      <c r="BV770" s="1392" t="n"/>
      <c r="BW770" s="1392" t="n"/>
      <c r="BX770" s="1392" t="n"/>
      <c r="BY770" s="1392" t="n"/>
      <c r="BZ770" s="1416" t="n"/>
      <c r="CA770" s="1392" t="n"/>
      <c r="CB770" s="1392" t="n"/>
      <c r="CC770" s="1392" t="n"/>
      <c r="CD770" s="1392" t="n"/>
      <c r="CE770" s="1392" t="n"/>
      <c r="CF770" s="1392" t="n"/>
      <c r="CG770" s="1392" t="n"/>
      <c r="CH770" s="1392" t="n"/>
      <c r="CI770" s="1392" t="n"/>
      <c r="CJ770" s="1392" t="n"/>
      <c r="CK770" s="1392" t="n"/>
      <c r="CL770" s="1392" t="n"/>
    </row>
    <row r="771">
      <c r="A771" s="5" t="inlineStr">
        <is>
          <t>.</t>
        </is>
      </c>
      <c r="B771" s="5" t="inlineStr">
        <is>
          <t>.</t>
        </is>
      </c>
      <c r="C771" s="1378">
        <f>IF(raw[[#This Row],[city]]="","-",IF(raw[[#This Row],[city]]="TODAY","-",C770+1))</f>
        <v/>
      </c>
      <c r="D771" s="1393" t="inlineStr">
        <is>
          <t>London</t>
        </is>
      </c>
      <c r="E771" s="1394" t="n">
        <v>37856</v>
      </c>
      <c r="F771" s="1394" t="n">
        <v>37865</v>
      </c>
      <c r="G771" s="1393" t="inlineStr">
        <is>
          <t>-</t>
        </is>
      </c>
      <c r="H771" s="1393" t="inlineStr">
        <is>
          <t>Thomas/Barnfield</t>
        </is>
      </c>
      <c r="I771" s="1393" t="inlineStr">
        <is>
          <t>-</t>
        </is>
      </c>
      <c r="J771" s="1393" t="inlineStr">
        <is>
          <t>BDAY</t>
        </is>
      </c>
      <c r="K771" s="1395">
        <f>IF(raw[[#This Row],[city]]&lt;&gt;"",_xlfn.XLOOKUP($D771,ccc[city],ccc[prov],"-"),"-")</f>
        <v/>
      </c>
      <c r="L771" s="1395">
        <f>IF(raw[[#This Row],[city]]&lt;&gt;"",_xlfn.XLOOKUP($D771,ccc[city],ccc[ctry],"-"),"-")</f>
        <v/>
      </c>
      <c r="M771" s="1395">
        <f>IF(raw[[#This Row],[city]]&lt;&gt;"",_xlfn.XLOOKUP($D771,ccc[city],ccc[cont],"-"),"-")</f>
        <v/>
      </c>
      <c r="N771" s="1396">
        <f>IF(raw[[#This Row],[city]]="","-",IF(raw[[#This Row],[cont]]="B",raw[[#This Row],[cont]],"W"))</f>
        <v/>
      </c>
      <c r="O771" s="1397">
        <f>IF(raw[[#This Row],[out]]=0,0,IF(raw[[#This Row],[out]]=raw[[#This Row],[in]],0.01,raw[[#This Row],[out]]-raw[[#This Row],[in]]))</f>
        <v/>
      </c>
      <c r="P771" s="1397">
        <f>IF(raw[[#This Row],[in]]=0,0,MONTH(raw[[#This Row],[in]]))</f>
        <v/>
      </c>
      <c r="Q771" s="1397">
        <f>IF(raw[[#This Row],[in]]=0,0,YEAR(raw[[#This Row],[in]]))</f>
        <v/>
      </c>
      <c r="R771" s="1397">
        <f>INT(raw[[#This Row],[yr]]/10)*10</f>
        <v/>
      </c>
      <c r="S771" s="1395">
        <f>IF(raw[[#This Row],[city]]="","-",IF(raw[[#This Row],[city]]&lt;&gt;_xlfn.XLOOKUP(raw[[#This Row],[home]],homes[home],homes[city],"-"),1,0))</f>
        <v/>
      </c>
      <c r="T771" s="1398" t="inlineStr">
        <is>
          <t>.</t>
        </is>
      </c>
      <c r="U771" s="1399">
        <f>IF(raw[[#This Row],[wb]]="w",raw[[#This Row],[stay]]+U770,U770)</f>
        <v/>
      </c>
      <c r="V771" s="1400">
        <f>IF(raw[[#This Row],[out]]=0,V770,(raw[[#This Row],[out]]-E$5))</f>
        <v/>
      </c>
      <c r="W771" s="1401">
        <f>U771/V771</f>
        <v/>
      </c>
      <c r="X771" s="1378" t="inlineStr">
        <is>
          <t>.</t>
        </is>
      </c>
      <c r="Y771" s="1402">
        <f/>
        <v/>
      </c>
      <c r="Z771" s="1403">
        <f/>
        <v/>
      </c>
      <c r="AA771" s="1403">
        <f/>
        <v/>
      </c>
      <c r="AB771" s="1400">
        <f t="array" ref="AB771">_xlfn.LET(_xlpm.S,_xlfn.ANCHORARRAY($Y$4),_xlpm.r,ROWS(stayCity[[#Headers],[city]]:stayCity[[#This Row],[city]])-1,IF(_xlpm.r&lt;=ROWS(_xlpm.S),INDEX(_xlpm.S,_xlpm.r,1),""))</f>
        <v/>
      </c>
      <c r="AC771" s="1405">
        <f t="array" ref="AC771">_xlfn.LET(_xlpm.S,_xlfn.ANCHORARRAY($Y$4),_xlpm.r,ROWS(stayCity[[#Headers],[city]]:stayCity[[#This Row],[city]])-1,IF(_xlpm.r&lt;=ROWS(_xlpm.S),INDEX(_xlpm.S,_xlpm.r,2),""))</f>
        <v/>
      </c>
      <c r="AD771" s="1405">
        <f t="array" ref="AD771">_xlfn.LET(_xlpm.S,_xlfn.ANCHORARRAY($Y$4),_xlpm.r,ROWS(stayCity[[#Headers],[city]]:stayCity[[#This Row],[city]])-1,IF(_xlpm.r&lt;=ROWS(_xlpm.S),INDEX(_xlpm.S,_xlpm.r,3),""))</f>
        <v/>
      </c>
      <c r="AE771" s="1400">
        <f>IF(stayCity[[#This Row],[out]]&lt;&gt;"",stayCity[[#This Row],[out]]-stayCity[[#This Row],[in]],"-")</f>
        <v/>
      </c>
      <c r="AF771" s="1406">
        <f>IF(Y771="","-",YEAR(stayCity[[#This Row],[in]]))</f>
        <v/>
      </c>
      <c r="AG771" s="1392" t="n"/>
      <c r="AH771" s="1392" t="n"/>
      <c r="AI771" s="1392" t="n"/>
      <c r="AJ771" s="1392" t="n"/>
      <c r="AK771" s="1392" t="n"/>
      <c r="AL771" s="1392" t="n"/>
      <c r="AM771" s="1392" t="n"/>
      <c r="AN771" s="1392" t="n"/>
      <c r="AO771" s="1392" t="n"/>
      <c r="AP771" s="1392" t="n"/>
      <c r="AQ771" s="1392" t="n"/>
      <c r="AR771" s="1392" t="n"/>
      <c r="AS771" s="1422" t="n"/>
      <c r="AT771" s="1392" t="n"/>
      <c r="AU771" s="1392" t="n"/>
      <c r="AV771" s="1392" t="n"/>
      <c r="AW771" s="1392" t="n"/>
      <c r="AX771" s="1392" t="n"/>
      <c r="AY771" s="1392" t="n"/>
      <c r="AZ771" s="1392" t="n"/>
      <c r="BA771" s="1392" t="n"/>
      <c r="BB771" s="1422" t="n"/>
      <c r="BC771" s="1392" t="n"/>
      <c r="BD771" s="1392" t="n"/>
      <c r="BE771" s="1392" t="n"/>
      <c r="BF771" s="1392" t="n"/>
      <c r="BG771" s="1392" t="n"/>
      <c r="BH771" s="1392" t="n"/>
      <c r="BI771" s="1392" t="n"/>
      <c r="BJ771" s="1392" t="n"/>
      <c r="BK771" s="1392" t="n"/>
      <c r="BL771" s="1392" t="n"/>
      <c r="BM771" s="1392" t="n"/>
      <c r="BN771" s="1392" t="n"/>
      <c r="BO771" s="1392" t="n"/>
      <c r="BP771" s="1392" t="n"/>
      <c r="BQ771" s="1392" t="n"/>
      <c r="BR771" s="1392" t="n"/>
      <c r="BS771" s="1392" t="n"/>
      <c r="BT771" s="1392" t="n"/>
      <c r="BU771" s="1416" t="n"/>
      <c r="BV771" s="1392" t="n"/>
      <c r="BW771" s="1392" t="n"/>
      <c r="BX771" s="1392" t="n"/>
      <c r="BY771" s="1392" t="n"/>
      <c r="BZ771" s="1416" t="n"/>
      <c r="CA771" s="1392" t="n"/>
      <c r="CB771" s="1392" t="n"/>
      <c r="CC771" s="1392" t="n"/>
      <c r="CD771" s="1392" t="n"/>
      <c r="CE771" s="1392" t="n"/>
      <c r="CF771" s="1392" t="n"/>
      <c r="CG771" s="1392" t="n"/>
      <c r="CH771" s="1392" t="n"/>
      <c r="CI771" s="1392" t="n"/>
      <c r="CJ771" s="1392" t="n"/>
      <c r="CK771" s="1392" t="n"/>
      <c r="CL771" s="1392" t="n"/>
    </row>
    <row r="772">
      <c r="A772" s="5" t="inlineStr">
        <is>
          <t>.</t>
        </is>
      </c>
      <c r="B772" s="5" t="inlineStr">
        <is>
          <t>.</t>
        </is>
      </c>
      <c r="C772" s="1378">
        <f>IF(raw[[#This Row],[city]]="","-",IF(raw[[#This Row],[city]]="TODAY","-",C771+1))</f>
        <v/>
      </c>
      <c r="D772" s="1393" t="inlineStr">
        <is>
          <t>London</t>
        </is>
      </c>
      <c r="E772" s="1394" t="n">
        <v>37865</v>
      </c>
      <c r="F772" s="1394" t="n">
        <v>37880</v>
      </c>
      <c r="G772" s="1393" t="n">
        <v>1</v>
      </c>
      <c r="H772" s="1393" t="inlineStr">
        <is>
          <t>Thomas/Barnfield</t>
        </is>
      </c>
      <c r="I772" s="1393" t="inlineStr">
        <is>
          <t>-</t>
        </is>
      </c>
      <c r="J772" s="1393" t="inlineStr">
        <is>
          <t>-</t>
        </is>
      </c>
      <c r="K772" s="1395">
        <f>IF(raw[[#This Row],[city]]&lt;&gt;"",_xlfn.XLOOKUP($D772,ccc[city],ccc[prov],"-"),"-")</f>
        <v/>
      </c>
      <c r="L772" s="1395">
        <f>IF(raw[[#This Row],[city]]&lt;&gt;"",_xlfn.XLOOKUP($D772,ccc[city],ccc[ctry],"-"),"-")</f>
        <v/>
      </c>
      <c r="M772" s="1395">
        <f>IF(raw[[#This Row],[city]]&lt;&gt;"",_xlfn.XLOOKUP($D772,ccc[city],ccc[cont],"-"),"-")</f>
        <v/>
      </c>
      <c r="N772" s="1396">
        <f>IF(raw[[#This Row],[city]]="","-",IF(raw[[#This Row],[cont]]="B",raw[[#This Row],[cont]],"W"))</f>
        <v/>
      </c>
      <c r="O772" s="1397">
        <f>IF(raw[[#This Row],[out]]=0,0,IF(raw[[#This Row],[out]]=raw[[#This Row],[in]],0.01,raw[[#This Row],[out]]-raw[[#This Row],[in]]))</f>
        <v/>
      </c>
      <c r="P772" s="1397">
        <f>IF(raw[[#This Row],[in]]=0,0,MONTH(raw[[#This Row],[in]]))</f>
        <v/>
      </c>
      <c r="Q772" s="1397">
        <f>IF(raw[[#This Row],[in]]=0,0,YEAR(raw[[#This Row],[in]]))</f>
        <v/>
      </c>
      <c r="R772" s="1397">
        <f>INT(raw[[#This Row],[yr]]/10)*10</f>
        <v/>
      </c>
      <c r="S772" s="1395">
        <f>IF(raw[[#This Row],[city]]="","-",IF(raw[[#This Row],[city]]&lt;&gt;_xlfn.XLOOKUP(raw[[#This Row],[home]],homes[home],homes[city],"-"),1,0))</f>
        <v/>
      </c>
      <c r="T772" s="1398" t="inlineStr">
        <is>
          <t>.</t>
        </is>
      </c>
      <c r="U772" s="1399">
        <f>IF(raw[[#This Row],[wb]]="w",raw[[#This Row],[stay]]+U771,U771)</f>
        <v/>
      </c>
      <c r="V772" s="1400">
        <f>IF(raw[[#This Row],[out]]=0,V771,(raw[[#This Row],[out]]-E$5))</f>
        <v/>
      </c>
      <c r="W772" s="1401">
        <f>U772/V772</f>
        <v/>
      </c>
      <c r="X772" s="1378" t="inlineStr">
        <is>
          <t>.</t>
        </is>
      </c>
      <c r="Y772" s="1402">
        <f/>
        <v/>
      </c>
      <c r="Z772" s="1403">
        <f/>
        <v/>
      </c>
      <c r="AA772" s="1403">
        <f/>
        <v/>
      </c>
      <c r="AB772" s="1400">
        <f t="array" ref="AB772">_xlfn.LET(_xlpm.S,_xlfn.ANCHORARRAY($Y$4),_xlpm.r,ROWS(stayCity[[#Headers],[city]]:stayCity[[#This Row],[city]])-1,IF(_xlpm.r&lt;=ROWS(_xlpm.S),INDEX(_xlpm.S,_xlpm.r,1),""))</f>
        <v/>
      </c>
      <c r="AC772" s="1405">
        <f t="array" ref="AC772">_xlfn.LET(_xlpm.S,_xlfn.ANCHORARRAY($Y$4),_xlpm.r,ROWS(stayCity[[#Headers],[city]]:stayCity[[#This Row],[city]])-1,IF(_xlpm.r&lt;=ROWS(_xlpm.S),INDEX(_xlpm.S,_xlpm.r,2),""))</f>
        <v/>
      </c>
      <c r="AD772" s="1405">
        <f t="array" ref="AD772">_xlfn.LET(_xlpm.S,_xlfn.ANCHORARRAY($Y$4),_xlpm.r,ROWS(stayCity[[#Headers],[city]]:stayCity[[#This Row],[city]])-1,IF(_xlpm.r&lt;=ROWS(_xlpm.S),INDEX(_xlpm.S,_xlpm.r,3),""))</f>
        <v/>
      </c>
      <c r="AE772" s="1400">
        <f>IF(stayCity[[#This Row],[out]]&lt;&gt;"",stayCity[[#This Row],[out]]-stayCity[[#This Row],[in]],"-")</f>
        <v/>
      </c>
      <c r="AF772" s="1406">
        <f>IF(Y772="","-",YEAR(stayCity[[#This Row],[in]]))</f>
        <v/>
      </c>
      <c r="AG772" s="1392" t="n"/>
      <c r="AH772" s="1392" t="n"/>
      <c r="AI772" s="1392" t="n"/>
      <c r="AJ772" s="1392" t="n"/>
      <c r="AK772" s="1392" t="n"/>
      <c r="AL772" s="1392" t="n"/>
      <c r="AM772" s="1392" t="n"/>
      <c r="AN772" s="1392" t="n"/>
      <c r="AO772" s="1392" t="n"/>
      <c r="AP772" s="1392" t="n"/>
      <c r="AQ772" s="1392" t="n"/>
      <c r="AR772" s="1392" t="n"/>
      <c r="AS772" s="1422" t="n"/>
      <c r="AT772" s="1392" t="n"/>
      <c r="AU772" s="1392" t="n"/>
      <c r="AV772" s="1392" t="n"/>
      <c r="AW772" s="1392" t="n"/>
      <c r="AX772" s="1392" t="n"/>
      <c r="AY772" s="1392" t="n"/>
      <c r="AZ772" s="1392" t="n"/>
      <c r="BA772" s="1392" t="n"/>
      <c r="BB772" s="1422" t="n"/>
      <c r="BC772" s="1392" t="n"/>
      <c r="BD772" s="1392" t="n"/>
      <c r="BE772" s="1392" t="n"/>
      <c r="BF772" s="1392" t="n"/>
      <c r="BG772" s="1392" t="n"/>
      <c r="BH772" s="1392" t="n"/>
      <c r="BI772" s="1392" t="n"/>
      <c r="BJ772" s="1392" t="n"/>
      <c r="BK772" s="1392" t="n"/>
      <c r="BL772" s="1392" t="n"/>
      <c r="BM772" s="1392" t="n"/>
      <c r="BN772" s="1392" t="n"/>
      <c r="BO772" s="1392" t="n"/>
      <c r="BP772" s="1392" t="n"/>
      <c r="BQ772" s="1392" t="n"/>
      <c r="BR772" s="1392" t="n"/>
      <c r="BS772" s="1392" t="n"/>
      <c r="BT772" s="1392" t="n"/>
      <c r="BU772" s="1416" t="n"/>
      <c r="BV772" s="1392" t="n"/>
      <c r="BW772" s="1392" t="n"/>
      <c r="BX772" s="1392" t="n"/>
      <c r="BY772" s="1392" t="n"/>
      <c r="BZ772" s="1416" t="n"/>
      <c r="CA772" s="1392" t="n"/>
      <c r="CB772" s="1392" t="n"/>
      <c r="CC772" s="1392" t="n"/>
      <c r="CD772" s="1392" t="n"/>
      <c r="CE772" s="1392" t="n"/>
      <c r="CF772" s="1392" t="n"/>
      <c r="CG772" s="1392" t="n"/>
      <c r="CH772" s="1392" t="n"/>
      <c r="CI772" s="1392" t="n"/>
      <c r="CJ772" s="1392" t="n"/>
      <c r="CK772" s="1392" t="n"/>
      <c r="CL772" s="1392" t="n"/>
    </row>
    <row r="773">
      <c r="A773" s="5" t="inlineStr">
        <is>
          <t>.</t>
        </is>
      </c>
      <c r="B773" s="5" t="inlineStr">
        <is>
          <t>.</t>
        </is>
      </c>
      <c r="C773" s="1378">
        <f>IF(raw[[#This Row],[city]]="","-",IF(raw[[#This Row],[city]]="TODAY","-",C772+1))</f>
        <v/>
      </c>
      <c r="D773" s="1393" t="inlineStr">
        <is>
          <t>Reykjavik</t>
        </is>
      </c>
      <c r="E773" s="1394" t="n">
        <v>37880</v>
      </c>
      <c r="F773" s="1394" t="n">
        <v>37880</v>
      </c>
      <c r="G773" s="1393" t="n">
        <v>0.01</v>
      </c>
      <c r="H773" s="1393" t="inlineStr">
        <is>
          <t>Transit</t>
        </is>
      </c>
      <c r="I773" s="1393" t="inlineStr">
        <is>
          <t>-</t>
        </is>
      </c>
      <c r="J773" s="1393" t="inlineStr">
        <is>
          <t>-</t>
        </is>
      </c>
      <c r="K773" s="1395">
        <f>IF(raw[[#This Row],[city]]&lt;&gt;"",_xlfn.XLOOKUP($D773,ccc[city],ccc[prov],"-"),"-")</f>
        <v/>
      </c>
      <c r="L773" s="1395">
        <f>IF(raw[[#This Row],[city]]&lt;&gt;"",_xlfn.XLOOKUP($D773,ccc[city],ccc[ctry],"-"),"-")</f>
        <v/>
      </c>
      <c r="M773" s="1395">
        <f>IF(raw[[#This Row],[city]]&lt;&gt;"",_xlfn.XLOOKUP($D773,ccc[city],ccc[cont],"-"),"-")</f>
        <v/>
      </c>
      <c r="N773" s="1396">
        <f>IF(raw[[#This Row],[city]]="","-",IF(raw[[#This Row],[cont]]="B",raw[[#This Row],[cont]],"W"))</f>
        <v/>
      </c>
      <c r="O773" s="1397">
        <f>IF(raw[[#This Row],[out]]=0,0,IF(raw[[#This Row],[out]]=raw[[#This Row],[in]],0.01,raw[[#This Row],[out]]-raw[[#This Row],[in]]))</f>
        <v/>
      </c>
      <c r="P773" s="1397">
        <f>IF(raw[[#This Row],[in]]=0,0,MONTH(raw[[#This Row],[in]]))</f>
        <v/>
      </c>
      <c r="Q773" s="1397">
        <f>IF(raw[[#This Row],[in]]=0,0,YEAR(raw[[#This Row],[in]]))</f>
        <v/>
      </c>
      <c r="R773" s="1397">
        <f>INT(raw[[#This Row],[yr]]/10)*10</f>
        <v/>
      </c>
      <c r="S773" s="1395">
        <f>IF(raw[[#This Row],[city]]="","-",IF(raw[[#This Row],[city]]&lt;&gt;_xlfn.XLOOKUP(raw[[#This Row],[home]],homes[home],homes[city],"-"),1,0))</f>
        <v/>
      </c>
      <c r="T773" s="1398" t="inlineStr">
        <is>
          <t>.</t>
        </is>
      </c>
      <c r="U773" s="1399">
        <f>IF(raw[[#This Row],[wb]]="w",raw[[#This Row],[stay]]+U772,U772)</f>
        <v/>
      </c>
      <c r="V773" s="1400">
        <f>IF(raw[[#This Row],[out]]=0,V772,(raw[[#This Row],[out]]-E$5))</f>
        <v/>
      </c>
      <c r="W773" s="1401">
        <f>U773/V773</f>
        <v/>
      </c>
      <c r="X773" s="1378" t="inlineStr">
        <is>
          <t>.</t>
        </is>
      </c>
      <c r="Y773" s="1402">
        <f/>
        <v/>
      </c>
      <c r="Z773" s="1403">
        <f/>
        <v/>
      </c>
      <c r="AA773" s="1403">
        <f/>
        <v/>
      </c>
      <c r="AB773" s="1400">
        <f t="array" ref="AB773">_xlfn.LET(_xlpm.S,_xlfn.ANCHORARRAY($Y$4),_xlpm.r,ROWS(stayCity[[#Headers],[city]]:stayCity[[#This Row],[city]])-1,IF(_xlpm.r&lt;=ROWS(_xlpm.S),INDEX(_xlpm.S,_xlpm.r,1),""))</f>
        <v/>
      </c>
      <c r="AC773" s="1405">
        <f t="array" ref="AC773">_xlfn.LET(_xlpm.S,_xlfn.ANCHORARRAY($Y$4),_xlpm.r,ROWS(stayCity[[#Headers],[city]]:stayCity[[#This Row],[city]])-1,IF(_xlpm.r&lt;=ROWS(_xlpm.S),INDEX(_xlpm.S,_xlpm.r,2),""))</f>
        <v/>
      </c>
      <c r="AD773" s="1405">
        <f t="array" ref="AD773">_xlfn.LET(_xlpm.S,_xlfn.ANCHORARRAY($Y$4),_xlpm.r,ROWS(stayCity[[#Headers],[city]]:stayCity[[#This Row],[city]])-1,IF(_xlpm.r&lt;=ROWS(_xlpm.S),INDEX(_xlpm.S,_xlpm.r,3),""))</f>
        <v/>
      </c>
      <c r="AE773" s="1400">
        <f>IF(stayCity[[#This Row],[out]]&lt;&gt;"",stayCity[[#This Row],[out]]-stayCity[[#This Row],[in]],"-")</f>
        <v/>
      </c>
      <c r="AF773" s="1406">
        <f>IF(Y773="","-",YEAR(stayCity[[#This Row],[in]]))</f>
        <v/>
      </c>
      <c r="AG773" s="1392" t="n"/>
      <c r="AH773" s="1392" t="n"/>
      <c r="AI773" s="1392" t="n"/>
      <c r="AJ773" s="1392" t="n"/>
      <c r="AK773" s="1392" t="n"/>
      <c r="AL773" s="1392" t="n"/>
      <c r="AM773" s="1392" t="n"/>
      <c r="AN773" s="1392" t="n"/>
      <c r="AO773" s="1392" t="n"/>
      <c r="AP773" s="1392" t="n"/>
      <c r="AQ773" s="1392" t="n"/>
      <c r="AR773" s="1392" t="n"/>
      <c r="AS773" s="1422" t="n"/>
      <c r="AT773" s="1392" t="n"/>
      <c r="AU773" s="1392" t="n"/>
      <c r="AV773" s="1392" t="n"/>
      <c r="AW773" s="1392" t="n"/>
      <c r="AX773" s="1392" t="n"/>
      <c r="AY773" s="1392" t="n"/>
      <c r="AZ773" s="1392" t="n"/>
      <c r="BA773" s="1392" t="n"/>
      <c r="BB773" s="1422" t="n"/>
      <c r="BC773" s="1392" t="n"/>
      <c r="BD773" s="1392" t="n"/>
      <c r="BE773" s="1392" t="n"/>
      <c r="BF773" s="1392" t="n"/>
      <c r="BG773" s="1392" t="n"/>
      <c r="BH773" s="1392" t="n"/>
      <c r="BI773" s="1392" t="n"/>
      <c r="BJ773" s="1392" t="n"/>
      <c r="BK773" s="1392" t="n"/>
      <c r="BL773" s="1392" t="n"/>
      <c r="BM773" s="1392" t="n"/>
      <c r="BN773" s="1392" t="n"/>
      <c r="BO773" s="1392" t="n"/>
      <c r="BP773" s="1392" t="n"/>
      <c r="BQ773" s="1392" t="n"/>
      <c r="BR773" s="1392" t="n"/>
      <c r="BS773" s="1392" t="n"/>
      <c r="BT773" s="1392" t="n"/>
      <c r="BU773" s="1416" t="n"/>
      <c r="BV773" s="1392" t="n"/>
      <c r="BW773" s="1392" t="n"/>
      <c r="BX773" s="1392" t="n"/>
      <c r="BY773" s="1392" t="n"/>
      <c r="BZ773" s="1416" t="n"/>
      <c r="CA773" s="1392" t="n"/>
      <c r="CB773" s="1392" t="n"/>
      <c r="CC773" s="1392" t="n"/>
      <c r="CD773" s="1392" t="n"/>
      <c r="CE773" s="1392" t="n"/>
      <c r="CF773" s="1392" t="n"/>
      <c r="CG773" s="1392" t="n"/>
      <c r="CH773" s="1392" t="n"/>
      <c r="CI773" s="1392" t="n"/>
      <c r="CJ773" s="1392" t="n"/>
      <c r="CK773" s="1392" t="n"/>
      <c r="CL773" s="1392" t="n"/>
    </row>
    <row r="774">
      <c r="A774" s="5" t="inlineStr">
        <is>
          <t>.</t>
        </is>
      </c>
      <c r="B774" s="5" t="inlineStr">
        <is>
          <t>.</t>
        </is>
      </c>
      <c r="C774" s="1378">
        <f>IF(raw[[#This Row],[city]]="","-",IF(raw[[#This Row],[city]]="TODAY","-",C773+1))</f>
        <v/>
      </c>
      <c r="D774" s="1393" t="inlineStr">
        <is>
          <t>NYC</t>
        </is>
      </c>
      <c r="E774" s="1394" t="n">
        <v>37880</v>
      </c>
      <c r="F774" s="1394" t="n">
        <v>37882</v>
      </c>
      <c r="G774" s="1393" t="n">
        <v>1</v>
      </c>
      <c r="H774" s="1393" t="inlineStr">
        <is>
          <t>Transit</t>
        </is>
      </c>
      <c r="I774" s="1393" t="inlineStr">
        <is>
          <t>Alexandre/Brooklin</t>
        </is>
      </c>
      <c r="J774" s="1393" t="inlineStr">
        <is>
          <t>-</t>
        </is>
      </c>
      <c r="K774" s="1395">
        <f>IF(raw[[#This Row],[city]]&lt;&gt;"",_xlfn.XLOOKUP($D774,ccc[city],ccc[prov],"-"),"-")</f>
        <v/>
      </c>
      <c r="L774" s="1395">
        <f>IF(raw[[#This Row],[city]]&lt;&gt;"",_xlfn.XLOOKUP($D774,ccc[city],ccc[ctry],"-"),"-")</f>
        <v/>
      </c>
      <c r="M774" s="1395">
        <f>IF(raw[[#This Row],[city]]&lt;&gt;"",_xlfn.XLOOKUP($D774,ccc[city],ccc[cont],"-"),"-")</f>
        <v/>
      </c>
      <c r="N774" s="1396">
        <f>IF(raw[[#This Row],[city]]="","-",IF(raw[[#This Row],[cont]]="B",raw[[#This Row],[cont]],"W"))</f>
        <v/>
      </c>
      <c r="O774" s="1397">
        <f>IF(raw[[#This Row],[out]]=0,0,IF(raw[[#This Row],[out]]=raw[[#This Row],[in]],0.01,raw[[#This Row],[out]]-raw[[#This Row],[in]]))</f>
        <v/>
      </c>
      <c r="P774" s="1397">
        <f>IF(raw[[#This Row],[in]]=0,0,MONTH(raw[[#This Row],[in]]))</f>
        <v/>
      </c>
      <c r="Q774" s="1397">
        <f>IF(raw[[#This Row],[in]]=0,0,YEAR(raw[[#This Row],[in]]))</f>
        <v/>
      </c>
      <c r="R774" s="1397">
        <f>INT(raw[[#This Row],[yr]]/10)*10</f>
        <v/>
      </c>
      <c r="S774" s="1395">
        <f>IF(raw[[#This Row],[city]]="","-",IF(raw[[#This Row],[city]]&lt;&gt;_xlfn.XLOOKUP(raw[[#This Row],[home]],homes[home],homes[city],"-"),1,0))</f>
        <v/>
      </c>
      <c r="T774" s="1398" t="inlineStr">
        <is>
          <t>.</t>
        </is>
      </c>
      <c r="U774" s="1399">
        <f>IF(raw[[#This Row],[wb]]="w",raw[[#This Row],[stay]]+U773,U773)</f>
        <v/>
      </c>
      <c r="V774" s="1400">
        <f>IF(raw[[#This Row],[out]]=0,V773,(raw[[#This Row],[out]]-E$5))</f>
        <v/>
      </c>
      <c r="W774" s="1401">
        <f>U774/V774</f>
        <v/>
      </c>
      <c r="X774" s="1378" t="inlineStr">
        <is>
          <t>.</t>
        </is>
      </c>
      <c r="Y774" s="1402">
        <f/>
        <v/>
      </c>
      <c r="Z774" s="1403">
        <f/>
        <v/>
      </c>
      <c r="AA774" s="1403">
        <f/>
        <v/>
      </c>
      <c r="AB774" s="1400">
        <f t="array" ref="AB774">_xlfn.LET(_xlpm.S,_xlfn.ANCHORARRAY($Y$4),_xlpm.r,ROWS(stayCity[[#Headers],[city]]:stayCity[[#This Row],[city]])-1,IF(_xlpm.r&lt;=ROWS(_xlpm.S),INDEX(_xlpm.S,_xlpm.r,1),""))</f>
        <v/>
      </c>
      <c r="AC774" s="1405">
        <f t="array" ref="AC774">_xlfn.LET(_xlpm.S,_xlfn.ANCHORARRAY($Y$4),_xlpm.r,ROWS(stayCity[[#Headers],[city]]:stayCity[[#This Row],[city]])-1,IF(_xlpm.r&lt;=ROWS(_xlpm.S),INDEX(_xlpm.S,_xlpm.r,2),""))</f>
        <v/>
      </c>
      <c r="AD774" s="1405">
        <f t="array" ref="AD774">_xlfn.LET(_xlpm.S,_xlfn.ANCHORARRAY($Y$4),_xlpm.r,ROWS(stayCity[[#Headers],[city]]:stayCity[[#This Row],[city]])-1,IF(_xlpm.r&lt;=ROWS(_xlpm.S),INDEX(_xlpm.S,_xlpm.r,3),""))</f>
        <v/>
      </c>
      <c r="AE774" s="1400">
        <f>IF(stayCity[[#This Row],[out]]&lt;&gt;"",stayCity[[#This Row],[out]]-stayCity[[#This Row],[in]],"-")</f>
        <v/>
      </c>
      <c r="AF774" s="1406">
        <f>IF(Y774="","-",YEAR(stayCity[[#This Row],[in]]))</f>
        <v/>
      </c>
      <c r="AG774" s="1392" t="n"/>
      <c r="AH774" s="1392" t="n"/>
      <c r="AI774" s="1392" t="n"/>
      <c r="AJ774" s="1392" t="n"/>
      <c r="AK774" s="1392" t="n"/>
      <c r="AL774" s="1392" t="n"/>
      <c r="AM774" s="1392" t="n"/>
      <c r="AN774" s="1392" t="n"/>
      <c r="AO774" s="1392" t="n"/>
      <c r="AP774" s="1392" t="n"/>
      <c r="AQ774" s="1392" t="n"/>
      <c r="AR774" s="1392" t="n"/>
      <c r="AS774" s="1422" t="n"/>
      <c r="AT774" s="1392" t="n"/>
      <c r="AU774" s="1392" t="n"/>
      <c r="AV774" s="1392" t="n"/>
      <c r="AW774" s="1392" t="n"/>
      <c r="AX774" s="1392" t="n"/>
      <c r="AY774" s="1392" t="n"/>
      <c r="AZ774" s="1392" t="n"/>
      <c r="BA774" s="1392" t="n"/>
      <c r="BB774" s="1422" t="n"/>
      <c r="BC774" s="1392" t="n"/>
      <c r="BD774" s="1392" t="n"/>
      <c r="BE774" s="1392" t="n"/>
      <c r="BF774" s="1392" t="n"/>
      <c r="BG774" s="1392" t="n"/>
      <c r="BH774" s="1392" t="n"/>
      <c r="BI774" s="1392" t="n"/>
      <c r="BJ774" s="1392" t="n"/>
      <c r="BK774" s="1392" t="n"/>
      <c r="BL774" s="1392" t="n"/>
      <c r="BM774" s="1392" t="n"/>
      <c r="BN774" s="1392" t="n"/>
      <c r="BO774" s="1392" t="n"/>
      <c r="BP774" s="1392" t="n"/>
      <c r="BQ774" s="1392" t="n"/>
      <c r="BR774" s="1392" t="n"/>
      <c r="BS774" s="1392" t="n"/>
      <c r="BT774" s="1392" t="n"/>
      <c r="BU774" s="1416" t="n"/>
      <c r="BV774" s="1392" t="n"/>
      <c r="BW774" s="1392" t="n"/>
      <c r="BX774" s="1392" t="n"/>
      <c r="BY774" s="1392" t="n"/>
      <c r="BZ774" s="1416" t="n"/>
      <c r="CA774" s="1392" t="n"/>
      <c r="CB774" s="1392" t="n"/>
      <c r="CC774" s="1392" t="n"/>
      <c r="CD774" s="1392" t="n"/>
      <c r="CE774" s="1392" t="n"/>
      <c r="CF774" s="1392" t="n"/>
      <c r="CG774" s="1392" t="n"/>
      <c r="CH774" s="1392" t="n"/>
      <c r="CI774" s="1392" t="n"/>
      <c r="CJ774" s="1392" t="n"/>
      <c r="CK774" s="1392" t="n"/>
      <c r="CL774" s="1392" t="n"/>
    </row>
    <row r="775">
      <c r="A775" s="5" t="inlineStr">
        <is>
          <t>.</t>
        </is>
      </c>
      <c r="B775" s="5" t="inlineStr">
        <is>
          <t>.</t>
        </is>
      </c>
      <c r="C775" s="1378">
        <f>IF(raw[[#This Row],[city]]="","-",IF(raw[[#This Row],[city]]="TODAY","-",C774+1))</f>
        <v/>
      </c>
      <c r="D775" s="1393" t="inlineStr">
        <is>
          <t>Washington</t>
        </is>
      </c>
      <c r="E775" s="1394" t="n">
        <v>37882</v>
      </c>
      <c r="F775" s="1394" t="n">
        <v>37882</v>
      </c>
      <c r="G775" s="1393" t="n">
        <v>0.01</v>
      </c>
      <c r="H775" s="1393" t="inlineStr">
        <is>
          <t>Transit</t>
        </is>
      </c>
      <c r="I775" s="1393" t="inlineStr">
        <is>
          <t>-</t>
        </is>
      </c>
      <c r="J775" s="1393" t="inlineStr">
        <is>
          <t>-</t>
        </is>
      </c>
      <c r="K775" s="1395">
        <f>IF(raw[[#This Row],[city]]&lt;&gt;"",_xlfn.XLOOKUP($D775,ccc[city],ccc[prov],"-"),"-")</f>
        <v/>
      </c>
      <c r="L775" s="1395">
        <f>IF(raw[[#This Row],[city]]&lt;&gt;"",_xlfn.XLOOKUP($D775,ccc[city],ccc[ctry],"-"),"-")</f>
        <v/>
      </c>
      <c r="M775" s="1395">
        <f>IF(raw[[#This Row],[city]]&lt;&gt;"",_xlfn.XLOOKUP($D775,ccc[city],ccc[cont],"-"),"-")</f>
        <v/>
      </c>
      <c r="N775" s="1396">
        <f>IF(raw[[#This Row],[city]]="","-",IF(raw[[#This Row],[cont]]="B",raw[[#This Row],[cont]],"W"))</f>
        <v/>
      </c>
      <c r="O775" s="1397">
        <f>IF(raw[[#This Row],[out]]=0,0,IF(raw[[#This Row],[out]]=raw[[#This Row],[in]],0.01,raw[[#This Row],[out]]-raw[[#This Row],[in]]))</f>
        <v/>
      </c>
      <c r="P775" s="1397">
        <f>IF(raw[[#This Row],[in]]=0,0,MONTH(raw[[#This Row],[in]]))</f>
        <v/>
      </c>
      <c r="Q775" s="1397">
        <f>IF(raw[[#This Row],[in]]=0,0,YEAR(raw[[#This Row],[in]]))</f>
        <v/>
      </c>
      <c r="R775" s="1397">
        <f>INT(raw[[#This Row],[yr]]/10)*10</f>
        <v/>
      </c>
      <c r="S775" s="1395">
        <f>IF(raw[[#This Row],[city]]="","-",IF(raw[[#This Row],[city]]&lt;&gt;_xlfn.XLOOKUP(raw[[#This Row],[home]],homes[home],homes[city],"-"),1,0))</f>
        <v/>
      </c>
      <c r="T775" s="1398" t="inlineStr">
        <is>
          <t>.</t>
        </is>
      </c>
      <c r="U775" s="1399">
        <f>IF(raw[[#This Row],[wb]]="w",raw[[#This Row],[stay]]+U774,U774)</f>
        <v/>
      </c>
      <c r="V775" s="1400">
        <f>IF(raw[[#This Row],[out]]=0,V774,(raw[[#This Row],[out]]-E$5))</f>
        <v/>
      </c>
      <c r="W775" s="1401">
        <f>U775/V775</f>
        <v/>
      </c>
      <c r="X775" s="1378" t="inlineStr">
        <is>
          <t>.</t>
        </is>
      </c>
      <c r="Y775" s="1402">
        <f/>
        <v/>
      </c>
      <c r="Z775" s="1403">
        <f/>
        <v/>
      </c>
      <c r="AA775" s="1403">
        <f/>
        <v/>
      </c>
      <c r="AB775" s="1400">
        <f t="array" ref="AB775">_xlfn.LET(_xlpm.S,_xlfn.ANCHORARRAY($Y$4),_xlpm.r,ROWS(stayCity[[#Headers],[city]]:stayCity[[#This Row],[city]])-1,IF(_xlpm.r&lt;=ROWS(_xlpm.S),INDEX(_xlpm.S,_xlpm.r,1),""))</f>
        <v/>
      </c>
      <c r="AC775" s="1405">
        <f t="array" ref="AC775">_xlfn.LET(_xlpm.S,_xlfn.ANCHORARRAY($Y$4),_xlpm.r,ROWS(stayCity[[#Headers],[city]]:stayCity[[#This Row],[city]])-1,IF(_xlpm.r&lt;=ROWS(_xlpm.S),INDEX(_xlpm.S,_xlpm.r,2),""))</f>
        <v/>
      </c>
      <c r="AD775" s="1405">
        <f t="array" ref="AD775">_xlfn.LET(_xlpm.S,_xlfn.ANCHORARRAY($Y$4),_xlpm.r,ROWS(stayCity[[#Headers],[city]]:stayCity[[#This Row],[city]])-1,IF(_xlpm.r&lt;=ROWS(_xlpm.S),INDEX(_xlpm.S,_xlpm.r,3),""))</f>
        <v/>
      </c>
      <c r="AE775" s="1400">
        <f>IF(stayCity[[#This Row],[out]]&lt;&gt;"",stayCity[[#This Row],[out]]-stayCity[[#This Row],[in]],"-")</f>
        <v/>
      </c>
      <c r="AF775" s="1406">
        <f>IF(Y775="","-",YEAR(stayCity[[#This Row],[in]]))</f>
        <v/>
      </c>
      <c r="AG775" s="1392" t="n"/>
      <c r="AH775" s="1392" t="n"/>
      <c r="AI775" s="1392" t="n"/>
      <c r="AJ775" s="1392" t="n"/>
      <c r="AK775" s="1392" t="n"/>
      <c r="AL775" s="1392" t="n"/>
      <c r="AM775" s="1392" t="n"/>
      <c r="AN775" s="1392" t="n"/>
      <c r="AO775" s="1392" t="n"/>
      <c r="AP775" s="1392" t="n"/>
      <c r="AQ775" s="1392" t="n"/>
      <c r="AR775" s="1392" t="n"/>
      <c r="AS775" s="1422" t="n"/>
      <c r="AT775" s="1392" t="n"/>
      <c r="AU775" s="1392" t="n"/>
      <c r="AV775" s="1392" t="n"/>
      <c r="AW775" s="1392" t="n"/>
      <c r="AX775" s="1392" t="n"/>
      <c r="AY775" s="1392" t="n"/>
      <c r="AZ775" s="1392" t="n"/>
      <c r="BA775" s="1392" t="n"/>
      <c r="BB775" s="1422" t="n"/>
      <c r="BC775" s="1392" t="n"/>
      <c r="BD775" s="1392" t="n"/>
      <c r="BE775" s="1392" t="n"/>
      <c r="BF775" s="1392" t="n"/>
      <c r="BG775" s="1392" t="n"/>
      <c r="BH775" s="1392" t="n"/>
      <c r="BI775" s="1392" t="n"/>
      <c r="BJ775" s="1392" t="n"/>
      <c r="BK775" s="1392" t="n"/>
      <c r="BL775" s="1392" t="n"/>
      <c r="BM775" s="1392" t="n"/>
      <c r="BN775" s="1392" t="n"/>
      <c r="BO775" s="1392" t="n"/>
      <c r="BP775" s="1392" t="n"/>
      <c r="BQ775" s="1392" t="n"/>
      <c r="BR775" s="1392" t="n"/>
      <c r="BS775" s="1392" t="n"/>
      <c r="BT775" s="1392" t="n"/>
      <c r="BU775" s="1416" t="n"/>
      <c r="BV775" s="1392" t="n"/>
      <c r="BW775" s="1392" t="n"/>
      <c r="BX775" s="1392" t="n"/>
      <c r="BY775" s="1392" t="n"/>
      <c r="BZ775" s="1416" t="n"/>
      <c r="CA775" s="1392" t="n"/>
      <c r="CB775" s="1392" t="n"/>
      <c r="CC775" s="1392" t="n"/>
      <c r="CD775" s="1392" t="n"/>
      <c r="CE775" s="1392" t="n"/>
      <c r="CF775" s="1392" t="n"/>
      <c r="CG775" s="1392" t="n"/>
      <c r="CH775" s="1392" t="n"/>
      <c r="CI775" s="1392" t="n"/>
      <c r="CJ775" s="1392" t="n"/>
      <c r="CK775" s="1392" t="n"/>
      <c r="CL775" s="1392" t="n"/>
    </row>
    <row r="776">
      <c r="A776" s="5" t="inlineStr">
        <is>
          <t>.</t>
        </is>
      </c>
      <c r="B776" s="5" t="inlineStr">
        <is>
          <t>.</t>
        </is>
      </c>
      <c r="C776" s="1378">
        <f>IF(raw[[#This Row],[city]]="","-",IF(raw[[#This Row],[city]]="TODAY","-",C775+1))</f>
        <v/>
      </c>
      <c r="D776" s="1393" t="inlineStr">
        <is>
          <t>Columbia</t>
        </is>
      </c>
      <c r="E776" s="1394" t="n">
        <v>37882</v>
      </c>
      <c r="F776" s="1394" t="n">
        <v>37895</v>
      </c>
      <c r="G776" s="1393" t="inlineStr">
        <is>
          <t>-</t>
        </is>
      </c>
      <c r="H776" s="1393" t="inlineStr">
        <is>
          <t>Transit</t>
        </is>
      </c>
      <c r="I776" s="1393" t="inlineStr">
        <is>
          <t>Otavio</t>
        </is>
      </c>
      <c r="J776" s="1393" t="inlineStr">
        <is>
          <t>-</t>
        </is>
      </c>
      <c r="K776" s="1395">
        <f>IF(raw[[#This Row],[city]]&lt;&gt;"",_xlfn.XLOOKUP($D776,ccc[city],ccc[prov],"-"),"-")</f>
        <v/>
      </c>
      <c r="L776" s="1395">
        <f>IF(raw[[#This Row],[city]]&lt;&gt;"",_xlfn.XLOOKUP($D776,ccc[city],ccc[ctry],"-"),"-")</f>
        <v/>
      </c>
      <c r="M776" s="1395">
        <f>IF(raw[[#This Row],[city]]&lt;&gt;"",_xlfn.XLOOKUP($D776,ccc[city],ccc[cont],"-"),"-")</f>
        <v/>
      </c>
      <c r="N776" s="1396">
        <f>IF(raw[[#This Row],[city]]="","-",IF(raw[[#This Row],[cont]]="B",raw[[#This Row],[cont]],"W"))</f>
        <v/>
      </c>
      <c r="O776" s="1397">
        <f>IF(raw[[#This Row],[out]]=0,0,IF(raw[[#This Row],[out]]=raw[[#This Row],[in]],0.01,raw[[#This Row],[out]]-raw[[#This Row],[in]]))</f>
        <v/>
      </c>
      <c r="P776" s="1397">
        <f>IF(raw[[#This Row],[in]]=0,0,MONTH(raw[[#This Row],[in]]))</f>
        <v/>
      </c>
      <c r="Q776" s="1397">
        <f>IF(raw[[#This Row],[in]]=0,0,YEAR(raw[[#This Row],[in]]))</f>
        <v/>
      </c>
      <c r="R776" s="1397">
        <f>INT(raw[[#This Row],[yr]]/10)*10</f>
        <v/>
      </c>
      <c r="S776" s="1395">
        <f>IF(raw[[#This Row],[city]]="","-",IF(raw[[#This Row],[city]]&lt;&gt;_xlfn.XLOOKUP(raw[[#This Row],[home]],homes[home],homes[city],"-"),1,0))</f>
        <v/>
      </c>
      <c r="T776" s="1398" t="inlineStr">
        <is>
          <t>.</t>
        </is>
      </c>
      <c r="U776" s="1399">
        <f>IF(raw[[#This Row],[wb]]="w",raw[[#This Row],[stay]]+U775,U775)</f>
        <v/>
      </c>
      <c r="V776" s="1400">
        <f>IF(raw[[#This Row],[out]]=0,V775,(raw[[#This Row],[out]]-E$5))</f>
        <v/>
      </c>
      <c r="W776" s="1401">
        <f>U776/V776</f>
        <v/>
      </c>
      <c r="X776" s="1378" t="inlineStr">
        <is>
          <t>.</t>
        </is>
      </c>
      <c r="Y776" s="1402">
        <f/>
        <v/>
      </c>
      <c r="Z776" s="1403">
        <f/>
        <v/>
      </c>
      <c r="AA776" s="1403">
        <f/>
        <v/>
      </c>
      <c r="AB776" s="1400">
        <f t="array" ref="AB776">_xlfn.LET(_xlpm.S,_xlfn.ANCHORARRAY($Y$4),_xlpm.r,ROWS(stayCity[[#Headers],[city]]:stayCity[[#This Row],[city]])-1,IF(_xlpm.r&lt;=ROWS(_xlpm.S),INDEX(_xlpm.S,_xlpm.r,1),""))</f>
        <v/>
      </c>
      <c r="AC776" s="1405">
        <f t="array" ref="AC776">_xlfn.LET(_xlpm.S,_xlfn.ANCHORARRAY($Y$4),_xlpm.r,ROWS(stayCity[[#Headers],[city]]:stayCity[[#This Row],[city]])-1,IF(_xlpm.r&lt;=ROWS(_xlpm.S),INDEX(_xlpm.S,_xlpm.r,2),""))</f>
        <v/>
      </c>
      <c r="AD776" s="1405">
        <f t="array" ref="AD776">_xlfn.LET(_xlpm.S,_xlfn.ANCHORARRAY($Y$4),_xlpm.r,ROWS(stayCity[[#Headers],[city]]:stayCity[[#This Row],[city]])-1,IF(_xlpm.r&lt;=ROWS(_xlpm.S),INDEX(_xlpm.S,_xlpm.r,3),""))</f>
        <v/>
      </c>
      <c r="AE776" s="1400">
        <f>IF(stayCity[[#This Row],[out]]&lt;&gt;"",stayCity[[#This Row],[out]]-stayCity[[#This Row],[in]],"-")</f>
        <v/>
      </c>
      <c r="AF776" s="1406">
        <f>IF(Y776="","-",YEAR(stayCity[[#This Row],[in]]))</f>
        <v/>
      </c>
      <c r="AG776" s="1392" t="n"/>
      <c r="AH776" s="1392" t="n"/>
      <c r="AI776" s="1392" t="n"/>
      <c r="AJ776" s="1392" t="n"/>
      <c r="AK776" s="1392" t="n"/>
      <c r="AL776" s="1392" t="n"/>
      <c r="AM776" s="1392" t="n"/>
      <c r="AN776" s="1392" t="n"/>
      <c r="AO776" s="1392" t="n"/>
      <c r="AP776" s="1392" t="n"/>
      <c r="AQ776" s="1392" t="n"/>
      <c r="AR776" s="1392" t="n"/>
      <c r="AS776" s="1422" t="n"/>
      <c r="AT776" s="1392" t="n"/>
      <c r="AU776" s="1392" t="n"/>
      <c r="AV776" s="1392" t="n"/>
      <c r="AW776" s="1392" t="n"/>
      <c r="AX776" s="1392" t="n"/>
      <c r="AY776" s="1392" t="n"/>
      <c r="AZ776" s="1392" t="n"/>
      <c r="BA776" s="1392" t="n"/>
      <c r="BB776" s="1422" t="n"/>
      <c r="BC776" s="1392" t="n"/>
      <c r="BD776" s="1392" t="n"/>
      <c r="BE776" s="1392" t="n"/>
      <c r="BF776" s="1392" t="n"/>
      <c r="BG776" s="1392" t="n"/>
      <c r="BH776" s="1392" t="n"/>
      <c r="BI776" s="1392" t="n"/>
      <c r="BJ776" s="1392" t="n"/>
      <c r="BK776" s="1392" t="n"/>
      <c r="BL776" s="1392" t="n"/>
      <c r="BM776" s="1392" t="n"/>
      <c r="BN776" s="1392" t="n"/>
      <c r="BO776" s="1392" t="n"/>
      <c r="BP776" s="1392" t="n"/>
      <c r="BQ776" s="1392" t="n"/>
      <c r="BR776" s="1392" t="n"/>
      <c r="BS776" s="1392" t="n"/>
      <c r="BT776" s="1392" t="n"/>
      <c r="BU776" s="1416" t="n"/>
      <c r="BV776" s="1392" t="n"/>
      <c r="BW776" s="1392" t="n"/>
      <c r="BX776" s="1392" t="n"/>
      <c r="BY776" s="1392" t="n"/>
      <c r="BZ776" s="1416" t="n"/>
      <c r="CA776" s="1392" t="n"/>
      <c r="CB776" s="1392" t="n"/>
      <c r="CC776" s="1392" t="n"/>
      <c r="CD776" s="1392" t="n"/>
      <c r="CE776" s="1392" t="n"/>
      <c r="CF776" s="1392" t="n"/>
      <c r="CG776" s="1392" t="n"/>
      <c r="CH776" s="1392" t="n"/>
      <c r="CI776" s="1392" t="n"/>
      <c r="CJ776" s="1392" t="n"/>
      <c r="CK776" s="1392" t="n"/>
      <c r="CL776" s="1392" t="n"/>
    </row>
    <row r="777">
      <c r="A777" s="5" t="inlineStr">
        <is>
          <t>.</t>
        </is>
      </c>
      <c r="B777" s="5" t="inlineStr">
        <is>
          <t>.</t>
        </is>
      </c>
      <c r="C777" s="1378">
        <f>IF(raw[[#This Row],[city]]="","-",IF(raw[[#This Row],[city]]="TODAY","-",C776+1))</f>
        <v/>
      </c>
      <c r="D777" s="1393" t="inlineStr">
        <is>
          <t>Columbia</t>
        </is>
      </c>
      <c r="E777" s="1394" t="n">
        <v>37895</v>
      </c>
      <c r="F777" s="1394" t="n">
        <v>37926</v>
      </c>
      <c r="G777" s="1393" t="inlineStr">
        <is>
          <t>-</t>
        </is>
      </c>
      <c r="H777" s="1393" t="inlineStr">
        <is>
          <t>Columbia</t>
        </is>
      </c>
      <c r="I777" s="1393" t="inlineStr">
        <is>
          <t>-</t>
        </is>
      </c>
      <c r="J777" s="1393" t="inlineStr">
        <is>
          <t>-</t>
        </is>
      </c>
      <c r="K777" s="1395">
        <f>IF(raw[[#This Row],[city]]&lt;&gt;"",_xlfn.XLOOKUP($D777,ccc[city],ccc[prov],"-"),"-")</f>
        <v/>
      </c>
      <c r="L777" s="1395">
        <f>IF(raw[[#This Row],[city]]&lt;&gt;"",_xlfn.XLOOKUP($D777,ccc[city],ccc[ctry],"-"),"-")</f>
        <v/>
      </c>
      <c r="M777" s="1395">
        <f>IF(raw[[#This Row],[city]]&lt;&gt;"",_xlfn.XLOOKUP($D777,ccc[city],ccc[cont],"-"),"-")</f>
        <v/>
      </c>
      <c r="N777" s="1396">
        <f>IF(raw[[#This Row],[city]]="","-",IF(raw[[#This Row],[cont]]="B",raw[[#This Row],[cont]],"W"))</f>
        <v/>
      </c>
      <c r="O777" s="1397">
        <f>IF(raw[[#This Row],[out]]=0,0,IF(raw[[#This Row],[out]]=raw[[#This Row],[in]],0.01,raw[[#This Row],[out]]-raw[[#This Row],[in]]))</f>
        <v/>
      </c>
      <c r="P777" s="1397">
        <f>IF(raw[[#This Row],[in]]=0,0,MONTH(raw[[#This Row],[in]]))</f>
        <v/>
      </c>
      <c r="Q777" s="1397">
        <f>IF(raw[[#This Row],[in]]=0,0,YEAR(raw[[#This Row],[in]]))</f>
        <v/>
      </c>
      <c r="R777" s="1397">
        <f>INT(raw[[#This Row],[yr]]/10)*10</f>
        <v/>
      </c>
      <c r="S777" s="1395">
        <f>IF(raw[[#This Row],[city]]="","-",IF(raw[[#This Row],[city]]&lt;&gt;_xlfn.XLOOKUP(raw[[#This Row],[home]],homes[home],homes[city],"-"),1,0))</f>
        <v/>
      </c>
      <c r="T777" s="1398" t="inlineStr">
        <is>
          <t>.</t>
        </is>
      </c>
      <c r="U777" s="1399">
        <f>IF(raw[[#This Row],[wb]]="w",raw[[#This Row],[stay]]+U776,U776)</f>
        <v/>
      </c>
      <c r="V777" s="1400">
        <f>IF(raw[[#This Row],[out]]=0,V776,(raw[[#This Row],[out]]-E$5))</f>
        <v/>
      </c>
      <c r="W777" s="1401">
        <f>U777/V777</f>
        <v/>
      </c>
      <c r="X777" s="1378" t="inlineStr">
        <is>
          <t>.</t>
        </is>
      </c>
      <c r="Y777" s="1402">
        <f/>
        <v/>
      </c>
      <c r="Z777" s="1403">
        <f/>
        <v/>
      </c>
      <c r="AA777" s="1403">
        <f/>
        <v/>
      </c>
      <c r="AB777" s="1400">
        <f t="array" ref="AB777">_xlfn.LET(_xlpm.S,_xlfn.ANCHORARRAY($Y$4),_xlpm.r,ROWS(stayCity[[#Headers],[city]]:stayCity[[#This Row],[city]])-1,IF(_xlpm.r&lt;=ROWS(_xlpm.S),INDEX(_xlpm.S,_xlpm.r,1),""))</f>
        <v/>
      </c>
      <c r="AC777" s="1405">
        <f t="array" ref="AC777">_xlfn.LET(_xlpm.S,_xlfn.ANCHORARRAY($Y$4),_xlpm.r,ROWS(stayCity[[#Headers],[city]]:stayCity[[#This Row],[city]])-1,IF(_xlpm.r&lt;=ROWS(_xlpm.S),INDEX(_xlpm.S,_xlpm.r,2),""))</f>
        <v/>
      </c>
      <c r="AD777" s="1405">
        <f t="array" ref="AD777">_xlfn.LET(_xlpm.S,_xlfn.ANCHORARRAY($Y$4),_xlpm.r,ROWS(stayCity[[#Headers],[city]]:stayCity[[#This Row],[city]])-1,IF(_xlpm.r&lt;=ROWS(_xlpm.S),INDEX(_xlpm.S,_xlpm.r,3),""))</f>
        <v/>
      </c>
      <c r="AE777" s="1400">
        <f>IF(stayCity[[#This Row],[out]]&lt;&gt;"",stayCity[[#This Row],[out]]-stayCity[[#This Row],[in]],"-")</f>
        <v/>
      </c>
      <c r="AF777" s="1406">
        <f>IF(Y777="","-",YEAR(stayCity[[#This Row],[in]]))</f>
        <v/>
      </c>
      <c r="AG777" s="1392" t="n"/>
      <c r="AH777" s="1392" t="n"/>
      <c r="AI777" s="1392" t="n"/>
      <c r="AJ777" s="1392" t="n"/>
      <c r="AK777" s="1392" t="n"/>
      <c r="AL777" s="1392" t="n"/>
      <c r="AM777" s="1392" t="n"/>
      <c r="AN777" s="1392" t="n"/>
      <c r="AO777" s="1392" t="n"/>
      <c r="AP777" s="1392" t="n"/>
      <c r="AQ777" s="1392" t="n"/>
      <c r="AR777" s="1392" t="n"/>
      <c r="AS777" s="1422" t="n"/>
      <c r="AT777" s="1392" t="n"/>
      <c r="AU777" s="1392" t="n"/>
      <c r="AV777" s="1392" t="n"/>
      <c r="AW777" s="1392" t="n"/>
      <c r="AX777" s="1392" t="n"/>
      <c r="AY777" s="1392" t="n"/>
      <c r="AZ777" s="1392" t="n"/>
      <c r="BA777" s="1392" t="n"/>
      <c r="BB777" s="1422" t="n"/>
      <c r="BC777" s="1392" t="n"/>
      <c r="BD777" s="1392" t="n"/>
      <c r="BE777" s="1392" t="n"/>
      <c r="BF777" s="1392" t="n"/>
      <c r="BG777" s="1392" t="n"/>
      <c r="BH777" s="1392" t="n"/>
      <c r="BI777" s="1392" t="n"/>
      <c r="BJ777" s="1392" t="n"/>
      <c r="BK777" s="1392" t="n"/>
      <c r="BL777" s="1392" t="n"/>
      <c r="BM777" s="1392" t="n"/>
      <c r="BN777" s="1392" t="n"/>
      <c r="BO777" s="1392" t="n"/>
      <c r="BP777" s="1392" t="n"/>
      <c r="BQ777" s="1392" t="n"/>
      <c r="BR777" s="1392" t="n"/>
      <c r="BS777" s="1392" t="n"/>
      <c r="BT777" s="1392" t="n"/>
      <c r="BU777" s="1416" t="n"/>
      <c r="BV777" s="1392" t="n"/>
      <c r="BW777" s="1392" t="n"/>
      <c r="BX777" s="1392" t="n"/>
      <c r="BY777" s="1392" t="n"/>
      <c r="BZ777" s="1416" t="n"/>
      <c r="CA777" s="1392" t="n"/>
      <c r="CB777" s="1392" t="n"/>
      <c r="CC777" s="1392" t="n"/>
      <c r="CD777" s="1392" t="n"/>
      <c r="CE777" s="1392" t="n"/>
      <c r="CF777" s="1392" t="n"/>
      <c r="CG777" s="1392" t="n"/>
      <c r="CH777" s="1392" t="n"/>
      <c r="CI777" s="1392" t="n"/>
      <c r="CJ777" s="1392" t="n"/>
      <c r="CK777" s="1392" t="n"/>
      <c r="CL777" s="1392" t="n"/>
    </row>
    <row r="778">
      <c r="A778" s="5" t="inlineStr">
        <is>
          <t>.</t>
        </is>
      </c>
      <c r="B778" s="5" t="inlineStr">
        <is>
          <t>.</t>
        </is>
      </c>
      <c r="C778" s="1378">
        <f>IF(raw[[#This Row],[city]]="","-",IF(raw[[#This Row],[city]]="TODAY","-",C777+1))</f>
        <v/>
      </c>
      <c r="D778" s="1393" t="inlineStr">
        <is>
          <t>Columbia</t>
        </is>
      </c>
      <c r="E778" s="1394" t="n">
        <v>37926</v>
      </c>
      <c r="F778" s="1394" t="n">
        <v>37951</v>
      </c>
      <c r="G778" s="1393" t="inlineStr">
        <is>
          <t>-</t>
        </is>
      </c>
      <c r="H778" s="1393" t="inlineStr">
        <is>
          <t>Columbia</t>
        </is>
      </c>
      <c r="I778" s="1393" t="inlineStr">
        <is>
          <t>-</t>
        </is>
      </c>
      <c r="J778" s="1393" t="inlineStr">
        <is>
          <t>-</t>
        </is>
      </c>
      <c r="K778" s="1395">
        <f>IF(raw[[#This Row],[city]]&lt;&gt;"",_xlfn.XLOOKUP($D778,ccc[city],ccc[prov],"-"),"-")</f>
        <v/>
      </c>
      <c r="L778" s="1395">
        <f>IF(raw[[#This Row],[city]]&lt;&gt;"",_xlfn.XLOOKUP($D778,ccc[city],ccc[ctry],"-"),"-")</f>
        <v/>
      </c>
      <c r="M778" s="1395">
        <f>IF(raw[[#This Row],[city]]&lt;&gt;"",_xlfn.XLOOKUP($D778,ccc[city],ccc[cont],"-"),"-")</f>
        <v/>
      </c>
      <c r="N778" s="1396">
        <f>IF(raw[[#This Row],[city]]="","-",IF(raw[[#This Row],[cont]]="B",raw[[#This Row],[cont]],"W"))</f>
        <v/>
      </c>
      <c r="O778" s="1397">
        <f>IF(raw[[#This Row],[out]]=0,0,IF(raw[[#This Row],[out]]=raw[[#This Row],[in]],0.01,raw[[#This Row],[out]]-raw[[#This Row],[in]]))</f>
        <v/>
      </c>
      <c r="P778" s="1397">
        <f>IF(raw[[#This Row],[in]]=0,0,MONTH(raw[[#This Row],[in]]))</f>
        <v/>
      </c>
      <c r="Q778" s="1397">
        <f>IF(raw[[#This Row],[in]]=0,0,YEAR(raw[[#This Row],[in]]))</f>
        <v/>
      </c>
      <c r="R778" s="1397">
        <f>INT(raw[[#This Row],[yr]]/10)*10</f>
        <v/>
      </c>
      <c r="S778" s="1395">
        <f>IF(raw[[#This Row],[city]]="","-",IF(raw[[#This Row],[city]]&lt;&gt;_xlfn.XLOOKUP(raw[[#This Row],[home]],homes[home],homes[city],"-"),1,0))</f>
        <v/>
      </c>
      <c r="T778" s="1398" t="inlineStr">
        <is>
          <t>.</t>
        </is>
      </c>
      <c r="U778" s="1399">
        <f>IF(raw[[#This Row],[wb]]="w",raw[[#This Row],[stay]]+U777,U777)</f>
        <v/>
      </c>
      <c r="V778" s="1400">
        <f>IF(raw[[#This Row],[out]]=0,V777,(raw[[#This Row],[out]]-E$5))</f>
        <v/>
      </c>
      <c r="W778" s="1401">
        <f>U778/V778</f>
        <v/>
      </c>
      <c r="X778" s="1378" t="inlineStr">
        <is>
          <t>.</t>
        </is>
      </c>
      <c r="Y778" s="1402">
        <f/>
        <v/>
      </c>
      <c r="Z778" s="1403">
        <f/>
        <v/>
      </c>
      <c r="AA778" s="1403">
        <f/>
        <v/>
      </c>
      <c r="AB778" s="1400">
        <f t="array" ref="AB778">_xlfn.LET(_xlpm.S,_xlfn.ANCHORARRAY($Y$4),_xlpm.r,ROWS(stayCity[[#Headers],[city]]:stayCity[[#This Row],[city]])-1,IF(_xlpm.r&lt;=ROWS(_xlpm.S),INDEX(_xlpm.S,_xlpm.r,1),""))</f>
        <v/>
      </c>
      <c r="AC778" s="1405">
        <f t="array" ref="AC778">_xlfn.LET(_xlpm.S,_xlfn.ANCHORARRAY($Y$4),_xlpm.r,ROWS(stayCity[[#Headers],[city]]:stayCity[[#This Row],[city]])-1,IF(_xlpm.r&lt;=ROWS(_xlpm.S),INDEX(_xlpm.S,_xlpm.r,2),""))</f>
        <v/>
      </c>
      <c r="AD778" s="1405">
        <f t="array" ref="AD778">_xlfn.LET(_xlpm.S,_xlfn.ANCHORARRAY($Y$4),_xlpm.r,ROWS(stayCity[[#Headers],[city]]:stayCity[[#This Row],[city]])-1,IF(_xlpm.r&lt;=ROWS(_xlpm.S),INDEX(_xlpm.S,_xlpm.r,3),""))</f>
        <v/>
      </c>
      <c r="AE778" s="1400">
        <f>IF(stayCity[[#This Row],[out]]&lt;&gt;"",stayCity[[#This Row],[out]]-stayCity[[#This Row],[in]],"-")</f>
        <v/>
      </c>
      <c r="AF778" s="1406">
        <f>IF(Y778="","-",YEAR(stayCity[[#This Row],[in]]))</f>
        <v/>
      </c>
      <c r="AG778" s="1392" t="n"/>
      <c r="AH778" s="1392" t="n"/>
      <c r="AI778" s="1392" t="n"/>
      <c r="AJ778" s="1392" t="n"/>
      <c r="AK778" s="1392" t="n"/>
      <c r="AL778" s="1392" t="n"/>
      <c r="AM778" s="1392" t="n"/>
      <c r="AN778" s="1392" t="n"/>
      <c r="AO778" s="1392" t="n"/>
      <c r="AP778" s="1392" t="n"/>
      <c r="AQ778" s="1392" t="n"/>
      <c r="AR778" s="1392" t="n"/>
      <c r="AS778" s="1422" t="n"/>
      <c r="AT778" s="1392" t="n"/>
      <c r="AU778" s="1392" t="n"/>
      <c r="AV778" s="1392" t="n"/>
      <c r="AW778" s="1392" t="n"/>
      <c r="AX778" s="1392" t="n"/>
      <c r="AY778" s="1392" t="n"/>
      <c r="AZ778" s="1392" t="n"/>
      <c r="BA778" s="1392" t="n"/>
      <c r="BB778" s="1422" t="n"/>
      <c r="BC778" s="1392" t="n"/>
      <c r="BD778" s="1392" t="n"/>
      <c r="BE778" s="1392" t="n"/>
      <c r="BF778" s="1392" t="n"/>
      <c r="BG778" s="1392" t="n"/>
      <c r="BH778" s="1392" t="n"/>
      <c r="BI778" s="1392" t="n"/>
      <c r="BJ778" s="1392" t="n"/>
      <c r="BK778" s="1392" t="n"/>
      <c r="BL778" s="1392" t="n"/>
      <c r="BM778" s="1392" t="n"/>
      <c r="BN778" s="1392" t="n"/>
      <c r="BO778" s="1392" t="n"/>
      <c r="BP778" s="1392" t="n"/>
      <c r="BQ778" s="1392" t="n"/>
      <c r="BR778" s="1392" t="n"/>
      <c r="BS778" s="1392" t="n"/>
      <c r="BT778" s="1392" t="n"/>
      <c r="BU778" s="1416" t="n"/>
      <c r="BV778" s="1392" t="n"/>
      <c r="BW778" s="1392" t="n"/>
      <c r="BX778" s="1392" t="n"/>
      <c r="BY778" s="1392" t="n"/>
      <c r="BZ778" s="1416" t="n"/>
      <c r="CA778" s="1392" t="n"/>
      <c r="CB778" s="1392" t="n"/>
      <c r="CC778" s="1392" t="n"/>
      <c r="CD778" s="1392" t="n"/>
      <c r="CE778" s="1392" t="n"/>
      <c r="CF778" s="1392" t="n"/>
      <c r="CG778" s="1392" t="n"/>
      <c r="CH778" s="1392" t="n"/>
      <c r="CI778" s="1392" t="n"/>
      <c r="CJ778" s="1392" t="n"/>
      <c r="CK778" s="1392" t="n"/>
      <c r="CL778" s="1392" t="n"/>
    </row>
    <row r="779">
      <c r="A779" s="5" t="inlineStr">
        <is>
          <t>.</t>
        </is>
      </c>
      <c r="B779" s="5" t="inlineStr">
        <is>
          <t>.</t>
        </is>
      </c>
      <c r="C779" s="1378">
        <f>IF(raw[[#This Row],[city]]="","-",IF(raw[[#This Row],[city]]="TODAY","-",C778+1))</f>
        <v/>
      </c>
      <c r="D779" s="1393" t="inlineStr">
        <is>
          <t>Asheville</t>
        </is>
      </c>
      <c r="E779" s="1394" t="n">
        <v>37951</v>
      </c>
      <c r="F779" s="1394" t="n">
        <v>37953</v>
      </c>
      <c r="G779" s="1393" t="inlineStr">
        <is>
          <t>-</t>
        </is>
      </c>
      <c r="H779" s="1393" t="inlineStr">
        <is>
          <t>Columbia</t>
        </is>
      </c>
      <c r="I779" s="1393" t="inlineStr">
        <is>
          <t>-</t>
        </is>
      </c>
      <c r="J779" s="1393" t="inlineStr">
        <is>
          <t>-</t>
        </is>
      </c>
      <c r="K779" s="1395">
        <f>IF(raw[[#This Row],[city]]&lt;&gt;"",_xlfn.XLOOKUP($D779,ccc[city],ccc[prov],"-"),"-")</f>
        <v/>
      </c>
      <c r="L779" s="1395">
        <f>IF(raw[[#This Row],[city]]&lt;&gt;"",_xlfn.XLOOKUP($D779,ccc[city],ccc[ctry],"-"),"-")</f>
        <v/>
      </c>
      <c r="M779" s="1395">
        <f>IF(raw[[#This Row],[city]]&lt;&gt;"",_xlfn.XLOOKUP($D779,ccc[city],ccc[cont],"-"),"-")</f>
        <v/>
      </c>
      <c r="N779" s="1396">
        <f>IF(raw[[#This Row],[city]]="","-",IF(raw[[#This Row],[cont]]="B",raw[[#This Row],[cont]],"W"))</f>
        <v/>
      </c>
      <c r="O779" s="1397">
        <f>IF(raw[[#This Row],[out]]=0,0,IF(raw[[#This Row],[out]]=raw[[#This Row],[in]],0.01,raw[[#This Row],[out]]-raw[[#This Row],[in]]))</f>
        <v/>
      </c>
      <c r="P779" s="1397">
        <f>IF(raw[[#This Row],[in]]=0,0,MONTH(raw[[#This Row],[in]]))</f>
        <v/>
      </c>
      <c r="Q779" s="1397">
        <f>IF(raw[[#This Row],[in]]=0,0,YEAR(raw[[#This Row],[in]]))</f>
        <v/>
      </c>
      <c r="R779" s="1397">
        <f>INT(raw[[#This Row],[yr]]/10)*10</f>
        <v/>
      </c>
      <c r="S779" s="1395">
        <f>IF(raw[[#This Row],[city]]="","-",IF(raw[[#This Row],[city]]&lt;&gt;_xlfn.XLOOKUP(raw[[#This Row],[home]],homes[home],homes[city],"-"),1,0))</f>
        <v/>
      </c>
      <c r="T779" s="1398" t="inlineStr">
        <is>
          <t>.</t>
        </is>
      </c>
      <c r="U779" s="1399">
        <f>IF(raw[[#This Row],[wb]]="w",raw[[#This Row],[stay]]+U778,U778)</f>
        <v/>
      </c>
      <c r="V779" s="1400">
        <f>IF(raw[[#This Row],[out]]=0,V778,(raw[[#This Row],[out]]-E$5))</f>
        <v/>
      </c>
      <c r="W779" s="1401">
        <f>U779/V779</f>
        <v/>
      </c>
      <c r="X779" s="1378" t="inlineStr">
        <is>
          <t>.</t>
        </is>
      </c>
      <c r="Y779" s="1402">
        <f/>
        <v/>
      </c>
      <c r="Z779" s="1403">
        <f/>
        <v/>
      </c>
      <c r="AA779" s="1403">
        <f/>
        <v/>
      </c>
      <c r="AB779" s="1400">
        <f t="array" ref="AB779">_xlfn.LET(_xlpm.S,_xlfn.ANCHORARRAY($Y$4),_xlpm.r,ROWS(stayCity[[#Headers],[city]]:stayCity[[#This Row],[city]])-1,IF(_xlpm.r&lt;=ROWS(_xlpm.S),INDEX(_xlpm.S,_xlpm.r,1),""))</f>
        <v/>
      </c>
      <c r="AC779" s="1405">
        <f t="array" ref="AC779">_xlfn.LET(_xlpm.S,_xlfn.ANCHORARRAY($Y$4),_xlpm.r,ROWS(stayCity[[#Headers],[city]]:stayCity[[#This Row],[city]])-1,IF(_xlpm.r&lt;=ROWS(_xlpm.S),INDEX(_xlpm.S,_xlpm.r,2),""))</f>
        <v/>
      </c>
      <c r="AD779" s="1405">
        <f t="array" ref="AD779">_xlfn.LET(_xlpm.S,_xlfn.ANCHORARRAY($Y$4),_xlpm.r,ROWS(stayCity[[#Headers],[city]]:stayCity[[#This Row],[city]])-1,IF(_xlpm.r&lt;=ROWS(_xlpm.S),INDEX(_xlpm.S,_xlpm.r,3),""))</f>
        <v/>
      </c>
      <c r="AE779" s="1400">
        <f>IF(stayCity[[#This Row],[out]]&lt;&gt;"",stayCity[[#This Row],[out]]-stayCity[[#This Row],[in]],"-")</f>
        <v/>
      </c>
      <c r="AF779" s="1406">
        <f>IF(Y779="","-",YEAR(stayCity[[#This Row],[in]]))</f>
        <v/>
      </c>
      <c r="AG779" s="1392" t="n"/>
      <c r="AH779" s="1392" t="n"/>
      <c r="AI779" s="1392" t="n"/>
      <c r="AJ779" s="1392" t="n"/>
      <c r="AK779" s="1392" t="n"/>
      <c r="AL779" s="1392" t="n"/>
      <c r="AM779" s="1392" t="n"/>
      <c r="AN779" s="1392" t="n"/>
      <c r="AO779" s="1392" t="n"/>
      <c r="AP779" s="1392" t="n"/>
      <c r="AQ779" s="1392" t="n"/>
      <c r="AR779" s="1392" t="n"/>
      <c r="AS779" s="1422" t="n"/>
      <c r="AT779" s="1392" t="n"/>
      <c r="AU779" s="1392" t="n"/>
      <c r="AV779" s="1392" t="n"/>
      <c r="AW779" s="1392" t="n"/>
      <c r="AX779" s="1392" t="n"/>
      <c r="AY779" s="1392" t="n"/>
      <c r="AZ779" s="1392" t="n"/>
      <c r="BA779" s="1392" t="n"/>
      <c r="BB779" s="1422" t="n"/>
      <c r="BC779" s="1392" t="n"/>
      <c r="BD779" s="1392" t="n"/>
      <c r="BE779" s="1392" t="n"/>
      <c r="BF779" s="1392" t="n"/>
      <c r="BG779" s="1392" t="n"/>
      <c r="BH779" s="1392" t="n"/>
      <c r="BI779" s="1392" t="n"/>
      <c r="BJ779" s="1392" t="n"/>
      <c r="BK779" s="1392" t="n"/>
      <c r="BL779" s="1392" t="n"/>
      <c r="BM779" s="1392" t="n"/>
      <c r="BN779" s="1392" t="n"/>
      <c r="BO779" s="1392" t="n"/>
      <c r="BP779" s="1392" t="n"/>
      <c r="BQ779" s="1392" t="n"/>
      <c r="BR779" s="1392" t="n"/>
      <c r="BS779" s="1392" t="n"/>
      <c r="BT779" s="1392" t="n"/>
      <c r="BU779" s="1416" t="n"/>
      <c r="BV779" s="1392" t="n"/>
      <c r="BW779" s="1392" t="n"/>
      <c r="BX779" s="1392" t="n"/>
      <c r="BY779" s="1392" t="n"/>
      <c r="BZ779" s="1416" t="n"/>
      <c r="CA779" s="1392" t="n"/>
      <c r="CB779" s="1392" t="n"/>
      <c r="CC779" s="1392" t="n"/>
      <c r="CD779" s="1392" t="n"/>
      <c r="CE779" s="1392" t="n"/>
      <c r="CF779" s="1392" t="n"/>
      <c r="CG779" s="1392" t="n"/>
      <c r="CH779" s="1392" t="n"/>
      <c r="CI779" s="1392" t="n"/>
      <c r="CJ779" s="1392" t="n"/>
      <c r="CK779" s="1392" t="n"/>
      <c r="CL779" s="1392" t="n"/>
    </row>
    <row r="780">
      <c r="A780" s="5" t="inlineStr">
        <is>
          <t>.</t>
        </is>
      </c>
      <c r="B780" s="5" t="inlineStr">
        <is>
          <t>.</t>
        </is>
      </c>
      <c r="C780" s="1378">
        <f>IF(raw[[#This Row],[city]]="","-",IF(raw[[#This Row],[city]]="TODAY","-",C779+1))</f>
        <v/>
      </c>
      <c r="D780" s="1393" t="inlineStr">
        <is>
          <t>Columbia</t>
        </is>
      </c>
      <c r="E780" s="1394" t="n">
        <v>37953</v>
      </c>
      <c r="F780" s="1394" t="n">
        <v>37956</v>
      </c>
      <c r="G780" s="1393" t="inlineStr">
        <is>
          <t>-</t>
        </is>
      </c>
      <c r="H780" s="1393" t="inlineStr">
        <is>
          <t>Columbia</t>
        </is>
      </c>
      <c r="I780" s="1393" t="inlineStr">
        <is>
          <t>-</t>
        </is>
      </c>
      <c r="J780" s="1393" t="inlineStr">
        <is>
          <t>-</t>
        </is>
      </c>
      <c r="K780" s="1395">
        <f>IF(raw[[#This Row],[city]]&lt;&gt;"",_xlfn.XLOOKUP($D780,ccc[city],ccc[prov],"-"),"-")</f>
        <v/>
      </c>
      <c r="L780" s="1395">
        <f>IF(raw[[#This Row],[city]]&lt;&gt;"",_xlfn.XLOOKUP($D780,ccc[city],ccc[ctry],"-"),"-")</f>
        <v/>
      </c>
      <c r="M780" s="1395">
        <f>IF(raw[[#This Row],[city]]&lt;&gt;"",_xlfn.XLOOKUP($D780,ccc[city],ccc[cont],"-"),"-")</f>
        <v/>
      </c>
      <c r="N780" s="1396">
        <f>IF(raw[[#This Row],[city]]="","-",IF(raw[[#This Row],[cont]]="B",raw[[#This Row],[cont]],"W"))</f>
        <v/>
      </c>
      <c r="O780" s="1397">
        <f>IF(raw[[#This Row],[out]]=0,0,IF(raw[[#This Row],[out]]=raw[[#This Row],[in]],0.01,raw[[#This Row],[out]]-raw[[#This Row],[in]]))</f>
        <v/>
      </c>
      <c r="P780" s="1397">
        <f>IF(raw[[#This Row],[in]]=0,0,MONTH(raw[[#This Row],[in]]))</f>
        <v/>
      </c>
      <c r="Q780" s="1397">
        <f>IF(raw[[#This Row],[in]]=0,0,YEAR(raw[[#This Row],[in]]))</f>
        <v/>
      </c>
      <c r="R780" s="1397">
        <f>INT(raw[[#This Row],[yr]]/10)*10</f>
        <v/>
      </c>
      <c r="S780" s="1395">
        <f>IF(raw[[#This Row],[city]]="","-",IF(raw[[#This Row],[city]]&lt;&gt;_xlfn.XLOOKUP(raw[[#This Row],[home]],homes[home],homes[city],"-"),1,0))</f>
        <v/>
      </c>
      <c r="T780" s="1398" t="inlineStr">
        <is>
          <t>.</t>
        </is>
      </c>
      <c r="U780" s="1399">
        <f>IF(raw[[#This Row],[wb]]="w",raw[[#This Row],[stay]]+U779,U779)</f>
        <v/>
      </c>
      <c r="V780" s="1400">
        <f>IF(raw[[#This Row],[out]]=0,V779,(raw[[#This Row],[out]]-E$5))</f>
        <v/>
      </c>
      <c r="W780" s="1401">
        <f>U780/V780</f>
        <v/>
      </c>
      <c r="X780" s="1378" t="inlineStr">
        <is>
          <t>.</t>
        </is>
      </c>
      <c r="Y780" s="1402">
        <f/>
        <v/>
      </c>
      <c r="Z780" s="1403">
        <f/>
        <v/>
      </c>
      <c r="AA780" s="1403">
        <f/>
        <v/>
      </c>
      <c r="AB780" s="1400">
        <f t="array" ref="AB780">_xlfn.LET(_xlpm.S,_xlfn.ANCHORARRAY($Y$4),_xlpm.r,ROWS(stayCity[[#Headers],[city]]:stayCity[[#This Row],[city]])-1,IF(_xlpm.r&lt;=ROWS(_xlpm.S),INDEX(_xlpm.S,_xlpm.r,1),""))</f>
        <v/>
      </c>
      <c r="AC780" s="1405">
        <f t="array" ref="AC780">_xlfn.LET(_xlpm.S,_xlfn.ANCHORARRAY($Y$4),_xlpm.r,ROWS(stayCity[[#Headers],[city]]:stayCity[[#This Row],[city]])-1,IF(_xlpm.r&lt;=ROWS(_xlpm.S),INDEX(_xlpm.S,_xlpm.r,2),""))</f>
        <v/>
      </c>
      <c r="AD780" s="1405">
        <f t="array" ref="AD780">_xlfn.LET(_xlpm.S,_xlfn.ANCHORARRAY($Y$4),_xlpm.r,ROWS(stayCity[[#Headers],[city]]:stayCity[[#This Row],[city]])-1,IF(_xlpm.r&lt;=ROWS(_xlpm.S),INDEX(_xlpm.S,_xlpm.r,3),""))</f>
        <v/>
      </c>
      <c r="AE780" s="1400">
        <f>IF(stayCity[[#This Row],[out]]&lt;&gt;"",stayCity[[#This Row],[out]]-stayCity[[#This Row],[in]],"-")</f>
        <v/>
      </c>
      <c r="AF780" s="1406">
        <f>IF(Y780="","-",YEAR(stayCity[[#This Row],[in]]))</f>
        <v/>
      </c>
      <c r="AG780" s="1392" t="n"/>
      <c r="AH780" s="1392" t="n"/>
      <c r="AI780" s="1392" t="n"/>
      <c r="AJ780" s="1392" t="n"/>
      <c r="AK780" s="1392" t="n"/>
      <c r="AL780" s="1392" t="n"/>
      <c r="AM780" s="1392" t="n"/>
      <c r="AN780" s="1392" t="n"/>
      <c r="AO780" s="1392" t="n"/>
      <c r="AP780" s="1392" t="n"/>
      <c r="AQ780" s="1392" t="n"/>
      <c r="AR780" s="1392" t="n"/>
      <c r="AS780" s="1422" t="n"/>
      <c r="AT780" s="1392" t="n"/>
      <c r="AU780" s="1392" t="n"/>
      <c r="AV780" s="1392" t="n"/>
      <c r="AW780" s="1392" t="n"/>
      <c r="AX780" s="1392" t="n"/>
      <c r="AY780" s="1392" t="n"/>
      <c r="AZ780" s="1392" t="n"/>
      <c r="BA780" s="1392" t="n"/>
      <c r="BB780" s="1422" t="n"/>
      <c r="BC780" s="1392" t="n"/>
      <c r="BD780" s="1392" t="n"/>
      <c r="BE780" s="1392" t="n"/>
      <c r="BF780" s="1392" t="n"/>
      <c r="BG780" s="1392" t="n"/>
      <c r="BH780" s="1392" t="n"/>
      <c r="BI780" s="1392" t="n"/>
      <c r="BJ780" s="1392" t="n"/>
      <c r="BK780" s="1392" t="n"/>
      <c r="BL780" s="1392" t="n"/>
      <c r="BM780" s="1392" t="n"/>
      <c r="BN780" s="1392" t="n"/>
      <c r="BO780" s="1392" t="n"/>
      <c r="BP780" s="1392" t="n"/>
      <c r="BQ780" s="1392" t="n"/>
      <c r="BR780" s="1392" t="n"/>
      <c r="BS780" s="1392" t="n"/>
      <c r="BT780" s="1392" t="n"/>
      <c r="BU780" s="1416" t="n"/>
      <c r="BV780" s="1392" t="n"/>
      <c r="BW780" s="1392" t="n"/>
      <c r="BX780" s="1392" t="n"/>
      <c r="BY780" s="1392" t="n"/>
      <c r="BZ780" s="1416" t="n"/>
      <c r="CA780" s="1392" t="n"/>
      <c r="CB780" s="1392" t="n"/>
      <c r="CC780" s="1392" t="n"/>
      <c r="CD780" s="1392" t="n"/>
      <c r="CE780" s="1392" t="n"/>
      <c r="CF780" s="1392" t="n"/>
      <c r="CG780" s="1392" t="n"/>
      <c r="CH780" s="1392" t="n"/>
      <c r="CI780" s="1392" t="n"/>
      <c r="CJ780" s="1392" t="n"/>
      <c r="CK780" s="1392" t="n"/>
      <c r="CL780" s="1392" t="n"/>
    </row>
    <row r="781">
      <c r="A781" s="5" t="inlineStr">
        <is>
          <t>.</t>
        </is>
      </c>
      <c r="B781" s="5" t="inlineStr">
        <is>
          <t>.</t>
        </is>
      </c>
      <c r="C781" s="1378">
        <f>IF(raw[[#This Row],[city]]="","-",IF(raw[[#This Row],[city]]="TODAY","-",C780+1))</f>
        <v/>
      </c>
      <c r="D781" s="1393" t="inlineStr">
        <is>
          <t>Columbia</t>
        </is>
      </c>
      <c r="E781" s="1394" t="n">
        <v>37956</v>
      </c>
      <c r="F781" s="1394" t="n">
        <v>37970</v>
      </c>
      <c r="G781" s="1393" t="n">
        <v>1</v>
      </c>
      <c r="H781" s="1393" t="inlineStr">
        <is>
          <t>Columbia</t>
        </is>
      </c>
      <c r="I781" s="1393" t="inlineStr">
        <is>
          <t>-</t>
        </is>
      </c>
      <c r="J781" s="1393" t="inlineStr">
        <is>
          <t>-</t>
        </is>
      </c>
      <c r="K781" s="1395">
        <f>IF(raw[[#This Row],[city]]&lt;&gt;"",_xlfn.XLOOKUP($D781,ccc[city],ccc[prov],"-"),"-")</f>
        <v/>
      </c>
      <c r="L781" s="1395">
        <f>IF(raw[[#This Row],[city]]&lt;&gt;"",_xlfn.XLOOKUP($D781,ccc[city],ccc[ctry],"-"),"-")</f>
        <v/>
      </c>
      <c r="M781" s="1395">
        <f>IF(raw[[#This Row],[city]]&lt;&gt;"",_xlfn.XLOOKUP($D781,ccc[city],ccc[cont],"-"),"-")</f>
        <v/>
      </c>
      <c r="N781" s="1396">
        <f>IF(raw[[#This Row],[city]]="","-",IF(raw[[#This Row],[cont]]="B",raw[[#This Row],[cont]],"W"))</f>
        <v/>
      </c>
      <c r="O781" s="1397">
        <f>IF(raw[[#This Row],[out]]=0,0,IF(raw[[#This Row],[out]]=raw[[#This Row],[in]],0.01,raw[[#This Row],[out]]-raw[[#This Row],[in]]))</f>
        <v/>
      </c>
      <c r="P781" s="1397">
        <f>IF(raw[[#This Row],[in]]=0,0,MONTH(raw[[#This Row],[in]]))</f>
        <v/>
      </c>
      <c r="Q781" s="1397">
        <f>IF(raw[[#This Row],[in]]=0,0,YEAR(raw[[#This Row],[in]]))</f>
        <v/>
      </c>
      <c r="R781" s="1397">
        <f>INT(raw[[#This Row],[yr]]/10)*10</f>
        <v/>
      </c>
      <c r="S781" s="1395">
        <f>IF(raw[[#This Row],[city]]="","-",IF(raw[[#This Row],[city]]&lt;&gt;_xlfn.XLOOKUP(raw[[#This Row],[home]],homes[home],homes[city],"-"),1,0))</f>
        <v/>
      </c>
      <c r="T781" s="1398" t="inlineStr">
        <is>
          <t>.</t>
        </is>
      </c>
      <c r="U781" s="1399">
        <f>IF(raw[[#This Row],[wb]]="w",raw[[#This Row],[stay]]+U780,U780)</f>
        <v/>
      </c>
      <c r="V781" s="1400">
        <f>IF(raw[[#This Row],[out]]=0,V780,(raw[[#This Row],[out]]-E$5))</f>
        <v/>
      </c>
      <c r="W781" s="1401">
        <f>U781/V781</f>
        <v/>
      </c>
      <c r="X781" s="1378" t="inlineStr">
        <is>
          <t>.</t>
        </is>
      </c>
      <c r="Y781" s="1402">
        <f/>
        <v/>
      </c>
      <c r="Z781" s="1403">
        <f/>
        <v/>
      </c>
      <c r="AA781" s="1403">
        <f/>
        <v/>
      </c>
      <c r="AB781" s="1400">
        <f t="array" ref="AB781">_xlfn.LET(_xlpm.S,_xlfn.ANCHORARRAY($Y$4),_xlpm.r,ROWS(stayCity[[#Headers],[city]]:stayCity[[#This Row],[city]])-1,IF(_xlpm.r&lt;=ROWS(_xlpm.S),INDEX(_xlpm.S,_xlpm.r,1),""))</f>
        <v/>
      </c>
      <c r="AC781" s="1405">
        <f t="array" ref="AC781">_xlfn.LET(_xlpm.S,_xlfn.ANCHORARRAY($Y$4),_xlpm.r,ROWS(stayCity[[#Headers],[city]]:stayCity[[#This Row],[city]])-1,IF(_xlpm.r&lt;=ROWS(_xlpm.S),INDEX(_xlpm.S,_xlpm.r,2),""))</f>
        <v/>
      </c>
      <c r="AD781" s="1405">
        <f t="array" ref="AD781">_xlfn.LET(_xlpm.S,_xlfn.ANCHORARRAY($Y$4),_xlpm.r,ROWS(stayCity[[#Headers],[city]]:stayCity[[#This Row],[city]])-1,IF(_xlpm.r&lt;=ROWS(_xlpm.S),INDEX(_xlpm.S,_xlpm.r,3),""))</f>
        <v/>
      </c>
      <c r="AE781" s="1400">
        <f>IF(stayCity[[#This Row],[out]]&lt;&gt;"",stayCity[[#This Row],[out]]-stayCity[[#This Row],[in]],"-")</f>
        <v/>
      </c>
      <c r="AF781" s="1406">
        <f>IF(Y781="","-",YEAR(stayCity[[#This Row],[in]]))</f>
        <v/>
      </c>
      <c r="AG781" s="1392" t="n"/>
      <c r="AH781" s="1392" t="n"/>
      <c r="AI781" s="1392" t="n"/>
      <c r="AJ781" s="1392" t="n"/>
      <c r="AK781" s="1392" t="n"/>
      <c r="AL781" s="1392" t="n"/>
      <c r="AM781" s="1392" t="n"/>
      <c r="AN781" s="1392" t="n"/>
      <c r="AO781" s="1392" t="n"/>
      <c r="AP781" s="1392" t="n"/>
      <c r="AQ781" s="1392" t="n"/>
      <c r="AR781" s="1392" t="n"/>
      <c r="AS781" s="1422" t="n"/>
      <c r="AT781" s="1392" t="n"/>
      <c r="AU781" s="1392" t="n"/>
      <c r="AV781" s="1392" t="n"/>
      <c r="AW781" s="1392" t="n"/>
      <c r="AX781" s="1392" t="n"/>
      <c r="AY781" s="1392" t="n"/>
      <c r="AZ781" s="1392" t="n"/>
      <c r="BA781" s="1392" t="n"/>
      <c r="BB781" s="1422" t="n"/>
      <c r="BC781" s="1392" t="n"/>
      <c r="BD781" s="1392" t="n"/>
      <c r="BE781" s="1392" t="n"/>
      <c r="BF781" s="1392" t="n"/>
      <c r="BG781" s="1392" t="n"/>
      <c r="BH781" s="1392" t="n"/>
      <c r="BI781" s="1392" t="n"/>
      <c r="BJ781" s="1392" t="n"/>
      <c r="BK781" s="1392" t="n"/>
      <c r="BL781" s="1392" t="n"/>
      <c r="BM781" s="1392" t="n"/>
      <c r="BN781" s="1392" t="n"/>
      <c r="BO781" s="1392" t="n"/>
      <c r="BP781" s="1392" t="n"/>
      <c r="BQ781" s="1392" t="n"/>
      <c r="BR781" s="1392" t="n"/>
      <c r="BS781" s="1392" t="n"/>
      <c r="BT781" s="1392" t="n"/>
      <c r="BU781" s="1416" t="n"/>
      <c r="BV781" s="1392" t="n"/>
      <c r="BW781" s="1392" t="n"/>
      <c r="BX781" s="1392" t="n"/>
      <c r="BY781" s="1392" t="n"/>
      <c r="BZ781" s="1416" t="n"/>
      <c r="CA781" s="1392" t="n"/>
      <c r="CB781" s="1392" t="n"/>
      <c r="CC781" s="1392" t="n"/>
      <c r="CD781" s="1392" t="n"/>
      <c r="CE781" s="1392" t="n"/>
      <c r="CF781" s="1392" t="n"/>
      <c r="CG781" s="1392" t="n"/>
      <c r="CH781" s="1392" t="n"/>
      <c r="CI781" s="1392" t="n"/>
      <c r="CJ781" s="1392" t="n"/>
      <c r="CK781" s="1392" t="n"/>
      <c r="CL781" s="1392" t="n"/>
    </row>
    <row r="782">
      <c r="A782" s="5" t="inlineStr">
        <is>
          <t>.</t>
        </is>
      </c>
      <c r="B782" s="5" t="inlineStr">
        <is>
          <t>.</t>
        </is>
      </c>
      <c r="C782" s="1378">
        <f>IF(raw[[#This Row],[city]]="","-",IF(raw[[#This Row],[city]]="TODAY","-",C781+1))</f>
        <v/>
      </c>
      <c r="D782" s="1393" t="inlineStr">
        <is>
          <t>Washington</t>
        </is>
      </c>
      <c r="E782" s="1394" t="n">
        <v>37970</v>
      </c>
      <c r="F782" s="1394" t="n">
        <v>37970</v>
      </c>
      <c r="G782" s="1393" t="n">
        <v>0.01</v>
      </c>
      <c r="H782" s="1393" t="inlineStr">
        <is>
          <t>Columbia</t>
        </is>
      </c>
      <c r="I782" s="1393" t="inlineStr">
        <is>
          <t>-</t>
        </is>
      </c>
      <c r="J782" s="1393" t="inlineStr">
        <is>
          <t>-</t>
        </is>
      </c>
      <c r="K782" s="1395">
        <f>IF(raw[[#This Row],[city]]&lt;&gt;"",_xlfn.XLOOKUP($D782,ccc[city],ccc[prov],"-"),"-")</f>
        <v/>
      </c>
      <c r="L782" s="1395">
        <f>IF(raw[[#This Row],[city]]&lt;&gt;"",_xlfn.XLOOKUP($D782,ccc[city],ccc[ctry],"-"),"-")</f>
        <v/>
      </c>
      <c r="M782" s="1395">
        <f>IF(raw[[#This Row],[city]]&lt;&gt;"",_xlfn.XLOOKUP($D782,ccc[city],ccc[cont],"-"),"-")</f>
        <v/>
      </c>
      <c r="N782" s="1396">
        <f>IF(raw[[#This Row],[city]]="","-",IF(raw[[#This Row],[cont]]="B",raw[[#This Row],[cont]],"W"))</f>
        <v/>
      </c>
      <c r="O782" s="1397">
        <f>IF(raw[[#This Row],[out]]=0,0,IF(raw[[#This Row],[out]]=raw[[#This Row],[in]],0.01,raw[[#This Row],[out]]-raw[[#This Row],[in]]))</f>
        <v/>
      </c>
      <c r="P782" s="1397">
        <f>IF(raw[[#This Row],[in]]=0,0,MONTH(raw[[#This Row],[in]]))</f>
        <v/>
      </c>
      <c r="Q782" s="1397">
        <f>IF(raw[[#This Row],[in]]=0,0,YEAR(raw[[#This Row],[in]]))</f>
        <v/>
      </c>
      <c r="R782" s="1397">
        <f>INT(raw[[#This Row],[yr]]/10)*10</f>
        <v/>
      </c>
      <c r="S782" s="1395">
        <f>IF(raw[[#This Row],[city]]="","-",IF(raw[[#This Row],[city]]&lt;&gt;_xlfn.XLOOKUP(raw[[#This Row],[home]],homes[home],homes[city],"-"),1,0))</f>
        <v/>
      </c>
      <c r="T782" s="1398" t="inlineStr">
        <is>
          <t>.</t>
        </is>
      </c>
      <c r="U782" s="1399">
        <f>IF(raw[[#This Row],[wb]]="w",raw[[#This Row],[stay]]+U781,U781)</f>
        <v/>
      </c>
      <c r="V782" s="1400">
        <f>IF(raw[[#This Row],[out]]=0,V781,(raw[[#This Row],[out]]-E$5))</f>
        <v/>
      </c>
      <c r="W782" s="1401">
        <f>U782/V782</f>
        <v/>
      </c>
      <c r="X782" s="1378" t="inlineStr">
        <is>
          <t>.</t>
        </is>
      </c>
      <c r="Y782" s="1402">
        <f/>
        <v/>
      </c>
      <c r="Z782" s="1403">
        <f/>
        <v/>
      </c>
      <c r="AA782" s="1403">
        <f/>
        <v/>
      </c>
      <c r="AB782" s="1400">
        <f t="array" ref="AB782">_xlfn.LET(_xlpm.S,_xlfn.ANCHORARRAY($Y$4),_xlpm.r,ROWS(stayCity[[#Headers],[city]]:stayCity[[#This Row],[city]])-1,IF(_xlpm.r&lt;=ROWS(_xlpm.S),INDEX(_xlpm.S,_xlpm.r,1),""))</f>
        <v/>
      </c>
      <c r="AC782" s="1405">
        <f t="array" ref="AC782">_xlfn.LET(_xlpm.S,_xlfn.ANCHORARRAY($Y$4),_xlpm.r,ROWS(stayCity[[#Headers],[city]]:stayCity[[#This Row],[city]])-1,IF(_xlpm.r&lt;=ROWS(_xlpm.S),INDEX(_xlpm.S,_xlpm.r,2),""))</f>
        <v/>
      </c>
      <c r="AD782" s="1405">
        <f t="array" ref="AD782">_xlfn.LET(_xlpm.S,_xlfn.ANCHORARRAY($Y$4),_xlpm.r,ROWS(stayCity[[#Headers],[city]]:stayCity[[#This Row],[city]])-1,IF(_xlpm.r&lt;=ROWS(_xlpm.S),INDEX(_xlpm.S,_xlpm.r,3),""))</f>
        <v/>
      </c>
      <c r="AE782" s="1400">
        <f>IF(stayCity[[#This Row],[out]]&lt;&gt;"",stayCity[[#This Row],[out]]-stayCity[[#This Row],[in]],"-")</f>
        <v/>
      </c>
      <c r="AF782" s="1406">
        <f>IF(Y782="","-",YEAR(stayCity[[#This Row],[in]]))</f>
        <v/>
      </c>
      <c r="AG782" s="1392" t="n"/>
      <c r="AH782" s="1392" t="n"/>
      <c r="AI782" s="1392" t="n"/>
      <c r="AJ782" s="1392" t="n"/>
      <c r="AK782" s="1392" t="n"/>
      <c r="AL782" s="1392" t="n"/>
      <c r="AM782" s="1392" t="n"/>
      <c r="AN782" s="1392" t="n"/>
      <c r="AO782" s="1392" t="n"/>
      <c r="AP782" s="1392" t="n"/>
      <c r="AQ782" s="1392" t="n"/>
      <c r="AR782" s="1392" t="n"/>
      <c r="AS782" s="1422" t="n"/>
      <c r="AT782" s="1392" t="n"/>
      <c r="AU782" s="1392" t="n"/>
      <c r="AV782" s="1392" t="n"/>
      <c r="AW782" s="1392" t="n"/>
      <c r="AX782" s="1392" t="n"/>
      <c r="AY782" s="1392" t="n"/>
      <c r="AZ782" s="1392" t="n"/>
      <c r="BA782" s="1392" t="n"/>
      <c r="BB782" s="1422" t="n"/>
      <c r="BC782" s="1392" t="n"/>
      <c r="BD782" s="1392" t="n"/>
      <c r="BE782" s="1392" t="n"/>
      <c r="BF782" s="1392" t="n"/>
      <c r="BG782" s="1392" t="n"/>
      <c r="BH782" s="1392" t="n"/>
      <c r="BI782" s="1392" t="n"/>
      <c r="BJ782" s="1392" t="n"/>
      <c r="BK782" s="1392" t="n"/>
      <c r="BL782" s="1392" t="n"/>
      <c r="BM782" s="1392" t="n"/>
      <c r="BN782" s="1392" t="n"/>
      <c r="BO782" s="1392" t="n"/>
      <c r="BP782" s="1392" t="n"/>
      <c r="BQ782" s="1392" t="n"/>
      <c r="BR782" s="1392" t="n"/>
      <c r="BS782" s="1392" t="n"/>
      <c r="BT782" s="1392" t="n"/>
      <c r="BU782" s="1416" t="n"/>
      <c r="BV782" s="1392" t="n"/>
      <c r="BW782" s="1392" t="n"/>
      <c r="BX782" s="1392" t="n"/>
      <c r="BY782" s="1392" t="n"/>
      <c r="BZ782" s="1416" t="n"/>
      <c r="CA782" s="1392" t="n"/>
      <c r="CB782" s="1392" t="n"/>
      <c r="CC782" s="1392" t="n"/>
      <c r="CD782" s="1392" t="n"/>
      <c r="CE782" s="1392" t="n"/>
      <c r="CF782" s="1392" t="n"/>
      <c r="CG782" s="1392" t="n"/>
      <c r="CH782" s="1392" t="n"/>
      <c r="CI782" s="1392" t="n"/>
      <c r="CJ782" s="1392" t="n"/>
      <c r="CK782" s="1392" t="n"/>
      <c r="CL782" s="1392" t="n"/>
    </row>
    <row r="783">
      <c r="A783" s="5" t="inlineStr">
        <is>
          <t>.</t>
        </is>
      </c>
      <c r="B783" s="5" t="inlineStr">
        <is>
          <t>.</t>
        </is>
      </c>
      <c r="C783" s="1378">
        <f>IF(raw[[#This Row],[city]]="","-",IF(raw[[#This Row],[city]]="TODAY","-",C782+1))</f>
        <v/>
      </c>
      <c r="D783" s="1393" t="inlineStr">
        <is>
          <t>London</t>
        </is>
      </c>
      <c r="E783" s="1394" t="n">
        <v>37970</v>
      </c>
      <c r="F783" s="1394" t="n">
        <v>37978</v>
      </c>
      <c r="G783" s="1393" t="inlineStr">
        <is>
          <t>-</t>
        </is>
      </c>
      <c r="H783" s="1393" t="inlineStr">
        <is>
          <t>Columbia</t>
        </is>
      </c>
      <c r="I783" s="1393" t="inlineStr">
        <is>
          <t>David's</t>
        </is>
      </c>
      <c r="J783" s="1393" t="inlineStr">
        <is>
          <t>-</t>
        </is>
      </c>
      <c r="K783" s="1395">
        <f>IF(raw[[#This Row],[city]]&lt;&gt;"",_xlfn.XLOOKUP($D783,ccc[city],ccc[prov],"-"),"-")</f>
        <v/>
      </c>
      <c r="L783" s="1395">
        <f>IF(raw[[#This Row],[city]]&lt;&gt;"",_xlfn.XLOOKUP($D783,ccc[city],ccc[ctry],"-"),"-")</f>
        <v/>
      </c>
      <c r="M783" s="1395">
        <f>IF(raw[[#This Row],[city]]&lt;&gt;"",_xlfn.XLOOKUP($D783,ccc[city],ccc[cont],"-"),"-")</f>
        <v/>
      </c>
      <c r="N783" s="1396">
        <f>IF(raw[[#This Row],[city]]="","-",IF(raw[[#This Row],[cont]]="B",raw[[#This Row],[cont]],"W"))</f>
        <v/>
      </c>
      <c r="O783" s="1397">
        <f>IF(raw[[#This Row],[out]]=0,0,IF(raw[[#This Row],[out]]=raw[[#This Row],[in]],0.01,raw[[#This Row],[out]]-raw[[#This Row],[in]]))</f>
        <v/>
      </c>
      <c r="P783" s="1397">
        <f>IF(raw[[#This Row],[in]]=0,0,MONTH(raw[[#This Row],[in]]))</f>
        <v/>
      </c>
      <c r="Q783" s="1397">
        <f>IF(raw[[#This Row],[in]]=0,0,YEAR(raw[[#This Row],[in]]))</f>
        <v/>
      </c>
      <c r="R783" s="1397">
        <f>INT(raw[[#This Row],[yr]]/10)*10</f>
        <v/>
      </c>
      <c r="S783" s="1395">
        <f>IF(raw[[#This Row],[city]]="","-",IF(raw[[#This Row],[city]]&lt;&gt;_xlfn.XLOOKUP(raw[[#This Row],[home]],homes[home],homes[city],"-"),1,0))</f>
        <v/>
      </c>
      <c r="T783" s="1398" t="inlineStr">
        <is>
          <t>.</t>
        </is>
      </c>
      <c r="U783" s="1399">
        <f>IF(raw[[#This Row],[wb]]="w",raw[[#This Row],[stay]]+U782,U782)</f>
        <v/>
      </c>
      <c r="V783" s="1400">
        <f>IF(raw[[#This Row],[out]]=0,V782,(raw[[#This Row],[out]]-E$5))</f>
        <v/>
      </c>
      <c r="W783" s="1401">
        <f>U783/V783</f>
        <v/>
      </c>
      <c r="X783" s="1378" t="inlineStr">
        <is>
          <t>.</t>
        </is>
      </c>
      <c r="Y783" s="1402">
        <f/>
        <v/>
      </c>
      <c r="Z783" s="1403">
        <f/>
        <v/>
      </c>
      <c r="AA783" s="1403">
        <f/>
        <v/>
      </c>
      <c r="AB783" s="1400">
        <f t="array" ref="AB783">_xlfn.LET(_xlpm.S,_xlfn.ANCHORARRAY($Y$4),_xlpm.r,ROWS(stayCity[[#Headers],[city]]:stayCity[[#This Row],[city]])-1,IF(_xlpm.r&lt;=ROWS(_xlpm.S),INDEX(_xlpm.S,_xlpm.r,1),""))</f>
        <v/>
      </c>
      <c r="AC783" s="1405">
        <f t="array" ref="AC783">_xlfn.LET(_xlpm.S,_xlfn.ANCHORARRAY($Y$4),_xlpm.r,ROWS(stayCity[[#Headers],[city]]:stayCity[[#This Row],[city]])-1,IF(_xlpm.r&lt;=ROWS(_xlpm.S),INDEX(_xlpm.S,_xlpm.r,2),""))</f>
        <v/>
      </c>
      <c r="AD783" s="1405">
        <f t="array" ref="AD783">_xlfn.LET(_xlpm.S,_xlfn.ANCHORARRAY($Y$4),_xlpm.r,ROWS(stayCity[[#Headers],[city]]:stayCity[[#This Row],[city]])-1,IF(_xlpm.r&lt;=ROWS(_xlpm.S),INDEX(_xlpm.S,_xlpm.r,3),""))</f>
        <v/>
      </c>
      <c r="AE783" s="1400">
        <f>IF(stayCity[[#This Row],[out]]&lt;&gt;"",stayCity[[#This Row],[out]]-stayCity[[#This Row],[in]],"-")</f>
        <v/>
      </c>
      <c r="AF783" s="1406">
        <f>IF(Y783="","-",YEAR(stayCity[[#This Row],[in]]))</f>
        <v/>
      </c>
      <c r="AG783" s="1392" t="n"/>
      <c r="AH783" s="1392" t="n"/>
      <c r="AI783" s="1392" t="n"/>
      <c r="AJ783" s="1392" t="n"/>
      <c r="AK783" s="1392" t="n"/>
      <c r="AL783" s="1392" t="n"/>
      <c r="AM783" s="1392" t="n"/>
      <c r="AN783" s="1392" t="n"/>
      <c r="AO783" s="1392" t="n"/>
      <c r="AP783" s="1392" t="n"/>
      <c r="AQ783" s="1392" t="n"/>
      <c r="AR783" s="1392" t="n"/>
      <c r="AS783" s="1422" t="n"/>
      <c r="AT783" s="1392" t="n"/>
      <c r="AU783" s="1392" t="n"/>
      <c r="AV783" s="1392" t="n"/>
      <c r="AW783" s="1392" t="n"/>
      <c r="AX783" s="1392" t="n"/>
      <c r="AY783" s="1392" t="n"/>
      <c r="AZ783" s="1392" t="n"/>
      <c r="BA783" s="1392" t="n"/>
      <c r="BB783" s="1422" t="n"/>
      <c r="BC783" s="1392" t="n"/>
      <c r="BD783" s="1392" t="n"/>
      <c r="BE783" s="1392" t="n"/>
      <c r="BF783" s="1392" t="n"/>
      <c r="BG783" s="1392" t="n"/>
      <c r="BH783" s="1392" t="n"/>
      <c r="BI783" s="1392" t="n"/>
      <c r="BJ783" s="1392" t="n"/>
      <c r="BK783" s="1392" t="n"/>
      <c r="BL783" s="1392" t="n"/>
      <c r="BM783" s="1392" t="n"/>
      <c r="BN783" s="1392" t="n"/>
      <c r="BO783" s="1392" t="n"/>
      <c r="BP783" s="1392" t="n"/>
      <c r="BQ783" s="1392" t="n"/>
      <c r="BR783" s="1392" t="n"/>
      <c r="BS783" s="1392" t="n"/>
      <c r="BT783" s="1392" t="n"/>
      <c r="BU783" s="1416" t="n"/>
      <c r="BV783" s="1392" t="n"/>
      <c r="BW783" s="1392" t="n"/>
      <c r="BX783" s="1392" t="n"/>
      <c r="BY783" s="1392" t="n"/>
      <c r="BZ783" s="1416" t="n"/>
      <c r="CA783" s="1392" t="n"/>
      <c r="CB783" s="1392" t="n"/>
      <c r="CC783" s="1392" t="n"/>
      <c r="CD783" s="1392" t="n"/>
      <c r="CE783" s="1392" t="n"/>
      <c r="CF783" s="1392" t="n"/>
      <c r="CG783" s="1392" t="n"/>
      <c r="CH783" s="1392" t="n"/>
      <c r="CI783" s="1392" t="n"/>
      <c r="CJ783" s="1392" t="n"/>
      <c r="CK783" s="1392" t="n"/>
      <c r="CL783" s="1392" t="n"/>
    </row>
    <row r="784">
      <c r="A784" s="5" t="inlineStr">
        <is>
          <t>.</t>
        </is>
      </c>
      <c r="B784" s="5" t="inlineStr">
        <is>
          <t>.</t>
        </is>
      </c>
      <c r="C784" s="1378">
        <f>IF(raw[[#This Row],[city]]="","-",IF(raw[[#This Row],[city]]="TODAY","-",C783+1))</f>
        <v/>
      </c>
      <c r="D784" s="1393" t="inlineStr">
        <is>
          <t>London</t>
        </is>
      </c>
      <c r="E784" s="1394" t="n">
        <v>37978</v>
      </c>
      <c r="F784" s="1394" t="n">
        <v>37987</v>
      </c>
      <c r="G784" s="1393" t="inlineStr">
        <is>
          <t>-</t>
        </is>
      </c>
      <c r="H784" s="1393" t="inlineStr">
        <is>
          <t>Columbia</t>
        </is>
      </c>
      <c r="I784" s="1393" t="inlineStr">
        <is>
          <t>Thomas/Tufnell</t>
        </is>
      </c>
      <c r="J784" s="1393" t="inlineStr">
        <is>
          <t>-</t>
        </is>
      </c>
      <c r="K784" s="1395">
        <f>IF(raw[[#This Row],[city]]&lt;&gt;"",_xlfn.XLOOKUP($D784,ccc[city],ccc[prov],"-"),"-")</f>
        <v/>
      </c>
      <c r="L784" s="1395">
        <f>IF(raw[[#This Row],[city]]&lt;&gt;"",_xlfn.XLOOKUP($D784,ccc[city],ccc[ctry],"-"),"-")</f>
        <v/>
      </c>
      <c r="M784" s="1395">
        <f>IF(raw[[#This Row],[city]]&lt;&gt;"",_xlfn.XLOOKUP($D784,ccc[city],ccc[cont],"-"),"-")</f>
        <v/>
      </c>
      <c r="N784" s="1396">
        <f>IF(raw[[#This Row],[city]]="","-",IF(raw[[#This Row],[cont]]="B",raw[[#This Row],[cont]],"W"))</f>
        <v/>
      </c>
      <c r="O784" s="1397">
        <f>IF(raw[[#This Row],[out]]=0,0,IF(raw[[#This Row],[out]]=raw[[#This Row],[in]],0.01,raw[[#This Row],[out]]-raw[[#This Row],[in]]))</f>
        <v/>
      </c>
      <c r="P784" s="1397">
        <f>IF(raw[[#This Row],[in]]=0,0,MONTH(raw[[#This Row],[in]]))</f>
        <v/>
      </c>
      <c r="Q784" s="1397">
        <f>IF(raw[[#This Row],[in]]=0,0,YEAR(raw[[#This Row],[in]]))</f>
        <v/>
      </c>
      <c r="R784" s="1397">
        <f>INT(raw[[#This Row],[yr]]/10)*10</f>
        <v/>
      </c>
      <c r="S784" s="1395">
        <f>IF(raw[[#This Row],[city]]="","-",IF(raw[[#This Row],[city]]&lt;&gt;_xlfn.XLOOKUP(raw[[#This Row],[home]],homes[home],homes[city],"-"),1,0))</f>
        <v/>
      </c>
      <c r="T784" s="1398" t="inlineStr">
        <is>
          <t>.</t>
        </is>
      </c>
      <c r="U784" s="1399">
        <f>IF(raw[[#This Row],[wb]]="w",raw[[#This Row],[stay]]+U783,U783)</f>
        <v/>
      </c>
      <c r="V784" s="1400">
        <f>IF(raw[[#This Row],[out]]=0,V783,(raw[[#This Row],[out]]-E$5))</f>
        <v/>
      </c>
      <c r="W784" s="1401">
        <f>U784/V784</f>
        <v/>
      </c>
      <c r="X784" s="1378" t="inlineStr">
        <is>
          <t>.</t>
        </is>
      </c>
      <c r="Y784" s="1402">
        <f/>
        <v/>
      </c>
      <c r="Z784" s="1403">
        <f/>
        <v/>
      </c>
      <c r="AA784" s="1403">
        <f/>
        <v/>
      </c>
      <c r="AB784" s="1400">
        <f t="array" ref="AB784">_xlfn.LET(_xlpm.S,_xlfn.ANCHORARRAY($Y$4),_xlpm.r,ROWS(stayCity[[#Headers],[city]]:stayCity[[#This Row],[city]])-1,IF(_xlpm.r&lt;=ROWS(_xlpm.S),INDEX(_xlpm.S,_xlpm.r,1),""))</f>
        <v/>
      </c>
      <c r="AC784" s="1405">
        <f t="array" ref="AC784">_xlfn.LET(_xlpm.S,_xlfn.ANCHORARRAY($Y$4),_xlpm.r,ROWS(stayCity[[#Headers],[city]]:stayCity[[#This Row],[city]])-1,IF(_xlpm.r&lt;=ROWS(_xlpm.S),INDEX(_xlpm.S,_xlpm.r,2),""))</f>
        <v/>
      </c>
      <c r="AD784" s="1405">
        <f t="array" ref="AD784">_xlfn.LET(_xlpm.S,_xlfn.ANCHORARRAY($Y$4),_xlpm.r,ROWS(stayCity[[#Headers],[city]]:stayCity[[#This Row],[city]])-1,IF(_xlpm.r&lt;=ROWS(_xlpm.S),INDEX(_xlpm.S,_xlpm.r,3),""))</f>
        <v/>
      </c>
      <c r="AE784" s="1400">
        <f>IF(stayCity[[#This Row],[out]]&lt;&gt;"",stayCity[[#This Row],[out]]-stayCity[[#This Row],[in]],"-")</f>
        <v/>
      </c>
      <c r="AF784" s="1406">
        <f>IF(Y784="","-",YEAR(stayCity[[#This Row],[in]]))</f>
        <v/>
      </c>
      <c r="AG784" s="1392" t="n"/>
      <c r="AH784" s="1392" t="n"/>
      <c r="AI784" s="1392" t="n"/>
      <c r="AJ784" s="1392" t="n"/>
      <c r="AK784" s="1392" t="n"/>
      <c r="AL784" s="1392" t="n"/>
      <c r="AM784" s="1392" t="n"/>
      <c r="AN784" s="1392" t="n"/>
      <c r="AO784" s="1392" t="n"/>
      <c r="AP784" s="1392" t="n"/>
      <c r="AQ784" s="1392" t="n"/>
      <c r="AR784" s="1392" t="n"/>
      <c r="AS784" s="1422" t="n"/>
      <c r="AT784" s="1392" t="n"/>
      <c r="AU784" s="1392" t="n"/>
      <c r="AV784" s="1392" t="n"/>
      <c r="AW784" s="1392" t="n"/>
      <c r="AX784" s="1392" t="n"/>
      <c r="AY784" s="1392" t="n"/>
      <c r="AZ784" s="1392" t="n"/>
      <c r="BA784" s="1392" t="n"/>
      <c r="BB784" s="1422" t="n"/>
      <c r="BC784" s="1392" t="n"/>
      <c r="BD784" s="1392" t="n"/>
      <c r="BE784" s="1392" t="n"/>
      <c r="BF784" s="1392" t="n"/>
      <c r="BG784" s="1392" t="n"/>
      <c r="BH784" s="1392" t="n"/>
      <c r="BI784" s="1392" t="n"/>
      <c r="BJ784" s="1392" t="n"/>
      <c r="BK784" s="1392" t="n"/>
      <c r="BL784" s="1392" t="n"/>
      <c r="BM784" s="1392" t="n"/>
      <c r="BN784" s="1392" t="n"/>
      <c r="BO784" s="1392" t="n"/>
      <c r="BP784" s="1392" t="n"/>
      <c r="BQ784" s="1392" t="n"/>
      <c r="BR784" s="1392" t="n"/>
      <c r="BS784" s="1392" t="n"/>
      <c r="BT784" s="1392" t="n"/>
      <c r="BU784" s="1416" t="n"/>
      <c r="BV784" s="1392" t="n"/>
      <c r="BW784" s="1392" t="n"/>
      <c r="BX784" s="1392" t="n"/>
      <c r="BY784" s="1392" t="n"/>
      <c r="BZ784" s="1416" t="n"/>
      <c r="CA784" s="1392" t="n"/>
      <c r="CB784" s="1392" t="n"/>
      <c r="CC784" s="1392" t="n"/>
      <c r="CD784" s="1392" t="n"/>
      <c r="CE784" s="1392" t="n"/>
      <c r="CF784" s="1392" t="n"/>
      <c r="CG784" s="1392" t="n"/>
      <c r="CH784" s="1392" t="n"/>
      <c r="CI784" s="1392" t="n"/>
      <c r="CJ784" s="1392" t="n"/>
      <c r="CK784" s="1392" t="n"/>
      <c r="CL784" s="1392" t="n"/>
    </row>
    <row r="785">
      <c r="A785" s="5" t="inlineStr">
        <is>
          <t>.</t>
        </is>
      </c>
      <c r="B785" s="5" t="inlineStr">
        <is>
          <t>.</t>
        </is>
      </c>
      <c r="C785" s="1378">
        <f>IF(raw[[#This Row],[city]]="","-",IF(raw[[#This Row],[city]]="TODAY","-",C784+1))</f>
        <v/>
      </c>
      <c r="D785" s="1393" t="inlineStr">
        <is>
          <t>London</t>
        </is>
      </c>
      <c r="E785" s="1394" t="n">
        <v>37987</v>
      </c>
      <c r="F785" s="1394" t="n">
        <v>37989</v>
      </c>
      <c r="G785" s="1393" t="n">
        <v>1</v>
      </c>
      <c r="H785" s="1393" t="inlineStr">
        <is>
          <t>Columbia</t>
        </is>
      </c>
      <c r="I785" s="1393" t="inlineStr">
        <is>
          <t>Thomas/Tufnell</t>
        </is>
      </c>
      <c r="J785" s="1393" t="inlineStr">
        <is>
          <t>REV</t>
        </is>
      </c>
      <c r="K785" s="1395">
        <f>IF(raw[[#This Row],[city]]&lt;&gt;"",_xlfn.XLOOKUP($D785,ccc[city],ccc[prov],"-"),"-")</f>
        <v/>
      </c>
      <c r="L785" s="1395">
        <f>IF(raw[[#This Row],[city]]&lt;&gt;"",_xlfn.XLOOKUP($D785,ccc[city],ccc[ctry],"-"),"-")</f>
        <v/>
      </c>
      <c r="M785" s="1395">
        <f>IF(raw[[#This Row],[city]]&lt;&gt;"",_xlfn.XLOOKUP($D785,ccc[city],ccc[cont],"-"),"-")</f>
        <v/>
      </c>
      <c r="N785" s="1396">
        <f>IF(raw[[#This Row],[city]]="","-",IF(raw[[#This Row],[cont]]="B",raw[[#This Row],[cont]],"W"))</f>
        <v/>
      </c>
      <c r="O785" s="1397">
        <f>IF(raw[[#This Row],[out]]=0,0,IF(raw[[#This Row],[out]]=raw[[#This Row],[in]],0.01,raw[[#This Row],[out]]-raw[[#This Row],[in]]))</f>
        <v/>
      </c>
      <c r="P785" s="1397">
        <f>IF(raw[[#This Row],[in]]=0,0,MONTH(raw[[#This Row],[in]]))</f>
        <v/>
      </c>
      <c r="Q785" s="1397">
        <f>IF(raw[[#This Row],[in]]=0,0,YEAR(raw[[#This Row],[in]]))</f>
        <v/>
      </c>
      <c r="R785" s="1397">
        <f>INT(raw[[#This Row],[yr]]/10)*10</f>
        <v/>
      </c>
      <c r="S785" s="1395">
        <f>IF(raw[[#This Row],[city]]="","-",IF(raw[[#This Row],[city]]&lt;&gt;_xlfn.XLOOKUP(raw[[#This Row],[home]],homes[home],homes[city],"-"),1,0))</f>
        <v/>
      </c>
      <c r="T785" s="1398" t="inlineStr">
        <is>
          <t>.</t>
        </is>
      </c>
      <c r="U785" s="1399">
        <f>IF(raw[[#This Row],[wb]]="w",raw[[#This Row],[stay]]+U784,U784)</f>
        <v/>
      </c>
      <c r="V785" s="1400">
        <f>IF(raw[[#This Row],[out]]=0,V784,(raw[[#This Row],[out]]-E$5))</f>
        <v/>
      </c>
      <c r="W785" s="1401">
        <f>U785/V785</f>
        <v/>
      </c>
      <c r="X785" s="1378" t="inlineStr">
        <is>
          <t>.</t>
        </is>
      </c>
      <c r="Y785" s="1402">
        <f/>
        <v/>
      </c>
      <c r="Z785" s="1403">
        <f/>
        <v/>
      </c>
      <c r="AA785" s="1403">
        <f/>
        <v/>
      </c>
      <c r="AB785" s="1400">
        <f t="array" ref="AB785">_xlfn.LET(_xlpm.S,_xlfn.ANCHORARRAY($Y$4),_xlpm.r,ROWS(stayCity[[#Headers],[city]]:stayCity[[#This Row],[city]])-1,IF(_xlpm.r&lt;=ROWS(_xlpm.S),INDEX(_xlpm.S,_xlpm.r,1),""))</f>
        <v/>
      </c>
      <c r="AC785" s="1405">
        <f t="array" ref="AC785">_xlfn.LET(_xlpm.S,_xlfn.ANCHORARRAY($Y$4),_xlpm.r,ROWS(stayCity[[#Headers],[city]]:stayCity[[#This Row],[city]])-1,IF(_xlpm.r&lt;=ROWS(_xlpm.S),INDEX(_xlpm.S,_xlpm.r,2),""))</f>
        <v/>
      </c>
      <c r="AD785" s="1405">
        <f t="array" ref="AD785">_xlfn.LET(_xlpm.S,_xlfn.ANCHORARRAY($Y$4),_xlpm.r,ROWS(stayCity[[#Headers],[city]]:stayCity[[#This Row],[city]])-1,IF(_xlpm.r&lt;=ROWS(_xlpm.S),INDEX(_xlpm.S,_xlpm.r,3),""))</f>
        <v/>
      </c>
      <c r="AE785" s="1400">
        <f>IF(stayCity[[#This Row],[out]]&lt;&gt;"",stayCity[[#This Row],[out]]-stayCity[[#This Row],[in]],"-")</f>
        <v/>
      </c>
      <c r="AF785" s="1406">
        <f>IF(Y785="","-",YEAR(stayCity[[#This Row],[in]]))</f>
        <v/>
      </c>
      <c r="AG785" s="1392" t="n"/>
      <c r="AH785" s="1392" t="n"/>
      <c r="AI785" s="1392" t="n"/>
      <c r="AJ785" s="1392" t="n"/>
      <c r="AK785" s="1392" t="n"/>
      <c r="AL785" s="1392" t="n"/>
      <c r="AM785" s="1392" t="n"/>
      <c r="AN785" s="1392" t="n"/>
      <c r="AO785" s="1392" t="n"/>
      <c r="AP785" s="1392" t="n"/>
      <c r="AQ785" s="1392" t="n"/>
      <c r="AR785" s="1392" t="n"/>
      <c r="AS785" s="1422" t="n"/>
      <c r="AT785" s="1392" t="n"/>
      <c r="AU785" s="1392" t="n"/>
      <c r="AV785" s="1392" t="n"/>
      <c r="AW785" s="1392" t="n"/>
      <c r="AX785" s="1392" t="n"/>
      <c r="AY785" s="1392" t="n"/>
      <c r="AZ785" s="1392" t="n"/>
      <c r="BA785" s="1392" t="n"/>
      <c r="BB785" s="1422" t="n"/>
      <c r="BC785" s="1392" t="n"/>
      <c r="BD785" s="1392" t="n"/>
      <c r="BE785" s="1392" t="n"/>
      <c r="BF785" s="1392" t="n"/>
      <c r="BG785" s="1392" t="n"/>
      <c r="BH785" s="1392" t="n"/>
      <c r="BI785" s="1392" t="n"/>
      <c r="BJ785" s="1392" t="n"/>
      <c r="BK785" s="1392" t="n"/>
      <c r="BL785" s="1392" t="n"/>
      <c r="BM785" s="1392" t="n"/>
      <c r="BN785" s="1392" t="n"/>
      <c r="BO785" s="1392" t="n"/>
      <c r="BP785" s="1392" t="n"/>
      <c r="BQ785" s="1392" t="n"/>
      <c r="BR785" s="1392" t="n"/>
      <c r="BS785" s="1392" t="n"/>
      <c r="BT785" s="1392" t="n"/>
      <c r="BU785" s="1416" t="n"/>
      <c r="BV785" s="1392" t="n"/>
      <c r="BW785" s="1392" t="n"/>
      <c r="BX785" s="1392" t="n"/>
      <c r="BY785" s="1392" t="n"/>
      <c r="BZ785" s="1416" t="n"/>
      <c r="CA785" s="1392" t="n"/>
      <c r="CB785" s="1392" t="n"/>
      <c r="CC785" s="1392" t="n"/>
      <c r="CD785" s="1392" t="n"/>
      <c r="CE785" s="1392" t="n"/>
      <c r="CF785" s="1392" t="n"/>
      <c r="CG785" s="1392" t="n"/>
      <c r="CH785" s="1392" t="n"/>
      <c r="CI785" s="1392" t="n"/>
      <c r="CJ785" s="1392" t="n"/>
      <c r="CK785" s="1392" t="n"/>
      <c r="CL785" s="1392" t="n"/>
    </row>
    <row r="786">
      <c r="A786" s="5" t="inlineStr">
        <is>
          <t>.</t>
        </is>
      </c>
      <c r="B786" s="5" t="inlineStr">
        <is>
          <t>.</t>
        </is>
      </c>
      <c r="C786" s="1378">
        <f>IF(raw[[#This Row],[city]]="","-",IF(raw[[#This Row],[city]]="TODAY","-",C785+1))</f>
        <v/>
      </c>
      <c r="D786" s="1393" t="inlineStr">
        <is>
          <t>Geneve</t>
        </is>
      </c>
      <c r="E786" s="1394" t="n">
        <v>37989</v>
      </c>
      <c r="F786" s="1394" t="n">
        <v>37989</v>
      </c>
      <c r="G786" s="1393" t="inlineStr">
        <is>
          <t>-</t>
        </is>
      </c>
      <c r="H786" s="1393" t="inlineStr">
        <is>
          <t>Columbia</t>
        </is>
      </c>
      <c r="I786" s="1393" t="inlineStr">
        <is>
          <t>-</t>
        </is>
      </c>
      <c r="J786" s="1393" t="inlineStr">
        <is>
          <t>-</t>
        </is>
      </c>
      <c r="K786" s="1395">
        <f>IF(raw[[#This Row],[city]]&lt;&gt;"",_xlfn.XLOOKUP($D786,ccc[city],ccc[prov],"-"),"-")</f>
        <v/>
      </c>
      <c r="L786" s="1395">
        <f>IF(raw[[#This Row],[city]]&lt;&gt;"",_xlfn.XLOOKUP($D786,ccc[city],ccc[ctry],"-"),"-")</f>
        <v/>
      </c>
      <c r="M786" s="1395">
        <f>IF(raw[[#This Row],[city]]&lt;&gt;"",_xlfn.XLOOKUP($D786,ccc[city],ccc[cont],"-"),"-")</f>
        <v/>
      </c>
      <c r="N786" s="1396">
        <f>IF(raw[[#This Row],[city]]="","-",IF(raw[[#This Row],[cont]]="B",raw[[#This Row],[cont]],"W"))</f>
        <v/>
      </c>
      <c r="O786" s="1397">
        <f>IF(raw[[#This Row],[out]]=0,0,IF(raw[[#This Row],[out]]=raw[[#This Row],[in]],0.01,raw[[#This Row],[out]]-raw[[#This Row],[in]]))</f>
        <v/>
      </c>
      <c r="P786" s="1397">
        <f>IF(raw[[#This Row],[in]]=0,0,MONTH(raw[[#This Row],[in]]))</f>
        <v/>
      </c>
      <c r="Q786" s="1397">
        <f>IF(raw[[#This Row],[in]]=0,0,YEAR(raw[[#This Row],[in]]))</f>
        <v/>
      </c>
      <c r="R786" s="1397">
        <f>INT(raw[[#This Row],[yr]]/10)*10</f>
        <v/>
      </c>
      <c r="S786" s="1395">
        <f>IF(raw[[#This Row],[city]]="","-",IF(raw[[#This Row],[city]]&lt;&gt;_xlfn.XLOOKUP(raw[[#This Row],[home]],homes[home],homes[city],"-"),1,0))</f>
        <v/>
      </c>
      <c r="T786" s="1398" t="inlineStr">
        <is>
          <t>.</t>
        </is>
      </c>
      <c r="U786" s="1399">
        <f>IF(raw[[#This Row],[wb]]="w",raw[[#This Row],[stay]]+U785,U785)</f>
        <v/>
      </c>
      <c r="V786" s="1400">
        <f>IF(raw[[#This Row],[out]]=0,V785,(raw[[#This Row],[out]]-E$5))</f>
        <v/>
      </c>
      <c r="W786" s="1401">
        <f>U786/V786</f>
        <v/>
      </c>
      <c r="X786" s="1378" t="inlineStr">
        <is>
          <t>.</t>
        </is>
      </c>
      <c r="Y786" s="1402">
        <f/>
        <v/>
      </c>
      <c r="Z786" s="1403">
        <f/>
        <v/>
      </c>
      <c r="AA786" s="1403">
        <f/>
        <v/>
      </c>
      <c r="AB786" s="1400">
        <f t="array" ref="AB786">_xlfn.LET(_xlpm.S,_xlfn.ANCHORARRAY($Y$4),_xlpm.r,ROWS(stayCity[[#Headers],[city]]:stayCity[[#This Row],[city]])-1,IF(_xlpm.r&lt;=ROWS(_xlpm.S),INDEX(_xlpm.S,_xlpm.r,1),""))</f>
        <v/>
      </c>
      <c r="AC786" s="1405">
        <f t="array" ref="AC786">_xlfn.LET(_xlpm.S,_xlfn.ANCHORARRAY($Y$4),_xlpm.r,ROWS(stayCity[[#Headers],[city]]:stayCity[[#This Row],[city]])-1,IF(_xlpm.r&lt;=ROWS(_xlpm.S),INDEX(_xlpm.S,_xlpm.r,2),""))</f>
        <v/>
      </c>
      <c r="AD786" s="1405">
        <f t="array" ref="AD786">_xlfn.LET(_xlpm.S,_xlfn.ANCHORARRAY($Y$4),_xlpm.r,ROWS(stayCity[[#Headers],[city]]:stayCity[[#This Row],[city]])-1,IF(_xlpm.r&lt;=ROWS(_xlpm.S),INDEX(_xlpm.S,_xlpm.r,3),""))</f>
        <v/>
      </c>
      <c r="AE786" s="1400">
        <f>IF(stayCity[[#This Row],[out]]&lt;&gt;"",stayCity[[#This Row],[out]]-stayCity[[#This Row],[in]],"-")</f>
        <v/>
      </c>
      <c r="AF786" s="1406">
        <f>IF(Y786="","-",YEAR(stayCity[[#This Row],[in]]))</f>
        <v/>
      </c>
      <c r="AG786" s="1392" t="n"/>
      <c r="AH786" s="1392" t="n"/>
      <c r="AI786" s="1392" t="n"/>
      <c r="AJ786" s="1392" t="n"/>
      <c r="AK786" s="1392" t="n"/>
      <c r="AL786" s="1392" t="n"/>
      <c r="AM786" s="1392" t="n"/>
      <c r="AN786" s="1392" t="n"/>
      <c r="AO786" s="1392" t="n"/>
      <c r="AP786" s="1392" t="n"/>
      <c r="AQ786" s="1392" t="n"/>
      <c r="AR786" s="1392" t="n"/>
      <c r="AS786" s="1422" t="n"/>
      <c r="AT786" s="1392" t="n"/>
      <c r="AU786" s="1392" t="n"/>
      <c r="AV786" s="1392" t="n"/>
      <c r="AW786" s="1392" t="n"/>
      <c r="AX786" s="1392" t="n"/>
      <c r="AY786" s="1392" t="n"/>
      <c r="AZ786" s="1392" t="n"/>
      <c r="BA786" s="1392" t="n"/>
      <c r="BB786" s="1422" t="n"/>
      <c r="BC786" s="1392" t="n"/>
      <c r="BD786" s="1392" t="n"/>
      <c r="BE786" s="1392" t="n"/>
      <c r="BF786" s="1392" t="n"/>
      <c r="BG786" s="1392" t="n"/>
      <c r="BH786" s="1392" t="n"/>
      <c r="BI786" s="1392" t="n"/>
      <c r="BJ786" s="1392" t="n"/>
      <c r="BK786" s="1392" t="n"/>
      <c r="BL786" s="1392" t="n"/>
      <c r="BM786" s="1392" t="n"/>
      <c r="BN786" s="1392" t="n"/>
      <c r="BO786" s="1392" t="n"/>
      <c r="BP786" s="1392" t="n"/>
      <c r="BQ786" s="1392" t="n"/>
      <c r="BR786" s="1392" t="n"/>
      <c r="BS786" s="1392" t="n"/>
      <c r="BT786" s="1392" t="n"/>
      <c r="BU786" s="1416" t="n"/>
      <c r="BV786" s="1392" t="n"/>
      <c r="BW786" s="1392" t="n"/>
      <c r="BX786" s="1392" t="n"/>
      <c r="BY786" s="1392" t="n"/>
      <c r="BZ786" s="1416" t="n"/>
      <c r="CA786" s="1392" t="n"/>
      <c r="CB786" s="1392" t="n"/>
      <c r="CC786" s="1392" t="n"/>
      <c r="CD786" s="1392" t="n"/>
      <c r="CE786" s="1392" t="n"/>
      <c r="CF786" s="1392" t="n"/>
      <c r="CG786" s="1392" t="n"/>
      <c r="CH786" s="1392" t="n"/>
      <c r="CI786" s="1392" t="n"/>
      <c r="CJ786" s="1392" t="n"/>
      <c r="CK786" s="1392" t="n"/>
      <c r="CL786" s="1392" t="n"/>
    </row>
    <row r="787">
      <c r="A787" s="5" t="inlineStr">
        <is>
          <t>.</t>
        </is>
      </c>
      <c r="B787" s="5" t="inlineStr">
        <is>
          <t>.</t>
        </is>
      </c>
      <c r="C787" s="1378">
        <f>IF(raw[[#This Row],[city]]="","-",IF(raw[[#This Row],[city]]="TODAY","-",C786+1))</f>
        <v/>
      </c>
      <c r="D787" s="1393" t="inlineStr">
        <is>
          <t>Combloux</t>
        </is>
      </c>
      <c r="E787" s="1394" t="n">
        <v>37989</v>
      </c>
      <c r="F787" s="1394" t="n">
        <v>37997</v>
      </c>
      <c r="G787" s="1393" t="inlineStr">
        <is>
          <t>-</t>
        </is>
      </c>
      <c r="H787" s="1393" t="inlineStr">
        <is>
          <t>Columbia</t>
        </is>
      </c>
      <c r="I787" s="1393" t="inlineStr">
        <is>
          <t>-</t>
        </is>
      </c>
      <c r="J787" s="1393" t="inlineStr">
        <is>
          <t>-</t>
        </is>
      </c>
      <c r="K787" s="1395">
        <f>IF(raw[[#This Row],[city]]&lt;&gt;"",_xlfn.XLOOKUP($D787,ccc[city],ccc[prov],"-"),"-")</f>
        <v/>
      </c>
      <c r="L787" s="1395">
        <f>IF(raw[[#This Row],[city]]&lt;&gt;"",_xlfn.XLOOKUP($D787,ccc[city],ccc[ctry],"-"),"-")</f>
        <v/>
      </c>
      <c r="M787" s="1395">
        <f>IF(raw[[#This Row],[city]]&lt;&gt;"",_xlfn.XLOOKUP($D787,ccc[city],ccc[cont],"-"),"-")</f>
        <v/>
      </c>
      <c r="N787" s="1396">
        <f>IF(raw[[#This Row],[city]]="","-",IF(raw[[#This Row],[cont]]="B",raw[[#This Row],[cont]],"W"))</f>
        <v/>
      </c>
      <c r="O787" s="1397">
        <f>IF(raw[[#This Row],[out]]=0,0,IF(raw[[#This Row],[out]]=raw[[#This Row],[in]],0.01,raw[[#This Row],[out]]-raw[[#This Row],[in]]))</f>
        <v/>
      </c>
      <c r="P787" s="1397">
        <f>IF(raw[[#This Row],[in]]=0,0,MONTH(raw[[#This Row],[in]]))</f>
        <v/>
      </c>
      <c r="Q787" s="1397">
        <f>IF(raw[[#This Row],[in]]=0,0,YEAR(raw[[#This Row],[in]]))</f>
        <v/>
      </c>
      <c r="R787" s="1397">
        <f>INT(raw[[#This Row],[yr]]/10)*10</f>
        <v/>
      </c>
      <c r="S787" s="1395">
        <f>IF(raw[[#This Row],[city]]="","-",IF(raw[[#This Row],[city]]&lt;&gt;_xlfn.XLOOKUP(raw[[#This Row],[home]],homes[home],homes[city],"-"),1,0))</f>
        <v/>
      </c>
      <c r="T787" s="1398" t="inlineStr">
        <is>
          <t>.</t>
        </is>
      </c>
      <c r="U787" s="1399">
        <f>IF(raw[[#This Row],[wb]]="w",raw[[#This Row],[stay]]+U786,U786)</f>
        <v/>
      </c>
      <c r="V787" s="1400">
        <f>IF(raw[[#This Row],[out]]=0,V786,(raw[[#This Row],[out]]-E$5))</f>
        <v/>
      </c>
      <c r="W787" s="1401">
        <f>U787/V787</f>
        <v/>
      </c>
      <c r="X787" s="1378" t="inlineStr">
        <is>
          <t>.</t>
        </is>
      </c>
      <c r="Y787" s="1402">
        <f/>
        <v/>
      </c>
      <c r="Z787" s="1403">
        <f/>
        <v/>
      </c>
      <c r="AA787" s="1403">
        <f/>
        <v/>
      </c>
      <c r="AB787" s="1400">
        <f t="array" ref="AB787">_xlfn.LET(_xlpm.S,_xlfn.ANCHORARRAY($Y$4),_xlpm.r,ROWS(stayCity[[#Headers],[city]]:stayCity[[#This Row],[city]])-1,IF(_xlpm.r&lt;=ROWS(_xlpm.S),INDEX(_xlpm.S,_xlpm.r,1),""))</f>
        <v/>
      </c>
      <c r="AC787" s="1405">
        <f t="array" ref="AC787">_xlfn.LET(_xlpm.S,_xlfn.ANCHORARRAY($Y$4),_xlpm.r,ROWS(stayCity[[#Headers],[city]]:stayCity[[#This Row],[city]])-1,IF(_xlpm.r&lt;=ROWS(_xlpm.S),INDEX(_xlpm.S,_xlpm.r,2),""))</f>
        <v/>
      </c>
      <c r="AD787" s="1405">
        <f t="array" ref="AD787">_xlfn.LET(_xlpm.S,_xlfn.ANCHORARRAY($Y$4),_xlpm.r,ROWS(stayCity[[#Headers],[city]]:stayCity[[#This Row],[city]])-1,IF(_xlpm.r&lt;=ROWS(_xlpm.S),INDEX(_xlpm.S,_xlpm.r,3),""))</f>
        <v/>
      </c>
      <c r="AE787" s="1400">
        <f>IF(stayCity[[#This Row],[out]]&lt;&gt;"",stayCity[[#This Row],[out]]-stayCity[[#This Row],[in]],"-")</f>
        <v/>
      </c>
      <c r="AF787" s="1406">
        <f>IF(Y787="","-",YEAR(stayCity[[#This Row],[in]]))</f>
        <v/>
      </c>
      <c r="AG787" s="1392" t="n"/>
      <c r="AH787" s="1392" t="n"/>
      <c r="AI787" s="1392" t="n"/>
      <c r="AJ787" s="1392" t="n"/>
      <c r="AK787" s="1392" t="n"/>
      <c r="AL787" s="1392" t="n"/>
      <c r="AM787" s="1392" t="n"/>
      <c r="AN787" s="1392" t="n"/>
      <c r="AO787" s="1392" t="n"/>
      <c r="AP787" s="1392" t="n"/>
      <c r="AQ787" s="1392" t="n"/>
      <c r="AR787" s="1392" t="n"/>
      <c r="AS787" s="1422" t="n"/>
      <c r="AT787" s="1392" t="n"/>
      <c r="AU787" s="1392" t="n"/>
      <c r="AV787" s="1392" t="n"/>
      <c r="AW787" s="1392" t="n"/>
      <c r="AX787" s="1392" t="n"/>
      <c r="AY787" s="1392" t="n"/>
      <c r="AZ787" s="1392" t="n"/>
      <c r="BA787" s="1392" t="n"/>
      <c r="BB787" s="1422" t="n"/>
      <c r="BC787" s="1392" t="n"/>
      <c r="BD787" s="1392" t="n"/>
      <c r="BE787" s="1392" t="n"/>
      <c r="BF787" s="1392" t="n"/>
      <c r="BG787" s="1392" t="n"/>
      <c r="BH787" s="1392" t="n"/>
      <c r="BI787" s="1392" t="n"/>
      <c r="BJ787" s="1392" t="n"/>
      <c r="BK787" s="1392" t="n"/>
      <c r="BL787" s="1392" t="n"/>
      <c r="BM787" s="1392" t="n"/>
      <c r="BN787" s="1392" t="n"/>
      <c r="BO787" s="1392" t="n"/>
      <c r="BP787" s="1392" t="n"/>
      <c r="BQ787" s="1392" t="n"/>
      <c r="BR787" s="1392" t="n"/>
      <c r="BS787" s="1392" t="n"/>
      <c r="BT787" s="1392" t="n"/>
      <c r="BU787" s="1416" t="n"/>
      <c r="BV787" s="1392" t="n"/>
      <c r="BW787" s="1392" t="n"/>
      <c r="BX787" s="1392" t="n"/>
      <c r="BY787" s="1392" t="n"/>
      <c r="BZ787" s="1416" t="n"/>
      <c r="CA787" s="1392" t="n"/>
      <c r="CB787" s="1392" t="n"/>
      <c r="CC787" s="1392" t="n"/>
      <c r="CD787" s="1392" t="n"/>
      <c r="CE787" s="1392" t="n"/>
      <c r="CF787" s="1392" t="n"/>
      <c r="CG787" s="1392" t="n"/>
      <c r="CH787" s="1392" t="n"/>
      <c r="CI787" s="1392" t="n"/>
      <c r="CJ787" s="1392" t="n"/>
      <c r="CK787" s="1392" t="n"/>
      <c r="CL787" s="1392" t="n"/>
    </row>
    <row r="788">
      <c r="A788" s="5" t="inlineStr">
        <is>
          <t>.</t>
        </is>
      </c>
      <c r="B788" s="5" t="inlineStr">
        <is>
          <t>.</t>
        </is>
      </c>
      <c r="C788" s="1378">
        <f>IF(raw[[#This Row],[city]]="","-",IF(raw[[#This Row],[city]]="TODAY","-",C787+1))</f>
        <v/>
      </c>
      <c r="D788" s="1393" t="inlineStr">
        <is>
          <t>Megeve</t>
        </is>
      </c>
      <c r="E788" s="1394" t="n">
        <v>37992</v>
      </c>
      <c r="F788" s="1394" t="n">
        <v>37992</v>
      </c>
      <c r="G788" s="1393" t="inlineStr">
        <is>
          <t>-</t>
        </is>
      </c>
      <c r="H788" s="1393" t="inlineStr">
        <is>
          <t>Columbia</t>
        </is>
      </c>
      <c r="I788" s="1393" t="inlineStr">
        <is>
          <t>-</t>
        </is>
      </c>
      <c r="J788" s="1393" t="inlineStr">
        <is>
          <t>-</t>
        </is>
      </c>
      <c r="K788" s="1395">
        <f>IF(raw[[#This Row],[city]]&lt;&gt;"",_xlfn.XLOOKUP($D788,ccc[city],ccc[prov],"-"),"-")</f>
        <v/>
      </c>
      <c r="L788" s="1395">
        <f>IF(raw[[#This Row],[city]]&lt;&gt;"",_xlfn.XLOOKUP($D788,ccc[city],ccc[ctry],"-"),"-")</f>
        <v/>
      </c>
      <c r="M788" s="1395">
        <f>IF(raw[[#This Row],[city]]&lt;&gt;"",_xlfn.XLOOKUP($D788,ccc[city],ccc[cont],"-"),"-")</f>
        <v/>
      </c>
      <c r="N788" s="1396">
        <f>IF(raw[[#This Row],[city]]="","-",IF(raw[[#This Row],[cont]]="B",raw[[#This Row],[cont]],"W"))</f>
        <v/>
      </c>
      <c r="O788" s="1397">
        <f>IF(raw[[#This Row],[out]]=0,0,IF(raw[[#This Row],[out]]=raw[[#This Row],[in]],0.01,raw[[#This Row],[out]]-raw[[#This Row],[in]]))</f>
        <v/>
      </c>
      <c r="P788" s="1397">
        <f>IF(raw[[#This Row],[in]]=0,0,MONTH(raw[[#This Row],[in]]))</f>
        <v/>
      </c>
      <c r="Q788" s="1397">
        <f>IF(raw[[#This Row],[in]]=0,0,YEAR(raw[[#This Row],[in]]))</f>
        <v/>
      </c>
      <c r="R788" s="1397">
        <f>INT(raw[[#This Row],[yr]]/10)*10</f>
        <v/>
      </c>
      <c r="S788" s="1395">
        <f>IF(raw[[#This Row],[city]]="","-",IF(raw[[#This Row],[city]]&lt;&gt;_xlfn.XLOOKUP(raw[[#This Row],[home]],homes[home],homes[city],"-"),1,0))</f>
        <v/>
      </c>
      <c r="T788" s="1398" t="inlineStr">
        <is>
          <t>.</t>
        </is>
      </c>
      <c r="U788" s="1399">
        <f>IF(raw[[#This Row],[wb]]="w",raw[[#This Row],[stay]]+U787,U787)</f>
        <v/>
      </c>
      <c r="V788" s="1400">
        <f>IF(raw[[#This Row],[out]]=0,V787,(raw[[#This Row],[out]]-E$5))</f>
        <v/>
      </c>
      <c r="W788" s="1401">
        <f>U788/V788</f>
        <v/>
      </c>
      <c r="X788" s="1378" t="inlineStr">
        <is>
          <t>.</t>
        </is>
      </c>
      <c r="Y788" s="1402">
        <f/>
        <v/>
      </c>
      <c r="Z788" s="1403">
        <f/>
        <v/>
      </c>
      <c r="AA788" s="1403">
        <f/>
        <v/>
      </c>
      <c r="AB788" s="1400">
        <f t="array" ref="AB788">_xlfn.LET(_xlpm.S,_xlfn.ANCHORARRAY($Y$4),_xlpm.r,ROWS(stayCity[[#Headers],[city]]:stayCity[[#This Row],[city]])-1,IF(_xlpm.r&lt;=ROWS(_xlpm.S),INDEX(_xlpm.S,_xlpm.r,1),""))</f>
        <v/>
      </c>
      <c r="AC788" s="1405">
        <f t="array" ref="AC788">_xlfn.LET(_xlpm.S,_xlfn.ANCHORARRAY($Y$4),_xlpm.r,ROWS(stayCity[[#Headers],[city]]:stayCity[[#This Row],[city]])-1,IF(_xlpm.r&lt;=ROWS(_xlpm.S),INDEX(_xlpm.S,_xlpm.r,2),""))</f>
        <v/>
      </c>
      <c r="AD788" s="1405">
        <f t="array" ref="AD788">_xlfn.LET(_xlpm.S,_xlfn.ANCHORARRAY($Y$4),_xlpm.r,ROWS(stayCity[[#Headers],[city]]:stayCity[[#This Row],[city]])-1,IF(_xlpm.r&lt;=ROWS(_xlpm.S),INDEX(_xlpm.S,_xlpm.r,3),""))</f>
        <v/>
      </c>
      <c r="AE788" s="1400">
        <f>IF(stayCity[[#This Row],[out]]&lt;&gt;"",stayCity[[#This Row],[out]]-stayCity[[#This Row],[in]],"-")</f>
        <v/>
      </c>
      <c r="AF788" s="1406">
        <f>IF(Y788="","-",YEAR(stayCity[[#This Row],[in]]))</f>
        <v/>
      </c>
      <c r="AG788" s="1392" t="n"/>
      <c r="AH788" s="1392" t="n"/>
      <c r="AI788" s="1392" t="n"/>
      <c r="AJ788" s="1392" t="n"/>
      <c r="AK788" s="1392" t="n"/>
      <c r="AL788" s="1392" t="n"/>
      <c r="AM788" s="1392" t="n"/>
      <c r="AN788" s="1392" t="n"/>
      <c r="AO788" s="1392" t="n"/>
      <c r="AP788" s="1392" t="n"/>
      <c r="AQ788" s="1392" t="n"/>
      <c r="AR788" s="1392" t="n"/>
      <c r="AS788" s="1422" t="n"/>
      <c r="AT788" s="1392" t="n"/>
      <c r="AU788" s="1392" t="n"/>
      <c r="AV788" s="1392" t="n"/>
      <c r="AW788" s="1392" t="n"/>
      <c r="AX788" s="1392" t="n"/>
      <c r="AY788" s="1392" t="n"/>
      <c r="AZ788" s="1392" t="n"/>
      <c r="BA788" s="1392" t="n"/>
      <c r="BB788" s="1422" t="n"/>
      <c r="BC788" s="1392" t="n"/>
      <c r="BD788" s="1392" t="n"/>
      <c r="BE788" s="1392" t="n"/>
      <c r="BF788" s="1392" t="n"/>
      <c r="BG788" s="1392" t="n"/>
      <c r="BH788" s="1392" t="n"/>
      <c r="BI788" s="1392" t="n"/>
      <c r="BJ788" s="1392" t="n"/>
      <c r="BK788" s="1392" t="n"/>
      <c r="BL788" s="1392" t="n"/>
      <c r="BM788" s="1392" t="n"/>
      <c r="BN788" s="1392" t="n"/>
      <c r="BO788" s="1392" t="n"/>
      <c r="BP788" s="1392" t="n"/>
      <c r="BQ788" s="1392" t="n"/>
      <c r="BR788" s="1392" t="n"/>
      <c r="BS788" s="1392" t="n"/>
      <c r="BT788" s="1392" t="n"/>
      <c r="BU788" s="1416" t="n"/>
      <c r="BV788" s="1392" t="n"/>
      <c r="BW788" s="1392" t="n"/>
      <c r="BX788" s="1392" t="n"/>
      <c r="BY788" s="1392" t="n"/>
      <c r="BZ788" s="1416" t="n"/>
      <c r="CA788" s="1392" t="n"/>
      <c r="CB788" s="1392" t="n"/>
      <c r="CC788" s="1392" t="n"/>
      <c r="CD788" s="1392" t="n"/>
      <c r="CE788" s="1392" t="n"/>
      <c r="CF788" s="1392" t="n"/>
      <c r="CG788" s="1392" t="n"/>
      <c r="CH788" s="1392" t="n"/>
      <c r="CI788" s="1392" t="n"/>
      <c r="CJ788" s="1392" t="n"/>
      <c r="CK788" s="1392" t="n"/>
      <c r="CL788" s="1392" t="n"/>
    </row>
    <row r="789">
      <c r="A789" s="5" t="inlineStr">
        <is>
          <t>.</t>
        </is>
      </c>
      <c r="B789" s="5" t="inlineStr">
        <is>
          <t>.</t>
        </is>
      </c>
      <c r="C789" s="1378">
        <f>IF(raw[[#This Row],[city]]="","-",IF(raw[[#This Row],[city]]="TODAY","-",C788+1))</f>
        <v/>
      </c>
      <c r="D789" s="1393" t="inlineStr">
        <is>
          <t>Geneve</t>
        </is>
      </c>
      <c r="E789" s="1394" t="n">
        <v>37997</v>
      </c>
      <c r="F789" s="1394" t="n">
        <v>37997</v>
      </c>
      <c r="G789" s="1393" t="n">
        <v>1</v>
      </c>
      <c r="H789" s="1393" t="inlineStr">
        <is>
          <t>Columbia</t>
        </is>
      </c>
      <c r="I789" s="1393" t="inlineStr">
        <is>
          <t>-</t>
        </is>
      </c>
      <c r="J789" s="1393" t="inlineStr">
        <is>
          <t>-</t>
        </is>
      </c>
      <c r="K789" s="1395">
        <f>IF(raw[[#This Row],[city]]&lt;&gt;"",_xlfn.XLOOKUP($D789,ccc[city],ccc[prov],"-"),"-")</f>
        <v/>
      </c>
      <c r="L789" s="1395">
        <f>IF(raw[[#This Row],[city]]&lt;&gt;"",_xlfn.XLOOKUP($D789,ccc[city],ccc[ctry],"-"),"-")</f>
        <v/>
      </c>
      <c r="M789" s="1395">
        <f>IF(raw[[#This Row],[city]]&lt;&gt;"",_xlfn.XLOOKUP($D789,ccc[city],ccc[cont],"-"),"-")</f>
        <v/>
      </c>
      <c r="N789" s="1396">
        <f>IF(raw[[#This Row],[city]]="","-",IF(raw[[#This Row],[cont]]="B",raw[[#This Row],[cont]],"W"))</f>
        <v/>
      </c>
      <c r="O789" s="1397">
        <f>IF(raw[[#This Row],[out]]=0,0,IF(raw[[#This Row],[out]]=raw[[#This Row],[in]],0.01,raw[[#This Row],[out]]-raw[[#This Row],[in]]))</f>
        <v/>
      </c>
      <c r="P789" s="1397">
        <f>IF(raw[[#This Row],[in]]=0,0,MONTH(raw[[#This Row],[in]]))</f>
        <v/>
      </c>
      <c r="Q789" s="1397">
        <f>IF(raw[[#This Row],[in]]=0,0,YEAR(raw[[#This Row],[in]]))</f>
        <v/>
      </c>
      <c r="R789" s="1397">
        <f>INT(raw[[#This Row],[yr]]/10)*10</f>
        <v/>
      </c>
      <c r="S789" s="1395">
        <f>IF(raw[[#This Row],[city]]="","-",IF(raw[[#This Row],[city]]&lt;&gt;_xlfn.XLOOKUP(raw[[#This Row],[home]],homes[home],homes[city],"-"),1,0))</f>
        <v/>
      </c>
      <c r="T789" s="1398" t="inlineStr">
        <is>
          <t>.</t>
        </is>
      </c>
      <c r="U789" s="1399">
        <f>IF(raw[[#This Row],[wb]]="w",raw[[#This Row],[stay]]+U788,U788)</f>
        <v/>
      </c>
      <c r="V789" s="1400">
        <f>IF(raw[[#This Row],[out]]=0,V788,(raw[[#This Row],[out]]-E$5))</f>
        <v/>
      </c>
      <c r="W789" s="1401">
        <f>U789/V789</f>
        <v/>
      </c>
      <c r="X789" s="1378" t="inlineStr">
        <is>
          <t>.</t>
        </is>
      </c>
      <c r="Y789" s="1402">
        <f/>
        <v/>
      </c>
      <c r="Z789" s="1403">
        <f/>
        <v/>
      </c>
      <c r="AA789" s="1403">
        <f/>
        <v/>
      </c>
      <c r="AB789" s="1400">
        <f t="array" ref="AB789">_xlfn.LET(_xlpm.S,_xlfn.ANCHORARRAY($Y$4),_xlpm.r,ROWS(stayCity[[#Headers],[city]]:stayCity[[#This Row],[city]])-1,IF(_xlpm.r&lt;=ROWS(_xlpm.S),INDEX(_xlpm.S,_xlpm.r,1),""))</f>
        <v/>
      </c>
      <c r="AC789" s="1405">
        <f t="array" ref="AC789">_xlfn.LET(_xlpm.S,_xlfn.ANCHORARRAY($Y$4),_xlpm.r,ROWS(stayCity[[#Headers],[city]]:stayCity[[#This Row],[city]])-1,IF(_xlpm.r&lt;=ROWS(_xlpm.S),INDEX(_xlpm.S,_xlpm.r,2),""))</f>
        <v/>
      </c>
      <c r="AD789" s="1405">
        <f t="array" ref="AD789">_xlfn.LET(_xlpm.S,_xlfn.ANCHORARRAY($Y$4),_xlpm.r,ROWS(stayCity[[#Headers],[city]]:stayCity[[#This Row],[city]])-1,IF(_xlpm.r&lt;=ROWS(_xlpm.S),INDEX(_xlpm.S,_xlpm.r,3),""))</f>
        <v/>
      </c>
      <c r="AE789" s="1400">
        <f>IF(stayCity[[#This Row],[out]]&lt;&gt;"",stayCity[[#This Row],[out]]-stayCity[[#This Row],[in]],"-")</f>
        <v/>
      </c>
      <c r="AF789" s="1406">
        <f>IF(Y789="","-",YEAR(stayCity[[#This Row],[in]]))</f>
        <v/>
      </c>
      <c r="AG789" s="1392" t="n"/>
      <c r="AH789" s="1392" t="n"/>
      <c r="AI789" s="1392" t="n"/>
      <c r="AJ789" s="1392" t="n"/>
      <c r="AK789" s="1392" t="n"/>
      <c r="AL789" s="1392" t="n"/>
      <c r="AM789" s="1392" t="n"/>
      <c r="AN789" s="1392" t="n"/>
      <c r="AO789" s="1392" t="n"/>
      <c r="AP789" s="1392" t="n"/>
      <c r="AQ789" s="1392" t="n"/>
      <c r="AR789" s="1392" t="n"/>
      <c r="AS789" s="1422" t="n"/>
      <c r="AT789" s="1392" t="n"/>
      <c r="AU789" s="1392" t="n"/>
      <c r="AV789" s="1392" t="n"/>
      <c r="AW789" s="1392" t="n"/>
      <c r="AX789" s="1392" t="n"/>
      <c r="AY789" s="1392" t="n"/>
      <c r="AZ789" s="1392" t="n"/>
      <c r="BA789" s="1392" t="n"/>
      <c r="BB789" s="1422" t="n"/>
      <c r="BC789" s="1392" t="n"/>
      <c r="BD789" s="1392" t="n"/>
      <c r="BE789" s="1392" t="n"/>
      <c r="BF789" s="1392" t="n"/>
      <c r="BG789" s="1392" t="n"/>
      <c r="BH789" s="1392" t="n"/>
      <c r="BI789" s="1392" t="n"/>
      <c r="BJ789" s="1392" t="n"/>
      <c r="BK789" s="1392" t="n"/>
      <c r="BL789" s="1392" t="n"/>
      <c r="BM789" s="1392" t="n"/>
      <c r="BN789" s="1392" t="n"/>
      <c r="BO789" s="1392" t="n"/>
      <c r="BP789" s="1392" t="n"/>
      <c r="BQ789" s="1392" t="n"/>
      <c r="BR789" s="1392" t="n"/>
      <c r="BS789" s="1392" t="n"/>
      <c r="BT789" s="1392" t="n"/>
      <c r="BU789" s="1416" t="n"/>
      <c r="BV789" s="1392" t="n"/>
      <c r="BW789" s="1392" t="n"/>
      <c r="BX789" s="1392" t="n"/>
      <c r="BY789" s="1392" t="n"/>
      <c r="BZ789" s="1416" t="n"/>
      <c r="CA789" s="1392" t="n"/>
      <c r="CB789" s="1392" t="n"/>
      <c r="CC789" s="1392" t="n"/>
      <c r="CD789" s="1392" t="n"/>
      <c r="CE789" s="1392" t="n"/>
      <c r="CF789" s="1392" t="n"/>
      <c r="CG789" s="1392" t="n"/>
      <c r="CH789" s="1392" t="n"/>
      <c r="CI789" s="1392" t="n"/>
      <c r="CJ789" s="1392" t="n"/>
      <c r="CK789" s="1392" t="n"/>
      <c r="CL789" s="1392" t="n"/>
    </row>
    <row r="790">
      <c r="A790" s="5" t="inlineStr">
        <is>
          <t>.</t>
        </is>
      </c>
      <c r="B790" s="5" t="inlineStr">
        <is>
          <t>.</t>
        </is>
      </c>
      <c r="C790" s="1378">
        <f>IF(raw[[#This Row],[city]]="","-",IF(raw[[#This Row],[city]]="TODAY","-",C789+1))</f>
        <v/>
      </c>
      <c r="D790" s="1393" t="inlineStr">
        <is>
          <t>London</t>
        </is>
      </c>
      <c r="E790" s="1394" t="n">
        <v>37997</v>
      </c>
      <c r="F790" s="1394" t="n">
        <v>37998</v>
      </c>
      <c r="G790" s="1393" t="n">
        <v>1</v>
      </c>
      <c r="H790" s="1393" t="inlineStr">
        <is>
          <t>Columbia</t>
        </is>
      </c>
      <c r="I790" s="1393" t="inlineStr">
        <is>
          <t>David's</t>
        </is>
      </c>
      <c r="J790" s="1393" t="inlineStr">
        <is>
          <t>-</t>
        </is>
      </c>
      <c r="K790" s="1395">
        <f>IF(raw[[#This Row],[city]]&lt;&gt;"",_xlfn.XLOOKUP($D790,ccc[city],ccc[prov],"-"),"-")</f>
        <v/>
      </c>
      <c r="L790" s="1395">
        <f>IF(raw[[#This Row],[city]]&lt;&gt;"",_xlfn.XLOOKUP($D790,ccc[city],ccc[ctry],"-"),"-")</f>
        <v/>
      </c>
      <c r="M790" s="1395">
        <f>IF(raw[[#This Row],[city]]&lt;&gt;"",_xlfn.XLOOKUP($D790,ccc[city],ccc[cont],"-"),"-")</f>
        <v/>
      </c>
      <c r="N790" s="1396">
        <f>IF(raw[[#This Row],[city]]="","-",IF(raw[[#This Row],[cont]]="B",raw[[#This Row],[cont]],"W"))</f>
        <v/>
      </c>
      <c r="O790" s="1397">
        <f>IF(raw[[#This Row],[out]]=0,0,IF(raw[[#This Row],[out]]=raw[[#This Row],[in]],0.01,raw[[#This Row],[out]]-raw[[#This Row],[in]]))</f>
        <v/>
      </c>
      <c r="P790" s="1397">
        <f>IF(raw[[#This Row],[in]]=0,0,MONTH(raw[[#This Row],[in]]))</f>
        <v/>
      </c>
      <c r="Q790" s="1397">
        <f>IF(raw[[#This Row],[in]]=0,0,YEAR(raw[[#This Row],[in]]))</f>
        <v/>
      </c>
      <c r="R790" s="1397">
        <f>INT(raw[[#This Row],[yr]]/10)*10</f>
        <v/>
      </c>
      <c r="S790" s="1395">
        <f>IF(raw[[#This Row],[city]]="","-",IF(raw[[#This Row],[city]]&lt;&gt;_xlfn.XLOOKUP(raw[[#This Row],[home]],homes[home],homes[city],"-"),1,0))</f>
        <v/>
      </c>
      <c r="T790" s="1398" t="inlineStr">
        <is>
          <t>.</t>
        </is>
      </c>
      <c r="U790" s="1399">
        <f>IF(raw[[#This Row],[wb]]="w",raw[[#This Row],[stay]]+U789,U789)</f>
        <v/>
      </c>
      <c r="V790" s="1400">
        <f>IF(raw[[#This Row],[out]]=0,V789,(raw[[#This Row],[out]]-E$5))</f>
        <v/>
      </c>
      <c r="W790" s="1401">
        <f>U790/V790</f>
        <v/>
      </c>
      <c r="X790" s="1378" t="inlineStr">
        <is>
          <t>.</t>
        </is>
      </c>
      <c r="Y790" s="1402">
        <f/>
        <v/>
      </c>
      <c r="Z790" s="1403">
        <f/>
        <v/>
      </c>
      <c r="AA790" s="1403">
        <f/>
        <v/>
      </c>
      <c r="AB790" s="1400">
        <f t="array" ref="AB790">_xlfn.LET(_xlpm.S,_xlfn.ANCHORARRAY($Y$4),_xlpm.r,ROWS(stayCity[[#Headers],[city]]:stayCity[[#This Row],[city]])-1,IF(_xlpm.r&lt;=ROWS(_xlpm.S),INDEX(_xlpm.S,_xlpm.r,1),""))</f>
        <v/>
      </c>
      <c r="AC790" s="1405">
        <f t="array" ref="AC790">_xlfn.LET(_xlpm.S,_xlfn.ANCHORARRAY($Y$4),_xlpm.r,ROWS(stayCity[[#Headers],[city]]:stayCity[[#This Row],[city]])-1,IF(_xlpm.r&lt;=ROWS(_xlpm.S),INDEX(_xlpm.S,_xlpm.r,2),""))</f>
        <v/>
      </c>
      <c r="AD790" s="1405">
        <f t="array" ref="AD790">_xlfn.LET(_xlpm.S,_xlfn.ANCHORARRAY($Y$4),_xlpm.r,ROWS(stayCity[[#Headers],[city]]:stayCity[[#This Row],[city]])-1,IF(_xlpm.r&lt;=ROWS(_xlpm.S),INDEX(_xlpm.S,_xlpm.r,3),""))</f>
        <v/>
      </c>
      <c r="AE790" s="1400">
        <f>IF(stayCity[[#This Row],[out]]&lt;&gt;"",stayCity[[#This Row],[out]]-stayCity[[#This Row],[in]],"-")</f>
        <v/>
      </c>
      <c r="AF790" s="1406">
        <f>IF(Y790="","-",YEAR(stayCity[[#This Row],[in]]))</f>
        <v/>
      </c>
      <c r="AG790" s="1392" t="n"/>
      <c r="AH790" s="1392" t="n"/>
      <c r="AI790" s="1392" t="n"/>
      <c r="AJ790" s="1392" t="n"/>
      <c r="AK790" s="1392" t="n"/>
      <c r="AL790" s="1392" t="n"/>
      <c r="AM790" s="1392" t="n"/>
      <c r="AN790" s="1392" t="n"/>
      <c r="AO790" s="1392" t="n"/>
      <c r="AP790" s="1392" t="n"/>
      <c r="AQ790" s="1392" t="n"/>
      <c r="AR790" s="1392" t="n"/>
      <c r="AS790" s="1422" t="n"/>
      <c r="AT790" s="1392" t="n"/>
      <c r="AU790" s="1392" t="n"/>
      <c r="AV790" s="1392" t="n"/>
      <c r="AW790" s="1392" t="n"/>
      <c r="AX790" s="1392" t="n"/>
      <c r="AY790" s="1392" t="n"/>
      <c r="AZ790" s="1392" t="n"/>
      <c r="BA790" s="1392" t="n"/>
      <c r="BB790" s="1422" t="n"/>
      <c r="BC790" s="1392" t="n"/>
      <c r="BD790" s="1392" t="n"/>
      <c r="BE790" s="1392" t="n"/>
      <c r="BF790" s="1392" t="n"/>
      <c r="BG790" s="1392" t="n"/>
      <c r="BH790" s="1392" t="n"/>
      <c r="BI790" s="1392" t="n"/>
      <c r="BJ790" s="1392" t="n"/>
      <c r="BK790" s="1392" t="n"/>
      <c r="BL790" s="1392" t="n"/>
      <c r="BM790" s="1392" t="n"/>
      <c r="BN790" s="1392" t="n"/>
      <c r="BO790" s="1392" t="n"/>
      <c r="BP790" s="1392" t="n"/>
      <c r="BQ790" s="1392" t="n"/>
      <c r="BR790" s="1392" t="n"/>
      <c r="BS790" s="1392" t="n"/>
      <c r="BT790" s="1392" t="n"/>
      <c r="BU790" s="1416" t="n"/>
      <c r="BV790" s="1392" t="n"/>
      <c r="BW790" s="1392" t="n"/>
      <c r="BX790" s="1392" t="n"/>
      <c r="BY790" s="1392" t="n"/>
      <c r="BZ790" s="1416" t="n"/>
      <c r="CA790" s="1392" t="n"/>
      <c r="CB790" s="1392" t="n"/>
      <c r="CC790" s="1392" t="n"/>
      <c r="CD790" s="1392" t="n"/>
      <c r="CE790" s="1392" t="n"/>
      <c r="CF790" s="1392" t="n"/>
      <c r="CG790" s="1392" t="n"/>
      <c r="CH790" s="1392" t="n"/>
      <c r="CI790" s="1392" t="n"/>
      <c r="CJ790" s="1392" t="n"/>
      <c r="CK790" s="1392" t="n"/>
      <c r="CL790" s="1392" t="n"/>
    </row>
    <row r="791">
      <c r="A791" s="5" t="inlineStr">
        <is>
          <t>.</t>
        </is>
      </c>
      <c r="B791" s="5" t="inlineStr">
        <is>
          <t>.</t>
        </is>
      </c>
      <c r="C791" s="1378">
        <f>IF(raw[[#This Row],[city]]="","-",IF(raw[[#This Row],[city]]="TODAY","-",C790+1))</f>
        <v/>
      </c>
      <c r="D791" s="1393" t="inlineStr">
        <is>
          <t>Washington</t>
        </is>
      </c>
      <c r="E791" s="1394" t="n">
        <v>37998</v>
      </c>
      <c r="F791" s="1394" t="n">
        <v>37998</v>
      </c>
      <c r="G791" s="1393" t="n">
        <v>0.01</v>
      </c>
      <c r="H791" s="1393" t="inlineStr">
        <is>
          <t>Columbia</t>
        </is>
      </c>
      <c r="I791" s="1393" t="inlineStr">
        <is>
          <t>-</t>
        </is>
      </c>
      <c r="J791" s="1393" t="inlineStr">
        <is>
          <t>-</t>
        </is>
      </c>
      <c r="K791" s="1395">
        <f>IF(raw[[#This Row],[city]]&lt;&gt;"",_xlfn.XLOOKUP($D791,ccc[city],ccc[prov],"-"),"-")</f>
        <v/>
      </c>
      <c r="L791" s="1395">
        <f>IF(raw[[#This Row],[city]]&lt;&gt;"",_xlfn.XLOOKUP($D791,ccc[city],ccc[ctry],"-"),"-")</f>
        <v/>
      </c>
      <c r="M791" s="1395">
        <f>IF(raw[[#This Row],[city]]&lt;&gt;"",_xlfn.XLOOKUP($D791,ccc[city],ccc[cont],"-"),"-")</f>
        <v/>
      </c>
      <c r="N791" s="1396">
        <f>IF(raw[[#This Row],[city]]="","-",IF(raw[[#This Row],[cont]]="B",raw[[#This Row],[cont]],"W"))</f>
        <v/>
      </c>
      <c r="O791" s="1397">
        <f>IF(raw[[#This Row],[out]]=0,0,IF(raw[[#This Row],[out]]=raw[[#This Row],[in]],0.01,raw[[#This Row],[out]]-raw[[#This Row],[in]]))</f>
        <v/>
      </c>
      <c r="P791" s="1397">
        <f>IF(raw[[#This Row],[in]]=0,0,MONTH(raw[[#This Row],[in]]))</f>
        <v/>
      </c>
      <c r="Q791" s="1397">
        <f>IF(raw[[#This Row],[in]]=0,0,YEAR(raw[[#This Row],[in]]))</f>
        <v/>
      </c>
      <c r="R791" s="1397">
        <f>INT(raw[[#This Row],[yr]]/10)*10</f>
        <v/>
      </c>
      <c r="S791" s="1395">
        <f>IF(raw[[#This Row],[city]]="","-",IF(raw[[#This Row],[city]]&lt;&gt;_xlfn.XLOOKUP(raw[[#This Row],[home]],homes[home],homes[city],"-"),1,0))</f>
        <v/>
      </c>
      <c r="T791" s="1398" t="inlineStr">
        <is>
          <t>.</t>
        </is>
      </c>
      <c r="U791" s="1399">
        <f>IF(raw[[#This Row],[wb]]="w",raw[[#This Row],[stay]]+U790,U790)</f>
        <v/>
      </c>
      <c r="V791" s="1400">
        <f>IF(raw[[#This Row],[out]]=0,V790,(raw[[#This Row],[out]]-E$5))</f>
        <v/>
      </c>
      <c r="W791" s="1401">
        <f>U791/V791</f>
        <v/>
      </c>
      <c r="X791" s="1378" t="inlineStr">
        <is>
          <t>.</t>
        </is>
      </c>
      <c r="Y791" s="1402">
        <f/>
        <v/>
      </c>
      <c r="Z791" s="1403">
        <f/>
        <v/>
      </c>
      <c r="AA791" s="1403">
        <f/>
        <v/>
      </c>
      <c r="AB791" s="1400">
        <f t="array" ref="AB791">_xlfn.LET(_xlpm.S,_xlfn.ANCHORARRAY($Y$4),_xlpm.r,ROWS(stayCity[[#Headers],[city]]:stayCity[[#This Row],[city]])-1,IF(_xlpm.r&lt;=ROWS(_xlpm.S),INDEX(_xlpm.S,_xlpm.r,1),""))</f>
        <v/>
      </c>
      <c r="AC791" s="1405">
        <f t="array" ref="AC791">_xlfn.LET(_xlpm.S,_xlfn.ANCHORARRAY($Y$4),_xlpm.r,ROWS(stayCity[[#Headers],[city]]:stayCity[[#This Row],[city]])-1,IF(_xlpm.r&lt;=ROWS(_xlpm.S),INDEX(_xlpm.S,_xlpm.r,2),""))</f>
        <v/>
      </c>
      <c r="AD791" s="1405">
        <f t="array" ref="AD791">_xlfn.LET(_xlpm.S,_xlfn.ANCHORARRAY($Y$4),_xlpm.r,ROWS(stayCity[[#Headers],[city]]:stayCity[[#This Row],[city]])-1,IF(_xlpm.r&lt;=ROWS(_xlpm.S),INDEX(_xlpm.S,_xlpm.r,3),""))</f>
        <v/>
      </c>
      <c r="AE791" s="1400">
        <f>IF(stayCity[[#This Row],[out]]&lt;&gt;"",stayCity[[#This Row],[out]]-stayCity[[#This Row],[in]],"-")</f>
        <v/>
      </c>
      <c r="AF791" s="1406">
        <f>IF(Y791="","-",YEAR(stayCity[[#This Row],[in]]))</f>
        <v/>
      </c>
      <c r="AG791" s="1392" t="n"/>
      <c r="AH791" s="1392" t="n"/>
      <c r="AI791" s="1392" t="n"/>
      <c r="AJ791" s="1392" t="n"/>
      <c r="AK791" s="1392" t="n"/>
      <c r="AL791" s="1392" t="n"/>
      <c r="AM791" s="1392" t="n"/>
      <c r="AN791" s="1392" t="n"/>
      <c r="AO791" s="1392" t="n"/>
      <c r="AP791" s="1392" t="n"/>
      <c r="AQ791" s="1392" t="n"/>
      <c r="AR791" s="1392" t="n"/>
      <c r="AS791" s="1422" t="n"/>
      <c r="AT791" s="1392" t="n"/>
      <c r="AU791" s="1392" t="n"/>
      <c r="AV791" s="1392" t="n"/>
      <c r="AW791" s="1392" t="n"/>
      <c r="AX791" s="1392" t="n"/>
      <c r="AY791" s="1392" t="n"/>
      <c r="AZ791" s="1392" t="n"/>
      <c r="BA791" s="1392" t="n"/>
      <c r="BB791" s="1422" t="n"/>
      <c r="BC791" s="1392" t="n"/>
      <c r="BD791" s="1392" t="n"/>
      <c r="BE791" s="1392" t="n"/>
      <c r="BF791" s="1392" t="n"/>
      <c r="BG791" s="1392" t="n"/>
      <c r="BH791" s="1392" t="n"/>
      <c r="BI791" s="1392" t="n"/>
      <c r="BJ791" s="1392" t="n"/>
      <c r="BK791" s="1392" t="n"/>
      <c r="BL791" s="1392" t="n"/>
      <c r="BM791" s="1392" t="n"/>
      <c r="BN791" s="1392" t="n"/>
      <c r="BO791" s="1392" t="n"/>
      <c r="BP791" s="1392" t="n"/>
      <c r="BQ791" s="1392" t="n"/>
      <c r="BR791" s="1392" t="n"/>
      <c r="BS791" s="1392" t="n"/>
      <c r="BT791" s="1392" t="n"/>
      <c r="BU791" s="1416" t="n"/>
      <c r="BV791" s="1392" t="n"/>
      <c r="BW791" s="1392" t="n"/>
      <c r="BX791" s="1392" t="n"/>
      <c r="BY791" s="1392" t="n"/>
      <c r="BZ791" s="1416" t="n"/>
      <c r="CA791" s="1392" t="n"/>
      <c r="CB791" s="1392" t="n"/>
      <c r="CC791" s="1392" t="n"/>
      <c r="CD791" s="1392" t="n"/>
      <c r="CE791" s="1392" t="n"/>
      <c r="CF791" s="1392" t="n"/>
      <c r="CG791" s="1392" t="n"/>
      <c r="CH791" s="1392" t="n"/>
      <c r="CI791" s="1392" t="n"/>
      <c r="CJ791" s="1392" t="n"/>
      <c r="CK791" s="1392" t="n"/>
      <c r="CL791" s="1392" t="n"/>
    </row>
    <row r="792">
      <c r="A792" s="5" t="inlineStr">
        <is>
          <t>.</t>
        </is>
      </c>
      <c r="B792" s="5" t="inlineStr">
        <is>
          <t>.</t>
        </is>
      </c>
      <c r="C792" s="1378">
        <f>IF(raw[[#This Row],[city]]="","-",IF(raw[[#This Row],[city]]="TODAY","-",C791+1))</f>
        <v/>
      </c>
      <c r="D792" s="1393" t="inlineStr">
        <is>
          <t>Columbia</t>
        </is>
      </c>
      <c r="E792" s="1394" t="n">
        <v>37998</v>
      </c>
      <c r="F792" s="1394" t="n">
        <v>38015</v>
      </c>
      <c r="G792" s="1393" t="n">
        <v>1</v>
      </c>
      <c r="H792" s="1393" t="inlineStr">
        <is>
          <t>Columbia</t>
        </is>
      </c>
      <c r="I792" s="1393" t="inlineStr">
        <is>
          <t>-</t>
        </is>
      </c>
      <c r="J792" s="1393" t="inlineStr">
        <is>
          <t>-</t>
        </is>
      </c>
      <c r="K792" s="1395">
        <f>IF(raw[[#This Row],[city]]&lt;&gt;"",_xlfn.XLOOKUP($D792,ccc[city],ccc[prov],"-"),"-")</f>
        <v/>
      </c>
      <c r="L792" s="1395">
        <f>IF(raw[[#This Row],[city]]&lt;&gt;"",_xlfn.XLOOKUP($D792,ccc[city],ccc[ctry],"-"),"-")</f>
        <v/>
      </c>
      <c r="M792" s="1395">
        <f>IF(raw[[#This Row],[city]]&lt;&gt;"",_xlfn.XLOOKUP($D792,ccc[city],ccc[cont],"-"),"-")</f>
        <v/>
      </c>
      <c r="N792" s="1396">
        <f>IF(raw[[#This Row],[city]]="","-",IF(raw[[#This Row],[cont]]="B",raw[[#This Row],[cont]],"W"))</f>
        <v/>
      </c>
      <c r="O792" s="1397">
        <f>IF(raw[[#This Row],[out]]=0,0,IF(raw[[#This Row],[out]]=raw[[#This Row],[in]],0.01,raw[[#This Row],[out]]-raw[[#This Row],[in]]))</f>
        <v/>
      </c>
      <c r="P792" s="1397">
        <f>IF(raw[[#This Row],[in]]=0,0,MONTH(raw[[#This Row],[in]]))</f>
        <v/>
      </c>
      <c r="Q792" s="1397">
        <f>IF(raw[[#This Row],[in]]=0,0,YEAR(raw[[#This Row],[in]]))</f>
        <v/>
      </c>
      <c r="R792" s="1397">
        <f>INT(raw[[#This Row],[yr]]/10)*10</f>
        <v/>
      </c>
      <c r="S792" s="1395">
        <f>IF(raw[[#This Row],[city]]="","-",IF(raw[[#This Row],[city]]&lt;&gt;_xlfn.XLOOKUP(raw[[#This Row],[home]],homes[home],homes[city],"-"),1,0))</f>
        <v/>
      </c>
      <c r="T792" s="1398" t="inlineStr">
        <is>
          <t>.</t>
        </is>
      </c>
      <c r="U792" s="1399">
        <f>IF(raw[[#This Row],[wb]]="w",raw[[#This Row],[stay]]+U791,U791)</f>
        <v/>
      </c>
      <c r="V792" s="1400">
        <f>IF(raw[[#This Row],[out]]=0,V791,(raw[[#This Row],[out]]-E$5))</f>
        <v/>
      </c>
      <c r="W792" s="1401">
        <f>U792/V792</f>
        <v/>
      </c>
      <c r="X792" s="1378" t="inlineStr">
        <is>
          <t>.</t>
        </is>
      </c>
      <c r="Y792" s="1402">
        <f/>
        <v/>
      </c>
      <c r="Z792" s="1403">
        <f/>
        <v/>
      </c>
      <c r="AA792" s="1403">
        <f/>
        <v/>
      </c>
      <c r="AB792" s="1400">
        <f t="array" ref="AB792">_xlfn.LET(_xlpm.S,_xlfn.ANCHORARRAY($Y$4),_xlpm.r,ROWS(stayCity[[#Headers],[city]]:stayCity[[#This Row],[city]])-1,IF(_xlpm.r&lt;=ROWS(_xlpm.S),INDEX(_xlpm.S,_xlpm.r,1),""))</f>
        <v/>
      </c>
      <c r="AC792" s="1405">
        <f t="array" ref="AC792">_xlfn.LET(_xlpm.S,_xlfn.ANCHORARRAY($Y$4),_xlpm.r,ROWS(stayCity[[#Headers],[city]]:stayCity[[#This Row],[city]])-1,IF(_xlpm.r&lt;=ROWS(_xlpm.S),INDEX(_xlpm.S,_xlpm.r,2),""))</f>
        <v/>
      </c>
      <c r="AD792" s="1405">
        <f t="array" ref="AD792">_xlfn.LET(_xlpm.S,_xlfn.ANCHORARRAY($Y$4),_xlpm.r,ROWS(stayCity[[#Headers],[city]]:stayCity[[#This Row],[city]])-1,IF(_xlpm.r&lt;=ROWS(_xlpm.S),INDEX(_xlpm.S,_xlpm.r,3),""))</f>
        <v/>
      </c>
      <c r="AE792" s="1400">
        <f>IF(stayCity[[#This Row],[out]]&lt;&gt;"",stayCity[[#This Row],[out]]-stayCity[[#This Row],[in]],"-")</f>
        <v/>
      </c>
      <c r="AF792" s="1406">
        <f>IF(Y792="","-",YEAR(stayCity[[#This Row],[in]]))</f>
        <v/>
      </c>
      <c r="AG792" s="1392" t="n"/>
      <c r="AH792" s="1392" t="n"/>
      <c r="AI792" s="1392" t="n"/>
      <c r="AJ792" s="1392" t="n"/>
      <c r="AK792" s="1392" t="n"/>
      <c r="AL792" s="1392" t="n"/>
      <c r="AM792" s="1392" t="n"/>
      <c r="AN792" s="1392" t="n"/>
      <c r="AO792" s="1392" t="n"/>
      <c r="AP792" s="1392" t="n"/>
      <c r="AQ792" s="1392" t="n"/>
      <c r="AR792" s="1392" t="n"/>
      <c r="AS792" s="1422" t="n"/>
      <c r="AT792" s="1392" t="n"/>
      <c r="AU792" s="1392" t="n"/>
      <c r="AV792" s="1392" t="n"/>
      <c r="AW792" s="1392" t="n"/>
      <c r="AX792" s="1392" t="n"/>
      <c r="AY792" s="1392" t="n"/>
      <c r="AZ792" s="1392" t="n"/>
      <c r="BA792" s="1392" t="n"/>
      <c r="BB792" s="1422" t="n"/>
      <c r="BC792" s="1392" t="n"/>
      <c r="BD792" s="1392" t="n"/>
      <c r="BE792" s="1392" t="n"/>
      <c r="BF792" s="1392" t="n"/>
      <c r="BG792" s="1392" t="n"/>
      <c r="BH792" s="1392" t="n"/>
      <c r="BI792" s="1392" t="n"/>
      <c r="BJ792" s="1392" t="n"/>
      <c r="BK792" s="1392" t="n"/>
      <c r="BL792" s="1392" t="n"/>
      <c r="BM792" s="1392" t="n"/>
      <c r="BN792" s="1392" t="n"/>
      <c r="BO792" s="1392" t="n"/>
      <c r="BP792" s="1392" t="n"/>
      <c r="BQ792" s="1392" t="n"/>
      <c r="BR792" s="1392" t="n"/>
      <c r="BS792" s="1392" t="n"/>
      <c r="BT792" s="1392" t="n"/>
      <c r="BU792" s="1416" t="n"/>
      <c r="BV792" s="1392" t="n"/>
      <c r="BW792" s="1392" t="n"/>
      <c r="BX792" s="1392" t="n"/>
      <c r="BY792" s="1392" t="n"/>
      <c r="BZ792" s="1416" t="n"/>
      <c r="CA792" s="1392" t="n"/>
      <c r="CB792" s="1392" t="n"/>
      <c r="CC792" s="1392" t="n"/>
      <c r="CD792" s="1392" t="n"/>
      <c r="CE792" s="1392" t="n"/>
      <c r="CF792" s="1392" t="n"/>
      <c r="CG792" s="1392" t="n"/>
      <c r="CH792" s="1392" t="n"/>
      <c r="CI792" s="1392" t="n"/>
      <c r="CJ792" s="1392" t="n"/>
      <c r="CK792" s="1392" t="n"/>
      <c r="CL792" s="1392" t="n"/>
    </row>
    <row r="793">
      <c r="A793" s="5" t="inlineStr">
        <is>
          <t>.</t>
        </is>
      </c>
      <c r="B793" s="5" t="inlineStr">
        <is>
          <t>.</t>
        </is>
      </c>
      <c r="C793" s="1378">
        <f>IF(raw[[#This Row],[city]]="","-",IF(raw[[#This Row],[city]]="TODAY","-",C792+1))</f>
        <v/>
      </c>
      <c r="D793" s="1393" t="inlineStr">
        <is>
          <t>Washington</t>
        </is>
      </c>
      <c r="E793" s="1394" t="n">
        <v>38015</v>
      </c>
      <c r="F793" s="1394" t="n">
        <v>38015</v>
      </c>
      <c r="G793" s="1393" t="n">
        <v>0.01</v>
      </c>
      <c r="H793" s="1393" t="inlineStr">
        <is>
          <t>Columbia</t>
        </is>
      </c>
      <c r="I793" s="1393" t="inlineStr">
        <is>
          <t>-</t>
        </is>
      </c>
      <c r="J793" s="1393" t="inlineStr">
        <is>
          <t>-</t>
        </is>
      </c>
      <c r="K793" s="1395">
        <f>IF(raw[[#This Row],[city]]&lt;&gt;"",_xlfn.XLOOKUP($D793,ccc[city],ccc[prov],"-"),"-")</f>
        <v/>
      </c>
      <c r="L793" s="1395">
        <f>IF(raw[[#This Row],[city]]&lt;&gt;"",_xlfn.XLOOKUP($D793,ccc[city],ccc[ctry],"-"),"-")</f>
        <v/>
      </c>
      <c r="M793" s="1395">
        <f>IF(raw[[#This Row],[city]]&lt;&gt;"",_xlfn.XLOOKUP($D793,ccc[city],ccc[cont],"-"),"-")</f>
        <v/>
      </c>
      <c r="N793" s="1396">
        <f>IF(raw[[#This Row],[city]]="","-",IF(raw[[#This Row],[cont]]="B",raw[[#This Row],[cont]],"W"))</f>
        <v/>
      </c>
      <c r="O793" s="1397">
        <f>IF(raw[[#This Row],[out]]=0,0,IF(raw[[#This Row],[out]]=raw[[#This Row],[in]],0.01,raw[[#This Row],[out]]-raw[[#This Row],[in]]))</f>
        <v/>
      </c>
      <c r="P793" s="1397">
        <f>IF(raw[[#This Row],[in]]=0,0,MONTH(raw[[#This Row],[in]]))</f>
        <v/>
      </c>
      <c r="Q793" s="1397">
        <f>IF(raw[[#This Row],[in]]=0,0,YEAR(raw[[#This Row],[in]]))</f>
        <v/>
      </c>
      <c r="R793" s="1397">
        <f>INT(raw[[#This Row],[yr]]/10)*10</f>
        <v/>
      </c>
      <c r="S793" s="1395">
        <f>IF(raw[[#This Row],[city]]="","-",IF(raw[[#This Row],[city]]&lt;&gt;_xlfn.XLOOKUP(raw[[#This Row],[home]],homes[home],homes[city],"-"),1,0))</f>
        <v/>
      </c>
      <c r="T793" s="1398" t="inlineStr">
        <is>
          <t>.</t>
        </is>
      </c>
      <c r="U793" s="1399">
        <f>IF(raw[[#This Row],[wb]]="w",raw[[#This Row],[stay]]+U792,U792)</f>
        <v/>
      </c>
      <c r="V793" s="1400">
        <f>IF(raw[[#This Row],[out]]=0,V792,(raw[[#This Row],[out]]-E$5))</f>
        <v/>
      </c>
      <c r="W793" s="1401">
        <f>U793/V793</f>
        <v/>
      </c>
      <c r="X793" s="1378" t="inlineStr">
        <is>
          <t>.</t>
        </is>
      </c>
      <c r="Y793" s="1402">
        <f/>
        <v/>
      </c>
      <c r="Z793" s="1403">
        <f/>
        <v/>
      </c>
      <c r="AA793" s="1403">
        <f/>
        <v/>
      </c>
      <c r="AB793" s="1400">
        <f t="array" ref="AB793">_xlfn.LET(_xlpm.S,_xlfn.ANCHORARRAY($Y$4),_xlpm.r,ROWS(stayCity[[#Headers],[city]]:stayCity[[#This Row],[city]])-1,IF(_xlpm.r&lt;=ROWS(_xlpm.S),INDEX(_xlpm.S,_xlpm.r,1),""))</f>
        <v/>
      </c>
      <c r="AC793" s="1405">
        <f t="array" ref="AC793">_xlfn.LET(_xlpm.S,_xlfn.ANCHORARRAY($Y$4),_xlpm.r,ROWS(stayCity[[#Headers],[city]]:stayCity[[#This Row],[city]])-1,IF(_xlpm.r&lt;=ROWS(_xlpm.S),INDEX(_xlpm.S,_xlpm.r,2),""))</f>
        <v/>
      </c>
      <c r="AD793" s="1405">
        <f t="array" ref="AD793">_xlfn.LET(_xlpm.S,_xlfn.ANCHORARRAY($Y$4),_xlpm.r,ROWS(stayCity[[#Headers],[city]]:stayCity[[#This Row],[city]])-1,IF(_xlpm.r&lt;=ROWS(_xlpm.S),INDEX(_xlpm.S,_xlpm.r,3),""))</f>
        <v/>
      </c>
      <c r="AE793" s="1400">
        <f>IF(stayCity[[#This Row],[out]]&lt;&gt;"",stayCity[[#This Row],[out]]-stayCity[[#This Row],[in]],"-")</f>
        <v/>
      </c>
      <c r="AF793" s="1406">
        <f>IF(Y793="","-",YEAR(stayCity[[#This Row],[in]]))</f>
        <v/>
      </c>
      <c r="AG793" s="1392" t="n"/>
      <c r="AH793" s="1392" t="n"/>
      <c r="AI793" s="1392" t="n"/>
      <c r="AJ793" s="1392" t="n"/>
      <c r="AK793" s="1392" t="n"/>
      <c r="AL793" s="1392" t="n"/>
      <c r="AM793" s="1392" t="n"/>
      <c r="AN793" s="1392" t="n"/>
      <c r="AO793" s="1392" t="n"/>
      <c r="AP793" s="1392" t="n"/>
      <c r="AQ793" s="1392" t="n"/>
      <c r="AR793" s="1392" t="n"/>
      <c r="AS793" s="1422" t="n"/>
      <c r="AT793" s="1392" t="n"/>
      <c r="AU793" s="1392" t="n"/>
      <c r="AV793" s="1392" t="n"/>
      <c r="AW793" s="1392" t="n"/>
      <c r="AX793" s="1392" t="n"/>
      <c r="AY793" s="1392" t="n"/>
      <c r="AZ793" s="1392" t="n"/>
      <c r="BA793" s="1392" t="n"/>
      <c r="BB793" s="1422" t="n"/>
      <c r="BC793" s="1392" t="n"/>
      <c r="BD793" s="1392" t="n"/>
      <c r="BE793" s="1392" t="n"/>
      <c r="BF793" s="1392" t="n"/>
      <c r="BG793" s="1392" t="n"/>
      <c r="BH793" s="1392" t="n"/>
      <c r="BI793" s="1392" t="n"/>
      <c r="BJ793" s="1392" t="n"/>
      <c r="BK793" s="1392" t="n"/>
      <c r="BL793" s="1392" t="n"/>
      <c r="BM793" s="1392" t="n"/>
      <c r="BN793" s="1392" t="n"/>
      <c r="BO793" s="1392" t="n"/>
      <c r="BP793" s="1392" t="n"/>
      <c r="BQ793" s="1392" t="n"/>
      <c r="BR793" s="1392" t="n"/>
      <c r="BS793" s="1392" t="n"/>
      <c r="BT793" s="1392" t="n"/>
      <c r="BU793" s="1416" t="n"/>
      <c r="BV793" s="1392" t="n"/>
      <c r="BW793" s="1392" t="n"/>
      <c r="BX793" s="1392" t="n"/>
      <c r="BY793" s="1392" t="n"/>
      <c r="BZ793" s="1416" t="n"/>
      <c r="CA793" s="1392" t="n"/>
      <c r="CB793" s="1392" t="n"/>
      <c r="CC793" s="1392" t="n"/>
      <c r="CD793" s="1392" t="n"/>
      <c r="CE793" s="1392" t="n"/>
      <c r="CF793" s="1392" t="n"/>
      <c r="CG793" s="1392" t="n"/>
      <c r="CH793" s="1392" t="n"/>
      <c r="CI793" s="1392" t="n"/>
      <c r="CJ793" s="1392" t="n"/>
      <c r="CK793" s="1392" t="n"/>
      <c r="CL793" s="1392" t="n"/>
    </row>
    <row r="794">
      <c r="A794" s="5" t="inlineStr">
        <is>
          <t>.</t>
        </is>
      </c>
      <c r="B794" s="5" t="inlineStr">
        <is>
          <t>.</t>
        </is>
      </c>
      <c r="C794" s="1378">
        <f>IF(raw[[#This Row],[city]]="","-",IF(raw[[#This Row],[city]]="TODAY","-",C793+1))</f>
        <v/>
      </c>
      <c r="D794" s="1393" t="inlineStr">
        <is>
          <t>NYC</t>
        </is>
      </c>
      <c r="E794" s="1394" t="n">
        <v>38015</v>
      </c>
      <c r="F794" s="1394" t="n">
        <v>38018</v>
      </c>
      <c r="G794" s="1393" t="n">
        <v>1</v>
      </c>
      <c r="H794" s="1393" t="inlineStr">
        <is>
          <t>Transit</t>
        </is>
      </c>
      <c r="I794" s="1393" t="inlineStr">
        <is>
          <t>Alexandre/Brooklin</t>
        </is>
      </c>
      <c r="J794" s="1393" t="inlineStr">
        <is>
          <t>-</t>
        </is>
      </c>
      <c r="K794" s="1395">
        <f>IF(raw[[#This Row],[city]]&lt;&gt;"",_xlfn.XLOOKUP($D794,ccc[city],ccc[prov],"-"),"-")</f>
        <v/>
      </c>
      <c r="L794" s="1395">
        <f>IF(raw[[#This Row],[city]]&lt;&gt;"",_xlfn.XLOOKUP($D794,ccc[city],ccc[ctry],"-"),"-")</f>
        <v/>
      </c>
      <c r="M794" s="1395">
        <f>IF(raw[[#This Row],[city]]&lt;&gt;"",_xlfn.XLOOKUP($D794,ccc[city],ccc[cont],"-"),"-")</f>
        <v/>
      </c>
      <c r="N794" s="1396">
        <f>IF(raw[[#This Row],[city]]="","-",IF(raw[[#This Row],[cont]]="B",raw[[#This Row],[cont]],"W"))</f>
        <v/>
      </c>
      <c r="O794" s="1397">
        <f>IF(raw[[#This Row],[out]]=0,0,IF(raw[[#This Row],[out]]=raw[[#This Row],[in]],0.01,raw[[#This Row],[out]]-raw[[#This Row],[in]]))</f>
        <v/>
      </c>
      <c r="P794" s="1397">
        <f>IF(raw[[#This Row],[in]]=0,0,MONTH(raw[[#This Row],[in]]))</f>
        <v/>
      </c>
      <c r="Q794" s="1397">
        <f>IF(raw[[#This Row],[in]]=0,0,YEAR(raw[[#This Row],[in]]))</f>
        <v/>
      </c>
      <c r="R794" s="1397">
        <f>INT(raw[[#This Row],[yr]]/10)*10</f>
        <v/>
      </c>
      <c r="S794" s="1395">
        <f>IF(raw[[#This Row],[city]]="","-",IF(raw[[#This Row],[city]]&lt;&gt;_xlfn.XLOOKUP(raw[[#This Row],[home]],homes[home],homes[city],"-"),1,0))</f>
        <v/>
      </c>
      <c r="T794" s="1398" t="inlineStr">
        <is>
          <t>.</t>
        </is>
      </c>
      <c r="U794" s="1399">
        <f>IF(raw[[#This Row],[wb]]="w",raw[[#This Row],[stay]]+U793,U793)</f>
        <v/>
      </c>
      <c r="V794" s="1400">
        <f>IF(raw[[#This Row],[out]]=0,V793,(raw[[#This Row],[out]]-E$5))</f>
        <v/>
      </c>
      <c r="W794" s="1401">
        <f>U794/V794</f>
        <v/>
      </c>
      <c r="X794" s="1378" t="inlineStr">
        <is>
          <t>.</t>
        </is>
      </c>
      <c r="Y794" s="1402">
        <f/>
        <v/>
      </c>
      <c r="Z794" s="1403">
        <f/>
        <v/>
      </c>
      <c r="AA794" s="1403">
        <f/>
        <v/>
      </c>
      <c r="AB794" s="1400">
        <f t="array" ref="AB794">_xlfn.LET(_xlpm.S,_xlfn.ANCHORARRAY($Y$4),_xlpm.r,ROWS(stayCity[[#Headers],[city]]:stayCity[[#This Row],[city]])-1,IF(_xlpm.r&lt;=ROWS(_xlpm.S),INDEX(_xlpm.S,_xlpm.r,1),""))</f>
        <v/>
      </c>
      <c r="AC794" s="1405">
        <f t="array" ref="AC794">_xlfn.LET(_xlpm.S,_xlfn.ANCHORARRAY($Y$4),_xlpm.r,ROWS(stayCity[[#Headers],[city]]:stayCity[[#This Row],[city]])-1,IF(_xlpm.r&lt;=ROWS(_xlpm.S),INDEX(_xlpm.S,_xlpm.r,2),""))</f>
        <v/>
      </c>
      <c r="AD794" s="1405">
        <f t="array" ref="AD794">_xlfn.LET(_xlpm.S,_xlfn.ANCHORARRAY($Y$4),_xlpm.r,ROWS(stayCity[[#Headers],[city]]:stayCity[[#This Row],[city]])-1,IF(_xlpm.r&lt;=ROWS(_xlpm.S),INDEX(_xlpm.S,_xlpm.r,3),""))</f>
        <v/>
      </c>
      <c r="AE794" s="1400">
        <f>IF(stayCity[[#This Row],[out]]&lt;&gt;"",stayCity[[#This Row],[out]]-stayCity[[#This Row],[in]],"-")</f>
        <v/>
      </c>
      <c r="AF794" s="1406">
        <f>IF(Y794="","-",YEAR(stayCity[[#This Row],[in]]))</f>
        <v/>
      </c>
      <c r="AG794" s="1392" t="n"/>
      <c r="AH794" s="1392" t="n"/>
      <c r="AI794" s="1392" t="n"/>
      <c r="AJ794" s="1392" t="n"/>
      <c r="AK794" s="1392" t="n"/>
      <c r="AL794" s="1392" t="n"/>
      <c r="AM794" s="1392" t="n"/>
      <c r="AN794" s="1392" t="n"/>
      <c r="AO794" s="1392" t="n"/>
      <c r="AP794" s="1392" t="n"/>
      <c r="AQ794" s="1392" t="n"/>
      <c r="AR794" s="1392" t="n"/>
      <c r="AS794" s="1422" t="n"/>
      <c r="AT794" s="1392" t="n"/>
      <c r="AU794" s="1392" t="n"/>
      <c r="AV794" s="1392" t="n"/>
      <c r="AW794" s="1392" t="n"/>
      <c r="AX794" s="1392" t="n"/>
      <c r="AY794" s="1392" t="n"/>
      <c r="AZ794" s="1392" t="n"/>
      <c r="BA794" s="1392" t="n"/>
      <c r="BB794" s="1422" t="n"/>
      <c r="BC794" s="1392" t="n"/>
      <c r="BD794" s="1392" t="n"/>
      <c r="BE794" s="1392" t="n"/>
      <c r="BF794" s="1392" t="n"/>
      <c r="BG794" s="1392" t="n"/>
      <c r="BH794" s="1392" t="n"/>
      <c r="BI794" s="1392" t="n"/>
      <c r="BJ794" s="1392" t="n"/>
      <c r="BK794" s="1392" t="n"/>
      <c r="BL794" s="1392" t="n"/>
      <c r="BM794" s="1392" t="n"/>
      <c r="BN794" s="1392" t="n"/>
      <c r="BO794" s="1392" t="n"/>
      <c r="BP794" s="1392" t="n"/>
      <c r="BQ794" s="1392" t="n"/>
      <c r="BR794" s="1392" t="n"/>
      <c r="BS794" s="1392" t="n"/>
      <c r="BT794" s="1392" t="n"/>
      <c r="BU794" s="1416" t="n"/>
      <c r="BV794" s="1392" t="n"/>
      <c r="BW794" s="1392" t="n"/>
      <c r="BX794" s="1392" t="n"/>
      <c r="BY794" s="1392" t="n"/>
      <c r="BZ794" s="1416" t="n"/>
      <c r="CA794" s="1392" t="n"/>
      <c r="CB794" s="1392" t="n"/>
      <c r="CC794" s="1392" t="n"/>
      <c r="CD794" s="1392" t="n"/>
      <c r="CE794" s="1392" t="n"/>
      <c r="CF794" s="1392" t="n"/>
      <c r="CG794" s="1392" t="n"/>
      <c r="CH794" s="1392" t="n"/>
      <c r="CI794" s="1392" t="n"/>
      <c r="CJ794" s="1392" t="n"/>
      <c r="CK794" s="1392" t="n"/>
      <c r="CL794" s="1392" t="n"/>
    </row>
    <row r="795">
      <c r="A795" s="5" t="inlineStr">
        <is>
          <t>.</t>
        </is>
      </c>
      <c r="B795" s="5" t="inlineStr">
        <is>
          <t>.</t>
        </is>
      </c>
      <c r="C795" s="1378">
        <f>IF(raw[[#This Row],[city]]="","-",IF(raw[[#This Row],[city]]="TODAY","-",C794+1))</f>
        <v/>
      </c>
      <c r="D795" s="1393" t="inlineStr">
        <is>
          <t>AIR</t>
        </is>
      </c>
      <c r="E795" s="1394" t="n">
        <v>38018</v>
      </c>
      <c r="F795" s="1394" t="n">
        <v>38019</v>
      </c>
      <c r="G795" s="1393" t="inlineStr">
        <is>
          <t>x</t>
        </is>
      </c>
      <c r="H795" s="1393" t="inlineStr">
        <is>
          <t>Transit</t>
        </is>
      </c>
      <c r="I795" s="1393" t="inlineStr">
        <is>
          <t>-</t>
        </is>
      </c>
      <c r="J795" s="1393" t="inlineStr">
        <is>
          <t>-</t>
        </is>
      </c>
      <c r="K795" s="1395">
        <f>IF(raw[[#This Row],[city]]&lt;&gt;"",_xlfn.XLOOKUP($D795,ccc[city],ccc[prov],"-"),"-")</f>
        <v/>
      </c>
      <c r="L795" s="1395">
        <f>IF(raw[[#This Row],[city]]&lt;&gt;"",_xlfn.XLOOKUP($D795,ccc[city],ccc[ctry],"-"),"-")</f>
        <v/>
      </c>
      <c r="M795" s="1395">
        <f>IF(raw[[#This Row],[city]]&lt;&gt;"",_xlfn.XLOOKUP($D795,ccc[city],ccc[cont],"-"),"-")</f>
        <v/>
      </c>
      <c r="N795" s="1396">
        <f>IF(raw[[#This Row],[city]]="","-",IF(raw[[#This Row],[cont]]="B",raw[[#This Row],[cont]],"W"))</f>
        <v/>
      </c>
      <c r="O795" s="1397">
        <f>IF(raw[[#This Row],[out]]=0,0,IF(raw[[#This Row],[out]]=raw[[#This Row],[in]],0.01,raw[[#This Row],[out]]-raw[[#This Row],[in]]))</f>
        <v/>
      </c>
      <c r="P795" s="1397">
        <f>IF(raw[[#This Row],[in]]=0,0,MONTH(raw[[#This Row],[in]]))</f>
        <v/>
      </c>
      <c r="Q795" s="1397">
        <f>IF(raw[[#This Row],[in]]=0,0,YEAR(raw[[#This Row],[in]]))</f>
        <v/>
      </c>
      <c r="R795" s="1397">
        <f>INT(raw[[#This Row],[yr]]/10)*10</f>
        <v/>
      </c>
      <c r="S795" s="1395">
        <f>IF(raw[[#This Row],[city]]="","-",IF(raw[[#This Row],[city]]&lt;&gt;_xlfn.XLOOKUP(raw[[#This Row],[home]],homes[home],homes[city],"-"),1,0))</f>
        <v/>
      </c>
      <c r="T795" s="1398" t="inlineStr">
        <is>
          <t>.</t>
        </is>
      </c>
      <c r="U795" s="1399">
        <f>IF(raw[[#This Row],[wb]]="w",raw[[#This Row],[stay]]+U794,U794)</f>
        <v/>
      </c>
      <c r="V795" s="1400">
        <f>IF(raw[[#This Row],[out]]=0,V794,(raw[[#This Row],[out]]-E$5))</f>
        <v/>
      </c>
      <c r="W795" s="1401">
        <f>U795/V795</f>
        <v/>
      </c>
      <c r="X795" s="1378" t="inlineStr">
        <is>
          <t>.</t>
        </is>
      </c>
      <c r="Y795" s="1402">
        <f/>
        <v/>
      </c>
      <c r="Z795" s="1403">
        <f/>
        <v/>
      </c>
      <c r="AA795" s="1403">
        <f/>
        <v/>
      </c>
      <c r="AB795" s="1400">
        <f t="array" ref="AB795">_xlfn.LET(_xlpm.S,_xlfn.ANCHORARRAY($Y$4),_xlpm.r,ROWS(stayCity[[#Headers],[city]]:stayCity[[#This Row],[city]])-1,IF(_xlpm.r&lt;=ROWS(_xlpm.S),INDEX(_xlpm.S,_xlpm.r,1),""))</f>
        <v/>
      </c>
      <c r="AC795" s="1405">
        <f t="array" ref="AC795">_xlfn.LET(_xlpm.S,_xlfn.ANCHORARRAY($Y$4),_xlpm.r,ROWS(stayCity[[#Headers],[city]]:stayCity[[#This Row],[city]])-1,IF(_xlpm.r&lt;=ROWS(_xlpm.S),INDEX(_xlpm.S,_xlpm.r,2),""))</f>
        <v/>
      </c>
      <c r="AD795" s="1405">
        <f t="array" ref="AD795">_xlfn.LET(_xlpm.S,_xlfn.ANCHORARRAY($Y$4),_xlpm.r,ROWS(stayCity[[#Headers],[city]]:stayCity[[#This Row],[city]])-1,IF(_xlpm.r&lt;=ROWS(_xlpm.S),INDEX(_xlpm.S,_xlpm.r,3),""))</f>
        <v/>
      </c>
      <c r="AE795" s="1400">
        <f>IF(stayCity[[#This Row],[out]]&lt;&gt;"",stayCity[[#This Row],[out]]-stayCity[[#This Row],[in]],"-")</f>
        <v/>
      </c>
      <c r="AF795" s="1406">
        <f>IF(Y795="","-",YEAR(stayCity[[#This Row],[in]]))</f>
        <v/>
      </c>
      <c r="AG795" s="1392" t="n"/>
      <c r="AH795" s="1392" t="n"/>
      <c r="AI795" s="1392" t="n"/>
      <c r="AJ795" s="1392" t="n"/>
      <c r="AK795" s="1392" t="n"/>
      <c r="AL795" s="1392" t="n"/>
      <c r="AM795" s="1392" t="n"/>
      <c r="AN795" s="1392" t="n"/>
      <c r="AO795" s="1392" t="n"/>
      <c r="AP795" s="1392" t="n"/>
      <c r="AQ795" s="1392" t="n"/>
      <c r="AR795" s="1392" t="n"/>
      <c r="AS795" s="1422" t="n"/>
      <c r="AT795" s="1392" t="n"/>
      <c r="AU795" s="1392" t="n"/>
      <c r="AV795" s="1392" t="n"/>
      <c r="AW795" s="1392" t="n"/>
      <c r="AX795" s="1392" t="n"/>
      <c r="AY795" s="1392" t="n"/>
      <c r="AZ795" s="1392" t="n"/>
      <c r="BA795" s="1392" t="n"/>
      <c r="BB795" s="1422" t="n"/>
      <c r="BC795" s="1392" t="n"/>
      <c r="BD795" s="1392" t="n"/>
      <c r="BE795" s="1392" t="n"/>
      <c r="BF795" s="1392" t="n"/>
      <c r="BG795" s="1392" t="n"/>
      <c r="BH795" s="1392" t="n"/>
      <c r="BI795" s="1392" t="n"/>
      <c r="BJ795" s="1392" t="n"/>
      <c r="BK795" s="1392" t="n"/>
      <c r="BL795" s="1392" t="n"/>
      <c r="BM795" s="1392" t="n"/>
      <c r="BN795" s="1392" t="n"/>
      <c r="BO795" s="1392" t="n"/>
      <c r="BP795" s="1392" t="n"/>
      <c r="BQ795" s="1392" t="n"/>
      <c r="BR795" s="1392" t="n"/>
      <c r="BS795" s="1392" t="n"/>
      <c r="BT795" s="1392" t="n"/>
      <c r="BU795" s="1416" t="n"/>
      <c r="BV795" s="1392" t="n"/>
      <c r="BW795" s="1392" t="n"/>
      <c r="BX795" s="1392" t="n"/>
      <c r="BY795" s="1392" t="n"/>
      <c r="BZ795" s="1416" t="n"/>
      <c r="CA795" s="1392" t="n"/>
      <c r="CB795" s="1392" t="n"/>
      <c r="CC795" s="1392" t="n"/>
      <c r="CD795" s="1392" t="n"/>
      <c r="CE795" s="1392" t="n"/>
      <c r="CF795" s="1392" t="n"/>
      <c r="CG795" s="1392" t="n"/>
      <c r="CH795" s="1392" t="n"/>
      <c r="CI795" s="1392" t="n"/>
      <c r="CJ795" s="1392" t="n"/>
      <c r="CK795" s="1392" t="n"/>
      <c r="CL795" s="1392" t="n"/>
    </row>
    <row r="796">
      <c r="A796" s="5" t="inlineStr">
        <is>
          <t>.</t>
        </is>
      </c>
      <c r="B796" s="5" t="inlineStr">
        <is>
          <t>.</t>
        </is>
      </c>
      <c r="C796" s="1378">
        <f>IF(raw[[#This Row],[city]]="","-",IF(raw[[#This Row],[city]]="TODAY","-",C795+1))</f>
        <v/>
      </c>
      <c r="D796" s="1393" t="inlineStr">
        <is>
          <t>SP</t>
        </is>
      </c>
      <c r="E796" s="1394" t="n">
        <v>38019</v>
      </c>
      <c r="F796" s="1394" t="n">
        <v>38022</v>
      </c>
      <c r="G796" s="1393" t="n">
        <v>1</v>
      </c>
      <c r="H796" s="1393" t="inlineStr">
        <is>
          <t>Transit</t>
        </is>
      </c>
      <c r="I796" s="1393" t="inlineStr">
        <is>
          <t>Salto Grande</t>
        </is>
      </c>
      <c r="J796" s="1393" t="inlineStr">
        <is>
          <t>-</t>
        </is>
      </c>
      <c r="K796" s="1395">
        <f>IF(raw[[#This Row],[city]]&lt;&gt;"",_xlfn.XLOOKUP($D796,ccc[city],ccc[prov],"-"),"-")</f>
        <v/>
      </c>
      <c r="L796" s="1395">
        <f>IF(raw[[#This Row],[city]]&lt;&gt;"",_xlfn.XLOOKUP($D796,ccc[city],ccc[ctry],"-"),"-")</f>
        <v/>
      </c>
      <c r="M796" s="1395">
        <f>IF(raw[[#This Row],[city]]&lt;&gt;"",_xlfn.XLOOKUP($D796,ccc[city],ccc[cont],"-"),"-")</f>
        <v/>
      </c>
      <c r="N796" s="1396">
        <f>IF(raw[[#This Row],[city]]="","-",IF(raw[[#This Row],[cont]]="B",raw[[#This Row],[cont]],"W"))</f>
        <v/>
      </c>
      <c r="O796" s="1397">
        <f>IF(raw[[#This Row],[out]]=0,0,IF(raw[[#This Row],[out]]=raw[[#This Row],[in]],0.01,raw[[#This Row],[out]]-raw[[#This Row],[in]]))</f>
        <v/>
      </c>
      <c r="P796" s="1397">
        <f>IF(raw[[#This Row],[in]]=0,0,MONTH(raw[[#This Row],[in]]))</f>
        <v/>
      </c>
      <c r="Q796" s="1397">
        <f>IF(raw[[#This Row],[in]]=0,0,YEAR(raw[[#This Row],[in]]))</f>
        <v/>
      </c>
      <c r="R796" s="1397">
        <f>INT(raw[[#This Row],[yr]]/10)*10</f>
        <v/>
      </c>
      <c r="S796" s="1395">
        <f>IF(raw[[#This Row],[city]]="","-",IF(raw[[#This Row],[city]]&lt;&gt;_xlfn.XLOOKUP(raw[[#This Row],[home]],homes[home],homes[city],"-"),1,0))</f>
        <v/>
      </c>
      <c r="T796" s="1398" t="inlineStr">
        <is>
          <t>.</t>
        </is>
      </c>
      <c r="U796" s="1399">
        <f>IF(raw[[#This Row],[wb]]="w",raw[[#This Row],[stay]]+U795,U795)</f>
        <v/>
      </c>
      <c r="V796" s="1400">
        <f>IF(raw[[#This Row],[out]]=0,V795,(raw[[#This Row],[out]]-E$5))</f>
        <v/>
      </c>
      <c r="W796" s="1401">
        <f>U796/V796</f>
        <v/>
      </c>
      <c r="X796" s="1378" t="inlineStr">
        <is>
          <t>.</t>
        </is>
      </c>
      <c r="Y796" s="1402">
        <f/>
        <v/>
      </c>
      <c r="Z796" s="1403">
        <f/>
        <v/>
      </c>
      <c r="AA796" s="1403">
        <f/>
        <v/>
      </c>
      <c r="AB796" s="1400">
        <f t="array" ref="AB796">_xlfn.LET(_xlpm.S,_xlfn.ANCHORARRAY($Y$4),_xlpm.r,ROWS(stayCity[[#Headers],[city]]:stayCity[[#This Row],[city]])-1,IF(_xlpm.r&lt;=ROWS(_xlpm.S),INDEX(_xlpm.S,_xlpm.r,1),""))</f>
        <v/>
      </c>
      <c r="AC796" s="1405">
        <f t="array" ref="AC796">_xlfn.LET(_xlpm.S,_xlfn.ANCHORARRAY($Y$4),_xlpm.r,ROWS(stayCity[[#Headers],[city]]:stayCity[[#This Row],[city]])-1,IF(_xlpm.r&lt;=ROWS(_xlpm.S),INDEX(_xlpm.S,_xlpm.r,2),""))</f>
        <v/>
      </c>
      <c r="AD796" s="1405">
        <f t="array" ref="AD796">_xlfn.LET(_xlpm.S,_xlfn.ANCHORARRAY($Y$4),_xlpm.r,ROWS(stayCity[[#Headers],[city]]:stayCity[[#This Row],[city]])-1,IF(_xlpm.r&lt;=ROWS(_xlpm.S),INDEX(_xlpm.S,_xlpm.r,3),""))</f>
        <v/>
      </c>
      <c r="AE796" s="1400">
        <f>IF(stayCity[[#This Row],[out]]&lt;&gt;"",stayCity[[#This Row],[out]]-stayCity[[#This Row],[in]],"-")</f>
        <v/>
      </c>
      <c r="AF796" s="1406">
        <f>IF(Y796="","-",YEAR(stayCity[[#This Row],[in]]))</f>
        <v/>
      </c>
      <c r="AG796" s="1392" t="n"/>
      <c r="AH796" s="1392" t="n"/>
      <c r="AI796" s="1392" t="n"/>
      <c r="AJ796" s="1392" t="n"/>
      <c r="AK796" s="1392" t="n"/>
      <c r="AL796" s="1392" t="n"/>
      <c r="AM796" s="1392" t="n"/>
      <c r="AN796" s="1392" t="n"/>
      <c r="AO796" s="1392" t="n"/>
      <c r="AP796" s="1392" t="n"/>
      <c r="AQ796" s="1392" t="n"/>
      <c r="AR796" s="1392" t="n"/>
      <c r="AS796" s="1422" t="n"/>
      <c r="AT796" s="1392" t="n"/>
      <c r="AU796" s="1392" t="n"/>
      <c r="AV796" s="1392" t="n"/>
      <c r="AW796" s="1392" t="n"/>
      <c r="AX796" s="1392" t="n"/>
      <c r="AY796" s="1392" t="n"/>
      <c r="AZ796" s="1392" t="n"/>
      <c r="BA796" s="1392" t="n"/>
      <c r="BB796" s="1422" t="n"/>
      <c r="BC796" s="1392" t="n"/>
      <c r="BD796" s="1392" t="n"/>
      <c r="BE796" s="1392" t="n"/>
      <c r="BF796" s="1392" t="n"/>
      <c r="BG796" s="1392" t="n"/>
      <c r="BH796" s="1392" t="n"/>
      <c r="BI796" s="1392" t="n"/>
      <c r="BJ796" s="1392" t="n"/>
      <c r="BK796" s="1392" t="n"/>
      <c r="BL796" s="1392" t="n"/>
      <c r="BM796" s="1392" t="n"/>
      <c r="BN796" s="1392" t="n"/>
      <c r="BO796" s="1392" t="n"/>
      <c r="BP796" s="1392" t="n"/>
      <c r="BQ796" s="1392" t="n"/>
      <c r="BR796" s="1392" t="n"/>
      <c r="BS796" s="1392" t="n"/>
      <c r="BT796" s="1392" t="n"/>
      <c r="BU796" s="1416" t="n"/>
      <c r="BV796" s="1392" t="n"/>
      <c r="BW796" s="1392" t="n"/>
      <c r="BX796" s="1392" t="n"/>
      <c r="BY796" s="1392" t="n"/>
      <c r="BZ796" s="1416" t="n"/>
      <c r="CA796" s="1392" t="n"/>
      <c r="CB796" s="1392" t="n"/>
      <c r="CC796" s="1392" t="n"/>
      <c r="CD796" s="1392" t="n"/>
      <c r="CE796" s="1392" t="n"/>
      <c r="CF796" s="1392" t="n"/>
      <c r="CG796" s="1392" t="n"/>
      <c r="CH796" s="1392" t="n"/>
      <c r="CI796" s="1392" t="n"/>
      <c r="CJ796" s="1392" t="n"/>
      <c r="CK796" s="1392" t="n"/>
      <c r="CL796" s="1392" t="n"/>
    </row>
    <row r="797">
      <c r="A797" s="5" t="inlineStr">
        <is>
          <t>.</t>
        </is>
      </c>
      <c r="B797" s="5" t="inlineStr">
        <is>
          <t>.</t>
        </is>
      </c>
      <c r="C797" s="1378">
        <f>IF(raw[[#This Row],[city]]="","-",IF(raw[[#This Row],[city]]="TODAY","-",C796+1))</f>
        <v/>
      </c>
      <c r="D797" s="1393" t="inlineStr">
        <is>
          <t>SSA</t>
        </is>
      </c>
      <c r="E797" s="1394" t="n">
        <v>38022</v>
      </c>
      <c r="F797" s="1394" t="n">
        <v>38045</v>
      </c>
      <c r="G797" s="1393" t="n">
        <v>1</v>
      </c>
      <c r="H797" s="1393" t="inlineStr">
        <is>
          <t>Ondina</t>
        </is>
      </c>
      <c r="I797" s="1393" t="inlineStr">
        <is>
          <t>-</t>
        </is>
      </c>
      <c r="J797" s="1393" t="inlineStr">
        <is>
          <t>-</t>
        </is>
      </c>
      <c r="K797" s="1395">
        <f>IF(raw[[#This Row],[city]]&lt;&gt;"",_xlfn.XLOOKUP($D797,ccc[city],ccc[prov],"-"),"-")</f>
        <v/>
      </c>
      <c r="L797" s="1395">
        <f>IF(raw[[#This Row],[city]]&lt;&gt;"",_xlfn.XLOOKUP($D797,ccc[city],ccc[ctry],"-"),"-")</f>
        <v/>
      </c>
      <c r="M797" s="1395">
        <f>IF(raw[[#This Row],[city]]&lt;&gt;"",_xlfn.XLOOKUP($D797,ccc[city],ccc[cont],"-"),"-")</f>
        <v/>
      </c>
      <c r="N797" s="1396">
        <f>IF(raw[[#This Row],[city]]="","-",IF(raw[[#This Row],[cont]]="B",raw[[#This Row],[cont]],"W"))</f>
        <v/>
      </c>
      <c r="O797" s="1397">
        <f>IF(raw[[#This Row],[out]]=0,0,IF(raw[[#This Row],[out]]=raw[[#This Row],[in]],0.01,raw[[#This Row],[out]]-raw[[#This Row],[in]]))</f>
        <v/>
      </c>
      <c r="P797" s="1397">
        <f>IF(raw[[#This Row],[in]]=0,0,MONTH(raw[[#This Row],[in]]))</f>
        <v/>
      </c>
      <c r="Q797" s="1397">
        <f>IF(raw[[#This Row],[in]]=0,0,YEAR(raw[[#This Row],[in]]))</f>
        <v/>
      </c>
      <c r="R797" s="1397">
        <f>INT(raw[[#This Row],[yr]]/10)*10</f>
        <v/>
      </c>
      <c r="S797" s="1395">
        <f>IF(raw[[#This Row],[city]]="","-",IF(raw[[#This Row],[city]]&lt;&gt;_xlfn.XLOOKUP(raw[[#This Row],[home]],homes[home],homes[city],"-"),1,0))</f>
        <v/>
      </c>
      <c r="T797" s="1398" t="inlineStr">
        <is>
          <t>.</t>
        </is>
      </c>
      <c r="U797" s="1399">
        <f>IF(raw[[#This Row],[wb]]="w",raw[[#This Row],[stay]]+U796,U796)</f>
        <v/>
      </c>
      <c r="V797" s="1400">
        <f>IF(raw[[#This Row],[out]]=0,V796,(raw[[#This Row],[out]]-E$5))</f>
        <v/>
      </c>
      <c r="W797" s="1401">
        <f>U797/V797</f>
        <v/>
      </c>
      <c r="X797" s="1378" t="inlineStr">
        <is>
          <t>.</t>
        </is>
      </c>
      <c r="Y797" s="1402">
        <f/>
        <v/>
      </c>
      <c r="Z797" s="1403">
        <f/>
        <v/>
      </c>
      <c r="AA797" s="1403">
        <f/>
        <v/>
      </c>
      <c r="AB797" s="1400">
        <f t="array" ref="AB797">_xlfn.LET(_xlpm.S,_xlfn.ANCHORARRAY($Y$4),_xlpm.r,ROWS(stayCity[[#Headers],[city]]:stayCity[[#This Row],[city]])-1,IF(_xlpm.r&lt;=ROWS(_xlpm.S),INDEX(_xlpm.S,_xlpm.r,1),""))</f>
        <v/>
      </c>
      <c r="AC797" s="1405">
        <f t="array" ref="AC797">_xlfn.LET(_xlpm.S,_xlfn.ANCHORARRAY($Y$4),_xlpm.r,ROWS(stayCity[[#Headers],[city]]:stayCity[[#This Row],[city]])-1,IF(_xlpm.r&lt;=ROWS(_xlpm.S),INDEX(_xlpm.S,_xlpm.r,2),""))</f>
        <v/>
      </c>
      <c r="AD797" s="1405">
        <f t="array" ref="AD797">_xlfn.LET(_xlpm.S,_xlfn.ANCHORARRAY($Y$4),_xlpm.r,ROWS(stayCity[[#Headers],[city]]:stayCity[[#This Row],[city]])-1,IF(_xlpm.r&lt;=ROWS(_xlpm.S),INDEX(_xlpm.S,_xlpm.r,3),""))</f>
        <v/>
      </c>
      <c r="AE797" s="1400">
        <f>IF(stayCity[[#This Row],[out]]&lt;&gt;"",stayCity[[#This Row],[out]]-stayCity[[#This Row],[in]],"-")</f>
        <v/>
      </c>
      <c r="AF797" s="1406">
        <f>IF(Y797="","-",YEAR(stayCity[[#This Row],[in]]))</f>
        <v/>
      </c>
      <c r="AG797" s="1392" t="n"/>
      <c r="AH797" s="1392" t="n"/>
      <c r="AI797" s="1392" t="n"/>
      <c r="AJ797" s="1392" t="n"/>
      <c r="AK797" s="1392" t="n"/>
      <c r="AL797" s="1392" t="n"/>
      <c r="AM797" s="1392" t="n"/>
      <c r="AN797" s="1392" t="n"/>
      <c r="AO797" s="1392" t="n"/>
      <c r="AP797" s="1392" t="n"/>
      <c r="AQ797" s="1392" t="n"/>
      <c r="AR797" s="1392" t="n"/>
      <c r="AS797" s="1422" t="n"/>
      <c r="AT797" s="1392" t="n"/>
      <c r="AU797" s="1392" t="n"/>
      <c r="AV797" s="1392" t="n"/>
      <c r="AW797" s="1392" t="n"/>
      <c r="AX797" s="1392" t="n"/>
      <c r="AY797" s="1392" t="n"/>
      <c r="AZ797" s="1392" t="n"/>
      <c r="BA797" s="1392" t="n"/>
      <c r="BB797" s="1422" t="n"/>
      <c r="BC797" s="1392" t="n"/>
      <c r="BD797" s="1392" t="n"/>
      <c r="BE797" s="1392" t="n"/>
      <c r="BF797" s="1392" t="n"/>
      <c r="BG797" s="1392" t="n"/>
      <c r="BH797" s="1392" t="n"/>
      <c r="BI797" s="1392" t="n"/>
      <c r="BJ797" s="1392" t="n"/>
      <c r="BK797" s="1392" t="n"/>
      <c r="BL797" s="1392" t="n"/>
      <c r="BM797" s="1392" t="n"/>
      <c r="BN797" s="1392" t="n"/>
      <c r="BO797" s="1392" t="n"/>
      <c r="BP797" s="1392" t="n"/>
      <c r="BQ797" s="1392" t="n"/>
      <c r="BR797" s="1392" t="n"/>
      <c r="BS797" s="1392" t="n"/>
      <c r="BT797" s="1392" t="n"/>
      <c r="BU797" s="1416" t="n"/>
      <c r="BV797" s="1392" t="n"/>
      <c r="BW797" s="1392" t="n"/>
      <c r="BX797" s="1392" t="n"/>
      <c r="BY797" s="1392" t="n"/>
      <c r="BZ797" s="1416" t="n"/>
      <c r="CA797" s="1392" t="n"/>
      <c r="CB797" s="1392" t="n"/>
      <c r="CC797" s="1392" t="n"/>
      <c r="CD797" s="1392" t="n"/>
      <c r="CE797" s="1392" t="n"/>
      <c r="CF797" s="1392" t="n"/>
      <c r="CG797" s="1392" t="n"/>
      <c r="CH797" s="1392" t="n"/>
      <c r="CI797" s="1392" t="n"/>
      <c r="CJ797" s="1392" t="n"/>
      <c r="CK797" s="1392" t="n"/>
      <c r="CL797" s="1392" t="n"/>
    </row>
    <row r="798">
      <c r="A798" s="5" t="inlineStr">
        <is>
          <t>.</t>
        </is>
      </c>
      <c r="B798" s="5" t="inlineStr">
        <is>
          <t>.</t>
        </is>
      </c>
      <c r="C798" s="1378">
        <f>IF(raw[[#This Row],[city]]="","-",IF(raw[[#This Row],[city]]="TODAY","-",C797+1))</f>
        <v/>
      </c>
      <c r="D798" s="1393" t="inlineStr">
        <is>
          <t>SP</t>
        </is>
      </c>
      <c r="E798" s="1394" t="n">
        <v>38045</v>
      </c>
      <c r="F798" s="1394" t="n">
        <v>38047</v>
      </c>
      <c r="G798" s="1393" t="inlineStr">
        <is>
          <t>-</t>
        </is>
      </c>
      <c r="H798" s="1393" t="inlineStr">
        <is>
          <t>Ondina</t>
        </is>
      </c>
      <c r="I798" s="1393" t="inlineStr">
        <is>
          <t>Salto Grande</t>
        </is>
      </c>
      <c r="J798" s="1393" t="inlineStr">
        <is>
          <t>-</t>
        </is>
      </c>
      <c r="K798" s="1395">
        <f>IF(raw[[#This Row],[city]]&lt;&gt;"",_xlfn.XLOOKUP($D798,ccc[city],ccc[prov],"-"),"-")</f>
        <v/>
      </c>
      <c r="L798" s="1395">
        <f>IF(raw[[#This Row],[city]]&lt;&gt;"",_xlfn.XLOOKUP($D798,ccc[city],ccc[ctry],"-"),"-")</f>
        <v/>
      </c>
      <c r="M798" s="1395">
        <f>IF(raw[[#This Row],[city]]&lt;&gt;"",_xlfn.XLOOKUP($D798,ccc[city],ccc[cont],"-"),"-")</f>
        <v/>
      </c>
      <c r="N798" s="1396">
        <f>IF(raw[[#This Row],[city]]="","-",IF(raw[[#This Row],[cont]]="B",raw[[#This Row],[cont]],"W"))</f>
        <v/>
      </c>
      <c r="O798" s="1397">
        <f>IF(raw[[#This Row],[out]]=0,0,IF(raw[[#This Row],[out]]=raw[[#This Row],[in]],0.01,raw[[#This Row],[out]]-raw[[#This Row],[in]]))</f>
        <v/>
      </c>
      <c r="P798" s="1397">
        <f>IF(raw[[#This Row],[in]]=0,0,MONTH(raw[[#This Row],[in]]))</f>
        <v/>
      </c>
      <c r="Q798" s="1397">
        <f>IF(raw[[#This Row],[in]]=0,0,YEAR(raw[[#This Row],[in]]))</f>
        <v/>
      </c>
      <c r="R798" s="1397">
        <f>INT(raw[[#This Row],[yr]]/10)*10</f>
        <v/>
      </c>
      <c r="S798" s="1395">
        <f>IF(raw[[#This Row],[city]]="","-",IF(raw[[#This Row],[city]]&lt;&gt;_xlfn.XLOOKUP(raw[[#This Row],[home]],homes[home],homes[city],"-"),1,0))</f>
        <v/>
      </c>
      <c r="T798" s="1398" t="inlineStr">
        <is>
          <t>.</t>
        </is>
      </c>
      <c r="U798" s="1399">
        <f>IF(raw[[#This Row],[wb]]="w",raw[[#This Row],[stay]]+U797,U797)</f>
        <v/>
      </c>
      <c r="V798" s="1400">
        <f>IF(raw[[#This Row],[out]]=0,V797,(raw[[#This Row],[out]]-E$5))</f>
        <v/>
      </c>
      <c r="W798" s="1401">
        <f>U798/V798</f>
        <v/>
      </c>
      <c r="X798" s="1378" t="inlineStr">
        <is>
          <t>.</t>
        </is>
      </c>
      <c r="Y798" s="1402">
        <f/>
        <v/>
      </c>
      <c r="Z798" s="1403">
        <f/>
        <v/>
      </c>
      <c r="AA798" s="1403">
        <f/>
        <v/>
      </c>
      <c r="AB798" s="1400">
        <f t="array" ref="AB798">_xlfn.LET(_xlpm.S,_xlfn.ANCHORARRAY($Y$4),_xlpm.r,ROWS(stayCity[[#Headers],[city]]:stayCity[[#This Row],[city]])-1,IF(_xlpm.r&lt;=ROWS(_xlpm.S),INDEX(_xlpm.S,_xlpm.r,1),""))</f>
        <v/>
      </c>
      <c r="AC798" s="1405">
        <f t="array" ref="AC798">_xlfn.LET(_xlpm.S,_xlfn.ANCHORARRAY($Y$4),_xlpm.r,ROWS(stayCity[[#Headers],[city]]:stayCity[[#This Row],[city]])-1,IF(_xlpm.r&lt;=ROWS(_xlpm.S),INDEX(_xlpm.S,_xlpm.r,2),""))</f>
        <v/>
      </c>
      <c r="AD798" s="1405">
        <f t="array" ref="AD798">_xlfn.LET(_xlpm.S,_xlfn.ANCHORARRAY($Y$4),_xlpm.r,ROWS(stayCity[[#Headers],[city]]:stayCity[[#This Row],[city]])-1,IF(_xlpm.r&lt;=ROWS(_xlpm.S),INDEX(_xlpm.S,_xlpm.r,3),""))</f>
        <v/>
      </c>
      <c r="AE798" s="1400">
        <f>IF(stayCity[[#This Row],[out]]&lt;&gt;"",stayCity[[#This Row],[out]]-stayCity[[#This Row],[in]],"-")</f>
        <v/>
      </c>
      <c r="AF798" s="1406">
        <f>IF(Y798="","-",YEAR(stayCity[[#This Row],[in]]))</f>
        <v/>
      </c>
      <c r="AG798" s="1392" t="n"/>
      <c r="AH798" s="1392" t="n"/>
      <c r="AI798" s="1392" t="n"/>
      <c r="AJ798" s="1392" t="n"/>
      <c r="AK798" s="1392" t="n"/>
      <c r="AL798" s="1392" t="n"/>
      <c r="AM798" s="1392" t="n"/>
      <c r="AN798" s="1392" t="n"/>
      <c r="AO798" s="1392" t="n"/>
      <c r="AP798" s="1392" t="n"/>
      <c r="AQ798" s="1392" t="n"/>
      <c r="AR798" s="1392" t="n"/>
      <c r="AS798" s="1422" t="n"/>
      <c r="AT798" s="1392" t="n"/>
      <c r="AU798" s="1392" t="n"/>
      <c r="AV798" s="1392" t="n"/>
      <c r="AW798" s="1392" t="n"/>
      <c r="AX798" s="1392" t="n"/>
      <c r="AY798" s="1392" t="n"/>
      <c r="AZ798" s="1392" t="n"/>
      <c r="BA798" s="1392" t="n"/>
      <c r="BB798" s="1422" t="n"/>
      <c r="BC798" s="1392" t="n"/>
      <c r="BD798" s="1392" t="n"/>
      <c r="BE798" s="1392" t="n"/>
      <c r="BF798" s="1392" t="n"/>
      <c r="BG798" s="1392" t="n"/>
      <c r="BH798" s="1392" t="n"/>
      <c r="BI798" s="1392" t="n"/>
      <c r="BJ798" s="1392" t="n"/>
      <c r="BK798" s="1392" t="n"/>
      <c r="BL798" s="1392" t="n"/>
      <c r="BM798" s="1392" t="n"/>
      <c r="BN798" s="1392" t="n"/>
      <c r="BO798" s="1392" t="n"/>
      <c r="BP798" s="1392" t="n"/>
      <c r="BQ798" s="1392" t="n"/>
      <c r="BR798" s="1392" t="n"/>
      <c r="BS798" s="1392" t="n"/>
      <c r="BT798" s="1392" t="n"/>
      <c r="BU798" s="1416" t="n"/>
      <c r="BV798" s="1392" t="n"/>
      <c r="BW798" s="1392" t="n"/>
      <c r="BX798" s="1392" t="n"/>
      <c r="BY798" s="1392" t="n"/>
      <c r="BZ798" s="1416" t="n"/>
      <c r="CA798" s="1392" t="n"/>
      <c r="CB798" s="1392" t="n"/>
      <c r="CC798" s="1392" t="n"/>
      <c r="CD798" s="1392" t="n"/>
      <c r="CE798" s="1392" t="n"/>
      <c r="CF798" s="1392" t="n"/>
      <c r="CG798" s="1392" t="n"/>
      <c r="CH798" s="1392" t="n"/>
      <c r="CI798" s="1392" t="n"/>
      <c r="CJ798" s="1392" t="n"/>
      <c r="CK798" s="1392" t="n"/>
      <c r="CL798" s="1392" t="n"/>
    </row>
    <row r="799">
      <c r="A799" s="5" t="inlineStr">
        <is>
          <t>.</t>
        </is>
      </c>
      <c r="B799" s="5" t="inlineStr">
        <is>
          <t>.</t>
        </is>
      </c>
      <c r="C799" s="1378">
        <f>IF(raw[[#This Row],[city]]="","-",IF(raw[[#This Row],[city]]="TODAY","-",C798+1))</f>
        <v/>
      </c>
      <c r="D799" s="1393" t="inlineStr">
        <is>
          <t>SP</t>
        </is>
      </c>
      <c r="E799" s="1394" t="n">
        <v>38047</v>
      </c>
      <c r="F799" s="1394" t="n">
        <v>38059</v>
      </c>
      <c r="G799" s="1393" t="n">
        <v>1</v>
      </c>
      <c r="H799" s="1393" t="inlineStr">
        <is>
          <t>Ondina</t>
        </is>
      </c>
      <c r="I799" s="1393" t="inlineStr">
        <is>
          <t>Salto Grande</t>
        </is>
      </c>
      <c r="J799" s="1393" t="inlineStr">
        <is>
          <t>-</t>
        </is>
      </c>
      <c r="K799" s="1395">
        <f>IF(raw[[#This Row],[city]]&lt;&gt;"",_xlfn.XLOOKUP($D799,ccc[city],ccc[prov],"-"),"-")</f>
        <v/>
      </c>
      <c r="L799" s="1395">
        <f>IF(raw[[#This Row],[city]]&lt;&gt;"",_xlfn.XLOOKUP($D799,ccc[city],ccc[ctry],"-"),"-")</f>
        <v/>
      </c>
      <c r="M799" s="1395">
        <f>IF(raw[[#This Row],[city]]&lt;&gt;"",_xlfn.XLOOKUP($D799,ccc[city],ccc[cont],"-"),"-")</f>
        <v/>
      </c>
      <c r="N799" s="1396">
        <f>IF(raw[[#This Row],[city]]="","-",IF(raw[[#This Row],[cont]]="B",raw[[#This Row],[cont]],"W"))</f>
        <v/>
      </c>
      <c r="O799" s="1397">
        <f>IF(raw[[#This Row],[out]]=0,0,IF(raw[[#This Row],[out]]=raw[[#This Row],[in]],0.01,raw[[#This Row],[out]]-raw[[#This Row],[in]]))</f>
        <v/>
      </c>
      <c r="P799" s="1397">
        <f>IF(raw[[#This Row],[in]]=0,0,MONTH(raw[[#This Row],[in]]))</f>
        <v/>
      </c>
      <c r="Q799" s="1397">
        <f>IF(raw[[#This Row],[in]]=0,0,YEAR(raw[[#This Row],[in]]))</f>
        <v/>
      </c>
      <c r="R799" s="1397">
        <f>INT(raw[[#This Row],[yr]]/10)*10</f>
        <v/>
      </c>
      <c r="S799" s="1395">
        <f>IF(raw[[#This Row],[city]]="","-",IF(raw[[#This Row],[city]]&lt;&gt;_xlfn.XLOOKUP(raw[[#This Row],[home]],homes[home],homes[city],"-"),1,0))</f>
        <v/>
      </c>
      <c r="T799" s="1398" t="inlineStr">
        <is>
          <t>.</t>
        </is>
      </c>
      <c r="U799" s="1399">
        <f>IF(raw[[#This Row],[wb]]="w",raw[[#This Row],[stay]]+U798,U798)</f>
        <v/>
      </c>
      <c r="V799" s="1400">
        <f>IF(raw[[#This Row],[out]]=0,V798,(raw[[#This Row],[out]]-E$5))</f>
        <v/>
      </c>
      <c r="W799" s="1401">
        <f>U799/V799</f>
        <v/>
      </c>
      <c r="X799" s="1378" t="inlineStr">
        <is>
          <t>.</t>
        </is>
      </c>
      <c r="Y799" s="1402">
        <f/>
        <v/>
      </c>
      <c r="Z799" s="1403">
        <f/>
        <v/>
      </c>
      <c r="AA799" s="1403">
        <f/>
        <v/>
      </c>
      <c r="AB799" s="1400">
        <f t="array" ref="AB799">_xlfn.LET(_xlpm.S,_xlfn.ANCHORARRAY($Y$4),_xlpm.r,ROWS(stayCity[[#Headers],[city]]:stayCity[[#This Row],[city]])-1,IF(_xlpm.r&lt;=ROWS(_xlpm.S),INDEX(_xlpm.S,_xlpm.r,1),""))</f>
        <v/>
      </c>
      <c r="AC799" s="1405">
        <f t="array" ref="AC799">_xlfn.LET(_xlpm.S,_xlfn.ANCHORARRAY($Y$4),_xlpm.r,ROWS(stayCity[[#Headers],[city]]:stayCity[[#This Row],[city]])-1,IF(_xlpm.r&lt;=ROWS(_xlpm.S),INDEX(_xlpm.S,_xlpm.r,2),""))</f>
        <v/>
      </c>
      <c r="AD799" s="1405">
        <f t="array" ref="AD799">_xlfn.LET(_xlpm.S,_xlfn.ANCHORARRAY($Y$4),_xlpm.r,ROWS(stayCity[[#Headers],[city]]:stayCity[[#This Row],[city]])-1,IF(_xlpm.r&lt;=ROWS(_xlpm.S),INDEX(_xlpm.S,_xlpm.r,3),""))</f>
        <v/>
      </c>
      <c r="AE799" s="1400">
        <f>IF(stayCity[[#This Row],[out]]&lt;&gt;"",stayCity[[#This Row],[out]]-stayCity[[#This Row],[in]],"-")</f>
        <v/>
      </c>
      <c r="AF799" s="1406">
        <f>IF(Y799="","-",YEAR(stayCity[[#This Row],[in]]))</f>
        <v/>
      </c>
      <c r="AG799" s="1392" t="n"/>
      <c r="AH799" s="1392" t="n"/>
      <c r="AI799" s="1392" t="n"/>
      <c r="AJ799" s="1392" t="n"/>
      <c r="AK799" s="1392" t="n"/>
      <c r="AL799" s="1392" t="n"/>
      <c r="AM799" s="1392" t="n"/>
      <c r="AN799" s="1392" t="n"/>
      <c r="AO799" s="1392" t="n"/>
      <c r="AP799" s="1392" t="n"/>
      <c r="AQ799" s="1392" t="n"/>
      <c r="AR799" s="1392" t="n"/>
      <c r="AS799" s="1422" t="n"/>
      <c r="AT799" s="1392" t="n"/>
      <c r="AU799" s="1392" t="n"/>
      <c r="AV799" s="1392" t="n"/>
      <c r="AW799" s="1392" t="n"/>
      <c r="AX799" s="1392" t="n"/>
      <c r="AY799" s="1392" t="n"/>
      <c r="AZ799" s="1392" t="n"/>
      <c r="BA799" s="1392" t="n"/>
      <c r="BB799" s="1422" t="n"/>
      <c r="BC799" s="1392" t="n"/>
      <c r="BD799" s="1392" t="n"/>
      <c r="BE799" s="1392" t="n"/>
      <c r="BF799" s="1392" t="n"/>
      <c r="BG799" s="1392" t="n"/>
      <c r="BH799" s="1392" t="n"/>
      <c r="BI799" s="1392" t="n"/>
      <c r="BJ799" s="1392" t="n"/>
      <c r="BK799" s="1392" t="n"/>
      <c r="BL799" s="1392" t="n"/>
      <c r="BM799" s="1392" t="n"/>
      <c r="BN799" s="1392" t="n"/>
      <c r="BO799" s="1392" t="n"/>
      <c r="BP799" s="1392" t="n"/>
      <c r="BQ799" s="1392" t="n"/>
      <c r="BR799" s="1392" t="n"/>
      <c r="BS799" s="1392" t="n"/>
      <c r="BT799" s="1392" t="n"/>
      <c r="BU799" s="1416" t="n"/>
      <c r="BV799" s="1392" t="n"/>
      <c r="BW799" s="1392" t="n"/>
      <c r="BX799" s="1392" t="n"/>
      <c r="BY799" s="1392" t="n"/>
      <c r="BZ799" s="1416" t="n"/>
      <c r="CA799" s="1392" t="n"/>
      <c r="CB799" s="1392" t="n"/>
      <c r="CC799" s="1392" t="n"/>
      <c r="CD799" s="1392" t="n"/>
      <c r="CE799" s="1392" t="n"/>
      <c r="CF799" s="1392" t="n"/>
      <c r="CG799" s="1392" t="n"/>
      <c r="CH799" s="1392" t="n"/>
      <c r="CI799" s="1392" t="n"/>
      <c r="CJ799" s="1392" t="n"/>
      <c r="CK799" s="1392" t="n"/>
      <c r="CL799" s="1392" t="n"/>
    </row>
    <row r="800">
      <c r="A800" s="5" t="inlineStr">
        <is>
          <t>.</t>
        </is>
      </c>
      <c r="B800" s="5" t="inlineStr">
        <is>
          <t>.</t>
        </is>
      </c>
      <c r="C800" s="1378">
        <f>IF(raw[[#This Row],[city]]="","-",IF(raw[[#This Row],[city]]="TODAY","-",C799+1))</f>
        <v/>
      </c>
      <c r="D800" s="1393" t="inlineStr">
        <is>
          <t>SSA</t>
        </is>
      </c>
      <c r="E800" s="1394" t="n">
        <v>38059</v>
      </c>
      <c r="F800" s="1394" t="n">
        <v>38078</v>
      </c>
      <c r="G800" s="1393" t="inlineStr">
        <is>
          <t>-</t>
        </is>
      </c>
      <c r="H800" s="1393" t="inlineStr">
        <is>
          <t>Ondina</t>
        </is>
      </c>
      <c r="I800" s="1393" t="inlineStr">
        <is>
          <t>-</t>
        </is>
      </c>
      <c r="J800" s="1393" t="inlineStr">
        <is>
          <t>-</t>
        </is>
      </c>
      <c r="K800" s="1395">
        <f>IF(raw[[#This Row],[city]]&lt;&gt;"",_xlfn.XLOOKUP($D800,ccc[city],ccc[prov],"-"),"-")</f>
        <v/>
      </c>
      <c r="L800" s="1395">
        <f>IF(raw[[#This Row],[city]]&lt;&gt;"",_xlfn.XLOOKUP($D800,ccc[city],ccc[ctry],"-"),"-")</f>
        <v/>
      </c>
      <c r="M800" s="1395">
        <f>IF(raw[[#This Row],[city]]&lt;&gt;"",_xlfn.XLOOKUP($D800,ccc[city],ccc[cont],"-"),"-")</f>
        <v/>
      </c>
      <c r="N800" s="1396">
        <f>IF(raw[[#This Row],[city]]="","-",IF(raw[[#This Row],[cont]]="B",raw[[#This Row],[cont]],"W"))</f>
        <v/>
      </c>
      <c r="O800" s="1397">
        <f>IF(raw[[#This Row],[out]]=0,0,IF(raw[[#This Row],[out]]=raw[[#This Row],[in]],0.01,raw[[#This Row],[out]]-raw[[#This Row],[in]]))</f>
        <v/>
      </c>
      <c r="P800" s="1397">
        <f>IF(raw[[#This Row],[in]]=0,0,MONTH(raw[[#This Row],[in]]))</f>
        <v/>
      </c>
      <c r="Q800" s="1397">
        <f>IF(raw[[#This Row],[in]]=0,0,YEAR(raw[[#This Row],[in]]))</f>
        <v/>
      </c>
      <c r="R800" s="1397">
        <f>INT(raw[[#This Row],[yr]]/10)*10</f>
        <v/>
      </c>
      <c r="S800" s="1395">
        <f>IF(raw[[#This Row],[city]]="","-",IF(raw[[#This Row],[city]]&lt;&gt;_xlfn.XLOOKUP(raw[[#This Row],[home]],homes[home],homes[city],"-"),1,0))</f>
        <v/>
      </c>
      <c r="T800" s="1398" t="inlineStr">
        <is>
          <t>.</t>
        </is>
      </c>
      <c r="U800" s="1399">
        <f>IF(raw[[#This Row],[wb]]="w",raw[[#This Row],[stay]]+U799,U799)</f>
        <v/>
      </c>
      <c r="V800" s="1400">
        <f>IF(raw[[#This Row],[out]]=0,V799,(raw[[#This Row],[out]]-E$5))</f>
        <v/>
      </c>
      <c r="W800" s="1401">
        <f>U800/V800</f>
        <v/>
      </c>
      <c r="X800" s="1378" t="inlineStr">
        <is>
          <t>.</t>
        </is>
      </c>
      <c r="Y800" s="1402">
        <f/>
        <v/>
      </c>
      <c r="Z800" s="1403">
        <f/>
        <v/>
      </c>
      <c r="AA800" s="1403">
        <f/>
        <v/>
      </c>
      <c r="AB800" s="1400">
        <f t="array" ref="AB800">_xlfn.LET(_xlpm.S,_xlfn.ANCHORARRAY($Y$4),_xlpm.r,ROWS(stayCity[[#Headers],[city]]:stayCity[[#This Row],[city]])-1,IF(_xlpm.r&lt;=ROWS(_xlpm.S),INDEX(_xlpm.S,_xlpm.r,1),""))</f>
        <v/>
      </c>
      <c r="AC800" s="1405">
        <f t="array" ref="AC800">_xlfn.LET(_xlpm.S,_xlfn.ANCHORARRAY($Y$4),_xlpm.r,ROWS(stayCity[[#Headers],[city]]:stayCity[[#This Row],[city]])-1,IF(_xlpm.r&lt;=ROWS(_xlpm.S),INDEX(_xlpm.S,_xlpm.r,2),""))</f>
        <v/>
      </c>
      <c r="AD800" s="1405">
        <f t="array" ref="AD800">_xlfn.LET(_xlpm.S,_xlfn.ANCHORARRAY($Y$4),_xlpm.r,ROWS(stayCity[[#Headers],[city]]:stayCity[[#This Row],[city]])-1,IF(_xlpm.r&lt;=ROWS(_xlpm.S),INDEX(_xlpm.S,_xlpm.r,3),""))</f>
        <v/>
      </c>
      <c r="AE800" s="1400">
        <f>IF(stayCity[[#This Row],[out]]&lt;&gt;"",stayCity[[#This Row],[out]]-stayCity[[#This Row],[in]],"-")</f>
        <v/>
      </c>
      <c r="AF800" s="1406">
        <f>IF(Y800="","-",YEAR(stayCity[[#This Row],[in]]))</f>
        <v/>
      </c>
      <c r="AG800" s="1392" t="n"/>
      <c r="AH800" s="1392" t="n"/>
      <c r="AI800" s="1392" t="n"/>
      <c r="AJ800" s="1392" t="n"/>
      <c r="AK800" s="1392" t="n"/>
      <c r="AL800" s="1392" t="n"/>
      <c r="AM800" s="1392" t="n"/>
      <c r="AN800" s="1392" t="n"/>
      <c r="AO800" s="1392" t="n"/>
      <c r="AP800" s="1392" t="n"/>
      <c r="AQ800" s="1392" t="n"/>
      <c r="AR800" s="1392" t="n"/>
      <c r="AS800" s="1422" t="n"/>
      <c r="AT800" s="1392" t="n"/>
      <c r="AU800" s="1392" t="n"/>
      <c r="AV800" s="1392" t="n"/>
      <c r="AW800" s="1392" t="n"/>
      <c r="AX800" s="1392" t="n"/>
      <c r="AY800" s="1392" t="n"/>
      <c r="AZ800" s="1392" t="n"/>
      <c r="BA800" s="1392" t="n"/>
      <c r="BB800" s="1422" t="n"/>
      <c r="BC800" s="1392" t="n"/>
      <c r="BD800" s="1392" t="n"/>
      <c r="BE800" s="1392" t="n"/>
      <c r="BF800" s="1392" t="n"/>
      <c r="BG800" s="1392" t="n"/>
      <c r="BH800" s="1392" t="n"/>
      <c r="BI800" s="1392" t="n"/>
      <c r="BJ800" s="1392" t="n"/>
      <c r="BK800" s="1392" t="n"/>
      <c r="BL800" s="1392" t="n"/>
      <c r="BM800" s="1392" t="n"/>
      <c r="BN800" s="1392" t="n"/>
      <c r="BO800" s="1392" t="n"/>
      <c r="BP800" s="1392" t="n"/>
      <c r="BQ800" s="1392" t="n"/>
      <c r="BR800" s="1392" t="n"/>
      <c r="BS800" s="1392" t="n"/>
      <c r="BT800" s="1392" t="n"/>
      <c r="BU800" s="1416" t="n"/>
      <c r="BV800" s="1392" t="n"/>
      <c r="BW800" s="1392" t="n"/>
      <c r="BX800" s="1392" t="n"/>
      <c r="BY800" s="1392" t="n"/>
      <c r="BZ800" s="1416" t="n"/>
      <c r="CA800" s="1392" t="n"/>
      <c r="CB800" s="1392" t="n"/>
      <c r="CC800" s="1392" t="n"/>
      <c r="CD800" s="1392" t="n"/>
      <c r="CE800" s="1392" t="n"/>
      <c r="CF800" s="1392" t="n"/>
      <c r="CG800" s="1392" t="n"/>
      <c r="CH800" s="1392" t="n"/>
      <c r="CI800" s="1392" t="n"/>
      <c r="CJ800" s="1392" t="n"/>
      <c r="CK800" s="1392" t="n"/>
      <c r="CL800" s="1392" t="n"/>
    </row>
    <row r="801">
      <c r="A801" s="5" t="inlineStr">
        <is>
          <t>.</t>
        </is>
      </c>
      <c r="B801" s="5" t="inlineStr">
        <is>
          <t>.</t>
        </is>
      </c>
      <c r="C801" s="1378">
        <f>IF(raw[[#This Row],[city]]="","-",IF(raw[[#This Row],[city]]="TODAY","-",C800+1))</f>
        <v/>
      </c>
      <c r="D801" s="1393" t="inlineStr">
        <is>
          <t>SSA</t>
        </is>
      </c>
      <c r="E801" s="1394" t="n">
        <v>38078</v>
      </c>
      <c r="F801" s="1394" t="n">
        <v>38108</v>
      </c>
      <c r="G801" s="1393" t="inlineStr">
        <is>
          <t>-</t>
        </is>
      </c>
      <c r="H801" s="1393" t="inlineStr">
        <is>
          <t>Ondina</t>
        </is>
      </c>
      <c r="I801" s="1393" t="inlineStr">
        <is>
          <t>-</t>
        </is>
      </c>
      <c r="J801" s="1393" t="inlineStr">
        <is>
          <t>-</t>
        </is>
      </c>
      <c r="K801" s="1395">
        <f>IF(raw[[#This Row],[city]]&lt;&gt;"",_xlfn.XLOOKUP($D801,ccc[city],ccc[prov],"-"),"-")</f>
        <v/>
      </c>
      <c r="L801" s="1395">
        <f>IF(raw[[#This Row],[city]]&lt;&gt;"",_xlfn.XLOOKUP($D801,ccc[city],ccc[ctry],"-"),"-")</f>
        <v/>
      </c>
      <c r="M801" s="1395">
        <f>IF(raw[[#This Row],[city]]&lt;&gt;"",_xlfn.XLOOKUP($D801,ccc[city],ccc[cont],"-"),"-")</f>
        <v/>
      </c>
      <c r="N801" s="1396">
        <f>IF(raw[[#This Row],[city]]="","-",IF(raw[[#This Row],[cont]]="B",raw[[#This Row],[cont]],"W"))</f>
        <v/>
      </c>
      <c r="O801" s="1397">
        <f>IF(raw[[#This Row],[out]]=0,0,IF(raw[[#This Row],[out]]=raw[[#This Row],[in]],0.01,raw[[#This Row],[out]]-raw[[#This Row],[in]]))</f>
        <v/>
      </c>
      <c r="P801" s="1397">
        <f>IF(raw[[#This Row],[in]]=0,0,MONTH(raw[[#This Row],[in]]))</f>
        <v/>
      </c>
      <c r="Q801" s="1397">
        <f>IF(raw[[#This Row],[in]]=0,0,YEAR(raw[[#This Row],[in]]))</f>
        <v/>
      </c>
      <c r="R801" s="1397">
        <f>INT(raw[[#This Row],[yr]]/10)*10</f>
        <v/>
      </c>
      <c r="S801" s="1395">
        <f>IF(raw[[#This Row],[city]]="","-",IF(raw[[#This Row],[city]]&lt;&gt;_xlfn.XLOOKUP(raw[[#This Row],[home]],homes[home],homes[city],"-"),1,0))</f>
        <v/>
      </c>
      <c r="T801" s="1398" t="inlineStr">
        <is>
          <t>.</t>
        </is>
      </c>
      <c r="U801" s="1399">
        <f>IF(raw[[#This Row],[wb]]="w",raw[[#This Row],[stay]]+U800,U800)</f>
        <v/>
      </c>
      <c r="V801" s="1400">
        <f>IF(raw[[#This Row],[out]]=0,V800,(raw[[#This Row],[out]]-E$5))</f>
        <v/>
      </c>
      <c r="W801" s="1401">
        <f>U801/V801</f>
        <v/>
      </c>
      <c r="X801" s="1378" t="inlineStr">
        <is>
          <t>.</t>
        </is>
      </c>
      <c r="Y801" s="1402">
        <f/>
        <v/>
      </c>
      <c r="Z801" s="1403">
        <f/>
        <v/>
      </c>
      <c r="AA801" s="1403">
        <f/>
        <v/>
      </c>
      <c r="AB801" s="1400">
        <f t="array" ref="AB801">_xlfn.LET(_xlpm.S,_xlfn.ANCHORARRAY($Y$4),_xlpm.r,ROWS(stayCity[[#Headers],[city]]:stayCity[[#This Row],[city]])-1,IF(_xlpm.r&lt;=ROWS(_xlpm.S),INDEX(_xlpm.S,_xlpm.r,1),""))</f>
        <v/>
      </c>
      <c r="AC801" s="1405">
        <f t="array" ref="AC801">_xlfn.LET(_xlpm.S,_xlfn.ANCHORARRAY($Y$4),_xlpm.r,ROWS(stayCity[[#Headers],[city]]:stayCity[[#This Row],[city]])-1,IF(_xlpm.r&lt;=ROWS(_xlpm.S),INDEX(_xlpm.S,_xlpm.r,2),""))</f>
        <v/>
      </c>
      <c r="AD801" s="1405">
        <f t="array" ref="AD801">_xlfn.LET(_xlpm.S,_xlfn.ANCHORARRAY($Y$4),_xlpm.r,ROWS(stayCity[[#Headers],[city]]:stayCity[[#This Row],[city]])-1,IF(_xlpm.r&lt;=ROWS(_xlpm.S),INDEX(_xlpm.S,_xlpm.r,3),""))</f>
        <v/>
      </c>
      <c r="AE801" s="1400">
        <f>IF(stayCity[[#This Row],[out]]&lt;&gt;"",stayCity[[#This Row],[out]]-stayCity[[#This Row],[in]],"-")</f>
        <v/>
      </c>
      <c r="AF801" s="1406">
        <f>IF(Y801="","-",YEAR(stayCity[[#This Row],[in]]))</f>
        <v/>
      </c>
      <c r="AG801" s="1392" t="n"/>
      <c r="AH801" s="1392" t="n"/>
      <c r="AI801" s="1392" t="n"/>
      <c r="AJ801" s="1392" t="n"/>
      <c r="AK801" s="1392" t="n"/>
      <c r="AL801" s="1392" t="n"/>
      <c r="AM801" s="1392" t="n"/>
      <c r="AN801" s="1392" t="n"/>
      <c r="AO801" s="1392" t="n"/>
      <c r="AP801" s="1392" t="n"/>
      <c r="AQ801" s="1392" t="n"/>
      <c r="AR801" s="1392" t="n"/>
      <c r="AS801" s="1422" t="n"/>
      <c r="AT801" s="1392" t="n"/>
      <c r="AU801" s="1392" t="n"/>
      <c r="AV801" s="1392" t="n"/>
      <c r="AW801" s="1392" t="n"/>
      <c r="AX801" s="1392" t="n"/>
      <c r="AY801" s="1392" t="n"/>
      <c r="AZ801" s="1392" t="n"/>
      <c r="BA801" s="1392" t="n"/>
      <c r="BB801" s="1422" t="n"/>
      <c r="BC801" s="1392" t="n"/>
      <c r="BD801" s="1392" t="n"/>
      <c r="BE801" s="1392" t="n"/>
      <c r="BF801" s="1392" t="n"/>
      <c r="BG801" s="1392" t="n"/>
      <c r="BH801" s="1392" t="n"/>
      <c r="BI801" s="1392" t="n"/>
      <c r="BJ801" s="1392" t="n"/>
      <c r="BK801" s="1392" t="n"/>
      <c r="BL801" s="1392" t="n"/>
      <c r="BM801" s="1392" t="n"/>
      <c r="BN801" s="1392" t="n"/>
      <c r="BO801" s="1392" t="n"/>
      <c r="BP801" s="1392" t="n"/>
      <c r="BQ801" s="1392" t="n"/>
      <c r="BR801" s="1392" t="n"/>
      <c r="BS801" s="1392" t="n"/>
      <c r="BT801" s="1392" t="n"/>
      <c r="BU801" s="1416" t="n"/>
      <c r="BV801" s="1392" t="n"/>
      <c r="BW801" s="1392" t="n"/>
      <c r="BX801" s="1392" t="n"/>
      <c r="BY801" s="1392" t="n"/>
      <c r="BZ801" s="1416" t="n"/>
      <c r="CA801" s="1392" t="n"/>
      <c r="CB801" s="1392" t="n"/>
      <c r="CC801" s="1392" t="n"/>
      <c r="CD801" s="1392" t="n"/>
      <c r="CE801" s="1392" t="n"/>
      <c r="CF801" s="1392" t="n"/>
      <c r="CG801" s="1392" t="n"/>
      <c r="CH801" s="1392" t="n"/>
      <c r="CI801" s="1392" t="n"/>
      <c r="CJ801" s="1392" t="n"/>
      <c r="CK801" s="1392" t="n"/>
      <c r="CL801" s="1392" t="n"/>
    </row>
    <row r="802">
      <c r="A802" s="5" t="inlineStr">
        <is>
          <t>.</t>
        </is>
      </c>
      <c r="B802" s="5" t="inlineStr">
        <is>
          <t>.</t>
        </is>
      </c>
      <c r="C802" s="1378">
        <f>IF(raw[[#This Row],[city]]="","-",IF(raw[[#This Row],[city]]="TODAY","-",C801+1))</f>
        <v/>
      </c>
      <c r="D802" s="1393" t="inlineStr">
        <is>
          <t>SSA</t>
        </is>
      </c>
      <c r="E802" s="1394" t="n">
        <v>38108</v>
      </c>
      <c r="F802" s="1394" t="n">
        <v>38139</v>
      </c>
      <c r="G802" s="1393" t="inlineStr">
        <is>
          <t>-</t>
        </is>
      </c>
      <c r="H802" s="1393" t="inlineStr">
        <is>
          <t>Ondina</t>
        </is>
      </c>
      <c r="I802" s="1393" t="inlineStr">
        <is>
          <t>-</t>
        </is>
      </c>
      <c r="J802" s="1393" t="inlineStr">
        <is>
          <t>-</t>
        </is>
      </c>
      <c r="K802" s="1395">
        <f>IF(raw[[#This Row],[city]]&lt;&gt;"",_xlfn.XLOOKUP($D802,ccc[city],ccc[prov],"-"),"-")</f>
        <v/>
      </c>
      <c r="L802" s="1395">
        <f>IF(raw[[#This Row],[city]]&lt;&gt;"",_xlfn.XLOOKUP($D802,ccc[city],ccc[ctry],"-"),"-")</f>
        <v/>
      </c>
      <c r="M802" s="1395">
        <f>IF(raw[[#This Row],[city]]&lt;&gt;"",_xlfn.XLOOKUP($D802,ccc[city],ccc[cont],"-"),"-")</f>
        <v/>
      </c>
      <c r="N802" s="1396">
        <f>IF(raw[[#This Row],[city]]="","-",IF(raw[[#This Row],[cont]]="B",raw[[#This Row],[cont]],"W"))</f>
        <v/>
      </c>
      <c r="O802" s="1397">
        <f>IF(raw[[#This Row],[out]]=0,0,IF(raw[[#This Row],[out]]=raw[[#This Row],[in]],0.01,raw[[#This Row],[out]]-raw[[#This Row],[in]]))</f>
        <v/>
      </c>
      <c r="P802" s="1397">
        <f>IF(raw[[#This Row],[in]]=0,0,MONTH(raw[[#This Row],[in]]))</f>
        <v/>
      </c>
      <c r="Q802" s="1397">
        <f>IF(raw[[#This Row],[in]]=0,0,YEAR(raw[[#This Row],[in]]))</f>
        <v/>
      </c>
      <c r="R802" s="1397">
        <f>INT(raw[[#This Row],[yr]]/10)*10</f>
        <v/>
      </c>
      <c r="S802" s="1395">
        <f>IF(raw[[#This Row],[city]]="","-",IF(raw[[#This Row],[city]]&lt;&gt;_xlfn.XLOOKUP(raw[[#This Row],[home]],homes[home],homes[city],"-"),1,0))</f>
        <v/>
      </c>
      <c r="T802" s="1398" t="inlineStr">
        <is>
          <t>.</t>
        </is>
      </c>
      <c r="U802" s="1399">
        <f>IF(raw[[#This Row],[wb]]="w",raw[[#This Row],[stay]]+U801,U801)</f>
        <v/>
      </c>
      <c r="V802" s="1400">
        <f>IF(raw[[#This Row],[out]]=0,V801,(raw[[#This Row],[out]]-E$5))</f>
        <v/>
      </c>
      <c r="W802" s="1401">
        <f>U802/V802</f>
        <v/>
      </c>
      <c r="X802" s="1378" t="inlineStr">
        <is>
          <t>.</t>
        </is>
      </c>
      <c r="Y802" s="1402">
        <f/>
        <v/>
      </c>
      <c r="Z802" s="1403">
        <f/>
        <v/>
      </c>
      <c r="AA802" s="1403">
        <f/>
        <v/>
      </c>
      <c r="AB802" s="1400">
        <f t="array" ref="AB802">_xlfn.LET(_xlpm.S,_xlfn.ANCHORARRAY($Y$4),_xlpm.r,ROWS(stayCity[[#Headers],[city]]:stayCity[[#This Row],[city]])-1,IF(_xlpm.r&lt;=ROWS(_xlpm.S),INDEX(_xlpm.S,_xlpm.r,1),""))</f>
        <v/>
      </c>
      <c r="AC802" s="1405">
        <f t="array" ref="AC802">_xlfn.LET(_xlpm.S,_xlfn.ANCHORARRAY($Y$4),_xlpm.r,ROWS(stayCity[[#Headers],[city]]:stayCity[[#This Row],[city]])-1,IF(_xlpm.r&lt;=ROWS(_xlpm.S),INDEX(_xlpm.S,_xlpm.r,2),""))</f>
        <v/>
      </c>
      <c r="AD802" s="1405">
        <f t="array" ref="AD802">_xlfn.LET(_xlpm.S,_xlfn.ANCHORARRAY($Y$4),_xlpm.r,ROWS(stayCity[[#Headers],[city]]:stayCity[[#This Row],[city]])-1,IF(_xlpm.r&lt;=ROWS(_xlpm.S),INDEX(_xlpm.S,_xlpm.r,3),""))</f>
        <v/>
      </c>
      <c r="AE802" s="1400">
        <f>IF(stayCity[[#This Row],[out]]&lt;&gt;"",stayCity[[#This Row],[out]]-stayCity[[#This Row],[in]],"-")</f>
        <v/>
      </c>
      <c r="AF802" s="1406">
        <f>IF(Y802="","-",YEAR(stayCity[[#This Row],[in]]))</f>
        <v/>
      </c>
      <c r="AG802" s="1392" t="n"/>
      <c r="AH802" s="1392" t="n"/>
      <c r="AI802" s="1392" t="n"/>
      <c r="AJ802" s="1392" t="n"/>
      <c r="AK802" s="1392" t="n"/>
      <c r="AL802" s="1392" t="n"/>
      <c r="AM802" s="1392" t="n"/>
      <c r="AN802" s="1392" t="n"/>
      <c r="AO802" s="1392" t="n"/>
      <c r="AP802" s="1392" t="n"/>
      <c r="AQ802" s="1392" t="n"/>
      <c r="AR802" s="1392" t="n"/>
      <c r="AS802" s="1422" t="n"/>
      <c r="AT802" s="1392" t="n"/>
      <c r="AU802" s="1392" t="n"/>
      <c r="AV802" s="1392" t="n"/>
      <c r="AW802" s="1392" t="n"/>
      <c r="AX802" s="1392" t="n"/>
      <c r="AY802" s="1392" t="n"/>
      <c r="AZ802" s="1392" t="n"/>
      <c r="BA802" s="1392" t="n"/>
      <c r="BB802" s="1422" t="n"/>
      <c r="BC802" s="1392" t="n"/>
      <c r="BD802" s="1392" t="n"/>
      <c r="BE802" s="1392" t="n"/>
      <c r="BF802" s="1392" t="n"/>
      <c r="BG802" s="1392" t="n"/>
      <c r="BH802" s="1392" t="n"/>
      <c r="BI802" s="1392" t="n"/>
      <c r="BJ802" s="1392" t="n"/>
      <c r="BK802" s="1392" t="n"/>
      <c r="BL802" s="1392" t="n"/>
      <c r="BM802" s="1392" t="n"/>
      <c r="BN802" s="1392" t="n"/>
      <c r="BO802" s="1392" t="n"/>
      <c r="BP802" s="1392" t="n"/>
      <c r="BQ802" s="1392" t="n"/>
      <c r="BR802" s="1392" t="n"/>
      <c r="BS802" s="1392" t="n"/>
      <c r="BT802" s="1392" t="n"/>
      <c r="BU802" s="1416" t="n"/>
      <c r="BV802" s="1392" t="n"/>
      <c r="BW802" s="1392" t="n"/>
      <c r="BX802" s="1392" t="n"/>
      <c r="BY802" s="1392" t="n"/>
      <c r="BZ802" s="1416" t="n"/>
      <c r="CA802" s="1392" t="n"/>
      <c r="CB802" s="1392" t="n"/>
      <c r="CC802" s="1392" t="n"/>
      <c r="CD802" s="1392" t="n"/>
      <c r="CE802" s="1392" t="n"/>
      <c r="CF802" s="1392" t="n"/>
      <c r="CG802" s="1392" t="n"/>
      <c r="CH802" s="1392" t="n"/>
      <c r="CI802" s="1392" t="n"/>
      <c r="CJ802" s="1392" t="n"/>
      <c r="CK802" s="1392" t="n"/>
      <c r="CL802" s="1392" t="n"/>
    </row>
    <row r="803">
      <c r="A803" s="5" t="inlineStr">
        <is>
          <t>.</t>
        </is>
      </c>
      <c r="B803" s="5" t="inlineStr">
        <is>
          <t>.</t>
        </is>
      </c>
      <c r="C803" s="1378">
        <f>IF(raw[[#This Row],[city]]="","-",IF(raw[[#This Row],[city]]="TODAY","-",C802+1))</f>
        <v/>
      </c>
      <c r="D803" s="1393" t="inlineStr">
        <is>
          <t>SSA</t>
        </is>
      </c>
      <c r="E803" s="1394" t="n">
        <v>38139</v>
      </c>
      <c r="F803" s="1394" t="n">
        <v>38161</v>
      </c>
      <c r="G803" s="1393" t="inlineStr">
        <is>
          <t>-</t>
        </is>
      </c>
      <c r="H803" s="1393" t="inlineStr">
        <is>
          <t>Ondina</t>
        </is>
      </c>
      <c r="I803" s="1393" t="inlineStr">
        <is>
          <t>-</t>
        </is>
      </c>
      <c r="J803" s="1393" t="inlineStr">
        <is>
          <t>-</t>
        </is>
      </c>
      <c r="K803" s="1395">
        <f>IF(raw[[#This Row],[city]]&lt;&gt;"",_xlfn.XLOOKUP($D803,ccc[city],ccc[prov],"-"),"-")</f>
        <v/>
      </c>
      <c r="L803" s="1395">
        <f>IF(raw[[#This Row],[city]]&lt;&gt;"",_xlfn.XLOOKUP($D803,ccc[city],ccc[ctry],"-"),"-")</f>
        <v/>
      </c>
      <c r="M803" s="1395">
        <f>IF(raw[[#This Row],[city]]&lt;&gt;"",_xlfn.XLOOKUP($D803,ccc[city],ccc[cont],"-"),"-")</f>
        <v/>
      </c>
      <c r="N803" s="1396">
        <f>IF(raw[[#This Row],[city]]="","-",IF(raw[[#This Row],[cont]]="B",raw[[#This Row],[cont]],"W"))</f>
        <v/>
      </c>
      <c r="O803" s="1397">
        <f>IF(raw[[#This Row],[out]]=0,0,IF(raw[[#This Row],[out]]=raw[[#This Row],[in]],0.01,raw[[#This Row],[out]]-raw[[#This Row],[in]]))</f>
        <v/>
      </c>
      <c r="P803" s="1397">
        <f>IF(raw[[#This Row],[in]]=0,0,MONTH(raw[[#This Row],[in]]))</f>
        <v/>
      </c>
      <c r="Q803" s="1397">
        <f>IF(raw[[#This Row],[in]]=0,0,YEAR(raw[[#This Row],[in]]))</f>
        <v/>
      </c>
      <c r="R803" s="1397">
        <f>INT(raw[[#This Row],[yr]]/10)*10</f>
        <v/>
      </c>
      <c r="S803" s="1395">
        <f>IF(raw[[#This Row],[city]]="","-",IF(raw[[#This Row],[city]]&lt;&gt;_xlfn.XLOOKUP(raw[[#This Row],[home]],homes[home],homes[city],"-"),1,0))</f>
        <v/>
      </c>
      <c r="T803" s="1398" t="inlineStr">
        <is>
          <t>.</t>
        </is>
      </c>
      <c r="U803" s="1399">
        <f>IF(raw[[#This Row],[wb]]="w",raw[[#This Row],[stay]]+U802,U802)</f>
        <v/>
      </c>
      <c r="V803" s="1400">
        <f>IF(raw[[#This Row],[out]]=0,V802,(raw[[#This Row],[out]]-E$5))</f>
        <v/>
      </c>
      <c r="W803" s="1401">
        <f>U803/V803</f>
        <v/>
      </c>
      <c r="X803" s="1378" t="inlineStr">
        <is>
          <t>.</t>
        </is>
      </c>
      <c r="Y803" s="1402">
        <f/>
        <v/>
      </c>
      <c r="Z803" s="1403">
        <f/>
        <v/>
      </c>
      <c r="AA803" s="1403">
        <f/>
        <v/>
      </c>
      <c r="AB803" s="1400">
        <f t="array" ref="AB803">_xlfn.LET(_xlpm.S,_xlfn.ANCHORARRAY($Y$4),_xlpm.r,ROWS(stayCity[[#Headers],[city]]:stayCity[[#This Row],[city]])-1,IF(_xlpm.r&lt;=ROWS(_xlpm.S),INDEX(_xlpm.S,_xlpm.r,1),""))</f>
        <v/>
      </c>
      <c r="AC803" s="1405">
        <f t="array" ref="AC803">_xlfn.LET(_xlpm.S,_xlfn.ANCHORARRAY($Y$4),_xlpm.r,ROWS(stayCity[[#Headers],[city]]:stayCity[[#This Row],[city]])-1,IF(_xlpm.r&lt;=ROWS(_xlpm.S),INDEX(_xlpm.S,_xlpm.r,2),""))</f>
        <v/>
      </c>
      <c r="AD803" s="1405">
        <f t="array" ref="AD803">_xlfn.LET(_xlpm.S,_xlfn.ANCHORARRAY($Y$4),_xlpm.r,ROWS(stayCity[[#Headers],[city]]:stayCity[[#This Row],[city]])-1,IF(_xlpm.r&lt;=ROWS(_xlpm.S),INDEX(_xlpm.S,_xlpm.r,3),""))</f>
        <v/>
      </c>
      <c r="AE803" s="1400">
        <f>IF(stayCity[[#This Row],[out]]&lt;&gt;"",stayCity[[#This Row],[out]]-stayCity[[#This Row],[in]],"-")</f>
        <v/>
      </c>
      <c r="AF803" s="1406">
        <f>IF(Y803="","-",YEAR(stayCity[[#This Row],[in]]))</f>
        <v/>
      </c>
      <c r="AG803" s="1392" t="n"/>
      <c r="AH803" s="1392" t="n"/>
      <c r="AI803" s="1392" t="n"/>
      <c r="AJ803" s="1392" t="n"/>
      <c r="AK803" s="1392" t="n"/>
      <c r="AL803" s="1392" t="n"/>
      <c r="AM803" s="1392" t="n"/>
      <c r="AN803" s="1392" t="n"/>
      <c r="AO803" s="1392" t="n"/>
      <c r="AP803" s="1392" t="n"/>
      <c r="AQ803" s="1392" t="n"/>
      <c r="AR803" s="1392" t="n"/>
      <c r="AS803" s="1422" t="n"/>
      <c r="AT803" s="1392" t="n"/>
      <c r="AU803" s="1392" t="n"/>
      <c r="AV803" s="1392" t="n"/>
      <c r="AW803" s="1392" t="n"/>
      <c r="AX803" s="1392" t="n"/>
      <c r="AY803" s="1392" t="n"/>
      <c r="AZ803" s="1392" t="n"/>
      <c r="BA803" s="1392" t="n"/>
      <c r="BB803" s="1422" t="n"/>
      <c r="BC803" s="1392" t="n"/>
      <c r="BD803" s="1392" t="n"/>
      <c r="BE803" s="1392" t="n"/>
      <c r="BF803" s="1392" t="n"/>
      <c r="BG803" s="1392" t="n"/>
      <c r="BH803" s="1392" t="n"/>
      <c r="BI803" s="1392" t="n"/>
      <c r="BJ803" s="1392" t="n"/>
      <c r="BK803" s="1392" t="n"/>
      <c r="BL803" s="1392" t="n"/>
      <c r="BM803" s="1392" t="n"/>
      <c r="BN803" s="1392" t="n"/>
      <c r="BO803" s="1392" t="n"/>
      <c r="BP803" s="1392" t="n"/>
      <c r="BQ803" s="1392" t="n"/>
      <c r="BR803" s="1392" t="n"/>
      <c r="BS803" s="1392" t="n"/>
      <c r="BT803" s="1392" t="n"/>
      <c r="BU803" s="1416" t="n"/>
      <c r="BV803" s="1392" t="n"/>
      <c r="BW803" s="1392" t="n"/>
      <c r="BX803" s="1392" t="n"/>
      <c r="BY803" s="1392" t="n"/>
      <c r="BZ803" s="1416" t="n"/>
      <c r="CA803" s="1392" t="n"/>
      <c r="CB803" s="1392" t="n"/>
      <c r="CC803" s="1392" t="n"/>
      <c r="CD803" s="1392" t="n"/>
      <c r="CE803" s="1392" t="n"/>
      <c r="CF803" s="1392" t="n"/>
      <c r="CG803" s="1392" t="n"/>
      <c r="CH803" s="1392" t="n"/>
      <c r="CI803" s="1392" t="n"/>
      <c r="CJ803" s="1392" t="n"/>
      <c r="CK803" s="1392" t="n"/>
      <c r="CL803" s="1392" t="n"/>
    </row>
    <row r="804">
      <c r="A804" s="5" t="inlineStr">
        <is>
          <t>.</t>
        </is>
      </c>
      <c r="B804" s="5" t="inlineStr">
        <is>
          <t>.</t>
        </is>
      </c>
      <c r="C804" s="1378">
        <f>IF(raw[[#This Row],[city]]="","-",IF(raw[[#This Row],[city]]="TODAY","-",C803+1))</f>
        <v/>
      </c>
      <c r="D804" s="1393" t="inlineStr">
        <is>
          <t>Amargosa</t>
        </is>
      </c>
      <c r="E804" s="1394" t="n">
        <v>38161</v>
      </c>
      <c r="F804" s="1394" t="n">
        <v>38165</v>
      </c>
      <c r="G804" s="1393" t="inlineStr">
        <is>
          <t>-</t>
        </is>
      </c>
      <c r="H804" s="1393" t="inlineStr">
        <is>
          <t>Ondina</t>
        </is>
      </c>
      <c r="I804" s="1393" t="inlineStr">
        <is>
          <t>-</t>
        </is>
      </c>
      <c r="J804" s="1393" t="inlineStr">
        <is>
          <t>-</t>
        </is>
      </c>
      <c r="K804" s="1395">
        <f>IF(raw[[#This Row],[city]]&lt;&gt;"",_xlfn.XLOOKUP($D804,ccc[city],ccc[prov],"-"),"-")</f>
        <v/>
      </c>
      <c r="L804" s="1395">
        <f>IF(raw[[#This Row],[city]]&lt;&gt;"",_xlfn.XLOOKUP($D804,ccc[city],ccc[ctry],"-"),"-")</f>
        <v/>
      </c>
      <c r="M804" s="1395">
        <f>IF(raw[[#This Row],[city]]&lt;&gt;"",_xlfn.XLOOKUP($D804,ccc[city],ccc[cont],"-"),"-")</f>
        <v/>
      </c>
      <c r="N804" s="1396">
        <f>IF(raw[[#This Row],[city]]="","-",IF(raw[[#This Row],[cont]]="B",raw[[#This Row],[cont]],"W"))</f>
        <v/>
      </c>
      <c r="O804" s="1397">
        <f>IF(raw[[#This Row],[out]]=0,0,IF(raw[[#This Row],[out]]=raw[[#This Row],[in]],0.01,raw[[#This Row],[out]]-raw[[#This Row],[in]]))</f>
        <v/>
      </c>
      <c r="P804" s="1397">
        <f>IF(raw[[#This Row],[in]]=0,0,MONTH(raw[[#This Row],[in]]))</f>
        <v/>
      </c>
      <c r="Q804" s="1397">
        <f>IF(raw[[#This Row],[in]]=0,0,YEAR(raw[[#This Row],[in]]))</f>
        <v/>
      </c>
      <c r="R804" s="1397">
        <f>INT(raw[[#This Row],[yr]]/10)*10</f>
        <v/>
      </c>
      <c r="S804" s="1395">
        <f>IF(raw[[#This Row],[city]]="","-",IF(raw[[#This Row],[city]]&lt;&gt;_xlfn.XLOOKUP(raw[[#This Row],[home]],homes[home],homes[city],"-"),1,0))</f>
        <v/>
      </c>
      <c r="T804" s="1398" t="inlineStr">
        <is>
          <t>.</t>
        </is>
      </c>
      <c r="U804" s="1399">
        <f>IF(raw[[#This Row],[wb]]="w",raw[[#This Row],[stay]]+U803,U803)</f>
        <v/>
      </c>
      <c r="V804" s="1400">
        <f>IF(raw[[#This Row],[out]]=0,V803,(raw[[#This Row],[out]]-E$5))</f>
        <v/>
      </c>
      <c r="W804" s="1401">
        <f>U804/V804</f>
        <v/>
      </c>
      <c r="X804" s="1378" t="inlineStr">
        <is>
          <t>.</t>
        </is>
      </c>
      <c r="Y804" s="1402">
        <f/>
        <v/>
      </c>
      <c r="Z804" s="1403">
        <f/>
        <v/>
      </c>
      <c r="AA804" s="1403">
        <f/>
        <v/>
      </c>
      <c r="AB804" s="1400">
        <f t="array" ref="AB804">_xlfn.LET(_xlpm.S,_xlfn.ANCHORARRAY($Y$4),_xlpm.r,ROWS(stayCity[[#Headers],[city]]:stayCity[[#This Row],[city]])-1,IF(_xlpm.r&lt;=ROWS(_xlpm.S),INDEX(_xlpm.S,_xlpm.r,1),""))</f>
        <v/>
      </c>
      <c r="AC804" s="1405">
        <f t="array" ref="AC804">_xlfn.LET(_xlpm.S,_xlfn.ANCHORARRAY($Y$4),_xlpm.r,ROWS(stayCity[[#Headers],[city]]:stayCity[[#This Row],[city]])-1,IF(_xlpm.r&lt;=ROWS(_xlpm.S),INDEX(_xlpm.S,_xlpm.r,2),""))</f>
        <v/>
      </c>
      <c r="AD804" s="1405">
        <f t="array" ref="AD804">_xlfn.LET(_xlpm.S,_xlfn.ANCHORARRAY($Y$4),_xlpm.r,ROWS(stayCity[[#Headers],[city]]:stayCity[[#This Row],[city]])-1,IF(_xlpm.r&lt;=ROWS(_xlpm.S),INDEX(_xlpm.S,_xlpm.r,3),""))</f>
        <v/>
      </c>
      <c r="AE804" s="1400">
        <f>IF(stayCity[[#This Row],[out]]&lt;&gt;"",stayCity[[#This Row],[out]]-stayCity[[#This Row],[in]],"-")</f>
        <v/>
      </c>
      <c r="AF804" s="1406">
        <f>IF(Y804="","-",YEAR(stayCity[[#This Row],[in]]))</f>
        <v/>
      </c>
      <c r="AG804" s="1392" t="n"/>
      <c r="AH804" s="1392" t="n"/>
      <c r="AI804" s="1392" t="n"/>
      <c r="AJ804" s="1392" t="n"/>
      <c r="AK804" s="1392" t="n"/>
      <c r="AL804" s="1392" t="n"/>
      <c r="AM804" s="1392" t="n"/>
      <c r="AN804" s="1392" t="n"/>
      <c r="AO804" s="1392" t="n"/>
      <c r="AP804" s="1392" t="n"/>
      <c r="AQ804" s="1392" t="n"/>
      <c r="AR804" s="1392" t="n"/>
      <c r="AS804" s="1422" t="n"/>
      <c r="AT804" s="1392" t="n"/>
      <c r="AU804" s="1392" t="n"/>
      <c r="AV804" s="1392" t="n"/>
      <c r="AW804" s="1392" t="n"/>
      <c r="AX804" s="1392" t="n"/>
      <c r="AY804" s="1392" t="n"/>
      <c r="AZ804" s="1392" t="n"/>
      <c r="BA804" s="1392" t="n"/>
      <c r="BB804" s="1422" t="n"/>
      <c r="BC804" s="1392" t="n"/>
      <c r="BD804" s="1392" t="n"/>
      <c r="BE804" s="1392" t="n"/>
      <c r="BF804" s="1392" t="n"/>
      <c r="BG804" s="1392" t="n"/>
      <c r="BH804" s="1392" t="n"/>
      <c r="BI804" s="1392" t="n"/>
      <c r="BJ804" s="1392" t="n"/>
      <c r="BK804" s="1392" t="n"/>
      <c r="BL804" s="1392" t="n"/>
      <c r="BM804" s="1392" t="n"/>
      <c r="BN804" s="1392" t="n"/>
      <c r="BO804" s="1392" t="n"/>
      <c r="BP804" s="1392" t="n"/>
      <c r="BQ804" s="1392" t="n"/>
      <c r="BR804" s="1392" t="n"/>
      <c r="BS804" s="1392" t="n"/>
      <c r="BT804" s="1392" t="n"/>
      <c r="BU804" s="1416" t="n"/>
      <c r="BV804" s="1392" t="n"/>
      <c r="BW804" s="1392" t="n"/>
      <c r="BX804" s="1392" t="n"/>
      <c r="BY804" s="1392" t="n"/>
      <c r="BZ804" s="1416" t="n"/>
      <c r="CA804" s="1392" t="n"/>
      <c r="CB804" s="1392" t="n"/>
      <c r="CC804" s="1392" t="n"/>
      <c r="CD804" s="1392" t="n"/>
      <c r="CE804" s="1392" t="n"/>
      <c r="CF804" s="1392" t="n"/>
      <c r="CG804" s="1392" t="n"/>
      <c r="CH804" s="1392" t="n"/>
      <c r="CI804" s="1392" t="n"/>
      <c r="CJ804" s="1392" t="n"/>
      <c r="CK804" s="1392" t="n"/>
      <c r="CL804" s="1392" t="n"/>
    </row>
    <row r="805">
      <c r="A805" s="5" t="inlineStr">
        <is>
          <t>.</t>
        </is>
      </c>
      <c r="B805" s="5" t="inlineStr">
        <is>
          <t>.</t>
        </is>
      </c>
      <c r="C805" s="1378">
        <f>IF(raw[[#This Row],[city]]="","-",IF(raw[[#This Row],[city]]="TODAY","-",C804+1))</f>
        <v/>
      </c>
      <c r="D805" s="1393" t="inlineStr">
        <is>
          <t>SSA</t>
        </is>
      </c>
      <c r="E805" s="1394" t="n">
        <v>38165</v>
      </c>
      <c r="F805" s="1394" t="n">
        <v>38169</v>
      </c>
      <c r="G805" s="1393" t="n">
        <v>1</v>
      </c>
      <c r="H805" s="1393" t="inlineStr">
        <is>
          <t>Ondina</t>
        </is>
      </c>
      <c r="I805" s="1393" t="inlineStr">
        <is>
          <t>-</t>
        </is>
      </c>
      <c r="J805" s="1393" t="inlineStr">
        <is>
          <t>-</t>
        </is>
      </c>
      <c r="K805" s="1395">
        <f>IF(raw[[#This Row],[city]]&lt;&gt;"",_xlfn.XLOOKUP($D805,ccc[city],ccc[prov],"-"),"-")</f>
        <v/>
      </c>
      <c r="L805" s="1395">
        <f>IF(raw[[#This Row],[city]]&lt;&gt;"",_xlfn.XLOOKUP($D805,ccc[city],ccc[ctry],"-"),"-")</f>
        <v/>
      </c>
      <c r="M805" s="1395">
        <f>IF(raw[[#This Row],[city]]&lt;&gt;"",_xlfn.XLOOKUP($D805,ccc[city],ccc[cont],"-"),"-")</f>
        <v/>
      </c>
      <c r="N805" s="1396">
        <f>IF(raw[[#This Row],[city]]="","-",IF(raw[[#This Row],[cont]]="B",raw[[#This Row],[cont]],"W"))</f>
        <v/>
      </c>
      <c r="O805" s="1397">
        <f>IF(raw[[#This Row],[out]]=0,0,IF(raw[[#This Row],[out]]=raw[[#This Row],[in]],0.01,raw[[#This Row],[out]]-raw[[#This Row],[in]]))</f>
        <v/>
      </c>
      <c r="P805" s="1397">
        <f>IF(raw[[#This Row],[in]]=0,0,MONTH(raw[[#This Row],[in]]))</f>
        <v/>
      </c>
      <c r="Q805" s="1397">
        <f>IF(raw[[#This Row],[in]]=0,0,YEAR(raw[[#This Row],[in]]))</f>
        <v/>
      </c>
      <c r="R805" s="1397">
        <f>INT(raw[[#This Row],[yr]]/10)*10</f>
        <v/>
      </c>
      <c r="S805" s="1395">
        <f>IF(raw[[#This Row],[city]]="","-",IF(raw[[#This Row],[city]]&lt;&gt;_xlfn.XLOOKUP(raw[[#This Row],[home]],homes[home],homes[city],"-"),1,0))</f>
        <v/>
      </c>
      <c r="T805" s="1398" t="inlineStr">
        <is>
          <t>.</t>
        </is>
      </c>
      <c r="U805" s="1399">
        <f>IF(raw[[#This Row],[wb]]="w",raw[[#This Row],[stay]]+U804,U804)</f>
        <v/>
      </c>
      <c r="V805" s="1400">
        <f>IF(raw[[#This Row],[out]]=0,V804,(raw[[#This Row],[out]]-E$5))</f>
        <v/>
      </c>
      <c r="W805" s="1401">
        <f>U805/V805</f>
        <v/>
      </c>
      <c r="X805" s="1378" t="inlineStr">
        <is>
          <t>.</t>
        </is>
      </c>
      <c r="Y805" s="1402">
        <f/>
        <v/>
      </c>
      <c r="Z805" s="1403">
        <f/>
        <v/>
      </c>
      <c r="AA805" s="1403">
        <f/>
        <v/>
      </c>
      <c r="AB805" s="1400">
        <f t="array" ref="AB805">_xlfn.LET(_xlpm.S,_xlfn.ANCHORARRAY($Y$4),_xlpm.r,ROWS(stayCity[[#Headers],[city]]:stayCity[[#This Row],[city]])-1,IF(_xlpm.r&lt;=ROWS(_xlpm.S),INDEX(_xlpm.S,_xlpm.r,1),""))</f>
        <v/>
      </c>
      <c r="AC805" s="1405">
        <f t="array" ref="AC805">_xlfn.LET(_xlpm.S,_xlfn.ANCHORARRAY($Y$4),_xlpm.r,ROWS(stayCity[[#Headers],[city]]:stayCity[[#This Row],[city]])-1,IF(_xlpm.r&lt;=ROWS(_xlpm.S),INDEX(_xlpm.S,_xlpm.r,2),""))</f>
        <v/>
      </c>
      <c r="AD805" s="1405">
        <f t="array" ref="AD805">_xlfn.LET(_xlpm.S,_xlfn.ANCHORARRAY($Y$4),_xlpm.r,ROWS(stayCity[[#Headers],[city]]:stayCity[[#This Row],[city]])-1,IF(_xlpm.r&lt;=ROWS(_xlpm.S),INDEX(_xlpm.S,_xlpm.r,3),""))</f>
        <v/>
      </c>
      <c r="AE805" s="1400">
        <f>IF(stayCity[[#This Row],[out]]&lt;&gt;"",stayCity[[#This Row],[out]]-stayCity[[#This Row],[in]],"-")</f>
        <v/>
      </c>
      <c r="AF805" s="1406">
        <f>IF(Y805="","-",YEAR(stayCity[[#This Row],[in]]))</f>
        <v/>
      </c>
      <c r="AG805" s="1392" t="n"/>
      <c r="AH805" s="1392" t="n"/>
      <c r="AI805" s="1392" t="n"/>
      <c r="AJ805" s="1392" t="n"/>
      <c r="AK805" s="1392" t="n"/>
      <c r="AL805" s="1392" t="n"/>
      <c r="AM805" s="1392" t="n"/>
      <c r="AN805" s="1392" t="n"/>
      <c r="AO805" s="1392" t="n"/>
      <c r="AP805" s="1392" t="n"/>
      <c r="AQ805" s="1392" t="n"/>
      <c r="AR805" s="1392" t="n"/>
      <c r="AS805" s="1422" t="n"/>
      <c r="AT805" s="1392" t="n"/>
      <c r="AU805" s="1392" t="n"/>
      <c r="AV805" s="1392" t="n"/>
      <c r="AW805" s="1392" t="n"/>
      <c r="AX805" s="1392" t="n"/>
      <c r="AY805" s="1392" t="n"/>
      <c r="AZ805" s="1392" t="n"/>
      <c r="BA805" s="1392" t="n"/>
      <c r="BB805" s="1422" t="n"/>
      <c r="BC805" s="1392" t="n"/>
      <c r="BD805" s="1392" t="n"/>
      <c r="BE805" s="1392" t="n"/>
      <c r="BF805" s="1392" t="n"/>
      <c r="BG805" s="1392" t="n"/>
      <c r="BH805" s="1392" t="n"/>
      <c r="BI805" s="1392" t="n"/>
      <c r="BJ805" s="1392" t="n"/>
      <c r="BK805" s="1392" t="n"/>
      <c r="BL805" s="1392" t="n"/>
      <c r="BM805" s="1392" t="n"/>
      <c r="BN805" s="1392" t="n"/>
      <c r="BO805" s="1392" t="n"/>
      <c r="BP805" s="1392" t="n"/>
      <c r="BQ805" s="1392" t="n"/>
      <c r="BR805" s="1392" t="n"/>
      <c r="BS805" s="1392" t="n"/>
      <c r="BT805" s="1392" t="n"/>
      <c r="BU805" s="1416" t="n"/>
      <c r="BV805" s="1392" t="n"/>
      <c r="BW805" s="1392" t="n"/>
      <c r="BX805" s="1392" t="n"/>
      <c r="BY805" s="1392" t="n"/>
      <c r="BZ805" s="1416" t="n"/>
      <c r="CA805" s="1392" t="n"/>
      <c r="CB805" s="1392" t="n"/>
      <c r="CC805" s="1392" t="n"/>
      <c r="CD805" s="1392" t="n"/>
      <c r="CE805" s="1392" t="n"/>
      <c r="CF805" s="1392" t="n"/>
      <c r="CG805" s="1392" t="n"/>
      <c r="CH805" s="1392" t="n"/>
      <c r="CI805" s="1392" t="n"/>
      <c r="CJ805" s="1392" t="n"/>
      <c r="CK805" s="1392" t="n"/>
      <c r="CL805" s="1392" t="n"/>
    </row>
    <row r="806">
      <c r="A806" s="5" t="inlineStr">
        <is>
          <t>.</t>
        </is>
      </c>
      <c r="B806" s="5" t="inlineStr">
        <is>
          <t>.</t>
        </is>
      </c>
      <c r="C806" s="1378">
        <f>IF(raw[[#This Row],[city]]="","-",IF(raw[[#This Row],[city]]="TODAY","-",C805+1))</f>
        <v/>
      </c>
      <c r="D806" s="1393" t="inlineStr">
        <is>
          <t>SP</t>
        </is>
      </c>
      <c r="E806" s="1394" t="n">
        <v>38169</v>
      </c>
      <c r="F806" s="1394" t="n">
        <v>38200</v>
      </c>
      <c r="G806" s="1393" t="inlineStr">
        <is>
          <t>-</t>
        </is>
      </c>
      <c r="H806" s="1393" t="inlineStr">
        <is>
          <t>Staybridge</t>
        </is>
      </c>
      <c r="I806" s="1393" t="inlineStr">
        <is>
          <t>-</t>
        </is>
      </c>
      <c r="J806" s="1393" t="inlineStr">
        <is>
          <t>-</t>
        </is>
      </c>
      <c r="K806" s="1395">
        <f>IF(raw[[#This Row],[city]]&lt;&gt;"",_xlfn.XLOOKUP($D806,ccc[city],ccc[prov],"-"),"-")</f>
        <v/>
      </c>
      <c r="L806" s="1395">
        <f>IF(raw[[#This Row],[city]]&lt;&gt;"",_xlfn.XLOOKUP($D806,ccc[city],ccc[ctry],"-"),"-")</f>
        <v/>
      </c>
      <c r="M806" s="1395">
        <f>IF(raw[[#This Row],[city]]&lt;&gt;"",_xlfn.XLOOKUP($D806,ccc[city],ccc[cont],"-"),"-")</f>
        <v/>
      </c>
      <c r="N806" s="1396">
        <f>IF(raw[[#This Row],[city]]="","-",IF(raw[[#This Row],[cont]]="B",raw[[#This Row],[cont]],"W"))</f>
        <v/>
      </c>
      <c r="O806" s="1397">
        <f>IF(raw[[#This Row],[out]]=0,0,IF(raw[[#This Row],[out]]=raw[[#This Row],[in]],0.01,raw[[#This Row],[out]]-raw[[#This Row],[in]]))</f>
        <v/>
      </c>
      <c r="P806" s="1397">
        <f>IF(raw[[#This Row],[in]]=0,0,MONTH(raw[[#This Row],[in]]))</f>
        <v/>
      </c>
      <c r="Q806" s="1397">
        <f>IF(raw[[#This Row],[in]]=0,0,YEAR(raw[[#This Row],[in]]))</f>
        <v/>
      </c>
      <c r="R806" s="1397">
        <f>INT(raw[[#This Row],[yr]]/10)*10</f>
        <v/>
      </c>
      <c r="S806" s="1395">
        <f>IF(raw[[#This Row],[city]]="","-",IF(raw[[#This Row],[city]]&lt;&gt;_xlfn.XLOOKUP(raw[[#This Row],[home]],homes[home],homes[city],"-"),1,0))</f>
        <v/>
      </c>
      <c r="T806" s="1398" t="inlineStr">
        <is>
          <t>.</t>
        </is>
      </c>
      <c r="U806" s="1399">
        <f>IF(raw[[#This Row],[wb]]="w",raw[[#This Row],[stay]]+U805,U805)</f>
        <v/>
      </c>
      <c r="V806" s="1400">
        <f>IF(raw[[#This Row],[out]]=0,V805,(raw[[#This Row],[out]]-E$5))</f>
        <v/>
      </c>
      <c r="W806" s="1401">
        <f>U806/V806</f>
        <v/>
      </c>
      <c r="X806" s="1378" t="inlineStr">
        <is>
          <t>.</t>
        </is>
      </c>
      <c r="Y806" s="1402">
        <f/>
        <v/>
      </c>
      <c r="Z806" s="1403">
        <f/>
        <v/>
      </c>
      <c r="AA806" s="1403">
        <f/>
        <v/>
      </c>
      <c r="AB806" s="1400">
        <f t="array" ref="AB806">_xlfn.LET(_xlpm.S,_xlfn.ANCHORARRAY($Y$4),_xlpm.r,ROWS(stayCity[[#Headers],[city]]:stayCity[[#This Row],[city]])-1,IF(_xlpm.r&lt;=ROWS(_xlpm.S),INDEX(_xlpm.S,_xlpm.r,1),""))</f>
        <v/>
      </c>
      <c r="AC806" s="1405">
        <f t="array" ref="AC806">_xlfn.LET(_xlpm.S,_xlfn.ANCHORARRAY($Y$4),_xlpm.r,ROWS(stayCity[[#Headers],[city]]:stayCity[[#This Row],[city]])-1,IF(_xlpm.r&lt;=ROWS(_xlpm.S),INDEX(_xlpm.S,_xlpm.r,2),""))</f>
        <v/>
      </c>
      <c r="AD806" s="1405">
        <f t="array" ref="AD806">_xlfn.LET(_xlpm.S,_xlfn.ANCHORARRAY($Y$4),_xlpm.r,ROWS(stayCity[[#Headers],[city]]:stayCity[[#This Row],[city]])-1,IF(_xlpm.r&lt;=ROWS(_xlpm.S),INDEX(_xlpm.S,_xlpm.r,3),""))</f>
        <v/>
      </c>
      <c r="AE806" s="1400">
        <f>IF(stayCity[[#This Row],[out]]&lt;&gt;"",stayCity[[#This Row],[out]]-stayCity[[#This Row],[in]],"-")</f>
        <v/>
      </c>
      <c r="AF806" s="1406">
        <f>IF(Y806="","-",YEAR(stayCity[[#This Row],[in]]))</f>
        <v/>
      </c>
      <c r="AG806" s="1392" t="n"/>
      <c r="AH806" s="1392" t="n"/>
      <c r="AI806" s="1392" t="n"/>
      <c r="AJ806" s="1392" t="n"/>
      <c r="AK806" s="1392" t="n"/>
      <c r="AL806" s="1392" t="n"/>
      <c r="AM806" s="1392" t="n"/>
      <c r="AN806" s="1392" t="n"/>
      <c r="AO806" s="1392" t="n"/>
      <c r="AP806" s="1392" t="n"/>
      <c r="AQ806" s="1392" t="n"/>
      <c r="AR806" s="1392" t="n"/>
      <c r="AS806" s="1422" t="n"/>
      <c r="AT806" s="1392" t="n"/>
      <c r="AU806" s="1392" t="n"/>
      <c r="AV806" s="1392" t="n"/>
      <c r="AW806" s="1392" t="n"/>
      <c r="AX806" s="1392" t="n"/>
      <c r="AY806" s="1392" t="n"/>
      <c r="AZ806" s="1392" t="n"/>
      <c r="BA806" s="1392" t="n"/>
      <c r="BB806" s="1422" t="n"/>
      <c r="BC806" s="1392" t="n"/>
      <c r="BD806" s="1392" t="n"/>
      <c r="BE806" s="1392" t="n"/>
      <c r="BF806" s="1392" t="n"/>
      <c r="BG806" s="1392" t="n"/>
      <c r="BH806" s="1392" t="n"/>
      <c r="BI806" s="1392" t="n"/>
      <c r="BJ806" s="1392" t="n"/>
      <c r="BK806" s="1392" t="n"/>
      <c r="BL806" s="1392" t="n"/>
      <c r="BM806" s="1392" t="n"/>
      <c r="BN806" s="1392" t="n"/>
      <c r="BO806" s="1392" t="n"/>
      <c r="BP806" s="1392" t="n"/>
      <c r="BQ806" s="1392" t="n"/>
      <c r="BR806" s="1392" t="n"/>
      <c r="BS806" s="1392" t="n"/>
      <c r="BT806" s="1392" t="n"/>
      <c r="BU806" s="1416" t="n"/>
      <c r="BV806" s="1392" t="n"/>
      <c r="BW806" s="1392" t="n"/>
      <c r="BX806" s="1392" t="n"/>
      <c r="BY806" s="1392" t="n"/>
      <c r="BZ806" s="1416" t="n"/>
      <c r="CA806" s="1392" t="n"/>
      <c r="CB806" s="1392" t="n"/>
      <c r="CC806" s="1392" t="n"/>
      <c r="CD806" s="1392" t="n"/>
      <c r="CE806" s="1392" t="n"/>
      <c r="CF806" s="1392" t="n"/>
      <c r="CG806" s="1392" t="n"/>
      <c r="CH806" s="1392" t="n"/>
      <c r="CI806" s="1392" t="n"/>
      <c r="CJ806" s="1392" t="n"/>
      <c r="CK806" s="1392" t="n"/>
      <c r="CL806" s="1392" t="n"/>
    </row>
    <row r="807">
      <c r="A807" s="5" t="inlineStr">
        <is>
          <t>.</t>
        </is>
      </c>
      <c r="B807" s="5" t="inlineStr">
        <is>
          <t>.</t>
        </is>
      </c>
      <c r="C807" s="1378">
        <f>IF(raw[[#This Row],[city]]="","-",IF(raw[[#This Row],[city]]="TODAY","-",C806+1))</f>
        <v/>
      </c>
      <c r="D807" s="1393" t="inlineStr">
        <is>
          <t>SP</t>
        </is>
      </c>
      <c r="E807" s="1394" t="n">
        <v>38200</v>
      </c>
      <c r="F807" s="1394" t="n">
        <v>38231</v>
      </c>
      <c r="G807" s="1393" t="inlineStr">
        <is>
          <t>-</t>
        </is>
      </c>
      <c r="H807" s="1393" t="inlineStr">
        <is>
          <t>Staybridge</t>
        </is>
      </c>
      <c r="I807" s="1393" t="inlineStr">
        <is>
          <t>-</t>
        </is>
      </c>
      <c r="J807" s="1393" t="inlineStr">
        <is>
          <t>BDAY</t>
        </is>
      </c>
      <c r="K807" s="1395">
        <f>IF(raw[[#This Row],[city]]&lt;&gt;"",_xlfn.XLOOKUP($D807,ccc[city],ccc[prov],"-"),"-")</f>
        <v/>
      </c>
      <c r="L807" s="1395">
        <f>IF(raw[[#This Row],[city]]&lt;&gt;"",_xlfn.XLOOKUP($D807,ccc[city],ccc[ctry],"-"),"-")</f>
        <v/>
      </c>
      <c r="M807" s="1395">
        <f>IF(raw[[#This Row],[city]]&lt;&gt;"",_xlfn.XLOOKUP($D807,ccc[city],ccc[cont],"-"),"-")</f>
        <v/>
      </c>
      <c r="N807" s="1396">
        <f>IF(raw[[#This Row],[city]]="","-",IF(raw[[#This Row],[cont]]="B",raw[[#This Row],[cont]],"W"))</f>
        <v/>
      </c>
      <c r="O807" s="1397">
        <f>IF(raw[[#This Row],[out]]=0,0,IF(raw[[#This Row],[out]]=raw[[#This Row],[in]],0.01,raw[[#This Row],[out]]-raw[[#This Row],[in]]))</f>
        <v/>
      </c>
      <c r="P807" s="1397">
        <f>IF(raw[[#This Row],[in]]=0,0,MONTH(raw[[#This Row],[in]]))</f>
        <v/>
      </c>
      <c r="Q807" s="1397">
        <f>IF(raw[[#This Row],[in]]=0,0,YEAR(raw[[#This Row],[in]]))</f>
        <v/>
      </c>
      <c r="R807" s="1397">
        <f>INT(raw[[#This Row],[yr]]/10)*10</f>
        <v/>
      </c>
      <c r="S807" s="1395">
        <f>IF(raw[[#This Row],[city]]="","-",IF(raw[[#This Row],[city]]&lt;&gt;_xlfn.XLOOKUP(raw[[#This Row],[home]],homes[home],homes[city],"-"),1,0))</f>
        <v/>
      </c>
      <c r="T807" s="1398" t="inlineStr">
        <is>
          <t>.</t>
        </is>
      </c>
      <c r="U807" s="1399">
        <f>IF(raw[[#This Row],[wb]]="w",raw[[#This Row],[stay]]+U806,U806)</f>
        <v/>
      </c>
      <c r="V807" s="1400">
        <f>IF(raw[[#This Row],[out]]=0,V806,(raw[[#This Row],[out]]-E$5))</f>
        <v/>
      </c>
      <c r="W807" s="1401">
        <f>U807/V807</f>
        <v/>
      </c>
      <c r="X807" s="1378" t="inlineStr">
        <is>
          <t>.</t>
        </is>
      </c>
      <c r="Y807" s="1402">
        <f/>
        <v/>
      </c>
      <c r="Z807" s="1403">
        <f/>
        <v/>
      </c>
      <c r="AA807" s="1403">
        <f/>
        <v/>
      </c>
      <c r="AB807" s="1400">
        <f t="array" ref="AB807">_xlfn.LET(_xlpm.S,_xlfn.ANCHORARRAY($Y$4),_xlpm.r,ROWS(stayCity[[#Headers],[city]]:stayCity[[#This Row],[city]])-1,IF(_xlpm.r&lt;=ROWS(_xlpm.S),INDEX(_xlpm.S,_xlpm.r,1),""))</f>
        <v/>
      </c>
      <c r="AC807" s="1405">
        <f t="array" ref="AC807">_xlfn.LET(_xlpm.S,_xlfn.ANCHORARRAY($Y$4),_xlpm.r,ROWS(stayCity[[#Headers],[city]]:stayCity[[#This Row],[city]])-1,IF(_xlpm.r&lt;=ROWS(_xlpm.S),INDEX(_xlpm.S,_xlpm.r,2),""))</f>
        <v/>
      </c>
      <c r="AD807" s="1405">
        <f t="array" ref="AD807">_xlfn.LET(_xlpm.S,_xlfn.ANCHORARRAY($Y$4),_xlpm.r,ROWS(stayCity[[#Headers],[city]]:stayCity[[#This Row],[city]])-1,IF(_xlpm.r&lt;=ROWS(_xlpm.S),INDEX(_xlpm.S,_xlpm.r,3),""))</f>
        <v/>
      </c>
      <c r="AE807" s="1400">
        <f>IF(stayCity[[#This Row],[out]]&lt;&gt;"",stayCity[[#This Row],[out]]-stayCity[[#This Row],[in]],"-")</f>
        <v/>
      </c>
      <c r="AF807" s="1406">
        <f>IF(Y807="","-",YEAR(stayCity[[#This Row],[in]]))</f>
        <v/>
      </c>
      <c r="AG807" s="1392" t="n"/>
      <c r="AH807" s="1392" t="n"/>
      <c r="AI807" s="1392" t="n"/>
      <c r="AJ807" s="1392" t="n"/>
      <c r="AK807" s="1392" t="n"/>
      <c r="AL807" s="1392" t="n"/>
      <c r="AM807" s="1392" t="n"/>
      <c r="AN807" s="1392" t="n"/>
      <c r="AO807" s="1392" t="n"/>
      <c r="AP807" s="1392" t="n"/>
      <c r="AQ807" s="1392" t="n"/>
      <c r="AR807" s="1392" t="n"/>
      <c r="AS807" s="1422" t="n"/>
      <c r="AT807" s="1392" t="n"/>
      <c r="AU807" s="1392" t="n"/>
      <c r="AV807" s="1392" t="n"/>
      <c r="AW807" s="1392" t="n"/>
      <c r="AX807" s="1392" t="n"/>
      <c r="AY807" s="1392" t="n"/>
      <c r="AZ807" s="1392" t="n"/>
      <c r="BA807" s="1392" t="n"/>
      <c r="BB807" s="1422" t="n"/>
      <c r="BC807" s="1392" t="n"/>
      <c r="BD807" s="1392" t="n"/>
      <c r="BE807" s="1392" t="n"/>
      <c r="BF807" s="1392" t="n"/>
      <c r="BG807" s="1392" t="n"/>
      <c r="BH807" s="1392" t="n"/>
      <c r="BI807" s="1392" t="n"/>
      <c r="BJ807" s="1392" t="n"/>
      <c r="BK807" s="1392" t="n"/>
      <c r="BL807" s="1392" t="n"/>
      <c r="BM807" s="1392" t="n"/>
      <c r="BN807" s="1392" t="n"/>
      <c r="BO807" s="1392" t="n"/>
      <c r="BP807" s="1392" t="n"/>
      <c r="BQ807" s="1392" t="n"/>
      <c r="BR807" s="1392" t="n"/>
      <c r="BS807" s="1392" t="n"/>
      <c r="BT807" s="1392" t="n"/>
      <c r="BU807" s="1416" t="n"/>
      <c r="BV807" s="1392" t="n"/>
      <c r="BW807" s="1392" t="n"/>
      <c r="BX807" s="1392" t="n"/>
      <c r="BY807" s="1392" t="n"/>
      <c r="BZ807" s="1416" t="n"/>
      <c r="CA807" s="1392" t="n"/>
      <c r="CB807" s="1392" t="n"/>
      <c r="CC807" s="1392" t="n"/>
      <c r="CD807" s="1392" t="n"/>
      <c r="CE807" s="1392" t="n"/>
      <c r="CF807" s="1392" t="n"/>
      <c r="CG807" s="1392" t="n"/>
      <c r="CH807" s="1392" t="n"/>
      <c r="CI807" s="1392" t="n"/>
      <c r="CJ807" s="1392" t="n"/>
      <c r="CK807" s="1392" t="n"/>
      <c r="CL807" s="1392" t="n"/>
    </row>
    <row r="808">
      <c r="A808" s="5" t="inlineStr">
        <is>
          <t>.</t>
        </is>
      </c>
      <c r="B808" s="5" t="inlineStr">
        <is>
          <t>.</t>
        </is>
      </c>
      <c r="C808" s="1378">
        <f>IF(raw[[#This Row],[city]]="","-",IF(raw[[#This Row],[city]]="TODAY","-",C807+1))</f>
        <v/>
      </c>
      <c r="D808" s="1393" t="inlineStr">
        <is>
          <t>SP</t>
        </is>
      </c>
      <c r="E808" s="1394" t="n">
        <v>38231</v>
      </c>
      <c r="F808" s="1394" t="n">
        <v>38261</v>
      </c>
      <c r="G808" s="1393" t="inlineStr">
        <is>
          <t>-</t>
        </is>
      </c>
      <c r="H808" s="1393" t="inlineStr">
        <is>
          <t>Staybridge</t>
        </is>
      </c>
      <c r="I808" s="1393" t="inlineStr">
        <is>
          <t>-</t>
        </is>
      </c>
      <c r="J808" s="1393" t="inlineStr">
        <is>
          <t>-</t>
        </is>
      </c>
      <c r="K808" s="1395">
        <f>IF(raw[[#This Row],[city]]&lt;&gt;"",_xlfn.XLOOKUP($D808,ccc[city],ccc[prov],"-"),"-")</f>
        <v/>
      </c>
      <c r="L808" s="1395">
        <f>IF(raw[[#This Row],[city]]&lt;&gt;"",_xlfn.XLOOKUP($D808,ccc[city],ccc[ctry],"-"),"-")</f>
        <v/>
      </c>
      <c r="M808" s="1395">
        <f>IF(raw[[#This Row],[city]]&lt;&gt;"",_xlfn.XLOOKUP($D808,ccc[city],ccc[cont],"-"),"-")</f>
        <v/>
      </c>
      <c r="N808" s="1396">
        <f>IF(raw[[#This Row],[city]]="","-",IF(raw[[#This Row],[cont]]="B",raw[[#This Row],[cont]],"W"))</f>
        <v/>
      </c>
      <c r="O808" s="1397">
        <f>IF(raw[[#This Row],[out]]=0,0,IF(raw[[#This Row],[out]]=raw[[#This Row],[in]],0.01,raw[[#This Row],[out]]-raw[[#This Row],[in]]))</f>
        <v/>
      </c>
      <c r="P808" s="1397">
        <f>IF(raw[[#This Row],[in]]=0,0,MONTH(raw[[#This Row],[in]]))</f>
        <v/>
      </c>
      <c r="Q808" s="1397">
        <f>IF(raw[[#This Row],[in]]=0,0,YEAR(raw[[#This Row],[in]]))</f>
        <v/>
      </c>
      <c r="R808" s="1397">
        <f>INT(raw[[#This Row],[yr]]/10)*10</f>
        <v/>
      </c>
      <c r="S808" s="1395">
        <f>IF(raw[[#This Row],[city]]="","-",IF(raw[[#This Row],[city]]&lt;&gt;_xlfn.XLOOKUP(raw[[#This Row],[home]],homes[home],homes[city],"-"),1,0))</f>
        <v/>
      </c>
      <c r="T808" s="1398" t="inlineStr">
        <is>
          <t>.</t>
        </is>
      </c>
      <c r="U808" s="1399">
        <f>IF(raw[[#This Row],[wb]]="w",raw[[#This Row],[stay]]+U807,U807)</f>
        <v/>
      </c>
      <c r="V808" s="1400">
        <f>IF(raw[[#This Row],[out]]=0,V807,(raw[[#This Row],[out]]-E$5))</f>
        <v/>
      </c>
      <c r="W808" s="1401">
        <f>U808/V808</f>
        <v/>
      </c>
      <c r="X808" s="1378" t="inlineStr">
        <is>
          <t>.</t>
        </is>
      </c>
      <c r="Y808" s="1402">
        <f/>
        <v/>
      </c>
      <c r="Z808" s="1403">
        <f/>
        <v/>
      </c>
      <c r="AA808" s="1403">
        <f/>
        <v/>
      </c>
      <c r="AB808" s="1400">
        <f t="array" ref="AB808">_xlfn.LET(_xlpm.S,_xlfn.ANCHORARRAY($Y$4),_xlpm.r,ROWS(stayCity[[#Headers],[city]]:stayCity[[#This Row],[city]])-1,IF(_xlpm.r&lt;=ROWS(_xlpm.S),INDEX(_xlpm.S,_xlpm.r,1),""))</f>
        <v/>
      </c>
      <c r="AC808" s="1405">
        <f t="array" ref="AC808">_xlfn.LET(_xlpm.S,_xlfn.ANCHORARRAY($Y$4),_xlpm.r,ROWS(stayCity[[#Headers],[city]]:stayCity[[#This Row],[city]])-1,IF(_xlpm.r&lt;=ROWS(_xlpm.S),INDEX(_xlpm.S,_xlpm.r,2),""))</f>
        <v/>
      </c>
      <c r="AD808" s="1405">
        <f t="array" ref="AD808">_xlfn.LET(_xlpm.S,_xlfn.ANCHORARRAY($Y$4),_xlpm.r,ROWS(stayCity[[#Headers],[city]]:stayCity[[#This Row],[city]])-1,IF(_xlpm.r&lt;=ROWS(_xlpm.S),INDEX(_xlpm.S,_xlpm.r,3),""))</f>
        <v/>
      </c>
      <c r="AE808" s="1400">
        <f>IF(stayCity[[#This Row],[out]]&lt;&gt;"",stayCity[[#This Row],[out]]-stayCity[[#This Row],[in]],"-")</f>
        <v/>
      </c>
      <c r="AF808" s="1406">
        <f>IF(Y808="","-",YEAR(stayCity[[#This Row],[in]]))</f>
        <v/>
      </c>
      <c r="AG808" s="1392" t="n"/>
      <c r="AH808" s="1392" t="n"/>
      <c r="AI808" s="1392" t="n"/>
      <c r="AJ808" s="1392" t="n"/>
      <c r="AK808" s="1392" t="n"/>
      <c r="AL808" s="1392" t="n"/>
      <c r="AM808" s="1392" t="n"/>
      <c r="AN808" s="1392" t="n"/>
      <c r="AO808" s="1392" t="n"/>
      <c r="AP808" s="1392" t="n"/>
      <c r="AQ808" s="1392" t="n"/>
      <c r="AR808" s="1392" t="n"/>
      <c r="AS808" s="1422" t="n"/>
      <c r="AT808" s="1392" t="n"/>
      <c r="AU808" s="1392" t="n"/>
      <c r="AV808" s="1392" t="n"/>
      <c r="AW808" s="1392" t="n"/>
      <c r="AX808" s="1392" t="n"/>
      <c r="AY808" s="1392" t="n"/>
      <c r="AZ808" s="1392" t="n"/>
      <c r="BA808" s="1392" t="n"/>
      <c r="BB808" s="1422" t="n"/>
      <c r="BC808" s="1392" t="n"/>
      <c r="BD808" s="1392" t="n"/>
      <c r="BE808" s="1392" t="n"/>
      <c r="BF808" s="1392" t="n"/>
      <c r="BG808" s="1392" t="n"/>
      <c r="BH808" s="1392" t="n"/>
      <c r="BI808" s="1392" t="n"/>
      <c r="BJ808" s="1392" t="n"/>
      <c r="BK808" s="1392" t="n"/>
      <c r="BL808" s="1392" t="n"/>
      <c r="BM808" s="1392" t="n"/>
      <c r="BN808" s="1392" t="n"/>
      <c r="BO808" s="1392" t="n"/>
      <c r="BP808" s="1392" t="n"/>
      <c r="BQ808" s="1392" t="n"/>
      <c r="BR808" s="1392" t="n"/>
      <c r="BS808" s="1392" t="n"/>
      <c r="BT808" s="1392" t="n"/>
      <c r="BU808" s="1416" t="n"/>
      <c r="BV808" s="1392" t="n"/>
      <c r="BW808" s="1392" t="n"/>
      <c r="BX808" s="1392" t="n"/>
      <c r="BY808" s="1392" t="n"/>
      <c r="BZ808" s="1416" t="n"/>
      <c r="CA808" s="1392" t="n"/>
      <c r="CB808" s="1392" t="n"/>
      <c r="CC808" s="1392" t="n"/>
      <c r="CD808" s="1392" t="n"/>
      <c r="CE808" s="1392" t="n"/>
      <c r="CF808" s="1392" t="n"/>
      <c r="CG808" s="1392" t="n"/>
      <c r="CH808" s="1392" t="n"/>
      <c r="CI808" s="1392" t="n"/>
      <c r="CJ808" s="1392" t="n"/>
      <c r="CK808" s="1392" t="n"/>
      <c r="CL808" s="1392" t="n"/>
    </row>
    <row r="809">
      <c r="A809" s="5" t="inlineStr">
        <is>
          <t>.</t>
        </is>
      </c>
      <c r="B809" s="5" t="inlineStr">
        <is>
          <t>.</t>
        </is>
      </c>
      <c r="C809" s="1378">
        <f>IF(raw[[#This Row],[city]]="","-",IF(raw[[#This Row],[city]]="TODAY","-",C808+1))</f>
        <v/>
      </c>
      <c r="D809" s="1393" t="inlineStr">
        <is>
          <t>SP</t>
        </is>
      </c>
      <c r="E809" s="1394" t="n">
        <v>38261</v>
      </c>
      <c r="F809" s="1394" t="n">
        <v>38292</v>
      </c>
      <c r="G809" s="1393" t="inlineStr">
        <is>
          <t>-</t>
        </is>
      </c>
      <c r="H809" s="1393" t="inlineStr">
        <is>
          <t>Staybridge</t>
        </is>
      </c>
      <c r="I809" s="1393" t="inlineStr">
        <is>
          <t>-</t>
        </is>
      </c>
      <c r="J809" s="1393" t="inlineStr">
        <is>
          <t>-</t>
        </is>
      </c>
      <c r="K809" s="1395">
        <f>IF(raw[[#This Row],[city]]&lt;&gt;"",_xlfn.XLOOKUP($D809,ccc[city],ccc[prov],"-"),"-")</f>
        <v/>
      </c>
      <c r="L809" s="1395">
        <f>IF(raw[[#This Row],[city]]&lt;&gt;"",_xlfn.XLOOKUP($D809,ccc[city],ccc[ctry],"-"),"-")</f>
        <v/>
      </c>
      <c r="M809" s="1395">
        <f>IF(raw[[#This Row],[city]]&lt;&gt;"",_xlfn.XLOOKUP($D809,ccc[city],ccc[cont],"-"),"-")</f>
        <v/>
      </c>
      <c r="N809" s="1396">
        <f>IF(raw[[#This Row],[city]]="","-",IF(raw[[#This Row],[cont]]="B",raw[[#This Row],[cont]],"W"))</f>
        <v/>
      </c>
      <c r="O809" s="1397">
        <f>IF(raw[[#This Row],[out]]=0,0,IF(raw[[#This Row],[out]]=raw[[#This Row],[in]],0.01,raw[[#This Row],[out]]-raw[[#This Row],[in]]))</f>
        <v/>
      </c>
      <c r="P809" s="1397">
        <f>IF(raw[[#This Row],[in]]=0,0,MONTH(raw[[#This Row],[in]]))</f>
        <v/>
      </c>
      <c r="Q809" s="1397">
        <f>IF(raw[[#This Row],[in]]=0,0,YEAR(raw[[#This Row],[in]]))</f>
        <v/>
      </c>
      <c r="R809" s="1397">
        <f>INT(raw[[#This Row],[yr]]/10)*10</f>
        <v/>
      </c>
      <c r="S809" s="1395">
        <f>IF(raw[[#This Row],[city]]="","-",IF(raw[[#This Row],[city]]&lt;&gt;_xlfn.XLOOKUP(raw[[#This Row],[home]],homes[home],homes[city],"-"),1,0))</f>
        <v/>
      </c>
      <c r="T809" s="1398" t="inlineStr">
        <is>
          <t>.</t>
        </is>
      </c>
      <c r="U809" s="1399">
        <f>IF(raw[[#This Row],[wb]]="w",raw[[#This Row],[stay]]+U808,U808)</f>
        <v/>
      </c>
      <c r="V809" s="1400">
        <f>IF(raw[[#This Row],[out]]=0,V808,(raw[[#This Row],[out]]-E$5))</f>
        <v/>
      </c>
      <c r="W809" s="1401">
        <f>U809/V809</f>
        <v/>
      </c>
      <c r="X809" s="1378" t="inlineStr">
        <is>
          <t>.</t>
        </is>
      </c>
      <c r="Y809" s="1402">
        <f/>
        <v/>
      </c>
      <c r="Z809" s="1403">
        <f/>
        <v/>
      </c>
      <c r="AA809" s="1403">
        <f/>
        <v/>
      </c>
      <c r="AB809" s="1400">
        <f t="array" ref="AB809">_xlfn.LET(_xlpm.S,_xlfn.ANCHORARRAY($Y$4),_xlpm.r,ROWS(stayCity[[#Headers],[city]]:stayCity[[#This Row],[city]])-1,IF(_xlpm.r&lt;=ROWS(_xlpm.S),INDEX(_xlpm.S,_xlpm.r,1),""))</f>
        <v/>
      </c>
      <c r="AC809" s="1405">
        <f t="array" ref="AC809">_xlfn.LET(_xlpm.S,_xlfn.ANCHORARRAY($Y$4),_xlpm.r,ROWS(stayCity[[#Headers],[city]]:stayCity[[#This Row],[city]])-1,IF(_xlpm.r&lt;=ROWS(_xlpm.S),INDEX(_xlpm.S,_xlpm.r,2),""))</f>
        <v/>
      </c>
      <c r="AD809" s="1405">
        <f t="array" ref="AD809">_xlfn.LET(_xlpm.S,_xlfn.ANCHORARRAY($Y$4),_xlpm.r,ROWS(stayCity[[#Headers],[city]]:stayCity[[#This Row],[city]])-1,IF(_xlpm.r&lt;=ROWS(_xlpm.S),INDEX(_xlpm.S,_xlpm.r,3),""))</f>
        <v/>
      </c>
      <c r="AE809" s="1400">
        <f>IF(stayCity[[#This Row],[out]]&lt;&gt;"",stayCity[[#This Row],[out]]-stayCity[[#This Row],[in]],"-")</f>
        <v/>
      </c>
      <c r="AF809" s="1406">
        <f>IF(Y809="","-",YEAR(stayCity[[#This Row],[in]]))</f>
        <v/>
      </c>
      <c r="AG809" s="1392" t="n"/>
      <c r="AH809" s="1392" t="n"/>
      <c r="AI809" s="1392" t="n"/>
      <c r="AJ809" s="1392" t="n"/>
      <c r="AK809" s="1392" t="n"/>
      <c r="AL809" s="1392" t="n"/>
      <c r="AM809" s="1392" t="n"/>
      <c r="AN809" s="1392" t="n"/>
      <c r="AO809" s="1392" t="n"/>
      <c r="AP809" s="1392" t="n"/>
      <c r="AQ809" s="1392" t="n"/>
      <c r="AR809" s="1392" t="n"/>
      <c r="AS809" s="1422" t="n"/>
      <c r="AT809" s="1392" t="n"/>
      <c r="AU809" s="1392" t="n"/>
      <c r="AV809" s="1392" t="n"/>
      <c r="AW809" s="1392" t="n"/>
      <c r="AX809" s="1392" t="n"/>
      <c r="AY809" s="1392" t="n"/>
      <c r="AZ809" s="1392" t="n"/>
      <c r="BA809" s="1392" t="n"/>
      <c r="BB809" s="1422" t="n"/>
      <c r="BC809" s="1392" t="n"/>
      <c r="BD809" s="1392" t="n"/>
      <c r="BE809" s="1392" t="n"/>
      <c r="BF809" s="1392" t="n"/>
      <c r="BG809" s="1392" t="n"/>
      <c r="BH809" s="1392" t="n"/>
      <c r="BI809" s="1392" t="n"/>
      <c r="BJ809" s="1392" t="n"/>
      <c r="BK809" s="1392" t="n"/>
      <c r="BL809" s="1392" t="n"/>
      <c r="BM809" s="1392" t="n"/>
      <c r="BN809" s="1392" t="n"/>
      <c r="BO809" s="1392" t="n"/>
      <c r="BP809" s="1392" t="n"/>
      <c r="BQ809" s="1392" t="n"/>
      <c r="BR809" s="1392" t="n"/>
      <c r="BS809" s="1392" t="n"/>
      <c r="BT809" s="1392" t="n"/>
      <c r="BU809" s="1416" t="n"/>
      <c r="BV809" s="1392" t="n"/>
      <c r="BW809" s="1392" t="n"/>
      <c r="BX809" s="1392" t="n"/>
      <c r="BY809" s="1392" t="n"/>
      <c r="BZ809" s="1416" t="n"/>
      <c r="CA809" s="1392" t="n"/>
      <c r="CB809" s="1392" t="n"/>
      <c r="CC809" s="1392" t="n"/>
      <c r="CD809" s="1392" t="n"/>
      <c r="CE809" s="1392" t="n"/>
      <c r="CF809" s="1392" t="n"/>
      <c r="CG809" s="1392" t="n"/>
      <c r="CH809" s="1392" t="n"/>
      <c r="CI809" s="1392" t="n"/>
      <c r="CJ809" s="1392" t="n"/>
      <c r="CK809" s="1392" t="n"/>
      <c r="CL809" s="1392" t="n"/>
    </row>
    <row r="810">
      <c r="A810" s="5" t="inlineStr">
        <is>
          <t>.</t>
        </is>
      </c>
      <c r="B810" s="5" t="inlineStr">
        <is>
          <t>.</t>
        </is>
      </c>
      <c r="C810" s="1378">
        <f>IF(raw[[#This Row],[city]]="","-",IF(raw[[#This Row],[city]]="TODAY","-",C809+1))</f>
        <v/>
      </c>
      <c r="D810" s="1393" t="inlineStr">
        <is>
          <t>SP</t>
        </is>
      </c>
      <c r="E810" s="1394" t="n">
        <v>38292</v>
      </c>
      <c r="F810" s="1394" t="n">
        <v>38322</v>
      </c>
      <c r="G810" s="1393" t="inlineStr">
        <is>
          <t>-</t>
        </is>
      </c>
      <c r="H810" s="1393" t="inlineStr">
        <is>
          <t>Staybridge</t>
        </is>
      </c>
      <c r="I810" s="1393" t="inlineStr">
        <is>
          <t>-</t>
        </is>
      </c>
      <c r="J810" s="1393" t="inlineStr">
        <is>
          <t>-</t>
        </is>
      </c>
      <c r="K810" s="1395">
        <f>IF(raw[[#This Row],[city]]&lt;&gt;"",_xlfn.XLOOKUP($D810,ccc[city],ccc[prov],"-"),"-")</f>
        <v/>
      </c>
      <c r="L810" s="1395">
        <f>IF(raw[[#This Row],[city]]&lt;&gt;"",_xlfn.XLOOKUP($D810,ccc[city],ccc[ctry],"-"),"-")</f>
        <v/>
      </c>
      <c r="M810" s="1395">
        <f>IF(raw[[#This Row],[city]]&lt;&gt;"",_xlfn.XLOOKUP($D810,ccc[city],ccc[cont],"-"),"-")</f>
        <v/>
      </c>
      <c r="N810" s="1396">
        <f>IF(raw[[#This Row],[city]]="","-",IF(raw[[#This Row],[cont]]="B",raw[[#This Row],[cont]],"W"))</f>
        <v/>
      </c>
      <c r="O810" s="1397">
        <f>IF(raw[[#This Row],[out]]=0,0,IF(raw[[#This Row],[out]]=raw[[#This Row],[in]],0.01,raw[[#This Row],[out]]-raw[[#This Row],[in]]))</f>
        <v/>
      </c>
      <c r="P810" s="1397">
        <f>IF(raw[[#This Row],[in]]=0,0,MONTH(raw[[#This Row],[in]]))</f>
        <v/>
      </c>
      <c r="Q810" s="1397">
        <f>IF(raw[[#This Row],[in]]=0,0,YEAR(raw[[#This Row],[in]]))</f>
        <v/>
      </c>
      <c r="R810" s="1397">
        <f>INT(raw[[#This Row],[yr]]/10)*10</f>
        <v/>
      </c>
      <c r="S810" s="1395">
        <f>IF(raw[[#This Row],[city]]="","-",IF(raw[[#This Row],[city]]&lt;&gt;_xlfn.XLOOKUP(raw[[#This Row],[home]],homes[home],homes[city],"-"),1,0))</f>
        <v/>
      </c>
      <c r="T810" s="1398" t="inlineStr">
        <is>
          <t>.</t>
        </is>
      </c>
      <c r="U810" s="1399">
        <f>IF(raw[[#This Row],[wb]]="w",raw[[#This Row],[stay]]+U809,U809)</f>
        <v/>
      </c>
      <c r="V810" s="1400">
        <f>IF(raw[[#This Row],[out]]=0,V809,(raw[[#This Row],[out]]-E$5))</f>
        <v/>
      </c>
      <c r="W810" s="1401">
        <f>U810/V810</f>
        <v/>
      </c>
      <c r="X810" s="1378" t="inlineStr">
        <is>
          <t>.</t>
        </is>
      </c>
      <c r="Y810" s="1402">
        <f/>
        <v/>
      </c>
      <c r="Z810" s="1403">
        <f/>
        <v/>
      </c>
      <c r="AA810" s="1403">
        <f/>
        <v/>
      </c>
      <c r="AB810" s="1400">
        <f t="array" ref="AB810">_xlfn.LET(_xlpm.S,_xlfn.ANCHORARRAY($Y$4),_xlpm.r,ROWS(stayCity[[#Headers],[city]]:stayCity[[#This Row],[city]])-1,IF(_xlpm.r&lt;=ROWS(_xlpm.S),INDEX(_xlpm.S,_xlpm.r,1),""))</f>
        <v/>
      </c>
      <c r="AC810" s="1405">
        <f t="array" ref="AC810">_xlfn.LET(_xlpm.S,_xlfn.ANCHORARRAY($Y$4),_xlpm.r,ROWS(stayCity[[#Headers],[city]]:stayCity[[#This Row],[city]])-1,IF(_xlpm.r&lt;=ROWS(_xlpm.S),INDEX(_xlpm.S,_xlpm.r,2),""))</f>
        <v/>
      </c>
      <c r="AD810" s="1405">
        <f t="array" ref="AD810">_xlfn.LET(_xlpm.S,_xlfn.ANCHORARRAY($Y$4),_xlpm.r,ROWS(stayCity[[#Headers],[city]]:stayCity[[#This Row],[city]])-1,IF(_xlpm.r&lt;=ROWS(_xlpm.S),INDEX(_xlpm.S,_xlpm.r,3),""))</f>
        <v/>
      </c>
      <c r="AE810" s="1400">
        <f>IF(stayCity[[#This Row],[out]]&lt;&gt;"",stayCity[[#This Row],[out]]-stayCity[[#This Row],[in]],"-")</f>
        <v/>
      </c>
      <c r="AF810" s="1406">
        <f>IF(Y810="","-",YEAR(stayCity[[#This Row],[in]]))</f>
        <v/>
      </c>
      <c r="AG810" s="1392" t="n"/>
      <c r="AH810" s="1392" t="n"/>
      <c r="AI810" s="1392" t="n"/>
      <c r="AJ810" s="1392" t="n"/>
      <c r="AK810" s="1392" t="n"/>
      <c r="AL810" s="1392" t="n"/>
      <c r="AM810" s="1392" t="n"/>
      <c r="AN810" s="1392" t="n"/>
      <c r="AO810" s="1392" t="n"/>
      <c r="AP810" s="1392" t="n"/>
      <c r="AQ810" s="1392" t="n"/>
      <c r="AR810" s="1392" t="n"/>
      <c r="AS810" s="1422" t="n"/>
      <c r="AT810" s="1392" t="n"/>
      <c r="AU810" s="1392" t="n"/>
      <c r="AV810" s="1392" t="n"/>
      <c r="AW810" s="1392" t="n"/>
      <c r="AX810" s="1392" t="n"/>
      <c r="AY810" s="1392" t="n"/>
      <c r="AZ810" s="1392" t="n"/>
      <c r="BA810" s="1392" t="n"/>
      <c r="BB810" s="1422" t="n"/>
      <c r="BC810" s="1392" t="n"/>
      <c r="BD810" s="1392" t="n"/>
      <c r="BE810" s="1392" t="n"/>
      <c r="BF810" s="1392" t="n"/>
      <c r="BG810" s="1392" t="n"/>
      <c r="BH810" s="1392" t="n"/>
      <c r="BI810" s="1392" t="n"/>
      <c r="BJ810" s="1392" t="n"/>
      <c r="BK810" s="1392" t="n"/>
      <c r="BL810" s="1392" t="n"/>
      <c r="BM810" s="1392" t="n"/>
      <c r="BN810" s="1392" t="n"/>
      <c r="BO810" s="1392" t="n"/>
      <c r="BP810" s="1392" t="n"/>
      <c r="BQ810" s="1392" t="n"/>
      <c r="BR810" s="1392" t="n"/>
      <c r="BS810" s="1392" t="n"/>
      <c r="BT810" s="1392" t="n"/>
      <c r="BU810" s="1416" t="n"/>
      <c r="BV810" s="1392" t="n"/>
      <c r="BW810" s="1392" t="n"/>
      <c r="BX810" s="1392" t="n"/>
      <c r="BY810" s="1392" t="n"/>
      <c r="BZ810" s="1416" t="n"/>
      <c r="CA810" s="1392" t="n"/>
      <c r="CB810" s="1392" t="n"/>
      <c r="CC810" s="1392" t="n"/>
      <c r="CD810" s="1392" t="n"/>
      <c r="CE810" s="1392" t="n"/>
      <c r="CF810" s="1392" t="n"/>
      <c r="CG810" s="1392" t="n"/>
      <c r="CH810" s="1392" t="n"/>
      <c r="CI810" s="1392" t="n"/>
      <c r="CJ810" s="1392" t="n"/>
      <c r="CK810" s="1392" t="n"/>
      <c r="CL810" s="1392" t="n"/>
    </row>
    <row r="811">
      <c r="A811" s="5" t="inlineStr">
        <is>
          <t>.</t>
        </is>
      </c>
      <c r="B811" s="5" t="inlineStr">
        <is>
          <t>.</t>
        </is>
      </c>
      <c r="C811" s="1378">
        <f>IF(raw[[#This Row],[city]]="","-",IF(raw[[#This Row],[city]]="TODAY","-",C810+1))</f>
        <v/>
      </c>
      <c r="D811" s="1393" t="inlineStr">
        <is>
          <t>SP</t>
        </is>
      </c>
      <c r="E811" s="1394" t="n">
        <v>38322</v>
      </c>
      <c r="F811" s="1394" t="n">
        <v>38323</v>
      </c>
      <c r="G811" s="1393" t="n">
        <v>1</v>
      </c>
      <c r="H811" s="1393" t="inlineStr">
        <is>
          <t>Staybridge</t>
        </is>
      </c>
      <c r="I811" s="1393" t="n"/>
      <c r="J811" s="1393" t="inlineStr">
        <is>
          <t>-</t>
        </is>
      </c>
      <c r="K811" s="1395">
        <f>IF(raw[[#This Row],[city]]&lt;&gt;"",_xlfn.XLOOKUP($D811,ccc[city],ccc[prov],"-"),"-")</f>
        <v/>
      </c>
      <c r="L811" s="1395">
        <f>IF(raw[[#This Row],[city]]&lt;&gt;"",_xlfn.XLOOKUP($D811,ccc[city],ccc[ctry],"-"),"-")</f>
        <v/>
      </c>
      <c r="M811" s="1395">
        <f>IF(raw[[#This Row],[city]]&lt;&gt;"",_xlfn.XLOOKUP($D811,ccc[city],ccc[cont],"-"),"-")</f>
        <v/>
      </c>
      <c r="N811" s="1396">
        <f>IF(raw[[#This Row],[city]]="","-",IF(raw[[#This Row],[cont]]="B",raw[[#This Row],[cont]],"W"))</f>
        <v/>
      </c>
      <c r="O811" s="1397">
        <f>IF(raw[[#This Row],[out]]=0,0,IF(raw[[#This Row],[out]]=raw[[#This Row],[in]],0.01,raw[[#This Row],[out]]-raw[[#This Row],[in]]))</f>
        <v/>
      </c>
      <c r="P811" s="1397">
        <f>IF(raw[[#This Row],[in]]=0,0,MONTH(raw[[#This Row],[in]]))</f>
        <v/>
      </c>
      <c r="Q811" s="1397">
        <f>IF(raw[[#This Row],[in]]=0,0,YEAR(raw[[#This Row],[in]]))</f>
        <v/>
      </c>
      <c r="R811" s="1397">
        <f>INT(raw[[#This Row],[yr]]/10)*10</f>
        <v/>
      </c>
      <c r="S811" s="1395">
        <f>IF(raw[[#This Row],[city]]="","-",IF(raw[[#This Row],[city]]&lt;&gt;_xlfn.XLOOKUP(raw[[#This Row],[home]],homes[home],homes[city],"-"),1,0))</f>
        <v/>
      </c>
      <c r="T811" s="1398" t="inlineStr">
        <is>
          <t>.</t>
        </is>
      </c>
      <c r="U811" s="1399">
        <f>IF(raw[[#This Row],[wb]]="w",raw[[#This Row],[stay]]+U810,U810)</f>
        <v/>
      </c>
      <c r="V811" s="1400">
        <f>IF(raw[[#This Row],[out]]=0,V810,(raw[[#This Row],[out]]-E$5))</f>
        <v/>
      </c>
      <c r="W811" s="1401">
        <f>U811/V811</f>
        <v/>
      </c>
      <c r="X811" s="1378" t="inlineStr">
        <is>
          <t>.</t>
        </is>
      </c>
      <c r="Y811" s="1402">
        <f/>
        <v/>
      </c>
      <c r="Z811" s="1403">
        <f/>
        <v/>
      </c>
      <c r="AA811" s="1403">
        <f/>
        <v/>
      </c>
      <c r="AB811" s="1400">
        <f t="array" ref="AB811">_xlfn.LET(_xlpm.S,_xlfn.ANCHORARRAY($Y$4),_xlpm.r,ROWS(stayCity[[#Headers],[city]]:stayCity[[#This Row],[city]])-1,IF(_xlpm.r&lt;=ROWS(_xlpm.S),INDEX(_xlpm.S,_xlpm.r,1),""))</f>
        <v/>
      </c>
      <c r="AC811" s="1405">
        <f t="array" ref="AC811">_xlfn.LET(_xlpm.S,_xlfn.ANCHORARRAY($Y$4),_xlpm.r,ROWS(stayCity[[#Headers],[city]]:stayCity[[#This Row],[city]])-1,IF(_xlpm.r&lt;=ROWS(_xlpm.S),INDEX(_xlpm.S,_xlpm.r,2),""))</f>
        <v/>
      </c>
      <c r="AD811" s="1405">
        <f t="array" ref="AD811">_xlfn.LET(_xlpm.S,_xlfn.ANCHORARRAY($Y$4),_xlpm.r,ROWS(stayCity[[#Headers],[city]]:stayCity[[#This Row],[city]])-1,IF(_xlpm.r&lt;=ROWS(_xlpm.S),INDEX(_xlpm.S,_xlpm.r,3),""))</f>
        <v/>
      </c>
      <c r="AE811" s="1400">
        <f>IF(stayCity[[#This Row],[out]]&lt;&gt;"",stayCity[[#This Row],[out]]-stayCity[[#This Row],[in]],"-")</f>
        <v/>
      </c>
      <c r="AF811" s="1406">
        <f>IF(Y811="","-",YEAR(stayCity[[#This Row],[in]]))</f>
        <v/>
      </c>
      <c r="AG811" s="1392" t="n"/>
      <c r="AH811" s="1392" t="n"/>
      <c r="AI811" s="1392" t="n"/>
      <c r="AJ811" s="1392" t="n"/>
      <c r="AK811" s="1392" t="n"/>
      <c r="AL811" s="1392" t="n"/>
      <c r="AM811" s="1392" t="n"/>
      <c r="AN811" s="1392" t="n"/>
      <c r="AO811" s="1392" t="n"/>
      <c r="AP811" s="1392" t="n"/>
      <c r="AQ811" s="1392" t="n"/>
      <c r="AR811" s="1392" t="n"/>
      <c r="AS811" s="1422" t="n"/>
      <c r="AT811" s="1392" t="n"/>
      <c r="AU811" s="1392" t="n"/>
      <c r="AV811" s="1392" t="n"/>
      <c r="AW811" s="1392" t="n"/>
      <c r="AX811" s="1392" t="n"/>
      <c r="AY811" s="1392" t="n"/>
      <c r="AZ811" s="1392" t="n"/>
      <c r="BA811" s="1392" t="n"/>
      <c r="BB811" s="1422" t="n"/>
      <c r="BC811" s="1392" t="n"/>
      <c r="BD811" s="1392" t="n"/>
      <c r="BE811" s="1392" t="n"/>
      <c r="BF811" s="1392" t="n"/>
      <c r="BG811" s="1392" t="n"/>
      <c r="BH811" s="1392" t="n"/>
      <c r="BI811" s="1392" t="n"/>
      <c r="BJ811" s="1392" t="n"/>
      <c r="BK811" s="1392" t="n"/>
      <c r="BL811" s="1392" t="n"/>
      <c r="BM811" s="1392" t="n"/>
      <c r="BN811" s="1392" t="n"/>
      <c r="BO811" s="1392" t="n"/>
      <c r="BP811" s="1392" t="n"/>
      <c r="BQ811" s="1392" t="n"/>
      <c r="BR811" s="1392" t="n"/>
      <c r="BS811" s="1392" t="n"/>
      <c r="BT811" s="1392" t="n"/>
      <c r="BU811" s="1416" t="n"/>
      <c r="BV811" s="1392" t="n"/>
      <c r="BW811" s="1392" t="n"/>
      <c r="BX811" s="1392" t="n"/>
      <c r="BY811" s="1392" t="n"/>
      <c r="BZ811" s="1416" t="n"/>
      <c r="CA811" s="1392" t="n"/>
      <c r="CB811" s="1392" t="n"/>
      <c r="CC811" s="1392" t="n"/>
      <c r="CD811" s="1392" t="n"/>
      <c r="CE811" s="1392" t="n"/>
      <c r="CF811" s="1392" t="n"/>
      <c r="CG811" s="1392" t="n"/>
      <c r="CH811" s="1392" t="n"/>
      <c r="CI811" s="1392" t="n"/>
      <c r="CJ811" s="1392" t="n"/>
      <c r="CK811" s="1392" t="n"/>
      <c r="CL811" s="1392" t="n"/>
    </row>
    <row r="812">
      <c r="A812" s="5" t="inlineStr">
        <is>
          <t>.</t>
        </is>
      </c>
      <c r="B812" s="5" t="inlineStr">
        <is>
          <t>.</t>
        </is>
      </c>
      <c r="C812" s="1378">
        <f>IF(raw[[#This Row],[city]]="","-",IF(raw[[#This Row],[city]]="TODAY","-",C811+1))</f>
        <v/>
      </c>
      <c r="D812" s="1393" t="inlineStr">
        <is>
          <t>SSA</t>
        </is>
      </c>
      <c r="E812" s="1394" t="n">
        <v>38323</v>
      </c>
      <c r="F812" s="1394" t="n">
        <v>38330</v>
      </c>
      <c r="G812" s="1393" t="n">
        <v>1</v>
      </c>
      <c r="H812" s="1393" t="inlineStr">
        <is>
          <t>Staybridge</t>
        </is>
      </c>
      <c r="I812" s="1393" t="inlineStr">
        <is>
          <t>Ondina</t>
        </is>
      </c>
      <c r="J812" s="1393" t="inlineStr">
        <is>
          <t>-</t>
        </is>
      </c>
      <c r="K812" s="1395">
        <f>IF(raw[[#This Row],[city]]&lt;&gt;"",_xlfn.XLOOKUP($D812,ccc[city],ccc[prov],"-"),"-")</f>
        <v/>
      </c>
      <c r="L812" s="1395">
        <f>IF(raw[[#This Row],[city]]&lt;&gt;"",_xlfn.XLOOKUP($D812,ccc[city],ccc[ctry],"-"),"-")</f>
        <v/>
      </c>
      <c r="M812" s="1395">
        <f>IF(raw[[#This Row],[city]]&lt;&gt;"",_xlfn.XLOOKUP($D812,ccc[city],ccc[cont],"-"),"-")</f>
        <v/>
      </c>
      <c r="N812" s="1396">
        <f>IF(raw[[#This Row],[city]]="","-",IF(raw[[#This Row],[cont]]="B",raw[[#This Row],[cont]],"W"))</f>
        <v/>
      </c>
      <c r="O812" s="1397">
        <f>IF(raw[[#This Row],[out]]=0,0,IF(raw[[#This Row],[out]]=raw[[#This Row],[in]],0.01,raw[[#This Row],[out]]-raw[[#This Row],[in]]))</f>
        <v/>
      </c>
      <c r="P812" s="1397">
        <f>IF(raw[[#This Row],[in]]=0,0,MONTH(raw[[#This Row],[in]]))</f>
        <v/>
      </c>
      <c r="Q812" s="1397">
        <f>IF(raw[[#This Row],[in]]=0,0,YEAR(raw[[#This Row],[in]]))</f>
        <v/>
      </c>
      <c r="R812" s="1397">
        <f>INT(raw[[#This Row],[yr]]/10)*10</f>
        <v/>
      </c>
      <c r="S812" s="1395">
        <f>IF(raw[[#This Row],[city]]="","-",IF(raw[[#This Row],[city]]&lt;&gt;_xlfn.XLOOKUP(raw[[#This Row],[home]],homes[home],homes[city],"-"),1,0))</f>
        <v/>
      </c>
      <c r="T812" s="1398" t="inlineStr">
        <is>
          <t>.</t>
        </is>
      </c>
      <c r="U812" s="1399">
        <f>IF(raw[[#This Row],[wb]]="w",raw[[#This Row],[stay]]+U811,U811)</f>
        <v/>
      </c>
      <c r="V812" s="1400">
        <f>IF(raw[[#This Row],[out]]=0,V811,(raw[[#This Row],[out]]-E$5))</f>
        <v/>
      </c>
      <c r="W812" s="1401">
        <f>U812/V812</f>
        <v/>
      </c>
      <c r="X812" s="1378" t="inlineStr">
        <is>
          <t>.</t>
        </is>
      </c>
      <c r="Y812" s="1402">
        <f/>
        <v/>
      </c>
      <c r="Z812" s="1403">
        <f/>
        <v/>
      </c>
      <c r="AA812" s="1403">
        <f/>
        <v/>
      </c>
      <c r="AB812" s="1400">
        <f t="array" ref="AB812">_xlfn.LET(_xlpm.S,_xlfn.ANCHORARRAY($Y$4),_xlpm.r,ROWS(stayCity[[#Headers],[city]]:stayCity[[#This Row],[city]])-1,IF(_xlpm.r&lt;=ROWS(_xlpm.S),INDEX(_xlpm.S,_xlpm.r,1),""))</f>
        <v/>
      </c>
      <c r="AC812" s="1405">
        <f t="array" ref="AC812">_xlfn.LET(_xlpm.S,_xlfn.ANCHORARRAY($Y$4),_xlpm.r,ROWS(stayCity[[#Headers],[city]]:stayCity[[#This Row],[city]])-1,IF(_xlpm.r&lt;=ROWS(_xlpm.S),INDEX(_xlpm.S,_xlpm.r,2),""))</f>
        <v/>
      </c>
      <c r="AD812" s="1405">
        <f t="array" ref="AD812">_xlfn.LET(_xlpm.S,_xlfn.ANCHORARRAY($Y$4),_xlpm.r,ROWS(stayCity[[#Headers],[city]]:stayCity[[#This Row],[city]])-1,IF(_xlpm.r&lt;=ROWS(_xlpm.S),INDEX(_xlpm.S,_xlpm.r,3),""))</f>
        <v/>
      </c>
      <c r="AE812" s="1400">
        <f>IF(stayCity[[#This Row],[out]]&lt;&gt;"",stayCity[[#This Row],[out]]-stayCity[[#This Row],[in]],"-")</f>
        <v/>
      </c>
      <c r="AF812" s="1406">
        <f>IF(Y812="","-",YEAR(stayCity[[#This Row],[in]]))</f>
        <v/>
      </c>
      <c r="AG812" s="1392" t="n"/>
      <c r="AH812" s="1392" t="n"/>
      <c r="AI812" s="1392" t="n"/>
      <c r="AJ812" s="1392" t="n"/>
      <c r="AK812" s="1392" t="n"/>
      <c r="AL812" s="1392" t="n"/>
      <c r="AM812" s="1392" t="n"/>
      <c r="AN812" s="1392" t="n"/>
      <c r="AO812" s="1392" t="n"/>
      <c r="AP812" s="1392" t="n"/>
      <c r="AQ812" s="1392" t="n"/>
      <c r="AR812" s="1392" t="n"/>
      <c r="AS812" s="1422" t="n"/>
      <c r="AT812" s="1392" t="n"/>
      <c r="AU812" s="1392" t="n"/>
      <c r="AV812" s="1392" t="n"/>
      <c r="AW812" s="1392" t="n"/>
      <c r="AX812" s="1392" t="n"/>
      <c r="AY812" s="1392" t="n"/>
      <c r="AZ812" s="1392" t="n"/>
      <c r="BA812" s="1392" t="n"/>
      <c r="BB812" s="1422" t="n"/>
      <c r="BC812" s="1392" t="n"/>
      <c r="BD812" s="1392" t="n"/>
      <c r="BE812" s="1392" t="n"/>
      <c r="BF812" s="1392" t="n"/>
      <c r="BG812" s="1392" t="n"/>
      <c r="BH812" s="1392" t="n"/>
      <c r="BI812" s="1392" t="n"/>
      <c r="BJ812" s="1392" t="n"/>
      <c r="BK812" s="1392" t="n"/>
      <c r="BL812" s="1392" t="n"/>
      <c r="BM812" s="1392" t="n"/>
      <c r="BN812" s="1392" t="n"/>
      <c r="BO812" s="1392" t="n"/>
      <c r="BP812" s="1392" t="n"/>
      <c r="BQ812" s="1392" t="n"/>
      <c r="BR812" s="1392" t="n"/>
      <c r="BS812" s="1392" t="n"/>
      <c r="BT812" s="1392" t="n"/>
      <c r="BU812" s="1416" t="n"/>
      <c r="BV812" s="1392" t="n"/>
      <c r="BW812" s="1392" t="n"/>
      <c r="BX812" s="1392" t="n"/>
      <c r="BY812" s="1392" t="n"/>
      <c r="BZ812" s="1416" t="n"/>
      <c r="CA812" s="1392" t="n"/>
      <c r="CB812" s="1392" t="n"/>
      <c r="CC812" s="1392" t="n"/>
      <c r="CD812" s="1392" t="n"/>
      <c r="CE812" s="1392" t="n"/>
      <c r="CF812" s="1392" t="n"/>
      <c r="CG812" s="1392" t="n"/>
      <c r="CH812" s="1392" t="n"/>
      <c r="CI812" s="1392" t="n"/>
      <c r="CJ812" s="1392" t="n"/>
      <c r="CK812" s="1392" t="n"/>
      <c r="CL812" s="1392" t="n"/>
    </row>
    <row r="813">
      <c r="A813" s="5" t="inlineStr">
        <is>
          <t>.</t>
        </is>
      </c>
      <c r="B813" s="5" t="inlineStr">
        <is>
          <t>.</t>
        </is>
      </c>
      <c r="C813" s="1378">
        <f>IF(raw[[#This Row],[city]]="","-",IF(raw[[#This Row],[city]]="TODAY","-",C812+1))</f>
        <v/>
      </c>
      <c r="D813" s="1393" t="inlineStr">
        <is>
          <t>SP</t>
        </is>
      </c>
      <c r="E813" s="1394" t="n">
        <v>38330</v>
      </c>
      <c r="F813" s="1394" t="n">
        <v>38337</v>
      </c>
      <c r="G813" s="1393" t="inlineStr">
        <is>
          <t>-</t>
        </is>
      </c>
      <c r="H813" s="1393" t="inlineStr">
        <is>
          <t>Staybridge</t>
        </is>
      </c>
      <c r="I813" s="1393" t="inlineStr">
        <is>
          <t>-</t>
        </is>
      </c>
      <c r="J813" s="1393" t="inlineStr">
        <is>
          <t>-</t>
        </is>
      </c>
      <c r="K813" s="1395">
        <f>IF(raw[[#This Row],[city]]&lt;&gt;"",_xlfn.XLOOKUP($D813,ccc[city],ccc[prov],"-"),"-")</f>
        <v/>
      </c>
      <c r="L813" s="1395">
        <f>IF(raw[[#This Row],[city]]&lt;&gt;"",_xlfn.XLOOKUP($D813,ccc[city],ccc[ctry],"-"),"-")</f>
        <v/>
      </c>
      <c r="M813" s="1395">
        <f>IF(raw[[#This Row],[city]]&lt;&gt;"",_xlfn.XLOOKUP($D813,ccc[city],ccc[cont],"-"),"-")</f>
        <v/>
      </c>
      <c r="N813" s="1396">
        <f>IF(raw[[#This Row],[city]]="","-",IF(raw[[#This Row],[cont]]="B",raw[[#This Row],[cont]],"W"))</f>
        <v/>
      </c>
      <c r="O813" s="1397">
        <f>IF(raw[[#This Row],[out]]=0,0,IF(raw[[#This Row],[out]]=raw[[#This Row],[in]],0.01,raw[[#This Row],[out]]-raw[[#This Row],[in]]))</f>
        <v/>
      </c>
      <c r="P813" s="1397">
        <f>IF(raw[[#This Row],[in]]=0,0,MONTH(raw[[#This Row],[in]]))</f>
        <v/>
      </c>
      <c r="Q813" s="1397">
        <f>IF(raw[[#This Row],[in]]=0,0,YEAR(raw[[#This Row],[in]]))</f>
        <v/>
      </c>
      <c r="R813" s="1397">
        <f>INT(raw[[#This Row],[yr]]/10)*10</f>
        <v/>
      </c>
      <c r="S813" s="1395">
        <f>IF(raw[[#This Row],[city]]="","-",IF(raw[[#This Row],[city]]&lt;&gt;_xlfn.XLOOKUP(raw[[#This Row],[home]],homes[home],homes[city],"-"),1,0))</f>
        <v/>
      </c>
      <c r="T813" s="1398" t="inlineStr">
        <is>
          <t>.</t>
        </is>
      </c>
      <c r="U813" s="1399">
        <f>IF(raw[[#This Row],[wb]]="w",raw[[#This Row],[stay]]+U812,U812)</f>
        <v/>
      </c>
      <c r="V813" s="1400">
        <f>IF(raw[[#This Row],[out]]=0,V812,(raw[[#This Row],[out]]-E$5))</f>
        <v/>
      </c>
      <c r="W813" s="1401">
        <f>U813/V813</f>
        <v/>
      </c>
      <c r="X813" s="1378" t="inlineStr">
        <is>
          <t>.</t>
        </is>
      </c>
      <c r="Y813" s="1402">
        <f/>
        <v/>
      </c>
      <c r="Z813" s="1403">
        <f/>
        <v/>
      </c>
      <c r="AA813" s="1403">
        <f/>
        <v/>
      </c>
      <c r="AB813" s="1400">
        <f t="array" ref="AB813">_xlfn.LET(_xlpm.S,_xlfn.ANCHORARRAY($Y$4),_xlpm.r,ROWS(stayCity[[#Headers],[city]]:stayCity[[#This Row],[city]])-1,IF(_xlpm.r&lt;=ROWS(_xlpm.S),INDEX(_xlpm.S,_xlpm.r,1),""))</f>
        <v/>
      </c>
      <c r="AC813" s="1405">
        <f t="array" ref="AC813">_xlfn.LET(_xlpm.S,_xlfn.ANCHORARRAY($Y$4),_xlpm.r,ROWS(stayCity[[#Headers],[city]]:stayCity[[#This Row],[city]])-1,IF(_xlpm.r&lt;=ROWS(_xlpm.S),INDEX(_xlpm.S,_xlpm.r,2),""))</f>
        <v/>
      </c>
      <c r="AD813" s="1405">
        <f t="array" ref="AD813">_xlfn.LET(_xlpm.S,_xlfn.ANCHORARRAY($Y$4),_xlpm.r,ROWS(stayCity[[#Headers],[city]]:stayCity[[#This Row],[city]])-1,IF(_xlpm.r&lt;=ROWS(_xlpm.S),INDEX(_xlpm.S,_xlpm.r,3),""))</f>
        <v/>
      </c>
      <c r="AE813" s="1400">
        <f>IF(stayCity[[#This Row],[out]]&lt;&gt;"",stayCity[[#This Row],[out]]-stayCity[[#This Row],[in]],"-")</f>
        <v/>
      </c>
      <c r="AF813" s="1406">
        <f>IF(Y813="","-",YEAR(stayCity[[#This Row],[in]]))</f>
        <v/>
      </c>
      <c r="AG813" s="1392" t="n"/>
      <c r="AH813" s="1392" t="n"/>
      <c r="AI813" s="1392" t="n"/>
      <c r="AJ813" s="1392" t="n"/>
      <c r="AK813" s="1392" t="n"/>
      <c r="AL813" s="1392" t="n"/>
      <c r="AM813" s="1392" t="n"/>
      <c r="AN813" s="1392" t="n"/>
      <c r="AO813" s="1392" t="n"/>
      <c r="AP813" s="1392" t="n"/>
      <c r="AQ813" s="1392" t="n"/>
      <c r="AR813" s="1392" t="n"/>
      <c r="AS813" s="1422" t="n"/>
      <c r="AT813" s="1392" t="n"/>
      <c r="AU813" s="1392" t="n"/>
      <c r="AV813" s="1392" t="n"/>
      <c r="AW813" s="1392" t="n"/>
      <c r="AX813" s="1392" t="n"/>
      <c r="AY813" s="1392" t="n"/>
      <c r="AZ813" s="1392" t="n"/>
      <c r="BA813" s="1392" t="n"/>
      <c r="BB813" s="1422" t="n"/>
      <c r="BC813" s="1392" t="n"/>
      <c r="BD813" s="1392" t="n"/>
      <c r="BE813" s="1392" t="n"/>
      <c r="BF813" s="1392" t="n"/>
      <c r="BG813" s="1392" t="n"/>
      <c r="BH813" s="1392" t="n"/>
      <c r="BI813" s="1392" t="n"/>
      <c r="BJ813" s="1392" t="n"/>
      <c r="BK813" s="1392" t="n"/>
      <c r="BL813" s="1392" t="n"/>
      <c r="BM813" s="1392" t="n"/>
      <c r="BN813" s="1392" t="n"/>
      <c r="BO813" s="1392" t="n"/>
      <c r="BP813" s="1392" t="n"/>
      <c r="BQ813" s="1392" t="n"/>
      <c r="BR813" s="1392" t="n"/>
      <c r="BS813" s="1392" t="n"/>
      <c r="BT813" s="1392" t="n"/>
      <c r="BU813" s="1416" t="n"/>
      <c r="BV813" s="1392" t="n"/>
      <c r="BW813" s="1392" t="n"/>
      <c r="BX813" s="1392" t="n"/>
      <c r="BY813" s="1392" t="n"/>
      <c r="BZ813" s="1416" t="n"/>
      <c r="CA813" s="1392" t="n"/>
      <c r="CB813" s="1392" t="n"/>
      <c r="CC813" s="1392" t="n"/>
      <c r="CD813" s="1392" t="n"/>
      <c r="CE813" s="1392" t="n"/>
      <c r="CF813" s="1392" t="n"/>
      <c r="CG813" s="1392" t="n"/>
      <c r="CH813" s="1392" t="n"/>
      <c r="CI813" s="1392" t="n"/>
      <c r="CJ813" s="1392" t="n"/>
      <c r="CK813" s="1392" t="n"/>
      <c r="CL813" s="1392" t="n"/>
    </row>
    <row r="814">
      <c r="A814" s="5" t="inlineStr">
        <is>
          <t>.</t>
        </is>
      </c>
      <c r="B814" s="5" t="inlineStr">
        <is>
          <t>.</t>
        </is>
      </c>
      <c r="C814" s="1378">
        <f>IF(raw[[#This Row],[city]]="","-",IF(raw[[#This Row],[city]]="TODAY","-",C813+1))</f>
        <v/>
      </c>
      <c r="D814" s="1393" t="inlineStr">
        <is>
          <t>Guaecá</t>
        </is>
      </c>
      <c r="E814" s="1394" t="n">
        <v>38337</v>
      </c>
      <c r="F814" s="1394" t="n">
        <v>38347</v>
      </c>
      <c r="G814" s="1393" t="inlineStr">
        <is>
          <t>-</t>
        </is>
      </c>
      <c r="H814" s="1393" t="inlineStr">
        <is>
          <t>Staybridge</t>
        </is>
      </c>
      <c r="I814" s="1393" t="inlineStr">
        <is>
          <t>Guaecá</t>
        </is>
      </c>
      <c r="J814" s="1393" t="inlineStr">
        <is>
          <t>-</t>
        </is>
      </c>
      <c r="K814" s="1395">
        <f>IF(raw[[#This Row],[city]]&lt;&gt;"",_xlfn.XLOOKUP($D814,ccc[city],ccc[prov],"-"),"-")</f>
        <v/>
      </c>
      <c r="L814" s="1395">
        <f>IF(raw[[#This Row],[city]]&lt;&gt;"",_xlfn.XLOOKUP($D814,ccc[city],ccc[ctry],"-"),"-")</f>
        <v/>
      </c>
      <c r="M814" s="1395">
        <f>IF(raw[[#This Row],[city]]&lt;&gt;"",_xlfn.XLOOKUP($D814,ccc[city],ccc[cont],"-"),"-")</f>
        <v/>
      </c>
      <c r="N814" s="1396">
        <f>IF(raw[[#This Row],[city]]="","-",IF(raw[[#This Row],[cont]]="B",raw[[#This Row],[cont]],"W"))</f>
        <v/>
      </c>
      <c r="O814" s="1397">
        <f>IF(raw[[#This Row],[out]]=0,0,IF(raw[[#This Row],[out]]=raw[[#This Row],[in]],0.01,raw[[#This Row],[out]]-raw[[#This Row],[in]]))</f>
        <v/>
      </c>
      <c r="P814" s="1397">
        <f>IF(raw[[#This Row],[in]]=0,0,MONTH(raw[[#This Row],[in]]))</f>
        <v/>
      </c>
      <c r="Q814" s="1397">
        <f>IF(raw[[#This Row],[in]]=0,0,YEAR(raw[[#This Row],[in]]))</f>
        <v/>
      </c>
      <c r="R814" s="1397">
        <f>INT(raw[[#This Row],[yr]]/10)*10</f>
        <v/>
      </c>
      <c r="S814" s="1395">
        <f>IF(raw[[#This Row],[city]]="","-",IF(raw[[#This Row],[city]]&lt;&gt;_xlfn.XLOOKUP(raw[[#This Row],[home]],homes[home],homes[city],"-"),1,0))</f>
        <v/>
      </c>
      <c r="T814" s="1398" t="inlineStr">
        <is>
          <t>.</t>
        </is>
      </c>
      <c r="U814" s="1399">
        <f>IF(raw[[#This Row],[wb]]="w",raw[[#This Row],[stay]]+U813,U813)</f>
        <v/>
      </c>
      <c r="V814" s="1400">
        <f>IF(raw[[#This Row],[out]]=0,V813,(raw[[#This Row],[out]]-E$5))</f>
        <v/>
      </c>
      <c r="W814" s="1401">
        <f>U814/V814</f>
        <v/>
      </c>
      <c r="X814" s="1378" t="inlineStr">
        <is>
          <t>.</t>
        </is>
      </c>
      <c r="Y814" s="1402">
        <f/>
        <v/>
      </c>
      <c r="Z814" s="1403">
        <f/>
        <v/>
      </c>
      <c r="AA814" s="1403">
        <f/>
        <v/>
      </c>
      <c r="AB814" s="1400">
        <f t="array" ref="AB814">_xlfn.LET(_xlpm.S,_xlfn.ANCHORARRAY($Y$4),_xlpm.r,ROWS(stayCity[[#Headers],[city]]:stayCity[[#This Row],[city]])-1,IF(_xlpm.r&lt;=ROWS(_xlpm.S),INDEX(_xlpm.S,_xlpm.r,1),""))</f>
        <v/>
      </c>
      <c r="AC814" s="1405">
        <f t="array" ref="AC814">_xlfn.LET(_xlpm.S,_xlfn.ANCHORARRAY($Y$4),_xlpm.r,ROWS(stayCity[[#Headers],[city]]:stayCity[[#This Row],[city]])-1,IF(_xlpm.r&lt;=ROWS(_xlpm.S),INDEX(_xlpm.S,_xlpm.r,2),""))</f>
        <v/>
      </c>
      <c r="AD814" s="1405">
        <f t="array" ref="AD814">_xlfn.LET(_xlpm.S,_xlfn.ANCHORARRAY($Y$4),_xlpm.r,ROWS(stayCity[[#Headers],[city]]:stayCity[[#This Row],[city]])-1,IF(_xlpm.r&lt;=ROWS(_xlpm.S),INDEX(_xlpm.S,_xlpm.r,3),""))</f>
        <v/>
      </c>
      <c r="AE814" s="1400">
        <f>IF(stayCity[[#This Row],[out]]&lt;&gt;"",stayCity[[#This Row],[out]]-stayCity[[#This Row],[in]],"-")</f>
        <v/>
      </c>
      <c r="AF814" s="1406">
        <f>IF(Y814="","-",YEAR(stayCity[[#This Row],[in]]))</f>
        <v/>
      </c>
      <c r="AG814" s="1392" t="n"/>
      <c r="AH814" s="1392" t="n"/>
      <c r="AI814" s="1392" t="n"/>
      <c r="AJ814" s="1392" t="n"/>
      <c r="AK814" s="1392" t="n"/>
      <c r="AL814" s="1392" t="n"/>
      <c r="AM814" s="1392" t="n"/>
      <c r="AN814" s="1392" t="n"/>
      <c r="AO814" s="1392" t="n"/>
      <c r="AP814" s="1392" t="n"/>
      <c r="AQ814" s="1392" t="n"/>
      <c r="AR814" s="1392" t="n"/>
      <c r="AS814" s="1422" t="n"/>
      <c r="AT814" s="1392" t="n"/>
      <c r="AU814" s="1392" t="n"/>
      <c r="AV814" s="1392" t="n"/>
      <c r="AW814" s="1392" t="n"/>
      <c r="AX814" s="1392" t="n"/>
      <c r="AY814" s="1392" t="n"/>
      <c r="AZ814" s="1392" t="n"/>
      <c r="BA814" s="1392" t="n"/>
      <c r="BB814" s="1422" t="n"/>
      <c r="BC814" s="1392" t="n"/>
      <c r="BD814" s="1392" t="n"/>
      <c r="BE814" s="1392" t="n"/>
      <c r="BF814" s="1392" t="n"/>
      <c r="BG814" s="1392" t="n"/>
      <c r="BH814" s="1392" t="n"/>
      <c r="BI814" s="1392" t="n"/>
      <c r="BJ814" s="1392" t="n"/>
      <c r="BK814" s="1392" t="n"/>
      <c r="BL814" s="1392" t="n"/>
      <c r="BM814" s="1392" t="n"/>
      <c r="BN814" s="1392" t="n"/>
      <c r="BO814" s="1392" t="n"/>
      <c r="BP814" s="1392" t="n"/>
      <c r="BQ814" s="1392" t="n"/>
      <c r="BR814" s="1392" t="n"/>
      <c r="BS814" s="1392" t="n"/>
      <c r="BT814" s="1392" t="n"/>
      <c r="BU814" s="1416" t="n"/>
      <c r="BV814" s="1392" t="n"/>
      <c r="BW814" s="1392" t="n"/>
      <c r="BX814" s="1392" t="n"/>
      <c r="BY814" s="1392" t="n"/>
      <c r="BZ814" s="1416" t="n"/>
      <c r="CA814" s="1392" t="n"/>
      <c r="CB814" s="1392" t="n"/>
      <c r="CC814" s="1392" t="n"/>
      <c r="CD814" s="1392" t="n"/>
      <c r="CE814" s="1392" t="n"/>
      <c r="CF814" s="1392" t="n"/>
      <c r="CG814" s="1392" t="n"/>
      <c r="CH814" s="1392" t="n"/>
      <c r="CI814" s="1392" t="n"/>
      <c r="CJ814" s="1392" t="n"/>
      <c r="CK814" s="1392" t="n"/>
      <c r="CL814" s="1392" t="n"/>
    </row>
    <row r="815">
      <c r="A815" s="5" t="inlineStr">
        <is>
          <t>.</t>
        </is>
      </c>
      <c r="B815" s="5" t="inlineStr">
        <is>
          <t>.</t>
        </is>
      </c>
      <c r="C815" s="1378">
        <f>IF(raw[[#This Row],[city]]="","-",IF(raw[[#This Row],[city]]="TODAY","-",C814+1))</f>
        <v/>
      </c>
      <c r="D815" s="1393" t="inlineStr">
        <is>
          <t>SP</t>
        </is>
      </c>
      <c r="E815" s="1394" t="n">
        <v>38347</v>
      </c>
      <c r="F815" s="1394" t="n">
        <v>38352</v>
      </c>
      <c r="G815" s="1393" t="n">
        <v>1</v>
      </c>
      <c r="H815" s="1393" t="inlineStr">
        <is>
          <t>Staybridge</t>
        </is>
      </c>
      <c r="I815" s="1393" t="inlineStr">
        <is>
          <t>-</t>
        </is>
      </c>
      <c r="J815" s="1393" t="inlineStr">
        <is>
          <t>-</t>
        </is>
      </c>
      <c r="K815" s="1395">
        <f>IF(raw[[#This Row],[city]]&lt;&gt;"",_xlfn.XLOOKUP($D815,ccc[city],ccc[prov],"-"),"-")</f>
        <v/>
      </c>
      <c r="L815" s="1395">
        <f>IF(raw[[#This Row],[city]]&lt;&gt;"",_xlfn.XLOOKUP($D815,ccc[city],ccc[ctry],"-"),"-")</f>
        <v/>
      </c>
      <c r="M815" s="1395">
        <f>IF(raw[[#This Row],[city]]&lt;&gt;"",_xlfn.XLOOKUP($D815,ccc[city],ccc[cont],"-"),"-")</f>
        <v/>
      </c>
      <c r="N815" s="1396">
        <f>IF(raw[[#This Row],[city]]="","-",IF(raw[[#This Row],[cont]]="B",raw[[#This Row],[cont]],"W"))</f>
        <v/>
      </c>
      <c r="O815" s="1397">
        <f>IF(raw[[#This Row],[out]]=0,0,IF(raw[[#This Row],[out]]=raw[[#This Row],[in]],0.01,raw[[#This Row],[out]]-raw[[#This Row],[in]]))</f>
        <v/>
      </c>
      <c r="P815" s="1397">
        <f>IF(raw[[#This Row],[in]]=0,0,MONTH(raw[[#This Row],[in]]))</f>
        <v/>
      </c>
      <c r="Q815" s="1397">
        <f>IF(raw[[#This Row],[in]]=0,0,YEAR(raw[[#This Row],[in]]))</f>
        <v/>
      </c>
      <c r="R815" s="1397">
        <f>INT(raw[[#This Row],[yr]]/10)*10</f>
        <v/>
      </c>
      <c r="S815" s="1395">
        <f>IF(raw[[#This Row],[city]]="","-",IF(raw[[#This Row],[city]]&lt;&gt;_xlfn.XLOOKUP(raw[[#This Row],[home]],homes[home],homes[city],"-"),1,0))</f>
        <v/>
      </c>
      <c r="T815" s="1398" t="inlineStr">
        <is>
          <t>.</t>
        </is>
      </c>
      <c r="U815" s="1399">
        <f>IF(raw[[#This Row],[wb]]="w",raw[[#This Row],[stay]]+U814,U814)</f>
        <v/>
      </c>
      <c r="V815" s="1400">
        <f>IF(raw[[#This Row],[out]]=0,V814,(raw[[#This Row],[out]]-E$5))</f>
        <v/>
      </c>
      <c r="W815" s="1401">
        <f>U815/V815</f>
        <v/>
      </c>
      <c r="X815" s="1378" t="inlineStr">
        <is>
          <t>.</t>
        </is>
      </c>
      <c r="Y815" s="1402">
        <f/>
        <v/>
      </c>
      <c r="Z815" s="1403">
        <f/>
        <v/>
      </c>
      <c r="AA815" s="1403">
        <f/>
        <v/>
      </c>
      <c r="AB815" s="1400">
        <f t="array" ref="AB815">_xlfn.LET(_xlpm.S,_xlfn.ANCHORARRAY($Y$4),_xlpm.r,ROWS(stayCity[[#Headers],[city]]:stayCity[[#This Row],[city]])-1,IF(_xlpm.r&lt;=ROWS(_xlpm.S),INDEX(_xlpm.S,_xlpm.r,1),""))</f>
        <v/>
      </c>
      <c r="AC815" s="1405">
        <f t="array" ref="AC815">_xlfn.LET(_xlpm.S,_xlfn.ANCHORARRAY($Y$4),_xlpm.r,ROWS(stayCity[[#Headers],[city]]:stayCity[[#This Row],[city]])-1,IF(_xlpm.r&lt;=ROWS(_xlpm.S),INDEX(_xlpm.S,_xlpm.r,2),""))</f>
        <v/>
      </c>
      <c r="AD815" s="1405">
        <f t="array" ref="AD815">_xlfn.LET(_xlpm.S,_xlfn.ANCHORARRAY($Y$4),_xlpm.r,ROWS(stayCity[[#Headers],[city]]:stayCity[[#This Row],[city]])-1,IF(_xlpm.r&lt;=ROWS(_xlpm.S),INDEX(_xlpm.S,_xlpm.r,3),""))</f>
        <v/>
      </c>
      <c r="AE815" s="1400">
        <f>IF(stayCity[[#This Row],[out]]&lt;&gt;"",stayCity[[#This Row],[out]]-stayCity[[#This Row],[in]],"-")</f>
        <v/>
      </c>
      <c r="AF815" s="1406">
        <f>IF(Y815="","-",YEAR(stayCity[[#This Row],[in]]))</f>
        <v/>
      </c>
      <c r="AG815" s="1392" t="n"/>
      <c r="AH815" s="1392" t="n"/>
      <c r="AI815" s="1392" t="n"/>
      <c r="AJ815" s="1392" t="n"/>
      <c r="AK815" s="1392" t="n"/>
      <c r="AL815" s="1392" t="n"/>
      <c r="AM815" s="1392" t="n"/>
      <c r="AN815" s="1392" t="n"/>
      <c r="AO815" s="1392" t="n"/>
      <c r="AP815" s="1392" t="n"/>
      <c r="AQ815" s="1392" t="n"/>
      <c r="AR815" s="1392" t="n"/>
      <c r="AS815" s="1422" t="n"/>
      <c r="AT815" s="1392" t="n"/>
      <c r="AU815" s="1392" t="n"/>
      <c r="AV815" s="1392" t="n"/>
      <c r="AW815" s="1392" t="n"/>
      <c r="AX815" s="1392" t="n"/>
      <c r="AY815" s="1392" t="n"/>
      <c r="AZ815" s="1392" t="n"/>
      <c r="BA815" s="1392" t="n"/>
      <c r="BB815" s="1422" t="n"/>
      <c r="BC815" s="1392" t="n"/>
      <c r="BD815" s="1392" t="n"/>
      <c r="BE815" s="1392" t="n"/>
      <c r="BF815" s="1392" t="n"/>
      <c r="BG815" s="1392" t="n"/>
      <c r="BH815" s="1392" t="n"/>
      <c r="BI815" s="1392" t="n"/>
      <c r="BJ815" s="1392" t="n"/>
      <c r="BK815" s="1392" t="n"/>
      <c r="BL815" s="1392" t="n"/>
      <c r="BM815" s="1392" t="n"/>
      <c r="BN815" s="1392" t="n"/>
      <c r="BO815" s="1392" t="n"/>
      <c r="BP815" s="1392" t="n"/>
      <c r="BQ815" s="1392" t="n"/>
      <c r="BR815" s="1392" t="n"/>
      <c r="BS815" s="1392" t="n"/>
      <c r="BT815" s="1392" t="n"/>
      <c r="BU815" s="1416" t="n"/>
      <c r="BV815" s="1392" t="n"/>
      <c r="BW815" s="1392" t="n"/>
      <c r="BX815" s="1392" t="n"/>
      <c r="BY815" s="1392" t="n"/>
      <c r="BZ815" s="1416" t="n"/>
      <c r="CA815" s="1392" t="n"/>
      <c r="CB815" s="1392" t="n"/>
      <c r="CC815" s="1392" t="n"/>
      <c r="CD815" s="1392" t="n"/>
      <c r="CE815" s="1392" t="n"/>
      <c r="CF815" s="1392" t="n"/>
      <c r="CG815" s="1392" t="n"/>
      <c r="CH815" s="1392" t="n"/>
      <c r="CI815" s="1392" t="n"/>
      <c r="CJ815" s="1392" t="n"/>
      <c r="CK815" s="1392" t="n"/>
      <c r="CL815" s="1392" t="n"/>
    </row>
    <row r="816">
      <c r="A816" s="5" t="inlineStr">
        <is>
          <t>.</t>
        </is>
      </c>
      <c r="B816" s="5" t="inlineStr">
        <is>
          <t>.</t>
        </is>
      </c>
      <c r="C816" s="1378">
        <f>IF(raw[[#This Row],[city]]="","-",IF(raw[[#This Row],[city]]="TODAY","-",C815+1))</f>
        <v/>
      </c>
      <c r="D816" s="1393" t="inlineStr">
        <is>
          <t>Rio</t>
        </is>
      </c>
      <c r="E816" s="1394" t="n">
        <v>38352</v>
      </c>
      <c r="F816" s="1394" t="n">
        <v>38353</v>
      </c>
      <c r="G816" s="1393" t="inlineStr">
        <is>
          <t>-</t>
        </is>
      </c>
      <c r="H816" s="1393" t="inlineStr">
        <is>
          <t>Transit</t>
        </is>
      </c>
      <c r="I816" s="1393" t="inlineStr">
        <is>
          <t>René/Ipanema</t>
        </is>
      </c>
      <c r="J816" s="1393" t="inlineStr">
        <is>
          <t>-</t>
        </is>
      </c>
      <c r="K816" s="1395">
        <f>IF(raw[[#This Row],[city]]&lt;&gt;"",_xlfn.XLOOKUP($D816,ccc[city],ccc[prov],"-"),"-")</f>
        <v/>
      </c>
      <c r="L816" s="1395">
        <f>IF(raw[[#This Row],[city]]&lt;&gt;"",_xlfn.XLOOKUP($D816,ccc[city],ccc[ctry],"-"),"-")</f>
        <v/>
      </c>
      <c r="M816" s="1395">
        <f>IF(raw[[#This Row],[city]]&lt;&gt;"",_xlfn.XLOOKUP($D816,ccc[city],ccc[cont],"-"),"-")</f>
        <v/>
      </c>
      <c r="N816" s="1396">
        <f>IF(raw[[#This Row],[city]]="","-",IF(raw[[#This Row],[cont]]="B",raw[[#This Row],[cont]],"W"))</f>
        <v/>
      </c>
      <c r="O816" s="1397">
        <f>IF(raw[[#This Row],[out]]=0,0,IF(raw[[#This Row],[out]]=raw[[#This Row],[in]],0.01,raw[[#This Row],[out]]-raw[[#This Row],[in]]))</f>
        <v/>
      </c>
      <c r="P816" s="1397">
        <f>IF(raw[[#This Row],[in]]=0,0,MONTH(raw[[#This Row],[in]]))</f>
        <v/>
      </c>
      <c r="Q816" s="1397">
        <f>IF(raw[[#This Row],[in]]=0,0,YEAR(raw[[#This Row],[in]]))</f>
        <v/>
      </c>
      <c r="R816" s="1397">
        <f>INT(raw[[#This Row],[yr]]/10)*10</f>
        <v/>
      </c>
      <c r="S816" s="1395">
        <f>IF(raw[[#This Row],[city]]="","-",IF(raw[[#This Row],[city]]&lt;&gt;_xlfn.XLOOKUP(raw[[#This Row],[home]],homes[home],homes[city],"-"),1,0))</f>
        <v/>
      </c>
      <c r="T816" s="1398" t="inlineStr">
        <is>
          <t>.</t>
        </is>
      </c>
      <c r="U816" s="1399">
        <f>IF(raw[[#This Row],[wb]]="w",raw[[#This Row],[stay]]+U815,U815)</f>
        <v/>
      </c>
      <c r="V816" s="1400">
        <f>IF(raw[[#This Row],[out]]=0,V815,(raw[[#This Row],[out]]-E$5))</f>
        <v/>
      </c>
      <c r="W816" s="1401">
        <f>U816/V816</f>
        <v/>
      </c>
      <c r="X816" s="1378" t="inlineStr">
        <is>
          <t>.</t>
        </is>
      </c>
      <c r="Y816" s="1402">
        <f/>
        <v/>
      </c>
      <c r="Z816" s="1403">
        <f/>
        <v/>
      </c>
      <c r="AA816" s="1403">
        <f/>
        <v/>
      </c>
      <c r="AB816" s="1400">
        <f t="array" ref="AB816">_xlfn.LET(_xlpm.S,_xlfn.ANCHORARRAY($Y$4),_xlpm.r,ROWS(stayCity[[#Headers],[city]]:stayCity[[#This Row],[city]])-1,IF(_xlpm.r&lt;=ROWS(_xlpm.S),INDEX(_xlpm.S,_xlpm.r,1),""))</f>
        <v/>
      </c>
      <c r="AC816" s="1405">
        <f t="array" ref="AC816">_xlfn.LET(_xlpm.S,_xlfn.ANCHORARRAY($Y$4),_xlpm.r,ROWS(stayCity[[#Headers],[city]]:stayCity[[#This Row],[city]])-1,IF(_xlpm.r&lt;=ROWS(_xlpm.S),INDEX(_xlpm.S,_xlpm.r,2),""))</f>
        <v/>
      </c>
      <c r="AD816" s="1405">
        <f t="array" ref="AD816">_xlfn.LET(_xlpm.S,_xlfn.ANCHORARRAY($Y$4),_xlpm.r,ROWS(stayCity[[#Headers],[city]]:stayCity[[#This Row],[city]])-1,IF(_xlpm.r&lt;=ROWS(_xlpm.S),INDEX(_xlpm.S,_xlpm.r,3),""))</f>
        <v/>
      </c>
      <c r="AE816" s="1400">
        <f>IF(stayCity[[#This Row],[out]]&lt;&gt;"",stayCity[[#This Row],[out]]-stayCity[[#This Row],[in]],"-")</f>
        <v/>
      </c>
      <c r="AF816" s="1406">
        <f>IF(Y816="","-",YEAR(stayCity[[#This Row],[in]]))</f>
        <v/>
      </c>
      <c r="AG816" s="1392" t="n"/>
      <c r="AH816" s="1392" t="n"/>
      <c r="AI816" s="1392" t="n"/>
      <c r="AJ816" s="1392" t="n"/>
      <c r="AK816" s="1392" t="n"/>
      <c r="AL816" s="1392" t="n"/>
      <c r="AM816" s="1392" t="n"/>
      <c r="AN816" s="1392" t="n"/>
      <c r="AO816" s="1392" t="n"/>
      <c r="AP816" s="1392" t="n"/>
      <c r="AQ816" s="1392" t="n"/>
      <c r="AR816" s="1392" t="n"/>
      <c r="AS816" s="1422" t="n"/>
      <c r="AT816" s="1392" t="n"/>
      <c r="AU816" s="1392" t="n"/>
      <c r="AV816" s="1392" t="n"/>
      <c r="AW816" s="1392" t="n"/>
      <c r="AX816" s="1392" t="n"/>
      <c r="AY816" s="1392" t="n"/>
      <c r="AZ816" s="1392" t="n"/>
      <c r="BA816" s="1392" t="n"/>
      <c r="BB816" s="1422" t="n"/>
      <c r="BC816" s="1392" t="n"/>
      <c r="BD816" s="1392" t="n"/>
      <c r="BE816" s="1392" t="n"/>
      <c r="BF816" s="1392" t="n"/>
      <c r="BG816" s="1392" t="n"/>
      <c r="BH816" s="1392" t="n"/>
      <c r="BI816" s="1392" t="n"/>
      <c r="BJ816" s="1392" t="n"/>
      <c r="BK816" s="1392" t="n"/>
      <c r="BL816" s="1392" t="n"/>
      <c r="BM816" s="1392" t="n"/>
      <c r="BN816" s="1392" t="n"/>
      <c r="BO816" s="1392" t="n"/>
      <c r="BP816" s="1392" t="n"/>
      <c r="BQ816" s="1392" t="n"/>
      <c r="BR816" s="1392" t="n"/>
      <c r="BS816" s="1392" t="n"/>
      <c r="BT816" s="1392" t="n"/>
      <c r="BU816" s="1416" t="n"/>
      <c r="BV816" s="1392" t="n"/>
      <c r="BW816" s="1392" t="n"/>
      <c r="BX816" s="1392" t="n"/>
      <c r="BY816" s="1392" t="n"/>
      <c r="BZ816" s="1416" t="n"/>
      <c r="CA816" s="1392" t="n"/>
      <c r="CB816" s="1392" t="n"/>
      <c r="CC816" s="1392" t="n"/>
      <c r="CD816" s="1392" t="n"/>
      <c r="CE816" s="1392" t="n"/>
      <c r="CF816" s="1392" t="n"/>
      <c r="CG816" s="1392" t="n"/>
      <c r="CH816" s="1392" t="n"/>
      <c r="CI816" s="1392" t="n"/>
      <c r="CJ816" s="1392" t="n"/>
      <c r="CK816" s="1392" t="n"/>
      <c r="CL816" s="1392" t="n"/>
    </row>
    <row r="817">
      <c r="A817" s="5" t="inlineStr">
        <is>
          <t>.</t>
        </is>
      </c>
      <c r="B817" s="5" t="inlineStr">
        <is>
          <t>.</t>
        </is>
      </c>
      <c r="C817" s="1378">
        <f>IF(raw[[#This Row],[city]]="","-",IF(raw[[#This Row],[city]]="TODAY","-",C816+1))</f>
        <v/>
      </c>
      <c r="D817" s="1393" t="inlineStr">
        <is>
          <t>Rio</t>
        </is>
      </c>
      <c r="E817" s="1394" t="n">
        <v>38353</v>
      </c>
      <c r="F817" s="1394" t="n">
        <v>38356</v>
      </c>
      <c r="G817" s="1393" t="n">
        <v>1</v>
      </c>
      <c r="H817" s="1393" t="inlineStr">
        <is>
          <t>Transit</t>
        </is>
      </c>
      <c r="I817" s="1393" t="inlineStr">
        <is>
          <t>René/Ipanema</t>
        </is>
      </c>
      <c r="J817" s="1393" t="inlineStr">
        <is>
          <t>REV</t>
        </is>
      </c>
      <c r="K817" s="1395">
        <f>IF(raw[[#This Row],[city]]&lt;&gt;"",_xlfn.XLOOKUP($D817,ccc[city],ccc[prov],"-"),"-")</f>
        <v/>
      </c>
      <c r="L817" s="1395">
        <f>IF(raw[[#This Row],[city]]&lt;&gt;"",_xlfn.XLOOKUP($D817,ccc[city],ccc[ctry],"-"),"-")</f>
        <v/>
      </c>
      <c r="M817" s="1395">
        <f>IF(raw[[#This Row],[city]]&lt;&gt;"",_xlfn.XLOOKUP($D817,ccc[city],ccc[cont],"-"),"-")</f>
        <v/>
      </c>
      <c r="N817" s="1396">
        <f>IF(raw[[#This Row],[city]]="","-",IF(raw[[#This Row],[cont]]="B",raw[[#This Row],[cont]],"W"))</f>
        <v/>
      </c>
      <c r="O817" s="1397">
        <f>IF(raw[[#This Row],[out]]=0,0,IF(raw[[#This Row],[out]]=raw[[#This Row],[in]],0.01,raw[[#This Row],[out]]-raw[[#This Row],[in]]))</f>
        <v/>
      </c>
      <c r="P817" s="1397">
        <f>IF(raw[[#This Row],[in]]=0,0,MONTH(raw[[#This Row],[in]]))</f>
        <v/>
      </c>
      <c r="Q817" s="1397">
        <f>IF(raw[[#This Row],[in]]=0,0,YEAR(raw[[#This Row],[in]]))</f>
        <v/>
      </c>
      <c r="R817" s="1397">
        <f>INT(raw[[#This Row],[yr]]/10)*10</f>
        <v/>
      </c>
      <c r="S817" s="1395">
        <f>IF(raw[[#This Row],[city]]="","-",IF(raw[[#This Row],[city]]&lt;&gt;_xlfn.XLOOKUP(raw[[#This Row],[home]],homes[home],homes[city],"-"),1,0))</f>
        <v/>
      </c>
      <c r="T817" s="1398" t="inlineStr">
        <is>
          <t>.</t>
        </is>
      </c>
      <c r="U817" s="1399">
        <f>IF(raw[[#This Row],[wb]]="w",raw[[#This Row],[stay]]+U816,U816)</f>
        <v/>
      </c>
      <c r="V817" s="1400">
        <f>IF(raw[[#This Row],[out]]=0,V816,(raw[[#This Row],[out]]-E$5))</f>
        <v/>
      </c>
      <c r="W817" s="1401">
        <f>U817/V817</f>
        <v/>
      </c>
      <c r="X817" s="1378" t="inlineStr">
        <is>
          <t>.</t>
        </is>
      </c>
      <c r="Y817" s="1402">
        <f/>
        <v/>
      </c>
      <c r="Z817" s="1403">
        <f/>
        <v/>
      </c>
      <c r="AA817" s="1403">
        <f/>
        <v/>
      </c>
      <c r="AB817" s="1400">
        <f t="array" ref="AB817">_xlfn.LET(_xlpm.S,_xlfn.ANCHORARRAY($Y$4),_xlpm.r,ROWS(stayCity[[#Headers],[city]]:stayCity[[#This Row],[city]])-1,IF(_xlpm.r&lt;=ROWS(_xlpm.S),INDEX(_xlpm.S,_xlpm.r,1),""))</f>
        <v/>
      </c>
      <c r="AC817" s="1405">
        <f t="array" ref="AC817">_xlfn.LET(_xlpm.S,_xlfn.ANCHORARRAY($Y$4),_xlpm.r,ROWS(stayCity[[#Headers],[city]]:stayCity[[#This Row],[city]])-1,IF(_xlpm.r&lt;=ROWS(_xlpm.S),INDEX(_xlpm.S,_xlpm.r,2),""))</f>
        <v/>
      </c>
      <c r="AD817" s="1405">
        <f t="array" ref="AD817">_xlfn.LET(_xlpm.S,_xlfn.ANCHORARRAY($Y$4),_xlpm.r,ROWS(stayCity[[#Headers],[city]]:stayCity[[#This Row],[city]])-1,IF(_xlpm.r&lt;=ROWS(_xlpm.S),INDEX(_xlpm.S,_xlpm.r,3),""))</f>
        <v/>
      </c>
      <c r="AE817" s="1400">
        <f>IF(stayCity[[#This Row],[out]]&lt;&gt;"",stayCity[[#This Row],[out]]-stayCity[[#This Row],[in]],"-")</f>
        <v/>
      </c>
      <c r="AF817" s="1406">
        <f>IF(Y817="","-",YEAR(stayCity[[#This Row],[in]]))</f>
        <v/>
      </c>
      <c r="AG817" s="1392" t="n"/>
      <c r="AH817" s="1392" t="n"/>
      <c r="AI817" s="1392" t="n"/>
      <c r="AJ817" s="1392" t="n"/>
      <c r="AK817" s="1392" t="n"/>
      <c r="AL817" s="1392" t="n"/>
      <c r="AM817" s="1392" t="n"/>
      <c r="AN817" s="1392" t="n"/>
      <c r="AO817" s="1392" t="n"/>
      <c r="AP817" s="1392" t="n"/>
      <c r="AQ817" s="1392" t="n"/>
      <c r="AR817" s="1392" t="n"/>
      <c r="AS817" s="1422" t="n"/>
      <c r="AT817" s="1392" t="n"/>
      <c r="AU817" s="1392" t="n"/>
      <c r="AV817" s="1392" t="n"/>
      <c r="AW817" s="1392" t="n"/>
      <c r="AX817" s="1392" t="n"/>
      <c r="AY817" s="1392" t="n"/>
      <c r="AZ817" s="1392" t="n"/>
      <c r="BA817" s="1392" t="n"/>
      <c r="BB817" s="1422" t="n"/>
      <c r="BC817" s="1392" t="n"/>
      <c r="BD817" s="1392" t="n"/>
      <c r="BE817" s="1392" t="n"/>
      <c r="BF817" s="1392" t="n"/>
      <c r="BG817" s="1392" t="n"/>
      <c r="BH817" s="1392" t="n"/>
      <c r="BI817" s="1392" t="n"/>
      <c r="BJ817" s="1392" t="n"/>
      <c r="BK817" s="1392" t="n"/>
      <c r="BL817" s="1392" t="n"/>
      <c r="BM817" s="1392" t="n"/>
      <c r="BN817" s="1392" t="n"/>
      <c r="BO817" s="1392" t="n"/>
      <c r="BP817" s="1392" t="n"/>
      <c r="BQ817" s="1392" t="n"/>
      <c r="BR817" s="1392" t="n"/>
      <c r="BS817" s="1392" t="n"/>
      <c r="BT817" s="1392" t="n"/>
      <c r="BU817" s="1416" t="n"/>
      <c r="BV817" s="1392" t="n"/>
      <c r="BW817" s="1392" t="n"/>
      <c r="BX817" s="1392" t="n"/>
      <c r="BY817" s="1392" t="n"/>
      <c r="BZ817" s="1416" t="n"/>
      <c r="CA817" s="1392" t="n"/>
      <c r="CB817" s="1392" t="n"/>
      <c r="CC817" s="1392" t="n"/>
      <c r="CD817" s="1392" t="n"/>
      <c r="CE817" s="1392" t="n"/>
      <c r="CF817" s="1392" t="n"/>
      <c r="CG817" s="1392" t="n"/>
      <c r="CH817" s="1392" t="n"/>
      <c r="CI817" s="1392" t="n"/>
      <c r="CJ817" s="1392" t="n"/>
      <c r="CK817" s="1392" t="n"/>
      <c r="CL817" s="1392" t="n"/>
    </row>
    <row r="818">
      <c r="A818" s="5" t="inlineStr">
        <is>
          <t>.</t>
        </is>
      </c>
      <c r="B818" s="5" t="inlineStr">
        <is>
          <t>.</t>
        </is>
      </c>
      <c r="C818" s="1378">
        <f>IF(raw[[#This Row],[city]]="","-",IF(raw[[#This Row],[city]]="TODAY","-",C817+1))</f>
        <v/>
      </c>
      <c r="D818" s="1393" t="inlineStr">
        <is>
          <t>SSA</t>
        </is>
      </c>
      <c r="E818" s="1394" t="n">
        <v>38356</v>
      </c>
      <c r="F818" s="1394" t="n">
        <v>38384</v>
      </c>
      <c r="G818" s="1393" t="inlineStr">
        <is>
          <t>-</t>
        </is>
      </c>
      <c r="H818" s="1393" t="inlineStr">
        <is>
          <t>Ondina</t>
        </is>
      </c>
      <c r="I818" s="1393" t="inlineStr">
        <is>
          <t>-</t>
        </is>
      </c>
      <c r="J818" s="1393" t="inlineStr">
        <is>
          <t>-</t>
        </is>
      </c>
      <c r="K818" s="1395">
        <f>IF(raw[[#This Row],[city]]&lt;&gt;"",_xlfn.XLOOKUP($D818,ccc[city],ccc[prov],"-"),"-")</f>
        <v/>
      </c>
      <c r="L818" s="1395">
        <f>IF(raw[[#This Row],[city]]&lt;&gt;"",_xlfn.XLOOKUP($D818,ccc[city],ccc[ctry],"-"),"-")</f>
        <v/>
      </c>
      <c r="M818" s="1395">
        <f>IF(raw[[#This Row],[city]]&lt;&gt;"",_xlfn.XLOOKUP($D818,ccc[city],ccc[cont],"-"),"-")</f>
        <v/>
      </c>
      <c r="N818" s="1396">
        <f>IF(raw[[#This Row],[city]]="","-",IF(raw[[#This Row],[cont]]="B",raw[[#This Row],[cont]],"W"))</f>
        <v/>
      </c>
      <c r="O818" s="1397">
        <f>IF(raw[[#This Row],[out]]=0,0,IF(raw[[#This Row],[out]]=raw[[#This Row],[in]],0.01,raw[[#This Row],[out]]-raw[[#This Row],[in]]))</f>
        <v/>
      </c>
      <c r="P818" s="1397">
        <f>IF(raw[[#This Row],[in]]=0,0,MONTH(raw[[#This Row],[in]]))</f>
        <v/>
      </c>
      <c r="Q818" s="1397">
        <f>IF(raw[[#This Row],[in]]=0,0,YEAR(raw[[#This Row],[in]]))</f>
        <v/>
      </c>
      <c r="R818" s="1397">
        <f>INT(raw[[#This Row],[yr]]/10)*10</f>
        <v/>
      </c>
      <c r="S818" s="1395">
        <f>IF(raw[[#This Row],[city]]="","-",IF(raw[[#This Row],[city]]&lt;&gt;_xlfn.XLOOKUP(raw[[#This Row],[home]],homes[home],homes[city],"-"),1,0))</f>
        <v/>
      </c>
      <c r="T818" s="1398" t="inlineStr">
        <is>
          <t>.</t>
        </is>
      </c>
      <c r="U818" s="1399">
        <f>IF(raw[[#This Row],[wb]]="w",raw[[#This Row],[stay]]+U817,U817)</f>
        <v/>
      </c>
      <c r="V818" s="1400">
        <f>IF(raw[[#This Row],[out]]=0,V817,(raw[[#This Row],[out]]-E$5))</f>
        <v/>
      </c>
      <c r="W818" s="1401">
        <f>U818/V818</f>
        <v/>
      </c>
      <c r="X818" s="1378" t="inlineStr">
        <is>
          <t>.</t>
        </is>
      </c>
      <c r="Y818" s="1402">
        <f/>
        <v/>
      </c>
      <c r="Z818" s="1403">
        <f/>
        <v/>
      </c>
      <c r="AA818" s="1403">
        <f/>
        <v/>
      </c>
      <c r="AB818" s="1400">
        <f t="array" ref="AB818">_xlfn.LET(_xlpm.S,_xlfn.ANCHORARRAY($Y$4),_xlpm.r,ROWS(stayCity[[#Headers],[city]]:stayCity[[#This Row],[city]])-1,IF(_xlpm.r&lt;=ROWS(_xlpm.S),INDEX(_xlpm.S,_xlpm.r,1),""))</f>
        <v/>
      </c>
      <c r="AC818" s="1405">
        <f t="array" ref="AC818">_xlfn.LET(_xlpm.S,_xlfn.ANCHORARRAY($Y$4),_xlpm.r,ROWS(stayCity[[#Headers],[city]]:stayCity[[#This Row],[city]])-1,IF(_xlpm.r&lt;=ROWS(_xlpm.S),INDEX(_xlpm.S,_xlpm.r,2),""))</f>
        <v/>
      </c>
      <c r="AD818" s="1405">
        <f t="array" ref="AD818">_xlfn.LET(_xlpm.S,_xlfn.ANCHORARRAY($Y$4),_xlpm.r,ROWS(stayCity[[#Headers],[city]]:stayCity[[#This Row],[city]])-1,IF(_xlpm.r&lt;=ROWS(_xlpm.S),INDEX(_xlpm.S,_xlpm.r,3),""))</f>
        <v/>
      </c>
      <c r="AE818" s="1400">
        <f>IF(stayCity[[#This Row],[out]]&lt;&gt;"",stayCity[[#This Row],[out]]-stayCity[[#This Row],[in]],"-")</f>
        <v/>
      </c>
      <c r="AF818" s="1406">
        <f>IF(Y818="","-",YEAR(stayCity[[#This Row],[in]]))</f>
        <v/>
      </c>
      <c r="AG818" s="1392" t="n"/>
      <c r="AH818" s="1392" t="n"/>
      <c r="AI818" s="1392" t="n"/>
      <c r="AJ818" s="1392" t="n"/>
      <c r="AK818" s="1392" t="n"/>
      <c r="AL818" s="1392" t="n"/>
      <c r="AM818" s="1392" t="n"/>
      <c r="AN818" s="1392" t="n"/>
      <c r="AO818" s="1392" t="n"/>
      <c r="AP818" s="1392" t="n"/>
      <c r="AQ818" s="1392" t="n"/>
      <c r="AR818" s="1392" t="n"/>
      <c r="AS818" s="1422" t="n"/>
      <c r="AT818" s="1392" t="n"/>
      <c r="AU818" s="1392" t="n"/>
      <c r="AV818" s="1392" t="n"/>
      <c r="AW818" s="1392" t="n"/>
      <c r="AX818" s="1392" t="n"/>
      <c r="AY818" s="1392" t="n"/>
      <c r="AZ818" s="1392" t="n"/>
      <c r="BA818" s="1392" t="n"/>
      <c r="BB818" s="1422" t="n"/>
      <c r="BC818" s="1392" t="n"/>
      <c r="BD818" s="1392" t="n"/>
      <c r="BE818" s="1392" t="n"/>
      <c r="BF818" s="1392" t="n"/>
      <c r="BG818" s="1392" t="n"/>
      <c r="BH818" s="1392" t="n"/>
      <c r="BI818" s="1392" t="n"/>
      <c r="BJ818" s="1392" t="n"/>
      <c r="BK818" s="1392" t="n"/>
      <c r="BL818" s="1392" t="n"/>
      <c r="BM818" s="1392" t="n"/>
      <c r="BN818" s="1392" t="n"/>
      <c r="BO818" s="1392" t="n"/>
      <c r="BP818" s="1392" t="n"/>
      <c r="BQ818" s="1392" t="n"/>
      <c r="BR818" s="1392" t="n"/>
      <c r="BS818" s="1392" t="n"/>
      <c r="BT818" s="1392" t="n"/>
      <c r="BU818" s="1416" t="n"/>
      <c r="BV818" s="1392" t="n"/>
      <c r="BW818" s="1392" t="n"/>
      <c r="BX818" s="1392" t="n"/>
      <c r="BY818" s="1392" t="n"/>
      <c r="BZ818" s="1416" t="n"/>
      <c r="CA818" s="1392" t="n"/>
      <c r="CB818" s="1392" t="n"/>
      <c r="CC818" s="1392" t="n"/>
      <c r="CD818" s="1392" t="n"/>
      <c r="CE818" s="1392" t="n"/>
      <c r="CF818" s="1392" t="n"/>
      <c r="CG818" s="1392" t="n"/>
      <c r="CH818" s="1392" t="n"/>
      <c r="CI818" s="1392" t="n"/>
      <c r="CJ818" s="1392" t="n"/>
      <c r="CK818" s="1392" t="n"/>
      <c r="CL818" s="1392" t="n"/>
    </row>
    <row r="819">
      <c r="A819" s="5" t="inlineStr">
        <is>
          <t>.</t>
        </is>
      </c>
      <c r="B819" s="5" t="inlineStr">
        <is>
          <t>.</t>
        </is>
      </c>
      <c r="C819" s="1378">
        <f>IF(raw[[#This Row],[city]]="","-",IF(raw[[#This Row],[city]]="TODAY","-",C818+1))</f>
        <v/>
      </c>
      <c r="D819" s="1393" t="inlineStr">
        <is>
          <t>SSA</t>
        </is>
      </c>
      <c r="E819" s="1394" t="n">
        <v>38384</v>
      </c>
      <c r="F819" s="1394" t="n">
        <v>38412</v>
      </c>
      <c r="G819" s="1393" t="inlineStr">
        <is>
          <t>-</t>
        </is>
      </c>
      <c r="H819" s="1393" t="inlineStr">
        <is>
          <t>Ondina</t>
        </is>
      </c>
      <c r="I819" s="1393" t="inlineStr">
        <is>
          <t>-</t>
        </is>
      </c>
      <c r="J819" s="1393" t="inlineStr">
        <is>
          <t>-</t>
        </is>
      </c>
      <c r="K819" s="1395">
        <f>IF(raw[[#This Row],[city]]&lt;&gt;"",_xlfn.XLOOKUP($D819,ccc[city],ccc[prov],"-"),"-")</f>
        <v/>
      </c>
      <c r="L819" s="1395">
        <f>IF(raw[[#This Row],[city]]&lt;&gt;"",_xlfn.XLOOKUP($D819,ccc[city],ccc[ctry],"-"),"-")</f>
        <v/>
      </c>
      <c r="M819" s="1395">
        <f>IF(raw[[#This Row],[city]]&lt;&gt;"",_xlfn.XLOOKUP($D819,ccc[city],ccc[cont],"-"),"-")</f>
        <v/>
      </c>
      <c r="N819" s="1396">
        <f>IF(raw[[#This Row],[city]]="","-",IF(raw[[#This Row],[cont]]="B",raw[[#This Row],[cont]],"W"))</f>
        <v/>
      </c>
      <c r="O819" s="1397">
        <f>IF(raw[[#This Row],[out]]=0,0,IF(raw[[#This Row],[out]]=raw[[#This Row],[in]],0.01,raw[[#This Row],[out]]-raw[[#This Row],[in]]))</f>
        <v/>
      </c>
      <c r="P819" s="1397">
        <f>IF(raw[[#This Row],[in]]=0,0,MONTH(raw[[#This Row],[in]]))</f>
        <v/>
      </c>
      <c r="Q819" s="1397">
        <f>IF(raw[[#This Row],[in]]=0,0,YEAR(raw[[#This Row],[in]]))</f>
        <v/>
      </c>
      <c r="R819" s="1397">
        <f>INT(raw[[#This Row],[yr]]/10)*10</f>
        <v/>
      </c>
      <c r="S819" s="1395">
        <f>IF(raw[[#This Row],[city]]="","-",IF(raw[[#This Row],[city]]&lt;&gt;_xlfn.XLOOKUP(raw[[#This Row],[home]],homes[home],homes[city],"-"),1,0))</f>
        <v/>
      </c>
      <c r="T819" s="1398" t="inlineStr">
        <is>
          <t>.</t>
        </is>
      </c>
      <c r="U819" s="1399">
        <f>IF(raw[[#This Row],[wb]]="w",raw[[#This Row],[stay]]+U818,U818)</f>
        <v/>
      </c>
      <c r="V819" s="1400">
        <f>IF(raw[[#This Row],[out]]=0,V818,(raw[[#This Row],[out]]-E$5))</f>
        <v/>
      </c>
      <c r="W819" s="1401">
        <f>U819/V819</f>
        <v/>
      </c>
      <c r="X819" s="1378" t="inlineStr">
        <is>
          <t>.</t>
        </is>
      </c>
      <c r="Y819" s="1402">
        <f/>
        <v/>
      </c>
      <c r="Z819" s="1403">
        <f/>
        <v/>
      </c>
      <c r="AA819" s="1403">
        <f/>
        <v/>
      </c>
      <c r="AB819" s="1400">
        <f t="array" ref="AB819">_xlfn.LET(_xlpm.S,_xlfn.ANCHORARRAY($Y$4),_xlpm.r,ROWS(stayCity[[#Headers],[city]]:stayCity[[#This Row],[city]])-1,IF(_xlpm.r&lt;=ROWS(_xlpm.S),INDEX(_xlpm.S,_xlpm.r,1),""))</f>
        <v/>
      </c>
      <c r="AC819" s="1405">
        <f t="array" ref="AC819">_xlfn.LET(_xlpm.S,_xlfn.ANCHORARRAY($Y$4),_xlpm.r,ROWS(stayCity[[#Headers],[city]]:stayCity[[#This Row],[city]])-1,IF(_xlpm.r&lt;=ROWS(_xlpm.S),INDEX(_xlpm.S,_xlpm.r,2),""))</f>
        <v/>
      </c>
      <c r="AD819" s="1405">
        <f t="array" ref="AD819">_xlfn.LET(_xlpm.S,_xlfn.ANCHORARRAY($Y$4),_xlpm.r,ROWS(stayCity[[#Headers],[city]]:stayCity[[#This Row],[city]])-1,IF(_xlpm.r&lt;=ROWS(_xlpm.S),INDEX(_xlpm.S,_xlpm.r,3),""))</f>
        <v/>
      </c>
      <c r="AE819" s="1400">
        <f>IF(stayCity[[#This Row],[out]]&lt;&gt;"",stayCity[[#This Row],[out]]-stayCity[[#This Row],[in]],"-")</f>
        <v/>
      </c>
      <c r="AF819" s="1406">
        <f>IF(Y819="","-",YEAR(stayCity[[#This Row],[in]]))</f>
        <v/>
      </c>
      <c r="AG819" s="1392" t="n"/>
      <c r="AH819" s="1392" t="n"/>
      <c r="AI819" s="1392" t="n"/>
      <c r="AJ819" s="1392" t="n"/>
      <c r="AK819" s="1392" t="n"/>
      <c r="AL819" s="1392" t="n"/>
      <c r="AM819" s="1392" t="n"/>
      <c r="AN819" s="1392" t="n"/>
      <c r="AO819" s="1392" t="n"/>
      <c r="AP819" s="1392" t="n"/>
      <c r="AQ819" s="1392" t="n"/>
      <c r="AR819" s="1392" t="n"/>
      <c r="AS819" s="1422" t="n"/>
      <c r="AT819" s="1392" t="n"/>
      <c r="AU819" s="1392" t="n"/>
      <c r="AV819" s="1392" t="n"/>
      <c r="AW819" s="1392" t="n"/>
      <c r="AX819" s="1392" t="n"/>
      <c r="AY819" s="1392" t="n"/>
      <c r="AZ819" s="1392" t="n"/>
      <c r="BA819" s="1392" t="n"/>
      <c r="BB819" s="1422" t="n"/>
      <c r="BC819" s="1392" t="n"/>
      <c r="BD819" s="1392" t="n"/>
      <c r="BE819" s="1392" t="n"/>
      <c r="BF819" s="1392" t="n"/>
      <c r="BG819" s="1392" t="n"/>
      <c r="BH819" s="1392" t="n"/>
      <c r="BI819" s="1392" t="n"/>
      <c r="BJ819" s="1392" t="n"/>
      <c r="BK819" s="1392" t="n"/>
      <c r="BL819" s="1392" t="n"/>
      <c r="BM819" s="1392" t="n"/>
      <c r="BN819" s="1392" t="n"/>
      <c r="BO819" s="1392" t="n"/>
      <c r="BP819" s="1392" t="n"/>
      <c r="BQ819" s="1392" t="n"/>
      <c r="BR819" s="1392" t="n"/>
      <c r="BS819" s="1392" t="n"/>
      <c r="BT819" s="1392" t="n"/>
      <c r="BU819" s="1416" t="n"/>
      <c r="BV819" s="1392" t="n"/>
      <c r="BW819" s="1392" t="n"/>
      <c r="BX819" s="1392" t="n"/>
      <c r="BY819" s="1392" t="n"/>
      <c r="BZ819" s="1416" t="n"/>
      <c r="CA819" s="1392" t="n"/>
      <c r="CB819" s="1392" t="n"/>
      <c r="CC819" s="1392" t="n"/>
      <c r="CD819" s="1392" t="n"/>
      <c r="CE819" s="1392" t="n"/>
      <c r="CF819" s="1392" t="n"/>
      <c r="CG819" s="1392" t="n"/>
      <c r="CH819" s="1392" t="n"/>
      <c r="CI819" s="1392" t="n"/>
      <c r="CJ819" s="1392" t="n"/>
      <c r="CK819" s="1392" t="n"/>
      <c r="CL819" s="1392" t="n"/>
    </row>
    <row r="820">
      <c r="A820" s="5" t="inlineStr">
        <is>
          <t>.</t>
        </is>
      </c>
      <c r="B820" s="5" t="inlineStr">
        <is>
          <t>.</t>
        </is>
      </c>
      <c r="C820" s="1378">
        <f>IF(raw[[#This Row],[city]]="","-",IF(raw[[#This Row],[city]]="TODAY","-",C819+1))</f>
        <v/>
      </c>
      <c r="D820" s="1393" t="inlineStr">
        <is>
          <t>SSA</t>
        </is>
      </c>
      <c r="E820" s="1394" t="n">
        <v>38412</v>
      </c>
      <c r="F820" s="1394" t="n">
        <v>38443</v>
      </c>
      <c r="G820" s="1393" t="inlineStr">
        <is>
          <t>-</t>
        </is>
      </c>
      <c r="H820" s="1393" t="inlineStr">
        <is>
          <t>Ondina</t>
        </is>
      </c>
      <c r="I820" s="1393" t="inlineStr">
        <is>
          <t>-</t>
        </is>
      </c>
      <c r="J820" s="1393" t="inlineStr">
        <is>
          <t>-</t>
        </is>
      </c>
      <c r="K820" s="1395">
        <f>IF(raw[[#This Row],[city]]&lt;&gt;"",_xlfn.XLOOKUP($D820,ccc[city],ccc[prov],"-"),"-")</f>
        <v/>
      </c>
      <c r="L820" s="1395">
        <f>IF(raw[[#This Row],[city]]&lt;&gt;"",_xlfn.XLOOKUP($D820,ccc[city],ccc[ctry],"-"),"-")</f>
        <v/>
      </c>
      <c r="M820" s="1395">
        <f>IF(raw[[#This Row],[city]]&lt;&gt;"",_xlfn.XLOOKUP($D820,ccc[city],ccc[cont],"-"),"-")</f>
        <v/>
      </c>
      <c r="N820" s="1396">
        <f>IF(raw[[#This Row],[city]]="","-",IF(raw[[#This Row],[cont]]="B",raw[[#This Row],[cont]],"W"))</f>
        <v/>
      </c>
      <c r="O820" s="1397">
        <f>IF(raw[[#This Row],[out]]=0,0,IF(raw[[#This Row],[out]]=raw[[#This Row],[in]],0.01,raw[[#This Row],[out]]-raw[[#This Row],[in]]))</f>
        <v/>
      </c>
      <c r="P820" s="1397">
        <f>IF(raw[[#This Row],[in]]=0,0,MONTH(raw[[#This Row],[in]]))</f>
        <v/>
      </c>
      <c r="Q820" s="1397">
        <f>IF(raw[[#This Row],[in]]=0,0,YEAR(raw[[#This Row],[in]]))</f>
        <v/>
      </c>
      <c r="R820" s="1397">
        <f>INT(raw[[#This Row],[yr]]/10)*10</f>
        <v/>
      </c>
      <c r="S820" s="1395">
        <f>IF(raw[[#This Row],[city]]="","-",IF(raw[[#This Row],[city]]&lt;&gt;_xlfn.XLOOKUP(raw[[#This Row],[home]],homes[home],homes[city],"-"),1,0))</f>
        <v/>
      </c>
      <c r="T820" s="1398" t="inlineStr">
        <is>
          <t>.</t>
        </is>
      </c>
      <c r="U820" s="1399">
        <f>IF(raw[[#This Row],[wb]]="w",raw[[#This Row],[stay]]+U819,U819)</f>
        <v/>
      </c>
      <c r="V820" s="1400">
        <f>IF(raw[[#This Row],[out]]=0,V819,(raw[[#This Row],[out]]-E$5))</f>
        <v/>
      </c>
      <c r="W820" s="1401">
        <f>U820/V820</f>
        <v/>
      </c>
      <c r="X820" s="1378" t="inlineStr">
        <is>
          <t>.</t>
        </is>
      </c>
      <c r="Y820" s="1402">
        <f/>
        <v/>
      </c>
      <c r="Z820" s="1403">
        <f/>
        <v/>
      </c>
      <c r="AA820" s="1403">
        <f/>
        <v/>
      </c>
      <c r="AB820" s="1400">
        <f t="array" ref="AB820">_xlfn.LET(_xlpm.S,_xlfn.ANCHORARRAY($Y$4),_xlpm.r,ROWS(stayCity[[#Headers],[city]]:stayCity[[#This Row],[city]])-1,IF(_xlpm.r&lt;=ROWS(_xlpm.S),INDEX(_xlpm.S,_xlpm.r,1),""))</f>
        <v/>
      </c>
      <c r="AC820" s="1405">
        <f t="array" ref="AC820">_xlfn.LET(_xlpm.S,_xlfn.ANCHORARRAY($Y$4),_xlpm.r,ROWS(stayCity[[#Headers],[city]]:stayCity[[#This Row],[city]])-1,IF(_xlpm.r&lt;=ROWS(_xlpm.S),INDEX(_xlpm.S,_xlpm.r,2),""))</f>
        <v/>
      </c>
      <c r="AD820" s="1405">
        <f t="array" ref="AD820">_xlfn.LET(_xlpm.S,_xlfn.ANCHORARRAY($Y$4),_xlpm.r,ROWS(stayCity[[#Headers],[city]]:stayCity[[#This Row],[city]])-1,IF(_xlpm.r&lt;=ROWS(_xlpm.S),INDEX(_xlpm.S,_xlpm.r,3),""))</f>
        <v/>
      </c>
      <c r="AE820" s="1400">
        <f>IF(stayCity[[#This Row],[out]]&lt;&gt;"",stayCity[[#This Row],[out]]-stayCity[[#This Row],[in]],"-")</f>
        <v/>
      </c>
      <c r="AF820" s="1406">
        <f>IF(Y820="","-",YEAR(stayCity[[#This Row],[in]]))</f>
        <v/>
      </c>
      <c r="AG820" s="1392" t="n"/>
      <c r="AH820" s="1392" t="n"/>
      <c r="AI820" s="1392" t="n"/>
      <c r="AJ820" s="1392" t="n"/>
      <c r="AK820" s="1392" t="n"/>
      <c r="AL820" s="1392" t="n"/>
      <c r="AM820" s="1392" t="n"/>
      <c r="AN820" s="1392" t="n"/>
      <c r="AO820" s="1392" t="n"/>
      <c r="AP820" s="1392" t="n"/>
      <c r="AQ820" s="1392" t="n"/>
      <c r="AR820" s="1392" t="n"/>
      <c r="AS820" s="1422" t="n"/>
      <c r="AT820" s="1392" t="n"/>
      <c r="AU820" s="1392" t="n"/>
      <c r="AV820" s="1392" t="n"/>
      <c r="AW820" s="1392" t="n"/>
      <c r="AX820" s="1392" t="n"/>
      <c r="AY820" s="1392" t="n"/>
      <c r="AZ820" s="1392" t="n"/>
      <c r="BA820" s="1392" t="n"/>
      <c r="BB820" s="1422" t="n"/>
      <c r="BC820" s="1392" t="n"/>
      <c r="BD820" s="1392" t="n"/>
      <c r="BE820" s="1392" t="n"/>
      <c r="BF820" s="1392" t="n"/>
      <c r="BG820" s="1392" t="n"/>
      <c r="BH820" s="1392" t="n"/>
      <c r="BI820" s="1392" t="n"/>
      <c r="BJ820" s="1392" t="n"/>
      <c r="BK820" s="1392" t="n"/>
      <c r="BL820" s="1392" t="n"/>
      <c r="BM820" s="1392" t="n"/>
      <c r="BN820" s="1392" t="n"/>
      <c r="BO820" s="1392" t="n"/>
      <c r="BP820" s="1392" t="n"/>
      <c r="BQ820" s="1392" t="n"/>
      <c r="BR820" s="1392" t="n"/>
      <c r="BS820" s="1392" t="n"/>
      <c r="BT820" s="1392" t="n"/>
      <c r="BU820" s="1416" t="n"/>
      <c r="BV820" s="1392" t="n"/>
      <c r="BW820" s="1392" t="n"/>
      <c r="BX820" s="1392" t="n"/>
      <c r="BY820" s="1392" t="n"/>
      <c r="BZ820" s="1416" t="n"/>
      <c r="CA820" s="1392" t="n"/>
      <c r="CB820" s="1392" t="n"/>
      <c r="CC820" s="1392" t="n"/>
      <c r="CD820" s="1392" t="n"/>
      <c r="CE820" s="1392" t="n"/>
      <c r="CF820" s="1392" t="n"/>
      <c r="CG820" s="1392" t="n"/>
      <c r="CH820" s="1392" t="n"/>
      <c r="CI820" s="1392" t="n"/>
      <c r="CJ820" s="1392" t="n"/>
      <c r="CK820" s="1392" t="n"/>
      <c r="CL820" s="1392" t="n"/>
    </row>
    <row r="821">
      <c r="A821" s="5" t="inlineStr">
        <is>
          <t>.</t>
        </is>
      </c>
      <c r="B821" s="5" t="inlineStr">
        <is>
          <t>.</t>
        </is>
      </c>
      <c r="C821" s="1378">
        <f>IF(raw[[#This Row],[city]]="","-",IF(raw[[#This Row],[city]]="TODAY","-",C820+1))</f>
        <v/>
      </c>
      <c r="D821" s="1393" t="inlineStr">
        <is>
          <t>SSA</t>
        </is>
      </c>
      <c r="E821" s="1394" t="n">
        <v>38443</v>
      </c>
      <c r="F821" s="1394" t="n">
        <v>38453</v>
      </c>
      <c r="G821" s="1393" t="n">
        <v>1</v>
      </c>
      <c r="H821" s="1393" t="inlineStr">
        <is>
          <t>Ondina</t>
        </is>
      </c>
      <c r="I821" s="1393" t="inlineStr">
        <is>
          <t>Tatá/Vitoria</t>
        </is>
      </c>
      <c r="J821" s="1393" t="inlineStr">
        <is>
          <t>-</t>
        </is>
      </c>
      <c r="K821" s="1395">
        <f>IF(raw[[#This Row],[city]]&lt;&gt;"",_xlfn.XLOOKUP($D821,ccc[city],ccc[prov],"-"),"-")</f>
        <v/>
      </c>
      <c r="L821" s="1395">
        <f>IF(raw[[#This Row],[city]]&lt;&gt;"",_xlfn.XLOOKUP($D821,ccc[city],ccc[ctry],"-"),"-")</f>
        <v/>
      </c>
      <c r="M821" s="1395">
        <f>IF(raw[[#This Row],[city]]&lt;&gt;"",_xlfn.XLOOKUP($D821,ccc[city],ccc[cont],"-"),"-")</f>
        <v/>
      </c>
      <c r="N821" s="1396">
        <f>IF(raw[[#This Row],[city]]="","-",IF(raw[[#This Row],[cont]]="B",raw[[#This Row],[cont]],"W"))</f>
        <v/>
      </c>
      <c r="O821" s="1397">
        <f>IF(raw[[#This Row],[out]]=0,0,IF(raw[[#This Row],[out]]=raw[[#This Row],[in]],0.01,raw[[#This Row],[out]]-raw[[#This Row],[in]]))</f>
        <v/>
      </c>
      <c r="P821" s="1397">
        <f>IF(raw[[#This Row],[in]]=0,0,MONTH(raw[[#This Row],[in]]))</f>
        <v/>
      </c>
      <c r="Q821" s="1397">
        <f>IF(raw[[#This Row],[in]]=0,0,YEAR(raw[[#This Row],[in]]))</f>
        <v/>
      </c>
      <c r="R821" s="1397">
        <f>INT(raw[[#This Row],[yr]]/10)*10</f>
        <v/>
      </c>
      <c r="S821" s="1395">
        <f>IF(raw[[#This Row],[city]]="","-",IF(raw[[#This Row],[city]]&lt;&gt;_xlfn.XLOOKUP(raw[[#This Row],[home]],homes[home],homes[city],"-"),1,0))</f>
        <v/>
      </c>
      <c r="T821" s="1398" t="inlineStr">
        <is>
          <t>.</t>
        </is>
      </c>
      <c r="U821" s="1399">
        <f>IF(raw[[#This Row],[wb]]="w",raw[[#This Row],[stay]]+U820,U820)</f>
        <v/>
      </c>
      <c r="V821" s="1400">
        <f>IF(raw[[#This Row],[out]]=0,V820,(raw[[#This Row],[out]]-E$5))</f>
        <v/>
      </c>
      <c r="W821" s="1401">
        <f>U821/V821</f>
        <v/>
      </c>
      <c r="X821" s="1378" t="inlineStr">
        <is>
          <t>.</t>
        </is>
      </c>
      <c r="Y821" s="1402">
        <f/>
        <v/>
      </c>
      <c r="Z821" s="1403">
        <f/>
        <v/>
      </c>
      <c r="AA821" s="1403">
        <f/>
        <v/>
      </c>
      <c r="AB821" s="1400">
        <f t="array" ref="AB821">_xlfn.LET(_xlpm.S,_xlfn.ANCHORARRAY($Y$4),_xlpm.r,ROWS(stayCity[[#Headers],[city]]:stayCity[[#This Row],[city]])-1,IF(_xlpm.r&lt;=ROWS(_xlpm.S),INDEX(_xlpm.S,_xlpm.r,1),""))</f>
        <v/>
      </c>
      <c r="AC821" s="1405">
        <f t="array" ref="AC821">_xlfn.LET(_xlpm.S,_xlfn.ANCHORARRAY($Y$4),_xlpm.r,ROWS(stayCity[[#Headers],[city]]:stayCity[[#This Row],[city]])-1,IF(_xlpm.r&lt;=ROWS(_xlpm.S),INDEX(_xlpm.S,_xlpm.r,2),""))</f>
        <v/>
      </c>
      <c r="AD821" s="1405">
        <f t="array" ref="AD821">_xlfn.LET(_xlpm.S,_xlfn.ANCHORARRAY($Y$4),_xlpm.r,ROWS(stayCity[[#Headers],[city]]:stayCity[[#This Row],[city]])-1,IF(_xlpm.r&lt;=ROWS(_xlpm.S),INDEX(_xlpm.S,_xlpm.r,3),""))</f>
        <v/>
      </c>
      <c r="AE821" s="1400">
        <f>IF(stayCity[[#This Row],[out]]&lt;&gt;"",stayCity[[#This Row],[out]]-stayCity[[#This Row],[in]],"-")</f>
        <v/>
      </c>
      <c r="AF821" s="1406">
        <f>IF(Y821="","-",YEAR(stayCity[[#This Row],[in]]))</f>
        <v/>
      </c>
      <c r="AG821" s="1392" t="n"/>
      <c r="AH821" s="1392" t="n"/>
      <c r="AI821" s="1392" t="n"/>
      <c r="AJ821" s="1392" t="n"/>
      <c r="AK821" s="1392" t="n"/>
      <c r="AL821" s="1392" t="n"/>
      <c r="AM821" s="1392" t="n"/>
      <c r="AN821" s="1392" t="n"/>
      <c r="AO821" s="1392" t="n"/>
      <c r="AP821" s="1392" t="n"/>
      <c r="AQ821" s="1392" t="n"/>
      <c r="AR821" s="1392" t="n"/>
      <c r="AS821" s="1422" t="n"/>
      <c r="AT821" s="1392" t="n"/>
      <c r="AU821" s="1392" t="n"/>
      <c r="AV821" s="1392" t="n"/>
      <c r="AW821" s="1392" t="n"/>
      <c r="AX821" s="1392" t="n"/>
      <c r="AY821" s="1392" t="n"/>
      <c r="AZ821" s="1392" t="n"/>
      <c r="BA821" s="1392" t="n"/>
      <c r="BB821" s="1422" t="n"/>
      <c r="BC821" s="1392" t="n"/>
      <c r="BD821" s="1392" t="n"/>
      <c r="BE821" s="1392" t="n"/>
      <c r="BF821" s="1392" t="n"/>
      <c r="BG821" s="1392" t="n"/>
      <c r="BH821" s="1392" t="n"/>
      <c r="BI821" s="1392" t="n"/>
      <c r="BJ821" s="1392" t="n"/>
      <c r="BK821" s="1392" t="n"/>
      <c r="BL821" s="1392" t="n"/>
      <c r="BM821" s="1392" t="n"/>
      <c r="BN821" s="1392" t="n"/>
      <c r="BO821" s="1392" t="n"/>
      <c r="BP821" s="1392" t="n"/>
      <c r="BQ821" s="1392" t="n"/>
      <c r="BR821" s="1392" t="n"/>
      <c r="BS821" s="1392" t="n"/>
      <c r="BT821" s="1392" t="n"/>
      <c r="BU821" s="1416" t="n"/>
      <c r="BV821" s="1392" t="n"/>
      <c r="BW821" s="1392" t="n"/>
      <c r="BX821" s="1392" t="n"/>
      <c r="BY821" s="1392" t="n"/>
      <c r="BZ821" s="1416" t="n"/>
      <c r="CA821" s="1392" t="n"/>
      <c r="CB821" s="1392" t="n"/>
      <c r="CC821" s="1392" t="n"/>
      <c r="CD821" s="1392" t="n"/>
      <c r="CE821" s="1392" t="n"/>
      <c r="CF821" s="1392" t="n"/>
      <c r="CG821" s="1392" t="n"/>
      <c r="CH821" s="1392" t="n"/>
      <c r="CI821" s="1392" t="n"/>
      <c r="CJ821" s="1392" t="n"/>
      <c r="CK821" s="1392" t="n"/>
      <c r="CL821" s="1392" t="n"/>
    </row>
    <row r="822">
      <c r="A822" s="5" t="inlineStr">
        <is>
          <t>.</t>
        </is>
      </c>
      <c r="B822" s="5" t="inlineStr">
        <is>
          <t>.</t>
        </is>
      </c>
      <c r="C822" s="1378">
        <f>IF(raw[[#This Row],[city]]="","-",IF(raw[[#This Row],[city]]="TODAY","-",C821+1))</f>
        <v/>
      </c>
      <c r="D822" s="1393" t="inlineStr">
        <is>
          <t>SP</t>
        </is>
      </c>
      <c r="E822" s="1394" t="n">
        <v>38453</v>
      </c>
      <c r="F822" s="1394" t="n">
        <v>38473</v>
      </c>
      <c r="G822" s="1393" t="inlineStr">
        <is>
          <t>-</t>
        </is>
      </c>
      <c r="H822" s="1393" t="inlineStr">
        <is>
          <t>Ondina</t>
        </is>
      </c>
      <c r="I822" s="1393" t="inlineStr">
        <is>
          <t>Salto Grande</t>
        </is>
      </c>
      <c r="J822" s="1393" t="inlineStr">
        <is>
          <t>-</t>
        </is>
      </c>
      <c r="K822" s="1395">
        <f>IF(raw[[#This Row],[city]]&lt;&gt;"",_xlfn.XLOOKUP($D822,ccc[city],ccc[prov],"-"),"-")</f>
        <v/>
      </c>
      <c r="L822" s="1395">
        <f>IF(raw[[#This Row],[city]]&lt;&gt;"",_xlfn.XLOOKUP($D822,ccc[city],ccc[ctry],"-"),"-")</f>
        <v/>
      </c>
      <c r="M822" s="1395">
        <f>IF(raw[[#This Row],[city]]&lt;&gt;"",_xlfn.XLOOKUP($D822,ccc[city],ccc[cont],"-"),"-")</f>
        <v/>
      </c>
      <c r="N822" s="1396">
        <f>IF(raw[[#This Row],[city]]="","-",IF(raw[[#This Row],[cont]]="B",raw[[#This Row],[cont]],"W"))</f>
        <v/>
      </c>
      <c r="O822" s="1397">
        <f>IF(raw[[#This Row],[out]]=0,0,IF(raw[[#This Row],[out]]=raw[[#This Row],[in]],0.01,raw[[#This Row],[out]]-raw[[#This Row],[in]]))</f>
        <v/>
      </c>
      <c r="P822" s="1397">
        <f>IF(raw[[#This Row],[in]]=0,0,MONTH(raw[[#This Row],[in]]))</f>
        <v/>
      </c>
      <c r="Q822" s="1397">
        <f>IF(raw[[#This Row],[in]]=0,0,YEAR(raw[[#This Row],[in]]))</f>
        <v/>
      </c>
      <c r="R822" s="1397">
        <f>INT(raw[[#This Row],[yr]]/10)*10</f>
        <v/>
      </c>
      <c r="S822" s="1395">
        <f>IF(raw[[#This Row],[city]]="","-",IF(raw[[#This Row],[city]]&lt;&gt;_xlfn.XLOOKUP(raw[[#This Row],[home]],homes[home],homes[city],"-"),1,0))</f>
        <v/>
      </c>
      <c r="T822" s="1398" t="inlineStr">
        <is>
          <t>.</t>
        </is>
      </c>
      <c r="U822" s="1399">
        <f>IF(raw[[#This Row],[wb]]="w",raw[[#This Row],[stay]]+U821,U821)</f>
        <v/>
      </c>
      <c r="V822" s="1400">
        <f>IF(raw[[#This Row],[out]]=0,V821,(raw[[#This Row],[out]]-E$5))</f>
        <v/>
      </c>
      <c r="W822" s="1401">
        <f>U822/V822</f>
        <v/>
      </c>
      <c r="X822" s="1378" t="inlineStr">
        <is>
          <t>.</t>
        </is>
      </c>
      <c r="Y822" s="1402" t="n"/>
      <c r="Z822" s="1403" t="n"/>
      <c r="AA822" s="1403" t="n"/>
      <c r="AB822" s="1400">
        <f t="array" ref="AB822">_xlfn.LET(_xlpm.S,_xlfn.ANCHORARRAY($Y$4),_xlpm.r,ROWS(stayCity[[#Headers],[city]]:stayCity[[#This Row],[city]])-1,IF(_xlpm.r&lt;=ROWS(_xlpm.S),INDEX(_xlpm.S,_xlpm.r,1),""))</f>
        <v/>
      </c>
      <c r="AC822" s="1405">
        <f t="array" ref="AC822">_xlfn.LET(_xlpm.S,_xlfn.ANCHORARRAY($Y$4),_xlpm.r,ROWS(stayCity[[#Headers],[city]]:stayCity[[#This Row],[city]])-1,IF(_xlpm.r&lt;=ROWS(_xlpm.S),INDEX(_xlpm.S,_xlpm.r,2),""))</f>
        <v/>
      </c>
      <c r="AD822" s="1405">
        <f t="array" ref="AD822">_xlfn.LET(_xlpm.S,_xlfn.ANCHORARRAY($Y$4),_xlpm.r,ROWS(stayCity[[#Headers],[city]]:stayCity[[#This Row],[city]])-1,IF(_xlpm.r&lt;=ROWS(_xlpm.S),INDEX(_xlpm.S,_xlpm.r,3),""))</f>
        <v/>
      </c>
      <c r="AE822" s="1400">
        <f>IF(stayCity[[#This Row],[out]]&lt;&gt;"",stayCity[[#This Row],[out]]-stayCity[[#This Row],[in]],"-")</f>
        <v/>
      </c>
      <c r="AF822" s="1406">
        <f>IF(Y822="","-",YEAR(stayCity[[#This Row],[in]]))</f>
        <v/>
      </c>
      <c r="AG822" s="1392" t="n"/>
      <c r="AH822" s="1392" t="n"/>
      <c r="AI822" s="1392" t="n"/>
      <c r="AJ822" s="1392" t="n"/>
      <c r="AK822" s="1392" t="n"/>
      <c r="AL822" s="1392" t="n"/>
      <c r="AM822" s="1392" t="n"/>
      <c r="AN822" s="1392" t="n"/>
      <c r="AO822" s="1392" t="n"/>
      <c r="AP822" s="1392" t="n"/>
      <c r="AQ822" s="1392" t="n"/>
      <c r="AR822" s="1392" t="n"/>
      <c r="AS822" s="1422" t="n"/>
      <c r="AT822" s="1392" t="n"/>
      <c r="AU822" s="1392" t="n"/>
      <c r="AV822" s="1392" t="n"/>
      <c r="AW822" s="1392" t="n"/>
      <c r="AX822" s="1392" t="n"/>
      <c r="AY822" s="1392" t="n"/>
      <c r="AZ822" s="1392" t="n"/>
      <c r="BA822" s="1392" t="n"/>
      <c r="BB822" s="1422" t="n"/>
      <c r="BC822" s="1392" t="n"/>
      <c r="BD822" s="1392" t="n"/>
      <c r="BE822" s="1392" t="n"/>
      <c r="BF822" s="1392" t="n"/>
      <c r="BG822" s="1392" t="n"/>
      <c r="BH822" s="1392" t="n"/>
      <c r="BI822" s="1392" t="n"/>
      <c r="BJ822" s="1392" t="n"/>
      <c r="BK822" s="1392" t="n"/>
      <c r="BL822" s="1392" t="n"/>
      <c r="BM822" s="1392" t="n"/>
      <c r="BN822" s="1392" t="n"/>
      <c r="BO822" s="1392" t="n"/>
      <c r="BP822" s="1392" t="n"/>
      <c r="BQ822" s="1392" t="n"/>
      <c r="BR822" s="1392" t="n"/>
      <c r="BS822" s="1392" t="n"/>
      <c r="BT822" s="1392" t="n"/>
      <c r="BU822" s="1416" t="n"/>
      <c r="BV822" s="1392" t="n"/>
      <c r="BW822" s="1392" t="n"/>
      <c r="BX822" s="1392" t="n"/>
      <c r="BY822" s="1392" t="n"/>
      <c r="BZ822" s="1416" t="n"/>
      <c r="CA822" s="1392" t="n"/>
      <c r="CB822" s="1392" t="n"/>
      <c r="CC822" s="1392" t="n"/>
      <c r="CD822" s="1392" t="n"/>
      <c r="CE822" s="1392" t="n"/>
      <c r="CF822" s="1392" t="n"/>
      <c r="CG822" s="1392" t="n"/>
      <c r="CH822" s="1392" t="n"/>
      <c r="CI822" s="1392" t="n"/>
      <c r="CJ822" s="1392" t="n"/>
      <c r="CK822" s="1392" t="n"/>
      <c r="CL822" s="1392" t="n"/>
    </row>
    <row r="823">
      <c r="A823" s="5" t="inlineStr">
        <is>
          <t>.</t>
        </is>
      </c>
      <c r="B823" s="5" t="inlineStr">
        <is>
          <t>.</t>
        </is>
      </c>
      <c r="C823" s="1378">
        <f>IF(raw[[#This Row],[city]]="","-",IF(raw[[#This Row],[city]]="TODAY","-",C822+1))</f>
        <v/>
      </c>
      <c r="D823" s="1393" t="inlineStr">
        <is>
          <t>SP</t>
        </is>
      </c>
      <c r="E823" s="1394" t="n">
        <v>38473</v>
      </c>
      <c r="F823" s="1394" t="n">
        <v>38477</v>
      </c>
      <c r="G823" s="1393" t="n">
        <v>1</v>
      </c>
      <c r="H823" s="1393" t="inlineStr">
        <is>
          <t>Ondina</t>
        </is>
      </c>
      <c r="I823" s="1393" t="inlineStr">
        <is>
          <t>Salto Grande</t>
        </is>
      </c>
      <c r="J823" s="1393" t="inlineStr">
        <is>
          <t>-</t>
        </is>
      </c>
      <c r="K823" s="1395">
        <f>IF(raw[[#This Row],[city]]&lt;&gt;"",_xlfn.XLOOKUP($D823,ccc[city],ccc[prov],"-"),"-")</f>
        <v/>
      </c>
      <c r="L823" s="1395">
        <f>IF(raw[[#This Row],[city]]&lt;&gt;"",_xlfn.XLOOKUP($D823,ccc[city],ccc[ctry],"-"),"-")</f>
        <v/>
      </c>
      <c r="M823" s="1395">
        <f>IF(raw[[#This Row],[city]]&lt;&gt;"",_xlfn.XLOOKUP($D823,ccc[city],ccc[cont],"-"),"-")</f>
        <v/>
      </c>
      <c r="N823" s="1396">
        <f>IF(raw[[#This Row],[city]]="","-",IF(raw[[#This Row],[cont]]="B",raw[[#This Row],[cont]],"W"))</f>
        <v/>
      </c>
      <c r="O823" s="1397">
        <f>IF(raw[[#This Row],[out]]=0,0,IF(raw[[#This Row],[out]]=raw[[#This Row],[in]],0.01,raw[[#This Row],[out]]-raw[[#This Row],[in]]))</f>
        <v/>
      </c>
      <c r="P823" s="1397">
        <f>IF(raw[[#This Row],[in]]=0,0,MONTH(raw[[#This Row],[in]]))</f>
        <v/>
      </c>
      <c r="Q823" s="1397">
        <f>IF(raw[[#This Row],[in]]=0,0,YEAR(raw[[#This Row],[in]]))</f>
        <v/>
      </c>
      <c r="R823" s="1397">
        <f>INT(raw[[#This Row],[yr]]/10)*10</f>
        <v/>
      </c>
      <c r="S823" s="1395">
        <f>IF(raw[[#This Row],[city]]="","-",IF(raw[[#This Row],[city]]&lt;&gt;_xlfn.XLOOKUP(raw[[#This Row],[home]],homes[home],homes[city],"-"),1,0))</f>
        <v/>
      </c>
      <c r="T823" s="1398" t="inlineStr">
        <is>
          <t>.</t>
        </is>
      </c>
      <c r="U823" s="1399">
        <f>IF(raw[[#This Row],[wb]]="w",raw[[#This Row],[stay]]+U822,U822)</f>
        <v/>
      </c>
      <c r="V823" s="1400">
        <f>IF(raw[[#This Row],[out]]=0,V822,(raw[[#This Row],[out]]-E$5))</f>
        <v/>
      </c>
      <c r="W823" s="1401">
        <f>U823/V823</f>
        <v/>
      </c>
      <c r="X823" s="1378" t="inlineStr">
        <is>
          <t>.</t>
        </is>
      </c>
      <c r="Y823" s="1402" t="n"/>
      <c r="Z823" s="1403" t="n"/>
      <c r="AA823" s="1403" t="n"/>
      <c r="AB823" s="1400">
        <f t="array" ref="AB823">_xlfn.LET(_xlpm.S,_xlfn.ANCHORARRAY($Y$4),_xlpm.r,ROWS(stayCity[[#Headers],[city]]:stayCity[[#This Row],[city]])-1,IF(_xlpm.r&lt;=ROWS(_xlpm.S),INDEX(_xlpm.S,_xlpm.r,1),""))</f>
        <v/>
      </c>
      <c r="AC823" s="1405">
        <f t="array" ref="AC823">_xlfn.LET(_xlpm.S,_xlfn.ANCHORARRAY($Y$4),_xlpm.r,ROWS(stayCity[[#Headers],[city]]:stayCity[[#This Row],[city]])-1,IF(_xlpm.r&lt;=ROWS(_xlpm.S),INDEX(_xlpm.S,_xlpm.r,2),""))</f>
        <v/>
      </c>
      <c r="AD823" s="1405">
        <f t="array" ref="AD823">_xlfn.LET(_xlpm.S,_xlfn.ANCHORARRAY($Y$4),_xlpm.r,ROWS(stayCity[[#Headers],[city]]:stayCity[[#This Row],[city]])-1,IF(_xlpm.r&lt;=ROWS(_xlpm.S),INDEX(_xlpm.S,_xlpm.r,3),""))</f>
        <v/>
      </c>
      <c r="AE823" s="1400">
        <f>IF(stayCity[[#This Row],[out]]&lt;&gt;"",stayCity[[#This Row],[out]]-stayCity[[#This Row],[in]],"-")</f>
        <v/>
      </c>
      <c r="AF823" s="1406">
        <f>IF(Y823="","-",YEAR(stayCity[[#This Row],[in]]))</f>
        <v/>
      </c>
      <c r="AG823" s="1392" t="n"/>
      <c r="AH823" s="1392" t="n"/>
      <c r="AI823" s="1392" t="n"/>
      <c r="AJ823" s="1392" t="n"/>
      <c r="AK823" s="1392" t="n"/>
      <c r="AL823" s="1392" t="n"/>
      <c r="AM823" s="1392" t="n"/>
      <c r="AN823" s="1392" t="n"/>
      <c r="AO823" s="1392" t="n"/>
      <c r="AP823" s="1392" t="n"/>
      <c r="AQ823" s="1392" t="n"/>
      <c r="AR823" s="1392" t="n"/>
      <c r="AS823" s="1422" t="n"/>
      <c r="AT823" s="1392" t="n"/>
      <c r="AU823" s="1392" t="n"/>
      <c r="AV823" s="1392" t="n"/>
      <c r="AW823" s="1392" t="n"/>
      <c r="AX823" s="1392" t="n"/>
      <c r="AY823" s="1392" t="n"/>
      <c r="AZ823" s="1392" t="n"/>
      <c r="BA823" s="1392" t="n"/>
      <c r="BB823" s="1422" t="n"/>
      <c r="BC823" s="1392" t="n"/>
      <c r="BD823" s="1392" t="n"/>
      <c r="BE823" s="1392" t="n"/>
      <c r="BF823" s="1392" t="n"/>
      <c r="BG823" s="1392" t="n"/>
      <c r="BH823" s="1392" t="n"/>
      <c r="BI823" s="1392" t="n"/>
      <c r="BJ823" s="1392" t="n"/>
      <c r="BK823" s="1392" t="n"/>
      <c r="BL823" s="1392" t="n"/>
      <c r="BM823" s="1392" t="n"/>
      <c r="BN823" s="1392" t="n"/>
      <c r="BO823" s="1392" t="n"/>
      <c r="BP823" s="1392" t="n"/>
      <c r="BQ823" s="1392" t="n"/>
      <c r="BR823" s="1392" t="n"/>
      <c r="BS823" s="1392" t="n"/>
      <c r="BT823" s="1392" t="n"/>
      <c r="BU823" s="1416" t="n"/>
      <c r="BV823" s="1392" t="n"/>
      <c r="BW823" s="1392" t="n"/>
      <c r="BX823" s="1392" t="n"/>
      <c r="BY823" s="1392" t="n"/>
      <c r="BZ823" s="1416" t="n"/>
      <c r="CA823" s="1392" t="n"/>
      <c r="CB823" s="1392" t="n"/>
      <c r="CC823" s="1392" t="n"/>
      <c r="CD823" s="1392" t="n"/>
      <c r="CE823" s="1392" t="n"/>
      <c r="CF823" s="1392" t="n"/>
      <c r="CG823" s="1392" t="n"/>
      <c r="CH823" s="1392" t="n"/>
      <c r="CI823" s="1392" t="n"/>
      <c r="CJ823" s="1392" t="n"/>
      <c r="CK823" s="1392" t="n"/>
      <c r="CL823" s="1392" t="n"/>
    </row>
    <row r="824">
      <c r="A824" s="5" t="inlineStr">
        <is>
          <t>.</t>
        </is>
      </c>
      <c r="B824" s="5" t="inlineStr">
        <is>
          <t>.</t>
        </is>
      </c>
      <c r="C824" s="1378">
        <f>IF(raw[[#This Row],[city]]="","-",IF(raw[[#This Row],[city]]="TODAY","-",C823+1))</f>
        <v/>
      </c>
      <c r="D824" s="1393" t="inlineStr">
        <is>
          <t>SSA</t>
        </is>
      </c>
      <c r="E824" s="1394" t="n">
        <v>38477</v>
      </c>
      <c r="F824" s="1394" t="n">
        <v>38496</v>
      </c>
      <c r="G824" s="1393" t="n">
        <v>1</v>
      </c>
      <c r="H824" s="1393" t="inlineStr">
        <is>
          <t>Ondina</t>
        </is>
      </c>
      <c r="I824" s="1393" t="n"/>
      <c r="J824" s="1393" t="inlineStr">
        <is>
          <t>-</t>
        </is>
      </c>
      <c r="K824" s="1395">
        <f>IF(raw[[#This Row],[city]]&lt;&gt;"",_xlfn.XLOOKUP($D824,ccc[city],ccc[prov],"-"),"-")</f>
        <v/>
      </c>
      <c r="L824" s="1395">
        <f>IF(raw[[#This Row],[city]]&lt;&gt;"",_xlfn.XLOOKUP($D824,ccc[city],ccc[ctry],"-"),"-")</f>
        <v/>
      </c>
      <c r="M824" s="1395">
        <f>IF(raw[[#This Row],[city]]&lt;&gt;"",_xlfn.XLOOKUP($D824,ccc[city],ccc[cont],"-"),"-")</f>
        <v/>
      </c>
      <c r="N824" s="1396">
        <f>IF(raw[[#This Row],[city]]="","-",IF(raw[[#This Row],[cont]]="B",raw[[#This Row],[cont]],"W"))</f>
        <v/>
      </c>
      <c r="O824" s="1397">
        <f>IF(raw[[#This Row],[out]]=0,0,IF(raw[[#This Row],[out]]=raw[[#This Row],[in]],0.01,raw[[#This Row],[out]]-raw[[#This Row],[in]]))</f>
        <v/>
      </c>
      <c r="P824" s="1397">
        <f>IF(raw[[#This Row],[in]]=0,0,MONTH(raw[[#This Row],[in]]))</f>
        <v/>
      </c>
      <c r="Q824" s="1397">
        <f>IF(raw[[#This Row],[in]]=0,0,YEAR(raw[[#This Row],[in]]))</f>
        <v/>
      </c>
      <c r="R824" s="1397">
        <f>INT(raw[[#This Row],[yr]]/10)*10</f>
        <v/>
      </c>
      <c r="S824" s="1395">
        <f>IF(raw[[#This Row],[city]]="","-",IF(raw[[#This Row],[city]]&lt;&gt;_xlfn.XLOOKUP(raw[[#This Row],[home]],homes[home],homes[city],"-"),1,0))</f>
        <v/>
      </c>
      <c r="T824" s="1398" t="inlineStr">
        <is>
          <t>.</t>
        </is>
      </c>
      <c r="U824" s="1399">
        <f>IF(raw[[#This Row],[wb]]="w",raw[[#This Row],[stay]]+U823,U823)</f>
        <v/>
      </c>
      <c r="V824" s="1400">
        <f>IF(raw[[#This Row],[out]]=0,V823,(raw[[#This Row],[out]]-E$5))</f>
        <v/>
      </c>
      <c r="W824" s="1401">
        <f>U824/V824</f>
        <v/>
      </c>
      <c r="X824" s="1378" t="inlineStr">
        <is>
          <t>.</t>
        </is>
      </c>
      <c r="Y824" s="1402" t="n"/>
      <c r="Z824" s="1403" t="n"/>
      <c r="AA824" s="1403" t="n"/>
      <c r="AB824" s="1400">
        <f t="array" ref="AB824">_xlfn.LET(_xlpm.S,_xlfn.ANCHORARRAY($Y$4),_xlpm.r,ROWS(stayCity[[#Headers],[city]]:stayCity[[#This Row],[city]])-1,IF(_xlpm.r&lt;=ROWS(_xlpm.S),INDEX(_xlpm.S,_xlpm.r,1),""))</f>
        <v/>
      </c>
      <c r="AC824" s="1405">
        <f t="array" ref="AC824">_xlfn.LET(_xlpm.S,_xlfn.ANCHORARRAY($Y$4),_xlpm.r,ROWS(stayCity[[#Headers],[city]]:stayCity[[#This Row],[city]])-1,IF(_xlpm.r&lt;=ROWS(_xlpm.S),INDEX(_xlpm.S,_xlpm.r,2),""))</f>
        <v/>
      </c>
      <c r="AD824" s="1405">
        <f t="array" ref="AD824">_xlfn.LET(_xlpm.S,_xlfn.ANCHORARRAY($Y$4),_xlpm.r,ROWS(stayCity[[#Headers],[city]]:stayCity[[#This Row],[city]])-1,IF(_xlpm.r&lt;=ROWS(_xlpm.S),INDEX(_xlpm.S,_xlpm.r,3),""))</f>
        <v/>
      </c>
      <c r="AE824" s="1400">
        <f>IF(stayCity[[#This Row],[out]]&lt;&gt;"",stayCity[[#This Row],[out]]-stayCity[[#This Row],[in]],"-")</f>
        <v/>
      </c>
      <c r="AF824" s="1406">
        <f>IF(Y824="","-",YEAR(stayCity[[#This Row],[in]]))</f>
        <v/>
      </c>
      <c r="AG824" s="1392" t="n"/>
      <c r="AH824" s="1392" t="n"/>
      <c r="AI824" s="1392" t="n"/>
      <c r="AJ824" s="1392" t="n"/>
      <c r="AK824" s="1392" t="n"/>
      <c r="AL824" s="1392" t="n"/>
      <c r="AM824" s="1392" t="n"/>
      <c r="AN824" s="1392" t="n"/>
      <c r="AO824" s="1392" t="n"/>
      <c r="AP824" s="1392" t="n"/>
      <c r="AQ824" s="1392" t="n"/>
      <c r="AR824" s="1392" t="n"/>
      <c r="AS824" s="1422" t="n"/>
      <c r="AT824" s="1392" t="n"/>
      <c r="AU824" s="1392" t="n"/>
      <c r="AV824" s="1392" t="n"/>
      <c r="AW824" s="1392" t="n"/>
      <c r="AX824" s="1392" t="n"/>
      <c r="AY824" s="1392" t="n"/>
      <c r="AZ824" s="1392" t="n"/>
      <c r="BA824" s="1392" t="n"/>
      <c r="BB824" s="1422" t="n"/>
      <c r="BC824" s="1392" t="n"/>
      <c r="BD824" s="1392" t="n"/>
      <c r="BE824" s="1392" t="n"/>
      <c r="BF824" s="1392" t="n"/>
      <c r="BG824" s="1392" t="n"/>
      <c r="BH824" s="1392" t="n"/>
      <c r="BI824" s="1392" t="n"/>
      <c r="BJ824" s="1392" t="n"/>
      <c r="BK824" s="1392" t="n"/>
      <c r="BL824" s="1392" t="n"/>
      <c r="BM824" s="1392" t="n"/>
      <c r="BN824" s="1392" t="n"/>
      <c r="BO824" s="1392" t="n"/>
      <c r="BP824" s="1392" t="n"/>
      <c r="BQ824" s="1392" t="n"/>
      <c r="BR824" s="1392" t="n"/>
      <c r="BS824" s="1392" t="n"/>
      <c r="BT824" s="1392" t="n"/>
      <c r="BU824" s="1416" t="n"/>
      <c r="BV824" s="1392" t="n"/>
      <c r="BW824" s="1392" t="n"/>
      <c r="BX824" s="1392" t="n"/>
      <c r="BY824" s="1392" t="n"/>
      <c r="BZ824" s="1416" t="n"/>
      <c r="CA824" s="1392" t="n"/>
      <c r="CB824" s="1392" t="n"/>
      <c r="CC824" s="1392" t="n"/>
      <c r="CD824" s="1392" t="n"/>
      <c r="CE824" s="1392" t="n"/>
      <c r="CF824" s="1392" t="n"/>
      <c r="CG824" s="1392" t="n"/>
      <c r="CH824" s="1392" t="n"/>
      <c r="CI824" s="1392" t="n"/>
      <c r="CJ824" s="1392" t="n"/>
      <c r="CK824" s="1392" t="n"/>
      <c r="CL824" s="1392" t="n"/>
    </row>
    <row r="825">
      <c r="A825" s="5" t="inlineStr">
        <is>
          <t>.</t>
        </is>
      </c>
      <c r="B825" s="5" t="inlineStr">
        <is>
          <t>.</t>
        </is>
      </c>
      <c r="C825" s="1378">
        <f>IF(raw[[#This Row],[city]]="","-",IF(raw[[#This Row],[city]]="TODAY","-",C824+1))</f>
        <v/>
      </c>
      <c r="D825" s="1393" t="inlineStr">
        <is>
          <t>AIR</t>
        </is>
      </c>
      <c r="E825" s="1394" t="n">
        <v>38496</v>
      </c>
      <c r="F825" s="1394" t="n">
        <v>38497</v>
      </c>
      <c r="G825" s="1393" t="inlineStr">
        <is>
          <t>x</t>
        </is>
      </c>
      <c r="H825" s="1393" t="inlineStr">
        <is>
          <t>Transit</t>
        </is>
      </c>
      <c r="I825" s="1393" t="inlineStr">
        <is>
          <t>-</t>
        </is>
      </c>
      <c r="J825" s="1393" t="inlineStr">
        <is>
          <t>-</t>
        </is>
      </c>
      <c r="K825" s="1395">
        <f>IF(raw[[#This Row],[city]]&lt;&gt;"",_xlfn.XLOOKUP($D825,ccc[city],ccc[prov],"-"),"-")</f>
        <v/>
      </c>
      <c r="L825" s="1395">
        <f>IF(raw[[#This Row],[city]]&lt;&gt;"",_xlfn.XLOOKUP($D825,ccc[city],ccc[ctry],"-"),"-")</f>
        <v/>
      </c>
      <c r="M825" s="1395">
        <f>IF(raw[[#This Row],[city]]&lt;&gt;"",_xlfn.XLOOKUP($D825,ccc[city],ccc[cont],"-"),"-")</f>
        <v/>
      </c>
      <c r="N825" s="1396">
        <f>IF(raw[[#This Row],[city]]="","-",IF(raw[[#This Row],[cont]]="B",raw[[#This Row],[cont]],"W"))</f>
        <v/>
      </c>
      <c r="O825" s="1397">
        <f>IF(raw[[#This Row],[out]]=0,0,IF(raw[[#This Row],[out]]=raw[[#This Row],[in]],0.01,raw[[#This Row],[out]]-raw[[#This Row],[in]]))</f>
        <v/>
      </c>
      <c r="P825" s="1397">
        <f>IF(raw[[#This Row],[in]]=0,0,MONTH(raw[[#This Row],[in]]))</f>
        <v/>
      </c>
      <c r="Q825" s="1397">
        <f>IF(raw[[#This Row],[in]]=0,0,YEAR(raw[[#This Row],[in]]))</f>
        <v/>
      </c>
      <c r="R825" s="1397">
        <f>INT(raw[[#This Row],[yr]]/10)*10</f>
        <v/>
      </c>
      <c r="S825" s="1395">
        <f>IF(raw[[#This Row],[city]]="","-",IF(raw[[#This Row],[city]]&lt;&gt;_xlfn.XLOOKUP(raw[[#This Row],[home]],homes[home],homes[city],"-"),1,0))</f>
        <v/>
      </c>
      <c r="T825" s="1398" t="inlineStr">
        <is>
          <t>.</t>
        </is>
      </c>
      <c r="U825" s="1399">
        <f>IF(raw[[#This Row],[wb]]="w",raw[[#This Row],[stay]]+U824,U824)</f>
        <v/>
      </c>
      <c r="V825" s="1400">
        <f>IF(raw[[#This Row],[out]]=0,V824,(raw[[#This Row],[out]]-E$5))</f>
        <v/>
      </c>
      <c r="W825" s="1401">
        <f>U825/V825</f>
        <v/>
      </c>
      <c r="X825" s="1378" t="inlineStr">
        <is>
          <t>.</t>
        </is>
      </c>
      <c r="Y825" s="1402" t="n"/>
      <c r="Z825" s="1403" t="n"/>
      <c r="AA825" s="1403" t="n"/>
      <c r="AB825" s="1400">
        <f t="array" ref="AB825">_xlfn.LET(_xlpm.S,_xlfn.ANCHORARRAY($Y$4),_xlpm.r,ROWS(stayCity[[#Headers],[city]]:stayCity[[#This Row],[city]])-1,IF(_xlpm.r&lt;=ROWS(_xlpm.S),INDEX(_xlpm.S,_xlpm.r,1),""))</f>
        <v/>
      </c>
      <c r="AC825" s="1405">
        <f t="array" ref="AC825">_xlfn.LET(_xlpm.S,_xlfn.ANCHORARRAY($Y$4),_xlpm.r,ROWS(stayCity[[#Headers],[city]]:stayCity[[#This Row],[city]])-1,IF(_xlpm.r&lt;=ROWS(_xlpm.S),INDEX(_xlpm.S,_xlpm.r,2),""))</f>
        <v/>
      </c>
      <c r="AD825" s="1405">
        <f t="array" ref="AD825">_xlfn.LET(_xlpm.S,_xlfn.ANCHORARRAY($Y$4),_xlpm.r,ROWS(stayCity[[#Headers],[city]]:stayCity[[#This Row],[city]])-1,IF(_xlpm.r&lt;=ROWS(_xlpm.S),INDEX(_xlpm.S,_xlpm.r,3),""))</f>
        <v/>
      </c>
      <c r="AE825" s="1400">
        <f>IF(stayCity[[#This Row],[out]]&lt;&gt;"",stayCity[[#This Row],[out]]-stayCity[[#This Row],[in]],"-")</f>
        <v/>
      </c>
      <c r="AF825" s="1406">
        <f>IF(Y825="","-",YEAR(stayCity[[#This Row],[in]]))</f>
        <v/>
      </c>
      <c r="AG825" s="1392" t="n"/>
      <c r="AH825" s="1392" t="n"/>
      <c r="AI825" s="1392" t="n"/>
      <c r="AJ825" s="1392" t="n"/>
      <c r="AK825" s="1392" t="n"/>
      <c r="AL825" s="1392" t="n"/>
      <c r="AM825" s="1392" t="n"/>
      <c r="AN825" s="1392" t="n"/>
      <c r="AO825" s="1392" t="n"/>
      <c r="AP825" s="1392" t="n"/>
      <c r="AQ825" s="1392" t="n"/>
      <c r="AR825" s="1392" t="n"/>
      <c r="AS825" s="1422" t="n"/>
      <c r="AT825" s="1392" t="n"/>
      <c r="AU825" s="1392" t="n"/>
      <c r="AV825" s="1392" t="n"/>
      <c r="AW825" s="1392" t="n"/>
      <c r="AX825" s="1392" t="n"/>
      <c r="AY825" s="1392" t="n"/>
      <c r="AZ825" s="1392" t="n"/>
      <c r="BA825" s="1392" t="n"/>
      <c r="BB825" s="1422" t="n"/>
      <c r="BC825" s="1392" t="n"/>
      <c r="BD825" s="1392" t="n"/>
      <c r="BE825" s="1392" t="n"/>
      <c r="BF825" s="1392" t="n"/>
      <c r="BG825" s="1392" t="n"/>
      <c r="BH825" s="1392" t="n"/>
      <c r="BI825" s="1392" t="n"/>
      <c r="BJ825" s="1392" t="n"/>
      <c r="BK825" s="1392" t="n"/>
      <c r="BL825" s="1392" t="n"/>
      <c r="BM825" s="1392" t="n"/>
      <c r="BN825" s="1392" t="n"/>
      <c r="BO825" s="1392" t="n"/>
      <c r="BP825" s="1392" t="n"/>
      <c r="BQ825" s="1392" t="n"/>
      <c r="BR825" s="1392" t="n"/>
      <c r="BS825" s="1392" t="n"/>
      <c r="BT825" s="1392" t="n"/>
      <c r="BU825" s="1416" t="n"/>
      <c r="BV825" s="1392" t="n"/>
      <c r="BW825" s="1392" t="n"/>
      <c r="BX825" s="1392" t="n"/>
      <c r="BY825" s="1392" t="n"/>
      <c r="BZ825" s="1416" t="n"/>
      <c r="CA825" s="1392" t="n"/>
      <c r="CB825" s="1392" t="n"/>
      <c r="CC825" s="1392" t="n"/>
      <c r="CD825" s="1392" t="n"/>
      <c r="CE825" s="1392" t="n"/>
      <c r="CF825" s="1392" t="n"/>
      <c r="CG825" s="1392" t="n"/>
      <c r="CH825" s="1392" t="n"/>
      <c r="CI825" s="1392" t="n"/>
      <c r="CJ825" s="1392" t="n"/>
      <c r="CK825" s="1392" t="n"/>
      <c r="CL825" s="1392" t="n"/>
    </row>
    <row r="826">
      <c r="A826" s="5" t="inlineStr">
        <is>
          <t>.</t>
        </is>
      </c>
      <c r="B826" s="5" t="inlineStr">
        <is>
          <t>.</t>
        </is>
      </c>
      <c r="C826" s="1378">
        <f>IF(raw[[#This Row],[city]]="","-",IF(raw[[#This Row],[city]]="TODAY","-",C825+1))</f>
        <v/>
      </c>
      <c r="D826" s="1393" t="inlineStr">
        <is>
          <t>Lisbon</t>
        </is>
      </c>
      <c r="E826" s="1394" t="n">
        <v>38497</v>
      </c>
      <c r="F826" s="1394" t="n">
        <v>38497</v>
      </c>
      <c r="G826" s="1393" t="n">
        <v>0.01</v>
      </c>
      <c r="H826" s="1393" t="inlineStr">
        <is>
          <t>Transit</t>
        </is>
      </c>
      <c r="I826" s="1393" t="n"/>
      <c r="J826" s="1393" t="inlineStr">
        <is>
          <t>-</t>
        </is>
      </c>
      <c r="K826" s="1395">
        <f>IF(raw[[#This Row],[city]]&lt;&gt;"",_xlfn.XLOOKUP($D826,ccc[city],ccc[prov],"-"),"-")</f>
        <v/>
      </c>
      <c r="L826" s="1395">
        <f>IF(raw[[#This Row],[city]]&lt;&gt;"",_xlfn.XLOOKUP($D826,ccc[city],ccc[ctry],"-"),"-")</f>
        <v/>
      </c>
      <c r="M826" s="1395">
        <f>IF(raw[[#This Row],[city]]&lt;&gt;"",_xlfn.XLOOKUP($D826,ccc[city],ccc[cont],"-"),"-")</f>
        <v/>
      </c>
      <c r="N826" s="1396">
        <f>IF(raw[[#This Row],[city]]="","-",IF(raw[[#This Row],[cont]]="B",raw[[#This Row],[cont]],"W"))</f>
        <v/>
      </c>
      <c r="O826" s="1397">
        <f>IF(raw[[#This Row],[out]]=0,0,IF(raw[[#This Row],[out]]=raw[[#This Row],[in]],0.01,raw[[#This Row],[out]]-raw[[#This Row],[in]]))</f>
        <v/>
      </c>
      <c r="P826" s="1397">
        <f>IF(raw[[#This Row],[in]]=0,0,MONTH(raw[[#This Row],[in]]))</f>
        <v/>
      </c>
      <c r="Q826" s="1397">
        <f>IF(raw[[#This Row],[in]]=0,0,YEAR(raw[[#This Row],[in]]))</f>
        <v/>
      </c>
      <c r="R826" s="1397">
        <f>INT(raw[[#This Row],[yr]]/10)*10</f>
        <v/>
      </c>
      <c r="S826" s="1395">
        <f>IF(raw[[#This Row],[city]]="","-",IF(raw[[#This Row],[city]]&lt;&gt;_xlfn.XLOOKUP(raw[[#This Row],[home]],homes[home],homes[city],"-"),1,0))</f>
        <v/>
      </c>
      <c r="T826" s="1398" t="inlineStr">
        <is>
          <t>.</t>
        </is>
      </c>
      <c r="U826" s="1399">
        <f>IF(raw[[#This Row],[wb]]="w",raw[[#This Row],[stay]]+U825,U825)</f>
        <v/>
      </c>
      <c r="V826" s="1400">
        <f>IF(raw[[#This Row],[out]]=0,V825,(raw[[#This Row],[out]]-E$5))</f>
        <v/>
      </c>
      <c r="W826" s="1401">
        <f>U826/V826</f>
        <v/>
      </c>
      <c r="X826" s="1378" t="inlineStr">
        <is>
          <t>.</t>
        </is>
      </c>
      <c r="Y826" s="1402" t="n"/>
      <c r="Z826" s="1403" t="n"/>
      <c r="AA826" s="1403" t="n"/>
      <c r="AB826" s="1400">
        <f t="array" ref="AB826">_xlfn.LET(_xlpm.S,_xlfn.ANCHORARRAY($Y$4),_xlpm.r,ROWS(stayCity[[#Headers],[city]]:stayCity[[#This Row],[city]])-1,IF(_xlpm.r&lt;=ROWS(_xlpm.S),INDEX(_xlpm.S,_xlpm.r,1),""))</f>
        <v/>
      </c>
      <c r="AC826" s="1405">
        <f t="array" ref="AC826">_xlfn.LET(_xlpm.S,_xlfn.ANCHORARRAY($Y$4),_xlpm.r,ROWS(stayCity[[#Headers],[city]]:stayCity[[#This Row],[city]])-1,IF(_xlpm.r&lt;=ROWS(_xlpm.S),INDEX(_xlpm.S,_xlpm.r,2),""))</f>
        <v/>
      </c>
      <c r="AD826" s="1405">
        <f t="array" ref="AD826">_xlfn.LET(_xlpm.S,_xlfn.ANCHORARRAY($Y$4),_xlpm.r,ROWS(stayCity[[#Headers],[city]]:stayCity[[#This Row],[city]])-1,IF(_xlpm.r&lt;=ROWS(_xlpm.S),INDEX(_xlpm.S,_xlpm.r,3),""))</f>
        <v/>
      </c>
      <c r="AE826" s="1400">
        <f>IF(stayCity[[#This Row],[out]]&lt;&gt;"",stayCity[[#This Row],[out]]-stayCity[[#This Row],[in]],"-")</f>
        <v/>
      </c>
      <c r="AF826" s="1406">
        <f>IF(Y826="","-",YEAR(stayCity[[#This Row],[in]]))</f>
        <v/>
      </c>
      <c r="AG826" s="1392" t="n"/>
      <c r="AH826" s="1392" t="n"/>
      <c r="AI826" s="1392" t="n"/>
      <c r="AJ826" s="1392" t="n"/>
      <c r="AK826" s="1392" t="n"/>
      <c r="AL826" s="1392" t="n"/>
      <c r="AM826" s="1392" t="n"/>
      <c r="AN826" s="1392" t="n"/>
      <c r="AO826" s="1392" t="n"/>
      <c r="AP826" s="1392" t="n"/>
      <c r="AQ826" s="1392" t="n"/>
      <c r="AR826" s="1392" t="n"/>
      <c r="AS826" s="1422" t="n"/>
      <c r="AT826" s="1392" t="n"/>
      <c r="AU826" s="1392" t="n"/>
      <c r="AV826" s="1392" t="n"/>
      <c r="AW826" s="1392" t="n"/>
      <c r="AX826" s="1392" t="n"/>
      <c r="AY826" s="1392" t="n"/>
      <c r="AZ826" s="1392" t="n"/>
      <c r="BA826" s="1392" t="n"/>
      <c r="BB826" s="1422" t="n"/>
      <c r="BC826" s="1392" t="n"/>
      <c r="BD826" s="1392" t="n"/>
      <c r="BE826" s="1392" t="n"/>
      <c r="BF826" s="1392" t="n"/>
      <c r="BG826" s="1392" t="n"/>
      <c r="BH826" s="1392" t="n"/>
      <c r="BI826" s="1392" t="n"/>
      <c r="BJ826" s="1392" t="n"/>
      <c r="BK826" s="1392" t="n"/>
      <c r="BL826" s="1392" t="n"/>
      <c r="BM826" s="1392" t="n"/>
      <c r="BN826" s="1392" t="n"/>
      <c r="BO826" s="1392" t="n"/>
      <c r="BP826" s="1392" t="n"/>
      <c r="BQ826" s="1392" t="n"/>
      <c r="BR826" s="1392" t="n"/>
      <c r="BS826" s="1392" t="n"/>
      <c r="BT826" s="1392" t="n"/>
      <c r="BU826" s="1416" t="n"/>
      <c r="BV826" s="1392" t="n"/>
      <c r="BW826" s="1392" t="n"/>
      <c r="BX826" s="1392" t="n"/>
      <c r="BY826" s="1392" t="n"/>
      <c r="BZ826" s="1416" t="n"/>
      <c r="CA826" s="1392" t="n"/>
      <c r="CB826" s="1392" t="n"/>
      <c r="CC826" s="1392" t="n"/>
      <c r="CD826" s="1392" t="n"/>
      <c r="CE826" s="1392" t="n"/>
      <c r="CF826" s="1392" t="n"/>
      <c r="CG826" s="1392" t="n"/>
      <c r="CH826" s="1392" t="n"/>
      <c r="CI826" s="1392" t="n"/>
      <c r="CJ826" s="1392" t="n"/>
      <c r="CK826" s="1392" t="n"/>
      <c r="CL826" s="1392" t="n"/>
    </row>
    <row r="827">
      <c r="A827" s="5" t="inlineStr">
        <is>
          <t>.</t>
        </is>
      </c>
      <c r="B827" s="5" t="inlineStr">
        <is>
          <t>.</t>
        </is>
      </c>
      <c r="C827" s="1378">
        <f>IF(raw[[#This Row],[city]]="","-",IF(raw[[#This Row],[city]]="TODAY","-",C826+1))</f>
        <v/>
      </c>
      <c r="D827" s="1393" t="inlineStr">
        <is>
          <t>London</t>
        </is>
      </c>
      <c r="E827" s="1394" t="n">
        <v>38497</v>
      </c>
      <c r="F827" s="1394" t="n">
        <v>38504</v>
      </c>
      <c r="G827" s="1393" t="inlineStr">
        <is>
          <t>-</t>
        </is>
      </c>
      <c r="H827" s="1393" t="inlineStr">
        <is>
          <t>Transit</t>
        </is>
      </c>
      <c r="I827" s="1393" t="inlineStr">
        <is>
          <t>David's</t>
        </is>
      </c>
      <c r="J827" s="1393" t="inlineStr">
        <is>
          <t>-</t>
        </is>
      </c>
      <c r="K827" s="1395">
        <f>IF(raw[[#This Row],[city]]&lt;&gt;"",_xlfn.XLOOKUP($D827,ccc[city],ccc[prov],"-"),"-")</f>
        <v/>
      </c>
      <c r="L827" s="1395">
        <f>IF(raw[[#This Row],[city]]&lt;&gt;"",_xlfn.XLOOKUP($D827,ccc[city],ccc[ctry],"-"),"-")</f>
        <v/>
      </c>
      <c r="M827" s="1395">
        <f>IF(raw[[#This Row],[city]]&lt;&gt;"",_xlfn.XLOOKUP($D827,ccc[city],ccc[cont],"-"),"-")</f>
        <v/>
      </c>
      <c r="N827" s="1396">
        <f>IF(raw[[#This Row],[city]]="","-",IF(raw[[#This Row],[cont]]="B",raw[[#This Row],[cont]],"W"))</f>
        <v/>
      </c>
      <c r="O827" s="1397">
        <f>IF(raw[[#This Row],[out]]=0,0,IF(raw[[#This Row],[out]]=raw[[#This Row],[in]],0.01,raw[[#This Row],[out]]-raw[[#This Row],[in]]))</f>
        <v/>
      </c>
      <c r="P827" s="1397">
        <f>IF(raw[[#This Row],[in]]=0,0,MONTH(raw[[#This Row],[in]]))</f>
        <v/>
      </c>
      <c r="Q827" s="1397">
        <f>IF(raw[[#This Row],[in]]=0,0,YEAR(raw[[#This Row],[in]]))</f>
        <v/>
      </c>
      <c r="R827" s="1397">
        <f>INT(raw[[#This Row],[yr]]/10)*10</f>
        <v/>
      </c>
      <c r="S827" s="1395">
        <f>IF(raw[[#This Row],[city]]="","-",IF(raw[[#This Row],[city]]&lt;&gt;_xlfn.XLOOKUP(raw[[#This Row],[home]],homes[home],homes[city],"-"),1,0))</f>
        <v/>
      </c>
      <c r="T827" s="1398" t="inlineStr">
        <is>
          <t>.</t>
        </is>
      </c>
      <c r="U827" s="1399">
        <f>IF(raw[[#This Row],[wb]]="w",raw[[#This Row],[stay]]+U826,U826)</f>
        <v/>
      </c>
      <c r="V827" s="1400">
        <f>IF(raw[[#This Row],[out]]=0,V826,(raw[[#This Row],[out]]-E$5))</f>
        <v/>
      </c>
      <c r="W827" s="1401">
        <f>U827/V827</f>
        <v/>
      </c>
      <c r="X827" s="1378" t="inlineStr">
        <is>
          <t>.</t>
        </is>
      </c>
      <c r="Y827" s="1402" t="n"/>
      <c r="Z827" s="1403" t="n"/>
      <c r="AA827" s="1403" t="n"/>
      <c r="AB827" s="1400">
        <f t="array" ref="AB827">_xlfn.LET(_xlpm.S,_xlfn.ANCHORARRAY($Y$4),_xlpm.r,ROWS(stayCity[[#Headers],[city]]:stayCity[[#This Row],[city]])-1,IF(_xlpm.r&lt;=ROWS(_xlpm.S),INDEX(_xlpm.S,_xlpm.r,1),""))</f>
        <v/>
      </c>
      <c r="AC827" s="1405">
        <f t="array" ref="AC827">_xlfn.LET(_xlpm.S,_xlfn.ANCHORARRAY($Y$4),_xlpm.r,ROWS(stayCity[[#Headers],[city]]:stayCity[[#This Row],[city]])-1,IF(_xlpm.r&lt;=ROWS(_xlpm.S),INDEX(_xlpm.S,_xlpm.r,2),""))</f>
        <v/>
      </c>
      <c r="AD827" s="1405">
        <f t="array" ref="AD827">_xlfn.LET(_xlpm.S,_xlfn.ANCHORARRAY($Y$4),_xlpm.r,ROWS(stayCity[[#Headers],[city]]:stayCity[[#This Row],[city]])-1,IF(_xlpm.r&lt;=ROWS(_xlpm.S),INDEX(_xlpm.S,_xlpm.r,3),""))</f>
        <v/>
      </c>
      <c r="AE827" s="1400">
        <f>IF(stayCity[[#This Row],[out]]&lt;&gt;"",stayCity[[#This Row],[out]]-stayCity[[#This Row],[in]],"-")</f>
        <v/>
      </c>
      <c r="AF827" s="1406">
        <f>IF(Y827="","-",YEAR(stayCity[[#This Row],[in]]))</f>
        <v/>
      </c>
      <c r="AG827" s="1392" t="n"/>
      <c r="AH827" s="1392" t="n"/>
      <c r="AI827" s="1392" t="n"/>
      <c r="AJ827" s="1392" t="n"/>
      <c r="AK827" s="1392" t="n"/>
      <c r="AL827" s="1392" t="n"/>
      <c r="AM827" s="1392" t="n"/>
      <c r="AN827" s="1392" t="n"/>
      <c r="AO827" s="1392" t="n"/>
      <c r="AP827" s="1392" t="n"/>
      <c r="AQ827" s="1392" t="n"/>
      <c r="AR827" s="1392" t="n"/>
      <c r="AS827" s="1422" t="n"/>
      <c r="AT827" s="1392" t="n"/>
      <c r="AU827" s="1392" t="n"/>
      <c r="AV827" s="1392" t="n"/>
      <c r="AW827" s="1392" t="n"/>
      <c r="AX827" s="1392" t="n"/>
      <c r="AY827" s="1392" t="n"/>
      <c r="AZ827" s="1392" t="n"/>
      <c r="BA827" s="1392" t="n"/>
      <c r="BB827" s="1422" t="n"/>
      <c r="BC827" s="1392" t="n"/>
      <c r="BD827" s="1392" t="n"/>
      <c r="BE827" s="1392" t="n"/>
      <c r="BF827" s="1392" t="n"/>
      <c r="BG827" s="1392" t="n"/>
      <c r="BH827" s="1392" t="n"/>
      <c r="BI827" s="1392" t="n"/>
      <c r="BJ827" s="1392" t="n"/>
      <c r="BK827" s="1392" t="n"/>
      <c r="BL827" s="1392" t="n"/>
      <c r="BM827" s="1392" t="n"/>
      <c r="BN827" s="1392" t="n"/>
      <c r="BO827" s="1392" t="n"/>
      <c r="BP827" s="1392" t="n"/>
      <c r="BQ827" s="1392" t="n"/>
      <c r="BR827" s="1392" t="n"/>
      <c r="BS827" s="1392" t="n"/>
      <c r="BT827" s="1392" t="n"/>
      <c r="BU827" s="1416" t="n"/>
      <c r="BV827" s="1392" t="n"/>
      <c r="BW827" s="1392" t="n"/>
      <c r="BX827" s="1392" t="n"/>
      <c r="BY827" s="1392" t="n"/>
      <c r="BZ827" s="1416" t="n"/>
      <c r="CA827" s="1392" t="n"/>
      <c r="CB827" s="1392" t="n"/>
      <c r="CC827" s="1392" t="n"/>
      <c r="CD827" s="1392" t="n"/>
      <c r="CE827" s="1392" t="n"/>
      <c r="CF827" s="1392" t="n"/>
      <c r="CG827" s="1392" t="n"/>
      <c r="CH827" s="1392" t="n"/>
      <c r="CI827" s="1392" t="n"/>
      <c r="CJ827" s="1392" t="n"/>
      <c r="CK827" s="1392" t="n"/>
      <c r="CL827" s="1392" t="n"/>
    </row>
    <row r="828">
      <c r="A828" s="5" t="inlineStr">
        <is>
          <t>.</t>
        </is>
      </c>
      <c r="B828" s="5" t="inlineStr">
        <is>
          <t>.</t>
        </is>
      </c>
      <c r="C828" s="1378">
        <f>IF(raw[[#This Row],[city]]="","-",IF(raw[[#This Row],[city]]="TODAY","-",C827+1))</f>
        <v/>
      </c>
      <c r="D828" s="1393" t="inlineStr">
        <is>
          <t>London</t>
        </is>
      </c>
      <c r="E828" s="1394" t="n">
        <v>38504</v>
      </c>
      <c r="F828" s="1394" t="n">
        <v>38509</v>
      </c>
      <c r="G828" s="1393" t="inlineStr">
        <is>
          <t>-</t>
        </is>
      </c>
      <c r="H828" s="1393" t="inlineStr">
        <is>
          <t>Transit</t>
        </is>
      </c>
      <c r="I828" s="1393" t="inlineStr">
        <is>
          <t>David's</t>
        </is>
      </c>
      <c r="J828" s="1393" t="inlineStr">
        <is>
          <t>-</t>
        </is>
      </c>
      <c r="K828" s="1395">
        <f>IF(raw[[#This Row],[city]]&lt;&gt;"",_xlfn.XLOOKUP($D828,ccc[city],ccc[prov],"-"),"-")</f>
        <v/>
      </c>
      <c r="L828" s="1395">
        <f>IF(raw[[#This Row],[city]]&lt;&gt;"",_xlfn.XLOOKUP($D828,ccc[city],ccc[ctry],"-"),"-")</f>
        <v/>
      </c>
      <c r="M828" s="1395">
        <f>IF(raw[[#This Row],[city]]&lt;&gt;"",_xlfn.XLOOKUP($D828,ccc[city],ccc[cont],"-"),"-")</f>
        <v/>
      </c>
      <c r="N828" s="1396">
        <f>IF(raw[[#This Row],[city]]="","-",IF(raw[[#This Row],[cont]]="B",raw[[#This Row],[cont]],"W"))</f>
        <v/>
      </c>
      <c r="O828" s="1397">
        <f>IF(raw[[#This Row],[out]]=0,0,IF(raw[[#This Row],[out]]=raw[[#This Row],[in]],0.01,raw[[#This Row],[out]]-raw[[#This Row],[in]]))</f>
        <v/>
      </c>
      <c r="P828" s="1397">
        <f>IF(raw[[#This Row],[in]]=0,0,MONTH(raw[[#This Row],[in]]))</f>
        <v/>
      </c>
      <c r="Q828" s="1397">
        <f>IF(raw[[#This Row],[in]]=0,0,YEAR(raw[[#This Row],[in]]))</f>
        <v/>
      </c>
      <c r="R828" s="1397">
        <f>INT(raw[[#This Row],[yr]]/10)*10</f>
        <v/>
      </c>
      <c r="S828" s="1395">
        <f>IF(raw[[#This Row],[city]]="","-",IF(raw[[#This Row],[city]]&lt;&gt;_xlfn.XLOOKUP(raw[[#This Row],[home]],homes[home],homes[city],"-"),1,0))</f>
        <v/>
      </c>
      <c r="T828" s="1398" t="inlineStr">
        <is>
          <t>.</t>
        </is>
      </c>
      <c r="U828" s="1399">
        <f>IF(raw[[#This Row],[wb]]="w",raw[[#This Row],[stay]]+U827,U827)</f>
        <v/>
      </c>
      <c r="V828" s="1400">
        <f>IF(raw[[#This Row],[out]]=0,V827,(raw[[#This Row],[out]]-E$5))</f>
        <v/>
      </c>
      <c r="W828" s="1401">
        <f>U828/V828</f>
        <v/>
      </c>
      <c r="X828" s="1378" t="inlineStr">
        <is>
          <t>.</t>
        </is>
      </c>
      <c r="Y828" s="1402" t="n"/>
      <c r="Z828" s="1403" t="n"/>
      <c r="AA828" s="1403" t="n"/>
      <c r="AB828" s="1400">
        <f t="array" ref="AB828">_xlfn.LET(_xlpm.S,_xlfn.ANCHORARRAY($Y$4),_xlpm.r,ROWS(stayCity[[#Headers],[city]]:stayCity[[#This Row],[city]])-1,IF(_xlpm.r&lt;=ROWS(_xlpm.S),INDEX(_xlpm.S,_xlpm.r,1),""))</f>
        <v/>
      </c>
      <c r="AC828" s="1405">
        <f t="array" ref="AC828">_xlfn.LET(_xlpm.S,_xlfn.ANCHORARRAY($Y$4),_xlpm.r,ROWS(stayCity[[#Headers],[city]]:stayCity[[#This Row],[city]])-1,IF(_xlpm.r&lt;=ROWS(_xlpm.S),INDEX(_xlpm.S,_xlpm.r,2),""))</f>
        <v/>
      </c>
      <c r="AD828" s="1405">
        <f t="array" ref="AD828">_xlfn.LET(_xlpm.S,_xlfn.ANCHORARRAY($Y$4),_xlpm.r,ROWS(stayCity[[#Headers],[city]]:stayCity[[#This Row],[city]])-1,IF(_xlpm.r&lt;=ROWS(_xlpm.S),INDEX(_xlpm.S,_xlpm.r,3),""))</f>
        <v/>
      </c>
      <c r="AE828" s="1400">
        <f>IF(stayCity[[#This Row],[out]]&lt;&gt;"",stayCity[[#This Row],[out]]-stayCity[[#This Row],[in]],"-")</f>
        <v/>
      </c>
      <c r="AF828" s="1406">
        <f>IF(Y828="","-",YEAR(stayCity[[#This Row],[in]]))</f>
        <v/>
      </c>
      <c r="AG828" s="1392" t="n"/>
      <c r="AH828" s="1392" t="n"/>
      <c r="AI828" s="1392" t="n"/>
      <c r="AJ828" s="1392" t="n"/>
      <c r="AK828" s="1392" t="n"/>
      <c r="AL828" s="1392" t="n"/>
      <c r="AM828" s="1392" t="n"/>
      <c r="AN828" s="1392" t="n"/>
      <c r="AO828" s="1392" t="n"/>
      <c r="AP828" s="1392" t="n"/>
      <c r="AQ828" s="1392" t="n"/>
      <c r="AR828" s="1392" t="n"/>
      <c r="AS828" s="1422" t="n"/>
      <c r="AT828" s="1392" t="n"/>
      <c r="AU828" s="1392" t="n"/>
      <c r="AV828" s="1392" t="n"/>
      <c r="AW828" s="1392" t="n"/>
      <c r="AX828" s="1392" t="n"/>
      <c r="AY828" s="1392" t="n"/>
      <c r="AZ828" s="1392" t="n"/>
      <c r="BA828" s="1392" t="n"/>
      <c r="BB828" s="1422" t="n"/>
      <c r="BC828" s="1392" t="n"/>
      <c r="BD828" s="1392" t="n"/>
      <c r="BE828" s="1392" t="n"/>
      <c r="BF828" s="1392" t="n"/>
      <c r="BG828" s="1392" t="n"/>
      <c r="BH828" s="1392" t="n"/>
      <c r="BI828" s="1392" t="n"/>
      <c r="BJ828" s="1392" t="n"/>
      <c r="BK828" s="1392" t="n"/>
      <c r="BL828" s="1392" t="n"/>
      <c r="BM828" s="1392" t="n"/>
      <c r="BN828" s="1392" t="n"/>
      <c r="BO828" s="1392" t="n"/>
      <c r="BP828" s="1392" t="n"/>
      <c r="BQ828" s="1392" t="n"/>
      <c r="BR828" s="1392" t="n"/>
      <c r="BS828" s="1392" t="n"/>
      <c r="BT828" s="1392" t="n"/>
      <c r="BU828" s="1416" t="n"/>
      <c r="BV828" s="1392" t="n"/>
      <c r="BW828" s="1392" t="n"/>
      <c r="BX828" s="1392" t="n"/>
      <c r="BY828" s="1392" t="n"/>
      <c r="BZ828" s="1416" t="n"/>
      <c r="CA828" s="1392" t="n"/>
      <c r="CB828" s="1392" t="n"/>
      <c r="CC828" s="1392" t="n"/>
      <c r="CD828" s="1392" t="n"/>
      <c r="CE828" s="1392" t="n"/>
      <c r="CF828" s="1392" t="n"/>
      <c r="CG828" s="1392" t="n"/>
      <c r="CH828" s="1392" t="n"/>
      <c r="CI828" s="1392" t="n"/>
      <c r="CJ828" s="1392" t="n"/>
      <c r="CK828" s="1392" t="n"/>
      <c r="CL828" s="1392" t="n"/>
    </row>
    <row r="829">
      <c r="A829" s="5" t="inlineStr">
        <is>
          <t>.</t>
        </is>
      </c>
      <c r="B829" s="5" t="inlineStr">
        <is>
          <t>.</t>
        </is>
      </c>
      <c r="C829" s="1378">
        <f>IF(raw[[#This Row],[city]]="","-",IF(raw[[#This Row],[city]]="TODAY","-",C828+1))</f>
        <v/>
      </c>
      <c r="D829" s="1393" t="inlineStr">
        <is>
          <t>Windsor</t>
        </is>
      </c>
      <c r="E829" s="1394" t="n">
        <v>38507</v>
      </c>
      <c r="F829" s="1394" t="n">
        <v>38507</v>
      </c>
      <c r="G829" s="1393" t="inlineStr">
        <is>
          <t>-</t>
        </is>
      </c>
      <c r="H829" s="1393" t="inlineStr">
        <is>
          <t>Transit</t>
        </is>
      </c>
      <c r="I829" s="1393" t="inlineStr">
        <is>
          <t>David's</t>
        </is>
      </c>
      <c r="J829" s="1393" t="inlineStr">
        <is>
          <t>-</t>
        </is>
      </c>
      <c r="K829" s="1395">
        <f>IF(raw[[#This Row],[city]]&lt;&gt;"",_xlfn.XLOOKUP($D829,ccc[city],ccc[prov],"-"),"-")</f>
        <v/>
      </c>
      <c r="L829" s="1395">
        <f>IF(raw[[#This Row],[city]]&lt;&gt;"",_xlfn.XLOOKUP($D829,ccc[city],ccc[ctry],"-"),"-")</f>
        <v/>
      </c>
      <c r="M829" s="1395">
        <f>IF(raw[[#This Row],[city]]&lt;&gt;"",_xlfn.XLOOKUP($D829,ccc[city],ccc[cont],"-"),"-")</f>
        <v/>
      </c>
      <c r="N829" s="1396">
        <f>IF(raw[[#This Row],[city]]="","-",IF(raw[[#This Row],[cont]]="B",raw[[#This Row],[cont]],"W"))</f>
        <v/>
      </c>
      <c r="O829" s="1397">
        <f>IF(raw[[#This Row],[out]]=0,0,IF(raw[[#This Row],[out]]=raw[[#This Row],[in]],0.01,raw[[#This Row],[out]]-raw[[#This Row],[in]]))</f>
        <v/>
      </c>
      <c r="P829" s="1397">
        <f>IF(raw[[#This Row],[in]]=0,0,MONTH(raw[[#This Row],[in]]))</f>
        <v/>
      </c>
      <c r="Q829" s="1397">
        <f>IF(raw[[#This Row],[in]]=0,0,YEAR(raw[[#This Row],[in]]))</f>
        <v/>
      </c>
      <c r="R829" s="1397">
        <f>INT(raw[[#This Row],[yr]]/10)*10</f>
        <v/>
      </c>
      <c r="S829" s="1395">
        <f>IF(raw[[#This Row],[city]]="","-",IF(raw[[#This Row],[city]]&lt;&gt;_xlfn.XLOOKUP(raw[[#This Row],[home]],homes[home],homes[city],"-"),1,0))</f>
        <v/>
      </c>
      <c r="T829" s="1398" t="inlineStr">
        <is>
          <t>.</t>
        </is>
      </c>
      <c r="U829" s="1399">
        <f>IF(raw[[#This Row],[wb]]="w",raw[[#This Row],[stay]]+U828,U828)</f>
        <v/>
      </c>
      <c r="V829" s="1400">
        <f>IF(raw[[#This Row],[out]]=0,V828,(raw[[#This Row],[out]]-E$5))</f>
        <v/>
      </c>
      <c r="W829" s="1401">
        <f>U829/V829</f>
        <v/>
      </c>
      <c r="X829" s="1378" t="inlineStr">
        <is>
          <t>.</t>
        </is>
      </c>
      <c r="Y829" s="1402" t="n"/>
      <c r="Z829" s="1403" t="n"/>
      <c r="AA829" s="1403" t="n"/>
      <c r="AB829" s="1400">
        <f t="array" ref="AB829">_xlfn.LET(_xlpm.S,_xlfn.ANCHORARRAY($Y$4),_xlpm.r,ROWS(stayCity[[#Headers],[city]]:stayCity[[#This Row],[city]])-1,IF(_xlpm.r&lt;=ROWS(_xlpm.S),INDEX(_xlpm.S,_xlpm.r,1),""))</f>
        <v/>
      </c>
      <c r="AC829" s="1405">
        <f t="array" ref="AC829">_xlfn.LET(_xlpm.S,_xlfn.ANCHORARRAY($Y$4),_xlpm.r,ROWS(stayCity[[#Headers],[city]]:stayCity[[#This Row],[city]])-1,IF(_xlpm.r&lt;=ROWS(_xlpm.S),INDEX(_xlpm.S,_xlpm.r,2),""))</f>
        <v/>
      </c>
      <c r="AD829" s="1405">
        <f t="array" ref="AD829">_xlfn.LET(_xlpm.S,_xlfn.ANCHORARRAY($Y$4),_xlpm.r,ROWS(stayCity[[#Headers],[city]]:stayCity[[#This Row],[city]])-1,IF(_xlpm.r&lt;=ROWS(_xlpm.S),INDEX(_xlpm.S,_xlpm.r,3),""))</f>
        <v/>
      </c>
      <c r="AE829" s="1400">
        <f>IF(stayCity[[#This Row],[out]]&lt;&gt;"",stayCity[[#This Row],[out]]-stayCity[[#This Row],[in]],"-")</f>
        <v/>
      </c>
      <c r="AF829" s="1406">
        <f>IF(Y829="","-",YEAR(stayCity[[#This Row],[in]]))</f>
        <v/>
      </c>
      <c r="AG829" s="1392" t="n"/>
      <c r="AH829" s="1392" t="n"/>
      <c r="AI829" s="1392" t="n"/>
      <c r="AJ829" s="1392" t="n"/>
      <c r="AK829" s="1392" t="n"/>
      <c r="AL829" s="1392" t="n"/>
      <c r="AM829" s="1392" t="n"/>
      <c r="AN829" s="1392" t="n"/>
      <c r="AO829" s="1392" t="n"/>
      <c r="AP829" s="1392" t="n"/>
      <c r="AQ829" s="1392" t="n"/>
      <c r="AR829" s="1392" t="n"/>
      <c r="AS829" s="1422" t="n"/>
      <c r="AT829" s="1392" t="n"/>
      <c r="AU829" s="1392" t="n"/>
      <c r="AV829" s="1392" t="n"/>
      <c r="AW829" s="1392" t="n"/>
      <c r="AX829" s="1392" t="n"/>
      <c r="AY829" s="1392" t="n"/>
      <c r="AZ829" s="1392" t="n"/>
      <c r="BA829" s="1392" t="n"/>
      <c r="BB829" s="1422" t="n"/>
      <c r="BC829" s="1392" t="n"/>
      <c r="BD829" s="1392" t="n"/>
      <c r="BE829" s="1392" t="n"/>
      <c r="BF829" s="1392" t="n"/>
      <c r="BG829" s="1392" t="n"/>
      <c r="BH829" s="1392" t="n"/>
      <c r="BI829" s="1392" t="n"/>
      <c r="BJ829" s="1392" t="n"/>
      <c r="BK829" s="1392" t="n"/>
      <c r="BL829" s="1392" t="n"/>
      <c r="BM829" s="1392" t="n"/>
      <c r="BN829" s="1392" t="n"/>
      <c r="BO829" s="1392" t="n"/>
      <c r="BP829" s="1392" t="n"/>
      <c r="BQ829" s="1392" t="n"/>
      <c r="BR829" s="1392" t="n"/>
      <c r="BS829" s="1392" t="n"/>
      <c r="BT829" s="1392" t="n"/>
      <c r="BU829" s="1416" t="n"/>
      <c r="BV829" s="1392" t="n"/>
      <c r="BW829" s="1392" t="n"/>
      <c r="BX829" s="1392" t="n"/>
      <c r="BY829" s="1392" t="n"/>
      <c r="BZ829" s="1416" t="n"/>
      <c r="CA829" s="1392" t="n"/>
      <c r="CB829" s="1392" t="n"/>
      <c r="CC829" s="1392" t="n"/>
      <c r="CD829" s="1392" t="n"/>
      <c r="CE829" s="1392" t="n"/>
      <c r="CF829" s="1392" t="n"/>
      <c r="CG829" s="1392" t="n"/>
      <c r="CH829" s="1392" t="n"/>
      <c r="CI829" s="1392" t="n"/>
      <c r="CJ829" s="1392" t="n"/>
      <c r="CK829" s="1392" t="n"/>
      <c r="CL829" s="1392" t="n"/>
    </row>
    <row r="830">
      <c r="A830" s="5" t="inlineStr">
        <is>
          <t>.</t>
        </is>
      </c>
      <c r="B830" s="5" t="inlineStr">
        <is>
          <t>.</t>
        </is>
      </c>
      <c r="C830" s="1378">
        <f>IF(raw[[#This Row],[city]]="","-",IF(raw[[#This Row],[city]]="TODAY","-",C829+1))</f>
        <v/>
      </c>
      <c r="D830" s="1393" t="inlineStr">
        <is>
          <t>Hampton</t>
        </is>
      </c>
      <c r="E830" s="1394" t="n">
        <v>38507</v>
      </c>
      <c r="F830" s="1394" t="n">
        <v>38507</v>
      </c>
      <c r="G830" s="1393" t="inlineStr">
        <is>
          <t>-</t>
        </is>
      </c>
      <c r="H830" s="1393" t="inlineStr">
        <is>
          <t>Transit</t>
        </is>
      </c>
      <c r="I830" s="1393" t="inlineStr">
        <is>
          <t>David's</t>
        </is>
      </c>
      <c r="J830" s="1393" t="inlineStr">
        <is>
          <t>-</t>
        </is>
      </c>
      <c r="K830" s="1395">
        <f>IF(raw[[#This Row],[city]]&lt;&gt;"",_xlfn.XLOOKUP($D830,ccc[city],ccc[prov],"-"),"-")</f>
        <v/>
      </c>
      <c r="L830" s="1395">
        <f>IF(raw[[#This Row],[city]]&lt;&gt;"",_xlfn.XLOOKUP($D830,ccc[city],ccc[ctry],"-"),"-")</f>
        <v/>
      </c>
      <c r="M830" s="1395">
        <f>IF(raw[[#This Row],[city]]&lt;&gt;"",_xlfn.XLOOKUP($D830,ccc[city],ccc[cont],"-"),"-")</f>
        <v/>
      </c>
      <c r="N830" s="1396">
        <f>IF(raw[[#This Row],[city]]="","-",IF(raw[[#This Row],[cont]]="B",raw[[#This Row],[cont]],"W"))</f>
        <v/>
      </c>
      <c r="O830" s="1397">
        <f>IF(raw[[#This Row],[out]]=0,0,IF(raw[[#This Row],[out]]=raw[[#This Row],[in]],0.01,raw[[#This Row],[out]]-raw[[#This Row],[in]]))</f>
        <v/>
      </c>
      <c r="P830" s="1397">
        <f>IF(raw[[#This Row],[in]]=0,0,MONTH(raw[[#This Row],[in]]))</f>
        <v/>
      </c>
      <c r="Q830" s="1397">
        <f>IF(raw[[#This Row],[in]]=0,0,YEAR(raw[[#This Row],[in]]))</f>
        <v/>
      </c>
      <c r="R830" s="1397">
        <f>INT(raw[[#This Row],[yr]]/10)*10</f>
        <v/>
      </c>
      <c r="S830" s="1395">
        <f>IF(raw[[#This Row],[city]]="","-",IF(raw[[#This Row],[city]]&lt;&gt;_xlfn.XLOOKUP(raw[[#This Row],[home]],homes[home],homes[city],"-"),1,0))</f>
        <v/>
      </c>
      <c r="T830" s="1398" t="inlineStr">
        <is>
          <t>.</t>
        </is>
      </c>
      <c r="U830" s="1399">
        <f>IF(raw[[#This Row],[wb]]="w",raw[[#This Row],[stay]]+U829,U829)</f>
        <v/>
      </c>
      <c r="V830" s="1400">
        <f>IF(raw[[#This Row],[out]]=0,V829,(raw[[#This Row],[out]]-E$5))</f>
        <v/>
      </c>
      <c r="W830" s="1401">
        <f>U830/V830</f>
        <v/>
      </c>
      <c r="X830" s="1378" t="inlineStr">
        <is>
          <t>.</t>
        </is>
      </c>
      <c r="Y830" s="1402" t="n"/>
      <c r="Z830" s="1403" t="n"/>
      <c r="AA830" s="1403" t="n"/>
      <c r="AB830" s="1400">
        <f t="array" ref="AB830">_xlfn.LET(_xlpm.S,_xlfn.ANCHORARRAY($Y$4),_xlpm.r,ROWS(stayCity[[#Headers],[city]]:stayCity[[#This Row],[city]])-1,IF(_xlpm.r&lt;=ROWS(_xlpm.S),INDEX(_xlpm.S,_xlpm.r,1),""))</f>
        <v/>
      </c>
      <c r="AC830" s="1405">
        <f t="array" ref="AC830">_xlfn.LET(_xlpm.S,_xlfn.ANCHORARRAY($Y$4),_xlpm.r,ROWS(stayCity[[#Headers],[city]]:stayCity[[#This Row],[city]])-1,IF(_xlpm.r&lt;=ROWS(_xlpm.S),INDEX(_xlpm.S,_xlpm.r,2),""))</f>
        <v/>
      </c>
      <c r="AD830" s="1405">
        <f t="array" ref="AD830">_xlfn.LET(_xlpm.S,_xlfn.ANCHORARRAY($Y$4),_xlpm.r,ROWS(stayCity[[#Headers],[city]]:stayCity[[#This Row],[city]])-1,IF(_xlpm.r&lt;=ROWS(_xlpm.S),INDEX(_xlpm.S,_xlpm.r,3),""))</f>
        <v/>
      </c>
      <c r="AE830" s="1400">
        <f>IF(stayCity[[#This Row],[out]]&lt;&gt;"",stayCity[[#This Row],[out]]-stayCity[[#This Row],[in]],"-")</f>
        <v/>
      </c>
      <c r="AF830" s="1406">
        <f>IF(Y830="","-",YEAR(stayCity[[#This Row],[in]]))</f>
        <v/>
      </c>
      <c r="AG830" s="1392" t="n"/>
      <c r="AH830" s="1392" t="n"/>
      <c r="AI830" s="1392" t="n"/>
      <c r="AJ830" s="1392" t="n"/>
      <c r="AK830" s="1392" t="n"/>
      <c r="AL830" s="1392" t="n"/>
      <c r="AM830" s="1392" t="n"/>
      <c r="AN830" s="1392" t="n"/>
      <c r="AO830" s="1392" t="n"/>
      <c r="AP830" s="1392" t="n"/>
      <c r="AQ830" s="1392" t="n"/>
      <c r="AR830" s="1392" t="n"/>
      <c r="AS830" s="1422" t="n"/>
      <c r="AT830" s="1392" t="n"/>
      <c r="AU830" s="1392" t="n"/>
      <c r="AV830" s="1392" t="n"/>
      <c r="AW830" s="1392" t="n"/>
      <c r="AX830" s="1392" t="n"/>
      <c r="AY830" s="1392" t="n"/>
      <c r="AZ830" s="1392" t="n"/>
      <c r="BA830" s="1392" t="n"/>
      <c r="BB830" s="1422" t="n"/>
      <c r="BC830" s="1392" t="n"/>
      <c r="BD830" s="1392" t="n"/>
      <c r="BE830" s="1392" t="n"/>
      <c r="BF830" s="1392" t="n"/>
      <c r="BG830" s="1392" t="n"/>
      <c r="BH830" s="1392" t="n"/>
      <c r="BI830" s="1392" t="n"/>
      <c r="BJ830" s="1392" t="n"/>
      <c r="BK830" s="1392" t="n"/>
      <c r="BL830" s="1392" t="n"/>
      <c r="BM830" s="1392" t="n"/>
      <c r="BN830" s="1392" t="n"/>
      <c r="BO830" s="1392" t="n"/>
      <c r="BP830" s="1392" t="n"/>
      <c r="BQ830" s="1392" t="n"/>
      <c r="BR830" s="1392" t="n"/>
      <c r="BS830" s="1392" t="n"/>
      <c r="BT830" s="1392" t="n"/>
      <c r="BU830" s="1416" t="n"/>
      <c r="BV830" s="1392" t="n"/>
      <c r="BW830" s="1392" t="n"/>
      <c r="BX830" s="1392" t="n"/>
      <c r="BY830" s="1392" t="n"/>
      <c r="BZ830" s="1416" t="n"/>
      <c r="CA830" s="1392" t="n"/>
      <c r="CB830" s="1392" t="n"/>
      <c r="CC830" s="1392" t="n"/>
      <c r="CD830" s="1392" t="n"/>
      <c r="CE830" s="1392" t="n"/>
      <c r="CF830" s="1392" t="n"/>
      <c r="CG830" s="1392" t="n"/>
      <c r="CH830" s="1392" t="n"/>
      <c r="CI830" s="1392" t="n"/>
      <c r="CJ830" s="1392" t="n"/>
      <c r="CK830" s="1392" t="n"/>
      <c r="CL830" s="1392" t="n"/>
    </row>
    <row r="831">
      <c r="A831" s="5" t="inlineStr">
        <is>
          <t>.</t>
        </is>
      </c>
      <c r="B831" s="5" t="inlineStr">
        <is>
          <t>.</t>
        </is>
      </c>
      <c r="C831" s="1378">
        <f>IF(raw[[#This Row],[city]]="","-",IF(raw[[#This Row],[city]]="TODAY","-",C830+1))</f>
        <v/>
      </c>
      <c r="D831" s="1393" t="inlineStr">
        <is>
          <t>Canterbury</t>
        </is>
      </c>
      <c r="E831" s="1394" t="n">
        <v>38509</v>
      </c>
      <c r="F831" s="1394" t="n">
        <v>38510</v>
      </c>
      <c r="G831" s="1393" t="inlineStr">
        <is>
          <t>-</t>
        </is>
      </c>
      <c r="H831" s="1393" t="inlineStr">
        <is>
          <t>Transit</t>
        </is>
      </c>
      <c r="I831" s="1393" t="inlineStr">
        <is>
          <t>VF</t>
        </is>
      </c>
      <c r="J831" s="1393" t="inlineStr">
        <is>
          <t>-</t>
        </is>
      </c>
      <c r="K831" s="1395">
        <f>IF(raw[[#This Row],[city]]&lt;&gt;"",_xlfn.XLOOKUP($D831,ccc[city],ccc[prov],"-"),"-")</f>
        <v/>
      </c>
      <c r="L831" s="1395">
        <f>IF(raw[[#This Row],[city]]&lt;&gt;"",_xlfn.XLOOKUP($D831,ccc[city],ccc[ctry],"-"),"-")</f>
        <v/>
      </c>
      <c r="M831" s="1395">
        <f>IF(raw[[#This Row],[city]]&lt;&gt;"",_xlfn.XLOOKUP($D831,ccc[city],ccc[cont],"-"),"-")</f>
        <v/>
      </c>
      <c r="N831" s="1396">
        <f>IF(raw[[#This Row],[city]]="","-",IF(raw[[#This Row],[cont]]="B",raw[[#This Row],[cont]],"W"))</f>
        <v/>
      </c>
      <c r="O831" s="1397">
        <f>IF(raw[[#This Row],[out]]=0,0,IF(raw[[#This Row],[out]]=raw[[#This Row],[in]],0.01,raw[[#This Row],[out]]-raw[[#This Row],[in]]))</f>
        <v/>
      </c>
      <c r="P831" s="1397">
        <f>IF(raw[[#This Row],[in]]=0,0,MONTH(raw[[#This Row],[in]]))</f>
        <v/>
      </c>
      <c r="Q831" s="1397">
        <f>IF(raw[[#This Row],[in]]=0,0,YEAR(raw[[#This Row],[in]]))</f>
        <v/>
      </c>
      <c r="R831" s="1397">
        <f>INT(raw[[#This Row],[yr]]/10)*10</f>
        <v/>
      </c>
      <c r="S831" s="1395">
        <f>IF(raw[[#This Row],[city]]="","-",IF(raw[[#This Row],[city]]&lt;&gt;_xlfn.XLOOKUP(raw[[#This Row],[home]],homes[home],homes[city],"-"),1,0))</f>
        <v/>
      </c>
      <c r="T831" s="1398" t="inlineStr">
        <is>
          <t>.</t>
        </is>
      </c>
      <c r="U831" s="1399">
        <f>IF(raw[[#This Row],[wb]]="w",raw[[#This Row],[stay]]+U830,U830)</f>
        <v/>
      </c>
      <c r="V831" s="1400">
        <f>IF(raw[[#This Row],[out]]=0,V830,(raw[[#This Row],[out]]-E$5))</f>
        <v/>
      </c>
      <c r="W831" s="1401">
        <f>U831/V831</f>
        <v/>
      </c>
      <c r="X831" s="1378" t="inlineStr">
        <is>
          <t>.</t>
        </is>
      </c>
      <c r="Y831" s="1402" t="n"/>
      <c r="Z831" s="1403" t="n"/>
      <c r="AA831" s="1403" t="n"/>
      <c r="AB831" s="1400">
        <f t="array" ref="AB831">_xlfn.LET(_xlpm.S,_xlfn.ANCHORARRAY($Y$4),_xlpm.r,ROWS(stayCity[[#Headers],[city]]:stayCity[[#This Row],[city]])-1,IF(_xlpm.r&lt;=ROWS(_xlpm.S),INDEX(_xlpm.S,_xlpm.r,1),""))</f>
        <v/>
      </c>
      <c r="AC831" s="1405">
        <f t="array" ref="AC831">_xlfn.LET(_xlpm.S,_xlfn.ANCHORARRAY($Y$4),_xlpm.r,ROWS(stayCity[[#Headers],[city]]:stayCity[[#This Row],[city]])-1,IF(_xlpm.r&lt;=ROWS(_xlpm.S),INDEX(_xlpm.S,_xlpm.r,2),""))</f>
        <v/>
      </c>
      <c r="AD831" s="1405">
        <f t="array" ref="AD831">_xlfn.LET(_xlpm.S,_xlfn.ANCHORARRAY($Y$4),_xlpm.r,ROWS(stayCity[[#Headers],[city]]:stayCity[[#This Row],[city]])-1,IF(_xlpm.r&lt;=ROWS(_xlpm.S),INDEX(_xlpm.S,_xlpm.r,3),""))</f>
        <v/>
      </c>
      <c r="AE831" s="1400">
        <f>IF(stayCity[[#This Row],[out]]&lt;&gt;"",stayCity[[#This Row],[out]]-stayCity[[#This Row],[in]],"-")</f>
        <v/>
      </c>
      <c r="AF831" s="1406">
        <f>IF(Y831="","-",YEAR(stayCity[[#This Row],[in]]))</f>
        <v/>
      </c>
      <c r="AG831" s="1392" t="n"/>
      <c r="AH831" s="1392" t="n"/>
      <c r="AI831" s="1392" t="n"/>
      <c r="AJ831" s="1392" t="n"/>
      <c r="AK831" s="1392" t="n"/>
      <c r="AL831" s="1392" t="n"/>
      <c r="AM831" s="1392" t="n"/>
      <c r="AN831" s="1392" t="n"/>
      <c r="AO831" s="1392" t="n"/>
      <c r="AP831" s="1392" t="n"/>
      <c r="AQ831" s="1392" t="n"/>
      <c r="AR831" s="1392" t="n"/>
      <c r="AS831" s="1422" t="n"/>
      <c r="AT831" s="1392" t="n"/>
      <c r="AU831" s="1392" t="n"/>
      <c r="AV831" s="1392" t="n"/>
      <c r="AW831" s="1392" t="n"/>
      <c r="AX831" s="1392" t="n"/>
      <c r="AY831" s="1392" t="n"/>
      <c r="AZ831" s="1392" t="n"/>
      <c r="BA831" s="1392" t="n"/>
      <c r="BB831" s="1422" t="n"/>
      <c r="BC831" s="1392" t="n"/>
      <c r="BD831" s="1392" t="n"/>
      <c r="BE831" s="1392" t="n"/>
      <c r="BF831" s="1392" t="n"/>
      <c r="BG831" s="1392" t="n"/>
      <c r="BH831" s="1392" t="n"/>
      <c r="BI831" s="1392" t="n"/>
      <c r="BJ831" s="1392" t="n"/>
      <c r="BK831" s="1392" t="n"/>
      <c r="BL831" s="1392" t="n"/>
      <c r="BM831" s="1392" t="n"/>
      <c r="BN831" s="1392" t="n"/>
      <c r="BO831" s="1392" t="n"/>
      <c r="BP831" s="1392" t="n"/>
      <c r="BQ831" s="1392" t="n"/>
      <c r="BR831" s="1392" t="n"/>
      <c r="BS831" s="1392" t="n"/>
      <c r="BT831" s="1392" t="n"/>
      <c r="BU831" s="1416" t="n"/>
      <c r="BV831" s="1392" t="n"/>
      <c r="BW831" s="1392" t="n"/>
      <c r="BX831" s="1392" t="n"/>
      <c r="BY831" s="1392" t="n"/>
      <c r="BZ831" s="1416" t="n"/>
      <c r="CA831" s="1392" t="n"/>
      <c r="CB831" s="1392" t="n"/>
      <c r="CC831" s="1392" t="n"/>
      <c r="CD831" s="1392" t="n"/>
      <c r="CE831" s="1392" t="n"/>
      <c r="CF831" s="1392" t="n"/>
      <c r="CG831" s="1392" t="n"/>
      <c r="CH831" s="1392" t="n"/>
      <c r="CI831" s="1392" t="n"/>
      <c r="CJ831" s="1392" t="n"/>
      <c r="CK831" s="1392" t="n"/>
      <c r="CL831" s="1392" t="n"/>
    </row>
    <row r="832">
      <c r="A832" s="5" t="inlineStr">
        <is>
          <t>.</t>
        </is>
      </c>
      <c r="B832" s="5" t="inlineStr">
        <is>
          <t>.</t>
        </is>
      </c>
      <c r="C832" s="1378">
        <f>IF(raw[[#This Row],[city]]="","-",IF(raw[[#This Row],[city]]="TODAY","-",C831+1))</f>
        <v/>
      </c>
      <c r="D832" s="1393" t="inlineStr">
        <is>
          <t>Sheperdswell</t>
        </is>
      </c>
      <c r="E832" s="1394" t="n">
        <v>38510</v>
      </c>
      <c r="F832" s="1394" t="n">
        <v>38510</v>
      </c>
      <c r="G832" s="1393" t="inlineStr">
        <is>
          <t>-</t>
        </is>
      </c>
      <c r="H832" s="1393" t="inlineStr">
        <is>
          <t>Transit</t>
        </is>
      </c>
      <c r="I832" s="1393" t="inlineStr">
        <is>
          <t>VF</t>
        </is>
      </c>
      <c r="J832" s="1393" t="inlineStr">
        <is>
          <t>-</t>
        </is>
      </c>
      <c r="K832" s="1395">
        <f>IF(raw[[#This Row],[city]]&lt;&gt;"",_xlfn.XLOOKUP($D832,ccc[city],ccc[prov],"-"),"-")</f>
        <v/>
      </c>
      <c r="L832" s="1395">
        <f>IF(raw[[#This Row],[city]]&lt;&gt;"",_xlfn.XLOOKUP($D832,ccc[city],ccc[ctry],"-"),"-")</f>
        <v/>
      </c>
      <c r="M832" s="1395">
        <f>IF(raw[[#This Row],[city]]&lt;&gt;"",_xlfn.XLOOKUP($D832,ccc[city],ccc[cont],"-"),"-")</f>
        <v/>
      </c>
      <c r="N832" s="1396">
        <f>IF(raw[[#This Row],[city]]="","-",IF(raw[[#This Row],[cont]]="B",raw[[#This Row],[cont]],"W"))</f>
        <v/>
      </c>
      <c r="O832" s="1397">
        <f>IF(raw[[#This Row],[out]]=0,0,IF(raw[[#This Row],[out]]=raw[[#This Row],[in]],0.01,raw[[#This Row],[out]]-raw[[#This Row],[in]]))</f>
        <v/>
      </c>
      <c r="P832" s="1397">
        <f>IF(raw[[#This Row],[in]]=0,0,MONTH(raw[[#This Row],[in]]))</f>
        <v/>
      </c>
      <c r="Q832" s="1397">
        <f>IF(raw[[#This Row],[in]]=0,0,YEAR(raw[[#This Row],[in]]))</f>
        <v/>
      </c>
      <c r="R832" s="1397">
        <f>INT(raw[[#This Row],[yr]]/10)*10</f>
        <v/>
      </c>
      <c r="S832" s="1395">
        <f>IF(raw[[#This Row],[city]]="","-",IF(raw[[#This Row],[city]]&lt;&gt;_xlfn.XLOOKUP(raw[[#This Row],[home]],homes[home],homes[city],"-"),1,0))</f>
        <v/>
      </c>
      <c r="T832" s="1398" t="inlineStr">
        <is>
          <t>.</t>
        </is>
      </c>
      <c r="U832" s="1399">
        <f>IF(raw[[#This Row],[wb]]="w",raw[[#This Row],[stay]]+U831,U831)</f>
        <v/>
      </c>
      <c r="V832" s="1400">
        <f>IF(raw[[#This Row],[out]]=0,V831,(raw[[#This Row],[out]]-E$5))</f>
        <v/>
      </c>
      <c r="W832" s="1401">
        <f>U832/V832</f>
        <v/>
      </c>
      <c r="X832" s="1378" t="inlineStr">
        <is>
          <t>.</t>
        </is>
      </c>
      <c r="Y832" s="1402" t="n"/>
      <c r="Z832" s="1403" t="n"/>
      <c r="AA832" s="1403" t="n"/>
      <c r="AB832" s="1400">
        <f t="array" ref="AB832">_xlfn.LET(_xlpm.S,_xlfn.ANCHORARRAY($Y$4),_xlpm.r,ROWS(stayCity[[#Headers],[city]]:stayCity[[#This Row],[city]])-1,IF(_xlpm.r&lt;=ROWS(_xlpm.S),INDEX(_xlpm.S,_xlpm.r,1),""))</f>
        <v/>
      </c>
      <c r="AC832" s="1405">
        <f t="array" ref="AC832">_xlfn.LET(_xlpm.S,_xlfn.ANCHORARRAY($Y$4),_xlpm.r,ROWS(stayCity[[#Headers],[city]]:stayCity[[#This Row],[city]])-1,IF(_xlpm.r&lt;=ROWS(_xlpm.S),INDEX(_xlpm.S,_xlpm.r,2),""))</f>
        <v/>
      </c>
      <c r="AD832" s="1405">
        <f t="array" ref="AD832">_xlfn.LET(_xlpm.S,_xlfn.ANCHORARRAY($Y$4),_xlpm.r,ROWS(stayCity[[#Headers],[city]]:stayCity[[#This Row],[city]])-1,IF(_xlpm.r&lt;=ROWS(_xlpm.S),INDEX(_xlpm.S,_xlpm.r,3),""))</f>
        <v/>
      </c>
      <c r="AE832" s="1400">
        <f>IF(stayCity[[#This Row],[out]]&lt;&gt;"",stayCity[[#This Row],[out]]-stayCity[[#This Row],[in]],"-")</f>
        <v/>
      </c>
      <c r="AF832" s="1406">
        <f>IF(Y832="","-",YEAR(stayCity[[#This Row],[in]]))</f>
        <v/>
      </c>
      <c r="AG832" s="1392" t="n"/>
      <c r="AH832" s="1392" t="n"/>
      <c r="AI832" s="1392" t="n"/>
      <c r="AJ832" s="1392" t="n"/>
      <c r="AK832" s="1392" t="n"/>
      <c r="AL832" s="1392" t="n"/>
      <c r="AM832" s="1392" t="n"/>
      <c r="AN832" s="1392" t="n"/>
      <c r="AO832" s="1392" t="n"/>
      <c r="AP832" s="1392" t="n"/>
      <c r="AQ832" s="1392" t="n"/>
      <c r="AR832" s="1392" t="n"/>
      <c r="AS832" s="1422" t="n"/>
      <c r="AT832" s="1392" t="n"/>
      <c r="AU832" s="1392" t="n"/>
      <c r="AV832" s="1392" t="n"/>
      <c r="AW832" s="1392" t="n"/>
      <c r="AX832" s="1392" t="n"/>
      <c r="AY832" s="1392" t="n"/>
      <c r="AZ832" s="1392" t="n"/>
      <c r="BA832" s="1392" t="n"/>
      <c r="BB832" s="1422" t="n"/>
      <c r="BC832" s="1392" t="n"/>
      <c r="BD832" s="1392" t="n"/>
      <c r="BE832" s="1392" t="n"/>
      <c r="BF832" s="1392" t="n"/>
      <c r="BG832" s="1392" t="n"/>
      <c r="BH832" s="1392" t="n"/>
      <c r="BI832" s="1392" t="n"/>
      <c r="BJ832" s="1392" t="n"/>
      <c r="BK832" s="1392" t="n"/>
      <c r="BL832" s="1392" t="n"/>
      <c r="BM832" s="1392" t="n"/>
      <c r="BN832" s="1392" t="n"/>
      <c r="BO832" s="1392" t="n"/>
      <c r="BP832" s="1392" t="n"/>
      <c r="BQ832" s="1392" t="n"/>
      <c r="BR832" s="1392" t="n"/>
      <c r="BS832" s="1392" t="n"/>
      <c r="BT832" s="1392" t="n"/>
      <c r="BU832" s="1416" t="n"/>
      <c r="BV832" s="1392" t="n"/>
      <c r="BW832" s="1392" t="n"/>
      <c r="BX832" s="1392" t="n"/>
      <c r="BY832" s="1392" t="n"/>
      <c r="BZ832" s="1416" t="n"/>
      <c r="CA832" s="1392" t="n"/>
      <c r="CB832" s="1392" t="n"/>
      <c r="CC832" s="1392" t="n"/>
      <c r="CD832" s="1392" t="n"/>
      <c r="CE832" s="1392" t="n"/>
      <c r="CF832" s="1392" t="n"/>
      <c r="CG832" s="1392" t="n"/>
      <c r="CH832" s="1392" t="n"/>
      <c r="CI832" s="1392" t="n"/>
      <c r="CJ832" s="1392" t="n"/>
      <c r="CK832" s="1392" t="n"/>
      <c r="CL832" s="1392" t="n"/>
    </row>
    <row r="833">
      <c r="A833" s="5" t="inlineStr">
        <is>
          <t>.</t>
        </is>
      </c>
      <c r="B833" s="5" t="inlineStr">
        <is>
          <t>.</t>
        </is>
      </c>
      <c r="C833" s="1378">
        <f>IF(raw[[#This Row],[city]]="","-",IF(raw[[#This Row],[city]]="TODAY","-",C832+1))</f>
        <v/>
      </c>
      <c r="D833" s="1393" t="inlineStr">
        <is>
          <t>Whitfield</t>
        </is>
      </c>
      <c r="E833" s="1394" t="n">
        <v>38510</v>
      </c>
      <c r="F833" s="1394" t="n">
        <v>38510</v>
      </c>
      <c r="G833" s="1393" t="inlineStr">
        <is>
          <t>-</t>
        </is>
      </c>
      <c r="H833" s="1393" t="inlineStr">
        <is>
          <t>Transit</t>
        </is>
      </c>
      <c r="I833" s="1393" t="inlineStr">
        <is>
          <t>VF</t>
        </is>
      </c>
      <c r="J833" s="1393" t="inlineStr">
        <is>
          <t>-</t>
        </is>
      </c>
      <c r="K833" s="1395">
        <f>IF(raw[[#This Row],[city]]&lt;&gt;"",_xlfn.XLOOKUP($D833,ccc[city],ccc[prov],"-"),"-")</f>
        <v/>
      </c>
      <c r="L833" s="1395">
        <f>IF(raw[[#This Row],[city]]&lt;&gt;"",_xlfn.XLOOKUP($D833,ccc[city],ccc[ctry],"-"),"-")</f>
        <v/>
      </c>
      <c r="M833" s="1395">
        <f>IF(raw[[#This Row],[city]]&lt;&gt;"",_xlfn.XLOOKUP($D833,ccc[city],ccc[cont],"-"),"-")</f>
        <v/>
      </c>
      <c r="N833" s="1396">
        <f>IF(raw[[#This Row],[city]]="","-",IF(raw[[#This Row],[cont]]="B",raw[[#This Row],[cont]],"W"))</f>
        <v/>
      </c>
      <c r="O833" s="1397">
        <f>IF(raw[[#This Row],[out]]=0,0,IF(raw[[#This Row],[out]]=raw[[#This Row],[in]],0.01,raw[[#This Row],[out]]-raw[[#This Row],[in]]))</f>
        <v/>
      </c>
      <c r="P833" s="1397">
        <f>IF(raw[[#This Row],[in]]=0,0,MONTH(raw[[#This Row],[in]]))</f>
        <v/>
      </c>
      <c r="Q833" s="1397">
        <f>IF(raw[[#This Row],[in]]=0,0,YEAR(raw[[#This Row],[in]]))</f>
        <v/>
      </c>
      <c r="R833" s="1397">
        <f>INT(raw[[#This Row],[yr]]/10)*10</f>
        <v/>
      </c>
      <c r="S833" s="1395">
        <f>IF(raw[[#This Row],[city]]="","-",IF(raw[[#This Row],[city]]&lt;&gt;_xlfn.XLOOKUP(raw[[#This Row],[home]],homes[home],homes[city],"-"),1,0))</f>
        <v/>
      </c>
      <c r="T833" s="1398" t="inlineStr">
        <is>
          <t>.</t>
        </is>
      </c>
      <c r="U833" s="1399">
        <f>IF(raw[[#This Row],[wb]]="w",raw[[#This Row],[stay]]+U832,U832)</f>
        <v/>
      </c>
      <c r="V833" s="1400">
        <f>IF(raw[[#This Row],[out]]=0,V832,(raw[[#This Row],[out]]-E$5))</f>
        <v/>
      </c>
      <c r="W833" s="1401">
        <f>U833/V833</f>
        <v/>
      </c>
      <c r="X833" s="1378" t="inlineStr">
        <is>
          <t>.</t>
        </is>
      </c>
      <c r="Y833" s="1402" t="n"/>
      <c r="Z833" s="1403" t="n"/>
      <c r="AA833" s="1403" t="n"/>
      <c r="AB833" s="1400">
        <f t="array" ref="AB833">_xlfn.LET(_xlpm.S,_xlfn.ANCHORARRAY($Y$4),_xlpm.r,ROWS(stayCity[[#Headers],[city]]:stayCity[[#This Row],[city]])-1,IF(_xlpm.r&lt;=ROWS(_xlpm.S),INDEX(_xlpm.S,_xlpm.r,1),""))</f>
        <v/>
      </c>
      <c r="AC833" s="1405">
        <f t="array" ref="AC833">_xlfn.LET(_xlpm.S,_xlfn.ANCHORARRAY($Y$4),_xlpm.r,ROWS(stayCity[[#Headers],[city]]:stayCity[[#This Row],[city]])-1,IF(_xlpm.r&lt;=ROWS(_xlpm.S),INDEX(_xlpm.S,_xlpm.r,2),""))</f>
        <v/>
      </c>
      <c r="AD833" s="1405">
        <f t="array" ref="AD833">_xlfn.LET(_xlpm.S,_xlfn.ANCHORARRAY($Y$4),_xlpm.r,ROWS(stayCity[[#Headers],[city]]:stayCity[[#This Row],[city]])-1,IF(_xlpm.r&lt;=ROWS(_xlpm.S),INDEX(_xlpm.S,_xlpm.r,3),""))</f>
        <v/>
      </c>
      <c r="AE833" s="1400">
        <f>IF(stayCity[[#This Row],[out]]&lt;&gt;"",stayCity[[#This Row],[out]]-stayCity[[#This Row],[in]],"-")</f>
        <v/>
      </c>
      <c r="AF833" s="1406">
        <f>IF(Y833="","-",YEAR(stayCity[[#This Row],[in]]))</f>
        <v/>
      </c>
      <c r="AG833" s="1392" t="n"/>
      <c r="AH833" s="1392" t="n"/>
      <c r="AI833" s="1392" t="n"/>
      <c r="AJ833" s="1392" t="n"/>
      <c r="AK833" s="1392" t="n"/>
      <c r="AL833" s="1392" t="n"/>
      <c r="AM833" s="1392" t="n"/>
      <c r="AN833" s="1392" t="n"/>
      <c r="AO833" s="1392" t="n"/>
      <c r="AP833" s="1392" t="n"/>
      <c r="AQ833" s="1392" t="n"/>
      <c r="AR833" s="1392" t="n"/>
      <c r="AS833" s="1422" t="n"/>
      <c r="AT833" s="1392" t="n"/>
      <c r="AU833" s="1392" t="n"/>
      <c r="AV833" s="1392" t="n"/>
      <c r="AW833" s="1392" t="n"/>
      <c r="AX833" s="1392" t="n"/>
      <c r="AY833" s="1392" t="n"/>
      <c r="AZ833" s="1392" t="n"/>
      <c r="BA833" s="1392" t="n"/>
      <c r="BB833" s="1422" t="n"/>
      <c r="BC833" s="1392" t="n"/>
      <c r="BD833" s="1392" t="n"/>
      <c r="BE833" s="1392" t="n"/>
      <c r="BF833" s="1392" t="n"/>
      <c r="BG833" s="1392" t="n"/>
      <c r="BH833" s="1392" t="n"/>
      <c r="BI833" s="1392" t="n"/>
      <c r="BJ833" s="1392" t="n"/>
      <c r="BK833" s="1392" t="n"/>
      <c r="BL833" s="1392" t="n"/>
      <c r="BM833" s="1392" t="n"/>
      <c r="BN833" s="1392" t="n"/>
      <c r="BO833" s="1392" t="n"/>
      <c r="BP833" s="1392" t="n"/>
      <c r="BQ833" s="1392" t="n"/>
      <c r="BR833" s="1392" t="n"/>
      <c r="BS833" s="1392" t="n"/>
      <c r="BT833" s="1392" t="n"/>
      <c r="BU833" s="1416" t="n"/>
      <c r="BV833" s="1392" t="n"/>
      <c r="BW833" s="1392" t="n"/>
      <c r="BX833" s="1392" t="n"/>
      <c r="BY833" s="1392" t="n"/>
      <c r="BZ833" s="1416" t="n"/>
      <c r="CA833" s="1392" t="n"/>
      <c r="CB833" s="1392" t="n"/>
      <c r="CC833" s="1392" t="n"/>
      <c r="CD833" s="1392" t="n"/>
      <c r="CE833" s="1392" t="n"/>
      <c r="CF833" s="1392" t="n"/>
      <c r="CG833" s="1392" t="n"/>
      <c r="CH833" s="1392" t="n"/>
      <c r="CI833" s="1392" t="n"/>
      <c r="CJ833" s="1392" t="n"/>
      <c r="CK833" s="1392" t="n"/>
      <c r="CL833" s="1392" t="n"/>
    </row>
    <row r="834">
      <c r="A834" s="5" t="inlineStr">
        <is>
          <t>.</t>
        </is>
      </c>
      <c r="B834" s="5" t="inlineStr">
        <is>
          <t>.</t>
        </is>
      </c>
      <c r="C834" s="1378">
        <f>IF(raw[[#This Row],[city]]="","-",IF(raw[[#This Row],[city]]="TODAY","-",C833+1))</f>
        <v/>
      </c>
      <c r="D834" s="1393" t="inlineStr">
        <is>
          <t>Dover</t>
        </is>
      </c>
      <c r="E834" s="1394" t="n">
        <v>38510</v>
      </c>
      <c r="F834" s="1394" t="n">
        <v>38510</v>
      </c>
      <c r="G834" s="1393" t="inlineStr">
        <is>
          <t>-</t>
        </is>
      </c>
      <c r="H834" s="1393" t="inlineStr">
        <is>
          <t>Transit</t>
        </is>
      </c>
      <c r="I834" s="1393" t="inlineStr">
        <is>
          <t>VF</t>
        </is>
      </c>
      <c r="J834" s="1393" t="inlineStr">
        <is>
          <t>-</t>
        </is>
      </c>
      <c r="K834" s="1395">
        <f>IF(raw[[#This Row],[city]]&lt;&gt;"",_xlfn.XLOOKUP($D834,ccc[city],ccc[prov],"-"),"-")</f>
        <v/>
      </c>
      <c r="L834" s="1395">
        <f>IF(raw[[#This Row],[city]]&lt;&gt;"",_xlfn.XLOOKUP($D834,ccc[city],ccc[ctry],"-"),"-")</f>
        <v/>
      </c>
      <c r="M834" s="1395">
        <f>IF(raw[[#This Row],[city]]&lt;&gt;"",_xlfn.XLOOKUP($D834,ccc[city],ccc[cont],"-"),"-")</f>
        <v/>
      </c>
      <c r="N834" s="1396">
        <f>IF(raw[[#This Row],[city]]="","-",IF(raw[[#This Row],[cont]]="B",raw[[#This Row],[cont]],"W"))</f>
        <v/>
      </c>
      <c r="O834" s="1397">
        <f>IF(raw[[#This Row],[out]]=0,0,IF(raw[[#This Row],[out]]=raw[[#This Row],[in]],0.01,raw[[#This Row],[out]]-raw[[#This Row],[in]]))</f>
        <v/>
      </c>
      <c r="P834" s="1397">
        <f>IF(raw[[#This Row],[in]]=0,0,MONTH(raw[[#This Row],[in]]))</f>
        <v/>
      </c>
      <c r="Q834" s="1397">
        <f>IF(raw[[#This Row],[in]]=0,0,YEAR(raw[[#This Row],[in]]))</f>
        <v/>
      </c>
      <c r="R834" s="1397">
        <f>INT(raw[[#This Row],[yr]]/10)*10</f>
        <v/>
      </c>
      <c r="S834" s="1395">
        <f>IF(raw[[#This Row],[city]]="","-",IF(raw[[#This Row],[city]]&lt;&gt;_xlfn.XLOOKUP(raw[[#This Row],[home]],homes[home],homes[city],"-"),1,0))</f>
        <v/>
      </c>
      <c r="T834" s="1398" t="inlineStr">
        <is>
          <t>.</t>
        </is>
      </c>
      <c r="U834" s="1399">
        <f>IF(raw[[#This Row],[wb]]="w",raw[[#This Row],[stay]]+U833,U833)</f>
        <v/>
      </c>
      <c r="V834" s="1400">
        <f>IF(raw[[#This Row],[out]]=0,V833,(raw[[#This Row],[out]]-E$5))</f>
        <v/>
      </c>
      <c r="W834" s="1401">
        <f>U834/V834</f>
        <v/>
      </c>
      <c r="X834" s="1378" t="inlineStr">
        <is>
          <t>.</t>
        </is>
      </c>
      <c r="Y834" s="1402" t="n"/>
      <c r="Z834" s="1403" t="n"/>
      <c r="AA834" s="1403" t="n"/>
      <c r="AB834" s="1400">
        <f t="array" ref="AB834">_xlfn.LET(_xlpm.S,_xlfn.ANCHORARRAY($Y$4),_xlpm.r,ROWS(stayCity[[#Headers],[city]]:stayCity[[#This Row],[city]])-1,IF(_xlpm.r&lt;=ROWS(_xlpm.S),INDEX(_xlpm.S,_xlpm.r,1),""))</f>
        <v/>
      </c>
      <c r="AC834" s="1405">
        <f t="array" ref="AC834">_xlfn.LET(_xlpm.S,_xlfn.ANCHORARRAY($Y$4),_xlpm.r,ROWS(stayCity[[#Headers],[city]]:stayCity[[#This Row],[city]])-1,IF(_xlpm.r&lt;=ROWS(_xlpm.S),INDEX(_xlpm.S,_xlpm.r,2),""))</f>
        <v/>
      </c>
      <c r="AD834" s="1405">
        <f t="array" ref="AD834">_xlfn.LET(_xlpm.S,_xlfn.ANCHORARRAY($Y$4),_xlpm.r,ROWS(stayCity[[#Headers],[city]]:stayCity[[#This Row],[city]])-1,IF(_xlpm.r&lt;=ROWS(_xlpm.S),INDEX(_xlpm.S,_xlpm.r,3),""))</f>
        <v/>
      </c>
      <c r="AE834" s="1400">
        <f>IF(stayCity[[#This Row],[out]]&lt;&gt;"",stayCity[[#This Row],[out]]-stayCity[[#This Row],[in]],"-")</f>
        <v/>
      </c>
      <c r="AF834" s="1406">
        <f>IF(Y834="","-",YEAR(stayCity[[#This Row],[in]]))</f>
        <v/>
      </c>
      <c r="AG834" s="1392" t="n"/>
      <c r="AH834" s="1392" t="n"/>
      <c r="AI834" s="1392" t="n"/>
      <c r="AJ834" s="1392" t="n"/>
      <c r="AK834" s="1392" t="n"/>
      <c r="AL834" s="1392" t="n"/>
      <c r="AM834" s="1392" t="n"/>
      <c r="AN834" s="1392" t="n"/>
      <c r="AO834" s="1392" t="n"/>
      <c r="AP834" s="1392" t="n"/>
      <c r="AQ834" s="1392" t="n"/>
      <c r="AR834" s="1392" t="n"/>
      <c r="AS834" s="1422" t="n"/>
      <c r="AT834" s="1392" t="n"/>
      <c r="AU834" s="1392" t="n"/>
      <c r="AV834" s="1392" t="n"/>
      <c r="AW834" s="1392" t="n"/>
      <c r="AX834" s="1392" t="n"/>
      <c r="AY834" s="1392" t="n"/>
      <c r="AZ834" s="1392" t="n"/>
      <c r="BA834" s="1392" t="n"/>
      <c r="BB834" s="1422" t="n"/>
      <c r="BC834" s="1392" t="n"/>
      <c r="BD834" s="1392" t="n"/>
      <c r="BE834" s="1392" t="n"/>
      <c r="BF834" s="1392" t="n"/>
      <c r="BG834" s="1392" t="n"/>
      <c r="BH834" s="1392" t="n"/>
      <c r="BI834" s="1392" t="n"/>
      <c r="BJ834" s="1392" t="n"/>
      <c r="BK834" s="1392" t="n"/>
      <c r="BL834" s="1392" t="n"/>
      <c r="BM834" s="1392" t="n"/>
      <c r="BN834" s="1392" t="n"/>
      <c r="BO834" s="1392" t="n"/>
      <c r="BP834" s="1392" t="n"/>
      <c r="BQ834" s="1392" t="n"/>
      <c r="BR834" s="1392" t="n"/>
      <c r="BS834" s="1392" t="n"/>
      <c r="BT834" s="1392" t="n"/>
      <c r="BU834" s="1416" t="n"/>
      <c r="BV834" s="1392" t="n"/>
      <c r="BW834" s="1392" t="n"/>
      <c r="BX834" s="1392" t="n"/>
      <c r="BY834" s="1392" t="n"/>
      <c r="BZ834" s="1416" t="n"/>
      <c r="CA834" s="1392" t="n"/>
      <c r="CB834" s="1392" t="n"/>
      <c r="CC834" s="1392" t="n"/>
      <c r="CD834" s="1392" t="n"/>
      <c r="CE834" s="1392" t="n"/>
      <c r="CF834" s="1392" t="n"/>
      <c r="CG834" s="1392" t="n"/>
      <c r="CH834" s="1392" t="n"/>
      <c r="CI834" s="1392" t="n"/>
      <c r="CJ834" s="1392" t="n"/>
      <c r="CK834" s="1392" t="n"/>
      <c r="CL834" s="1392" t="n"/>
    </row>
    <row r="835">
      <c r="A835" s="5" t="inlineStr">
        <is>
          <t>.</t>
        </is>
      </c>
      <c r="B835" s="5" t="inlineStr">
        <is>
          <t>.</t>
        </is>
      </c>
      <c r="C835" s="1378">
        <f>IF(raw[[#This Row],[city]]="","-",IF(raw[[#This Row],[city]]="TODAY","-",C834+1))</f>
        <v/>
      </c>
      <c r="D835" s="1393" t="inlineStr">
        <is>
          <t>Calais</t>
        </is>
      </c>
      <c r="E835" s="1394" t="n">
        <v>38510</v>
      </c>
      <c r="F835" s="1394" t="n">
        <v>38511</v>
      </c>
      <c r="G835" s="1393" t="inlineStr">
        <is>
          <t>-</t>
        </is>
      </c>
      <c r="H835" s="1393" t="inlineStr">
        <is>
          <t>Transit</t>
        </is>
      </c>
      <c r="I835" s="1393" t="inlineStr">
        <is>
          <t>VF</t>
        </is>
      </c>
      <c r="J835" s="1393" t="inlineStr">
        <is>
          <t>-</t>
        </is>
      </c>
      <c r="K835" s="1395">
        <f>IF(raw[[#This Row],[city]]&lt;&gt;"",_xlfn.XLOOKUP($D835,ccc[city],ccc[prov],"-"),"-")</f>
        <v/>
      </c>
      <c r="L835" s="1395">
        <f>IF(raw[[#This Row],[city]]&lt;&gt;"",_xlfn.XLOOKUP($D835,ccc[city],ccc[ctry],"-"),"-")</f>
        <v/>
      </c>
      <c r="M835" s="1395">
        <f>IF(raw[[#This Row],[city]]&lt;&gt;"",_xlfn.XLOOKUP($D835,ccc[city],ccc[cont],"-"),"-")</f>
        <v/>
      </c>
      <c r="N835" s="1396">
        <f>IF(raw[[#This Row],[city]]="","-",IF(raw[[#This Row],[cont]]="B",raw[[#This Row],[cont]],"W"))</f>
        <v/>
      </c>
      <c r="O835" s="1397">
        <f>IF(raw[[#This Row],[out]]=0,0,IF(raw[[#This Row],[out]]=raw[[#This Row],[in]],0.01,raw[[#This Row],[out]]-raw[[#This Row],[in]]))</f>
        <v/>
      </c>
      <c r="P835" s="1397">
        <f>IF(raw[[#This Row],[in]]=0,0,MONTH(raw[[#This Row],[in]]))</f>
        <v/>
      </c>
      <c r="Q835" s="1397">
        <f>IF(raw[[#This Row],[in]]=0,0,YEAR(raw[[#This Row],[in]]))</f>
        <v/>
      </c>
      <c r="R835" s="1397">
        <f>INT(raw[[#This Row],[yr]]/10)*10</f>
        <v/>
      </c>
      <c r="S835" s="1395">
        <f>IF(raw[[#This Row],[city]]="","-",IF(raw[[#This Row],[city]]&lt;&gt;_xlfn.XLOOKUP(raw[[#This Row],[home]],homes[home],homes[city],"-"),1,0))</f>
        <v/>
      </c>
      <c r="T835" s="1398" t="inlineStr">
        <is>
          <t>.</t>
        </is>
      </c>
      <c r="U835" s="1399">
        <f>IF(raw[[#This Row],[wb]]="w",raw[[#This Row],[stay]]+U834,U834)</f>
        <v/>
      </c>
      <c r="V835" s="1400">
        <f>IF(raw[[#This Row],[out]]=0,V834,(raw[[#This Row],[out]]-E$5))</f>
        <v/>
      </c>
      <c r="W835" s="1401">
        <f>U835/V835</f>
        <v/>
      </c>
      <c r="X835" s="1378" t="inlineStr">
        <is>
          <t>.</t>
        </is>
      </c>
      <c r="Y835" s="1402" t="n"/>
      <c r="Z835" s="1403" t="n"/>
      <c r="AA835" s="1403" t="n"/>
      <c r="AB835" s="1400">
        <f t="array" ref="AB835">_xlfn.LET(_xlpm.S,_xlfn.ANCHORARRAY($Y$4),_xlpm.r,ROWS(stayCity[[#Headers],[city]]:stayCity[[#This Row],[city]])-1,IF(_xlpm.r&lt;=ROWS(_xlpm.S),INDEX(_xlpm.S,_xlpm.r,1),""))</f>
        <v/>
      </c>
      <c r="AC835" s="1405">
        <f t="array" ref="AC835">_xlfn.LET(_xlpm.S,_xlfn.ANCHORARRAY($Y$4),_xlpm.r,ROWS(stayCity[[#Headers],[city]]:stayCity[[#This Row],[city]])-1,IF(_xlpm.r&lt;=ROWS(_xlpm.S),INDEX(_xlpm.S,_xlpm.r,2),""))</f>
        <v/>
      </c>
      <c r="AD835" s="1405">
        <f t="array" ref="AD835">_xlfn.LET(_xlpm.S,_xlfn.ANCHORARRAY($Y$4),_xlpm.r,ROWS(stayCity[[#Headers],[city]]:stayCity[[#This Row],[city]])-1,IF(_xlpm.r&lt;=ROWS(_xlpm.S),INDEX(_xlpm.S,_xlpm.r,3),""))</f>
        <v/>
      </c>
      <c r="AE835" s="1400">
        <f>IF(stayCity[[#This Row],[out]]&lt;&gt;"",stayCity[[#This Row],[out]]-stayCity[[#This Row],[in]],"-")</f>
        <v/>
      </c>
      <c r="AF835" s="1406">
        <f>IF(Y835="","-",YEAR(stayCity[[#This Row],[in]]))</f>
        <v/>
      </c>
      <c r="AG835" s="1392" t="n"/>
      <c r="AH835" s="1392" t="n"/>
      <c r="AI835" s="1392" t="n"/>
      <c r="AJ835" s="1392" t="n"/>
      <c r="AK835" s="1392" t="n"/>
      <c r="AL835" s="1392" t="n"/>
      <c r="AM835" s="1392" t="n"/>
      <c r="AN835" s="1392" t="n"/>
      <c r="AO835" s="1392" t="n"/>
      <c r="AP835" s="1392" t="n"/>
      <c r="AQ835" s="1392" t="n"/>
      <c r="AR835" s="1392" t="n"/>
      <c r="AS835" s="1422" t="n"/>
      <c r="AT835" s="1392" t="n"/>
      <c r="AU835" s="1392" t="n"/>
      <c r="AV835" s="1392" t="n"/>
      <c r="AW835" s="1392" t="n"/>
      <c r="AX835" s="1392" t="n"/>
      <c r="AY835" s="1392" t="n"/>
      <c r="AZ835" s="1392" t="n"/>
      <c r="BA835" s="1392" t="n"/>
      <c r="BB835" s="1422" t="n"/>
      <c r="BC835" s="1392" t="n"/>
      <c r="BD835" s="1392" t="n"/>
      <c r="BE835" s="1392" t="n"/>
      <c r="BF835" s="1392" t="n"/>
      <c r="BG835" s="1392" t="n"/>
      <c r="BH835" s="1392" t="n"/>
      <c r="BI835" s="1392" t="n"/>
      <c r="BJ835" s="1392" t="n"/>
      <c r="BK835" s="1392" t="n"/>
      <c r="BL835" s="1392" t="n"/>
      <c r="BM835" s="1392" t="n"/>
      <c r="BN835" s="1392" t="n"/>
      <c r="BO835" s="1392" t="n"/>
      <c r="BP835" s="1392" t="n"/>
      <c r="BQ835" s="1392" t="n"/>
      <c r="BR835" s="1392" t="n"/>
      <c r="BS835" s="1392" t="n"/>
      <c r="BT835" s="1392" t="n"/>
      <c r="BU835" s="1416" t="n"/>
      <c r="BV835" s="1392" t="n"/>
      <c r="BW835" s="1392" t="n"/>
      <c r="BX835" s="1392" t="n"/>
      <c r="BY835" s="1392" t="n"/>
      <c r="BZ835" s="1416" t="n"/>
      <c r="CA835" s="1392" t="n"/>
      <c r="CB835" s="1392" t="n"/>
      <c r="CC835" s="1392" t="n"/>
      <c r="CD835" s="1392" t="n"/>
      <c r="CE835" s="1392" t="n"/>
      <c r="CF835" s="1392" t="n"/>
      <c r="CG835" s="1392" t="n"/>
      <c r="CH835" s="1392" t="n"/>
      <c r="CI835" s="1392" t="n"/>
      <c r="CJ835" s="1392" t="n"/>
      <c r="CK835" s="1392" t="n"/>
      <c r="CL835" s="1392" t="n"/>
    </row>
    <row r="836">
      <c r="A836" s="5" t="inlineStr">
        <is>
          <t>.</t>
        </is>
      </c>
      <c r="B836" s="5" t="inlineStr">
        <is>
          <t>.</t>
        </is>
      </c>
      <c r="C836" s="1378">
        <f>IF(raw[[#This Row],[city]]="","-",IF(raw[[#This Row],[city]]="TODAY","-",C835+1))</f>
        <v/>
      </c>
      <c r="D836" s="1393" t="inlineStr">
        <is>
          <t>Coulogne</t>
        </is>
      </c>
      <c r="E836" s="1394" t="n">
        <v>38511</v>
      </c>
      <c r="F836" s="1394" t="n">
        <v>38511</v>
      </c>
      <c r="G836" s="1393" t="inlineStr">
        <is>
          <t>-</t>
        </is>
      </c>
      <c r="H836" s="1393" t="inlineStr">
        <is>
          <t>Transit</t>
        </is>
      </c>
      <c r="I836" s="1393" t="inlineStr">
        <is>
          <t>VF</t>
        </is>
      </c>
      <c r="J836" s="1393" t="inlineStr">
        <is>
          <t>-</t>
        </is>
      </c>
      <c r="K836" s="1395">
        <f>IF(raw[[#This Row],[city]]&lt;&gt;"",_xlfn.XLOOKUP($D836,ccc[city],ccc[prov],"-"),"-")</f>
        <v/>
      </c>
      <c r="L836" s="1395">
        <f>IF(raw[[#This Row],[city]]&lt;&gt;"",_xlfn.XLOOKUP($D836,ccc[city],ccc[ctry],"-"),"-")</f>
        <v/>
      </c>
      <c r="M836" s="1395">
        <f>IF(raw[[#This Row],[city]]&lt;&gt;"",_xlfn.XLOOKUP($D836,ccc[city],ccc[cont],"-"),"-")</f>
        <v/>
      </c>
      <c r="N836" s="1396">
        <f>IF(raw[[#This Row],[city]]="","-",IF(raw[[#This Row],[cont]]="B",raw[[#This Row],[cont]],"W"))</f>
        <v/>
      </c>
      <c r="O836" s="1397">
        <f>IF(raw[[#This Row],[out]]=0,0,IF(raw[[#This Row],[out]]=raw[[#This Row],[in]],0.01,raw[[#This Row],[out]]-raw[[#This Row],[in]]))</f>
        <v/>
      </c>
      <c r="P836" s="1397">
        <f>IF(raw[[#This Row],[in]]=0,0,MONTH(raw[[#This Row],[in]]))</f>
        <v/>
      </c>
      <c r="Q836" s="1397">
        <f>IF(raw[[#This Row],[in]]=0,0,YEAR(raw[[#This Row],[in]]))</f>
        <v/>
      </c>
      <c r="R836" s="1397">
        <f>INT(raw[[#This Row],[yr]]/10)*10</f>
        <v/>
      </c>
      <c r="S836" s="1395">
        <f>IF(raw[[#This Row],[city]]="","-",IF(raw[[#This Row],[city]]&lt;&gt;_xlfn.XLOOKUP(raw[[#This Row],[home]],homes[home],homes[city],"-"),1,0))</f>
        <v/>
      </c>
      <c r="T836" s="1398" t="inlineStr">
        <is>
          <t>.</t>
        </is>
      </c>
      <c r="U836" s="1399">
        <f>IF(raw[[#This Row],[wb]]="w",raw[[#This Row],[stay]]+U835,U835)</f>
        <v/>
      </c>
      <c r="V836" s="1400">
        <f>IF(raw[[#This Row],[out]]=0,V835,(raw[[#This Row],[out]]-E$5))</f>
        <v/>
      </c>
      <c r="W836" s="1401">
        <f>U836/V836</f>
        <v/>
      </c>
      <c r="X836" s="1378" t="inlineStr">
        <is>
          <t>.</t>
        </is>
      </c>
      <c r="Y836" s="1402" t="n"/>
      <c r="Z836" s="1403" t="n"/>
      <c r="AA836" s="1403" t="n"/>
      <c r="AB836" s="1400">
        <f t="array" ref="AB836">_xlfn.LET(_xlpm.S,_xlfn.ANCHORARRAY($Y$4),_xlpm.r,ROWS(stayCity[[#Headers],[city]]:stayCity[[#This Row],[city]])-1,IF(_xlpm.r&lt;=ROWS(_xlpm.S),INDEX(_xlpm.S,_xlpm.r,1),""))</f>
        <v/>
      </c>
      <c r="AC836" s="1405">
        <f t="array" ref="AC836">_xlfn.LET(_xlpm.S,_xlfn.ANCHORARRAY($Y$4),_xlpm.r,ROWS(stayCity[[#Headers],[city]]:stayCity[[#This Row],[city]])-1,IF(_xlpm.r&lt;=ROWS(_xlpm.S),INDEX(_xlpm.S,_xlpm.r,2),""))</f>
        <v/>
      </c>
      <c r="AD836" s="1405">
        <f t="array" ref="AD836">_xlfn.LET(_xlpm.S,_xlfn.ANCHORARRAY($Y$4),_xlpm.r,ROWS(stayCity[[#Headers],[city]]:stayCity[[#This Row],[city]])-1,IF(_xlpm.r&lt;=ROWS(_xlpm.S),INDEX(_xlpm.S,_xlpm.r,3),""))</f>
        <v/>
      </c>
      <c r="AE836" s="1400">
        <f>IF(stayCity[[#This Row],[out]]&lt;&gt;"",stayCity[[#This Row],[out]]-stayCity[[#This Row],[in]],"-")</f>
        <v/>
      </c>
      <c r="AF836" s="1406">
        <f>IF(Y836="","-",YEAR(stayCity[[#This Row],[in]]))</f>
        <v/>
      </c>
      <c r="AG836" s="1392" t="n"/>
      <c r="AH836" s="1392" t="n"/>
      <c r="AI836" s="1392" t="n"/>
      <c r="AJ836" s="1392" t="n"/>
      <c r="AK836" s="1392" t="n"/>
      <c r="AL836" s="1392" t="n"/>
      <c r="AM836" s="1392" t="n"/>
      <c r="AN836" s="1392" t="n"/>
      <c r="AO836" s="1392" t="n"/>
      <c r="AP836" s="1392" t="n"/>
      <c r="AQ836" s="1392" t="n"/>
      <c r="AR836" s="1392" t="n"/>
      <c r="AS836" s="1422" t="n"/>
      <c r="AT836" s="1392" t="n"/>
      <c r="AU836" s="1392" t="n"/>
      <c r="AV836" s="1392" t="n"/>
      <c r="AW836" s="1392" t="n"/>
      <c r="AX836" s="1392" t="n"/>
      <c r="AY836" s="1392" t="n"/>
      <c r="AZ836" s="1392" t="n"/>
      <c r="BA836" s="1392" t="n"/>
      <c r="BB836" s="1422" t="n"/>
      <c r="BC836" s="1392" t="n"/>
      <c r="BD836" s="1392" t="n"/>
      <c r="BE836" s="1392" t="n"/>
      <c r="BF836" s="1392" t="n"/>
      <c r="BG836" s="1392" t="n"/>
      <c r="BH836" s="1392" t="n"/>
      <c r="BI836" s="1392" t="n"/>
      <c r="BJ836" s="1392" t="n"/>
      <c r="BK836" s="1392" t="n"/>
      <c r="BL836" s="1392" t="n"/>
      <c r="BM836" s="1392" t="n"/>
      <c r="BN836" s="1392" t="n"/>
      <c r="BO836" s="1392" t="n"/>
      <c r="BP836" s="1392" t="n"/>
      <c r="BQ836" s="1392" t="n"/>
      <c r="BR836" s="1392" t="n"/>
      <c r="BS836" s="1392" t="n"/>
      <c r="BT836" s="1392" t="n"/>
      <c r="BU836" s="1416" t="n"/>
      <c r="BV836" s="1392" t="n"/>
      <c r="BW836" s="1392" t="n"/>
      <c r="BX836" s="1392" t="n"/>
      <c r="BY836" s="1392" t="n"/>
      <c r="BZ836" s="1416" t="n"/>
      <c r="CA836" s="1392" t="n"/>
      <c r="CB836" s="1392" t="n"/>
      <c r="CC836" s="1392" t="n"/>
      <c r="CD836" s="1392" t="n"/>
      <c r="CE836" s="1392" t="n"/>
      <c r="CF836" s="1392" t="n"/>
      <c r="CG836" s="1392" t="n"/>
      <c r="CH836" s="1392" t="n"/>
      <c r="CI836" s="1392" t="n"/>
      <c r="CJ836" s="1392" t="n"/>
      <c r="CK836" s="1392" t="n"/>
      <c r="CL836" s="1392" t="n"/>
    </row>
    <row r="837">
      <c r="A837" s="5" t="inlineStr">
        <is>
          <t>.</t>
        </is>
      </c>
      <c r="B837" s="5" t="inlineStr">
        <is>
          <t>.</t>
        </is>
      </c>
      <c r="C837" s="1378">
        <f>IF(raw[[#This Row],[city]]="","-",IF(raw[[#This Row],[city]]="TODAY","-",C836+1))</f>
        <v/>
      </c>
      <c r="D837" s="1393" t="inlineStr">
        <is>
          <t>Hanes</t>
        </is>
      </c>
      <c r="E837" s="1394" t="n">
        <v>38511</v>
      </c>
      <c r="F837" s="1394" t="n">
        <v>38511</v>
      </c>
      <c r="G837" s="1393" t="inlineStr">
        <is>
          <t>-</t>
        </is>
      </c>
      <c r="H837" s="1393" t="inlineStr">
        <is>
          <t>Transit</t>
        </is>
      </c>
      <c r="I837" s="1393" t="inlineStr">
        <is>
          <t>VF</t>
        </is>
      </c>
      <c r="J837" s="1393" t="inlineStr">
        <is>
          <t>-</t>
        </is>
      </c>
      <c r="K837" s="1395">
        <f>IF(raw[[#This Row],[city]]&lt;&gt;"",_xlfn.XLOOKUP($D837,ccc[city],ccc[prov],"-"),"-")</f>
        <v/>
      </c>
      <c r="L837" s="1395">
        <f>IF(raw[[#This Row],[city]]&lt;&gt;"",_xlfn.XLOOKUP($D837,ccc[city],ccc[ctry],"-"),"-")</f>
        <v/>
      </c>
      <c r="M837" s="1395">
        <f>IF(raw[[#This Row],[city]]&lt;&gt;"",_xlfn.XLOOKUP($D837,ccc[city],ccc[cont],"-"),"-")</f>
        <v/>
      </c>
      <c r="N837" s="1396">
        <f>IF(raw[[#This Row],[city]]="","-",IF(raw[[#This Row],[cont]]="B",raw[[#This Row],[cont]],"W"))</f>
        <v/>
      </c>
      <c r="O837" s="1397">
        <f>IF(raw[[#This Row],[out]]=0,0,IF(raw[[#This Row],[out]]=raw[[#This Row],[in]],0.01,raw[[#This Row],[out]]-raw[[#This Row],[in]]))</f>
        <v/>
      </c>
      <c r="P837" s="1397">
        <f>IF(raw[[#This Row],[in]]=0,0,MONTH(raw[[#This Row],[in]]))</f>
        <v/>
      </c>
      <c r="Q837" s="1397">
        <f>IF(raw[[#This Row],[in]]=0,0,YEAR(raw[[#This Row],[in]]))</f>
        <v/>
      </c>
      <c r="R837" s="1397">
        <f>INT(raw[[#This Row],[yr]]/10)*10</f>
        <v/>
      </c>
      <c r="S837" s="1395">
        <f>IF(raw[[#This Row],[city]]="","-",IF(raw[[#This Row],[city]]&lt;&gt;_xlfn.XLOOKUP(raw[[#This Row],[home]],homes[home],homes[city],"-"),1,0))</f>
        <v/>
      </c>
      <c r="T837" s="1398" t="inlineStr">
        <is>
          <t>.</t>
        </is>
      </c>
      <c r="U837" s="1399">
        <f>IF(raw[[#This Row],[wb]]="w",raw[[#This Row],[stay]]+U836,U836)</f>
        <v/>
      </c>
      <c r="V837" s="1400">
        <f>IF(raw[[#This Row],[out]]=0,V836,(raw[[#This Row],[out]]-E$5))</f>
        <v/>
      </c>
      <c r="W837" s="1401">
        <f>U837/V837</f>
        <v/>
      </c>
      <c r="X837" s="1378" t="inlineStr">
        <is>
          <t>.</t>
        </is>
      </c>
      <c r="Y837" s="1402" t="n"/>
      <c r="Z837" s="1403" t="n"/>
      <c r="AA837" s="1403" t="n"/>
      <c r="AB837" s="1400">
        <f t="array" ref="AB837">_xlfn.LET(_xlpm.S,_xlfn.ANCHORARRAY($Y$4),_xlpm.r,ROWS(stayCity[[#Headers],[city]]:stayCity[[#This Row],[city]])-1,IF(_xlpm.r&lt;=ROWS(_xlpm.S),INDEX(_xlpm.S,_xlpm.r,1),""))</f>
        <v/>
      </c>
      <c r="AC837" s="1405">
        <f t="array" ref="AC837">_xlfn.LET(_xlpm.S,_xlfn.ANCHORARRAY($Y$4),_xlpm.r,ROWS(stayCity[[#Headers],[city]]:stayCity[[#This Row],[city]])-1,IF(_xlpm.r&lt;=ROWS(_xlpm.S),INDEX(_xlpm.S,_xlpm.r,2),""))</f>
        <v/>
      </c>
      <c r="AD837" s="1405">
        <f t="array" ref="AD837">_xlfn.LET(_xlpm.S,_xlfn.ANCHORARRAY($Y$4),_xlpm.r,ROWS(stayCity[[#Headers],[city]]:stayCity[[#This Row],[city]])-1,IF(_xlpm.r&lt;=ROWS(_xlpm.S),INDEX(_xlpm.S,_xlpm.r,3),""))</f>
        <v/>
      </c>
      <c r="AE837" s="1400">
        <f>IF(stayCity[[#This Row],[out]]&lt;&gt;"",stayCity[[#This Row],[out]]-stayCity[[#This Row],[in]],"-")</f>
        <v/>
      </c>
      <c r="AF837" s="1406">
        <f>IF(Y837="","-",YEAR(stayCity[[#This Row],[in]]))</f>
        <v/>
      </c>
      <c r="AG837" s="1392" t="n"/>
      <c r="AH837" s="1392" t="n"/>
      <c r="AI837" s="1392" t="n"/>
      <c r="AJ837" s="1392" t="n"/>
      <c r="AK837" s="1392" t="n"/>
      <c r="AL837" s="1392" t="n"/>
      <c r="AM837" s="1392" t="n"/>
      <c r="AN837" s="1392" t="n"/>
      <c r="AO837" s="1392" t="n"/>
      <c r="AP837" s="1392" t="n"/>
      <c r="AQ837" s="1392" t="n"/>
      <c r="AR837" s="1392" t="n"/>
      <c r="AS837" s="1422" t="n"/>
      <c r="AT837" s="1392" t="n"/>
      <c r="AU837" s="1392" t="n"/>
      <c r="AV837" s="1392" t="n"/>
      <c r="AW837" s="1392" t="n"/>
      <c r="AX837" s="1392" t="n"/>
      <c r="AY837" s="1392" t="n"/>
      <c r="AZ837" s="1392" t="n"/>
      <c r="BA837" s="1392" t="n"/>
      <c r="BB837" s="1422" t="n"/>
      <c r="BC837" s="1392" t="n"/>
      <c r="BD837" s="1392" t="n"/>
      <c r="BE837" s="1392" t="n"/>
      <c r="BF837" s="1392" t="n"/>
      <c r="BG837" s="1392" t="n"/>
      <c r="BH837" s="1392" t="n"/>
      <c r="BI837" s="1392" t="n"/>
      <c r="BJ837" s="1392" t="n"/>
      <c r="BK837" s="1392" t="n"/>
      <c r="BL837" s="1392" t="n"/>
      <c r="BM837" s="1392" t="n"/>
      <c r="BN837" s="1392" t="n"/>
      <c r="BO837" s="1392" t="n"/>
      <c r="BP837" s="1392" t="n"/>
      <c r="BQ837" s="1392" t="n"/>
      <c r="BR837" s="1392" t="n"/>
      <c r="BS837" s="1392" t="n"/>
      <c r="BT837" s="1392" t="n"/>
      <c r="BU837" s="1416" t="n"/>
      <c r="BV837" s="1392" t="n"/>
      <c r="BW837" s="1392" t="n"/>
      <c r="BX837" s="1392" t="n"/>
      <c r="BY837" s="1392" t="n"/>
      <c r="BZ837" s="1416" t="n"/>
      <c r="CA837" s="1392" t="n"/>
      <c r="CB837" s="1392" t="n"/>
      <c r="CC837" s="1392" t="n"/>
      <c r="CD837" s="1392" t="n"/>
      <c r="CE837" s="1392" t="n"/>
      <c r="CF837" s="1392" t="n"/>
      <c r="CG837" s="1392" t="n"/>
      <c r="CH837" s="1392" t="n"/>
      <c r="CI837" s="1392" t="n"/>
      <c r="CJ837" s="1392" t="n"/>
      <c r="CK837" s="1392" t="n"/>
      <c r="CL837" s="1392" t="n"/>
    </row>
    <row r="838">
      <c r="A838" s="5" t="inlineStr">
        <is>
          <t>.</t>
        </is>
      </c>
      <c r="B838" s="5" t="inlineStr">
        <is>
          <t>.</t>
        </is>
      </c>
      <c r="C838" s="1378">
        <f>IF(raw[[#This Row],[city]]="","-",IF(raw[[#This Row],[city]]="TODAY","-",C837+1))</f>
        <v/>
      </c>
      <c r="D838" s="1393" t="inlineStr">
        <is>
          <t>Boucres</t>
        </is>
      </c>
      <c r="E838" s="1394" t="n">
        <v>38511</v>
      </c>
      <c r="F838" s="1394" t="n">
        <v>38511</v>
      </c>
      <c r="G838" s="1393" t="inlineStr">
        <is>
          <t>-</t>
        </is>
      </c>
      <c r="H838" s="1393" t="inlineStr">
        <is>
          <t>Transit</t>
        </is>
      </c>
      <c r="I838" s="1393" t="inlineStr">
        <is>
          <t>VF</t>
        </is>
      </c>
      <c r="J838" s="1393" t="inlineStr">
        <is>
          <t>-</t>
        </is>
      </c>
      <c r="K838" s="1395">
        <f>IF(raw[[#This Row],[city]]&lt;&gt;"",_xlfn.XLOOKUP($D838,ccc[city],ccc[prov],"-"),"-")</f>
        <v/>
      </c>
      <c r="L838" s="1395">
        <f>IF(raw[[#This Row],[city]]&lt;&gt;"",_xlfn.XLOOKUP($D838,ccc[city],ccc[ctry],"-"),"-")</f>
        <v/>
      </c>
      <c r="M838" s="1395">
        <f>IF(raw[[#This Row],[city]]&lt;&gt;"",_xlfn.XLOOKUP($D838,ccc[city],ccc[cont],"-"),"-")</f>
        <v/>
      </c>
      <c r="N838" s="1396">
        <f>IF(raw[[#This Row],[city]]="","-",IF(raw[[#This Row],[cont]]="B",raw[[#This Row],[cont]],"W"))</f>
        <v/>
      </c>
      <c r="O838" s="1397">
        <f>IF(raw[[#This Row],[out]]=0,0,IF(raw[[#This Row],[out]]=raw[[#This Row],[in]],0.01,raw[[#This Row],[out]]-raw[[#This Row],[in]]))</f>
        <v/>
      </c>
      <c r="P838" s="1397">
        <f>IF(raw[[#This Row],[in]]=0,0,MONTH(raw[[#This Row],[in]]))</f>
        <v/>
      </c>
      <c r="Q838" s="1397">
        <f>IF(raw[[#This Row],[in]]=0,0,YEAR(raw[[#This Row],[in]]))</f>
        <v/>
      </c>
      <c r="R838" s="1397">
        <f>INT(raw[[#This Row],[yr]]/10)*10</f>
        <v/>
      </c>
      <c r="S838" s="1395">
        <f>IF(raw[[#This Row],[city]]="","-",IF(raw[[#This Row],[city]]&lt;&gt;_xlfn.XLOOKUP(raw[[#This Row],[home]],homes[home],homes[city],"-"),1,0))</f>
        <v/>
      </c>
      <c r="T838" s="1398" t="inlineStr">
        <is>
          <t>.</t>
        </is>
      </c>
      <c r="U838" s="1399">
        <f>IF(raw[[#This Row],[wb]]="w",raw[[#This Row],[stay]]+U837,U837)</f>
        <v/>
      </c>
      <c r="V838" s="1400">
        <f>IF(raw[[#This Row],[out]]=0,V837,(raw[[#This Row],[out]]-E$5))</f>
        <v/>
      </c>
      <c r="W838" s="1401">
        <f>U838/V838</f>
        <v/>
      </c>
      <c r="X838" s="1378" t="inlineStr">
        <is>
          <t>.</t>
        </is>
      </c>
      <c r="Y838" s="1402" t="n"/>
      <c r="Z838" s="1403" t="n"/>
      <c r="AA838" s="1403" t="n"/>
      <c r="AB838" s="1400">
        <f t="array" ref="AB838">_xlfn.LET(_xlpm.S,_xlfn.ANCHORARRAY($Y$4),_xlpm.r,ROWS(stayCity[[#Headers],[city]]:stayCity[[#This Row],[city]])-1,IF(_xlpm.r&lt;=ROWS(_xlpm.S),INDEX(_xlpm.S,_xlpm.r,1),""))</f>
        <v/>
      </c>
      <c r="AC838" s="1405">
        <f t="array" ref="AC838">_xlfn.LET(_xlpm.S,_xlfn.ANCHORARRAY($Y$4),_xlpm.r,ROWS(stayCity[[#Headers],[city]]:stayCity[[#This Row],[city]])-1,IF(_xlpm.r&lt;=ROWS(_xlpm.S),INDEX(_xlpm.S,_xlpm.r,2),""))</f>
        <v/>
      </c>
      <c r="AD838" s="1405">
        <f t="array" ref="AD838">_xlfn.LET(_xlpm.S,_xlfn.ANCHORARRAY($Y$4),_xlpm.r,ROWS(stayCity[[#Headers],[city]]:stayCity[[#This Row],[city]])-1,IF(_xlpm.r&lt;=ROWS(_xlpm.S),INDEX(_xlpm.S,_xlpm.r,3),""))</f>
        <v/>
      </c>
      <c r="AE838" s="1400">
        <f>IF(stayCity[[#This Row],[out]]&lt;&gt;"",stayCity[[#This Row],[out]]-stayCity[[#This Row],[in]],"-")</f>
        <v/>
      </c>
      <c r="AF838" s="1406">
        <f>IF(Y838="","-",YEAR(stayCity[[#This Row],[in]]))</f>
        <v/>
      </c>
      <c r="AG838" s="1392" t="n"/>
      <c r="AH838" s="1392" t="n"/>
      <c r="AI838" s="1392" t="n"/>
      <c r="AJ838" s="1392" t="n"/>
      <c r="AK838" s="1392" t="n"/>
      <c r="AL838" s="1392" t="n"/>
      <c r="AM838" s="1392" t="n"/>
      <c r="AN838" s="1392" t="n"/>
      <c r="AO838" s="1392" t="n"/>
      <c r="AP838" s="1392" t="n"/>
      <c r="AQ838" s="1392" t="n"/>
      <c r="AR838" s="1392" t="n"/>
      <c r="AS838" s="1422" t="n"/>
      <c r="AT838" s="1392" t="n"/>
      <c r="AU838" s="1392" t="n"/>
      <c r="AV838" s="1392" t="n"/>
      <c r="AW838" s="1392" t="n"/>
      <c r="AX838" s="1392" t="n"/>
      <c r="AY838" s="1392" t="n"/>
      <c r="AZ838" s="1392" t="n"/>
      <c r="BA838" s="1392" t="n"/>
      <c r="BB838" s="1422" t="n"/>
      <c r="BC838" s="1392" t="n"/>
      <c r="BD838" s="1392" t="n"/>
      <c r="BE838" s="1392" t="n"/>
      <c r="BF838" s="1392" t="n"/>
      <c r="BG838" s="1392" t="n"/>
      <c r="BH838" s="1392" t="n"/>
      <c r="BI838" s="1392" t="n"/>
      <c r="BJ838" s="1392" t="n"/>
      <c r="BK838" s="1392" t="n"/>
      <c r="BL838" s="1392" t="n"/>
      <c r="BM838" s="1392" t="n"/>
      <c r="BN838" s="1392" t="n"/>
      <c r="BO838" s="1392" t="n"/>
      <c r="BP838" s="1392" t="n"/>
      <c r="BQ838" s="1392" t="n"/>
      <c r="BR838" s="1392" t="n"/>
      <c r="BS838" s="1392" t="n"/>
      <c r="BT838" s="1392" t="n"/>
      <c r="BU838" s="1416" t="n"/>
      <c r="BV838" s="1392" t="n"/>
      <c r="BW838" s="1392" t="n"/>
      <c r="BX838" s="1392" t="n"/>
      <c r="BY838" s="1392" t="n"/>
      <c r="BZ838" s="1416" t="n"/>
      <c r="CA838" s="1392" t="n"/>
      <c r="CB838" s="1392" t="n"/>
      <c r="CC838" s="1392" t="n"/>
      <c r="CD838" s="1392" t="n"/>
      <c r="CE838" s="1392" t="n"/>
      <c r="CF838" s="1392" t="n"/>
      <c r="CG838" s="1392" t="n"/>
      <c r="CH838" s="1392" t="n"/>
      <c r="CI838" s="1392" t="n"/>
      <c r="CJ838" s="1392" t="n"/>
      <c r="CK838" s="1392" t="n"/>
      <c r="CL838" s="1392" t="n"/>
    </row>
    <row r="839">
      <c r="A839" s="5" t="inlineStr">
        <is>
          <t>.</t>
        </is>
      </c>
      <c r="B839" s="5" t="inlineStr">
        <is>
          <t>.</t>
        </is>
      </c>
      <c r="C839" s="1378">
        <f>IF(raw[[#This Row],[city]]="","-",IF(raw[[#This Row],[city]]="TODAY","-",C838+1))</f>
        <v/>
      </c>
      <c r="D839" s="1393" t="inlineStr">
        <is>
          <t>Guines</t>
        </is>
      </c>
      <c r="E839" s="1394" t="n">
        <v>38511</v>
      </c>
      <c r="F839" s="1394" t="n">
        <v>38512</v>
      </c>
      <c r="G839" s="1393" t="inlineStr">
        <is>
          <t>-</t>
        </is>
      </c>
      <c r="H839" s="1393" t="inlineStr">
        <is>
          <t>Transit</t>
        </is>
      </c>
      <c r="I839" s="1393" t="inlineStr">
        <is>
          <t>VF</t>
        </is>
      </c>
      <c r="J839" s="1393" t="inlineStr">
        <is>
          <t>-</t>
        </is>
      </c>
      <c r="K839" s="1395">
        <f>IF(raw[[#This Row],[city]]&lt;&gt;"",_xlfn.XLOOKUP($D839,ccc[city],ccc[prov],"-"),"-")</f>
        <v/>
      </c>
      <c r="L839" s="1395">
        <f>IF(raw[[#This Row],[city]]&lt;&gt;"",_xlfn.XLOOKUP($D839,ccc[city],ccc[ctry],"-"),"-")</f>
        <v/>
      </c>
      <c r="M839" s="1395">
        <f>IF(raw[[#This Row],[city]]&lt;&gt;"",_xlfn.XLOOKUP($D839,ccc[city],ccc[cont],"-"),"-")</f>
        <v/>
      </c>
      <c r="N839" s="1396">
        <f>IF(raw[[#This Row],[city]]="","-",IF(raw[[#This Row],[cont]]="B",raw[[#This Row],[cont]],"W"))</f>
        <v/>
      </c>
      <c r="O839" s="1397">
        <f>IF(raw[[#This Row],[out]]=0,0,IF(raw[[#This Row],[out]]=raw[[#This Row],[in]],0.01,raw[[#This Row],[out]]-raw[[#This Row],[in]]))</f>
        <v/>
      </c>
      <c r="P839" s="1397">
        <f>IF(raw[[#This Row],[in]]=0,0,MONTH(raw[[#This Row],[in]]))</f>
        <v/>
      </c>
      <c r="Q839" s="1397">
        <f>IF(raw[[#This Row],[in]]=0,0,YEAR(raw[[#This Row],[in]]))</f>
        <v/>
      </c>
      <c r="R839" s="1397">
        <f>INT(raw[[#This Row],[yr]]/10)*10</f>
        <v/>
      </c>
      <c r="S839" s="1395">
        <f>IF(raw[[#This Row],[city]]="","-",IF(raw[[#This Row],[city]]&lt;&gt;_xlfn.XLOOKUP(raw[[#This Row],[home]],homes[home],homes[city],"-"),1,0))</f>
        <v/>
      </c>
      <c r="T839" s="1398" t="inlineStr">
        <is>
          <t>.</t>
        </is>
      </c>
      <c r="U839" s="1399">
        <f>IF(raw[[#This Row],[wb]]="w",raw[[#This Row],[stay]]+U838,U838)</f>
        <v/>
      </c>
      <c r="V839" s="1400">
        <f>IF(raw[[#This Row],[out]]=0,V838,(raw[[#This Row],[out]]-E$5))</f>
        <v/>
      </c>
      <c r="W839" s="1401">
        <f>U839/V839</f>
        <v/>
      </c>
      <c r="X839" s="1378" t="inlineStr">
        <is>
          <t>.</t>
        </is>
      </c>
      <c r="Y839" s="1402" t="n"/>
      <c r="Z839" s="1403" t="n"/>
      <c r="AA839" s="1403" t="n"/>
      <c r="AB839" s="1400">
        <f t="array" ref="AB839">_xlfn.LET(_xlpm.S,_xlfn.ANCHORARRAY($Y$4),_xlpm.r,ROWS(stayCity[[#Headers],[city]]:stayCity[[#This Row],[city]])-1,IF(_xlpm.r&lt;=ROWS(_xlpm.S),INDEX(_xlpm.S,_xlpm.r,1),""))</f>
        <v/>
      </c>
      <c r="AC839" s="1405">
        <f t="array" ref="AC839">_xlfn.LET(_xlpm.S,_xlfn.ANCHORARRAY($Y$4),_xlpm.r,ROWS(stayCity[[#Headers],[city]]:stayCity[[#This Row],[city]])-1,IF(_xlpm.r&lt;=ROWS(_xlpm.S),INDEX(_xlpm.S,_xlpm.r,2),""))</f>
        <v/>
      </c>
      <c r="AD839" s="1405">
        <f t="array" ref="AD839">_xlfn.LET(_xlpm.S,_xlfn.ANCHORARRAY($Y$4),_xlpm.r,ROWS(stayCity[[#Headers],[city]]:stayCity[[#This Row],[city]])-1,IF(_xlpm.r&lt;=ROWS(_xlpm.S),INDEX(_xlpm.S,_xlpm.r,3),""))</f>
        <v/>
      </c>
      <c r="AE839" s="1400">
        <f>IF(stayCity[[#This Row],[out]]&lt;&gt;"",stayCity[[#This Row],[out]]-stayCity[[#This Row],[in]],"-")</f>
        <v/>
      </c>
      <c r="AF839" s="1406">
        <f>IF(Y839="","-",YEAR(stayCity[[#This Row],[in]]))</f>
        <v/>
      </c>
      <c r="AG839" s="1392" t="n"/>
      <c r="AH839" s="1392" t="n"/>
      <c r="AI839" s="1392" t="n"/>
      <c r="AJ839" s="1392" t="n"/>
      <c r="AK839" s="1392" t="n"/>
      <c r="AL839" s="1392" t="n"/>
      <c r="AM839" s="1392" t="n"/>
      <c r="AN839" s="1392" t="n"/>
      <c r="AO839" s="1392" t="n"/>
      <c r="AP839" s="1392" t="n"/>
      <c r="AQ839" s="1392" t="n"/>
      <c r="AR839" s="1392" t="n"/>
      <c r="AS839" s="1422" t="n"/>
      <c r="AT839" s="1392" t="n"/>
      <c r="AU839" s="1392" t="n"/>
      <c r="AV839" s="1392" t="n"/>
      <c r="AW839" s="1392" t="n"/>
      <c r="AX839" s="1392" t="n"/>
      <c r="AY839" s="1392" t="n"/>
      <c r="AZ839" s="1392" t="n"/>
      <c r="BA839" s="1392" t="n"/>
      <c r="BB839" s="1422" t="n"/>
      <c r="BC839" s="1392" t="n"/>
      <c r="BD839" s="1392" t="n"/>
      <c r="BE839" s="1392" t="n"/>
      <c r="BF839" s="1392" t="n"/>
      <c r="BG839" s="1392" t="n"/>
      <c r="BH839" s="1392" t="n"/>
      <c r="BI839" s="1392" t="n"/>
      <c r="BJ839" s="1392" t="n"/>
      <c r="BK839" s="1392" t="n"/>
      <c r="BL839" s="1392" t="n"/>
      <c r="BM839" s="1392" t="n"/>
      <c r="BN839" s="1392" t="n"/>
      <c r="BO839" s="1392" t="n"/>
      <c r="BP839" s="1392" t="n"/>
      <c r="BQ839" s="1392" t="n"/>
      <c r="BR839" s="1392" t="n"/>
      <c r="BS839" s="1392" t="n"/>
      <c r="BT839" s="1392" t="n"/>
      <c r="BU839" s="1416" t="n"/>
      <c r="BV839" s="1392" t="n"/>
      <c r="BW839" s="1392" t="n"/>
      <c r="BX839" s="1392" t="n"/>
      <c r="BY839" s="1392" t="n"/>
      <c r="BZ839" s="1416" t="n"/>
      <c r="CA839" s="1392" t="n"/>
      <c r="CB839" s="1392" t="n"/>
      <c r="CC839" s="1392" t="n"/>
      <c r="CD839" s="1392" t="n"/>
      <c r="CE839" s="1392" t="n"/>
      <c r="CF839" s="1392" t="n"/>
      <c r="CG839" s="1392" t="n"/>
      <c r="CH839" s="1392" t="n"/>
      <c r="CI839" s="1392" t="n"/>
      <c r="CJ839" s="1392" t="n"/>
      <c r="CK839" s="1392" t="n"/>
      <c r="CL839" s="1392" t="n"/>
    </row>
    <row r="840">
      <c r="A840" s="5" t="inlineStr">
        <is>
          <t>.</t>
        </is>
      </c>
      <c r="B840" s="5" t="inlineStr">
        <is>
          <t>.</t>
        </is>
      </c>
      <c r="C840" s="1378">
        <f>IF(raw[[#This Row],[city]]="","-",IF(raw[[#This Row],[city]]="TODAY","-",C839+1))</f>
        <v/>
      </c>
      <c r="D840" s="1393" t="inlineStr">
        <is>
          <t>Licques</t>
        </is>
      </c>
      <c r="E840" s="1394" t="n">
        <v>38512</v>
      </c>
      <c r="F840" s="1394" t="n">
        <v>38513</v>
      </c>
      <c r="G840" s="1393" t="inlineStr">
        <is>
          <t>-</t>
        </is>
      </c>
      <c r="H840" s="1393" t="inlineStr">
        <is>
          <t>Transit</t>
        </is>
      </c>
      <c r="I840" s="1393" t="inlineStr">
        <is>
          <t>VF</t>
        </is>
      </c>
      <c r="J840" s="1393" t="inlineStr">
        <is>
          <t>-</t>
        </is>
      </c>
      <c r="K840" s="1395">
        <f>IF(raw[[#This Row],[city]]&lt;&gt;"",_xlfn.XLOOKUP($D840,ccc[city],ccc[prov],"-"),"-")</f>
        <v/>
      </c>
      <c r="L840" s="1395">
        <f>IF(raw[[#This Row],[city]]&lt;&gt;"",_xlfn.XLOOKUP($D840,ccc[city],ccc[ctry],"-"),"-")</f>
        <v/>
      </c>
      <c r="M840" s="1395">
        <f>IF(raw[[#This Row],[city]]&lt;&gt;"",_xlfn.XLOOKUP($D840,ccc[city],ccc[cont],"-"),"-")</f>
        <v/>
      </c>
      <c r="N840" s="1396">
        <f>IF(raw[[#This Row],[city]]="","-",IF(raw[[#This Row],[cont]]="B",raw[[#This Row],[cont]],"W"))</f>
        <v/>
      </c>
      <c r="O840" s="1397">
        <f>IF(raw[[#This Row],[out]]=0,0,IF(raw[[#This Row],[out]]=raw[[#This Row],[in]],0.01,raw[[#This Row],[out]]-raw[[#This Row],[in]]))</f>
        <v/>
      </c>
      <c r="P840" s="1397">
        <f>IF(raw[[#This Row],[in]]=0,0,MONTH(raw[[#This Row],[in]]))</f>
        <v/>
      </c>
      <c r="Q840" s="1397">
        <f>IF(raw[[#This Row],[in]]=0,0,YEAR(raw[[#This Row],[in]]))</f>
        <v/>
      </c>
      <c r="R840" s="1397">
        <f>INT(raw[[#This Row],[yr]]/10)*10</f>
        <v/>
      </c>
      <c r="S840" s="1395">
        <f>IF(raw[[#This Row],[city]]="","-",IF(raw[[#This Row],[city]]&lt;&gt;_xlfn.XLOOKUP(raw[[#This Row],[home]],homes[home],homes[city],"-"),1,0))</f>
        <v/>
      </c>
      <c r="T840" s="1398" t="inlineStr">
        <is>
          <t>.</t>
        </is>
      </c>
      <c r="U840" s="1399">
        <f>IF(raw[[#This Row],[wb]]="w",raw[[#This Row],[stay]]+U839,U839)</f>
        <v/>
      </c>
      <c r="V840" s="1400">
        <f>IF(raw[[#This Row],[out]]=0,V839,(raw[[#This Row],[out]]-E$5))</f>
        <v/>
      </c>
      <c r="W840" s="1401">
        <f>U840/V840</f>
        <v/>
      </c>
      <c r="X840" s="1378" t="inlineStr">
        <is>
          <t>.</t>
        </is>
      </c>
      <c r="Y840" s="1402" t="n"/>
      <c r="Z840" s="1403" t="n"/>
      <c r="AA840" s="1403" t="n"/>
      <c r="AB840" s="1400">
        <f t="array" ref="AB840">_xlfn.LET(_xlpm.S,_xlfn.ANCHORARRAY($Y$4),_xlpm.r,ROWS(stayCity[[#Headers],[city]]:stayCity[[#This Row],[city]])-1,IF(_xlpm.r&lt;=ROWS(_xlpm.S),INDEX(_xlpm.S,_xlpm.r,1),""))</f>
        <v/>
      </c>
      <c r="AC840" s="1405">
        <f t="array" ref="AC840">_xlfn.LET(_xlpm.S,_xlfn.ANCHORARRAY($Y$4),_xlpm.r,ROWS(stayCity[[#Headers],[city]]:stayCity[[#This Row],[city]])-1,IF(_xlpm.r&lt;=ROWS(_xlpm.S),INDEX(_xlpm.S,_xlpm.r,2),""))</f>
        <v/>
      </c>
      <c r="AD840" s="1405">
        <f t="array" ref="AD840">_xlfn.LET(_xlpm.S,_xlfn.ANCHORARRAY($Y$4),_xlpm.r,ROWS(stayCity[[#Headers],[city]]:stayCity[[#This Row],[city]])-1,IF(_xlpm.r&lt;=ROWS(_xlpm.S),INDEX(_xlpm.S,_xlpm.r,3),""))</f>
        <v/>
      </c>
      <c r="AE840" s="1400">
        <f>IF(stayCity[[#This Row],[out]]&lt;&gt;"",stayCity[[#This Row],[out]]-stayCity[[#This Row],[in]],"-")</f>
        <v/>
      </c>
      <c r="AF840" s="1406">
        <f>IF(Y840="","-",YEAR(stayCity[[#This Row],[in]]))</f>
        <v/>
      </c>
      <c r="AG840" s="1392" t="n"/>
      <c r="AH840" s="1392" t="n"/>
      <c r="AI840" s="1392" t="n"/>
      <c r="AJ840" s="1392" t="n"/>
      <c r="AK840" s="1392" t="n"/>
      <c r="AL840" s="1392" t="n"/>
      <c r="AM840" s="1392" t="n"/>
      <c r="AN840" s="1392" t="n"/>
      <c r="AO840" s="1392" t="n"/>
      <c r="AP840" s="1392" t="n"/>
      <c r="AQ840" s="1392" t="n"/>
      <c r="AR840" s="1392" t="n"/>
      <c r="AS840" s="1422" t="n"/>
      <c r="AT840" s="1392" t="n"/>
      <c r="AU840" s="1392" t="n"/>
      <c r="AV840" s="1392" t="n"/>
      <c r="AW840" s="1392" t="n"/>
      <c r="AX840" s="1392" t="n"/>
      <c r="AY840" s="1392" t="n"/>
      <c r="AZ840" s="1392" t="n"/>
      <c r="BA840" s="1392" t="n"/>
      <c r="BB840" s="1422" t="n"/>
      <c r="BC840" s="1392" t="n"/>
      <c r="BD840" s="1392" t="n"/>
      <c r="BE840" s="1392" t="n"/>
      <c r="BF840" s="1392" t="n"/>
      <c r="BG840" s="1392" t="n"/>
      <c r="BH840" s="1392" t="n"/>
      <c r="BI840" s="1392" t="n"/>
      <c r="BJ840" s="1392" t="n"/>
      <c r="BK840" s="1392" t="n"/>
      <c r="BL840" s="1392" t="n"/>
      <c r="BM840" s="1392" t="n"/>
      <c r="BN840" s="1392" t="n"/>
      <c r="BO840" s="1392" t="n"/>
      <c r="BP840" s="1392" t="n"/>
      <c r="BQ840" s="1392" t="n"/>
      <c r="BR840" s="1392" t="n"/>
      <c r="BS840" s="1392" t="n"/>
      <c r="BT840" s="1392" t="n"/>
      <c r="BU840" s="1416" t="n"/>
      <c r="BV840" s="1392" t="n"/>
      <c r="BW840" s="1392" t="n"/>
      <c r="BX840" s="1392" t="n"/>
      <c r="BY840" s="1392" t="n"/>
      <c r="BZ840" s="1416" t="n"/>
      <c r="CA840" s="1392" t="n"/>
      <c r="CB840" s="1392" t="n"/>
      <c r="CC840" s="1392" t="n"/>
      <c r="CD840" s="1392" t="n"/>
      <c r="CE840" s="1392" t="n"/>
      <c r="CF840" s="1392" t="n"/>
      <c r="CG840" s="1392" t="n"/>
      <c r="CH840" s="1392" t="n"/>
      <c r="CI840" s="1392" t="n"/>
      <c r="CJ840" s="1392" t="n"/>
      <c r="CK840" s="1392" t="n"/>
      <c r="CL840" s="1392" t="n"/>
    </row>
    <row r="841">
      <c r="A841" s="5" t="inlineStr">
        <is>
          <t>.</t>
        </is>
      </c>
      <c r="B841" s="5" t="inlineStr">
        <is>
          <t>.</t>
        </is>
      </c>
      <c r="C841" s="1378">
        <f>IF(raw[[#This Row],[city]]="","-",IF(raw[[#This Row],[city]]="TODAY","-",C840+1))</f>
        <v/>
      </c>
      <c r="D841" s="1393" t="inlineStr">
        <is>
          <t>Wisques</t>
        </is>
      </c>
      <c r="E841" s="1394" t="n">
        <v>38513</v>
      </c>
      <c r="F841" s="1394" t="n">
        <v>38514</v>
      </c>
      <c r="G841" s="1393" t="inlineStr">
        <is>
          <t>-</t>
        </is>
      </c>
      <c r="H841" s="1393" t="inlineStr">
        <is>
          <t>Transit</t>
        </is>
      </c>
      <c r="I841" s="1393" t="inlineStr">
        <is>
          <t>VF</t>
        </is>
      </c>
      <c r="J841" s="1393" t="inlineStr">
        <is>
          <t>-</t>
        </is>
      </c>
      <c r="K841" s="1395">
        <f>IF(raw[[#This Row],[city]]&lt;&gt;"",_xlfn.XLOOKUP($D841,ccc[city],ccc[prov],"-"),"-")</f>
        <v/>
      </c>
      <c r="L841" s="1395">
        <f>IF(raw[[#This Row],[city]]&lt;&gt;"",_xlfn.XLOOKUP($D841,ccc[city],ccc[ctry],"-"),"-")</f>
        <v/>
      </c>
      <c r="M841" s="1395">
        <f>IF(raw[[#This Row],[city]]&lt;&gt;"",_xlfn.XLOOKUP($D841,ccc[city],ccc[cont],"-"),"-")</f>
        <v/>
      </c>
      <c r="N841" s="1396">
        <f>IF(raw[[#This Row],[city]]="","-",IF(raw[[#This Row],[cont]]="B",raw[[#This Row],[cont]],"W"))</f>
        <v/>
      </c>
      <c r="O841" s="1397">
        <f>IF(raw[[#This Row],[out]]=0,0,IF(raw[[#This Row],[out]]=raw[[#This Row],[in]],0.01,raw[[#This Row],[out]]-raw[[#This Row],[in]]))</f>
        <v/>
      </c>
      <c r="P841" s="1397">
        <f>IF(raw[[#This Row],[in]]=0,0,MONTH(raw[[#This Row],[in]]))</f>
        <v/>
      </c>
      <c r="Q841" s="1397">
        <f>IF(raw[[#This Row],[in]]=0,0,YEAR(raw[[#This Row],[in]]))</f>
        <v/>
      </c>
      <c r="R841" s="1397">
        <f>INT(raw[[#This Row],[yr]]/10)*10</f>
        <v/>
      </c>
      <c r="S841" s="1395">
        <f>IF(raw[[#This Row],[city]]="","-",IF(raw[[#This Row],[city]]&lt;&gt;_xlfn.XLOOKUP(raw[[#This Row],[home]],homes[home],homes[city],"-"),1,0))</f>
        <v/>
      </c>
      <c r="T841" s="1398" t="inlineStr">
        <is>
          <t>.</t>
        </is>
      </c>
      <c r="U841" s="1399">
        <f>IF(raw[[#This Row],[wb]]="w",raw[[#This Row],[stay]]+U840,U840)</f>
        <v/>
      </c>
      <c r="V841" s="1400">
        <f>IF(raw[[#This Row],[out]]=0,V840,(raw[[#This Row],[out]]-E$5))</f>
        <v/>
      </c>
      <c r="W841" s="1401">
        <f>U841/V841</f>
        <v/>
      </c>
      <c r="X841" s="1378" t="inlineStr">
        <is>
          <t>.</t>
        </is>
      </c>
      <c r="Y841" s="1402" t="n"/>
      <c r="Z841" s="1403" t="n"/>
      <c r="AA841" s="1403" t="n"/>
      <c r="AB841" s="1400">
        <f t="array" ref="AB841">_xlfn.LET(_xlpm.S,_xlfn.ANCHORARRAY($Y$4),_xlpm.r,ROWS(stayCity[[#Headers],[city]]:stayCity[[#This Row],[city]])-1,IF(_xlpm.r&lt;=ROWS(_xlpm.S),INDEX(_xlpm.S,_xlpm.r,1),""))</f>
        <v/>
      </c>
      <c r="AC841" s="1405">
        <f t="array" ref="AC841">_xlfn.LET(_xlpm.S,_xlfn.ANCHORARRAY($Y$4),_xlpm.r,ROWS(stayCity[[#Headers],[city]]:stayCity[[#This Row],[city]])-1,IF(_xlpm.r&lt;=ROWS(_xlpm.S),INDEX(_xlpm.S,_xlpm.r,2),""))</f>
        <v/>
      </c>
      <c r="AD841" s="1405">
        <f t="array" ref="AD841">_xlfn.LET(_xlpm.S,_xlfn.ANCHORARRAY($Y$4),_xlpm.r,ROWS(stayCity[[#Headers],[city]]:stayCity[[#This Row],[city]])-1,IF(_xlpm.r&lt;=ROWS(_xlpm.S),INDEX(_xlpm.S,_xlpm.r,3),""))</f>
        <v/>
      </c>
      <c r="AE841" s="1400">
        <f>IF(stayCity[[#This Row],[out]]&lt;&gt;"",stayCity[[#This Row],[out]]-stayCity[[#This Row],[in]],"-")</f>
        <v/>
      </c>
      <c r="AF841" s="1406">
        <f>IF(Y841="","-",YEAR(stayCity[[#This Row],[in]]))</f>
        <v/>
      </c>
      <c r="AG841" s="1392" t="n"/>
      <c r="AH841" s="1392" t="n"/>
      <c r="AI841" s="1392" t="n"/>
      <c r="AJ841" s="1392" t="n"/>
      <c r="AK841" s="1392" t="n"/>
      <c r="AL841" s="1392" t="n"/>
      <c r="AM841" s="1392" t="n"/>
      <c r="AN841" s="1392" t="n"/>
      <c r="AO841" s="1392" t="n"/>
      <c r="AP841" s="1392" t="n"/>
      <c r="AQ841" s="1392" t="n"/>
      <c r="AR841" s="1392" t="n"/>
      <c r="AS841" s="1422" t="n"/>
      <c r="AT841" s="1392" t="n"/>
      <c r="AU841" s="1392" t="n"/>
      <c r="AV841" s="1392" t="n"/>
      <c r="AW841" s="1392" t="n"/>
      <c r="AX841" s="1392" t="n"/>
      <c r="AY841" s="1392" t="n"/>
      <c r="AZ841" s="1392" t="n"/>
      <c r="BA841" s="1392" t="n"/>
      <c r="BB841" s="1422" t="n"/>
      <c r="BC841" s="1392" t="n"/>
      <c r="BD841" s="1392" t="n"/>
      <c r="BE841" s="1392" t="n"/>
      <c r="BF841" s="1392" t="n"/>
      <c r="BG841" s="1392" t="n"/>
      <c r="BH841" s="1392" t="n"/>
      <c r="BI841" s="1392" t="n"/>
      <c r="BJ841" s="1392" t="n"/>
      <c r="BK841" s="1392" t="n"/>
      <c r="BL841" s="1392" t="n"/>
      <c r="BM841" s="1392" t="n"/>
      <c r="BN841" s="1392" t="n"/>
      <c r="BO841" s="1392" t="n"/>
      <c r="BP841" s="1392" t="n"/>
      <c r="BQ841" s="1392" t="n"/>
      <c r="BR841" s="1392" t="n"/>
      <c r="BS841" s="1392" t="n"/>
      <c r="BT841" s="1392" t="n"/>
      <c r="BU841" s="1416" t="n"/>
      <c r="BV841" s="1392" t="n"/>
      <c r="BW841" s="1392" t="n"/>
      <c r="BX841" s="1392" t="n"/>
      <c r="BY841" s="1392" t="n"/>
      <c r="BZ841" s="1416" t="n"/>
      <c r="CA841" s="1392" t="n"/>
      <c r="CB841" s="1392" t="n"/>
      <c r="CC841" s="1392" t="n"/>
      <c r="CD841" s="1392" t="n"/>
      <c r="CE841" s="1392" t="n"/>
      <c r="CF841" s="1392" t="n"/>
      <c r="CG841" s="1392" t="n"/>
      <c r="CH841" s="1392" t="n"/>
      <c r="CI841" s="1392" t="n"/>
      <c r="CJ841" s="1392" t="n"/>
      <c r="CK841" s="1392" t="n"/>
      <c r="CL841" s="1392" t="n"/>
    </row>
    <row r="842">
      <c r="A842" s="5" t="inlineStr">
        <is>
          <t>.</t>
        </is>
      </c>
      <c r="B842" s="5" t="inlineStr">
        <is>
          <t>.</t>
        </is>
      </c>
      <c r="C842" s="1378">
        <f>IF(raw[[#This Row],[city]]="","-",IF(raw[[#This Row],[city]]="TODAY","-",C841+1))</f>
        <v/>
      </c>
      <c r="D842" s="1393" t="inlineStr">
        <is>
          <t>Therouanne</t>
        </is>
      </c>
      <c r="E842" s="1394" t="n">
        <v>38514</v>
      </c>
      <c r="F842" s="1394" t="n">
        <v>38514</v>
      </c>
      <c r="G842" s="1393" t="inlineStr">
        <is>
          <t>-</t>
        </is>
      </c>
      <c r="H842" s="1393" t="inlineStr">
        <is>
          <t>Transit</t>
        </is>
      </c>
      <c r="I842" s="1393" t="inlineStr">
        <is>
          <t>VF</t>
        </is>
      </c>
      <c r="J842" s="1393" t="inlineStr">
        <is>
          <t>-</t>
        </is>
      </c>
      <c r="K842" s="1395">
        <f>IF(raw[[#This Row],[city]]&lt;&gt;"",_xlfn.XLOOKUP($D842,ccc[city],ccc[prov],"-"),"-")</f>
        <v/>
      </c>
      <c r="L842" s="1395">
        <f>IF(raw[[#This Row],[city]]&lt;&gt;"",_xlfn.XLOOKUP($D842,ccc[city],ccc[ctry],"-"),"-")</f>
        <v/>
      </c>
      <c r="M842" s="1395">
        <f>IF(raw[[#This Row],[city]]&lt;&gt;"",_xlfn.XLOOKUP($D842,ccc[city],ccc[cont],"-"),"-")</f>
        <v/>
      </c>
      <c r="N842" s="1396">
        <f>IF(raw[[#This Row],[city]]="","-",IF(raw[[#This Row],[cont]]="B",raw[[#This Row],[cont]],"W"))</f>
        <v/>
      </c>
      <c r="O842" s="1397">
        <f>IF(raw[[#This Row],[out]]=0,0,IF(raw[[#This Row],[out]]=raw[[#This Row],[in]],0.01,raw[[#This Row],[out]]-raw[[#This Row],[in]]))</f>
        <v/>
      </c>
      <c r="P842" s="1397">
        <f>IF(raw[[#This Row],[in]]=0,0,MONTH(raw[[#This Row],[in]]))</f>
        <v/>
      </c>
      <c r="Q842" s="1397">
        <f>IF(raw[[#This Row],[in]]=0,0,YEAR(raw[[#This Row],[in]]))</f>
        <v/>
      </c>
      <c r="R842" s="1397">
        <f>INT(raw[[#This Row],[yr]]/10)*10</f>
        <v/>
      </c>
      <c r="S842" s="1395">
        <f>IF(raw[[#This Row],[city]]="","-",IF(raw[[#This Row],[city]]&lt;&gt;_xlfn.XLOOKUP(raw[[#This Row],[home]],homes[home],homes[city],"-"),1,0))</f>
        <v/>
      </c>
      <c r="T842" s="1398" t="inlineStr">
        <is>
          <t>.</t>
        </is>
      </c>
      <c r="U842" s="1399">
        <f>IF(raw[[#This Row],[wb]]="w",raw[[#This Row],[stay]]+U841,U841)</f>
        <v/>
      </c>
      <c r="V842" s="1400">
        <f>IF(raw[[#This Row],[out]]=0,V841,(raw[[#This Row],[out]]-E$5))</f>
        <v/>
      </c>
      <c r="W842" s="1401">
        <f>U842/V842</f>
        <v/>
      </c>
      <c r="X842" s="1378" t="inlineStr">
        <is>
          <t>.</t>
        </is>
      </c>
      <c r="Y842" s="1402" t="n"/>
      <c r="Z842" s="1403" t="n"/>
      <c r="AA842" s="1403" t="n"/>
      <c r="AB842" s="1400">
        <f t="array" ref="AB842">_xlfn.LET(_xlpm.S,_xlfn.ANCHORARRAY($Y$4),_xlpm.r,ROWS(stayCity[[#Headers],[city]]:stayCity[[#This Row],[city]])-1,IF(_xlpm.r&lt;=ROWS(_xlpm.S),INDEX(_xlpm.S,_xlpm.r,1),""))</f>
        <v/>
      </c>
      <c r="AC842" s="1405">
        <f t="array" ref="AC842">_xlfn.LET(_xlpm.S,_xlfn.ANCHORARRAY($Y$4),_xlpm.r,ROWS(stayCity[[#Headers],[city]]:stayCity[[#This Row],[city]])-1,IF(_xlpm.r&lt;=ROWS(_xlpm.S),INDEX(_xlpm.S,_xlpm.r,2),""))</f>
        <v/>
      </c>
      <c r="AD842" s="1405">
        <f t="array" ref="AD842">_xlfn.LET(_xlpm.S,_xlfn.ANCHORARRAY($Y$4),_xlpm.r,ROWS(stayCity[[#Headers],[city]]:stayCity[[#This Row],[city]])-1,IF(_xlpm.r&lt;=ROWS(_xlpm.S),INDEX(_xlpm.S,_xlpm.r,3),""))</f>
        <v/>
      </c>
      <c r="AE842" s="1400">
        <f>IF(stayCity[[#This Row],[out]]&lt;&gt;"",stayCity[[#This Row],[out]]-stayCity[[#This Row],[in]],"-")</f>
        <v/>
      </c>
      <c r="AF842" s="1406">
        <f>IF(Y842="","-",YEAR(stayCity[[#This Row],[in]]))</f>
        <v/>
      </c>
      <c r="AG842" s="1392" t="n"/>
      <c r="AH842" s="1392" t="n"/>
      <c r="AI842" s="1392" t="n"/>
      <c r="AJ842" s="1392" t="n"/>
      <c r="AK842" s="1392" t="n"/>
      <c r="AL842" s="1392" t="n"/>
      <c r="AM842" s="1392" t="n"/>
      <c r="AN842" s="1392" t="n"/>
      <c r="AO842" s="1392" t="n"/>
      <c r="AP842" s="1392" t="n"/>
      <c r="AQ842" s="1392" t="n"/>
      <c r="AR842" s="1392" t="n"/>
      <c r="AS842" s="1422" t="n"/>
      <c r="AT842" s="1392" t="n"/>
      <c r="AU842" s="1392" t="n"/>
      <c r="AV842" s="1392" t="n"/>
      <c r="AW842" s="1392" t="n"/>
      <c r="AX842" s="1392" t="n"/>
      <c r="AY842" s="1392" t="n"/>
      <c r="AZ842" s="1392" t="n"/>
      <c r="BA842" s="1392" t="n"/>
      <c r="BB842" s="1422" t="n"/>
      <c r="BC842" s="1392" t="n"/>
      <c r="BD842" s="1392" t="n"/>
      <c r="BE842" s="1392" t="n"/>
      <c r="BF842" s="1392" t="n"/>
      <c r="BG842" s="1392" t="n"/>
      <c r="BH842" s="1392" t="n"/>
      <c r="BI842" s="1392" t="n"/>
      <c r="BJ842" s="1392" t="n"/>
      <c r="BK842" s="1392" t="n"/>
      <c r="BL842" s="1392" t="n"/>
      <c r="BM842" s="1392" t="n"/>
      <c r="BN842" s="1392" t="n"/>
      <c r="BO842" s="1392" t="n"/>
      <c r="BP842" s="1392" t="n"/>
      <c r="BQ842" s="1392" t="n"/>
      <c r="BR842" s="1392" t="n"/>
      <c r="BS842" s="1392" t="n"/>
      <c r="BT842" s="1392" t="n"/>
      <c r="BU842" s="1416" t="n"/>
      <c r="BV842" s="1392" t="n"/>
      <c r="BW842" s="1392" t="n"/>
      <c r="BX842" s="1392" t="n"/>
      <c r="BY842" s="1392" t="n"/>
      <c r="BZ842" s="1416" t="n"/>
      <c r="CA842" s="1392" t="n"/>
      <c r="CB842" s="1392" t="n"/>
      <c r="CC842" s="1392" t="n"/>
      <c r="CD842" s="1392" t="n"/>
      <c r="CE842" s="1392" t="n"/>
      <c r="CF842" s="1392" t="n"/>
      <c r="CG842" s="1392" t="n"/>
      <c r="CH842" s="1392" t="n"/>
      <c r="CI842" s="1392" t="n"/>
      <c r="CJ842" s="1392" t="n"/>
      <c r="CK842" s="1392" t="n"/>
      <c r="CL842" s="1392" t="n"/>
    </row>
    <row r="843">
      <c r="A843" s="5" t="inlineStr">
        <is>
          <t>.</t>
        </is>
      </c>
      <c r="B843" s="5" t="inlineStr">
        <is>
          <t>.</t>
        </is>
      </c>
      <c r="C843" s="1378">
        <f>IF(raw[[#This Row],[city]]="","-",IF(raw[[#This Row],[city]]="TODAY","-",C842+1))</f>
        <v/>
      </c>
      <c r="D843" s="1393" t="inlineStr">
        <is>
          <t>Auchy-au-Bois</t>
        </is>
      </c>
      <c r="E843" s="1394" t="n">
        <v>38514</v>
      </c>
      <c r="F843" s="1394" t="n">
        <v>38514</v>
      </c>
      <c r="G843" s="1393" t="inlineStr">
        <is>
          <t>-</t>
        </is>
      </c>
      <c r="H843" s="1393" t="inlineStr">
        <is>
          <t>Transit</t>
        </is>
      </c>
      <c r="I843" s="1393" t="inlineStr">
        <is>
          <t>VF</t>
        </is>
      </c>
      <c r="J843" s="1393" t="inlineStr">
        <is>
          <t>-</t>
        </is>
      </c>
      <c r="K843" s="1395">
        <f>IF(raw[[#This Row],[city]]&lt;&gt;"",_xlfn.XLOOKUP($D843,ccc[city],ccc[prov],"-"),"-")</f>
        <v/>
      </c>
      <c r="L843" s="1395">
        <f>IF(raw[[#This Row],[city]]&lt;&gt;"",_xlfn.XLOOKUP($D843,ccc[city],ccc[ctry],"-"),"-")</f>
        <v/>
      </c>
      <c r="M843" s="1395">
        <f>IF(raw[[#This Row],[city]]&lt;&gt;"",_xlfn.XLOOKUP($D843,ccc[city],ccc[cont],"-"),"-")</f>
        <v/>
      </c>
      <c r="N843" s="1396">
        <f>IF(raw[[#This Row],[city]]="","-",IF(raw[[#This Row],[cont]]="B",raw[[#This Row],[cont]],"W"))</f>
        <v/>
      </c>
      <c r="O843" s="1397">
        <f>IF(raw[[#This Row],[out]]=0,0,IF(raw[[#This Row],[out]]=raw[[#This Row],[in]],0.01,raw[[#This Row],[out]]-raw[[#This Row],[in]]))</f>
        <v/>
      </c>
      <c r="P843" s="1397">
        <f>IF(raw[[#This Row],[in]]=0,0,MONTH(raw[[#This Row],[in]]))</f>
        <v/>
      </c>
      <c r="Q843" s="1397">
        <f>IF(raw[[#This Row],[in]]=0,0,YEAR(raw[[#This Row],[in]]))</f>
        <v/>
      </c>
      <c r="R843" s="1397">
        <f>INT(raw[[#This Row],[yr]]/10)*10</f>
        <v/>
      </c>
      <c r="S843" s="1395">
        <f>IF(raw[[#This Row],[city]]="","-",IF(raw[[#This Row],[city]]&lt;&gt;_xlfn.XLOOKUP(raw[[#This Row],[home]],homes[home],homes[city],"-"),1,0))</f>
        <v/>
      </c>
      <c r="T843" s="1398" t="inlineStr">
        <is>
          <t>.</t>
        </is>
      </c>
      <c r="U843" s="1399">
        <f>IF(raw[[#This Row],[wb]]="w",raw[[#This Row],[stay]]+U842,U842)</f>
        <v/>
      </c>
      <c r="V843" s="1400">
        <f>IF(raw[[#This Row],[out]]=0,V842,(raw[[#This Row],[out]]-E$5))</f>
        <v/>
      </c>
      <c r="W843" s="1401">
        <f>U843/V843</f>
        <v/>
      </c>
      <c r="X843" s="1378" t="inlineStr">
        <is>
          <t>.</t>
        </is>
      </c>
      <c r="Y843" s="1402" t="n"/>
      <c r="Z843" s="1403" t="n"/>
      <c r="AA843" s="1403" t="n"/>
      <c r="AB843" s="1400">
        <f t="array" ref="AB843">_xlfn.LET(_xlpm.S,_xlfn.ANCHORARRAY($Y$4),_xlpm.r,ROWS(stayCity[[#Headers],[city]]:stayCity[[#This Row],[city]])-1,IF(_xlpm.r&lt;=ROWS(_xlpm.S),INDEX(_xlpm.S,_xlpm.r,1),""))</f>
        <v/>
      </c>
      <c r="AC843" s="1405">
        <f t="array" ref="AC843">_xlfn.LET(_xlpm.S,_xlfn.ANCHORARRAY($Y$4),_xlpm.r,ROWS(stayCity[[#Headers],[city]]:stayCity[[#This Row],[city]])-1,IF(_xlpm.r&lt;=ROWS(_xlpm.S),INDEX(_xlpm.S,_xlpm.r,2),""))</f>
        <v/>
      </c>
      <c r="AD843" s="1405">
        <f t="array" ref="AD843">_xlfn.LET(_xlpm.S,_xlfn.ANCHORARRAY($Y$4),_xlpm.r,ROWS(stayCity[[#Headers],[city]]:stayCity[[#This Row],[city]])-1,IF(_xlpm.r&lt;=ROWS(_xlpm.S),INDEX(_xlpm.S,_xlpm.r,3),""))</f>
        <v/>
      </c>
      <c r="AE843" s="1400">
        <f>IF(stayCity[[#This Row],[out]]&lt;&gt;"",stayCity[[#This Row],[out]]-stayCity[[#This Row],[in]],"-")</f>
        <v/>
      </c>
      <c r="AF843" s="1406">
        <f>IF(Y843="","-",YEAR(stayCity[[#This Row],[in]]))</f>
        <v/>
      </c>
      <c r="AG843" s="1392" t="n"/>
      <c r="AH843" s="1392" t="n"/>
      <c r="AI843" s="1392" t="n"/>
      <c r="AJ843" s="1392" t="n"/>
      <c r="AK843" s="1392" t="n"/>
      <c r="AL843" s="1392" t="n"/>
      <c r="AM843" s="1392" t="n"/>
      <c r="AN843" s="1392" t="n"/>
      <c r="AO843" s="1392" t="n"/>
      <c r="AP843" s="1392" t="n"/>
      <c r="AQ843" s="1392" t="n"/>
      <c r="AR843" s="1392" t="n"/>
      <c r="AS843" s="1422" t="n"/>
      <c r="AT843" s="1392" t="n"/>
      <c r="AU843" s="1392" t="n"/>
      <c r="AV843" s="1392" t="n"/>
      <c r="AW843" s="1392" t="n"/>
      <c r="AX843" s="1392" t="n"/>
      <c r="AY843" s="1392" t="n"/>
      <c r="AZ843" s="1392" t="n"/>
      <c r="BA843" s="1392" t="n"/>
      <c r="BB843" s="1422" t="n"/>
      <c r="BC843" s="1392" t="n"/>
      <c r="BD843" s="1392" t="n"/>
      <c r="BE843" s="1392" t="n"/>
      <c r="BF843" s="1392" t="n"/>
      <c r="BG843" s="1392" t="n"/>
      <c r="BH843" s="1392" t="n"/>
      <c r="BI843" s="1392" t="n"/>
      <c r="BJ843" s="1392" t="n"/>
      <c r="BK843" s="1392" t="n"/>
      <c r="BL843" s="1392" t="n"/>
      <c r="BM843" s="1392" t="n"/>
      <c r="BN843" s="1392" t="n"/>
      <c r="BO843" s="1392" t="n"/>
      <c r="BP843" s="1392" t="n"/>
      <c r="BQ843" s="1392" t="n"/>
      <c r="BR843" s="1392" t="n"/>
      <c r="BS843" s="1392" t="n"/>
      <c r="BT843" s="1392" t="n"/>
      <c r="BU843" s="1416" t="n"/>
      <c r="BV843" s="1392" t="n"/>
      <c r="BW843" s="1392" t="n"/>
      <c r="BX843" s="1392" t="n"/>
      <c r="BY843" s="1392" t="n"/>
      <c r="BZ843" s="1416" t="n"/>
      <c r="CA843" s="1392" t="n"/>
      <c r="CB843" s="1392" t="n"/>
      <c r="CC843" s="1392" t="n"/>
      <c r="CD843" s="1392" t="n"/>
      <c r="CE843" s="1392" t="n"/>
      <c r="CF843" s="1392" t="n"/>
      <c r="CG843" s="1392" t="n"/>
      <c r="CH843" s="1392" t="n"/>
      <c r="CI843" s="1392" t="n"/>
      <c r="CJ843" s="1392" t="n"/>
      <c r="CK843" s="1392" t="n"/>
      <c r="CL843" s="1392" t="n"/>
    </row>
    <row r="844">
      <c r="A844" s="5" t="inlineStr">
        <is>
          <t>.</t>
        </is>
      </c>
      <c r="B844" s="5" t="inlineStr">
        <is>
          <t>.</t>
        </is>
      </c>
      <c r="C844" s="1378">
        <f>IF(raw[[#This Row],[city]]="","-",IF(raw[[#This Row],[city]]="TODAY","-",C843+1))</f>
        <v/>
      </c>
      <c r="D844" s="1393" t="inlineStr">
        <is>
          <t>Amettes</t>
        </is>
      </c>
      <c r="E844" s="1394" t="n">
        <v>38514</v>
      </c>
      <c r="F844" s="1394" t="n">
        <v>38515</v>
      </c>
      <c r="G844" s="1393" t="inlineStr">
        <is>
          <t>-</t>
        </is>
      </c>
      <c r="H844" s="1393" t="inlineStr">
        <is>
          <t>Transit</t>
        </is>
      </c>
      <c r="I844" s="1393" t="inlineStr">
        <is>
          <t>VF</t>
        </is>
      </c>
      <c r="J844" s="1393" t="inlineStr">
        <is>
          <t>-</t>
        </is>
      </c>
      <c r="K844" s="1395">
        <f>IF(raw[[#This Row],[city]]&lt;&gt;"",_xlfn.XLOOKUP($D844,ccc[city],ccc[prov],"-"),"-")</f>
        <v/>
      </c>
      <c r="L844" s="1395">
        <f>IF(raw[[#This Row],[city]]&lt;&gt;"",_xlfn.XLOOKUP($D844,ccc[city],ccc[ctry],"-"),"-")</f>
        <v/>
      </c>
      <c r="M844" s="1395">
        <f>IF(raw[[#This Row],[city]]&lt;&gt;"",_xlfn.XLOOKUP($D844,ccc[city],ccc[cont],"-"),"-")</f>
        <v/>
      </c>
      <c r="N844" s="1396">
        <f>IF(raw[[#This Row],[city]]="","-",IF(raw[[#This Row],[cont]]="B",raw[[#This Row],[cont]],"W"))</f>
        <v/>
      </c>
      <c r="O844" s="1397">
        <f>IF(raw[[#This Row],[out]]=0,0,IF(raw[[#This Row],[out]]=raw[[#This Row],[in]],0.01,raw[[#This Row],[out]]-raw[[#This Row],[in]]))</f>
        <v/>
      </c>
      <c r="P844" s="1397">
        <f>IF(raw[[#This Row],[in]]=0,0,MONTH(raw[[#This Row],[in]]))</f>
        <v/>
      </c>
      <c r="Q844" s="1397">
        <f>IF(raw[[#This Row],[in]]=0,0,YEAR(raw[[#This Row],[in]]))</f>
        <v/>
      </c>
      <c r="R844" s="1397">
        <f>INT(raw[[#This Row],[yr]]/10)*10</f>
        <v/>
      </c>
      <c r="S844" s="1395">
        <f>IF(raw[[#This Row],[city]]="","-",IF(raw[[#This Row],[city]]&lt;&gt;_xlfn.XLOOKUP(raw[[#This Row],[home]],homes[home],homes[city],"-"),1,0))</f>
        <v/>
      </c>
      <c r="T844" s="1398" t="inlineStr">
        <is>
          <t>.</t>
        </is>
      </c>
      <c r="U844" s="1399">
        <f>IF(raw[[#This Row],[wb]]="w",raw[[#This Row],[stay]]+U843,U843)</f>
        <v/>
      </c>
      <c r="V844" s="1400">
        <f>IF(raw[[#This Row],[out]]=0,V843,(raw[[#This Row],[out]]-E$5))</f>
        <v/>
      </c>
      <c r="W844" s="1401">
        <f>U844/V844</f>
        <v/>
      </c>
      <c r="X844" s="1378" t="inlineStr">
        <is>
          <t>.</t>
        </is>
      </c>
      <c r="Y844" s="1402" t="n"/>
      <c r="Z844" s="1403" t="n"/>
      <c r="AA844" s="1403" t="n"/>
      <c r="AB844" s="1400">
        <f t="array" ref="AB844">_xlfn.LET(_xlpm.S,_xlfn.ANCHORARRAY($Y$4),_xlpm.r,ROWS(stayCity[[#Headers],[city]]:stayCity[[#This Row],[city]])-1,IF(_xlpm.r&lt;=ROWS(_xlpm.S),INDEX(_xlpm.S,_xlpm.r,1),""))</f>
        <v/>
      </c>
      <c r="AC844" s="1405">
        <f t="array" ref="AC844">_xlfn.LET(_xlpm.S,_xlfn.ANCHORARRAY($Y$4),_xlpm.r,ROWS(stayCity[[#Headers],[city]]:stayCity[[#This Row],[city]])-1,IF(_xlpm.r&lt;=ROWS(_xlpm.S),INDEX(_xlpm.S,_xlpm.r,2),""))</f>
        <v/>
      </c>
      <c r="AD844" s="1405">
        <f t="array" ref="AD844">_xlfn.LET(_xlpm.S,_xlfn.ANCHORARRAY($Y$4),_xlpm.r,ROWS(stayCity[[#Headers],[city]]:stayCity[[#This Row],[city]])-1,IF(_xlpm.r&lt;=ROWS(_xlpm.S),INDEX(_xlpm.S,_xlpm.r,3),""))</f>
        <v/>
      </c>
      <c r="AE844" s="1400">
        <f>IF(stayCity[[#This Row],[out]]&lt;&gt;"",stayCity[[#This Row],[out]]-stayCity[[#This Row],[in]],"-")</f>
        <v/>
      </c>
      <c r="AF844" s="1406">
        <f>IF(Y844="","-",YEAR(stayCity[[#This Row],[in]]))</f>
        <v/>
      </c>
      <c r="AG844" s="1392" t="n"/>
      <c r="AH844" s="1392" t="n"/>
      <c r="AI844" s="1392" t="n"/>
      <c r="AJ844" s="1392" t="n"/>
      <c r="AK844" s="1392" t="n"/>
      <c r="AL844" s="1392" t="n"/>
      <c r="AM844" s="1392" t="n"/>
      <c r="AN844" s="1392" t="n"/>
      <c r="AO844" s="1392" t="n"/>
      <c r="AP844" s="1392" t="n"/>
      <c r="AQ844" s="1392" t="n"/>
      <c r="AR844" s="1392" t="n"/>
      <c r="AS844" s="1422" t="n"/>
      <c r="AT844" s="1392" t="n"/>
      <c r="AU844" s="1392" t="n"/>
      <c r="AV844" s="1392" t="n"/>
      <c r="AW844" s="1392" t="n"/>
      <c r="AX844" s="1392" t="n"/>
      <c r="AY844" s="1392" t="n"/>
      <c r="AZ844" s="1392" t="n"/>
      <c r="BA844" s="1392" t="n"/>
      <c r="BB844" s="1422" t="n"/>
      <c r="BC844" s="1392" t="n"/>
      <c r="BD844" s="1392" t="n"/>
      <c r="BE844" s="1392" t="n"/>
      <c r="BF844" s="1392" t="n"/>
      <c r="BG844" s="1392" t="n"/>
      <c r="BH844" s="1392" t="n"/>
      <c r="BI844" s="1392" t="n"/>
      <c r="BJ844" s="1392" t="n"/>
      <c r="BK844" s="1392" t="n"/>
      <c r="BL844" s="1392" t="n"/>
      <c r="BM844" s="1392" t="n"/>
      <c r="BN844" s="1392" t="n"/>
      <c r="BO844" s="1392" t="n"/>
      <c r="BP844" s="1392" t="n"/>
      <c r="BQ844" s="1392" t="n"/>
      <c r="BR844" s="1392" t="n"/>
      <c r="BS844" s="1392" t="n"/>
      <c r="BT844" s="1392" t="n"/>
      <c r="BU844" s="1416" t="n"/>
      <c r="BV844" s="1392" t="n"/>
      <c r="BW844" s="1392" t="n"/>
      <c r="BX844" s="1392" t="n"/>
      <c r="BY844" s="1392" t="n"/>
      <c r="BZ844" s="1416" t="n"/>
      <c r="CA844" s="1392" t="n"/>
      <c r="CB844" s="1392" t="n"/>
      <c r="CC844" s="1392" t="n"/>
      <c r="CD844" s="1392" t="n"/>
      <c r="CE844" s="1392" t="n"/>
      <c r="CF844" s="1392" t="n"/>
      <c r="CG844" s="1392" t="n"/>
      <c r="CH844" s="1392" t="n"/>
      <c r="CI844" s="1392" t="n"/>
      <c r="CJ844" s="1392" t="n"/>
      <c r="CK844" s="1392" t="n"/>
      <c r="CL844" s="1392" t="n"/>
    </row>
    <row r="845">
      <c r="A845" s="5" t="inlineStr">
        <is>
          <t>.</t>
        </is>
      </c>
      <c r="B845" s="5" t="inlineStr">
        <is>
          <t>.</t>
        </is>
      </c>
      <c r="C845" s="1378">
        <f>IF(raw[[#This Row],[city]]="","-",IF(raw[[#This Row],[city]]="TODAY","-",C844+1))</f>
        <v/>
      </c>
      <c r="D845" s="1393" t="inlineStr">
        <is>
          <t>Auchy-au-Bois</t>
        </is>
      </c>
      <c r="E845" s="1394" t="n">
        <v>38515</v>
      </c>
      <c r="F845" s="1394" t="n">
        <v>38515</v>
      </c>
      <c r="G845" s="1393" t="inlineStr">
        <is>
          <t>-</t>
        </is>
      </c>
      <c r="H845" s="1393" t="inlineStr">
        <is>
          <t>Transit</t>
        </is>
      </c>
      <c r="I845" s="1393" t="inlineStr">
        <is>
          <t>VF</t>
        </is>
      </c>
      <c r="J845" s="1393" t="inlineStr">
        <is>
          <t>-</t>
        </is>
      </c>
      <c r="K845" s="1395">
        <f>IF(raw[[#This Row],[city]]&lt;&gt;"",_xlfn.XLOOKUP($D845,ccc[city],ccc[prov],"-"),"-")</f>
        <v/>
      </c>
      <c r="L845" s="1395">
        <f>IF(raw[[#This Row],[city]]&lt;&gt;"",_xlfn.XLOOKUP($D845,ccc[city],ccc[ctry],"-"),"-")</f>
        <v/>
      </c>
      <c r="M845" s="1395">
        <f>IF(raw[[#This Row],[city]]&lt;&gt;"",_xlfn.XLOOKUP($D845,ccc[city],ccc[cont],"-"),"-")</f>
        <v/>
      </c>
      <c r="N845" s="1396">
        <f>IF(raw[[#This Row],[city]]="","-",IF(raw[[#This Row],[cont]]="B",raw[[#This Row],[cont]],"W"))</f>
        <v/>
      </c>
      <c r="O845" s="1397">
        <f>IF(raw[[#This Row],[out]]=0,0,IF(raw[[#This Row],[out]]=raw[[#This Row],[in]],0.01,raw[[#This Row],[out]]-raw[[#This Row],[in]]))</f>
        <v/>
      </c>
      <c r="P845" s="1397">
        <f>IF(raw[[#This Row],[in]]=0,0,MONTH(raw[[#This Row],[in]]))</f>
        <v/>
      </c>
      <c r="Q845" s="1397">
        <f>IF(raw[[#This Row],[in]]=0,0,YEAR(raw[[#This Row],[in]]))</f>
        <v/>
      </c>
      <c r="R845" s="1397">
        <f>INT(raw[[#This Row],[yr]]/10)*10</f>
        <v/>
      </c>
      <c r="S845" s="1395">
        <f>IF(raw[[#This Row],[city]]="","-",IF(raw[[#This Row],[city]]&lt;&gt;_xlfn.XLOOKUP(raw[[#This Row],[home]],homes[home],homes[city],"-"),1,0))</f>
        <v/>
      </c>
      <c r="T845" s="1398" t="inlineStr">
        <is>
          <t>.</t>
        </is>
      </c>
      <c r="U845" s="1399">
        <f>IF(raw[[#This Row],[wb]]="w",raw[[#This Row],[stay]]+U844,U844)</f>
        <v/>
      </c>
      <c r="V845" s="1400">
        <f>IF(raw[[#This Row],[out]]=0,V844,(raw[[#This Row],[out]]-E$5))</f>
        <v/>
      </c>
      <c r="W845" s="1401">
        <f>U845/V845</f>
        <v/>
      </c>
      <c r="X845" s="1378" t="inlineStr">
        <is>
          <t>.</t>
        </is>
      </c>
      <c r="Y845" s="1402" t="n"/>
      <c r="Z845" s="1403" t="n"/>
      <c r="AA845" s="1403" t="n"/>
      <c r="AB845" s="1400">
        <f t="array" ref="AB845">_xlfn.LET(_xlpm.S,_xlfn.ANCHORARRAY($Y$4),_xlpm.r,ROWS(stayCity[[#Headers],[city]]:stayCity[[#This Row],[city]])-1,IF(_xlpm.r&lt;=ROWS(_xlpm.S),INDEX(_xlpm.S,_xlpm.r,1),""))</f>
        <v/>
      </c>
      <c r="AC845" s="1405">
        <f t="array" ref="AC845">_xlfn.LET(_xlpm.S,_xlfn.ANCHORARRAY($Y$4),_xlpm.r,ROWS(stayCity[[#Headers],[city]]:stayCity[[#This Row],[city]])-1,IF(_xlpm.r&lt;=ROWS(_xlpm.S),INDEX(_xlpm.S,_xlpm.r,2),""))</f>
        <v/>
      </c>
      <c r="AD845" s="1405">
        <f t="array" ref="AD845">_xlfn.LET(_xlpm.S,_xlfn.ANCHORARRAY($Y$4),_xlpm.r,ROWS(stayCity[[#Headers],[city]]:stayCity[[#This Row],[city]])-1,IF(_xlpm.r&lt;=ROWS(_xlpm.S),INDEX(_xlpm.S,_xlpm.r,3),""))</f>
        <v/>
      </c>
      <c r="AE845" s="1400">
        <f>IF(stayCity[[#This Row],[out]]&lt;&gt;"",stayCity[[#This Row],[out]]-stayCity[[#This Row],[in]],"-")</f>
        <v/>
      </c>
      <c r="AF845" s="1406">
        <f>IF(Y845="","-",YEAR(stayCity[[#This Row],[in]]))</f>
        <v/>
      </c>
      <c r="AG845" s="1392" t="n"/>
      <c r="AH845" s="1392" t="n"/>
      <c r="AI845" s="1392" t="n"/>
      <c r="AJ845" s="1392" t="n"/>
      <c r="AK845" s="1392" t="n"/>
      <c r="AL845" s="1392" t="n"/>
      <c r="AM845" s="1392" t="n"/>
      <c r="AN845" s="1392" t="n"/>
      <c r="AO845" s="1392" t="n"/>
      <c r="AP845" s="1392" t="n"/>
      <c r="AQ845" s="1392" t="n"/>
      <c r="AR845" s="1392" t="n"/>
      <c r="AS845" s="1422" t="n"/>
      <c r="AT845" s="1392" t="n"/>
      <c r="AU845" s="1392" t="n"/>
      <c r="AV845" s="1392" t="n"/>
      <c r="AW845" s="1392" t="n"/>
      <c r="AX845" s="1392" t="n"/>
      <c r="AY845" s="1392" t="n"/>
      <c r="AZ845" s="1392" t="n"/>
      <c r="BA845" s="1392" t="n"/>
      <c r="BB845" s="1422" t="n"/>
      <c r="BC845" s="1392" t="n"/>
      <c r="BD845" s="1392" t="n"/>
      <c r="BE845" s="1392" t="n"/>
      <c r="BF845" s="1392" t="n"/>
      <c r="BG845" s="1392" t="n"/>
      <c r="BH845" s="1392" t="n"/>
      <c r="BI845" s="1392" t="n"/>
      <c r="BJ845" s="1392" t="n"/>
      <c r="BK845" s="1392" t="n"/>
      <c r="BL845" s="1392" t="n"/>
      <c r="BM845" s="1392" t="n"/>
      <c r="BN845" s="1392" t="n"/>
      <c r="BO845" s="1392" t="n"/>
      <c r="BP845" s="1392" t="n"/>
      <c r="BQ845" s="1392" t="n"/>
      <c r="BR845" s="1392" t="n"/>
      <c r="BS845" s="1392" t="n"/>
      <c r="BT845" s="1392" t="n"/>
      <c r="BU845" s="1416" t="n"/>
      <c r="BV845" s="1392" t="n"/>
      <c r="BW845" s="1392" t="n"/>
      <c r="BX845" s="1392" t="n"/>
      <c r="BY845" s="1392" t="n"/>
      <c r="BZ845" s="1416" t="n"/>
      <c r="CA845" s="1392" t="n"/>
      <c r="CB845" s="1392" t="n"/>
      <c r="CC845" s="1392" t="n"/>
      <c r="CD845" s="1392" t="n"/>
      <c r="CE845" s="1392" t="n"/>
      <c r="CF845" s="1392" t="n"/>
      <c r="CG845" s="1392" t="n"/>
      <c r="CH845" s="1392" t="n"/>
      <c r="CI845" s="1392" t="n"/>
      <c r="CJ845" s="1392" t="n"/>
      <c r="CK845" s="1392" t="n"/>
      <c r="CL845" s="1392" t="n"/>
    </row>
    <row r="846">
      <c r="A846" s="5" t="inlineStr">
        <is>
          <t>.</t>
        </is>
      </c>
      <c r="B846" s="5" t="inlineStr">
        <is>
          <t>.</t>
        </is>
      </c>
      <c r="C846" s="1378">
        <f>IF(raw[[#This Row],[city]]="","-",IF(raw[[#This Row],[city]]="TODAY","-",C845+1))</f>
        <v/>
      </c>
      <c r="D846" s="1393" t="inlineStr">
        <is>
          <t>Amettes</t>
        </is>
      </c>
      <c r="E846" s="1394" t="n">
        <v>38515</v>
      </c>
      <c r="F846" s="1394" t="n">
        <v>38515</v>
      </c>
      <c r="G846" s="1393" t="inlineStr">
        <is>
          <t>-</t>
        </is>
      </c>
      <c r="H846" s="1393" t="inlineStr">
        <is>
          <t>Transit</t>
        </is>
      </c>
      <c r="I846" s="1393" t="inlineStr">
        <is>
          <t>VF</t>
        </is>
      </c>
      <c r="J846" s="1393" t="inlineStr">
        <is>
          <t>-</t>
        </is>
      </c>
      <c r="K846" s="1395">
        <f>IF(raw[[#This Row],[city]]&lt;&gt;"",_xlfn.XLOOKUP($D846,ccc[city],ccc[prov],"-"),"-")</f>
        <v/>
      </c>
      <c r="L846" s="1395">
        <f>IF(raw[[#This Row],[city]]&lt;&gt;"",_xlfn.XLOOKUP($D846,ccc[city],ccc[ctry],"-"),"-")</f>
        <v/>
      </c>
      <c r="M846" s="1395">
        <f>IF(raw[[#This Row],[city]]&lt;&gt;"",_xlfn.XLOOKUP($D846,ccc[city],ccc[cont],"-"),"-")</f>
        <v/>
      </c>
      <c r="N846" s="1396">
        <f>IF(raw[[#This Row],[city]]="","-",IF(raw[[#This Row],[cont]]="B",raw[[#This Row],[cont]],"W"))</f>
        <v/>
      </c>
      <c r="O846" s="1397">
        <f>IF(raw[[#This Row],[out]]=0,0,IF(raw[[#This Row],[out]]=raw[[#This Row],[in]],0.01,raw[[#This Row],[out]]-raw[[#This Row],[in]]))</f>
        <v/>
      </c>
      <c r="P846" s="1397">
        <f>IF(raw[[#This Row],[in]]=0,0,MONTH(raw[[#This Row],[in]]))</f>
        <v/>
      </c>
      <c r="Q846" s="1397">
        <f>IF(raw[[#This Row],[in]]=0,0,YEAR(raw[[#This Row],[in]]))</f>
        <v/>
      </c>
      <c r="R846" s="1397">
        <f>INT(raw[[#This Row],[yr]]/10)*10</f>
        <v/>
      </c>
      <c r="S846" s="1395">
        <f>IF(raw[[#This Row],[city]]="","-",IF(raw[[#This Row],[city]]&lt;&gt;_xlfn.XLOOKUP(raw[[#This Row],[home]],homes[home],homes[city],"-"),1,0))</f>
        <v/>
      </c>
      <c r="T846" s="1398" t="inlineStr">
        <is>
          <t>.</t>
        </is>
      </c>
      <c r="U846" s="1399">
        <f>IF(raw[[#This Row],[wb]]="w",raw[[#This Row],[stay]]+U845,U845)</f>
        <v/>
      </c>
      <c r="V846" s="1400">
        <f>IF(raw[[#This Row],[out]]=0,V845,(raw[[#This Row],[out]]-E$5))</f>
        <v/>
      </c>
      <c r="W846" s="1401">
        <f>U846/V846</f>
        <v/>
      </c>
      <c r="X846" s="1378" t="inlineStr">
        <is>
          <t>.</t>
        </is>
      </c>
      <c r="Y846" s="1402" t="n"/>
      <c r="Z846" s="1403" t="n"/>
      <c r="AA846" s="1403" t="n"/>
      <c r="AB846" s="1400">
        <f t="array" ref="AB846">_xlfn.LET(_xlpm.S,_xlfn.ANCHORARRAY($Y$4),_xlpm.r,ROWS(stayCity[[#Headers],[city]]:stayCity[[#This Row],[city]])-1,IF(_xlpm.r&lt;=ROWS(_xlpm.S),INDEX(_xlpm.S,_xlpm.r,1),""))</f>
        <v/>
      </c>
      <c r="AC846" s="1405">
        <f t="array" ref="AC846">_xlfn.LET(_xlpm.S,_xlfn.ANCHORARRAY($Y$4),_xlpm.r,ROWS(stayCity[[#Headers],[city]]:stayCity[[#This Row],[city]])-1,IF(_xlpm.r&lt;=ROWS(_xlpm.S),INDEX(_xlpm.S,_xlpm.r,2),""))</f>
        <v/>
      </c>
      <c r="AD846" s="1405">
        <f t="array" ref="AD846">_xlfn.LET(_xlpm.S,_xlfn.ANCHORARRAY($Y$4),_xlpm.r,ROWS(stayCity[[#Headers],[city]]:stayCity[[#This Row],[city]])-1,IF(_xlpm.r&lt;=ROWS(_xlpm.S),INDEX(_xlpm.S,_xlpm.r,3),""))</f>
        <v/>
      </c>
      <c r="AE846" s="1400">
        <f>IF(stayCity[[#This Row],[out]]&lt;&gt;"",stayCity[[#This Row],[out]]-stayCity[[#This Row],[in]],"-")</f>
        <v/>
      </c>
      <c r="AF846" s="1406">
        <f>IF(Y846="","-",YEAR(stayCity[[#This Row],[in]]))</f>
        <v/>
      </c>
      <c r="AG846" s="1392" t="n"/>
      <c r="AH846" s="1392" t="n"/>
      <c r="AI846" s="1392" t="n"/>
      <c r="AJ846" s="1392" t="n"/>
      <c r="AK846" s="1392" t="n"/>
      <c r="AL846" s="1392" t="n"/>
      <c r="AM846" s="1392" t="n"/>
      <c r="AN846" s="1392" t="n"/>
      <c r="AO846" s="1392" t="n"/>
      <c r="AP846" s="1392" t="n"/>
      <c r="AQ846" s="1392" t="n"/>
      <c r="AR846" s="1392" t="n"/>
      <c r="AS846" s="1422" t="n"/>
      <c r="AT846" s="1392" t="n"/>
      <c r="AU846" s="1392" t="n"/>
      <c r="AV846" s="1392" t="n"/>
      <c r="AW846" s="1392" t="n"/>
      <c r="AX846" s="1392" t="n"/>
      <c r="AY846" s="1392" t="n"/>
      <c r="AZ846" s="1392" t="n"/>
      <c r="BA846" s="1392" t="n"/>
      <c r="BB846" s="1422" t="n"/>
      <c r="BC846" s="1392" t="n"/>
      <c r="BD846" s="1392" t="n"/>
      <c r="BE846" s="1392" t="n"/>
      <c r="BF846" s="1392" t="n"/>
      <c r="BG846" s="1392" t="n"/>
      <c r="BH846" s="1392" t="n"/>
      <c r="BI846" s="1392" t="n"/>
      <c r="BJ846" s="1392" t="n"/>
      <c r="BK846" s="1392" t="n"/>
      <c r="BL846" s="1392" t="n"/>
      <c r="BM846" s="1392" t="n"/>
      <c r="BN846" s="1392" t="n"/>
      <c r="BO846" s="1392" t="n"/>
      <c r="BP846" s="1392" t="n"/>
      <c r="BQ846" s="1392" t="n"/>
      <c r="BR846" s="1392" t="n"/>
      <c r="BS846" s="1392" t="n"/>
      <c r="BT846" s="1392" t="n"/>
      <c r="BU846" s="1416" t="n"/>
      <c r="BV846" s="1392" t="n"/>
      <c r="BW846" s="1392" t="n"/>
      <c r="BX846" s="1392" t="n"/>
      <c r="BY846" s="1392" t="n"/>
      <c r="BZ846" s="1416" t="n"/>
      <c r="CA846" s="1392" t="n"/>
      <c r="CB846" s="1392" t="n"/>
      <c r="CC846" s="1392" t="n"/>
      <c r="CD846" s="1392" t="n"/>
      <c r="CE846" s="1392" t="n"/>
      <c r="CF846" s="1392" t="n"/>
      <c r="CG846" s="1392" t="n"/>
      <c r="CH846" s="1392" t="n"/>
      <c r="CI846" s="1392" t="n"/>
      <c r="CJ846" s="1392" t="n"/>
      <c r="CK846" s="1392" t="n"/>
      <c r="CL846" s="1392" t="n"/>
    </row>
    <row r="847">
      <c r="A847" s="5" t="inlineStr">
        <is>
          <t>.</t>
        </is>
      </c>
      <c r="B847" s="5" t="inlineStr">
        <is>
          <t>.</t>
        </is>
      </c>
      <c r="C847" s="1378">
        <f>IF(raw[[#This Row],[city]]="","-",IF(raw[[#This Row],[city]]="TODAY","-",C846+1))</f>
        <v/>
      </c>
      <c r="D847" s="1393" t="inlineStr">
        <is>
          <t>Houdain</t>
        </is>
      </c>
      <c r="E847" s="1394" t="n">
        <v>38515</v>
      </c>
      <c r="F847" s="1394" t="n">
        <v>38515</v>
      </c>
      <c r="G847" s="1393" t="inlineStr">
        <is>
          <t>-</t>
        </is>
      </c>
      <c r="H847" s="1393" t="inlineStr">
        <is>
          <t>Transit</t>
        </is>
      </c>
      <c r="I847" s="1393" t="inlineStr">
        <is>
          <t>VF</t>
        </is>
      </c>
      <c r="J847" s="1393" t="inlineStr">
        <is>
          <t>-</t>
        </is>
      </c>
      <c r="K847" s="1395">
        <f>IF(raw[[#This Row],[city]]&lt;&gt;"",_xlfn.XLOOKUP($D847,ccc[city],ccc[prov],"-"),"-")</f>
        <v/>
      </c>
      <c r="L847" s="1395">
        <f>IF(raw[[#This Row],[city]]&lt;&gt;"",_xlfn.XLOOKUP($D847,ccc[city],ccc[ctry],"-"),"-")</f>
        <v/>
      </c>
      <c r="M847" s="1395">
        <f>IF(raw[[#This Row],[city]]&lt;&gt;"",_xlfn.XLOOKUP($D847,ccc[city],ccc[cont],"-"),"-")</f>
        <v/>
      </c>
      <c r="N847" s="1396">
        <f>IF(raw[[#This Row],[city]]="","-",IF(raw[[#This Row],[cont]]="B",raw[[#This Row],[cont]],"W"))</f>
        <v/>
      </c>
      <c r="O847" s="1397">
        <f>IF(raw[[#This Row],[out]]=0,0,IF(raw[[#This Row],[out]]=raw[[#This Row],[in]],0.01,raw[[#This Row],[out]]-raw[[#This Row],[in]]))</f>
        <v/>
      </c>
      <c r="P847" s="1397">
        <f>IF(raw[[#This Row],[in]]=0,0,MONTH(raw[[#This Row],[in]]))</f>
        <v/>
      </c>
      <c r="Q847" s="1397">
        <f>IF(raw[[#This Row],[in]]=0,0,YEAR(raw[[#This Row],[in]]))</f>
        <v/>
      </c>
      <c r="R847" s="1397">
        <f>INT(raw[[#This Row],[yr]]/10)*10</f>
        <v/>
      </c>
      <c r="S847" s="1395">
        <f>IF(raw[[#This Row],[city]]="","-",IF(raw[[#This Row],[city]]&lt;&gt;_xlfn.XLOOKUP(raw[[#This Row],[home]],homes[home],homes[city],"-"),1,0))</f>
        <v/>
      </c>
      <c r="T847" s="1398" t="inlineStr">
        <is>
          <t>.</t>
        </is>
      </c>
      <c r="U847" s="1399">
        <f>IF(raw[[#This Row],[wb]]="w",raw[[#This Row],[stay]]+U846,U846)</f>
        <v/>
      </c>
      <c r="V847" s="1400">
        <f>IF(raw[[#This Row],[out]]=0,V846,(raw[[#This Row],[out]]-E$5))</f>
        <v/>
      </c>
      <c r="W847" s="1401">
        <f>U847/V847</f>
        <v/>
      </c>
      <c r="X847" s="1378" t="inlineStr">
        <is>
          <t>.</t>
        </is>
      </c>
      <c r="Y847" s="1402" t="n"/>
      <c r="Z847" s="1403" t="n"/>
      <c r="AA847" s="1403" t="n"/>
      <c r="AB847" s="1400">
        <f t="array" ref="AB847">_xlfn.LET(_xlpm.S,_xlfn.ANCHORARRAY($Y$4),_xlpm.r,ROWS(stayCity[[#Headers],[city]]:stayCity[[#This Row],[city]])-1,IF(_xlpm.r&lt;=ROWS(_xlpm.S),INDEX(_xlpm.S,_xlpm.r,1),""))</f>
        <v/>
      </c>
      <c r="AC847" s="1405">
        <f t="array" ref="AC847">_xlfn.LET(_xlpm.S,_xlfn.ANCHORARRAY($Y$4),_xlpm.r,ROWS(stayCity[[#Headers],[city]]:stayCity[[#This Row],[city]])-1,IF(_xlpm.r&lt;=ROWS(_xlpm.S),INDEX(_xlpm.S,_xlpm.r,2),""))</f>
        <v/>
      </c>
      <c r="AD847" s="1405">
        <f t="array" ref="AD847">_xlfn.LET(_xlpm.S,_xlfn.ANCHORARRAY($Y$4),_xlpm.r,ROWS(stayCity[[#Headers],[city]]:stayCity[[#This Row],[city]])-1,IF(_xlpm.r&lt;=ROWS(_xlpm.S),INDEX(_xlpm.S,_xlpm.r,3),""))</f>
        <v/>
      </c>
      <c r="AE847" s="1400">
        <f>IF(stayCity[[#This Row],[out]]&lt;&gt;"",stayCity[[#This Row],[out]]-stayCity[[#This Row],[in]],"-")</f>
        <v/>
      </c>
      <c r="AF847" s="1406">
        <f>IF(Y847="","-",YEAR(stayCity[[#This Row],[in]]))</f>
        <v/>
      </c>
      <c r="AG847" s="1392" t="n"/>
      <c r="AH847" s="1392" t="n"/>
      <c r="AI847" s="1392" t="n"/>
      <c r="AJ847" s="1392" t="n"/>
      <c r="AK847" s="1392" t="n"/>
      <c r="AL847" s="1392" t="n"/>
      <c r="AM847" s="1392" t="n"/>
      <c r="AN847" s="1392" t="n"/>
      <c r="AO847" s="1392" t="n"/>
      <c r="AP847" s="1392" t="n"/>
      <c r="AQ847" s="1392" t="n"/>
      <c r="AR847" s="1392" t="n"/>
      <c r="AS847" s="1422" t="n"/>
      <c r="AT847" s="1392" t="n"/>
      <c r="AU847" s="1392" t="n"/>
      <c r="AV847" s="1392" t="n"/>
      <c r="AW847" s="1392" t="n"/>
      <c r="AX847" s="1392" t="n"/>
      <c r="AY847" s="1392" t="n"/>
      <c r="AZ847" s="1392" t="n"/>
      <c r="BA847" s="1392" t="n"/>
      <c r="BB847" s="1422" t="n"/>
      <c r="BC847" s="1392" t="n"/>
      <c r="BD847" s="1392" t="n"/>
      <c r="BE847" s="1392" t="n"/>
      <c r="BF847" s="1392" t="n"/>
      <c r="BG847" s="1392" t="n"/>
      <c r="BH847" s="1392" t="n"/>
      <c r="BI847" s="1392" t="n"/>
      <c r="BJ847" s="1392" t="n"/>
      <c r="BK847" s="1392" t="n"/>
      <c r="BL847" s="1392" t="n"/>
      <c r="BM847" s="1392" t="n"/>
      <c r="BN847" s="1392" t="n"/>
      <c r="BO847" s="1392" t="n"/>
      <c r="BP847" s="1392" t="n"/>
      <c r="BQ847" s="1392" t="n"/>
      <c r="BR847" s="1392" t="n"/>
      <c r="BS847" s="1392" t="n"/>
      <c r="BT847" s="1392" t="n"/>
      <c r="BU847" s="1416" t="n"/>
      <c r="BV847" s="1392" t="n"/>
      <c r="BW847" s="1392" t="n"/>
      <c r="BX847" s="1392" t="n"/>
      <c r="BY847" s="1392" t="n"/>
      <c r="BZ847" s="1416" t="n"/>
      <c r="CA847" s="1392" t="n"/>
      <c r="CB847" s="1392" t="n"/>
      <c r="CC847" s="1392" t="n"/>
      <c r="CD847" s="1392" t="n"/>
      <c r="CE847" s="1392" t="n"/>
      <c r="CF847" s="1392" t="n"/>
      <c r="CG847" s="1392" t="n"/>
      <c r="CH847" s="1392" t="n"/>
      <c r="CI847" s="1392" t="n"/>
      <c r="CJ847" s="1392" t="n"/>
      <c r="CK847" s="1392" t="n"/>
      <c r="CL847" s="1392" t="n"/>
    </row>
    <row r="848">
      <c r="A848" s="5" t="inlineStr">
        <is>
          <t>.</t>
        </is>
      </c>
      <c r="B848" s="5" t="inlineStr">
        <is>
          <t>.</t>
        </is>
      </c>
      <c r="C848" s="1378">
        <f>IF(raw[[#This Row],[city]]="","-",IF(raw[[#This Row],[city]]="TODAY","-",C847+1))</f>
        <v/>
      </c>
      <c r="D848" s="1393" t="inlineStr">
        <is>
          <t>Camblain-l'Abbé</t>
        </is>
      </c>
      <c r="E848" s="1394" t="n">
        <v>38515</v>
      </c>
      <c r="F848" s="1394" t="n">
        <v>38516</v>
      </c>
      <c r="G848" s="1393" t="inlineStr">
        <is>
          <t>-</t>
        </is>
      </c>
      <c r="H848" s="1393" t="inlineStr">
        <is>
          <t>Transit</t>
        </is>
      </c>
      <c r="I848" s="1393" t="inlineStr">
        <is>
          <t>VF</t>
        </is>
      </c>
      <c r="J848" s="1393" t="inlineStr">
        <is>
          <t>-</t>
        </is>
      </c>
      <c r="K848" s="1395">
        <f>IF(raw[[#This Row],[city]]&lt;&gt;"",_xlfn.XLOOKUP($D848,ccc[city],ccc[prov],"-"),"-")</f>
        <v/>
      </c>
      <c r="L848" s="1395">
        <f>IF(raw[[#This Row],[city]]&lt;&gt;"",_xlfn.XLOOKUP($D848,ccc[city],ccc[ctry],"-"),"-")</f>
        <v/>
      </c>
      <c r="M848" s="1395">
        <f>IF(raw[[#This Row],[city]]&lt;&gt;"",_xlfn.XLOOKUP($D848,ccc[city],ccc[cont],"-"),"-")</f>
        <v/>
      </c>
      <c r="N848" s="1396">
        <f>IF(raw[[#This Row],[city]]="","-",IF(raw[[#This Row],[cont]]="B",raw[[#This Row],[cont]],"W"))</f>
        <v/>
      </c>
      <c r="O848" s="1397">
        <f>IF(raw[[#This Row],[out]]=0,0,IF(raw[[#This Row],[out]]=raw[[#This Row],[in]],0.01,raw[[#This Row],[out]]-raw[[#This Row],[in]]))</f>
        <v/>
      </c>
      <c r="P848" s="1397">
        <f>IF(raw[[#This Row],[in]]=0,0,MONTH(raw[[#This Row],[in]]))</f>
        <v/>
      </c>
      <c r="Q848" s="1397">
        <f>IF(raw[[#This Row],[in]]=0,0,YEAR(raw[[#This Row],[in]]))</f>
        <v/>
      </c>
      <c r="R848" s="1397">
        <f>INT(raw[[#This Row],[yr]]/10)*10</f>
        <v/>
      </c>
      <c r="S848" s="1395">
        <f>IF(raw[[#This Row],[city]]="","-",IF(raw[[#This Row],[city]]&lt;&gt;_xlfn.XLOOKUP(raw[[#This Row],[home]],homes[home],homes[city],"-"),1,0))</f>
        <v/>
      </c>
      <c r="T848" s="1398" t="inlineStr">
        <is>
          <t>.</t>
        </is>
      </c>
      <c r="U848" s="1399">
        <f>IF(raw[[#This Row],[wb]]="w",raw[[#This Row],[stay]]+U847,U847)</f>
        <v/>
      </c>
      <c r="V848" s="1400">
        <f>IF(raw[[#This Row],[out]]=0,V847,(raw[[#This Row],[out]]-E$5))</f>
        <v/>
      </c>
      <c r="W848" s="1401">
        <f>U848/V848</f>
        <v/>
      </c>
      <c r="X848" s="1378" t="inlineStr">
        <is>
          <t>.</t>
        </is>
      </c>
      <c r="Y848" s="1402" t="n"/>
      <c r="Z848" s="1403" t="n"/>
      <c r="AA848" s="1403" t="n"/>
      <c r="AB848" s="1400">
        <f t="array" ref="AB848">_xlfn.LET(_xlpm.S,_xlfn.ANCHORARRAY($Y$4),_xlpm.r,ROWS(stayCity[[#Headers],[city]]:stayCity[[#This Row],[city]])-1,IF(_xlpm.r&lt;=ROWS(_xlpm.S),INDEX(_xlpm.S,_xlpm.r,1),""))</f>
        <v/>
      </c>
      <c r="AC848" s="1405">
        <f t="array" ref="AC848">_xlfn.LET(_xlpm.S,_xlfn.ANCHORARRAY($Y$4),_xlpm.r,ROWS(stayCity[[#Headers],[city]]:stayCity[[#This Row],[city]])-1,IF(_xlpm.r&lt;=ROWS(_xlpm.S),INDEX(_xlpm.S,_xlpm.r,2),""))</f>
        <v/>
      </c>
      <c r="AD848" s="1405">
        <f t="array" ref="AD848">_xlfn.LET(_xlpm.S,_xlfn.ANCHORARRAY($Y$4),_xlpm.r,ROWS(stayCity[[#Headers],[city]]:stayCity[[#This Row],[city]])-1,IF(_xlpm.r&lt;=ROWS(_xlpm.S),INDEX(_xlpm.S,_xlpm.r,3),""))</f>
        <v/>
      </c>
      <c r="AE848" s="1400">
        <f>IF(stayCity[[#This Row],[out]]&lt;&gt;"",stayCity[[#This Row],[out]]-stayCity[[#This Row],[in]],"-")</f>
        <v/>
      </c>
      <c r="AF848" s="1406">
        <f>IF(Y848="","-",YEAR(stayCity[[#This Row],[in]]))</f>
        <v/>
      </c>
      <c r="AG848" s="1392" t="n"/>
      <c r="AH848" s="1392" t="n"/>
      <c r="AI848" s="1392" t="n"/>
      <c r="AJ848" s="1392" t="n"/>
      <c r="AK848" s="1392" t="n"/>
      <c r="AL848" s="1392" t="n"/>
      <c r="AM848" s="1392" t="n"/>
      <c r="AN848" s="1392" t="n"/>
      <c r="AO848" s="1392" t="n"/>
      <c r="AP848" s="1392" t="n"/>
      <c r="AQ848" s="1392" t="n"/>
      <c r="AR848" s="1392" t="n"/>
      <c r="AS848" s="1422" t="n"/>
      <c r="AT848" s="1392" t="n"/>
      <c r="AU848" s="1392" t="n"/>
      <c r="AV848" s="1392" t="n"/>
      <c r="AW848" s="1392" t="n"/>
      <c r="AX848" s="1392" t="n"/>
      <c r="AY848" s="1392" t="n"/>
      <c r="AZ848" s="1392" t="n"/>
      <c r="BA848" s="1392" t="n"/>
      <c r="BB848" s="1422" t="n"/>
      <c r="BC848" s="1392" t="n"/>
      <c r="BD848" s="1392" t="n"/>
      <c r="BE848" s="1392" t="n"/>
      <c r="BF848" s="1392" t="n"/>
      <c r="BG848" s="1392" t="n"/>
      <c r="BH848" s="1392" t="n"/>
      <c r="BI848" s="1392" t="n"/>
      <c r="BJ848" s="1392" t="n"/>
      <c r="BK848" s="1392" t="n"/>
      <c r="BL848" s="1392" t="n"/>
      <c r="BM848" s="1392" t="n"/>
      <c r="BN848" s="1392" t="n"/>
      <c r="BO848" s="1392" t="n"/>
      <c r="BP848" s="1392" t="n"/>
      <c r="BQ848" s="1392" t="n"/>
      <c r="BR848" s="1392" t="n"/>
      <c r="BS848" s="1392" t="n"/>
      <c r="BT848" s="1392" t="n"/>
      <c r="BU848" s="1416" t="n"/>
      <c r="BV848" s="1392" t="n"/>
      <c r="BW848" s="1392" t="n"/>
      <c r="BX848" s="1392" t="n"/>
      <c r="BY848" s="1392" t="n"/>
      <c r="BZ848" s="1416" t="n"/>
      <c r="CA848" s="1392" t="n"/>
      <c r="CB848" s="1392" t="n"/>
      <c r="CC848" s="1392" t="n"/>
      <c r="CD848" s="1392" t="n"/>
      <c r="CE848" s="1392" t="n"/>
      <c r="CF848" s="1392" t="n"/>
      <c r="CG848" s="1392" t="n"/>
      <c r="CH848" s="1392" t="n"/>
      <c r="CI848" s="1392" t="n"/>
      <c r="CJ848" s="1392" t="n"/>
      <c r="CK848" s="1392" t="n"/>
      <c r="CL848" s="1392" t="n"/>
    </row>
    <row r="849">
      <c r="A849" s="5" t="inlineStr">
        <is>
          <t>.</t>
        </is>
      </c>
      <c r="B849" s="5" t="inlineStr">
        <is>
          <t>.</t>
        </is>
      </c>
      <c r="C849" s="1378">
        <f>IF(raw[[#This Row],[city]]="","-",IF(raw[[#This Row],[city]]="TODAY","-",C848+1))</f>
        <v/>
      </c>
      <c r="D849" s="1393" t="inlineStr">
        <is>
          <t>Saint Eloi</t>
        </is>
      </c>
      <c r="E849" s="1394" t="n">
        <v>38516</v>
      </c>
      <c r="F849" s="1394" t="n">
        <v>38516</v>
      </c>
      <c r="G849" s="1393" t="inlineStr">
        <is>
          <t>-</t>
        </is>
      </c>
      <c r="H849" s="1393" t="inlineStr">
        <is>
          <t>Transit</t>
        </is>
      </c>
      <c r="I849" s="1393" t="inlineStr">
        <is>
          <t>VF</t>
        </is>
      </c>
      <c r="J849" s="1393" t="inlineStr">
        <is>
          <t>-</t>
        </is>
      </c>
      <c r="K849" s="1395">
        <f>IF(raw[[#This Row],[city]]&lt;&gt;"",_xlfn.XLOOKUP($D849,ccc[city],ccc[prov],"-"),"-")</f>
        <v/>
      </c>
      <c r="L849" s="1395">
        <f>IF(raw[[#This Row],[city]]&lt;&gt;"",_xlfn.XLOOKUP($D849,ccc[city],ccc[ctry],"-"),"-")</f>
        <v/>
      </c>
      <c r="M849" s="1395">
        <f>IF(raw[[#This Row],[city]]&lt;&gt;"",_xlfn.XLOOKUP($D849,ccc[city],ccc[cont],"-"),"-")</f>
        <v/>
      </c>
      <c r="N849" s="1396">
        <f>IF(raw[[#This Row],[city]]="","-",IF(raw[[#This Row],[cont]]="B",raw[[#This Row],[cont]],"W"))</f>
        <v/>
      </c>
      <c r="O849" s="1397">
        <f>IF(raw[[#This Row],[out]]=0,0,IF(raw[[#This Row],[out]]=raw[[#This Row],[in]],0.01,raw[[#This Row],[out]]-raw[[#This Row],[in]]))</f>
        <v/>
      </c>
      <c r="P849" s="1397">
        <f>IF(raw[[#This Row],[in]]=0,0,MONTH(raw[[#This Row],[in]]))</f>
        <v/>
      </c>
      <c r="Q849" s="1397">
        <f>IF(raw[[#This Row],[in]]=0,0,YEAR(raw[[#This Row],[in]]))</f>
        <v/>
      </c>
      <c r="R849" s="1397">
        <f>INT(raw[[#This Row],[yr]]/10)*10</f>
        <v/>
      </c>
      <c r="S849" s="1395">
        <f>IF(raw[[#This Row],[city]]="","-",IF(raw[[#This Row],[city]]&lt;&gt;_xlfn.XLOOKUP(raw[[#This Row],[home]],homes[home],homes[city],"-"),1,0))</f>
        <v/>
      </c>
      <c r="T849" s="1398" t="inlineStr">
        <is>
          <t>.</t>
        </is>
      </c>
      <c r="U849" s="1399">
        <f>IF(raw[[#This Row],[wb]]="w",raw[[#This Row],[stay]]+U848,U848)</f>
        <v/>
      </c>
      <c r="V849" s="1400">
        <f>IF(raw[[#This Row],[out]]=0,V848,(raw[[#This Row],[out]]-E$5))</f>
        <v/>
      </c>
      <c r="W849" s="1401">
        <f>U849/V849</f>
        <v/>
      </c>
      <c r="X849" s="1378" t="inlineStr">
        <is>
          <t>.</t>
        </is>
      </c>
      <c r="Y849" s="1402" t="n"/>
      <c r="Z849" s="1403" t="n"/>
      <c r="AA849" s="1403" t="n"/>
      <c r="AB849" s="1400">
        <f t="array" ref="AB849">_xlfn.LET(_xlpm.S,_xlfn.ANCHORARRAY($Y$4),_xlpm.r,ROWS(stayCity[[#Headers],[city]]:stayCity[[#This Row],[city]])-1,IF(_xlpm.r&lt;=ROWS(_xlpm.S),INDEX(_xlpm.S,_xlpm.r,1),""))</f>
        <v/>
      </c>
      <c r="AC849" s="1405">
        <f t="array" ref="AC849">_xlfn.LET(_xlpm.S,_xlfn.ANCHORARRAY($Y$4),_xlpm.r,ROWS(stayCity[[#Headers],[city]]:stayCity[[#This Row],[city]])-1,IF(_xlpm.r&lt;=ROWS(_xlpm.S),INDEX(_xlpm.S,_xlpm.r,2),""))</f>
        <v/>
      </c>
      <c r="AD849" s="1405">
        <f t="array" ref="AD849">_xlfn.LET(_xlpm.S,_xlfn.ANCHORARRAY($Y$4),_xlpm.r,ROWS(stayCity[[#Headers],[city]]:stayCity[[#This Row],[city]])-1,IF(_xlpm.r&lt;=ROWS(_xlpm.S),INDEX(_xlpm.S,_xlpm.r,3),""))</f>
        <v/>
      </c>
      <c r="AE849" s="1400">
        <f>IF(stayCity[[#This Row],[out]]&lt;&gt;"",stayCity[[#This Row],[out]]-stayCity[[#This Row],[in]],"-")</f>
        <v/>
      </c>
      <c r="AF849" s="1406">
        <f>IF(Y849="","-",YEAR(stayCity[[#This Row],[in]]))</f>
        <v/>
      </c>
      <c r="AG849" s="1392" t="n"/>
      <c r="AH849" s="1392" t="n"/>
      <c r="AI849" s="1392" t="n"/>
      <c r="AJ849" s="1392" t="n"/>
      <c r="AK849" s="1392" t="n"/>
      <c r="AL849" s="1392" t="n"/>
      <c r="AM849" s="1392" t="n"/>
      <c r="AN849" s="1392" t="n"/>
      <c r="AO849" s="1392" t="n"/>
      <c r="AP849" s="1392" t="n"/>
      <c r="AQ849" s="1392" t="n"/>
      <c r="AR849" s="1392" t="n"/>
      <c r="AS849" s="1422" t="n"/>
      <c r="AT849" s="1392" t="n"/>
      <c r="AU849" s="1392" t="n"/>
      <c r="AV849" s="1392" t="n"/>
      <c r="AW849" s="1392" t="n"/>
      <c r="AX849" s="1392" t="n"/>
      <c r="AY849" s="1392" t="n"/>
      <c r="AZ849" s="1392" t="n"/>
      <c r="BA849" s="1392" t="n"/>
      <c r="BB849" s="1422" t="n"/>
      <c r="BC849" s="1392" t="n"/>
      <c r="BD849" s="1392" t="n"/>
      <c r="BE849" s="1392" t="n"/>
      <c r="BF849" s="1392" t="n"/>
      <c r="BG849" s="1392" t="n"/>
      <c r="BH849" s="1392" t="n"/>
      <c r="BI849" s="1392" t="n"/>
      <c r="BJ849" s="1392" t="n"/>
      <c r="BK849" s="1392" t="n"/>
      <c r="BL849" s="1392" t="n"/>
      <c r="BM849" s="1392" t="n"/>
      <c r="BN849" s="1392" t="n"/>
      <c r="BO849" s="1392" t="n"/>
      <c r="BP849" s="1392" t="n"/>
      <c r="BQ849" s="1392" t="n"/>
      <c r="BR849" s="1392" t="n"/>
      <c r="BS849" s="1392" t="n"/>
      <c r="BT849" s="1392" t="n"/>
      <c r="BU849" s="1416" t="n"/>
      <c r="BV849" s="1392" t="n"/>
      <c r="BW849" s="1392" t="n"/>
      <c r="BX849" s="1392" t="n"/>
      <c r="BY849" s="1392" t="n"/>
      <c r="BZ849" s="1416" t="n"/>
      <c r="CA849" s="1392" t="n"/>
      <c r="CB849" s="1392" t="n"/>
      <c r="CC849" s="1392" t="n"/>
      <c r="CD849" s="1392" t="n"/>
      <c r="CE849" s="1392" t="n"/>
      <c r="CF849" s="1392" t="n"/>
      <c r="CG849" s="1392" t="n"/>
      <c r="CH849" s="1392" t="n"/>
      <c r="CI849" s="1392" t="n"/>
      <c r="CJ849" s="1392" t="n"/>
      <c r="CK849" s="1392" t="n"/>
      <c r="CL849" s="1392" t="n"/>
    </row>
    <row r="850">
      <c r="A850" s="5" t="inlineStr">
        <is>
          <t>.</t>
        </is>
      </c>
      <c r="B850" s="5" t="inlineStr">
        <is>
          <t>.</t>
        </is>
      </c>
      <c r="C850" s="1378">
        <f>IF(raw[[#This Row],[city]]="","-",IF(raw[[#This Row],[city]]="TODAY","-",C849+1))</f>
        <v/>
      </c>
      <c r="D850" s="1393" t="inlineStr">
        <is>
          <t>Arras</t>
        </is>
      </c>
      <c r="E850" s="1394" t="n">
        <v>38516</v>
      </c>
      <c r="F850" s="1394" t="n">
        <v>38518</v>
      </c>
      <c r="G850" s="1393" t="inlineStr">
        <is>
          <t>-</t>
        </is>
      </c>
      <c r="H850" s="1393" t="inlineStr">
        <is>
          <t>Transit</t>
        </is>
      </c>
      <c r="I850" s="1393" t="inlineStr">
        <is>
          <t>VF</t>
        </is>
      </c>
      <c r="J850" s="1393" t="inlineStr">
        <is>
          <t>-</t>
        </is>
      </c>
      <c r="K850" s="1395">
        <f>IF(raw[[#This Row],[city]]&lt;&gt;"",_xlfn.XLOOKUP($D850,ccc[city],ccc[prov],"-"),"-")</f>
        <v/>
      </c>
      <c r="L850" s="1395">
        <f>IF(raw[[#This Row],[city]]&lt;&gt;"",_xlfn.XLOOKUP($D850,ccc[city],ccc[ctry],"-"),"-")</f>
        <v/>
      </c>
      <c r="M850" s="1395">
        <f>IF(raw[[#This Row],[city]]&lt;&gt;"",_xlfn.XLOOKUP($D850,ccc[city],ccc[cont],"-"),"-")</f>
        <v/>
      </c>
      <c r="N850" s="1396">
        <f>IF(raw[[#This Row],[city]]="","-",IF(raw[[#This Row],[cont]]="B",raw[[#This Row],[cont]],"W"))</f>
        <v/>
      </c>
      <c r="O850" s="1397">
        <f>IF(raw[[#This Row],[out]]=0,0,IF(raw[[#This Row],[out]]=raw[[#This Row],[in]],0.01,raw[[#This Row],[out]]-raw[[#This Row],[in]]))</f>
        <v/>
      </c>
      <c r="P850" s="1397">
        <f>IF(raw[[#This Row],[in]]=0,0,MONTH(raw[[#This Row],[in]]))</f>
        <v/>
      </c>
      <c r="Q850" s="1397">
        <f>IF(raw[[#This Row],[in]]=0,0,YEAR(raw[[#This Row],[in]]))</f>
        <v/>
      </c>
      <c r="R850" s="1397">
        <f>INT(raw[[#This Row],[yr]]/10)*10</f>
        <v/>
      </c>
      <c r="S850" s="1395">
        <f>IF(raw[[#This Row],[city]]="","-",IF(raw[[#This Row],[city]]&lt;&gt;_xlfn.XLOOKUP(raw[[#This Row],[home]],homes[home],homes[city],"-"),1,0))</f>
        <v/>
      </c>
      <c r="T850" s="1398" t="inlineStr">
        <is>
          <t>.</t>
        </is>
      </c>
      <c r="U850" s="1399">
        <f>IF(raw[[#This Row],[wb]]="w",raw[[#This Row],[stay]]+U849,U849)</f>
        <v/>
      </c>
      <c r="V850" s="1400">
        <f>IF(raw[[#This Row],[out]]=0,V849,(raw[[#This Row],[out]]-E$5))</f>
        <v/>
      </c>
      <c r="W850" s="1401">
        <f>U850/V850</f>
        <v/>
      </c>
      <c r="X850" s="1378" t="inlineStr">
        <is>
          <t>.</t>
        </is>
      </c>
      <c r="Y850" s="1402" t="n"/>
      <c r="Z850" s="1403" t="n"/>
      <c r="AA850" s="1403" t="n"/>
      <c r="AB850" s="1400">
        <f t="array" ref="AB850">_xlfn.LET(_xlpm.S,_xlfn.ANCHORARRAY($Y$4),_xlpm.r,ROWS(stayCity[[#Headers],[city]]:stayCity[[#This Row],[city]])-1,IF(_xlpm.r&lt;=ROWS(_xlpm.S),INDEX(_xlpm.S,_xlpm.r,1),""))</f>
        <v/>
      </c>
      <c r="AC850" s="1405">
        <f t="array" ref="AC850">_xlfn.LET(_xlpm.S,_xlfn.ANCHORARRAY($Y$4),_xlpm.r,ROWS(stayCity[[#Headers],[city]]:stayCity[[#This Row],[city]])-1,IF(_xlpm.r&lt;=ROWS(_xlpm.S),INDEX(_xlpm.S,_xlpm.r,2),""))</f>
        <v/>
      </c>
      <c r="AD850" s="1405">
        <f t="array" ref="AD850">_xlfn.LET(_xlpm.S,_xlfn.ANCHORARRAY($Y$4),_xlpm.r,ROWS(stayCity[[#Headers],[city]]:stayCity[[#This Row],[city]])-1,IF(_xlpm.r&lt;=ROWS(_xlpm.S),INDEX(_xlpm.S,_xlpm.r,3),""))</f>
        <v/>
      </c>
      <c r="AE850" s="1400">
        <f>IF(stayCity[[#This Row],[out]]&lt;&gt;"",stayCity[[#This Row],[out]]-stayCity[[#This Row],[in]],"-")</f>
        <v/>
      </c>
      <c r="AF850" s="1406">
        <f>IF(Y850="","-",YEAR(stayCity[[#This Row],[in]]))</f>
        <v/>
      </c>
      <c r="AG850" s="1392" t="n"/>
      <c r="AH850" s="1392" t="n"/>
      <c r="AI850" s="1392" t="n"/>
      <c r="AJ850" s="1392" t="n"/>
      <c r="AK850" s="1392" t="n"/>
      <c r="AL850" s="1392" t="n"/>
      <c r="AM850" s="1392" t="n"/>
      <c r="AN850" s="1392" t="n"/>
      <c r="AO850" s="1392" t="n"/>
      <c r="AP850" s="1392" t="n"/>
      <c r="AQ850" s="1392" t="n"/>
      <c r="AR850" s="1392" t="n"/>
      <c r="AS850" s="1422" t="n"/>
      <c r="AT850" s="1392" t="n"/>
      <c r="AU850" s="1392" t="n"/>
      <c r="AV850" s="1392" t="n"/>
      <c r="AW850" s="1392" t="n"/>
      <c r="AX850" s="1392" t="n"/>
      <c r="AY850" s="1392" t="n"/>
      <c r="AZ850" s="1392" t="n"/>
      <c r="BA850" s="1392" t="n"/>
      <c r="BB850" s="1422" t="n"/>
      <c r="BC850" s="1392" t="n"/>
      <c r="BD850" s="1392" t="n"/>
      <c r="BE850" s="1392" t="n"/>
      <c r="BF850" s="1392" t="n"/>
      <c r="BG850" s="1392" t="n"/>
      <c r="BH850" s="1392" t="n"/>
      <c r="BI850" s="1392" t="n"/>
      <c r="BJ850" s="1392" t="n"/>
      <c r="BK850" s="1392" t="n"/>
      <c r="BL850" s="1392" t="n"/>
      <c r="BM850" s="1392" t="n"/>
      <c r="BN850" s="1392" t="n"/>
      <c r="BO850" s="1392" t="n"/>
      <c r="BP850" s="1392" t="n"/>
      <c r="BQ850" s="1392" t="n"/>
      <c r="BR850" s="1392" t="n"/>
      <c r="BS850" s="1392" t="n"/>
      <c r="BT850" s="1392" t="n"/>
      <c r="BU850" s="1416" t="n"/>
      <c r="BV850" s="1392" t="n"/>
      <c r="BW850" s="1392" t="n"/>
      <c r="BX850" s="1392" t="n"/>
      <c r="BY850" s="1392" t="n"/>
      <c r="BZ850" s="1416" t="n"/>
      <c r="CA850" s="1392" t="n"/>
      <c r="CB850" s="1392" t="n"/>
      <c r="CC850" s="1392" t="n"/>
      <c r="CD850" s="1392" t="n"/>
      <c r="CE850" s="1392" t="n"/>
      <c r="CF850" s="1392" t="n"/>
      <c r="CG850" s="1392" t="n"/>
      <c r="CH850" s="1392" t="n"/>
      <c r="CI850" s="1392" t="n"/>
      <c r="CJ850" s="1392" t="n"/>
      <c r="CK850" s="1392" t="n"/>
      <c r="CL850" s="1392" t="n"/>
    </row>
    <row r="851">
      <c r="A851" s="5" t="inlineStr">
        <is>
          <t>.</t>
        </is>
      </c>
      <c r="B851" s="5" t="inlineStr">
        <is>
          <t>.</t>
        </is>
      </c>
      <c r="C851" s="1378">
        <f>IF(raw[[#This Row],[city]]="","-",IF(raw[[#This Row],[city]]="TODAY","-",C850+1))</f>
        <v/>
      </c>
      <c r="D851" s="1393" t="inlineStr">
        <is>
          <t>Bapaume</t>
        </is>
      </c>
      <c r="E851" s="1394" t="n">
        <v>38518</v>
      </c>
      <c r="F851" s="1394" t="n">
        <v>38519</v>
      </c>
      <c r="G851" s="1393" t="inlineStr">
        <is>
          <t>-</t>
        </is>
      </c>
      <c r="H851" s="1393" t="inlineStr">
        <is>
          <t>Transit</t>
        </is>
      </c>
      <c r="I851" s="1393" t="inlineStr">
        <is>
          <t>VF</t>
        </is>
      </c>
      <c r="J851" s="1393" t="inlineStr">
        <is>
          <t>-</t>
        </is>
      </c>
      <c r="K851" s="1395">
        <f>IF(raw[[#This Row],[city]]&lt;&gt;"",_xlfn.XLOOKUP($D851,ccc[city],ccc[prov],"-"),"-")</f>
        <v/>
      </c>
      <c r="L851" s="1395">
        <f>IF(raw[[#This Row],[city]]&lt;&gt;"",_xlfn.XLOOKUP($D851,ccc[city],ccc[ctry],"-"),"-")</f>
        <v/>
      </c>
      <c r="M851" s="1395">
        <f>IF(raw[[#This Row],[city]]&lt;&gt;"",_xlfn.XLOOKUP($D851,ccc[city],ccc[cont],"-"),"-")</f>
        <v/>
      </c>
      <c r="N851" s="1396">
        <f>IF(raw[[#This Row],[city]]="","-",IF(raw[[#This Row],[cont]]="B",raw[[#This Row],[cont]],"W"))</f>
        <v/>
      </c>
      <c r="O851" s="1397">
        <f>IF(raw[[#This Row],[out]]=0,0,IF(raw[[#This Row],[out]]=raw[[#This Row],[in]],0.01,raw[[#This Row],[out]]-raw[[#This Row],[in]]))</f>
        <v/>
      </c>
      <c r="P851" s="1397">
        <f>IF(raw[[#This Row],[in]]=0,0,MONTH(raw[[#This Row],[in]]))</f>
        <v/>
      </c>
      <c r="Q851" s="1397">
        <f>IF(raw[[#This Row],[in]]=0,0,YEAR(raw[[#This Row],[in]]))</f>
        <v/>
      </c>
      <c r="R851" s="1397">
        <f>INT(raw[[#This Row],[yr]]/10)*10</f>
        <v/>
      </c>
      <c r="S851" s="1395">
        <f>IF(raw[[#This Row],[city]]="","-",IF(raw[[#This Row],[city]]&lt;&gt;_xlfn.XLOOKUP(raw[[#This Row],[home]],homes[home],homes[city],"-"),1,0))</f>
        <v/>
      </c>
      <c r="T851" s="1398" t="inlineStr">
        <is>
          <t>.</t>
        </is>
      </c>
      <c r="U851" s="1399">
        <f>IF(raw[[#This Row],[wb]]="w",raw[[#This Row],[stay]]+U850,U850)</f>
        <v/>
      </c>
      <c r="V851" s="1400">
        <f>IF(raw[[#This Row],[out]]=0,V850,(raw[[#This Row],[out]]-E$5))</f>
        <v/>
      </c>
      <c r="W851" s="1401">
        <f>U851/V851</f>
        <v/>
      </c>
      <c r="X851" s="1378" t="inlineStr">
        <is>
          <t>.</t>
        </is>
      </c>
      <c r="Y851" s="1402" t="n"/>
      <c r="Z851" s="1403" t="n"/>
      <c r="AA851" s="1403" t="n"/>
      <c r="AB851" s="1400">
        <f t="array" ref="AB851">_xlfn.LET(_xlpm.S,_xlfn.ANCHORARRAY($Y$4),_xlpm.r,ROWS(stayCity[[#Headers],[city]]:stayCity[[#This Row],[city]])-1,IF(_xlpm.r&lt;=ROWS(_xlpm.S),INDEX(_xlpm.S,_xlpm.r,1),""))</f>
        <v/>
      </c>
      <c r="AC851" s="1405">
        <f t="array" ref="AC851">_xlfn.LET(_xlpm.S,_xlfn.ANCHORARRAY($Y$4),_xlpm.r,ROWS(stayCity[[#Headers],[city]]:stayCity[[#This Row],[city]])-1,IF(_xlpm.r&lt;=ROWS(_xlpm.S),INDEX(_xlpm.S,_xlpm.r,2),""))</f>
        <v/>
      </c>
      <c r="AD851" s="1405">
        <f t="array" ref="AD851">_xlfn.LET(_xlpm.S,_xlfn.ANCHORARRAY($Y$4),_xlpm.r,ROWS(stayCity[[#Headers],[city]]:stayCity[[#This Row],[city]])-1,IF(_xlpm.r&lt;=ROWS(_xlpm.S),INDEX(_xlpm.S,_xlpm.r,3),""))</f>
        <v/>
      </c>
      <c r="AE851" s="1400">
        <f>IF(stayCity[[#This Row],[out]]&lt;&gt;"",stayCity[[#This Row],[out]]-stayCity[[#This Row],[in]],"-")</f>
        <v/>
      </c>
      <c r="AF851" s="1406">
        <f>IF(Y851="","-",YEAR(stayCity[[#This Row],[in]]))</f>
        <v/>
      </c>
      <c r="AG851" s="1392" t="n"/>
      <c r="AH851" s="1392" t="n"/>
      <c r="AI851" s="1392" t="n"/>
      <c r="AJ851" s="1392" t="n"/>
      <c r="AK851" s="1392" t="n"/>
      <c r="AL851" s="1392" t="n"/>
      <c r="AM851" s="1392" t="n"/>
      <c r="AN851" s="1392" t="n"/>
      <c r="AO851" s="1392" t="n"/>
      <c r="AP851" s="1392" t="n"/>
      <c r="AQ851" s="1392" t="n"/>
      <c r="AR851" s="1392" t="n"/>
      <c r="AS851" s="1422" t="n"/>
      <c r="AT851" s="1392" t="n"/>
      <c r="AU851" s="1392" t="n"/>
      <c r="AV851" s="1392" t="n"/>
      <c r="AW851" s="1392" t="n"/>
      <c r="AX851" s="1392" t="n"/>
      <c r="AY851" s="1392" t="n"/>
      <c r="AZ851" s="1392" t="n"/>
      <c r="BA851" s="1392" t="n"/>
      <c r="BB851" s="1422" t="n"/>
      <c r="BC851" s="1392" t="n"/>
      <c r="BD851" s="1392" t="n"/>
      <c r="BE851" s="1392" t="n"/>
      <c r="BF851" s="1392" t="n"/>
      <c r="BG851" s="1392" t="n"/>
      <c r="BH851" s="1392" t="n"/>
      <c r="BI851" s="1392" t="n"/>
      <c r="BJ851" s="1392" t="n"/>
      <c r="BK851" s="1392" t="n"/>
      <c r="BL851" s="1392" t="n"/>
      <c r="BM851" s="1392" t="n"/>
      <c r="BN851" s="1392" t="n"/>
      <c r="BO851" s="1392" t="n"/>
      <c r="BP851" s="1392" t="n"/>
      <c r="BQ851" s="1392" t="n"/>
      <c r="BR851" s="1392" t="n"/>
      <c r="BS851" s="1392" t="n"/>
      <c r="BT851" s="1392" t="n"/>
      <c r="BU851" s="1416" t="n"/>
      <c r="BV851" s="1392" t="n"/>
      <c r="BW851" s="1392" t="n"/>
      <c r="BX851" s="1392" t="n"/>
      <c r="BY851" s="1392" t="n"/>
      <c r="BZ851" s="1416" t="n"/>
      <c r="CA851" s="1392" t="n"/>
      <c r="CB851" s="1392" t="n"/>
      <c r="CC851" s="1392" t="n"/>
      <c r="CD851" s="1392" t="n"/>
      <c r="CE851" s="1392" t="n"/>
      <c r="CF851" s="1392" t="n"/>
      <c r="CG851" s="1392" t="n"/>
      <c r="CH851" s="1392" t="n"/>
      <c r="CI851" s="1392" t="n"/>
      <c r="CJ851" s="1392" t="n"/>
      <c r="CK851" s="1392" t="n"/>
      <c r="CL851" s="1392" t="n"/>
    </row>
    <row r="852">
      <c r="A852" s="5" t="inlineStr">
        <is>
          <t>.</t>
        </is>
      </c>
      <c r="B852" s="5" t="inlineStr">
        <is>
          <t>.</t>
        </is>
      </c>
      <c r="C852" s="1378">
        <f>IF(raw[[#This Row],[city]]="","-",IF(raw[[#This Row],[city]]="TODAY","-",C851+1))</f>
        <v/>
      </c>
      <c r="D852" s="1393" t="inlineStr">
        <is>
          <t>Peronne</t>
        </is>
      </c>
      <c r="E852" s="1394" t="n">
        <v>38519</v>
      </c>
      <c r="F852" s="1394" t="n">
        <v>38520</v>
      </c>
      <c r="G852" s="1393" t="inlineStr">
        <is>
          <t>-</t>
        </is>
      </c>
      <c r="H852" s="1393" t="inlineStr">
        <is>
          <t>Transit</t>
        </is>
      </c>
      <c r="I852" s="1393" t="inlineStr">
        <is>
          <t>VF</t>
        </is>
      </c>
      <c r="J852" s="1393" t="inlineStr">
        <is>
          <t>-</t>
        </is>
      </c>
      <c r="K852" s="1395">
        <f>IF(raw[[#This Row],[city]]&lt;&gt;"",_xlfn.XLOOKUP($D852,ccc[city],ccc[prov],"-"),"-")</f>
        <v/>
      </c>
      <c r="L852" s="1395">
        <f>IF(raw[[#This Row],[city]]&lt;&gt;"",_xlfn.XLOOKUP($D852,ccc[city],ccc[ctry],"-"),"-")</f>
        <v/>
      </c>
      <c r="M852" s="1395">
        <f>IF(raw[[#This Row],[city]]&lt;&gt;"",_xlfn.XLOOKUP($D852,ccc[city],ccc[cont],"-"),"-")</f>
        <v/>
      </c>
      <c r="N852" s="1396">
        <f>IF(raw[[#This Row],[city]]="","-",IF(raw[[#This Row],[cont]]="B",raw[[#This Row],[cont]],"W"))</f>
        <v/>
      </c>
      <c r="O852" s="1397">
        <f>IF(raw[[#This Row],[out]]=0,0,IF(raw[[#This Row],[out]]=raw[[#This Row],[in]],0.01,raw[[#This Row],[out]]-raw[[#This Row],[in]]))</f>
        <v/>
      </c>
      <c r="P852" s="1397">
        <f>IF(raw[[#This Row],[in]]=0,0,MONTH(raw[[#This Row],[in]]))</f>
        <v/>
      </c>
      <c r="Q852" s="1397">
        <f>IF(raw[[#This Row],[in]]=0,0,YEAR(raw[[#This Row],[in]]))</f>
        <v/>
      </c>
      <c r="R852" s="1397">
        <f>INT(raw[[#This Row],[yr]]/10)*10</f>
        <v/>
      </c>
      <c r="S852" s="1395">
        <f>IF(raw[[#This Row],[city]]="","-",IF(raw[[#This Row],[city]]&lt;&gt;_xlfn.XLOOKUP(raw[[#This Row],[home]],homes[home],homes[city],"-"),1,0))</f>
        <v/>
      </c>
      <c r="T852" s="1398" t="inlineStr">
        <is>
          <t>.</t>
        </is>
      </c>
      <c r="U852" s="1399">
        <f>IF(raw[[#This Row],[wb]]="w",raw[[#This Row],[stay]]+U851,U851)</f>
        <v/>
      </c>
      <c r="V852" s="1400">
        <f>IF(raw[[#This Row],[out]]=0,V851,(raw[[#This Row],[out]]-E$5))</f>
        <v/>
      </c>
      <c r="W852" s="1401">
        <f>U852/V852</f>
        <v/>
      </c>
      <c r="X852" s="1378" t="inlineStr">
        <is>
          <t>.</t>
        </is>
      </c>
      <c r="Y852" s="1402" t="n"/>
      <c r="Z852" s="1403" t="n"/>
      <c r="AA852" s="1403" t="n"/>
      <c r="AB852" s="1400">
        <f t="array" ref="AB852">_xlfn.LET(_xlpm.S,_xlfn.ANCHORARRAY($Y$4),_xlpm.r,ROWS(stayCity[[#Headers],[city]]:stayCity[[#This Row],[city]])-1,IF(_xlpm.r&lt;=ROWS(_xlpm.S),INDEX(_xlpm.S,_xlpm.r,1),""))</f>
        <v/>
      </c>
      <c r="AC852" s="1405">
        <f t="array" ref="AC852">_xlfn.LET(_xlpm.S,_xlfn.ANCHORARRAY($Y$4),_xlpm.r,ROWS(stayCity[[#Headers],[city]]:stayCity[[#This Row],[city]])-1,IF(_xlpm.r&lt;=ROWS(_xlpm.S),INDEX(_xlpm.S,_xlpm.r,2),""))</f>
        <v/>
      </c>
      <c r="AD852" s="1405">
        <f t="array" ref="AD852">_xlfn.LET(_xlpm.S,_xlfn.ANCHORARRAY($Y$4),_xlpm.r,ROWS(stayCity[[#Headers],[city]]:stayCity[[#This Row],[city]])-1,IF(_xlpm.r&lt;=ROWS(_xlpm.S),INDEX(_xlpm.S,_xlpm.r,3),""))</f>
        <v/>
      </c>
      <c r="AE852" s="1400">
        <f>IF(stayCity[[#This Row],[out]]&lt;&gt;"",stayCity[[#This Row],[out]]-stayCity[[#This Row],[in]],"-")</f>
        <v/>
      </c>
      <c r="AF852" s="1406">
        <f>IF(Y852="","-",YEAR(stayCity[[#This Row],[in]]))</f>
        <v/>
      </c>
      <c r="AG852" s="1392" t="n"/>
      <c r="AH852" s="1392" t="n"/>
      <c r="AI852" s="1392" t="n"/>
      <c r="AJ852" s="1392" t="n"/>
      <c r="AK852" s="1392" t="n"/>
      <c r="AL852" s="1392" t="n"/>
      <c r="AM852" s="1392" t="n"/>
      <c r="AN852" s="1392" t="n"/>
      <c r="AO852" s="1392" t="n"/>
      <c r="AP852" s="1392" t="n"/>
      <c r="AQ852" s="1392" t="n"/>
      <c r="AR852" s="1392" t="n"/>
      <c r="AS852" s="1422" t="n"/>
      <c r="AT852" s="1392" t="n"/>
      <c r="AU852" s="1392" t="n"/>
      <c r="AV852" s="1392" t="n"/>
      <c r="AW852" s="1392" t="n"/>
      <c r="AX852" s="1392" t="n"/>
      <c r="AY852" s="1392" t="n"/>
      <c r="AZ852" s="1392" t="n"/>
      <c r="BA852" s="1392" t="n"/>
      <c r="BB852" s="1422" t="n"/>
      <c r="BC852" s="1392" t="n"/>
      <c r="BD852" s="1392" t="n"/>
      <c r="BE852" s="1392" t="n"/>
      <c r="BF852" s="1392" t="n"/>
      <c r="BG852" s="1392" t="n"/>
      <c r="BH852" s="1392" t="n"/>
      <c r="BI852" s="1392" t="n"/>
      <c r="BJ852" s="1392" t="n"/>
      <c r="BK852" s="1392" t="n"/>
      <c r="BL852" s="1392" t="n"/>
      <c r="BM852" s="1392" t="n"/>
      <c r="BN852" s="1392" t="n"/>
      <c r="BO852" s="1392" t="n"/>
      <c r="BP852" s="1392" t="n"/>
      <c r="BQ852" s="1392" t="n"/>
      <c r="BR852" s="1392" t="n"/>
      <c r="BS852" s="1392" t="n"/>
      <c r="BT852" s="1392" t="n"/>
      <c r="BU852" s="1416" t="n"/>
      <c r="BV852" s="1392" t="n"/>
      <c r="BW852" s="1392" t="n"/>
      <c r="BX852" s="1392" t="n"/>
      <c r="BY852" s="1392" t="n"/>
      <c r="BZ852" s="1416" t="n"/>
      <c r="CA852" s="1392" t="n"/>
      <c r="CB852" s="1392" t="n"/>
      <c r="CC852" s="1392" t="n"/>
      <c r="CD852" s="1392" t="n"/>
      <c r="CE852" s="1392" t="n"/>
      <c r="CF852" s="1392" t="n"/>
      <c r="CG852" s="1392" t="n"/>
      <c r="CH852" s="1392" t="n"/>
      <c r="CI852" s="1392" t="n"/>
      <c r="CJ852" s="1392" t="n"/>
      <c r="CK852" s="1392" t="n"/>
      <c r="CL852" s="1392" t="n"/>
    </row>
    <row r="853">
      <c r="A853" s="5" t="inlineStr">
        <is>
          <t>.</t>
        </is>
      </c>
      <c r="B853" s="5" t="inlineStr">
        <is>
          <t>.</t>
        </is>
      </c>
      <c r="C853" s="1378">
        <f>IF(raw[[#This Row],[city]]="","-",IF(raw[[#This Row],[city]]="TODAY","-",C852+1))</f>
        <v/>
      </c>
      <c r="D853" s="1393" t="inlineStr">
        <is>
          <t>Trefcon</t>
        </is>
      </c>
      <c r="E853" s="1394" t="n">
        <v>38520</v>
      </c>
      <c r="F853" s="1394" t="n">
        <v>38521</v>
      </c>
      <c r="G853" s="1393" t="inlineStr">
        <is>
          <t>-</t>
        </is>
      </c>
      <c r="H853" s="1393" t="inlineStr">
        <is>
          <t>Transit</t>
        </is>
      </c>
      <c r="I853" s="1393" t="inlineStr">
        <is>
          <t>VF</t>
        </is>
      </c>
      <c r="J853" s="1393" t="inlineStr">
        <is>
          <t>-</t>
        </is>
      </c>
      <c r="K853" s="1395">
        <f>IF(raw[[#This Row],[city]]&lt;&gt;"",_xlfn.XLOOKUP($D853,ccc[city],ccc[prov],"-"),"-")</f>
        <v/>
      </c>
      <c r="L853" s="1395">
        <f>IF(raw[[#This Row],[city]]&lt;&gt;"",_xlfn.XLOOKUP($D853,ccc[city],ccc[ctry],"-"),"-")</f>
        <v/>
      </c>
      <c r="M853" s="1395">
        <f>IF(raw[[#This Row],[city]]&lt;&gt;"",_xlfn.XLOOKUP($D853,ccc[city],ccc[cont],"-"),"-")</f>
        <v/>
      </c>
      <c r="N853" s="1396">
        <f>IF(raw[[#This Row],[city]]="","-",IF(raw[[#This Row],[cont]]="B",raw[[#This Row],[cont]],"W"))</f>
        <v/>
      </c>
      <c r="O853" s="1397">
        <f>IF(raw[[#This Row],[out]]=0,0,IF(raw[[#This Row],[out]]=raw[[#This Row],[in]],0.01,raw[[#This Row],[out]]-raw[[#This Row],[in]]))</f>
        <v/>
      </c>
      <c r="P853" s="1397">
        <f>IF(raw[[#This Row],[in]]=0,0,MONTH(raw[[#This Row],[in]]))</f>
        <v/>
      </c>
      <c r="Q853" s="1397">
        <f>IF(raw[[#This Row],[in]]=0,0,YEAR(raw[[#This Row],[in]]))</f>
        <v/>
      </c>
      <c r="R853" s="1397">
        <f>INT(raw[[#This Row],[yr]]/10)*10</f>
        <v/>
      </c>
      <c r="S853" s="1395">
        <f>IF(raw[[#This Row],[city]]="","-",IF(raw[[#This Row],[city]]&lt;&gt;_xlfn.XLOOKUP(raw[[#This Row],[home]],homes[home],homes[city],"-"),1,0))</f>
        <v/>
      </c>
      <c r="T853" s="1398" t="inlineStr">
        <is>
          <t>.</t>
        </is>
      </c>
      <c r="U853" s="1399">
        <f>IF(raw[[#This Row],[wb]]="w",raw[[#This Row],[stay]]+U852,U852)</f>
        <v/>
      </c>
      <c r="V853" s="1400">
        <f>IF(raw[[#This Row],[out]]=0,V852,(raw[[#This Row],[out]]-E$5))</f>
        <v/>
      </c>
      <c r="W853" s="1401">
        <f>U853/V853</f>
        <v/>
      </c>
      <c r="X853" s="1378" t="inlineStr">
        <is>
          <t>.</t>
        </is>
      </c>
      <c r="Y853" s="1402" t="n"/>
      <c r="Z853" s="1403" t="n"/>
      <c r="AA853" s="1403" t="n"/>
      <c r="AB853" s="1400">
        <f t="array" ref="AB853">_xlfn.LET(_xlpm.S,_xlfn.ANCHORARRAY($Y$4),_xlpm.r,ROWS(stayCity[[#Headers],[city]]:stayCity[[#This Row],[city]])-1,IF(_xlpm.r&lt;=ROWS(_xlpm.S),INDEX(_xlpm.S,_xlpm.r,1),""))</f>
        <v/>
      </c>
      <c r="AC853" s="1405">
        <f t="array" ref="AC853">_xlfn.LET(_xlpm.S,_xlfn.ANCHORARRAY($Y$4),_xlpm.r,ROWS(stayCity[[#Headers],[city]]:stayCity[[#This Row],[city]])-1,IF(_xlpm.r&lt;=ROWS(_xlpm.S),INDEX(_xlpm.S,_xlpm.r,2),""))</f>
        <v/>
      </c>
      <c r="AD853" s="1405">
        <f t="array" ref="AD853">_xlfn.LET(_xlpm.S,_xlfn.ANCHORARRAY($Y$4),_xlpm.r,ROWS(stayCity[[#Headers],[city]]:stayCity[[#This Row],[city]])-1,IF(_xlpm.r&lt;=ROWS(_xlpm.S),INDEX(_xlpm.S,_xlpm.r,3),""))</f>
        <v/>
      </c>
      <c r="AE853" s="1400">
        <f>IF(stayCity[[#This Row],[out]]&lt;&gt;"",stayCity[[#This Row],[out]]-stayCity[[#This Row],[in]],"-")</f>
        <v/>
      </c>
      <c r="AF853" s="1406">
        <f>IF(Y853="","-",YEAR(stayCity[[#This Row],[in]]))</f>
        <v/>
      </c>
      <c r="AG853" s="1392" t="n"/>
      <c r="AH853" s="1392" t="n"/>
      <c r="AI853" s="1392" t="n"/>
      <c r="AJ853" s="1392" t="n"/>
      <c r="AK853" s="1392" t="n"/>
      <c r="AL853" s="1392" t="n"/>
      <c r="AM853" s="1392" t="n"/>
      <c r="AN853" s="1392" t="n"/>
      <c r="AO853" s="1392" t="n"/>
      <c r="AP853" s="1392" t="n"/>
      <c r="AQ853" s="1392" t="n"/>
      <c r="AR853" s="1392" t="n"/>
      <c r="AS853" s="1422" t="n"/>
      <c r="AT853" s="1392" t="n"/>
      <c r="AU853" s="1392" t="n"/>
      <c r="AV853" s="1392" t="n"/>
      <c r="AW853" s="1392" t="n"/>
      <c r="AX853" s="1392" t="n"/>
      <c r="AY853" s="1392" t="n"/>
      <c r="AZ853" s="1392" t="n"/>
      <c r="BA853" s="1392" t="n"/>
      <c r="BB853" s="1422" t="n"/>
      <c r="BC853" s="1392" t="n"/>
      <c r="BD853" s="1392" t="n"/>
      <c r="BE853" s="1392" t="n"/>
      <c r="BF853" s="1392" t="n"/>
      <c r="BG853" s="1392" t="n"/>
      <c r="BH853" s="1392" t="n"/>
      <c r="BI853" s="1392" t="n"/>
      <c r="BJ853" s="1392" t="n"/>
      <c r="BK853" s="1392" t="n"/>
      <c r="BL853" s="1392" t="n"/>
      <c r="BM853" s="1392" t="n"/>
      <c r="BN853" s="1392" t="n"/>
      <c r="BO853" s="1392" t="n"/>
      <c r="BP853" s="1392" t="n"/>
      <c r="BQ853" s="1392" t="n"/>
      <c r="BR853" s="1392" t="n"/>
      <c r="BS853" s="1392" t="n"/>
      <c r="BT853" s="1392" t="n"/>
      <c r="BU853" s="1416" t="n"/>
      <c r="BV853" s="1392" t="n"/>
      <c r="BW853" s="1392" t="n"/>
      <c r="BX853" s="1392" t="n"/>
      <c r="BY853" s="1392" t="n"/>
      <c r="BZ853" s="1416" t="n"/>
      <c r="CA853" s="1392" t="n"/>
      <c r="CB853" s="1392" t="n"/>
      <c r="CC853" s="1392" t="n"/>
      <c r="CD853" s="1392" t="n"/>
      <c r="CE853" s="1392" t="n"/>
      <c r="CF853" s="1392" t="n"/>
      <c r="CG853" s="1392" t="n"/>
      <c r="CH853" s="1392" t="n"/>
      <c r="CI853" s="1392" t="n"/>
      <c r="CJ853" s="1392" t="n"/>
      <c r="CK853" s="1392" t="n"/>
      <c r="CL853" s="1392" t="n"/>
    </row>
    <row r="854">
      <c r="A854" s="5" t="inlineStr">
        <is>
          <t>.</t>
        </is>
      </c>
      <c r="B854" s="5" t="inlineStr">
        <is>
          <t>.</t>
        </is>
      </c>
      <c r="C854" s="1378">
        <f>IF(raw[[#This Row],[city]]="","-",IF(raw[[#This Row],[city]]="TODAY","-",C853+1))</f>
        <v/>
      </c>
      <c r="D854" s="1393" t="inlineStr">
        <is>
          <t>Montescourt-Lizerolles</t>
        </is>
      </c>
      <c r="E854" s="1394" t="n">
        <v>38521</v>
      </c>
      <c r="F854" s="1394" t="n">
        <v>38521</v>
      </c>
      <c r="G854" s="1393" t="inlineStr">
        <is>
          <t>-</t>
        </is>
      </c>
      <c r="H854" s="1393" t="inlineStr">
        <is>
          <t>Transit</t>
        </is>
      </c>
      <c r="I854" s="1393" t="inlineStr">
        <is>
          <t>VF</t>
        </is>
      </c>
      <c r="J854" s="1393" t="inlineStr">
        <is>
          <t>-</t>
        </is>
      </c>
      <c r="K854" s="1395">
        <f>IF(raw[[#This Row],[city]]&lt;&gt;"",_xlfn.XLOOKUP($D854,ccc[city],ccc[prov],"-"),"-")</f>
        <v/>
      </c>
      <c r="L854" s="1395">
        <f>IF(raw[[#This Row],[city]]&lt;&gt;"",_xlfn.XLOOKUP($D854,ccc[city],ccc[ctry],"-"),"-")</f>
        <v/>
      </c>
      <c r="M854" s="1395">
        <f>IF(raw[[#This Row],[city]]&lt;&gt;"",_xlfn.XLOOKUP($D854,ccc[city],ccc[cont],"-"),"-")</f>
        <v/>
      </c>
      <c r="N854" s="1396">
        <f>IF(raw[[#This Row],[city]]="","-",IF(raw[[#This Row],[cont]]="B",raw[[#This Row],[cont]],"W"))</f>
        <v/>
      </c>
      <c r="O854" s="1397">
        <f>IF(raw[[#This Row],[out]]=0,0,IF(raw[[#This Row],[out]]=raw[[#This Row],[in]],0.01,raw[[#This Row],[out]]-raw[[#This Row],[in]]))</f>
        <v/>
      </c>
      <c r="P854" s="1397">
        <f>IF(raw[[#This Row],[in]]=0,0,MONTH(raw[[#This Row],[in]]))</f>
        <v/>
      </c>
      <c r="Q854" s="1397">
        <f>IF(raw[[#This Row],[in]]=0,0,YEAR(raw[[#This Row],[in]]))</f>
        <v/>
      </c>
      <c r="R854" s="1397">
        <f>INT(raw[[#This Row],[yr]]/10)*10</f>
        <v/>
      </c>
      <c r="S854" s="1395">
        <f>IF(raw[[#This Row],[city]]="","-",IF(raw[[#This Row],[city]]&lt;&gt;_xlfn.XLOOKUP(raw[[#This Row],[home]],homes[home],homes[city],"-"),1,0))</f>
        <v/>
      </c>
      <c r="T854" s="1398" t="inlineStr">
        <is>
          <t>.</t>
        </is>
      </c>
      <c r="U854" s="1399">
        <f>IF(raw[[#This Row],[wb]]="w",raw[[#This Row],[stay]]+U853,U853)</f>
        <v/>
      </c>
      <c r="V854" s="1400">
        <f>IF(raw[[#This Row],[out]]=0,V853,(raw[[#This Row],[out]]-E$5))</f>
        <v/>
      </c>
      <c r="W854" s="1401">
        <f>U854/V854</f>
        <v/>
      </c>
      <c r="X854" s="1378" t="inlineStr">
        <is>
          <t>.</t>
        </is>
      </c>
      <c r="Y854" s="1402" t="n"/>
      <c r="Z854" s="1403" t="n"/>
      <c r="AA854" s="1403" t="n"/>
      <c r="AB854" s="1400">
        <f t="array" ref="AB854">_xlfn.LET(_xlpm.S,_xlfn.ANCHORARRAY($Y$4),_xlpm.r,ROWS(stayCity[[#Headers],[city]]:stayCity[[#This Row],[city]])-1,IF(_xlpm.r&lt;=ROWS(_xlpm.S),INDEX(_xlpm.S,_xlpm.r,1),""))</f>
        <v/>
      </c>
      <c r="AC854" s="1405">
        <f t="array" ref="AC854">_xlfn.LET(_xlpm.S,_xlfn.ANCHORARRAY($Y$4),_xlpm.r,ROWS(stayCity[[#Headers],[city]]:stayCity[[#This Row],[city]])-1,IF(_xlpm.r&lt;=ROWS(_xlpm.S),INDEX(_xlpm.S,_xlpm.r,2),""))</f>
        <v/>
      </c>
      <c r="AD854" s="1405">
        <f t="array" ref="AD854">_xlfn.LET(_xlpm.S,_xlfn.ANCHORARRAY($Y$4),_xlpm.r,ROWS(stayCity[[#Headers],[city]]:stayCity[[#This Row],[city]])-1,IF(_xlpm.r&lt;=ROWS(_xlpm.S),INDEX(_xlpm.S,_xlpm.r,3),""))</f>
        <v/>
      </c>
      <c r="AE854" s="1400">
        <f>IF(stayCity[[#This Row],[out]]&lt;&gt;"",stayCity[[#This Row],[out]]-stayCity[[#This Row],[in]],"-")</f>
        <v/>
      </c>
      <c r="AF854" s="1406">
        <f>IF(Y854="","-",YEAR(stayCity[[#This Row],[in]]))</f>
        <v/>
      </c>
      <c r="AG854" s="1392" t="n"/>
      <c r="AH854" s="1392" t="n"/>
      <c r="AI854" s="1392" t="n"/>
      <c r="AJ854" s="1392" t="n"/>
      <c r="AK854" s="1392" t="n"/>
      <c r="AL854" s="1392" t="n"/>
      <c r="AM854" s="1392" t="n"/>
      <c r="AN854" s="1392" t="n"/>
      <c r="AO854" s="1392" t="n"/>
      <c r="AP854" s="1392" t="n"/>
      <c r="AQ854" s="1392" t="n"/>
      <c r="AR854" s="1392" t="n"/>
      <c r="AS854" s="1422" t="n"/>
      <c r="AT854" s="1392" t="n"/>
      <c r="AU854" s="1392" t="n"/>
      <c r="AV854" s="1392" t="n"/>
      <c r="AW854" s="1392" t="n"/>
      <c r="AX854" s="1392" t="n"/>
      <c r="AY854" s="1392" t="n"/>
      <c r="AZ854" s="1392" t="n"/>
      <c r="BA854" s="1392" t="n"/>
      <c r="BB854" s="1422" t="n"/>
      <c r="BC854" s="1392" t="n"/>
      <c r="BD854" s="1392" t="n"/>
      <c r="BE854" s="1392" t="n"/>
      <c r="BF854" s="1392" t="n"/>
      <c r="BG854" s="1392" t="n"/>
      <c r="BH854" s="1392" t="n"/>
      <c r="BI854" s="1392" t="n"/>
      <c r="BJ854" s="1392" t="n"/>
      <c r="BK854" s="1392" t="n"/>
      <c r="BL854" s="1392" t="n"/>
      <c r="BM854" s="1392" t="n"/>
      <c r="BN854" s="1392" t="n"/>
      <c r="BO854" s="1392" t="n"/>
      <c r="BP854" s="1392" t="n"/>
      <c r="BQ854" s="1392" t="n"/>
      <c r="BR854" s="1392" t="n"/>
      <c r="BS854" s="1392" t="n"/>
      <c r="BT854" s="1392" t="n"/>
      <c r="BU854" s="1416" t="n"/>
      <c r="BV854" s="1392" t="n"/>
      <c r="BW854" s="1392" t="n"/>
      <c r="BX854" s="1392" t="n"/>
      <c r="BY854" s="1392" t="n"/>
      <c r="BZ854" s="1416" t="n"/>
      <c r="CA854" s="1392" t="n"/>
      <c r="CB854" s="1392" t="n"/>
      <c r="CC854" s="1392" t="n"/>
      <c r="CD854" s="1392" t="n"/>
      <c r="CE854" s="1392" t="n"/>
      <c r="CF854" s="1392" t="n"/>
      <c r="CG854" s="1392" t="n"/>
      <c r="CH854" s="1392" t="n"/>
      <c r="CI854" s="1392" t="n"/>
      <c r="CJ854" s="1392" t="n"/>
      <c r="CK854" s="1392" t="n"/>
      <c r="CL854" s="1392" t="n"/>
    </row>
    <row r="855">
      <c r="A855" s="5" t="inlineStr">
        <is>
          <t>.</t>
        </is>
      </c>
      <c r="B855" s="5" t="inlineStr">
        <is>
          <t>.</t>
        </is>
      </c>
      <c r="C855" s="1378">
        <f>IF(raw[[#This Row],[city]]="","-",IF(raw[[#This Row],[city]]="TODAY","-",C854+1))</f>
        <v/>
      </c>
      <c r="D855" s="1393" t="inlineStr">
        <is>
          <t>Tergnier</t>
        </is>
      </c>
      <c r="E855" s="1394" t="n">
        <v>38521</v>
      </c>
      <c r="F855" s="1394" t="n">
        <v>38521</v>
      </c>
      <c r="G855" s="1393" t="inlineStr">
        <is>
          <t>-</t>
        </is>
      </c>
      <c r="H855" s="1393" t="inlineStr">
        <is>
          <t>Transit</t>
        </is>
      </c>
      <c r="I855" s="1393" t="inlineStr">
        <is>
          <t>VF</t>
        </is>
      </c>
      <c r="J855" s="1393" t="inlineStr">
        <is>
          <t>-</t>
        </is>
      </c>
      <c r="K855" s="1395">
        <f>IF(raw[[#This Row],[city]]&lt;&gt;"",_xlfn.XLOOKUP($D855,ccc[city],ccc[prov],"-"),"-")</f>
        <v/>
      </c>
      <c r="L855" s="1395">
        <f>IF(raw[[#This Row],[city]]&lt;&gt;"",_xlfn.XLOOKUP($D855,ccc[city],ccc[ctry],"-"),"-")</f>
        <v/>
      </c>
      <c r="M855" s="1395">
        <f>IF(raw[[#This Row],[city]]&lt;&gt;"",_xlfn.XLOOKUP($D855,ccc[city],ccc[cont],"-"),"-")</f>
        <v/>
      </c>
      <c r="N855" s="1396">
        <f>IF(raw[[#This Row],[city]]="","-",IF(raw[[#This Row],[cont]]="B",raw[[#This Row],[cont]],"W"))</f>
        <v/>
      </c>
      <c r="O855" s="1397">
        <f>IF(raw[[#This Row],[out]]=0,0,IF(raw[[#This Row],[out]]=raw[[#This Row],[in]],0.01,raw[[#This Row],[out]]-raw[[#This Row],[in]]))</f>
        <v/>
      </c>
      <c r="P855" s="1397">
        <f>IF(raw[[#This Row],[in]]=0,0,MONTH(raw[[#This Row],[in]]))</f>
        <v/>
      </c>
      <c r="Q855" s="1397">
        <f>IF(raw[[#This Row],[in]]=0,0,YEAR(raw[[#This Row],[in]]))</f>
        <v/>
      </c>
      <c r="R855" s="1397">
        <f>INT(raw[[#This Row],[yr]]/10)*10</f>
        <v/>
      </c>
      <c r="S855" s="1395">
        <f>IF(raw[[#This Row],[city]]="","-",IF(raw[[#This Row],[city]]&lt;&gt;_xlfn.XLOOKUP(raw[[#This Row],[home]],homes[home],homes[city],"-"),1,0))</f>
        <v/>
      </c>
      <c r="T855" s="1398" t="inlineStr">
        <is>
          <t>.</t>
        </is>
      </c>
      <c r="U855" s="1399">
        <f>IF(raw[[#This Row],[wb]]="w",raw[[#This Row],[stay]]+U854,U854)</f>
        <v/>
      </c>
      <c r="V855" s="1400">
        <f>IF(raw[[#This Row],[out]]=0,V854,(raw[[#This Row],[out]]-E$5))</f>
        <v/>
      </c>
      <c r="W855" s="1401">
        <f>U855/V855</f>
        <v/>
      </c>
      <c r="X855" s="1378" t="inlineStr">
        <is>
          <t>.</t>
        </is>
      </c>
      <c r="Y855" s="1402" t="n"/>
      <c r="Z855" s="1403" t="n"/>
      <c r="AA855" s="1403" t="n"/>
      <c r="AB855" s="1400">
        <f t="array" ref="AB855">_xlfn.LET(_xlpm.S,_xlfn.ANCHORARRAY($Y$4),_xlpm.r,ROWS(stayCity[[#Headers],[city]]:stayCity[[#This Row],[city]])-1,IF(_xlpm.r&lt;=ROWS(_xlpm.S),INDEX(_xlpm.S,_xlpm.r,1),""))</f>
        <v/>
      </c>
      <c r="AC855" s="1405">
        <f t="array" ref="AC855">_xlfn.LET(_xlpm.S,_xlfn.ANCHORARRAY($Y$4),_xlpm.r,ROWS(stayCity[[#Headers],[city]]:stayCity[[#This Row],[city]])-1,IF(_xlpm.r&lt;=ROWS(_xlpm.S),INDEX(_xlpm.S,_xlpm.r,2),""))</f>
        <v/>
      </c>
      <c r="AD855" s="1405">
        <f t="array" ref="AD855">_xlfn.LET(_xlpm.S,_xlfn.ANCHORARRAY($Y$4),_xlpm.r,ROWS(stayCity[[#Headers],[city]]:stayCity[[#This Row],[city]])-1,IF(_xlpm.r&lt;=ROWS(_xlpm.S),INDEX(_xlpm.S,_xlpm.r,3),""))</f>
        <v/>
      </c>
      <c r="AE855" s="1400">
        <f>IF(stayCity[[#This Row],[out]]&lt;&gt;"",stayCity[[#This Row],[out]]-stayCity[[#This Row],[in]],"-")</f>
        <v/>
      </c>
      <c r="AF855" s="1406">
        <f>IF(Y855="","-",YEAR(stayCity[[#This Row],[in]]))</f>
        <v/>
      </c>
      <c r="AG855" s="1392" t="n"/>
      <c r="AH855" s="1392" t="n"/>
      <c r="AI855" s="1392" t="n"/>
      <c r="AJ855" s="1392" t="n"/>
      <c r="AK855" s="1392" t="n"/>
      <c r="AL855" s="1392" t="n"/>
      <c r="AM855" s="1392" t="n"/>
      <c r="AN855" s="1392" t="n"/>
      <c r="AO855" s="1392" t="n"/>
      <c r="AP855" s="1392" t="n"/>
      <c r="AQ855" s="1392" t="n"/>
      <c r="AR855" s="1392" t="n"/>
      <c r="AS855" s="1422" t="n"/>
      <c r="AT855" s="1392" t="n"/>
      <c r="AU855" s="1392" t="n"/>
      <c r="AV855" s="1392" t="n"/>
      <c r="AW855" s="1392" t="n"/>
      <c r="AX855" s="1392" t="n"/>
      <c r="AY855" s="1392" t="n"/>
      <c r="AZ855" s="1392" t="n"/>
      <c r="BA855" s="1392" t="n"/>
      <c r="BB855" s="1422" t="n"/>
      <c r="BC855" s="1392" t="n"/>
      <c r="BD855" s="1392" t="n"/>
      <c r="BE855" s="1392" t="n"/>
      <c r="BF855" s="1392" t="n"/>
      <c r="BG855" s="1392" t="n"/>
      <c r="BH855" s="1392" t="n"/>
      <c r="BI855" s="1392" t="n"/>
      <c r="BJ855" s="1392" t="n"/>
      <c r="BK855" s="1392" t="n"/>
      <c r="BL855" s="1392" t="n"/>
      <c r="BM855" s="1392" t="n"/>
      <c r="BN855" s="1392" t="n"/>
      <c r="BO855" s="1392" t="n"/>
      <c r="BP855" s="1392" t="n"/>
      <c r="BQ855" s="1392" t="n"/>
      <c r="BR855" s="1392" t="n"/>
      <c r="BS855" s="1392" t="n"/>
      <c r="BT855" s="1392" t="n"/>
      <c r="BU855" s="1416" t="n"/>
      <c r="BV855" s="1392" t="n"/>
      <c r="BW855" s="1392" t="n"/>
      <c r="BX855" s="1392" t="n"/>
      <c r="BY855" s="1392" t="n"/>
      <c r="BZ855" s="1416" t="n"/>
      <c r="CA855" s="1392" t="n"/>
      <c r="CB855" s="1392" t="n"/>
      <c r="CC855" s="1392" t="n"/>
      <c r="CD855" s="1392" t="n"/>
      <c r="CE855" s="1392" t="n"/>
      <c r="CF855" s="1392" t="n"/>
      <c r="CG855" s="1392" t="n"/>
      <c r="CH855" s="1392" t="n"/>
      <c r="CI855" s="1392" t="n"/>
      <c r="CJ855" s="1392" t="n"/>
      <c r="CK855" s="1392" t="n"/>
      <c r="CL855" s="1392" t="n"/>
    </row>
    <row r="856">
      <c r="A856" s="5" t="inlineStr">
        <is>
          <t>.</t>
        </is>
      </c>
      <c r="B856" s="5" t="inlineStr">
        <is>
          <t>.</t>
        </is>
      </c>
      <c r="C856" s="1378">
        <f>IF(raw[[#This Row],[city]]="","-",IF(raw[[#This Row],[city]]="TODAY","-",C855+1))</f>
        <v/>
      </c>
      <c r="D856" s="1393" t="inlineStr">
        <is>
          <t>Laon</t>
        </is>
      </c>
      <c r="E856" s="1394" t="n">
        <v>38521</v>
      </c>
      <c r="F856" s="1394" t="n">
        <v>38522</v>
      </c>
      <c r="G856" s="1393" t="inlineStr">
        <is>
          <t>-</t>
        </is>
      </c>
      <c r="H856" s="1393" t="inlineStr">
        <is>
          <t>Transit</t>
        </is>
      </c>
      <c r="I856" s="1393" t="inlineStr">
        <is>
          <t>VF</t>
        </is>
      </c>
      <c r="J856" s="1393" t="inlineStr">
        <is>
          <t>-</t>
        </is>
      </c>
      <c r="K856" s="1395">
        <f>IF(raw[[#This Row],[city]]&lt;&gt;"",_xlfn.XLOOKUP($D856,ccc[city],ccc[prov],"-"),"-")</f>
        <v/>
      </c>
      <c r="L856" s="1395">
        <f>IF(raw[[#This Row],[city]]&lt;&gt;"",_xlfn.XLOOKUP($D856,ccc[city],ccc[ctry],"-"),"-")</f>
        <v/>
      </c>
      <c r="M856" s="1395">
        <f>IF(raw[[#This Row],[city]]&lt;&gt;"",_xlfn.XLOOKUP($D856,ccc[city],ccc[cont],"-"),"-")</f>
        <v/>
      </c>
      <c r="N856" s="1396">
        <f>IF(raw[[#This Row],[city]]="","-",IF(raw[[#This Row],[cont]]="B",raw[[#This Row],[cont]],"W"))</f>
        <v/>
      </c>
      <c r="O856" s="1397">
        <f>IF(raw[[#This Row],[out]]=0,0,IF(raw[[#This Row],[out]]=raw[[#This Row],[in]],0.01,raw[[#This Row],[out]]-raw[[#This Row],[in]]))</f>
        <v/>
      </c>
      <c r="P856" s="1397">
        <f>IF(raw[[#This Row],[in]]=0,0,MONTH(raw[[#This Row],[in]]))</f>
        <v/>
      </c>
      <c r="Q856" s="1397">
        <f>IF(raw[[#This Row],[in]]=0,0,YEAR(raw[[#This Row],[in]]))</f>
        <v/>
      </c>
      <c r="R856" s="1397">
        <f>INT(raw[[#This Row],[yr]]/10)*10</f>
        <v/>
      </c>
      <c r="S856" s="1395">
        <f>IF(raw[[#This Row],[city]]="","-",IF(raw[[#This Row],[city]]&lt;&gt;_xlfn.XLOOKUP(raw[[#This Row],[home]],homes[home],homes[city],"-"),1,0))</f>
        <v/>
      </c>
      <c r="T856" s="1398" t="inlineStr">
        <is>
          <t>.</t>
        </is>
      </c>
      <c r="U856" s="1399">
        <f>IF(raw[[#This Row],[wb]]="w",raw[[#This Row],[stay]]+U855,U855)</f>
        <v/>
      </c>
      <c r="V856" s="1400">
        <f>IF(raw[[#This Row],[out]]=0,V855,(raw[[#This Row],[out]]-E$5))</f>
        <v/>
      </c>
      <c r="W856" s="1401">
        <f>U856/V856</f>
        <v/>
      </c>
      <c r="X856" s="1378" t="inlineStr">
        <is>
          <t>.</t>
        </is>
      </c>
      <c r="Y856" s="1402" t="n"/>
      <c r="Z856" s="1403" t="n"/>
      <c r="AA856" s="1403" t="n"/>
      <c r="AB856" s="1400">
        <f t="array" ref="AB856">_xlfn.LET(_xlpm.S,_xlfn.ANCHORARRAY($Y$4),_xlpm.r,ROWS(stayCity[[#Headers],[city]]:stayCity[[#This Row],[city]])-1,IF(_xlpm.r&lt;=ROWS(_xlpm.S),INDEX(_xlpm.S,_xlpm.r,1),""))</f>
        <v/>
      </c>
      <c r="AC856" s="1405">
        <f t="array" ref="AC856">_xlfn.LET(_xlpm.S,_xlfn.ANCHORARRAY($Y$4),_xlpm.r,ROWS(stayCity[[#Headers],[city]]:stayCity[[#This Row],[city]])-1,IF(_xlpm.r&lt;=ROWS(_xlpm.S),INDEX(_xlpm.S,_xlpm.r,2),""))</f>
        <v/>
      </c>
      <c r="AD856" s="1405">
        <f t="array" ref="AD856">_xlfn.LET(_xlpm.S,_xlfn.ANCHORARRAY($Y$4),_xlpm.r,ROWS(stayCity[[#Headers],[city]]:stayCity[[#This Row],[city]])-1,IF(_xlpm.r&lt;=ROWS(_xlpm.S),INDEX(_xlpm.S,_xlpm.r,3),""))</f>
        <v/>
      </c>
      <c r="AE856" s="1400">
        <f>IF(stayCity[[#This Row],[out]]&lt;&gt;"",stayCity[[#This Row],[out]]-stayCity[[#This Row],[in]],"-")</f>
        <v/>
      </c>
      <c r="AF856" s="1406">
        <f>IF(Y856="","-",YEAR(stayCity[[#This Row],[in]]))</f>
        <v/>
      </c>
      <c r="AG856" s="1392" t="n"/>
      <c r="AH856" s="1392" t="n"/>
      <c r="AI856" s="1392" t="n"/>
      <c r="AJ856" s="1392" t="n"/>
      <c r="AK856" s="1392" t="n"/>
      <c r="AL856" s="1392" t="n"/>
      <c r="AM856" s="1392" t="n"/>
      <c r="AN856" s="1392" t="n"/>
      <c r="AO856" s="1392" t="n"/>
      <c r="AP856" s="1392" t="n"/>
      <c r="AQ856" s="1392" t="n"/>
      <c r="AR856" s="1392" t="n"/>
      <c r="AS856" s="1422" t="n"/>
      <c r="AT856" s="1392" t="n"/>
      <c r="AU856" s="1392" t="n"/>
      <c r="AV856" s="1392" t="n"/>
      <c r="AW856" s="1392" t="n"/>
      <c r="AX856" s="1392" t="n"/>
      <c r="AY856" s="1392" t="n"/>
      <c r="AZ856" s="1392" t="n"/>
      <c r="BA856" s="1392" t="n"/>
      <c r="BB856" s="1422" t="n"/>
      <c r="BC856" s="1392" t="n"/>
      <c r="BD856" s="1392" t="n"/>
      <c r="BE856" s="1392" t="n"/>
      <c r="BF856" s="1392" t="n"/>
      <c r="BG856" s="1392" t="n"/>
      <c r="BH856" s="1392" t="n"/>
      <c r="BI856" s="1392" t="n"/>
      <c r="BJ856" s="1392" t="n"/>
      <c r="BK856" s="1392" t="n"/>
      <c r="BL856" s="1392" t="n"/>
      <c r="BM856" s="1392" t="n"/>
      <c r="BN856" s="1392" t="n"/>
      <c r="BO856" s="1392" t="n"/>
      <c r="BP856" s="1392" t="n"/>
      <c r="BQ856" s="1392" t="n"/>
      <c r="BR856" s="1392" t="n"/>
      <c r="BS856" s="1392" t="n"/>
      <c r="BT856" s="1392" t="n"/>
      <c r="BU856" s="1416" t="n"/>
      <c r="BV856" s="1392" t="n"/>
      <c r="BW856" s="1392" t="n"/>
      <c r="BX856" s="1392" t="n"/>
      <c r="BY856" s="1392" t="n"/>
      <c r="BZ856" s="1416" t="n"/>
      <c r="CA856" s="1392" t="n"/>
      <c r="CB856" s="1392" t="n"/>
      <c r="CC856" s="1392" t="n"/>
      <c r="CD856" s="1392" t="n"/>
      <c r="CE856" s="1392" t="n"/>
      <c r="CF856" s="1392" t="n"/>
      <c r="CG856" s="1392" t="n"/>
      <c r="CH856" s="1392" t="n"/>
      <c r="CI856" s="1392" t="n"/>
      <c r="CJ856" s="1392" t="n"/>
      <c r="CK856" s="1392" t="n"/>
      <c r="CL856" s="1392" t="n"/>
    </row>
    <row r="857">
      <c r="A857" s="5" t="inlineStr">
        <is>
          <t>.</t>
        </is>
      </c>
      <c r="B857" s="5" t="inlineStr">
        <is>
          <t>.</t>
        </is>
      </c>
      <c r="C857" s="1378">
        <f>IF(raw[[#This Row],[city]]="","-",IF(raw[[#This Row],[city]]="TODAY","-",C856+1))</f>
        <v/>
      </c>
      <c r="D857" s="1393" t="inlineStr">
        <is>
          <t>Tergnier</t>
        </is>
      </c>
      <c r="E857" s="1394" t="n">
        <v>38522</v>
      </c>
      <c r="F857" s="1394" t="n">
        <v>38522</v>
      </c>
      <c r="G857" s="1393" t="inlineStr">
        <is>
          <t>-</t>
        </is>
      </c>
      <c r="H857" s="1393" t="inlineStr">
        <is>
          <t>Transit</t>
        </is>
      </c>
      <c r="I857" s="1393" t="inlineStr">
        <is>
          <t>VF</t>
        </is>
      </c>
      <c r="J857" s="1393" t="inlineStr">
        <is>
          <t>-</t>
        </is>
      </c>
      <c r="K857" s="1395">
        <f>IF(raw[[#This Row],[city]]&lt;&gt;"",_xlfn.XLOOKUP($D857,ccc[city],ccc[prov],"-"),"-")</f>
        <v/>
      </c>
      <c r="L857" s="1395">
        <f>IF(raw[[#This Row],[city]]&lt;&gt;"",_xlfn.XLOOKUP($D857,ccc[city],ccc[ctry],"-"),"-")</f>
        <v/>
      </c>
      <c r="M857" s="1395">
        <f>IF(raw[[#This Row],[city]]&lt;&gt;"",_xlfn.XLOOKUP($D857,ccc[city],ccc[cont],"-"),"-")</f>
        <v/>
      </c>
      <c r="N857" s="1396">
        <f>IF(raw[[#This Row],[city]]="","-",IF(raw[[#This Row],[cont]]="B",raw[[#This Row],[cont]],"W"))</f>
        <v/>
      </c>
      <c r="O857" s="1397">
        <f>IF(raw[[#This Row],[out]]=0,0,IF(raw[[#This Row],[out]]=raw[[#This Row],[in]],0.01,raw[[#This Row],[out]]-raw[[#This Row],[in]]))</f>
        <v/>
      </c>
      <c r="P857" s="1397">
        <f>IF(raw[[#This Row],[in]]=0,0,MONTH(raw[[#This Row],[in]]))</f>
        <v/>
      </c>
      <c r="Q857" s="1397">
        <f>IF(raw[[#This Row],[in]]=0,0,YEAR(raw[[#This Row],[in]]))</f>
        <v/>
      </c>
      <c r="R857" s="1397">
        <f>INT(raw[[#This Row],[yr]]/10)*10</f>
        <v/>
      </c>
      <c r="S857" s="1395">
        <f>IF(raw[[#This Row],[city]]="","-",IF(raw[[#This Row],[city]]&lt;&gt;_xlfn.XLOOKUP(raw[[#This Row],[home]],homes[home],homes[city],"-"),1,0))</f>
        <v/>
      </c>
      <c r="T857" s="1398" t="inlineStr">
        <is>
          <t>.</t>
        </is>
      </c>
      <c r="U857" s="1399">
        <f>IF(raw[[#This Row],[wb]]="w",raw[[#This Row],[stay]]+U856,U856)</f>
        <v/>
      </c>
      <c r="V857" s="1400">
        <f>IF(raw[[#This Row],[out]]=0,V856,(raw[[#This Row],[out]]-E$5))</f>
        <v/>
      </c>
      <c r="W857" s="1401">
        <f>U857/V857</f>
        <v/>
      </c>
      <c r="X857" s="1378" t="inlineStr">
        <is>
          <t>.</t>
        </is>
      </c>
      <c r="Y857" s="1402" t="n"/>
      <c r="Z857" s="1403" t="n"/>
      <c r="AA857" s="1403" t="n"/>
      <c r="AB857" s="1400">
        <f t="array" ref="AB857">_xlfn.LET(_xlpm.S,_xlfn.ANCHORARRAY($Y$4),_xlpm.r,ROWS(stayCity[[#Headers],[city]]:stayCity[[#This Row],[city]])-1,IF(_xlpm.r&lt;=ROWS(_xlpm.S),INDEX(_xlpm.S,_xlpm.r,1),""))</f>
        <v/>
      </c>
      <c r="AC857" s="1405">
        <f t="array" ref="AC857">_xlfn.LET(_xlpm.S,_xlfn.ANCHORARRAY($Y$4),_xlpm.r,ROWS(stayCity[[#Headers],[city]]:stayCity[[#This Row],[city]])-1,IF(_xlpm.r&lt;=ROWS(_xlpm.S),INDEX(_xlpm.S,_xlpm.r,2),""))</f>
        <v/>
      </c>
      <c r="AD857" s="1405">
        <f t="array" ref="AD857">_xlfn.LET(_xlpm.S,_xlfn.ANCHORARRAY($Y$4),_xlpm.r,ROWS(stayCity[[#Headers],[city]]:stayCity[[#This Row],[city]])-1,IF(_xlpm.r&lt;=ROWS(_xlpm.S),INDEX(_xlpm.S,_xlpm.r,3),""))</f>
        <v/>
      </c>
      <c r="AE857" s="1400">
        <f>IF(stayCity[[#This Row],[out]]&lt;&gt;"",stayCity[[#This Row],[out]]-stayCity[[#This Row],[in]],"-")</f>
        <v/>
      </c>
      <c r="AF857" s="1406">
        <f>IF(Y857="","-",YEAR(stayCity[[#This Row],[in]]))</f>
        <v/>
      </c>
      <c r="AG857" s="1392" t="n"/>
      <c r="AH857" s="1392" t="n"/>
      <c r="AI857" s="1392" t="n"/>
      <c r="AJ857" s="1392" t="n"/>
      <c r="AK857" s="1392" t="n"/>
      <c r="AL857" s="1392" t="n"/>
      <c r="AM857" s="1392" t="n"/>
      <c r="AN857" s="1392" t="n"/>
      <c r="AO857" s="1392" t="n"/>
      <c r="AP857" s="1392" t="n"/>
      <c r="AQ857" s="1392" t="n"/>
      <c r="AR857" s="1392" t="n"/>
      <c r="AS857" s="1422" t="n"/>
      <c r="AT857" s="1392" t="n"/>
      <c r="AU857" s="1392" t="n"/>
      <c r="AV857" s="1392" t="n"/>
      <c r="AW857" s="1392" t="n"/>
      <c r="AX857" s="1392" t="n"/>
      <c r="AY857" s="1392" t="n"/>
      <c r="AZ857" s="1392" t="n"/>
      <c r="BA857" s="1392" t="n"/>
      <c r="BB857" s="1422" t="n"/>
      <c r="BC857" s="1392" t="n"/>
      <c r="BD857" s="1392" t="n"/>
      <c r="BE857" s="1392" t="n"/>
      <c r="BF857" s="1392" t="n"/>
      <c r="BG857" s="1392" t="n"/>
      <c r="BH857" s="1392" t="n"/>
      <c r="BI857" s="1392" t="n"/>
      <c r="BJ857" s="1392" t="n"/>
      <c r="BK857" s="1392" t="n"/>
      <c r="BL857" s="1392" t="n"/>
      <c r="BM857" s="1392" t="n"/>
      <c r="BN857" s="1392" t="n"/>
      <c r="BO857" s="1392" t="n"/>
      <c r="BP857" s="1392" t="n"/>
      <c r="BQ857" s="1392" t="n"/>
      <c r="BR857" s="1392" t="n"/>
      <c r="BS857" s="1392" t="n"/>
      <c r="BT857" s="1392" t="n"/>
      <c r="BU857" s="1416" t="n"/>
      <c r="BV857" s="1392" t="n"/>
      <c r="BW857" s="1392" t="n"/>
      <c r="BX857" s="1392" t="n"/>
      <c r="BY857" s="1392" t="n"/>
      <c r="BZ857" s="1416" t="n"/>
      <c r="CA857" s="1392" t="n"/>
      <c r="CB857" s="1392" t="n"/>
      <c r="CC857" s="1392" t="n"/>
      <c r="CD857" s="1392" t="n"/>
      <c r="CE857" s="1392" t="n"/>
      <c r="CF857" s="1392" t="n"/>
      <c r="CG857" s="1392" t="n"/>
      <c r="CH857" s="1392" t="n"/>
      <c r="CI857" s="1392" t="n"/>
      <c r="CJ857" s="1392" t="n"/>
      <c r="CK857" s="1392" t="n"/>
      <c r="CL857" s="1392" t="n"/>
    </row>
    <row r="858">
      <c r="A858" s="5" t="inlineStr">
        <is>
          <t>.</t>
        </is>
      </c>
      <c r="B858" s="5" t="inlineStr">
        <is>
          <t>.</t>
        </is>
      </c>
      <c r="C858" s="1378">
        <f>IF(raw[[#This Row],[city]]="","-",IF(raw[[#This Row],[city]]="TODAY","-",C857+1))</f>
        <v/>
      </c>
      <c r="D858" s="1393" t="inlineStr">
        <is>
          <t>Laon</t>
        </is>
      </c>
      <c r="E858" s="1394" t="n">
        <v>38522</v>
      </c>
      <c r="F858" s="1394" t="n">
        <v>38523</v>
      </c>
      <c r="G858" s="1393" t="inlineStr">
        <is>
          <t>-</t>
        </is>
      </c>
      <c r="H858" s="1393" t="inlineStr">
        <is>
          <t>Transit</t>
        </is>
      </c>
      <c r="I858" s="1393" t="inlineStr">
        <is>
          <t>VF</t>
        </is>
      </c>
      <c r="J858" s="1393" t="inlineStr">
        <is>
          <t>-</t>
        </is>
      </c>
      <c r="K858" s="1395">
        <f>IF(raw[[#This Row],[city]]&lt;&gt;"",_xlfn.XLOOKUP($D858,ccc[city],ccc[prov],"-"),"-")</f>
        <v/>
      </c>
      <c r="L858" s="1395">
        <f>IF(raw[[#This Row],[city]]&lt;&gt;"",_xlfn.XLOOKUP($D858,ccc[city],ccc[ctry],"-"),"-")</f>
        <v/>
      </c>
      <c r="M858" s="1395">
        <f>IF(raw[[#This Row],[city]]&lt;&gt;"",_xlfn.XLOOKUP($D858,ccc[city],ccc[cont],"-"),"-")</f>
        <v/>
      </c>
      <c r="N858" s="1396">
        <f>IF(raw[[#This Row],[city]]="","-",IF(raw[[#This Row],[cont]]="B",raw[[#This Row],[cont]],"W"))</f>
        <v/>
      </c>
      <c r="O858" s="1397">
        <f>IF(raw[[#This Row],[out]]=0,0,IF(raw[[#This Row],[out]]=raw[[#This Row],[in]],0.01,raw[[#This Row],[out]]-raw[[#This Row],[in]]))</f>
        <v/>
      </c>
      <c r="P858" s="1397">
        <f>IF(raw[[#This Row],[in]]=0,0,MONTH(raw[[#This Row],[in]]))</f>
        <v/>
      </c>
      <c r="Q858" s="1397">
        <f>IF(raw[[#This Row],[in]]=0,0,YEAR(raw[[#This Row],[in]]))</f>
        <v/>
      </c>
      <c r="R858" s="1397">
        <f>INT(raw[[#This Row],[yr]]/10)*10</f>
        <v/>
      </c>
      <c r="S858" s="1395">
        <f>IF(raw[[#This Row],[city]]="","-",IF(raw[[#This Row],[city]]&lt;&gt;_xlfn.XLOOKUP(raw[[#This Row],[home]],homes[home],homes[city],"-"),1,0))</f>
        <v/>
      </c>
      <c r="T858" s="1398" t="inlineStr">
        <is>
          <t>.</t>
        </is>
      </c>
      <c r="U858" s="1399">
        <f>IF(raw[[#This Row],[wb]]="w",raw[[#This Row],[stay]]+U857,U857)</f>
        <v/>
      </c>
      <c r="V858" s="1400">
        <f>IF(raw[[#This Row],[out]]=0,V857,(raw[[#This Row],[out]]-E$5))</f>
        <v/>
      </c>
      <c r="W858" s="1401">
        <f>U858/V858</f>
        <v/>
      </c>
      <c r="X858" s="1378" t="inlineStr">
        <is>
          <t>.</t>
        </is>
      </c>
      <c r="Y858" s="1402" t="n"/>
      <c r="Z858" s="1403" t="n"/>
      <c r="AA858" s="1403" t="n"/>
      <c r="AB858" s="1400">
        <f t="array" ref="AB858">_xlfn.LET(_xlpm.S,_xlfn.ANCHORARRAY($Y$4),_xlpm.r,ROWS(stayCity[[#Headers],[city]]:stayCity[[#This Row],[city]])-1,IF(_xlpm.r&lt;=ROWS(_xlpm.S),INDEX(_xlpm.S,_xlpm.r,1),""))</f>
        <v/>
      </c>
      <c r="AC858" s="1405">
        <f t="array" ref="AC858">_xlfn.LET(_xlpm.S,_xlfn.ANCHORARRAY($Y$4),_xlpm.r,ROWS(stayCity[[#Headers],[city]]:stayCity[[#This Row],[city]])-1,IF(_xlpm.r&lt;=ROWS(_xlpm.S),INDEX(_xlpm.S,_xlpm.r,2),""))</f>
        <v/>
      </c>
      <c r="AD858" s="1405">
        <f t="array" ref="AD858">_xlfn.LET(_xlpm.S,_xlfn.ANCHORARRAY($Y$4),_xlpm.r,ROWS(stayCity[[#Headers],[city]]:stayCity[[#This Row],[city]])-1,IF(_xlpm.r&lt;=ROWS(_xlpm.S),INDEX(_xlpm.S,_xlpm.r,3),""))</f>
        <v/>
      </c>
      <c r="AE858" s="1400">
        <f>IF(stayCity[[#This Row],[out]]&lt;&gt;"",stayCity[[#This Row],[out]]-stayCity[[#This Row],[in]],"-")</f>
        <v/>
      </c>
      <c r="AF858" s="1406">
        <f>IF(Y858="","-",YEAR(stayCity[[#This Row],[in]]))</f>
        <v/>
      </c>
      <c r="AG858" s="1392" t="n"/>
      <c r="AH858" s="1392" t="n"/>
      <c r="AI858" s="1392" t="n"/>
      <c r="AJ858" s="1392" t="n"/>
      <c r="AK858" s="1392" t="n"/>
      <c r="AL858" s="1392" t="n"/>
      <c r="AM858" s="1392" t="n"/>
      <c r="AN858" s="1392" t="n"/>
      <c r="AO858" s="1392" t="n"/>
      <c r="AP858" s="1392" t="n"/>
      <c r="AQ858" s="1392" t="n"/>
      <c r="AR858" s="1392" t="n"/>
      <c r="AS858" s="1422" t="n"/>
      <c r="AT858" s="1392" t="n"/>
      <c r="AU858" s="1392" t="n"/>
      <c r="AV858" s="1392" t="n"/>
      <c r="AW858" s="1392" t="n"/>
      <c r="AX858" s="1392" t="n"/>
      <c r="AY858" s="1392" t="n"/>
      <c r="AZ858" s="1392" t="n"/>
      <c r="BA858" s="1392" t="n"/>
      <c r="BB858" s="1422" t="n"/>
      <c r="BC858" s="1392" t="n"/>
      <c r="BD858" s="1392" t="n"/>
      <c r="BE858" s="1392" t="n"/>
      <c r="BF858" s="1392" t="n"/>
      <c r="BG858" s="1392" t="n"/>
      <c r="BH858" s="1392" t="n"/>
      <c r="BI858" s="1392" t="n"/>
      <c r="BJ858" s="1392" t="n"/>
      <c r="BK858" s="1392" t="n"/>
      <c r="BL858" s="1392" t="n"/>
      <c r="BM858" s="1392" t="n"/>
      <c r="BN858" s="1392" t="n"/>
      <c r="BO858" s="1392" t="n"/>
      <c r="BP858" s="1392" t="n"/>
      <c r="BQ858" s="1392" t="n"/>
      <c r="BR858" s="1392" t="n"/>
      <c r="BS858" s="1392" t="n"/>
      <c r="BT858" s="1392" t="n"/>
      <c r="BU858" s="1416" t="n"/>
      <c r="BV858" s="1392" t="n"/>
      <c r="BW858" s="1392" t="n"/>
      <c r="BX858" s="1392" t="n"/>
      <c r="BY858" s="1392" t="n"/>
      <c r="BZ858" s="1416" t="n"/>
      <c r="CA858" s="1392" t="n"/>
      <c r="CB858" s="1392" t="n"/>
      <c r="CC858" s="1392" t="n"/>
      <c r="CD858" s="1392" t="n"/>
      <c r="CE858" s="1392" t="n"/>
      <c r="CF858" s="1392" t="n"/>
      <c r="CG858" s="1392" t="n"/>
      <c r="CH858" s="1392" t="n"/>
      <c r="CI858" s="1392" t="n"/>
      <c r="CJ858" s="1392" t="n"/>
      <c r="CK858" s="1392" t="n"/>
      <c r="CL858" s="1392" t="n"/>
    </row>
    <row r="859">
      <c r="A859" s="5" t="inlineStr">
        <is>
          <t>.</t>
        </is>
      </c>
      <c r="B859" s="5" t="inlineStr">
        <is>
          <t>.</t>
        </is>
      </c>
      <c r="C859" s="1378">
        <f>IF(raw[[#This Row],[city]]="","-",IF(raw[[#This Row],[city]]="TODAY","-",C858+1))</f>
        <v/>
      </c>
      <c r="D859" s="1393" t="inlineStr">
        <is>
          <t>Coberny</t>
        </is>
      </c>
      <c r="E859" s="1394" t="n">
        <v>38523</v>
      </c>
      <c r="F859" s="1394" t="n">
        <v>38524</v>
      </c>
      <c r="G859" s="1393" t="inlineStr">
        <is>
          <t>-</t>
        </is>
      </c>
      <c r="H859" s="1393" t="inlineStr">
        <is>
          <t>Transit</t>
        </is>
      </c>
      <c r="I859" s="1393" t="inlineStr">
        <is>
          <t>VF</t>
        </is>
      </c>
      <c r="J859" s="1393" t="inlineStr">
        <is>
          <t>-</t>
        </is>
      </c>
      <c r="K859" s="1395">
        <f>IF(raw[[#This Row],[city]]&lt;&gt;"",_xlfn.XLOOKUP($D859,ccc[city],ccc[prov],"-"),"-")</f>
        <v/>
      </c>
      <c r="L859" s="1395">
        <f>IF(raw[[#This Row],[city]]&lt;&gt;"",_xlfn.XLOOKUP($D859,ccc[city],ccc[ctry],"-"),"-")</f>
        <v/>
      </c>
      <c r="M859" s="1395">
        <f>IF(raw[[#This Row],[city]]&lt;&gt;"",_xlfn.XLOOKUP($D859,ccc[city],ccc[cont],"-"),"-")</f>
        <v/>
      </c>
      <c r="N859" s="1396">
        <f>IF(raw[[#This Row],[city]]="","-",IF(raw[[#This Row],[cont]]="B",raw[[#This Row],[cont]],"W"))</f>
        <v/>
      </c>
      <c r="O859" s="1397">
        <f>IF(raw[[#This Row],[out]]=0,0,IF(raw[[#This Row],[out]]=raw[[#This Row],[in]],0.01,raw[[#This Row],[out]]-raw[[#This Row],[in]]))</f>
        <v/>
      </c>
      <c r="P859" s="1397">
        <f>IF(raw[[#This Row],[in]]=0,0,MONTH(raw[[#This Row],[in]]))</f>
        <v/>
      </c>
      <c r="Q859" s="1397">
        <f>IF(raw[[#This Row],[in]]=0,0,YEAR(raw[[#This Row],[in]]))</f>
        <v/>
      </c>
      <c r="R859" s="1397">
        <f>INT(raw[[#This Row],[yr]]/10)*10</f>
        <v/>
      </c>
      <c r="S859" s="1395">
        <f>IF(raw[[#This Row],[city]]="","-",IF(raw[[#This Row],[city]]&lt;&gt;_xlfn.XLOOKUP(raw[[#This Row],[home]],homes[home],homes[city],"-"),1,0))</f>
        <v/>
      </c>
      <c r="T859" s="1398" t="inlineStr">
        <is>
          <t>.</t>
        </is>
      </c>
      <c r="U859" s="1399">
        <f>IF(raw[[#This Row],[wb]]="w",raw[[#This Row],[stay]]+U858,U858)</f>
        <v/>
      </c>
      <c r="V859" s="1400">
        <f>IF(raw[[#This Row],[out]]=0,V858,(raw[[#This Row],[out]]-E$5))</f>
        <v/>
      </c>
      <c r="W859" s="1401">
        <f>U859/V859</f>
        <v/>
      </c>
      <c r="X859" s="1378" t="inlineStr">
        <is>
          <t>.</t>
        </is>
      </c>
      <c r="Y859" s="1402" t="n"/>
      <c r="Z859" s="1403" t="n"/>
      <c r="AA859" s="1403" t="n"/>
      <c r="AB859" s="1400">
        <f t="array" ref="AB859">_xlfn.LET(_xlpm.S,_xlfn.ANCHORARRAY($Y$4),_xlpm.r,ROWS(stayCity[[#Headers],[city]]:stayCity[[#This Row],[city]])-1,IF(_xlpm.r&lt;=ROWS(_xlpm.S),INDEX(_xlpm.S,_xlpm.r,1),""))</f>
        <v/>
      </c>
      <c r="AC859" s="1405">
        <f t="array" ref="AC859">_xlfn.LET(_xlpm.S,_xlfn.ANCHORARRAY($Y$4),_xlpm.r,ROWS(stayCity[[#Headers],[city]]:stayCity[[#This Row],[city]])-1,IF(_xlpm.r&lt;=ROWS(_xlpm.S),INDEX(_xlpm.S,_xlpm.r,2),""))</f>
        <v/>
      </c>
      <c r="AD859" s="1405">
        <f t="array" ref="AD859">_xlfn.LET(_xlpm.S,_xlfn.ANCHORARRAY($Y$4),_xlpm.r,ROWS(stayCity[[#Headers],[city]]:stayCity[[#This Row],[city]])-1,IF(_xlpm.r&lt;=ROWS(_xlpm.S),INDEX(_xlpm.S,_xlpm.r,3),""))</f>
        <v/>
      </c>
      <c r="AE859" s="1400">
        <f>IF(stayCity[[#This Row],[out]]&lt;&gt;"",stayCity[[#This Row],[out]]-stayCity[[#This Row],[in]],"-")</f>
        <v/>
      </c>
      <c r="AF859" s="1406">
        <f>IF(Y859="","-",YEAR(stayCity[[#This Row],[in]]))</f>
        <v/>
      </c>
      <c r="AG859" s="1392" t="n"/>
      <c r="AH859" s="1392" t="n"/>
      <c r="AI859" s="1392" t="n"/>
      <c r="AJ859" s="1392" t="n"/>
      <c r="AK859" s="1392" t="n"/>
      <c r="AL859" s="1392" t="n"/>
      <c r="AM859" s="1392" t="n"/>
      <c r="AN859" s="1392" t="n"/>
      <c r="AO859" s="1392" t="n"/>
      <c r="AP859" s="1392" t="n"/>
      <c r="AQ859" s="1392" t="n"/>
      <c r="AR859" s="1392" t="n"/>
      <c r="AS859" s="1422" t="n"/>
      <c r="AT859" s="1392" t="n"/>
      <c r="AU859" s="1392" t="n"/>
      <c r="AV859" s="1392" t="n"/>
      <c r="AW859" s="1392" t="n"/>
      <c r="AX859" s="1392" t="n"/>
      <c r="AY859" s="1392" t="n"/>
      <c r="AZ859" s="1392" t="n"/>
      <c r="BA859" s="1392" t="n"/>
      <c r="BB859" s="1422" t="n"/>
      <c r="BC859" s="1392" t="n"/>
      <c r="BD859" s="1392" t="n"/>
      <c r="BE859" s="1392" t="n"/>
      <c r="BF859" s="1392" t="n"/>
      <c r="BG859" s="1392" t="n"/>
      <c r="BH859" s="1392" t="n"/>
      <c r="BI859" s="1392" t="n"/>
      <c r="BJ859" s="1392" t="n"/>
      <c r="BK859" s="1392" t="n"/>
      <c r="BL859" s="1392" t="n"/>
      <c r="BM859" s="1392" t="n"/>
      <c r="BN859" s="1392" t="n"/>
      <c r="BO859" s="1392" t="n"/>
      <c r="BP859" s="1392" t="n"/>
      <c r="BQ859" s="1392" t="n"/>
      <c r="BR859" s="1392" t="n"/>
      <c r="BS859" s="1392" t="n"/>
      <c r="BT859" s="1392" t="n"/>
      <c r="BU859" s="1416" t="n"/>
      <c r="BV859" s="1392" t="n"/>
      <c r="BW859" s="1392" t="n"/>
      <c r="BX859" s="1392" t="n"/>
      <c r="BY859" s="1392" t="n"/>
      <c r="BZ859" s="1416" t="n"/>
      <c r="CA859" s="1392" t="n"/>
      <c r="CB859" s="1392" t="n"/>
      <c r="CC859" s="1392" t="n"/>
      <c r="CD859" s="1392" t="n"/>
      <c r="CE859" s="1392" t="n"/>
      <c r="CF859" s="1392" t="n"/>
      <c r="CG859" s="1392" t="n"/>
      <c r="CH859" s="1392" t="n"/>
      <c r="CI859" s="1392" t="n"/>
      <c r="CJ859" s="1392" t="n"/>
      <c r="CK859" s="1392" t="n"/>
      <c r="CL859" s="1392" t="n"/>
    </row>
    <row r="860">
      <c r="A860" s="5" t="inlineStr">
        <is>
          <t>.</t>
        </is>
      </c>
      <c r="B860" s="5" t="inlineStr">
        <is>
          <t>.</t>
        </is>
      </c>
      <c r="C860" s="1378">
        <f>IF(raw[[#This Row],[city]]="","-",IF(raw[[#This Row],[city]]="TODAY","-",C859+1))</f>
        <v/>
      </c>
      <c r="D860" s="1393" t="inlineStr">
        <is>
          <t>Reims</t>
        </is>
      </c>
      <c r="E860" s="1394" t="n">
        <v>38524</v>
      </c>
      <c r="F860" s="1394" t="n">
        <v>38525</v>
      </c>
      <c r="G860" s="1393" t="inlineStr">
        <is>
          <t>-</t>
        </is>
      </c>
      <c r="H860" s="1393" t="inlineStr">
        <is>
          <t>Transit</t>
        </is>
      </c>
      <c r="I860" s="1393" t="inlineStr">
        <is>
          <t>VF</t>
        </is>
      </c>
      <c r="J860" s="1393" t="inlineStr">
        <is>
          <t>-</t>
        </is>
      </c>
      <c r="K860" s="1395">
        <f>IF(raw[[#This Row],[city]]&lt;&gt;"",_xlfn.XLOOKUP($D860,ccc[city],ccc[prov],"-"),"-")</f>
        <v/>
      </c>
      <c r="L860" s="1395">
        <f>IF(raw[[#This Row],[city]]&lt;&gt;"",_xlfn.XLOOKUP($D860,ccc[city],ccc[ctry],"-"),"-")</f>
        <v/>
      </c>
      <c r="M860" s="1395">
        <f>IF(raw[[#This Row],[city]]&lt;&gt;"",_xlfn.XLOOKUP($D860,ccc[city],ccc[cont],"-"),"-")</f>
        <v/>
      </c>
      <c r="N860" s="1396">
        <f>IF(raw[[#This Row],[city]]="","-",IF(raw[[#This Row],[cont]]="B",raw[[#This Row],[cont]],"W"))</f>
        <v/>
      </c>
      <c r="O860" s="1397">
        <f>IF(raw[[#This Row],[out]]=0,0,IF(raw[[#This Row],[out]]=raw[[#This Row],[in]],0.01,raw[[#This Row],[out]]-raw[[#This Row],[in]]))</f>
        <v/>
      </c>
      <c r="P860" s="1397">
        <f>IF(raw[[#This Row],[in]]=0,0,MONTH(raw[[#This Row],[in]]))</f>
        <v/>
      </c>
      <c r="Q860" s="1397">
        <f>IF(raw[[#This Row],[in]]=0,0,YEAR(raw[[#This Row],[in]]))</f>
        <v/>
      </c>
      <c r="R860" s="1397">
        <f>INT(raw[[#This Row],[yr]]/10)*10</f>
        <v/>
      </c>
      <c r="S860" s="1395">
        <f>IF(raw[[#This Row],[city]]="","-",IF(raw[[#This Row],[city]]&lt;&gt;_xlfn.XLOOKUP(raw[[#This Row],[home]],homes[home],homes[city],"-"),1,0))</f>
        <v/>
      </c>
      <c r="T860" s="1398" t="inlineStr">
        <is>
          <t>.</t>
        </is>
      </c>
      <c r="U860" s="1399">
        <f>IF(raw[[#This Row],[wb]]="w",raw[[#This Row],[stay]]+U859,U859)</f>
        <v/>
      </c>
      <c r="V860" s="1400">
        <f>IF(raw[[#This Row],[out]]=0,V859,(raw[[#This Row],[out]]-E$5))</f>
        <v/>
      </c>
      <c r="W860" s="1401">
        <f>U860/V860</f>
        <v/>
      </c>
      <c r="X860" s="1378" t="inlineStr">
        <is>
          <t>.</t>
        </is>
      </c>
      <c r="Y860" s="1402" t="n"/>
      <c r="Z860" s="1403" t="n"/>
      <c r="AA860" s="1403" t="n"/>
      <c r="AB860" s="1400">
        <f t="array" ref="AB860">_xlfn.LET(_xlpm.S,_xlfn.ANCHORARRAY($Y$4),_xlpm.r,ROWS(stayCity[[#Headers],[city]]:stayCity[[#This Row],[city]])-1,IF(_xlpm.r&lt;=ROWS(_xlpm.S),INDEX(_xlpm.S,_xlpm.r,1),""))</f>
        <v/>
      </c>
      <c r="AC860" s="1405">
        <f t="array" ref="AC860">_xlfn.LET(_xlpm.S,_xlfn.ANCHORARRAY($Y$4),_xlpm.r,ROWS(stayCity[[#Headers],[city]]:stayCity[[#This Row],[city]])-1,IF(_xlpm.r&lt;=ROWS(_xlpm.S),INDEX(_xlpm.S,_xlpm.r,2),""))</f>
        <v/>
      </c>
      <c r="AD860" s="1405">
        <f t="array" ref="AD860">_xlfn.LET(_xlpm.S,_xlfn.ANCHORARRAY($Y$4),_xlpm.r,ROWS(stayCity[[#Headers],[city]]:stayCity[[#This Row],[city]])-1,IF(_xlpm.r&lt;=ROWS(_xlpm.S),INDEX(_xlpm.S,_xlpm.r,3),""))</f>
        <v/>
      </c>
      <c r="AE860" s="1400">
        <f>IF(stayCity[[#This Row],[out]]&lt;&gt;"",stayCity[[#This Row],[out]]-stayCity[[#This Row],[in]],"-")</f>
        <v/>
      </c>
      <c r="AF860" s="1406">
        <f>IF(Y860="","-",YEAR(stayCity[[#This Row],[in]]))</f>
        <v/>
      </c>
      <c r="AG860" s="1392" t="n"/>
      <c r="AH860" s="1392" t="n"/>
      <c r="AI860" s="1392" t="n"/>
      <c r="AJ860" s="1392" t="n"/>
      <c r="AK860" s="1392" t="n"/>
      <c r="AL860" s="1392" t="n"/>
      <c r="AM860" s="1392" t="n"/>
      <c r="AN860" s="1392" t="n"/>
      <c r="AO860" s="1392" t="n"/>
      <c r="AP860" s="1392" t="n"/>
      <c r="AQ860" s="1392" t="n"/>
      <c r="AR860" s="1392" t="n"/>
      <c r="AS860" s="1422" t="n"/>
      <c r="AT860" s="1392" t="n"/>
      <c r="AU860" s="1392" t="n"/>
      <c r="AV860" s="1392" t="n"/>
      <c r="AW860" s="1392" t="n"/>
      <c r="AX860" s="1392" t="n"/>
      <c r="AY860" s="1392" t="n"/>
      <c r="AZ860" s="1392" t="n"/>
      <c r="BA860" s="1392" t="n"/>
      <c r="BB860" s="1422" t="n"/>
      <c r="BC860" s="1392" t="n"/>
      <c r="BD860" s="1392" t="n"/>
      <c r="BE860" s="1392" t="n"/>
      <c r="BF860" s="1392" t="n"/>
      <c r="BG860" s="1392" t="n"/>
      <c r="BH860" s="1392" t="n"/>
      <c r="BI860" s="1392" t="n"/>
      <c r="BJ860" s="1392" t="n"/>
      <c r="BK860" s="1392" t="n"/>
      <c r="BL860" s="1392" t="n"/>
      <c r="BM860" s="1392" t="n"/>
      <c r="BN860" s="1392" t="n"/>
      <c r="BO860" s="1392" t="n"/>
      <c r="BP860" s="1392" t="n"/>
      <c r="BQ860" s="1392" t="n"/>
      <c r="BR860" s="1392" t="n"/>
      <c r="BS860" s="1392" t="n"/>
      <c r="BT860" s="1392" t="n"/>
      <c r="BU860" s="1416" t="n"/>
      <c r="BV860" s="1392" t="n"/>
      <c r="BW860" s="1392" t="n"/>
      <c r="BX860" s="1392" t="n"/>
      <c r="BY860" s="1392" t="n"/>
      <c r="BZ860" s="1416" t="n"/>
      <c r="CA860" s="1392" t="n"/>
      <c r="CB860" s="1392" t="n"/>
      <c r="CC860" s="1392" t="n"/>
      <c r="CD860" s="1392" t="n"/>
      <c r="CE860" s="1392" t="n"/>
      <c r="CF860" s="1392" t="n"/>
      <c r="CG860" s="1392" t="n"/>
      <c r="CH860" s="1392" t="n"/>
      <c r="CI860" s="1392" t="n"/>
      <c r="CJ860" s="1392" t="n"/>
      <c r="CK860" s="1392" t="n"/>
      <c r="CL860" s="1392" t="n"/>
    </row>
    <row r="861">
      <c r="A861" s="5" t="inlineStr">
        <is>
          <t>.</t>
        </is>
      </c>
      <c r="B861" s="5" t="inlineStr">
        <is>
          <t>.</t>
        </is>
      </c>
      <c r="C861" s="1378">
        <f>IF(raw[[#This Row],[city]]="","-",IF(raw[[#This Row],[city]]="TODAY","-",C860+1))</f>
        <v/>
      </c>
      <c r="D861" s="1393" t="inlineStr">
        <is>
          <t>Verzenay</t>
        </is>
      </c>
      <c r="E861" s="1394" t="n">
        <v>38525</v>
      </c>
      <c r="F861" s="1394" t="n">
        <v>38525</v>
      </c>
      <c r="G861" s="1393" t="inlineStr">
        <is>
          <t>-</t>
        </is>
      </c>
      <c r="H861" s="1393" t="inlineStr">
        <is>
          <t>Transit</t>
        </is>
      </c>
      <c r="I861" s="1393" t="inlineStr">
        <is>
          <t>VF</t>
        </is>
      </c>
      <c r="J861" s="1393" t="inlineStr">
        <is>
          <t>-</t>
        </is>
      </c>
      <c r="K861" s="1395">
        <f>IF(raw[[#This Row],[city]]&lt;&gt;"",_xlfn.XLOOKUP($D861,ccc[city],ccc[prov],"-"),"-")</f>
        <v/>
      </c>
      <c r="L861" s="1395">
        <f>IF(raw[[#This Row],[city]]&lt;&gt;"",_xlfn.XLOOKUP($D861,ccc[city],ccc[ctry],"-"),"-")</f>
        <v/>
      </c>
      <c r="M861" s="1395">
        <f>IF(raw[[#This Row],[city]]&lt;&gt;"",_xlfn.XLOOKUP($D861,ccc[city],ccc[cont],"-"),"-")</f>
        <v/>
      </c>
      <c r="N861" s="1396">
        <f>IF(raw[[#This Row],[city]]="","-",IF(raw[[#This Row],[cont]]="B",raw[[#This Row],[cont]],"W"))</f>
        <v/>
      </c>
      <c r="O861" s="1397">
        <f>IF(raw[[#This Row],[out]]=0,0,IF(raw[[#This Row],[out]]=raw[[#This Row],[in]],0.01,raw[[#This Row],[out]]-raw[[#This Row],[in]]))</f>
        <v/>
      </c>
      <c r="P861" s="1397">
        <f>IF(raw[[#This Row],[in]]=0,0,MONTH(raw[[#This Row],[in]]))</f>
        <v/>
      </c>
      <c r="Q861" s="1397">
        <f>IF(raw[[#This Row],[in]]=0,0,YEAR(raw[[#This Row],[in]]))</f>
        <v/>
      </c>
      <c r="R861" s="1397">
        <f>INT(raw[[#This Row],[yr]]/10)*10</f>
        <v/>
      </c>
      <c r="S861" s="1395">
        <f>IF(raw[[#This Row],[city]]="","-",IF(raw[[#This Row],[city]]&lt;&gt;_xlfn.XLOOKUP(raw[[#This Row],[home]],homes[home],homes[city],"-"),1,0))</f>
        <v/>
      </c>
      <c r="T861" s="1398" t="inlineStr">
        <is>
          <t>.</t>
        </is>
      </c>
      <c r="U861" s="1399">
        <f>IF(raw[[#This Row],[wb]]="w",raw[[#This Row],[stay]]+U860,U860)</f>
        <v/>
      </c>
      <c r="V861" s="1400">
        <f>IF(raw[[#This Row],[out]]=0,V860,(raw[[#This Row],[out]]-E$5))</f>
        <v/>
      </c>
      <c r="W861" s="1401">
        <f>U861/V861</f>
        <v/>
      </c>
      <c r="X861" s="1378" t="inlineStr">
        <is>
          <t>.</t>
        </is>
      </c>
      <c r="Y861" s="1402" t="n"/>
      <c r="Z861" s="1403" t="n"/>
      <c r="AA861" s="1403" t="n"/>
      <c r="AB861" s="1400">
        <f t="array" ref="AB861">_xlfn.LET(_xlpm.S,_xlfn.ANCHORARRAY($Y$4),_xlpm.r,ROWS(stayCity[[#Headers],[city]]:stayCity[[#This Row],[city]])-1,IF(_xlpm.r&lt;=ROWS(_xlpm.S),INDEX(_xlpm.S,_xlpm.r,1),""))</f>
        <v/>
      </c>
      <c r="AC861" s="1405">
        <f t="array" ref="AC861">_xlfn.LET(_xlpm.S,_xlfn.ANCHORARRAY($Y$4),_xlpm.r,ROWS(stayCity[[#Headers],[city]]:stayCity[[#This Row],[city]])-1,IF(_xlpm.r&lt;=ROWS(_xlpm.S),INDEX(_xlpm.S,_xlpm.r,2),""))</f>
        <v/>
      </c>
      <c r="AD861" s="1405">
        <f t="array" ref="AD861">_xlfn.LET(_xlpm.S,_xlfn.ANCHORARRAY($Y$4),_xlpm.r,ROWS(stayCity[[#Headers],[city]]:stayCity[[#This Row],[city]])-1,IF(_xlpm.r&lt;=ROWS(_xlpm.S),INDEX(_xlpm.S,_xlpm.r,3),""))</f>
        <v/>
      </c>
      <c r="AE861" s="1400">
        <f>IF(stayCity[[#This Row],[out]]&lt;&gt;"",stayCity[[#This Row],[out]]-stayCity[[#This Row],[in]],"-")</f>
        <v/>
      </c>
      <c r="AF861" s="1406">
        <f>IF(Y861="","-",YEAR(stayCity[[#This Row],[in]]))</f>
        <v/>
      </c>
      <c r="AG861" s="1392" t="n"/>
      <c r="AH861" s="1392" t="n"/>
      <c r="AI861" s="1392" t="n"/>
      <c r="AJ861" s="1392" t="n"/>
      <c r="AK861" s="1392" t="n"/>
      <c r="AL861" s="1392" t="n"/>
      <c r="AM861" s="1392" t="n"/>
      <c r="AN861" s="1392" t="n"/>
      <c r="AO861" s="1392" t="n"/>
      <c r="AP861" s="1392" t="n"/>
      <c r="AQ861" s="1392" t="n"/>
      <c r="AR861" s="1392" t="n"/>
      <c r="AS861" s="1422" t="n"/>
      <c r="AT861" s="1392" t="n"/>
      <c r="AU861" s="1392" t="n"/>
      <c r="AV861" s="1392" t="n"/>
      <c r="AW861" s="1392" t="n"/>
      <c r="AX861" s="1392" t="n"/>
      <c r="AY861" s="1392" t="n"/>
      <c r="AZ861" s="1392" t="n"/>
      <c r="BA861" s="1392" t="n"/>
      <c r="BB861" s="1422" t="n"/>
      <c r="BC861" s="1392" t="n"/>
      <c r="BD861" s="1392" t="n"/>
      <c r="BE861" s="1392" t="n"/>
      <c r="BF861" s="1392" t="n"/>
      <c r="BG861" s="1392" t="n"/>
      <c r="BH861" s="1392" t="n"/>
      <c r="BI861" s="1392" t="n"/>
      <c r="BJ861" s="1392" t="n"/>
      <c r="BK861" s="1392" t="n"/>
      <c r="BL861" s="1392" t="n"/>
      <c r="BM861" s="1392" t="n"/>
      <c r="BN861" s="1392" t="n"/>
      <c r="BO861" s="1392" t="n"/>
      <c r="BP861" s="1392" t="n"/>
      <c r="BQ861" s="1392" t="n"/>
      <c r="BR861" s="1392" t="n"/>
      <c r="BS861" s="1392" t="n"/>
      <c r="BT861" s="1392" t="n"/>
      <c r="BU861" s="1416" t="n"/>
      <c r="BV861" s="1392" t="n"/>
      <c r="BW861" s="1392" t="n"/>
      <c r="BX861" s="1392" t="n"/>
      <c r="BY861" s="1392" t="n"/>
      <c r="BZ861" s="1416" t="n"/>
      <c r="CA861" s="1392" t="n"/>
      <c r="CB861" s="1392" t="n"/>
      <c r="CC861" s="1392" t="n"/>
      <c r="CD861" s="1392" t="n"/>
      <c r="CE861" s="1392" t="n"/>
      <c r="CF861" s="1392" t="n"/>
      <c r="CG861" s="1392" t="n"/>
      <c r="CH861" s="1392" t="n"/>
      <c r="CI861" s="1392" t="n"/>
      <c r="CJ861" s="1392" t="n"/>
      <c r="CK861" s="1392" t="n"/>
      <c r="CL861" s="1392" t="n"/>
    </row>
    <row r="862">
      <c r="A862" s="5" t="inlineStr">
        <is>
          <t>.</t>
        </is>
      </c>
      <c r="B862" s="5" t="inlineStr">
        <is>
          <t>.</t>
        </is>
      </c>
      <c r="C862" s="1378">
        <f>IF(raw[[#This Row],[city]]="","-",IF(raw[[#This Row],[city]]="TODAY","-",C861+1))</f>
        <v/>
      </c>
      <c r="D862" s="1393" t="inlineStr">
        <is>
          <t>Verzy</t>
        </is>
      </c>
      <c r="E862" s="1394" t="n">
        <v>38525</v>
      </c>
      <c r="F862" s="1394" t="n">
        <v>38525</v>
      </c>
      <c r="G862" s="1393" t="inlineStr">
        <is>
          <t>-</t>
        </is>
      </c>
      <c r="H862" s="1393" t="inlineStr">
        <is>
          <t>Transit</t>
        </is>
      </c>
      <c r="I862" s="1393" t="inlineStr">
        <is>
          <t>VF</t>
        </is>
      </c>
      <c r="J862" s="1393" t="inlineStr">
        <is>
          <t>-</t>
        </is>
      </c>
      <c r="K862" s="1395">
        <f>IF(raw[[#This Row],[city]]&lt;&gt;"",_xlfn.XLOOKUP($D862,ccc[city],ccc[prov],"-"),"-")</f>
        <v/>
      </c>
      <c r="L862" s="1395">
        <f>IF(raw[[#This Row],[city]]&lt;&gt;"",_xlfn.XLOOKUP($D862,ccc[city],ccc[ctry],"-"),"-")</f>
        <v/>
      </c>
      <c r="M862" s="1395">
        <f>IF(raw[[#This Row],[city]]&lt;&gt;"",_xlfn.XLOOKUP($D862,ccc[city],ccc[cont],"-"),"-")</f>
        <v/>
      </c>
      <c r="N862" s="1396">
        <f>IF(raw[[#This Row],[city]]="","-",IF(raw[[#This Row],[cont]]="B",raw[[#This Row],[cont]],"W"))</f>
        <v/>
      </c>
      <c r="O862" s="1397">
        <f>IF(raw[[#This Row],[out]]=0,0,IF(raw[[#This Row],[out]]=raw[[#This Row],[in]],0.01,raw[[#This Row],[out]]-raw[[#This Row],[in]]))</f>
        <v/>
      </c>
      <c r="P862" s="1397">
        <f>IF(raw[[#This Row],[in]]=0,0,MONTH(raw[[#This Row],[in]]))</f>
        <v/>
      </c>
      <c r="Q862" s="1397">
        <f>IF(raw[[#This Row],[in]]=0,0,YEAR(raw[[#This Row],[in]]))</f>
        <v/>
      </c>
      <c r="R862" s="1397">
        <f>INT(raw[[#This Row],[yr]]/10)*10</f>
        <v/>
      </c>
      <c r="S862" s="1395">
        <f>IF(raw[[#This Row],[city]]="","-",IF(raw[[#This Row],[city]]&lt;&gt;_xlfn.XLOOKUP(raw[[#This Row],[home]],homes[home],homes[city],"-"),1,0))</f>
        <v/>
      </c>
      <c r="T862" s="1398" t="inlineStr">
        <is>
          <t>.</t>
        </is>
      </c>
      <c r="U862" s="1399">
        <f>IF(raw[[#This Row],[wb]]="w",raw[[#This Row],[stay]]+U861,U861)</f>
        <v/>
      </c>
      <c r="V862" s="1400">
        <f>IF(raw[[#This Row],[out]]=0,V861,(raw[[#This Row],[out]]-E$5))</f>
        <v/>
      </c>
      <c r="W862" s="1401">
        <f>U862/V862</f>
        <v/>
      </c>
      <c r="X862" s="1378" t="inlineStr">
        <is>
          <t>.</t>
        </is>
      </c>
      <c r="Y862" s="1402" t="n"/>
      <c r="Z862" s="1403" t="n"/>
      <c r="AA862" s="1403" t="n"/>
      <c r="AB862" s="1400">
        <f t="array" ref="AB862">_xlfn.LET(_xlpm.S,_xlfn.ANCHORARRAY($Y$4),_xlpm.r,ROWS(stayCity[[#Headers],[city]]:stayCity[[#This Row],[city]])-1,IF(_xlpm.r&lt;=ROWS(_xlpm.S),INDEX(_xlpm.S,_xlpm.r,1),""))</f>
        <v/>
      </c>
      <c r="AC862" s="1405">
        <f t="array" ref="AC862">_xlfn.LET(_xlpm.S,_xlfn.ANCHORARRAY($Y$4),_xlpm.r,ROWS(stayCity[[#Headers],[city]]:stayCity[[#This Row],[city]])-1,IF(_xlpm.r&lt;=ROWS(_xlpm.S),INDEX(_xlpm.S,_xlpm.r,2),""))</f>
        <v/>
      </c>
      <c r="AD862" s="1405">
        <f t="array" ref="AD862">_xlfn.LET(_xlpm.S,_xlfn.ANCHORARRAY($Y$4),_xlpm.r,ROWS(stayCity[[#Headers],[city]]:stayCity[[#This Row],[city]])-1,IF(_xlpm.r&lt;=ROWS(_xlpm.S),INDEX(_xlpm.S,_xlpm.r,3),""))</f>
        <v/>
      </c>
      <c r="AE862" s="1400">
        <f>IF(stayCity[[#This Row],[out]]&lt;&gt;"",stayCity[[#This Row],[out]]-stayCity[[#This Row],[in]],"-")</f>
        <v/>
      </c>
      <c r="AF862" s="1406">
        <f>IF(Y862="","-",YEAR(stayCity[[#This Row],[in]]))</f>
        <v/>
      </c>
      <c r="AG862" s="1392" t="n"/>
      <c r="AH862" s="1392" t="n"/>
      <c r="AI862" s="1392" t="n"/>
      <c r="AJ862" s="1392" t="n"/>
      <c r="AK862" s="1392" t="n"/>
      <c r="AL862" s="1392" t="n"/>
      <c r="AM862" s="1392" t="n"/>
      <c r="AN862" s="1392" t="n"/>
      <c r="AO862" s="1392" t="n"/>
      <c r="AP862" s="1392" t="n"/>
      <c r="AQ862" s="1392" t="n"/>
      <c r="AR862" s="1392" t="n"/>
      <c r="AS862" s="1422" t="n"/>
      <c r="AT862" s="1392" t="n"/>
      <c r="AU862" s="1392" t="n"/>
      <c r="AV862" s="1392" t="n"/>
      <c r="AW862" s="1392" t="n"/>
      <c r="AX862" s="1392" t="n"/>
      <c r="AY862" s="1392" t="n"/>
      <c r="AZ862" s="1392" t="n"/>
      <c r="BA862" s="1392" t="n"/>
      <c r="BB862" s="1422" t="n"/>
      <c r="BC862" s="1392" t="n"/>
      <c r="BD862" s="1392" t="n"/>
      <c r="BE862" s="1392" t="n"/>
      <c r="BF862" s="1392" t="n"/>
      <c r="BG862" s="1392" t="n"/>
      <c r="BH862" s="1392" t="n"/>
      <c r="BI862" s="1392" t="n"/>
      <c r="BJ862" s="1392" t="n"/>
      <c r="BK862" s="1392" t="n"/>
      <c r="BL862" s="1392" t="n"/>
      <c r="BM862" s="1392" t="n"/>
      <c r="BN862" s="1392" t="n"/>
      <c r="BO862" s="1392" t="n"/>
      <c r="BP862" s="1392" t="n"/>
      <c r="BQ862" s="1392" t="n"/>
      <c r="BR862" s="1392" t="n"/>
      <c r="BS862" s="1392" t="n"/>
      <c r="BT862" s="1392" t="n"/>
      <c r="BU862" s="1416" t="n"/>
      <c r="BV862" s="1392" t="n"/>
      <c r="BW862" s="1392" t="n"/>
      <c r="BX862" s="1392" t="n"/>
      <c r="BY862" s="1392" t="n"/>
      <c r="BZ862" s="1416" t="n"/>
      <c r="CA862" s="1392" t="n"/>
      <c r="CB862" s="1392" t="n"/>
      <c r="CC862" s="1392" t="n"/>
      <c r="CD862" s="1392" t="n"/>
      <c r="CE862" s="1392" t="n"/>
      <c r="CF862" s="1392" t="n"/>
      <c r="CG862" s="1392" t="n"/>
      <c r="CH862" s="1392" t="n"/>
      <c r="CI862" s="1392" t="n"/>
      <c r="CJ862" s="1392" t="n"/>
      <c r="CK862" s="1392" t="n"/>
      <c r="CL862" s="1392" t="n"/>
    </row>
    <row r="863">
      <c r="A863" s="5" t="inlineStr">
        <is>
          <t>.</t>
        </is>
      </c>
      <c r="B863" s="5" t="inlineStr">
        <is>
          <t>.</t>
        </is>
      </c>
      <c r="C863" s="1378">
        <f>IF(raw[[#This Row],[city]]="","-",IF(raw[[#This Row],[city]]="TODAY","-",C862+1))</f>
        <v/>
      </c>
      <c r="D863" s="1393" t="inlineStr">
        <is>
          <t>Trepail</t>
        </is>
      </c>
      <c r="E863" s="1394" t="n">
        <v>38525</v>
      </c>
      <c r="F863" s="1394" t="n">
        <v>38525</v>
      </c>
      <c r="G863" s="1393" t="inlineStr">
        <is>
          <t>-</t>
        </is>
      </c>
      <c r="H863" s="1393" t="inlineStr">
        <is>
          <t>Transit</t>
        </is>
      </c>
      <c r="I863" s="1393" t="inlineStr">
        <is>
          <t>VF</t>
        </is>
      </c>
      <c r="J863" s="1393" t="inlineStr">
        <is>
          <t>-</t>
        </is>
      </c>
      <c r="K863" s="1395">
        <f>IF(raw[[#This Row],[city]]&lt;&gt;"",_xlfn.XLOOKUP($D863,ccc[city],ccc[prov],"-"),"-")</f>
        <v/>
      </c>
      <c r="L863" s="1395">
        <f>IF(raw[[#This Row],[city]]&lt;&gt;"",_xlfn.XLOOKUP($D863,ccc[city],ccc[ctry],"-"),"-")</f>
        <v/>
      </c>
      <c r="M863" s="1395">
        <f>IF(raw[[#This Row],[city]]&lt;&gt;"",_xlfn.XLOOKUP($D863,ccc[city],ccc[cont],"-"),"-")</f>
        <v/>
      </c>
      <c r="N863" s="1396">
        <f>IF(raw[[#This Row],[city]]="","-",IF(raw[[#This Row],[cont]]="B",raw[[#This Row],[cont]],"W"))</f>
        <v/>
      </c>
      <c r="O863" s="1397">
        <f>IF(raw[[#This Row],[out]]=0,0,IF(raw[[#This Row],[out]]=raw[[#This Row],[in]],0.01,raw[[#This Row],[out]]-raw[[#This Row],[in]]))</f>
        <v/>
      </c>
      <c r="P863" s="1397">
        <f>IF(raw[[#This Row],[in]]=0,0,MONTH(raw[[#This Row],[in]]))</f>
        <v/>
      </c>
      <c r="Q863" s="1397">
        <f>IF(raw[[#This Row],[in]]=0,0,YEAR(raw[[#This Row],[in]]))</f>
        <v/>
      </c>
      <c r="R863" s="1397">
        <f>INT(raw[[#This Row],[yr]]/10)*10</f>
        <v/>
      </c>
      <c r="S863" s="1395">
        <f>IF(raw[[#This Row],[city]]="","-",IF(raw[[#This Row],[city]]&lt;&gt;_xlfn.XLOOKUP(raw[[#This Row],[home]],homes[home],homes[city],"-"),1,0))</f>
        <v/>
      </c>
      <c r="T863" s="1398" t="inlineStr">
        <is>
          <t>.</t>
        </is>
      </c>
      <c r="U863" s="1399">
        <f>IF(raw[[#This Row],[wb]]="w",raw[[#This Row],[stay]]+U862,U862)</f>
        <v/>
      </c>
      <c r="V863" s="1400">
        <f>IF(raw[[#This Row],[out]]=0,V862,(raw[[#This Row],[out]]-E$5))</f>
        <v/>
      </c>
      <c r="W863" s="1401">
        <f>U863/V863</f>
        <v/>
      </c>
      <c r="X863" s="1378" t="inlineStr">
        <is>
          <t>.</t>
        </is>
      </c>
      <c r="Y863" s="1402" t="n"/>
      <c r="Z863" s="1403" t="n"/>
      <c r="AA863" s="1403" t="n"/>
      <c r="AB863" s="1400">
        <f t="array" ref="AB863">_xlfn.LET(_xlpm.S,_xlfn.ANCHORARRAY($Y$4),_xlpm.r,ROWS(stayCity[[#Headers],[city]]:stayCity[[#This Row],[city]])-1,IF(_xlpm.r&lt;=ROWS(_xlpm.S),INDEX(_xlpm.S,_xlpm.r,1),""))</f>
        <v/>
      </c>
      <c r="AC863" s="1405">
        <f t="array" ref="AC863">_xlfn.LET(_xlpm.S,_xlfn.ANCHORARRAY($Y$4),_xlpm.r,ROWS(stayCity[[#Headers],[city]]:stayCity[[#This Row],[city]])-1,IF(_xlpm.r&lt;=ROWS(_xlpm.S),INDEX(_xlpm.S,_xlpm.r,2),""))</f>
        <v/>
      </c>
      <c r="AD863" s="1405">
        <f t="array" ref="AD863">_xlfn.LET(_xlpm.S,_xlfn.ANCHORARRAY($Y$4),_xlpm.r,ROWS(stayCity[[#Headers],[city]]:stayCity[[#This Row],[city]])-1,IF(_xlpm.r&lt;=ROWS(_xlpm.S),INDEX(_xlpm.S,_xlpm.r,3),""))</f>
        <v/>
      </c>
      <c r="AE863" s="1400">
        <f>IF(stayCity[[#This Row],[out]]&lt;&gt;"",stayCity[[#This Row],[out]]-stayCity[[#This Row],[in]],"-")</f>
        <v/>
      </c>
      <c r="AF863" s="1406">
        <f>IF(Y863="","-",YEAR(stayCity[[#This Row],[in]]))</f>
        <v/>
      </c>
      <c r="AG863" s="1392" t="n"/>
      <c r="AH863" s="1392" t="n"/>
      <c r="AI863" s="1392" t="n"/>
      <c r="AJ863" s="1392" t="n"/>
      <c r="AK863" s="1392" t="n"/>
      <c r="AL863" s="1392" t="n"/>
      <c r="AM863" s="1392" t="n"/>
      <c r="AN863" s="1392" t="n"/>
      <c r="AO863" s="1392" t="n"/>
      <c r="AP863" s="1392" t="n"/>
      <c r="AQ863" s="1392" t="n"/>
      <c r="AR863" s="1392" t="n"/>
      <c r="AS863" s="1422" t="n"/>
      <c r="AT863" s="1392" t="n"/>
      <c r="AU863" s="1392" t="n"/>
      <c r="AV863" s="1392" t="n"/>
      <c r="AW863" s="1392" t="n"/>
      <c r="AX863" s="1392" t="n"/>
      <c r="AY863" s="1392" t="n"/>
      <c r="AZ863" s="1392" t="n"/>
      <c r="BA863" s="1392" t="n"/>
      <c r="BB863" s="1422" t="n"/>
      <c r="BC863" s="1392" t="n"/>
      <c r="BD863" s="1392" t="n"/>
      <c r="BE863" s="1392" t="n"/>
      <c r="BF863" s="1392" t="n"/>
      <c r="BG863" s="1392" t="n"/>
      <c r="BH863" s="1392" t="n"/>
      <c r="BI863" s="1392" t="n"/>
      <c r="BJ863" s="1392" t="n"/>
      <c r="BK863" s="1392" t="n"/>
      <c r="BL863" s="1392" t="n"/>
      <c r="BM863" s="1392" t="n"/>
      <c r="BN863" s="1392" t="n"/>
      <c r="BO863" s="1392" t="n"/>
      <c r="BP863" s="1392" t="n"/>
      <c r="BQ863" s="1392" t="n"/>
      <c r="BR863" s="1392" t="n"/>
      <c r="BS863" s="1392" t="n"/>
      <c r="BT863" s="1392" t="n"/>
      <c r="BU863" s="1416" t="n"/>
      <c r="BV863" s="1392" t="n"/>
      <c r="BW863" s="1392" t="n"/>
      <c r="BX863" s="1392" t="n"/>
      <c r="BY863" s="1392" t="n"/>
      <c r="BZ863" s="1416" t="n"/>
      <c r="CA863" s="1392" t="n"/>
      <c r="CB863" s="1392" t="n"/>
      <c r="CC863" s="1392" t="n"/>
      <c r="CD863" s="1392" t="n"/>
      <c r="CE863" s="1392" t="n"/>
      <c r="CF863" s="1392" t="n"/>
      <c r="CG863" s="1392" t="n"/>
      <c r="CH863" s="1392" t="n"/>
      <c r="CI863" s="1392" t="n"/>
      <c r="CJ863" s="1392" t="n"/>
      <c r="CK863" s="1392" t="n"/>
      <c r="CL863" s="1392" t="n"/>
    </row>
    <row r="864">
      <c r="A864" s="5" t="inlineStr">
        <is>
          <t>.</t>
        </is>
      </c>
      <c r="B864" s="5" t="inlineStr">
        <is>
          <t>.</t>
        </is>
      </c>
      <c r="C864" s="1378">
        <f>IF(raw[[#This Row],[city]]="","-",IF(raw[[#This Row],[city]]="TODAY","-",C863+1))</f>
        <v/>
      </c>
      <c r="D864" s="1393" t="inlineStr">
        <is>
          <t>Ambonay</t>
        </is>
      </c>
      <c r="E864" s="1394" t="n">
        <v>38525</v>
      </c>
      <c r="F864" s="1394" t="n">
        <v>38525</v>
      </c>
      <c r="G864" s="1393" t="inlineStr">
        <is>
          <t>-</t>
        </is>
      </c>
      <c r="H864" s="1393" t="inlineStr">
        <is>
          <t>Transit</t>
        </is>
      </c>
      <c r="I864" s="1393" t="inlineStr">
        <is>
          <t>VF</t>
        </is>
      </c>
      <c r="J864" s="1393" t="inlineStr">
        <is>
          <t>-</t>
        </is>
      </c>
      <c r="K864" s="1395">
        <f>IF(raw[[#This Row],[city]]&lt;&gt;"",_xlfn.XLOOKUP($D864,ccc[city],ccc[prov],"-"),"-")</f>
        <v/>
      </c>
      <c r="L864" s="1395">
        <f>IF(raw[[#This Row],[city]]&lt;&gt;"",_xlfn.XLOOKUP($D864,ccc[city],ccc[ctry],"-"),"-")</f>
        <v/>
      </c>
      <c r="M864" s="1395">
        <f>IF(raw[[#This Row],[city]]&lt;&gt;"",_xlfn.XLOOKUP($D864,ccc[city],ccc[cont],"-"),"-")</f>
        <v/>
      </c>
      <c r="N864" s="1396">
        <f>IF(raw[[#This Row],[city]]="","-",IF(raw[[#This Row],[cont]]="B",raw[[#This Row],[cont]],"W"))</f>
        <v/>
      </c>
      <c r="O864" s="1397">
        <f>IF(raw[[#This Row],[out]]=0,0,IF(raw[[#This Row],[out]]=raw[[#This Row],[in]],0.01,raw[[#This Row],[out]]-raw[[#This Row],[in]]))</f>
        <v/>
      </c>
      <c r="P864" s="1397">
        <f>IF(raw[[#This Row],[in]]=0,0,MONTH(raw[[#This Row],[in]]))</f>
        <v/>
      </c>
      <c r="Q864" s="1397">
        <f>IF(raw[[#This Row],[in]]=0,0,YEAR(raw[[#This Row],[in]]))</f>
        <v/>
      </c>
      <c r="R864" s="1397">
        <f>INT(raw[[#This Row],[yr]]/10)*10</f>
        <v/>
      </c>
      <c r="S864" s="1395">
        <f>IF(raw[[#This Row],[city]]="","-",IF(raw[[#This Row],[city]]&lt;&gt;_xlfn.XLOOKUP(raw[[#This Row],[home]],homes[home],homes[city],"-"),1,0))</f>
        <v/>
      </c>
      <c r="T864" s="1398" t="inlineStr">
        <is>
          <t>.</t>
        </is>
      </c>
      <c r="U864" s="1399">
        <f>IF(raw[[#This Row],[wb]]="w",raw[[#This Row],[stay]]+U863,U863)</f>
        <v/>
      </c>
      <c r="V864" s="1400">
        <f>IF(raw[[#This Row],[out]]=0,V863,(raw[[#This Row],[out]]-E$5))</f>
        <v/>
      </c>
      <c r="W864" s="1401">
        <f>U864/V864</f>
        <v/>
      </c>
      <c r="X864" s="1378" t="inlineStr">
        <is>
          <t>.</t>
        </is>
      </c>
      <c r="Y864" s="1402" t="n"/>
      <c r="Z864" s="1403" t="n"/>
      <c r="AA864" s="1403" t="n"/>
      <c r="AB864" s="1400">
        <f t="array" ref="AB864">_xlfn.LET(_xlpm.S,_xlfn.ANCHORARRAY($Y$4),_xlpm.r,ROWS(stayCity[[#Headers],[city]]:stayCity[[#This Row],[city]])-1,IF(_xlpm.r&lt;=ROWS(_xlpm.S),INDEX(_xlpm.S,_xlpm.r,1),""))</f>
        <v/>
      </c>
      <c r="AC864" s="1405">
        <f t="array" ref="AC864">_xlfn.LET(_xlpm.S,_xlfn.ANCHORARRAY($Y$4),_xlpm.r,ROWS(stayCity[[#Headers],[city]]:stayCity[[#This Row],[city]])-1,IF(_xlpm.r&lt;=ROWS(_xlpm.S),INDEX(_xlpm.S,_xlpm.r,2),""))</f>
        <v/>
      </c>
      <c r="AD864" s="1405">
        <f t="array" ref="AD864">_xlfn.LET(_xlpm.S,_xlfn.ANCHORARRAY($Y$4),_xlpm.r,ROWS(stayCity[[#Headers],[city]]:stayCity[[#This Row],[city]])-1,IF(_xlpm.r&lt;=ROWS(_xlpm.S),INDEX(_xlpm.S,_xlpm.r,3),""))</f>
        <v/>
      </c>
      <c r="AE864" s="1400">
        <f>IF(stayCity[[#This Row],[out]]&lt;&gt;"",stayCity[[#This Row],[out]]-stayCity[[#This Row],[in]],"-")</f>
        <v/>
      </c>
      <c r="AF864" s="1406">
        <f>IF(Y864="","-",YEAR(stayCity[[#This Row],[in]]))</f>
        <v/>
      </c>
      <c r="AG864" s="1392" t="n"/>
      <c r="AH864" s="1392">
        <f>IF(stayCity[[#This Row],[out]]="",1,0)</f>
        <v/>
      </c>
      <c r="AI864" s="1392" t="n"/>
      <c r="AJ864" s="1392" t="n"/>
      <c r="AK864" s="1392" t="n"/>
      <c r="AL864" s="1392" t="n"/>
      <c r="AM864" s="1392" t="n"/>
      <c r="AN864" s="1392" t="n"/>
      <c r="AO864" s="1392" t="n"/>
      <c r="AP864" s="1392" t="n"/>
      <c r="AQ864" s="1392" t="n"/>
      <c r="AR864" s="1392" t="n"/>
      <c r="AS864" s="1422" t="n"/>
      <c r="AT864" s="1392" t="n"/>
      <c r="AU864" s="1392" t="n"/>
      <c r="AV864" s="1392" t="n"/>
      <c r="AW864" s="1392" t="n"/>
      <c r="AX864" s="1392" t="n"/>
      <c r="AY864" s="1392" t="n"/>
      <c r="AZ864" s="1392" t="n"/>
      <c r="BA864" s="1392" t="n"/>
      <c r="BB864" s="1422" t="n"/>
      <c r="BC864" s="1392" t="n"/>
      <c r="BD864" s="1392" t="n"/>
      <c r="BE864" s="1392" t="n"/>
      <c r="BF864" s="1392" t="n"/>
      <c r="BG864" s="1392" t="n"/>
      <c r="BH864" s="1392" t="n"/>
      <c r="BI864" s="1392" t="n"/>
      <c r="BJ864" s="1392" t="n"/>
      <c r="BK864" s="1392" t="n"/>
      <c r="BL864" s="1392" t="n"/>
      <c r="BM864" s="1392" t="n"/>
      <c r="BN864" s="1392" t="n"/>
      <c r="BO864" s="1392" t="n"/>
      <c r="BP864" s="1392" t="n"/>
      <c r="BQ864" s="1392" t="n"/>
      <c r="BR864" s="1392" t="n"/>
      <c r="BS864" s="1392" t="n"/>
      <c r="BT864" s="1392" t="n"/>
      <c r="BU864" s="1416" t="n"/>
      <c r="BV864" s="1392" t="n"/>
      <c r="BW864" s="1392" t="n"/>
      <c r="BX864" s="1392" t="n"/>
      <c r="BY864" s="1392" t="n"/>
      <c r="BZ864" s="1416" t="n"/>
      <c r="CA864" s="1392" t="n"/>
      <c r="CB864" s="1392" t="n"/>
      <c r="CC864" s="1392" t="n"/>
      <c r="CD864" s="1392" t="n"/>
      <c r="CE864" s="1392" t="n"/>
      <c r="CF864" s="1392" t="n"/>
      <c r="CG864" s="1392" t="n"/>
      <c r="CH864" s="1392" t="n"/>
      <c r="CI864" s="1392" t="n"/>
      <c r="CJ864" s="1392" t="n"/>
      <c r="CK864" s="1392" t="n"/>
      <c r="CL864" s="1392" t="n"/>
    </row>
    <row r="865">
      <c r="A865" s="5" t="inlineStr">
        <is>
          <t>.</t>
        </is>
      </c>
      <c r="B865" s="5" t="inlineStr">
        <is>
          <t>.</t>
        </is>
      </c>
      <c r="C865" s="1378">
        <f>IF(raw[[#This Row],[city]]="","-",IF(raw[[#This Row],[city]]="TODAY","-",C864+1))</f>
        <v/>
      </c>
      <c r="D865" s="1393" t="inlineStr">
        <is>
          <t>Conde-sur-Marne</t>
        </is>
      </c>
      <c r="E865" s="1394" t="n">
        <v>38525</v>
      </c>
      <c r="F865" s="1394" t="n">
        <v>38526</v>
      </c>
      <c r="G865" s="1393" t="inlineStr">
        <is>
          <t>-</t>
        </is>
      </c>
      <c r="H865" s="1393" t="inlineStr">
        <is>
          <t>Transit</t>
        </is>
      </c>
      <c r="I865" s="1393" t="inlineStr">
        <is>
          <t>VF</t>
        </is>
      </c>
      <c r="J865" s="1393" t="inlineStr">
        <is>
          <t>-</t>
        </is>
      </c>
      <c r="K865" s="1395">
        <f>IF(raw[[#This Row],[city]]&lt;&gt;"",_xlfn.XLOOKUP($D865,ccc[city],ccc[prov],"-"),"-")</f>
        <v/>
      </c>
      <c r="L865" s="1395">
        <f>IF(raw[[#This Row],[city]]&lt;&gt;"",_xlfn.XLOOKUP($D865,ccc[city],ccc[ctry],"-"),"-")</f>
        <v/>
      </c>
      <c r="M865" s="1395">
        <f>IF(raw[[#This Row],[city]]&lt;&gt;"",_xlfn.XLOOKUP($D865,ccc[city],ccc[cont],"-"),"-")</f>
        <v/>
      </c>
      <c r="N865" s="1396">
        <f>IF(raw[[#This Row],[city]]="","-",IF(raw[[#This Row],[cont]]="B",raw[[#This Row],[cont]],"W"))</f>
        <v/>
      </c>
      <c r="O865" s="1397">
        <f>IF(raw[[#This Row],[out]]=0,0,IF(raw[[#This Row],[out]]=raw[[#This Row],[in]],0.01,raw[[#This Row],[out]]-raw[[#This Row],[in]]))</f>
        <v/>
      </c>
      <c r="P865" s="1397">
        <f>IF(raw[[#This Row],[in]]=0,0,MONTH(raw[[#This Row],[in]]))</f>
        <v/>
      </c>
      <c r="Q865" s="1397">
        <f>IF(raw[[#This Row],[in]]=0,0,YEAR(raw[[#This Row],[in]]))</f>
        <v/>
      </c>
      <c r="R865" s="1397">
        <f>INT(raw[[#This Row],[yr]]/10)*10</f>
        <v/>
      </c>
      <c r="S865" s="1395">
        <f>IF(raw[[#This Row],[city]]="","-",IF(raw[[#This Row],[city]]&lt;&gt;_xlfn.XLOOKUP(raw[[#This Row],[home]],homes[home],homes[city],"-"),1,0))</f>
        <v/>
      </c>
      <c r="T865" s="1398" t="inlineStr">
        <is>
          <t>.</t>
        </is>
      </c>
      <c r="U865" s="1399">
        <f>IF(raw[[#This Row],[wb]]="w",raw[[#This Row],[stay]]+U864,U864)</f>
        <v/>
      </c>
      <c r="V865" s="1400">
        <f>IF(raw[[#This Row],[out]]=0,V864,(raw[[#This Row],[out]]-E$5))</f>
        <v/>
      </c>
      <c r="W865" s="1401">
        <f>U865/V865</f>
        <v/>
      </c>
      <c r="X865" s="1378" t="inlineStr">
        <is>
          <t>.</t>
        </is>
      </c>
      <c r="Y865" s="1402" t="n"/>
      <c r="Z865" s="1403" t="n"/>
      <c r="AA865" s="1403" t="n"/>
      <c r="AB865" s="1400">
        <f t="array" ref="AB865">_xlfn.LET(_xlpm.S,_xlfn.ANCHORARRAY($Y$4),_xlpm.r,ROWS(stayCity[[#Headers],[city]]:stayCity[[#This Row],[city]])-1,IF(_xlpm.r&lt;=ROWS(_xlpm.S),INDEX(_xlpm.S,_xlpm.r,1),""))</f>
        <v/>
      </c>
      <c r="AC865" s="1405">
        <f t="array" ref="AC865">_xlfn.LET(_xlpm.S,_xlfn.ANCHORARRAY($Y$4),_xlpm.r,ROWS(stayCity[[#Headers],[city]]:stayCity[[#This Row],[city]])-1,IF(_xlpm.r&lt;=ROWS(_xlpm.S),INDEX(_xlpm.S,_xlpm.r,2),""))</f>
        <v/>
      </c>
      <c r="AD865" s="1405">
        <f t="array" ref="AD865">_xlfn.LET(_xlpm.S,_xlfn.ANCHORARRAY($Y$4),_xlpm.r,ROWS(stayCity[[#Headers],[city]]:stayCity[[#This Row],[city]])-1,IF(_xlpm.r&lt;=ROWS(_xlpm.S),INDEX(_xlpm.S,_xlpm.r,3),""))</f>
        <v/>
      </c>
      <c r="AE865" s="1400">
        <f>IF(stayCity[[#This Row],[out]]&lt;&gt;"",stayCity[[#This Row],[out]]-stayCity[[#This Row],[in]],"-")</f>
        <v/>
      </c>
      <c r="AF865" s="1406">
        <f>IF(Y865="","-",YEAR(stayCity[[#This Row],[in]]))</f>
        <v/>
      </c>
      <c r="AG865" s="1392" t="n"/>
      <c r="AH865" s="1392" t="n"/>
      <c r="AI865" s="1392" t="n"/>
      <c r="AJ865" s="1392" t="n"/>
      <c r="AK865" s="1392" t="n"/>
      <c r="AL865" s="1392" t="n"/>
      <c r="AM865" s="1392" t="n"/>
      <c r="AN865" s="1392" t="n"/>
      <c r="AO865" s="1392" t="n"/>
      <c r="AP865" s="1392" t="n"/>
      <c r="AQ865" s="1392" t="n"/>
      <c r="AR865" s="1392" t="n"/>
      <c r="AS865" s="1422" t="n"/>
      <c r="AT865" s="1392" t="n"/>
      <c r="AU865" s="1392" t="n"/>
      <c r="AV865" s="1392" t="n"/>
      <c r="AW865" s="1392" t="n"/>
      <c r="AX865" s="1392" t="n"/>
      <c r="AY865" s="1392" t="n"/>
      <c r="AZ865" s="1392" t="n"/>
      <c r="BA865" s="1392" t="n"/>
      <c r="BB865" s="1422" t="n"/>
      <c r="BC865" s="1392" t="n"/>
      <c r="BD865" s="1392" t="n"/>
      <c r="BE865" s="1392" t="n"/>
      <c r="BF865" s="1392" t="n"/>
      <c r="BG865" s="1392" t="n"/>
      <c r="BH865" s="1392" t="n"/>
      <c r="BI865" s="1392" t="n"/>
      <c r="BJ865" s="1392" t="n"/>
      <c r="BK865" s="1392" t="n"/>
      <c r="BL865" s="1392" t="n"/>
      <c r="BM865" s="1392" t="n"/>
      <c r="BN865" s="1392" t="n"/>
      <c r="BO865" s="1392" t="n"/>
      <c r="BP865" s="1392" t="n"/>
      <c r="BQ865" s="1392" t="n"/>
      <c r="BR865" s="1392" t="n"/>
      <c r="BS865" s="1392" t="n"/>
      <c r="BT865" s="1392" t="n"/>
      <c r="BU865" s="1416" t="n"/>
      <c r="BV865" s="1392" t="n"/>
      <c r="BW865" s="1392" t="n"/>
      <c r="BX865" s="1392" t="n"/>
      <c r="BY865" s="1392" t="n"/>
      <c r="BZ865" s="1416" t="n"/>
      <c r="CA865" s="1392" t="n"/>
      <c r="CB865" s="1392" t="n"/>
      <c r="CC865" s="1392" t="n"/>
      <c r="CD865" s="1392" t="n"/>
      <c r="CE865" s="1392" t="n"/>
      <c r="CF865" s="1392" t="n"/>
      <c r="CG865" s="1392" t="n"/>
      <c r="CH865" s="1392" t="n"/>
      <c r="CI865" s="1392" t="n"/>
      <c r="CJ865" s="1392" t="n"/>
      <c r="CK865" s="1392" t="n"/>
      <c r="CL865" s="1392" t="n"/>
    </row>
    <row r="866">
      <c r="A866" s="5" t="inlineStr">
        <is>
          <t>.</t>
        </is>
      </c>
      <c r="B866" s="5" t="inlineStr">
        <is>
          <t>.</t>
        </is>
      </c>
      <c r="C866" s="1378">
        <f>IF(raw[[#This Row],[city]]="","-",IF(raw[[#This Row],[city]]="TODAY","-",C865+1))</f>
        <v/>
      </c>
      <c r="D866" s="1393" t="inlineStr">
        <is>
          <t>Recy</t>
        </is>
      </c>
      <c r="E866" s="1394" t="n">
        <v>38526</v>
      </c>
      <c r="F866" s="1394" t="n">
        <v>38526</v>
      </c>
      <c r="G866" s="1393" t="inlineStr">
        <is>
          <t>-</t>
        </is>
      </c>
      <c r="H866" s="1393" t="inlineStr">
        <is>
          <t>Transit</t>
        </is>
      </c>
      <c r="I866" s="1393" t="inlineStr">
        <is>
          <t>VF</t>
        </is>
      </c>
      <c r="J866" s="1393" t="inlineStr">
        <is>
          <t>-</t>
        </is>
      </c>
      <c r="K866" s="1395">
        <f>IF(raw[[#This Row],[city]]&lt;&gt;"",_xlfn.XLOOKUP($D866,ccc[city],ccc[prov],"-"),"-")</f>
        <v/>
      </c>
      <c r="L866" s="1395">
        <f>IF(raw[[#This Row],[city]]&lt;&gt;"",_xlfn.XLOOKUP($D866,ccc[city],ccc[ctry],"-"),"-")</f>
        <v/>
      </c>
      <c r="M866" s="1395">
        <f>IF(raw[[#This Row],[city]]&lt;&gt;"",_xlfn.XLOOKUP($D866,ccc[city],ccc[cont],"-"),"-")</f>
        <v/>
      </c>
      <c r="N866" s="1396">
        <f>IF(raw[[#This Row],[city]]="","-",IF(raw[[#This Row],[cont]]="B",raw[[#This Row],[cont]],"W"))</f>
        <v/>
      </c>
      <c r="O866" s="1397">
        <f>IF(raw[[#This Row],[out]]=0,0,IF(raw[[#This Row],[out]]=raw[[#This Row],[in]],0.01,raw[[#This Row],[out]]-raw[[#This Row],[in]]))</f>
        <v/>
      </c>
      <c r="P866" s="1397">
        <f>IF(raw[[#This Row],[in]]=0,0,MONTH(raw[[#This Row],[in]]))</f>
        <v/>
      </c>
      <c r="Q866" s="1397">
        <f>IF(raw[[#This Row],[in]]=0,0,YEAR(raw[[#This Row],[in]]))</f>
        <v/>
      </c>
      <c r="R866" s="1397">
        <f>INT(raw[[#This Row],[yr]]/10)*10</f>
        <v/>
      </c>
      <c r="S866" s="1395">
        <f>IF(raw[[#This Row],[city]]="","-",IF(raw[[#This Row],[city]]&lt;&gt;_xlfn.XLOOKUP(raw[[#This Row],[home]],homes[home],homes[city],"-"),1,0))</f>
        <v/>
      </c>
      <c r="T866" s="1398" t="inlineStr">
        <is>
          <t>.</t>
        </is>
      </c>
      <c r="U866" s="1399">
        <f>IF(raw[[#This Row],[wb]]="w",raw[[#This Row],[stay]]+U865,U865)</f>
        <v/>
      </c>
      <c r="V866" s="1400">
        <f>IF(raw[[#This Row],[out]]=0,V865,(raw[[#This Row],[out]]-E$5))</f>
        <v/>
      </c>
      <c r="W866" s="1401">
        <f>U866/V866</f>
        <v/>
      </c>
      <c r="X866" s="1378" t="inlineStr">
        <is>
          <t>.</t>
        </is>
      </c>
      <c r="Y866" s="1402" t="n"/>
      <c r="Z866" s="1403" t="n"/>
      <c r="AA866" s="1403" t="n"/>
      <c r="AB866" s="1400">
        <f t="array" ref="AB866">_xlfn.LET(_xlpm.S,_xlfn.ANCHORARRAY($Y$4),_xlpm.r,ROWS(stayCity[[#Headers],[city]]:stayCity[[#This Row],[city]])-1,IF(_xlpm.r&lt;=ROWS(_xlpm.S),INDEX(_xlpm.S,_xlpm.r,1),""))</f>
        <v/>
      </c>
      <c r="AC866" s="1405">
        <f t="array" ref="AC866">_xlfn.LET(_xlpm.S,_xlfn.ANCHORARRAY($Y$4),_xlpm.r,ROWS(stayCity[[#Headers],[city]]:stayCity[[#This Row],[city]])-1,IF(_xlpm.r&lt;=ROWS(_xlpm.S),INDEX(_xlpm.S,_xlpm.r,2),""))</f>
        <v/>
      </c>
      <c r="AD866" s="1405">
        <f t="array" ref="AD866">_xlfn.LET(_xlpm.S,_xlfn.ANCHORARRAY($Y$4),_xlpm.r,ROWS(stayCity[[#Headers],[city]]:stayCity[[#This Row],[city]])-1,IF(_xlpm.r&lt;=ROWS(_xlpm.S),INDEX(_xlpm.S,_xlpm.r,3),""))</f>
        <v/>
      </c>
      <c r="AE866" s="1400">
        <f>IF(stayCity[[#This Row],[out]]&lt;&gt;"",stayCity[[#This Row],[out]]-stayCity[[#This Row],[in]],"-")</f>
        <v/>
      </c>
      <c r="AF866" s="1406">
        <f>IF(Y866="","-",YEAR(stayCity[[#This Row],[in]]))</f>
        <v/>
      </c>
      <c r="AG866" s="1392" t="n"/>
      <c r="AH866" s="1392" t="n"/>
      <c r="AI866" s="1392" t="n"/>
      <c r="AJ866" s="1392" t="n"/>
      <c r="AK866" s="1392" t="n"/>
      <c r="AL866" s="1392" t="n"/>
      <c r="AM866" s="1392" t="n"/>
      <c r="AN866" s="1392" t="n"/>
      <c r="AO866" s="1392" t="n"/>
      <c r="AP866" s="1392" t="n"/>
      <c r="AQ866" s="1392" t="n"/>
      <c r="AR866" s="1392" t="n"/>
      <c r="AS866" s="1422" t="n"/>
      <c r="AT866" s="1392" t="n"/>
      <c r="AU866" s="1392" t="n"/>
      <c r="AV866" s="1392" t="n"/>
      <c r="AW866" s="1392" t="n"/>
      <c r="AX866" s="1392" t="n"/>
      <c r="AY866" s="1392" t="n"/>
      <c r="AZ866" s="1392" t="n"/>
      <c r="BA866" s="1392" t="n"/>
      <c r="BB866" s="1422" t="n"/>
      <c r="BC866" s="1392" t="n"/>
      <c r="BD866" s="1392" t="n"/>
      <c r="BE866" s="1392" t="n"/>
      <c r="BF866" s="1392" t="n"/>
      <c r="BG866" s="1392" t="n"/>
      <c r="BH866" s="1392" t="n"/>
      <c r="BI866" s="1392" t="n"/>
      <c r="BJ866" s="1392" t="n"/>
      <c r="BK866" s="1392" t="n"/>
      <c r="BL866" s="1392" t="n"/>
      <c r="BM866" s="1392" t="n"/>
      <c r="BN866" s="1392" t="n"/>
      <c r="BO866" s="1392" t="n"/>
      <c r="BP866" s="1392" t="n"/>
      <c r="BQ866" s="1392" t="n"/>
      <c r="BR866" s="1392" t="n"/>
      <c r="BS866" s="1392" t="n"/>
      <c r="BT866" s="1392" t="n"/>
      <c r="BU866" s="1416" t="n"/>
      <c r="BV866" s="1392" t="n"/>
      <c r="BW866" s="1392" t="n"/>
      <c r="BX866" s="1392" t="n"/>
      <c r="BY866" s="1392" t="n"/>
      <c r="BZ866" s="1416" t="n"/>
      <c r="CA866" s="1392" t="n"/>
      <c r="CB866" s="1392" t="n"/>
      <c r="CC866" s="1392" t="n"/>
      <c r="CD866" s="1392" t="n"/>
      <c r="CE866" s="1392" t="n"/>
      <c r="CF866" s="1392" t="n"/>
      <c r="CG866" s="1392" t="n"/>
      <c r="CH866" s="1392" t="n"/>
      <c r="CI866" s="1392" t="n"/>
      <c r="CJ866" s="1392" t="n"/>
      <c r="CK866" s="1392" t="n"/>
      <c r="CL866" s="1392" t="n"/>
    </row>
    <row r="867">
      <c r="A867" s="5" t="inlineStr">
        <is>
          <t>.</t>
        </is>
      </c>
      <c r="B867" s="5" t="inlineStr">
        <is>
          <t>.</t>
        </is>
      </c>
      <c r="C867" s="1378">
        <f>IF(raw[[#This Row],[city]]="","-",IF(raw[[#This Row],[city]]="TODAY","-",C866+1))</f>
        <v/>
      </c>
      <c r="D867" s="1393" t="inlineStr">
        <is>
          <t>Chalons-en-Champagne</t>
        </is>
      </c>
      <c r="E867" s="1394" t="n">
        <v>38526</v>
      </c>
      <c r="F867" s="1394" t="n">
        <v>38527</v>
      </c>
      <c r="G867" s="1393" t="inlineStr">
        <is>
          <t>-</t>
        </is>
      </c>
      <c r="H867" s="1393" t="inlineStr">
        <is>
          <t>Transit</t>
        </is>
      </c>
      <c r="I867" s="1393" t="inlineStr">
        <is>
          <t>VF</t>
        </is>
      </c>
      <c r="J867" s="1393" t="inlineStr">
        <is>
          <t>-</t>
        </is>
      </c>
      <c r="K867" s="1395">
        <f>IF(raw[[#This Row],[city]]&lt;&gt;"",_xlfn.XLOOKUP($D867,ccc[city],ccc[prov],"-"),"-")</f>
        <v/>
      </c>
      <c r="L867" s="1395">
        <f>IF(raw[[#This Row],[city]]&lt;&gt;"",_xlfn.XLOOKUP($D867,ccc[city],ccc[ctry],"-"),"-")</f>
        <v/>
      </c>
      <c r="M867" s="1395">
        <f>IF(raw[[#This Row],[city]]&lt;&gt;"",_xlfn.XLOOKUP($D867,ccc[city],ccc[cont],"-"),"-")</f>
        <v/>
      </c>
      <c r="N867" s="1396">
        <f>IF(raw[[#This Row],[city]]="","-",IF(raw[[#This Row],[cont]]="B",raw[[#This Row],[cont]],"W"))</f>
        <v/>
      </c>
      <c r="O867" s="1397">
        <f>IF(raw[[#This Row],[out]]=0,0,IF(raw[[#This Row],[out]]=raw[[#This Row],[in]],0.01,raw[[#This Row],[out]]-raw[[#This Row],[in]]))</f>
        <v/>
      </c>
      <c r="P867" s="1397">
        <f>IF(raw[[#This Row],[in]]=0,0,MONTH(raw[[#This Row],[in]]))</f>
        <v/>
      </c>
      <c r="Q867" s="1397">
        <f>IF(raw[[#This Row],[in]]=0,0,YEAR(raw[[#This Row],[in]]))</f>
        <v/>
      </c>
      <c r="R867" s="1397">
        <f>INT(raw[[#This Row],[yr]]/10)*10</f>
        <v/>
      </c>
      <c r="S867" s="1395">
        <f>IF(raw[[#This Row],[city]]="","-",IF(raw[[#This Row],[city]]&lt;&gt;_xlfn.XLOOKUP(raw[[#This Row],[home]],homes[home],homes[city],"-"),1,0))</f>
        <v/>
      </c>
      <c r="T867" s="1398" t="inlineStr">
        <is>
          <t>.</t>
        </is>
      </c>
      <c r="U867" s="1399">
        <f>IF(raw[[#This Row],[wb]]="w",raw[[#This Row],[stay]]+U866,U866)</f>
        <v/>
      </c>
      <c r="V867" s="1400">
        <f>IF(raw[[#This Row],[out]]=0,V866,(raw[[#This Row],[out]]-E$5))</f>
        <v/>
      </c>
      <c r="W867" s="1401">
        <f>U867/V867</f>
        <v/>
      </c>
      <c r="X867" s="1378" t="inlineStr">
        <is>
          <t>.</t>
        </is>
      </c>
      <c r="Y867" s="1402" t="n"/>
      <c r="Z867" s="1403" t="n"/>
      <c r="AA867" s="1403" t="n"/>
      <c r="AB867" s="1400">
        <f t="array" ref="AB867">_xlfn.LET(_xlpm.S,_xlfn.ANCHORARRAY($Y$4),_xlpm.r,ROWS(stayCity[[#Headers],[city]]:stayCity[[#This Row],[city]])-1,IF(_xlpm.r&lt;=ROWS(_xlpm.S),INDEX(_xlpm.S,_xlpm.r,1),""))</f>
        <v/>
      </c>
      <c r="AC867" s="1405">
        <f t="array" ref="AC867">_xlfn.LET(_xlpm.S,_xlfn.ANCHORARRAY($Y$4),_xlpm.r,ROWS(stayCity[[#Headers],[city]]:stayCity[[#This Row],[city]])-1,IF(_xlpm.r&lt;=ROWS(_xlpm.S),INDEX(_xlpm.S,_xlpm.r,2),""))</f>
        <v/>
      </c>
      <c r="AD867" s="1405">
        <f t="array" ref="AD867">_xlfn.LET(_xlpm.S,_xlfn.ANCHORARRAY($Y$4),_xlpm.r,ROWS(stayCity[[#Headers],[city]]:stayCity[[#This Row],[city]])-1,IF(_xlpm.r&lt;=ROWS(_xlpm.S),INDEX(_xlpm.S,_xlpm.r,3),""))</f>
        <v/>
      </c>
      <c r="AE867" s="1400">
        <f>IF(stayCity[[#This Row],[out]]&lt;&gt;"",stayCity[[#This Row],[out]]-stayCity[[#This Row],[in]],"-")</f>
        <v/>
      </c>
      <c r="AF867" s="1406">
        <f>IF(Y867="","-",YEAR(stayCity[[#This Row],[in]]))</f>
        <v/>
      </c>
      <c r="AG867" s="1392" t="n"/>
      <c r="AH867" s="1392" t="n"/>
      <c r="AI867" s="1392" t="n"/>
      <c r="AJ867" s="1392" t="n"/>
      <c r="AK867" s="1392" t="n"/>
      <c r="AL867" s="1392" t="n"/>
      <c r="AM867" s="1392" t="n"/>
      <c r="AN867" s="1392" t="n"/>
      <c r="AO867" s="1392" t="n"/>
      <c r="AP867" s="1392" t="n"/>
      <c r="AQ867" s="1392" t="n"/>
      <c r="AR867" s="1392" t="n"/>
      <c r="AS867" s="1422" t="n"/>
      <c r="AT867" s="1392" t="n"/>
      <c r="AU867" s="1392" t="n"/>
      <c r="AV867" s="1392" t="n"/>
      <c r="AW867" s="1392" t="n"/>
      <c r="AX867" s="1392" t="n"/>
      <c r="AY867" s="1392" t="n"/>
      <c r="AZ867" s="1392" t="n"/>
      <c r="BA867" s="1392" t="n"/>
      <c r="BB867" s="1422" t="n"/>
      <c r="BC867" s="1392" t="n"/>
      <c r="BD867" s="1392" t="n"/>
      <c r="BE867" s="1392" t="n"/>
      <c r="BF867" s="1392" t="n"/>
      <c r="BG867" s="1392" t="n"/>
      <c r="BH867" s="1392" t="n"/>
      <c r="BI867" s="1392" t="n"/>
      <c r="BJ867" s="1392" t="n"/>
      <c r="BK867" s="1392" t="n"/>
      <c r="BL867" s="1392" t="n"/>
      <c r="BM867" s="1392" t="n"/>
      <c r="BN867" s="1392" t="n"/>
      <c r="BO867" s="1392" t="n"/>
      <c r="BP867" s="1392" t="n"/>
      <c r="BQ867" s="1392" t="n"/>
      <c r="BR867" s="1392" t="n"/>
      <c r="BS867" s="1392" t="n"/>
      <c r="BT867" s="1392" t="n"/>
      <c r="BU867" s="1416" t="n"/>
      <c r="BV867" s="1392" t="n"/>
      <c r="BW867" s="1392" t="n"/>
      <c r="BX867" s="1392" t="n"/>
      <c r="BY867" s="1392" t="n"/>
      <c r="BZ867" s="1416" t="n"/>
      <c r="CA867" s="1392" t="n"/>
      <c r="CB867" s="1392" t="n"/>
      <c r="CC867" s="1392" t="n"/>
      <c r="CD867" s="1392" t="n"/>
      <c r="CE867" s="1392" t="n"/>
      <c r="CF867" s="1392" t="n"/>
      <c r="CG867" s="1392" t="n"/>
      <c r="CH867" s="1392" t="n"/>
      <c r="CI867" s="1392" t="n"/>
      <c r="CJ867" s="1392" t="n"/>
      <c r="CK867" s="1392" t="n"/>
      <c r="CL867" s="1392" t="n"/>
    </row>
    <row r="868">
      <c r="A868" s="5" t="inlineStr">
        <is>
          <t>.</t>
        </is>
      </c>
      <c r="B868" s="5" t="inlineStr">
        <is>
          <t>.</t>
        </is>
      </c>
      <c r="C868" s="1378">
        <f>IF(raw[[#This Row],[city]]="","-",IF(raw[[#This Row],[city]]="TODAY","-",C867+1))</f>
        <v/>
      </c>
      <c r="D868" s="1393" t="inlineStr">
        <is>
          <t>Vitry-le-François</t>
        </is>
      </c>
      <c r="E868" s="1394" t="n">
        <v>38527</v>
      </c>
      <c r="F868" s="1394" t="n">
        <v>38528</v>
      </c>
      <c r="G868" s="1393" t="inlineStr">
        <is>
          <t>-</t>
        </is>
      </c>
      <c r="H868" s="1393" t="inlineStr">
        <is>
          <t>Transit</t>
        </is>
      </c>
      <c r="I868" s="1393" t="inlineStr">
        <is>
          <t>VF</t>
        </is>
      </c>
      <c r="J868" s="1393" t="inlineStr">
        <is>
          <t>-</t>
        </is>
      </c>
      <c r="K868" s="1395">
        <f>IF(raw[[#This Row],[city]]&lt;&gt;"",_xlfn.XLOOKUP($D868,ccc[city],ccc[prov],"-"),"-")</f>
        <v/>
      </c>
      <c r="L868" s="1395">
        <f>IF(raw[[#This Row],[city]]&lt;&gt;"",_xlfn.XLOOKUP($D868,ccc[city],ccc[ctry],"-"),"-")</f>
        <v/>
      </c>
      <c r="M868" s="1395">
        <f>IF(raw[[#This Row],[city]]&lt;&gt;"",_xlfn.XLOOKUP($D868,ccc[city],ccc[cont],"-"),"-")</f>
        <v/>
      </c>
      <c r="N868" s="1396">
        <f>IF(raw[[#This Row],[city]]="","-",IF(raw[[#This Row],[cont]]="B",raw[[#This Row],[cont]],"W"))</f>
        <v/>
      </c>
      <c r="O868" s="1397">
        <f>IF(raw[[#This Row],[out]]=0,0,IF(raw[[#This Row],[out]]=raw[[#This Row],[in]],0.01,raw[[#This Row],[out]]-raw[[#This Row],[in]]))</f>
        <v/>
      </c>
      <c r="P868" s="1397">
        <f>IF(raw[[#This Row],[in]]=0,0,MONTH(raw[[#This Row],[in]]))</f>
        <v/>
      </c>
      <c r="Q868" s="1397">
        <f>IF(raw[[#This Row],[in]]=0,0,YEAR(raw[[#This Row],[in]]))</f>
        <v/>
      </c>
      <c r="R868" s="1397">
        <f>INT(raw[[#This Row],[yr]]/10)*10</f>
        <v/>
      </c>
      <c r="S868" s="1395">
        <f>IF(raw[[#This Row],[city]]="","-",IF(raw[[#This Row],[city]]&lt;&gt;_xlfn.XLOOKUP(raw[[#This Row],[home]],homes[home],homes[city],"-"),1,0))</f>
        <v/>
      </c>
      <c r="T868" s="1398" t="inlineStr">
        <is>
          <t>.</t>
        </is>
      </c>
      <c r="U868" s="1399">
        <f>IF(raw[[#This Row],[wb]]="w",raw[[#This Row],[stay]]+U867,U867)</f>
        <v/>
      </c>
      <c r="V868" s="1400">
        <f>IF(raw[[#This Row],[out]]=0,V867,(raw[[#This Row],[out]]-E$5))</f>
        <v/>
      </c>
      <c r="W868" s="1401">
        <f>U868/V868</f>
        <v/>
      </c>
      <c r="X868" s="1378" t="inlineStr">
        <is>
          <t>.</t>
        </is>
      </c>
      <c r="Y868" s="1402" t="n"/>
      <c r="Z868" s="1403" t="n"/>
      <c r="AA868" s="1403" t="n"/>
      <c r="AB868" s="1400">
        <f t="array" ref="AB868">_xlfn.LET(_xlpm.S,_xlfn.ANCHORARRAY($Y$4),_xlpm.r,ROWS(stayCity[[#Headers],[city]]:stayCity[[#This Row],[city]])-1,IF(_xlpm.r&lt;=ROWS(_xlpm.S),INDEX(_xlpm.S,_xlpm.r,1),""))</f>
        <v/>
      </c>
      <c r="AC868" s="1405">
        <f t="array" ref="AC868">_xlfn.LET(_xlpm.S,_xlfn.ANCHORARRAY($Y$4),_xlpm.r,ROWS(stayCity[[#Headers],[city]]:stayCity[[#This Row],[city]])-1,IF(_xlpm.r&lt;=ROWS(_xlpm.S),INDEX(_xlpm.S,_xlpm.r,2),""))</f>
        <v/>
      </c>
      <c r="AD868" s="1405">
        <f t="array" ref="AD868">_xlfn.LET(_xlpm.S,_xlfn.ANCHORARRAY($Y$4),_xlpm.r,ROWS(stayCity[[#Headers],[city]]:stayCity[[#This Row],[city]])-1,IF(_xlpm.r&lt;=ROWS(_xlpm.S),INDEX(_xlpm.S,_xlpm.r,3),""))</f>
        <v/>
      </c>
      <c r="AE868" s="1400">
        <f>IF(stayCity[[#This Row],[out]]&lt;&gt;"",stayCity[[#This Row],[out]]-stayCity[[#This Row],[in]],"-")</f>
        <v/>
      </c>
      <c r="AF868" s="1406">
        <f>IF(Y868="","-",YEAR(stayCity[[#This Row],[in]]))</f>
        <v/>
      </c>
      <c r="AG868" s="1392" t="n"/>
      <c r="AH868" s="1392" t="n"/>
      <c r="AI868" s="1392" t="n"/>
      <c r="AJ868" s="1392" t="n"/>
      <c r="AK868" s="1392" t="n"/>
      <c r="AL868" s="1392" t="n"/>
      <c r="AM868" s="1392" t="n"/>
      <c r="AN868" s="1392" t="n"/>
      <c r="AO868" s="1392" t="n"/>
      <c r="AP868" s="1392" t="n"/>
      <c r="AQ868" s="1392" t="n"/>
      <c r="AR868" s="1392" t="n"/>
      <c r="AS868" s="1422" t="n"/>
      <c r="AT868" s="1392" t="n"/>
      <c r="AU868" s="1392" t="n"/>
      <c r="AV868" s="1392" t="n"/>
      <c r="AW868" s="1392" t="n"/>
      <c r="AX868" s="1392" t="n"/>
      <c r="AY868" s="1392" t="n"/>
      <c r="AZ868" s="1392" t="n"/>
      <c r="BA868" s="1392" t="n"/>
      <c r="BB868" s="1422" t="n"/>
      <c r="BC868" s="1392" t="n"/>
      <c r="BD868" s="1392" t="n"/>
      <c r="BE868" s="1392" t="n"/>
      <c r="BF868" s="1392" t="n"/>
      <c r="BG868" s="1392" t="n"/>
      <c r="BH868" s="1392" t="n"/>
      <c r="BI868" s="1392" t="n"/>
      <c r="BJ868" s="1392" t="n"/>
      <c r="BK868" s="1392" t="n"/>
      <c r="BL868" s="1392" t="n"/>
      <c r="BM868" s="1392" t="n"/>
      <c r="BN868" s="1392" t="n"/>
      <c r="BO868" s="1392" t="n"/>
      <c r="BP868" s="1392" t="n"/>
      <c r="BQ868" s="1392" t="n"/>
      <c r="BR868" s="1392" t="n"/>
      <c r="BS868" s="1392" t="n"/>
      <c r="BT868" s="1392" t="n"/>
      <c r="BU868" s="1416" t="n"/>
      <c r="BV868" s="1392" t="n"/>
      <c r="BW868" s="1392" t="n"/>
      <c r="BX868" s="1392" t="n"/>
      <c r="BY868" s="1392" t="n"/>
      <c r="BZ868" s="1416" t="n"/>
      <c r="CA868" s="1392" t="n"/>
      <c r="CB868" s="1392" t="n"/>
      <c r="CC868" s="1392" t="n"/>
      <c r="CD868" s="1392" t="n"/>
      <c r="CE868" s="1392" t="n"/>
      <c r="CF868" s="1392" t="n"/>
      <c r="CG868" s="1392" t="n"/>
      <c r="CH868" s="1392" t="n"/>
      <c r="CI868" s="1392" t="n"/>
      <c r="CJ868" s="1392" t="n"/>
      <c r="CK868" s="1392" t="n"/>
      <c r="CL868" s="1392" t="n"/>
    </row>
    <row r="869">
      <c r="A869" s="5" t="inlineStr">
        <is>
          <t>.</t>
        </is>
      </c>
      <c r="B869" s="5" t="inlineStr">
        <is>
          <t>.</t>
        </is>
      </c>
      <c r="C869" s="1378">
        <f>IF(raw[[#This Row],[city]]="","-",IF(raw[[#This Row],[city]]="TODAY","-",C868+1))</f>
        <v/>
      </c>
      <c r="D869" s="1393" t="inlineStr">
        <is>
          <t>Saint Dizier</t>
        </is>
      </c>
      <c r="E869" s="1394" t="n">
        <v>38528</v>
      </c>
      <c r="F869" s="1394" t="n">
        <v>38530</v>
      </c>
      <c r="G869" s="1393" t="inlineStr">
        <is>
          <t>-</t>
        </is>
      </c>
      <c r="H869" s="1393" t="inlineStr">
        <is>
          <t>Transit</t>
        </is>
      </c>
      <c r="I869" s="1393" t="inlineStr">
        <is>
          <t>VF</t>
        </is>
      </c>
      <c r="J869" s="1393" t="inlineStr">
        <is>
          <t>-</t>
        </is>
      </c>
      <c r="K869" s="1395">
        <f>IF(raw[[#This Row],[city]]&lt;&gt;"",_xlfn.XLOOKUP($D869,ccc[city],ccc[prov],"-"),"-")</f>
        <v/>
      </c>
      <c r="L869" s="1395">
        <f>IF(raw[[#This Row],[city]]&lt;&gt;"",_xlfn.XLOOKUP($D869,ccc[city],ccc[ctry],"-"),"-")</f>
        <v/>
      </c>
      <c r="M869" s="1395">
        <f>IF(raw[[#This Row],[city]]&lt;&gt;"",_xlfn.XLOOKUP($D869,ccc[city],ccc[cont],"-"),"-")</f>
        <v/>
      </c>
      <c r="N869" s="1396">
        <f>IF(raw[[#This Row],[city]]="","-",IF(raw[[#This Row],[cont]]="B",raw[[#This Row],[cont]],"W"))</f>
        <v/>
      </c>
      <c r="O869" s="1397">
        <f>IF(raw[[#This Row],[out]]=0,0,IF(raw[[#This Row],[out]]=raw[[#This Row],[in]],0.01,raw[[#This Row],[out]]-raw[[#This Row],[in]]))</f>
        <v/>
      </c>
      <c r="P869" s="1397">
        <f>IF(raw[[#This Row],[in]]=0,0,MONTH(raw[[#This Row],[in]]))</f>
        <v/>
      </c>
      <c r="Q869" s="1397">
        <f>IF(raw[[#This Row],[in]]=0,0,YEAR(raw[[#This Row],[in]]))</f>
        <v/>
      </c>
      <c r="R869" s="1397">
        <f>INT(raw[[#This Row],[yr]]/10)*10</f>
        <v/>
      </c>
      <c r="S869" s="1395">
        <f>IF(raw[[#This Row],[city]]="","-",IF(raw[[#This Row],[city]]&lt;&gt;_xlfn.XLOOKUP(raw[[#This Row],[home]],homes[home],homes[city],"-"),1,0))</f>
        <v/>
      </c>
      <c r="T869" s="1398" t="inlineStr">
        <is>
          <t>.</t>
        </is>
      </c>
      <c r="U869" s="1399">
        <f>IF(raw[[#This Row],[wb]]="w",raw[[#This Row],[stay]]+U868,U868)</f>
        <v/>
      </c>
      <c r="V869" s="1400">
        <f>IF(raw[[#This Row],[out]]=0,V868,(raw[[#This Row],[out]]-E$5))</f>
        <v/>
      </c>
      <c r="W869" s="1401">
        <f>U869/V869</f>
        <v/>
      </c>
      <c r="X869" s="1378" t="inlineStr">
        <is>
          <t>.</t>
        </is>
      </c>
      <c r="Y869" s="1402" t="n"/>
      <c r="Z869" s="1403" t="n"/>
      <c r="AA869" s="1403" t="n"/>
      <c r="AB869" s="1400">
        <f t="array" ref="AB869">_xlfn.LET(_xlpm.S,_xlfn.ANCHORARRAY($Y$4),_xlpm.r,ROWS(stayCity[[#Headers],[city]]:stayCity[[#This Row],[city]])-1,IF(_xlpm.r&lt;=ROWS(_xlpm.S),INDEX(_xlpm.S,_xlpm.r,1),""))</f>
        <v/>
      </c>
      <c r="AC869" s="1405">
        <f t="array" ref="AC869">_xlfn.LET(_xlpm.S,_xlfn.ANCHORARRAY($Y$4),_xlpm.r,ROWS(stayCity[[#Headers],[city]]:stayCity[[#This Row],[city]])-1,IF(_xlpm.r&lt;=ROWS(_xlpm.S),INDEX(_xlpm.S,_xlpm.r,2),""))</f>
        <v/>
      </c>
      <c r="AD869" s="1405">
        <f t="array" ref="AD869">_xlfn.LET(_xlpm.S,_xlfn.ANCHORARRAY($Y$4),_xlpm.r,ROWS(stayCity[[#Headers],[city]]:stayCity[[#This Row],[city]])-1,IF(_xlpm.r&lt;=ROWS(_xlpm.S),INDEX(_xlpm.S,_xlpm.r,3),""))</f>
        <v/>
      </c>
      <c r="AE869" s="1400">
        <f>IF(stayCity[[#This Row],[out]]&lt;&gt;"",stayCity[[#This Row],[out]]-stayCity[[#This Row],[in]],"-")</f>
        <v/>
      </c>
      <c r="AF869" s="1406">
        <f>IF(Y869="","-",YEAR(stayCity[[#This Row],[in]]))</f>
        <v/>
      </c>
      <c r="AG869" s="1392" t="n"/>
      <c r="AH869" s="1392" t="n"/>
      <c r="AI869" s="1392" t="n"/>
      <c r="AJ869" s="1392" t="n"/>
      <c r="AK869" s="1392" t="n"/>
      <c r="AL869" s="1392" t="n"/>
      <c r="AM869" s="1392" t="n"/>
      <c r="AN869" s="1392" t="n"/>
      <c r="AO869" s="1392" t="n"/>
      <c r="AP869" s="1392" t="n"/>
      <c r="AQ869" s="1392" t="n"/>
      <c r="AR869" s="1392" t="n"/>
      <c r="AS869" s="1422" t="n"/>
      <c r="AT869" s="1392" t="n"/>
      <c r="AU869" s="1392" t="n"/>
      <c r="AV869" s="1392" t="n"/>
      <c r="AW869" s="1392" t="n"/>
      <c r="AX869" s="1392" t="n"/>
      <c r="AY869" s="1392" t="n"/>
      <c r="AZ869" s="1392" t="n"/>
      <c r="BA869" s="1392" t="n"/>
      <c r="BB869" s="1422" t="n"/>
      <c r="BC869" s="1392" t="n"/>
      <c r="BD869" s="1392" t="n"/>
      <c r="BE869" s="1392" t="n"/>
      <c r="BF869" s="1392" t="n"/>
      <c r="BG869" s="1392" t="n"/>
      <c r="BH869" s="1392" t="n"/>
      <c r="BI869" s="1392" t="n"/>
      <c r="BJ869" s="1392" t="n"/>
      <c r="BK869" s="1392" t="n"/>
      <c r="BL869" s="1392" t="n"/>
      <c r="BM869" s="1392" t="n"/>
      <c r="BN869" s="1392" t="n"/>
      <c r="BO869" s="1392" t="n"/>
      <c r="BP869" s="1392" t="n"/>
      <c r="BQ869" s="1392" t="n"/>
      <c r="BR869" s="1392" t="n"/>
      <c r="BS869" s="1392" t="n"/>
      <c r="BT869" s="1392" t="n"/>
      <c r="BU869" s="1416" t="n"/>
      <c r="BV869" s="1392" t="n"/>
      <c r="BW869" s="1392" t="n"/>
      <c r="BX869" s="1392" t="n"/>
      <c r="BY869" s="1392" t="n"/>
      <c r="BZ869" s="1416" t="n"/>
      <c r="CA869" s="1392" t="n"/>
      <c r="CB869" s="1392" t="n"/>
      <c r="CC869" s="1392" t="n"/>
      <c r="CD869" s="1392" t="n"/>
      <c r="CE869" s="1392" t="n"/>
      <c r="CF869" s="1392" t="n"/>
      <c r="CG869" s="1392" t="n"/>
      <c r="CH869" s="1392" t="n"/>
      <c r="CI869" s="1392" t="n"/>
      <c r="CJ869" s="1392" t="n"/>
      <c r="CK869" s="1392" t="n"/>
      <c r="CL869" s="1392" t="n"/>
    </row>
    <row r="870">
      <c r="A870" s="5" t="inlineStr">
        <is>
          <t>.</t>
        </is>
      </c>
      <c r="B870" s="5" t="inlineStr">
        <is>
          <t>.</t>
        </is>
      </c>
      <c r="C870" s="1378">
        <f>IF(raw[[#This Row],[city]]="","-",IF(raw[[#This Row],[city]]="TODAY","-",C869+1))</f>
        <v/>
      </c>
      <c r="D870" s="1393" t="inlineStr">
        <is>
          <t>Joinville</t>
        </is>
      </c>
      <c r="E870" s="1394" t="n">
        <v>38530</v>
      </c>
      <c r="F870" s="1394" t="n">
        <v>38531</v>
      </c>
      <c r="G870" s="1393" t="inlineStr">
        <is>
          <t>-</t>
        </is>
      </c>
      <c r="H870" s="1393" t="inlineStr">
        <is>
          <t>Transit</t>
        </is>
      </c>
      <c r="I870" s="1393" t="inlineStr">
        <is>
          <t>VF</t>
        </is>
      </c>
      <c r="J870" s="1393" t="inlineStr">
        <is>
          <t>-</t>
        </is>
      </c>
      <c r="K870" s="1395">
        <f>IF(raw[[#This Row],[city]]&lt;&gt;"",_xlfn.XLOOKUP($D870,ccc[city],ccc[prov],"-"),"-")</f>
        <v/>
      </c>
      <c r="L870" s="1395">
        <f>IF(raw[[#This Row],[city]]&lt;&gt;"",_xlfn.XLOOKUP($D870,ccc[city],ccc[ctry],"-"),"-")</f>
        <v/>
      </c>
      <c r="M870" s="1395">
        <f>IF(raw[[#This Row],[city]]&lt;&gt;"",_xlfn.XLOOKUP($D870,ccc[city],ccc[cont],"-"),"-")</f>
        <v/>
      </c>
      <c r="N870" s="1396">
        <f>IF(raw[[#This Row],[city]]="","-",IF(raw[[#This Row],[cont]]="B",raw[[#This Row],[cont]],"W"))</f>
        <v/>
      </c>
      <c r="O870" s="1397">
        <f>IF(raw[[#This Row],[out]]=0,0,IF(raw[[#This Row],[out]]=raw[[#This Row],[in]],0.01,raw[[#This Row],[out]]-raw[[#This Row],[in]]))</f>
        <v/>
      </c>
      <c r="P870" s="1397">
        <f>IF(raw[[#This Row],[in]]=0,0,MONTH(raw[[#This Row],[in]]))</f>
        <v/>
      </c>
      <c r="Q870" s="1397">
        <f>IF(raw[[#This Row],[in]]=0,0,YEAR(raw[[#This Row],[in]]))</f>
        <v/>
      </c>
      <c r="R870" s="1397">
        <f>INT(raw[[#This Row],[yr]]/10)*10</f>
        <v/>
      </c>
      <c r="S870" s="1395">
        <f>IF(raw[[#This Row],[city]]="","-",IF(raw[[#This Row],[city]]&lt;&gt;_xlfn.XLOOKUP(raw[[#This Row],[home]],homes[home],homes[city],"-"),1,0))</f>
        <v/>
      </c>
      <c r="T870" s="1398" t="inlineStr">
        <is>
          <t>.</t>
        </is>
      </c>
      <c r="U870" s="1399">
        <f>IF(raw[[#This Row],[wb]]="w",raw[[#This Row],[stay]]+U869,U869)</f>
        <v/>
      </c>
      <c r="V870" s="1400">
        <f>IF(raw[[#This Row],[out]]=0,V869,(raw[[#This Row],[out]]-E$5))</f>
        <v/>
      </c>
      <c r="W870" s="1401">
        <f>U870/V870</f>
        <v/>
      </c>
      <c r="X870" s="1378" t="inlineStr">
        <is>
          <t>.</t>
        </is>
      </c>
      <c r="Y870" s="1402" t="n"/>
      <c r="Z870" s="1403" t="n"/>
      <c r="AA870" s="1403" t="n"/>
      <c r="AB870" s="1400">
        <f t="array" ref="AB870">_xlfn.LET(_xlpm.S,_xlfn.ANCHORARRAY($Y$4),_xlpm.r,ROWS(stayCity[[#Headers],[city]]:stayCity[[#This Row],[city]])-1,IF(_xlpm.r&lt;=ROWS(_xlpm.S),INDEX(_xlpm.S,_xlpm.r,1),""))</f>
        <v/>
      </c>
      <c r="AC870" s="1405">
        <f t="array" ref="AC870">_xlfn.LET(_xlpm.S,_xlfn.ANCHORARRAY($Y$4),_xlpm.r,ROWS(stayCity[[#Headers],[city]]:stayCity[[#This Row],[city]])-1,IF(_xlpm.r&lt;=ROWS(_xlpm.S),INDEX(_xlpm.S,_xlpm.r,2),""))</f>
        <v/>
      </c>
      <c r="AD870" s="1405">
        <f t="array" ref="AD870">_xlfn.LET(_xlpm.S,_xlfn.ANCHORARRAY($Y$4),_xlpm.r,ROWS(stayCity[[#Headers],[city]]:stayCity[[#This Row],[city]])-1,IF(_xlpm.r&lt;=ROWS(_xlpm.S),INDEX(_xlpm.S,_xlpm.r,3),""))</f>
        <v/>
      </c>
      <c r="AE870" s="1400">
        <f>IF(stayCity[[#This Row],[out]]&lt;&gt;"",stayCity[[#This Row],[out]]-stayCity[[#This Row],[in]],"-")</f>
        <v/>
      </c>
      <c r="AF870" s="1406">
        <f>IF(Y870="","-",YEAR(stayCity[[#This Row],[in]]))</f>
        <v/>
      </c>
      <c r="AG870" s="1392" t="n"/>
      <c r="AH870" s="1392" t="n"/>
      <c r="AI870" s="1392" t="n"/>
      <c r="AJ870" s="1392" t="n"/>
      <c r="AK870" s="1392" t="n"/>
      <c r="AL870" s="1392" t="n"/>
      <c r="AM870" s="1392" t="n"/>
      <c r="AN870" s="1392" t="n"/>
      <c r="AO870" s="1392" t="n"/>
      <c r="AP870" s="1392" t="n"/>
      <c r="AQ870" s="1392" t="n"/>
      <c r="AR870" s="1392" t="n"/>
      <c r="AS870" s="1422" t="n"/>
      <c r="AT870" s="1392" t="n"/>
      <c r="AU870" s="1392" t="n"/>
      <c r="AV870" s="1392" t="n"/>
      <c r="AW870" s="1392" t="n"/>
      <c r="AX870" s="1392" t="n"/>
      <c r="AY870" s="1392" t="n"/>
      <c r="AZ870" s="1392" t="n"/>
      <c r="BA870" s="1392" t="n"/>
      <c r="BB870" s="1422" t="n"/>
      <c r="BC870" s="1392" t="n"/>
      <c r="BD870" s="1392" t="n"/>
      <c r="BE870" s="1392" t="n"/>
      <c r="BF870" s="1392" t="n"/>
      <c r="BG870" s="1392" t="n"/>
      <c r="BH870" s="1392" t="n"/>
      <c r="BI870" s="1392" t="n"/>
      <c r="BJ870" s="1392" t="n"/>
      <c r="BK870" s="1392" t="n"/>
      <c r="BL870" s="1392" t="n"/>
      <c r="BM870" s="1392" t="n"/>
      <c r="BN870" s="1392" t="n"/>
      <c r="BO870" s="1392" t="n"/>
      <c r="BP870" s="1392" t="n"/>
      <c r="BQ870" s="1392" t="n"/>
      <c r="BR870" s="1392" t="n"/>
      <c r="BS870" s="1392" t="n"/>
      <c r="BT870" s="1392" t="n"/>
      <c r="BU870" s="1416" t="n"/>
      <c r="BV870" s="1392" t="n"/>
      <c r="BW870" s="1392" t="n"/>
      <c r="BX870" s="1392" t="n"/>
      <c r="BY870" s="1392" t="n"/>
      <c r="BZ870" s="1416" t="n"/>
      <c r="CA870" s="1392" t="n"/>
      <c r="CB870" s="1392" t="n"/>
      <c r="CC870" s="1392" t="n"/>
      <c r="CD870" s="1392" t="n"/>
      <c r="CE870" s="1392" t="n"/>
      <c r="CF870" s="1392" t="n"/>
      <c r="CG870" s="1392" t="n"/>
      <c r="CH870" s="1392" t="n"/>
      <c r="CI870" s="1392" t="n"/>
      <c r="CJ870" s="1392" t="n"/>
      <c r="CK870" s="1392" t="n"/>
      <c r="CL870" s="1392" t="n"/>
    </row>
    <row r="871">
      <c r="A871" s="5" t="inlineStr">
        <is>
          <t>.</t>
        </is>
      </c>
      <c r="B871" s="5" t="inlineStr">
        <is>
          <t>.</t>
        </is>
      </c>
      <c r="C871" s="1378">
        <f>IF(raw[[#This Row],[city]]="","-",IF(raw[[#This Row],[city]]="TODAY","-",C870+1))</f>
        <v/>
      </c>
      <c r="D871" s="1393" t="inlineStr">
        <is>
          <t>Chaumont</t>
        </is>
      </c>
      <c r="E871" s="1394" t="n">
        <v>38531</v>
      </c>
      <c r="F871" s="1394" t="n">
        <v>38532</v>
      </c>
      <c r="G871" s="1393" t="inlineStr">
        <is>
          <t>-</t>
        </is>
      </c>
      <c r="H871" s="1393" t="inlineStr">
        <is>
          <t>Transit</t>
        </is>
      </c>
      <c r="I871" s="1393" t="inlineStr">
        <is>
          <t>VF</t>
        </is>
      </c>
      <c r="J871" s="1393" t="inlineStr">
        <is>
          <t>-</t>
        </is>
      </c>
      <c r="K871" s="1395">
        <f>IF(raw[[#This Row],[city]]&lt;&gt;"",_xlfn.XLOOKUP($D871,ccc[city],ccc[prov],"-"),"-")</f>
        <v/>
      </c>
      <c r="L871" s="1395">
        <f>IF(raw[[#This Row],[city]]&lt;&gt;"",_xlfn.XLOOKUP($D871,ccc[city],ccc[ctry],"-"),"-")</f>
        <v/>
      </c>
      <c r="M871" s="1395">
        <f>IF(raw[[#This Row],[city]]&lt;&gt;"",_xlfn.XLOOKUP($D871,ccc[city],ccc[cont],"-"),"-")</f>
        <v/>
      </c>
      <c r="N871" s="1396">
        <f>IF(raw[[#This Row],[city]]="","-",IF(raw[[#This Row],[cont]]="B",raw[[#This Row],[cont]],"W"))</f>
        <v/>
      </c>
      <c r="O871" s="1397">
        <f>IF(raw[[#This Row],[out]]=0,0,IF(raw[[#This Row],[out]]=raw[[#This Row],[in]],0.01,raw[[#This Row],[out]]-raw[[#This Row],[in]]))</f>
        <v/>
      </c>
      <c r="P871" s="1397">
        <f>IF(raw[[#This Row],[in]]=0,0,MONTH(raw[[#This Row],[in]]))</f>
        <v/>
      </c>
      <c r="Q871" s="1397">
        <f>IF(raw[[#This Row],[in]]=0,0,YEAR(raw[[#This Row],[in]]))</f>
        <v/>
      </c>
      <c r="R871" s="1397">
        <f>INT(raw[[#This Row],[yr]]/10)*10</f>
        <v/>
      </c>
      <c r="S871" s="1395">
        <f>IF(raw[[#This Row],[city]]="","-",IF(raw[[#This Row],[city]]&lt;&gt;_xlfn.XLOOKUP(raw[[#This Row],[home]],homes[home],homes[city],"-"),1,0))</f>
        <v/>
      </c>
      <c r="T871" s="1398" t="inlineStr">
        <is>
          <t>.</t>
        </is>
      </c>
      <c r="U871" s="1399">
        <f>IF(raw[[#This Row],[wb]]="w",raw[[#This Row],[stay]]+U870,U870)</f>
        <v/>
      </c>
      <c r="V871" s="1400">
        <f>IF(raw[[#This Row],[out]]=0,V870,(raw[[#This Row],[out]]-E$5))</f>
        <v/>
      </c>
      <c r="W871" s="1401">
        <f>U871/V871</f>
        <v/>
      </c>
      <c r="X871" s="1378" t="inlineStr">
        <is>
          <t>.</t>
        </is>
      </c>
      <c r="Y871" s="1402" t="n"/>
      <c r="Z871" s="1403" t="n"/>
      <c r="AA871" s="1403" t="n"/>
      <c r="AB871" s="1400">
        <f t="array" ref="AB871">_xlfn.LET(_xlpm.S,_xlfn.ANCHORARRAY($Y$4),_xlpm.r,ROWS(stayCity[[#Headers],[city]]:stayCity[[#This Row],[city]])-1,IF(_xlpm.r&lt;=ROWS(_xlpm.S),INDEX(_xlpm.S,_xlpm.r,1),""))</f>
        <v/>
      </c>
      <c r="AC871" s="1405">
        <f t="array" ref="AC871">_xlfn.LET(_xlpm.S,_xlfn.ANCHORARRAY($Y$4),_xlpm.r,ROWS(stayCity[[#Headers],[city]]:stayCity[[#This Row],[city]])-1,IF(_xlpm.r&lt;=ROWS(_xlpm.S),INDEX(_xlpm.S,_xlpm.r,2),""))</f>
        <v/>
      </c>
      <c r="AD871" s="1405">
        <f t="array" ref="AD871">_xlfn.LET(_xlpm.S,_xlfn.ANCHORARRAY($Y$4),_xlpm.r,ROWS(stayCity[[#Headers],[city]]:stayCity[[#This Row],[city]])-1,IF(_xlpm.r&lt;=ROWS(_xlpm.S),INDEX(_xlpm.S,_xlpm.r,3),""))</f>
        <v/>
      </c>
      <c r="AE871" s="1400">
        <f>IF(stayCity[[#This Row],[out]]&lt;&gt;"",stayCity[[#This Row],[out]]-stayCity[[#This Row],[in]],"-")</f>
        <v/>
      </c>
      <c r="AF871" s="1406">
        <f>IF(Y871="","-",YEAR(stayCity[[#This Row],[in]]))</f>
        <v/>
      </c>
      <c r="AG871" s="1392" t="n"/>
      <c r="AH871" s="1392" t="n"/>
      <c r="AI871" s="1392" t="n"/>
      <c r="AJ871" s="1392" t="n"/>
      <c r="AK871" s="1392" t="n"/>
      <c r="AL871" s="1392" t="n"/>
      <c r="AM871" s="1392" t="n"/>
      <c r="AN871" s="1392" t="n"/>
      <c r="AO871" s="1392" t="n"/>
      <c r="AP871" s="1392" t="n"/>
      <c r="AQ871" s="1392" t="n"/>
      <c r="AR871" s="1392" t="n"/>
      <c r="AS871" s="1422" t="n"/>
      <c r="AT871" s="1392" t="n"/>
      <c r="AU871" s="1392" t="n"/>
      <c r="AV871" s="1392" t="n"/>
      <c r="AW871" s="1392" t="n"/>
      <c r="AX871" s="1392" t="n"/>
      <c r="AY871" s="1392" t="n"/>
      <c r="AZ871" s="1392" t="n"/>
      <c r="BA871" s="1392" t="n"/>
      <c r="BB871" s="1422" t="n"/>
      <c r="BC871" s="1392" t="n"/>
      <c r="BD871" s="1392" t="n"/>
      <c r="BE871" s="1392" t="n"/>
      <c r="BF871" s="1392" t="n"/>
      <c r="BG871" s="1392" t="n"/>
      <c r="BH871" s="1392" t="n"/>
      <c r="BI871" s="1392" t="n"/>
      <c r="BJ871" s="1392" t="n"/>
      <c r="BK871" s="1392" t="n"/>
      <c r="BL871" s="1392" t="n"/>
      <c r="BM871" s="1392" t="n"/>
      <c r="BN871" s="1392" t="n"/>
      <c r="BO871" s="1392" t="n"/>
      <c r="BP871" s="1392" t="n"/>
      <c r="BQ871" s="1392" t="n"/>
      <c r="BR871" s="1392" t="n"/>
      <c r="BS871" s="1392" t="n"/>
      <c r="BT871" s="1392" t="n"/>
      <c r="BU871" s="1416" t="n"/>
      <c r="BV871" s="1392" t="n"/>
      <c r="BW871" s="1392" t="n"/>
      <c r="BX871" s="1392" t="n"/>
      <c r="BY871" s="1392" t="n"/>
      <c r="BZ871" s="1416" t="n"/>
      <c r="CA871" s="1392" t="n"/>
      <c r="CB871" s="1392" t="n"/>
      <c r="CC871" s="1392" t="n"/>
      <c r="CD871" s="1392" t="n"/>
      <c r="CE871" s="1392" t="n"/>
      <c r="CF871" s="1392" t="n"/>
      <c r="CG871" s="1392" t="n"/>
      <c r="CH871" s="1392" t="n"/>
      <c r="CI871" s="1392" t="n"/>
      <c r="CJ871" s="1392" t="n"/>
      <c r="CK871" s="1392" t="n"/>
      <c r="CL871" s="1392" t="n"/>
    </row>
    <row r="872">
      <c r="A872" s="5" t="inlineStr">
        <is>
          <t>.</t>
        </is>
      </c>
      <c r="B872" s="5" t="inlineStr">
        <is>
          <t>.</t>
        </is>
      </c>
      <c r="C872" s="1378">
        <f>IF(raw[[#This Row],[city]]="","-",IF(raw[[#This Row],[city]]="TODAY","-",C871+1))</f>
        <v/>
      </c>
      <c r="D872" s="1393" t="inlineStr">
        <is>
          <t>Rolamport</t>
        </is>
      </c>
      <c r="E872" s="1394" t="n">
        <v>38532</v>
      </c>
      <c r="F872" s="1394" t="n">
        <v>38532</v>
      </c>
      <c r="G872" s="1393" t="inlineStr">
        <is>
          <t>-</t>
        </is>
      </c>
      <c r="H872" s="1393" t="inlineStr">
        <is>
          <t>Transit</t>
        </is>
      </c>
      <c r="I872" s="1393" t="inlineStr">
        <is>
          <t>VF</t>
        </is>
      </c>
      <c r="J872" s="1393" t="inlineStr">
        <is>
          <t>-</t>
        </is>
      </c>
      <c r="K872" s="1395">
        <f>IF(raw[[#This Row],[city]]&lt;&gt;"",_xlfn.XLOOKUP($D872,ccc[city],ccc[prov],"-"),"-")</f>
        <v/>
      </c>
      <c r="L872" s="1395">
        <f>IF(raw[[#This Row],[city]]&lt;&gt;"",_xlfn.XLOOKUP($D872,ccc[city],ccc[ctry],"-"),"-")</f>
        <v/>
      </c>
      <c r="M872" s="1395">
        <f>IF(raw[[#This Row],[city]]&lt;&gt;"",_xlfn.XLOOKUP($D872,ccc[city],ccc[cont],"-"),"-")</f>
        <v/>
      </c>
      <c r="N872" s="1396">
        <f>IF(raw[[#This Row],[city]]="","-",IF(raw[[#This Row],[cont]]="B",raw[[#This Row],[cont]],"W"))</f>
        <v/>
      </c>
      <c r="O872" s="1397">
        <f>IF(raw[[#This Row],[out]]=0,0,IF(raw[[#This Row],[out]]=raw[[#This Row],[in]],0.01,raw[[#This Row],[out]]-raw[[#This Row],[in]]))</f>
        <v/>
      </c>
      <c r="P872" s="1397">
        <f>IF(raw[[#This Row],[in]]=0,0,MONTH(raw[[#This Row],[in]]))</f>
        <v/>
      </c>
      <c r="Q872" s="1397">
        <f>IF(raw[[#This Row],[in]]=0,0,YEAR(raw[[#This Row],[in]]))</f>
        <v/>
      </c>
      <c r="R872" s="1397">
        <f>INT(raw[[#This Row],[yr]]/10)*10</f>
        <v/>
      </c>
      <c r="S872" s="1395">
        <f>IF(raw[[#This Row],[city]]="","-",IF(raw[[#This Row],[city]]&lt;&gt;_xlfn.XLOOKUP(raw[[#This Row],[home]],homes[home],homes[city],"-"),1,0))</f>
        <v/>
      </c>
      <c r="T872" s="1398" t="inlineStr">
        <is>
          <t>.</t>
        </is>
      </c>
      <c r="U872" s="1399">
        <f>IF(raw[[#This Row],[wb]]="w",raw[[#This Row],[stay]]+U871,U871)</f>
        <v/>
      </c>
      <c r="V872" s="1400">
        <f>IF(raw[[#This Row],[out]]=0,V871,(raw[[#This Row],[out]]-E$5))</f>
        <v/>
      </c>
      <c r="W872" s="1401">
        <f>U872/V872</f>
        <v/>
      </c>
      <c r="X872" s="1378" t="inlineStr">
        <is>
          <t>.</t>
        </is>
      </c>
      <c r="Y872" s="1402" t="n"/>
      <c r="Z872" s="1403" t="n"/>
      <c r="AA872" s="1403" t="n"/>
      <c r="AB872" s="1400">
        <f t="array" ref="AB872">_xlfn.LET(_xlpm.S,_xlfn.ANCHORARRAY($Y$4),_xlpm.r,ROWS(stayCity[[#Headers],[city]]:stayCity[[#This Row],[city]])-1,IF(_xlpm.r&lt;=ROWS(_xlpm.S),INDEX(_xlpm.S,_xlpm.r,1),""))</f>
        <v/>
      </c>
      <c r="AC872" s="1405">
        <f t="array" ref="AC872">_xlfn.LET(_xlpm.S,_xlfn.ANCHORARRAY($Y$4),_xlpm.r,ROWS(stayCity[[#Headers],[city]]:stayCity[[#This Row],[city]])-1,IF(_xlpm.r&lt;=ROWS(_xlpm.S),INDEX(_xlpm.S,_xlpm.r,2),""))</f>
        <v/>
      </c>
      <c r="AD872" s="1405">
        <f t="array" ref="AD872">_xlfn.LET(_xlpm.S,_xlfn.ANCHORARRAY($Y$4),_xlpm.r,ROWS(stayCity[[#Headers],[city]]:stayCity[[#This Row],[city]])-1,IF(_xlpm.r&lt;=ROWS(_xlpm.S),INDEX(_xlpm.S,_xlpm.r,3),""))</f>
        <v/>
      </c>
      <c r="AE872" s="1400">
        <f>IF(stayCity[[#This Row],[out]]&lt;&gt;"",stayCity[[#This Row],[out]]-stayCity[[#This Row],[in]],"-")</f>
        <v/>
      </c>
      <c r="AF872" s="1406">
        <f>IF(Y872="","-",YEAR(stayCity[[#This Row],[in]]))</f>
        <v/>
      </c>
      <c r="AG872" s="1392" t="n"/>
      <c r="AH872" s="1392" t="n"/>
      <c r="AI872" s="1392" t="n"/>
      <c r="AJ872" s="1392" t="n"/>
      <c r="AK872" s="1392" t="n"/>
      <c r="AL872" s="1392" t="n"/>
      <c r="AM872" s="1392" t="n"/>
      <c r="AN872" s="1392" t="n"/>
      <c r="AO872" s="1392" t="n"/>
      <c r="AP872" s="1392" t="n"/>
      <c r="AQ872" s="1392" t="n"/>
      <c r="AR872" s="1392" t="n"/>
      <c r="AS872" s="1422" t="n"/>
      <c r="AT872" s="1392" t="n"/>
      <c r="AU872" s="1392" t="n"/>
      <c r="AV872" s="1392" t="n"/>
      <c r="AW872" s="1392" t="n"/>
      <c r="AX872" s="1392" t="n"/>
      <c r="AY872" s="1392" t="n"/>
      <c r="AZ872" s="1392" t="n"/>
      <c r="BA872" s="1392" t="n"/>
      <c r="BB872" s="1422" t="n"/>
      <c r="BC872" s="1392" t="n"/>
      <c r="BD872" s="1392" t="n"/>
      <c r="BE872" s="1392" t="n"/>
      <c r="BF872" s="1392" t="n"/>
      <c r="BG872" s="1392" t="n"/>
      <c r="BH872" s="1392" t="n"/>
      <c r="BI872" s="1392" t="n"/>
      <c r="BJ872" s="1392" t="n"/>
      <c r="BK872" s="1392" t="n"/>
      <c r="BL872" s="1392" t="n"/>
      <c r="BM872" s="1392" t="n"/>
      <c r="BN872" s="1392" t="n"/>
      <c r="BO872" s="1392" t="n"/>
      <c r="BP872" s="1392" t="n"/>
      <c r="BQ872" s="1392" t="n"/>
      <c r="BR872" s="1392" t="n"/>
      <c r="BS872" s="1392" t="n"/>
      <c r="BT872" s="1392" t="n"/>
      <c r="BU872" s="1416" t="n"/>
      <c r="BV872" s="1392" t="n"/>
      <c r="BW872" s="1392" t="n"/>
      <c r="BX872" s="1392" t="n"/>
      <c r="BY872" s="1392" t="n"/>
      <c r="BZ872" s="1416" t="n"/>
      <c r="CA872" s="1392" t="n"/>
      <c r="CB872" s="1392" t="n"/>
      <c r="CC872" s="1392" t="n"/>
      <c r="CD872" s="1392" t="n"/>
      <c r="CE872" s="1392" t="n"/>
      <c r="CF872" s="1392" t="n"/>
      <c r="CG872" s="1392" t="n"/>
      <c r="CH872" s="1392" t="n"/>
      <c r="CI872" s="1392" t="n"/>
      <c r="CJ872" s="1392" t="n"/>
      <c r="CK872" s="1392" t="n"/>
      <c r="CL872" s="1392" t="n"/>
    </row>
    <row r="873">
      <c r="A873" s="5" t="inlineStr">
        <is>
          <t>.</t>
        </is>
      </c>
      <c r="B873" s="5" t="inlineStr">
        <is>
          <t>.</t>
        </is>
      </c>
      <c r="C873" s="1378">
        <f>IF(raw[[#This Row],[city]]="","-",IF(raw[[#This Row],[city]]="TODAY","-",C872+1))</f>
        <v/>
      </c>
      <c r="D873" s="1393" t="inlineStr">
        <is>
          <t>Langres</t>
        </is>
      </c>
      <c r="E873" s="1394" t="n">
        <v>38532</v>
      </c>
      <c r="F873" s="1394" t="n">
        <v>38534</v>
      </c>
      <c r="G873" s="1393" t="inlineStr">
        <is>
          <t>-</t>
        </is>
      </c>
      <c r="H873" s="1393" t="inlineStr">
        <is>
          <t>Transit</t>
        </is>
      </c>
      <c r="I873" s="1393" t="inlineStr">
        <is>
          <t>VF</t>
        </is>
      </c>
      <c r="J873" s="1393" t="inlineStr">
        <is>
          <t>-</t>
        </is>
      </c>
      <c r="K873" s="1395">
        <f>IF(raw[[#This Row],[city]]&lt;&gt;"",_xlfn.XLOOKUP($D873,ccc[city],ccc[prov],"-"),"-")</f>
        <v/>
      </c>
      <c r="L873" s="1395">
        <f>IF(raw[[#This Row],[city]]&lt;&gt;"",_xlfn.XLOOKUP($D873,ccc[city],ccc[ctry],"-"),"-")</f>
        <v/>
      </c>
      <c r="M873" s="1395">
        <f>IF(raw[[#This Row],[city]]&lt;&gt;"",_xlfn.XLOOKUP($D873,ccc[city],ccc[cont],"-"),"-")</f>
        <v/>
      </c>
      <c r="N873" s="1396">
        <f>IF(raw[[#This Row],[city]]="","-",IF(raw[[#This Row],[cont]]="B",raw[[#This Row],[cont]],"W"))</f>
        <v/>
      </c>
      <c r="O873" s="1397">
        <f>IF(raw[[#This Row],[out]]=0,0,IF(raw[[#This Row],[out]]=raw[[#This Row],[in]],0.01,raw[[#This Row],[out]]-raw[[#This Row],[in]]))</f>
        <v/>
      </c>
      <c r="P873" s="1397">
        <f>IF(raw[[#This Row],[in]]=0,0,MONTH(raw[[#This Row],[in]]))</f>
        <v/>
      </c>
      <c r="Q873" s="1397">
        <f>IF(raw[[#This Row],[in]]=0,0,YEAR(raw[[#This Row],[in]]))</f>
        <v/>
      </c>
      <c r="R873" s="1397">
        <f>INT(raw[[#This Row],[yr]]/10)*10</f>
        <v/>
      </c>
      <c r="S873" s="1395">
        <f>IF(raw[[#This Row],[city]]="","-",IF(raw[[#This Row],[city]]&lt;&gt;_xlfn.XLOOKUP(raw[[#This Row],[home]],homes[home],homes[city],"-"),1,0))</f>
        <v/>
      </c>
      <c r="T873" s="1398" t="inlineStr">
        <is>
          <t>.</t>
        </is>
      </c>
      <c r="U873" s="1399">
        <f>IF(raw[[#This Row],[wb]]="w",raw[[#This Row],[stay]]+U872,U872)</f>
        <v/>
      </c>
      <c r="V873" s="1400">
        <f>IF(raw[[#This Row],[out]]=0,V872,(raw[[#This Row],[out]]-E$5))</f>
        <v/>
      </c>
      <c r="W873" s="1401">
        <f>U873/V873</f>
        <v/>
      </c>
      <c r="X873" s="1378" t="inlineStr">
        <is>
          <t>.</t>
        </is>
      </c>
      <c r="Y873" s="1402" t="n"/>
      <c r="Z873" s="1403" t="n"/>
      <c r="AA873" s="1403" t="n"/>
      <c r="AB873" s="1400">
        <f t="array" ref="AB873">_xlfn.LET(_xlpm.S,_xlfn.ANCHORARRAY($Y$4),_xlpm.r,ROWS(stayCity[[#Headers],[city]]:stayCity[[#This Row],[city]])-1,IF(_xlpm.r&lt;=ROWS(_xlpm.S),INDEX(_xlpm.S,_xlpm.r,1),""))</f>
        <v/>
      </c>
      <c r="AC873" s="1405">
        <f t="array" ref="AC873">_xlfn.LET(_xlpm.S,_xlfn.ANCHORARRAY($Y$4),_xlpm.r,ROWS(stayCity[[#Headers],[city]]:stayCity[[#This Row],[city]])-1,IF(_xlpm.r&lt;=ROWS(_xlpm.S),INDEX(_xlpm.S,_xlpm.r,2),""))</f>
        <v/>
      </c>
      <c r="AD873" s="1405">
        <f t="array" ref="AD873">_xlfn.LET(_xlpm.S,_xlfn.ANCHORARRAY($Y$4),_xlpm.r,ROWS(stayCity[[#Headers],[city]]:stayCity[[#This Row],[city]])-1,IF(_xlpm.r&lt;=ROWS(_xlpm.S),INDEX(_xlpm.S,_xlpm.r,3),""))</f>
        <v/>
      </c>
      <c r="AE873" s="1400">
        <f>IF(stayCity[[#This Row],[out]]&lt;&gt;"",stayCity[[#This Row],[out]]-stayCity[[#This Row],[in]],"-")</f>
        <v/>
      </c>
      <c r="AF873" s="1406">
        <f>IF(Y873="","-",YEAR(stayCity[[#This Row],[in]]))</f>
        <v/>
      </c>
      <c r="AG873" s="1392" t="n"/>
      <c r="AH873" s="1392" t="n"/>
      <c r="AI873" s="1392" t="n"/>
      <c r="AJ873" s="1392" t="n"/>
      <c r="AK873" s="1392" t="n"/>
      <c r="AL873" s="1392" t="n"/>
      <c r="AM873" s="1392" t="n"/>
      <c r="AN873" s="1392" t="n"/>
      <c r="AO873" s="1392" t="n"/>
      <c r="AP873" s="1392" t="n"/>
      <c r="AQ873" s="1392" t="n"/>
      <c r="AR873" s="1392" t="n"/>
      <c r="AS873" s="1422" t="n"/>
      <c r="AT873" s="1392" t="n"/>
      <c r="AU873" s="1392" t="n"/>
      <c r="AV873" s="1392" t="n"/>
      <c r="AW873" s="1392" t="n"/>
      <c r="AX873" s="1392" t="n"/>
      <c r="AY873" s="1392" t="n"/>
      <c r="AZ873" s="1392" t="n"/>
      <c r="BA873" s="1392" t="n"/>
      <c r="BB873" s="1422" t="n"/>
      <c r="BC873" s="1392" t="n"/>
      <c r="BD873" s="1392" t="n"/>
      <c r="BE873" s="1392" t="n"/>
      <c r="BF873" s="1392" t="n"/>
      <c r="BG873" s="1392" t="n"/>
      <c r="BH873" s="1392" t="n"/>
      <c r="BI873" s="1392" t="n"/>
      <c r="BJ873" s="1392" t="n"/>
      <c r="BK873" s="1392" t="n"/>
      <c r="BL873" s="1392" t="n"/>
      <c r="BM873" s="1392" t="n"/>
      <c r="BN873" s="1392" t="n"/>
      <c r="BO873" s="1392" t="n"/>
      <c r="BP873" s="1392" t="n"/>
      <c r="BQ873" s="1392" t="n"/>
      <c r="BR873" s="1392" t="n"/>
      <c r="BS873" s="1392" t="n"/>
      <c r="BT873" s="1392" t="n"/>
      <c r="BU873" s="1416" t="n"/>
      <c r="BV873" s="1392" t="n"/>
      <c r="BW873" s="1392" t="n"/>
      <c r="BX873" s="1392" t="n"/>
      <c r="BY873" s="1392" t="n"/>
      <c r="BZ873" s="1416" t="n"/>
      <c r="CA873" s="1392" t="n"/>
      <c r="CB873" s="1392" t="n"/>
      <c r="CC873" s="1392" t="n"/>
      <c r="CD873" s="1392" t="n"/>
      <c r="CE873" s="1392" t="n"/>
      <c r="CF873" s="1392" t="n"/>
      <c r="CG873" s="1392" t="n"/>
      <c r="CH873" s="1392" t="n"/>
      <c r="CI873" s="1392" t="n"/>
      <c r="CJ873" s="1392" t="n"/>
      <c r="CK873" s="1392" t="n"/>
      <c r="CL873" s="1392" t="n"/>
    </row>
    <row r="874">
      <c r="A874" s="5" t="inlineStr">
        <is>
          <t>.</t>
        </is>
      </c>
      <c r="B874" s="5" t="inlineStr">
        <is>
          <t>.</t>
        </is>
      </c>
      <c r="C874" s="1378">
        <f>IF(raw[[#This Row],[city]]="","-",IF(raw[[#This Row],[city]]="TODAY","-",C873+1))</f>
        <v/>
      </c>
      <c r="D874" s="1393" t="inlineStr">
        <is>
          <t>Les Archots</t>
        </is>
      </c>
      <c r="E874" s="1394" t="n">
        <v>38534</v>
      </c>
      <c r="F874" s="1394" t="n">
        <v>38535</v>
      </c>
      <c r="G874" s="1393" t="inlineStr">
        <is>
          <t>-</t>
        </is>
      </c>
      <c r="H874" s="1393" t="inlineStr">
        <is>
          <t>Transit</t>
        </is>
      </c>
      <c r="I874" s="1393" t="inlineStr">
        <is>
          <t>VF</t>
        </is>
      </c>
      <c r="J874" s="1393" t="inlineStr">
        <is>
          <t>-</t>
        </is>
      </c>
      <c r="K874" s="1395">
        <f>IF(raw[[#This Row],[city]]&lt;&gt;"",_xlfn.XLOOKUP($D874,ccc[city],ccc[prov],"-"),"-")</f>
        <v/>
      </c>
      <c r="L874" s="1395">
        <f>IF(raw[[#This Row],[city]]&lt;&gt;"",_xlfn.XLOOKUP($D874,ccc[city],ccc[ctry],"-"),"-")</f>
        <v/>
      </c>
      <c r="M874" s="1395">
        <f>IF(raw[[#This Row],[city]]&lt;&gt;"",_xlfn.XLOOKUP($D874,ccc[city],ccc[cont],"-"),"-")</f>
        <v/>
      </c>
      <c r="N874" s="1396">
        <f>IF(raw[[#This Row],[city]]="","-",IF(raw[[#This Row],[cont]]="B",raw[[#This Row],[cont]],"W"))</f>
        <v/>
      </c>
      <c r="O874" s="1397">
        <f>IF(raw[[#This Row],[out]]=0,0,IF(raw[[#This Row],[out]]=raw[[#This Row],[in]],0.01,raw[[#This Row],[out]]-raw[[#This Row],[in]]))</f>
        <v/>
      </c>
      <c r="P874" s="1397">
        <f>IF(raw[[#This Row],[in]]=0,0,MONTH(raw[[#This Row],[in]]))</f>
        <v/>
      </c>
      <c r="Q874" s="1397">
        <f>IF(raw[[#This Row],[in]]=0,0,YEAR(raw[[#This Row],[in]]))</f>
        <v/>
      </c>
      <c r="R874" s="1397">
        <f>INT(raw[[#This Row],[yr]]/10)*10</f>
        <v/>
      </c>
      <c r="S874" s="1395">
        <f>IF(raw[[#This Row],[city]]="","-",IF(raw[[#This Row],[city]]&lt;&gt;_xlfn.XLOOKUP(raw[[#This Row],[home]],homes[home],homes[city],"-"),1,0))</f>
        <v/>
      </c>
      <c r="T874" s="1398" t="inlineStr">
        <is>
          <t>.</t>
        </is>
      </c>
      <c r="U874" s="1399">
        <f>IF(raw[[#This Row],[wb]]="w",raw[[#This Row],[stay]]+U873,U873)</f>
        <v/>
      </c>
      <c r="V874" s="1400">
        <f>IF(raw[[#This Row],[out]]=0,V873,(raw[[#This Row],[out]]-E$5))</f>
        <v/>
      </c>
      <c r="W874" s="1401">
        <f>U874/V874</f>
        <v/>
      </c>
      <c r="X874" s="1378" t="inlineStr">
        <is>
          <t>.</t>
        </is>
      </c>
      <c r="Y874" s="1402" t="n"/>
      <c r="Z874" s="1403" t="n"/>
      <c r="AA874" s="1403" t="n"/>
      <c r="AB874" s="1400">
        <f t="array" ref="AB874">_xlfn.LET(_xlpm.S,_xlfn.ANCHORARRAY($Y$4),_xlpm.r,ROWS(stayCity[[#Headers],[city]]:stayCity[[#This Row],[city]])-1,IF(_xlpm.r&lt;=ROWS(_xlpm.S),INDEX(_xlpm.S,_xlpm.r,1),""))</f>
        <v/>
      </c>
      <c r="AC874" s="1405">
        <f t="array" ref="AC874">_xlfn.LET(_xlpm.S,_xlfn.ANCHORARRAY($Y$4),_xlpm.r,ROWS(stayCity[[#Headers],[city]]:stayCity[[#This Row],[city]])-1,IF(_xlpm.r&lt;=ROWS(_xlpm.S),INDEX(_xlpm.S,_xlpm.r,2),""))</f>
        <v/>
      </c>
      <c r="AD874" s="1405">
        <f t="array" ref="AD874">_xlfn.LET(_xlpm.S,_xlfn.ANCHORARRAY($Y$4),_xlpm.r,ROWS(stayCity[[#Headers],[city]]:stayCity[[#This Row],[city]])-1,IF(_xlpm.r&lt;=ROWS(_xlpm.S),INDEX(_xlpm.S,_xlpm.r,3),""))</f>
        <v/>
      </c>
      <c r="AE874" s="1400">
        <f>IF(stayCity[[#This Row],[out]]&lt;&gt;"",stayCity[[#This Row],[out]]-stayCity[[#This Row],[in]],"-")</f>
        <v/>
      </c>
      <c r="AF874" s="1406">
        <f>IF(Y874="","-",YEAR(stayCity[[#This Row],[in]]))</f>
        <v/>
      </c>
      <c r="AG874" s="1392" t="n"/>
      <c r="AH874" s="1392" t="n"/>
      <c r="AI874" s="1392" t="n"/>
      <c r="AJ874" s="1392" t="n"/>
      <c r="AK874" s="1392" t="n"/>
      <c r="AL874" s="1392" t="n"/>
      <c r="AM874" s="1392" t="n"/>
      <c r="AN874" s="1392" t="n"/>
      <c r="AO874" s="1392" t="n"/>
      <c r="AP874" s="1392" t="n"/>
      <c r="AQ874" s="1392" t="n"/>
      <c r="AR874" s="1392" t="n"/>
      <c r="AS874" s="1422" t="n"/>
      <c r="AT874" s="1392" t="n"/>
      <c r="AU874" s="1392" t="n"/>
      <c r="AV874" s="1392" t="n"/>
      <c r="AW874" s="1392" t="n"/>
      <c r="AX874" s="1392" t="n"/>
      <c r="AY874" s="1392" t="n"/>
      <c r="AZ874" s="1392" t="n"/>
      <c r="BA874" s="1392" t="n"/>
      <c r="BB874" s="1422" t="n"/>
      <c r="BC874" s="1392" t="n"/>
      <c r="BD874" s="1392" t="n"/>
      <c r="BE874" s="1392" t="n"/>
      <c r="BF874" s="1392" t="n"/>
      <c r="BG874" s="1392" t="n"/>
      <c r="BH874" s="1392" t="n"/>
      <c r="BI874" s="1392" t="n"/>
      <c r="BJ874" s="1392" t="n"/>
      <c r="BK874" s="1392" t="n"/>
      <c r="BL874" s="1392" t="n"/>
      <c r="BM874" s="1392" t="n"/>
      <c r="BN874" s="1392" t="n"/>
      <c r="BO874" s="1392" t="n"/>
      <c r="BP874" s="1392" t="n"/>
      <c r="BQ874" s="1392" t="n"/>
      <c r="BR874" s="1392" t="n"/>
      <c r="BS874" s="1392" t="n"/>
      <c r="BT874" s="1392" t="n"/>
      <c r="BU874" s="1416" t="n"/>
      <c r="BV874" s="1392" t="n"/>
      <c r="BW874" s="1392" t="n"/>
      <c r="BX874" s="1392" t="n"/>
      <c r="BY874" s="1392" t="n"/>
      <c r="BZ874" s="1416" t="n"/>
      <c r="CA874" s="1392" t="n"/>
      <c r="CB874" s="1392" t="n"/>
      <c r="CC874" s="1392" t="n"/>
      <c r="CD874" s="1392" t="n"/>
      <c r="CE874" s="1392" t="n"/>
      <c r="CF874" s="1392" t="n"/>
      <c r="CG874" s="1392" t="n"/>
      <c r="CH874" s="1392" t="n"/>
      <c r="CI874" s="1392" t="n"/>
      <c r="CJ874" s="1392" t="n"/>
      <c r="CK874" s="1392" t="n"/>
      <c r="CL874" s="1392" t="n"/>
    </row>
    <row r="875">
      <c r="A875" s="5" t="inlineStr">
        <is>
          <t>.</t>
        </is>
      </c>
      <c r="B875" s="5" t="inlineStr">
        <is>
          <t>.</t>
        </is>
      </c>
      <c r="C875" s="1378">
        <f>IF(raw[[#This Row],[city]]="","-",IF(raw[[#This Row],[city]]="TODAY","-",C874+1))</f>
        <v/>
      </c>
      <c r="D875" s="1393" t="inlineStr">
        <is>
          <t>Grenant</t>
        </is>
      </c>
      <c r="E875" s="1394" t="n">
        <v>38535</v>
      </c>
      <c r="F875" s="1394" t="n">
        <v>38535</v>
      </c>
      <c r="G875" s="1393" t="inlineStr">
        <is>
          <t>-</t>
        </is>
      </c>
      <c r="H875" s="1393" t="inlineStr">
        <is>
          <t>Transit</t>
        </is>
      </c>
      <c r="I875" s="1393" t="inlineStr">
        <is>
          <t>VF</t>
        </is>
      </c>
      <c r="J875" s="1393" t="inlineStr">
        <is>
          <t>-</t>
        </is>
      </c>
      <c r="K875" s="1395">
        <f>IF(raw[[#This Row],[city]]&lt;&gt;"",_xlfn.XLOOKUP($D875,ccc[city],ccc[prov],"-"),"-")</f>
        <v/>
      </c>
      <c r="L875" s="1395">
        <f>IF(raw[[#This Row],[city]]&lt;&gt;"",_xlfn.XLOOKUP($D875,ccc[city],ccc[ctry],"-"),"-")</f>
        <v/>
      </c>
      <c r="M875" s="1395">
        <f>IF(raw[[#This Row],[city]]&lt;&gt;"",_xlfn.XLOOKUP($D875,ccc[city],ccc[cont],"-"),"-")</f>
        <v/>
      </c>
      <c r="N875" s="1396">
        <f>IF(raw[[#This Row],[city]]="","-",IF(raw[[#This Row],[cont]]="B",raw[[#This Row],[cont]],"W"))</f>
        <v/>
      </c>
      <c r="O875" s="1397">
        <f>IF(raw[[#This Row],[out]]=0,0,IF(raw[[#This Row],[out]]=raw[[#This Row],[in]],0.01,raw[[#This Row],[out]]-raw[[#This Row],[in]]))</f>
        <v/>
      </c>
      <c r="P875" s="1397">
        <f>IF(raw[[#This Row],[in]]=0,0,MONTH(raw[[#This Row],[in]]))</f>
        <v/>
      </c>
      <c r="Q875" s="1397">
        <f>IF(raw[[#This Row],[in]]=0,0,YEAR(raw[[#This Row],[in]]))</f>
        <v/>
      </c>
      <c r="R875" s="1397">
        <f>INT(raw[[#This Row],[yr]]/10)*10</f>
        <v/>
      </c>
      <c r="S875" s="1395">
        <f>IF(raw[[#This Row],[city]]="","-",IF(raw[[#This Row],[city]]&lt;&gt;_xlfn.XLOOKUP(raw[[#This Row],[home]],homes[home],homes[city],"-"),1,0))</f>
        <v/>
      </c>
      <c r="T875" s="1398" t="inlineStr">
        <is>
          <t>.</t>
        </is>
      </c>
      <c r="U875" s="1399">
        <f>IF(raw[[#This Row],[wb]]="w",raw[[#This Row],[stay]]+U874,U874)</f>
        <v/>
      </c>
      <c r="V875" s="1400">
        <f>IF(raw[[#This Row],[out]]=0,V874,(raw[[#This Row],[out]]-E$5))</f>
        <v/>
      </c>
      <c r="W875" s="1401">
        <f>U875/V875</f>
        <v/>
      </c>
      <c r="X875" s="1378" t="inlineStr">
        <is>
          <t>.</t>
        </is>
      </c>
      <c r="Y875" s="1402" t="n"/>
      <c r="Z875" s="1403" t="n"/>
      <c r="AA875" s="1403" t="n"/>
      <c r="AB875" s="1400">
        <f t="array" ref="AB875">_xlfn.LET(_xlpm.S,_xlfn.ANCHORARRAY($Y$4),_xlpm.r,ROWS(stayCity[[#Headers],[city]]:stayCity[[#This Row],[city]])-1,IF(_xlpm.r&lt;=ROWS(_xlpm.S),INDEX(_xlpm.S,_xlpm.r,1),""))</f>
        <v/>
      </c>
      <c r="AC875" s="1405">
        <f t="array" ref="AC875">_xlfn.LET(_xlpm.S,_xlfn.ANCHORARRAY($Y$4),_xlpm.r,ROWS(stayCity[[#Headers],[city]]:stayCity[[#This Row],[city]])-1,IF(_xlpm.r&lt;=ROWS(_xlpm.S),INDEX(_xlpm.S,_xlpm.r,2),""))</f>
        <v/>
      </c>
      <c r="AD875" s="1405">
        <f t="array" ref="AD875">_xlfn.LET(_xlpm.S,_xlfn.ANCHORARRAY($Y$4),_xlpm.r,ROWS(stayCity[[#Headers],[city]]:stayCity[[#This Row],[city]])-1,IF(_xlpm.r&lt;=ROWS(_xlpm.S),INDEX(_xlpm.S,_xlpm.r,3),""))</f>
        <v/>
      </c>
      <c r="AE875" s="1400">
        <f>IF(stayCity[[#This Row],[out]]&lt;&gt;"",stayCity[[#This Row],[out]]-stayCity[[#This Row],[in]],"-")</f>
        <v/>
      </c>
      <c r="AF875" s="1406">
        <f>IF(Y875="","-",YEAR(stayCity[[#This Row],[in]]))</f>
        <v/>
      </c>
      <c r="AG875" s="1392" t="n"/>
      <c r="AH875" s="1392" t="n"/>
      <c r="AI875" s="1392" t="n"/>
      <c r="AJ875" s="1392" t="n"/>
      <c r="AK875" s="1392" t="n"/>
      <c r="AL875" s="1392" t="n"/>
      <c r="AM875" s="1392" t="n"/>
      <c r="AN875" s="1392" t="n"/>
      <c r="AO875" s="1392" t="n"/>
      <c r="AP875" s="1392" t="n"/>
      <c r="AQ875" s="1392" t="n"/>
      <c r="AR875" s="1392" t="n"/>
      <c r="AS875" s="1422" t="n"/>
      <c r="AT875" s="1392" t="n"/>
      <c r="AU875" s="1392" t="n"/>
      <c r="AV875" s="1392" t="n"/>
      <c r="AW875" s="1392" t="n"/>
      <c r="AX875" s="1392" t="n"/>
      <c r="AY875" s="1392" t="n"/>
      <c r="AZ875" s="1392" t="n"/>
      <c r="BA875" s="1392" t="n"/>
      <c r="BB875" s="1422" t="n"/>
      <c r="BC875" s="1392" t="n"/>
      <c r="BD875" s="1392" t="n"/>
      <c r="BE875" s="1392" t="n"/>
      <c r="BF875" s="1392" t="n"/>
      <c r="BG875" s="1392" t="n"/>
      <c r="BH875" s="1392" t="n"/>
      <c r="BI875" s="1392" t="n"/>
      <c r="BJ875" s="1392" t="n"/>
      <c r="BK875" s="1392" t="n"/>
      <c r="BL875" s="1392" t="n"/>
      <c r="BM875" s="1392" t="n"/>
      <c r="BN875" s="1392" t="n"/>
      <c r="BO875" s="1392" t="n"/>
      <c r="BP875" s="1392" t="n"/>
      <c r="BQ875" s="1392" t="n"/>
      <c r="BR875" s="1392" t="n"/>
      <c r="BS875" s="1392" t="n"/>
      <c r="BT875" s="1392" t="n"/>
      <c r="BU875" s="1416" t="n"/>
      <c r="BV875" s="1392" t="n"/>
      <c r="BW875" s="1392" t="n"/>
      <c r="BX875" s="1392" t="n"/>
      <c r="BY875" s="1392" t="n"/>
      <c r="BZ875" s="1416" t="n"/>
      <c r="CA875" s="1392" t="n"/>
      <c r="CB875" s="1392" t="n"/>
      <c r="CC875" s="1392" t="n"/>
      <c r="CD875" s="1392" t="n"/>
      <c r="CE875" s="1392" t="n"/>
      <c r="CF875" s="1392" t="n"/>
      <c r="CG875" s="1392" t="n"/>
      <c r="CH875" s="1392" t="n"/>
      <c r="CI875" s="1392" t="n"/>
      <c r="CJ875" s="1392" t="n"/>
      <c r="CK875" s="1392" t="n"/>
      <c r="CL875" s="1392" t="n"/>
    </row>
    <row r="876">
      <c r="A876" s="5" t="inlineStr">
        <is>
          <t>.</t>
        </is>
      </c>
      <c r="B876" s="5" t="inlineStr">
        <is>
          <t>.</t>
        </is>
      </c>
      <c r="C876" s="1378">
        <f>IF(raw[[#This Row],[city]]="","-",IF(raw[[#This Row],[city]]="TODAY","-",C875+1))</f>
        <v/>
      </c>
      <c r="D876" s="1393" t="inlineStr">
        <is>
          <t>Champlitte</t>
        </is>
      </c>
      <c r="E876" s="1394" t="n">
        <v>38535</v>
      </c>
      <c r="F876" s="1394" t="n">
        <v>38536</v>
      </c>
      <c r="G876" s="1393" t="inlineStr">
        <is>
          <t>-</t>
        </is>
      </c>
      <c r="H876" s="1393" t="inlineStr">
        <is>
          <t>Transit</t>
        </is>
      </c>
      <c r="I876" s="1393" t="inlineStr">
        <is>
          <t>VF</t>
        </is>
      </c>
      <c r="J876" s="1393" t="inlineStr">
        <is>
          <t>-</t>
        </is>
      </c>
      <c r="K876" s="1395">
        <f>IF(raw[[#This Row],[city]]&lt;&gt;"",_xlfn.XLOOKUP($D876,ccc[city],ccc[prov],"-"),"-")</f>
        <v/>
      </c>
      <c r="L876" s="1395">
        <f>IF(raw[[#This Row],[city]]&lt;&gt;"",_xlfn.XLOOKUP($D876,ccc[city],ccc[ctry],"-"),"-")</f>
        <v/>
      </c>
      <c r="M876" s="1395">
        <f>IF(raw[[#This Row],[city]]&lt;&gt;"",_xlfn.XLOOKUP($D876,ccc[city],ccc[cont],"-"),"-")</f>
        <v/>
      </c>
      <c r="N876" s="1396">
        <f>IF(raw[[#This Row],[city]]="","-",IF(raw[[#This Row],[cont]]="B",raw[[#This Row],[cont]],"W"))</f>
        <v/>
      </c>
      <c r="O876" s="1397">
        <f>IF(raw[[#This Row],[out]]=0,0,IF(raw[[#This Row],[out]]=raw[[#This Row],[in]],0.01,raw[[#This Row],[out]]-raw[[#This Row],[in]]))</f>
        <v/>
      </c>
      <c r="P876" s="1397">
        <f>IF(raw[[#This Row],[in]]=0,0,MONTH(raw[[#This Row],[in]]))</f>
        <v/>
      </c>
      <c r="Q876" s="1397">
        <f>IF(raw[[#This Row],[in]]=0,0,YEAR(raw[[#This Row],[in]]))</f>
        <v/>
      </c>
      <c r="R876" s="1397">
        <f>INT(raw[[#This Row],[yr]]/10)*10</f>
        <v/>
      </c>
      <c r="S876" s="1395">
        <f>IF(raw[[#This Row],[city]]="","-",IF(raw[[#This Row],[city]]&lt;&gt;_xlfn.XLOOKUP(raw[[#This Row],[home]],homes[home],homes[city],"-"),1,0))</f>
        <v/>
      </c>
      <c r="T876" s="1398" t="inlineStr">
        <is>
          <t>.</t>
        </is>
      </c>
      <c r="U876" s="1399">
        <f>IF(raw[[#This Row],[wb]]="w",raw[[#This Row],[stay]]+U875,U875)</f>
        <v/>
      </c>
      <c r="V876" s="1400">
        <f>IF(raw[[#This Row],[out]]=0,V875,(raw[[#This Row],[out]]-E$5))</f>
        <v/>
      </c>
      <c r="W876" s="1401">
        <f>U876/V876</f>
        <v/>
      </c>
      <c r="X876" s="1378" t="inlineStr">
        <is>
          <t>.</t>
        </is>
      </c>
      <c r="Y876" s="1402" t="n"/>
      <c r="Z876" s="1403" t="n"/>
      <c r="AA876" s="1403" t="n"/>
      <c r="AB876" s="1400">
        <f t="array" ref="AB876">_xlfn.LET(_xlpm.S,_xlfn.ANCHORARRAY($Y$4),_xlpm.r,ROWS(stayCity[[#Headers],[city]]:stayCity[[#This Row],[city]])-1,IF(_xlpm.r&lt;=ROWS(_xlpm.S),INDEX(_xlpm.S,_xlpm.r,1),""))</f>
        <v/>
      </c>
      <c r="AC876" s="1405">
        <f t="array" ref="AC876">_xlfn.LET(_xlpm.S,_xlfn.ANCHORARRAY($Y$4),_xlpm.r,ROWS(stayCity[[#Headers],[city]]:stayCity[[#This Row],[city]])-1,IF(_xlpm.r&lt;=ROWS(_xlpm.S),INDEX(_xlpm.S,_xlpm.r,2),""))</f>
        <v/>
      </c>
      <c r="AD876" s="1405">
        <f t="array" ref="AD876">_xlfn.LET(_xlpm.S,_xlfn.ANCHORARRAY($Y$4),_xlpm.r,ROWS(stayCity[[#Headers],[city]]:stayCity[[#This Row],[city]])-1,IF(_xlpm.r&lt;=ROWS(_xlpm.S),INDEX(_xlpm.S,_xlpm.r,3),""))</f>
        <v/>
      </c>
      <c r="AE876" s="1400">
        <f>IF(stayCity[[#This Row],[out]]&lt;&gt;"",stayCity[[#This Row],[out]]-stayCity[[#This Row],[in]],"-")</f>
        <v/>
      </c>
      <c r="AF876" s="1406">
        <f>IF(Y876="","-",YEAR(stayCity[[#This Row],[in]]))</f>
        <v/>
      </c>
      <c r="AG876" s="1392" t="n"/>
      <c r="AH876" s="1392" t="n"/>
      <c r="AI876" s="1392" t="n"/>
      <c r="AJ876" s="1392" t="n"/>
      <c r="AK876" s="1392" t="n"/>
      <c r="AL876" s="1392" t="n"/>
      <c r="AM876" s="1392" t="n"/>
      <c r="AN876" s="1392" t="n"/>
      <c r="AO876" s="1392" t="n"/>
      <c r="AP876" s="1392" t="n"/>
      <c r="AQ876" s="1392" t="n"/>
      <c r="AR876" s="1392" t="n"/>
      <c r="AS876" s="1422" t="n"/>
      <c r="AT876" s="1392" t="n"/>
      <c r="AU876" s="1392" t="n"/>
      <c r="AV876" s="1392" t="n"/>
      <c r="AW876" s="1392" t="n"/>
      <c r="AX876" s="1392" t="n"/>
      <c r="AY876" s="1392" t="n"/>
      <c r="AZ876" s="1392" t="n"/>
      <c r="BA876" s="1392" t="n"/>
      <c r="BB876" s="1422" t="n"/>
      <c r="BC876" s="1392" t="n"/>
      <c r="BD876" s="1392" t="n"/>
      <c r="BE876" s="1392" t="n"/>
      <c r="BF876" s="1392" t="n"/>
      <c r="BG876" s="1392" t="n"/>
      <c r="BH876" s="1392" t="n"/>
      <c r="BI876" s="1392" t="n"/>
      <c r="BJ876" s="1392" t="n"/>
      <c r="BK876" s="1392" t="n"/>
      <c r="BL876" s="1392" t="n"/>
      <c r="BM876" s="1392" t="n"/>
      <c r="BN876" s="1392" t="n"/>
      <c r="BO876" s="1392" t="n"/>
      <c r="BP876" s="1392" t="n"/>
      <c r="BQ876" s="1392" t="n"/>
      <c r="BR876" s="1392" t="n"/>
      <c r="BS876" s="1392" t="n"/>
      <c r="BT876" s="1392" t="n"/>
      <c r="BU876" s="1416" t="n"/>
      <c r="BV876" s="1392" t="n"/>
      <c r="BW876" s="1392" t="n"/>
      <c r="BX876" s="1392" t="n"/>
      <c r="BY876" s="1392" t="n"/>
      <c r="BZ876" s="1416" t="n"/>
      <c r="CA876" s="1392" t="n"/>
      <c r="CB876" s="1392" t="n"/>
      <c r="CC876" s="1392" t="n"/>
      <c r="CD876" s="1392" t="n"/>
      <c r="CE876" s="1392" t="n"/>
      <c r="CF876" s="1392" t="n"/>
      <c r="CG876" s="1392" t="n"/>
      <c r="CH876" s="1392" t="n"/>
      <c r="CI876" s="1392" t="n"/>
      <c r="CJ876" s="1392" t="n"/>
      <c r="CK876" s="1392" t="n"/>
      <c r="CL876" s="1392" t="n"/>
    </row>
    <row r="877">
      <c r="A877" s="5" t="inlineStr">
        <is>
          <t>.</t>
        </is>
      </c>
      <c r="B877" s="5" t="inlineStr">
        <is>
          <t>.</t>
        </is>
      </c>
      <c r="C877" s="1378">
        <f>IF(raw[[#This Row],[city]]="","-",IF(raw[[#This Row],[city]]="TODAY","-",C876+1))</f>
        <v/>
      </c>
      <c r="D877" s="1393" t="inlineStr">
        <is>
          <t>Mercey-sur-Saone</t>
        </is>
      </c>
      <c r="E877" s="1394" t="n">
        <v>38536</v>
      </c>
      <c r="F877" s="1394" t="n">
        <v>38537</v>
      </c>
      <c r="G877" s="1393" t="inlineStr">
        <is>
          <t>-</t>
        </is>
      </c>
      <c r="H877" s="1393" t="inlineStr">
        <is>
          <t>Transit</t>
        </is>
      </c>
      <c r="I877" s="1393" t="inlineStr">
        <is>
          <t>VF</t>
        </is>
      </c>
      <c r="J877" s="1393" t="inlineStr">
        <is>
          <t>-</t>
        </is>
      </c>
      <c r="K877" s="1395">
        <f>IF(raw[[#This Row],[city]]&lt;&gt;"",_xlfn.XLOOKUP($D877,ccc[city],ccc[prov],"-"),"-")</f>
        <v/>
      </c>
      <c r="L877" s="1395">
        <f>IF(raw[[#This Row],[city]]&lt;&gt;"",_xlfn.XLOOKUP($D877,ccc[city],ccc[ctry],"-"),"-")</f>
        <v/>
      </c>
      <c r="M877" s="1395">
        <f>IF(raw[[#This Row],[city]]&lt;&gt;"",_xlfn.XLOOKUP($D877,ccc[city],ccc[cont],"-"),"-")</f>
        <v/>
      </c>
      <c r="N877" s="1396">
        <f>IF(raw[[#This Row],[city]]="","-",IF(raw[[#This Row],[cont]]="B",raw[[#This Row],[cont]],"W"))</f>
        <v/>
      </c>
      <c r="O877" s="1397">
        <f>IF(raw[[#This Row],[out]]=0,0,IF(raw[[#This Row],[out]]=raw[[#This Row],[in]],0.01,raw[[#This Row],[out]]-raw[[#This Row],[in]]))</f>
        <v/>
      </c>
      <c r="P877" s="1397">
        <f>IF(raw[[#This Row],[in]]=0,0,MONTH(raw[[#This Row],[in]]))</f>
        <v/>
      </c>
      <c r="Q877" s="1397">
        <f>IF(raw[[#This Row],[in]]=0,0,YEAR(raw[[#This Row],[in]]))</f>
        <v/>
      </c>
      <c r="R877" s="1397">
        <f>INT(raw[[#This Row],[yr]]/10)*10</f>
        <v/>
      </c>
      <c r="S877" s="1395">
        <f>IF(raw[[#This Row],[city]]="","-",IF(raw[[#This Row],[city]]&lt;&gt;_xlfn.XLOOKUP(raw[[#This Row],[home]],homes[home],homes[city],"-"),1,0))</f>
        <v/>
      </c>
      <c r="T877" s="1398" t="inlineStr">
        <is>
          <t>.</t>
        </is>
      </c>
      <c r="U877" s="1399">
        <f>IF(raw[[#This Row],[wb]]="w",raw[[#This Row],[stay]]+U876,U876)</f>
        <v/>
      </c>
      <c r="V877" s="1400">
        <f>IF(raw[[#This Row],[out]]=0,V876,(raw[[#This Row],[out]]-E$5))</f>
        <v/>
      </c>
      <c r="W877" s="1401">
        <f>U877/V877</f>
        <v/>
      </c>
      <c r="X877" s="1378" t="inlineStr">
        <is>
          <t>.</t>
        </is>
      </c>
      <c r="Y877" s="1402" t="n"/>
      <c r="Z877" s="1403" t="n"/>
      <c r="AA877" s="1403" t="n"/>
      <c r="AB877" s="1400">
        <f t="array" ref="AB877">_xlfn.LET(_xlpm.S,_xlfn.ANCHORARRAY($Y$4),_xlpm.r,ROWS(stayCity[[#Headers],[city]]:stayCity[[#This Row],[city]])-1,IF(_xlpm.r&lt;=ROWS(_xlpm.S),INDEX(_xlpm.S,_xlpm.r,1),""))</f>
        <v/>
      </c>
      <c r="AC877" s="1405">
        <f t="array" ref="AC877">_xlfn.LET(_xlpm.S,_xlfn.ANCHORARRAY($Y$4),_xlpm.r,ROWS(stayCity[[#Headers],[city]]:stayCity[[#This Row],[city]])-1,IF(_xlpm.r&lt;=ROWS(_xlpm.S),INDEX(_xlpm.S,_xlpm.r,2),""))</f>
        <v/>
      </c>
      <c r="AD877" s="1405">
        <f t="array" ref="AD877">_xlfn.LET(_xlpm.S,_xlfn.ANCHORARRAY($Y$4),_xlpm.r,ROWS(stayCity[[#Headers],[city]]:stayCity[[#This Row],[city]])-1,IF(_xlpm.r&lt;=ROWS(_xlpm.S),INDEX(_xlpm.S,_xlpm.r,3),""))</f>
        <v/>
      </c>
      <c r="AE877" s="1400">
        <f>IF(stayCity[[#This Row],[out]]&lt;&gt;"",stayCity[[#This Row],[out]]-stayCity[[#This Row],[in]],"-")</f>
        <v/>
      </c>
      <c r="AF877" s="1406">
        <f>IF(Y877="","-",YEAR(stayCity[[#This Row],[in]]))</f>
        <v/>
      </c>
      <c r="AG877" s="1392" t="n"/>
      <c r="AH877" s="1392" t="n"/>
      <c r="AI877" s="1392" t="n"/>
      <c r="AJ877" s="1392" t="n"/>
      <c r="AK877" s="1392" t="n"/>
      <c r="AL877" s="1392" t="n"/>
      <c r="AM877" s="1392" t="n"/>
      <c r="AN877" s="1392" t="n"/>
      <c r="AO877" s="1392" t="n"/>
      <c r="AP877" s="1392" t="n"/>
      <c r="AQ877" s="1392" t="n"/>
      <c r="AR877" s="1392" t="n"/>
      <c r="AS877" s="1422" t="n"/>
      <c r="AT877" s="1392" t="n"/>
      <c r="AU877" s="1392" t="n"/>
      <c r="AV877" s="1392" t="n"/>
      <c r="AW877" s="1392" t="n"/>
      <c r="AX877" s="1392" t="n"/>
      <c r="AY877" s="1392" t="n"/>
      <c r="AZ877" s="1392" t="n"/>
      <c r="BA877" s="1392" t="n"/>
      <c r="BB877" s="1422" t="n"/>
      <c r="BC877" s="1392" t="n"/>
      <c r="BD877" s="1392" t="n"/>
      <c r="BE877" s="1392" t="n"/>
      <c r="BF877" s="1392" t="n"/>
      <c r="BG877" s="1392" t="n"/>
      <c r="BH877" s="1392" t="n"/>
      <c r="BI877" s="1392" t="n"/>
      <c r="BJ877" s="1392" t="n"/>
      <c r="BK877" s="1392" t="n"/>
      <c r="BL877" s="1392" t="n"/>
      <c r="BM877" s="1392" t="n"/>
      <c r="BN877" s="1392" t="n"/>
      <c r="BO877" s="1392" t="n"/>
      <c r="BP877" s="1392" t="n"/>
      <c r="BQ877" s="1392" t="n"/>
      <c r="BR877" s="1392" t="n"/>
      <c r="BS877" s="1392" t="n"/>
      <c r="BT877" s="1392" t="n"/>
      <c r="BU877" s="1416" t="n"/>
      <c r="BV877" s="1392" t="n"/>
      <c r="BW877" s="1392" t="n"/>
      <c r="BX877" s="1392" t="n"/>
      <c r="BY877" s="1392" t="n"/>
      <c r="BZ877" s="1416" t="n"/>
      <c r="CA877" s="1392" t="n"/>
      <c r="CB877" s="1392" t="n"/>
      <c r="CC877" s="1392" t="n"/>
      <c r="CD877" s="1392" t="n"/>
      <c r="CE877" s="1392" t="n"/>
      <c r="CF877" s="1392" t="n"/>
      <c r="CG877" s="1392" t="n"/>
      <c r="CH877" s="1392" t="n"/>
      <c r="CI877" s="1392" t="n"/>
      <c r="CJ877" s="1392" t="n"/>
      <c r="CK877" s="1392" t="n"/>
      <c r="CL877" s="1392" t="n"/>
    </row>
    <row r="878">
      <c r="A878" s="5" t="inlineStr">
        <is>
          <t>.</t>
        </is>
      </c>
      <c r="B878" s="5" t="inlineStr">
        <is>
          <t>.</t>
        </is>
      </c>
      <c r="C878" s="1378">
        <f>IF(raw[[#This Row],[city]]="","-",IF(raw[[#This Row],[city]]="TODAY","-",C877+1))</f>
        <v/>
      </c>
      <c r="D878" s="1393" t="inlineStr">
        <is>
          <t>Frasne-le-Chateau</t>
        </is>
      </c>
      <c r="E878" s="1394" t="n">
        <v>38537</v>
      </c>
      <c r="F878" s="1394" t="n">
        <v>38537</v>
      </c>
      <c r="G878" s="1393" t="inlineStr">
        <is>
          <t>-</t>
        </is>
      </c>
      <c r="H878" s="1393" t="inlineStr">
        <is>
          <t>Transit</t>
        </is>
      </c>
      <c r="I878" s="1393" t="inlineStr">
        <is>
          <t>VF</t>
        </is>
      </c>
      <c r="J878" s="1393" t="inlineStr">
        <is>
          <t>-</t>
        </is>
      </c>
      <c r="K878" s="1395">
        <f>IF(raw[[#This Row],[city]]&lt;&gt;"",_xlfn.XLOOKUP($D878,ccc[city],ccc[prov],"-"),"-")</f>
        <v/>
      </c>
      <c r="L878" s="1395">
        <f>IF(raw[[#This Row],[city]]&lt;&gt;"",_xlfn.XLOOKUP($D878,ccc[city],ccc[ctry],"-"),"-")</f>
        <v/>
      </c>
      <c r="M878" s="1395">
        <f>IF(raw[[#This Row],[city]]&lt;&gt;"",_xlfn.XLOOKUP($D878,ccc[city],ccc[cont],"-"),"-")</f>
        <v/>
      </c>
      <c r="N878" s="1396">
        <f>IF(raw[[#This Row],[city]]="","-",IF(raw[[#This Row],[cont]]="B",raw[[#This Row],[cont]],"W"))</f>
        <v/>
      </c>
      <c r="O878" s="1397">
        <f>IF(raw[[#This Row],[out]]=0,0,IF(raw[[#This Row],[out]]=raw[[#This Row],[in]],0.01,raw[[#This Row],[out]]-raw[[#This Row],[in]]))</f>
        <v/>
      </c>
      <c r="P878" s="1397">
        <f>IF(raw[[#This Row],[in]]=0,0,MONTH(raw[[#This Row],[in]]))</f>
        <v/>
      </c>
      <c r="Q878" s="1397">
        <f>IF(raw[[#This Row],[in]]=0,0,YEAR(raw[[#This Row],[in]]))</f>
        <v/>
      </c>
      <c r="R878" s="1397">
        <f>INT(raw[[#This Row],[yr]]/10)*10</f>
        <v/>
      </c>
      <c r="S878" s="1395">
        <f>IF(raw[[#This Row],[city]]="","-",IF(raw[[#This Row],[city]]&lt;&gt;_xlfn.XLOOKUP(raw[[#This Row],[home]],homes[home],homes[city],"-"),1,0))</f>
        <v/>
      </c>
      <c r="T878" s="1398" t="inlineStr">
        <is>
          <t>.</t>
        </is>
      </c>
      <c r="U878" s="1399">
        <f>IF(raw[[#This Row],[wb]]="w",raw[[#This Row],[stay]]+U877,U877)</f>
        <v/>
      </c>
      <c r="V878" s="1400">
        <f>IF(raw[[#This Row],[out]]=0,V877,(raw[[#This Row],[out]]-E$5))</f>
        <v/>
      </c>
      <c r="W878" s="1401">
        <f>U878/V878</f>
        <v/>
      </c>
      <c r="X878" s="1378" t="inlineStr">
        <is>
          <t>.</t>
        </is>
      </c>
      <c r="Y878" s="1402" t="n"/>
      <c r="Z878" s="1403" t="n"/>
      <c r="AA878" s="1403" t="n"/>
      <c r="AB878" s="1400">
        <f t="array" ref="AB878">_xlfn.LET(_xlpm.S,_xlfn.ANCHORARRAY($Y$4),_xlpm.r,ROWS(stayCity[[#Headers],[city]]:stayCity[[#This Row],[city]])-1,IF(_xlpm.r&lt;=ROWS(_xlpm.S),INDEX(_xlpm.S,_xlpm.r,1),""))</f>
        <v/>
      </c>
      <c r="AC878" s="1405">
        <f t="array" ref="AC878">_xlfn.LET(_xlpm.S,_xlfn.ANCHORARRAY($Y$4),_xlpm.r,ROWS(stayCity[[#Headers],[city]]:stayCity[[#This Row],[city]])-1,IF(_xlpm.r&lt;=ROWS(_xlpm.S),INDEX(_xlpm.S,_xlpm.r,2),""))</f>
        <v/>
      </c>
      <c r="AD878" s="1405">
        <f t="array" ref="AD878">_xlfn.LET(_xlpm.S,_xlfn.ANCHORARRAY($Y$4),_xlpm.r,ROWS(stayCity[[#Headers],[city]]:stayCity[[#This Row],[city]])-1,IF(_xlpm.r&lt;=ROWS(_xlpm.S),INDEX(_xlpm.S,_xlpm.r,3),""))</f>
        <v/>
      </c>
      <c r="AE878" s="1400">
        <f>IF(stayCity[[#This Row],[out]]&lt;&gt;"",stayCity[[#This Row],[out]]-stayCity[[#This Row],[in]],"-")</f>
        <v/>
      </c>
      <c r="AF878" s="1406">
        <f>IF(Y878="","-",YEAR(stayCity[[#This Row],[in]]))</f>
        <v/>
      </c>
      <c r="AG878" s="1392" t="n"/>
      <c r="AH878" s="1392" t="n"/>
      <c r="AI878" s="1392" t="n"/>
      <c r="AJ878" s="1392" t="n"/>
      <c r="AK878" s="1392" t="n"/>
      <c r="AL878" s="1392" t="n"/>
      <c r="AM878" s="1392" t="n"/>
      <c r="AN878" s="1392" t="n"/>
      <c r="AO878" s="1392" t="n"/>
      <c r="AP878" s="1392" t="n"/>
      <c r="AQ878" s="1392" t="n"/>
      <c r="AR878" s="1392" t="n"/>
      <c r="AS878" s="1422" t="n"/>
      <c r="AT878" s="1392" t="n"/>
      <c r="AU878" s="1392" t="n"/>
      <c r="AV878" s="1392" t="n"/>
      <c r="AW878" s="1392" t="n"/>
      <c r="AX878" s="1392" t="n"/>
      <c r="AY878" s="1392" t="n"/>
      <c r="AZ878" s="1392" t="n"/>
      <c r="BA878" s="1392" t="n"/>
      <c r="BB878" s="1422" t="n"/>
      <c r="BC878" s="1392" t="n"/>
      <c r="BD878" s="1392" t="n"/>
      <c r="BE878" s="1392" t="n"/>
      <c r="BF878" s="1392" t="n"/>
      <c r="BG878" s="1392" t="n"/>
      <c r="BH878" s="1392" t="n"/>
      <c r="BI878" s="1392" t="n"/>
      <c r="BJ878" s="1392" t="n"/>
      <c r="BK878" s="1392" t="n"/>
      <c r="BL878" s="1392" t="n"/>
      <c r="BM878" s="1392" t="n"/>
      <c r="BN878" s="1392" t="n"/>
      <c r="BO878" s="1392" t="n"/>
      <c r="BP878" s="1392" t="n"/>
      <c r="BQ878" s="1392" t="n"/>
      <c r="BR878" s="1392" t="n"/>
      <c r="BS878" s="1392" t="n"/>
      <c r="BT878" s="1392" t="n"/>
      <c r="BU878" s="1416" t="n"/>
      <c r="BV878" s="1392" t="n"/>
      <c r="BW878" s="1392" t="n"/>
      <c r="BX878" s="1392" t="n"/>
      <c r="BY878" s="1392" t="n"/>
      <c r="BZ878" s="1416" t="n"/>
      <c r="CA878" s="1392" t="n"/>
      <c r="CB878" s="1392" t="n"/>
      <c r="CC878" s="1392" t="n"/>
      <c r="CD878" s="1392" t="n"/>
      <c r="CE878" s="1392" t="n"/>
      <c r="CF878" s="1392" t="n"/>
      <c r="CG878" s="1392" t="n"/>
      <c r="CH878" s="1392" t="n"/>
      <c r="CI878" s="1392" t="n"/>
      <c r="CJ878" s="1392" t="n"/>
      <c r="CK878" s="1392" t="n"/>
      <c r="CL878" s="1392" t="n"/>
    </row>
    <row r="879">
      <c r="A879" s="5" t="inlineStr">
        <is>
          <t>.</t>
        </is>
      </c>
      <c r="B879" s="5" t="inlineStr">
        <is>
          <t>.</t>
        </is>
      </c>
      <c r="C879" s="1378">
        <f>IF(raw[[#This Row],[city]]="","-",IF(raw[[#This Row],[city]]="TODAY","-",C878+1))</f>
        <v/>
      </c>
      <c r="D879" s="1393" t="inlineStr">
        <is>
          <t>Cussey-sur-l'Ognon</t>
        </is>
      </c>
      <c r="E879" s="1394" t="n">
        <v>38537</v>
      </c>
      <c r="F879" s="1394" t="n">
        <v>38538</v>
      </c>
      <c r="G879" s="1393" t="inlineStr">
        <is>
          <t>-</t>
        </is>
      </c>
      <c r="H879" s="1393" t="inlineStr">
        <is>
          <t>Transit</t>
        </is>
      </c>
      <c r="I879" s="1393" t="inlineStr">
        <is>
          <t>VF</t>
        </is>
      </c>
      <c r="J879" s="1393" t="inlineStr">
        <is>
          <t>-</t>
        </is>
      </c>
      <c r="K879" s="1395">
        <f>IF(raw[[#This Row],[city]]&lt;&gt;"",_xlfn.XLOOKUP($D879,ccc[city],ccc[prov],"-"),"-")</f>
        <v/>
      </c>
      <c r="L879" s="1395">
        <f>IF(raw[[#This Row],[city]]&lt;&gt;"",_xlfn.XLOOKUP($D879,ccc[city],ccc[ctry],"-"),"-")</f>
        <v/>
      </c>
      <c r="M879" s="1395">
        <f>IF(raw[[#This Row],[city]]&lt;&gt;"",_xlfn.XLOOKUP($D879,ccc[city],ccc[cont],"-"),"-")</f>
        <v/>
      </c>
      <c r="N879" s="1396">
        <f>IF(raw[[#This Row],[city]]="","-",IF(raw[[#This Row],[cont]]="B",raw[[#This Row],[cont]],"W"))</f>
        <v/>
      </c>
      <c r="O879" s="1397">
        <f>IF(raw[[#This Row],[out]]=0,0,IF(raw[[#This Row],[out]]=raw[[#This Row],[in]],0.01,raw[[#This Row],[out]]-raw[[#This Row],[in]]))</f>
        <v/>
      </c>
      <c r="P879" s="1397">
        <f>IF(raw[[#This Row],[in]]=0,0,MONTH(raw[[#This Row],[in]]))</f>
        <v/>
      </c>
      <c r="Q879" s="1397">
        <f>IF(raw[[#This Row],[in]]=0,0,YEAR(raw[[#This Row],[in]]))</f>
        <v/>
      </c>
      <c r="R879" s="1397">
        <f>INT(raw[[#This Row],[yr]]/10)*10</f>
        <v/>
      </c>
      <c r="S879" s="1395">
        <f>IF(raw[[#This Row],[city]]="","-",IF(raw[[#This Row],[city]]&lt;&gt;_xlfn.XLOOKUP(raw[[#This Row],[home]],homes[home],homes[city],"-"),1,0))</f>
        <v/>
      </c>
      <c r="T879" s="1398" t="inlineStr">
        <is>
          <t>.</t>
        </is>
      </c>
      <c r="U879" s="1399">
        <f>IF(raw[[#This Row],[wb]]="w",raw[[#This Row],[stay]]+U878,U878)</f>
        <v/>
      </c>
      <c r="V879" s="1400">
        <f>IF(raw[[#This Row],[out]]=0,V878,(raw[[#This Row],[out]]-E$5))</f>
        <v/>
      </c>
      <c r="W879" s="1401">
        <f>U879/V879</f>
        <v/>
      </c>
      <c r="X879" s="1378" t="inlineStr">
        <is>
          <t>.</t>
        </is>
      </c>
      <c r="Y879" s="1402" t="n"/>
      <c r="Z879" s="1403" t="n"/>
      <c r="AA879" s="1403" t="n"/>
      <c r="AB879" s="1400">
        <f t="array" ref="AB879">_xlfn.LET(_xlpm.S,_xlfn.ANCHORARRAY($Y$4),_xlpm.r,ROWS(stayCity[[#Headers],[city]]:stayCity[[#This Row],[city]])-1,IF(_xlpm.r&lt;=ROWS(_xlpm.S),INDEX(_xlpm.S,_xlpm.r,1),""))</f>
        <v/>
      </c>
      <c r="AC879" s="1405">
        <f t="array" ref="AC879">_xlfn.LET(_xlpm.S,_xlfn.ANCHORARRAY($Y$4),_xlpm.r,ROWS(stayCity[[#Headers],[city]]:stayCity[[#This Row],[city]])-1,IF(_xlpm.r&lt;=ROWS(_xlpm.S),INDEX(_xlpm.S,_xlpm.r,2),""))</f>
        <v/>
      </c>
      <c r="AD879" s="1405">
        <f t="array" ref="AD879">_xlfn.LET(_xlpm.S,_xlfn.ANCHORARRAY($Y$4),_xlpm.r,ROWS(stayCity[[#Headers],[city]]:stayCity[[#This Row],[city]])-1,IF(_xlpm.r&lt;=ROWS(_xlpm.S),INDEX(_xlpm.S,_xlpm.r,3),""))</f>
        <v/>
      </c>
      <c r="AE879" s="1400">
        <f>IF(stayCity[[#This Row],[out]]&lt;&gt;"",stayCity[[#This Row],[out]]-stayCity[[#This Row],[in]],"-")</f>
        <v/>
      </c>
      <c r="AF879" s="1406">
        <f>IF(Y879="","-",YEAR(stayCity[[#This Row],[in]]))</f>
        <v/>
      </c>
      <c r="AG879" s="1392" t="n"/>
      <c r="AH879" s="1392" t="n"/>
      <c r="AI879" s="1392" t="n"/>
      <c r="AJ879" s="1392" t="n"/>
      <c r="AK879" s="1392" t="n"/>
      <c r="AL879" s="1392" t="n"/>
      <c r="AM879" s="1392" t="n"/>
      <c r="AN879" s="1392" t="n"/>
      <c r="AO879" s="1392" t="n"/>
      <c r="AP879" s="1392" t="n"/>
      <c r="AQ879" s="1392" t="n"/>
      <c r="AR879" s="1392" t="n"/>
      <c r="AS879" s="1422" t="n"/>
      <c r="AT879" s="1392" t="n"/>
      <c r="AU879" s="1392" t="n"/>
      <c r="AV879" s="1392" t="n"/>
      <c r="AW879" s="1392" t="n"/>
      <c r="AX879" s="1392" t="n"/>
      <c r="AY879" s="1392" t="n"/>
      <c r="AZ879" s="1392" t="n"/>
      <c r="BA879" s="1392" t="n"/>
      <c r="BB879" s="1422" t="n"/>
      <c r="BC879" s="1392" t="n"/>
      <c r="BD879" s="1392" t="n"/>
      <c r="BE879" s="1392" t="n"/>
      <c r="BF879" s="1392" t="n"/>
      <c r="BG879" s="1392" t="n"/>
      <c r="BH879" s="1392" t="n"/>
      <c r="BI879" s="1392" t="n"/>
      <c r="BJ879" s="1392" t="n"/>
      <c r="BK879" s="1392" t="n"/>
      <c r="BL879" s="1392" t="n"/>
      <c r="BM879" s="1392" t="n"/>
      <c r="BN879" s="1392" t="n"/>
      <c r="BO879" s="1392" t="n"/>
      <c r="BP879" s="1392" t="n"/>
      <c r="BQ879" s="1392" t="n"/>
      <c r="BR879" s="1392" t="n"/>
      <c r="BS879" s="1392" t="n"/>
      <c r="BT879" s="1392" t="n"/>
      <c r="BU879" s="1416" t="n"/>
      <c r="BV879" s="1392" t="n"/>
      <c r="BW879" s="1392" t="n"/>
      <c r="BX879" s="1392" t="n"/>
      <c r="BY879" s="1392" t="n"/>
      <c r="BZ879" s="1416" t="n"/>
      <c r="CA879" s="1392" t="n"/>
      <c r="CB879" s="1392" t="n"/>
      <c r="CC879" s="1392" t="n"/>
      <c r="CD879" s="1392" t="n"/>
      <c r="CE879" s="1392" t="n"/>
      <c r="CF879" s="1392" t="n"/>
      <c r="CG879" s="1392" t="n"/>
      <c r="CH879" s="1392" t="n"/>
      <c r="CI879" s="1392" t="n"/>
      <c r="CJ879" s="1392" t="n"/>
      <c r="CK879" s="1392" t="n"/>
      <c r="CL879" s="1392" t="n"/>
    </row>
    <row r="880">
      <c r="A880" s="5" t="inlineStr">
        <is>
          <t>.</t>
        </is>
      </c>
      <c r="B880" s="5" t="inlineStr">
        <is>
          <t>.</t>
        </is>
      </c>
      <c r="C880" s="1378">
        <f>IF(raw[[#This Row],[city]]="","-",IF(raw[[#This Row],[city]]="TODAY","-",C879+1))</f>
        <v/>
      </c>
      <c r="D880" s="1393" t="inlineStr">
        <is>
          <t>Besançon</t>
        </is>
      </c>
      <c r="E880" s="1394" t="n">
        <v>38538</v>
      </c>
      <c r="F880" s="1394" t="n">
        <v>38541</v>
      </c>
      <c r="G880" s="1393" t="inlineStr">
        <is>
          <t>-</t>
        </is>
      </c>
      <c r="H880" s="1393" t="inlineStr">
        <is>
          <t>Transit</t>
        </is>
      </c>
      <c r="I880" s="1393" t="inlineStr">
        <is>
          <t>VF</t>
        </is>
      </c>
      <c r="J880" s="1393" t="inlineStr">
        <is>
          <t>-</t>
        </is>
      </c>
      <c r="K880" s="1395">
        <f>IF(raw[[#This Row],[city]]&lt;&gt;"",_xlfn.XLOOKUP($D880,ccc[city],ccc[prov],"-"),"-")</f>
        <v/>
      </c>
      <c r="L880" s="1395">
        <f>IF(raw[[#This Row],[city]]&lt;&gt;"",_xlfn.XLOOKUP($D880,ccc[city],ccc[ctry],"-"),"-")</f>
        <v/>
      </c>
      <c r="M880" s="1395">
        <f>IF(raw[[#This Row],[city]]&lt;&gt;"",_xlfn.XLOOKUP($D880,ccc[city],ccc[cont],"-"),"-")</f>
        <v/>
      </c>
      <c r="N880" s="1396">
        <f>IF(raw[[#This Row],[city]]="","-",IF(raw[[#This Row],[cont]]="B",raw[[#This Row],[cont]],"W"))</f>
        <v/>
      </c>
      <c r="O880" s="1397">
        <f>IF(raw[[#This Row],[out]]=0,0,IF(raw[[#This Row],[out]]=raw[[#This Row],[in]],0.01,raw[[#This Row],[out]]-raw[[#This Row],[in]]))</f>
        <v/>
      </c>
      <c r="P880" s="1397">
        <f>IF(raw[[#This Row],[in]]=0,0,MONTH(raw[[#This Row],[in]]))</f>
        <v/>
      </c>
      <c r="Q880" s="1397">
        <f>IF(raw[[#This Row],[in]]=0,0,YEAR(raw[[#This Row],[in]]))</f>
        <v/>
      </c>
      <c r="R880" s="1397">
        <f>INT(raw[[#This Row],[yr]]/10)*10</f>
        <v/>
      </c>
      <c r="S880" s="1395">
        <f>IF(raw[[#This Row],[city]]="","-",IF(raw[[#This Row],[city]]&lt;&gt;_xlfn.XLOOKUP(raw[[#This Row],[home]],homes[home],homes[city],"-"),1,0))</f>
        <v/>
      </c>
      <c r="T880" s="1398" t="inlineStr">
        <is>
          <t>.</t>
        </is>
      </c>
      <c r="U880" s="1399">
        <f>IF(raw[[#This Row],[wb]]="w",raw[[#This Row],[stay]]+U879,U879)</f>
        <v/>
      </c>
      <c r="V880" s="1400">
        <f>IF(raw[[#This Row],[out]]=0,V879,(raw[[#This Row],[out]]-E$5))</f>
        <v/>
      </c>
      <c r="W880" s="1401">
        <f>U880/V880</f>
        <v/>
      </c>
      <c r="X880" s="1378" t="inlineStr">
        <is>
          <t>.</t>
        </is>
      </c>
      <c r="Y880" s="1402" t="n"/>
      <c r="Z880" s="1403" t="n"/>
      <c r="AA880" s="1403" t="n"/>
      <c r="AB880" s="1400">
        <f t="array" ref="AB880">_xlfn.LET(_xlpm.S,_xlfn.ANCHORARRAY($Y$4),_xlpm.r,ROWS(stayCity[[#Headers],[city]]:stayCity[[#This Row],[city]])-1,IF(_xlpm.r&lt;=ROWS(_xlpm.S),INDEX(_xlpm.S,_xlpm.r,1),""))</f>
        <v/>
      </c>
      <c r="AC880" s="1405">
        <f t="array" ref="AC880">_xlfn.LET(_xlpm.S,_xlfn.ANCHORARRAY($Y$4),_xlpm.r,ROWS(stayCity[[#Headers],[city]]:stayCity[[#This Row],[city]])-1,IF(_xlpm.r&lt;=ROWS(_xlpm.S),INDEX(_xlpm.S,_xlpm.r,2),""))</f>
        <v/>
      </c>
      <c r="AD880" s="1405">
        <f t="array" ref="AD880">_xlfn.LET(_xlpm.S,_xlfn.ANCHORARRAY($Y$4),_xlpm.r,ROWS(stayCity[[#Headers],[city]]:stayCity[[#This Row],[city]])-1,IF(_xlpm.r&lt;=ROWS(_xlpm.S),INDEX(_xlpm.S,_xlpm.r,3),""))</f>
        <v/>
      </c>
      <c r="AE880" s="1400">
        <f>IF(stayCity[[#This Row],[out]]&lt;&gt;"",stayCity[[#This Row],[out]]-stayCity[[#This Row],[in]],"-")</f>
        <v/>
      </c>
      <c r="AF880" s="1406">
        <f>IF(Y880="","-",YEAR(stayCity[[#This Row],[in]]))</f>
        <v/>
      </c>
      <c r="AG880" s="1392" t="n"/>
      <c r="AH880" s="1392" t="n"/>
      <c r="AI880" s="1392" t="n"/>
      <c r="AJ880" s="1392" t="n"/>
      <c r="AK880" s="1392" t="n"/>
      <c r="AL880" s="1392" t="n"/>
      <c r="AM880" s="1392" t="n"/>
      <c r="AN880" s="1392" t="n"/>
      <c r="AO880" s="1392" t="n"/>
      <c r="AP880" s="1392" t="n"/>
      <c r="AQ880" s="1392" t="n"/>
      <c r="AR880" s="1392" t="n"/>
      <c r="AS880" s="1422" t="n"/>
      <c r="AT880" s="1392" t="n"/>
      <c r="AU880" s="1392" t="n"/>
      <c r="AV880" s="1392" t="n"/>
      <c r="AW880" s="1392" t="n"/>
      <c r="AX880" s="1392" t="n"/>
      <c r="AY880" s="1392" t="n"/>
      <c r="AZ880" s="1392" t="n"/>
      <c r="BA880" s="1392" t="n"/>
      <c r="BB880" s="1422" t="n"/>
      <c r="BC880" s="1392" t="n"/>
      <c r="BD880" s="1392" t="n"/>
      <c r="BE880" s="1392" t="n"/>
      <c r="BF880" s="1392" t="n"/>
      <c r="BG880" s="1392" t="n"/>
      <c r="BH880" s="1392" t="n"/>
      <c r="BI880" s="1392" t="n"/>
      <c r="BJ880" s="1392" t="n"/>
      <c r="BK880" s="1392" t="n"/>
      <c r="BL880" s="1392" t="n"/>
      <c r="BM880" s="1392" t="n"/>
      <c r="BN880" s="1392" t="n"/>
      <c r="BO880" s="1392" t="n"/>
      <c r="BP880" s="1392" t="n"/>
      <c r="BQ880" s="1392" t="n"/>
      <c r="BR880" s="1392" t="n"/>
      <c r="BS880" s="1392" t="n"/>
      <c r="BT880" s="1392" t="n"/>
      <c r="BU880" s="1416" t="n"/>
      <c r="BV880" s="1392" t="n"/>
      <c r="BW880" s="1392" t="n"/>
      <c r="BX880" s="1392" t="n"/>
      <c r="BY880" s="1392" t="n"/>
      <c r="BZ880" s="1416" t="n"/>
      <c r="CA880" s="1392" t="n"/>
      <c r="CB880" s="1392" t="n"/>
      <c r="CC880" s="1392" t="n"/>
      <c r="CD880" s="1392" t="n"/>
      <c r="CE880" s="1392" t="n"/>
      <c r="CF880" s="1392" t="n"/>
      <c r="CG880" s="1392" t="n"/>
      <c r="CH880" s="1392" t="n"/>
      <c r="CI880" s="1392" t="n"/>
      <c r="CJ880" s="1392" t="n"/>
      <c r="CK880" s="1392" t="n"/>
      <c r="CL880" s="1392" t="n"/>
    </row>
    <row r="881">
      <c r="A881" s="5" t="inlineStr">
        <is>
          <t>.</t>
        </is>
      </c>
      <c r="B881" s="5" t="inlineStr">
        <is>
          <t>.</t>
        </is>
      </c>
      <c r="C881" s="1378">
        <f>IF(raw[[#This Row],[city]]="","-",IF(raw[[#This Row],[city]]="TODAY","-",C880+1))</f>
        <v/>
      </c>
      <c r="D881" s="1393" t="inlineStr">
        <is>
          <t>Ornans</t>
        </is>
      </c>
      <c r="E881" s="1394" t="n">
        <v>38541</v>
      </c>
      <c r="F881" s="1394" t="n">
        <v>38542</v>
      </c>
      <c r="G881" s="1393" t="inlineStr">
        <is>
          <t>-</t>
        </is>
      </c>
      <c r="H881" s="1393" t="inlineStr">
        <is>
          <t>Transit</t>
        </is>
      </c>
      <c r="I881" s="1393" t="inlineStr">
        <is>
          <t>VF</t>
        </is>
      </c>
      <c r="J881" s="1393" t="inlineStr">
        <is>
          <t>-</t>
        </is>
      </c>
      <c r="K881" s="1395">
        <f>IF(raw[[#This Row],[city]]&lt;&gt;"",_xlfn.XLOOKUP($D881,ccc[city],ccc[prov],"-"),"-")</f>
        <v/>
      </c>
      <c r="L881" s="1395">
        <f>IF(raw[[#This Row],[city]]&lt;&gt;"",_xlfn.XLOOKUP($D881,ccc[city],ccc[ctry],"-"),"-")</f>
        <v/>
      </c>
      <c r="M881" s="1395">
        <f>IF(raw[[#This Row],[city]]&lt;&gt;"",_xlfn.XLOOKUP($D881,ccc[city],ccc[cont],"-"),"-")</f>
        <v/>
      </c>
      <c r="N881" s="1396">
        <f>IF(raw[[#This Row],[city]]="","-",IF(raw[[#This Row],[cont]]="B",raw[[#This Row],[cont]],"W"))</f>
        <v/>
      </c>
      <c r="O881" s="1397">
        <f>IF(raw[[#This Row],[out]]=0,0,IF(raw[[#This Row],[out]]=raw[[#This Row],[in]],0.01,raw[[#This Row],[out]]-raw[[#This Row],[in]]))</f>
        <v/>
      </c>
      <c r="P881" s="1397">
        <f>IF(raw[[#This Row],[in]]=0,0,MONTH(raw[[#This Row],[in]]))</f>
        <v/>
      </c>
      <c r="Q881" s="1397">
        <f>IF(raw[[#This Row],[in]]=0,0,YEAR(raw[[#This Row],[in]]))</f>
        <v/>
      </c>
      <c r="R881" s="1397">
        <f>INT(raw[[#This Row],[yr]]/10)*10</f>
        <v/>
      </c>
      <c r="S881" s="1395">
        <f>IF(raw[[#This Row],[city]]="","-",IF(raw[[#This Row],[city]]&lt;&gt;_xlfn.XLOOKUP(raw[[#This Row],[home]],homes[home],homes[city],"-"),1,0))</f>
        <v/>
      </c>
      <c r="T881" s="1398" t="inlineStr">
        <is>
          <t>.</t>
        </is>
      </c>
      <c r="U881" s="1399">
        <f>IF(raw[[#This Row],[wb]]="w",raw[[#This Row],[stay]]+U880,U880)</f>
        <v/>
      </c>
      <c r="V881" s="1400">
        <f>IF(raw[[#This Row],[out]]=0,V880,(raw[[#This Row],[out]]-E$5))</f>
        <v/>
      </c>
      <c r="W881" s="1401">
        <f>U881/V881</f>
        <v/>
      </c>
      <c r="X881" s="1378" t="inlineStr">
        <is>
          <t>.</t>
        </is>
      </c>
      <c r="Y881" s="1402" t="n"/>
      <c r="Z881" s="1403" t="n"/>
      <c r="AA881" s="1403" t="n"/>
      <c r="AB881" s="1400">
        <f t="array" ref="AB881">_xlfn.LET(_xlpm.S,_xlfn.ANCHORARRAY($Y$4),_xlpm.r,ROWS(stayCity[[#Headers],[city]]:stayCity[[#This Row],[city]])-1,IF(_xlpm.r&lt;=ROWS(_xlpm.S),INDEX(_xlpm.S,_xlpm.r,1),""))</f>
        <v/>
      </c>
      <c r="AC881" s="1405">
        <f t="array" ref="AC881">_xlfn.LET(_xlpm.S,_xlfn.ANCHORARRAY($Y$4),_xlpm.r,ROWS(stayCity[[#Headers],[city]]:stayCity[[#This Row],[city]])-1,IF(_xlpm.r&lt;=ROWS(_xlpm.S),INDEX(_xlpm.S,_xlpm.r,2),""))</f>
        <v/>
      </c>
      <c r="AD881" s="1405">
        <f t="array" ref="AD881">_xlfn.LET(_xlpm.S,_xlfn.ANCHORARRAY($Y$4),_xlpm.r,ROWS(stayCity[[#Headers],[city]]:stayCity[[#This Row],[city]])-1,IF(_xlpm.r&lt;=ROWS(_xlpm.S),INDEX(_xlpm.S,_xlpm.r,3),""))</f>
        <v/>
      </c>
      <c r="AE881" s="1400">
        <f>IF(stayCity[[#This Row],[out]]&lt;&gt;"",stayCity[[#This Row],[out]]-stayCity[[#This Row],[in]],"-")</f>
        <v/>
      </c>
      <c r="AF881" s="1406">
        <f>IF(Y881="","-",YEAR(stayCity[[#This Row],[in]]))</f>
        <v/>
      </c>
      <c r="AG881" s="1392" t="n"/>
      <c r="AH881" s="1392" t="n"/>
      <c r="AI881" s="1392" t="n"/>
      <c r="AJ881" s="1392" t="n"/>
      <c r="AK881" s="1392" t="n"/>
      <c r="AL881" s="1392" t="n"/>
      <c r="AM881" s="1392" t="n"/>
      <c r="AN881" s="1392" t="n"/>
      <c r="AO881" s="1392" t="n"/>
      <c r="AP881" s="1392" t="n"/>
      <c r="AQ881" s="1392" t="n"/>
      <c r="AR881" s="1392" t="n"/>
      <c r="AS881" s="1422" t="n"/>
      <c r="AT881" s="1392" t="n"/>
      <c r="AU881" s="1392" t="n"/>
      <c r="AV881" s="1392" t="n"/>
      <c r="AW881" s="1392" t="n"/>
      <c r="AX881" s="1392" t="n"/>
      <c r="AY881" s="1392" t="n"/>
      <c r="AZ881" s="1392" t="n"/>
      <c r="BA881" s="1392" t="n"/>
      <c r="BB881" s="1422" t="n"/>
      <c r="BC881" s="1392" t="n"/>
      <c r="BD881" s="1392" t="n"/>
      <c r="BE881" s="1392" t="n"/>
      <c r="BF881" s="1392" t="n"/>
      <c r="BG881" s="1392" t="n"/>
      <c r="BH881" s="1392" t="n"/>
      <c r="BI881" s="1392" t="n"/>
      <c r="BJ881" s="1392" t="n"/>
      <c r="BK881" s="1392" t="n"/>
      <c r="BL881" s="1392" t="n"/>
      <c r="BM881" s="1392" t="n"/>
      <c r="BN881" s="1392" t="n"/>
      <c r="BO881" s="1392" t="n"/>
      <c r="BP881" s="1392" t="n"/>
      <c r="BQ881" s="1392" t="n"/>
      <c r="BR881" s="1392" t="n"/>
      <c r="BS881" s="1392" t="n"/>
      <c r="BT881" s="1392" t="n"/>
      <c r="BU881" s="1416" t="n"/>
      <c r="BV881" s="1392" t="n"/>
      <c r="BW881" s="1392" t="n"/>
      <c r="BX881" s="1392" t="n"/>
      <c r="BY881" s="1392" t="n"/>
      <c r="BZ881" s="1416" t="n"/>
      <c r="CA881" s="1392" t="n"/>
      <c r="CB881" s="1392" t="n"/>
      <c r="CC881" s="1392" t="n"/>
      <c r="CD881" s="1392" t="n"/>
      <c r="CE881" s="1392" t="n"/>
      <c r="CF881" s="1392" t="n"/>
      <c r="CG881" s="1392" t="n"/>
      <c r="CH881" s="1392" t="n"/>
      <c r="CI881" s="1392" t="n"/>
      <c r="CJ881" s="1392" t="n"/>
      <c r="CK881" s="1392" t="n"/>
      <c r="CL881" s="1392" t="n"/>
    </row>
    <row r="882">
      <c r="A882" s="5" t="inlineStr">
        <is>
          <t>.</t>
        </is>
      </c>
      <c r="B882" s="5" t="inlineStr">
        <is>
          <t>.</t>
        </is>
      </c>
      <c r="C882" s="1378">
        <f>IF(raw[[#This Row],[city]]="","-",IF(raw[[#This Row],[city]]="TODAY","-",C881+1))</f>
        <v/>
      </c>
      <c r="D882" s="1393" t="inlineStr">
        <is>
          <t>Vuillafans</t>
        </is>
      </c>
      <c r="E882" s="1394" t="n">
        <v>38542</v>
      </c>
      <c r="F882" s="1394" t="n">
        <v>38542</v>
      </c>
      <c r="G882" s="1393" t="inlineStr">
        <is>
          <t>-</t>
        </is>
      </c>
      <c r="H882" s="1393" t="inlineStr">
        <is>
          <t>Transit</t>
        </is>
      </c>
      <c r="I882" s="1393" t="inlineStr">
        <is>
          <t>VF</t>
        </is>
      </c>
      <c r="J882" s="1393" t="inlineStr">
        <is>
          <t>-</t>
        </is>
      </c>
      <c r="K882" s="1395">
        <f>IF(raw[[#This Row],[city]]&lt;&gt;"",_xlfn.XLOOKUP($D882,ccc[city],ccc[prov],"-"),"-")</f>
        <v/>
      </c>
      <c r="L882" s="1395">
        <f>IF(raw[[#This Row],[city]]&lt;&gt;"",_xlfn.XLOOKUP($D882,ccc[city],ccc[ctry],"-"),"-")</f>
        <v/>
      </c>
      <c r="M882" s="1395">
        <f>IF(raw[[#This Row],[city]]&lt;&gt;"",_xlfn.XLOOKUP($D882,ccc[city],ccc[cont],"-"),"-")</f>
        <v/>
      </c>
      <c r="N882" s="1396">
        <f>IF(raw[[#This Row],[city]]="","-",IF(raw[[#This Row],[cont]]="B",raw[[#This Row],[cont]],"W"))</f>
        <v/>
      </c>
      <c r="O882" s="1397">
        <f>IF(raw[[#This Row],[out]]=0,0,IF(raw[[#This Row],[out]]=raw[[#This Row],[in]],0.01,raw[[#This Row],[out]]-raw[[#This Row],[in]]))</f>
        <v/>
      </c>
      <c r="P882" s="1397">
        <f>IF(raw[[#This Row],[in]]=0,0,MONTH(raw[[#This Row],[in]]))</f>
        <v/>
      </c>
      <c r="Q882" s="1397">
        <f>IF(raw[[#This Row],[in]]=0,0,YEAR(raw[[#This Row],[in]]))</f>
        <v/>
      </c>
      <c r="R882" s="1397">
        <f>INT(raw[[#This Row],[yr]]/10)*10</f>
        <v/>
      </c>
      <c r="S882" s="1395">
        <f>IF(raw[[#This Row],[city]]="","-",IF(raw[[#This Row],[city]]&lt;&gt;_xlfn.XLOOKUP(raw[[#This Row],[home]],homes[home],homes[city],"-"),1,0))</f>
        <v/>
      </c>
      <c r="T882" s="1398" t="inlineStr">
        <is>
          <t>.</t>
        </is>
      </c>
      <c r="U882" s="1399">
        <f>IF(raw[[#This Row],[wb]]="w",raw[[#This Row],[stay]]+U881,U881)</f>
        <v/>
      </c>
      <c r="V882" s="1400">
        <f>IF(raw[[#This Row],[out]]=0,V881,(raw[[#This Row],[out]]-E$5))</f>
        <v/>
      </c>
      <c r="W882" s="1401">
        <f>U882/V882</f>
        <v/>
      </c>
      <c r="X882" s="1378" t="inlineStr">
        <is>
          <t>.</t>
        </is>
      </c>
      <c r="Y882" s="1402" t="n"/>
      <c r="Z882" s="1403" t="n"/>
      <c r="AA882" s="1403" t="n"/>
      <c r="AB882" s="1400">
        <f t="array" ref="AB882">_xlfn.LET(_xlpm.S,_xlfn.ANCHORARRAY($Y$4),_xlpm.r,ROWS(stayCity[[#Headers],[city]]:stayCity[[#This Row],[city]])-1,IF(_xlpm.r&lt;=ROWS(_xlpm.S),INDEX(_xlpm.S,_xlpm.r,1),""))</f>
        <v/>
      </c>
      <c r="AC882" s="1405">
        <f t="array" ref="AC882">_xlfn.LET(_xlpm.S,_xlfn.ANCHORARRAY($Y$4),_xlpm.r,ROWS(stayCity[[#Headers],[city]]:stayCity[[#This Row],[city]])-1,IF(_xlpm.r&lt;=ROWS(_xlpm.S),INDEX(_xlpm.S,_xlpm.r,2),""))</f>
        <v/>
      </c>
      <c r="AD882" s="1405">
        <f t="array" ref="AD882">_xlfn.LET(_xlpm.S,_xlfn.ANCHORARRAY($Y$4),_xlpm.r,ROWS(stayCity[[#Headers],[city]]:stayCity[[#This Row],[city]])-1,IF(_xlpm.r&lt;=ROWS(_xlpm.S),INDEX(_xlpm.S,_xlpm.r,3),""))</f>
        <v/>
      </c>
      <c r="AE882" s="1400">
        <f>IF(stayCity[[#This Row],[out]]&lt;&gt;"",stayCity[[#This Row],[out]]-stayCity[[#This Row],[in]],"-")</f>
        <v/>
      </c>
      <c r="AF882" s="1406">
        <f>IF(Y882="","-",YEAR(stayCity[[#This Row],[in]]))</f>
        <v/>
      </c>
      <c r="AG882" s="1392" t="n"/>
      <c r="AH882" s="1392" t="n"/>
      <c r="AI882" s="1392" t="n"/>
      <c r="AJ882" s="1392" t="n"/>
      <c r="AK882" s="1392" t="n"/>
      <c r="AL882" s="1392" t="n"/>
      <c r="AM882" s="1392" t="n"/>
      <c r="AN882" s="1392" t="n"/>
      <c r="AO882" s="1392" t="n"/>
      <c r="AP882" s="1392" t="n"/>
      <c r="AQ882" s="1392" t="n"/>
      <c r="AR882" s="1392" t="n"/>
      <c r="AS882" s="1422" t="n"/>
      <c r="AT882" s="1392" t="n"/>
      <c r="AU882" s="1392" t="n"/>
      <c r="AV882" s="1392" t="n"/>
      <c r="AW882" s="1392" t="n"/>
      <c r="AX882" s="1392" t="n"/>
      <c r="AY882" s="1392" t="n"/>
      <c r="AZ882" s="1392" t="n"/>
      <c r="BA882" s="1392" t="n"/>
      <c r="BB882" s="1422" t="n"/>
      <c r="BC882" s="1392" t="n"/>
      <c r="BD882" s="1392" t="n"/>
      <c r="BE882" s="1392" t="n"/>
      <c r="BF882" s="1392" t="n"/>
      <c r="BG882" s="1392" t="n"/>
      <c r="BH882" s="1392" t="n"/>
      <c r="BI882" s="1392" t="n"/>
      <c r="BJ882" s="1392" t="n"/>
      <c r="BK882" s="1392" t="n"/>
      <c r="BL882" s="1392" t="n"/>
      <c r="BM882" s="1392" t="n"/>
      <c r="BN882" s="1392" t="n"/>
      <c r="BO882" s="1392" t="n"/>
      <c r="BP882" s="1392" t="n"/>
      <c r="BQ882" s="1392" t="n"/>
      <c r="BR882" s="1392" t="n"/>
      <c r="BS882" s="1392" t="n"/>
      <c r="BT882" s="1392" t="n"/>
      <c r="BU882" s="1416" t="n"/>
      <c r="BV882" s="1392" t="n"/>
      <c r="BW882" s="1392" t="n"/>
      <c r="BX882" s="1392" t="n"/>
      <c r="BY882" s="1392" t="n"/>
      <c r="BZ882" s="1416" t="n"/>
      <c r="CA882" s="1392" t="n"/>
      <c r="CB882" s="1392" t="n"/>
      <c r="CC882" s="1392" t="n"/>
      <c r="CD882" s="1392" t="n"/>
      <c r="CE882" s="1392" t="n"/>
      <c r="CF882" s="1392" t="n"/>
      <c r="CG882" s="1392" t="n"/>
      <c r="CH882" s="1392" t="n"/>
      <c r="CI882" s="1392" t="n"/>
      <c r="CJ882" s="1392" t="n"/>
      <c r="CK882" s="1392" t="n"/>
      <c r="CL882" s="1392" t="n"/>
    </row>
    <row r="883">
      <c r="A883" s="5" t="inlineStr">
        <is>
          <t>.</t>
        </is>
      </c>
      <c r="B883" s="5" t="inlineStr">
        <is>
          <t>.</t>
        </is>
      </c>
      <c r="C883" s="1378">
        <f>IF(raw[[#This Row],[city]]="","-",IF(raw[[#This Row],[city]]="TODAY","-",C882+1))</f>
        <v/>
      </c>
      <c r="D883" s="1393" t="inlineStr">
        <is>
          <t>Lods</t>
        </is>
      </c>
      <c r="E883" s="1394" t="n">
        <v>38542</v>
      </c>
      <c r="F883" s="1394" t="n">
        <v>38542</v>
      </c>
      <c r="G883" s="1393" t="inlineStr">
        <is>
          <t>-</t>
        </is>
      </c>
      <c r="H883" s="1393" t="inlineStr">
        <is>
          <t>Transit</t>
        </is>
      </c>
      <c r="I883" s="1393" t="inlineStr">
        <is>
          <t>VF</t>
        </is>
      </c>
      <c r="J883" s="1393" t="inlineStr">
        <is>
          <t>-</t>
        </is>
      </c>
      <c r="K883" s="1395">
        <f>IF(raw[[#This Row],[city]]&lt;&gt;"",_xlfn.XLOOKUP($D883,ccc[city],ccc[prov],"-"),"-")</f>
        <v/>
      </c>
      <c r="L883" s="1395">
        <f>IF(raw[[#This Row],[city]]&lt;&gt;"",_xlfn.XLOOKUP($D883,ccc[city],ccc[ctry],"-"),"-")</f>
        <v/>
      </c>
      <c r="M883" s="1395">
        <f>IF(raw[[#This Row],[city]]&lt;&gt;"",_xlfn.XLOOKUP($D883,ccc[city],ccc[cont],"-"),"-")</f>
        <v/>
      </c>
      <c r="N883" s="1396">
        <f>IF(raw[[#This Row],[city]]="","-",IF(raw[[#This Row],[cont]]="B",raw[[#This Row],[cont]],"W"))</f>
        <v/>
      </c>
      <c r="O883" s="1397">
        <f>IF(raw[[#This Row],[out]]=0,0,IF(raw[[#This Row],[out]]=raw[[#This Row],[in]],0.01,raw[[#This Row],[out]]-raw[[#This Row],[in]]))</f>
        <v/>
      </c>
      <c r="P883" s="1397">
        <f>IF(raw[[#This Row],[in]]=0,0,MONTH(raw[[#This Row],[in]]))</f>
        <v/>
      </c>
      <c r="Q883" s="1397">
        <f>IF(raw[[#This Row],[in]]=0,0,YEAR(raw[[#This Row],[in]]))</f>
        <v/>
      </c>
      <c r="R883" s="1397">
        <f>INT(raw[[#This Row],[yr]]/10)*10</f>
        <v/>
      </c>
      <c r="S883" s="1395">
        <f>IF(raw[[#This Row],[city]]="","-",IF(raw[[#This Row],[city]]&lt;&gt;_xlfn.XLOOKUP(raw[[#This Row],[home]],homes[home],homes[city],"-"),1,0))</f>
        <v/>
      </c>
      <c r="T883" s="1398" t="inlineStr">
        <is>
          <t>.</t>
        </is>
      </c>
      <c r="U883" s="1399">
        <f>IF(raw[[#This Row],[wb]]="w",raw[[#This Row],[stay]]+U882,U882)</f>
        <v/>
      </c>
      <c r="V883" s="1400">
        <f>IF(raw[[#This Row],[out]]=0,V882,(raw[[#This Row],[out]]-E$5))</f>
        <v/>
      </c>
      <c r="W883" s="1401">
        <f>U883/V883</f>
        <v/>
      </c>
      <c r="X883" s="1378" t="inlineStr">
        <is>
          <t>.</t>
        </is>
      </c>
      <c r="Y883" s="1402" t="n"/>
      <c r="Z883" s="1403" t="n"/>
      <c r="AA883" s="1403" t="n"/>
      <c r="AB883" s="1400">
        <f t="array" ref="AB883">_xlfn.LET(_xlpm.S,_xlfn.ANCHORARRAY($Y$4),_xlpm.r,ROWS(stayCity[[#Headers],[city]]:stayCity[[#This Row],[city]])-1,IF(_xlpm.r&lt;=ROWS(_xlpm.S),INDEX(_xlpm.S,_xlpm.r,1),""))</f>
        <v/>
      </c>
      <c r="AC883" s="1405">
        <f t="array" ref="AC883">_xlfn.LET(_xlpm.S,_xlfn.ANCHORARRAY($Y$4),_xlpm.r,ROWS(stayCity[[#Headers],[city]]:stayCity[[#This Row],[city]])-1,IF(_xlpm.r&lt;=ROWS(_xlpm.S),INDEX(_xlpm.S,_xlpm.r,2),""))</f>
        <v/>
      </c>
      <c r="AD883" s="1405">
        <f t="array" ref="AD883">_xlfn.LET(_xlpm.S,_xlfn.ANCHORARRAY($Y$4),_xlpm.r,ROWS(stayCity[[#Headers],[city]]:stayCity[[#This Row],[city]])-1,IF(_xlpm.r&lt;=ROWS(_xlpm.S),INDEX(_xlpm.S,_xlpm.r,3),""))</f>
        <v/>
      </c>
      <c r="AE883" s="1400">
        <f>IF(stayCity[[#This Row],[out]]&lt;&gt;"",stayCity[[#This Row],[out]]-stayCity[[#This Row],[in]],"-")</f>
        <v/>
      </c>
      <c r="AF883" s="1406">
        <f>IF(Y883="","-",YEAR(stayCity[[#This Row],[in]]))</f>
        <v/>
      </c>
      <c r="AG883" s="1392" t="n"/>
      <c r="AH883" s="1392" t="n"/>
      <c r="AI883" s="1392" t="n"/>
      <c r="AJ883" s="1392" t="n"/>
      <c r="AK883" s="1392" t="n"/>
      <c r="AL883" s="1392" t="n"/>
      <c r="AM883" s="1392" t="n"/>
      <c r="AN883" s="1392" t="n"/>
      <c r="AO883" s="1392" t="n"/>
      <c r="AP883" s="1392" t="n"/>
      <c r="AQ883" s="1392" t="n"/>
      <c r="AR883" s="1392" t="n"/>
      <c r="AS883" s="1422" t="n"/>
      <c r="AT883" s="1392" t="n"/>
      <c r="AU883" s="1392" t="n"/>
      <c r="AV883" s="1392" t="n"/>
      <c r="AW883" s="1392" t="n"/>
      <c r="AX883" s="1392" t="n"/>
      <c r="AY883" s="1392" t="n"/>
      <c r="AZ883" s="1392" t="n"/>
      <c r="BA883" s="1392" t="n"/>
      <c r="BB883" s="1422" t="n"/>
      <c r="BC883" s="1392" t="n"/>
      <c r="BD883" s="1392" t="n"/>
      <c r="BE883" s="1392" t="n"/>
      <c r="BF883" s="1392" t="n"/>
      <c r="BG883" s="1392" t="n"/>
      <c r="BH883" s="1392" t="n"/>
      <c r="BI883" s="1392" t="n"/>
      <c r="BJ883" s="1392" t="n"/>
      <c r="BK883" s="1392" t="n"/>
      <c r="BL883" s="1392" t="n"/>
      <c r="BM883" s="1392" t="n"/>
      <c r="BN883" s="1392" t="n"/>
      <c r="BO883" s="1392" t="n"/>
      <c r="BP883" s="1392" t="n"/>
      <c r="BQ883" s="1392" t="n"/>
      <c r="BR883" s="1392" t="n"/>
      <c r="BS883" s="1392" t="n"/>
      <c r="BT883" s="1392" t="n"/>
      <c r="BU883" s="1416" t="n"/>
      <c r="BV883" s="1392" t="n"/>
      <c r="BW883" s="1392" t="n"/>
      <c r="BX883" s="1392" t="n"/>
      <c r="BY883" s="1392" t="n"/>
      <c r="BZ883" s="1416" t="n"/>
      <c r="CA883" s="1392" t="n"/>
      <c r="CB883" s="1392" t="n"/>
      <c r="CC883" s="1392" t="n"/>
      <c r="CD883" s="1392" t="n"/>
      <c r="CE883" s="1392" t="n"/>
      <c r="CF883" s="1392" t="n"/>
      <c r="CG883" s="1392" t="n"/>
      <c r="CH883" s="1392" t="n"/>
      <c r="CI883" s="1392" t="n"/>
      <c r="CJ883" s="1392" t="n"/>
      <c r="CK883" s="1392" t="n"/>
      <c r="CL883" s="1392" t="n"/>
    </row>
    <row r="884">
      <c r="A884" s="5" t="inlineStr">
        <is>
          <t>.</t>
        </is>
      </c>
      <c r="B884" s="5" t="inlineStr">
        <is>
          <t>.</t>
        </is>
      </c>
      <c r="C884" s="1378">
        <f>IF(raw[[#This Row],[city]]="","-",IF(raw[[#This Row],[city]]="TODAY","-",C883+1))</f>
        <v/>
      </c>
      <c r="D884" s="1393" t="inlineStr">
        <is>
          <t>Mouthier-Haute-Pierre</t>
        </is>
      </c>
      <c r="E884" s="1394" t="n">
        <v>38542</v>
      </c>
      <c r="F884" s="1394" t="n">
        <v>38542</v>
      </c>
      <c r="G884" s="1393" t="inlineStr">
        <is>
          <t>-</t>
        </is>
      </c>
      <c r="H884" s="1393" t="inlineStr">
        <is>
          <t>Transit</t>
        </is>
      </c>
      <c r="I884" s="1393" t="inlineStr">
        <is>
          <t>VF</t>
        </is>
      </c>
      <c r="J884" s="1393" t="inlineStr">
        <is>
          <t>-</t>
        </is>
      </c>
      <c r="K884" s="1395">
        <f>IF(raw[[#This Row],[city]]&lt;&gt;"",_xlfn.XLOOKUP($D884,ccc[city],ccc[prov],"-"),"-")</f>
        <v/>
      </c>
      <c r="L884" s="1395">
        <f>IF(raw[[#This Row],[city]]&lt;&gt;"",_xlfn.XLOOKUP($D884,ccc[city],ccc[ctry],"-"),"-")</f>
        <v/>
      </c>
      <c r="M884" s="1395">
        <f>IF(raw[[#This Row],[city]]&lt;&gt;"",_xlfn.XLOOKUP($D884,ccc[city],ccc[cont],"-"),"-")</f>
        <v/>
      </c>
      <c r="N884" s="1396">
        <f>IF(raw[[#This Row],[city]]="","-",IF(raw[[#This Row],[cont]]="B",raw[[#This Row],[cont]],"W"))</f>
        <v/>
      </c>
      <c r="O884" s="1397">
        <f>IF(raw[[#This Row],[out]]=0,0,IF(raw[[#This Row],[out]]=raw[[#This Row],[in]],0.01,raw[[#This Row],[out]]-raw[[#This Row],[in]]))</f>
        <v/>
      </c>
      <c r="P884" s="1397">
        <f>IF(raw[[#This Row],[in]]=0,0,MONTH(raw[[#This Row],[in]]))</f>
        <v/>
      </c>
      <c r="Q884" s="1397">
        <f>IF(raw[[#This Row],[in]]=0,0,YEAR(raw[[#This Row],[in]]))</f>
        <v/>
      </c>
      <c r="R884" s="1397">
        <f>INT(raw[[#This Row],[yr]]/10)*10</f>
        <v/>
      </c>
      <c r="S884" s="1395">
        <f>IF(raw[[#This Row],[city]]="","-",IF(raw[[#This Row],[city]]&lt;&gt;_xlfn.XLOOKUP(raw[[#This Row],[home]],homes[home],homes[city],"-"),1,0))</f>
        <v/>
      </c>
      <c r="T884" s="1398" t="inlineStr">
        <is>
          <t>.</t>
        </is>
      </c>
      <c r="U884" s="1399">
        <f>IF(raw[[#This Row],[wb]]="w",raw[[#This Row],[stay]]+U883,U883)</f>
        <v/>
      </c>
      <c r="V884" s="1400">
        <f>IF(raw[[#This Row],[out]]=0,V883,(raw[[#This Row],[out]]-E$5))</f>
        <v/>
      </c>
      <c r="W884" s="1401">
        <f>U884/V884</f>
        <v/>
      </c>
      <c r="X884" s="1378" t="inlineStr">
        <is>
          <t>.</t>
        </is>
      </c>
      <c r="Y884" s="1402" t="n"/>
      <c r="Z884" s="1403" t="n"/>
      <c r="AA884" s="1403" t="n"/>
      <c r="AB884" s="1400">
        <f t="array" ref="AB884">_xlfn.LET(_xlpm.S,_xlfn.ANCHORARRAY($Y$4),_xlpm.r,ROWS(stayCity[[#Headers],[city]]:stayCity[[#This Row],[city]])-1,IF(_xlpm.r&lt;=ROWS(_xlpm.S),INDEX(_xlpm.S,_xlpm.r,1),""))</f>
        <v/>
      </c>
      <c r="AC884" s="1405">
        <f t="array" ref="AC884">_xlfn.LET(_xlpm.S,_xlfn.ANCHORARRAY($Y$4),_xlpm.r,ROWS(stayCity[[#Headers],[city]]:stayCity[[#This Row],[city]])-1,IF(_xlpm.r&lt;=ROWS(_xlpm.S),INDEX(_xlpm.S,_xlpm.r,2),""))</f>
        <v/>
      </c>
      <c r="AD884" s="1405">
        <f t="array" ref="AD884">_xlfn.LET(_xlpm.S,_xlfn.ANCHORARRAY($Y$4),_xlpm.r,ROWS(stayCity[[#Headers],[city]]:stayCity[[#This Row],[city]])-1,IF(_xlpm.r&lt;=ROWS(_xlpm.S),INDEX(_xlpm.S,_xlpm.r,3),""))</f>
        <v/>
      </c>
      <c r="AE884" s="1400">
        <f>IF(stayCity[[#This Row],[out]]&lt;&gt;"",stayCity[[#This Row],[out]]-stayCity[[#This Row],[in]],"-")</f>
        <v/>
      </c>
      <c r="AF884" s="1406">
        <f>IF(Y884="","-",YEAR(stayCity[[#This Row],[in]]))</f>
        <v/>
      </c>
      <c r="AG884" s="1392" t="n"/>
      <c r="AH884" s="1392" t="n"/>
      <c r="AI884" s="1392" t="n"/>
      <c r="AJ884" s="1392" t="n"/>
      <c r="AK884" s="1392" t="n"/>
      <c r="AL884" s="1392" t="n"/>
      <c r="AM884" s="1392" t="n"/>
      <c r="AN884" s="1392" t="n"/>
      <c r="AO884" s="1392" t="n"/>
      <c r="AP884" s="1392" t="n"/>
      <c r="AQ884" s="1392" t="n"/>
      <c r="AR884" s="1392" t="n"/>
      <c r="AS884" s="1422" t="n"/>
      <c r="AT884" s="1392" t="n"/>
      <c r="AU884" s="1392" t="n"/>
      <c r="AV884" s="1392" t="n"/>
      <c r="AW884" s="1392" t="n"/>
      <c r="AX884" s="1392" t="n"/>
      <c r="AY884" s="1392" t="n"/>
      <c r="AZ884" s="1392" t="n"/>
      <c r="BA884" s="1392" t="n"/>
      <c r="BB884" s="1422" t="n"/>
      <c r="BC884" s="1392" t="n"/>
      <c r="BD884" s="1392" t="n"/>
      <c r="BE884" s="1392" t="n"/>
      <c r="BF884" s="1392" t="n"/>
      <c r="BG884" s="1392" t="n"/>
      <c r="BH884" s="1392" t="n"/>
      <c r="BI884" s="1392" t="n"/>
      <c r="BJ884" s="1392" t="n"/>
      <c r="BK884" s="1392" t="n"/>
      <c r="BL884" s="1392" t="n"/>
      <c r="BM884" s="1392" t="n"/>
      <c r="BN884" s="1392" t="n"/>
      <c r="BO884" s="1392" t="n"/>
      <c r="BP884" s="1392" t="n"/>
      <c r="BQ884" s="1392" t="n"/>
      <c r="BR884" s="1392" t="n"/>
      <c r="BS884" s="1392" t="n"/>
      <c r="BT884" s="1392" t="n"/>
      <c r="BU884" s="1416" t="n"/>
      <c r="BV884" s="1392" t="n"/>
      <c r="BW884" s="1392" t="n"/>
      <c r="BX884" s="1392" t="n"/>
      <c r="BY884" s="1392" t="n"/>
      <c r="BZ884" s="1416" t="n"/>
      <c r="CA884" s="1392" t="n"/>
      <c r="CB884" s="1392" t="n"/>
      <c r="CC884" s="1392" t="n"/>
      <c r="CD884" s="1392" t="n"/>
      <c r="CE884" s="1392" t="n"/>
      <c r="CF884" s="1392" t="n"/>
      <c r="CG884" s="1392" t="n"/>
      <c r="CH884" s="1392" t="n"/>
      <c r="CI884" s="1392" t="n"/>
      <c r="CJ884" s="1392" t="n"/>
      <c r="CK884" s="1392" t="n"/>
      <c r="CL884" s="1392" t="n"/>
    </row>
    <row r="885">
      <c r="A885" s="5" t="inlineStr">
        <is>
          <t>.</t>
        </is>
      </c>
      <c r="B885" s="5" t="inlineStr">
        <is>
          <t>.</t>
        </is>
      </c>
      <c r="C885" s="1378">
        <f>IF(raw[[#This Row],[city]]="","-",IF(raw[[#This Row],[city]]="TODAY","-",C884+1))</f>
        <v/>
      </c>
      <c r="D885" s="1393" t="inlineStr">
        <is>
          <t>La Vrine</t>
        </is>
      </c>
      <c r="E885" s="1394" t="n">
        <v>38542</v>
      </c>
      <c r="F885" s="1394" t="n">
        <v>38543</v>
      </c>
      <c r="G885" s="1393" t="inlineStr">
        <is>
          <t>-</t>
        </is>
      </c>
      <c r="H885" s="1393" t="inlineStr">
        <is>
          <t>Transit</t>
        </is>
      </c>
      <c r="I885" s="1393" t="inlineStr">
        <is>
          <t>VF</t>
        </is>
      </c>
      <c r="J885" s="1393" t="inlineStr">
        <is>
          <t>-</t>
        </is>
      </c>
      <c r="K885" s="1395">
        <f>IF(raw[[#This Row],[city]]&lt;&gt;"",_xlfn.XLOOKUP($D885,ccc[city],ccc[prov],"-"),"-")</f>
        <v/>
      </c>
      <c r="L885" s="1395">
        <f>IF(raw[[#This Row],[city]]&lt;&gt;"",_xlfn.XLOOKUP($D885,ccc[city],ccc[ctry],"-"),"-")</f>
        <v/>
      </c>
      <c r="M885" s="1395">
        <f>IF(raw[[#This Row],[city]]&lt;&gt;"",_xlfn.XLOOKUP($D885,ccc[city],ccc[cont],"-"),"-")</f>
        <v/>
      </c>
      <c r="N885" s="1396">
        <f>IF(raw[[#This Row],[city]]="","-",IF(raw[[#This Row],[cont]]="B",raw[[#This Row],[cont]],"W"))</f>
        <v/>
      </c>
      <c r="O885" s="1397">
        <f>IF(raw[[#This Row],[out]]=0,0,IF(raw[[#This Row],[out]]=raw[[#This Row],[in]],0.01,raw[[#This Row],[out]]-raw[[#This Row],[in]]))</f>
        <v/>
      </c>
      <c r="P885" s="1397">
        <f>IF(raw[[#This Row],[in]]=0,0,MONTH(raw[[#This Row],[in]]))</f>
        <v/>
      </c>
      <c r="Q885" s="1397">
        <f>IF(raw[[#This Row],[in]]=0,0,YEAR(raw[[#This Row],[in]]))</f>
        <v/>
      </c>
      <c r="R885" s="1397">
        <f>INT(raw[[#This Row],[yr]]/10)*10</f>
        <v/>
      </c>
      <c r="S885" s="1395">
        <f>IF(raw[[#This Row],[city]]="","-",IF(raw[[#This Row],[city]]&lt;&gt;_xlfn.XLOOKUP(raw[[#This Row],[home]],homes[home],homes[city],"-"),1,0))</f>
        <v/>
      </c>
      <c r="T885" s="1398" t="inlineStr">
        <is>
          <t>.</t>
        </is>
      </c>
      <c r="U885" s="1399">
        <f>IF(raw[[#This Row],[wb]]="w",raw[[#This Row],[stay]]+U884,U884)</f>
        <v/>
      </c>
      <c r="V885" s="1400">
        <f>IF(raw[[#This Row],[out]]=0,V884,(raw[[#This Row],[out]]-E$5))</f>
        <v/>
      </c>
      <c r="W885" s="1401">
        <f>U885/V885</f>
        <v/>
      </c>
      <c r="X885" s="1378" t="inlineStr">
        <is>
          <t>.</t>
        </is>
      </c>
      <c r="Y885" s="1402" t="n"/>
      <c r="Z885" s="1403" t="n"/>
      <c r="AA885" s="1403" t="n"/>
      <c r="AB885" s="1400">
        <f t="array" ref="AB885">_xlfn.LET(_xlpm.S,_xlfn.ANCHORARRAY($Y$4),_xlpm.r,ROWS(stayCity[[#Headers],[city]]:stayCity[[#This Row],[city]])-1,IF(_xlpm.r&lt;=ROWS(_xlpm.S),INDEX(_xlpm.S,_xlpm.r,1),""))</f>
        <v/>
      </c>
      <c r="AC885" s="1405">
        <f t="array" ref="AC885">_xlfn.LET(_xlpm.S,_xlfn.ANCHORARRAY($Y$4),_xlpm.r,ROWS(stayCity[[#Headers],[city]]:stayCity[[#This Row],[city]])-1,IF(_xlpm.r&lt;=ROWS(_xlpm.S),INDEX(_xlpm.S,_xlpm.r,2),""))</f>
        <v/>
      </c>
      <c r="AD885" s="1405">
        <f t="array" ref="AD885">_xlfn.LET(_xlpm.S,_xlfn.ANCHORARRAY($Y$4),_xlpm.r,ROWS(stayCity[[#Headers],[city]]:stayCity[[#This Row],[city]])-1,IF(_xlpm.r&lt;=ROWS(_xlpm.S),INDEX(_xlpm.S,_xlpm.r,3),""))</f>
        <v/>
      </c>
      <c r="AE885" s="1400">
        <f>IF(stayCity[[#This Row],[out]]&lt;&gt;"",stayCity[[#This Row],[out]]-stayCity[[#This Row],[in]],"-")</f>
        <v/>
      </c>
      <c r="AF885" s="1406">
        <f>IF(Y885="","-",YEAR(stayCity[[#This Row],[in]]))</f>
        <v/>
      </c>
      <c r="AG885" s="1392" t="n"/>
      <c r="AH885" s="1392" t="n"/>
      <c r="AI885" s="1392" t="n"/>
      <c r="AJ885" s="1392" t="n"/>
      <c r="AK885" s="1392" t="n"/>
      <c r="AL885" s="1392" t="n"/>
      <c r="AM885" s="1392" t="n"/>
      <c r="AN885" s="1392" t="n"/>
      <c r="AO885" s="1392" t="n"/>
      <c r="AP885" s="1392" t="n"/>
      <c r="AQ885" s="1392" t="n"/>
      <c r="AR885" s="1392" t="n"/>
      <c r="AS885" s="1422" t="n"/>
      <c r="AT885" s="1392" t="n"/>
      <c r="AU885" s="1392" t="n"/>
      <c r="AV885" s="1392" t="n"/>
      <c r="AW885" s="1392" t="n"/>
      <c r="AX885" s="1392" t="n"/>
      <c r="AY885" s="1392" t="n"/>
      <c r="AZ885" s="1392" t="n"/>
      <c r="BA885" s="1392" t="n"/>
      <c r="BB885" s="1422" t="n"/>
      <c r="BC885" s="1392" t="n"/>
      <c r="BD885" s="1392" t="n"/>
      <c r="BE885" s="1392" t="n"/>
      <c r="BF885" s="1392" t="n"/>
      <c r="BG885" s="1392" t="n"/>
      <c r="BH885" s="1392" t="n"/>
      <c r="BI885" s="1392" t="n"/>
      <c r="BJ885" s="1392" t="n"/>
      <c r="BK885" s="1392" t="n"/>
      <c r="BL885" s="1392" t="n"/>
      <c r="BM885" s="1392" t="n"/>
      <c r="BN885" s="1392" t="n"/>
      <c r="BO885" s="1392" t="n"/>
      <c r="BP885" s="1392" t="n"/>
      <c r="BQ885" s="1392" t="n"/>
      <c r="BR885" s="1392" t="n"/>
      <c r="BS885" s="1392" t="n"/>
      <c r="BT885" s="1392" t="n"/>
      <c r="BU885" s="1416" t="n"/>
      <c r="BV885" s="1392" t="n"/>
      <c r="BW885" s="1392" t="n"/>
      <c r="BX885" s="1392" t="n"/>
      <c r="BY885" s="1392" t="n"/>
      <c r="BZ885" s="1416" t="n"/>
      <c r="CA885" s="1392" t="n"/>
      <c r="CB885" s="1392" t="n"/>
      <c r="CC885" s="1392" t="n"/>
      <c r="CD885" s="1392" t="n"/>
      <c r="CE885" s="1392" t="n"/>
      <c r="CF885" s="1392" t="n"/>
      <c r="CG885" s="1392" t="n"/>
      <c r="CH885" s="1392" t="n"/>
      <c r="CI885" s="1392" t="n"/>
      <c r="CJ885" s="1392" t="n"/>
      <c r="CK885" s="1392" t="n"/>
      <c r="CL885" s="1392" t="n"/>
    </row>
    <row r="886">
      <c r="A886" s="5" t="inlineStr">
        <is>
          <t>.</t>
        </is>
      </c>
      <c r="B886" s="5" t="inlineStr">
        <is>
          <t>.</t>
        </is>
      </c>
      <c r="C886" s="1378">
        <f>IF(raw[[#This Row],[city]]="","-",IF(raw[[#This Row],[city]]="TODAY","-",C885+1))</f>
        <v/>
      </c>
      <c r="D886" s="1393" t="inlineStr">
        <is>
          <t>Pontarlier</t>
        </is>
      </c>
      <c r="E886" s="1394" t="n">
        <v>38543</v>
      </c>
      <c r="F886" s="1394" t="n">
        <v>38546</v>
      </c>
      <c r="G886" s="1393" t="inlineStr">
        <is>
          <t>-</t>
        </is>
      </c>
      <c r="H886" s="1393" t="inlineStr">
        <is>
          <t>Transit</t>
        </is>
      </c>
      <c r="I886" s="1393" t="inlineStr">
        <is>
          <t>VF</t>
        </is>
      </c>
      <c r="J886" s="1393" t="inlineStr">
        <is>
          <t>-</t>
        </is>
      </c>
      <c r="K886" s="1395">
        <f>IF(raw[[#This Row],[city]]&lt;&gt;"",_xlfn.XLOOKUP($D886,ccc[city],ccc[prov],"-"),"-")</f>
        <v/>
      </c>
      <c r="L886" s="1395">
        <f>IF(raw[[#This Row],[city]]&lt;&gt;"",_xlfn.XLOOKUP($D886,ccc[city],ccc[ctry],"-"),"-")</f>
        <v/>
      </c>
      <c r="M886" s="1395">
        <f>IF(raw[[#This Row],[city]]&lt;&gt;"",_xlfn.XLOOKUP($D886,ccc[city],ccc[cont],"-"),"-")</f>
        <v/>
      </c>
      <c r="N886" s="1396">
        <f>IF(raw[[#This Row],[city]]="","-",IF(raw[[#This Row],[cont]]="B",raw[[#This Row],[cont]],"W"))</f>
        <v/>
      </c>
      <c r="O886" s="1397">
        <f>IF(raw[[#This Row],[out]]=0,0,IF(raw[[#This Row],[out]]=raw[[#This Row],[in]],0.01,raw[[#This Row],[out]]-raw[[#This Row],[in]]))</f>
        <v/>
      </c>
      <c r="P886" s="1397">
        <f>IF(raw[[#This Row],[in]]=0,0,MONTH(raw[[#This Row],[in]]))</f>
        <v/>
      </c>
      <c r="Q886" s="1397">
        <f>IF(raw[[#This Row],[in]]=0,0,YEAR(raw[[#This Row],[in]]))</f>
        <v/>
      </c>
      <c r="R886" s="1397">
        <f>INT(raw[[#This Row],[yr]]/10)*10</f>
        <v/>
      </c>
      <c r="S886" s="1395">
        <f>IF(raw[[#This Row],[city]]="","-",IF(raw[[#This Row],[city]]&lt;&gt;_xlfn.XLOOKUP(raw[[#This Row],[home]],homes[home],homes[city],"-"),1,0))</f>
        <v/>
      </c>
      <c r="T886" s="1398" t="inlineStr">
        <is>
          <t>.</t>
        </is>
      </c>
      <c r="U886" s="1399">
        <f>IF(raw[[#This Row],[wb]]="w",raw[[#This Row],[stay]]+U885,U885)</f>
        <v/>
      </c>
      <c r="V886" s="1400">
        <f>IF(raw[[#This Row],[out]]=0,V885,(raw[[#This Row],[out]]-E$5))</f>
        <v/>
      </c>
      <c r="W886" s="1401">
        <f>U886/V886</f>
        <v/>
      </c>
      <c r="X886" s="1378" t="inlineStr">
        <is>
          <t>.</t>
        </is>
      </c>
      <c r="Y886" s="1402" t="n"/>
      <c r="Z886" s="1403" t="n"/>
      <c r="AA886" s="1403" t="n"/>
      <c r="AB886" s="1400">
        <f t="array" ref="AB886">_xlfn.LET(_xlpm.S,_xlfn.ANCHORARRAY($Y$4),_xlpm.r,ROWS(stayCity[[#Headers],[city]]:stayCity[[#This Row],[city]])-1,IF(_xlpm.r&lt;=ROWS(_xlpm.S),INDEX(_xlpm.S,_xlpm.r,1),""))</f>
        <v/>
      </c>
      <c r="AC886" s="1405">
        <f t="array" ref="AC886">_xlfn.LET(_xlpm.S,_xlfn.ANCHORARRAY($Y$4),_xlpm.r,ROWS(stayCity[[#Headers],[city]]:stayCity[[#This Row],[city]])-1,IF(_xlpm.r&lt;=ROWS(_xlpm.S),INDEX(_xlpm.S,_xlpm.r,2),""))</f>
        <v/>
      </c>
      <c r="AD886" s="1405">
        <f t="array" ref="AD886">_xlfn.LET(_xlpm.S,_xlfn.ANCHORARRAY($Y$4),_xlpm.r,ROWS(stayCity[[#Headers],[city]]:stayCity[[#This Row],[city]])-1,IF(_xlpm.r&lt;=ROWS(_xlpm.S),INDEX(_xlpm.S,_xlpm.r,3),""))</f>
        <v/>
      </c>
      <c r="AE886" s="1400">
        <f>IF(stayCity[[#This Row],[out]]&lt;&gt;"",stayCity[[#This Row],[out]]-stayCity[[#This Row],[in]],"-")</f>
        <v/>
      </c>
      <c r="AF886" s="1406">
        <f>IF(Y886="","-",YEAR(stayCity[[#This Row],[in]]))</f>
        <v/>
      </c>
      <c r="AG886" s="1392" t="n"/>
      <c r="AH886" s="1392" t="n"/>
      <c r="AI886" s="1392" t="n"/>
      <c r="AJ886" s="1392" t="n"/>
      <c r="AK886" s="1392" t="n"/>
      <c r="AL886" s="1392" t="n"/>
      <c r="AM886" s="1392" t="n"/>
      <c r="AN886" s="1392" t="n"/>
      <c r="AO886" s="1392" t="n"/>
      <c r="AP886" s="1392" t="n"/>
      <c r="AQ886" s="1392" t="n"/>
      <c r="AR886" s="1392" t="n"/>
      <c r="AS886" s="1422" t="n"/>
      <c r="AT886" s="1392" t="n"/>
      <c r="AU886" s="1392" t="n"/>
      <c r="AV886" s="1392" t="n"/>
      <c r="AW886" s="1392" t="n"/>
      <c r="AX886" s="1392" t="n"/>
      <c r="AY886" s="1392" t="n"/>
      <c r="AZ886" s="1392" t="n"/>
      <c r="BA886" s="1392" t="n"/>
      <c r="BB886" s="1422" t="n"/>
      <c r="BC886" s="1392" t="n"/>
      <c r="BD886" s="1392" t="n"/>
      <c r="BE886" s="1392" t="n"/>
      <c r="BF886" s="1392" t="n"/>
      <c r="BG886" s="1392" t="n"/>
      <c r="BH886" s="1392" t="n"/>
      <c r="BI886" s="1392" t="n"/>
      <c r="BJ886" s="1392" t="n"/>
      <c r="BK886" s="1392" t="n"/>
      <c r="BL886" s="1392" t="n"/>
      <c r="BM886" s="1392" t="n"/>
      <c r="BN886" s="1392" t="n"/>
      <c r="BO886" s="1392" t="n"/>
      <c r="BP886" s="1392" t="n"/>
      <c r="BQ886" s="1392" t="n"/>
      <c r="BR886" s="1392" t="n"/>
      <c r="BS886" s="1392" t="n"/>
      <c r="BT886" s="1392" t="n"/>
      <c r="BU886" s="1416" t="n"/>
      <c r="BV886" s="1392" t="n"/>
      <c r="BW886" s="1392" t="n"/>
      <c r="BX886" s="1392" t="n"/>
      <c r="BY886" s="1392" t="n"/>
      <c r="BZ886" s="1416" t="n"/>
      <c r="CA886" s="1392" t="n"/>
      <c r="CB886" s="1392" t="n"/>
      <c r="CC886" s="1392" t="n"/>
      <c r="CD886" s="1392" t="n"/>
      <c r="CE886" s="1392" t="n"/>
      <c r="CF886" s="1392" t="n"/>
      <c r="CG886" s="1392" t="n"/>
      <c r="CH886" s="1392" t="n"/>
      <c r="CI886" s="1392" t="n"/>
      <c r="CJ886" s="1392" t="n"/>
      <c r="CK886" s="1392" t="n"/>
      <c r="CL886" s="1392" t="n"/>
    </row>
    <row r="887">
      <c r="A887" s="5" t="inlineStr">
        <is>
          <t>.</t>
        </is>
      </c>
      <c r="B887" s="5" t="inlineStr">
        <is>
          <t>.</t>
        </is>
      </c>
      <c r="C887" s="1378">
        <f>IF(raw[[#This Row],[city]]="","-",IF(raw[[#This Row],[city]]="TODAY","-",C886+1))</f>
        <v/>
      </c>
      <c r="D887" s="1393" t="inlineStr">
        <is>
          <t>Cluse-et-Mijoux</t>
        </is>
      </c>
      <c r="E887" s="1394" t="n">
        <v>38546</v>
      </c>
      <c r="F887" s="1394" t="n">
        <v>38546</v>
      </c>
      <c r="G887" s="1393" t="inlineStr">
        <is>
          <t>-</t>
        </is>
      </c>
      <c r="H887" s="1393" t="inlineStr">
        <is>
          <t>Transit</t>
        </is>
      </c>
      <c r="I887" s="1393" t="inlineStr">
        <is>
          <t>VF</t>
        </is>
      </c>
      <c r="J887" s="1393" t="inlineStr">
        <is>
          <t>-</t>
        </is>
      </c>
      <c r="K887" s="1395">
        <f>IF(raw[[#This Row],[city]]&lt;&gt;"",_xlfn.XLOOKUP($D887,ccc[city],ccc[prov],"-"),"-")</f>
        <v/>
      </c>
      <c r="L887" s="1395">
        <f>IF(raw[[#This Row],[city]]&lt;&gt;"",_xlfn.XLOOKUP($D887,ccc[city],ccc[ctry],"-"),"-")</f>
        <v/>
      </c>
      <c r="M887" s="1395">
        <f>IF(raw[[#This Row],[city]]&lt;&gt;"",_xlfn.XLOOKUP($D887,ccc[city],ccc[cont],"-"),"-")</f>
        <v/>
      </c>
      <c r="N887" s="1396">
        <f>IF(raw[[#This Row],[city]]="","-",IF(raw[[#This Row],[cont]]="B",raw[[#This Row],[cont]],"W"))</f>
        <v/>
      </c>
      <c r="O887" s="1397">
        <f>IF(raw[[#This Row],[out]]=0,0,IF(raw[[#This Row],[out]]=raw[[#This Row],[in]],0.01,raw[[#This Row],[out]]-raw[[#This Row],[in]]))</f>
        <v/>
      </c>
      <c r="P887" s="1397">
        <f>IF(raw[[#This Row],[in]]=0,0,MONTH(raw[[#This Row],[in]]))</f>
        <v/>
      </c>
      <c r="Q887" s="1397">
        <f>IF(raw[[#This Row],[in]]=0,0,YEAR(raw[[#This Row],[in]]))</f>
        <v/>
      </c>
      <c r="R887" s="1397">
        <f>INT(raw[[#This Row],[yr]]/10)*10</f>
        <v/>
      </c>
      <c r="S887" s="1395">
        <f>IF(raw[[#This Row],[city]]="","-",IF(raw[[#This Row],[city]]&lt;&gt;_xlfn.XLOOKUP(raw[[#This Row],[home]],homes[home],homes[city],"-"),1,0))</f>
        <v/>
      </c>
      <c r="T887" s="1398" t="inlineStr">
        <is>
          <t>.</t>
        </is>
      </c>
      <c r="U887" s="1399">
        <f>IF(raw[[#This Row],[wb]]="w",raw[[#This Row],[stay]]+U886,U886)</f>
        <v/>
      </c>
      <c r="V887" s="1400">
        <f>IF(raw[[#This Row],[out]]=0,V886,(raw[[#This Row],[out]]-E$5))</f>
        <v/>
      </c>
      <c r="W887" s="1401">
        <f>U887/V887</f>
        <v/>
      </c>
      <c r="X887" s="1378" t="inlineStr">
        <is>
          <t>.</t>
        </is>
      </c>
      <c r="Y887" s="1402" t="n"/>
      <c r="Z887" s="1403" t="n"/>
      <c r="AA887" s="1403" t="n"/>
      <c r="AB887" s="1400">
        <f t="array" ref="AB887">_xlfn.LET(_xlpm.S,_xlfn.ANCHORARRAY($Y$4),_xlpm.r,ROWS(stayCity[[#Headers],[city]]:stayCity[[#This Row],[city]])-1,IF(_xlpm.r&lt;=ROWS(_xlpm.S),INDEX(_xlpm.S,_xlpm.r,1),""))</f>
        <v/>
      </c>
      <c r="AC887" s="1405">
        <f t="array" ref="AC887">_xlfn.LET(_xlpm.S,_xlfn.ANCHORARRAY($Y$4),_xlpm.r,ROWS(stayCity[[#Headers],[city]]:stayCity[[#This Row],[city]])-1,IF(_xlpm.r&lt;=ROWS(_xlpm.S),INDEX(_xlpm.S,_xlpm.r,2),""))</f>
        <v/>
      </c>
      <c r="AD887" s="1405">
        <f t="array" ref="AD887">_xlfn.LET(_xlpm.S,_xlfn.ANCHORARRAY($Y$4),_xlpm.r,ROWS(stayCity[[#Headers],[city]]:stayCity[[#This Row],[city]])-1,IF(_xlpm.r&lt;=ROWS(_xlpm.S),INDEX(_xlpm.S,_xlpm.r,3),""))</f>
        <v/>
      </c>
      <c r="AE887" s="1400">
        <f>IF(stayCity[[#This Row],[out]]&lt;&gt;"",stayCity[[#This Row],[out]]-stayCity[[#This Row],[in]],"-")</f>
        <v/>
      </c>
      <c r="AF887" s="1406">
        <f>IF(Y887="","-",YEAR(stayCity[[#This Row],[in]]))</f>
        <v/>
      </c>
      <c r="AG887" s="1392" t="n"/>
      <c r="AH887" s="1392" t="n"/>
      <c r="AI887" s="1392" t="n"/>
      <c r="AJ887" s="1392" t="n"/>
      <c r="AK887" s="1392" t="n"/>
      <c r="AL887" s="1392" t="n"/>
      <c r="AM887" s="1392" t="n"/>
      <c r="AN887" s="1392" t="n"/>
      <c r="AO887" s="1392" t="n"/>
      <c r="AP887" s="1392" t="n"/>
      <c r="AQ887" s="1392" t="n"/>
      <c r="AR887" s="1392" t="n"/>
      <c r="AS887" s="1422" t="n"/>
      <c r="AT887" s="1392" t="n"/>
      <c r="AU887" s="1392" t="n"/>
      <c r="AV887" s="1392" t="n"/>
      <c r="AW887" s="1392" t="n"/>
      <c r="AX887" s="1392" t="n"/>
      <c r="AY887" s="1392" t="n"/>
      <c r="AZ887" s="1392" t="n"/>
      <c r="BA887" s="1392" t="n"/>
      <c r="BB887" s="1422" t="n"/>
      <c r="BC887" s="1392" t="n"/>
      <c r="BD887" s="1392" t="n"/>
      <c r="BE887" s="1392" t="n"/>
      <c r="BF887" s="1392" t="n"/>
      <c r="BG887" s="1392" t="n"/>
      <c r="BH887" s="1392" t="n"/>
      <c r="BI887" s="1392" t="n"/>
      <c r="BJ887" s="1392" t="n"/>
      <c r="BK887" s="1392" t="n"/>
      <c r="BL887" s="1392" t="n"/>
      <c r="BM887" s="1392" t="n"/>
      <c r="BN887" s="1392" t="n"/>
      <c r="BO887" s="1392" t="n"/>
      <c r="BP887" s="1392" t="n"/>
      <c r="BQ887" s="1392" t="n"/>
      <c r="BR887" s="1392" t="n"/>
      <c r="BS887" s="1392" t="n"/>
      <c r="BT887" s="1392" t="n"/>
      <c r="BU887" s="1416" t="n"/>
      <c r="BV887" s="1392" t="n"/>
      <c r="BW887" s="1392" t="n"/>
      <c r="BX887" s="1392" t="n"/>
      <c r="BY887" s="1392" t="n"/>
      <c r="BZ887" s="1416" t="n"/>
      <c r="CA887" s="1392" t="n"/>
      <c r="CB887" s="1392" t="n"/>
      <c r="CC887" s="1392" t="n"/>
      <c r="CD887" s="1392" t="n"/>
      <c r="CE887" s="1392" t="n"/>
      <c r="CF887" s="1392" t="n"/>
      <c r="CG887" s="1392" t="n"/>
      <c r="CH887" s="1392" t="n"/>
      <c r="CI887" s="1392" t="n"/>
      <c r="CJ887" s="1392" t="n"/>
      <c r="CK887" s="1392" t="n"/>
      <c r="CL887" s="1392" t="n"/>
    </row>
    <row r="888">
      <c r="A888" s="5" t="inlineStr">
        <is>
          <t>.</t>
        </is>
      </c>
      <c r="B888" s="5" t="inlineStr">
        <is>
          <t>.</t>
        </is>
      </c>
      <c r="C888" s="1378">
        <f>IF(raw[[#This Row],[city]]="","-",IF(raw[[#This Row],[city]]="TODAY","-",C887+1))</f>
        <v/>
      </c>
      <c r="D888" s="1393" t="inlineStr">
        <is>
          <t>Les Fourgs</t>
        </is>
      </c>
      <c r="E888" s="1394" t="n">
        <v>38546</v>
      </c>
      <c r="F888" s="1394" t="n">
        <v>38547</v>
      </c>
      <c r="G888" s="1393" t="inlineStr">
        <is>
          <t>-</t>
        </is>
      </c>
      <c r="H888" s="1393" t="inlineStr">
        <is>
          <t>Transit</t>
        </is>
      </c>
      <c r="I888" s="1393" t="inlineStr">
        <is>
          <t>VF</t>
        </is>
      </c>
      <c r="J888" s="1393" t="inlineStr">
        <is>
          <t>-</t>
        </is>
      </c>
      <c r="K888" s="1395">
        <f>IF(raw[[#This Row],[city]]&lt;&gt;"",_xlfn.XLOOKUP($D888,ccc[city],ccc[prov],"-"),"-")</f>
        <v/>
      </c>
      <c r="L888" s="1395">
        <f>IF(raw[[#This Row],[city]]&lt;&gt;"",_xlfn.XLOOKUP($D888,ccc[city],ccc[ctry],"-"),"-")</f>
        <v/>
      </c>
      <c r="M888" s="1395">
        <f>IF(raw[[#This Row],[city]]&lt;&gt;"",_xlfn.XLOOKUP($D888,ccc[city],ccc[cont],"-"),"-")</f>
        <v/>
      </c>
      <c r="N888" s="1396">
        <f>IF(raw[[#This Row],[city]]="","-",IF(raw[[#This Row],[cont]]="B",raw[[#This Row],[cont]],"W"))</f>
        <v/>
      </c>
      <c r="O888" s="1397">
        <f>IF(raw[[#This Row],[out]]=0,0,IF(raw[[#This Row],[out]]=raw[[#This Row],[in]],0.01,raw[[#This Row],[out]]-raw[[#This Row],[in]]))</f>
        <v/>
      </c>
      <c r="P888" s="1397">
        <f>IF(raw[[#This Row],[in]]=0,0,MONTH(raw[[#This Row],[in]]))</f>
        <v/>
      </c>
      <c r="Q888" s="1397">
        <f>IF(raw[[#This Row],[in]]=0,0,YEAR(raw[[#This Row],[in]]))</f>
        <v/>
      </c>
      <c r="R888" s="1397">
        <f>INT(raw[[#This Row],[yr]]/10)*10</f>
        <v/>
      </c>
      <c r="S888" s="1395">
        <f>IF(raw[[#This Row],[city]]="","-",IF(raw[[#This Row],[city]]&lt;&gt;_xlfn.XLOOKUP(raw[[#This Row],[home]],homes[home],homes[city],"-"),1,0))</f>
        <v/>
      </c>
      <c r="T888" s="1398" t="inlineStr">
        <is>
          <t>.</t>
        </is>
      </c>
      <c r="U888" s="1399">
        <f>IF(raw[[#This Row],[wb]]="w",raw[[#This Row],[stay]]+U887,U887)</f>
        <v/>
      </c>
      <c r="V888" s="1400">
        <f>IF(raw[[#This Row],[out]]=0,V887,(raw[[#This Row],[out]]-E$5))</f>
        <v/>
      </c>
      <c r="W888" s="1401">
        <f>U888/V888</f>
        <v/>
      </c>
      <c r="X888" s="1378" t="inlineStr">
        <is>
          <t>.</t>
        </is>
      </c>
      <c r="Y888" s="1402" t="n"/>
      <c r="Z888" s="1403" t="n"/>
      <c r="AA888" s="1403" t="n"/>
      <c r="AB888" s="1400">
        <f t="array" ref="AB888">_xlfn.LET(_xlpm.S,_xlfn.ANCHORARRAY($Y$4),_xlpm.r,ROWS(stayCity[[#Headers],[city]]:stayCity[[#This Row],[city]])-1,IF(_xlpm.r&lt;=ROWS(_xlpm.S),INDEX(_xlpm.S,_xlpm.r,1),""))</f>
        <v/>
      </c>
      <c r="AC888" s="1405">
        <f t="array" ref="AC888">_xlfn.LET(_xlpm.S,_xlfn.ANCHORARRAY($Y$4),_xlpm.r,ROWS(stayCity[[#Headers],[city]]:stayCity[[#This Row],[city]])-1,IF(_xlpm.r&lt;=ROWS(_xlpm.S),INDEX(_xlpm.S,_xlpm.r,2),""))</f>
        <v/>
      </c>
      <c r="AD888" s="1405">
        <f t="array" ref="AD888">_xlfn.LET(_xlpm.S,_xlfn.ANCHORARRAY($Y$4),_xlpm.r,ROWS(stayCity[[#Headers],[city]]:stayCity[[#This Row],[city]])-1,IF(_xlpm.r&lt;=ROWS(_xlpm.S),INDEX(_xlpm.S,_xlpm.r,3),""))</f>
        <v/>
      </c>
      <c r="AE888" s="1400">
        <f>IF(stayCity[[#This Row],[out]]&lt;&gt;"",stayCity[[#This Row],[out]]-stayCity[[#This Row],[in]],"-")</f>
        <v/>
      </c>
      <c r="AF888" s="1406">
        <f>IF(Y888="","-",YEAR(stayCity[[#This Row],[in]]))</f>
        <v/>
      </c>
      <c r="AG888" s="1392" t="n"/>
      <c r="AH888" s="1392" t="n"/>
      <c r="AI888" s="1392" t="n"/>
      <c r="AJ888" s="1392" t="n"/>
      <c r="AK888" s="1392" t="n"/>
      <c r="AL888" s="1392" t="n"/>
      <c r="AM888" s="1392" t="n"/>
      <c r="AN888" s="1392" t="n"/>
      <c r="AO888" s="1392" t="n"/>
      <c r="AP888" s="1392" t="n"/>
      <c r="AQ888" s="1392" t="n"/>
      <c r="AR888" s="1392" t="n"/>
      <c r="AS888" s="1422" t="n"/>
      <c r="AT888" s="1392" t="n"/>
      <c r="AU888" s="1392" t="n"/>
      <c r="AV888" s="1392" t="n"/>
      <c r="AW888" s="1392" t="n"/>
      <c r="AX888" s="1392" t="n"/>
      <c r="AY888" s="1392" t="n"/>
      <c r="AZ888" s="1392" t="n"/>
      <c r="BA888" s="1392" t="n"/>
      <c r="BB888" s="1422" t="n"/>
      <c r="BC888" s="1392" t="n"/>
      <c r="BD888" s="1392" t="n"/>
      <c r="BE888" s="1392" t="n"/>
      <c r="BF888" s="1392" t="n"/>
      <c r="BG888" s="1392" t="n"/>
      <c r="BH888" s="1392" t="n"/>
      <c r="BI888" s="1392" t="n"/>
      <c r="BJ888" s="1392" t="n"/>
      <c r="BK888" s="1392" t="n"/>
      <c r="BL888" s="1392" t="n"/>
      <c r="BM888" s="1392" t="n"/>
      <c r="BN888" s="1392" t="n"/>
      <c r="BO888" s="1392" t="n"/>
      <c r="BP888" s="1392" t="n"/>
      <c r="BQ888" s="1392" t="n"/>
      <c r="BR888" s="1392" t="n"/>
      <c r="BS888" s="1392" t="n"/>
      <c r="BT888" s="1392" t="n"/>
      <c r="BU888" s="1416" t="n"/>
      <c r="BV888" s="1392" t="n"/>
      <c r="BW888" s="1392" t="n"/>
      <c r="BX888" s="1392" t="n"/>
      <c r="BY888" s="1392" t="n"/>
      <c r="BZ888" s="1416" t="n"/>
      <c r="CA888" s="1392" t="n"/>
      <c r="CB888" s="1392" t="n"/>
      <c r="CC888" s="1392" t="n"/>
      <c r="CD888" s="1392" t="n"/>
      <c r="CE888" s="1392" t="n"/>
      <c r="CF888" s="1392" t="n"/>
      <c r="CG888" s="1392" t="n"/>
      <c r="CH888" s="1392" t="n"/>
      <c r="CI888" s="1392" t="n"/>
      <c r="CJ888" s="1392" t="n"/>
      <c r="CK888" s="1392" t="n"/>
      <c r="CL888" s="1392" t="n"/>
    </row>
    <row r="889">
      <c r="A889" s="5" t="inlineStr">
        <is>
          <t>.</t>
        </is>
      </c>
      <c r="B889" s="5" t="inlineStr">
        <is>
          <t>.</t>
        </is>
      </c>
      <c r="C889" s="1378">
        <f>IF(raw[[#This Row],[city]]="","-",IF(raw[[#This Row],[city]]="TODAY","-",C888+1))</f>
        <v/>
      </c>
      <c r="D889" s="1393" t="inlineStr">
        <is>
          <t>BORDER CHE</t>
        </is>
      </c>
      <c r="E889" s="1394" t="n">
        <v>38547</v>
      </c>
      <c r="F889" s="1394" t="n">
        <v>38547</v>
      </c>
      <c r="G889" s="1393" t="inlineStr">
        <is>
          <t>-</t>
        </is>
      </c>
      <c r="H889" s="1393" t="inlineStr">
        <is>
          <t>Transit</t>
        </is>
      </c>
      <c r="I889" s="1393" t="inlineStr">
        <is>
          <t>VF</t>
        </is>
      </c>
      <c r="J889" s="1393" t="inlineStr">
        <is>
          <t>-</t>
        </is>
      </c>
      <c r="K889" s="1395">
        <f>IF(raw[[#This Row],[city]]&lt;&gt;"",_xlfn.XLOOKUP($D889,ccc[city],ccc[prov],"-"),"-")</f>
        <v/>
      </c>
      <c r="L889" s="1395">
        <f>IF(raw[[#This Row],[city]]&lt;&gt;"",_xlfn.XLOOKUP($D889,ccc[city],ccc[ctry],"-"),"-")</f>
        <v/>
      </c>
      <c r="M889" s="1395">
        <f>IF(raw[[#This Row],[city]]&lt;&gt;"",_xlfn.XLOOKUP($D889,ccc[city],ccc[cont],"-"),"-")</f>
        <v/>
      </c>
      <c r="N889" s="1396">
        <f>IF(raw[[#This Row],[city]]="","-",IF(raw[[#This Row],[cont]]="B",raw[[#This Row],[cont]],"W"))</f>
        <v/>
      </c>
      <c r="O889" s="1397">
        <f>IF(raw[[#This Row],[out]]=0,0,IF(raw[[#This Row],[out]]=raw[[#This Row],[in]],0.01,raw[[#This Row],[out]]-raw[[#This Row],[in]]))</f>
        <v/>
      </c>
      <c r="P889" s="1397">
        <f>IF(raw[[#This Row],[in]]=0,0,MONTH(raw[[#This Row],[in]]))</f>
        <v/>
      </c>
      <c r="Q889" s="1397">
        <f>IF(raw[[#This Row],[in]]=0,0,YEAR(raw[[#This Row],[in]]))</f>
        <v/>
      </c>
      <c r="R889" s="1397">
        <f>INT(raw[[#This Row],[yr]]/10)*10</f>
        <v/>
      </c>
      <c r="S889" s="1395">
        <f>IF(raw[[#This Row],[city]]="","-",IF(raw[[#This Row],[city]]&lt;&gt;_xlfn.XLOOKUP(raw[[#This Row],[home]],homes[home],homes[city],"-"),1,0))</f>
        <v/>
      </c>
      <c r="T889" s="1398" t="inlineStr">
        <is>
          <t>.</t>
        </is>
      </c>
      <c r="U889" s="1399">
        <f>IF(raw[[#This Row],[wb]]="w",raw[[#This Row],[stay]]+U888,U888)</f>
        <v/>
      </c>
      <c r="V889" s="1400">
        <f>IF(raw[[#This Row],[out]]=0,V888,(raw[[#This Row],[out]]-E$5))</f>
        <v/>
      </c>
      <c r="W889" s="1401">
        <f>U889/V889</f>
        <v/>
      </c>
      <c r="X889" s="1378" t="inlineStr">
        <is>
          <t>.</t>
        </is>
      </c>
      <c r="Y889" s="1402" t="n"/>
      <c r="Z889" s="1403" t="n"/>
      <c r="AA889" s="1403" t="n"/>
      <c r="AB889" s="1400">
        <f t="array" ref="AB889">_xlfn.LET(_xlpm.S,_xlfn.ANCHORARRAY($Y$4),_xlpm.r,ROWS(stayCity[[#Headers],[city]]:stayCity[[#This Row],[city]])-1,IF(_xlpm.r&lt;=ROWS(_xlpm.S),INDEX(_xlpm.S,_xlpm.r,1),""))</f>
        <v/>
      </c>
      <c r="AC889" s="1405">
        <f t="array" ref="AC889">_xlfn.LET(_xlpm.S,_xlfn.ANCHORARRAY($Y$4),_xlpm.r,ROWS(stayCity[[#Headers],[city]]:stayCity[[#This Row],[city]])-1,IF(_xlpm.r&lt;=ROWS(_xlpm.S),INDEX(_xlpm.S,_xlpm.r,2),""))</f>
        <v/>
      </c>
      <c r="AD889" s="1405">
        <f t="array" ref="AD889">_xlfn.LET(_xlpm.S,_xlfn.ANCHORARRAY($Y$4),_xlpm.r,ROWS(stayCity[[#Headers],[city]]:stayCity[[#This Row],[city]])-1,IF(_xlpm.r&lt;=ROWS(_xlpm.S),INDEX(_xlpm.S,_xlpm.r,3),""))</f>
        <v/>
      </c>
      <c r="AE889" s="1400">
        <f>IF(stayCity[[#This Row],[out]]&lt;&gt;"",stayCity[[#This Row],[out]]-stayCity[[#This Row],[in]],"-")</f>
        <v/>
      </c>
      <c r="AF889" s="1406">
        <f>IF(Y889="","-",YEAR(stayCity[[#This Row],[in]]))</f>
        <v/>
      </c>
      <c r="AG889" s="1392" t="n"/>
      <c r="AH889" s="1392" t="n"/>
      <c r="AI889" s="1392" t="n"/>
      <c r="AJ889" s="1392" t="n"/>
      <c r="AK889" s="1392" t="n"/>
      <c r="AL889" s="1392" t="n"/>
      <c r="AM889" s="1392" t="n"/>
      <c r="AN889" s="1392" t="n"/>
      <c r="AO889" s="1392" t="n"/>
      <c r="AP889" s="1392" t="n"/>
      <c r="AQ889" s="1392" t="n"/>
      <c r="AR889" s="1392" t="n"/>
      <c r="AS889" s="1422" t="n"/>
      <c r="AT889" s="1392" t="n"/>
      <c r="AU889" s="1392" t="n"/>
      <c r="AV889" s="1392" t="n"/>
      <c r="AW889" s="1392" t="n"/>
      <c r="AX889" s="1392" t="n"/>
      <c r="AY889" s="1392" t="n"/>
      <c r="AZ889" s="1392" t="n"/>
      <c r="BA889" s="1392" t="n"/>
      <c r="BB889" s="1422" t="n"/>
      <c r="BC889" s="1392" t="n"/>
      <c r="BD889" s="1392" t="n"/>
      <c r="BE889" s="1392" t="n"/>
      <c r="BF889" s="1392" t="n"/>
      <c r="BG889" s="1392" t="n"/>
      <c r="BH889" s="1392" t="n"/>
      <c r="BI889" s="1392" t="n"/>
      <c r="BJ889" s="1392" t="n"/>
      <c r="BK889" s="1392" t="n"/>
      <c r="BL889" s="1392" t="n"/>
      <c r="BM889" s="1392" t="n"/>
      <c r="BN889" s="1392" t="n"/>
      <c r="BO889" s="1392" t="n"/>
      <c r="BP889" s="1392" t="n"/>
      <c r="BQ889" s="1392" t="n"/>
      <c r="BR889" s="1392" t="n"/>
      <c r="BS889" s="1392" t="n"/>
      <c r="BT889" s="1392" t="n"/>
      <c r="BU889" s="1416" t="n"/>
      <c r="BV889" s="1392" t="n"/>
      <c r="BW889" s="1392" t="n"/>
      <c r="BX889" s="1392" t="n"/>
      <c r="BY889" s="1392" t="n"/>
      <c r="BZ889" s="1416" t="n"/>
      <c r="CA889" s="1392" t="n"/>
      <c r="CB889" s="1392" t="n"/>
      <c r="CC889" s="1392" t="n"/>
      <c r="CD889" s="1392" t="n"/>
      <c r="CE889" s="1392" t="n"/>
      <c r="CF889" s="1392" t="n"/>
      <c r="CG889" s="1392" t="n"/>
      <c r="CH889" s="1392" t="n"/>
      <c r="CI889" s="1392" t="n"/>
      <c r="CJ889" s="1392" t="n"/>
      <c r="CK889" s="1392" t="n"/>
      <c r="CL889" s="1392" t="n"/>
    </row>
    <row r="890">
      <c r="A890" s="5" t="inlineStr">
        <is>
          <t>.</t>
        </is>
      </c>
      <c r="B890" s="5" t="inlineStr">
        <is>
          <t>.</t>
        </is>
      </c>
      <c r="C890" s="1378">
        <f>IF(raw[[#This Row],[city]]="","-",IF(raw[[#This Row],[city]]="TODAY","-",C889+1))</f>
        <v/>
      </c>
      <c r="D890" s="1393" t="inlineStr">
        <is>
          <t>Les Fourgs</t>
        </is>
      </c>
      <c r="E890" s="1394" t="n">
        <v>38547</v>
      </c>
      <c r="F890" s="1394" t="n">
        <v>38547</v>
      </c>
      <c r="G890" s="1393" t="inlineStr">
        <is>
          <t>-</t>
        </is>
      </c>
      <c r="H890" s="1393" t="inlineStr">
        <is>
          <t>Transit</t>
        </is>
      </c>
      <c r="I890" s="1393" t="inlineStr">
        <is>
          <t>VF</t>
        </is>
      </c>
      <c r="J890" s="1393" t="inlineStr">
        <is>
          <t>-</t>
        </is>
      </c>
      <c r="K890" s="1395">
        <f>IF(raw[[#This Row],[city]]&lt;&gt;"",_xlfn.XLOOKUP($D890,ccc[city],ccc[prov],"-"),"-")</f>
        <v/>
      </c>
      <c r="L890" s="1395">
        <f>IF(raw[[#This Row],[city]]&lt;&gt;"",_xlfn.XLOOKUP($D890,ccc[city],ccc[ctry],"-"),"-")</f>
        <v/>
      </c>
      <c r="M890" s="1395">
        <f>IF(raw[[#This Row],[city]]&lt;&gt;"",_xlfn.XLOOKUP($D890,ccc[city],ccc[cont],"-"),"-")</f>
        <v/>
      </c>
      <c r="N890" s="1396">
        <f>IF(raw[[#This Row],[city]]="","-",IF(raw[[#This Row],[cont]]="B",raw[[#This Row],[cont]],"W"))</f>
        <v/>
      </c>
      <c r="O890" s="1397">
        <f>IF(raw[[#This Row],[out]]=0,0,IF(raw[[#This Row],[out]]=raw[[#This Row],[in]],0.01,raw[[#This Row],[out]]-raw[[#This Row],[in]]))</f>
        <v/>
      </c>
      <c r="P890" s="1397">
        <f>IF(raw[[#This Row],[in]]=0,0,MONTH(raw[[#This Row],[in]]))</f>
        <v/>
      </c>
      <c r="Q890" s="1397">
        <f>IF(raw[[#This Row],[in]]=0,0,YEAR(raw[[#This Row],[in]]))</f>
        <v/>
      </c>
      <c r="R890" s="1397">
        <f>INT(raw[[#This Row],[yr]]/10)*10</f>
        <v/>
      </c>
      <c r="S890" s="1395">
        <f>IF(raw[[#This Row],[city]]="","-",IF(raw[[#This Row],[city]]&lt;&gt;_xlfn.XLOOKUP(raw[[#This Row],[home]],homes[home],homes[city],"-"),1,0))</f>
        <v/>
      </c>
      <c r="T890" s="1398" t="inlineStr">
        <is>
          <t>.</t>
        </is>
      </c>
      <c r="U890" s="1399">
        <f>IF(raw[[#This Row],[wb]]="w",raw[[#This Row],[stay]]+U889,U889)</f>
        <v/>
      </c>
      <c r="V890" s="1400">
        <f>IF(raw[[#This Row],[out]]=0,V889,(raw[[#This Row],[out]]-E$5))</f>
        <v/>
      </c>
      <c r="W890" s="1401">
        <f>U890/V890</f>
        <v/>
      </c>
      <c r="X890" s="1378" t="inlineStr">
        <is>
          <t>.</t>
        </is>
      </c>
      <c r="Y890" s="1402" t="n"/>
      <c r="Z890" s="1403" t="n"/>
      <c r="AA890" s="1403" t="n"/>
      <c r="AB890" s="1400">
        <f t="array" ref="AB890">_xlfn.LET(_xlpm.S,_xlfn.ANCHORARRAY($Y$4),_xlpm.r,ROWS(stayCity[[#Headers],[city]]:stayCity[[#This Row],[city]])-1,IF(_xlpm.r&lt;=ROWS(_xlpm.S),INDEX(_xlpm.S,_xlpm.r,1),""))</f>
        <v/>
      </c>
      <c r="AC890" s="1405">
        <f t="array" ref="AC890">_xlfn.LET(_xlpm.S,_xlfn.ANCHORARRAY($Y$4),_xlpm.r,ROWS(stayCity[[#Headers],[city]]:stayCity[[#This Row],[city]])-1,IF(_xlpm.r&lt;=ROWS(_xlpm.S),INDEX(_xlpm.S,_xlpm.r,2),""))</f>
        <v/>
      </c>
      <c r="AD890" s="1405">
        <f t="array" ref="AD890">_xlfn.LET(_xlpm.S,_xlfn.ANCHORARRAY($Y$4),_xlpm.r,ROWS(stayCity[[#Headers],[city]]:stayCity[[#This Row],[city]])-1,IF(_xlpm.r&lt;=ROWS(_xlpm.S),INDEX(_xlpm.S,_xlpm.r,3),""))</f>
        <v/>
      </c>
      <c r="AE890" s="1400">
        <f>IF(stayCity[[#This Row],[out]]&lt;&gt;"",stayCity[[#This Row],[out]]-stayCity[[#This Row],[in]],"-")</f>
        <v/>
      </c>
      <c r="AF890" s="1406">
        <f>IF(Y890="","-",YEAR(stayCity[[#This Row],[in]]))</f>
        <v/>
      </c>
      <c r="AG890" s="1392" t="n"/>
      <c r="AH890" s="1392" t="n"/>
      <c r="AI890" s="1392" t="n"/>
      <c r="AJ890" s="1392" t="n"/>
      <c r="AK890" s="1392" t="n"/>
      <c r="AL890" s="1392" t="n"/>
      <c r="AM890" s="1392" t="n"/>
      <c r="AN890" s="1392" t="n"/>
      <c r="AO890" s="1392" t="n"/>
      <c r="AP890" s="1392" t="n"/>
      <c r="AQ890" s="1392" t="n"/>
      <c r="AR890" s="1392" t="n"/>
      <c r="AS890" s="1422" t="n"/>
      <c r="AT890" s="1392" t="n"/>
      <c r="AU890" s="1392" t="n"/>
      <c r="AV890" s="1392" t="n"/>
      <c r="AW890" s="1392" t="n"/>
      <c r="AX890" s="1392" t="n"/>
      <c r="AY890" s="1392" t="n"/>
      <c r="AZ890" s="1392" t="n"/>
      <c r="BA890" s="1392" t="n"/>
      <c r="BB890" s="1422" t="n"/>
      <c r="BC890" s="1392" t="n"/>
      <c r="BD890" s="1392" t="n"/>
      <c r="BE890" s="1392" t="n"/>
      <c r="BF890" s="1392" t="n"/>
      <c r="BG890" s="1392" t="n"/>
      <c r="BH890" s="1392" t="n"/>
      <c r="BI890" s="1392" t="n"/>
      <c r="BJ890" s="1392" t="n"/>
      <c r="BK890" s="1392" t="n"/>
      <c r="BL890" s="1392" t="n"/>
      <c r="BM890" s="1392" t="n"/>
      <c r="BN890" s="1392" t="n"/>
      <c r="BO890" s="1392" t="n"/>
      <c r="BP890" s="1392" t="n"/>
      <c r="BQ890" s="1392" t="n"/>
      <c r="BR890" s="1392" t="n"/>
      <c r="BS890" s="1392" t="n"/>
      <c r="BT890" s="1392" t="n"/>
      <c r="BU890" s="1416" t="n"/>
      <c r="BV890" s="1392" t="n"/>
      <c r="BW890" s="1392" t="n"/>
      <c r="BX890" s="1392" t="n"/>
      <c r="BY890" s="1392" t="n"/>
      <c r="BZ890" s="1416" t="n"/>
      <c r="CA890" s="1392" t="n"/>
      <c r="CB890" s="1392" t="n"/>
      <c r="CC890" s="1392" t="n"/>
      <c r="CD890" s="1392" t="n"/>
      <c r="CE890" s="1392" t="n"/>
      <c r="CF890" s="1392" t="n"/>
      <c r="CG890" s="1392" t="n"/>
      <c r="CH890" s="1392" t="n"/>
      <c r="CI890" s="1392" t="n"/>
      <c r="CJ890" s="1392" t="n"/>
      <c r="CK890" s="1392" t="n"/>
      <c r="CL890" s="1392" t="n"/>
    </row>
    <row r="891">
      <c r="A891" s="5" t="inlineStr">
        <is>
          <t>.</t>
        </is>
      </c>
      <c r="B891" s="5" t="inlineStr">
        <is>
          <t>.</t>
        </is>
      </c>
      <c r="C891" s="1378">
        <f>IF(raw[[#This Row],[city]]="","-",IF(raw[[#This Row],[city]]="TODAY","-",C890+1))</f>
        <v/>
      </c>
      <c r="D891" s="1393" t="inlineStr">
        <is>
          <t>Auberson</t>
        </is>
      </c>
      <c r="E891" s="1394" t="n">
        <v>38547</v>
      </c>
      <c r="F891" s="1394" t="n">
        <v>38547</v>
      </c>
      <c r="G891" s="1393" t="inlineStr">
        <is>
          <t>-</t>
        </is>
      </c>
      <c r="H891" s="1393" t="inlineStr">
        <is>
          <t>Transit</t>
        </is>
      </c>
      <c r="I891" s="1393" t="inlineStr">
        <is>
          <t>VF</t>
        </is>
      </c>
      <c r="J891" s="1393" t="inlineStr">
        <is>
          <t>-</t>
        </is>
      </c>
      <c r="K891" s="1395">
        <f>IF(raw[[#This Row],[city]]&lt;&gt;"",_xlfn.XLOOKUP($D891,ccc[city],ccc[prov],"-"),"-")</f>
        <v/>
      </c>
      <c r="L891" s="1395">
        <f>IF(raw[[#This Row],[city]]&lt;&gt;"",_xlfn.XLOOKUP($D891,ccc[city],ccc[ctry],"-"),"-")</f>
        <v/>
      </c>
      <c r="M891" s="1395">
        <f>IF(raw[[#This Row],[city]]&lt;&gt;"",_xlfn.XLOOKUP($D891,ccc[city],ccc[cont],"-"),"-")</f>
        <v/>
      </c>
      <c r="N891" s="1396">
        <f>IF(raw[[#This Row],[city]]="","-",IF(raw[[#This Row],[cont]]="B",raw[[#This Row],[cont]],"W"))</f>
        <v/>
      </c>
      <c r="O891" s="1397">
        <f>IF(raw[[#This Row],[out]]=0,0,IF(raw[[#This Row],[out]]=raw[[#This Row],[in]],0.01,raw[[#This Row],[out]]-raw[[#This Row],[in]]))</f>
        <v/>
      </c>
      <c r="P891" s="1397">
        <f>IF(raw[[#This Row],[in]]=0,0,MONTH(raw[[#This Row],[in]]))</f>
        <v/>
      </c>
      <c r="Q891" s="1397">
        <f>IF(raw[[#This Row],[in]]=0,0,YEAR(raw[[#This Row],[in]]))</f>
        <v/>
      </c>
      <c r="R891" s="1397">
        <f>INT(raw[[#This Row],[yr]]/10)*10</f>
        <v/>
      </c>
      <c r="S891" s="1395">
        <f>IF(raw[[#This Row],[city]]="","-",IF(raw[[#This Row],[city]]&lt;&gt;_xlfn.XLOOKUP(raw[[#This Row],[home]],homes[home],homes[city],"-"),1,0))</f>
        <v/>
      </c>
      <c r="T891" s="1398" t="inlineStr">
        <is>
          <t>.</t>
        </is>
      </c>
      <c r="U891" s="1399">
        <f>IF(raw[[#This Row],[wb]]="w",raw[[#This Row],[stay]]+U890,U890)</f>
        <v/>
      </c>
      <c r="V891" s="1400">
        <f>IF(raw[[#This Row],[out]]=0,V890,(raw[[#This Row],[out]]-E$5))</f>
        <v/>
      </c>
      <c r="W891" s="1401">
        <f>U891/V891</f>
        <v/>
      </c>
      <c r="X891" s="1378" t="inlineStr">
        <is>
          <t>.</t>
        </is>
      </c>
      <c r="Y891" s="1402" t="n"/>
      <c r="Z891" s="1403" t="n"/>
      <c r="AA891" s="1403" t="n"/>
      <c r="AB891" s="1400">
        <f t="array" ref="AB891">_xlfn.LET(_xlpm.S,_xlfn.ANCHORARRAY($Y$4),_xlpm.r,ROWS(stayCity[[#Headers],[city]]:stayCity[[#This Row],[city]])-1,IF(_xlpm.r&lt;=ROWS(_xlpm.S),INDEX(_xlpm.S,_xlpm.r,1),""))</f>
        <v/>
      </c>
      <c r="AC891" s="1405">
        <f t="array" ref="AC891">_xlfn.LET(_xlpm.S,_xlfn.ANCHORARRAY($Y$4),_xlpm.r,ROWS(stayCity[[#Headers],[city]]:stayCity[[#This Row],[city]])-1,IF(_xlpm.r&lt;=ROWS(_xlpm.S),INDEX(_xlpm.S,_xlpm.r,2),""))</f>
        <v/>
      </c>
      <c r="AD891" s="1405">
        <f t="array" ref="AD891">_xlfn.LET(_xlpm.S,_xlfn.ANCHORARRAY($Y$4),_xlpm.r,ROWS(stayCity[[#Headers],[city]]:stayCity[[#This Row],[city]])-1,IF(_xlpm.r&lt;=ROWS(_xlpm.S),INDEX(_xlpm.S,_xlpm.r,3),""))</f>
        <v/>
      </c>
      <c r="AE891" s="1400">
        <f>IF(stayCity[[#This Row],[out]]&lt;&gt;"",stayCity[[#This Row],[out]]-stayCity[[#This Row],[in]],"-")</f>
        <v/>
      </c>
      <c r="AF891" s="1406">
        <f>IF(Y891="","-",YEAR(stayCity[[#This Row],[in]]))</f>
        <v/>
      </c>
      <c r="AG891" s="1392" t="n"/>
      <c r="AH891" s="1392" t="n"/>
      <c r="AI891" s="1392" t="n"/>
      <c r="AJ891" s="1392" t="n"/>
      <c r="AK891" s="1392" t="n"/>
      <c r="AL891" s="1392" t="n"/>
      <c r="AM891" s="1392" t="n"/>
      <c r="AN891" s="1392" t="n"/>
      <c r="AO891" s="1392" t="n"/>
      <c r="AP891" s="1392" t="n"/>
      <c r="AQ891" s="1392" t="n"/>
      <c r="AR891" s="1392" t="n"/>
      <c r="AS891" s="1422" t="n"/>
      <c r="AT891" s="1392" t="n"/>
      <c r="AU891" s="1392" t="n"/>
      <c r="AV891" s="1392" t="n"/>
      <c r="AW891" s="1392" t="n"/>
      <c r="AX891" s="1392" t="n"/>
      <c r="AY891" s="1392" t="n"/>
      <c r="AZ891" s="1392" t="n"/>
      <c r="BA891" s="1392" t="n"/>
      <c r="BB891" s="1422" t="n"/>
      <c r="BC891" s="1392" t="n"/>
      <c r="BD891" s="1392" t="n"/>
      <c r="BE891" s="1392" t="n"/>
      <c r="BF891" s="1392" t="n"/>
      <c r="BG891" s="1392" t="n"/>
      <c r="BH891" s="1392" t="n"/>
      <c r="BI891" s="1392" t="n"/>
      <c r="BJ891" s="1392" t="n"/>
      <c r="BK891" s="1392" t="n"/>
      <c r="BL891" s="1392" t="n"/>
      <c r="BM891" s="1392" t="n"/>
      <c r="BN891" s="1392" t="n"/>
      <c r="BO891" s="1392" t="n"/>
      <c r="BP891" s="1392" t="n"/>
      <c r="BQ891" s="1392" t="n"/>
      <c r="BR891" s="1392" t="n"/>
      <c r="BS891" s="1392" t="n"/>
      <c r="BT891" s="1392" t="n"/>
      <c r="BU891" s="1416" t="n"/>
      <c r="BV891" s="1392" t="n"/>
      <c r="BW891" s="1392" t="n"/>
      <c r="BX891" s="1392" t="n"/>
      <c r="BY891" s="1392" t="n"/>
      <c r="BZ891" s="1416" t="n"/>
      <c r="CA891" s="1392" t="n"/>
      <c r="CB891" s="1392" t="n"/>
      <c r="CC891" s="1392" t="n"/>
      <c r="CD891" s="1392" t="n"/>
      <c r="CE891" s="1392" t="n"/>
      <c r="CF891" s="1392" t="n"/>
      <c r="CG891" s="1392" t="n"/>
      <c r="CH891" s="1392" t="n"/>
      <c r="CI891" s="1392" t="n"/>
      <c r="CJ891" s="1392" t="n"/>
      <c r="CK891" s="1392" t="n"/>
      <c r="CL891" s="1392" t="n"/>
    </row>
    <row r="892">
      <c r="A892" s="5" t="inlineStr">
        <is>
          <t>.</t>
        </is>
      </c>
      <c r="B892" s="5" t="inlineStr">
        <is>
          <t>.</t>
        </is>
      </c>
      <c r="C892" s="1378">
        <f>IF(raw[[#This Row],[city]]="","-",IF(raw[[#This Row],[city]]="TODAY","-",C891+1))</f>
        <v/>
      </c>
      <c r="D892" s="1393" t="inlineStr">
        <is>
          <t>Les Fourgs</t>
        </is>
      </c>
      <c r="E892" s="1394" t="n">
        <v>38547</v>
      </c>
      <c r="F892" s="1394" t="n">
        <v>38547</v>
      </c>
      <c r="G892" s="1393" t="inlineStr">
        <is>
          <t>-</t>
        </is>
      </c>
      <c r="H892" s="1393" t="inlineStr">
        <is>
          <t>Transit</t>
        </is>
      </c>
      <c r="I892" s="1393" t="inlineStr">
        <is>
          <t>VF</t>
        </is>
      </c>
      <c r="J892" s="1393" t="inlineStr">
        <is>
          <t>-</t>
        </is>
      </c>
      <c r="K892" s="1395">
        <f>IF(raw[[#This Row],[city]]&lt;&gt;"",_xlfn.XLOOKUP($D892,ccc[city],ccc[prov],"-"),"-")</f>
        <v/>
      </c>
      <c r="L892" s="1395">
        <f>IF(raw[[#This Row],[city]]&lt;&gt;"",_xlfn.XLOOKUP($D892,ccc[city],ccc[ctry],"-"),"-")</f>
        <v/>
      </c>
      <c r="M892" s="1395">
        <f>IF(raw[[#This Row],[city]]&lt;&gt;"",_xlfn.XLOOKUP($D892,ccc[city],ccc[cont],"-"),"-")</f>
        <v/>
      </c>
      <c r="N892" s="1396">
        <f>IF(raw[[#This Row],[city]]="","-",IF(raw[[#This Row],[cont]]="B",raw[[#This Row],[cont]],"W"))</f>
        <v/>
      </c>
      <c r="O892" s="1397">
        <f>IF(raw[[#This Row],[out]]=0,0,IF(raw[[#This Row],[out]]=raw[[#This Row],[in]],0.01,raw[[#This Row],[out]]-raw[[#This Row],[in]]))</f>
        <v/>
      </c>
      <c r="P892" s="1397">
        <f>IF(raw[[#This Row],[in]]=0,0,MONTH(raw[[#This Row],[in]]))</f>
        <v/>
      </c>
      <c r="Q892" s="1397">
        <f>IF(raw[[#This Row],[in]]=0,0,YEAR(raw[[#This Row],[in]]))</f>
        <v/>
      </c>
      <c r="R892" s="1397">
        <f>INT(raw[[#This Row],[yr]]/10)*10</f>
        <v/>
      </c>
      <c r="S892" s="1395">
        <f>IF(raw[[#This Row],[city]]="","-",IF(raw[[#This Row],[city]]&lt;&gt;_xlfn.XLOOKUP(raw[[#This Row],[home]],homes[home],homes[city],"-"),1,0))</f>
        <v/>
      </c>
      <c r="T892" s="1398" t="inlineStr">
        <is>
          <t>.</t>
        </is>
      </c>
      <c r="U892" s="1399">
        <f>IF(raw[[#This Row],[wb]]="w",raw[[#This Row],[stay]]+U891,U891)</f>
        <v/>
      </c>
      <c r="V892" s="1400">
        <f>IF(raw[[#This Row],[out]]=0,V891,(raw[[#This Row],[out]]-E$5))</f>
        <v/>
      </c>
      <c r="W892" s="1401">
        <f>U892/V892</f>
        <v/>
      </c>
      <c r="X892" s="1378" t="inlineStr">
        <is>
          <t>.</t>
        </is>
      </c>
      <c r="Y892" s="1402" t="n"/>
      <c r="Z892" s="1403" t="n"/>
      <c r="AA892" s="1403" t="n"/>
      <c r="AB892" s="1400">
        <f t="array" ref="AB892">_xlfn.LET(_xlpm.S,_xlfn.ANCHORARRAY($Y$4),_xlpm.r,ROWS(stayCity[[#Headers],[city]]:stayCity[[#This Row],[city]])-1,IF(_xlpm.r&lt;=ROWS(_xlpm.S),INDEX(_xlpm.S,_xlpm.r,1),""))</f>
        <v/>
      </c>
      <c r="AC892" s="1405">
        <f t="array" ref="AC892">_xlfn.LET(_xlpm.S,_xlfn.ANCHORARRAY($Y$4),_xlpm.r,ROWS(stayCity[[#Headers],[city]]:stayCity[[#This Row],[city]])-1,IF(_xlpm.r&lt;=ROWS(_xlpm.S),INDEX(_xlpm.S,_xlpm.r,2),""))</f>
        <v/>
      </c>
      <c r="AD892" s="1405">
        <f t="array" ref="AD892">_xlfn.LET(_xlpm.S,_xlfn.ANCHORARRAY($Y$4),_xlpm.r,ROWS(stayCity[[#Headers],[city]]:stayCity[[#This Row],[city]])-1,IF(_xlpm.r&lt;=ROWS(_xlpm.S),INDEX(_xlpm.S,_xlpm.r,3),""))</f>
        <v/>
      </c>
      <c r="AE892" s="1400">
        <f>IF(stayCity[[#This Row],[out]]&lt;&gt;"",stayCity[[#This Row],[out]]-stayCity[[#This Row],[in]],"-")</f>
        <v/>
      </c>
      <c r="AF892" s="1406">
        <f>IF(Y892="","-",YEAR(stayCity[[#This Row],[in]]))</f>
        <v/>
      </c>
      <c r="AG892" s="1392" t="n"/>
      <c r="AH892" s="1392" t="n"/>
      <c r="AI892" s="1392" t="n"/>
      <c r="AJ892" s="1392" t="n"/>
      <c r="AK892" s="1392" t="n"/>
      <c r="AL892" s="1392" t="n"/>
      <c r="AM892" s="1392" t="n"/>
      <c r="AN892" s="1392" t="n"/>
      <c r="AO892" s="1392" t="n"/>
      <c r="AP892" s="1392" t="n"/>
      <c r="AQ892" s="1392" t="n"/>
      <c r="AR892" s="1392" t="n"/>
      <c r="AS892" s="1422" t="n"/>
      <c r="AT892" s="1392" t="n"/>
      <c r="AU892" s="1392" t="n"/>
      <c r="AV892" s="1392" t="n"/>
      <c r="AW892" s="1392" t="n"/>
      <c r="AX892" s="1392" t="n"/>
      <c r="AY892" s="1392" t="n"/>
      <c r="AZ892" s="1392" t="n"/>
      <c r="BA892" s="1392" t="n"/>
      <c r="BB892" s="1422" t="n"/>
      <c r="BC892" s="1392" t="n"/>
      <c r="BD892" s="1392" t="n"/>
      <c r="BE892" s="1392" t="n"/>
      <c r="BF892" s="1392" t="n"/>
      <c r="BG892" s="1392" t="n"/>
      <c r="BH892" s="1392" t="n"/>
      <c r="BI892" s="1392" t="n"/>
      <c r="BJ892" s="1392" t="n"/>
      <c r="BK892" s="1392" t="n"/>
      <c r="BL892" s="1392" t="n"/>
      <c r="BM892" s="1392" t="n"/>
      <c r="BN892" s="1392" t="n"/>
      <c r="BO892" s="1392" t="n"/>
      <c r="BP892" s="1392" t="n"/>
      <c r="BQ892" s="1392" t="n"/>
      <c r="BR892" s="1392" t="n"/>
      <c r="BS892" s="1392" t="n"/>
      <c r="BT892" s="1392" t="n"/>
      <c r="BU892" s="1416" t="n"/>
      <c r="BV892" s="1392" t="n"/>
      <c r="BW892" s="1392" t="n"/>
      <c r="BX892" s="1392" t="n"/>
      <c r="BY892" s="1392" t="n"/>
      <c r="BZ892" s="1416" t="n"/>
      <c r="CA892" s="1392" t="n"/>
      <c r="CB892" s="1392" t="n"/>
      <c r="CC892" s="1392" t="n"/>
      <c r="CD892" s="1392" t="n"/>
      <c r="CE892" s="1392" t="n"/>
      <c r="CF892" s="1392" t="n"/>
      <c r="CG892" s="1392" t="n"/>
      <c r="CH892" s="1392" t="n"/>
      <c r="CI892" s="1392" t="n"/>
      <c r="CJ892" s="1392" t="n"/>
      <c r="CK892" s="1392" t="n"/>
      <c r="CL892" s="1392" t="n"/>
    </row>
    <row r="893">
      <c r="A893" s="5" t="inlineStr">
        <is>
          <t>.</t>
        </is>
      </c>
      <c r="B893" s="5" t="inlineStr">
        <is>
          <t>.</t>
        </is>
      </c>
      <c r="C893" s="1378">
        <f>IF(raw[[#This Row],[city]]="","-",IF(raw[[#This Row],[city]]="TODAY","-",C892+1))</f>
        <v/>
      </c>
      <c r="D893" s="1393" t="inlineStr">
        <is>
          <t>BORDER CHE</t>
        </is>
      </c>
      <c r="E893" s="1394" t="n">
        <v>38547</v>
      </c>
      <c r="F893" s="1394" t="n">
        <v>38547</v>
      </c>
      <c r="G893" s="1393" t="inlineStr">
        <is>
          <t>-</t>
        </is>
      </c>
      <c r="H893" s="1393" t="inlineStr">
        <is>
          <t>Transit</t>
        </is>
      </c>
      <c r="I893" s="1393" t="inlineStr">
        <is>
          <t>VF</t>
        </is>
      </c>
      <c r="J893" s="1393" t="inlineStr">
        <is>
          <t>-</t>
        </is>
      </c>
      <c r="K893" s="1395">
        <f>IF(raw[[#This Row],[city]]&lt;&gt;"",_xlfn.XLOOKUP($D893,ccc[city],ccc[prov],"-"),"-")</f>
        <v/>
      </c>
      <c r="L893" s="1395">
        <f>IF(raw[[#This Row],[city]]&lt;&gt;"",_xlfn.XLOOKUP($D893,ccc[city],ccc[ctry],"-"),"-")</f>
        <v/>
      </c>
      <c r="M893" s="1395">
        <f>IF(raw[[#This Row],[city]]&lt;&gt;"",_xlfn.XLOOKUP($D893,ccc[city],ccc[cont],"-"),"-")</f>
        <v/>
      </c>
      <c r="N893" s="1396">
        <f>IF(raw[[#This Row],[city]]="","-",IF(raw[[#This Row],[cont]]="B",raw[[#This Row],[cont]],"W"))</f>
        <v/>
      </c>
      <c r="O893" s="1397">
        <f>IF(raw[[#This Row],[out]]=0,0,IF(raw[[#This Row],[out]]=raw[[#This Row],[in]],0.01,raw[[#This Row],[out]]-raw[[#This Row],[in]]))</f>
        <v/>
      </c>
      <c r="P893" s="1397">
        <f>IF(raw[[#This Row],[in]]=0,0,MONTH(raw[[#This Row],[in]]))</f>
        <v/>
      </c>
      <c r="Q893" s="1397">
        <f>IF(raw[[#This Row],[in]]=0,0,YEAR(raw[[#This Row],[in]]))</f>
        <v/>
      </c>
      <c r="R893" s="1397">
        <f>INT(raw[[#This Row],[yr]]/10)*10</f>
        <v/>
      </c>
      <c r="S893" s="1395">
        <f>IF(raw[[#This Row],[city]]="","-",IF(raw[[#This Row],[city]]&lt;&gt;_xlfn.XLOOKUP(raw[[#This Row],[home]],homes[home],homes[city],"-"),1,0))</f>
        <v/>
      </c>
      <c r="T893" s="1398" t="inlineStr">
        <is>
          <t>.</t>
        </is>
      </c>
      <c r="U893" s="1399">
        <f>IF(raw[[#This Row],[wb]]="w",raw[[#This Row],[stay]]+U892,U892)</f>
        <v/>
      </c>
      <c r="V893" s="1400">
        <f>IF(raw[[#This Row],[out]]=0,V892,(raw[[#This Row],[out]]-E$5))</f>
        <v/>
      </c>
      <c r="W893" s="1401">
        <f>U893/V893</f>
        <v/>
      </c>
      <c r="X893" s="1378" t="inlineStr">
        <is>
          <t>.</t>
        </is>
      </c>
      <c r="Y893" s="1402" t="n"/>
      <c r="Z893" s="1403" t="n"/>
      <c r="AA893" s="1403" t="n"/>
      <c r="AB893" s="1400">
        <f t="array" ref="AB893">_xlfn.LET(_xlpm.S,_xlfn.ANCHORARRAY($Y$4),_xlpm.r,ROWS(stayCity[[#Headers],[city]]:stayCity[[#This Row],[city]])-1,IF(_xlpm.r&lt;=ROWS(_xlpm.S),INDEX(_xlpm.S,_xlpm.r,1),""))</f>
        <v/>
      </c>
      <c r="AC893" s="1405">
        <f t="array" ref="AC893">_xlfn.LET(_xlpm.S,_xlfn.ANCHORARRAY($Y$4),_xlpm.r,ROWS(stayCity[[#Headers],[city]]:stayCity[[#This Row],[city]])-1,IF(_xlpm.r&lt;=ROWS(_xlpm.S),INDEX(_xlpm.S,_xlpm.r,2),""))</f>
        <v/>
      </c>
      <c r="AD893" s="1405">
        <f t="array" ref="AD893">_xlfn.LET(_xlpm.S,_xlfn.ANCHORARRAY($Y$4),_xlpm.r,ROWS(stayCity[[#Headers],[city]]:stayCity[[#This Row],[city]])-1,IF(_xlpm.r&lt;=ROWS(_xlpm.S),INDEX(_xlpm.S,_xlpm.r,3),""))</f>
        <v/>
      </c>
      <c r="AE893" s="1400">
        <f>IF(stayCity[[#This Row],[out]]&lt;&gt;"",stayCity[[#This Row],[out]]-stayCity[[#This Row],[in]],"-")</f>
        <v/>
      </c>
      <c r="AF893" s="1406">
        <f>IF(Y893="","-",YEAR(stayCity[[#This Row],[in]]))</f>
        <v/>
      </c>
      <c r="AG893" s="1392" t="n"/>
      <c r="AH893" s="1392" t="n"/>
      <c r="AI893" s="1392" t="n"/>
      <c r="AJ893" s="1392" t="n"/>
      <c r="AK893" s="1392" t="n"/>
      <c r="AL893" s="1392" t="n"/>
      <c r="AM893" s="1392" t="n"/>
      <c r="AN893" s="1392" t="n"/>
      <c r="AO893" s="1392" t="n"/>
      <c r="AP893" s="1392" t="n"/>
      <c r="AQ893" s="1392" t="n"/>
      <c r="AR893" s="1392" t="n"/>
      <c r="AS893" s="1422" t="n"/>
      <c r="AT893" s="1392" t="n"/>
      <c r="AU893" s="1392" t="n"/>
      <c r="AV893" s="1392" t="n"/>
      <c r="AW893" s="1392" t="n"/>
      <c r="AX893" s="1392" t="n"/>
      <c r="AY893" s="1392" t="n"/>
      <c r="AZ893" s="1392" t="n"/>
      <c r="BA893" s="1392" t="n"/>
      <c r="BB893" s="1422" t="n"/>
      <c r="BC893" s="1392" t="n"/>
      <c r="BD893" s="1392" t="n"/>
      <c r="BE893" s="1392" t="n"/>
      <c r="BF893" s="1392" t="n"/>
      <c r="BG893" s="1392" t="n"/>
      <c r="BH893" s="1392" t="n"/>
      <c r="BI893" s="1392" t="n"/>
      <c r="BJ893" s="1392" t="n"/>
      <c r="BK893" s="1392" t="n"/>
      <c r="BL893" s="1392" t="n"/>
      <c r="BM893" s="1392" t="n"/>
      <c r="BN893" s="1392" t="n"/>
      <c r="BO893" s="1392" t="n"/>
      <c r="BP893" s="1392" t="n"/>
      <c r="BQ893" s="1392" t="n"/>
      <c r="BR893" s="1392" t="n"/>
      <c r="BS893" s="1392" t="n"/>
      <c r="BT893" s="1392" t="n"/>
      <c r="BU893" s="1416" t="n"/>
      <c r="BV893" s="1392" t="n"/>
      <c r="BW893" s="1392" t="n"/>
      <c r="BX893" s="1392" t="n"/>
      <c r="BY893" s="1392" t="n"/>
      <c r="BZ893" s="1416" t="n"/>
      <c r="CA893" s="1392" t="n"/>
      <c r="CB893" s="1392" t="n"/>
      <c r="CC893" s="1392" t="n"/>
      <c r="CD893" s="1392" t="n"/>
      <c r="CE893" s="1392" t="n"/>
      <c r="CF893" s="1392" t="n"/>
      <c r="CG893" s="1392" t="n"/>
      <c r="CH893" s="1392" t="n"/>
      <c r="CI893" s="1392" t="n"/>
      <c r="CJ893" s="1392" t="n"/>
      <c r="CK893" s="1392" t="n"/>
      <c r="CL893" s="1392" t="n"/>
    </row>
    <row r="894">
      <c r="A894" s="5" t="inlineStr">
        <is>
          <t>.</t>
        </is>
      </c>
      <c r="B894" s="5" t="inlineStr">
        <is>
          <t>.</t>
        </is>
      </c>
      <c r="C894" s="1378">
        <f>IF(raw[[#This Row],[city]]="","-",IF(raw[[#This Row],[city]]="TODAY","-",C893+1))</f>
        <v/>
      </c>
      <c r="D894" s="1393" t="inlineStr">
        <is>
          <t>Les Fourgs</t>
        </is>
      </c>
      <c r="E894" s="1394" t="n">
        <v>38547</v>
      </c>
      <c r="F894" s="1394" t="n">
        <v>38548</v>
      </c>
      <c r="G894" s="1393" t="inlineStr">
        <is>
          <t>-</t>
        </is>
      </c>
      <c r="H894" s="1393" t="inlineStr">
        <is>
          <t>Transit</t>
        </is>
      </c>
      <c r="I894" s="1393" t="inlineStr">
        <is>
          <t>VF</t>
        </is>
      </c>
      <c r="J894" s="1393" t="inlineStr">
        <is>
          <t>-</t>
        </is>
      </c>
      <c r="K894" s="1395">
        <f>IF(raw[[#This Row],[city]]&lt;&gt;"",_xlfn.XLOOKUP($D894,ccc[city],ccc[prov],"-"),"-")</f>
        <v/>
      </c>
      <c r="L894" s="1395">
        <f>IF(raw[[#This Row],[city]]&lt;&gt;"",_xlfn.XLOOKUP($D894,ccc[city],ccc[ctry],"-"),"-")</f>
        <v/>
      </c>
      <c r="M894" s="1395">
        <f>IF(raw[[#This Row],[city]]&lt;&gt;"",_xlfn.XLOOKUP($D894,ccc[city],ccc[cont],"-"),"-")</f>
        <v/>
      </c>
      <c r="N894" s="1396">
        <f>IF(raw[[#This Row],[city]]="","-",IF(raw[[#This Row],[cont]]="B",raw[[#This Row],[cont]],"W"))</f>
        <v/>
      </c>
      <c r="O894" s="1397">
        <f>IF(raw[[#This Row],[out]]=0,0,IF(raw[[#This Row],[out]]=raw[[#This Row],[in]],0.01,raw[[#This Row],[out]]-raw[[#This Row],[in]]))</f>
        <v/>
      </c>
      <c r="P894" s="1397">
        <f>IF(raw[[#This Row],[in]]=0,0,MONTH(raw[[#This Row],[in]]))</f>
        <v/>
      </c>
      <c r="Q894" s="1397">
        <f>IF(raw[[#This Row],[in]]=0,0,YEAR(raw[[#This Row],[in]]))</f>
        <v/>
      </c>
      <c r="R894" s="1397">
        <f>INT(raw[[#This Row],[yr]]/10)*10</f>
        <v/>
      </c>
      <c r="S894" s="1395">
        <f>IF(raw[[#This Row],[city]]="","-",IF(raw[[#This Row],[city]]&lt;&gt;_xlfn.XLOOKUP(raw[[#This Row],[home]],homes[home],homes[city],"-"),1,0))</f>
        <v/>
      </c>
      <c r="T894" s="1398" t="inlineStr">
        <is>
          <t>.</t>
        </is>
      </c>
      <c r="U894" s="1399">
        <f>IF(raw[[#This Row],[wb]]="w",raw[[#This Row],[stay]]+U893,U893)</f>
        <v/>
      </c>
      <c r="V894" s="1400">
        <f>IF(raw[[#This Row],[out]]=0,V893,(raw[[#This Row],[out]]-E$5))</f>
        <v/>
      </c>
      <c r="W894" s="1401">
        <f>U894/V894</f>
        <v/>
      </c>
      <c r="X894" s="1378" t="inlineStr">
        <is>
          <t>.</t>
        </is>
      </c>
      <c r="Y894" s="1402" t="n"/>
      <c r="Z894" s="1403" t="n"/>
      <c r="AA894" s="1403" t="n"/>
      <c r="AB894" s="1400">
        <f t="array" ref="AB894">_xlfn.LET(_xlpm.S,_xlfn.ANCHORARRAY($Y$4),_xlpm.r,ROWS(stayCity[[#Headers],[city]]:stayCity[[#This Row],[city]])-1,IF(_xlpm.r&lt;=ROWS(_xlpm.S),INDEX(_xlpm.S,_xlpm.r,1),""))</f>
        <v/>
      </c>
      <c r="AC894" s="1405">
        <f t="array" ref="AC894">_xlfn.LET(_xlpm.S,_xlfn.ANCHORARRAY($Y$4),_xlpm.r,ROWS(stayCity[[#Headers],[city]]:stayCity[[#This Row],[city]])-1,IF(_xlpm.r&lt;=ROWS(_xlpm.S),INDEX(_xlpm.S,_xlpm.r,2),""))</f>
        <v/>
      </c>
      <c r="AD894" s="1405">
        <f t="array" ref="AD894">_xlfn.LET(_xlpm.S,_xlfn.ANCHORARRAY($Y$4),_xlpm.r,ROWS(stayCity[[#Headers],[city]]:stayCity[[#This Row],[city]])-1,IF(_xlpm.r&lt;=ROWS(_xlpm.S),INDEX(_xlpm.S,_xlpm.r,3),""))</f>
        <v/>
      </c>
      <c r="AE894" s="1400">
        <f>IF(stayCity[[#This Row],[out]]&lt;&gt;"",stayCity[[#This Row],[out]]-stayCity[[#This Row],[in]],"-")</f>
        <v/>
      </c>
      <c r="AF894" s="1406">
        <f>IF(Y894="","-",YEAR(stayCity[[#This Row],[in]]))</f>
        <v/>
      </c>
      <c r="AG894" s="1392" t="n"/>
      <c r="AH894" s="1392" t="n"/>
      <c r="AI894" s="1392" t="n"/>
      <c r="AJ894" s="1392" t="n"/>
      <c r="AK894" s="1392" t="n"/>
      <c r="AL894" s="1392" t="n"/>
      <c r="AM894" s="1392" t="n"/>
      <c r="AN894" s="1392" t="n"/>
      <c r="AO894" s="1392" t="n"/>
      <c r="AP894" s="1392" t="n"/>
      <c r="AQ894" s="1392" t="n"/>
      <c r="AR894" s="1392" t="n"/>
      <c r="AS894" s="1422" t="n"/>
      <c r="AT894" s="1392" t="n"/>
      <c r="AU894" s="1392" t="n"/>
      <c r="AV894" s="1392" t="n"/>
      <c r="AW894" s="1392" t="n"/>
      <c r="AX894" s="1392" t="n"/>
      <c r="AY894" s="1392" t="n"/>
      <c r="AZ894" s="1392" t="n"/>
      <c r="BA894" s="1392" t="n"/>
      <c r="BB894" s="1422" t="n"/>
      <c r="BC894" s="1392" t="n"/>
      <c r="BD894" s="1392" t="n"/>
      <c r="BE894" s="1392" t="n"/>
      <c r="BF894" s="1392" t="n"/>
      <c r="BG894" s="1392" t="n"/>
      <c r="BH894" s="1392" t="n"/>
      <c r="BI894" s="1392" t="n"/>
      <c r="BJ894" s="1392" t="n"/>
      <c r="BK894" s="1392" t="n"/>
      <c r="BL894" s="1392" t="n"/>
      <c r="BM894" s="1392" t="n"/>
      <c r="BN894" s="1392" t="n"/>
      <c r="BO894" s="1392" t="n"/>
      <c r="BP894" s="1392" t="n"/>
      <c r="BQ894" s="1392" t="n"/>
      <c r="BR894" s="1392" t="n"/>
      <c r="BS894" s="1392" t="n"/>
      <c r="BT894" s="1392" t="n"/>
      <c r="BU894" s="1416" t="n"/>
      <c r="BV894" s="1392" t="n"/>
      <c r="BW894" s="1392" t="n"/>
      <c r="BX894" s="1392" t="n"/>
      <c r="BY894" s="1392" t="n"/>
      <c r="BZ894" s="1416" t="n"/>
      <c r="CA894" s="1392" t="n"/>
      <c r="CB894" s="1392" t="n"/>
      <c r="CC894" s="1392" t="n"/>
      <c r="CD894" s="1392" t="n"/>
      <c r="CE894" s="1392" t="n"/>
      <c r="CF894" s="1392" t="n"/>
      <c r="CG894" s="1392" t="n"/>
      <c r="CH894" s="1392" t="n"/>
      <c r="CI894" s="1392" t="n"/>
      <c r="CJ894" s="1392" t="n"/>
      <c r="CK894" s="1392" t="n"/>
      <c r="CL894" s="1392" t="n"/>
    </row>
    <row r="895">
      <c r="A895" s="5" t="inlineStr">
        <is>
          <t>.</t>
        </is>
      </c>
      <c r="B895" s="5" t="inlineStr">
        <is>
          <t>.</t>
        </is>
      </c>
      <c r="C895" s="1378">
        <f>IF(raw[[#This Row],[city]]="","-",IF(raw[[#This Row],[city]]="TODAY","-",C894+1))</f>
        <v/>
      </c>
      <c r="D895" s="1393" t="inlineStr">
        <is>
          <t>Ste. Croix</t>
        </is>
      </c>
      <c r="E895" s="1394" t="n">
        <v>38548</v>
      </c>
      <c r="F895" s="1394" t="n">
        <v>38548</v>
      </c>
      <c r="G895" s="1393" t="inlineStr">
        <is>
          <t>-</t>
        </is>
      </c>
      <c r="H895" s="1393" t="inlineStr">
        <is>
          <t>Transit</t>
        </is>
      </c>
      <c r="I895" s="1393" t="inlineStr">
        <is>
          <t>VF</t>
        </is>
      </c>
      <c r="J895" s="1393" t="inlineStr">
        <is>
          <t>-</t>
        </is>
      </c>
      <c r="K895" s="1395">
        <f>IF(raw[[#This Row],[city]]&lt;&gt;"",_xlfn.XLOOKUP($D895,ccc[city],ccc[prov],"-"),"-")</f>
        <v/>
      </c>
      <c r="L895" s="1395">
        <f>IF(raw[[#This Row],[city]]&lt;&gt;"",_xlfn.XLOOKUP($D895,ccc[city],ccc[ctry],"-"),"-")</f>
        <v/>
      </c>
      <c r="M895" s="1395">
        <f>IF(raw[[#This Row],[city]]&lt;&gt;"",_xlfn.XLOOKUP($D895,ccc[city],ccc[cont],"-"),"-")</f>
        <v/>
      </c>
      <c r="N895" s="1396">
        <f>IF(raw[[#This Row],[city]]="","-",IF(raw[[#This Row],[cont]]="B",raw[[#This Row],[cont]],"W"))</f>
        <v/>
      </c>
      <c r="O895" s="1397">
        <f>IF(raw[[#This Row],[out]]=0,0,IF(raw[[#This Row],[out]]=raw[[#This Row],[in]],0.01,raw[[#This Row],[out]]-raw[[#This Row],[in]]))</f>
        <v/>
      </c>
      <c r="P895" s="1397">
        <f>IF(raw[[#This Row],[in]]=0,0,MONTH(raw[[#This Row],[in]]))</f>
        <v/>
      </c>
      <c r="Q895" s="1397">
        <f>IF(raw[[#This Row],[in]]=0,0,YEAR(raw[[#This Row],[in]]))</f>
        <v/>
      </c>
      <c r="R895" s="1397">
        <f>INT(raw[[#This Row],[yr]]/10)*10</f>
        <v/>
      </c>
      <c r="S895" s="1395">
        <f>IF(raw[[#This Row],[city]]="","-",IF(raw[[#This Row],[city]]&lt;&gt;_xlfn.XLOOKUP(raw[[#This Row],[home]],homes[home],homes[city],"-"),1,0))</f>
        <v/>
      </c>
      <c r="T895" s="1398" t="inlineStr">
        <is>
          <t>.</t>
        </is>
      </c>
      <c r="U895" s="1399">
        <f>IF(raw[[#This Row],[wb]]="w",raw[[#This Row],[stay]]+U894,U894)</f>
        <v/>
      </c>
      <c r="V895" s="1400">
        <f>IF(raw[[#This Row],[out]]=0,V894,(raw[[#This Row],[out]]-E$5))</f>
        <v/>
      </c>
      <c r="W895" s="1401">
        <f>U895/V895</f>
        <v/>
      </c>
      <c r="X895" s="1378" t="inlineStr">
        <is>
          <t>.</t>
        </is>
      </c>
      <c r="Y895" s="1402" t="n"/>
      <c r="Z895" s="1403" t="n"/>
      <c r="AA895" s="1403" t="n"/>
      <c r="AB895" s="1400">
        <f t="array" ref="AB895">_xlfn.LET(_xlpm.S,_xlfn.ANCHORARRAY($Y$4),_xlpm.r,ROWS(stayCity[[#Headers],[city]]:stayCity[[#This Row],[city]])-1,IF(_xlpm.r&lt;=ROWS(_xlpm.S),INDEX(_xlpm.S,_xlpm.r,1),""))</f>
        <v/>
      </c>
      <c r="AC895" s="1405">
        <f t="array" ref="AC895">_xlfn.LET(_xlpm.S,_xlfn.ANCHORARRAY($Y$4),_xlpm.r,ROWS(stayCity[[#Headers],[city]]:stayCity[[#This Row],[city]])-1,IF(_xlpm.r&lt;=ROWS(_xlpm.S),INDEX(_xlpm.S,_xlpm.r,2),""))</f>
        <v/>
      </c>
      <c r="AD895" s="1405">
        <f t="array" ref="AD895">_xlfn.LET(_xlpm.S,_xlfn.ANCHORARRAY($Y$4),_xlpm.r,ROWS(stayCity[[#Headers],[city]]:stayCity[[#This Row],[city]])-1,IF(_xlpm.r&lt;=ROWS(_xlpm.S),INDEX(_xlpm.S,_xlpm.r,3),""))</f>
        <v/>
      </c>
      <c r="AE895" s="1400">
        <f>IF(stayCity[[#This Row],[out]]&lt;&gt;"",stayCity[[#This Row],[out]]-stayCity[[#This Row],[in]],"-")</f>
        <v/>
      </c>
      <c r="AF895" s="1406">
        <f>IF(Y895="","-",YEAR(stayCity[[#This Row],[in]]))</f>
        <v/>
      </c>
      <c r="AG895" s="1392" t="n"/>
      <c r="AH895" s="1392" t="n"/>
      <c r="AI895" s="1392" t="n"/>
      <c r="AJ895" s="1392" t="n"/>
      <c r="AK895" s="1392" t="n"/>
      <c r="AL895" s="1392" t="n"/>
      <c r="AM895" s="1392" t="n"/>
      <c r="AN895" s="1392" t="n"/>
      <c r="AO895" s="1392" t="n"/>
      <c r="AP895" s="1392" t="n"/>
      <c r="AQ895" s="1392" t="n"/>
      <c r="AR895" s="1392" t="n"/>
      <c r="AS895" s="1422" t="n"/>
      <c r="AT895" s="1392" t="n"/>
      <c r="AU895" s="1392" t="n"/>
      <c r="AV895" s="1392" t="n"/>
      <c r="AW895" s="1392" t="n"/>
      <c r="AX895" s="1392" t="n"/>
      <c r="AY895" s="1392" t="n"/>
      <c r="AZ895" s="1392" t="n"/>
      <c r="BA895" s="1392" t="n"/>
      <c r="BB895" s="1422" t="n"/>
      <c r="BC895" s="1392" t="n"/>
      <c r="BD895" s="1392" t="n"/>
      <c r="BE895" s="1392" t="n"/>
      <c r="BF895" s="1392" t="n"/>
      <c r="BG895" s="1392" t="n"/>
      <c r="BH895" s="1392" t="n"/>
      <c r="BI895" s="1392" t="n"/>
      <c r="BJ895" s="1392" t="n"/>
      <c r="BK895" s="1392" t="n"/>
      <c r="BL895" s="1392" t="n"/>
      <c r="BM895" s="1392" t="n"/>
      <c r="BN895" s="1392" t="n"/>
      <c r="BO895" s="1392" t="n"/>
      <c r="BP895" s="1392" t="n"/>
      <c r="BQ895" s="1392" t="n"/>
      <c r="BR895" s="1392" t="n"/>
      <c r="BS895" s="1392" t="n"/>
      <c r="BT895" s="1392" t="n"/>
      <c r="BU895" s="1416" t="n"/>
      <c r="BV895" s="1392" t="n"/>
      <c r="BW895" s="1392" t="n"/>
      <c r="BX895" s="1392" t="n"/>
      <c r="BY895" s="1392" t="n"/>
      <c r="BZ895" s="1416" t="n"/>
      <c r="CA895" s="1392" t="n"/>
      <c r="CB895" s="1392" t="n"/>
      <c r="CC895" s="1392" t="n"/>
      <c r="CD895" s="1392" t="n"/>
      <c r="CE895" s="1392" t="n"/>
      <c r="CF895" s="1392" t="n"/>
      <c r="CG895" s="1392" t="n"/>
      <c r="CH895" s="1392" t="n"/>
      <c r="CI895" s="1392" t="n"/>
      <c r="CJ895" s="1392" t="n"/>
      <c r="CK895" s="1392" t="n"/>
      <c r="CL895" s="1392" t="n"/>
    </row>
    <row r="896">
      <c r="A896" s="5" t="inlineStr">
        <is>
          <t>.</t>
        </is>
      </c>
      <c r="B896" s="5" t="inlineStr">
        <is>
          <t>.</t>
        </is>
      </c>
      <c r="C896" s="1378">
        <f>IF(raw[[#This Row],[city]]="","-",IF(raw[[#This Row],[city]]="TODAY","-",C895+1))</f>
        <v/>
      </c>
      <c r="D896" s="1393" t="inlineStr">
        <is>
          <t>Vuiteboeuf</t>
        </is>
      </c>
      <c r="E896" s="1394" t="n">
        <v>38548</v>
      </c>
      <c r="F896" s="1394" t="n">
        <v>38548</v>
      </c>
      <c r="G896" s="1393" t="inlineStr">
        <is>
          <t>-</t>
        </is>
      </c>
      <c r="H896" s="1393" t="inlineStr">
        <is>
          <t>Transit</t>
        </is>
      </c>
      <c r="I896" s="1393" t="inlineStr">
        <is>
          <t>VF</t>
        </is>
      </c>
      <c r="J896" s="1393" t="inlineStr">
        <is>
          <t>-</t>
        </is>
      </c>
      <c r="K896" s="1395">
        <f>IF(raw[[#This Row],[city]]&lt;&gt;"",_xlfn.XLOOKUP($D896,ccc[city],ccc[prov],"-"),"-")</f>
        <v/>
      </c>
      <c r="L896" s="1395">
        <f>IF(raw[[#This Row],[city]]&lt;&gt;"",_xlfn.XLOOKUP($D896,ccc[city],ccc[ctry],"-"),"-")</f>
        <v/>
      </c>
      <c r="M896" s="1395">
        <f>IF(raw[[#This Row],[city]]&lt;&gt;"",_xlfn.XLOOKUP($D896,ccc[city],ccc[cont],"-"),"-")</f>
        <v/>
      </c>
      <c r="N896" s="1396">
        <f>IF(raw[[#This Row],[city]]="","-",IF(raw[[#This Row],[cont]]="B",raw[[#This Row],[cont]],"W"))</f>
        <v/>
      </c>
      <c r="O896" s="1397">
        <f>IF(raw[[#This Row],[out]]=0,0,IF(raw[[#This Row],[out]]=raw[[#This Row],[in]],0.01,raw[[#This Row],[out]]-raw[[#This Row],[in]]))</f>
        <v/>
      </c>
      <c r="P896" s="1397">
        <f>IF(raw[[#This Row],[in]]=0,0,MONTH(raw[[#This Row],[in]]))</f>
        <v/>
      </c>
      <c r="Q896" s="1397">
        <f>IF(raw[[#This Row],[in]]=0,0,YEAR(raw[[#This Row],[in]]))</f>
        <v/>
      </c>
      <c r="R896" s="1397">
        <f>INT(raw[[#This Row],[yr]]/10)*10</f>
        <v/>
      </c>
      <c r="S896" s="1395">
        <f>IF(raw[[#This Row],[city]]="","-",IF(raw[[#This Row],[city]]&lt;&gt;_xlfn.XLOOKUP(raw[[#This Row],[home]],homes[home],homes[city],"-"),1,0))</f>
        <v/>
      </c>
      <c r="T896" s="1398" t="inlineStr">
        <is>
          <t>.</t>
        </is>
      </c>
      <c r="U896" s="1399">
        <f>IF(raw[[#This Row],[wb]]="w",raw[[#This Row],[stay]]+U895,U895)</f>
        <v/>
      </c>
      <c r="V896" s="1400">
        <f>IF(raw[[#This Row],[out]]=0,V895,(raw[[#This Row],[out]]-E$5))</f>
        <v/>
      </c>
      <c r="W896" s="1401">
        <f>U896/V896</f>
        <v/>
      </c>
      <c r="X896" s="1378" t="inlineStr">
        <is>
          <t>.</t>
        </is>
      </c>
      <c r="Y896" s="1402" t="n"/>
      <c r="Z896" s="1403" t="n"/>
      <c r="AA896" s="1403" t="n"/>
      <c r="AB896" s="1400">
        <f t="array" ref="AB896">_xlfn.LET(_xlpm.S,_xlfn.ANCHORARRAY($Y$4),_xlpm.r,ROWS(stayCity[[#Headers],[city]]:stayCity[[#This Row],[city]])-1,IF(_xlpm.r&lt;=ROWS(_xlpm.S),INDEX(_xlpm.S,_xlpm.r,1),""))</f>
        <v/>
      </c>
      <c r="AC896" s="1405">
        <f t="array" ref="AC896">_xlfn.LET(_xlpm.S,_xlfn.ANCHORARRAY($Y$4),_xlpm.r,ROWS(stayCity[[#Headers],[city]]:stayCity[[#This Row],[city]])-1,IF(_xlpm.r&lt;=ROWS(_xlpm.S),INDEX(_xlpm.S,_xlpm.r,2),""))</f>
        <v/>
      </c>
      <c r="AD896" s="1405">
        <f t="array" ref="AD896">_xlfn.LET(_xlpm.S,_xlfn.ANCHORARRAY($Y$4),_xlpm.r,ROWS(stayCity[[#Headers],[city]]:stayCity[[#This Row],[city]])-1,IF(_xlpm.r&lt;=ROWS(_xlpm.S),INDEX(_xlpm.S,_xlpm.r,3),""))</f>
        <v/>
      </c>
      <c r="AE896" s="1400">
        <f>IF(stayCity[[#This Row],[out]]&lt;&gt;"",stayCity[[#This Row],[out]]-stayCity[[#This Row],[in]],"-")</f>
        <v/>
      </c>
      <c r="AF896" s="1406">
        <f>IF(Y896="","-",YEAR(stayCity[[#This Row],[in]]))</f>
        <v/>
      </c>
      <c r="AG896" s="1392" t="n"/>
      <c r="AH896" s="1392" t="n"/>
      <c r="AI896" s="1392" t="n"/>
      <c r="AJ896" s="1392" t="n"/>
      <c r="AK896" s="1392" t="n"/>
      <c r="AL896" s="1392" t="n"/>
      <c r="AM896" s="1392" t="n"/>
      <c r="AN896" s="1392" t="n"/>
      <c r="AO896" s="1392" t="n"/>
      <c r="AP896" s="1392" t="n"/>
      <c r="AQ896" s="1392" t="n"/>
      <c r="AR896" s="1392" t="n"/>
      <c r="AS896" s="1422" t="n"/>
      <c r="AT896" s="1392" t="n"/>
      <c r="AU896" s="1392" t="n"/>
      <c r="AV896" s="1392" t="n"/>
      <c r="AW896" s="1392" t="n"/>
      <c r="AX896" s="1392" t="n"/>
      <c r="AY896" s="1392" t="n"/>
      <c r="AZ896" s="1392" t="n"/>
      <c r="BA896" s="1392" t="n"/>
      <c r="BB896" s="1422" t="n"/>
      <c r="BC896" s="1392" t="n"/>
      <c r="BD896" s="1392" t="n"/>
      <c r="BE896" s="1392" t="n"/>
      <c r="BF896" s="1392" t="n"/>
      <c r="BG896" s="1392" t="n"/>
      <c r="BH896" s="1392" t="n"/>
      <c r="BI896" s="1392" t="n"/>
      <c r="BJ896" s="1392" t="n"/>
      <c r="BK896" s="1392" t="n"/>
      <c r="BL896" s="1392" t="n"/>
      <c r="BM896" s="1392" t="n"/>
      <c r="BN896" s="1392" t="n"/>
      <c r="BO896" s="1392" t="n"/>
      <c r="BP896" s="1392" t="n"/>
      <c r="BQ896" s="1392" t="n"/>
      <c r="BR896" s="1392" t="n"/>
      <c r="BS896" s="1392" t="n"/>
      <c r="BT896" s="1392" t="n"/>
      <c r="BU896" s="1416" t="n"/>
      <c r="BV896" s="1392" t="n"/>
      <c r="BW896" s="1392" t="n"/>
      <c r="BX896" s="1392" t="n"/>
      <c r="BY896" s="1392" t="n"/>
      <c r="BZ896" s="1416" t="n"/>
      <c r="CA896" s="1392" t="n"/>
      <c r="CB896" s="1392" t="n"/>
      <c r="CC896" s="1392" t="n"/>
      <c r="CD896" s="1392" t="n"/>
      <c r="CE896" s="1392" t="n"/>
      <c r="CF896" s="1392" t="n"/>
      <c r="CG896" s="1392" t="n"/>
      <c r="CH896" s="1392" t="n"/>
      <c r="CI896" s="1392" t="n"/>
      <c r="CJ896" s="1392" t="n"/>
      <c r="CK896" s="1392" t="n"/>
      <c r="CL896" s="1392" t="n"/>
    </row>
    <row r="897">
      <c r="A897" s="5" t="inlineStr">
        <is>
          <t>.</t>
        </is>
      </c>
      <c r="B897" s="5" t="inlineStr">
        <is>
          <t>.</t>
        </is>
      </c>
      <c r="C897" s="1378">
        <f>IF(raw[[#This Row],[city]]="","-",IF(raw[[#This Row],[city]]="TODAY","-",C896+1))</f>
        <v/>
      </c>
      <c r="D897" s="1393" t="inlineStr">
        <is>
          <t>Geneve</t>
        </is>
      </c>
      <c r="E897" s="1394" t="n">
        <v>38548</v>
      </c>
      <c r="F897" s="1394" t="n">
        <v>38552</v>
      </c>
      <c r="G897" s="1393" t="inlineStr">
        <is>
          <t>-</t>
        </is>
      </c>
      <c r="H897" s="1393" t="inlineStr">
        <is>
          <t>Transit</t>
        </is>
      </c>
      <c r="I897" s="1393" t="inlineStr">
        <is>
          <t>VF</t>
        </is>
      </c>
      <c r="J897" s="1393" t="inlineStr">
        <is>
          <t>-</t>
        </is>
      </c>
      <c r="K897" s="1395">
        <f>IF(raw[[#This Row],[city]]&lt;&gt;"",_xlfn.XLOOKUP($D897,ccc[city],ccc[prov],"-"),"-")</f>
        <v/>
      </c>
      <c r="L897" s="1395">
        <f>IF(raw[[#This Row],[city]]&lt;&gt;"",_xlfn.XLOOKUP($D897,ccc[city],ccc[ctry],"-"),"-")</f>
        <v/>
      </c>
      <c r="M897" s="1395">
        <f>IF(raw[[#This Row],[city]]&lt;&gt;"",_xlfn.XLOOKUP($D897,ccc[city],ccc[cont],"-"),"-")</f>
        <v/>
      </c>
      <c r="N897" s="1396">
        <f>IF(raw[[#This Row],[city]]="","-",IF(raw[[#This Row],[cont]]="B",raw[[#This Row],[cont]],"W"))</f>
        <v/>
      </c>
      <c r="O897" s="1397">
        <f>IF(raw[[#This Row],[out]]=0,0,IF(raw[[#This Row],[out]]=raw[[#This Row],[in]],0.01,raw[[#This Row],[out]]-raw[[#This Row],[in]]))</f>
        <v/>
      </c>
      <c r="P897" s="1397">
        <f>IF(raw[[#This Row],[in]]=0,0,MONTH(raw[[#This Row],[in]]))</f>
        <v/>
      </c>
      <c r="Q897" s="1397">
        <f>IF(raw[[#This Row],[in]]=0,0,YEAR(raw[[#This Row],[in]]))</f>
        <v/>
      </c>
      <c r="R897" s="1397">
        <f>INT(raw[[#This Row],[yr]]/10)*10</f>
        <v/>
      </c>
      <c r="S897" s="1395">
        <f>IF(raw[[#This Row],[city]]="","-",IF(raw[[#This Row],[city]]&lt;&gt;_xlfn.XLOOKUP(raw[[#This Row],[home]],homes[home],homes[city],"-"),1,0))</f>
        <v/>
      </c>
      <c r="T897" s="1398" t="inlineStr">
        <is>
          <t>.</t>
        </is>
      </c>
      <c r="U897" s="1399">
        <f>IF(raw[[#This Row],[wb]]="w",raw[[#This Row],[stay]]+U896,U896)</f>
        <v/>
      </c>
      <c r="V897" s="1400">
        <f>IF(raw[[#This Row],[out]]=0,V896,(raw[[#This Row],[out]]-E$5))</f>
        <v/>
      </c>
      <c r="W897" s="1401">
        <f>U897/V897</f>
        <v/>
      </c>
      <c r="X897" s="1378" t="inlineStr">
        <is>
          <t>.</t>
        </is>
      </c>
      <c r="Y897" s="1402" t="n"/>
      <c r="Z897" s="1403" t="n"/>
      <c r="AA897" s="1403" t="n"/>
      <c r="AB897" s="1400">
        <f t="array" ref="AB897">_xlfn.LET(_xlpm.S,_xlfn.ANCHORARRAY($Y$4),_xlpm.r,ROWS(stayCity[[#Headers],[city]]:stayCity[[#This Row],[city]])-1,IF(_xlpm.r&lt;=ROWS(_xlpm.S),INDEX(_xlpm.S,_xlpm.r,1),""))</f>
        <v/>
      </c>
      <c r="AC897" s="1405">
        <f t="array" ref="AC897">_xlfn.LET(_xlpm.S,_xlfn.ANCHORARRAY($Y$4),_xlpm.r,ROWS(stayCity[[#Headers],[city]]:stayCity[[#This Row],[city]])-1,IF(_xlpm.r&lt;=ROWS(_xlpm.S),INDEX(_xlpm.S,_xlpm.r,2),""))</f>
        <v/>
      </c>
      <c r="AD897" s="1405">
        <f t="array" ref="AD897">_xlfn.LET(_xlpm.S,_xlfn.ANCHORARRAY($Y$4),_xlpm.r,ROWS(stayCity[[#Headers],[city]]:stayCity[[#This Row],[city]])-1,IF(_xlpm.r&lt;=ROWS(_xlpm.S),INDEX(_xlpm.S,_xlpm.r,3),""))</f>
        <v/>
      </c>
      <c r="AE897" s="1400">
        <f>IF(stayCity[[#This Row],[out]]&lt;&gt;"",stayCity[[#This Row],[out]]-stayCity[[#This Row],[in]],"-")</f>
        <v/>
      </c>
      <c r="AF897" s="1406">
        <f>IF(Y897="","-",YEAR(stayCity[[#This Row],[in]]))</f>
        <v/>
      </c>
      <c r="AG897" s="1392" t="n"/>
      <c r="AH897" s="1392" t="n"/>
      <c r="AI897" s="1392" t="n"/>
      <c r="AJ897" s="1392" t="n"/>
      <c r="AK897" s="1392" t="n"/>
      <c r="AL897" s="1392" t="n"/>
      <c r="AM897" s="1392" t="n"/>
      <c r="AN897" s="1392" t="n"/>
      <c r="AO897" s="1392" t="n"/>
      <c r="AP897" s="1392" t="n"/>
      <c r="AQ897" s="1392" t="n"/>
      <c r="AR897" s="1392" t="n"/>
      <c r="AS897" s="1422" t="n"/>
      <c r="AT897" s="1392" t="n"/>
      <c r="AU897" s="1392" t="n"/>
      <c r="AV897" s="1392" t="n"/>
      <c r="AW897" s="1392" t="n"/>
      <c r="AX897" s="1392" t="n"/>
      <c r="AY897" s="1392" t="n"/>
      <c r="AZ897" s="1392" t="n"/>
      <c r="BA897" s="1392" t="n"/>
      <c r="BB897" s="1422" t="n"/>
      <c r="BC897" s="1392" t="n"/>
      <c r="BD897" s="1392" t="n"/>
      <c r="BE897" s="1392" t="n"/>
      <c r="BF897" s="1392" t="n"/>
      <c r="BG897" s="1392" t="n"/>
      <c r="BH897" s="1392" t="n"/>
      <c r="BI897" s="1392" t="n"/>
      <c r="BJ897" s="1392" t="n"/>
      <c r="BK897" s="1392" t="n"/>
      <c r="BL897" s="1392" t="n"/>
      <c r="BM897" s="1392" t="n"/>
      <c r="BN897" s="1392" t="n"/>
      <c r="BO897" s="1392" t="n"/>
      <c r="BP897" s="1392" t="n"/>
      <c r="BQ897" s="1392" t="n"/>
      <c r="BR897" s="1392" t="n"/>
      <c r="BS897" s="1392" t="n"/>
      <c r="BT897" s="1392" t="n"/>
      <c r="BU897" s="1416" t="n"/>
      <c r="BV897" s="1392" t="n"/>
      <c r="BW897" s="1392" t="n"/>
      <c r="BX897" s="1392" t="n"/>
      <c r="BY897" s="1392" t="n"/>
      <c r="BZ897" s="1416" t="n"/>
      <c r="CA897" s="1392" t="n"/>
      <c r="CB897" s="1392" t="n"/>
      <c r="CC897" s="1392" t="n"/>
      <c r="CD897" s="1392" t="n"/>
      <c r="CE897" s="1392" t="n"/>
      <c r="CF897" s="1392" t="n"/>
      <c r="CG897" s="1392" t="n"/>
      <c r="CH897" s="1392" t="n"/>
      <c r="CI897" s="1392" t="n"/>
      <c r="CJ897" s="1392" t="n"/>
      <c r="CK897" s="1392" t="n"/>
      <c r="CL897" s="1392" t="n"/>
    </row>
    <row r="898">
      <c r="A898" s="5" t="inlineStr">
        <is>
          <t>.</t>
        </is>
      </c>
      <c r="B898" s="5" t="inlineStr">
        <is>
          <t>.</t>
        </is>
      </c>
      <c r="C898" s="1378">
        <f>IF(raw[[#This Row],[city]]="","-",IF(raw[[#This Row],[city]]="TODAY","-",C897+1))</f>
        <v/>
      </c>
      <c r="D898" s="1393" t="inlineStr">
        <is>
          <t>Vuiteboeuf</t>
        </is>
      </c>
      <c r="E898" s="1394" t="n">
        <v>38552</v>
      </c>
      <c r="F898" s="1394" t="n">
        <v>38552</v>
      </c>
      <c r="G898" s="1393" t="inlineStr">
        <is>
          <t>-</t>
        </is>
      </c>
      <c r="H898" s="1393" t="inlineStr">
        <is>
          <t>Transit</t>
        </is>
      </c>
      <c r="I898" s="1393" t="inlineStr">
        <is>
          <t>VF</t>
        </is>
      </c>
      <c r="J898" s="1393" t="inlineStr">
        <is>
          <t>-</t>
        </is>
      </c>
      <c r="K898" s="1395">
        <f>IF(raw[[#This Row],[city]]&lt;&gt;"",_xlfn.XLOOKUP($D898,ccc[city],ccc[prov],"-"),"-")</f>
        <v/>
      </c>
      <c r="L898" s="1395">
        <f>IF(raw[[#This Row],[city]]&lt;&gt;"",_xlfn.XLOOKUP($D898,ccc[city],ccc[ctry],"-"),"-")</f>
        <v/>
      </c>
      <c r="M898" s="1395">
        <f>IF(raw[[#This Row],[city]]&lt;&gt;"",_xlfn.XLOOKUP($D898,ccc[city],ccc[cont],"-"),"-")</f>
        <v/>
      </c>
      <c r="N898" s="1396">
        <f>IF(raw[[#This Row],[city]]="","-",IF(raw[[#This Row],[cont]]="B",raw[[#This Row],[cont]],"W"))</f>
        <v/>
      </c>
      <c r="O898" s="1397">
        <f>IF(raw[[#This Row],[out]]=0,0,IF(raw[[#This Row],[out]]=raw[[#This Row],[in]],0.01,raw[[#This Row],[out]]-raw[[#This Row],[in]]))</f>
        <v/>
      </c>
      <c r="P898" s="1397">
        <f>IF(raw[[#This Row],[in]]=0,0,MONTH(raw[[#This Row],[in]]))</f>
        <v/>
      </c>
      <c r="Q898" s="1397">
        <f>IF(raw[[#This Row],[in]]=0,0,YEAR(raw[[#This Row],[in]]))</f>
        <v/>
      </c>
      <c r="R898" s="1397">
        <f>INT(raw[[#This Row],[yr]]/10)*10</f>
        <v/>
      </c>
      <c r="S898" s="1395">
        <f>IF(raw[[#This Row],[city]]="","-",IF(raw[[#This Row],[city]]&lt;&gt;_xlfn.XLOOKUP(raw[[#This Row],[home]],homes[home],homes[city],"-"),1,0))</f>
        <v/>
      </c>
      <c r="T898" s="1398" t="inlineStr">
        <is>
          <t>.</t>
        </is>
      </c>
      <c r="U898" s="1399">
        <f>IF(raw[[#This Row],[wb]]="w",raw[[#This Row],[stay]]+U897,U897)</f>
        <v/>
      </c>
      <c r="V898" s="1400">
        <f>IF(raw[[#This Row],[out]]=0,V897,(raw[[#This Row],[out]]-E$5))</f>
        <v/>
      </c>
      <c r="W898" s="1401">
        <f>U898/V898</f>
        <v/>
      </c>
      <c r="X898" s="1378" t="inlineStr">
        <is>
          <t>.</t>
        </is>
      </c>
      <c r="Y898" s="1402" t="n"/>
      <c r="Z898" s="1403" t="n"/>
      <c r="AA898" s="1403" t="n"/>
      <c r="AB898" s="1400">
        <f t="array" ref="AB898">_xlfn.LET(_xlpm.S,_xlfn.ANCHORARRAY($Y$4),_xlpm.r,ROWS(stayCity[[#Headers],[city]]:stayCity[[#This Row],[city]])-1,IF(_xlpm.r&lt;=ROWS(_xlpm.S),INDEX(_xlpm.S,_xlpm.r,1),""))</f>
        <v/>
      </c>
      <c r="AC898" s="1405">
        <f t="array" ref="AC898">_xlfn.LET(_xlpm.S,_xlfn.ANCHORARRAY($Y$4),_xlpm.r,ROWS(stayCity[[#Headers],[city]]:stayCity[[#This Row],[city]])-1,IF(_xlpm.r&lt;=ROWS(_xlpm.S),INDEX(_xlpm.S,_xlpm.r,2),""))</f>
        <v/>
      </c>
      <c r="AD898" s="1405">
        <f t="array" ref="AD898">_xlfn.LET(_xlpm.S,_xlfn.ANCHORARRAY($Y$4),_xlpm.r,ROWS(stayCity[[#Headers],[city]]:stayCity[[#This Row],[city]])-1,IF(_xlpm.r&lt;=ROWS(_xlpm.S),INDEX(_xlpm.S,_xlpm.r,3),""))</f>
        <v/>
      </c>
      <c r="AE898" s="1400">
        <f>IF(stayCity[[#This Row],[out]]&lt;&gt;"",stayCity[[#This Row],[out]]-stayCity[[#This Row],[in]],"-")</f>
        <v/>
      </c>
      <c r="AF898" s="1406">
        <f>IF(Y898="","-",YEAR(stayCity[[#This Row],[in]]))</f>
        <v/>
      </c>
      <c r="AG898" s="1392" t="n"/>
      <c r="AH898" s="1392" t="n"/>
      <c r="AI898" s="1392" t="n"/>
      <c r="AJ898" s="1392" t="n"/>
      <c r="AK898" s="1392" t="n"/>
      <c r="AL898" s="1392" t="n"/>
      <c r="AM898" s="1392" t="n"/>
      <c r="AN898" s="1392" t="n"/>
      <c r="AO898" s="1392" t="n"/>
      <c r="AP898" s="1392" t="n"/>
      <c r="AQ898" s="1392" t="n"/>
      <c r="AR898" s="1392" t="n"/>
      <c r="AS898" s="1422" t="n"/>
      <c r="AT898" s="1392" t="n"/>
      <c r="AU898" s="1392" t="n"/>
      <c r="AV898" s="1392" t="n"/>
      <c r="AW898" s="1392" t="n"/>
      <c r="AX898" s="1392" t="n"/>
      <c r="AY898" s="1392" t="n"/>
      <c r="AZ898" s="1392" t="n"/>
      <c r="BA898" s="1392" t="n"/>
      <c r="BB898" s="1422" t="n"/>
      <c r="BC898" s="1392" t="n"/>
      <c r="BD898" s="1392" t="n"/>
      <c r="BE898" s="1392" t="n"/>
      <c r="BF898" s="1392" t="n"/>
      <c r="BG898" s="1392" t="n"/>
      <c r="BH898" s="1392" t="n"/>
      <c r="BI898" s="1392" t="n"/>
      <c r="BJ898" s="1392" t="n"/>
      <c r="BK898" s="1392" t="n"/>
      <c r="BL898" s="1392" t="n"/>
      <c r="BM898" s="1392" t="n"/>
      <c r="BN898" s="1392" t="n"/>
      <c r="BO898" s="1392" t="n"/>
      <c r="BP898" s="1392" t="n"/>
      <c r="BQ898" s="1392" t="n"/>
      <c r="BR898" s="1392" t="n"/>
      <c r="BS898" s="1392" t="n"/>
      <c r="BT898" s="1392" t="n"/>
      <c r="BU898" s="1416" t="n"/>
      <c r="BV898" s="1392" t="n"/>
      <c r="BW898" s="1392" t="n"/>
      <c r="BX898" s="1392" t="n"/>
      <c r="BY898" s="1392" t="n"/>
      <c r="BZ898" s="1416" t="n"/>
      <c r="CA898" s="1392" t="n"/>
      <c r="CB898" s="1392" t="n"/>
      <c r="CC898" s="1392" t="n"/>
      <c r="CD898" s="1392" t="n"/>
      <c r="CE898" s="1392" t="n"/>
      <c r="CF898" s="1392" t="n"/>
      <c r="CG898" s="1392" t="n"/>
      <c r="CH898" s="1392" t="n"/>
      <c r="CI898" s="1392" t="n"/>
      <c r="CJ898" s="1392" t="n"/>
      <c r="CK898" s="1392" t="n"/>
      <c r="CL898" s="1392" t="n"/>
    </row>
    <row r="899">
      <c r="A899" s="5" t="inlineStr">
        <is>
          <t>.</t>
        </is>
      </c>
      <c r="B899" s="5" t="inlineStr">
        <is>
          <t>.</t>
        </is>
      </c>
      <c r="C899" s="1378">
        <f>IF(raw[[#This Row],[city]]="","-",IF(raw[[#This Row],[city]]="TODAY","-",C898+1))</f>
        <v/>
      </c>
      <c r="D899" s="1393" t="inlineStr">
        <is>
          <t>Baulmes</t>
        </is>
      </c>
      <c r="E899" s="1394" t="n">
        <v>38552</v>
      </c>
      <c r="F899" s="1394" t="n">
        <v>38552</v>
      </c>
      <c r="G899" s="1393" t="inlineStr">
        <is>
          <t>-</t>
        </is>
      </c>
      <c r="H899" s="1393" t="inlineStr">
        <is>
          <t>Transit</t>
        </is>
      </c>
      <c r="I899" s="1393" t="inlineStr">
        <is>
          <t>VF</t>
        </is>
      </c>
      <c r="J899" s="1393" t="inlineStr">
        <is>
          <t>-</t>
        </is>
      </c>
      <c r="K899" s="1395">
        <f>IF(raw[[#This Row],[city]]&lt;&gt;"",_xlfn.XLOOKUP($D899,ccc[city],ccc[prov],"-"),"-")</f>
        <v/>
      </c>
      <c r="L899" s="1395">
        <f>IF(raw[[#This Row],[city]]&lt;&gt;"",_xlfn.XLOOKUP($D899,ccc[city],ccc[ctry],"-"),"-")</f>
        <v/>
      </c>
      <c r="M899" s="1395">
        <f>IF(raw[[#This Row],[city]]&lt;&gt;"",_xlfn.XLOOKUP($D899,ccc[city],ccc[cont],"-"),"-")</f>
        <v/>
      </c>
      <c r="N899" s="1396">
        <f>IF(raw[[#This Row],[city]]="","-",IF(raw[[#This Row],[cont]]="B",raw[[#This Row],[cont]],"W"))</f>
        <v/>
      </c>
      <c r="O899" s="1397">
        <f>IF(raw[[#This Row],[out]]=0,0,IF(raw[[#This Row],[out]]=raw[[#This Row],[in]],0.01,raw[[#This Row],[out]]-raw[[#This Row],[in]]))</f>
        <v/>
      </c>
      <c r="P899" s="1397">
        <f>IF(raw[[#This Row],[in]]=0,0,MONTH(raw[[#This Row],[in]]))</f>
        <v/>
      </c>
      <c r="Q899" s="1397">
        <f>IF(raw[[#This Row],[in]]=0,0,YEAR(raw[[#This Row],[in]]))</f>
        <v/>
      </c>
      <c r="R899" s="1397">
        <f>INT(raw[[#This Row],[yr]]/10)*10</f>
        <v/>
      </c>
      <c r="S899" s="1395">
        <f>IF(raw[[#This Row],[city]]="","-",IF(raw[[#This Row],[city]]&lt;&gt;_xlfn.XLOOKUP(raw[[#This Row],[home]],homes[home],homes[city],"-"),1,0))</f>
        <v/>
      </c>
      <c r="T899" s="1398" t="inlineStr">
        <is>
          <t>.</t>
        </is>
      </c>
      <c r="U899" s="1399">
        <f>IF(raw[[#This Row],[wb]]="w",raw[[#This Row],[stay]]+U898,U898)</f>
        <v/>
      </c>
      <c r="V899" s="1400">
        <f>IF(raw[[#This Row],[out]]=0,V898,(raw[[#This Row],[out]]-E$5))</f>
        <v/>
      </c>
      <c r="W899" s="1401">
        <f>U899/V899</f>
        <v/>
      </c>
      <c r="X899" s="1378" t="inlineStr">
        <is>
          <t>.</t>
        </is>
      </c>
      <c r="Y899" s="1402" t="n"/>
      <c r="Z899" s="1403" t="n"/>
      <c r="AA899" s="1403" t="n"/>
      <c r="AB899" s="1400">
        <f t="array" ref="AB899">_xlfn.LET(_xlpm.S,_xlfn.ANCHORARRAY($Y$4),_xlpm.r,ROWS(stayCity[[#Headers],[city]]:stayCity[[#This Row],[city]])-1,IF(_xlpm.r&lt;=ROWS(_xlpm.S),INDEX(_xlpm.S,_xlpm.r,1),""))</f>
        <v/>
      </c>
      <c r="AC899" s="1405">
        <f t="array" ref="AC899">_xlfn.LET(_xlpm.S,_xlfn.ANCHORARRAY($Y$4),_xlpm.r,ROWS(stayCity[[#Headers],[city]]:stayCity[[#This Row],[city]])-1,IF(_xlpm.r&lt;=ROWS(_xlpm.S),INDEX(_xlpm.S,_xlpm.r,2),""))</f>
        <v/>
      </c>
      <c r="AD899" s="1405">
        <f t="array" ref="AD899">_xlfn.LET(_xlpm.S,_xlfn.ANCHORARRAY($Y$4),_xlpm.r,ROWS(stayCity[[#Headers],[city]]:stayCity[[#This Row],[city]])-1,IF(_xlpm.r&lt;=ROWS(_xlpm.S),INDEX(_xlpm.S,_xlpm.r,3),""))</f>
        <v/>
      </c>
      <c r="AE899" s="1400">
        <f>IF(stayCity[[#This Row],[out]]&lt;&gt;"",stayCity[[#This Row],[out]]-stayCity[[#This Row],[in]],"-")</f>
        <v/>
      </c>
      <c r="AF899" s="1406">
        <f>IF(Y899="","-",YEAR(stayCity[[#This Row],[in]]))</f>
        <v/>
      </c>
      <c r="AG899" s="1392" t="n"/>
      <c r="AH899" s="1392" t="n"/>
      <c r="AI899" s="1392" t="n"/>
      <c r="AJ899" s="1392" t="n"/>
      <c r="AK899" s="1392" t="n"/>
      <c r="AL899" s="1392" t="n"/>
      <c r="AM899" s="1392" t="n"/>
      <c r="AN899" s="1392" t="n"/>
      <c r="AO899" s="1392" t="n"/>
      <c r="AP899" s="1392" t="n"/>
      <c r="AQ899" s="1392" t="n"/>
      <c r="AR899" s="1392" t="n"/>
      <c r="AS899" s="1422" t="n"/>
      <c r="AT899" s="1392" t="n"/>
      <c r="AU899" s="1392" t="n"/>
      <c r="AV899" s="1392" t="n"/>
      <c r="AW899" s="1392" t="n"/>
      <c r="AX899" s="1392" t="n"/>
      <c r="AY899" s="1392" t="n"/>
      <c r="AZ899" s="1392" t="n"/>
      <c r="BA899" s="1392" t="n"/>
      <c r="BB899" s="1422" t="n"/>
      <c r="BC899" s="1392" t="n"/>
      <c r="BD899" s="1392" t="n"/>
      <c r="BE899" s="1392" t="n"/>
      <c r="BF899" s="1392" t="n"/>
      <c r="BG899" s="1392" t="n"/>
      <c r="BH899" s="1392" t="n"/>
      <c r="BI899" s="1392" t="n"/>
      <c r="BJ899" s="1392" t="n"/>
      <c r="BK899" s="1392" t="n"/>
      <c r="BL899" s="1392" t="n"/>
      <c r="BM899" s="1392" t="n"/>
      <c r="BN899" s="1392" t="n"/>
      <c r="BO899" s="1392" t="n"/>
      <c r="BP899" s="1392" t="n"/>
      <c r="BQ899" s="1392" t="n"/>
      <c r="BR899" s="1392" t="n"/>
      <c r="BS899" s="1392" t="n"/>
      <c r="BT899" s="1392" t="n"/>
      <c r="BU899" s="1416" t="n"/>
      <c r="BV899" s="1392" t="n"/>
      <c r="BW899" s="1392" t="n"/>
      <c r="BX899" s="1392" t="n"/>
      <c r="BY899" s="1392" t="n"/>
      <c r="BZ899" s="1416" t="n"/>
      <c r="CA899" s="1392" t="n"/>
      <c r="CB899" s="1392" t="n"/>
      <c r="CC899" s="1392" t="n"/>
      <c r="CD899" s="1392" t="n"/>
      <c r="CE899" s="1392" t="n"/>
      <c r="CF899" s="1392" t="n"/>
      <c r="CG899" s="1392" t="n"/>
      <c r="CH899" s="1392" t="n"/>
      <c r="CI899" s="1392" t="n"/>
      <c r="CJ899" s="1392" t="n"/>
      <c r="CK899" s="1392" t="n"/>
      <c r="CL899" s="1392" t="n"/>
    </row>
    <row r="900">
      <c r="A900" s="5" t="inlineStr">
        <is>
          <t>.</t>
        </is>
      </c>
      <c r="B900" s="5" t="inlineStr">
        <is>
          <t>.</t>
        </is>
      </c>
      <c r="C900" s="1378">
        <f>IF(raw[[#This Row],[city]]="","-",IF(raw[[#This Row],[city]]="TODAY","-",C899+1))</f>
        <v/>
      </c>
      <c r="D900" s="1393" t="inlineStr">
        <is>
          <t>Orbe</t>
        </is>
      </c>
      <c r="E900" s="1394" t="n">
        <v>38552</v>
      </c>
      <c r="F900" s="1394" t="n">
        <v>38553</v>
      </c>
      <c r="G900" s="1393" t="inlineStr">
        <is>
          <t>-</t>
        </is>
      </c>
      <c r="H900" s="1393" t="inlineStr">
        <is>
          <t>Transit</t>
        </is>
      </c>
      <c r="I900" s="1393" t="inlineStr">
        <is>
          <t>VF</t>
        </is>
      </c>
      <c r="J900" s="1393" t="inlineStr">
        <is>
          <t>-</t>
        </is>
      </c>
      <c r="K900" s="1395">
        <f>IF(raw[[#This Row],[city]]&lt;&gt;"",_xlfn.XLOOKUP($D900,ccc[city],ccc[prov],"-"),"-")</f>
        <v/>
      </c>
      <c r="L900" s="1395">
        <f>IF(raw[[#This Row],[city]]&lt;&gt;"",_xlfn.XLOOKUP($D900,ccc[city],ccc[ctry],"-"),"-")</f>
        <v/>
      </c>
      <c r="M900" s="1395">
        <f>IF(raw[[#This Row],[city]]&lt;&gt;"",_xlfn.XLOOKUP($D900,ccc[city],ccc[cont],"-"),"-")</f>
        <v/>
      </c>
      <c r="N900" s="1396">
        <f>IF(raw[[#This Row],[city]]="","-",IF(raw[[#This Row],[cont]]="B",raw[[#This Row],[cont]],"W"))</f>
        <v/>
      </c>
      <c r="O900" s="1397">
        <f>IF(raw[[#This Row],[out]]=0,0,IF(raw[[#This Row],[out]]=raw[[#This Row],[in]],0.01,raw[[#This Row],[out]]-raw[[#This Row],[in]]))</f>
        <v/>
      </c>
      <c r="P900" s="1397">
        <f>IF(raw[[#This Row],[in]]=0,0,MONTH(raw[[#This Row],[in]]))</f>
        <v/>
      </c>
      <c r="Q900" s="1397">
        <f>IF(raw[[#This Row],[in]]=0,0,YEAR(raw[[#This Row],[in]]))</f>
        <v/>
      </c>
      <c r="R900" s="1397">
        <f>INT(raw[[#This Row],[yr]]/10)*10</f>
        <v/>
      </c>
      <c r="S900" s="1395">
        <f>IF(raw[[#This Row],[city]]="","-",IF(raw[[#This Row],[city]]&lt;&gt;_xlfn.XLOOKUP(raw[[#This Row],[home]],homes[home],homes[city],"-"),1,0))</f>
        <v/>
      </c>
      <c r="T900" s="1398" t="inlineStr">
        <is>
          <t>.</t>
        </is>
      </c>
      <c r="U900" s="1399">
        <f>IF(raw[[#This Row],[wb]]="w",raw[[#This Row],[stay]]+U899,U899)</f>
        <v/>
      </c>
      <c r="V900" s="1400">
        <f>IF(raw[[#This Row],[out]]=0,V899,(raw[[#This Row],[out]]-E$5))</f>
        <v/>
      </c>
      <c r="W900" s="1401">
        <f>U900/V900</f>
        <v/>
      </c>
      <c r="X900" s="1378" t="inlineStr">
        <is>
          <t>.</t>
        </is>
      </c>
      <c r="Y900" s="1402" t="n"/>
      <c r="Z900" s="1403" t="n"/>
      <c r="AA900" s="1403" t="n"/>
      <c r="AB900" s="1400">
        <f t="array" ref="AB900">_xlfn.LET(_xlpm.S,_xlfn.ANCHORARRAY($Y$4),_xlpm.r,ROWS(stayCity[[#Headers],[city]]:stayCity[[#This Row],[city]])-1,IF(_xlpm.r&lt;=ROWS(_xlpm.S),INDEX(_xlpm.S,_xlpm.r,1),""))</f>
        <v/>
      </c>
      <c r="AC900" s="1405">
        <f t="array" ref="AC900">_xlfn.LET(_xlpm.S,_xlfn.ANCHORARRAY($Y$4),_xlpm.r,ROWS(stayCity[[#Headers],[city]]:stayCity[[#This Row],[city]])-1,IF(_xlpm.r&lt;=ROWS(_xlpm.S),INDEX(_xlpm.S,_xlpm.r,2),""))</f>
        <v/>
      </c>
      <c r="AD900" s="1405">
        <f t="array" ref="AD900">_xlfn.LET(_xlpm.S,_xlfn.ANCHORARRAY($Y$4),_xlpm.r,ROWS(stayCity[[#Headers],[city]]:stayCity[[#This Row],[city]])-1,IF(_xlpm.r&lt;=ROWS(_xlpm.S),INDEX(_xlpm.S,_xlpm.r,3),""))</f>
        <v/>
      </c>
      <c r="AE900" s="1400">
        <f>IF(stayCity[[#This Row],[out]]&lt;&gt;"",stayCity[[#This Row],[out]]-stayCity[[#This Row],[in]],"-")</f>
        <v/>
      </c>
      <c r="AF900" s="1406">
        <f>IF(Y900="","-",YEAR(stayCity[[#This Row],[in]]))</f>
        <v/>
      </c>
      <c r="AG900" s="1392" t="n"/>
      <c r="AH900" s="1392" t="n"/>
      <c r="AI900" s="1392" t="n"/>
      <c r="AJ900" s="1392" t="n"/>
      <c r="AK900" s="1392" t="n"/>
      <c r="AL900" s="1392" t="n"/>
      <c r="AM900" s="1392" t="n"/>
      <c r="AN900" s="1392" t="n"/>
      <c r="AO900" s="1392" t="n"/>
      <c r="AP900" s="1392" t="n"/>
      <c r="AQ900" s="1392" t="n"/>
      <c r="AR900" s="1392" t="n"/>
      <c r="AS900" s="1422" t="n"/>
      <c r="AT900" s="1392" t="n"/>
      <c r="AU900" s="1392" t="n"/>
      <c r="AV900" s="1392" t="n"/>
      <c r="AW900" s="1392" t="n"/>
      <c r="AX900" s="1392" t="n"/>
      <c r="AY900" s="1392" t="n"/>
      <c r="AZ900" s="1392" t="n"/>
      <c r="BA900" s="1392" t="n"/>
      <c r="BB900" s="1422" t="n"/>
      <c r="BC900" s="1392" t="n"/>
      <c r="BD900" s="1392" t="n"/>
      <c r="BE900" s="1392" t="n"/>
      <c r="BF900" s="1392" t="n"/>
      <c r="BG900" s="1392" t="n"/>
      <c r="BH900" s="1392" t="n"/>
      <c r="BI900" s="1392" t="n"/>
      <c r="BJ900" s="1392" t="n"/>
      <c r="BK900" s="1392" t="n"/>
      <c r="BL900" s="1392" t="n"/>
      <c r="BM900" s="1392" t="n"/>
      <c r="BN900" s="1392" t="n"/>
      <c r="BO900" s="1392" t="n"/>
      <c r="BP900" s="1392" t="n"/>
      <c r="BQ900" s="1392" t="n"/>
      <c r="BR900" s="1392" t="n"/>
      <c r="BS900" s="1392" t="n"/>
      <c r="BT900" s="1392" t="n"/>
      <c r="BU900" s="1416" t="n"/>
      <c r="BV900" s="1392" t="n"/>
      <c r="BW900" s="1392" t="n"/>
      <c r="BX900" s="1392" t="n"/>
      <c r="BY900" s="1392" t="n"/>
      <c r="BZ900" s="1416" t="n"/>
      <c r="CA900" s="1392" t="n"/>
      <c r="CB900" s="1392" t="n"/>
      <c r="CC900" s="1392" t="n"/>
      <c r="CD900" s="1392" t="n"/>
      <c r="CE900" s="1392" t="n"/>
      <c r="CF900" s="1392" t="n"/>
      <c r="CG900" s="1392" t="n"/>
      <c r="CH900" s="1392" t="n"/>
      <c r="CI900" s="1392" t="n"/>
      <c r="CJ900" s="1392" t="n"/>
      <c r="CK900" s="1392" t="n"/>
      <c r="CL900" s="1392" t="n"/>
    </row>
    <row r="901">
      <c r="A901" s="5" t="inlineStr">
        <is>
          <t>.</t>
        </is>
      </c>
      <c r="B901" s="5" t="inlineStr">
        <is>
          <t>.</t>
        </is>
      </c>
      <c r="C901" s="1378">
        <f>IF(raw[[#This Row],[city]]="","-",IF(raw[[#This Row],[city]]="TODAY","-",C900+1))</f>
        <v/>
      </c>
      <c r="D901" s="1393" t="inlineStr">
        <is>
          <t>Lausanne</t>
        </is>
      </c>
      <c r="E901" s="1394" t="n">
        <v>38553</v>
      </c>
      <c r="F901" s="1394" t="n">
        <v>38554</v>
      </c>
      <c r="G901" s="1393" t="inlineStr">
        <is>
          <t>-</t>
        </is>
      </c>
      <c r="H901" s="1393" t="inlineStr">
        <is>
          <t>Transit</t>
        </is>
      </c>
      <c r="I901" s="1393" t="inlineStr">
        <is>
          <t>VF</t>
        </is>
      </c>
      <c r="J901" s="1393" t="inlineStr">
        <is>
          <t>-</t>
        </is>
      </c>
      <c r="K901" s="1395">
        <f>IF(raw[[#This Row],[city]]&lt;&gt;"",_xlfn.XLOOKUP($D901,ccc[city],ccc[prov],"-"),"-")</f>
        <v/>
      </c>
      <c r="L901" s="1395">
        <f>IF(raw[[#This Row],[city]]&lt;&gt;"",_xlfn.XLOOKUP($D901,ccc[city],ccc[ctry],"-"),"-")</f>
        <v/>
      </c>
      <c r="M901" s="1395">
        <f>IF(raw[[#This Row],[city]]&lt;&gt;"",_xlfn.XLOOKUP($D901,ccc[city],ccc[cont],"-"),"-")</f>
        <v/>
      </c>
      <c r="N901" s="1396">
        <f>IF(raw[[#This Row],[city]]="","-",IF(raw[[#This Row],[cont]]="B",raw[[#This Row],[cont]],"W"))</f>
        <v/>
      </c>
      <c r="O901" s="1397">
        <f>IF(raw[[#This Row],[out]]=0,0,IF(raw[[#This Row],[out]]=raw[[#This Row],[in]],0.01,raw[[#This Row],[out]]-raw[[#This Row],[in]]))</f>
        <v/>
      </c>
      <c r="P901" s="1397">
        <f>IF(raw[[#This Row],[in]]=0,0,MONTH(raw[[#This Row],[in]]))</f>
        <v/>
      </c>
      <c r="Q901" s="1397">
        <f>IF(raw[[#This Row],[in]]=0,0,YEAR(raw[[#This Row],[in]]))</f>
        <v/>
      </c>
      <c r="R901" s="1397">
        <f>INT(raw[[#This Row],[yr]]/10)*10</f>
        <v/>
      </c>
      <c r="S901" s="1395">
        <f>IF(raw[[#This Row],[city]]="","-",IF(raw[[#This Row],[city]]&lt;&gt;_xlfn.XLOOKUP(raw[[#This Row],[home]],homes[home],homes[city],"-"),1,0))</f>
        <v/>
      </c>
      <c r="T901" s="1398" t="inlineStr">
        <is>
          <t>.</t>
        </is>
      </c>
      <c r="U901" s="1399">
        <f>IF(raw[[#This Row],[wb]]="w",raw[[#This Row],[stay]]+U900,U900)</f>
        <v/>
      </c>
      <c r="V901" s="1400">
        <f>IF(raw[[#This Row],[out]]=0,V900,(raw[[#This Row],[out]]-E$5))</f>
        <v/>
      </c>
      <c r="W901" s="1401">
        <f>U901/V901</f>
        <v/>
      </c>
      <c r="X901" s="1378" t="inlineStr">
        <is>
          <t>.</t>
        </is>
      </c>
      <c r="Y901" s="1402" t="n"/>
      <c r="Z901" s="1403" t="n"/>
      <c r="AA901" s="1403" t="n"/>
      <c r="AB901" s="1400">
        <f t="array" ref="AB901">_xlfn.LET(_xlpm.S,_xlfn.ANCHORARRAY($Y$4),_xlpm.r,ROWS(stayCity[[#Headers],[city]]:stayCity[[#This Row],[city]])-1,IF(_xlpm.r&lt;=ROWS(_xlpm.S),INDEX(_xlpm.S,_xlpm.r,1),""))</f>
        <v/>
      </c>
      <c r="AC901" s="1405">
        <f t="array" ref="AC901">_xlfn.LET(_xlpm.S,_xlfn.ANCHORARRAY($Y$4),_xlpm.r,ROWS(stayCity[[#Headers],[city]]:stayCity[[#This Row],[city]])-1,IF(_xlpm.r&lt;=ROWS(_xlpm.S),INDEX(_xlpm.S,_xlpm.r,2),""))</f>
        <v/>
      </c>
      <c r="AD901" s="1405">
        <f t="array" ref="AD901">_xlfn.LET(_xlpm.S,_xlfn.ANCHORARRAY($Y$4),_xlpm.r,ROWS(stayCity[[#Headers],[city]]:stayCity[[#This Row],[city]])-1,IF(_xlpm.r&lt;=ROWS(_xlpm.S),INDEX(_xlpm.S,_xlpm.r,3),""))</f>
        <v/>
      </c>
      <c r="AE901" s="1400">
        <f>IF(stayCity[[#This Row],[out]]&lt;&gt;"",stayCity[[#This Row],[out]]-stayCity[[#This Row],[in]],"-")</f>
        <v/>
      </c>
      <c r="AF901" s="1406">
        <f>IF(Y901="","-",YEAR(stayCity[[#This Row],[in]]))</f>
        <v/>
      </c>
      <c r="AG901" s="1392" t="n"/>
      <c r="AH901" s="1392" t="n"/>
      <c r="AI901" s="1392" t="n"/>
      <c r="AJ901" s="1392" t="n"/>
      <c r="AK901" s="1392" t="n"/>
      <c r="AL901" s="1392" t="n"/>
      <c r="AM901" s="1392" t="n"/>
      <c r="AN901" s="1392" t="n"/>
      <c r="AO901" s="1392" t="n"/>
      <c r="AP901" s="1392" t="n"/>
      <c r="AQ901" s="1392" t="n"/>
      <c r="AR901" s="1392" t="n"/>
      <c r="AS901" s="1422" t="n"/>
      <c r="AT901" s="1392" t="n"/>
      <c r="AU901" s="1392" t="n"/>
      <c r="AV901" s="1392" t="n"/>
      <c r="AW901" s="1392" t="n"/>
      <c r="AX901" s="1392" t="n"/>
      <c r="AY901" s="1392" t="n"/>
      <c r="AZ901" s="1392" t="n"/>
      <c r="BA901" s="1392" t="n"/>
      <c r="BB901" s="1422" t="n"/>
      <c r="BC901" s="1392" t="n"/>
      <c r="BD901" s="1392" t="n"/>
      <c r="BE901" s="1392" t="n"/>
      <c r="BF901" s="1392" t="n"/>
      <c r="BG901" s="1392" t="n"/>
      <c r="BH901" s="1392" t="n"/>
      <c r="BI901" s="1392" t="n"/>
      <c r="BJ901" s="1392" t="n"/>
      <c r="BK901" s="1392" t="n"/>
      <c r="BL901" s="1392" t="n"/>
      <c r="BM901" s="1392" t="n"/>
      <c r="BN901" s="1392" t="n"/>
      <c r="BO901" s="1392" t="n"/>
      <c r="BP901" s="1392" t="n"/>
      <c r="BQ901" s="1392" t="n"/>
      <c r="BR901" s="1392" t="n"/>
      <c r="BS901" s="1392" t="n"/>
      <c r="BT901" s="1392" t="n"/>
      <c r="BU901" s="1416" t="n"/>
      <c r="BV901" s="1392" t="n"/>
      <c r="BW901" s="1392" t="n"/>
      <c r="BX901" s="1392" t="n"/>
      <c r="BY901" s="1392" t="n"/>
      <c r="BZ901" s="1416" t="n"/>
      <c r="CA901" s="1392" t="n"/>
      <c r="CB901" s="1392" t="n"/>
      <c r="CC901" s="1392" t="n"/>
      <c r="CD901" s="1392" t="n"/>
      <c r="CE901" s="1392" t="n"/>
      <c r="CF901" s="1392" t="n"/>
      <c r="CG901" s="1392" t="n"/>
      <c r="CH901" s="1392" t="n"/>
      <c r="CI901" s="1392" t="n"/>
      <c r="CJ901" s="1392" t="n"/>
      <c r="CK901" s="1392" t="n"/>
      <c r="CL901" s="1392" t="n"/>
    </row>
    <row r="902">
      <c r="A902" s="5" t="inlineStr">
        <is>
          <t>.</t>
        </is>
      </c>
      <c r="B902" s="5" t="inlineStr">
        <is>
          <t>.</t>
        </is>
      </c>
      <c r="C902" s="1378">
        <f>IF(raw[[#This Row],[city]]="","-",IF(raw[[#This Row],[city]]="TODAY","-",C901+1))</f>
        <v/>
      </c>
      <c r="D902" s="1393" t="inlineStr">
        <is>
          <t>Villette</t>
        </is>
      </c>
      <c r="E902" s="1394" t="n">
        <v>38554</v>
      </c>
      <c r="F902" s="1394" t="n">
        <v>38554</v>
      </c>
      <c r="G902" s="1393" t="inlineStr">
        <is>
          <t>-</t>
        </is>
      </c>
      <c r="H902" s="1393" t="inlineStr">
        <is>
          <t>Transit</t>
        </is>
      </c>
      <c r="I902" s="1393" t="inlineStr">
        <is>
          <t>VF</t>
        </is>
      </c>
      <c r="J902" s="1393" t="inlineStr">
        <is>
          <t>-</t>
        </is>
      </c>
      <c r="K902" s="1395">
        <f>IF(raw[[#This Row],[city]]&lt;&gt;"",_xlfn.XLOOKUP($D902,ccc[city],ccc[prov],"-"),"-")</f>
        <v/>
      </c>
      <c r="L902" s="1395">
        <f>IF(raw[[#This Row],[city]]&lt;&gt;"",_xlfn.XLOOKUP($D902,ccc[city],ccc[ctry],"-"),"-")</f>
        <v/>
      </c>
      <c r="M902" s="1395">
        <f>IF(raw[[#This Row],[city]]&lt;&gt;"",_xlfn.XLOOKUP($D902,ccc[city],ccc[cont],"-"),"-")</f>
        <v/>
      </c>
      <c r="N902" s="1396">
        <f>IF(raw[[#This Row],[city]]="","-",IF(raw[[#This Row],[cont]]="B",raw[[#This Row],[cont]],"W"))</f>
        <v/>
      </c>
      <c r="O902" s="1397">
        <f>IF(raw[[#This Row],[out]]=0,0,IF(raw[[#This Row],[out]]=raw[[#This Row],[in]],0.01,raw[[#This Row],[out]]-raw[[#This Row],[in]]))</f>
        <v/>
      </c>
      <c r="P902" s="1397">
        <f>IF(raw[[#This Row],[in]]=0,0,MONTH(raw[[#This Row],[in]]))</f>
        <v/>
      </c>
      <c r="Q902" s="1397">
        <f>IF(raw[[#This Row],[in]]=0,0,YEAR(raw[[#This Row],[in]]))</f>
        <v/>
      </c>
      <c r="R902" s="1397">
        <f>INT(raw[[#This Row],[yr]]/10)*10</f>
        <v/>
      </c>
      <c r="S902" s="1395">
        <f>IF(raw[[#This Row],[city]]="","-",IF(raw[[#This Row],[city]]&lt;&gt;_xlfn.XLOOKUP(raw[[#This Row],[home]],homes[home],homes[city],"-"),1,0))</f>
        <v/>
      </c>
      <c r="T902" s="1398" t="inlineStr">
        <is>
          <t>.</t>
        </is>
      </c>
      <c r="U902" s="1399">
        <f>IF(raw[[#This Row],[wb]]="w",raw[[#This Row],[stay]]+U901,U901)</f>
        <v/>
      </c>
      <c r="V902" s="1400">
        <f>IF(raw[[#This Row],[out]]=0,V901,(raw[[#This Row],[out]]-E$5))</f>
        <v/>
      </c>
      <c r="W902" s="1401">
        <f>U902/V902</f>
        <v/>
      </c>
      <c r="X902" s="1378" t="inlineStr">
        <is>
          <t>.</t>
        </is>
      </c>
      <c r="Y902" s="1402" t="n"/>
      <c r="Z902" s="1403" t="n"/>
      <c r="AA902" s="1403" t="n"/>
      <c r="AB902" s="1400">
        <f t="array" ref="AB902">_xlfn.LET(_xlpm.S,_xlfn.ANCHORARRAY($Y$4),_xlpm.r,ROWS(stayCity[[#Headers],[city]]:stayCity[[#This Row],[city]])-1,IF(_xlpm.r&lt;=ROWS(_xlpm.S),INDEX(_xlpm.S,_xlpm.r,1),""))</f>
        <v/>
      </c>
      <c r="AC902" s="1405">
        <f t="array" ref="AC902">_xlfn.LET(_xlpm.S,_xlfn.ANCHORARRAY($Y$4),_xlpm.r,ROWS(stayCity[[#Headers],[city]]:stayCity[[#This Row],[city]])-1,IF(_xlpm.r&lt;=ROWS(_xlpm.S),INDEX(_xlpm.S,_xlpm.r,2),""))</f>
        <v/>
      </c>
      <c r="AD902" s="1405">
        <f t="array" ref="AD902">_xlfn.LET(_xlpm.S,_xlfn.ANCHORARRAY($Y$4),_xlpm.r,ROWS(stayCity[[#Headers],[city]]:stayCity[[#This Row],[city]])-1,IF(_xlpm.r&lt;=ROWS(_xlpm.S),INDEX(_xlpm.S,_xlpm.r,3),""))</f>
        <v/>
      </c>
      <c r="AE902" s="1400">
        <f>IF(stayCity[[#This Row],[out]]&lt;&gt;"",stayCity[[#This Row],[out]]-stayCity[[#This Row],[in]],"-")</f>
        <v/>
      </c>
      <c r="AF902" s="1406">
        <f>IF(Y902="","-",YEAR(stayCity[[#This Row],[in]]))</f>
        <v/>
      </c>
      <c r="AG902" s="1392" t="n"/>
      <c r="AH902" s="1392" t="n"/>
      <c r="AI902" s="1392" t="n"/>
      <c r="AJ902" s="1392" t="n"/>
      <c r="AK902" s="1392" t="n"/>
      <c r="AL902" s="1392" t="n"/>
      <c r="AM902" s="1392" t="n"/>
      <c r="AN902" s="1392" t="n"/>
      <c r="AO902" s="1392" t="n"/>
      <c r="AP902" s="1392" t="n"/>
      <c r="AQ902" s="1392" t="n"/>
      <c r="AR902" s="1392" t="n"/>
      <c r="AS902" s="1422" t="n"/>
      <c r="AT902" s="1392" t="n"/>
      <c r="AU902" s="1392" t="n"/>
      <c r="AV902" s="1392" t="n"/>
      <c r="AW902" s="1392" t="n"/>
      <c r="AX902" s="1392" t="n"/>
      <c r="AY902" s="1392" t="n"/>
      <c r="AZ902" s="1392" t="n"/>
      <c r="BA902" s="1392" t="n"/>
      <c r="BB902" s="1422" t="n"/>
      <c r="BC902" s="1392" t="n"/>
      <c r="BD902" s="1392" t="n"/>
      <c r="BE902" s="1392" t="n"/>
      <c r="BF902" s="1392" t="n"/>
      <c r="BG902" s="1392" t="n"/>
      <c r="BH902" s="1392" t="n"/>
      <c r="BI902" s="1392" t="n"/>
      <c r="BJ902" s="1392" t="n"/>
      <c r="BK902" s="1392" t="n"/>
      <c r="BL902" s="1392" t="n"/>
      <c r="BM902" s="1392" t="n"/>
      <c r="BN902" s="1392" t="n"/>
      <c r="BO902" s="1392" t="n"/>
      <c r="BP902" s="1392" t="n"/>
      <c r="BQ902" s="1392" t="n"/>
      <c r="BR902" s="1392" t="n"/>
      <c r="BS902" s="1392" t="n"/>
      <c r="BT902" s="1392" t="n"/>
      <c r="BU902" s="1416" t="n"/>
      <c r="BV902" s="1392" t="n"/>
      <c r="BW902" s="1392" t="n"/>
      <c r="BX902" s="1392" t="n"/>
      <c r="BY902" s="1392" t="n"/>
      <c r="BZ902" s="1416" t="n"/>
      <c r="CA902" s="1392" t="n"/>
      <c r="CB902" s="1392" t="n"/>
      <c r="CC902" s="1392" t="n"/>
      <c r="CD902" s="1392" t="n"/>
      <c r="CE902" s="1392" t="n"/>
      <c r="CF902" s="1392" t="n"/>
      <c r="CG902" s="1392" t="n"/>
      <c r="CH902" s="1392" t="n"/>
      <c r="CI902" s="1392" t="n"/>
      <c r="CJ902" s="1392" t="n"/>
      <c r="CK902" s="1392" t="n"/>
      <c r="CL902" s="1392" t="n"/>
    </row>
    <row r="903">
      <c r="A903" s="5" t="inlineStr">
        <is>
          <t>.</t>
        </is>
      </c>
      <c r="B903" s="5" t="inlineStr">
        <is>
          <t>.</t>
        </is>
      </c>
      <c r="C903" s="1378">
        <f>IF(raw[[#This Row],[city]]="","-",IF(raw[[#This Row],[city]]="TODAY","-",C902+1))</f>
        <v/>
      </c>
      <c r="D903" s="1393" t="inlineStr">
        <is>
          <t>Vevey</t>
        </is>
      </c>
      <c r="E903" s="1394" t="n">
        <v>38554</v>
      </c>
      <c r="F903" s="1394" t="n">
        <v>38555</v>
      </c>
      <c r="G903" s="1393" t="inlineStr">
        <is>
          <t>-</t>
        </is>
      </c>
      <c r="H903" s="1393" t="inlineStr">
        <is>
          <t>Transit</t>
        </is>
      </c>
      <c r="I903" s="1393" t="inlineStr">
        <is>
          <t>VF</t>
        </is>
      </c>
      <c r="J903" s="1393" t="inlineStr">
        <is>
          <t>-</t>
        </is>
      </c>
      <c r="K903" s="1395">
        <f>IF(raw[[#This Row],[city]]&lt;&gt;"",_xlfn.XLOOKUP($D903,ccc[city],ccc[prov],"-"),"-")</f>
        <v/>
      </c>
      <c r="L903" s="1395">
        <f>IF(raw[[#This Row],[city]]&lt;&gt;"",_xlfn.XLOOKUP($D903,ccc[city],ccc[ctry],"-"),"-")</f>
        <v/>
      </c>
      <c r="M903" s="1395">
        <f>IF(raw[[#This Row],[city]]&lt;&gt;"",_xlfn.XLOOKUP($D903,ccc[city],ccc[cont],"-"),"-")</f>
        <v/>
      </c>
      <c r="N903" s="1396">
        <f>IF(raw[[#This Row],[city]]="","-",IF(raw[[#This Row],[cont]]="B",raw[[#This Row],[cont]],"W"))</f>
        <v/>
      </c>
      <c r="O903" s="1397">
        <f>IF(raw[[#This Row],[out]]=0,0,IF(raw[[#This Row],[out]]=raw[[#This Row],[in]],0.01,raw[[#This Row],[out]]-raw[[#This Row],[in]]))</f>
        <v/>
      </c>
      <c r="P903" s="1397">
        <f>IF(raw[[#This Row],[in]]=0,0,MONTH(raw[[#This Row],[in]]))</f>
        <v/>
      </c>
      <c r="Q903" s="1397">
        <f>IF(raw[[#This Row],[in]]=0,0,YEAR(raw[[#This Row],[in]]))</f>
        <v/>
      </c>
      <c r="R903" s="1397">
        <f>INT(raw[[#This Row],[yr]]/10)*10</f>
        <v/>
      </c>
      <c r="S903" s="1395">
        <f>IF(raw[[#This Row],[city]]="","-",IF(raw[[#This Row],[city]]&lt;&gt;_xlfn.XLOOKUP(raw[[#This Row],[home]],homes[home],homes[city],"-"),1,0))</f>
        <v/>
      </c>
      <c r="T903" s="1398" t="inlineStr">
        <is>
          <t>.</t>
        </is>
      </c>
      <c r="U903" s="1399">
        <f>IF(raw[[#This Row],[wb]]="w",raw[[#This Row],[stay]]+U902,U902)</f>
        <v/>
      </c>
      <c r="V903" s="1400">
        <f>IF(raw[[#This Row],[out]]=0,V902,(raw[[#This Row],[out]]-E$5))</f>
        <v/>
      </c>
      <c r="W903" s="1401">
        <f>U903/V903</f>
        <v/>
      </c>
      <c r="X903" s="1378" t="inlineStr">
        <is>
          <t>.</t>
        </is>
      </c>
      <c r="Y903" s="1402" t="n"/>
      <c r="Z903" s="1403" t="n"/>
      <c r="AA903" s="1403" t="n"/>
      <c r="AB903" s="1400">
        <f t="array" ref="AB903">_xlfn.LET(_xlpm.S,_xlfn.ANCHORARRAY($Y$4),_xlpm.r,ROWS(stayCity[[#Headers],[city]]:stayCity[[#This Row],[city]])-1,IF(_xlpm.r&lt;=ROWS(_xlpm.S),INDEX(_xlpm.S,_xlpm.r,1),""))</f>
        <v/>
      </c>
      <c r="AC903" s="1405">
        <f t="array" ref="AC903">_xlfn.LET(_xlpm.S,_xlfn.ANCHORARRAY($Y$4),_xlpm.r,ROWS(stayCity[[#Headers],[city]]:stayCity[[#This Row],[city]])-1,IF(_xlpm.r&lt;=ROWS(_xlpm.S),INDEX(_xlpm.S,_xlpm.r,2),""))</f>
        <v/>
      </c>
      <c r="AD903" s="1405">
        <f t="array" ref="AD903">_xlfn.LET(_xlpm.S,_xlfn.ANCHORARRAY($Y$4),_xlpm.r,ROWS(stayCity[[#Headers],[city]]:stayCity[[#This Row],[city]])-1,IF(_xlpm.r&lt;=ROWS(_xlpm.S),INDEX(_xlpm.S,_xlpm.r,3),""))</f>
        <v/>
      </c>
      <c r="AE903" s="1400">
        <f>IF(stayCity[[#This Row],[out]]&lt;&gt;"",stayCity[[#This Row],[out]]-stayCity[[#This Row],[in]],"-")</f>
        <v/>
      </c>
      <c r="AF903" s="1406">
        <f>IF(Y903="","-",YEAR(stayCity[[#This Row],[in]]))</f>
        <v/>
      </c>
      <c r="AG903" s="1392" t="n"/>
      <c r="AH903" s="1392" t="n"/>
      <c r="AI903" s="1392" t="n"/>
      <c r="AJ903" s="1392" t="n"/>
      <c r="AK903" s="1392" t="n"/>
      <c r="AL903" s="1392" t="n"/>
      <c r="AM903" s="1392" t="n"/>
      <c r="AN903" s="1392" t="n"/>
      <c r="AO903" s="1392" t="n"/>
      <c r="AP903" s="1392" t="n"/>
      <c r="AQ903" s="1392" t="n"/>
      <c r="AR903" s="1392" t="n"/>
      <c r="AS903" s="1422" t="n"/>
      <c r="AT903" s="1392" t="n"/>
      <c r="AU903" s="1392" t="n"/>
      <c r="AV903" s="1392" t="n"/>
      <c r="AW903" s="1392" t="n"/>
      <c r="AX903" s="1392" t="n"/>
      <c r="AY903" s="1392" t="n"/>
      <c r="AZ903" s="1392" t="n"/>
      <c r="BA903" s="1392" t="n"/>
      <c r="BB903" s="1422" t="n"/>
      <c r="BC903" s="1392" t="n"/>
      <c r="BD903" s="1392" t="n"/>
      <c r="BE903" s="1392" t="n"/>
      <c r="BF903" s="1392" t="n"/>
      <c r="BG903" s="1392" t="n"/>
      <c r="BH903" s="1392" t="n"/>
      <c r="BI903" s="1392" t="n"/>
      <c r="BJ903" s="1392" t="n"/>
      <c r="BK903" s="1392" t="n"/>
      <c r="BL903" s="1392" t="n"/>
      <c r="BM903" s="1392" t="n"/>
      <c r="BN903" s="1392" t="n"/>
      <c r="BO903" s="1392" t="n"/>
      <c r="BP903" s="1392" t="n"/>
      <c r="BQ903" s="1392" t="n"/>
      <c r="BR903" s="1392" t="n"/>
      <c r="BS903" s="1392" t="n"/>
      <c r="BT903" s="1392" t="n"/>
      <c r="BU903" s="1416" t="n"/>
      <c r="BV903" s="1392" t="n"/>
      <c r="BW903" s="1392" t="n"/>
      <c r="BX903" s="1392" t="n"/>
      <c r="BY903" s="1392" t="n"/>
      <c r="BZ903" s="1416" t="n"/>
      <c r="CA903" s="1392" t="n"/>
      <c r="CB903" s="1392" t="n"/>
      <c r="CC903" s="1392" t="n"/>
      <c r="CD903" s="1392" t="n"/>
      <c r="CE903" s="1392" t="n"/>
      <c r="CF903" s="1392" t="n"/>
      <c r="CG903" s="1392" t="n"/>
      <c r="CH903" s="1392" t="n"/>
      <c r="CI903" s="1392" t="n"/>
      <c r="CJ903" s="1392" t="n"/>
      <c r="CK903" s="1392" t="n"/>
      <c r="CL903" s="1392" t="n"/>
    </row>
    <row r="904">
      <c r="A904" s="5" t="inlineStr">
        <is>
          <t>.</t>
        </is>
      </c>
      <c r="B904" s="5" t="inlineStr">
        <is>
          <t>.</t>
        </is>
      </c>
      <c r="C904" s="1378">
        <f>IF(raw[[#This Row],[city]]="","-",IF(raw[[#This Row],[city]]="TODAY","-",C903+1))</f>
        <v/>
      </c>
      <c r="D904" s="1393" t="inlineStr">
        <is>
          <t>Montreux</t>
        </is>
      </c>
      <c r="E904" s="1394" t="n">
        <v>38555</v>
      </c>
      <c r="F904" s="1394" t="n">
        <v>38555</v>
      </c>
      <c r="G904" s="1393" t="inlineStr">
        <is>
          <t>-</t>
        </is>
      </c>
      <c r="H904" s="1393" t="inlineStr">
        <is>
          <t>Transit</t>
        </is>
      </c>
      <c r="I904" s="1393" t="inlineStr">
        <is>
          <t>VF</t>
        </is>
      </c>
      <c r="J904" s="1393" t="inlineStr">
        <is>
          <t>-</t>
        </is>
      </c>
      <c r="K904" s="1395">
        <f>IF(raw[[#This Row],[city]]&lt;&gt;"",_xlfn.XLOOKUP($D904,ccc[city],ccc[prov],"-"),"-")</f>
        <v/>
      </c>
      <c r="L904" s="1395">
        <f>IF(raw[[#This Row],[city]]&lt;&gt;"",_xlfn.XLOOKUP($D904,ccc[city],ccc[ctry],"-"),"-")</f>
        <v/>
      </c>
      <c r="M904" s="1395">
        <f>IF(raw[[#This Row],[city]]&lt;&gt;"",_xlfn.XLOOKUP($D904,ccc[city],ccc[cont],"-"),"-")</f>
        <v/>
      </c>
      <c r="N904" s="1396">
        <f>IF(raw[[#This Row],[city]]="","-",IF(raw[[#This Row],[cont]]="B",raw[[#This Row],[cont]],"W"))</f>
        <v/>
      </c>
      <c r="O904" s="1397">
        <f>IF(raw[[#This Row],[out]]=0,0,IF(raw[[#This Row],[out]]=raw[[#This Row],[in]],0.01,raw[[#This Row],[out]]-raw[[#This Row],[in]]))</f>
        <v/>
      </c>
      <c r="P904" s="1397">
        <f>IF(raw[[#This Row],[in]]=0,0,MONTH(raw[[#This Row],[in]]))</f>
        <v/>
      </c>
      <c r="Q904" s="1397">
        <f>IF(raw[[#This Row],[in]]=0,0,YEAR(raw[[#This Row],[in]]))</f>
        <v/>
      </c>
      <c r="R904" s="1397">
        <f>INT(raw[[#This Row],[yr]]/10)*10</f>
        <v/>
      </c>
      <c r="S904" s="1395">
        <f>IF(raw[[#This Row],[city]]="","-",IF(raw[[#This Row],[city]]&lt;&gt;_xlfn.XLOOKUP(raw[[#This Row],[home]],homes[home],homes[city],"-"),1,0))</f>
        <v/>
      </c>
      <c r="T904" s="1398" t="inlineStr">
        <is>
          <t>.</t>
        </is>
      </c>
      <c r="U904" s="1399">
        <f>IF(raw[[#This Row],[wb]]="w",raw[[#This Row],[stay]]+U903,U903)</f>
        <v/>
      </c>
      <c r="V904" s="1400">
        <f>IF(raw[[#This Row],[out]]=0,V903,(raw[[#This Row],[out]]-E$5))</f>
        <v/>
      </c>
      <c r="W904" s="1401">
        <f>U904/V904</f>
        <v/>
      </c>
      <c r="X904" s="1392" t="n"/>
      <c r="Y904" s="1392" t="n"/>
      <c r="Z904" s="1392" t="n"/>
      <c r="AA904" s="1392" t="n"/>
      <c r="AB904" s="1392" t="n"/>
      <c r="AC904" s="1392" t="n"/>
      <c r="AD904" s="1392" t="n"/>
      <c r="AE904" s="1392" t="n"/>
      <c r="AF904" s="1392" t="n"/>
      <c r="AG904" s="1392" t="n"/>
      <c r="AH904" s="1392" t="n"/>
      <c r="AI904" s="1392" t="n"/>
      <c r="AJ904" s="1392" t="n"/>
      <c r="AK904" s="1392" t="n"/>
      <c r="AL904" s="1392" t="n"/>
      <c r="AM904" s="1392" t="n"/>
      <c r="AN904" s="1392" t="n"/>
      <c r="AO904" s="1392" t="n"/>
      <c r="AP904" s="1392" t="n"/>
      <c r="AQ904" s="1392" t="n"/>
      <c r="AR904" s="1392" t="n"/>
      <c r="AS904" s="1422" t="n"/>
      <c r="AT904" s="1392" t="n"/>
      <c r="AU904" s="1392" t="n"/>
      <c r="AV904" s="1392" t="n"/>
      <c r="AW904" s="1392" t="n"/>
      <c r="AX904" s="1392" t="n"/>
      <c r="AY904" s="1392" t="n"/>
      <c r="AZ904" s="1392" t="n"/>
      <c r="BA904" s="1392" t="n"/>
      <c r="BB904" s="1422" t="n"/>
      <c r="BC904" s="1392" t="n"/>
      <c r="BD904" s="1392" t="n"/>
      <c r="BE904" s="1392" t="n"/>
      <c r="BF904" s="1392" t="n"/>
      <c r="BG904" s="1392" t="n"/>
      <c r="BH904" s="1392" t="n"/>
      <c r="BI904" s="1392" t="n"/>
      <c r="BJ904" s="1392" t="n"/>
      <c r="BK904" s="1392" t="n"/>
      <c r="BL904" s="1392" t="n"/>
      <c r="BM904" s="1392" t="n"/>
      <c r="BN904" s="1392" t="n"/>
      <c r="BO904" s="1392" t="n"/>
      <c r="BP904" s="1392" t="n"/>
      <c r="BQ904" s="1392" t="n"/>
      <c r="BR904" s="1392" t="n"/>
      <c r="BS904" s="1392" t="n"/>
      <c r="BT904" s="1392" t="n"/>
      <c r="BU904" s="1416" t="n"/>
      <c r="BV904" s="1392" t="n"/>
      <c r="BW904" s="1392" t="n"/>
      <c r="BX904" s="1392" t="n"/>
      <c r="BY904" s="1392" t="n"/>
      <c r="BZ904" s="1416" t="n"/>
      <c r="CA904" s="1392" t="n"/>
      <c r="CB904" s="1392" t="n"/>
      <c r="CC904" s="1392" t="n"/>
      <c r="CD904" s="1392" t="n"/>
      <c r="CE904" s="1392" t="n"/>
      <c r="CF904" s="1392" t="n"/>
      <c r="CG904" s="1392" t="n"/>
      <c r="CH904" s="1392" t="n"/>
      <c r="CI904" s="1392" t="n"/>
      <c r="CJ904" s="1392" t="n"/>
      <c r="CK904" s="1392" t="n"/>
      <c r="CL904" s="1392" t="n"/>
    </row>
    <row r="905">
      <c r="A905" s="5" t="inlineStr">
        <is>
          <t>.</t>
        </is>
      </c>
      <c r="B905" s="5" t="inlineStr">
        <is>
          <t>.</t>
        </is>
      </c>
      <c r="C905" s="1378">
        <f>IF(raw[[#This Row],[city]]="","-",IF(raw[[#This Row],[city]]="TODAY","-",C904+1))</f>
        <v/>
      </c>
      <c r="D905" s="1393" t="inlineStr">
        <is>
          <t>Villeneuve</t>
        </is>
      </c>
      <c r="E905" s="1394" t="n">
        <v>38555</v>
      </c>
      <c r="F905" s="1394" t="n">
        <v>38555</v>
      </c>
      <c r="G905" s="1393" t="inlineStr">
        <is>
          <t>-</t>
        </is>
      </c>
      <c r="H905" s="1393" t="inlineStr">
        <is>
          <t>Transit</t>
        </is>
      </c>
      <c r="I905" s="1393" t="inlineStr">
        <is>
          <t>VF</t>
        </is>
      </c>
      <c r="J905" s="1393" t="inlineStr">
        <is>
          <t>-</t>
        </is>
      </c>
      <c r="K905" s="1395">
        <f>IF(raw[[#This Row],[city]]&lt;&gt;"",_xlfn.XLOOKUP($D905,ccc[city],ccc[prov],"-"),"-")</f>
        <v/>
      </c>
      <c r="L905" s="1395">
        <f>IF(raw[[#This Row],[city]]&lt;&gt;"",_xlfn.XLOOKUP($D905,ccc[city],ccc[ctry],"-"),"-")</f>
        <v/>
      </c>
      <c r="M905" s="1395">
        <f>IF(raw[[#This Row],[city]]&lt;&gt;"",_xlfn.XLOOKUP($D905,ccc[city],ccc[cont],"-"),"-")</f>
        <v/>
      </c>
      <c r="N905" s="1396">
        <f>IF(raw[[#This Row],[city]]="","-",IF(raw[[#This Row],[cont]]="B",raw[[#This Row],[cont]],"W"))</f>
        <v/>
      </c>
      <c r="O905" s="1397">
        <f>IF(raw[[#This Row],[out]]=0,0,IF(raw[[#This Row],[out]]=raw[[#This Row],[in]],0.01,raw[[#This Row],[out]]-raw[[#This Row],[in]]))</f>
        <v/>
      </c>
      <c r="P905" s="1397">
        <f>IF(raw[[#This Row],[in]]=0,0,MONTH(raw[[#This Row],[in]]))</f>
        <v/>
      </c>
      <c r="Q905" s="1397">
        <f>IF(raw[[#This Row],[in]]=0,0,YEAR(raw[[#This Row],[in]]))</f>
        <v/>
      </c>
      <c r="R905" s="1397">
        <f>INT(raw[[#This Row],[yr]]/10)*10</f>
        <v/>
      </c>
      <c r="S905" s="1395">
        <f>IF(raw[[#This Row],[city]]="","-",IF(raw[[#This Row],[city]]&lt;&gt;_xlfn.XLOOKUP(raw[[#This Row],[home]],homes[home],homes[city],"-"),1,0))</f>
        <v/>
      </c>
      <c r="T905" s="1398" t="inlineStr">
        <is>
          <t>.</t>
        </is>
      </c>
      <c r="U905" s="1399">
        <f>IF(raw[[#This Row],[wb]]="w",raw[[#This Row],[stay]]+U904,U904)</f>
        <v/>
      </c>
      <c r="V905" s="1400">
        <f>IF(raw[[#This Row],[out]]=0,V904,(raw[[#This Row],[out]]-E$5))</f>
        <v/>
      </c>
      <c r="W905" s="1401">
        <f>U905/V905</f>
        <v/>
      </c>
      <c r="X905" s="1392" t="n"/>
      <c r="Y905" s="1392" t="n"/>
      <c r="Z905" s="1392" t="n"/>
      <c r="AA905" s="1392" t="n"/>
      <c r="AB905" s="1392" t="n"/>
      <c r="AC905" s="1392" t="n"/>
      <c r="AD905" s="1392" t="n"/>
      <c r="AE905" s="1392" t="n"/>
      <c r="AF905" s="1392" t="n"/>
      <c r="AG905" s="1392" t="n"/>
      <c r="AH905" s="1392" t="n"/>
      <c r="AI905" s="1392" t="n"/>
      <c r="AJ905" s="1392" t="n"/>
      <c r="AK905" s="1392" t="n"/>
      <c r="AL905" s="1392" t="n"/>
      <c r="AM905" s="1392" t="n"/>
      <c r="AN905" s="1392" t="n"/>
      <c r="AO905" s="1392" t="n"/>
      <c r="AP905" s="1392" t="n"/>
      <c r="AQ905" s="1392" t="n"/>
      <c r="AR905" s="1392" t="n"/>
      <c r="AS905" s="1422" t="n"/>
      <c r="AT905" s="1392" t="n"/>
      <c r="AU905" s="1392" t="n"/>
      <c r="AV905" s="1392" t="n"/>
      <c r="AW905" s="1392" t="n"/>
      <c r="AX905" s="1392" t="n"/>
      <c r="AY905" s="1392" t="n"/>
      <c r="AZ905" s="1392" t="n"/>
      <c r="BA905" s="1392" t="n"/>
      <c r="BB905" s="1422" t="n"/>
      <c r="BC905" s="1392" t="n"/>
      <c r="BD905" s="1392" t="n"/>
      <c r="BE905" s="1392" t="n"/>
      <c r="BF905" s="1392" t="n"/>
      <c r="BG905" s="1392" t="n"/>
      <c r="BH905" s="1392" t="n"/>
      <c r="BI905" s="1392" t="n"/>
      <c r="BJ905" s="1392" t="n"/>
      <c r="BK905" s="1392" t="n"/>
      <c r="BL905" s="1392" t="n"/>
      <c r="BM905" s="1392" t="n"/>
      <c r="BN905" s="1392" t="n"/>
      <c r="BO905" s="1392" t="n"/>
      <c r="BP905" s="1392" t="n"/>
      <c r="BQ905" s="1392" t="n"/>
      <c r="BR905" s="1392" t="n"/>
      <c r="BS905" s="1392" t="n"/>
      <c r="BT905" s="1392" t="n"/>
      <c r="BU905" s="1416" t="n"/>
      <c r="BV905" s="1392" t="n"/>
      <c r="BW905" s="1392" t="n"/>
      <c r="BX905" s="1392" t="n"/>
      <c r="BY905" s="1392" t="n"/>
      <c r="BZ905" s="1416" t="n"/>
      <c r="CA905" s="1392" t="n"/>
      <c r="CB905" s="1392" t="n"/>
      <c r="CC905" s="1392" t="n"/>
      <c r="CD905" s="1392" t="n"/>
      <c r="CE905" s="1392" t="n"/>
      <c r="CF905" s="1392" t="n"/>
      <c r="CG905" s="1392" t="n"/>
      <c r="CH905" s="1392" t="n"/>
      <c r="CI905" s="1392" t="n"/>
      <c r="CJ905" s="1392" t="n"/>
      <c r="CK905" s="1392" t="n"/>
      <c r="CL905" s="1392" t="n"/>
    </row>
    <row r="906">
      <c r="A906" s="5" t="inlineStr">
        <is>
          <t>.</t>
        </is>
      </c>
      <c r="B906" s="5" t="inlineStr">
        <is>
          <t>.</t>
        </is>
      </c>
      <c r="C906" s="1378">
        <f>IF(raw[[#This Row],[city]]="","-",IF(raw[[#This Row],[city]]="TODAY","-",C905+1))</f>
        <v/>
      </c>
      <c r="D906" s="1393" t="inlineStr">
        <is>
          <t>Aigle</t>
        </is>
      </c>
      <c r="E906" s="1394" t="n">
        <v>38555</v>
      </c>
      <c r="F906" s="1394" t="n">
        <v>38556</v>
      </c>
      <c r="G906" s="1393" t="inlineStr">
        <is>
          <t>-</t>
        </is>
      </c>
      <c r="H906" s="1393" t="inlineStr">
        <is>
          <t>Transit</t>
        </is>
      </c>
      <c r="I906" s="1393" t="inlineStr">
        <is>
          <t>VF</t>
        </is>
      </c>
      <c r="J906" s="1393" t="inlineStr">
        <is>
          <t>-</t>
        </is>
      </c>
      <c r="K906" s="1395">
        <f>IF(raw[[#This Row],[city]]&lt;&gt;"",_xlfn.XLOOKUP($D906,ccc[city],ccc[prov],"-"),"-")</f>
        <v/>
      </c>
      <c r="L906" s="1395">
        <f>IF(raw[[#This Row],[city]]&lt;&gt;"",_xlfn.XLOOKUP($D906,ccc[city],ccc[ctry],"-"),"-")</f>
        <v/>
      </c>
      <c r="M906" s="1395">
        <f>IF(raw[[#This Row],[city]]&lt;&gt;"",_xlfn.XLOOKUP($D906,ccc[city],ccc[cont],"-"),"-")</f>
        <v/>
      </c>
      <c r="N906" s="1396">
        <f>IF(raw[[#This Row],[city]]="","-",IF(raw[[#This Row],[cont]]="B",raw[[#This Row],[cont]],"W"))</f>
        <v/>
      </c>
      <c r="O906" s="1397">
        <f>IF(raw[[#This Row],[out]]=0,0,IF(raw[[#This Row],[out]]=raw[[#This Row],[in]],0.01,raw[[#This Row],[out]]-raw[[#This Row],[in]]))</f>
        <v/>
      </c>
      <c r="P906" s="1397">
        <f>IF(raw[[#This Row],[in]]=0,0,MONTH(raw[[#This Row],[in]]))</f>
        <v/>
      </c>
      <c r="Q906" s="1397">
        <f>IF(raw[[#This Row],[in]]=0,0,YEAR(raw[[#This Row],[in]]))</f>
        <v/>
      </c>
      <c r="R906" s="1397">
        <f>INT(raw[[#This Row],[yr]]/10)*10</f>
        <v/>
      </c>
      <c r="S906" s="1395">
        <f>IF(raw[[#This Row],[city]]="","-",IF(raw[[#This Row],[city]]&lt;&gt;_xlfn.XLOOKUP(raw[[#This Row],[home]],homes[home],homes[city],"-"),1,0))</f>
        <v/>
      </c>
      <c r="T906" s="1398" t="inlineStr">
        <is>
          <t>.</t>
        </is>
      </c>
      <c r="U906" s="1399">
        <f>IF(raw[[#This Row],[wb]]="w",raw[[#This Row],[stay]]+U905,U905)</f>
        <v/>
      </c>
      <c r="V906" s="1400">
        <f>IF(raw[[#This Row],[out]]=0,V905,(raw[[#This Row],[out]]-E$5))</f>
        <v/>
      </c>
      <c r="W906" s="1401">
        <f>U906/V906</f>
        <v/>
      </c>
      <c r="X906" s="1392" t="n"/>
      <c r="Y906" s="1392" t="n"/>
      <c r="Z906" s="1392" t="n"/>
      <c r="AA906" s="1392" t="n"/>
      <c r="AB906" s="1392" t="n"/>
      <c r="AC906" s="1392" t="n"/>
      <c r="AD906" s="1392" t="n"/>
      <c r="AE906" s="1392" t="n"/>
      <c r="AF906" s="1392" t="n"/>
      <c r="AG906" s="1392" t="n"/>
      <c r="AH906" s="1392" t="n"/>
      <c r="AI906" s="1392" t="n"/>
      <c r="AJ906" s="1392" t="n"/>
      <c r="AK906" s="1392" t="n"/>
      <c r="AL906" s="1392" t="n"/>
      <c r="AM906" s="1392" t="n"/>
      <c r="AN906" s="1392" t="n"/>
      <c r="AO906" s="1392" t="n"/>
      <c r="AP906" s="1392" t="n"/>
      <c r="AQ906" s="1392" t="n"/>
      <c r="AR906" s="1392" t="n"/>
      <c r="AS906" s="1422" t="n"/>
      <c r="AT906" s="1392" t="n"/>
      <c r="AU906" s="1392" t="n"/>
      <c r="AV906" s="1392" t="n"/>
      <c r="AW906" s="1392" t="n"/>
      <c r="AX906" s="1392" t="n"/>
      <c r="AY906" s="1392" t="n"/>
      <c r="AZ906" s="1392" t="n"/>
      <c r="BA906" s="1392" t="n"/>
      <c r="BB906" s="1422" t="n"/>
      <c r="BC906" s="1392" t="n"/>
      <c r="BD906" s="1392" t="n"/>
      <c r="BE906" s="1392" t="n"/>
      <c r="BF906" s="1392" t="n"/>
      <c r="BG906" s="1392" t="n"/>
      <c r="BH906" s="1392" t="n"/>
      <c r="BI906" s="1392" t="n"/>
      <c r="BJ906" s="1392" t="n"/>
      <c r="BK906" s="1392" t="n"/>
      <c r="BL906" s="1392" t="n"/>
      <c r="BM906" s="1392" t="n"/>
      <c r="BN906" s="1392" t="n"/>
      <c r="BO906" s="1392" t="n"/>
      <c r="BP906" s="1392" t="n"/>
      <c r="BQ906" s="1392" t="n"/>
      <c r="BR906" s="1392" t="n"/>
      <c r="BS906" s="1392" t="n"/>
      <c r="BT906" s="1392" t="n"/>
      <c r="BU906" s="1416" t="n"/>
      <c r="BV906" s="1392" t="n"/>
      <c r="BW906" s="1392" t="n"/>
      <c r="BX906" s="1392" t="n"/>
      <c r="BY906" s="1392" t="n"/>
      <c r="BZ906" s="1416" t="n"/>
      <c r="CA906" s="1392" t="n"/>
      <c r="CB906" s="1392" t="n"/>
      <c r="CC906" s="1392" t="n"/>
      <c r="CD906" s="1392" t="n"/>
      <c r="CE906" s="1392" t="n"/>
      <c r="CF906" s="1392" t="n"/>
      <c r="CG906" s="1392" t="n"/>
      <c r="CH906" s="1392" t="n"/>
      <c r="CI906" s="1392" t="n"/>
      <c r="CJ906" s="1392" t="n"/>
      <c r="CK906" s="1392" t="n"/>
      <c r="CL906" s="1392" t="n"/>
    </row>
    <row r="907">
      <c r="A907" s="5" t="inlineStr">
        <is>
          <t>.</t>
        </is>
      </c>
      <c r="B907" s="5" t="inlineStr">
        <is>
          <t>.</t>
        </is>
      </c>
      <c r="C907" s="1378">
        <f>IF(raw[[#This Row],[city]]="","-",IF(raw[[#This Row],[city]]="TODAY","-",C906+1))</f>
        <v/>
      </c>
      <c r="D907" s="1393" t="inlineStr">
        <is>
          <t>Saint-Maurice</t>
        </is>
      </c>
      <c r="E907" s="1394" t="n">
        <v>38556</v>
      </c>
      <c r="F907" s="1394" t="n">
        <v>38557</v>
      </c>
      <c r="G907" s="1393" t="inlineStr">
        <is>
          <t>-</t>
        </is>
      </c>
      <c r="H907" s="1393" t="inlineStr">
        <is>
          <t>Transit</t>
        </is>
      </c>
      <c r="I907" s="1393" t="inlineStr">
        <is>
          <t>VF</t>
        </is>
      </c>
      <c r="J907" s="1393" t="inlineStr">
        <is>
          <t>-</t>
        </is>
      </c>
      <c r="K907" s="1395">
        <f>IF(raw[[#This Row],[city]]&lt;&gt;"",_xlfn.XLOOKUP($D907,ccc[city],ccc[prov],"-"),"-")</f>
        <v/>
      </c>
      <c r="L907" s="1395">
        <f>IF(raw[[#This Row],[city]]&lt;&gt;"",_xlfn.XLOOKUP($D907,ccc[city],ccc[ctry],"-"),"-")</f>
        <v/>
      </c>
      <c r="M907" s="1395">
        <f>IF(raw[[#This Row],[city]]&lt;&gt;"",_xlfn.XLOOKUP($D907,ccc[city],ccc[cont],"-"),"-")</f>
        <v/>
      </c>
      <c r="N907" s="1396">
        <f>IF(raw[[#This Row],[city]]="","-",IF(raw[[#This Row],[cont]]="B",raw[[#This Row],[cont]],"W"))</f>
        <v/>
      </c>
      <c r="O907" s="1397">
        <f>IF(raw[[#This Row],[out]]=0,0,IF(raw[[#This Row],[out]]=raw[[#This Row],[in]],0.01,raw[[#This Row],[out]]-raw[[#This Row],[in]]))</f>
        <v/>
      </c>
      <c r="P907" s="1397">
        <f>IF(raw[[#This Row],[in]]=0,0,MONTH(raw[[#This Row],[in]]))</f>
        <v/>
      </c>
      <c r="Q907" s="1397">
        <f>IF(raw[[#This Row],[in]]=0,0,YEAR(raw[[#This Row],[in]]))</f>
        <v/>
      </c>
      <c r="R907" s="1397">
        <f>INT(raw[[#This Row],[yr]]/10)*10</f>
        <v/>
      </c>
      <c r="S907" s="1395">
        <f>IF(raw[[#This Row],[city]]="","-",IF(raw[[#This Row],[city]]&lt;&gt;_xlfn.XLOOKUP(raw[[#This Row],[home]],homes[home],homes[city],"-"),1,0))</f>
        <v/>
      </c>
      <c r="T907" s="1398" t="inlineStr">
        <is>
          <t>.</t>
        </is>
      </c>
      <c r="U907" s="1399">
        <f>IF(raw[[#This Row],[wb]]="w",raw[[#This Row],[stay]]+U906,U906)</f>
        <v/>
      </c>
      <c r="V907" s="1400">
        <f>IF(raw[[#This Row],[out]]=0,V906,(raw[[#This Row],[out]]-E$5))</f>
        <v/>
      </c>
      <c r="W907" s="1401">
        <f>U907/V907</f>
        <v/>
      </c>
      <c r="X907" s="1392" t="n"/>
      <c r="Y907" s="1392" t="n"/>
      <c r="Z907" s="1392" t="n"/>
      <c r="AA907" s="1392" t="n"/>
      <c r="AB907" s="1392" t="n"/>
      <c r="AC907" s="1392" t="n"/>
      <c r="AD907" s="1392" t="n"/>
      <c r="AE907" s="1392" t="n"/>
      <c r="AF907" s="1392" t="n"/>
      <c r="AG907" s="1392" t="n"/>
      <c r="AH907" s="1392" t="n"/>
      <c r="AI907" s="1392" t="n"/>
      <c r="AJ907" s="1392" t="n"/>
      <c r="AK907" s="1392" t="n"/>
      <c r="AL907" s="1392" t="n"/>
      <c r="AM907" s="1392" t="n"/>
      <c r="AN907" s="1392" t="n"/>
      <c r="AO907" s="1392" t="n"/>
      <c r="AP907" s="1392" t="n"/>
      <c r="AQ907" s="1392" t="n"/>
      <c r="AR907" s="1392" t="n"/>
      <c r="AS907" s="1422" t="n"/>
      <c r="AT907" s="1392" t="n"/>
      <c r="AU907" s="1392" t="n"/>
      <c r="AV907" s="1392" t="n"/>
      <c r="AW907" s="1392" t="n"/>
      <c r="AX907" s="1392" t="n"/>
      <c r="AY907" s="1392" t="n"/>
      <c r="AZ907" s="1392" t="n"/>
      <c r="BA907" s="1392" t="n"/>
      <c r="BB907" s="1422" t="n"/>
      <c r="BC907" s="1392" t="n"/>
      <c r="BD907" s="1392" t="n"/>
      <c r="BE907" s="1392" t="n"/>
      <c r="BF907" s="1392" t="n"/>
      <c r="BG907" s="1392" t="n"/>
      <c r="BH907" s="1392" t="n"/>
      <c r="BI907" s="1392" t="n"/>
      <c r="BJ907" s="1392" t="n"/>
      <c r="BK907" s="1392" t="n"/>
      <c r="BL907" s="1392" t="n"/>
      <c r="BM907" s="1392" t="n"/>
      <c r="BN907" s="1392" t="n"/>
      <c r="BO907" s="1392" t="n"/>
      <c r="BP907" s="1392" t="n"/>
      <c r="BQ907" s="1392" t="n"/>
      <c r="BR907" s="1392" t="n"/>
      <c r="BS907" s="1392" t="n"/>
      <c r="BT907" s="1392" t="n"/>
      <c r="BU907" s="1416" t="n"/>
      <c r="BV907" s="1392" t="n"/>
      <c r="BW907" s="1392" t="n"/>
      <c r="BX907" s="1392" t="n"/>
      <c r="BY907" s="1392" t="n"/>
      <c r="BZ907" s="1416" t="n"/>
      <c r="CA907" s="1392" t="n"/>
      <c r="CB907" s="1392" t="n"/>
      <c r="CC907" s="1392" t="n"/>
      <c r="CD907" s="1392" t="n"/>
      <c r="CE907" s="1392" t="n"/>
      <c r="CF907" s="1392" t="n"/>
      <c r="CG907" s="1392" t="n"/>
      <c r="CH907" s="1392" t="n"/>
      <c r="CI907" s="1392" t="n"/>
      <c r="CJ907" s="1392" t="n"/>
      <c r="CK907" s="1392" t="n"/>
      <c r="CL907" s="1392" t="n"/>
    </row>
    <row r="908">
      <c r="A908" s="5" t="inlineStr">
        <is>
          <t>.</t>
        </is>
      </c>
      <c r="B908" s="5" t="inlineStr">
        <is>
          <t>.</t>
        </is>
      </c>
      <c r="C908" s="1378">
        <f>IF(raw[[#This Row],[city]]="","-",IF(raw[[#This Row],[city]]="TODAY","-",C907+1))</f>
        <v/>
      </c>
      <c r="D908" s="1393" t="inlineStr">
        <is>
          <t>Evionnaz</t>
        </is>
      </c>
      <c r="E908" s="1394" t="n">
        <v>38557</v>
      </c>
      <c r="F908" s="1394" t="n">
        <v>38557</v>
      </c>
      <c r="G908" s="1393" t="inlineStr">
        <is>
          <t>-</t>
        </is>
      </c>
      <c r="H908" s="1393" t="inlineStr">
        <is>
          <t>Transit</t>
        </is>
      </c>
      <c r="I908" s="1393" t="inlineStr">
        <is>
          <t>VF</t>
        </is>
      </c>
      <c r="J908" s="1393" t="inlineStr">
        <is>
          <t>-</t>
        </is>
      </c>
      <c r="K908" s="1395">
        <f>IF(raw[[#This Row],[city]]&lt;&gt;"",_xlfn.XLOOKUP($D908,ccc[city],ccc[prov],"-"),"-")</f>
        <v/>
      </c>
      <c r="L908" s="1395">
        <f>IF(raw[[#This Row],[city]]&lt;&gt;"",_xlfn.XLOOKUP($D908,ccc[city],ccc[ctry],"-"),"-")</f>
        <v/>
      </c>
      <c r="M908" s="1395">
        <f>IF(raw[[#This Row],[city]]&lt;&gt;"",_xlfn.XLOOKUP($D908,ccc[city],ccc[cont],"-"),"-")</f>
        <v/>
      </c>
      <c r="N908" s="1396">
        <f>IF(raw[[#This Row],[city]]="","-",IF(raw[[#This Row],[cont]]="B",raw[[#This Row],[cont]],"W"))</f>
        <v/>
      </c>
      <c r="O908" s="1397">
        <f>IF(raw[[#This Row],[out]]=0,0,IF(raw[[#This Row],[out]]=raw[[#This Row],[in]],0.01,raw[[#This Row],[out]]-raw[[#This Row],[in]]))</f>
        <v/>
      </c>
      <c r="P908" s="1397">
        <f>IF(raw[[#This Row],[in]]=0,0,MONTH(raw[[#This Row],[in]]))</f>
        <v/>
      </c>
      <c r="Q908" s="1397">
        <f>IF(raw[[#This Row],[in]]=0,0,YEAR(raw[[#This Row],[in]]))</f>
        <v/>
      </c>
      <c r="R908" s="1397">
        <f>INT(raw[[#This Row],[yr]]/10)*10</f>
        <v/>
      </c>
      <c r="S908" s="1395">
        <f>IF(raw[[#This Row],[city]]="","-",IF(raw[[#This Row],[city]]&lt;&gt;_xlfn.XLOOKUP(raw[[#This Row],[home]],homes[home],homes[city],"-"),1,0))</f>
        <v/>
      </c>
      <c r="T908" s="1398" t="inlineStr">
        <is>
          <t>.</t>
        </is>
      </c>
      <c r="U908" s="1399">
        <f>IF(raw[[#This Row],[wb]]="w",raw[[#This Row],[stay]]+U907,U907)</f>
        <v/>
      </c>
      <c r="V908" s="1400">
        <f>IF(raw[[#This Row],[out]]=0,V907,(raw[[#This Row],[out]]-E$5))</f>
        <v/>
      </c>
      <c r="W908" s="1401">
        <f>U908/V908</f>
        <v/>
      </c>
      <c r="X908" s="1392" t="n"/>
      <c r="Y908" s="1392" t="n"/>
      <c r="Z908" s="1392" t="n"/>
      <c r="AA908" s="1392" t="n"/>
      <c r="AB908" s="1392" t="n"/>
      <c r="AC908" s="1392" t="n"/>
      <c r="AD908" s="1392" t="n"/>
      <c r="AE908" s="1392" t="n"/>
      <c r="AF908" s="1392" t="n"/>
      <c r="AG908" s="1392" t="n"/>
      <c r="AH908" s="1392" t="n"/>
      <c r="AI908" s="1392" t="n"/>
      <c r="AJ908" s="1392" t="n"/>
      <c r="AK908" s="1392" t="n"/>
      <c r="AL908" s="1392" t="n"/>
      <c r="AM908" s="1392" t="n"/>
      <c r="AN908" s="1392" t="n"/>
      <c r="AO908" s="1392" t="n"/>
      <c r="AP908" s="1392" t="n"/>
      <c r="AQ908" s="1392" t="n"/>
      <c r="AR908" s="1392" t="n"/>
      <c r="AS908" s="1422" t="n"/>
      <c r="AT908" s="1392" t="n"/>
      <c r="AU908" s="1392" t="n"/>
      <c r="AV908" s="1392" t="n"/>
      <c r="AW908" s="1392" t="n"/>
      <c r="AX908" s="1392" t="n"/>
      <c r="AY908" s="1392" t="n"/>
      <c r="AZ908" s="1392" t="n"/>
      <c r="BA908" s="1392" t="n"/>
      <c r="BB908" s="1422" t="n"/>
      <c r="BC908" s="1392" t="n"/>
      <c r="BD908" s="1392" t="n"/>
      <c r="BE908" s="1392" t="n"/>
      <c r="BF908" s="1392" t="n"/>
      <c r="BG908" s="1392" t="n"/>
      <c r="BH908" s="1392" t="n"/>
      <c r="BI908" s="1392" t="n"/>
      <c r="BJ908" s="1392" t="n"/>
      <c r="BK908" s="1392" t="n"/>
      <c r="BL908" s="1392" t="n"/>
      <c r="BM908" s="1392" t="n"/>
      <c r="BN908" s="1392" t="n"/>
      <c r="BO908" s="1392" t="n"/>
      <c r="BP908" s="1392" t="n"/>
      <c r="BQ908" s="1392" t="n"/>
      <c r="BR908" s="1392" t="n"/>
      <c r="BS908" s="1392" t="n"/>
      <c r="BT908" s="1392" t="n"/>
      <c r="BU908" s="1416" t="n"/>
      <c r="BV908" s="1392" t="n"/>
      <c r="BW908" s="1392" t="n"/>
      <c r="BX908" s="1392" t="n"/>
      <c r="BY908" s="1392" t="n"/>
      <c r="BZ908" s="1416" t="n"/>
      <c r="CA908" s="1392" t="n"/>
      <c r="CB908" s="1392" t="n"/>
      <c r="CC908" s="1392" t="n"/>
      <c r="CD908" s="1392" t="n"/>
      <c r="CE908" s="1392" t="n"/>
      <c r="CF908" s="1392" t="n"/>
      <c r="CG908" s="1392" t="n"/>
      <c r="CH908" s="1392" t="n"/>
      <c r="CI908" s="1392" t="n"/>
      <c r="CJ908" s="1392" t="n"/>
      <c r="CK908" s="1392" t="n"/>
      <c r="CL908" s="1392" t="n"/>
    </row>
    <row r="909">
      <c r="A909" s="5" t="inlineStr">
        <is>
          <t>.</t>
        </is>
      </c>
      <c r="B909" s="5" t="inlineStr">
        <is>
          <t>.</t>
        </is>
      </c>
      <c r="C909" s="1378">
        <f>IF(raw[[#This Row],[city]]="","-",IF(raw[[#This Row],[city]]="TODAY","-",C908+1))</f>
        <v/>
      </c>
      <c r="D909" s="1393" t="inlineStr">
        <is>
          <t>Trient</t>
        </is>
      </c>
      <c r="E909" s="1394" t="n">
        <v>38557</v>
      </c>
      <c r="F909" s="1394" t="n">
        <v>38557</v>
      </c>
      <c r="G909" s="1393" t="inlineStr">
        <is>
          <t>-</t>
        </is>
      </c>
      <c r="H909" s="1393" t="inlineStr">
        <is>
          <t>Transit</t>
        </is>
      </c>
      <c r="I909" s="1393" t="inlineStr">
        <is>
          <t>VF</t>
        </is>
      </c>
      <c r="J909" s="1393" t="inlineStr">
        <is>
          <t>-</t>
        </is>
      </c>
      <c r="K909" s="1395">
        <f>IF(raw[[#This Row],[city]]&lt;&gt;"",_xlfn.XLOOKUP($D909,ccc[city],ccc[prov],"-"),"-")</f>
        <v/>
      </c>
      <c r="L909" s="1395">
        <f>IF(raw[[#This Row],[city]]&lt;&gt;"",_xlfn.XLOOKUP($D909,ccc[city],ccc[ctry],"-"),"-")</f>
        <v/>
      </c>
      <c r="M909" s="1395">
        <f>IF(raw[[#This Row],[city]]&lt;&gt;"",_xlfn.XLOOKUP($D909,ccc[city],ccc[cont],"-"),"-")</f>
        <v/>
      </c>
      <c r="N909" s="1396">
        <f>IF(raw[[#This Row],[city]]="","-",IF(raw[[#This Row],[cont]]="B",raw[[#This Row],[cont]],"W"))</f>
        <v/>
      </c>
      <c r="O909" s="1397">
        <f>IF(raw[[#This Row],[out]]=0,0,IF(raw[[#This Row],[out]]=raw[[#This Row],[in]],0.01,raw[[#This Row],[out]]-raw[[#This Row],[in]]))</f>
        <v/>
      </c>
      <c r="P909" s="1397">
        <f>IF(raw[[#This Row],[in]]=0,0,MONTH(raw[[#This Row],[in]]))</f>
        <v/>
      </c>
      <c r="Q909" s="1397">
        <f>IF(raw[[#This Row],[in]]=0,0,YEAR(raw[[#This Row],[in]]))</f>
        <v/>
      </c>
      <c r="R909" s="1397">
        <f>INT(raw[[#This Row],[yr]]/10)*10</f>
        <v/>
      </c>
      <c r="S909" s="1395">
        <f>IF(raw[[#This Row],[city]]="","-",IF(raw[[#This Row],[city]]&lt;&gt;_xlfn.XLOOKUP(raw[[#This Row],[home]],homes[home],homes[city],"-"),1,0))</f>
        <v/>
      </c>
      <c r="T909" s="1398" t="inlineStr">
        <is>
          <t>.</t>
        </is>
      </c>
      <c r="U909" s="1399">
        <f>IF(raw[[#This Row],[wb]]="w",raw[[#This Row],[stay]]+U908,U908)</f>
        <v/>
      </c>
      <c r="V909" s="1400">
        <f>IF(raw[[#This Row],[out]]=0,V908,(raw[[#This Row],[out]]-E$5))</f>
        <v/>
      </c>
      <c r="W909" s="1401">
        <f>U909/V909</f>
        <v/>
      </c>
      <c r="X909" s="1392" t="n"/>
      <c r="Y909" s="1392" t="n"/>
      <c r="Z909" s="1392" t="n"/>
      <c r="AA909" s="1392" t="n"/>
      <c r="AB909" s="1392" t="n"/>
      <c r="AC909" s="1392" t="n"/>
      <c r="AD909" s="1392" t="n"/>
      <c r="AE909" s="1392" t="n"/>
      <c r="AF909" s="1392" t="n"/>
      <c r="AG909" s="1392" t="n"/>
      <c r="AH909" s="1392" t="n"/>
      <c r="AI909" s="1392" t="n"/>
      <c r="AJ909" s="1392" t="n"/>
      <c r="AK909" s="1392" t="n"/>
      <c r="AL909" s="1392" t="n"/>
      <c r="AM909" s="1392" t="n"/>
      <c r="AN909" s="1392" t="n"/>
      <c r="AO909" s="1392" t="n"/>
      <c r="AP909" s="1392" t="n"/>
      <c r="AQ909" s="1392" t="n"/>
      <c r="AR909" s="1392" t="n"/>
      <c r="AS909" s="1422" t="n"/>
      <c r="AT909" s="1392" t="n"/>
      <c r="AU909" s="1392" t="n"/>
      <c r="AV909" s="1392" t="n"/>
      <c r="AW909" s="1392" t="n"/>
      <c r="AX909" s="1392" t="n"/>
      <c r="AY909" s="1392" t="n"/>
      <c r="AZ909" s="1392" t="n"/>
      <c r="BA909" s="1392" t="n"/>
      <c r="BB909" s="1422" t="n"/>
      <c r="BC909" s="1392" t="n"/>
      <c r="BD909" s="1392" t="n"/>
      <c r="BE909" s="1392" t="n"/>
      <c r="BF909" s="1392" t="n"/>
      <c r="BG909" s="1392" t="n"/>
      <c r="BH909" s="1392" t="n"/>
      <c r="BI909" s="1392" t="n"/>
      <c r="BJ909" s="1392" t="n"/>
      <c r="BK909" s="1392" t="n"/>
      <c r="BL909" s="1392" t="n"/>
      <c r="BM909" s="1392" t="n"/>
      <c r="BN909" s="1392" t="n"/>
      <c r="BO909" s="1392" t="n"/>
      <c r="BP909" s="1392" t="n"/>
      <c r="BQ909" s="1392" t="n"/>
      <c r="BR909" s="1392" t="n"/>
      <c r="BS909" s="1392" t="n"/>
      <c r="BT909" s="1392" t="n"/>
      <c r="BU909" s="1416" t="n"/>
      <c r="BV909" s="1392" t="n"/>
      <c r="BW909" s="1392" t="n"/>
      <c r="BX909" s="1392" t="n"/>
      <c r="BY909" s="1392" t="n"/>
      <c r="BZ909" s="1416" t="n"/>
      <c r="CA909" s="1392" t="n"/>
      <c r="CB909" s="1392" t="n"/>
      <c r="CC909" s="1392" t="n"/>
      <c r="CD909" s="1392" t="n"/>
      <c r="CE909" s="1392" t="n"/>
      <c r="CF909" s="1392" t="n"/>
      <c r="CG909" s="1392" t="n"/>
      <c r="CH909" s="1392" t="n"/>
      <c r="CI909" s="1392" t="n"/>
      <c r="CJ909" s="1392" t="n"/>
      <c r="CK909" s="1392" t="n"/>
      <c r="CL909" s="1392" t="n"/>
    </row>
    <row r="910">
      <c r="A910" s="5" t="inlineStr">
        <is>
          <t>.</t>
        </is>
      </c>
      <c r="B910" s="5" t="inlineStr">
        <is>
          <t>.</t>
        </is>
      </c>
      <c r="C910" s="1378">
        <f>IF(raw[[#This Row],[city]]="","-",IF(raw[[#This Row],[city]]="TODAY","-",C909+1))</f>
        <v/>
      </c>
      <c r="D910" s="1393" t="inlineStr">
        <is>
          <t>Martigny</t>
        </is>
      </c>
      <c r="E910" s="1394" t="n">
        <v>38557</v>
      </c>
      <c r="F910" s="1394" t="n">
        <v>38557</v>
      </c>
      <c r="G910" s="1393" t="inlineStr">
        <is>
          <t>-</t>
        </is>
      </c>
      <c r="H910" s="1393" t="inlineStr">
        <is>
          <t>Transit</t>
        </is>
      </c>
      <c r="I910" s="1393" t="inlineStr">
        <is>
          <t>VF</t>
        </is>
      </c>
      <c r="J910" s="1393" t="inlineStr">
        <is>
          <t>-</t>
        </is>
      </c>
      <c r="K910" s="1395">
        <f>IF(raw[[#This Row],[city]]&lt;&gt;"",_xlfn.XLOOKUP($D910,ccc[city],ccc[prov],"-"),"-")</f>
        <v/>
      </c>
      <c r="L910" s="1395">
        <f>IF(raw[[#This Row],[city]]&lt;&gt;"",_xlfn.XLOOKUP($D910,ccc[city],ccc[ctry],"-"),"-")</f>
        <v/>
      </c>
      <c r="M910" s="1395">
        <f>IF(raw[[#This Row],[city]]&lt;&gt;"",_xlfn.XLOOKUP($D910,ccc[city],ccc[cont],"-"),"-")</f>
        <v/>
      </c>
      <c r="N910" s="1396">
        <f>IF(raw[[#This Row],[city]]="","-",IF(raw[[#This Row],[cont]]="B",raw[[#This Row],[cont]],"W"))</f>
        <v/>
      </c>
      <c r="O910" s="1397">
        <f>IF(raw[[#This Row],[out]]=0,0,IF(raw[[#This Row],[out]]=raw[[#This Row],[in]],0.01,raw[[#This Row],[out]]-raw[[#This Row],[in]]))</f>
        <v/>
      </c>
      <c r="P910" s="1397">
        <f>IF(raw[[#This Row],[in]]=0,0,MONTH(raw[[#This Row],[in]]))</f>
        <v/>
      </c>
      <c r="Q910" s="1397">
        <f>IF(raw[[#This Row],[in]]=0,0,YEAR(raw[[#This Row],[in]]))</f>
        <v/>
      </c>
      <c r="R910" s="1397">
        <f>INT(raw[[#This Row],[yr]]/10)*10</f>
        <v/>
      </c>
      <c r="S910" s="1395">
        <f>IF(raw[[#This Row],[city]]="","-",IF(raw[[#This Row],[city]]&lt;&gt;_xlfn.XLOOKUP(raw[[#This Row],[home]],homes[home],homes[city],"-"),1,0))</f>
        <v/>
      </c>
      <c r="T910" s="1398" t="inlineStr">
        <is>
          <t>.</t>
        </is>
      </c>
      <c r="U910" s="1399">
        <f>IF(raw[[#This Row],[wb]]="w",raw[[#This Row],[stay]]+U909,U909)</f>
        <v/>
      </c>
      <c r="V910" s="1400">
        <f>IF(raw[[#This Row],[out]]=0,V909,(raw[[#This Row],[out]]-E$5))</f>
        <v/>
      </c>
      <c r="W910" s="1401">
        <f>U910/V910</f>
        <v/>
      </c>
      <c r="X910" s="1392" t="n"/>
      <c r="Y910" s="1392" t="n"/>
      <c r="Z910" s="1392" t="n"/>
      <c r="AA910" s="1392" t="n"/>
      <c r="AB910" s="1392" t="n"/>
      <c r="AC910" s="1392" t="n"/>
      <c r="AD910" s="1392" t="n"/>
      <c r="AE910" s="1392" t="n"/>
      <c r="AF910" s="1392" t="n"/>
      <c r="AG910" s="1392" t="n"/>
      <c r="AH910" s="1392" t="n"/>
      <c r="AI910" s="1392" t="n"/>
      <c r="AJ910" s="1392" t="n"/>
      <c r="AK910" s="1392" t="n"/>
      <c r="AL910" s="1392" t="n"/>
      <c r="AM910" s="1392" t="n"/>
      <c r="AN910" s="1392" t="n"/>
      <c r="AO910" s="1392" t="n"/>
      <c r="AP910" s="1392" t="n"/>
      <c r="AQ910" s="1392" t="n"/>
      <c r="AR910" s="1392" t="n"/>
      <c r="AS910" s="1422" t="n"/>
      <c r="AT910" s="1392" t="n"/>
      <c r="AU910" s="1392" t="n"/>
      <c r="AV910" s="1392" t="n"/>
      <c r="AW910" s="1392" t="n"/>
      <c r="AX910" s="1392" t="n"/>
      <c r="AY910" s="1392" t="n"/>
      <c r="AZ910" s="1392" t="n"/>
      <c r="BA910" s="1392" t="n"/>
      <c r="BB910" s="1422" t="n"/>
      <c r="BC910" s="1392" t="n"/>
      <c r="BD910" s="1392" t="n"/>
      <c r="BE910" s="1392" t="n"/>
      <c r="BF910" s="1392" t="n"/>
      <c r="BG910" s="1392" t="n"/>
      <c r="BH910" s="1392" t="n"/>
      <c r="BI910" s="1392" t="n"/>
      <c r="BJ910" s="1392" t="n"/>
      <c r="BK910" s="1392" t="n"/>
      <c r="BL910" s="1392" t="n"/>
      <c r="BM910" s="1392" t="n"/>
      <c r="BN910" s="1392" t="n"/>
      <c r="BO910" s="1392" t="n"/>
      <c r="BP910" s="1392" t="n"/>
      <c r="BQ910" s="1392" t="n"/>
      <c r="BR910" s="1392" t="n"/>
      <c r="BS910" s="1392" t="n"/>
      <c r="BT910" s="1392" t="n"/>
      <c r="BU910" s="1416" t="n"/>
      <c r="BV910" s="1392" t="n"/>
      <c r="BW910" s="1392" t="n"/>
      <c r="BX910" s="1392" t="n"/>
      <c r="BY910" s="1392" t="n"/>
      <c r="BZ910" s="1416" t="n"/>
      <c r="CA910" s="1392" t="n"/>
      <c r="CB910" s="1392" t="n"/>
      <c r="CC910" s="1392" t="n"/>
      <c r="CD910" s="1392" t="n"/>
      <c r="CE910" s="1392" t="n"/>
      <c r="CF910" s="1392" t="n"/>
      <c r="CG910" s="1392" t="n"/>
      <c r="CH910" s="1392" t="n"/>
      <c r="CI910" s="1392" t="n"/>
      <c r="CJ910" s="1392" t="n"/>
      <c r="CK910" s="1392" t="n"/>
      <c r="CL910" s="1392" t="n"/>
    </row>
    <row r="911">
      <c r="A911" s="5" t="inlineStr">
        <is>
          <t>.</t>
        </is>
      </c>
      <c r="B911" s="5" t="inlineStr">
        <is>
          <t>.</t>
        </is>
      </c>
      <c r="C911" s="1378">
        <f>IF(raw[[#This Row],[city]]="","-",IF(raw[[#This Row],[city]]="TODAY","-",C910+1))</f>
        <v/>
      </c>
      <c r="D911" s="1393" t="inlineStr">
        <is>
          <t>Les Hauderes</t>
        </is>
      </c>
      <c r="E911" s="1394" t="n">
        <v>38557</v>
      </c>
      <c r="F911" s="1394" t="n">
        <v>38557</v>
      </c>
      <c r="G911" s="1393" t="inlineStr">
        <is>
          <t>-</t>
        </is>
      </c>
      <c r="H911" s="1393" t="inlineStr">
        <is>
          <t>Transit</t>
        </is>
      </c>
      <c r="I911" s="1393" t="inlineStr">
        <is>
          <t>VF</t>
        </is>
      </c>
      <c r="J911" s="1393" t="inlineStr">
        <is>
          <t>-</t>
        </is>
      </c>
      <c r="K911" s="1395">
        <f>IF(raw[[#This Row],[city]]&lt;&gt;"",_xlfn.XLOOKUP($D911,ccc[city],ccc[prov],"-"),"-")</f>
        <v/>
      </c>
      <c r="L911" s="1395">
        <f>IF(raw[[#This Row],[city]]&lt;&gt;"",_xlfn.XLOOKUP($D911,ccc[city],ccc[ctry],"-"),"-")</f>
        <v/>
      </c>
      <c r="M911" s="1395">
        <f>IF(raw[[#This Row],[city]]&lt;&gt;"",_xlfn.XLOOKUP($D911,ccc[city],ccc[cont],"-"),"-")</f>
        <v/>
      </c>
      <c r="N911" s="1396">
        <f>IF(raw[[#This Row],[city]]="","-",IF(raw[[#This Row],[cont]]="B",raw[[#This Row],[cont]],"W"))</f>
        <v/>
      </c>
      <c r="O911" s="1397">
        <f>IF(raw[[#This Row],[out]]=0,0,IF(raw[[#This Row],[out]]=raw[[#This Row],[in]],0.01,raw[[#This Row],[out]]-raw[[#This Row],[in]]))</f>
        <v/>
      </c>
      <c r="P911" s="1397">
        <f>IF(raw[[#This Row],[in]]=0,0,MONTH(raw[[#This Row],[in]]))</f>
        <v/>
      </c>
      <c r="Q911" s="1397">
        <f>IF(raw[[#This Row],[in]]=0,0,YEAR(raw[[#This Row],[in]]))</f>
        <v/>
      </c>
      <c r="R911" s="1397">
        <f>INT(raw[[#This Row],[yr]]/10)*10</f>
        <v/>
      </c>
      <c r="S911" s="1395">
        <f>IF(raw[[#This Row],[city]]="","-",IF(raw[[#This Row],[city]]&lt;&gt;_xlfn.XLOOKUP(raw[[#This Row],[home]],homes[home],homes[city],"-"),1,0))</f>
        <v/>
      </c>
      <c r="T911" s="1398" t="inlineStr">
        <is>
          <t>.</t>
        </is>
      </c>
      <c r="U911" s="1399">
        <f>IF(raw[[#This Row],[wb]]="w",raw[[#This Row],[stay]]+U910,U910)</f>
        <v/>
      </c>
      <c r="V911" s="1400">
        <f>IF(raw[[#This Row],[out]]=0,V910,(raw[[#This Row],[out]]-E$5))</f>
        <v/>
      </c>
      <c r="W911" s="1401">
        <f>U911/V911</f>
        <v/>
      </c>
      <c r="X911" s="1392" t="n"/>
      <c r="Y911" s="1392" t="n"/>
      <c r="Z911" s="1392" t="n"/>
      <c r="AA911" s="1392" t="n"/>
      <c r="AB911" s="1392" t="n"/>
      <c r="AC911" s="1392" t="n"/>
      <c r="AD911" s="1392" t="n"/>
      <c r="AE911" s="1392" t="n"/>
      <c r="AF911" s="1392" t="n"/>
      <c r="AG911" s="1392" t="n"/>
      <c r="AH911" s="1392" t="n"/>
      <c r="AI911" s="1392" t="n"/>
      <c r="AJ911" s="1392" t="n"/>
      <c r="AK911" s="1392" t="n"/>
      <c r="AL911" s="1392" t="n"/>
      <c r="AM911" s="1392" t="n"/>
      <c r="AN911" s="1392" t="n"/>
      <c r="AO911" s="1392" t="n"/>
      <c r="AP911" s="1392" t="n"/>
      <c r="AQ911" s="1392" t="n"/>
      <c r="AR911" s="1392" t="n"/>
      <c r="AS911" s="1422" t="n"/>
      <c r="AT911" s="1392" t="n"/>
      <c r="AU911" s="1392" t="n"/>
      <c r="AV911" s="1392" t="n"/>
      <c r="AW911" s="1392" t="n"/>
      <c r="AX911" s="1392" t="n"/>
      <c r="AY911" s="1392" t="n"/>
      <c r="AZ911" s="1392" t="n"/>
      <c r="BA911" s="1392" t="n"/>
      <c r="BB911" s="1422" t="n"/>
      <c r="BC911" s="1392" t="n"/>
      <c r="BD911" s="1392" t="n"/>
      <c r="BE911" s="1392" t="n"/>
      <c r="BF911" s="1392" t="n"/>
      <c r="BG911" s="1392" t="n"/>
      <c r="BH911" s="1392" t="n"/>
      <c r="BI911" s="1392" t="n"/>
      <c r="BJ911" s="1392" t="n"/>
      <c r="BK911" s="1392" t="n"/>
      <c r="BL911" s="1392" t="n"/>
      <c r="BM911" s="1392" t="n"/>
      <c r="BN911" s="1392" t="n"/>
      <c r="BO911" s="1392" t="n"/>
      <c r="BP911" s="1392" t="n"/>
      <c r="BQ911" s="1392" t="n"/>
      <c r="BR911" s="1392" t="n"/>
      <c r="BS911" s="1392" t="n"/>
      <c r="BT911" s="1392" t="n"/>
      <c r="BU911" s="1416" t="n"/>
      <c r="BV911" s="1392" t="n"/>
      <c r="BW911" s="1392" t="n"/>
      <c r="BX911" s="1392" t="n"/>
      <c r="BY911" s="1392" t="n"/>
      <c r="BZ911" s="1416" t="n"/>
      <c r="CA911" s="1392" t="n"/>
      <c r="CB911" s="1392" t="n"/>
      <c r="CC911" s="1392" t="n"/>
      <c r="CD911" s="1392" t="n"/>
      <c r="CE911" s="1392" t="n"/>
      <c r="CF911" s="1392" t="n"/>
      <c r="CG911" s="1392" t="n"/>
      <c r="CH911" s="1392" t="n"/>
      <c r="CI911" s="1392" t="n"/>
      <c r="CJ911" s="1392" t="n"/>
      <c r="CK911" s="1392" t="n"/>
      <c r="CL911" s="1392" t="n"/>
    </row>
    <row r="912">
      <c r="A912" s="5" t="inlineStr">
        <is>
          <t>.</t>
        </is>
      </c>
      <c r="B912" s="5" t="inlineStr">
        <is>
          <t>.</t>
        </is>
      </c>
      <c r="C912" s="1378">
        <f>IF(raw[[#This Row],[city]]="","-",IF(raw[[#This Row],[city]]="TODAY","-",C911+1))</f>
        <v/>
      </c>
      <c r="D912" s="1393" t="inlineStr">
        <is>
          <t>La Sage</t>
        </is>
      </c>
      <c r="E912" s="1394" t="n">
        <v>38557</v>
      </c>
      <c r="F912" s="1394" t="n">
        <v>38559</v>
      </c>
      <c r="G912" s="1393" t="inlineStr">
        <is>
          <t>-</t>
        </is>
      </c>
      <c r="H912" s="1393" t="inlineStr">
        <is>
          <t>Transit</t>
        </is>
      </c>
      <c r="I912" s="1393" t="inlineStr">
        <is>
          <t>VF</t>
        </is>
      </c>
      <c r="J912" s="1393" t="inlineStr">
        <is>
          <t>-</t>
        </is>
      </c>
      <c r="K912" s="1395">
        <f>IF(raw[[#This Row],[city]]&lt;&gt;"",_xlfn.XLOOKUP($D912,ccc[city],ccc[prov],"-"),"-")</f>
        <v/>
      </c>
      <c r="L912" s="1395">
        <f>IF(raw[[#This Row],[city]]&lt;&gt;"",_xlfn.XLOOKUP($D912,ccc[city],ccc[ctry],"-"),"-")</f>
        <v/>
      </c>
      <c r="M912" s="1395">
        <f>IF(raw[[#This Row],[city]]&lt;&gt;"",_xlfn.XLOOKUP($D912,ccc[city],ccc[cont],"-"),"-")</f>
        <v/>
      </c>
      <c r="N912" s="1396">
        <f>IF(raw[[#This Row],[city]]="","-",IF(raw[[#This Row],[cont]]="B",raw[[#This Row],[cont]],"W"))</f>
        <v/>
      </c>
      <c r="O912" s="1397">
        <f>IF(raw[[#This Row],[out]]=0,0,IF(raw[[#This Row],[out]]=raw[[#This Row],[in]],0.01,raw[[#This Row],[out]]-raw[[#This Row],[in]]))</f>
        <v/>
      </c>
      <c r="P912" s="1397">
        <f>IF(raw[[#This Row],[in]]=0,0,MONTH(raw[[#This Row],[in]]))</f>
        <v/>
      </c>
      <c r="Q912" s="1397">
        <f>IF(raw[[#This Row],[in]]=0,0,YEAR(raw[[#This Row],[in]]))</f>
        <v/>
      </c>
      <c r="R912" s="1397">
        <f>INT(raw[[#This Row],[yr]]/10)*10</f>
        <v/>
      </c>
      <c r="S912" s="1395">
        <f>IF(raw[[#This Row],[city]]="","-",IF(raw[[#This Row],[city]]&lt;&gt;_xlfn.XLOOKUP(raw[[#This Row],[home]],homes[home],homes[city],"-"),1,0))</f>
        <v/>
      </c>
      <c r="T912" s="1398" t="inlineStr">
        <is>
          <t>.</t>
        </is>
      </c>
      <c r="U912" s="1399">
        <f>IF(raw[[#This Row],[wb]]="w",raw[[#This Row],[stay]]+U911,U911)</f>
        <v/>
      </c>
      <c r="V912" s="1400">
        <f>IF(raw[[#This Row],[out]]=0,V911,(raw[[#This Row],[out]]-E$5))</f>
        <v/>
      </c>
      <c r="W912" s="1401">
        <f>U912/V912</f>
        <v/>
      </c>
      <c r="X912" s="1392" t="n"/>
      <c r="Y912" s="1392" t="n"/>
      <c r="Z912" s="1392" t="n"/>
      <c r="AA912" s="1392" t="n"/>
      <c r="AB912" s="1392" t="n"/>
      <c r="AC912" s="1392" t="n"/>
      <c r="AD912" s="1392" t="n"/>
      <c r="AE912" s="1392" t="n"/>
      <c r="AF912" s="1392" t="n"/>
      <c r="AG912" s="1392" t="n"/>
      <c r="AH912" s="1392" t="n"/>
      <c r="AI912" s="1392" t="n"/>
      <c r="AJ912" s="1392" t="n"/>
      <c r="AK912" s="1392" t="n"/>
      <c r="AL912" s="1392" t="n"/>
      <c r="AM912" s="1392" t="n"/>
      <c r="AN912" s="1392" t="n"/>
      <c r="AO912" s="1392" t="n"/>
      <c r="AP912" s="1392" t="n"/>
      <c r="AQ912" s="1392" t="n"/>
      <c r="AR912" s="1392" t="n"/>
      <c r="AS912" s="1422" t="n"/>
      <c r="AT912" s="1392" t="n"/>
      <c r="AU912" s="1392" t="n"/>
      <c r="AV912" s="1392" t="n"/>
      <c r="AW912" s="1392" t="n"/>
      <c r="AX912" s="1392" t="n"/>
      <c r="AY912" s="1392" t="n"/>
      <c r="AZ912" s="1392" t="n"/>
      <c r="BA912" s="1392" t="n"/>
      <c r="BB912" s="1422" t="n"/>
      <c r="BC912" s="1392" t="n"/>
      <c r="BD912" s="1392" t="n"/>
      <c r="BE912" s="1392" t="n"/>
      <c r="BF912" s="1392" t="n"/>
      <c r="BG912" s="1392" t="n"/>
      <c r="BH912" s="1392" t="n"/>
      <c r="BI912" s="1392" t="n"/>
      <c r="BJ912" s="1392" t="n"/>
      <c r="BK912" s="1392" t="n"/>
      <c r="BL912" s="1392" t="n"/>
      <c r="BM912" s="1392" t="n"/>
      <c r="BN912" s="1392" t="n"/>
      <c r="BO912" s="1392" t="n"/>
      <c r="BP912" s="1392" t="n"/>
      <c r="BQ912" s="1392" t="n"/>
      <c r="BR912" s="1392" t="n"/>
      <c r="BS912" s="1392" t="n"/>
      <c r="BT912" s="1392" t="n"/>
      <c r="BU912" s="1416" t="n"/>
      <c r="BV912" s="1392" t="n"/>
      <c r="BW912" s="1392" t="n"/>
      <c r="BX912" s="1392" t="n"/>
      <c r="BY912" s="1392" t="n"/>
      <c r="BZ912" s="1416" t="n"/>
      <c r="CA912" s="1392" t="n"/>
      <c r="CB912" s="1392" t="n"/>
      <c r="CC912" s="1392" t="n"/>
      <c r="CD912" s="1392" t="n"/>
      <c r="CE912" s="1392" t="n"/>
      <c r="CF912" s="1392" t="n"/>
      <c r="CG912" s="1392" t="n"/>
      <c r="CH912" s="1392" t="n"/>
      <c r="CI912" s="1392" t="n"/>
      <c r="CJ912" s="1392" t="n"/>
      <c r="CK912" s="1392" t="n"/>
      <c r="CL912" s="1392" t="n"/>
    </row>
    <row r="913">
      <c r="A913" s="5" t="inlineStr">
        <is>
          <t>.</t>
        </is>
      </c>
      <c r="B913" s="5" t="inlineStr">
        <is>
          <t>.</t>
        </is>
      </c>
      <c r="C913" s="1378">
        <f>IF(raw[[#This Row],[city]]="","-",IF(raw[[#This Row],[city]]="TODAY","-",C912+1))</f>
        <v/>
      </c>
      <c r="D913" s="1393" t="inlineStr">
        <is>
          <t>Martigny</t>
        </is>
      </c>
      <c r="E913" s="1394" t="n">
        <v>38559</v>
      </c>
      <c r="F913" s="1394" t="n">
        <v>38560</v>
      </c>
      <c r="G913" s="1393" t="inlineStr">
        <is>
          <t>-</t>
        </is>
      </c>
      <c r="H913" s="1393" t="inlineStr">
        <is>
          <t>Transit</t>
        </is>
      </c>
      <c r="I913" s="1393" t="inlineStr">
        <is>
          <t>VF</t>
        </is>
      </c>
      <c r="J913" s="1393" t="inlineStr">
        <is>
          <t>-</t>
        </is>
      </c>
      <c r="K913" s="1395">
        <f>IF(raw[[#This Row],[city]]&lt;&gt;"",_xlfn.XLOOKUP($D913,ccc[city],ccc[prov],"-"),"-")</f>
        <v/>
      </c>
      <c r="L913" s="1395">
        <f>IF(raw[[#This Row],[city]]&lt;&gt;"",_xlfn.XLOOKUP($D913,ccc[city],ccc[ctry],"-"),"-")</f>
        <v/>
      </c>
      <c r="M913" s="1395">
        <f>IF(raw[[#This Row],[city]]&lt;&gt;"",_xlfn.XLOOKUP($D913,ccc[city],ccc[cont],"-"),"-")</f>
        <v/>
      </c>
      <c r="N913" s="1396">
        <f>IF(raw[[#This Row],[city]]="","-",IF(raw[[#This Row],[cont]]="B",raw[[#This Row],[cont]],"W"))</f>
        <v/>
      </c>
      <c r="O913" s="1397">
        <f>IF(raw[[#This Row],[out]]=0,0,IF(raw[[#This Row],[out]]=raw[[#This Row],[in]],0.01,raw[[#This Row],[out]]-raw[[#This Row],[in]]))</f>
        <v/>
      </c>
      <c r="P913" s="1397">
        <f>IF(raw[[#This Row],[in]]=0,0,MONTH(raw[[#This Row],[in]]))</f>
        <v/>
      </c>
      <c r="Q913" s="1397">
        <f>IF(raw[[#This Row],[in]]=0,0,YEAR(raw[[#This Row],[in]]))</f>
        <v/>
      </c>
      <c r="R913" s="1397">
        <f>INT(raw[[#This Row],[yr]]/10)*10</f>
        <v/>
      </c>
      <c r="S913" s="1395">
        <f>IF(raw[[#This Row],[city]]="","-",IF(raw[[#This Row],[city]]&lt;&gt;_xlfn.XLOOKUP(raw[[#This Row],[home]],homes[home],homes[city],"-"),1,0))</f>
        <v/>
      </c>
      <c r="T913" s="1398" t="inlineStr">
        <is>
          <t>.</t>
        </is>
      </c>
      <c r="U913" s="1399">
        <f>IF(raw[[#This Row],[wb]]="w",raw[[#This Row],[stay]]+U912,U912)</f>
        <v/>
      </c>
      <c r="V913" s="1400">
        <f>IF(raw[[#This Row],[out]]=0,V912,(raw[[#This Row],[out]]-E$5))</f>
        <v/>
      </c>
      <c r="W913" s="1401">
        <f>U913/V913</f>
        <v/>
      </c>
      <c r="X913" s="1392" t="n"/>
      <c r="Y913" s="1392" t="n"/>
      <c r="Z913" s="1392" t="n"/>
      <c r="AA913" s="1392" t="n"/>
      <c r="AB913" s="1392" t="n"/>
      <c r="AC913" s="1392" t="n"/>
      <c r="AD913" s="1392" t="n"/>
      <c r="AE913" s="1392" t="n"/>
      <c r="AF913" s="1392" t="n"/>
      <c r="AG913" s="1392" t="n"/>
      <c r="AH913" s="1392" t="n"/>
      <c r="AI913" s="1392" t="n"/>
      <c r="AJ913" s="1392" t="n"/>
      <c r="AK913" s="1392" t="n"/>
      <c r="AL913" s="1392" t="n"/>
      <c r="AM913" s="1392" t="n"/>
      <c r="AN913" s="1392" t="n"/>
      <c r="AO913" s="1392" t="n"/>
      <c r="AP913" s="1392" t="n"/>
      <c r="AQ913" s="1392" t="n"/>
      <c r="AR913" s="1392" t="n"/>
      <c r="AS913" s="1422" t="n"/>
      <c r="AT913" s="1392" t="n"/>
      <c r="AU913" s="1392" t="n"/>
      <c r="AV913" s="1392" t="n"/>
      <c r="AW913" s="1392" t="n"/>
      <c r="AX913" s="1392" t="n"/>
      <c r="AY913" s="1392" t="n"/>
      <c r="AZ913" s="1392" t="n"/>
      <c r="BA913" s="1392" t="n"/>
      <c r="BB913" s="1422" t="n"/>
      <c r="BC913" s="1392" t="n"/>
      <c r="BD913" s="1392" t="n"/>
      <c r="BE913" s="1392" t="n"/>
      <c r="BF913" s="1392" t="n"/>
      <c r="BG913" s="1392" t="n"/>
      <c r="BH913" s="1392" t="n"/>
      <c r="BI913" s="1392" t="n"/>
      <c r="BJ913" s="1392" t="n"/>
      <c r="BK913" s="1392" t="n"/>
      <c r="BL913" s="1392" t="n"/>
      <c r="BM913" s="1392" t="n"/>
      <c r="BN913" s="1392" t="n"/>
      <c r="BO913" s="1392" t="n"/>
      <c r="BP913" s="1392" t="n"/>
      <c r="BQ913" s="1392" t="n"/>
      <c r="BR913" s="1392" t="n"/>
      <c r="BS913" s="1392" t="n"/>
      <c r="BT913" s="1392" t="n"/>
      <c r="BU913" s="1416" t="n"/>
      <c r="BV913" s="1392" t="n"/>
      <c r="BW913" s="1392" t="n"/>
      <c r="BX913" s="1392" t="n"/>
      <c r="BY913" s="1392" t="n"/>
      <c r="BZ913" s="1416" t="n"/>
      <c r="CA913" s="1392" t="n"/>
      <c r="CB913" s="1392" t="n"/>
      <c r="CC913" s="1392" t="n"/>
      <c r="CD913" s="1392" t="n"/>
      <c r="CE913" s="1392" t="n"/>
      <c r="CF913" s="1392" t="n"/>
      <c r="CG913" s="1392" t="n"/>
      <c r="CH913" s="1392" t="n"/>
      <c r="CI913" s="1392" t="n"/>
      <c r="CJ913" s="1392" t="n"/>
      <c r="CK913" s="1392" t="n"/>
      <c r="CL913" s="1392" t="n"/>
    </row>
    <row r="914">
      <c r="A914" s="5" t="inlineStr">
        <is>
          <t>.</t>
        </is>
      </c>
      <c r="B914" s="5" t="inlineStr">
        <is>
          <t>.</t>
        </is>
      </c>
      <c r="C914" s="1378">
        <f>IF(raw[[#This Row],[city]]="","-",IF(raw[[#This Row],[city]]="TODAY","-",C913+1))</f>
        <v/>
      </c>
      <c r="D914" s="1393" t="inlineStr">
        <is>
          <t>Le Bourg</t>
        </is>
      </c>
      <c r="E914" s="1394" t="n">
        <v>38560</v>
      </c>
      <c r="F914" s="1394" t="n">
        <v>38560</v>
      </c>
      <c r="G914" s="1393" t="inlineStr">
        <is>
          <t>-</t>
        </is>
      </c>
      <c r="H914" s="1393" t="inlineStr">
        <is>
          <t>Transit</t>
        </is>
      </c>
      <c r="I914" s="1393" t="inlineStr">
        <is>
          <t>VF</t>
        </is>
      </c>
      <c r="J914" s="1393" t="inlineStr">
        <is>
          <t>-</t>
        </is>
      </c>
      <c r="K914" s="1395">
        <f>IF(raw[[#This Row],[city]]&lt;&gt;"",_xlfn.XLOOKUP($D914,ccc[city],ccc[prov],"-"),"-")</f>
        <v/>
      </c>
      <c r="L914" s="1395">
        <f>IF(raw[[#This Row],[city]]&lt;&gt;"",_xlfn.XLOOKUP($D914,ccc[city],ccc[ctry],"-"),"-")</f>
        <v/>
      </c>
      <c r="M914" s="1395">
        <f>IF(raw[[#This Row],[city]]&lt;&gt;"",_xlfn.XLOOKUP($D914,ccc[city],ccc[cont],"-"),"-")</f>
        <v/>
      </c>
      <c r="N914" s="1396">
        <f>IF(raw[[#This Row],[city]]="","-",IF(raw[[#This Row],[cont]]="B",raw[[#This Row],[cont]],"W"))</f>
        <v/>
      </c>
      <c r="O914" s="1397">
        <f>IF(raw[[#This Row],[out]]=0,0,IF(raw[[#This Row],[out]]=raw[[#This Row],[in]],0.01,raw[[#This Row],[out]]-raw[[#This Row],[in]]))</f>
        <v/>
      </c>
      <c r="P914" s="1397">
        <f>IF(raw[[#This Row],[in]]=0,0,MONTH(raw[[#This Row],[in]]))</f>
        <v/>
      </c>
      <c r="Q914" s="1397">
        <f>IF(raw[[#This Row],[in]]=0,0,YEAR(raw[[#This Row],[in]]))</f>
        <v/>
      </c>
      <c r="R914" s="1397">
        <f>INT(raw[[#This Row],[yr]]/10)*10</f>
        <v/>
      </c>
      <c r="S914" s="1395">
        <f>IF(raw[[#This Row],[city]]="","-",IF(raw[[#This Row],[city]]&lt;&gt;_xlfn.XLOOKUP(raw[[#This Row],[home]],homes[home],homes[city],"-"),1,0))</f>
        <v/>
      </c>
      <c r="T914" s="1398" t="inlineStr">
        <is>
          <t>.</t>
        </is>
      </c>
      <c r="U914" s="1399">
        <f>IF(raw[[#This Row],[wb]]="w",raw[[#This Row],[stay]]+U913,U913)</f>
        <v/>
      </c>
      <c r="V914" s="1400">
        <f>IF(raw[[#This Row],[out]]=0,V913,(raw[[#This Row],[out]]-E$5))</f>
        <v/>
      </c>
      <c r="W914" s="1401">
        <f>U914/V914</f>
        <v/>
      </c>
      <c r="X914" s="1392" t="n"/>
      <c r="Y914" s="1392" t="n"/>
      <c r="Z914" s="1392" t="n"/>
      <c r="AA914" s="1392" t="n"/>
      <c r="AB914" s="1392" t="n"/>
      <c r="AC914" s="1392" t="n"/>
      <c r="AD914" s="1392" t="n"/>
      <c r="AE914" s="1392" t="n"/>
      <c r="AF914" s="1392" t="n"/>
      <c r="AG914" s="1392" t="n"/>
      <c r="AH914" s="1392" t="n"/>
      <c r="AI914" s="1392" t="n"/>
      <c r="AJ914" s="1392" t="n"/>
      <c r="AK914" s="1392" t="n"/>
      <c r="AL914" s="1392" t="n"/>
      <c r="AM914" s="1392" t="n"/>
      <c r="AN914" s="1392" t="n"/>
      <c r="AO914" s="1392" t="n"/>
      <c r="AP914" s="1392" t="n"/>
      <c r="AQ914" s="1392" t="n"/>
      <c r="AR914" s="1392" t="n"/>
      <c r="AS914" s="1422" t="n"/>
      <c r="AT914" s="1392" t="n"/>
      <c r="AU914" s="1392" t="n"/>
      <c r="AV914" s="1392" t="n"/>
      <c r="AW914" s="1392" t="n"/>
      <c r="AX914" s="1392" t="n"/>
      <c r="AY914" s="1392" t="n"/>
      <c r="AZ914" s="1392" t="n"/>
      <c r="BA914" s="1392" t="n"/>
      <c r="BB914" s="1422" t="n"/>
      <c r="BC914" s="1392" t="n"/>
      <c r="BD914" s="1392" t="n"/>
      <c r="BE914" s="1392" t="n"/>
      <c r="BF914" s="1392" t="n"/>
      <c r="BG914" s="1392" t="n"/>
      <c r="BH914" s="1392" t="n"/>
      <c r="BI914" s="1392" t="n"/>
      <c r="BJ914" s="1392" t="n"/>
      <c r="BK914" s="1392" t="n"/>
      <c r="BL914" s="1392" t="n"/>
      <c r="BM914" s="1392" t="n"/>
      <c r="BN914" s="1392" t="n"/>
      <c r="BO914" s="1392" t="n"/>
      <c r="BP914" s="1392" t="n"/>
      <c r="BQ914" s="1392" t="n"/>
      <c r="BR914" s="1392" t="n"/>
      <c r="BS914" s="1392" t="n"/>
      <c r="BT914" s="1392" t="n"/>
      <c r="BU914" s="1416" t="n"/>
      <c r="BV914" s="1392" t="n"/>
      <c r="BW914" s="1392" t="n"/>
      <c r="BX914" s="1392" t="n"/>
      <c r="BY914" s="1392" t="n"/>
      <c r="BZ914" s="1416" t="n"/>
      <c r="CA914" s="1392" t="n"/>
      <c r="CB914" s="1392" t="n"/>
      <c r="CC914" s="1392" t="n"/>
      <c r="CD914" s="1392" t="n"/>
      <c r="CE914" s="1392" t="n"/>
      <c r="CF914" s="1392" t="n"/>
      <c r="CG914" s="1392" t="n"/>
      <c r="CH914" s="1392" t="n"/>
      <c r="CI914" s="1392" t="n"/>
      <c r="CJ914" s="1392" t="n"/>
      <c r="CK914" s="1392" t="n"/>
      <c r="CL914" s="1392" t="n"/>
    </row>
    <row r="915">
      <c r="A915" s="5" t="inlineStr">
        <is>
          <t>.</t>
        </is>
      </c>
      <c r="B915" s="5" t="inlineStr">
        <is>
          <t>.</t>
        </is>
      </c>
      <c r="C915" s="1378">
        <f>IF(raw[[#This Row],[city]]="","-",IF(raw[[#This Row],[city]]="TODAY","-",C914+1))</f>
        <v/>
      </c>
      <c r="D915" s="1393" t="inlineStr">
        <is>
          <t>Le Borgeaud</t>
        </is>
      </c>
      <c r="E915" s="1394" t="n">
        <v>38560</v>
      </c>
      <c r="F915" s="1394" t="n">
        <v>38560</v>
      </c>
      <c r="G915" s="1393" t="inlineStr">
        <is>
          <t>-</t>
        </is>
      </c>
      <c r="H915" s="1393" t="inlineStr">
        <is>
          <t>Transit</t>
        </is>
      </c>
      <c r="I915" s="1393" t="inlineStr">
        <is>
          <t>VF</t>
        </is>
      </c>
      <c r="J915" s="1393" t="inlineStr">
        <is>
          <t>-</t>
        </is>
      </c>
      <c r="K915" s="1395">
        <f>IF(raw[[#This Row],[city]]&lt;&gt;"",_xlfn.XLOOKUP($D915,ccc[city],ccc[prov],"-"),"-")</f>
        <v/>
      </c>
      <c r="L915" s="1395">
        <f>IF(raw[[#This Row],[city]]&lt;&gt;"",_xlfn.XLOOKUP($D915,ccc[city],ccc[ctry],"-"),"-")</f>
        <v/>
      </c>
      <c r="M915" s="1395">
        <f>IF(raw[[#This Row],[city]]&lt;&gt;"",_xlfn.XLOOKUP($D915,ccc[city],ccc[cont],"-"),"-")</f>
        <v/>
      </c>
      <c r="N915" s="1396">
        <f>IF(raw[[#This Row],[city]]="","-",IF(raw[[#This Row],[cont]]="B",raw[[#This Row],[cont]],"W"))</f>
        <v/>
      </c>
      <c r="O915" s="1397">
        <f>IF(raw[[#This Row],[out]]=0,0,IF(raw[[#This Row],[out]]=raw[[#This Row],[in]],0.01,raw[[#This Row],[out]]-raw[[#This Row],[in]]))</f>
        <v/>
      </c>
      <c r="P915" s="1397">
        <f>IF(raw[[#This Row],[in]]=0,0,MONTH(raw[[#This Row],[in]]))</f>
        <v/>
      </c>
      <c r="Q915" s="1397">
        <f>IF(raw[[#This Row],[in]]=0,0,YEAR(raw[[#This Row],[in]]))</f>
        <v/>
      </c>
      <c r="R915" s="1397">
        <f>INT(raw[[#This Row],[yr]]/10)*10</f>
        <v/>
      </c>
      <c r="S915" s="1395">
        <f>IF(raw[[#This Row],[city]]="","-",IF(raw[[#This Row],[city]]&lt;&gt;_xlfn.XLOOKUP(raw[[#This Row],[home]],homes[home],homes[city],"-"),1,0))</f>
        <v/>
      </c>
      <c r="T915" s="1398" t="inlineStr">
        <is>
          <t>.</t>
        </is>
      </c>
      <c r="U915" s="1399">
        <f>IF(raw[[#This Row],[wb]]="w",raw[[#This Row],[stay]]+U914,U914)</f>
        <v/>
      </c>
      <c r="V915" s="1400">
        <f>IF(raw[[#This Row],[out]]=0,V914,(raw[[#This Row],[out]]-E$5))</f>
        <v/>
      </c>
      <c r="W915" s="1401">
        <f>U915/V915</f>
        <v/>
      </c>
      <c r="X915" s="1392" t="n"/>
      <c r="Y915" s="1392" t="n"/>
      <c r="Z915" s="1392" t="n"/>
      <c r="AA915" s="1392" t="n"/>
      <c r="AB915" s="1392" t="n"/>
      <c r="AC915" s="1392" t="n"/>
      <c r="AD915" s="1392" t="n"/>
      <c r="AE915" s="1392" t="n"/>
      <c r="AF915" s="1392" t="n"/>
      <c r="AG915" s="1392" t="n"/>
      <c r="AH915" s="1392" t="n"/>
      <c r="AI915" s="1392" t="n"/>
      <c r="AJ915" s="1392" t="n"/>
      <c r="AK915" s="1392" t="n"/>
      <c r="AL915" s="1392" t="n"/>
      <c r="AM915" s="1392" t="n"/>
      <c r="AN915" s="1392" t="n"/>
      <c r="AO915" s="1392" t="n"/>
      <c r="AP915" s="1392" t="n"/>
      <c r="AQ915" s="1392" t="n"/>
      <c r="AR915" s="1392" t="n"/>
      <c r="AS915" s="1422" t="n"/>
      <c r="AT915" s="1392" t="n"/>
      <c r="AU915" s="1392" t="n"/>
      <c r="AV915" s="1392" t="n"/>
      <c r="AW915" s="1392" t="n"/>
      <c r="AX915" s="1392" t="n"/>
      <c r="AY915" s="1392" t="n"/>
      <c r="AZ915" s="1392" t="n"/>
      <c r="BA915" s="1392" t="n"/>
      <c r="BB915" s="1422" t="n"/>
      <c r="BC915" s="1392" t="n"/>
      <c r="BD915" s="1392" t="n"/>
      <c r="BE915" s="1392" t="n"/>
      <c r="BF915" s="1392" t="n"/>
      <c r="BG915" s="1392" t="n"/>
      <c r="BH915" s="1392" t="n"/>
      <c r="BI915" s="1392" t="n"/>
      <c r="BJ915" s="1392" t="n"/>
      <c r="BK915" s="1392" t="n"/>
      <c r="BL915" s="1392" t="n"/>
      <c r="BM915" s="1392" t="n"/>
      <c r="BN915" s="1392" t="n"/>
      <c r="BO915" s="1392" t="n"/>
      <c r="BP915" s="1392" t="n"/>
      <c r="BQ915" s="1392" t="n"/>
      <c r="BR915" s="1392" t="n"/>
      <c r="BS915" s="1392" t="n"/>
      <c r="BT915" s="1392" t="n"/>
      <c r="BU915" s="1416" t="n"/>
      <c r="BV915" s="1392" t="n"/>
      <c r="BW915" s="1392" t="n"/>
      <c r="BX915" s="1392" t="n"/>
      <c r="BY915" s="1392" t="n"/>
      <c r="BZ915" s="1416" t="n"/>
      <c r="CA915" s="1392" t="n"/>
      <c r="CB915" s="1392" t="n"/>
      <c r="CC915" s="1392" t="n"/>
      <c r="CD915" s="1392" t="n"/>
      <c r="CE915" s="1392" t="n"/>
      <c r="CF915" s="1392" t="n"/>
      <c r="CG915" s="1392" t="n"/>
      <c r="CH915" s="1392" t="n"/>
      <c r="CI915" s="1392" t="n"/>
      <c r="CJ915" s="1392" t="n"/>
      <c r="CK915" s="1392" t="n"/>
      <c r="CL915" s="1392" t="n"/>
    </row>
    <row r="916">
      <c r="A916" s="5" t="inlineStr">
        <is>
          <t>.</t>
        </is>
      </c>
      <c r="B916" s="5" t="inlineStr">
        <is>
          <t>.</t>
        </is>
      </c>
      <c r="C916" s="1378">
        <f>IF(raw[[#This Row],[city]]="","-",IF(raw[[#This Row],[city]]="TODAY","-",C915+1))</f>
        <v/>
      </c>
      <c r="D916" s="1393" t="inlineStr">
        <is>
          <t>Sembrancher</t>
        </is>
      </c>
      <c r="E916" s="1394" t="n">
        <v>38560</v>
      </c>
      <c r="F916" s="1394" t="n">
        <v>38560</v>
      </c>
      <c r="G916" s="1393" t="inlineStr">
        <is>
          <t>-</t>
        </is>
      </c>
      <c r="H916" s="1393" t="inlineStr">
        <is>
          <t>Transit</t>
        </is>
      </c>
      <c r="I916" s="1393" t="inlineStr">
        <is>
          <t>VF</t>
        </is>
      </c>
      <c r="J916" s="1393" t="inlineStr">
        <is>
          <t>-</t>
        </is>
      </c>
      <c r="K916" s="1395">
        <f>IF(raw[[#This Row],[city]]&lt;&gt;"",_xlfn.XLOOKUP($D916,ccc[city],ccc[prov],"-"),"-")</f>
        <v/>
      </c>
      <c r="L916" s="1395">
        <f>IF(raw[[#This Row],[city]]&lt;&gt;"",_xlfn.XLOOKUP($D916,ccc[city],ccc[ctry],"-"),"-")</f>
        <v/>
      </c>
      <c r="M916" s="1395">
        <f>IF(raw[[#This Row],[city]]&lt;&gt;"",_xlfn.XLOOKUP($D916,ccc[city],ccc[cont],"-"),"-")</f>
        <v/>
      </c>
      <c r="N916" s="1396">
        <f>IF(raw[[#This Row],[city]]="","-",IF(raw[[#This Row],[cont]]="B",raw[[#This Row],[cont]],"W"))</f>
        <v/>
      </c>
      <c r="O916" s="1397">
        <f>IF(raw[[#This Row],[out]]=0,0,IF(raw[[#This Row],[out]]=raw[[#This Row],[in]],0.01,raw[[#This Row],[out]]-raw[[#This Row],[in]]))</f>
        <v/>
      </c>
      <c r="P916" s="1397">
        <f>IF(raw[[#This Row],[in]]=0,0,MONTH(raw[[#This Row],[in]]))</f>
        <v/>
      </c>
      <c r="Q916" s="1397">
        <f>IF(raw[[#This Row],[in]]=0,0,YEAR(raw[[#This Row],[in]]))</f>
        <v/>
      </c>
      <c r="R916" s="1397">
        <f>INT(raw[[#This Row],[yr]]/10)*10</f>
        <v/>
      </c>
      <c r="S916" s="1395">
        <f>IF(raw[[#This Row],[city]]="","-",IF(raw[[#This Row],[city]]&lt;&gt;_xlfn.XLOOKUP(raw[[#This Row],[home]],homes[home],homes[city],"-"),1,0))</f>
        <v/>
      </c>
      <c r="T916" s="1398" t="inlineStr">
        <is>
          <t>.</t>
        </is>
      </c>
      <c r="U916" s="1399">
        <f>IF(raw[[#This Row],[wb]]="w",raw[[#This Row],[stay]]+U915,U915)</f>
        <v/>
      </c>
      <c r="V916" s="1400">
        <f>IF(raw[[#This Row],[out]]=0,V915,(raw[[#This Row],[out]]-E$5))</f>
        <v/>
      </c>
      <c r="W916" s="1401">
        <f>U916/V916</f>
        <v/>
      </c>
      <c r="X916" s="1392" t="n"/>
      <c r="Y916" s="1392" t="n"/>
      <c r="Z916" s="1392" t="n"/>
      <c r="AA916" s="1392" t="n"/>
      <c r="AB916" s="1392" t="n"/>
      <c r="AC916" s="1392" t="n"/>
      <c r="AD916" s="1392" t="n"/>
      <c r="AE916" s="1392" t="n"/>
      <c r="AF916" s="1392" t="n"/>
      <c r="AG916" s="1392" t="n"/>
      <c r="AH916" s="1392" t="n"/>
      <c r="AI916" s="1392" t="n"/>
      <c r="AJ916" s="1392" t="n"/>
      <c r="AK916" s="1392" t="n"/>
      <c r="AL916" s="1392" t="n"/>
      <c r="AM916" s="1392" t="n"/>
      <c r="AN916" s="1392" t="n"/>
      <c r="AO916" s="1392" t="n"/>
      <c r="AP916" s="1392" t="n"/>
      <c r="AQ916" s="1392" t="n"/>
      <c r="AR916" s="1392" t="n"/>
      <c r="AS916" s="1422" t="n"/>
      <c r="AT916" s="1392" t="n"/>
      <c r="AU916" s="1392" t="n"/>
      <c r="AV916" s="1392" t="n"/>
      <c r="AW916" s="1392" t="n"/>
      <c r="AX916" s="1392" t="n"/>
      <c r="AY916" s="1392" t="n"/>
      <c r="AZ916" s="1392" t="n"/>
      <c r="BA916" s="1392" t="n"/>
      <c r="BB916" s="1422" t="n"/>
      <c r="BC916" s="1392" t="n"/>
      <c r="BD916" s="1392" t="n"/>
      <c r="BE916" s="1392" t="n"/>
      <c r="BF916" s="1392" t="n"/>
      <c r="BG916" s="1392" t="n"/>
      <c r="BH916" s="1392" t="n"/>
      <c r="BI916" s="1392" t="n"/>
      <c r="BJ916" s="1392" t="n"/>
      <c r="BK916" s="1392" t="n"/>
      <c r="BL916" s="1392" t="n"/>
      <c r="BM916" s="1392" t="n"/>
      <c r="BN916" s="1392" t="n"/>
      <c r="BO916" s="1392" t="n"/>
      <c r="BP916" s="1392" t="n"/>
      <c r="BQ916" s="1392" t="n"/>
      <c r="BR916" s="1392" t="n"/>
      <c r="BS916" s="1392" t="n"/>
      <c r="BT916" s="1392" t="n"/>
      <c r="BU916" s="1416" t="n"/>
      <c r="BV916" s="1392" t="n"/>
      <c r="BW916" s="1392" t="n"/>
      <c r="BX916" s="1392" t="n"/>
      <c r="BY916" s="1392" t="n"/>
      <c r="BZ916" s="1416" t="n"/>
      <c r="CA916" s="1392" t="n"/>
      <c r="CB916" s="1392" t="n"/>
      <c r="CC916" s="1392" t="n"/>
      <c r="CD916" s="1392" t="n"/>
      <c r="CE916" s="1392" t="n"/>
      <c r="CF916" s="1392" t="n"/>
      <c r="CG916" s="1392" t="n"/>
      <c r="CH916" s="1392" t="n"/>
      <c r="CI916" s="1392" t="n"/>
      <c r="CJ916" s="1392" t="n"/>
      <c r="CK916" s="1392" t="n"/>
      <c r="CL916" s="1392" t="n"/>
    </row>
    <row r="917">
      <c r="A917" s="5" t="inlineStr">
        <is>
          <t>.</t>
        </is>
      </c>
      <c r="B917" s="5" t="inlineStr">
        <is>
          <t>.</t>
        </is>
      </c>
      <c r="C917" s="1378">
        <f>IF(raw[[#This Row],[city]]="","-",IF(raw[[#This Row],[city]]="TODAY","-",C916+1))</f>
        <v/>
      </c>
      <c r="D917" s="1393" t="inlineStr">
        <is>
          <t>Orsieres</t>
        </is>
      </c>
      <c r="E917" s="1394" t="n">
        <v>38560</v>
      </c>
      <c r="F917" s="1394" t="n">
        <v>38561</v>
      </c>
      <c r="G917" s="1393" t="inlineStr">
        <is>
          <t>-</t>
        </is>
      </c>
      <c r="H917" s="1393" t="inlineStr">
        <is>
          <t>Transit</t>
        </is>
      </c>
      <c r="I917" s="1393" t="inlineStr">
        <is>
          <t>VF</t>
        </is>
      </c>
      <c r="J917" s="1393" t="inlineStr">
        <is>
          <t>-</t>
        </is>
      </c>
      <c r="K917" s="1395">
        <f>IF(raw[[#This Row],[city]]&lt;&gt;"",_xlfn.XLOOKUP($D917,ccc[city],ccc[prov],"-"),"-")</f>
        <v/>
      </c>
      <c r="L917" s="1395">
        <f>IF(raw[[#This Row],[city]]&lt;&gt;"",_xlfn.XLOOKUP($D917,ccc[city],ccc[ctry],"-"),"-")</f>
        <v/>
      </c>
      <c r="M917" s="1395">
        <f>IF(raw[[#This Row],[city]]&lt;&gt;"",_xlfn.XLOOKUP($D917,ccc[city],ccc[cont],"-"),"-")</f>
        <v/>
      </c>
      <c r="N917" s="1396">
        <f>IF(raw[[#This Row],[city]]="","-",IF(raw[[#This Row],[cont]]="B",raw[[#This Row],[cont]],"W"))</f>
        <v/>
      </c>
      <c r="O917" s="1397">
        <f>IF(raw[[#This Row],[out]]=0,0,IF(raw[[#This Row],[out]]=raw[[#This Row],[in]],0.01,raw[[#This Row],[out]]-raw[[#This Row],[in]]))</f>
        <v/>
      </c>
      <c r="P917" s="1397">
        <f>IF(raw[[#This Row],[in]]=0,0,MONTH(raw[[#This Row],[in]]))</f>
        <v/>
      </c>
      <c r="Q917" s="1397">
        <f>IF(raw[[#This Row],[in]]=0,0,YEAR(raw[[#This Row],[in]]))</f>
        <v/>
      </c>
      <c r="R917" s="1397">
        <f>INT(raw[[#This Row],[yr]]/10)*10</f>
        <v/>
      </c>
      <c r="S917" s="1395">
        <f>IF(raw[[#This Row],[city]]="","-",IF(raw[[#This Row],[city]]&lt;&gt;_xlfn.XLOOKUP(raw[[#This Row],[home]],homes[home],homes[city],"-"),1,0))</f>
        <v/>
      </c>
      <c r="T917" s="1398" t="inlineStr">
        <is>
          <t>.</t>
        </is>
      </c>
      <c r="U917" s="1399">
        <f>IF(raw[[#This Row],[wb]]="w",raw[[#This Row],[stay]]+U916,U916)</f>
        <v/>
      </c>
      <c r="V917" s="1400">
        <f>IF(raw[[#This Row],[out]]=0,V916,(raw[[#This Row],[out]]-E$5))</f>
        <v/>
      </c>
      <c r="W917" s="1401">
        <f>U917/V917</f>
        <v/>
      </c>
      <c r="X917" s="1392" t="n"/>
      <c r="Y917" s="1392" t="n"/>
      <c r="Z917" s="1392" t="n"/>
      <c r="AA917" s="1392" t="n"/>
      <c r="AB917" s="1392" t="n"/>
      <c r="AC917" s="1392" t="n"/>
      <c r="AD917" s="1392" t="n"/>
      <c r="AE917" s="1392" t="n"/>
      <c r="AF917" s="1392" t="n"/>
      <c r="AG917" s="1392" t="n"/>
      <c r="AH917" s="1392" t="n"/>
      <c r="AI917" s="1392" t="n"/>
      <c r="AJ917" s="1392" t="n"/>
      <c r="AK917" s="1392" t="n"/>
      <c r="AL917" s="1392" t="n"/>
      <c r="AM917" s="1392" t="n"/>
      <c r="AN917" s="1392" t="n"/>
      <c r="AO917" s="1392" t="n"/>
      <c r="AP917" s="1392" t="n"/>
      <c r="AQ917" s="1392" t="n"/>
      <c r="AR917" s="1392" t="n"/>
      <c r="AS917" s="1422" t="n"/>
      <c r="AT917" s="1392" t="n"/>
      <c r="AU917" s="1392" t="n"/>
      <c r="AV917" s="1392" t="n"/>
      <c r="AW917" s="1392" t="n"/>
      <c r="AX917" s="1392" t="n"/>
      <c r="AY917" s="1392" t="n"/>
      <c r="AZ917" s="1392" t="n"/>
      <c r="BA917" s="1392" t="n"/>
      <c r="BB917" s="1422" t="n"/>
      <c r="BC917" s="1392" t="n"/>
      <c r="BD917" s="1392" t="n"/>
      <c r="BE917" s="1392" t="n"/>
      <c r="BF917" s="1392" t="n"/>
      <c r="BG917" s="1392" t="n"/>
      <c r="BH917" s="1392" t="n"/>
      <c r="BI917" s="1392" t="n"/>
      <c r="BJ917" s="1392" t="n"/>
      <c r="BK917" s="1392" t="n"/>
      <c r="BL917" s="1392" t="n"/>
      <c r="BM917" s="1392" t="n"/>
      <c r="BN917" s="1392" t="n"/>
      <c r="BO917" s="1392" t="n"/>
      <c r="BP917" s="1392" t="n"/>
      <c r="BQ917" s="1392" t="n"/>
      <c r="BR917" s="1392" t="n"/>
      <c r="BS917" s="1392" t="n"/>
      <c r="BT917" s="1392" t="n"/>
      <c r="BU917" s="1416" t="n"/>
      <c r="BV917" s="1392" t="n"/>
      <c r="BW917" s="1392" t="n"/>
      <c r="BX917" s="1392" t="n"/>
      <c r="BY917" s="1392" t="n"/>
      <c r="BZ917" s="1416" t="n"/>
      <c r="CA917" s="1392" t="n"/>
      <c r="CB917" s="1392" t="n"/>
      <c r="CC917" s="1392" t="n"/>
      <c r="CD917" s="1392" t="n"/>
      <c r="CE917" s="1392" t="n"/>
      <c r="CF917" s="1392" t="n"/>
      <c r="CG917" s="1392" t="n"/>
      <c r="CH917" s="1392" t="n"/>
      <c r="CI917" s="1392" t="n"/>
      <c r="CJ917" s="1392" t="n"/>
      <c r="CK917" s="1392" t="n"/>
      <c r="CL917" s="1392" t="n"/>
    </row>
    <row r="918">
      <c r="A918" s="5" t="inlineStr">
        <is>
          <t>.</t>
        </is>
      </c>
      <c r="B918" s="5" t="inlineStr">
        <is>
          <t>.</t>
        </is>
      </c>
      <c r="C918" s="1378">
        <f>IF(raw[[#This Row],[city]]="","-",IF(raw[[#This Row],[city]]="TODAY","-",C917+1))</f>
        <v/>
      </c>
      <c r="D918" s="1393" t="inlineStr">
        <is>
          <t>Grand Saint-Bernard</t>
        </is>
      </c>
      <c r="E918" s="1394" t="n">
        <v>38561</v>
      </c>
      <c r="F918" s="1394" t="n">
        <v>38562</v>
      </c>
      <c r="G918" s="1393" t="inlineStr">
        <is>
          <t>-</t>
        </is>
      </c>
      <c r="H918" s="1393" t="inlineStr">
        <is>
          <t>Transit</t>
        </is>
      </c>
      <c r="I918" s="1393" t="inlineStr">
        <is>
          <t>VF</t>
        </is>
      </c>
      <c r="J918" s="1393" t="inlineStr">
        <is>
          <t>-</t>
        </is>
      </c>
      <c r="K918" s="1395">
        <f>IF(raw[[#This Row],[city]]&lt;&gt;"",_xlfn.XLOOKUP($D918,ccc[city],ccc[prov],"-"),"-")</f>
        <v/>
      </c>
      <c r="L918" s="1395">
        <f>IF(raw[[#This Row],[city]]&lt;&gt;"",_xlfn.XLOOKUP($D918,ccc[city],ccc[ctry],"-"),"-")</f>
        <v/>
      </c>
      <c r="M918" s="1395">
        <f>IF(raw[[#This Row],[city]]&lt;&gt;"",_xlfn.XLOOKUP($D918,ccc[city],ccc[cont],"-"),"-")</f>
        <v/>
      </c>
      <c r="N918" s="1396">
        <f>IF(raw[[#This Row],[city]]="","-",IF(raw[[#This Row],[cont]]="B",raw[[#This Row],[cont]],"W"))</f>
        <v/>
      </c>
      <c r="O918" s="1397">
        <f>IF(raw[[#This Row],[out]]=0,0,IF(raw[[#This Row],[out]]=raw[[#This Row],[in]],0.01,raw[[#This Row],[out]]-raw[[#This Row],[in]]))</f>
        <v/>
      </c>
      <c r="P918" s="1397">
        <f>IF(raw[[#This Row],[in]]=0,0,MONTH(raw[[#This Row],[in]]))</f>
        <v/>
      </c>
      <c r="Q918" s="1397">
        <f>IF(raw[[#This Row],[in]]=0,0,YEAR(raw[[#This Row],[in]]))</f>
        <v/>
      </c>
      <c r="R918" s="1397">
        <f>INT(raw[[#This Row],[yr]]/10)*10</f>
        <v/>
      </c>
      <c r="S918" s="1395">
        <f>IF(raw[[#This Row],[city]]="","-",IF(raw[[#This Row],[city]]&lt;&gt;_xlfn.XLOOKUP(raw[[#This Row],[home]],homes[home],homes[city],"-"),1,0))</f>
        <v/>
      </c>
      <c r="T918" s="1398" t="inlineStr">
        <is>
          <t>.</t>
        </is>
      </c>
      <c r="U918" s="1399">
        <f>IF(raw[[#This Row],[wb]]="w",raw[[#This Row],[stay]]+U917,U917)</f>
        <v/>
      </c>
      <c r="V918" s="1400">
        <f>IF(raw[[#This Row],[out]]=0,V917,(raw[[#This Row],[out]]-E$5))</f>
        <v/>
      </c>
      <c r="W918" s="1401">
        <f>U918/V918</f>
        <v/>
      </c>
      <c r="X918" s="1392" t="n"/>
      <c r="Y918" s="1392" t="n"/>
      <c r="Z918" s="1392" t="n"/>
      <c r="AA918" s="1392" t="n"/>
      <c r="AB918" s="1392" t="n"/>
      <c r="AC918" s="1392" t="n"/>
      <c r="AD918" s="1392" t="n"/>
      <c r="AE918" s="1392" t="n"/>
      <c r="AF918" s="1392" t="n"/>
      <c r="AG918" s="1392" t="n"/>
      <c r="AH918" s="1392" t="n"/>
      <c r="AI918" s="1392" t="n"/>
      <c r="AJ918" s="1392" t="n"/>
      <c r="AK918" s="1392" t="n"/>
      <c r="AL918" s="1392" t="n"/>
      <c r="AM918" s="1392" t="n"/>
      <c r="AN918" s="1392" t="n"/>
      <c r="AO918" s="1392" t="n"/>
      <c r="AP918" s="1392" t="n"/>
      <c r="AQ918" s="1392" t="n"/>
      <c r="AR918" s="1392" t="n"/>
      <c r="AS918" s="1422" t="n"/>
      <c r="AT918" s="1392" t="n"/>
      <c r="AU918" s="1392" t="n"/>
      <c r="AV918" s="1392" t="n"/>
      <c r="AW918" s="1392" t="n"/>
      <c r="AX918" s="1392" t="n"/>
      <c r="AY918" s="1392" t="n"/>
      <c r="AZ918" s="1392" t="n"/>
      <c r="BA918" s="1392" t="n"/>
      <c r="BB918" s="1422" t="n"/>
      <c r="BC918" s="1392" t="n"/>
      <c r="BD918" s="1392" t="n"/>
      <c r="BE918" s="1392" t="n"/>
      <c r="BF918" s="1392" t="n"/>
      <c r="BG918" s="1392" t="n"/>
      <c r="BH918" s="1392" t="n"/>
      <c r="BI918" s="1392" t="n"/>
      <c r="BJ918" s="1392" t="n"/>
      <c r="BK918" s="1392" t="n"/>
      <c r="BL918" s="1392" t="n"/>
      <c r="BM918" s="1392" t="n"/>
      <c r="BN918" s="1392" t="n"/>
      <c r="BO918" s="1392" t="n"/>
      <c r="BP918" s="1392" t="n"/>
      <c r="BQ918" s="1392" t="n"/>
      <c r="BR918" s="1392" t="n"/>
      <c r="BS918" s="1392" t="n"/>
      <c r="BT918" s="1392" t="n"/>
      <c r="BU918" s="1416" t="n"/>
      <c r="BV918" s="1392" t="n"/>
      <c r="BW918" s="1392" t="n"/>
      <c r="BX918" s="1392" t="n"/>
      <c r="BY918" s="1392" t="n"/>
      <c r="BZ918" s="1416" t="n"/>
      <c r="CA918" s="1392" t="n"/>
      <c r="CB918" s="1392" t="n"/>
      <c r="CC918" s="1392" t="n"/>
      <c r="CD918" s="1392" t="n"/>
      <c r="CE918" s="1392" t="n"/>
      <c r="CF918" s="1392" t="n"/>
      <c r="CG918" s="1392" t="n"/>
      <c r="CH918" s="1392" t="n"/>
      <c r="CI918" s="1392" t="n"/>
      <c r="CJ918" s="1392" t="n"/>
      <c r="CK918" s="1392" t="n"/>
      <c r="CL918" s="1392" t="n"/>
    </row>
    <row r="919">
      <c r="A919" s="5" t="inlineStr">
        <is>
          <t>.</t>
        </is>
      </c>
      <c r="B919" s="5" t="inlineStr">
        <is>
          <t>.</t>
        </is>
      </c>
      <c r="C919" s="1378">
        <f>IF(raw[[#This Row],[city]]="","-",IF(raw[[#This Row],[city]]="TODAY","-",C918+1))</f>
        <v/>
      </c>
      <c r="D919" s="1393" t="inlineStr">
        <is>
          <t>Etroubles</t>
        </is>
      </c>
      <c r="E919" s="1394" t="n">
        <v>38562</v>
      </c>
      <c r="F919" s="1394" t="n">
        <v>38562</v>
      </c>
      <c r="G919" s="1393" t="inlineStr">
        <is>
          <t>-</t>
        </is>
      </c>
      <c r="H919" s="1393" t="inlineStr">
        <is>
          <t>Transit</t>
        </is>
      </c>
      <c r="I919" s="1393" t="inlineStr">
        <is>
          <t>VF</t>
        </is>
      </c>
      <c r="J919" s="1393" t="inlineStr">
        <is>
          <t>-</t>
        </is>
      </c>
      <c r="K919" s="1395">
        <f>IF(raw[[#This Row],[city]]&lt;&gt;"",_xlfn.XLOOKUP($D919,ccc[city],ccc[prov],"-"),"-")</f>
        <v/>
      </c>
      <c r="L919" s="1395">
        <f>IF(raw[[#This Row],[city]]&lt;&gt;"",_xlfn.XLOOKUP($D919,ccc[city],ccc[ctry],"-"),"-")</f>
        <v/>
      </c>
      <c r="M919" s="1395">
        <f>IF(raw[[#This Row],[city]]&lt;&gt;"",_xlfn.XLOOKUP($D919,ccc[city],ccc[cont],"-"),"-")</f>
        <v/>
      </c>
      <c r="N919" s="1396">
        <f>IF(raw[[#This Row],[city]]="","-",IF(raw[[#This Row],[cont]]="B",raw[[#This Row],[cont]],"W"))</f>
        <v/>
      </c>
      <c r="O919" s="1397">
        <f>IF(raw[[#This Row],[out]]=0,0,IF(raw[[#This Row],[out]]=raw[[#This Row],[in]],0.01,raw[[#This Row],[out]]-raw[[#This Row],[in]]))</f>
        <v/>
      </c>
      <c r="P919" s="1397">
        <f>IF(raw[[#This Row],[in]]=0,0,MONTH(raw[[#This Row],[in]]))</f>
        <v/>
      </c>
      <c r="Q919" s="1397">
        <f>IF(raw[[#This Row],[in]]=0,0,YEAR(raw[[#This Row],[in]]))</f>
        <v/>
      </c>
      <c r="R919" s="1397">
        <f>INT(raw[[#This Row],[yr]]/10)*10</f>
        <v/>
      </c>
      <c r="S919" s="1395">
        <f>IF(raw[[#This Row],[city]]="","-",IF(raw[[#This Row],[city]]&lt;&gt;_xlfn.XLOOKUP(raw[[#This Row],[home]],homes[home],homes[city],"-"),1,0))</f>
        <v/>
      </c>
      <c r="T919" s="1398" t="inlineStr">
        <is>
          <t>.</t>
        </is>
      </c>
      <c r="U919" s="1399">
        <f>IF(raw[[#This Row],[wb]]="w",raw[[#This Row],[stay]]+U918,U918)</f>
        <v/>
      </c>
      <c r="V919" s="1400">
        <f>IF(raw[[#This Row],[out]]=0,V918,(raw[[#This Row],[out]]-E$5))</f>
        <v/>
      </c>
      <c r="W919" s="1401">
        <f>U919/V919</f>
        <v/>
      </c>
      <c r="X919" s="1392" t="n"/>
      <c r="Y919" s="1392" t="n"/>
      <c r="Z919" s="1392" t="n"/>
      <c r="AA919" s="1392" t="n"/>
      <c r="AB919" s="1392" t="n"/>
      <c r="AC919" s="1392" t="n"/>
      <c r="AD919" s="1392" t="n"/>
      <c r="AE919" s="1392" t="n"/>
      <c r="AF919" s="1392" t="n"/>
      <c r="AG919" s="1392" t="n"/>
      <c r="AH919" s="1392" t="n"/>
      <c r="AI919" s="1392" t="n"/>
      <c r="AJ919" s="1392" t="n"/>
      <c r="AK919" s="1392" t="n"/>
      <c r="AL919" s="1392" t="n"/>
      <c r="AM919" s="1392" t="n"/>
      <c r="AN919" s="1392" t="n"/>
      <c r="AO919" s="1392" t="n"/>
      <c r="AP919" s="1392" t="n"/>
      <c r="AQ919" s="1392" t="n"/>
      <c r="AR919" s="1392" t="n"/>
      <c r="AS919" s="1422" t="n"/>
      <c r="AT919" s="1392" t="n"/>
      <c r="AU919" s="1392" t="n"/>
      <c r="AV919" s="1392" t="n"/>
      <c r="AW919" s="1392" t="n"/>
      <c r="AX919" s="1392" t="n"/>
      <c r="AY919" s="1392" t="n"/>
      <c r="AZ919" s="1392" t="n"/>
      <c r="BA919" s="1392" t="n"/>
      <c r="BB919" s="1422" t="n"/>
      <c r="BC919" s="1392" t="n"/>
      <c r="BD919" s="1392" t="n"/>
      <c r="BE919" s="1392" t="n"/>
      <c r="BF919" s="1392" t="n"/>
      <c r="BG919" s="1392" t="n"/>
      <c r="BH919" s="1392" t="n"/>
      <c r="BI919" s="1392" t="n"/>
      <c r="BJ919" s="1392" t="n"/>
      <c r="BK919" s="1392" t="n"/>
      <c r="BL919" s="1392" t="n"/>
      <c r="BM919" s="1392" t="n"/>
      <c r="BN919" s="1392" t="n"/>
      <c r="BO919" s="1392" t="n"/>
      <c r="BP919" s="1392" t="n"/>
      <c r="BQ919" s="1392" t="n"/>
      <c r="BR919" s="1392" t="n"/>
      <c r="BS919" s="1392" t="n"/>
      <c r="BT919" s="1392" t="n"/>
      <c r="BU919" s="1416" t="n"/>
      <c r="BV919" s="1392" t="n"/>
      <c r="BW919" s="1392" t="n"/>
      <c r="BX919" s="1392" t="n"/>
      <c r="BY919" s="1392" t="n"/>
      <c r="BZ919" s="1416" t="n"/>
      <c r="CA919" s="1392" t="n"/>
      <c r="CB919" s="1392" t="n"/>
      <c r="CC919" s="1392" t="n"/>
      <c r="CD919" s="1392" t="n"/>
      <c r="CE919" s="1392" t="n"/>
      <c r="CF919" s="1392" t="n"/>
      <c r="CG919" s="1392" t="n"/>
      <c r="CH919" s="1392" t="n"/>
      <c r="CI919" s="1392" t="n"/>
      <c r="CJ919" s="1392" t="n"/>
      <c r="CK919" s="1392" t="n"/>
      <c r="CL919" s="1392" t="n"/>
    </row>
    <row r="920">
      <c r="A920" s="5" t="inlineStr">
        <is>
          <t>.</t>
        </is>
      </c>
      <c r="B920" s="5" t="inlineStr">
        <is>
          <t>.</t>
        </is>
      </c>
      <c r="C920" s="1378">
        <f>IF(raw[[#This Row],[city]]="","-",IF(raw[[#This Row],[city]]="TODAY","-",C919+1))</f>
        <v/>
      </c>
      <c r="D920" s="1393" t="inlineStr">
        <is>
          <t>Aosta</t>
        </is>
      </c>
      <c r="E920" s="1394" t="n">
        <v>38562</v>
      </c>
      <c r="F920" s="1394" t="n">
        <v>38563</v>
      </c>
      <c r="G920" s="1393" t="inlineStr">
        <is>
          <t>-</t>
        </is>
      </c>
      <c r="H920" s="1393" t="inlineStr">
        <is>
          <t>Transit</t>
        </is>
      </c>
      <c r="I920" s="1393" t="inlineStr">
        <is>
          <t>VF</t>
        </is>
      </c>
      <c r="J920" s="1393" t="inlineStr">
        <is>
          <t>-</t>
        </is>
      </c>
      <c r="K920" s="1395">
        <f>IF(raw[[#This Row],[city]]&lt;&gt;"",_xlfn.XLOOKUP($D920,ccc[city],ccc[prov],"-"),"-")</f>
        <v/>
      </c>
      <c r="L920" s="1395">
        <f>IF(raw[[#This Row],[city]]&lt;&gt;"",_xlfn.XLOOKUP($D920,ccc[city],ccc[ctry],"-"),"-")</f>
        <v/>
      </c>
      <c r="M920" s="1395">
        <f>IF(raw[[#This Row],[city]]&lt;&gt;"",_xlfn.XLOOKUP($D920,ccc[city],ccc[cont],"-"),"-")</f>
        <v/>
      </c>
      <c r="N920" s="1396">
        <f>IF(raw[[#This Row],[city]]="","-",IF(raw[[#This Row],[cont]]="B",raw[[#This Row],[cont]],"W"))</f>
        <v/>
      </c>
      <c r="O920" s="1397">
        <f>IF(raw[[#This Row],[out]]=0,0,IF(raw[[#This Row],[out]]=raw[[#This Row],[in]],0.01,raw[[#This Row],[out]]-raw[[#This Row],[in]]))</f>
        <v/>
      </c>
      <c r="P920" s="1397">
        <f>IF(raw[[#This Row],[in]]=0,0,MONTH(raw[[#This Row],[in]]))</f>
        <v/>
      </c>
      <c r="Q920" s="1397">
        <f>IF(raw[[#This Row],[in]]=0,0,YEAR(raw[[#This Row],[in]]))</f>
        <v/>
      </c>
      <c r="R920" s="1397">
        <f>INT(raw[[#This Row],[yr]]/10)*10</f>
        <v/>
      </c>
      <c r="S920" s="1395">
        <f>IF(raw[[#This Row],[city]]="","-",IF(raw[[#This Row],[city]]&lt;&gt;_xlfn.XLOOKUP(raw[[#This Row],[home]],homes[home],homes[city],"-"),1,0))</f>
        <v/>
      </c>
      <c r="T920" s="1398" t="inlineStr">
        <is>
          <t>.</t>
        </is>
      </c>
      <c r="U920" s="1399">
        <f>IF(raw[[#This Row],[wb]]="w",raw[[#This Row],[stay]]+U919,U919)</f>
        <v/>
      </c>
      <c r="V920" s="1400">
        <f>IF(raw[[#This Row],[out]]=0,V919,(raw[[#This Row],[out]]-E$5))</f>
        <v/>
      </c>
      <c r="W920" s="1401">
        <f>U920/V920</f>
        <v/>
      </c>
      <c r="X920" s="1392" t="n"/>
      <c r="Y920" s="1392" t="n"/>
      <c r="Z920" s="1392" t="n"/>
      <c r="AA920" s="1392" t="n"/>
      <c r="AB920" s="1392" t="n"/>
      <c r="AC920" s="1392" t="n"/>
      <c r="AD920" s="1392" t="n"/>
      <c r="AE920" s="1392" t="n"/>
      <c r="AF920" s="1392" t="n"/>
      <c r="AG920" s="1392" t="n"/>
      <c r="AH920" s="1392" t="n"/>
      <c r="AI920" s="1392" t="n"/>
      <c r="AJ920" s="1392" t="n"/>
      <c r="AK920" s="1392" t="n"/>
      <c r="AL920" s="1392" t="n"/>
      <c r="AM920" s="1392" t="n"/>
      <c r="AN920" s="1392" t="n"/>
      <c r="AO920" s="1392" t="n"/>
      <c r="AP920" s="1392" t="n"/>
      <c r="AQ920" s="1392" t="n"/>
      <c r="AR920" s="1392" t="n"/>
      <c r="AS920" s="1422" t="n"/>
      <c r="AT920" s="1392" t="n"/>
      <c r="AU920" s="1392" t="n"/>
      <c r="AV920" s="1392" t="n"/>
      <c r="AW920" s="1392" t="n"/>
      <c r="AX920" s="1392" t="n"/>
      <c r="AY920" s="1392" t="n"/>
      <c r="AZ920" s="1392" t="n"/>
      <c r="BA920" s="1392" t="n"/>
      <c r="BB920" s="1422" t="n"/>
      <c r="BC920" s="1392" t="n"/>
      <c r="BD920" s="1392" t="n"/>
      <c r="BE920" s="1392" t="n"/>
      <c r="BF920" s="1392" t="n"/>
      <c r="BG920" s="1392" t="n"/>
      <c r="BH920" s="1392" t="n"/>
      <c r="BI920" s="1392" t="n"/>
      <c r="BJ920" s="1392" t="n"/>
      <c r="BK920" s="1392" t="n"/>
      <c r="BL920" s="1392" t="n"/>
      <c r="BM920" s="1392" t="n"/>
      <c r="BN920" s="1392" t="n"/>
      <c r="BO920" s="1392" t="n"/>
      <c r="BP920" s="1392" t="n"/>
      <c r="BQ920" s="1392" t="n"/>
      <c r="BR920" s="1392" t="n"/>
      <c r="BS920" s="1392" t="n"/>
      <c r="BT920" s="1392" t="n"/>
      <c r="BU920" s="1416" t="n"/>
      <c r="BV920" s="1392" t="n"/>
      <c r="BW920" s="1392" t="n"/>
      <c r="BX920" s="1392" t="n"/>
      <c r="BY920" s="1392" t="n"/>
      <c r="BZ920" s="1416" t="n"/>
      <c r="CA920" s="1392" t="n"/>
      <c r="CB920" s="1392" t="n"/>
      <c r="CC920" s="1392" t="n"/>
      <c r="CD920" s="1392" t="n"/>
      <c r="CE920" s="1392" t="n"/>
      <c r="CF920" s="1392" t="n"/>
      <c r="CG920" s="1392" t="n"/>
      <c r="CH920" s="1392" t="n"/>
      <c r="CI920" s="1392" t="n"/>
      <c r="CJ920" s="1392" t="n"/>
      <c r="CK920" s="1392" t="n"/>
      <c r="CL920" s="1392" t="n"/>
    </row>
    <row r="921">
      <c r="A921" s="5" t="inlineStr">
        <is>
          <t>.</t>
        </is>
      </c>
      <c r="B921" s="5" t="inlineStr">
        <is>
          <t>.</t>
        </is>
      </c>
      <c r="C921" s="1378">
        <f>IF(raw[[#This Row],[city]]="","-",IF(raw[[#This Row],[city]]="TODAY","-",C920+1))</f>
        <v/>
      </c>
      <c r="D921" s="1393" t="inlineStr">
        <is>
          <t>Chatillon</t>
        </is>
      </c>
      <c r="E921" s="1394" t="n">
        <v>38563</v>
      </c>
      <c r="F921" s="1394" t="n">
        <v>38564</v>
      </c>
      <c r="G921" s="1393" t="inlineStr">
        <is>
          <t>-</t>
        </is>
      </c>
      <c r="H921" s="1393" t="inlineStr">
        <is>
          <t>Transit</t>
        </is>
      </c>
      <c r="I921" s="1393" t="inlineStr">
        <is>
          <t>VF</t>
        </is>
      </c>
      <c r="J921" s="1393" t="inlineStr">
        <is>
          <t>-</t>
        </is>
      </c>
      <c r="K921" s="1395">
        <f>IF(raw[[#This Row],[city]]&lt;&gt;"",_xlfn.XLOOKUP($D921,ccc[city],ccc[prov],"-"),"-")</f>
        <v/>
      </c>
      <c r="L921" s="1395">
        <f>IF(raw[[#This Row],[city]]&lt;&gt;"",_xlfn.XLOOKUP($D921,ccc[city],ccc[ctry],"-"),"-")</f>
        <v/>
      </c>
      <c r="M921" s="1395">
        <f>IF(raw[[#This Row],[city]]&lt;&gt;"",_xlfn.XLOOKUP($D921,ccc[city],ccc[cont],"-"),"-")</f>
        <v/>
      </c>
      <c r="N921" s="1396">
        <f>IF(raw[[#This Row],[city]]="","-",IF(raw[[#This Row],[cont]]="B",raw[[#This Row],[cont]],"W"))</f>
        <v/>
      </c>
      <c r="O921" s="1397">
        <f>IF(raw[[#This Row],[out]]=0,0,IF(raw[[#This Row],[out]]=raw[[#This Row],[in]],0.01,raw[[#This Row],[out]]-raw[[#This Row],[in]]))</f>
        <v/>
      </c>
      <c r="P921" s="1397">
        <f>IF(raw[[#This Row],[in]]=0,0,MONTH(raw[[#This Row],[in]]))</f>
        <v/>
      </c>
      <c r="Q921" s="1397">
        <f>IF(raw[[#This Row],[in]]=0,0,YEAR(raw[[#This Row],[in]]))</f>
        <v/>
      </c>
      <c r="R921" s="1397">
        <f>INT(raw[[#This Row],[yr]]/10)*10</f>
        <v/>
      </c>
      <c r="S921" s="1395">
        <f>IF(raw[[#This Row],[city]]="","-",IF(raw[[#This Row],[city]]&lt;&gt;_xlfn.XLOOKUP(raw[[#This Row],[home]],homes[home],homes[city],"-"),1,0))</f>
        <v/>
      </c>
      <c r="T921" s="1398" t="inlineStr">
        <is>
          <t>.</t>
        </is>
      </c>
      <c r="U921" s="1399">
        <f>IF(raw[[#This Row],[wb]]="w",raw[[#This Row],[stay]]+U920,U920)</f>
        <v/>
      </c>
      <c r="V921" s="1400">
        <f>IF(raw[[#This Row],[out]]=0,V920,(raw[[#This Row],[out]]-E$5))</f>
        <v/>
      </c>
      <c r="W921" s="1401">
        <f>U921/V921</f>
        <v/>
      </c>
      <c r="X921" s="1392" t="n"/>
      <c r="Y921" s="1392" t="n"/>
      <c r="Z921" s="1392" t="n"/>
      <c r="AA921" s="1392" t="n"/>
      <c r="AB921" s="1392" t="n"/>
      <c r="AC921" s="1392" t="n"/>
      <c r="AD921" s="1392" t="n"/>
      <c r="AE921" s="1392" t="n"/>
      <c r="AF921" s="1392" t="n"/>
      <c r="AG921" s="1392" t="n"/>
      <c r="AH921" s="1392" t="n"/>
      <c r="AI921" s="1392" t="n"/>
      <c r="AJ921" s="1392" t="n"/>
      <c r="AK921" s="1392" t="n"/>
      <c r="AL921" s="1392" t="n"/>
      <c r="AM921" s="1392" t="n"/>
      <c r="AN921" s="1392" t="n"/>
      <c r="AO921" s="1392" t="n"/>
      <c r="AP921" s="1392" t="n"/>
      <c r="AQ921" s="1392" t="n"/>
      <c r="AR921" s="1392" t="n"/>
      <c r="AS921" s="1422" t="n"/>
      <c r="AT921" s="1392" t="n"/>
      <c r="AU921" s="1392" t="n"/>
      <c r="AV921" s="1392" t="n"/>
      <c r="AW921" s="1392" t="n"/>
      <c r="AX921" s="1392" t="n"/>
      <c r="AY921" s="1392" t="n"/>
      <c r="AZ921" s="1392" t="n"/>
      <c r="BA921" s="1392" t="n"/>
      <c r="BB921" s="1422" t="n"/>
      <c r="BC921" s="1392" t="n"/>
      <c r="BD921" s="1392" t="n"/>
      <c r="BE921" s="1392" t="n"/>
      <c r="BF921" s="1392" t="n"/>
      <c r="BG921" s="1392" t="n"/>
      <c r="BH921" s="1392" t="n"/>
      <c r="BI921" s="1392" t="n"/>
      <c r="BJ921" s="1392" t="n"/>
      <c r="BK921" s="1392" t="n"/>
      <c r="BL921" s="1392" t="n"/>
      <c r="BM921" s="1392" t="n"/>
      <c r="BN921" s="1392" t="n"/>
      <c r="BO921" s="1392" t="n"/>
      <c r="BP921" s="1392" t="n"/>
      <c r="BQ921" s="1392" t="n"/>
      <c r="BR921" s="1392" t="n"/>
      <c r="BS921" s="1392" t="n"/>
      <c r="BT921" s="1392" t="n"/>
      <c r="BU921" s="1416" t="n"/>
      <c r="BV921" s="1392" t="n"/>
      <c r="BW921" s="1392" t="n"/>
      <c r="BX921" s="1392" t="n"/>
      <c r="BY921" s="1392" t="n"/>
      <c r="BZ921" s="1416" t="n"/>
      <c r="CA921" s="1392" t="n"/>
      <c r="CB921" s="1392" t="n"/>
      <c r="CC921" s="1392" t="n"/>
      <c r="CD921" s="1392" t="n"/>
      <c r="CE921" s="1392" t="n"/>
      <c r="CF921" s="1392" t="n"/>
      <c r="CG921" s="1392" t="n"/>
      <c r="CH921" s="1392" t="n"/>
      <c r="CI921" s="1392" t="n"/>
      <c r="CJ921" s="1392" t="n"/>
      <c r="CK921" s="1392" t="n"/>
      <c r="CL921" s="1392" t="n"/>
    </row>
    <row r="922">
      <c r="A922" s="5" t="inlineStr">
        <is>
          <t>.</t>
        </is>
      </c>
      <c r="B922" s="5" t="inlineStr">
        <is>
          <t>.</t>
        </is>
      </c>
      <c r="C922" s="1378">
        <f>IF(raw[[#This Row],[city]]="","-",IF(raw[[#This Row],[city]]="TODAY","-",C921+1))</f>
        <v/>
      </c>
      <c r="D922" s="1393" t="inlineStr">
        <is>
          <t>Saint-Vincent</t>
        </is>
      </c>
      <c r="E922" s="1394" t="n">
        <v>38564</v>
      </c>
      <c r="F922" s="1394" t="n">
        <v>38564</v>
      </c>
      <c r="G922" s="1393" t="inlineStr">
        <is>
          <t>-</t>
        </is>
      </c>
      <c r="H922" s="1393" t="inlineStr">
        <is>
          <t>Transit</t>
        </is>
      </c>
      <c r="I922" s="1393" t="inlineStr">
        <is>
          <t>VF</t>
        </is>
      </c>
      <c r="J922" s="1393" t="inlineStr">
        <is>
          <t>-</t>
        </is>
      </c>
      <c r="K922" s="1395">
        <f>IF(raw[[#This Row],[city]]&lt;&gt;"",_xlfn.XLOOKUP($D922,ccc[city],ccc[prov],"-"),"-")</f>
        <v/>
      </c>
      <c r="L922" s="1395">
        <f>IF(raw[[#This Row],[city]]&lt;&gt;"",_xlfn.XLOOKUP($D922,ccc[city],ccc[ctry],"-"),"-")</f>
        <v/>
      </c>
      <c r="M922" s="1395">
        <f>IF(raw[[#This Row],[city]]&lt;&gt;"",_xlfn.XLOOKUP($D922,ccc[city],ccc[cont],"-"),"-")</f>
        <v/>
      </c>
      <c r="N922" s="1396">
        <f>IF(raw[[#This Row],[city]]="","-",IF(raw[[#This Row],[cont]]="B",raw[[#This Row],[cont]],"W"))</f>
        <v/>
      </c>
      <c r="O922" s="1397">
        <f>IF(raw[[#This Row],[out]]=0,0,IF(raw[[#This Row],[out]]=raw[[#This Row],[in]],0.01,raw[[#This Row],[out]]-raw[[#This Row],[in]]))</f>
        <v/>
      </c>
      <c r="P922" s="1397">
        <f>IF(raw[[#This Row],[in]]=0,0,MONTH(raw[[#This Row],[in]]))</f>
        <v/>
      </c>
      <c r="Q922" s="1397">
        <f>IF(raw[[#This Row],[in]]=0,0,YEAR(raw[[#This Row],[in]]))</f>
        <v/>
      </c>
      <c r="R922" s="1397">
        <f>INT(raw[[#This Row],[yr]]/10)*10</f>
        <v/>
      </c>
      <c r="S922" s="1395">
        <f>IF(raw[[#This Row],[city]]="","-",IF(raw[[#This Row],[city]]&lt;&gt;_xlfn.XLOOKUP(raw[[#This Row],[home]],homes[home],homes[city],"-"),1,0))</f>
        <v/>
      </c>
      <c r="T922" s="1398" t="inlineStr">
        <is>
          <t>.</t>
        </is>
      </c>
      <c r="U922" s="1399">
        <f>IF(raw[[#This Row],[wb]]="w",raw[[#This Row],[stay]]+U921,U921)</f>
        <v/>
      </c>
      <c r="V922" s="1400">
        <f>IF(raw[[#This Row],[out]]=0,V921,(raw[[#This Row],[out]]-E$5))</f>
        <v/>
      </c>
      <c r="W922" s="1401">
        <f>U922/V922</f>
        <v/>
      </c>
      <c r="X922" s="1392" t="n"/>
      <c r="Y922" s="1392" t="n"/>
      <c r="Z922" s="1392" t="n"/>
      <c r="AA922" s="1392" t="n"/>
      <c r="AB922" s="1392" t="n"/>
      <c r="AC922" s="1392" t="n"/>
      <c r="AD922" s="1392" t="n"/>
      <c r="AE922" s="1392" t="n"/>
      <c r="AF922" s="1392" t="n"/>
      <c r="AG922" s="1392" t="n"/>
      <c r="AH922" s="1392" t="n"/>
      <c r="AI922" s="1392" t="n"/>
      <c r="AJ922" s="1392" t="n"/>
      <c r="AK922" s="1392" t="n"/>
      <c r="AL922" s="1392" t="n"/>
      <c r="AM922" s="1392" t="n"/>
      <c r="AN922" s="1392" t="n"/>
      <c r="AO922" s="1392" t="n"/>
      <c r="AP922" s="1392" t="n"/>
      <c r="AQ922" s="1392" t="n"/>
      <c r="AR922" s="1392" t="n"/>
      <c r="AS922" s="1422" t="n"/>
      <c r="AT922" s="1392" t="n"/>
      <c r="AU922" s="1392" t="n"/>
      <c r="AV922" s="1392" t="n"/>
      <c r="AW922" s="1392" t="n"/>
      <c r="AX922" s="1392" t="n"/>
      <c r="AY922" s="1392" t="n"/>
      <c r="AZ922" s="1392" t="n"/>
      <c r="BA922" s="1392" t="n"/>
      <c r="BB922" s="1422" t="n"/>
      <c r="BC922" s="1392" t="n"/>
      <c r="BD922" s="1392" t="n"/>
      <c r="BE922" s="1392" t="n"/>
      <c r="BF922" s="1392" t="n"/>
      <c r="BG922" s="1392" t="n"/>
      <c r="BH922" s="1392" t="n"/>
      <c r="BI922" s="1392" t="n"/>
      <c r="BJ922" s="1392" t="n"/>
      <c r="BK922" s="1392" t="n"/>
      <c r="BL922" s="1392" t="n"/>
      <c r="BM922" s="1392" t="n"/>
      <c r="BN922" s="1392" t="n"/>
      <c r="BO922" s="1392" t="n"/>
      <c r="BP922" s="1392" t="n"/>
      <c r="BQ922" s="1392" t="n"/>
      <c r="BR922" s="1392" t="n"/>
      <c r="BS922" s="1392" t="n"/>
      <c r="BT922" s="1392" t="n"/>
      <c r="BU922" s="1416" t="n"/>
      <c r="BV922" s="1392" t="n"/>
      <c r="BW922" s="1392" t="n"/>
      <c r="BX922" s="1392" t="n"/>
      <c r="BY922" s="1392" t="n"/>
      <c r="BZ922" s="1416" t="n"/>
      <c r="CA922" s="1392" t="n"/>
      <c r="CB922" s="1392" t="n"/>
      <c r="CC922" s="1392" t="n"/>
      <c r="CD922" s="1392" t="n"/>
      <c r="CE922" s="1392" t="n"/>
      <c r="CF922" s="1392" t="n"/>
      <c r="CG922" s="1392" t="n"/>
      <c r="CH922" s="1392" t="n"/>
      <c r="CI922" s="1392" t="n"/>
      <c r="CJ922" s="1392" t="n"/>
      <c r="CK922" s="1392" t="n"/>
      <c r="CL922" s="1392" t="n"/>
    </row>
    <row r="923">
      <c r="A923" s="5" t="inlineStr">
        <is>
          <t>.</t>
        </is>
      </c>
      <c r="B923" s="5" t="inlineStr">
        <is>
          <t>.</t>
        </is>
      </c>
      <c r="C923" s="1378">
        <f>IF(raw[[#This Row],[city]]="","-",IF(raw[[#This Row],[city]]="TODAY","-",C922+1))</f>
        <v/>
      </c>
      <c r="D923" s="1393" t="inlineStr">
        <is>
          <t>Montjovet</t>
        </is>
      </c>
      <c r="E923" s="1394" t="n">
        <v>38564</v>
      </c>
      <c r="F923" s="1394" t="n">
        <v>38564</v>
      </c>
      <c r="G923" s="1393" t="inlineStr">
        <is>
          <t>-</t>
        </is>
      </c>
      <c r="H923" s="1393" t="inlineStr">
        <is>
          <t>Transit</t>
        </is>
      </c>
      <c r="I923" s="1393" t="inlineStr">
        <is>
          <t>VF</t>
        </is>
      </c>
      <c r="J923" s="1393" t="inlineStr">
        <is>
          <t>-</t>
        </is>
      </c>
      <c r="K923" s="1395">
        <f>IF(raw[[#This Row],[city]]&lt;&gt;"",_xlfn.XLOOKUP($D923,ccc[city],ccc[prov],"-"),"-")</f>
        <v/>
      </c>
      <c r="L923" s="1395">
        <f>IF(raw[[#This Row],[city]]&lt;&gt;"",_xlfn.XLOOKUP($D923,ccc[city],ccc[ctry],"-"),"-")</f>
        <v/>
      </c>
      <c r="M923" s="1395">
        <f>IF(raw[[#This Row],[city]]&lt;&gt;"",_xlfn.XLOOKUP($D923,ccc[city],ccc[cont],"-"),"-")</f>
        <v/>
      </c>
      <c r="N923" s="1396">
        <f>IF(raw[[#This Row],[city]]="","-",IF(raw[[#This Row],[cont]]="B",raw[[#This Row],[cont]],"W"))</f>
        <v/>
      </c>
      <c r="O923" s="1397">
        <f>IF(raw[[#This Row],[out]]=0,0,IF(raw[[#This Row],[out]]=raw[[#This Row],[in]],0.01,raw[[#This Row],[out]]-raw[[#This Row],[in]]))</f>
        <v/>
      </c>
      <c r="P923" s="1397">
        <f>IF(raw[[#This Row],[in]]=0,0,MONTH(raw[[#This Row],[in]]))</f>
        <v/>
      </c>
      <c r="Q923" s="1397">
        <f>IF(raw[[#This Row],[in]]=0,0,YEAR(raw[[#This Row],[in]]))</f>
        <v/>
      </c>
      <c r="R923" s="1397">
        <f>INT(raw[[#This Row],[yr]]/10)*10</f>
        <v/>
      </c>
      <c r="S923" s="1395">
        <f>IF(raw[[#This Row],[city]]="","-",IF(raw[[#This Row],[city]]&lt;&gt;_xlfn.XLOOKUP(raw[[#This Row],[home]],homes[home],homes[city],"-"),1,0))</f>
        <v/>
      </c>
      <c r="T923" s="1398" t="inlineStr">
        <is>
          <t>.</t>
        </is>
      </c>
      <c r="U923" s="1399">
        <f>IF(raw[[#This Row],[wb]]="w",raw[[#This Row],[stay]]+U922,U922)</f>
        <v/>
      </c>
      <c r="V923" s="1400">
        <f>IF(raw[[#This Row],[out]]=0,V922,(raw[[#This Row],[out]]-E$5))</f>
        <v/>
      </c>
      <c r="W923" s="1401">
        <f>U923/V923</f>
        <v/>
      </c>
      <c r="X923" s="1392" t="n"/>
      <c r="Y923" s="1392" t="n"/>
      <c r="Z923" s="1392" t="n"/>
      <c r="AA923" s="1392" t="n"/>
      <c r="AB923" s="1392" t="n"/>
      <c r="AC923" s="1392" t="n"/>
      <c r="AD923" s="1392" t="n"/>
      <c r="AE923" s="1392" t="n"/>
      <c r="AF923" s="1392" t="n"/>
      <c r="AG923" s="1392" t="n"/>
      <c r="AH923" s="1392" t="n"/>
      <c r="AI923" s="1392" t="n"/>
      <c r="AJ923" s="1392" t="n"/>
      <c r="AK923" s="1392" t="n"/>
      <c r="AL923" s="1392" t="n"/>
      <c r="AM923" s="1392" t="n"/>
      <c r="AN923" s="1392" t="n"/>
      <c r="AO923" s="1392" t="n"/>
      <c r="AP923" s="1392" t="n"/>
      <c r="AQ923" s="1392" t="n"/>
      <c r="AR923" s="1392" t="n"/>
      <c r="AS923" s="1422" t="n"/>
      <c r="AT923" s="1392" t="n"/>
      <c r="AU923" s="1392" t="n"/>
      <c r="AV923" s="1392" t="n"/>
      <c r="AW923" s="1392" t="n"/>
      <c r="AX923" s="1392" t="n"/>
      <c r="AY923" s="1392" t="n"/>
      <c r="AZ923" s="1392" t="n"/>
      <c r="BA923" s="1392" t="n"/>
      <c r="BB923" s="1422" t="n"/>
      <c r="BC923" s="1392" t="n"/>
      <c r="BD923" s="1392" t="n"/>
      <c r="BE923" s="1392" t="n"/>
      <c r="BF923" s="1392" t="n"/>
      <c r="BG923" s="1392" t="n"/>
      <c r="BH923" s="1392" t="n"/>
      <c r="BI923" s="1392" t="n"/>
      <c r="BJ923" s="1392" t="n"/>
      <c r="BK923" s="1392" t="n"/>
      <c r="BL923" s="1392" t="n"/>
      <c r="BM923" s="1392" t="n"/>
      <c r="BN923" s="1392" t="n"/>
      <c r="BO923" s="1392" t="n"/>
      <c r="BP923" s="1392" t="n"/>
      <c r="BQ923" s="1392" t="n"/>
      <c r="BR923" s="1392" t="n"/>
      <c r="BS923" s="1392" t="n"/>
      <c r="BT923" s="1392" t="n"/>
      <c r="BU923" s="1416" t="n"/>
      <c r="BV923" s="1392" t="n"/>
      <c r="BW923" s="1392" t="n"/>
      <c r="BX923" s="1392" t="n"/>
      <c r="BY923" s="1392" t="n"/>
      <c r="BZ923" s="1416" t="n"/>
      <c r="CA923" s="1392" t="n"/>
      <c r="CB923" s="1392" t="n"/>
      <c r="CC923" s="1392" t="n"/>
      <c r="CD923" s="1392" t="n"/>
      <c r="CE923" s="1392" t="n"/>
      <c r="CF923" s="1392" t="n"/>
      <c r="CG923" s="1392" t="n"/>
      <c r="CH923" s="1392" t="n"/>
      <c r="CI923" s="1392" t="n"/>
      <c r="CJ923" s="1392" t="n"/>
      <c r="CK923" s="1392" t="n"/>
      <c r="CL923" s="1392" t="n"/>
    </row>
    <row r="924">
      <c r="A924" s="5" t="inlineStr">
        <is>
          <t>.</t>
        </is>
      </c>
      <c r="B924" s="5" t="inlineStr">
        <is>
          <t>.</t>
        </is>
      </c>
      <c r="C924" s="1378">
        <f>IF(raw[[#This Row],[city]]="","-",IF(raw[[#This Row],[city]]="TODAY","-",C923+1))</f>
        <v/>
      </c>
      <c r="D924" s="1393" t="inlineStr">
        <is>
          <t>Bourg-Montjovet</t>
        </is>
      </c>
      <c r="E924" s="1394" t="n">
        <v>38564</v>
      </c>
      <c r="F924" s="1394" t="n">
        <v>38564</v>
      </c>
      <c r="G924" s="1393" t="inlineStr">
        <is>
          <t>-</t>
        </is>
      </c>
      <c r="H924" s="1393" t="inlineStr">
        <is>
          <t>Transit</t>
        </is>
      </c>
      <c r="I924" s="1393" t="inlineStr">
        <is>
          <t>VF</t>
        </is>
      </c>
      <c r="J924" s="1393" t="inlineStr">
        <is>
          <t>-</t>
        </is>
      </c>
      <c r="K924" s="1395">
        <f>IF(raw[[#This Row],[city]]&lt;&gt;"",_xlfn.XLOOKUP($D924,ccc[city],ccc[prov],"-"),"-")</f>
        <v/>
      </c>
      <c r="L924" s="1395">
        <f>IF(raw[[#This Row],[city]]&lt;&gt;"",_xlfn.XLOOKUP($D924,ccc[city],ccc[ctry],"-"),"-")</f>
        <v/>
      </c>
      <c r="M924" s="1395">
        <f>IF(raw[[#This Row],[city]]&lt;&gt;"",_xlfn.XLOOKUP($D924,ccc[city],ccc[cont],"-"),"-")</f>
        <v/>
      </c>
      <c r="N924" s="1396">
        <f>IF(raw[[#This Row],[city]]="","-",IF(raw[[#This Row],[cont]]="B",raw[[#This Row],[cont]],"W"))</f>
        <v/>
      </c>
      <c r="O924" s="1397">
        <f>IF(raw[[#This Row],[out]]=0,0,IF(raw[[#This Row],[out]]=raw[[#This Row],[in]],0.01,raw[[#This Row],[out]]-raw[[#This Row],[in]]))</f>
        <v/>
      </c>
      <c r="P924" s="1397">
        <f>IF(raw[[#This Row],[in]]=0,0,MONTH(raw[[#This Row],[in]]))</f>
        <v/>
      </c>
      <c r="Q924" s="1397">
        <f>IF(raw[[#This Row],[in]]=0,0,YEAR(raw[[#This Row],[in]]))</f>
        <v/>
      </c>
      <c r="R924" s="1397">
        <f>INT(raw[[#This Row],[yr]]/10)*10</f>
        <v/>
      </c>
      <c r="S924" s="1395">
        <f>IF(raw[[#This Row],[city]]="","-",IF(raw[[#This Row],[city]]&lt;&gt;_xlfn.XLOOKUP(raw[[#This Row],[home]],homes[home],homes[city],"-"),1,0))</f>
        <v/>
      </c>
      <c r="T924" s="1398" t="inlineStr">
        <is>
          <t>.</t>
        </is>
      </c>
      <c r="U924" s="1399">
        <f>IF(raw[[#This Row],[wb]]="w",raw[[#This Row],[stay]]+U923,U923)</f>
        <v/>
      </c>
      <c r="V924" s="1400">
        <f>IF(raw[[#This Row],[out]]=0,V923,(raw[[#This Row],[out]]-E$5))</f>
        <v/>
      </c>
      <c r="W924" s="1401">
        <f>U924/V924</f>
        <v/>
      </c>
      <c r="X924" s="1392" t="n"/>
      <c r="Y924" s="1392" t="n"/>
      <c r="Z924" s="1392" t="n"/>
      <c r="AA924" s="1392" t="n"/>
      <c r="AB924" s="1392" t="n"/>
      <c r="AC924" s="1392" t="n"/>
      <c r="AD924" s="1392" t="n"/>
      <c r="AE924" s="1392" t="n"/>
      <c r="AF924" s="1392" t="n"/>
      <c r="AG924" s="1392" t="n"/>
      <c r="AH924" s="1392" t="n"/>
      <c r="AI924" s="1392" t="n"/>
      <c r="AJ924" s="1392" t="n"/>
      <c r="AK924" s="1392" t="n"/>
      <c r="AL924" s="1392" t="n"/>
      <c r="AM924" s="1392" t="n"/>
      <c r="AN924" s="1392" t="n"/>
      <c r="AO924" s="1392" t="n"/>
      <c r="AP924" s="1392" t="n"/>
      <c r="AQ924" s="1392" t="n"/>
      <c r="AR924" s="1392" t="n"/>
      <c r="AS924" s="1422" t="n"/>
      <c r="AT924" s="1392" t="n"/>
      <c r="AU924" s="1392" t="n"/>
      <c r="AV924" s="1392" t="n"/>
      <c r="AW924" s="1392" t="n"/>
      <c r="AX924" s="1392" t="n"/>
      <c r="AY924" s="1392" t="n"/>
      <c r="AZ924" s="1392" t="n"/>
      <c r="BA924" s="1392" t="n"/>
      <c r="BB924" s="1422" t="n"/>
      <c r="BC924" s="1392" t="n"/>
      <c r="BD924" s="1392" t="n"/>
      <c r="BE924" s="1392" t="n"/>
      <c r="BF924" s="1392" t="n"/>
      <c r="BG924" s="1392" t="n"/>
      <c r="BH924" s="1392" t="n"/>
      <c r="BI924" s="1392" t="n"/>
      <c r="BJ924" s="1392" t="n"/>
      <c r="BK924" s="1392" t="n"/>
      <c r="BL924" s="1392" t="n"/>
      <c r="BM924" s="1392" t="n"/>
      <c r="BN924" s="1392" t="n"/>
      <c r="BO924" s="1392" t="n"/>
      <c r="BP924" s="1392" t="n"/>
      <c r="BQ924" s="1392" t="n"/>
      <c r="BR924" s="1392" t="n"/>
      <c r="BS924" s="1392" t="n"/>
      <c r="BT924" s="1392" t="n"/>
      <c r="BU924" s="1416" t="n"/>
      <c r="BV924" s="1392" t="n"/>
      <c r="BW924" s="1392" t="n"/>
      <c r="BX924" s="1392" t="n"/>
      <c r="BY924" s="1392" t="n"/>
      <c r="BZ924" s="1416" t="n"/>
      <c r="CA924" s="1392" t="n"/>
      <c r="CB924" s="1392" t="n"/>
      <c r="CC924" s="1392" t="n"/>
      <c r="CD924" s="1392" t="n"/>
      <c r="CE924" s="1392" t="n"/>
      <c r="CF924" s="1392" t="n"/>
      <c r="CG924" s="1392" t="n"/>
      <c r="CH924" s="1392" t="n"/>
      <c r="CI924" s="1392" t="n"/>
      <c r="CJ924" s="1392" t="n"/>
      <c r="CK924" s="1392" t="n"/>
      <c r="CL924" s="1392" t="n"/>
    </row>
    <row r="925">
      <c r="A925" s="5" t="inlineStr">
        <is>
          <t>.</t>
        </is>
      </c>
      <c r="B925" s="5" t="inlineStr">
        <is>
          <t>.</t>
        </is>
      </c>
      <c r="C925" s="1378">
        <f>IF(raw[[#This Row],[city]]="","-",IF(raw[[#This Row],[city]]="TODAY","-",C924+1))</f>
        <v/>
      </c>
      <c r="D925" s="1393" t="inlineStr">
        <is>
          <t>Pont-Saint-Martin</t>
        </is>
      </c>
      <c r="E925" s="1394" t="n">
        <v>38564</v>
      </c>
      <c r="F925" s="1394" t="n">
        <v>38565</v>
      </c>
      <c r="G925" s="1393" t="inlineStr">
        <is>
          <t>-</t>
        </is>
      </c>
      <c r="H925" s="1393" t="inlineStr">
        <is>
          <t>Transit</t>
        </is>
      </c>
      <c r="I925" s="1393" t="inlineStr">
        <is>
          <t>VF</t>
        </is>
      </c>
      <c r="J925" s="1393" t="inlineStr">
        <is>
          <t>-</t>
        </is>
      </c>
      <c r="K925" s="1395">
        <f>IF(raw[[#This Row],[city]]&lt;&gt;"",_xlfn.XLOOKUP($D925,ccc[city],ccc[prov],"-"),"-")</f>
        <v/>
      </c>
      <c r="L925" s="1395">
        <f>IF(raw[[#This Row],[city]]&lt;&gt;"",_xlfn.XLOOKUP($D925,ccc[city],ccc[ctry],"-"),"-")</f>
        <v/>
      </c>
      <c r="M925" s="1395">
        <f>IF(raw[[#This Row],[city]]&lt;&gt;"",_xlfn.XLOOKUP($D925,ccc[city],ccc[cont],"-"),"-")</f>
        <v/>
      </c>
      <c r="N925" s="1396">
        <f>IF(raw[[#This Row],[city]]="","-",IF(raw[[#This Row],[cont]]="B",raw[[#This Row],[cont]],"W"))</f>
        <v/>
      </c>
      <c r="O925" s="1397">
        <f>IF(raw[[#This Row],[out]]=0,0,IF(raw[[#This Row],[out]]=raw[[#This Row],[in]],0.01,raw[[#This Row],[out]]-raw[[#This Row],[in]]))</f>
        <v/>
      </c>
      <c r="P925" s="1397">
        <f>IF(raw[[#This Row],[in]]=0,0,MONTH(raw[[#This Row],[in]]))</f>
        <v/>
      </c>
      <c r="Q925" s="1397">
        <f>IF(raw[[#This Row],[in]]=0,0,YEAR(raw[[#This Row],[in]]))</f>
        <v/>
      </c>
      <c r="R925" s="1397">
        <f>INT(raw[[#This Row],[yr]]/10)*10</f>
        <v/>
      </c>
      <c r="S925" s="1395">
        <f>IF(raw[[#This Row],[city]]="","-",IF(raw[[#This Row],[city]]&lt;&gt;_xlfn.XLOOKUP(raw[[#This Row],[home]],homes[home],homes[city],"-"),1,0))</f>
        <v/>
      </c>
      <c r="T925" s="1398" t="inlineStr">
        <is>
          <t>.</t>
        </is>
      </c>
      <c r="U925" s="1399">
        <f>IF(raw[[#This Row],[wb]]="w",raw[[#This Row],[stay]]+U924,U924)</f>
        <v/>
      </c>
      <c r="V925" s="1400">
        <f>IF(raw[[#This Row],[out]]=0,V924,(raw[[#This Row],[out]]-E$5))</f>
        <v/>
      </c>
      <c r="W925" s="1401">
        <f>U925/V925</f>
        <v/>
      </c>
      <c r="X925" s="1392" t="n"/>
      <c r="Y925" s="1392" t="n"/>
      <c r="Z925" s="1392" t="n"/>
      <c r="AA925" s="1392" t="n"/>
      <c r="AB925" s="1392" t="n"/>
      <c r="AC925" s="1392" t="n"/>
      <c r="AD925" s="1392" t="n"/>
      <c r="AE925" s="1392" t="n"/>
      <c r="AF925" s="1392" t="n"/>
      <c r="AG925" s="1392" t="n"/>
      <c r="AH925" s="1392" t="n"/>
      <c r="AI925" s="1392" t="n"/>
      <c r="AJ925" s="1392" t="n"/>
      <c r="AK925" s="1392" t="n"/>
      <c r="AL925" s="1392" t="n"/>
      <c r="AM925" s="1392" t="n"/>
      <c r="AN925" s="1392" t="n"/>
      <c r="AO925" s="1392" t="n"/>
      <c r="AP925" s="1392" t="n"/>
      <c r="AQ925" s="1392" t="n"/>
      <c r="AR925" s="1392" t="n"/>
      <c r="AS925" s="1422" t="n"/>
      <c r="AT925" s="1392" t="n"/>
      <c r="AU925" s="1392" t="n"/>
      <c r="AV925" s="1392" t="n"/>
      <c r="AW925" s="1392" t="n"/>
      <c r="AX925" s="1392" t="n"/>
      <c r="AY925" s="1392" t="n"/>
      <c r="AZ925" s="1392" t="n"/>
      <c r="BA925" s="1392" t="n"/>
      <c r="BB925" s="1422" t="n"/>
      <c r="BC925" s="1392" t="n"/>
      <c r="BD925" s="1392" t="n"/>
      <c r="BE925" s="1392" t="n"/>
      <c r="BF925" s="1392" t="n"/>
      <c r="BG925" s="1392" t="n"/>
      <c r="BH925" s="1392" t="n"/>
      <c r="BI925" s="1392" t="n"/>
      <c r="BJ925" s="1392" t="n"/>
      <c r="BK925" s="1392" t="n"/>
      <c r="BL925" s="1392" t="n"/>
      <c r="BM925" s="1392" t="n"/>
      <c r="BN925" s="1392" t="n"/>
      <c r="BO925" s="1392" t="n"/>
      <c r="BP925" s="1392" t="n"/>
      <c r="BQ925" s="1392" t="n"/>
      <c r="BR925" s="1392" t="n"/>
      <c r="BS925" s="1392" t="n"/>
      <c r="BT925" s="1392" t="n"/>
      <c r="BU925" s="1416" t="n"/>
      <c r="BV925" s="1392" t="n"/>
      <c r="BW925" s="1392" t="n"/>
      <c r="BX925" s="1392" t="n"/>
      <c r="BY925" s="1392" t="n"/>
      <c r="BZ925" s="1416" t="n"/>
      <c r="CA925" s="1392" t="n"/>
      <c r="CB925" s="1392" t="n"/>
      <c r="CC925" s="1392" t="n"/>
      <c r="CD925" s="1392" t="n"/>
      <c r="CE925" s="1392" t="n"/>
      <c r="CF925" s="1392" t="n"/>
      <c r="CG925" s="1392" t="n"/>
      <c r="CH925" s="1392" t="n"/>
      <c r="CI925" s="1392" t="n"/>
      <c r="CJ925" s="1392" t="n"/>
      <c r="CK925" s="1392" t="n"/>
      <c r="CL925" s="1392" t="n"/>
    </row>
    <row r="926">
      <c r="A926" s="5" t="inlineStr">
        <is>
          <t>.</t>
        </is>
      </c>
      <c r="B926" s="5" t="inlineStr">
        <is>
          <t>.</t>
        </is>
      </c>
      <c r="C926" s="1378">
        <f>IF(raw[[#This Row],[city]]="","-",IF(raw[[#This Row],[city]]="TODAY","-",C925+1))</f>
        <v/>
      </c>
      <c r="D926" s="1393" t="inlineStr">
        <is>
          <t>Ivrea</t>
        </is>
      </c>
      <c r="E926" s="1394" t="n">
        <v>38565</v>
      </c>
      <c r="F926" s="1394" t="n">
        <v>38566</v>
      </c>
      <c r="G926" s="1393" t="inlineStr">
        <is>
          <t>-</t>
        </is>
      </c>
      <c r="H926" s="1393" t="inlineStr">
        <is>
          <t>Transit</t>
        </is>
      </c>
      <c r="I926" s="1393" t="inlineStr">
        <is>
          <t>VF</t>
        </is>
      </c>
      <c r="J926" s="1393" t="inlineStr">
        <is>
          <t>-</t>
        </is>
      </c>
      <c r="K926" s="1395">
        <f>IF(raw[[#This Row],[city]]&lt;&gt;"",_xlfn.XLOOKUP($D926,ccc[city],ccc[prov],"-"),"-")</f>
        <v/>
      </c>
      <c r="L926" s="1395">
        <f>IF(raw[[#This Row],[city]]&lt;&gt;"",_xlfn.XLOOKUP($D926,ccc[city],ccc[ctry],"-"),"-")</f>
        <v/>
      </c>
      <c r="M926" s="1395">
        <f>IF(raw[[#This Row],[city]]&lt;&gt;"",_xlfn.XLOOKUP($D926,ccc[city],ccc[cont],"-"),"-")</f>
        <v/>
      </c>
      <c r="N926" s="1396">
        <f>IF(raw[[#This Row],[city]]="","-",IF(raw[[#This Row],[cont]]="B",raw[[#This Row],[cont]],"W"))</f>
        <v/>
      </c>
      <c r="O926" s="1397">
        <f>IF(raw[[#This Row],[out]]=0,0,IF(raw[[#This Row],[out]]=raw[[#This Row],[in]],0.01,raw[[#This Row],[out]]-raw[[#This Row],[in]]))</f>
        <v/>
      </c>
      <c r="P926" s="1397">
        <f>IF(raw[[#This Row],[in]]=0,0,MONTH(raw[[#This Row],[in]]))</f>
        <v/>
      </c>
      <c r="Q926" s="1397">
        <f>IF(raw[[#This Row],[in]]=0,0,YEAR(raw[[#This Row],[in]]))</f>
        <v/>
      </c>
      <c r="R926" s="1397">
        <f>INT(raw[[#This Row],[yr]]/10)*10</f>
        <v/>
      </c>
      <c r="S926" s="1395">
        <f>IF(raw[[#This Row],[city]]="","-",IF(raw[[#This Row],[city]]&lt;&gt;_xlfn.XLOOKUP(raw[[#This Row],[home]],homes[home],homes[city],"-"),1,0))</f>
        <v/>
      </c>
      <c r="T926" s="1398" t="inlineStr">
        <is>
          <t>.</t>
        </is>
      </c>
      <c r="U926" s="1399">
        <f>IF(raw[[#This Row],[wb]]="w",raw[[#This Row],[stay]]+U925,U925)</f>
        <v/>
      </c>
      <c r="V926" s="1400">
        <f>IF(raw[[#This Row],[out]]=0,V925,(raw[[#This Row],[out]]-E$5))</f>
        <v/>
      </c>
      <c r="W926" s="1401">
        <f>U926/V926</f>
        <v/>
      </c>
      <c r="X926" s="1392" t="n"/>
      <c r="Y926" s="1392" t="n"/>
      <c r="Z926" s="1392" t="n"/>
      <c r="AA926" s="1392" t="n"/>
      <c r="AB926" s="1392" t="n"/>
      <c r="AC926" s="1392" t="n"/>
      <c r="AD926" s="1392" t="n"/>
      <c r="AE926" s="1392" t="n"/>
      <c r="AF926" s="1392" t="n"/>
      <c r="AG926" s="1392" t="n"/>
      <c r="AH926" s="1392" t="n"/>
      <c r="AI926" s="1392" t="n"/>
      <c r="AJ926" s="1392" t="n"/>
      <c r="AK926" s="1392" t="n"/>
      <c r="AL926" s="1392" t="n"/>
      <c r="AM926" s="1392" t="n"/>
      <c r="AN926" s="1392" t="n"/>
      <c r="AO926" s="1392" t="n"/>
      <c r="AP926" s="1392" t="n"/>
      <c r="AQ926" s="1392" t="n"/>
      <c r="AR926" s="1392" t="n"/>
      <c r="AS926" s="1422" t="n"/>
      <c r="AT926" s="1392" t="n"/>
      <c r="AU926" s="1392" t="n"/>
      <c r="AV926" s="1392" t="n"/>
      <c r="AW926" s="1392" t="n"/>
      <c r="AX926" s="1392" t="n"/>
      <c r="AY926" s="1392" t="n"/>
      <c r="AZ926" s="1392" t="n"/>
      <c r="BA926" s="1392" t="n"/>
      <c r="BB926" s="1422" t="n"/>
      <c r="BC926" s="1392" t="n"/>
      <c r="BD926" s="1392" t="n"/>
      <c r="BE926" s="1392" t="n"/>
      <c r="BF926" s="1392" t="n"/>
      <c r="BG926" s="1392" t="n"/>
      <c r="BH926" s="1392" t="n"/>
      <c r="BI926" s="1392" t="n"/>
      <c r="BJ926" s="1392" t="n"/>
      <c r="BK926" s="1392" t="n"/>
      <c r="BL926" s="1392" t="n"/>
      <c r="BM926" s="1392" t="n"/>
      <c r="BN926" s="1392" t="n"/>
      <c r="BO926" s="1392" t="n"/>
      <c r="BP926" s="1392" t="n"/>
      <c r="BQ926" s="1392" t="n"/>
      <c r="BR926" s="1392" t="n"/>
      <c r="BS926" s="1392" t="n"/>
      <c r="BT926" s="1392" t="n"/>
      <c r="BU926" s="1416" t="n"/>
      <c r="BV926" s="1392" t="n"/>
      <c r="BW926" s="1392" t="n"/>
      <c r="BX926" s="1392" t="n"/>
      <c r="BY926" s="1392" t="n"/>
      <c r="BZ926" s="1416" t="n"/>
      <c r="CA926" s="1392" t="n"/>
      <c r="CB926" s="1392" t="n"/>
      <c r="CC926" s="1392" t="n"/>
      <c r="CD926" s="1392" t="n"/>
      <c r="CE926" s="1392" t="n"/>
      <c r="CF926" s="1392" t="n"/>
      <c r="CG926" s="1392" t="n"/>
      <c r="CH926" s="1392" t="n"/>
      <c r="CI926" s="1392" t="n"/>
      <c r="CJ926" s="1392" t="n"/>
      <c r="CK926" s="1392" t="n"/>
      <c r="CL926" s="1392" t="n"/>
    </row>
    <row r="927">
      <c r="A927" s="5" t="inlineStr">
        <is>
          <t>.</t>
        </is>
      </c>
      <c r="B927" s="5" t="inlineStr">
        <is>
          <t>.</t>
        </is>
      </c>
      <c r="C927" s="1378">
        <f>IF(raw[[#This Row],[city]]="","-",IF(raw[[#This Row],[city]]="TODAY","-",C926+1))</f>
        <v/>
      </c>
      <c r="D927" s="1393" t="inlineStr">
        <is>
          <t>San Germano</t>
        </is>
      </c>
      <c r="E927" s="1394" t="n">
        <v>38566</v>
      </c>
      <c r="F927" s="1394" t="n">
        <v>38567</v>
      </c>
      <c r="G927" s="1393" t="inlineStr">
        <is>
          <t>-</t>
        </is>
      </c>
      <c r="H927" s="1393" t="inlineStr">
        <is>
          <t>Transit</t>
        </is>
      </c>
      <c r="I927" s="1393" t="inlineStr">
        <is>
          <t>VF</t>
        </is>
      </c>
      <c r="J927" s="1393" t="inlineStr">
        <is>
          <t>-</t>
        </is>
      </c>
      <c r="K927" s="1395">
        <f>IF(raw[[#This Row],[city]]&lt;&gt;"",_xlfn.XLOOKUP($D927,ccc[city],ccc[prov],"-"),"-")</f>
        <v/>
      </c>
      <c r="L927" s="1395">
        <f>IF(raw[[#This Row],[city]]&lt;&gt;"",_xlfn.XLOOKUP($D927,ccc[city],ccc[ctry],"-"),"-")</f>
        <v/>
      </c>
      <c r="M927" s="1395">
        <f>IF(raw[[#This Row],[city]]&lt;&gt;"",_xlfn.XLOOKUP($D927,ccc[city],ccc[cont],"-"),"-")</f>
        <v/>
      </c>
      <c r="N927" s="1396">
        <f>IF(raw[[#This Row],[city]]="","-",IF(raw[[#This Row],[cont]]="B",raw[[#This Row],[cont]],"W"))</f>
        <v/>
      </c>
      <c r="O927" s="1397">
        <f>IF(raw[[#This Row],[out]]=0,0,IF(raw[[#This Row],[out]]=raw[[#This Row],[in]],0.01,raw[[#This Row],[out]]-raw[[#This Row],[in]]))</f>
        <v/>
      </c>
      <c r="P927" s="1397">
        <f>IF(raw[[#This Row],[in]]=0,0,MONTH(raw[[#This Row],[in]]))</f>
        <v/>
      </c>
      <c r="Q927" s="1397">
        <f>IF(raw[[#This Row],[in]]=0,0,YEAR(raw[[#This Row],[in]]))</f>
        <v/>
      </c>
      <c r="R927" s="1397">
        <f>INT(raw[[#This Row],[yr]]/10)*10</f>
        <v/>
      </c>
      <c r="S927" s="1395">
        <f>IF(raw[[#This Row],[city]]="","-",IF(raw[[#This Row],[city]]&lt;&gt;_xlfn.XLOOKUP(raw[[#This Row],[home]],homes[home],homes[city],"-"),1,0))</f>
        <v/>
      </c>
      <c r="T927" s="1398" t="inlineStr">
        <is>
          <t>.</t>
        </is>
      </c>
      <c r="U927" s="1399">
        <f>IF(raw[[#This Row],[wb]]="w",raw[[#This Row],[stay]]+U926,U926)</f>
        <v/>
      </c>
      <c r="V927" s="1400">
        <f>IF(raw[[#This Row],[out]]=0,V926,(raw[[#This Row],[out]]-E$5))</f>
        <v/>
      </c>
      <c r="W927" s="1401">
        <f>U927/V927</f>
        <v/>
      </c>
      <c r="X927" s="1392" t="n"/>
      <c r="Y927" s="1392" t="n"/>
      <c r="Z927" s="1392" t="n"/>
      <c r="AA927" s="1392" t="n"/>
      <c r="AB927" s="1392" t="n"/>
      <c r="AC927" s="1392" t="n"/>
      <c r="AD927" s="1392" t="n"/>
      <c r="AE927" s="1392" t="n"/>
      <c r="AF927" s="1392" t="n"/>
      <c r="AG927" s="1392" t="n"/>
      <c r="AH927" s="1392" t="n"/>
      <c r="AI927" s="1392" t="n"/>
      <c r="AJ927" s="1392" t="n"/>
      <c r="AK927" s="1392" t="n"/>
      <c r="AL927" s="1392" t="n"/>
      <c r="AM927" s="1392" t="n"/>
      <c r="AN927" s="1392" t="n"/>
      <c r="AO927" s="1392" t="n"/>
      <c r="AP927" s="1392" t="n"/>
      <c r="AQ927" s="1392" t="n"/>
      <c r="AR927" s="1392" t="n"/>
      <c r="AS927" s="1422" t="n"/>
      <c r="AT927" s="1392" t="n"/>
      <c r="AU927" s="1392" t="n"/>
      <c r="AV927" s="1392" t="n"/>
      <c r="AW927" s="1392" t="n"/>
      <c r="AX927" s="1392" t="n"/>
      <c r="AY927" s="1392" t="n"/>
      <c r="AZ927" s="1392" t="n"/>
      <c r="BA927" s="1392" t="n"/>
      <c r="BB927" s="1422" t="n"/>
      <c r="BC927" s="1392" t="n"/>
      <c r="BD927" s="1392" t="n"/>
      <c r="BE927" s="1392" t="n"/>
      <c r="BF927" s="1392" t="n"/>
      <c r="BG927" s="1392" t="n"/>
      <c r="BH927" s="1392" t="n"/>
      <c r="BI927" s="1392" t="n"/>
      <c r="BJ927" s="1392" t="n"/>
      <c r="BK927" s="1392" t="n"/>
      <c r="BL927" s="1392" t="n"/>
      <c r="BM927" s="1392" t="n"/>
      <c r="BN927" s="1392" t="n"/>
      <c r="BO927" s="1392" t="n"/>
      <c r="BP927" s="1392" t="n"/>
      <c r="BQ927" s="1392" t="n"/>
      <c r="BR927" s="1392" t="n"/>
      <c r="BS927" s="1392" t="n"/>
      <c r="BT927" s="1392" t="n"/>
      <c r="BU927" s="1416" t="n"/>
      <c r="BV927" s="1392" t="n"/>
      <c r="BW927" s="1392" t="n"/>
      <c r="BX927" s="1392" t="n"/>
      <c r="BY927" s="1392" t="n"/>
      <c r="BZ927" s="1416" t="n"/>
      <c r="CA927" s="1392" t="n"/>
      <c r="CB927" s="1392" t="n"/>
      <c r="CC927" s="1392" t="n"/>
      <c r="CD927" s="1392" t="n"/>
      <c r="CE927" s="1392" t="n"/>
      <c r="CF927" s="1392" t="n"/>
      <c r="CG927" s="1392" t="n"/>
      <c r="CH927" s="1392" t="n"/>
      <c r="CI927" s="1392" t="n"/>
      <c r="CJ927" s="1392" t="n"/>
      <c r="CK927" s="1392" t="n"/>
      <c r="CL927" s="1392" t="n"/>
    </row>
    <row r="928">
      <c r="A928" s="5" t="inlineStr">
        <is>
          <t>.</t>
        </is>
      </c>
      <c r="B928" s="5" t="inlineStr">
        <is>
          <t>.</t>
        </is>
      </c>
      <c r="C928" s="1378">
        <f>IF(raw[[#This Row],[city]]="","-",IF(raw[[#This Row],[city]]="TODAY","-",C927+1))</f>
        <v/>
      </c>
      <c r="D928" s="1393" t="inlineStr">
        <is>
          <t>Vercelli</t>
        </is>
      </c>
      <c r="E928" s="1394" t="n">
        <v>38567</v>
      </c>
      <c r="F928" s="1394" t="n">
        <v>38567</v>
      </c>
      <c r="G928" s="1393" t="inlineStr">
        <is>
          <t>-</t>
        </is>
      </c>
      <c r="H928" s="1393" t="inlineStr">
        <is>
          <t>Transit</t>
        </is>
      </c>
      <c r="I928" s="1393" t="inlineStr">
        <is>
          <t>VF</t>
        </is>
      </c>
      <c r="J928" s="1393" t="inlineStr">
        <is>
          <t>-</t>
        </is>
      </c>
      <c r="K928" s="1395">
        <f>IF(raw[[#This Row],[city]]&lt;&gt;"",_xlfn.XLOOKUP($D928,ccc[city],ccc[prov],"-"),"-")</f>
        <v/>
      </c>
      <c r="L928" s="1395">
        <f>IF(raw[[#This Row],[city]]&lt;&gt;"",_xlfn.XLOOKUP($D928,ccc[city],ccc[ctry],"-"),"-")</f>
        <v/>
      </c>
      <c r="M928" s="1395">
        <f>IF(raw[[#This Row],[city]]&lt;&gt;"",_xlfn.XLOOKUP($D928,ccc[city],ccc[cont],"-"),"-")</f>
        <v/>
      </c>
      <c r="N928" s="1396">
        <f>IF(raw[[#This Row],[city]]="","-",IF(raw[[#This Row],[cont]]="B",raw[[#This Row],[cont]],"W"))</f>
        <v/>
      </c>
      <c r="O928" s="1397">
        <f>IF(raw[[#This Row],[out]]=0,0,IF(raw[[#This Row],[out]]=raw[[#This Row],[in]],0.01,raw[[#This Row],[out]]-raw[[#This Row],[in]]))</f>
        <v/>
      </c>
      <c r="P928" s="1397">
        <f>IF(raw[[#This Row],[in]]=0,0,MONTH(raw[[#This Row],[in]]))</f>
        <v/>
      </c>
      <c r="Q928" s="1397">
        <f>IF(raw[[#This Row],[in]]=0,0,YEAR(raw[[#This Row],[in]]))</f>
        <v/>
      </c>
      <c r="R928" s="1397">
        <f>INT(raw[[#This Row],[yr]]/10)*10</f>
        <v/>
      </c>
      <c r="S928" s="1395">
        <f>IF(raw[[#This Row],[city]]="","-",IF(raw[[#This Row],[city]]&lt;&gt;_xlfn.XLOOKUP(raw[[#This Row],[home]],homes[home],homes[city],"-"),1,0))</f>
        <v/>
      </c>
      <c r="T928" s="1398" t="inlineStr">
        <is>
          <t>.</t>
        </is>
      </c>
      <c r="U928" s="1399">
        <f>IF(raw[[#This Row],[wb]]="w",raw[[#This Row],[stay]]+U927,U927)</f>
        <v/>
      </c>
      <c r="V928" s="1400">
        <f>IF(raw[[#This Row],[out]]=0,V927,(raw[[#This Row],[out]]-E$5))</f>
        <v/>
      </c>
      <c r="W928" s="1401">
        <f>U928/V928</f>
        <v/>
      </c>
      <c r="X928" s="1392" t="n"/>
      <c r="Y928" s="1392" t="n"/>
      <c r="Z928" s="1392" t="n"/>
      <c r="AA928" s="1392" t="n"/>
      <c r="AB928" s="1392" t="n"/>
      <c r="AC928" s="1392" t="n"/>
      <c r="AD928" s="1392" t="n"/>
      <c r="AE928" s="1392" t="n"/>
      <c r="AF928" s="1392" t="n"/>
      <c r="AG928" s="1392" t="n"/>
      <c r="AH928" s="1392" t="n"/>
      <c r="AI928" s="1392" t="n"/>
      <c r="AJ928" s="1392" t="n"/>
      <c r="AK928" s="1392" t="n"/>
      <c r="AL928" s="1392" t="n"/>
      <c r="AM928" s="1392" t="n"/>
      <c r="AN928" s="1392" t="n"/>
      <c r="AO928" s="1392" t="n"/>
      <c r="AP928" s="1392" t="n"/>
      <c r="AQ928" s="1392" t="n"/>
      <c r="AR928" s="1392" t="n"/>
      <c r="AS928" s="1422" t="n"/>
      <c r="AT928" s="1392" t="n"/>
      <c r="AU928" s="1392" t="n"/>
      <c r="AV928" s="1392" t="n"/>
      <c r="AW928" s="1392" t="n"/>
      <c r="AX928" s="1392" t="n"/>
      <c r="AY928" s="1392" t="n"/>
      <c r="AZ928" s="1392" t="n"/>
      <c r="BA928" s="1392" t="n"/>
      <c r="BB928" s="1422" t="n"/>
      <c r="BC928" s="1392" t="n"/>
      <c r="BD928" s="1392" t="n"/>
      <c r="BE928" s="1392" t="n"/>
      <c r="BF928" s="1392" t="n"/>
      <c r="BG928" s="1392" t="n"/>
      <c r="BH928" s="1392" t="n"/>
      <c r="BI928" s="1392" t="n"/>
      <c r="BJ928" s="1392" t="n"/>
      <c r="BK928" s="1392" t="n"/>
      <c r="BL928" s="1392" t="n"/>
      <c r="BM928" s="1392" t="n"/>
      <c r="BN928" s="1392" t="n"/>
      <c r="BO928" s="1392" t="n"/>
      <c r="BP928" s="1392" t="n"/>
      <c r="BQ928" s="1392" t="n"/>
      <c r="BR928" s="1392" t="n"/>
      <c r="BS928" s="1392" t="n"/>
      <c r="BT928" s="1392" t="n"/>
      <c r="BU928" s="1416" t="n"/>
      <c r="BV928" s="1392" t="n"/>
      <c r="BW928" s="1392" t="n"/>
      <c r="BX928" s="1392" t="n"/>
      <c r="BY928" s="1392" t="n"/>
      <c r="BZ928" s="1416" t="n"/>
      <c r="CA928" s="1392" t="n"/>
      <c r="CB928" s="1392" t="n"/>
      <c r="CC928" s="1392" t="n"/>
      <c r="CD928" s="1392" t="n"/>
      <c r="CE928" s="1392" t="n"/>
      <c r="CF928" s="1392" t="n"/>
      <c r="CG928" s="1392" t="n"/>
      <c r="CH928" s="1392" t="n"/>
      <c r="CI928" s="1392" t="n"/>
      <c r="CJ928" s="1392" t="n"/>
      <c r="CK928" s="1392" t="n"/>
      <c r="CL928" s="1392" t="n"/>
    </row>
    <row r="929">
      <c r="A929" s="5" t="inlineStr">
        <is>
          <t>.</t>
        </is>
      </c>
      <c r="B929" s="5" t="inlineStr">
        <is>
          <t>.</t>
        </is>
      </c>
      <c r="C929" s="1378">
        <f>IF(raw[[#This Row],[city]]="","-",IF(raw[[#This Row],[city]]="TODAY","-",C928+1))</f>
        <v/>
      </c>
      <c r="D929" s="1393" t="inlineStr">
        <is>
          <t>Robbio</t>
        </is>
      </c>
      <c r="E929" s="1394" t="n">
        <v>38567</v>
      </c>
      <c r="F929" s="1394" t="n">
        <v>38568</v>
      </c>
      <c r="G929" s="1393" t="inlineStr">
        <is>
          <t>-</t>
        </is>
      </c>
      <c r="H929" s="1393" t="inlineStr">
        <is>
          <t>Transit</t>
        </is>
      </c>
      <c r="I929" s="1393" t="inlineStr">
        <is>
          <t>VF</t>
        </is>
      </c>
      <c r="J929" s="1393" t="inlineStr">
        <is>
          <t>-</t>
        </is>
      </c>
      <c r="K929" s="1395">
        <f>IF(raw[[#This Row],[city]]&lt;&gt;"",_xlfn.XLOOKUP($D929,ccc[city],ccc[prov],"-"),"-")</f>
        <v/>
      </c>
      <c r="L929" s="1395">
        <f>IF(raw[[#This Row],[city]]&lt;&gt;"",_xlfn.XLOOKUP($D929,ccc[city],ccc[ctry],"-"),"-")</f>
        <v/>
      </c>
      <c r="M929" s="1395">
        <f>IF(raw[[#This Row],[city]]&lt;&gt;"",_xlfn.XLOOKUP($D929,ccc[city],ccc[cont],"-"),"-")</f>
        <v/>
      </c>
      <c r="N929" s="1396">
        <f>IF(raw[[#This Row],[city]]="","-",IF(raw[[#This Row],[cont]]="B",raw[[#This Row],[cont]],"W"))</f>
        <v/>
      </c>
      <c r="O929" s="1397">
        <f>IF(raw[[#This Row],[out]]=0,0,IF(raw[[#This Row],[out]]=raw[[#This Row],[in]],0.01,raw[[#This Row],[out]]-raw[[#This Row],[in]]))</f>
        <v/>
      </c>
      <c r="P929" s="1397">
        <f>IF(raw[[#This Row],[in]]=0,0,MONTH(raw[[#This Row],[in]]))</f>
        <v/>
      </c>
      <c r="Q929" s="1397">
        <f>IF(raw[[#This Row],[in]]=0,0,YEAR(raw[[#This Row],[in]]))</f>
        <v/>
      </c>
      <c r="R929" s="1397">
        <f>INT(raw[[#This Row],[yr]]/10)*10</f>
        <v/>
      </c>
      <c r="S929" s="1395">
        <f>IF(raw[[#This Row],[city]]="","-",IF(raw[[#This Row],[city]]&lt;&gt;_xlfn.XLOOKUP(raw[[#This Row],[home]],homes[home],homes[city],"-"),1,0))</f>
        <v/>
      </c>
      <c r="T929" s="1398" t="inlineStr">
        <is>
          <t>.</t>
        </is>
      </c>
      <c r="U929" s="1399">
        <f>IF(raw[[#This Row],[wb]]="w",raw[[#This Row],[stay]]+U928,U928)</f>
        <v/>
      </c>
      <c r="V929" s="1400">
        <f>IF(raw[[#This Row],[out]]=0,V928,(raw[[#This Row],[out]]-E$5))</f>
        <v/>
      </c>
      <c r="W929" s="1401">
        <f>U929/V929</f>
        <v/>
      </c>
      <c r="X929" s="1392" t="n"/>
      <c r="Y929" s="1392" t="n"/>
      <c r="Z929" s="1392" t="n"/>
      <c r="AA929" s="1392" t="n"/>
      <c r="AB929" s="1392" t="n"/>
      <c r="AC929" s="1392" t="n"/>
      <c r="AD929" s="1392" t="n"/>
      <c r="AE929" s="1392" t="n"/>
      <c r="AF929" s="1392" t="n"/>
      <c r="AG929" s="1392" t="n"/>
      <c r="AH929" s="1392" t="n"/>
      <c r="AI929" s="1392" t="n"/>
      <c r="AJ929" s="1392" t="n"/>
      <c r="AK929" s="1392" t="n"/>
      <c r="AL929" s="1392" t="n"/>
      <c r="AM929" s="1392" t="n"/>
      <c r="AN929" s="1392" t="n"/>
      <c r="AO929" s="1392" t="n"/>
      <c r="AP929" s="1392" t="n"/>
      <c r="AQ929" s="1392" t="n"/>
      <c r="AR929" s="1392" t="n"/>
      <c r="AS929" s="1422" t="n"/>
      <c r="AT929" s="1392" t="n"/>
      <c r="AU929" s="1392" t="n"/>
      <c r="AV929" s="1392" t="n"/>
      <c r="AW929" s="1392" t="n"/>
      <c r="AX929" s="1392" t="n"/>
      <c r="AY929" s="1392" t="n"/>
      <c r="AZ929" s="1392" t="n"/>
      <c r="BA929" s="1392" t="n"/>
      <c r="BB929" s="1422" t="n"/>
      <c r="BC929" s="1392" t="n"/>
      <c r="BD929" s="1392" t="n"/>
      <c r="BE929" s="1392" t="n"/>
      <c r="BF929" s="1392" t="n"/>
      <c r="BG929" s="1392" t="n"/>
      <c r="BH929" s="1392" t="n"/>
      <c r="BI929" s="1392" t="n"/>
      <c r="BJ929" s="1392" t="n"/>
      <c r="BK929" s="1392" t="n"/>
      <c r="BL929" s="1392" t="n"/>
      <c r="BM929" s="1392" t="n"/>
      <c r="BN929" s="1392" t="n"/>
      <c r="BO929" s="1392" t="n"/>
      <c r="BP929" s="1392" t="n"/>
      <c r="BQ929" s="1392" t="n"/>
      <c r="BR929" s="1392" t="n"/>
      <c r="BS929" s="1392" t="n"/>
      <c r="BT929" s="1392" t="n"/>
      <c r="BU929" s="1416" t="n"/>
      <c r="BV929" s="1392" t="n"/>
      <c r="BW929" s="1392" t="n"/>
      <c r="BX929" s="1392" t="n"/>
      <c r="BY929" s="1392" t="n"/>
      <c r="BZ929" s="1416" t="n"/>
      <c r="CA929" s="1392" t="n"/>
      <c r="CB929" s="1392" t="n"/>
      <c r="CC929" s="1392" t="n"/>
      <c r="CD929" s="1392" t="n"/>
      <c r="CE929" s="1392" t="n"/>
      <c r="CF929" s="1392" t="n"/>
      <c r="CG929" s="1392" t="n"/>
      <c r="CH929" s="1392" t="n"/>
      <c r="CI929" s="1392" t="n"/>
      <c r="CJ929" s="1392" t="n"/>
      <c r="CK929" s="1392" t="n"/>
      <c r="CL929" s="1392" t="n"/>
    </row>
    <row r="930">
      <c r="A930" s="5" t="inlineStr">
        <is>
          <t>.</t>
        </is>
      </c>
      <c r="B930" s="5" t="inlineStr">
        <is>
          <t>.</t>
        </is>
      </c>
      <c r="C930" s="1378">
        <f>IF(raw[[#This Row],[city]]="","-",IF(raw[[#This Row],[city]]="TODAY","-",C929+1))</f>
        <v/>
      </c>
      <c r="D930" s="1393" t="inlineStr">
        <is>
          <t>Mortara</t>
        </is>
      </c>
      <c r="E930" s="1394" t="n">
        <v>38568</v>
      </c>
      <c r="F930" s="1394" t="n">
        <v>38568</v>
      </c>
      <c r="G930" s="1393" t="inlineStr">
        <is>
          <t>-</t>
        </is>
      </c>
      <c r="H930" s="1393" t="inlineStr">
        <is>
          <t>Transit</t>
        </is>
      </c>
      <c r="I930" s="1393" t="inlineStr">
        <is>
          <t>VF</t>
        </is>
      </c>
      <c r="J930" s="1393" t="inlineStr">
        <is>
          <t>-</t>
        </is>
      </c>
      <c r="K930" s="1395">
        <f>IF(raw[[#This Row],[city]]&lt;&gt;"",_xlfn.XLOOKUP($D930,ccc[city],ccc[prov],"-"),"-")</f>
        <v/>
      </c>
      <c r="L930" s="1395">
        <f>IF(raw[[#This Row],[city]]&lt;&gt;"",_xlfn.XLOOKUP($D930,ccc[city],ccc[ctry],"-"),"-")</f>
        <v/>
      </c>
      <c r="M930" s="1395">
        <f>IF(raw[[#This Row],[city]]&lt;&gt;"",_xlfn.XLOOKUP($D930,ccc[city],ccc[cont],"-"),"-")</f>
        <v/>
      </c>
      <c r="N930" s="1396">
        <f>IF(raw[[#This Row],[city]]="","-",IF(raw[[#This Row],[cont]]="B",raw[[#This Row],[cont]],"W"))</f>
        <v/>
      </c>
      <c r="O930" s="1397">
        <f>IF(raw[[#This Row],[out]]=0,0,IF(raw[[#This Row],[out]]=raw[[#This Row],[in]],0.01,raw[[#This Row],[out]]-raw[[#This Row],[in]]))</f>
        <v/>
      </c>
      <c r="P930" s="1397">
        <f>IF(raw[[#This Row],[in]]=0,0,MONTH(raw[[#This Row],[in]]))</f>
        <v/>
      </c>
      <c r="Q930" s="1397">
        <f>IF(raw[[#This Row],[in]]=0,0,YEAR(raw[[#This Row],[in]]))</f>
        <v/>
      </c>
      <c r="R930" s="1397">
        <f>INT(raw[[#This Row],[yr]]/10)*10</f>
        <v/>
      </c>
      <c r="S930" s="1395">
        <f>IF(raw[[#This Row],[city]]="","-",IF(raw[[#This Row],[city]]&lt;&gt;_xlfn.XLOOKUP(raw[[#This Row],[home]],homes[home],homes[city],"-"),1,0))</f>
        <v/>
      </c>
      <c r="T930" s="1398" t="inlineStr">
        <is>
          <t>.</t>
        </is>
      </c>
      <c r="U930" s="1399">
        <f>IF(raw[[#This Row],[wb]]="w",raw[[#This Row],[stay]]+U929,U929)</f>
        <v/>
      </c>
      <c r="V930" s="1400">
        <f>IF(raw[[#This Row],[out]]=0,V929,(raw[[#This Row],[out]]-E$5))</f>
        <v/>
      </c>
      <c r="W930" s="1401">
        <f>U930/V930</f>
        <v/>
      </c>
      <c r="X930" s="1392" t="n"/>
      <c r="Y930" s="1392" t="n"/>
      <c r="Z930" s="1392" t="n"/>
      <c r="AA930" s="1392" t="n"/>
      <c r="AB930" s="1392" t="n"/>
      <c r="AC930" s="1392" t="n"/>
      <c r="AD930" s="1392" t="n"/>
      <c r="AE930" s="1392" t="n"/>
      <c r="AF930" s="1392" t="n"/>
      <c r="AG930" s="1392" t="n"/>
      <c r="AH930" s="1392" t="n"/>
      <c r="AI930" s="1392" t="n"/>
      <c r="AJ930" s="1392" t="n"/>
      <c r="AK930" s="1392" t="n"/>
      <c r="AL930" s="1392" t="n"/>
      <c r="AM930" s="1392" t="n"/>
      <c r="AN930" s="1392" t="n"/>
      <c r="AO930" s="1392" t="n"/>
      <c r="AP930" s="1392" t="n"/>
      <c r="AQ930" s="1392" t="n"/>
      <c r="AR930" s="1392" t="n"/>
      <c r="AS930" s="1422" t="n"/>
      <c r="AT930" s="1392" t="n"/>
      <c r="AU930" s="1392" t="n"/>
      <c r="AV930" s="1392" t="n"/>
      <c r="AW930" s="1392" t="n"/>
      <c r="AX930" s="1392" t="n"/>
      <c r="AY930" s="1392" t="n"/>
      <c r="AZ930" s="1392" t="n"/>
      <c r="BA930" s="1392" t="n"/>
      <c r="BB930" s="1422" t="n"/>
      <c r="BC930" s="1392" t="n"/>
      <c r="BD930" s="1392" t="n"/>
      <c r="BE930" s="1392" t="n"/>
      <c r="BF930" s="1392" t="n"/>
      <c r="BG930" s="1392" t="n"/>
      <c r="BH930" s="1392" t="n"/>
      <c r="BI930" s="1392" t="n"/>
      <c r="BJ930" s="1392" t="n"/>
      <c r="BK930" s="1392" t="n"/>
      <c r="BL930" s="1392" t="n"/>
      <c r="BM930" s="1392" t="n"/>
      <c r="BN930" s="1392" t="n"/>
      <c r="BO930" s="1392" t="n"/>
      <c r="BP930" s="1392" t="n"/>
      <c r="BQ930" s="1392" t="n"/>
      <c r="BR930" s="1392" t="n"/>
      <c r="BS930" s="1392" t="n"/>
      <c r="BT930" s="1392" t="n"/>
      <c r="BU930" s="1416" t="n"/>
      <c r="BV930" s="1392" t="n"/>
      <c r="BW930" s="1392" t="n"/>
      <c r="BX930" s="1392" t="n"/>
      <c r="BY930" s="1392" t="n"/>
      <c r="BZ930" s="1416" t="n"/>
      <c r="CA930" s="1392" t="n"/>
      <c r="CB930" s="1392" t="n"/>
      <c r="CC930" s="1392" t="n"/>
      <c r="CD930" s="1392" t="n"/>
      <c r="CE930" s="1392" t="n"/>
      <c r="CF930" s="1392" t="n"/>
      <c r="CG930" s="1392" t="n"/>
      <c r="CH930" s="1392" t="n"/>
      <c r="CI930" s="1392" t="n"/>
      <c r="CJ930" s="1392" t="n"/>
      <c r="CK930" s="1392" t="n"/>
      <c r="CL930" s="1392" t="n"/>
    </row>
    <row r="931">
      <c r="A931" s="5" t="inlineStr">
        <is>
          <t>.</t>
        </is>
      </c>
      <c r="B931" s="5" t="inlineStr">
        <is>
          <t>.</t>
        </is>
      </c>
      <c r="C931" s="1378">
        <f>IF(raw[[#This Row],[city]]="","-",IF(raw[[#This Row],[city]]="TODAY","-",C930+1))</f>
        <v/>
      </c>
      <c r="D931" s="1393" t="inlineStr">
        <is>
          <t>Garlasco</t>
        </is>
      </c>
      <c r="E931" s="1394" t="n">
        <v>38568</v>
      </c>
      <c r="F931" s="1394" t="n">
        <v>38569</v>
      </c>
      <c r="G931" s="1393" t="inlineStr">
        <is>
          <t>-</t>
        </is>
      </c>
      <c r="H931" s="1393" t="inlineStr">
        <is>
          <t>Transit</t>
        </is>
      </c>
      <c r="I931" s="1393" t="inlineStr">
        <is>
          <t>VF</t>
        </is>
      </c>
      <c r="J931" s="1393" t="inlineStr">
        <is>
          <t>-</t>
        </is>
      </c>
      <c r="K931" s="1395">
        <f>IF(raw[[#This Row],[city]]&lt;&gt;"",_xlfn.XLOOKUP($D931,ccc[city],ccc[prov],"-"),"-")</f>
        <v/>
      </c>
      <c r="L931" s="1395">
        <f>IF(raw[[#This Row],[city]]&lt;&gt;"",_xlfn.XLOOKUP($D931,ccc[city],ccc[ctry],"-"),"-")</f>
        <v/>
      </c>
      <c r="M931" s="1395">
        <f>IF(raw[[#This Row],[city]]&lt;&gt;"",_xlfn.XLOOKUP($D931,ccc[city],ccc[cont],"-"),"-")</f>
        <v/>
      </c>
      <c r="N931" s="1396">
        <f>IF(raw[[#This Row],[city]]="","-",IF(raw[[#This Row],[cont]]="B",raw[[#This Row],[cont]],"W"))</f>
        <v/>
      </c>
      <c r="O931" s="1397">
        <f>IF(raw[[#This Row],[out]]=0,0,IF(raw[[#This Row],[out]]=raw[[#This Row],[in]],0.01,raw[[#This Row],[out]]-raw[[#This Row],[in]]))</f>
        <v/>
      </c>
      <c r="P931" s="1397">
        <f>IF(raw[[#This Row],[in]]=0,0,MONTH(raw[[#This Row],[in]]))</f>
        <v/>
      </c>
      <c r="Q931" s="1397">
        <f>IF(raw[[#This Row],[in]]=0,0,YEAR(raw[[#This Row],[in]]))</f>
        <v/>
      </c>
      <c r="R931" s="1397">
        <f>INT(raw[[#This Row],[yr]]/10)*10</f>
        <v/>
      </c>
      <c r="S931" s="1395">
        <f>IF(raw[[#This Row],[city]]="","-",IF(raw[[#This Row],[city]]&lt;&gt;_xlfn.XLOOKUP(raw[[#This Row],[home]],homes[home],homes[city],"-"),1,0))</f>
        <v/>
      </c>
      <c r="T931" s="1398" t="inlineStr">
        <is>
          <t>.</t>
        </is>
      </c>
      <c r="U931" s="1399">
        <f>IF(raw[[#This Row],[wb]]="w",raw[[#This Row],[stay]]+U930,U930)</f>
        <v/>
      </c>
      <c r="V931" s="1400">
        <f>IF(raw[[#This Row],[out]]=0,V930,(raw[[#This Row],[out]]-E$5))</f>
        <v/>
      </c>
      <c r="W931" s="1401">
        <f>U931/V931</f>
        <v/>
      </c>
      <c r="X931" s="1392" t="n"/>
      <c r="Y931" s="1392" t="n"/>
      <c r="Z931" s="1392" t="n"/>
      <c r="AA931" s="1392" t="n"/>
      <c r="AB931" s="1392" t="n"/>
      <c r="AC931" s="1392" t="n"/>
      <c r="AD931" s="1392" t="n"/>
      <c r="AE931" s="1392" t="n"/>
      <c r="AF931" s="1392" t="n"/>
      <c r="AG931" s="1392" t="n"/>
      <c r="AH931" s="1392" t="n"/>
      <c r="AI931" s="1392" t="n"/>
      <c r="AJ931" s="1392" t="n"/>
      <c r="AK931" s="1392" t="n"/>
      <c r="AL931" s="1392" t="n"/>
      <c r="AM931" s="1392" t="n"/>
      <c r="AN931" s="1392" t="n"/>
      <c r="AO931" s="1392" t="n"/>
      <c r="AP931" s="1392" t="n"/>
      <c r="AQ931" s="1392" t="n"/>
      <c r="AR931" s="1392" t="n"/>
      <c r="AS931" s="1422" t="n"/>
      <c r="AT931" s="1392" t="n"/>
      <c r="AU931" s="1392" t="n"/>
      <c r="AV931" s="1392" t="n"/>
      <c r="AW931" s="1392" t="n"/>
      <c r="AX931" s="1392" t="n"/>
      <c r="AY931" s="1392" t="n"/>
      <c r="AZ931" s="1392" t="n"/>
      <c r="BA931" s="1392" t="n"/>
      <c r="BB931" s="1422" t="n"/>
      <c r="BC931" s="1392" t="n"/>
      <c r="BD931" s="1392" t="n"/>
      <c r="BE931" s="1392" t="n"/>
      <c r="BF931" s="1392" t="n"/>
      <c r="BG931" s="1392" t="n"/>
      <c r="BH931" s="1392" t="n"/>
      <c r="BI931" s="1392" t="n"/>
      <c r="BJ931" s="1392" t="n"/>
      <c r="BK931" s="1392" t="n"/>
      <c r="BL931" s="1392" t="n"/>
      <c r="BM931" s="1392" t="n"/>
      <c r="BN931" s="1392" t="n"/>
      <c r="BO931" s="1392" t="n"/>
      <c r="BP931" s="1392" t="n"/>
      <c r="BQ931" s="1392" t="n"/>
      <c r="BR931" s="1392" t="n"/>
      <c r="BS931" s="1392" t="n"/>
      <c r="BT931" s="1392" t="n"/>
      <c r="BU931" s="1416" t="n"/>
      <c r="BV931" s="1392" t="n"/>
      <c r="BW931" s="1392" t="n"/>
      <c r="BX931" s="1392" t="n"/>
      <c r="BY931" s="1392" t="n"/>
      <c r="BZ931" s="1416" t="n"/>
      <c r="CA931" s="1392" t="n"/>
      <c r="CB931" s="1392" t="n"/>
      <c r="CC931" s="1392" t="n"/>
      <c r="CD931" s="1392" t="n"/>
      <c r="CE931" s="1392" t="n"/>
      <c r="CF931" s="1392" t="n"/>
      <c r="CG931" s="1392" t="n"/>
      <c r="CH931" s="1392" t="n"/>
      <c r="CI931" s="1392" t="n"/>
      <c r="CJ931" s="1392" t="n"/>
      <c r="CK931" s="1392" t="n"/>
      <c r="CL931" s="1392" t="n"/>
    </row>
    <row r="932">
      <c r="A932" s="5" t="inlineStr">
        <is>
          <t>.</t>
        </is>
      </c>
      <c r="B932" s="5" t="inlineStr">
        <is>
          <t>.</t>
        </is>
      </c>
      <c r="C932" s="1378">
        <f>IF(raw[[#This Row],[city]]="","-",IF(raw[[#This Row],[city]]="TODAY","-",C931+1))</f>
        <v/>
      </c>
      <c r="D932" s="1393" t="inlineStr">
        <is>
          <t>Pavia</t>
        </is>
      </c>
      <c r="E932" s="1394" t="n">
        <v>38569</v>
      </c>
      <c r="F932" s="1394" t="n">
        <v>38570</v>
      </c>
      <c r="G932" s="1393" t="inlineStr">
        <is>
          <t>-</t>
        </is>
      </c>
      <c r="H932" s="1393" t="inlineStr">
        <is>
          <t>Transit</t>
        </is>
      </c>
      <c r="I932" s="1393" t="inlineStr">
        <is>
          <t>VF</t>
        </is>
      </c>
      <c r="J932" s="1393" t="inlineStr">
        <is>
          <t>-</t>
        </is>
      </c>
      <c r="K932" s="1395">
        <f>IF(raw[[#This Row],[city]]&lt;&gt;"",_xlfn.XLOOKUP($D932,ccc[city],ccc[prov],"-"),"-")</f>
        <v/>
      </c>
      <c r="L932" s="1395">
        <f>IF(raw[[#This Row],[city]]&lt;&gt;"",_xlfn.XLOOKUP($D932,ccc[city],ccc[ctry],"-"),"-")</f>
        <v/>
      </c>
      <c r="M932" s="1395">
        <f>IF(raw[[#This Row],[city]]&lt;&gt;"",_xlfn.XLOOKUP($D932,ccc[city],ccc[cont],"-"),"-")</f>
        <v/>
      </c>
      <c r="N932" s="1396">
        <f>IF(raw[[#This Row],[city]]="","-",IF(raw[[#This Row],[cont]]="B",raw[[#This Row],[cont]],"W"))</f>
        <v/>
      </c>
      <c r="O932" s="1397">
        <f>IF(raw[[#This Row],[out]]=0,0,IF(raw[[#This Row],[out]]=raw[[#This Row],[in]],0.01,raw[[#This Row],[out]]-raw[[#This Row],[in]]))</f>
        <v/>
      </c>
      <c r="P932" s="1397">
        <f>IF(raw[[#This Row],[in]]=0,0,MONTH(raw[[#This Row],[in]]))</f>
        <v/>
      </c>
      <c r="Q932" s="1397">
        <f>IF(raw[[#This Row],[in]]=0,0,YEAR(raw[[#This Row],[in]]))</f>
        <v/>
      </c>
      <c r="R932" s="1397">
        <f>INT(raw[[#This Row],[yr]]/10)*10</f>
        <v/>
      </c>
      <c r="S932" s="1395">
        <f>IF(raw[[#This Row],[city]]="","-",IF(raw[[#This Row],[city]]&lt;&gt;_xlfn.XLOOKUP(raw[[#This Row],[home]],homes[home],homes[city],"-"),1,0))</f>
        <v/>
      </c>
      <c r="T932" s="1398" t="inlineStr">
        <is>
          <t>.</t>
        </is>
      </c>
      <c r="U932" s="1399">
        <f>IF(raw[[#This Row],[wb]]="w",raw[[#This Row],[stay]]+U931,U931)</f>
        <v/>
      </c>
      <c r="V932" s="1400">
        <f>IF(raw[[#This Row],[out]]=0,V931,(raw[[#This Row],[out]]-E$5))</f>
        <v/>
      </c>
      <c r="W932" s="1401">
        <f>U932/V932</f>
        <v/>
      </c>
      <c r="X932" s="1392" t="n"/>
      <c r="Y932" s="1392" t="n"/>
      <c r="Z932" s="1392" t="n"/>
      <c r="AA932" s="1392" t="n"/>
      <c r="AB932" s="1392" t="n"/>
      <c r="AC932" s="1392" t="n"/>
      <c r="AD932" s="1392" t="n"/>
      <c r="AE932" s="1392" t="n"/>
      <c r="AF932" s="1392" t="n"/>
      <c r="AG932" s="1392" t="n"/>
      <c r="AH932" s="1392" t="n"/>
      <c r="AI932" s="1392" t="n"/>
      <c r="AJ932" s="1392" t="n"/>
      <c r="AK932" s="1392" t="n"/>
      <c r="AL932" s="1392" t="n"/>
      <c r="AM932" s="1392" t="n"/>
      <c r="AN932" s="1392" t="n"/>
      <c r="AO932" s="1392" t="n"/>
      <c r="AP932" s="1392" t="n"/>
      <c r="AQ932" s="1392" t="n"/>
      <c r="AR932" s="1392" t="n"/>
      <c r="AS932" s="1422" t="n"/>
      <c r="AT932" s="1392" t="n"/>
      <c r="AU932" s="1392" t="n"/>
      <c r="AV932" s="1392" t="n"/>
      <c r="AW932" s="1392" t="n"/>
      <c r="AX932" s="1392" t="n"/>
      <c r="AY932" s="1392" t="n"/>
      <c r="AZ932" s="1392" t="n"/>
      <c r="BA932" s="1392" t="n"/>
      <c r="BB932" s="1422" t="n"/>
      <c r="BC932" s="1392" t="n"/>
      <c r="BD932" s="1392" t="n"/>
      <c r="BE932" s="1392" t="n"/>
      <c r="BF932" s="1392" t="n"/>
      <c r="BG932" s="1392" t="n"/>
      <c r="BH932" s="1392" t="n"/>
      <c r="BI932" s="1392" t="n"/>
      <c r="BJ932" s="1392" t="n"/>
      <c r="BK932" s="1392" t="n"/>
      <c r="BL932" s="1392" t="n"/>
      <c r="BM932" s="1392" t="n"/>
      <c r="BN932" s="1392" t="n"/>
      <c r="BO932" s="1392" t="n"/>
      <c r="BP932" s="1392" t="n"/>
      <c r="BQ932" s="1392" t="n"/>
      <c r="BR932" s="1392" t="n"/>
      <c r="BS932" s="1392" t="n"/>
      <c r="BT932" s="1392" t="n"/>
      <c r="BU932" s="1416" t="n"/>
      <c r="BV932" s="1392" t="n"/>
      <c r="BW932" s="1392" t="n"/>
      <c r="BX932" s="1392" t="n"/>
      <c r="BY932" s="1392" t="n"/>
      <c r="BZ932" s="1416" t="n"/>
      <c r="CA932" s="1392" t="n"/>
      <c r="CB932" s="1392" t="n"/>
      <c r="CC932" s="1392" t="n"/>
      <c r="CD932" s="1392" t="n"/>
      <c r="CE932" s="1392" t="n"/>
      <c r="CF932" s="1392" t="n"/>
      <c r="CG932" s="1392" t="n"/>
      <c r="CH932" s="1392" t="n"/>
      <c r="CI932" s="1392" t="n"/>
      <c r="CJ932" s="1392" t="n"/>
      <c r="CK932" s="1392" t="n"/>
      <c r="CL932" s="1392" t="n"/>
    </row>
    <row r="933">
      <c r="A933" s="5" t="inlineStr">
        <is>
          <t>.</t>
        </is>
      </c>
      <c r="B933" s="5" t="inlineStr">
        <is>
          <t>.</t>
        </is>
      </c>
      <c r="C933" s="1378">
        <f>IF(raw[[#This Row],[city]]="","-",IF(raw[[#This Row],[city]]="TODAY","-",C932+1))</f>
        <v/>
      </c>
      <c r="D933" s="1393" t="inlineStr">
        <is>
          <t>Santa Cristina</t>
        </is>
      </c>
      <c r="E933" s="1394" t="n">
        <v>38570</v>
      </c>
      <c r="F933" s="1394" t="n">
        <v>38571</v>
      </c>
      <c r="G933" s="1393" t="inlineStr">
        <is>
          <t>-</t>
        </is>
      </c>
      <c r="H933" s="1393" t="inlineStr">
        <is>
          <t>Transit</t>
        </is>
      </c>
      <c r="I933" s="1393" t="inlineStr">
        <is>
          <t>VF</t>
        </is>
      </c>
      <c r="J933" s="1393" t="inlineStr">
        <is>
          <t>-</t>
        </is>
      </c>
      <c r="K933" s="1395">
        <f>IF(raw[[#This Row],[city]]&lt;&gt;"",_xlfn.XLOOKUP($D933,ccc[city],ccc[prov],"-"),"-")</f>
        <v/>
      </c>
      <c r="L933" s="1395">
        <f>IF(raw[[#This Row],[city]]&lt;&gt;"",_xlfn.XLOOKUP($D933,ccc[city],ccc[ctry],"-"),"-")</f>
        <v/>
      </c>
      <c r="M933" s="1395">
        <f>IF(raw[[#This Row],[city]]&lt;&gt;"",_xlfn.XLOOKUP($D933,ccc[city],ccc[cont],"-"),"-")</f>
        <v/>
      </c>
      <c r="N933" s="1396">
        <f>IF(raw[[#This Row],[city]]="","-",IF(raw[[#This Row],[cont]]="B",raw[[#This Row],[cont]],"W"))</f>
        <v/>
      </c>
      <c r="O933" s="1397">
        <f>IF(raw[[#This Row],[out]]=0,0,IF(raw[[#This Row],[out]]=raw[[#This Row],[in]],0.01,raw[[#This Row],[out]]-raw[[#This Row],[in]]))</f>
        <v/>
      </c>
      <c r="P933" s="1397">
        <f>IF(raw[[#This Row],[in]]=0,0,MONTH(raw[[#This Row],[in]]))</f>
        <v/>
      </c>
      <c r="Q933" s="1397">
        <f>IF(raw[[#This Row],[in]]=0,0,YEAR(raw[[#This Row],[in]]))</f>
        <v/>
      </c>
      <c r="R933" s="1397">
        <f>INT(raw[[#This Row],[yr]]/10)*10</f>
        <v/>
      </c>
      <c r="S933" s="1395">
        <f>IF(raw[[#This Row],[city]]="","-",IF(raw[[#This Row],[city]]&lt;&gt;_xlfn.XLOOKUP(raw[[#This Row],[home]],homes[home],homes[city],"-"),1,0))</f>
        <v/>
      </c>
      <c r="T933" s="1398" t="inlineStr">
        <is>
          <t>.</t>
        </is>
      </c>
      <c r="U933" s="1399">
        <f>IF(raw[[#This Row],[wb]]="w",raw[[#This Row],[stay]]+U932,U932)</f>
        <v/>
      </c>
      <c r="V933" s="1400">
        <f>IF(raw[[#This Row],[out]]=0,V932,(raw[[#This Row],[out]]-E$5))</f>
        <v/>
      </c>
      <c r="W933" s="1401">
        <f>U933/V933</f>
        <v/>
      </c>
      <c r="X933" s="1392" t="n"/>
      <c r="Y933" s="1392" t="n"/>
      <c r="Z933" s="1392" t="n"/>
      <c r="AA933" s="1392" t="n"/>
      <c r="AB933" s="1392" t="n"/>
      <c r="AC933" s="1392" t="n"/>
      <c r="AD933" s="1392" t="n"/>
      <c r="AE933" s="1392" t="n"/>
      <c r="AF933" s="1392" t="n"/>
      <c r="AG933" s="1392" t="n"/>
      <c r="AH933" s="1392" t="n"/>
      <c r="AI933" s="1392" t="n"/>
      <c r="AJ933" s="1392" t="n"/>
      <c r="AK933" s="1392" t="n"/>
      <c r="AL933" s="1392" t="n"/>
      <c r="AM933" s="1392" t="n"/>
      <c r="AN933" s="1392" t="n"/>
      <c r="AO933" s="1392" t="n"/>
      <c r="AP933" s="1392" t="n"/>
      <c r="AQ933" s="1392" t="n"/>
      <c r="AR933" s="1392" t="n"/>
      <c r="AS933" s="1422" t="n"/>
      <c r="AT933" s="1392" t="n"/>
      <c r="AU933" s="1392" t="n"/>
      <c r="AV933" s="1392" t="n"/>
      <c r="AW933" s="1392" t="n"/>
      <c r="AX933" s="1392" t="n"/>
      <c r="AY933" s="1392" t="n"/>
      <c r="AZ933" s="1392" t="n"/>
      <c r="BA933" s="1392" t="n"/>
      <c r="BB933" s="1422" t="n"/>
      <c r="BC933" s="1392" t="n"/>
      <c r="BD933" s="1392" t="n"/>
      <c r="BE933" s="1392" t="n"/>
      <c r="BF933" s="1392" t="n"/>
      <c r="BG933" s="1392" t="n"/>
      <c r="BH933" s="1392" t="n"/>
      <c r="BI933" s="1392" t="n"/>
      <c r="BJ933" s="1392" t="n"/>
      <c r="BK933" s="1392" t="n"/>
      <c r="BL933" s="1392" t="n"/>
      <c r="BM933" s="1392" t="n"/>
      <c r="BN933" s="1392" t="n"/>
      <c r="BO933" s="1392" t="n"/>
      <c r="BP933" s="1392" t="n"/>
      <c r="BQ933" s="1392" t="n"/>
      <c r="BR933" s="1392" t="n"/>
      <c r="BS933" s="1392" t="n"/>
      <c r="BT933" s="1392" t="n"/>
      <c r="BU933" s="1416" t="n"/>
      <c r="BV933" s="1392" t="n"/>
      <c r="BW933" s="1392" t="n"/>
      <c r="BX933" s="1392" t="n"/>
      <c r="BY933" s="1392" t="n"/>
      <c r="BZ933" s="1416" t="n"/>
      <c r="CA933" s="1392" t="n"/>
      <c r="CB933" s="1392" t="n"/>
      <c r="CC933" s="1392" t="n"/>
      <c r="CD933" s="1392" t="n"/>
      <c r="CE933" s="1392" t="n"/>
      <c r="CF933" s="1392" t="n"/>
      <c r="CG933" s="1392" t="n"/>
      <c r="CH933" s="1392" t="n"/>
      <c r="CI933" s="1392" t="n"/>
      <c r="CJ933" s="1392" t="n"/>
      <c r="CK933" s="1392" t="n"/>
      <c r="CL933" s="1392" t="n"/>
    </row>
    <row r="934">
      <c r="A934" s="5" t="inlineStr">
        <is>
          <t>.</t>
        </is>
      </c>
      <c r="B934" s="5" t="inlineStr">
        <is>
          <t>.</t>
        </is>
      </c>
      <c r="C934" s="1378">
        <f>IF(raw[[#This Row],[city]]="","-",IF(raw[[#This Row],[city]]="TODAY","-",C933+1))</f>
        <v/>
      </c>
      <c r="D934" s="1393" t="inlineStr">
        <is>
          <t>Orio Litta</t>
        </is>
      </c>
      <c r="E934" s="1394" t="n">
        <v>38571</v>
      </c>
      <c r="F934" s="1394" t="n">
        <v>38571</v>
      </c>
      <c r="G934" s="1393" t="inlineStr">
        <is>
          <t>-</t>
        </is>
      </c>
      <c r="H934" s="1393" t="inlineStr">
        <is>
          <t>Transit</t>
        </is>
      </c>
      <c r="I934" s="1393" t="inlineStr">
        <is>
          <t>VF</t>
        </is>
      </c>
      <c r="J934" s="1393" t="inlineStr">
        <is>
          <t>-</t>
        </is>
      </c>
      <c r="K934" s="1395">
        <f>IF(raw[[#This Row],[city]]&lt;&gt;"",_xlfn.XLOOKUP($D934,ccc[city],ccc[prov],"-"),"-")</f>
        <v/>
      </c>
      <c r="L934" s="1395">
        <f>IF(raw[[#This Row],[city]]&lt;&gt;"",_xlfn.XLOOKUP($D934,ccc[city],ccc[ctry],"-"),"-")</f>
        <v/>
      </c>
      <c r="M934" s="1395">
        <f>IF(raw[[#This Row],[city]]&lt;&gt;"",_xlfn.XLOOKUP($D934,ccc[city],ccc[cont],"-"),"-")</f>
        <v/>
      </c>
      <c r="N934" s="1396">
        <f>IF(raw[[#This Row],[city]]="","-",IF(raw[[#This Row],[cont]]="B",raw[[#This Row],[cont]],"W"))</f>
        <v/>
      </c>
      <c r="O934" s="1397">
        <f>IF(raw[[#This Row],[out]]=0,0,IF(raw[[#This Row],[out]]=raw[[#This Row],[in]],0.01,raw[[#This Row],[out]]-raw[[#This Row],[in]]))</f>
        <v/>
      </c>
      <c r="P934" s="1397">
        <f>IF(raw[[#This Row],[in]]=0,0,MONTH(raw[[#This Row],[in]]))</f>
        <v/>
      </c>
      <c r="Q934" s="1397">
        <f>IF(raw[[#This Row],[in]]=0,0,YEAR(raw[[#This Row],[in]]))</f>
        <v/>
      </c>
      <c r="R934" s="1397">
        <f>INT(raw[[#This Row],[yr]]/10)*10</f>
        <v/>
      </c>
      <c r="S934" s="1395">
        <f>IF(raw[[#This Row],[city]]="","-",IF(raw[[#This Row],[city]]&lt;&gt;_xlfn.XLOOKUP(raw[[#This Row],[home]],homes[home],homes[city],"-"),1,0))</f>
        <v/>
      </c>
      <c r="T934" s="1398" t="inlineStr">
        <is>
          <t>.</t>
        </is>
      </c>
      <c r="U934" s="1399">
        <f>IF(raw[[#This Row],[wb]]="w",raw[[#This Row],[stay]]+U933,U933)</f>
        <v/>
      </c>
      <c r="V934" s="1400">
        <f>IF(raw[[#This Row],[out]]=0,V933,(raw[[#This Row],[out]]-E$5))</f>
        <v/>
      </c>
      <c r="W934" s="1401">
        <f>U934/V934</f>
        <v/>
      </c>
      <c r="X934" s="1392" t="n"/>
      <c r="Y934" s="1392" t="n"/>
      <c r="Z934" s="1392" t="n"/>
      <c r="AA934" s="1392" t="n"/>
      <c r="AB934" s="1392" t="n"/>
      <c r="AC934" s="1392" t="n"/>
      <c r="AD934" s="1392" t="n"/>
      <c r="AE934" s="1392" t="n"/>
      <c r="AF934" s="1392" t="n"/>
      <c r="AG934" s="1392" t="n"/>
      <c r="AH934" s="1392" t="n"/>
      <c r="AI934" s="1392" t="n"/>
      <c r="AJ934" s="1392" t="n"/>
      <c r="AK934" s="1392" t="n"/>
      <c r="AL934" s="1392" t="n"/>
      <c r="AM934" s="1392" t="n"/>
      <c r="AN934" s="1392" t="n"/>
      <c r="AO934" s="1392" t="n"/>
      <c r="AP934" s="1392" t="n"/>
      <c r="AQ934" s="1392" t="n"/>
      <c r="AR934" s="1392" t="n"/>
      <c r="AS934" s="1422" t="n"/>
      <c r="AT934" s="1392" t="n"/>
      <c r="AU934" s="1392" t="n"/>
      <c r="AV934" s="1392" t="n"/>
      <c r="AW934" s="1392" t="n"/>
      <c r="AX934" s="1392" t="n"/>
      <c r="AY934" s="1392" t="n"/>
      <c r="AZ934" s="1392" t="n"/>
      <c r="BA934" s="1392" t="n"/>
      <c r="BB934" s="1422" t="n"/>
      <c r="BC934" s="1392" t="n"/>
      <c r="BD934" s="1392" t="n"/>
      <c r="BE934" s="1392" t="n"/>
      <c r="BF934" s="1392" t="n"/>
      <c r="BG934" s="1392" t="n"/>
      <c r="BH934" s="1392" t="n"/>
      <c r="BI934" s="1392" t="n"/>
      <c r="BJ934" s="1392" t="n"/>
      <c r="BK934" s="1392" t="n"/>
      <c r="BL934" s="1392" t="n"/>
      <c r="BM934" s="1392" t="n"/>
      <c r="BN934" s="1392" t="n"/>
      <c r="BO934" s="1392" t="n"/>
      <c r="BP934" s="1392" t="n"/>
      <c r="BQ934" s="1392" t="n"/>
      <c r="BR934" s="1392" t="n"/>
      <c r="BS934" s="1392" t="n"/>
      <c r="BT934" s="1392" t="n"/>
      <c r="BU934" s="1416" t="n"/>
      <c r="BV934" s="1392" t="n"/>
      <c r="BW934" s="1392" t="n"/>
      <c r="BX934" s="1392" t="n"/>
      <c r="BY934" s="1392" t="n"/>
      <c r="BZ934" s="1416" t="n"/>
      <c r="CA934" s="1392" t="n"/>
      <c r="CB934" s="1392" t="n"/>
      <c r="CC934" s="1392" t="n"/>
      <c r="CD934" s="1392" t="n"/>
      <c r="CE934" s="1392" t="n"/>
      <c r="CF934" s="1392" t="n"/>
      <c r="CG934" s="1392" t="n"/>
      <c r="CH934" s="1392" t="n"/>
      <c r="CI934" s="1392" t="n"/>
      <c r="CJ934" s="1392" t="n"/>
      <c r="CK934" s="1392" t="n"/>
      <c r="CL934" s="1392" t="n"/>
    </row>
    <row r="935">
      <c r="A935" s="5" t="inlineStr">
        <is>
          <t>.</t>
        </is>
      </c>
      <c r="B935" s="5" t="inlineStr">
        <is>
          <t>.</t>
        </is>
      </c>
      <c r="C935" s="1378">
        <f>IF(raw[[#This Row],[city]]="","-",IF(raw[[#This Row],[city]]="TODAY","-",C934+1))</f>
        <v/>
      </c>
      <c r="D935" s="1393" t="inlineStr">
        <is>
          <t>Vilarejo vizinho</t>
        </is>
      </c>
      <c r="E935" s="1394" t="n">
        <v>38571</v>
      </c>
      <c r="F935" s="1394" t="n">
        <v>38571</v>
      </c>
      <c r="G935" s="1393" t="inlineStr">
        <is>
          <t>-</t>
        </is>
      </c>
      <c r="H935" s="1393" t="inlineStr">
        <is>
          <t>Transit</t>
        </is>
      </c>
      <c r="I935" s="1393" t="inlineStr">
        <is>
          <t>VF</t>
        </is>
      </c>
      <c r="J935" s="1393" t="inlineStr">
        <is>
          <t>-</t>
        </is>
      </c>
      <c r="K935" s="1395">
        <f>IF(raw[[#This Row],[city]]&lt;&gt;"",_xlfn.XLOOKUP($D935,ccc[city],ccc[prov],"-"),"-")</f>
        <v/>
      </c>
      <c r="L935" s="1395">
        <f>IF(raw[[#This Row],[city]]&lt;&gt;"",_xlfn.XLOOKUP($D935,ccc[city],ccc[ctry],"-"),"-")</f>
        <v/>
      </c>
      <c r="M935" s="1395">
        <f>IF(raw[[#This Row],[city]]&lt;&gt;"",_xlfn.XLOOKUP($D935,ccc[city],ccc[cont],"-"),"-")</f>
        <v/>
      </c>
      <c r="N935" s="1396">
        <f>IF(raw[[#This Row],[city]]="","-",IF(raw[[#This Row],[cont]]="B",raw[[#This Row],[cont]],"W"))</f>
        <v/>
      </c>
      <c r="O935" s="1397">
        <f>IF(raw[[#This Row],[out]]=0,0,IF(raw[[#This Row],[out]]=raw[[#This Row],[in]],0.01,raw[[#This Row],[out]]-raw[[#This Row],[in]]))</f>
        <v/>
      </c>
      <c r="P935" s="1397">
        <f>IF(raw[[#This Row],[in]]=0,0,MONTH(raw[[#This Row],[in]]))</f>
        <v/>
      </c>
      <c r="Q935" s="1397">
        <f>IF(raw[[#This Row],[in]]=0,0,YEAR(raw[[#This Row],[in]]))</f>
        <v/>
      </c>
      <c r="R935" s="1397">
        <f>INT(raw[[#This Row],[yr]]/10)*10</f>
        <v/>
      </c>
      <c r="S935" s="1395">
        <f>IF(raw[[#This Row],[city]]="","-",IF(raw[[#This Row],[city]]&lt;&gt;_xlfn.XLOOKUP(raw[[#This Row],[home]],homes[home],homes[city],"-"),1,0))</f>
        <v/>
      </c>
      <c r="T935" s="1398" t="inlineStr">
        <is>
          <t>.</t>
        </is>
      </c>
      <c r="U935" s="1399">
        <f>IF(raw[[#This Row],[wb]]="w",raw[[#This Row],[stay]]+U934,U934)</f>
        <v/>
      </c>
      <c r="V935" s="1400">
        <f>IF(raw[[#This Row],[out]]=0,V934,(raw[[#This Row],[out]]-E$5))</f>
        <v/>
      </c>
      <c r="W935" s="1401">
        <f>U935/V935</f>
        <v/>
      </c>
      <c r="X935" s="1392" t="n"/>
      <c r="Y935" s="1392" t="n"/>
      <c r="Z935" s="1392" t="n"/>
      <c r="AA935" s="1392" t="n"/>
      <c r="AB935" s="1392" t="n"/>
      <c r="AC935" s="1392" t="n"/>
      <c r="AD935" s="1392" t="n"/>
      <c r="AE935" s="1392" t="n"/>
      <c r="AF935" s="1392" t="n"/>
      <c r="AG935" s="1392" t="n"/>
      <c r="AH935" s="1392" t="n"/>
      <c r="AI935" s="1392" t="n"/>
      <c r="AJ935" s="1392" t="n"/>
      <c r="AK935" s="1392" t="n"/>
      <c r="AL935" s="1392" t="n"/>
      <c r="AM935" s="1392" t="n"/>
      <c r="AN935" s="1392" t="n"/>
      <c r="AO935" s="1392" t="n"/>
      <c r="AP935" s="1392" t="n"/>
      <c r="AQ935" s="1392" t="n"/>
      <c r="AR935" s="1392" t="n"/>
      <c r="AS935" s="1422" t="n"/>
      <c r="AT935" s="1392" t="n"/>
      <c r="AU935" s="1392" t="n"/>
      <c r="AV935" s="1392" t="n"/>
      <c r="AW935" s="1392" t="n"/>
      <c r="AX935" s="1392" t="n"/>
      <c r="AY935" s="1392" t="n"/>
      <c r="AZ935" s="1392" t="n"/>
      <c r="BA935" s="1392" t="n"/>
      <c r="BB935" s="1422" t="n"/>
      <c r="BC935" s="1392" t="n"/>
      <c r="BD935" s="1392" t="n"/>
      <c r="BE935" s="1392" t="n"/>
      <c r="BF935" s="1392" t="n"/>
      <c r="BG935" s="1392" t="n"/>
      <c r="BH935" s="1392" t="n"/>
      <c r="BI935" s="1392" t="n"/>
      <c r="BJ935" s="1392" t="n"/>
      <c r="BK935" s="1392" t="n"/>
      <c r="BL935" s="1392" t="n"/>
      <c r="BM935" s="1392" t="n"/>
      <c r="BN935" s="1392" t="n"/>
      <c r="BO935" s="1392" t="n"/>
      <c r="BP935" s="1392" t="n"/>
      <c r="BQ935" s="1392" t="n"/>
      <c r="BR935" s="1392" t="n"/>
      <c r="BS935" s="1392" t="n"/>
      <c r="BT935" s="1392" t="n"/>
      <c r="BU935" s="1416" t="n"/>
      <c r="BV935" s="1392" t="n"/>
      <c r="BW935" s="1392" t="n"/>
      <c r="BX935" s="1392" t="n"/>
      <c r="BY935" s="1392" t="n"/>
      <c r="BZ935" s="1416" t="n"/>
      <c r="CA935" s="1392" t="n"/>
      <c r="CB935" s="1392" t="n"/>
      <c r="CC935" s="1392" t="n"/>
      <c r="CD935" s="1392" t="n"/>
      <c r="CE935" s="1392" t="n"/>
      <c r="CF935" s="1392" t="n"/>
      <c r="CG935" s="1392" t="n"/>
      <c r="CH935" s="1392" t="n"/>
      <c r="CI935" s="1392" t="n"/>
      <c r="CJ935" s="1392" t="n"/>
      <c r="CK935" s="1392" t="n"/>
      <c r="CL935" s="1392" t="n"/>
    </row>
    <row r="936">
      <c r="A936" s="5" t="inlineStr">
        <is>
          <t>.</t>
        </is>
      </c>
      <c r="B936" s="5" t="inlineStr">
        <is>
          <t>.</t>
        </is>
      </c>
      <c r="C936" s="1378">
        <f>IF(raw[[#This Row],[city]]="","-",IF(raw[[#This Row],[city]]="TODAY","-",C935+1))</f>
        <v/>
      </c>
      <c r="D936" s="1393" t="inlineStr">
        <is>
          <t>Orio Litta</t>
        </is>
      </c>
      <c r="E936" s="1394" t="n">
        <v>38571</v>
      </c>
      <c r="F936" s="1394" t="n">
        <v>38572</v>
      </c>
      <c r="G936" s="1393" t="inlineStr">
        <is>
          <t>-</t>
        </is>
      </c>
      <c r="H936" s="1393" t="inlineStr">
        <is>
          <t>Transit</t>
        </is>
      </c>
      <c r="I936" s="1393" t="inlineStr">
        <is>
          <t>VF</t>
        </is>
      </c>
      <c r="J936" s="1393" t="inlineStr">
        <is>
          <t>-</t>
        </is>
      </c>
      <c r="K936" s="1395">
        <f>IF(raw[[#This Row],[city]]&lt;&gt;"",_xlfn.XLOOKUP($D936,ccc[city],ccc[prov],"-"),"-")</f>
        <v/>
      </c>
      <c r="L936" s="1395">
        <f>IF(raw[[#This Row],[city]]&lt;&gt;"",_xlfn.XLOOKUP($D936,ccc[city],ccc[ctry],"-"),"-")</f>
        <v/>
      </c>
      <c r="M936" s="1395">
        <f>IF(raw[[#This Row],[city]]&lt;&gt;"",_xlfn.XLOOKUP($D936,ccc[city],ccc[cont],"-"),"-")</f>
        <v/>
      </c>
      <c r="N936" s="1396">
        <f>IF(raw[[#This Row],[city]]="","-",IF(raw[[#This Row],[cont]]="B",raw[[#This Row],[cont]],"W"))</f>
        <v/>
      </c>
      <c r="O936" s="1397">
        <f>IF(raw[[#This Row],[out]]=0,0,IF(raw[[#This Row],[out]]=raw[[#This Row],[in]],0.01,raw[[#This Row],[out]]-raw[[#This Row],[in]]))</f>
        <v/>
      </c>
      <c r="P936" s="1397">
        <f>IF(raw[[#This Row],[in]]=0,0,MONTH(raw[[#This Row],[in]]))</f>
        <v/>
      </c>
      <c r="Q936" s="1397">
        <f>IF(raw[[#This Row],[in]]=0,0,YEAR(raw[[#This Row],[in]]))</f>
        <v/>
      </c>
      <c r="R936" s="1397">
        <f>INT(raw[[#This Row],[yr]]/10)*10</f>
        <v/>
      </c>
      <c r="S936" s="1395">
        <f>IF(raw[[#This Row],[city]]="","-",IF(raw[[#This Row],[city]]&lt;&gt;_xlfn.XLOOKUP(raw[[#This Row],[home]],homes[home],homes[city],"-"),1,0))</f>
        <v/>
      </c>
      <c r="T936" s="1398" t="inlineStr">
        <is>
          <t>.</t>
        </is>
      </c>
      <c r="U936" s="1399">
        <f>IF(raw[[#This Row],[wb]]="w",raw[[#This Row],[stay]]+U935,U935)</f>
        <v/>
      </c>
      <c r="V936" s="1400">
        <f>IF(raw[[#This Row],[out]]=0,V935,(raw[[#This Row],[out]]-E$5))</f>
        <v/>
      </c>
      <c r="W936" s="1401">
        <f>U936/V936</f>
        <v/>
      </c>
      <c r="X936" s="1392" t="n"/>
      <c r="Y936" s="1392" t="n"/>
      <c r="Z936" s="1392" t="n"/>
      <c r="AA936" s="1392" t="n"/>
      <c r="AB936" s="1392" t="n"/>
      <c r="AC936" s="1392" t="n"/>
      <c r="AD936" s="1392" t="n"/>
      <c r="AE936" s="1392" t="n"/>
      <c r="AF936" s="1392" t="n"/>
      <c r="AG936" s="1392" t="n"/>
      <c r="AH936" s="1392" t="n"/>
      <c r="AI936" s="1392" t="n"/>
      <c r="AJ936" s="1392" t="n"/>
      <c r="AK936" s="1392" t="n"/>
      <c r="AL936" s="1392" t="n"/>
      <c r="AM936" s="1392" t="n"/>
      <c r="AN936" s="1392" t="n"/>
      <c r="AO936" s="1392" t="n"/>
      <c r="AP936" s="1392" t="n"/>
      <c r="AQ936" s="1392" t="n"/>
      <c r="AR936" s="1392" t="n"/>
      <c r="AS936" s="1422" t="n"/>
      <c r="AT936" s="1392" t="n"/>
      <c r="AU936" s="1392" t="n"/>
      <c r="AV936" s="1392" t="n"/>
      <c r="AW936" s="1392" t="n"/>
      <c r="AX936" s="1392" t="n"/>
      <c r="AY936" s="1392" t="n"/>
      <c r="AZ936" s="1392" t="n"/>
      <c r="BA936" s="1392" t="n"/>
      <c r="BB936" s="1422" t="n"/>
      <c r="BC936" s="1392" t="n"/>
      <c r="BD936" s="1392" t="n"/>
      <c r="BE936" s="1392" t="n"/>
      <c r="BF936" s="1392" t="n"/>
      <c r="BG936" s="1392" t="n"/>
      <c r="BH936" s="1392" t="n"/>
      <c r="BI936" s="1392" t="n"/>
      <c r="BJ936" s="1392" t="n"/>
      <c r="BK936" s="1392" t="n"/>
      <c r="BL936" s="1392" t="n"/>
      <c r="BM936" s="1392" t="n"/>
      <c r="BN936" s="1392" t="n"/>
      <c r="BO936" s="1392" t="n"/>
      <c r="BP936" s="1392" t="n"/>
      <c r="BQ936" s="1392" t="n"/>
      <c r="BR936" s="1392" t="n"/>
      <c r="BS936" s="1392" t="n"/>
      <c r="BT936" s="1392" t="n"/>
      <c r="BU936" s="1416" t="n"/>
      <c r="BV936" s="1392" t="n"/>
      <c r="BW936" s="1392" t="n"/>
      <c r="BX936" s="1392" t="n"/>
      <c r="BY936" s="1392" t="n"/>
      <c r="BZ936" s="1416" t="n"/>
      <c r="CA936" s="1392" t="n"/>
      <c r="CB936" s="1392" t="n"/>
      <c r="CC936" s="1392" t="n"/>
      <c r="CD936" s="1392" t="n"/>
      <c r="CE936" s="1392" t="n"/>
      <c r="CF936" s="1392" t="n"/>
      <c r="CG936" s="1392" t="n"/>
      <c r="CH936" s="1392" t="n"/>
      <c r="CI936" s="1392" t="n"/>
      <c r="CJ936" s="1392" t="n"/>
      <c r="CK936" s="1392" t="n"/>
      <c r="CL936" s="1392" t="n"/>
    </row>
    <row r="937">
      <c r="A937" s="5" t="inlineStr">
        <is>
          <t>.</t>
        </is>
      </c>
      <c r="B937" s="5" t="inlineStr">
        <is>
          <t>.</t>
        </is>
      </c>
      <c r="C937" s="1378">
        <f>IF(raw[[#This Row],[city]]="","-",IF(raw[[#This Row],[city]]="TODAY","-",C936+1))</f>
        <v/>
      </c>
      <c r="D937" s="1393" t="inlineStr">
        <is>
          <t>Senna Lodigiana</t>
        </is>
      </c>
      <c r="E937" s="1394" t="n">
        <v>38572</v>
      </c>
      <c r="F937" s="1394" t="n">
        <v>38572</v>
      </c>
      <c r="G937" s="1393" t="inlineStr">
        <is>
          <t>-</t>
        </is>
      </c>
      <c r="H937" s="1393" t="inlineStr">
        <is>
          <t>Transit</t>
        </is>
      </c>
      <c r="I937" s="1393" t="inlineStr">
        <is>
          <t>VF</t>
        </is>
      </c>
      <c r="J937" s="1393" t="inlineStr">
        <is>
          <t>-</t>
        </is>
      </c>
      <c r="K937" s="1395">
        <f>IF(raw[[#This Row],[city]]&lt;&gt;"",_xlfn.XLOOKUP($D937,ccc[city],ccc[prov],"-"),"-")</f>
        <v/>
      </c>
      <c r="L937" s="1395">
        <f>IF(raw[[#This Row],[city]]&lt;&gt;"",_xlfn.XLOOKUP($D937,ccc[city],ccc[ctry],"-"),"-")</f>
        <v/>
      </c>
      <c r="M937" s="1395">
        <f>IF(raw[[#This Row],[city]]&lt;&gt;"",_xlfn.XLOOKUP($D937,ccc[city],ccc[cont],"-"),"-")</f>
        <v/>
      </c>
      <c r="N937" s="1396">
        <f>IF(raw[[#This Row],[city]]="","-",IF(raw[[#This Row],[cont]]="B",raw[[#This Row],[cont]],"W"))</f>
        <v/>
      </c>
      <c r="O937" s="1397">
        <f>IF(raw[[#This Row],[out]]=0,0,IF(raw[[#This Row],[out]]=raw[[#This Row],[in]],0.01,raw[[#This Row],[out]]-raw[[#This Row],[in]]))</f>
        <v/>
      </c>
      <c r="P937" s="1397">
        <f>IF(raw[[#This Row],[in]]=0,0,MONTH(raw[[#This Row],[in]]))</f>
        <v/>
      </c>
      <c r="Q937" s="1397">
        <f>IF(raw[[#This Row],[in]]=0,0,YEAR(raw[[#This Row],[in]]))</f>
        <v/>
      </c>
      <c r="R937" s="1397">
        <f>INT(raw[[#This Row],[yr]]/10)*10</f>
        <v/>
      </c>
      <c r="S937" s="1395">
        <f>IF(raw[[#This Row],[city]]="","-",IF(raw[[#This Row],[city]]&lt;&gt;_xlfn.XLOOKUP(raw[[#This Row],[home]],homes[home],homes[city],"-"),1,0))</f>
        <v/>
      </c>
      <c r="T937" s="1398" t="inlineStr">
        <is>
          <t>.</t>
        </is>
      </c>
      <c r="U937" s="1399">
        <f>IF(raw[[#This Row],[wb]]="w",raw[[#This Row],[stay]]+U936,U936)</f>
        <v/>
      </c>
      <c r="V937" s="1400">
        <f>IF(raw[[#This Row],[out]]=0,V936,(raw[[#This Row],[out]]-E$5))</f>
        <v/>
      </c>
      <c r="W937" s="1401">
        <f>U937/V937</f>
        <v/>
      </c>
      <c r="X937" s="1392" t="n"/>
      <c r="Y937" s="1392" t="n"/>
      <c r="Z937" s="1392" t="n"/>
      <c r="AA937" s="1392" t="n"/>
      <c r="AB937" s="1392" t="n"/>
      <c r="AC937" s="1392" t="n"/>
      <c r="AD937" s="1392" t="n"/>
      <c r="AE937" s="1392" t="n"/>
      <c r="AF937" s="1392" t="n"/>
      <c r="AG937" s="1392" t="n"/>
      <c r="AH937" s="1392" t="n"/>
      <c r="AI937" s="1392" t="n"/>
      <c r="AJ937" s="1392" t="n"/>
      <c r="AK937" s="1392" t="n"/>
      <c r="AL937" s="1392" t="n"/>
      <c r="AM937" s="1392" t="n"/>
      <c r="AN937" s="1392" t="n"/>
      <c r="AO937" s="1392" t="n"/>
      <c r="AP937" s="1392" t="n"/>
      <c r="AQ937" s="1392" t="n"/>
      <c r="AR937" s="1392" t="n"/>
      <c r="AS937" s="1422" t="n"/>
      <c r="AT937" s="1392" t="n"/>
      <c r="AU937" s="1392" t="n"/>
      <c r="AV937" s="1392" t="n"/>
      <c r="AW937" s="1392" t="n"/>
      <c r="AX937" s="1392" t="n"/>
      <c r="AY937" s="1392" t="n"/>
      <c r="AZ937" s="1392" t="n"/>
      <c r="BA937" s="1392" t="n"/>
      <c r="BB937" s="1422" t="n"/>
      <c r="BC937" s="1392" t="n"/>
      <c r="BD937" s="1392" t="n"/>
      <c r="BE937" s="1392" t="n"/>
      <c r="BF937" s="1392" t="n"/>
      <c r="BG937" s="1392" t="n"/>
      <c r="BH937" s="1392" t="n"/>
      <c r="BI937" s="1392" t="n"/>
      <c r="BJ937" s="1392" t="n"/>
      <c r="BK937" s="1392" t="n"/>
      <c r="BL937" s="1392" t="n"/>
      <c r="BM937" s="1392" t="n"/>
      <c r="BN937" s="1392" t="n"/>
      <c r="BO937" s="1392" t="n"/>
      <c r="BP937" s="1392" t="n"/>
      <c r="BQ937" s="1392" t="n"/>
      <c r="BR937" s="1392" t="n"/>
      <c r="BS937" s="1392" t="n"/>
      <c r="BT937" s="1392" t="n"/>
      <c r="BU937" s="1416" t="n"/>
      <c r="BV937" s="1392" t="n"/>
      <c r="BW937" s="1392" t="n"/>
      <c r="BX937" s="1392" t="n"/>
      <c r="BY937" s="1392" t="n"/>
      <c r="BZ937" s="1416" t="n"/>
      <c r="CA937" s="1392" t="n"/>
      <c r="CB937" s="1392" t="n"/>
      <c r="CC937" s="1392" t="n"/>
      <c r="CD937" s="1392" t="n"/>
      <c r="CE937" s="1392" t="n"/>
      <c r="CF937" s="1392" t="n"/>
      <c r="CG937" s="1392" t="n"/>
      <c r="CH937" s="1392" t="n"/>
      <c r="CI937" s="1392" t="n"/>
      <c r="CJ937" s="1392" t="n"/>
      <c r="CK937" s="1392" t="n"/>
      <c r="CL937" s="1392" t="n"/>
    </row>
    <row r="938">
      <c r="A938" s="5" t="inlineStr">
        <is>
          <t>.</t>
        </is>
      </c>
      <c r="B938" s="5" t="inlineStr">
        <is>
          <t>.</t>
        </is>
      </c>
      <c r="C938" s="1378">
        <f>IF(raw[[#This Row],[city]]="","-",IF(raw[[#This Row],[city]]="TODAY","-",C937+1))</f>
        <v/>
      </c>
      <c r="D938" s="1393" t="inlineStr">
        <is>
          <t>Piacenza</t>
        </is>
      </c>
      <c r="E938" s="1394" t="n">
        <v>38572</v>
      </c>
      <c r="F938" s="1394" t="n">
        <v>38572</v>
      </c>
      <c r="G938" s="1393" t="inlineStr">
        <is>
          <t>-</t>
        </is>
      </c>
      <c r="H938" s="1393" t="inlineStr">
        <is>
          <t>Transit</t>
        </is>
      </c>
      <c r="I938" s="1393" t="inlineStr">
        <is>
          <t>VF</t>
        </is>
      </c>
      <c r="J938" s="1393" t="inlineStr">
        <is>
          <t>-</t>
        </is>
      </c>
      <c r="K938" s="1395">
        <f>IF(raw[[#This Row],[city]]&lt;&gt;"",_xlfn.XLOOKUP($D938,ccc[city],ccc[prov],"-"),"-")</f>
        <v/>
      </c>
      <c r="L938" s="1395">
        <f>IF(raw[[#This Row],[city]]&lt;&gt;"",_xlfn.XLOOKUP($D938,ccc[city],ccc[ctry],"-"),"-")</f>
        <v/>
      </c>
      <c r="M938" s="1395">
        <f>IF(raw[[#This Row],[city]]&lt;&gt;"",_xlfn.XLOOKUP($D938,ccc[city],ccc[cont],"-"),"-")</f>
        <v/>
      </c>
      <c r="N938" s="1396">
        <f>IF(raw[[#This Row],[city]]="","-",IF(raw[[#This Row],[cont]]="B",raw[[#This Row],[cont]],"W"))</f>
        <v/>
      </c>
      <c r="O938" s="1397">
        <f>IF(raw[[#This Row],[out]]=0,0,IF(raw[[#This Row],[out]]=raw[[#This Row],[in]],0.01,raw[[#This Row],[out]]-raw[[#This Row],[in]]))</f>
        <v/>
      </c>
      <c r="P938" s="1397">
        <f>IF(raw[[#This Row],[in]]=0,0,MONTH(raw[[#This Row],[in]]))</f>
        <v/>
      </c>
      <c r="Q938" s="1397">
        <f>IF(raw[[#This Row],[in]]=0,0,YEAR(raw[[#This Row],[in]]))</f>
        <v/>
      </c>
      <c r="R938" s="1397">
        <f>INT(raw[[#This Row],[yr]]/10)*10</f>
        <v/>
      </c>
      <c r="S938" s="1395">
        <f>IF(raw[[#This Row],[city]]="","-",IF(raw[[#This Row],[city]]&lt;&gt;_xlfn.XLOOKUP(raw[[#This Row],[home]],homes[home],homes[city],"-"),1,0))</f>
        <v/>
      </c>
      <c r="T938" s="1398" t="inlineStr">
        <is>
          <t>.</t>
        </is>
      </c>
      <c r="U938" s="1399">
        <f>IF(raw[[#This Row],[wb]]="w",raw[[#This Row],[stay]]+U937,U937)</f>
        <v/>
      </c>
      <c r="V938" s="1400">
        <f>IF(raw[[#This Row],[out]]=0,V937,(raw[[#This Row],[out]]-E$5))</f>
        <v/>
      </c>
      <c r="W938" s="1401">
        <f>U938/V938</f>
        <v/>
      </c>
      <c r="X938" s="1392" t="n"/>
      <c r="Y938" s="1392" t="n"/>
      <c r="Z938" s="1392" t="n"/>
      <c r="AA938" s="1392" t="n"/>
      <c r="AB938" s="1392" t="n"/>
      <c r="AC938" s="1392" t="n"/>
      <c r="AD938" s="1392" t="n"/>
      <c r="AE938" s="1392" t="n"/>
      <c r="AF938" s="1392" t="n"/>
      <c r="AG938" s="1392" t="n"/>
      <c r="AH938" s="1392" t="n"/>
      <c r="AI938" s="1392" t="n"/>
      <c r="AJ938" s="1392" t="n"/>
      <c r="AK938" s="1392" t="n"/>
      <c r="AL938" s="1392" t="n"/>
      <c r="AM938" s="1392" t="n"/>
      <c r="AN938" s="1392" t="n"/>
      <c r="AO938" s="1392" t="n"/>
      <c r="AP938" s="1392" t="n"/>
      <c r="AQ938" s="1392" t="n"/>
      <c r="AR938" s="1392" t="n"/>
      <c r="AS938" s="1422" t="n"/>
      <c r="AT938" s="1392" t="n"/>
      <c r="AU938" s="1392" t="n"/>
      <c r="AV938" s="1392" t="n"/>
      <c r="AW938" s="1392" t="n"/>
      <c r="AX938" s="1392" t="n"/>
      <c r="AY938" s="1392" t="n"/>
      <c r="AZ938" s="1392" t="n"/>
      <c r="BA938" s="1392" t="n"/>
      <c r="BB938" s="1422" t="n"/>
      <c r="BC938" s="1392" t="n"/>
      <c r="BD938" s="1392" t="n"/>
      <c r="BE938" s="1392" t="n"/>
      <c r="BF938" s="1392" t="n"/>
      <c r="BG938" s="1392" t="n"/>
      <c r="BH938" s="1392" t="n"/>
      <c r="BI938" s="1392" t="n"/>
      <c r="BJ938" s="1392" t="n"/>
      <c r="BK938" s="1392" t="n"/>
      <c r="BL938" s="1392" t="n"/>
      <c r="BM938" s="1392" t="n"/>
      <c r="BN938" s="1392" t="n"/>
      <c r="BO938" s="1392" t="n"/>
      <c r="BP938" s="1392" t="n"/>
      <c r="BQ938" s="1392" t="n"/>
      <c r="BR938" s="1392" t="n"/>
      <c r="BS938" s="1392" t="n"/>
      <c r="BT938" s="1392" t="n"/>
      <c r="BU938" s="1416" t="n"/>
      <c r="BV938" s="1392" t="n"/>
      <c r="BW938" s="1392" t="n"/>
      <c r="BX938" s="1392" t="n"/>
      <c r="BY938" s="1392" t="n"/>
      <c r="BZ938" s="1416" t="n"/>
      <c r="CA938" s="1392" t="n"/>
      <c r="CB938" s="1392" t="n"/>
      <c r="CC938" s="1392" t="n"/>
      <c r="CD938" s="1392" t="n"/>
      <c r="CE938" s="1392" t="n"/>
      <c r="CF938" s="1392" t="n"/>
      <c r="CG938" s="1392" t="n"/>
      <c r="CH938" s="1392" t="n"/>
      <c r="CI938" s="1392" t="n"/>
      <c r="CJ938" s="1392" t="n"/>
      <c r="CK938" s="1392" t="n"/>
      <c r="CL938" s="1392" t="n"/>
    </row>
    <row r="939">
      <c r="A939" s="5" t="inlineStr">
        <is>
          <t>.</t>
        </is>
      </c>
      <c r="B939" s="5" t="inlineStr">
        <is>
          <t>.</t>
        </is>
      </c>
      <c r="C939" s="1378">
        <f>IF(raw[[#This Row],[city]]="","-",IF(raw[[#This Row],[city]]="TODAY","-",C938+1))</f>
        <v/>
      </c>
      <c r="D939" s="1393" t="inlineStr">
        <is>
          <t>Pontenure</t>
        </is>
      </c>
      <c r="E939" s="1394" t="n">
        <v>38572</v>
      </c>
      <c r="F939" s="1394" t="n">
        <v>38572</v>
      </c>
      <c r="G939" s="1393" t="inlineStr">
        <is>
          <t>-</t>
        </is>
      </c>
      <c r="H939" s="1393" t="inlineStr">
        <is>
          <t>Transit</t>
        </is>
      </c>
      <c r="I939" s="1393" t="inlineStr">
        <is>
          <t>VF</t>
        </is>
      </c>
      <c r="J939" s="1393" t="inlineStr">
        <is>
          <t>-</t>
        </is>
      </c>
      <c r="K939" s="1395">
        <f>IF(raw[[#This Row],[city]]&lt;&gt;"",_xlfn.XLOOKUP($D939,ccc[city],ccc[prov],"-"),"-")</f>
        <v/>
      </c>
      <c r="L939" s="1395">
        <f>IF(raw[[#This Row],[city]]&lt;&gt;"",_xlfn.XLOOKUP($D939,ccc[city],ccc[ctry],"-"),"-")</f>
        <v/>
      </c>
      <c r="M939" s="1395">
        <f>IF(raw[[#This Row],[city]]&lt;&gt;"",_xlfn.XLOOKUP($D939,ccc[city],ccc[cont],"-"),"-")</f>
        <v/>
      </c>
      <c r="N939" s="1396">
        <f>IF(raw[[#This Row],[city]]="","-",IF(raw[[#This Row],[cont]]="B",raw[[#This Row],[cont]],"W"))</f>
        <v/>
      </c>
      <c r="O939" s="1397">
        <f>IF(raw[[#This Row],[out]]=0,0,IF(raw[[#This Row],[out]]=raw[[#This Row],[in]],0.01,raw[[#This Row],[out]]-raw[[#This Row],[in]]))</f>
        <v/>
      </c>
      <c r="P939" s="1397">
        <f>IF(raw[[#This Row],[in]]=0,0,MONTH(raw[[#This Row],[in]]))</f>
        <v/>
      </c>
      <c r="Q939" s="1397">
        <f>IF(raw[[#This Row],[in]]=0,0,YEAR(raw[[#This Row],[in]]))</f>
        <v/>
      </c>
      <c r="R939" s="1397">
        <f>INT(raw[[#This Row],[yr]]/10)*10</f>
        <v/>
      </c>
      <c r="S939" s="1395">
        <f>IF(raw[[#This Row],[city]]="","-",IF(raw[[#This Row],[city]]&lt;&gt;_xlfn.XLOOKUP(raw[[#This Row],[home]],homes[home],homes[city],"-"),1,0))</f>
        <v/>
      </c>
      <c r="T939" s="1398" t="inlineStr">
        <is>
          <t>.</t>
        </is>
      </c>
      <c r="U939" s="1399">
        <f>IF(raw[[#This Row],[wb]]="w",raw[[#This Row],[stay]]+U938,U938)</f>
        <v/>
      </c>
      <c r="V939" s="1400">
        <f>IF(raw[[#This Row],[out]]=0,V938,(raw[[#This Row],[out]]-E$5))</f>
        <v/>
      </c>
      <c r="W939" s="1401">
        <f>U939/V939</f>
        <v/>
      </c>
      <c r="X939" s="1392" t="n"/>
      <c r="Y939" s="1392" t="n"/>
      <c r="Z939" s="1392" t="n"/>
      <c r="AA939" s="1392" t="n"/>
      <c r="AB939" s="1392" t="n"/>
      <c r="AC939" s="1392" t="n"/>
      <c r="AD939" s="1392" t="n"/>
      <c r="AE939" s="1392" t="n"/>
      <c r="AF939" s="1392" t="n"/>
      <c r="AG939" s="1392" t="n"/>
      <c r="AH939" s="1392" t="n"/>
      <c r="AI939" s="1392" t="n"/>
      <c r="AJ939" s="1392" t="n"/>
      <c r="AK939" s="1392" t="n"/>
      <c r="AL939" s="1392" t="n"/>
      <c r="AM939" s="1392" t="n"/>
      <c r="AN939" s="1392" t="n"/>
      <c r="AO939" s="1392" t="n"/>
      <c r="AP939" s="1392" t="n"/>
      <c r="AQ939" s="1392" t="n"/>
      <c r="AR939" s="1392" t="n"/>
      <c r="AS939" s="1422" t="n"/>
      <c r="AT939" s="1392" t="n"/>
      <c r="AU939" s="1392" t="n"/>
      <c r="AV939" s="1392" t="n"/>
      <c r="AW939" s="1392" t="n"/>
      <c r="AX939" s="1392" t="n"/>
      <c r="AY939" s="1392" t="n"/>
      <c r="AZ939" s="1392" t="n"/>
      <c r="BA939" s="1392" t="n"/>
      <c r="BB939" s="1422" t="n"/>
      <c r="BC939" s="1392" t="n"/>
      <c r="BD939" s="1392" t="n"/>
      <c r="BE939" s="1392" t="n"/>
      <c r="BF939" s="1392" t="n"/>
      <c r="BG939" s="1392" t="n"/>
      <c r="BH939" s="1392" t="n"/>
      <c r="BI939" s="1392" t="n"/>
      <c r="BJ939" s="1392" t="n"/>
      <c r="BK939" s="1392" t="n"/>
      <c r="BL939" s="1392" t="n"/>
      <c r="BM939" s="1392" t="n"/>
      <c r="BN939" s="1392" t="n"/>
      <c r="BO939" s="1392" t="n"/>
      <c r="BP939" s="1392" t="n"/>
      <c r="BQ939" s="1392" t="n"/>
      <c r="BR939" s="1392" t="n"/>
      <c r="BS939" s="1392" t="n"/>
      <c r="BT939" s="1392" t="n"/>
      <c r="BU939" s="1416" t="n"/>
      <c r="BV939" s="1392" t="n"/>
      <c r="BW939" s="1392" t="n"/>
      <c r="BX939" s="1392" t="n"/>
      <c r="BY939" s="1392" t="n"/>
      <c r="BZ939" s="1416" t="n"/>
      <c r="CA939" s="1392" t="n"/>
      <c r="CB939" s="1392" t="n"/>
      <c r="CC939" s="1392" t="n"/>
      <c r="CD939" s="1392" t="n"/>
      <c r="CE939" s="1392" t="n"/>
      <c r="CF939" s="1392" t="n"/>
      <c r="CG939" s="1392" t="n"/>
      <c r="CH939" s="1392" t="n"/>
      <c r="CI939" s="1392" t="n"/>
      <c r="CJ939" s="1392" t="n"/>
      <c r="CK939" s="1392" t="n"/>
      <c r="CL939" s="1392" t="n"/>
    </row>
    <row r="940">
      <c r="A940" s="5" t="inlineStr">
        <is>
          <t>.</t>
        </is>
      </c>
      <c r="B940" s="5" t="inlineStr">
        <is>
          <t>.</t>
        </is>
      </c>
      <c r="C940" s="1378">
        <f>IF(raw[[#This Row],[city]]="","-",IF(raw[[#This Row],[city]]="TODAY","-",C939+1))</f>
        <v/>
      </c>
      <c r="D940" s="1393" t="inlineStr">
        <is>
          <t>Fiorenzuola</t>
        </is>
      </c>
      <c r="E940" s="1394" t="n">
        <v>38572</v>
      </c>
      <c r="F940" s="1394" t="n">
        <v>38573</v>
      </c>
      <c r="G940" s="1393" t="inlineStr">
        <is>
          <t>-</t>
        </is>
      </c>
      <c r="H940" s="1393" t="inlineStr">
        <is>
          <t>Transit</t>
        </is>
      </c>
      <c r="I940" s="1393" t="inlineStr">
        <is>
          <t>VF</t>
        </is>
      </c>
      <c r="J940" s="1393" t="inlineStr">
        <is>
          <t>-</t>
        </is>
      </c>
      <c r="K940" s="1395">
        <f>IF(raw[[#This Row],[city]]&lt;&gt;"",_xlfn.XLOOKUP($D940,ccc[city],ccc[prov],"-"),"-")</f>
        <v/>
      </c>
      <c r="L940" s="1395">
        <f>IF(raw[[#This Row],[city]]&lt;&gt;"",_xlfn.XLOOKUP($D940,ccc[city],ccc[ctry],"-"),"-")</f>
        <v/>
      </c>
      <c r="M940" s="1395">
        <f>IF(raw[[#This Row],[city]]&lt;&gt;"",_xlfn.XLOOKUP($D940,ccc[city],ccc[cont],"-"),"-")</f>
        <v/>
      </c>
      <c r="N940" s="1396">
        <f>IF(raw[[#This Row],[city]]="","-",IF(raw[[#This Row],[cont]]="B",raw[[#This Row],[cont]],"W"))</f>
        <v/>
      </c>
      <c r="O940" s="1397">
        <f>IF(raw[[#This Row],[out]]=0,0,IF(raw[[#This Row],[out]]=raw[[#This Row],[in]],0.01,raw[[#This Row],[out]]-raw[[#This Row],[in]]))</f>
        <v/>
      </c>
      <c r="P940" s="1397">
        <f>IF(raw[[#This Row],[in]]=0,0,MONTH(raw[[#This Row],[in]]))</f>
        <v/>
      </c>
      <c r="Q940" s="1397">
        <f>IF(raw[[#This Row],[in]]=0,0,YEAR(raw[[#This Row],[in]]))</f>
        <v/>
      </c>
      <c r="R940" s="1397">
        <f>INT(raw[[#This Row],[yr]]/10)*10</f>
        <v/>
      </c>
      <c r="S940" s="1395">
        <f>IF(raw[[#This Row],[city]]="","-",IF(raw[[#This Row],[city]]&lt;&gt;_xlfn.XLOOKUP(raw[[#This Row],[home]],homes[home],homes[city],"-"),1,0))</f>
        <v/>
      </c>
      <c r="T940" s="1398" t="inlineStr">
        <is>
          <t>.</t>
        </is>
      </c>
      <c r="U940" s="1399">
        <f>IF(raw[[#This Row],[wb]]="w",raw[[#This Row],[stay]]+U939,U939)</f>
        <v/>
      </c>
      <c r="V940" s="1400">
        <f>IF(raw[[#This Row],[out]]=0,V939,(raw[[#This Row],[out]]-E$5))</f>
        <v/>
      </c>
      <c r="W940" s="1401">
        <f>U940/V940</f>
        <v/>
      </c>
      <c r="X940" s="1392" t="n"/>
      <c r="Y940" s="1392" t="n"/>
      <c r="Z940" s="1392" t="n"/>
      <c r="AA940" s="1392" t="n"/>
      <c r="AB940" s="1392" t="n"/>
      <c r="AC940" s="1392" t="n"/>
      <c r="AD940" s="1392" t="n"/>
      <c r="AE940" s="1392" t="n"/>
      <c r="AF940" s="1392" t="n"/>
      <c r="AG940" s="1392" t="n"/>
      <c r="AH940" s="1392" t="n"/>
      <c r="AI940" s="1392" t="n"/>
      <c r="AJ940" s="1392" t="n"/>
      <c r="AK940" s="1392" t="n"/>
      <c r="AL940" s="1392" t="n"/>
      <c r="AM940" s="1392" t="n"/>
      <c r="AN940" s="1392" t="n"/>
      <c r="AO940" s="1392" t="n"/>
      <c r="AP940" s="1392" t="n"/>
      <c r="AQ940" s="1392" t="n"/>
      <c r="AR940" s="1392" t="n"/>
      <c r="AS940" s="1422" t="n"/>
      <c r="AT940" s="1392" t="n"/>
      <c r="AU940" s="1392" t="n"/>
      <c r="AV940" s="1392" t="n"/>
      <c r="AW940" s="1392" t="n"/>
      <c r="AX940" s="1392" t="n"/>
      <c r="AY940" s="1392" t="n"/>
      <c r="AZ940" s="1392" t="n"/>
      <c r="BA940" s="1392" t="n"/>
      <c r="BB940" s="1422" t="n"/>
      <c r="BC940" s="1392" t="n"/>
      <c r="BD940" s="1392" t="n"/>
      <c r="BE940" s="1392" t="n"/>
      <c r="BF940" s="1392" t="n"/>
      <c r="BG940" s="1392" t="n"/>
      <c r="BH940" s="1392" t="n"/>
      <c r="BI940" s="1392" t="n"/>
      <c r="BJ940" s="1392" t="n"/>
      <c r="BK940" s="1392" t="n"/>
      <c r="BL940" s="1392" t="n"/>
      <c r="BM940" s="1392" t="n"/>
      <c r="BN940" s="1392" t="n"/>
      <c r="BO940" s="1392" t="n"/>
      <c r="BP940" s="1392" t="n"/>
      <c r="BQ940" s="1392" t="n"/>
      <c r="BR940" s="1392" t="n"/>
      <c r="BS940" s="1392" t="n"/>
      <c r="BT940" s="1392" t="n"/>
      <c r="BU940" s="1416" t="n"/>
      <c r="BV940" s="1392" t="n"/>
      <c r="BW940" s="1392" t="n"/>
      <c r="BX940" s="1392" t="n"/>
      <c r="BY940" s="1392" t="n"/>
      <c r="BZ940" s="1416" t="n"/>
      <c r="CA940" s="1392" t="n"/>
      <c r="CB940" s="1392" t="n"/>
      <c r="CC940" s="1392" t="n"/>
      <c r="CD940" s="1392" t="n"/>
      <c r="CE940" s="1392" t="n"/>
      <c r="CF940" s="1392" t="n"/>
      <c r="CG940" s="1392" t="n"/>
      <c r="CH940" s="1392" t="n"/>
      <c r="CI940" s="1392" t="n"/>
      <c r="CJ940" s="1392" t="n"/>
      <c r="CK940" s="1392" t="n"/>
      <c r="CL940" s="1392" t="n"/>
    </row>
    <row r="941">
      <c r="A941" s="5" t="inlineStr">
        <is>
          <t>.</t>
        </is>
      </c>
      <c r="B941" s="5" t="inlineStr">
        <is>
          <t>.</t>
        </is>
      </c>
      <c r="C941" s="1378">
        <f>IF(raw[[#This Row],[city]]="","-",IF(raw[[#This Row],[city]]="TODAY","-",C940+1))</f>
        <v/>
      </c>
      <c r="D941" s="1393" t="inlineStr">
        <is>
          <t>Fidenza</t>
        </is>
      </c>
      <c r="E941" s="1394" t="n">
        <v>38573</v>
      </c>
      <c r="F941" s="1394" t="n">
        <v>38573</v>
      </c>
      <c r="G941" s="1393" t="inlineStr">
        <is>
          <t>-</t>
        </is>
      </c>
      <c r="H941" s="1393" t="inlineStr">
        <is>
          <t>Transit</t>
        </is>
      </c>
      <c r="I941" s="1393" t="inlineStr">
        <is>
          <t>VF</t>
        </is>
      </c>
      <c r="J941" s="1393" t="inlineStr">
        <is>
          <t>-</t>
        </is>
      </c>
      <c r="K941" s="1395">
        <f>IF(raw[[#This Row],[city]]&lt;&gt;"",_xlfn.XLOOKUP($D941,ccc[city],ccc[prov],"-"),"-")</f>
        <v/>
      </c>
      <c r="L941" s="1395">
        <f>IF(raw[[#This Row],[city]]&lt;&gt;"",_xlfn.XLOOKUP($D941,ccc[city],ccc[ctry],"-"),"-")</f>
        <v/>
      </c>
      <c r="M941" s="1395">
        <f>IF(raw[[#This Row],[city]]&lt;&gt;"",_xlfn.XLOOKUP($D941,ccc[city],ccc[cont],"-"),"-")</f>
        <v/>
      </c>
      <c r="N941" s="1396">
        <f>IF(raw[[#This Row],[city]]="","-",IF(raw[[#This Row],[cont]]="B",raw[[#This Row],[cont]],"W"))</f>
        <v/>
      </c>
      <c r="O941" s="1397">
        <f>IF(raw[[#This Row],[out]]=0,0,IF(raw[[#This Row],[out]]=raw[[#This Row],[in]],0.01,raw[[#This Row],[out]]-raw[[#This Row],[in]]))</f>
        <v/>
      </c>
      <c r="P941" s="1397">
        <f>IF(raw[[#This Row],[in]]=0,0,MONTH(raw[[#This Row],[in]]))</f>
        <v/>
      </c>
      <c r="Q941" s="1397">
        <f>IF(raw[[#This Row],[in]]=0,0,YEAR(raw[[#This Row],[in]]))</f>
        <v/>
      </c>
      <c r="R941" s="1397">
        <f>INT(raw[[#This Row],[yr]]/10)*10</f>
        <v/>
      </c>
      <c r="S941" s="1395">
        <f>IF(raw[[#This Row],[city]]="","-",IF(raw[[#This Row],[city]]&lt;&gt;_xlfn.XLOOKUP(raw[[#This Row],[home]],homes[home],homes[city],"-"),1,0))</f>
        <v/>
      </c>
      <c r="T941" s="1398" t="inlineStr">
        <is>
          <t>.</t>
        </is>
      </c>
      <c r="U941" s="1399">
        <f>IF(raw[[#This Row],[wb]]="w",raw[[#This Row],[stay]]+U940,U940)</f>
        <v/>
      </c>
      <c r="V941" s="1400">
        <f>IF(raw[[#This Row],[out]]=0,V940,(raw[[#This Row],[out]]-E$5))</f>
        <v/>
      </c>
      <c r="W941" s="1401">
        <f>U941/V941</f>
        <v/>
      </c>
      <c r="X941" s="1392" t="n"/>
      <c r="Y941" s="1392" t="n"/>
      <c r="Z941" s="1392" t="n"/>
      <c r="AA941" s="1392" t="n"/>
      <c r="AB941" s="1392" t="n"/>
      <c r="AC941" s="1392" t="n"/>
      <c r="AD941" s="1392" t="n"/>
      <c r="AE941" s="1392" t="n"/>
      <c r="AF941" s="1392" t="n"/>
      <c r="AG941" s="1392" t="n"/>
      <c r="AH941" s="1392" t="n"/>
      <c r="AI941" s="1392" t="n"/>
      <c r="AJ941" s="1392" t="n"/>
      <c r="AK941" s="1392" t="n"/>
      <c r="AL941" s="1392" t="n"/>
      <c r="AM941" s="1392" t="n"/>
      <c r="AN941" s="1392" t="n"/>
      <c r="AO941" s="1392" t="n"/>
      <c r="AP941" s="1392" t="n"/>
      <c r="AQ941" s="1392" t="n"/>
      <c r="AR941" s="1392" t="n"/>
      <c r="AS941" s="1422" t="n"/>
      <c r="AT941" s="1392" t="n"/>
      <c r="AU941" s="1392" t="n"/>
      <c r="AV941" s="1392" t="n"/>
      <c r="AW941" s="1392" t="n"/>
      <c r="AX941" s="1392" t="n"/>
      <c r="AY941" s="1392" t="n"/>
      <c r="AZ941" s="1392" t="n"/>
      <c r="BA941" s="1392" t="n"/>
      <c r="BB941" s="1422" t="n"/>
      <c r="BC941" s="1392" t="n"/>
      <c r="BD941" s="1392" t="n"/>
      <c r="BE941" s="1392" t="n"/>
      <c r="BF941" s="1392" t="n"/>
      <c r="BG941" s="1392" t="n"/>
      <c r="BH941" s="1392" t="n"/>
      <c r="BI941" s="1392" t="n"/>
      <c r="BJ941" s="1392" t="n"/>
      <c r="BK941" s="1392" t="n"/>
      <c r="BL941" s="1392" t="n"/>
      <c r="BM941" s="1392" t="n"/>
      <c r="BN941" s="1392" t="n"/>
      <c r="BO941" s="1392" t="n"/>
      <c r="BP941" s="1392" t="n"/>
      <c r="BQ941" s="1392" t="n"/>
      <c r="BR941" s="1392" t="n"/>
      <c r="BS941" s="1392" t="n"/>
      <c r="BT941" s="1392" t="n"/>
      <c r="BU941" s="1416" t="n"/>
      <c r="BV941" s="1392" t="n"/>
      <c r="BW941" s="1392" t="n"/>
      <c r="BX941" s="1392" t="n"/>
      <c r="BY941" s="1392" t="n"/>
      <c r="BZ941" s="1416" t="n"/>
      <c r="CA941" s="1392" t="n"/>
      <c r="CB941" s="1392" t="n"/>
      <c r="CC941" s="1392" t="n"/>
      <c r="CD941" s="1392" t="n"/>
      <c r="CE941" s="1392" t="n"/>
      <c r="CF941" s="1392" t="n"/>
      <c r="CG941" s="1392" t="n"/>
      <c r="CH941" s="1392" t="n"/>
      <c r="CI941" s="1392" t="n"/>
      <c r="CJ941" s="1392" t="n"/>
      <c r="CK941" s="1392" t="n"/>
      <c r="CL941" s="1392" t="n"/>
    </row>
    <row r="942">
      <c r="A942" s="5" t="inlineStr">
        <is>
          <t>.</t>
        </is>
      </c>
      <c r="B942" s="5" t="inlineStr">
        <is>
          <t>.</t>
        </is>
      </c>
      <c r="C942" s="1378">
        <f>IF(raw[[#This Row],[city]]="","-",IF(raw[[#This Row],[city]]="TODAY","-",C941+1))</f>
        <v/>
      </c>
      <c r="D942" s="1393" t="inlineStr">
        <is>
          <t>Costamezzana</t>
        </is>
      </c>
      <c r="E942" s="1394" t="n">
        <v>38573</v>
      </c>
      <c r="F942" s="1394" t="n">
        <v>38573</v>
      </c>
      <c r="G942" s="1393" t="inlineStr">
        <is>
          <t>-</t>
        </is>
      </c>
      <c r="H942" s="1393" t="inlineStr">
        <is>
          <t>Transit</t>
        </is>
      </c>
      <c r="I942" s="1393" t="inlineStr">
        <is>
          <t>VF</t>
        </is>
      </c>
      <c r="J942" s="1393" t="inlineStr">
        <is>
          <t>-</t>
        </is>
      </c>
      <c r="K942" s="1395">
        <f>IF(raw[[#This Row],[city]]&lt;&gt;"",_xlfn.XLOOKUP($D942,ccc[city],ccc[prov],"-"),"-")</f>
        <v/>
      </c>
      <c r="L942" s="1395">
        <f>IF(raw[[#This Row],[city]]&lt;&gt;"",_xlfn.XLOOKUP($D942,ccc[city],ccc[ctry],"-"),"-")</f>
        <v/>
      </c>
      <c r="M942" s="1395">
        <f>IF(raw[[#This Row],[city]]&lt;&gt;"",_xlfn.XLOOKUP($D942,ccc[city],ccc[cont],"-"),"-")</f>
        <v/>
      </c>
      <c r="N942" s="1396">
        <f>IF(raw[[#This Row],[city]]="","-",IF(raw[[#This Row],[cont]]="B",raw[[#This Row],[cont]],"W"))</f>
        <v/>
      </c>
      <c r="O942" s="1397">
        <f>IF(raw[[#This Row],[out]]=0,0,IF(raw[[#This Row],[out]]=raw[[#This Row],[in]],0.01,raw[[#This Row],[out]]-raw[[#This Row],[in]]))</f>
        <v/>
      </c>
      <c r="P942" s="1397">
        <f>IF(raw[[#This Row],[in]]=0,0,MONTH(raw[[#This Row],[in]]))</f>
        <v/>
      </c>
      <c r="Q942" s="1397">
        <f>IF(raw[[#This Row],[in]]=0,0,YEAR(raw[[#This Row],[in]]))</f>
        <v/>
      </c>
      <c r="R942" s="1397">
        <f>INT(raw[[#This Row],[yr]]/10)*10</f>
        <v/>
      </c>
      <c r="S942" s="1395">
        <f>IF(raw[[#This Row],[city]]="","-",IF(raw[[#This Row],[city]]&lt;&gt;_xlfn.XLOOKUP(raw[[#This Row],[home]],homes[home],homes[city],"-"),1,0))</f>
        <v/>
      </c>
      <c r="T942" s="1398" t="inlineStr">
        <is>
          <t>.</t>
        </is>
      </c>
      <c r="U942" s="1399">
        <f>IF(raw[[#This Row],[wb]]="w",raw[[#This Row],[stay]]+U941,U941)</f>
        <v/>
      </c>
      <c r="V942" s="1400">
        <f>IF(raw[[#This Row],[out]]=0,V941,(raw[[#This Row],[out]]-E$5))</f>
        <v/>
      </c>
      <c r="W942" s="1401">
        <f>U942/V942</f>
        <v/>
      </c>
      <c r="X942" s="1392" t="n"/>
      <c r="Y942" s="1392" t="n"/>
      <c r="Z942" s="1392" t="n"/>
      <c r="AA942" s="1392" t="n"/>
      <c r="AB942" s="1392" t="n"/>
      <c r="AC942" s="1392" t="n"/>
      <c r="AD942" s="1392" t="n"/>
      <c r="AE942" s="1392" t="n"/>
      <c r="AF942" s="1392" t="n"/>
      <c r="AG942" s="1392" t="n"/>
      <c r="AH942" s="1392" t="n"/>
      <c r="AI942" s="1392" t="n"/>
      <c r="AJ942" s="1392" t="n"/>
      <c r="AK942" s="1392" t="n"/>
      <c r="AL942" s="1392" t="n"/>
      <c r="AM942" s="1392" t="n"/>
      <c r="AN942" s="1392" t="n"/>
      <c r="AO942" s="1392" t="n"/>
      <c r="AP942" s="1392" t="n"/>
      <c r="AQ942" s="1392" t="n"/>
      <c r="AR942" s="1392" t="n"/>
      <c r="AS942" s="1422" t="n"/>
      <c r="AT942" s="1392" t="n"/>
      <c r="AU942" s="1392" t="n"/>
      <c r="AV942" s="1392" t="n"/>
      <c r="AW942" s="1392" t="n"/>
      <c r="AX942" s="1392" t="n"/>
      <c r="AY942" s="1392" t="n"/>
      <c r="AZ942" s="1392" t="n"/>
      <c r="BA942" s="1392" t="n"/>
      <c r="BB942" s="1422" t="n"/>
      <c r="BC942" s="1392" t="n"/>
      <c r="BD942" s="1392" t="n"/>
      <c r="BE942" s="1392" t="n"/>
      <c r="BF942" s="1392" t="n"/>
      <c r="BG942" s="1392" t="n"/>
      <c r="BH942" s="1392" t="n"/>
      <c r="BI942" s="1392" t="n"/>
      <c r="BJ942" s="1392" t="n"/>
      <c r="BK942" s="1392" t="n"/>
      <c r="BL942" s="1392" t="n"/>
      <c r="BM942" s="1392" t="n"/>
      <c r="BN942" s="1392" t="n"/>
      <c r="BO942" s="1392" t="n"/>
      <c r="BP942" s="1392" t="n"/>
      <c r="BQ942" s="1392" t="n"/>
      <c r="BR942" s="1392" t="n"/>
      <c r="BS942" s="1392" t="n"/>
      <c r="BT942" s="1392" t="n"/>
      <c r="BU942" s="1416" t="n"/>
      <c r="BV942" s="1392" t="n"/>
      <c r="BW942" s="1392" t="n"/>
      <c r="BX942" s="1392" t="n"/>
      <c r="BY942" s="1392" t="n"/>
      <c r="BZ942" s="1416" t="n"/>
      <c r="CA942" s="1392" t="n"/>
      <c r="CB942" s="1392" t="n"/>
      <c r="CC942" s="1392" t="n"/>
      <c r="CD942" s="1392" t="n"/>
      <c r="CE942" s="1392" t="n"/>
      <c r="CF942" s="1392" t="n"/>
      <c r="CG942" s="1392" t="n"/>
      <c r="CH942" s="1392" t="n"/>
      <c r="CI942" s="1392" t="n"/>
      <c r="CJ942" s="1392" t="n"/>
      <c r="CK942" s="1392" t="n"/>
      <c r="CL942" s="1392" t="n"/>
    </row>
    <row r="943">
      <c r="A943" s="5" t="inlineStr">
        <is>
          <t>.</t>
        </is>
      </c>
      <c r="B943" s="5" t="inlineStr">
        <is>
          <t>.</t>
        </is>
      </c>
      <c r="C943" s="1378">
        <f>IF(raw[[#This Row],[city]]="","-",IF(raw[[#This Row],[city]]="TODAY","-",C942+1))</f>
        <v/>
      </c>
      <c r="D943" s="1393" t="inlineStr">
        <is>
          <t>Medesano</t>
        </is>
      </c>
      <c r="E943" s="1394" t="n">
        <v>38573</v>
      </c>
      <c r="F943" s="1394" t="n">
        <v>38574</v>
      </c>
      <c r="G943" s="1393" t="inlineStr">
        <is>
          <t>-</t>
        </is>
      </c>
      <c r="H943" s="1393" t="inlineStr">
        <is>
          <t>Transit</t>
        </is>
      </c>
      <c r="I943" s="1393" t="inlineStr">
        <is>
          <t>VF</t>
        </is>
      </c>
      <c r="J943" s="1393" t="inlineStr">
        <is>
          <t>-</t>
        </is>
      </c>
      <c r="K943" s="1395">
        <f>IF(raw[[#This Row],[city]]&lt;&gt;"",_xlfn.XLOOKUP($D943,ccc[city],ccc[prov],"-"),"-")</f>
        <v/>
      </c>
      <c r="L943" s="1395">
        <f>IF(raw[[#This Row],[city]]&lt;&gt;"",_xlfn.XLOOKUP($D943,ccc[city],ccc[ctry],"-"),"-")</f>
        <v/>
      </c>
      <c r="M943" s="1395">
        <f>IF(raw[[#This Row],[city]]&lt;&gt;"",_xlfn.XLOOKUP($D943,ccc[city],ccc[cont],"-"),"-")</f>
        <v/>
      </c>
      <c r="N943" s="1396">
        <f>IF(raw[[#This Row],[city]]="","-",IF(raw[[#This Row],[cont]]="B",raw[[#This Row],[cont]],"W"))</f>
        <v/>
      </c>
      <c r="O943" s="1397">
        <f>IF(raw[[#This Row],[out]]=0,0,IF(raw[[#This Row],[out]]=raw[[#This Row],[in]],0.01,raw[[#This Row],[out]]-raw[[#This Row],[in]]))</f>
        <v/>
      </c>
      <c r="P943" s="1397">
        <f>IF(raw[[#This Row],[in]]=0,0,MONTH(raw[[#This Row],[in]]))</f>
        <v/>
      </c>
      <c r="Q943" s="1397">
        <f>IF(raw[[#This Row],[in]]=0,0,YEAR(raw[[#This Row],[in]]))</f>
        <v/>
      </c>
      <c r="R943" s="1397">
        <f>INT(raw[[#This Row],[yr]]/10)*10</f>
        <v/>
      </c>
      <c r="S943" s="1395">
        <f>IF(raw[[#This Row],[city]]="","-",IF(raw[[#This Row],[city]]&lt;&gt;_xlfn.XLOOKUP(raw[[#This Row],[home]],homes[home],homes[city],"-"),1,0))</f>
        <v/>
      </c>
      <c r="T943" s="1398" t="inlineStr">
        <is>
          <t>.</t>
        </is>
      </c>
      <c r="U943" s="1399">
        <f>IF(raw[[#This Row],[wb]]="w",raw[[#This Row],[stay]]+U942,U942)</f>
        <v/>
      </c>
      <c r="V943" s="1400">
        <f>IF(raw[[#This Row],[out]]=0,V942,(raw[[#This Row],[out]]-E$5))</f>
        <v/>
      </c>
      <c r="W943" s="1401">
        <f>U943/V943</f>
        <v/>
      </c>
      <c r="X943" s="1392" t="n"/>
      <c r="Y943" s="1392" t="n"/>
      <c r="Z943" s="1392" t="n"/>
      <c r="AA943" s="1392" t="n"/>
      <c r="AB943" s="1392" t="n"/>
      <c r="AC943" s="1392" t="n"/>
      <c r="AD943" s="1392" t="n"/>
      <c r="AE943" s="1392" t="n"/>
      <c r="AF943" s="1392" t="n"/>
      <c r="AG943" s="1392" t="n"/>
      <c r="AH943" s="1392" t="n"/>
      <c r="AI943" s="1392" t="n"/>
      <c r="AJ943" s="1392" t="n"/>
      <c r="AK943" s="1392" t="n"/>
      <c r="AL943" s="1392" t="n"/>
      <c r="AM943" s="1392" t="n"/>
      <c r="AN943" s="1392" t="n"/>
      <c r="AO943" s="1392" t="n"/>
      <c r="AP943" s="1392" t="n"/>
      <c r="AQ943" s="1392" t="n"/>
      <c r="AR943" s="1392" t="n"/>
      <c r="AS943" s="1422" t="n"/>
      <c r="AT943" s="1392" t="n"/>
      <c r="AU943" s="1392" t="n"/>
      <c r="AV943" s="1392" t="n"/>
      <c r="AW943" s="1392" t="n"/>
      <c r="AX943" s="1392" t="n"/>
      <c r="AY943" s="1392" t="n"/>
      <c r="AZ943" s="1392" t="n"/>
      <c r="BA943" s="1392" t="n"/>
      <c r="BB943" s="1422" t="n"/>
      <c r="BC943" s="1392" t="n"/>
      <c r="BD943" s="1392" t="n"/>
      <c r="BE943" s="1392" t="n"/>
      <c r="BF943" s="1392" t="n"/>
      <c r="BG943" s="1392" t="n"/>
      <c r="BH943" s="1392" t="n"/>
      <c r="BI943" s="1392" t="n"/>
      <c r="BJ943" s="1392" t="n"/>
      <c r="BK943" s="1392" t="n"/>
      <c r="BL943" s="1392" t="n"/>
      <c r="BM943" s="1392" t="n"/>
      <c r="BN943" s="1392" t="n"/>
      <c r="BO943" s="1392" t="n"/>
      <c r="BP943" s="1392" t="n"/>
      <c r="BQ943" s="1392" t="n"/>
      <c r="BR943" s="1392" t="n"/>
      <c r="BS943" s="1392" t="n"/>
      <c r="BT943" s="1392" t="n"/>
      <c r="BU943" s="1416" t="n"/>
      <c r="BV943" s="1392" t="n"/>
      <c r="BW943" s="1392" t="n"/>
      <c r="BX943" s="1392" t="n"/>
      <c r="BY943" s="1392" t="n"/>
      <c r="BZ943" s="1416" t="n"/>
      <c r="CA943" s="1392" t="n"/>
      <c r="CB943" s="1392" t="n"/>
      <c r="CC943" s="1392" t="n"/>
      <c r="CD943" s="1392" t="n"/>
      <c r="CE943" s="1392" t="n"/>
      <c r="CF943" s="1392" t="n"/>
      <c r="CG943" s="1392" t="n"/>
      <c r="CH943" s="1392" t="n"/>
      <c r="CI943" s="1392" t="n"/>
      <c r="CJ943" s="1392" t="n"/>
      <c r="CK943" s="1392" t="n"/>
      <c r="CL943" s="1392" t="n"/>
    </row>
    <row r="944">
      <c r="A944" s="5" t="inlineStr">
        <is>
          <t>.</t>
        </is>
      </c>
      <c r="B944" s="5" t="inlineStr">
        <is>
          <t>.</t>
        </is>
      </c>
      <c r="C944" s="1378">
        <f>IF(raw[[#This Row],[city]]="","-",IF(raw[[#This Row],[city]]="TODAY","-",C943+1))</f>
        <v/>
      </c>
      <c r="D944" s="1393" t="inlineStr">
        <is>
          <t>Fornovo di Taro</t>
        </is>
      </c>
      <c r="E944" s="1394" t="n">
        <v>38574</v>
      </c>
      <c r="F944" s="1394" t="n">
        <v>38574</v>
      </c>
      <c r="G944" s="1393" t="inlineStr">
        <is>
          <t>-</t>
        </is>
      </c>
      <c r="H944" s="1393" t="inlineStr">
        <is>
          <t>Transit</t>
        </is>
      </c>
      <c r="I944" s="1393" t="inlineStr">
        <is>
          <t>VF</t>
        </is>
      </c>
      <c r="J944" s="1393" t="inlineStr">
        <is>
          <t>-</t>
        </is>
      </c>
      <c r="K944" s="1395">
        <f>IF(raw[[#This Row],[city]]&lt;&gt;"",_xlfn.XLOOKUP($D944,ccc[city],ccc[prov],"-"),"-")</f>
        <v/>
      </c>
      <c r="L944" s="1395">
        <f>IF(raw[[#This Row],[city]]&lt;&gt;"",_xlfn.XLOOKUP($D944,ccc[city],ccc[ctry],"-"),"-")</f>
        <v/>
      </c>
      <c r="M944" s="1395">
        <f>IF(raw[[#This Row],[city]]&lt;&gt;"",_xlfn.XLOOKUP($D944,ccc[city],ccc[cont],"-"),"-")</f>
        <v/>
      </c>
      <c r="N944" s="1396">
        <f>IF(raw[[#This Row],[city]]="","-",IF(raw[[#This Row],[cont]]="B",raw[[#This Row],[cont]],"W"))</f>
        <v/>
      </c>
      <c r="O944" s="1397">
        <f>IF(raw[[#This Row],[out]]=0,0,IF(raw[[#This Row],[out]]=raw[[#This Row],[in]],0.01,raw[[#This Row],[out]]-raw[[#This Row],[in]]))</f>
        <v/>
      </c>
      <c r="P944" s="1397">
        <f>IF(raw[[#This Row],[in]]=0,0,MONTH(raw[[#This Row],[in]]))</f>
        <v/>
      </c>
      <c r="Q944" s="1397">
        <f>IF(raw[[#This Row],[in]]=0,0,YEAR(raw[[#This Row],[in]]))</f>
        <v/>
      </c>
      <c r="R944" s="1397">
        <f>INT(raw[[#This Row],[yr]]/10)*10</f>
        <v/>
      </c>
      <c r="S944" s="1395">
        <f>IF(raw[[#This Row],[city]]="","-",IF(raw[[#This Row],[city]]&lt;&gt;_xlfn.XLOOKUP(raw[[#This Row],[home]],homes[home],homes[city],"-"),1,0))</f>
        <v/>
      </c>
      <c r="T944" s="1398" t="inlineStr">
        <is>
          <t>.</t>
        </is>
      </c>
      <c r="U944" s="1399">
        <f>IF(raw[[#This Row],[wb]]="w",raw[[#This Row],[stay]]+U943,U943)</f>
        <v/>
      </c>
      <c r="V944" s="1400">
        <f>IF(raw[[#This Row],[out]]=0,V943,(raw[[#This Row],[out]]-E$5))</f>
        <v/>
      </c>
      <c r="W944" s="1401">
        <f>U944/V944</f>
        <v/>
      </c>
      <c r="X944" s="1392" t="n"/>
      <c r="Y944" s="1392" t="n"/>
      <c r="Z944" s="1392" t="n"/>
      <c r="AA944" s="1392" t="n"/>
      <c r="AB944" s="1392" t="n"/>
      <c r="AC944" s="1392" t="n"/>
      <c r="AD944" s="1392" t="n"/>
      <c r="AE944" s="1392" t="n"/>
      <c r="AF944" s="1392" t="n"/>
      <c r="AG944" s="1392" t="n"/>
      <c r="AH944" s="1392" t="n"/>
      <c r="AI944" s="1392" t="n"/>
      <c r="AJ944" s="1392" t="n"/>
      <c r="AK944" s="1392" t="n"/>
      <c r="AL944" s="1392" t="n"/>
      <c r="AM944" s="1392" t="n"/>
      <c r="AN944" s="1392" t="n"/>
      <c r="AO944" s="1392" t="n"/>
      <c r="AP944" s="1392" t="n"/>
      <c r="AQ944" s="1392" t="n"/>
      <c r="AR944" s="1392" t="n"/>
      <c r="AS944" s="1422" t="n"/>
      <c r="AT944" s="1392" t="n"/>
      <c r="AU944" s="1392" t="n"/>
      <c r="AV944" s="1392" t="n"/>
      <c r="AW944" s="1392" t="n"/>
      <c r="AX944" s="1392" t="n"/>
      <c r="AY944" s="1392" t="n"/>
      <c r="AZ944" s="1392" t="n"/>
      <c r="BA944" s="1392" t="n"/>
      <c r="BB944" s="1422" t="n"/>
      <c r="BC944" s="1392" t="n"/>
      <c r="BD944" s="1392" t="n"/>
      <c r="BE944" s="1392" t="n"/>
      <c r="BF944" s="1392" t="n"/>
      <c r="BG944" s="1392" t="n"/>
      <c r="BH944" s="1392" t="n"/>
      <c r="BI944" s="1392" t="n"/>
      <c r="BJ944" s="1392" t="n"/>
      <c r="BK944" s="1392" t="n"/>
      <c r="BL944" s="1392" t="n"/>
      <c r="BM944" s="1392" t="n"/>
      <c r="BN944" s="1392" t="n"/>
      <c r="BO944" s="1392" t="n"/>
      <c r="BP944" s="1392" t="n"/>
      <c r="BQ944" s="1392" t="n"/>
      <c r="BR944" s="1392" t="n"/>
      <c r="BS944" s="1392" t="n"/>
      <c r="BT944" s="1392" t="n"/>
      <c r="BU944" s="1416" t="n"/>
      <c r="BV944" s="1392" t="n"/>
      <c r="BW944" s="1392" t="n"/>
      <c r="BX944" s="1392" t="n"/>
      <c r="BY944" s="1392" t="n"/>
      <c r="BZ944" s="1416" t="n"/>
      <c r="CA944" s="1392" t="n"/>
      <c r="CB944" s="1392" t="n"/>
      <c r="CC944" s="1392" t="n"/>
      <c r="CD944" s="1392" t="n"/>
      <c r="CE944" s="1392" t="n"/>
      <c r="CF944" s="1392" t="n"/>
      <c r="CG944" s="1392" t="n"/>
      <c r="CH944" s="1392" t="n"/>
      <c r="CI944" s="1392" t="n"/>
      <c r="CJ944" s="1392" t="n"/>
      <c r="CK944" s="1392" t="n"/>
      <c r="CL944" s="1392" t="n"/>
    </row>
    <row r="945">
      <c r="A945" s="5" t="inlineStr">
        <is>
          <t>.</t>
        </is>
      </c>
      <c r="B945" s="5" t="inlineStr">
        <is>
          <t>.</t>
        </is>
      </c>
      <c r="C945" s="1378">
        <f>IF(raw[[#This Row],[city]]="","-",IF(raw[[#This Row],[city]]="TODAY","-",C944+1))</f>
        <v/>
      </c>
      <c r="D945" s="1393" t="inlineStr">
        <is>
          <t>Cassio</t>
        </is>
      </c>
      <c r="E945" s="1394" t="n">
        <v>38574</v>
      </c>
      <c r="F945" s="1394" t="n">
        <v>38575</v>
      </c>
      <c r="G945" s="1393" t="inlineStr">
        <is>
          <t>-</t>
        </is>
      </c>
      <c r="H945" s="1393" t="inlineStr">
        <is>
          <t>Transit</t>
        </is>
      </c>
      <c r="I945" s="1393" t="inlineStr">
        <is>
          <t>VF</t>
        </is>
      </c>
      <c r="J945" s="1393" t="inlineStr">
        <is>
          <t>-</t>
        </is>
      </c>
      <c r="K945" s="1395">
        <f>IF(raw[[#This Row],[city]]&lt;&gt;"",_xlfn.XLOOKUP($D945,ccc[city],ccc[prov],"-"),"-")</f>
        <v/>
      </c>
      <c r="L945" s="1395">
        <f>IF(raw[[#This Row],[city]]&lt;&gt;"",_xlfn.XLOOKUP($D945,ccc[city],ccc[ctry],"-"),"-")</f>
        <v/>
      </c>
      <c r="M945" s="1395">
        <f>IF(raw[[#This Row],[city]]&lt;&gt;"",_xlfn.XLOOKUP($D945,ccc[city],ccc[cont],"-"),"-")</f>
        <v/>
      </c>
      <c r="N945" s="1396">
        <f>IF(raw[[#This Row],[city]]="","-",IF(raw[[#This Row],[cont]]="B",raw[[#This Row],[cont]],"W"))</f>
        <v/>
      </c>
      <c r="O945" s="1397">
        <f>IF(raw[[#This Row],[out]]=0,0,IF(raw[[#This Row],[out]]=raw[[#This Row],[in]],0.01,raw[[#This Row],[out]]-raw[[#This Row],[in]]))</f>
        <v/>
      </c>
      <c r="P945" s="1397">
        <f>IF(raw[[#This Row],[in]]=0,0,MONTH(raw[[#This Row],[in]]))</f>
        <v/>
      </c>
      <c r="Q945" s="1397">
        <f>IF(raw[[#This Row],[in]]=0,0,YEAR(raw[[#This Row],[in]]))</f>
        <v/>
      </c>
      <c r="R945" s="1397">
        <f>INT(raw[[#This Row],[yr]]/10)*10</f>
        <v/>
      </c>
      <c r="S945" s="1395">
        <f>IF(raw[[#This Row],[city]]="","-",IF(raw[[#This Row],[city]]&lt;&gt;_xlfn.XLOOKUP(raw[[#This Row],[home]],homes[home],homes[city],"-"),1,0))</f>
        <v/>
      </c>
      <c r="T945" s="1398" t="inlineStr">
        <is>
          <t>.</t>
        </is>
      </c>
      <c r="U945" s="1399">
        <f>IF(raw[[#This Row],[wb]]="w",raw[[#This Row],[stay]]+U944,U944)</f>
        <v/>
      </c>
      <c r="V945" s="1400">
        <f>IF(raw[[#This Row],[out]]=0,V944,(raw[[#This Row],[out]]-E$5))</f>
        <v/>
      </c>
      <c r="W945" s="1401">
        <f>U945/V945</f>
        <v/>
      </c>
      <c r="X945" s="1392" t="n"/>
      <c r="Y945" s="1392" t="n"/>
      <c r="Z945" s="1392" t="n"/>
      <c r="AA945" s="1392" t="n"/>
      <c r="AB945" s="1392" t="n"/>
      <c r="AC945" s="1392" t="n"/>
      <c r="AD945" s="1392" t="n"/>
      <c r="AE945" s="1392" t="n"/>
      <c r="AF945" s="1392" t="n"/>
      <c r="AG945" s="1392" t="n"/>
      <c r="AH945" s="1392" t="n"/>
      <c r="AI945" s="1392" t="n"/>
      <c r="AJ945" s="1392" t="n"/>
      <c r="AK945" s="1392" t="n"/>
      <c r="AL945" s="1392" t="n"/>
      <c r="AM945" s="1392" t="n"/>
      <c r="AN945" s="1392" t="n"/>
      <c r="AO945" s="1392" t="n"/>
      <c r="AP945" s="1392" t="n"/>
      <c r="AQ945" s="1392" t="n"/>
      <c r="AR945" s="1392" t="n"/>
      <c r="AS945" s="1422" t="n"/>
      <c r="AT945" s="1392" t="n"/>
      <c r="AU945" s="1392" t="n"/>
      <c r="AV945" s="1392" t="n"/>
      <c r="AW945" s="1392" t="n"/>
      <c r="AX945" s="1392" t="n"/>
      <c r="AY945" s="1392" t="n"/>
      <c r="AZ945" s="1392" t="n"/>
      <c r="BA945" s="1392" t="n"/>
      <c r="BB945" s="1422" t="n"/>
      <c r="BC945" s="1392" t="n"/>
      <c r="BD945" s="1392" t="n"/>
      <c r="BE945" s="1392" t="n"/>
      <c r="BF945" s="1392" t="n"/>
      <c r="BG945" s="1392" t="n"/>
      <c r="BH945" s="1392" t="n"/>
      <c r="BI945" s="1392" t="n"/>
      <c r="BJ945" s="1392" t="n"/>
      <c r="BK945" s="1392" t="n"/>
      <c r="BL945" s="1392" t="n"/>
      <c r="BM945" s="1392" t="n"/>
      <c r="BN945" s="1392" t="n"/>
      <c r="BO945" s="1392" t="n"/>
      <c r="BP945" s="1392" t="n"/>
      <c r="BQ945" s="1392" t="n"/>
      <c r="BR945" s="1392" t="n"/>
      <c r="BS945" s="1392" t="n"/>
      <c r="BT945" s="1392" t="n"/>
      <c r="BU945" s="1416" t="n"/>
      <c r="BV945" s="1392" t="n"/>
      <c r="BW945" s="1392" t="n"/>
      <c r="BX945" s="1392" t="n"/>
      <c r="BY945" s="1392" t="n"/>
      <c r="BZ945" s="1416" t="n"/>
      <c r="CA945" s="1392" t="n"/>
      <c r="CB945" s="1392" t="n"/>
      <c r="CC945" s="1392" t="n"/>
      <c r="CD945" s="1392" t="n"/>
      <c r="CE945" s="1392" t="n"/>
      <c r="CF945" s="1392" t="n"/>
      <c r="CG945" s="1392" t="n"/>
      <c r="CH945" s="1392" t="n"/>
      <c r="CI945" s="1392" t="n"/>
      <c r="CJ945" s="1392" t="n"/>
      <c r="CK945" s="1392" t="n"/>
      <c r="CL945" s="1392" t="n"/>
    </row>
    <row r="946">
      <c r="A946" s="5" t="inlineStr">
        <is>
          <t>.</t>
        </is>
      </c>
      <c r="B946" s="5" t="inlineStr">
        <is>
          <t>.</t>
        </is>
      </c>
      <c r="C946" s="1378">
        <f>IF(raw[[#This Row],[city]]="","-",IF(raw[[#This Row],[city]]="TODAY","-",C945+1))</f>
        <v/>
      </c>
      <c r="D946" s="1393" t="inlineStr">
        <is>
          <t>Bercetto</t>
        </is>
      </c>
      <c r="E946" s="1394" t="n">
        <v>38575</v>
      </c>
      <c r="F946" s="1394" t="n">
        <v>38575</v>
      </c>
      <c r="G946" s="1393" t="inlineStr">
        <is>
          <t>-</t>
        </is>
      </c>
      <c r="H946" s="1393" t="inlineStr">
        <is>
          <t>Transit</t>
        </is>
      </c>
      <c r="I946" s="1393" t="inlineStr">
        <is>
          <t>VF</t>
        </is>
      </c>
      <c r="J946" s="1393" t="inlineStr">
        <is>
          <t>-</t>
        </is>
      </c>
      <c r="K946" s="1395">
        <f>IF(raw[[#This Row],[city]]&lt;&gt;"",_xlfn.XLOOKUP($D946,ccc[city],ccc[prov],"-"),"-")</f>
        <v/>
      </c>
      <c r="L946" s="1395">
        <f>IF(raw[[#This Row],[city]]&lt;&gt;"",_xlfn.XLOOKUP($D946,ccc[city],ccc[ctry],"-"),"-")</f>
        <v/>
      </c>
      <c r="M946" s="1395">
        <f>IF(raw[[#This Row],[city]]&lt;&gt;"",_xlfn.XLOOKUP($D946,ccc[city],ccc[cont],"-"),"-")</f>
        <v/>
      </c>
      <c r="N946" s="1396">
        <f>IF(raw[[#This Row],[city]]="","-",IF(raw[[#This Row],[cont]]="B",raw[[#This Row],[cont]],"W"))</f>
        <v/>
      </c>
      <c r="O946" s="1397">
        <f>IF(raw[[#This Row],[out]]=0,0,IF(raw[[#This Row],[out]]=raw[[#This Row],[in]],0.01,raw[[#This Row],[out]]-raw[[#This Row],[in]]))</f>
        <v/>
      </c>
      <c r="P946" s="1397">
        <f>IF(raw[[#This Row],[in]]=0,0,MONTH(raw[[#This Row],[in]]))</f>
        <v/>
      </c>
      <c r="Q946" s="1397">
        <f>IF(raw[[#This Row],[in]]=0,0,YEAR(raw[[#This Row],[in]]))</f>
        <v/>
      </c>
      <c r="R946" s="1397">
        <f>INT(raw[[#This Row],[yr]]/10)*10</f>
        <v/>
      </c>
      <c r="S946" s="1395">
        <f>IF(raw[[#This Row],[city]]="","-",IF(raw[[#This Row],[city]]&lt;&gt;_xlfn.XLOOKUP(raw[[#This Row],[home]],homes[home],homes[city],"-"),1,0))</f>
        <v/>
      </c>
      <c r="T946" s="1398" t="inlineStr">
        <is>
          <t>.</t>
        </is>
      </c>
      <c r="U946" s="1399">
        <f>IF(raw[[#This Row],[wb]]="w",raw[[#This Row],[stay]]+U945,U945)</f>
        <v/>
      </c>
      <c r="V946" s="1400">
        <f>IF(raw[[#This Row],[out]]=0,V945,(raw[[#This Row],[out]]-E$5))</f>
        <v/>
      </c>
      <c r="W946" s="1401">
        <f>U946/V946</f>
        <v/>
      </c>
      <c r="X946" s="1392" t="n"/>
      <c r="Y946" s="1392" t="n"/>
      <c r="Z946" s="1392" t="n"/>
      <c r="AA946" s="1392" t="n"/>
      <c r="AB946" s="1392" t="n"/>
      <c r="AC946" s="1392" t="n"/>
      <c r="AD946" s="1392" t="n"/>
      <c r="AE946" s="1392" t="n"/>
      <c r="AF946" s="1392" t="n"/>
      <c r="AG946" s="1392" t="n"/>
      <c r="AH946" s="1392" t="n"/>
      <c r="AI946" s="1392" t="n"/>
      <c r="AJ946" s="1392" t="n"/>
      <c r="AK946" s="1392" t="n"/>
      <c r="AL946" s="1392" t="n"/>
      <c r="AM946" s="1392" t="n"/>
      <c r="AN946" s="1392" t="n"/>
      <c r="AO946" s="1392" t="n"/>
      <c r="AP946" s="1392" t="n"/>
      <c r="AQ946" s="1392" t="n"/>
      <c r="AR946" s="1392" t="n"/>
      <c r="AS946" s="1422" t="n"/>
      <c r="AT946" s="1392" t="n"/>
      <c r="AU946" s="1392" t="n"/>
      <c r="AV946" s="1392" t="n"/>
      <c r="AW946" s="1392" t="n"/>
      <c r="AX946" s="1392" t="n"/>
      <c r="AY946" s="1392" t="n"/>
      <c r="AZ946" s="1392" t="n"/>
      <c r="BA946" s="1392" t="n"/>
      <c r="BB946" s="1422" t="n"/>
      <c r="BC946" s="1392" t="n"/>
      <c r="BD946" s="1392" t="n"/>
      <c r="BE946" s="1392" t="n"/>
      <c r="BF946" s="1392" t="n"/>
      <c r="BG946" s="1392" t="n"/>
      <c r="BH946" s="1392" t="n"/>
      <c r="BI946" s="1392" t="n"/>
      <c r="BJ946" s="1392" t="n"/>
      <c r="BK946" s="1392" t="n"/>
      <c r="BL946" s="1392" t="n"/>
      <c r="BM946" s="1392" t="n"/>
      <c r="BN946" s="1392" t="n"/>
      <c r="BO946" s="1392" t="n"/>
      <c r="BP946" s="1392" t="n"/>
      <c r="BQ946" s="1392" t="n"/>
      <c r="BR946" s="1392" t="n"/>
      <c r="BS946" s="1392" t="n"/>
      <c r="BT946" s="1392" t="n"/>
      <c r="BU946" s="1416" t="n"/>
      <c r="BV946" s="1392" t="n"/>
      <c r="BW946" s="1392" t="n"/>
      <c r="BX946" s="1392" t="n"/>
      <c r="BY946" s="1392" t="n"/>
      <c r="BZ946" s="1416" t="n"/>
      <c r="CA946" s="1392" t="n"/>
      <c r="CB946" s="1392" t="n"/>
      <c r="CC946" s="1392" t="n"/>
      <c r="CD946" s="1392" t="n"/>
      <c r="CE946" s="1392" t="n"/>
      <c r="CF946" s="1392" t="n"/>
      <c r="CG946" s="1392" t="n"/>
      <c r="CH946" s="1392" t="n"/>
      <c r="CI946" s="1392" t="n"/>
      <c r="CJ946" s="1392" t="n"/>
      <c r="CK946" s="1392" t="n"/>
      <c r="CL946" s="1392" t="n"/>
    </row>
    <row r="947">
      <c r="A947" s="5" t="inlineStr">
        <is>
          <t>.</t>
        </is>
      </c>
      <c r="B947" s="5" t="inlineStr">
        <is>
          <t>.</t>
        </is>
      </c>
      <c r="C947" s="1378">
        <f>IF(raw[[#This Row],[city]]="","-",IF(raw[[#This Row],[city]]="TODAY","-",C946+1))</f>
        <v/>
      </c>
      <c r="D947" s="1393" t="inlineStr">
        <is>
          <t>Passo della Cisa</t>
        </is>
      </c>
      <c r="E947" s="1394" t="n">
        <v>38575</v>
      </c>
      <c r="F947" s="1394" t="n">
        <v>38575</v>
      </c>
      <c r="G947" s="1393" t="inlineStr">
        <is>
          <t>-</t>
        </is>
      </c>
      <c r="H947" s="1393" t="inlineStr">
        <is>
          <t>Transit</t>
        </is>
      </c>
      <c r="I947" s="1393" t="inlineStr">
        <is>
          <t>VF</t>
        </is>
      </c>
      <c r="J947" s="1393" t="inlineStr">
        <is>
          <t>-</t>
        </is>
      </c>
      <c r="K947" s="1395">
        <f>IF(raw[[#This Row],[city]]&lt;&gt;"",_xlfn.XLOOKUP($D947,ccc[city],ccc[prov],"-"),"-")</f>
        <v/>
      </c>
      <c r="L947" s="1395">
        <f>IF(raw[[#This Row],[city]]&lt;&gt;"",_xlfn.XLOOKUP($D947,ccc[city],ccc[ctry],"-"),"-")</f>
        <v/>
      </c>
      <c r="M947" s="1395">
        <f>IF(raw[[#This Row],[city]]&lt;&gt;"",_xlfn.XLOOKUP($D947,ccc[city],ccc[cont],"-"),"-")</f>
        <v/>
      </c>
      <c r="N947" s="1396">
        <f>IF(raw[[#This Row],[city]]="","-",IF(raw[[#This Row],[cont]]="B",raw[[#This Row],[cont]],"W"))</f>
        <v/>
      </c>
      <c r="O947" s="1397">
        <f>IF(raw[[#This Row],[out]]=0,0,IF(raw[[#This Row],[out]]=raw[[#This Row],[in]],0.01,raw[[#This Row],[out]]-raw[[#This Row],[in]]))</f>
        <v/>
      </c>
      <c r="P947" s="1397">
        <f>IF(raw[[#This Row],[in]]=0,0,MONTH(raw[[#This Row],[in]]))</f>
        <v/>
      </c>
      <c r="Q947" s="1397">
        <f>IF(raw[[#This Row],[in]]=0,0,YEAR(raw[[#This Row],[in]]))</f>
        <v/>
      </c>
      <c r="R947" s="1397">
        <f>INT(raw[[#This Row],[yr]]/10)*10</f>
        <v/>
      </c>
      <c r="S947" s="1395">
        <f>IF(raw[[#This Row],[city]]="","-",IF(raw[[#This Row],[city]]&lt;&gt;_xlfn.XLOOKUP(raw[[#This Row],[home]],homes[home],homes[city],"-"),1,0))</f>
        <v/>
      </c>
      <c r="T947" s="1398" t="inlineStr">
        <is>
          <t>.</t>
        </is>
      </c>
      <c r="U947" s="1399">
        <f>IF(raw[[#This Row],[wb]]="w",raw[[#This Row],[stay]]+U946,U946)</f>
        <v/>
      </c>
      <c r="V947" s="1400">
        <f>IF(raw[[#This Row],[out]]=0,V946,(raw[[#This Row],[out]]-E$5))</f>
        <v/>
      </c>
      <c r="W947" s="1401">
        <f>U947/V947</f>
        <v/>
      </c>
      <c r="X947" s="1392" t="n"/>
      <c r="Y947" s="1392" t="n"/>
      <c r="Z947" s="1392" t="n"/>
      <c r="AA947" s="1392" t="n"/>
      <c r="AB947" s="1392" t="n"/>
      <c r="AC947" s="1392" t="n"/>
      <c r="AD947" s="1392" t="n"/>
      <c r="AE947" s="1392" t="n"/>
      <c r="AF947" s="1392" t="n"/>
      <c r="AG947" s="1392" t="n"/>
      <c r="AH947" s="1392" t="n"/>
      <c r="AI947" s="1392" t="n"/>
      <c r="AJ947" s="1392" t="n"/>
      <c r="AK947" s="1392" t="n"/>
      <c r="AL947" s="1392" t="n"/>
      <c r="AM947" s="1392" t="n"/>
      <c r="AN947" s="1392" t="n"/>
      <c r="AO947" s="1392" t="n"/>
      <c r="AP947" s="1392" t="n"/>
      <c r="AQ947" s="1392" t="n"/>
      <c r="AR947" s="1392" t="n"/>
      <c r="AS947" s="1422" t="n"/>
      <c r="AT947" s="1392" t="n"/>
      <c r="AU947" s="1392" t="n"/>
      <c r="AV947" s="1392" t="n"/>
      <c r="AW947" s="1392" t="n"/>
      <c r="AX947" s="1392" t="n"/>
      <c r="AY947" s="1392" t="n"/>
      <c r="AZ947" s="1392" t="n"/>
      <c r="BA947" s="1392" t="n"/>
      <c r="BB947" s="1422" t="n"/>
      <c r="BC947" s="1392" t="n"/>
      <c r="BD947" s="1392" t="n"/>
      <c r="BE947" s="1392" t="n"/>
      <c r="BF947" s="1392" t="n"/>
      <c r="BG947" s="1392" t="n"/>
      <c r="BH947" s="1392" t="n"/>
      <c r="BI947" s="1392" t="n"/>
      <c r="BJ947" s="1392" t="n"/>
      <c r="BK947" s="1392" t="n"/>
      <c r="BL947" s="1392" t="n"/>
      <c r="BM947" s="1392" t="n"/>
      <c r="BN947" s="1392" t="n"/>
      <c r="BO947" s="1392" t="n"/>
      <c r="BP947" s="1392" t="n"/>
      <c r="BQ947" s="1392" t="n"/>
      <c r="BR947" s="1392" t="n"/>
      <c r="BS947" s="1392" t="n"/>
      <c r="BT947" s="1392" t="n"/>
      <c r="BU947" s="1416" t="n"/>
      <c r="BV947" s="1392" t="n"/>
      <c r="BW947" s="1392" t="n"/>
      <c r="BX947" s="1392" t="n"/>
      <c r="BY947" s="1392" t="n"/>
      <c r="BZ947" s="1416" t="n"/>
      <c r="CA947" s="1392" t="n"/>
      <c r="CB947" s="1392" t="n"/>
      <c r="CC947" s="1392" t="n"/>
      <c r="CD947" s="1392" t="n"/>
      <c r="CE947" s="1392" t="n"/>
      <c r="CF947" s="1392" t="n"/>
      <c r="CG947" s="1392" t="n"/>
      <c r="CH947" s="1392" t="n"/>
      <c r="CI947" s="1392" t="n"/>
      <c r="CJ947" s="1392" t="n"/>
      <c r="CK947" s="1392" t="n"/>
      <c r="CL947" s="1392" t="n"/>
    </row>
    <row r="948">
      <c r="A948" s="5" t="inlineStr">
        <is>
          <t>.</t>
        </is>
      </c>
      <c r="B948" s="5" t="inlineStr">
        <is>
          <t>.</t>
        </is>
      </c>
      <c r="C948" s="1378">
        <f>IF(raw[[#This Row],[city]]="","-",IF(raw[[#This Row],[city]]="TODAY","-",C947+1))</f>
        <v/>
      </c>
      <c r="D948" s="1393" t="inlineStr">
        <is>
          <t>Montelungo</t>
        </is>
      </c>
      <c r="E948" s="1394" t="n">
        <v>38575</v>
      </c>
      <c r="F948" s="1394" t="n">
        <v>38576</v>
      </c>
      <c r="G948" s="1393" t="inlineStr">
        <is>
          <t>-</t>
        </is>
      </c>
      <c r="H948" s="1393" t="inlineStr">
        <is>
          <t>Transit</t>
        </is>
      </c>
      <c r="I948" s="1393" t="inlineStr">
        <is>
          <t>VF</t>
        </is>
      </c>
      <c r="J948" s="1393" t="inlineStr">
        <is>
          <t>-</t>
        </is>
      </c>
      <c r="K948" s="1395">
        <f>IF(raw[[#This Row],[city]]&lt;&gt;"",_xlfn.XLOOKUP($D948,ccc[city],ccc[prov],"-"),"-")</f>
        <v/>
      </c>
      <c r="L948" s="1395">
        <f>IF(raw[[#This Row],[city]]&lt;&gt;"",_xlfn.XLOOKUP($D948,ccc[city],ccc[ctry],"-"),"-")</f>
        <v/>
      </c>
      <c r="M948" s="1395">
        <f>IF(raw[[#This Row],[city]]&lt;&gt;"",_xlfn.XLOOKUP($D948,ccc[city],ccc[cont],"-"),"-")</f>
        <v/>
      </c>
      <c r="N948" s="1396">
        <f>IF(raw[[#This Row],[city]]="","-",IF(raw[[#This Row],[cont]]="B",raw[[#This Row],[cont]],"W"))</f>
        <v/>
      </c>
      <c r="O948" s="1397">
        <f>IF(raw[[#This Row],[out]]=0,0,IF(raw[[#This Row],[out]]=raw[[#This Row],[in]],0.01,raw[[#This Row],[out]]-raw[[#This Row],[in]]))</f>
        <v/>
      </c>
      <c r="P948" s="1397">
        <f>IF(raw[[#This Row],[in]]=0,0,MONTH(raw[[#This Row],[in]]))</f>
        <v/>
      </c>
      <c r="Q948" s="1397">
        <f>IF(raw[[#This Row],[in]]=0,0,YEAR(raw[[#This Row],[in]]))</f>
        <v/>
      </c>
      <c r="R948" s="1397">
        <f>INT(raw[[#This Row],[yr]]/10)*10</f>
        <v/>
      </c>
      <c r="S948" s="1395">
        <f>IF(raw[[#This Row],[city]]="","-",IF(raw[[#This Row],[city]]&lt;&gt;_xlfn.XLOOKUP(raw[[#This Row],[home]],homes[home],homes[city],"-"),1,0))</f>
        <v/>
      </c>
      <c r="T948" s="1398" t="inlineStr">
        <is>
          <t>.</t>
        </is>
      </c>
      <c r="U948" s="1399">
        <f>IF(raw[[#This Row],[wb]]="w",raw[[#This Row],[stay]]+U947,U947)</f>
        <v/>
      </c>
      <c r="V948" s="1400">
        <f>IF(raw[[#This Row],[out]]=0,V947,(raw[[#This Row],[out]]-E$5))</f>
        <v/>
      </c>
      <c r="W948" s="1401">
        <f>U948/V948</f>
        <v/>
      </c>
      <c r="X948" s="1392" t="n"/>
      <c r="Y948" s="1392" t="n"/>
      <c r="Z948" s="1392" t="n"/>
      <c r="AA948" s="1392" t="n"/>
      <c r="AB948" s="1392" t="n"/>
      <c r="AC948" s="1392" t="n"/>
      <c r="AD948" s="1392" t="n"/>
      <c r="AE948" s="1392" t="n"/>
      <c r="AF948" s="1392" t="n"/>
      <c r="AG948" s="1392" t="n"/>
      <c r="AH948" s="1392" t="n"/>
      <c r="AI948" s="1392" t="n"/>
      <c r="AJ948" s="1392" t="n"/>
      <c r="AK948" s="1392" t="n"/>
      <c r="AL948" s="1392" t="n"/>
      <c r="AM948" s="1392" t="n"/>
      <c r="AN948" s="1392" t="n"/>
      <c r="AO948" s="1392" t="n"/>
      <c r="AP948" s="1392" t="n"/>
      <c r="AQ948" s="1392" t="n"/>
      <c r="AR948" s="1392" t="n"/>
      <c r="AS948" s="1422" t="n"/>
      <c r="AT948" s="1392" t="n"/>
      <c r="AU948" s="1392" t="n"/>
      <c r="AV948" s="1392" t="n"/>
      <c r="AW948" s="1392" t="n"/>
      <c r="AX948" s="1392" t="n"/>
      <c r="AY948" s="1392" t="n"/>
      <c r="AZ948" s="1392" t="n"/>
      <c r="BA948" s="1392" t="n"/>
      <c r="BB948" s="1422" t="n"/>
      <c r="BC948" s="1392" t="n"/>
      <c r="BD948" s="1392" t="n"/>
      <c r="BE948" s="1392" t="n"/>
      <c r="BF948" s="1392" t="n"/>
      <c r="BG948" s="1392" t="n"/>
      <c r="BH948" s="1392" t="n"/>
      <c r="BI948" s="1392" t="n"/>
      <c r="BJ948" s="1392" t="n"/>
      <c r="BK948" s="1392" t="n"/>
      <c r="BL948" s="1392" t="n"/>
      <c r="BM948" s="1392" t="n"/>
      <c r="BN948" s="1392" t="n"/>
      <c r="BO948" s="1392" t="n"/>
      <c r="BP948" s="1392" t="n"/>
      <c r="BQ948" s="1392" t="n"/>
      <c r="BR948" s="1392" t="n"/>
      <c r="BS948" s="1392" t="n"/>
      <c r="BT948" s="1392" t="n"/>
      <c r="BU948" s="1416" t="n"/>
      <c r="BV948" s="1392" t="n"/>
      <c r="BW948" s="1392" t="n"/>
      <c r="BX948" s="1392" t="n"/>
      <c r="BY948" s="1392" t="n"/>
      <c r="BZ948" s="1416" t="n"/>
      <c r="CA948" s="1392" t="n"/>
      <c r="CB948" s="1392" t="n"/>
      <c r="CC948" s="1392" t="n"/>
      <c r="CD948" s="1392" t="n"/>
      <c r="CE948" s="1392" t="n"/>
      <c r="CF948" s="1392" t="n"/>
      <c r="CG948" s="1392" t="n"/>
      <c r="CH948" s="1392" t="n"/>
      <c r="CI948" s="1392" t="n"/>
      <c r="CJ948" s="1392" t="n"/>
      <c r="CK948" s="1392" t="n"/>
      <c r="CL948" s="1392" t="n"/>
    </row>
    <row r="949">
      <c r="A949" s="5" t="inlineStr">
        <is>
          <t>.</t>
        </is>
      </c>
      <c r="B949" s="5" t="inlineStr">
        <is>
          <t>.</t>
        </is>
      </c>
      <c r="C949" s="1378">
        <f>IF(raw[[#This Row],[city]]="","-",IF(raw[[#This Row],[city]]="TODAY","-",C948+1))</f>
        <v/>
      </c>
      <c r="D949" s="1393" t="inlineStr">
        <is>
          <t>Pontremoli</t>
        </is>
      </c>
      <c r="E949" s="1394" t="n">
        <v>38576</v>
      </c>
      <c r="F949" s="1394" t="n">
        <v>38576</v>
      </c>
      <c r="G949" s="1393" t="inlineStr">
        <is>
          <t>-</t>
        </is>
      </c>
      <c r="H949" s="1393" t="inlineStr">
        <is>
          <t>Transit</t>
        </is>
      </c>
      <c r="I949" s="1393" t="inlineStr">
        <is>
          <t>VF</t>
        </is>
      </c>
      <c r="J949" s="1393" t="inlineStr">
        <is>
          <t>-</t>
        </is>
      </c>
      <c r="K949" s="1395">
        <f>IF(raw[[#This Row],[city]]&lt;&gt;"",_xlfn.XLOOKUP($D949,ccc[city],ccc[prov],"-"),"-")</f>
        <v/>
      </c>
      <c r="L949" s="1395">
        <f>IF(raw[[#This Row],[city]]&lt;&gt;"",_xlfn.XLOOKUP($D949,ccc[city],ccc[ctry],"-"),"-")</f>
        <v/>
      </c>
      <c r="M949" s="1395">
        <f>IF(raw[[#This Row],[city]]&lt;&gt;"",_xlfn.XLOOKUP($D949,ccc[city],ccc[cont],"-"),"-")</f>
        <v/>
      </c>
      <c r="N949" s="1396">
        <f>IF(raw[[#This Row],[city]]="","-",IF(raw[[#This Row],[cont]]="B",raw[[#This Row],[cont]],"W"))</f>
        <v/>
      </c>
      <c r="O949" s="1397">
        <f>IF(raw[[#This Row],[out]]=0,0,IF(raw[[#This Row],[out]]=raw[[#This Row],[in]],0.01,raw[[#This Row],[out]]-raw[[#This Row],[in]]))</f>
        <v/>
      </c>
      <c r="P949" s="1397">
        <f>IF(raw[[#This Row],[in]]=0,0,MONTH(raw[[#This Row],[in]]))</f>
        <v/>
      </c>
      <c r="Q949" s="1397">
        <f>IF(raw[[#This Row],[in]]=0,0,YEAR(raw[[#This Row],[in]]))</f>
        <v/>
      </c>
      <c r="R949" s="1397">
        <f>INT(raw[[#This Row],[yr]]/10)*10</f>
        <v/>
      </c>
      <c r="S949" s="1395">
        <f>IF(raw[[#This Row],[city]]="","-",IF(raw[[#This Row],[city]]&lt;&gt;_xlfn.XLOOKUP(raw[[#This Row],[home]],homes[home],homes[city],"-"),1,0))</f>
        <v/>
      </c>
      <c r="T949" s="1398" t="inlineStr">
        <is>
          <t>.</t>
        </is>
      </c>
      <c r="U949" s="1399">
        <f>IF(raw[[#This Row],[wb]]="w",raw[[#This Row],[stay]]+U948,U948)</f>
        <v/>
      </c>
      <c r="V949" s="1400">
        <f>IF(raw[[#This Row],[out]]=0,V948,(raw[[#This Row],[out]]-E$5))</f>
        <v/>
      </c>
      <c r="W949" s="1401">
        <f>U949/V949</f>
        <v/>
      </c>
      <c r="X949" s="1392" t="n"/>
      <c r="Y949" s="1392" t="n"/>
      <c r="Z949" s="1392" t="n"/>
      <c r="AA949" s="1392" t="n"/>
      <c r="AB949" s="1392" t="n"/>
      <c r="AC949" s="1392" t="n"/>
      <c r="AD949" s="1392" t="n"/>
      <c r="AE949" s="1392" t="n"/>
      <c r="AF949" s="1392" t="n"/>
      <c r="AG949" s="1392" t="n"/>
      <c r="AH949" s="1392" t="n"/>
      <c r="AI949" s="1392" t="n"/>
      <c r="AJ949" s="1392" t="n"/>
      <c r="AK949" s="1392" t="n"/>
      <c r="AL949" s="1392" t="n"/>
      <c r="AM949" s="1392" t="n"/>
      <c r="AN949" s="1392" t="n"/>
      <c r="AO949" s="1392" t="n"/>
      <c r="AP949" s="1392" t="n"/>
      <c r="AQ949" s="1392" t="n"/>
      <c r="AR949" s="1392" t="n"/>
      <c r="AS949" s="1422" t="n"/>
      <c r="AT949" s="1392" t="n"/>
      <c r="AU949" s="1392" t="n"/>
      <c r="AV949" s="1392" t="n"/>
      <c r="AW949" s="1392" t="n"/>
      <c r="AX949" s="1392" t="n"/>
      <c r="AY949" s="1392" t="n"/>
      <c r="AZ949" s="1392" t="n"/>
      <c r="BA949" s="1392" t="n"/>
      <c r="BB949" s="1422" t="n"/>
      <c r="BC949" s="1392" t="n"/>
      <c r="BD949" s="1392" t="n"/>
      <c r="BE949" s="1392" t="n"/>
      <c r="BF949" s="1392" t="n"/>
      <c r="BG949" s="1392" t="n"/>
      <c r="BH949" s="1392" t="n"/>
      <c r="BI949" s="1392" t="n"/>
      <c r="BJ949" s="1392" t="n"/>
      <c r="BK949" s="1392" t="n"/>
      <c r="BL949" s="1392" t="n"/>
      <c r="BM949" s="1392" t="n"/>
      <c r="BN949" s="1392" t="n"/>
      <c r="BO949" s="1392" t="n"/>
      <c r="BP949" s="1392" t="n"/>
      <c r="BQ949" s="1392" t="n"/>
      <c r="BR949" s="1392" t="n"/>
      <c r="BS949" s="1392" t="n"/>
      <c r="BT949" s="1392" t="n"/>
      <c r="BU949" s="1416" t="n"/>
      <c r="BV949" s="1392" t="n"/>
      <c r="BW949" s="1392" t="n"/>
      <c r="BX949" s="1392" t="n"/>
      <c r="BY949" s="1392" t="n"/>
      <c r="BZ949" s="1416" t="n"/>
      <c r="CA949" s="1392" t="n"/>
      <c r="CB949" s="1392" t="n"/>
      <c r="CC949" s="1392" t="n"/>
      <c r="CD949" s="1392" t="n"/>
      <c r="CE949" s="1392" t="n"/>
      <c r="CF949" s="1392" t="n"/>
      <c r="CG949" s="1392" t="n"/>
      <c r="CH949" s="1392" t="n"/>
      <c r="CI949" s="1392" t="n"/>
      <c r="CJ949" s="1392" t="n"/>
      <c r="CK949" s="1392" t="n"/>
      <c r="CL949" s="1392" t="n"/>
    </row>
    <row r="950">
      <c r="A950" s="5" t="inlineStr">
        <is>
          <t>.</t>
        </is>
      </c>
      <c r="B950" s="5" t="inlineStr">
        <is>
          <t>.</t>
        </is>
      </c>
      <c r="C950" s="1378">
        <f>IF(raw[[#This Row],[city]]="","-",IF(raw[[#This Row],[city]]="TODAY","-",C949+1))</f>
        <v/>
      </c>
      <c r="D950" s="1393" t="inlineStr">
        <is>
          <t>Villafranca Lunigiana</t>
        </is>
      </c>
      <c r="E950" s="1394" t="n">
        <v>38576</v>
      </c>
      <c r="F950" s="1394" t="n">
        <v>38576</v>
      </c>
      <c r="G950" s="1393" t="inlineStr">
        <is>
          <t>-</t>
        </is>
      </c>
      <c r="H950" s="1393" t="inlineStr">
        <is>
          <t>Transit</t>
        </is>
      </c>
      <c r="I950" s="1393" t="inlineStr">
        <is>
          <t>VF</t>
        </is>
      </c>
      <c r="J950" s="1393" t="inlineStr">
        <is>
          <t>-</t>
        </is>
      </c>
      <c r="K950" s="1395">
        <f>IF(raw[[#This Row],[city]]&lt;&gt;"",_xlfn.XLOOKUP($D950,ccc[city],ccc[prov],"-"),"-")</f>
        <v/>
      </c>
      <c r="L950" s="1395">
        <f>IF(raw[[#This Row],[city]]&lt;&gt;"",_xlfn.XLOOKUP($D950,ccc[city],ccc[ctry],"-"),"-")</f>
        <v/>
      </c>
      <c r="M950" s="1395">
        <f>IF(raw[[#This Row],[city]]&lt;&gt;"",_xlfn.XLOOKUP($D950,ccc[city],ccc[cont],"-"),"-")</f>
        <v/>
      </c>
      <c r="N950" s="1396">
        <f>IF(raw[[#This Row],[city]]="","-",IF(raw[[#This Row],[cont]]="B",raw[[#This Row],[cont]],"W"))</f>
        <v/>
      </c>
      <c r="O950" s="1397">
        <f>IF(raw[[#This Row],[out]]=0,0,IF(raw[[#This Row],[out]]=raw[[#This Row],[in]],0.01,raw[[#This Row],[out]]-raw[[#This Row],[in]]))</f>
        <v/>
      </c>
      <c r="P950" s="1397">
        <f>IF(raw[[#This Row],[in]]=0,0,MONTH(raw[[#This Row],[in]]))</f>
        <v/>
      </c>
      <c r="Q950" s="1397">
        <f>IF(raw[[#This Row],[in]]=0,0,YEAR(raw[[#This Row],[in]]))</f>
        <v/>
      </c>
      <c r="R950" s="1397">
        <f>INT(raw[[#This Row],[yr]]/10)*10</f>
        <v/>
      </c>
      <c r="S950" s="1395">
        <f>IF(raw[[#This Row],[city]]="","-",IF(raw[[#This Row],[city]]&lt;&gt;_xlfn.XLOOKUP(raw[[#This Row],[home]],homes[home],homes[city],"-"),1,0))</f>
        <v/>
      </c>
      <c r="T950" s="1398" t="inlineStr">
        <is>
          <t>.</t>
        </is>
      </c>
      <c r="U950" s="1399">
        <f>IF(raw[[#This Row],[wb]]="w",raw[[#This Row],[stay]]+U949,U949)</f>
        <v/>
      </c>
      <c r="V950" s="1400">
        <f>IF(raw[[#This Row],[out]]=0,V949,(raw[[#This Row],[out]]-E$5))</f>
        <v/>
      </c>
      <c r="W950" s="1401">
        <f>U950/V950</f>
        <v/>
      </c>
      <c r="X950" s="1392" t="n"/>
      <c r="Y950" s="1392" t="n"/>
      <c r="Z950" s="1392" t="n"/>
      <c r="AA950" s="1392" t="n"/>
      <c r="AB950" s="1392" t="n"/>
      <c r="AC950" s="1392" t="n"/>
      <c r="AD950" s="1392" t="n"/>
      <c r="AE950" s="1392" t="n"/>
      <c r="AF950" s="1392" t="n"/>
      <c r="AG950" s="1392" t="n"/>
      <c r="AH950" s="1392" t="n"/>
      <c r="AI950" s="1392" t="n"/>
      <c r="AJ950" s="1392" t="n"/>
      <c r="AK950" s="1392" t="n"/>
      <c r="AL950" s="1392" t="n"/>
      <c r="AM950" s="1392" t="n"/>
      <c r="AN950" s="1392" t="n"/>
      <c r="AO950" s="1392" t="n"/>
      <c r="AP950" s="1392" t="n"/>
      <c r="AQ950" s="1392" t="n"/>
      <c r="AR950" s="1392" t="n"/>
      <c r="AS950" s="1422" t="n"/>
      <c r="AT950" s="1392" t="n"/>
      <c r="AU950" s="1392" t="n"/>
      <c r="AV950" s="1392" t="n"/>
      <c r="AW950" s="1392" t="n"/>
      <c r="AX950" s="1392" t="n"/>
      <c r="AY950" s="1392" t="n"/>
      <c r="AZ950" s="1392" t="n"/>
      <c r="BA950" s="1392" t="n"/>
      <c r="BB950" s="1422" t="n"/>
      <c r="BC950" s="1392" t="n"/>
      <c r="BD950" s="1392" t="n"/>
      <c r="BE950" s="1392" t="n"/>
      <c r="BF950" s="1392" t="n"/>
      <c r="BG950" s="1392" t="n"/>
      <c r="BH950" s="1392" t="n"/>
      <c r="BI950" s="1392" t="n"/>
      <c r="BJ950" s="1392" t="n"/>
      <c r="BK950" s="1392" t="n"/>
      <c r="BL950" s="1392" t="n"/>
      <c r="BM950" s="1392" t="n"/>
      <c r="BN950" s="1392" t="n"/>
      <c r="BO950" s="1392" t="n"/>
      <c r="BP950" s="1392" t="n"/>
      <c r="BQ950" s="1392" t="n"/>
      <c r="BR950" s="1392" t="n"/>
      <c r="BS950" s="1392" t="n"/>
      <c r="BT950" s="1392" t="n"/>
      <c r="BU950" s="1416" t="n"/>
      <c r="BV950" s="1392" t="n"/>
      <c r="BW950" s="1392" t="n"/>
      <c r="BX950" s="1392" t="n"/>
      <c r="BY950" s="1392" t="n"/>
      <c r="BZ950" s="1416" t="n"/>
      <c r="CA950" s="1392" t="n"/>
      <c r="CB950" s="1392" t="n"/>
      <c r="CC950" s="1392" t="n"/>
      <c r="CD950" s="1392" t="n"/>
      <c r="CE950" s="1392" t="n"/>
      <c r="CF950" s="1392" t="n"/>
      <c r="CG950" s="1392" t="n"/>
      <c r="CH950" s="1392" t="n"/>
      <c r="CI950" s="1392" t="n"/>
      <c r="CJ950" s="1392" t="n"/>
      <c r="CK950" s="1392" t="n"/>
      <c r="CL950" s="1392" t="n"/>
    </row>
    <row r="951">
      <c r="A951" s="5" t="inlineStr">
        <is>
          <t>.</t>
        </is>
      </c>
      <c r="B951" s="5" t="inlineStr">
        <is>
          <t>.</t>
        </is>
      </c>
      <c r="C951" s="1378">
        <f>IF(raw[[#This Row],[city]]="","-",IF(raw[[#This Row],[city]]="TODAY","-",C950+1))</f>
        <v/>
      </c>
      <c r="D951" s="1393" t="inlineStr">
        <is>
          <t>Aulla</t>
        </is>
      </c>
      <c r="E951" s="1394" t="n">
        <v>38576</v>
      </c>
      <c r="F951" s="1394" t="n">
        <v>38577</v>
      </c>
      <c r="G951" s="1393" t="inlineStr">
        <is>
          <t>-</t>
        </is>
      </c>
      <c r="H951" s="1393" t="inlineStr">
        <is>
          <t>Transit</t>
        </is>
      </c>
      <c r="I951" s="1393" t="inlineStr">
        <is>
          <t>VF</t>
        </is>
      </c>
      <c r="J951" s="1393" t="inlineStr">
        <is>
          <t>-</t>
        </is>
      </c>
      <c r="K951" s="1395">
        <f>IF(raw[[#This Row],[city]]&lt;&gt;"",_xlfn.XLOOKUP($D951,ccc[city],ccc[prov],"-"),"-")</f>
        <v/>
      </c>
      <c r="L951" s="1395">
        <f>IF(raw[[#This Row],[city]]&lt;&gt;"",_xlfn.XLOOKUP($D951,ccc[city],ccc[ctry],"-"),"-")</f>
        <v/>
      </c>
      <c r="M951" s="1395">
        <f>IF(raw[[#This Row],[city]]&lt;&gt;"",_xlfn.XLOOKUP($D951,ccc[city],ccc[cont],"-"),"-")</f>
        <v/>
      </c>
      <c r="N951" s="1396">
        <f>IF(raw[[#This Row],[city]]="","-",IF(raw[[#This Row],[cont]]="B",raw[[#This Row],[cont]],"W"))</f>
        <v/>
      </c>
      <c r="O951" s="1397">
        <f>IF(raw[[#This Row],[out]]=0,0,IF(raw[[#This Row],[out]]=raw[[#This Row],[in]],0.01,raw[[#This Row],[out]]-raw[[#This Row],[in]]))</f>
        <v/>
      </c>
      <c r="P951" s="1397">
        <f>IF(raw[[#This Row],[in]]=0,0,MONTH(raw[[#This Row],[in]]))</f>
        <v/>
      </c>
      <c r="Q951" s="1397">
        <f>IF(raw[[#This Row],[in]]=0,0,YEAR(raw[[#This Row],[in]]))</f>
        <v/>
      </c>
      <c r="R951" s="1397">
        <f>INT(raw[[#This Row],[yr]]/10)*10</f>
        <v/>
      </c>
      <c r="S951" s="1395">
        <f>IF(raw[[#This Row],[city]]="","-",IF(raw[[#This Row],[city]]&lt;&gt;_xlfn.XLOOKUP(raw[[#This Row],[home]],homes[home],homes[city],"-"),1,0))</f>
        <v/>
      </c>
      <c r="T951" s="1398" t="inlineStr">
        <is>
          <t>.</t>
        </is>
      </c>
      <c r="U951" s="1399">
        <f>IF(raw[[#This Row],[wb]]="w",raw[[#This Row],[stay]]+U950,U950)</f>
        <v/>
      </c>
      <c r="V951" s="1400">
        <f>IF(raw[[#This Row],[out]]=0,V950,(raw[[#This Row],[out]]-E$5))</f>
        <v/>
      </c>
      <c r="W951" s="1401">
        <f>U951/V951</f>
        <v/>
      </c>
      <c r="X951" s="1392" t="n"/>
      <c r="Y951" s="1392" t="n"/>
      <c r="Z951" s="1392" t="n"/>
      <c r="AA951" s="1392" t="n"/>
      <c r="AB951" s="1392" t="n"/>
      <c r="AC951" s="1392" t="n"/>
      <c r="AD951" s="1392" t="n"/>
      <c r="AE951" s="1392" t="n"/>
      <c r="AF951" s="1392" t="n"/>
      <c r="AG951" s="1392" t="n"/>
      <c r="AH951" s="1392" t="n"/>
      <c r="AI951" s="1392" t="n"/>
      <c r="AJ951" s="1392" t="n"/>
      <c r="AK951" s="1392" t="n"/>
      <c r="AL951" s="1392" t="n"/>
      <c r="AM951" s="1392" t="n"/>
      <c r="AN951" s="1392" t="n"/>
      <c r="AO951" s="1392" t="n"/>
      <c r="AP951" s="1392" t="n"/>
      <c r="AQ951" s="1392" t="n"/>
      <c r="AR951" s="1392" t="n"/>
      <c r="AS951" s="1422" t="n"/>
      <c r="AT951" s="1392" t="n"/>
      <c r="AU951" s="1392" t="n"/>
      <c r="AV951" s="1392" t="n"/>
      <c r="AW951" s="1392" t="n"/>
      <c r="AX951" s="1392" t="n"/>
      <c r="AY951" s="1392" t="n"/>
      <c r="AZ951" s="1392" t="n"/>
      <c r="BA951" s="1392" t="n"/>
      <c r="BB951" s="1422" t="n"/>
      <c r="BC951" s="1392" t="n"/>
      <c r="BD951" s="1392" t="n"/>
      <c r="BE951" s="1392" t="n"/>
      <c r="BF951" s="1392" t="n"/>
      <c r="BG951" s="1392" t="n"/>
      <c r="BH951" s="1392" t="n"/>
      <c r="BI951" s="1392" t="n"/>
      <c r="BJ951" s="1392" t="n"/>
      <c r="BK951" s="1392" t="n"/>
      <c r="BL951" s="1392" t="n"/>
      <c r="BM951" s="1392" t="n"/>
      <c r="BN951" s="1392" t="n"/>
      <c r="BO951" s="1392" t="n"/>
      <c r="BP951" s="1392" t="n"/>
      <c r="BQ951" s="1392" t="n"/>
      <c r="BR951" s="1392" t="n"/>
      <c r="BS951" s="1392" t="n"/>
      <c r="BT951" s="1392" t="n"/>
      <c r="BU951" s="1416" t="n"/>
      <c r="BV951" s="1392" t="n"/>
      <c r="BW951" s="1392" t="n"/>
      <c r="BX951" s="1392" t="n"/>
      <c r="BY951" s="1392" t="n"/>
      <c r="BZ951" s="1416" t="n"/>
      <c r="CA951" s="1392" t="n"/>
      <c r="CB951" s="1392" t="n"/>
      <c r="CC951" s="1392" t="n"/>
      <c r="CD951" s="1392" t="n"/>
      <c r="CE951" s="1392" t="n"/>
      <c r="CF951" s="1392" t="n"/>
      <c r="CG951" s="1392" t="n"/>
      <c r="CH951" s="1392" t="n"/>
      <c r="CI951" s="1392" t="n"/>
      <c r="CJ951" s="1392" t="n"/>
      <c r="CK951" s="1392" t="n"/>
      <c r="CL951" s="1392" t="n"/>
    </row>
    <row r="952">
      <c r="A952" s="5" t="inlineStr">
        <is>
          <t>.</t>
        </is>
      </c>
      <c r="B952" s="5" t="inlineStr">
        <is>
          <t>.</t>
        </is>
      </c>
      <c r="C952" s="1378">
        <f>IF(raw[[#This Row],[city]]="","-",IF(raw[[#This Row],[city]]="TODAY","-",C951+1))</f>
        <v/>
      </c>
      <c r="D952" s="1393" t="inlineStr">
        <is>
          <t>Sarzana</t>
        </is>
      </c>
      <c r="E952" s="1394" t="n">
        <v>38577</v>
      </c>
      <c r="F952" s="1394" t="n">
        <v>38579</v>
      </c>
      <c r="G952" s="1393" t="inlineStr">
        <is>
          <t>-</t>
        </is>
      </c>
      <c r="H952" s="1393" t="inlineStr">
        <is>
          <t>Transit</t>
        </is>
      </c>
      <c r="I952" s="1393" t="inlineStr">
        <is>
          <t>VF</t>
        </is>
      </c>
      <c r="J952" s="1393" t="inlineStr">
        <is>
          <t>-</t>
        </is>
      </c>
      <c r="K952" s="1395">
        <f>IF(raw[[#This Row],[city]]&lt;&gt;"",_xlfn.XLOOKUP($D952,ccc[city],ccc[prov],"-"),"-")</f>
        <v/>
      </c>
      <c r="L952" s="1395">
        <f>IF(raw[[#This Row],[city]]&lt;&gt;"",_xlfn.XLOOKUP($D952,ccc[city],ccc[ctry],"-"),"-")</f>
        <v/>
      </c>
      <c r="M952" s="1395">
        <f>IF(raw[[#This Row],[city]]&lt;&gt;"",_xlfn.XLOOKUP($D952,ccc[city],ccc[cont],"-"),"-")</f>
        <v/>
      </c>
      <c r="N952" s="1396">
        <f>IF(raw[[#This Row],[city]]="","-",IF(raw[[#This Row],[cont]]="B",raw[[#This Row],[cont]],"W"))</f>
        <v/>
      </c>
      <c r="O952" s="1397">
        <f>IF(raw[[#This Row],[out]]=0,0,IF(raw[[#This Row],[out]]=raw[[#This Row],[in]],0.01,raw[[#This Row],[out]]-raw[[#This Row],[in]]))</f>
        <v/>
      </c>
      <c r="P952" s="1397">
        <f>IF(raw[[#This Row],[in]]=0,0,MONTH(raw[[#This Row],[in]]))</f>
        <v/>
      </c>
      <c r="Q952" s="1397">
        <f>IF(raw[[#This Row],[in]]=0,0,YEAR(raw[[#This Row],[in]]))</f>
        <v/>
      </c>
      <c r="R952" s="1397">
        <f>INT(raw[[#This Row],[yr]]/10)*10</f>
        <v/>
      </c>
      <c r="S952" s="1395">
        <f>IF(raw[[#This Row],[city]]="","-",IF(raw[[#This Row],[city]]&lt;&gt;_xlfn.XLOOKUP(raw[[#This Row],[home]],homes[home],homes[city],"-"),1,0))</f>
        <v/>
      </c>
      <c r="T952" s="1398" t="inlineStr">
        <is>
          <t>.</t>
        </is>
      </c>
      <c r="U952" s="1399">
        <f>IF(raw[[#This Row],[wb]]="w",raw[[#This Row],[stay]]+U951,U951)</f>
        <v/>
      </c>
      <c r="V952" s="1400">
        <f>IF(raw[[#This Row],[out]]=0,V951,(raw[[#This Row],[out]]-E$5))</f>
        <v/>
      </c>
      <c r="W952" s="1401">
        <f>U952/V952</f>
        <v/>
      </c>
      <c r="X952" s="1392" t="n"/>
      <c r="Y952" s="1392" t="n"/>
      <c r="Z952" s="1392" t="n"/>
      <c r="AA952" s="1392" t="n"/>
      <c r="AB952" s="1392" t="n"/>
      <c r="AC952" s="1392" t="n"/>
      <c r="AD952" s="1392" t="n"/>
      <c r="AE952" s="1392" t="n"/>
      <c r="AF952" s="1392" t="n"/>
      <c r="AG952" s="1392" t="n"/>
      <c r="AH952" s="1392" t="n"/>
      <c r="AI952" s="1392" t="n"/>
      <c r="AJ952" s="1392" t="n"/>
      <c r="AK952" s="1392" t="n"/>
      <c r="AL952" s="1392" t="n"/>
      <c r="AM952" s="1392" t="n"/>
      <c r="AN952" s="1392" t="n"/>
      <c r="AO952" s="1392" t="n"/>
      <c r="AP952" s="1392" t="n"/>
      <c r="AQ952" s="1392" t="n"/>
      <c r="AR952" s="1392" t="n"/>
      <c r="AS952" s="1422" t="n"/>
      <c r="AT952" s="1392" t="n"/>
      <c r="AU952" s="1392" t="n"/>
      <c r="AV952" s="1392" t="n"/>
      <c r="AW952" s="1392" t="n"/>
      <c r="AX952" s="1392" t="n"/>
      <c r="AY952" s="1392" t="n"/>
      <c r="AZ952" s="1392" t="n"/>
      <c r="BA952" s="1392" t="n"/>
      <c r="BB952" s="1422" t="n"/>
      <c r="BC952" s="1392" t="n"/>
      <c r="BD952" s="1392" t="n"/>
      <c r="BE952" s="1392" t="n"/>
      <c r="BF952" s="1392" t="n"/>
      <c r="BG952" s="1392" t="n"/>
      <c r="BH952" s="1392" t="n"/>
      <c r="BI952" s="1392" t="n"/>
      <c r="BJ952" s="1392" t="n"/>
      <c r="BK952" s="1392" t="n"/>
      <c r="BL952" s="1392" t="n"/>
      <c r="BM952" s="1392" t="n"/>
      <c r="BN952" s="1392" t="n"/>
      <c r="BO952" s="1392" t="n"/>
      <c r="BP952" s="1392" t="n"/>
      <c r="BQ952" s="1392" t="n"/>
      <c r="BR952" s="1392" t="n"/>
      <c r="BS952" s="1392" t="n"/>
      <c r="BT952" s="1392" t="n"/>
      <c r="BU952" s="1416" t="n"/>
      <c r="BV952" s="1392" t="n"/>
      <c r="BW952" s="1392" t="n"/>
      <c r="BX952" s="1392" t="n"/>
      <c r="BY952" s="1392" t="n"/>
      <c r="BZ952" s="1416" t="n"/>
      <c r="CA952" s="1392" t="n"/>
      <c r="CB952" s="1392" t="n"/>
      <c r="CC952" s="1392" t="n"/>
      <c r="CD952" s="1392" t="n"/>
      <c r="CE952" s="1392" t="n"/>
      <c r="CF952" s="1392" t="n"/>
      <c r="CG952" s="1392" t="n"/>
      <c r="CH952" s="1392" t="n"/>
      <c r="CI952" s="1392" t="n"/>
      <c r="CJ952" s="1392" t="n"/>
      <c r="CK952" s="1392" t="n"/>
      <c r="CL952" s="1392" t="n"/>
    </row>
    <row r="953">
      <c r="A953" s="5" t="inlineStr">
        <is>
          <t>.</t>
        </is>
      </c>
      <c r="B953" s="5" t="inlineStr">
        <is>
          <t>.</t>
        </is>
      </c>
      <c r="C953" s="1378">
        <f>IF(raw[[#This Row],[city]]="","-",IF(raw[[#This Row],[city]]="TODAY","-",C952+1))</f>
        <v/>
      </c>
      <c r="D953" s="1393" t="inlineStr">
        <is>
          <t>Luni</t>
        </is>
      </c>
      <c r="E953" s="1394" t="n">
        <v>38579</v>
      </c>
      <c r="F953" s="1394" t="n">
        <v>38579</v>
      </c>
      <c r="G953" s="1393" t="inlineStr">
        <is>
          <t>-</t>
        </is>
      </c>
      <c r="H953" s="1393" t="inlineStr">
        <is>
          <t>Transit</t>
        </is>
      </c>
      <c r="I953" s="1393" t="inlineStr">
        <is>
          <t>VF</t>
        </is>
      </c>
      <c r="J953" s="1393" t="inlineStr">
        <is>
          <t>-</t>
        </is>
      </c>
      <c r="K953" s="1395">
        <f>IF(raw[[#This Row],[city]]&lt;&gt;"",_xlfn.XLOOKUP($D953,ccc[city],ccc[prov],"-"),"-")</f>
        <v/>
      </c>
      <c r="L953" s="1395">
        <f>IF(raw[[#This Row],[city]]&lt;&gt;"",_xlfn.XLOOKUP($D953,ccc[city],ccc[ctry],"-"),"-")</f>
        <v/>
      </c>
      <c r="M953" s="1395">
        <f>IF(raw[[#This Row],[city]]&lt;&gt;"",_xlfn.XLOOKUP($D953,ccc[city],ccc[cont],"-"),"-")</f>
        <v/>
      </c>
      <c r="N953" s="1396">
        <f>IF(raw[[#This Row],[city]]="","-",IF(raw[[#This Row],[cont]]="B",raw[[#This Row],[cont]],"W"))</f>
        <v/>
      </c>
      <c r="O953" s="1397">
        <f>IF(raw[[#This Row],[out]]=0,0,IF(raw[[#This Row],[out]]=raw[[#This Row],[in]],0.01,raw[[#This Row],[out]]-raw[[#This Row],[in]]))</f>
        <v/>
      </c>
      <c r="P953" s="1397">
        <f>IF(raw[[#This Row],[in]]=0,0,MONTH(raw[[#This Row],[in]]))</f>
        <v/>
      </c>
      <c r="Q953" s="1397">
        <f>IF(raw[[#This Row],[in]]=0,0,YEAR(raw[[#This Row],[in]]))</f>
        <v/>
      </c>
      <c r="R953" s="1397">
        <f>INT(raw[[#This Row],[yr]]/10)*10</f>
        <v/>
      </c>
      <c r="S953" s="1395">
        <f>IF(raw[[#This Row],[city]]="","-",IF(raw[[#This Row],[city]]&lt;&gt;_xlfn.XLOOKUP(raw[[#This Row],[home]],homes[home],homes[city],"-"),1,0))</f>
        <v/>
      </c>
      <c r="T953" s="1398" t="inlineStr">
        <is>
          <t>.</t>
        </is>
      </c>
      <c r="U953" s="1399">
        <f>IF(raw[[#This Row],[wb]]="w",raw[[#This Row],[stay]]+U952,U952)</f>
        <v/>
      </c>
      <c r="V953" s="1400">
        <f>IF(raw[[#This Row],[out]]=0,V952,(raw[[#This Row],[out]]-E$5))</f>
        <v/>
      </c>
      <c r="W953" s="1401">
        <f>U953/V953</f>
        <v/>
      </c>
      <c r="X953" s="1392" t="n"/>
      <c r="Y953" s="1392" t="n"/>
      <c r="Z953" s="1392" t="n"/>
      <c r="AA953" s="1392" t="n"/>
      <c r="AB953" s="1392" t="n"/>
      <c r="AC953" s="1392" t="n"/>
      <c r="AD953" s="1392" t="n"/>
      <c r="AE953" s="1392" t="n"/>
      <c r="AF953" s="1392" t="n"/>
      <c r="AG953" s="1392" t="n"/>
      <c r="AH953" s="1392" t="n"/>
      <c r="AI953" s="1392" t="n"/>
      <c r="AJ953" s="1392" t="n"/>
      <c r="AK953" s="1392" t="n"/>
      <c r="AL953" s="1392" t="n"/>
      <c r="AM953" s="1392" t="n"/>
      <c r="AN953" s="1392" t="n"/>
      <c r="AO953" s="1392" t="n"/>
      <c r="AP953" s="1392" t="n"/>
      <c r="AQ953" s="1392" t="n"/>
      <c r="AR953" s="1392" t="n"/>
      <c r="AS953" s="1422" t="n"/>
      <c r="AT953" s="1392" t="n"/>
      <c r="AU953" s="1392" t="n"/>
      <c r="AV953" s="1392" t="n"/>
      <c r="AW953" s="1392" t="n"/>
      <c r="AX953" s="1392" t="n"/>
      <c r="AY953" s="1392" t="n"/>
      <c r="AZ953" s="1392" t="n"/>
      <c r="BA953" s="1392" t="n"/>
      <c r="BB953" s="1422" t="n"/>
      <c r="BC953" s="1392" t="n"/>
      <c r="BD953" s="1392" t="n"/>
      <c r="BE953" s="1392" t="n"/>
      <c r="BF953" s="1392" t="n"/>
      <c r="BG953" s="1392" t="n"/>
      <c r="BH953" s="1392" t="n"/>
      <c r="BI953" s="1392" t="n"/>
      <c r="BJ953" s="1392" t="n"/>
      <c r="BK953" s="1392" t="n"/>
      <c r="BL953" s="1392" t="n"/>
      <c r="BM953" s="1392" t="n"/>
      <c r="BN953" s="1392" t="n"/>
      <c r="BO953" s="1392" t="n"/>
      <c r="BP953" s="1392" t="n"/>
      <c r="BQ953" s="1392" t="n"/>
      <c r="BR953" s="1392" t="n"/>
      <c r="BS953" s="1392" t="n"/>
      <c r="BT953" s="1392" t="n"/>
      <c r="BU953" s="1416" t="n"/>
      <c r="BV953" s="1392" t="n"/>
      <c r="BW953" s="1392" t="n"/>
      <c r="BX953" s="1392" t="n"/>
      <c r="BY953" s="1392" t="n"/>
      <c r="BZ953" s="1416" t="n"/>
      <c r="CA953" s="1392" t="n"/>
      <c r="CB953" s="1392" t="n"/>
      <c r="CC953" s="1392" t="n"/>
      <c r="CD953" s="1392" t="n"/>
      <c r="CE953" s="1392" t="n"/>
      <c r="CF953" s="1392" t="n"/>
      <c r="CG953" s="1392" t="n"/>
      <c r="CH953" s="1392" t="n"/>
      <c r="CI953" s="1392" t="n"/>
      <c r="CJ953" s="1392" t="n"/>
      <c r="CK953" s="1392" t="n"/>
      <c r="CL953" s="1392" t="n"/>
    </row>
    <row r="954">
      <c r="A954" s="5" t="inlineStr">
        <is>
          <t>.</t>
        </is>
      </c>
      <c r="B954" s="5" t="inlineStr">
        <is>
          <t>.</t>
        </is>
      </c>
      <c r="C954" s="1378">
        <f>IF(raw[[#This Row],[city]]="","-",IF(raw[[#This Row],[city]]="TODAY","-",C953+1))</f>
        <v/>
      </c>
      <c r="D954" s="1393" t="inlineStr">
        <is>
          <t>Carrara</t>
        </is>
      </c>
      <c r="E954" s="1394" t="n">
        <v>38579</v>
      </c>
      <c r="F954" s="1394" t="n">
        <v>38579</v>
      </c>
      <c r="G954" s="1393" t="inlineStr">
        <is>
          <t>-</t>
        </is>
      </c>
      <c r="H954" s="1393" t="inlineStr">
        <is>
          <t>Transit</t>
        </is>
      </c>
      <c r="I954" s="1393" t="inlineStr">
        <is>
          <t>VF</t>
        </is>
      </c>
      <c r="J954" s="1393" t="inlineStr">
        <is>
          <t>-</t>
        </is>
      </c>
      <c r="K954" s="1395">
        <f>IF(raw[[#This Row],[city]]&lt;&gt;"",_xlfn.XLOOKUP($D954,ccc[city],ccc[prov],"-"),"-")</f>
        <v/>
      </c>
      <c r="L954" s="1395">
        <f>IF(raw[[#This Row],[city]]&lt;&gt;"",_xlfn.XLOOKUP($D954,ccc[city],ccc[ctry],"-"),"-")</f>
        <v/>
      </c>
      <c r="M954" s="1395">
        <f>IF(raw[[#This Row],[city]]&lt;&gt;"",_xlfn.XLOOKUP($D954,ccc[city],ccc[cont],"-"),"-")</f>
        <v/>
      </c>
      <c r="N954" s="1396">
        <f>IF(raw[[#This Row],[city]]="","-",IF(raw[[#This Row],[cont]]="B",raw[[#This Row],[cont]],"W"))</f>
        <v/>
      </c>
      <c r="O954" s="1397">
        <f>IF(raw[[#This Row],[out]]=0,0,IF(raw[[#This Row],[out]]=raw[[#This Row],[in]],0.01,raw[[#This Row],[out]]-raw[[#This Row],[in]]))</f>
        <v/>
      </c>
      <c r="P954" s="1397">
        <f>IF(raw[[#This Row],[in]]=0,0,MONTH(raw[[#This Row],[in]]))</f>
        <v/>
      </c>
      <c r="Q954" s="1397">
        <f>IF(raw[[#This Row],[in]]=0,0,YEAR(raw[[#This Row],[in]]))</f>
        <v/>
      </c>
      <c r="R954" s="1397">
        <f>INT(raw[[#This Row],[yr]]/10)*10</f>
        <v/>
      </c>
      <c r="S954" s="1395">
        <f>IF(raw[[#This Row],[city]]="","-",IF(raw[[#This Row],[city]]&lt;&gt;_xlfn.XLOOKUP(raw[[#This Row],[home]],homes[home],homes[city],"-"),1,0))</f>
        <v/>
      </c>
      <c r="T954" s="1398" t="inlineStr">
        <is>
          <t>.</t>
        </is>
      </c>
      <c r="U954" s="1399">
        <f>IF(raw[[#This Row],[wb]]="w",raw[[#This Row],[stay]]+U953,U953)</f>
        <v/>
      </c>
      <c r="V954" s="1400">
        <f>IF(raw[[#This Row],[out]]=0,V953,(raw[[#This Row],[out]]-E$5))</f>
        <v/>
      </c>
      <c r="W954" s="1401">
        <f>U954/V954</f>
        <v/>
      </c>
      <c r="X954" s="1392" t="n"/>
      <c r="Y954" s="1392" t="n"/>
      <c r="Z954" s="1392" t="n"/>
      <c r="AA954" s="1392" t="n"/>
      <c r="AB954" s="1392" t="n"/>
      <c r="AC954" s="1392" t="n"/>
      <c r="AD954" s="1392" t="n"/>
      <c r="AE954" s="1392" t="n"/>
      <c r="AF954" s="1392" t="n"/>
      <c r="AG954" s="1392" t="n"/>
      <c r="AH954" s="1392" t="n"/>
      <c r="AI954" s="1392" t="n"/>
      <c r="AJ954" s="1392" t="n"/>
      <c r="AK954" s="1392" t="n"/>
      <c r="AL954" s="1392" t="n"/>
      <c r="AM954" s="1392" t="n"/>
      <c r="AN954" s="1392" t="n"/>
      <c r="AO954" s="1392" t="n"/>
      <c r="AP954" s="1392" t="n"/>
      <c r="AQ954" s="1392" t="n"/>
      <c r="AR954" s="1392" t="n"/>
      <c r="AS954" s="1422" t="n"/>
      <c r="AT954" s="1392" t="n"/>
      <c r="AU954" s="1392" t="n"/>
      <c r="AV954" s="1392" t="n"/>
      <c r="AW954" s="1392" t="n"/>
      <c r="AX954" s="1392" t="n"/>
      <c r="AY954" s="1392" t="n"/>
      <c r="AZ954" s="1392" t="n"/>
      <c r="BA954" s="1392" t="n"/>
      <c r="BB954" s="1422" t="n"/>
      <c r="BC954" s="1392" t="n"/>
      <c r="BD954" s="1392" t="n"/>
      <c r="BE954" s="1392" t="n"/>
      <c r="BF954" s="1392" t="n"/>
      <c r="BG954" s="1392" t="n"/>
      <c r="BH954" s="1392" t="n"/>
      <c r="BI954" s="1392" t="n"/>
      <c r="BJ954" s="1392" t="n"/>
      <c r="BK954" s="1392" t="n"/>
      <c r="BL954" s="1392" t="n"/>
      <c r="BM954" s="1392" t="n"/>
      <c r="BN954" s="1392" t="n"/>
      <c r="BO954" s="1392" t="n"/>
      <c r="BP954" s="1392" t="n"/>
      <c r="BQ954" s="1392" t="n"/>
      <c r="BR954" s="1392" t="n"/>
      <c r="BS954" s="1392" t="n"/>
      <c r="BT954" s="1392" t="n"/>
      <c r="BU954" s="1416" t="n"/>
      <c r="BV954" s="1392" t="n"/>
      <c r="BW954" s="1392" t="n"/>
      <c r="BX954" s="1392" t="n"/>
      <c r="BY954" s="1392" t="n"/>
      <c r="BZ954" s="1416" t="n"/>
      <c r="CA954" s="1392" t="n"/>
      <c r="CB954" s="1392" t="n"/>
      <c r="CC954" s="1392" t="n"/>
      <c r="CD954" s="1392" t="n"/>
      <c r="CE954" s="1392" t="n"/>
      <c r="CF954" s="1392" t="n"/>
      <c r="CG954" s="1392" t="n"/>
      <c r="CH954" s="1392" t="n"/>
      <c r="CI954" s="1392" t="n"/>
      <c r="CJ954" s="1392" t="n"/>
      <c r="CK954" s="1392" t="n"/>
      <c r="CL954" s="1392" t="n"/>
    </row>
    <row r="955">
      <c r="A955" s="5" t="inlineStr">
        <is>
          <t>.</t>
        </is>
      </c>
      <c r="B955" s="5" t="inlineStr">
        <is>
          <t>.</t>
        </is>
      </c>
      <c r="C955" s="1378">
        <f>IF(raw[[#This Row],[city]]="","-",IF(raw[[#This Row],[city]]="TODAY","-",C954+1))</f>
        <v/>
      </c>
      <c r="D955" s="1393" t="inlineStr">
        <is>
          <t>Massa</t>
        </is>
      </c>
      <c r="E955" s="1394" t="n">
        <v>38579</v>
      </c>
      <c r="F955" s="1394" t="n">
        <v>38579</v>
      </c>
      <c r="G955" s="1393" t="inlineStr">
        <is>
          <t>-</t>
        </is>
      </c>
      <c r="H955" s="1393" t="inlineStr">
        <is>
          <t>Transit</t>
        </is>
      </c>
      <c r="I955" s="1393" t="inlineStr">
        <is>
          <t>VF</t>
        </is>
      </c>
      <c r="J955" s="1393" t="inlineStr">
        <is>
          <t>-</t>
        </is>
      </c>
      <c r="K955" s="1395">
        <f>IF(raw[[#This Row],[city]]&lt;&gt;"",_xlfn.XLOOKUP($D955,ccc[city],ccc[prov],"-"),"-")</f>
        <v/>
      </c>
      <c r="L955" s="1395">
        <f>IF(raw[[#This Row],[city]]&lt;&gt;"",_xlfn.XLOOKUP($D955,ccc[city],ccc[ctry],"-"),"-")</f>
        <v/>
      </c>
      <c r="M955" s="1395">
        <f>IF(raw[[#This Row],[city]]&lt;&gt;"",_xlfn.XLOOKUP($D955,ccc[city],ccc[cont],"-"),"-")</f>
        <v/>
      </c>
      <c r="N955" s="1396">
        <f>IF(raw[[#This Row],[city]]="","-",IF(raw[[#This Row],[cont]]="B",raw[[#This Row],[cont]],"W"))</f>
        <v/>
      </c>
      <c r="O955" s="1397">
        <f>IF(raw[[#This Row],[out]]=0,0,IF(raw[[#This Row],[out]]=raw[[#This Row],[in]],0.01,raw[[#This Row],[out]]-raw[[#This Row],[in]]))</f>
        <v/>
      </c>
      <c r="P955" s="1397">
        <f>IF(raw[[#This Row],[in]]=0,0,MONTH(raw[[#This Row],[in]]))</f>
        <v/>
      </c>
      <c r="Q955" s="1397">
        <f>IF(raw[[#This Row],[in]]=0,0,YEAR(raw[[#This Row],[in]]))</f>
        <v/>
      </c>
      <c r="R955" s="1397">
        <f>INT(raw[[#This Row],[yr]]/10)*10</f>
        <v/>
      </c>
      <c r="S955" s="1395">
        <f>IF(raw[[#This Row],[city]]="","-",IF(raw[[#This Row],[city]]&lt;&gt;_xlfn.XLOOKUP(raw[[#This Row],[home]],homes[home],homes[city],"-"),1,0))</f>
        <v/>
      </c>
      <c r="T955" s="1398" t="inlineStr">
        <is>
          <t>.</t>
        </is>
      </c>
      <c r="U955" s="1399">
        <f>IF(raw[[#This Row],[wb]]="w",raw[[#This Row],[stay]]+U954,U954)</f>
        <v/>
      </c>
      <c r="V955" s="1400">
        <f>IF(raw[[#This Row],[out]]=0,V954,(raw[[#This Row],[out]]-E$5))</f>
        <v/>
      </c>
      <c r="W955" s="1401">
        <f>U955/V955</f>
        <v/>
      </c>
      <c r="X955" s="1392" t="n"/>
      <c r="Y955" s="1392" t="n"/>
      <c r="Z955" s="1392" t="n"/>
      <c r="AA955" s="1392" t="n"/>
      <c r="AB955" s="1392" t="n"/>
      <c r="AC955" s="1392" t="n"/>
      <c r="AD955" s="1392" t="n"/>
      <c r="AE955" s="1392" t="n"/>
      <c r="AF955" s="1392" t="n"/>
      <c r="AG955" s="1392" t="n"/>
      <c r="AH955" s="1392" t="n"/>
      <c r="AI955" s="1392" t="n"/>
      <c r="AJ955" s="1392" t="n"/>
      <c r="AK955" s="1392" t="n"/>
      <c r="AL955" s="1392" t="n"/>
      <c r="AM955" s="1392" t="n"/>
      <c r="AN955" s="1392" t="n"/>
      <c r="AO955" s="1392" t="n"/>
      <c r="AP955" s="1392" t="n"/>
      <c r="AQ955" s="1392" t="n"/>
      <c r="AR955" s="1392" t="n"/>
      <c r="AS955" s="1422" t="n"/>
      <c r="AT955" s="1392" t="n"/>
      <c r="AU955" s="1392" t="n"/>
      <c r="AV955" s="1392" t="n"/>
      <c r="AW955" s="1392" t="n"/>
      <c r="AX955" s="1392" t="n"/>
      <c r="AY955" s="1392" t="n"/>
      <c r="AZ955" s="1392" t="n"/>
      <c r="BA955" s="1392" t="n"/>
      <c r="BB955" s="1422" t="n"/>
      <c r="BC955" s="1392" t="n"/>
      <c r="BD955" s="1392" t="n"/>
      <c r="BE955" s="1392" t="n"/>
      <c r="BF955" s="1392" t="n"/>
      <c r="BG955" s="1392" t="n"/>
      <c r="BH955" s="1392" t="n"/>
      <c r="BI955" s="1392" t="n"/>
      <c r="BJ955" s="1392" t="n"/>
      <c r="BK955" s="1392" t="n"/>
      <c r="BL955" s="1392" t="n"/>
      <c r="BM955" s="1392" t="n"/>
      <c r="BN955" s="1392" t="n"/>
      <c r="BO955" s="1392" t="n"/>
      <c r="BP955" s="1392" t="n"/>
      <c r="BQ955" s="1392" t="n"/>
      <c r="BR955" s="1392" t="n"/>
      <c r="BS955" s="1392" t="n"/>
      <c r="BT955" s="1392" t="n"/>
      <c r="BU955" s="1416" t="n"/>
      <c r="BV955" s="1392" t="n"/>
      <c r="BW955" s="1392" t="n"/>
      <c r="BX955" s="1392" t="n"/>
      <c r="BY955" s="1392" t="n"/>
      <c r="BZ955" s="1416" t="n"/>
      <c r="CA955" s="1392" t="n"/>
      <c r="CB955" s="1392" t="n"/>
      <c r="CC955" s="1392" t="n"/>
      <c r="CD955" s="1392" t="n"/>
      <c r="CE955" s="1392" t="n"/>
      <c r="CF955" s="1392" t="n"/>
      <c r="CG955" s="1392" t="n"/>
      <c r="CH955" s="1392" t="n"/>
      <c r="CI955" s="1392" t="n"/>
      <c r="CJ955" s="1392" t="n"/>
      <c r="CK955" s="1392" t="n"/>
      <c r="CL955" s="1392" t="n"/>
    </row>
    <row r="956">
      <c r="A956" s="5" t="inlineStr">
        <is>
          <t>.</t>
        </is>
      </c>
      <c r="B956" s="5" t="inlineStr">
        <is>
          <t>.</t>
        </is>
      </c>
      <c r="C956" s="1378">
        <f>IF(raw[[#This Row],[city]]="","-",IF(raw[[#This Row],[city]]="TODAY","-",C955+1))</f>
        <v/>
      </c>
      <c r="D956" s="1393" t="inlineStr">
        <is>
          <t>Pontremoli</t>
        </is>
      </c>
      <c r="E956" s="1394" t="n">
        <v>38579</v>
      </c>
      <c r="F956" s="1394" t="n">
        <v>38581</v>
      </c>
      <c r="G956" s="1393" t="inlineStr">
        <is>
          <t>-</t>
        </is>
      </c>
      <c r="H956" s="1393" t="inlineStr">
        <is>
          <t>Transit</t>
        </is>
      </c>
      <c r="I956" s="1393" t="inlineStr">
        <is>
          <t>VF</t>
        </is>
      </c>
      <c r="J956" s="1393" t="inlineStr">
        <is>
          <t>-</t>
        </is>
      </c>
      <c r="K956" s="1395">
        <f>IF(raw[[#This Row],[city]]&lt;&gt;"",_xlfn.XLOOKUP($D956,ccc[city],ccc[prov],"-"),"-")</f>
        <v/>
      </c>
      <c r="L956" s="1395">
        <f>IF(raw[[#This Row],[city]]&lt;&gt;"",_xlfn.XLOOKUP($D956,ccc[city],ccc[ctry],"-"),"-")</f>
        <v/>
      </c>
      <c r="M956" s="1395">
        <f>IF(raw[[#This Row],[city]]&lt;&gt;"",_xlfn.XLOOKUP($D956,ccc[city],ccc[cont],"-"),"-")</f>
        <v/>
      </c>
      <c r="N956" s="1396">
        <f>IF(raw[[#This Row],[city]]="","-",IF(raw[[#This Row],[cont]]="B",raw[[#This Row],[cont]],"W"))</f>
        <v/>
      </c>
      <c r="O956" s="1397">
        <f>IF(raw[[#This Row],[out]]=0,0,IF(raw[[#This Row],[out]]=raw[[#This Row],[in]],0.01,raw[[#This Row],[out]]-raw[[#This Row],[in]]))</f>
        <v/>
      </c>
      <c r="P956" s="1397">
        <f>IF(raw[[#This Row],[in]]=0,0,MONTH(raw[[#This Row],[in]]))</f>
        <v/>
      </c>
      <c r="Q956" s="1397">
        <f>IF(raw[[#This Row],[in]]=0,0,YEAR(raw[[#This Row],[in]]))</f>
        <v/>
      </c>
      <c r="R956" s="1397">
        <f>INT(raw[[#This Row],[yr]]/10)*10</f>
        <v/>
      </c>
      <c r="S956" s="1395">
        <f>IF(raw[[#This Row],[city]]="","-",IF(raw[[#This Row],[city]]&lt;&gt;_xlfn.XLOOKUP(raw[[#This Row],[home]],homes[home],homes[city],"-"),1,0))</f>
        <v/>
      </c>
      <c r="T956" s="1398" t="inlineStr">
        <is>
          <t>.</t>
        </is>
      </c>
      <c r="U956" s="1399">
        <f>IF(raw[[#This Row],[wb]]="w",raw[[#This Row],[stay]]+U955,U955)</f>
        <v/>
      </c>
      <c r="V956" s="1400">
        <f>IF(raw[[#This Row],[out]]=0,V955,(raw[[#This Row],[out]]-E$5))</f>
        <v/>
      </c>
      <c r="W956" s="1401">
        <f>U956/V956</f>
        <v/>
      </c>
      <c r="X956" s="1392" t="n"/>
      <c r="Y956" s="1392" t="n"/>
      <c r="Z956" s="1392" t="n"/>
      <c r="AA956" s="1392" t="n"/>
      <c r="AB956" s="1392" t="n"/>
      <c r="AC956" s="1392" t="n"/>
      <c r="AD956" s="1392" t="n"/>
      <c r="AE956" s="1392" t="n"/>
      <c r="AF956" s="1392" t="n"/>
      <c r="AG956" s="1392" t="n"/>
      <c r="AH956" s="1392" t="n"/>
      <c r="AI956" s="1392" t="n"/>
      <c r="AJ956" s="1392" t="n"/>
      <c r="AK956" s="1392" t="n"/>
      <c r="AL956" s="1392" t="n"/>
      <c r="AM956" s="1392" t="n"/>
      <c r="AN956" s="1392" t="n"/>
      <c r="AO956" s="1392" t="n"/>
      <c r="AP956" s="1392" t="n"/>
      <c r="AQ956" s="1392" t="n"/>
      <c r="AR956" s="1392" t="n"/>
      <c r="AS956" s="1422" t="n"/>
      <c r="AT956" s="1392" t="n"/>
      <c r="AU956" s="1392" t="n"/>
      <c r="AV956" s="1392" t="n"/>
      <c r="AW956" s="1392" t="n"/>
      <c r="AX956" s="1392" t="n"/>
      <c r="AY956" s="1392" t="n"/>
      <c r="AZ956" s="1392" t="n"/>
      <c r="BA956" s="1392" t="n"/>
      <c r="BB956" s="1422" t="n"/>
      <c r="BC956" s="1392" t="n"/>
      <c r="BD956" s="1392" t="n"/>
      <c r="BE956" s="1392" t="n"/>
      <c r="BF956" s="1392" t="n"/>
      <c r="BG956" s="1392" t="n"/>
      <c r="BH956" s="1392" t="n"/>
      <c r="BI956" s="1392" t="n"/>
      <c r="BJ956" s="1392" t="n"/>
      <c r="BK956" s="1392" t="n"/>
      <c r="BL956" s="1392" t="n"/>
      <c r="BM956" s="1392" t="n"/>
      <c r="BN956" s="1392" t="n"/>
      <c r="BO956" s="1392" t="n"/>
      <c r="BP956" s="1392" t="n"/>
      <c r="BQ956" s="1392" t="n"/>
      <c r="BR956" s="1392" t="n"/>
      <c r="BS956" s="1392" t="n"/>
      <c r="BT956" s="1392" t="n"/>
      <c r="BU956" s="1416" t="n"/>
      <c r="BV956" s="1392" t="n"/>
      <c r="BW956" s="1392" t="n"/>
      <c r="BX956" s="1392" t="n"/>
      <c r="BY956" s="1392" t="n"/>
      <c r="BZ956" s="1416" t="n"/>
      <c r="CA956" s="1392" t="n"/>
      <c r="CB956" s="1392" t="n"/>
      <c r="CC956" s="1392" t="n"/>
      <c r="CD956" s="1392" t="n"/>
      <c r="CE956" s="1392" t="n"/>
      <c r="CF956" s="1392" t="n"/>
      <c r="CG956" s="1392" t="n"/>
      <c r="CH956" s="1392" t="n"/>
      <c r="CI956" s="1392" t="n"/>
      <c r="CJ956" s="1392" t="n"/>
      <c r="CK956" s="1392" t="n"/>
      <c r="CL956" s="1392" t="n"/>
    </row>
    <row r="957">
      <c r="A957" s="5" t="inlineStr">
        <is>
          <t>.</t>
        </is>
      </c>
      <c r="B957" s="5" t="inlineStr">
        <is>
          <t>.</t>
        </is>
      </c>
      <c r="C957" s="1378">
        <f>IF(raw[[#This Row],[city]]="","-",IF(raw[[#This Row],[city]]="TODAY","-",C956+1))</f>
        <v/>
      </c>
      <c r="D957" s="1393" t="inlineStr">
        <is>
          <t>Massa</t>
        </is>
      </c>
      <c r="E957" s="1394" t="n">
        <v>38581</v>
      </c>
      <c r="F957" s="1394" t="n">
        <v>38581</v>
      </c>
      <c r="G957" s="1393" t="inlineStr">
        <is>
          <t>-</t>
        </is>
      </c>
      <c r="H957" s="1393" t="inlineStr">
        <is>
          <t>Transit</t>
        </is>
      </c>
      <c r="I957" s="1393" t="inlineStr">
        <is>
          <t>VF</t>
        </is>
      </c>
      <c r="J957" s="1393" t="inlineStr">
        <is>
          <t>-</t>
        </is>
      </c>
      <c r="K957" s="1395">
        <f>IF(raw[[#This Row],[city]]&lt;&gt;"",_xlfn.XLOOKUP($D957,ccc[city],ccc[prov],"-"),"-")</f>
        <v/>
      </c>
      <c r="L957" s="1395">
        <f>IF(raw[[#This Row],[city]]&lt;&gt;"",_xlfn.XLOOKUP($D957,ccc[city],ccc[ctry],"-"),"-")</f>
        <v/>
      </c>
      <c r="M957" s="1395">
        <f>IF(raw[[#This Row],[city]]&lt;&gt;"",_xlfn.XLOOKUP($D957,ccc[city],ccc[cont],"-"),"-")</f>
        <v/>
      </c>
      <c r="N957" s="1396">
        <f>IF(raw[[#This Row],[city]]="","-",IF(raw[[#This Row],[cont]]="B",raw[[#This Row],[cont]],"W"))</f>
        <v/>
      </c>
      <c r="O957" s="1397">
        <f>IF(raw[[#This Row],[out]]=0,0,IF(raw[[#This Row],[out]]=raw[[#This Row],[in]],0.01,raw[[#This Row],[out]]-raw[[#This Row],[in]]))</f>
        <v/>
      </c>
      <c r="P957" s="1397">
        <f>IF(raw[[#This Row],[in]]=0,0,MONTH(raw[[#This Row],[in]]))</f>
        <v/>
      </c>
      <c r="Q957" s="1397">
        <f>IF(raw[[#This Row],[in]]=0,0,YEAR(raw[[#This Row],[in]]))</f>
        <v/>
      </c>
      <c r="R957" s="1397">
        <f>INT(raw[[#This Row],[yr]]/10)*10</f>
        <v/>
      </c>
      <c r="S957" s="1395">
        <f>IF(raw[[#This Row],[city]]="","-",IF(raw[[#This Row],[city]]&lt;&gt;_xlfn.XLOOKUP(raw[[#This Row],[home]],homes[home],homes[city],"-"),1,0))</f>
        <v/>
      </c>
      <c r="T957" s="1398" t="inlineStr">
        <is>
          <t>.</t>
        </is>
      </c>
      <c r="U957" s="1399">
        <f>IF(raw[[#This Row],[wb]]="w",raw[[#This Row],[stay]]+U956,U956)</f>
        <v/>
      </c>
      <c r="V957" s="1400">
        <f>IF(raw[[#This Row],[out]]=0,V956,(raw[[#This Row],[out]]-E$5))</f>
        <v/>
      </c>
      <c r="W957" s="1401">
        <f>U957/V957</f>
        <v/>
      </c>
      <c r="X957" s="1392" t="n"/>
      <c r="Y957" s="1392" t="n"/>
      <c r="Z957" s="1392" t="n"/>
      <c r="AA957" s="1392" t="n"/>
      <c r="AB957" s="1392" t="n"/>
      <c r="AC957" s="1392" t="n"/>
      <c r="AD957" s="1392" t="n"/>
      <c r="AE957" s="1392" t="n"/>
      <c r="AF957" s="1392" t="n"/>
      <c r="AG957" s="1392" t="n"/>
      <c r="AH957" s="1392" t="n"/>
      <c r="AI957" s="1392" t="n"/>
      <c r="AJ957" s="1392" t="n"/>
      <c r="AK957" s="1392" t="n"/>
      <c r="AL957" s="1392" t="n"/>
      <c r="AM957" s="1392" t="n"/>
      <c r="AN957" s="1392" t="n"/>
      <c r="AO957" s="1392" t="n"/>
      <c r="AP957" s="1392" t="n"/>
      <c r="AQ957" s="1392" t="n"/>
      <c r="AR957" s="1392" t="n"/>
      <c r="AS957" s="1422" t="n"/>
      <c r="AT957" s="1392" t="n"/>
      <c r="AU957" s="1392" t="n"/>
      <c r="AV957" s="1392" t="n"/>
      <c r="AW957" s="1392" t="n"/>
      <c r="AX957" s="1392" t="n"/>
      <c r="AY957" s="1392" t="n"/>
      <c r="AZ957" s="1392" t="n"/>
      <c r="BA957" s="1392" t="n"/>
      <c r="BB957" s="1422" t="n"/>
      <c r="BC957" s="1392" t="n"/>
      <c r="BD957" s="1392" t="n"/>
      <c r="BE957" s="1392" t="n"/>
      <c r="BF957" s="1392" t="n"/>
      <c r="BG957" s="1392" t="n"/>
      <c r="BH957" s="1392" t="n"/>
      <c r="BI957" s="1392" t="n"/>
      <c r="BJ957" s="1392" t="n"/>
      <c r="BK957" s="1392" t="n"/>
      <c r="BL957" s="1392" t="n"/>
      <c r="BM957" s="1392" t="n"/>
      <c r="BN957" s="1392" t="n"/>
      <c r="BO957" s="1392" t="n"/>
      <c r="BP957" s="1392" t="n"/>
      <c r="BQ957" s="1392" t="n"/>
      <c r="BR957" s="1392" t="n"/>
      <c r="BS957" s="1392" t="n"/>
      <c r="BT957" s="1392" t="n"/>
      <c r="BU957" s="1416" t="n"/>
      <c r="BV957" s="1392" t="n"/>
      <c r="BW957" s="1392" t="n"/>
      <c r="BX957" s="1392" t="n"/>
      <c r="BY957" s="1392" t="n"/>
      <c r="BZ957" s="1416" t="n"/>
      <c r="CA957" s="1392" t="n"/>
      <c r="CB957" s="1392" t="n"/>
      <c r="CC957" s="1392" t="n"/>
      <c r="CD957" s="1392" t="n"/>
      <c r="CE957" s="1392" t="n"/>
      <c r="CF957" s="1392" t="n"/>
      <c r="CG957" s="1392" t="n"/>
      <c r="CH957" s="1392" t="n"/>
      <c r="CI957" s="1392" t="n"/>
      <c r="CJ957" s="1392" t="n"/>
      <c r="CK957" s="1392" t="n"/>
      <c r="CL957" s="1392" t="n"/>
    </row>
    <row r="958">
      <c r="A958" s="5" t="inlineStr">
        <is>
          <t>.</t>
        </is>
      </c>
      <c r="B958" s="5" t="inlineStr">
        <is>
          <t>.</t>
        </is>
      </c>
      <c r="C958" s="1378">
        <f>IF(raw[[#This Row],[city]]="","-",IF(raw[[#This Row],[city]]="TODAY","-",C957+1))</f>
        <v/>
      </c>
      <c r="D958" s="1393" t="inlineStr">
        <is>
          <t>litoral Marina de Massa</t>
        </is>
      </c>
      <c r="E958" s="1394" t="n">
        <v>38581</v>
      </c>
      <c r="F958" s="1394" t="n">
        <v>38581</v>
      </c>
      <c r="G958" s="1393" t="inlineStr">
        <is>
          <t>-</t>
        </is>
      </c>
      <c r="H958" s="1393" t="inlineStr">
        <is>
          <t>Transit</t>
        </is>
      </c>
      <c r="I958" s="1393" t="inlineStr">
        <is>
          <t>VF</t>
        </is>
      </c>
      <c r="J958" s="1393" t="inlineStr">
        <is>
          <t>-</t>
        </is>
      </c>
      <c r="K958" s="1395">
        <f>IF(raw[[#This Row],[city]]&lt;&gt;"",_xlfn.XLOOKUP($D958,ccc[city],ccc[prov],"-"),"-")</f>
        <v/>
      </c>
      <c r="L958" s="1395">
        <f>IF(raw[[#This Row],[city]]&lt;&gt;"",_xlfn.XLOOKUP($D958,ccc[city],ccc[ctry],"-"),"-")</f>
        <v/>
      </c>
      <c r="M958" s="1395">
        <f>IF(raw[[#This Row],[city]]&lt;&gt;"",_xlfn.XLOOKUP($D958,ccc[city],ccc[cont],"-"),"-")</f>
        <v/>
      </c>
      <c r="N958" s="1396">
        <f>IF(raw[[#This Row],[city]]="","-",IF(raw[[#This Row],[cont]]="B",raw[[#This Row],[cont]],"W"))</f>
        <v/>
      </c>
      <c r="O958" s="1397">
        <f>IF(raw[[#This Row],[out]]=0,0,IF(raw[[#This Row],[out]]=raw[[#This Row],[in]],0.01,raw[[#This Row],[out]]-raw[[#This Row],[in]]))</f>
        <v/>
      </c>
      <c r="P958" s="1397">
        <f>IF(raw[[#This Row],[in]]=0,0,MONTH(raw[[#This Row],[in]]))</f>
        <v/>
      </c>
      <c r="Q958" s="1397">
        <f>IF(raw[[#This Row],[in]]=0,0,YEAR(raw[[#This Row],[in]]))</f>
        <v/>
      </c>
      <c r="R958" s="1397">
        <f>INT(raw[[#This Row],[yr]]/10)*10</f>
        <v/>
      </c>
      <c r="S958" s="1395">
        <f>IF(raw[[#This Row],[city]]="","-",IF(raw[[#This Row],[city]]&lt;&gt;_xlfn.XLOOKUP(raw[[#This Row],[home]],homes[home],homes[city],"-"),1,0))</f>
        <v/>
      </c>
      <c r="T958" s="1398" t="inlineStr">
        <is>
          <t>.</t>
        </is>
      </c>
      <c r="U958" s="1399">
        <f>IF(raw[[#This Row],[wb]]="w",raw[[#This Row],[stay]]+U957,U957)</f>
        <v/>
      </c>
      <c r="V958" s="1400">
        <f>IF(raw[[#This Row],[out]]=0,V957,(raw[[#This Row],[out]]-E$5))</f>
        <v/>
      </c>
      <c r="W958" s="1401">
        <f>U958/V958</f>
        <v/>
      </c>
      <c r="X958" s="1392" t="n"/>
      <c r="Y958" s="1392" t="n"/>
      <c r="Z958" s="1392" t="n"/>
      <c r="AA958" s="1392" t="n"/>
      <c r="AB958" s="1392" t="n"/>
      <c r="AC958" s="1392" t="n"/>
      <c r="AD958" s="1392" t="n"/>
      <c r="AE958" s="1392" t="n"/>
      <c r="AF958" s="1392" t="n"/>
      <c r="AG958" s="1392" t="n"/>
      <c r="AH958" s="1392" t="n"/>
      <c r="AI958" s="1392" t="n"/>
      <c r="AJ958" s="1392" t="n"/>
      <c r="AK958" s="1392" t="n"/>
      <c r="AL958" s="1392" t="n"/>
      <c r="AM958" s="1392" t="n"/>
      <c r="AN958" s="1392" t="n"/>
      <c r="AO958" s="1392" t="n"/>
      <c r="AP958" s="1392" t="n"/>
      <c r="AQ958" s="1392" t="n"/>
      <c r="AR958" s="1392" t="n"/>
      <c r="AS958" s="1422" t="n"/>
      <c r="AT958" s="1392" t="n"/>
      <c r="AU958" s="1392" t="n"/>
      <c r="AV958" s="1392" t="n"/>
      <c r="AW958" s="1392" t="n"/>
      <c r="AX958" s="1392" t="n"/>
      <c r="AY958" s="1392" t="n"/>
      <c r="AZ958" s="1392" t="n"/>
      <c r="BA958" s="1392" t="n"/>
      <c r="BB958" s="1422" t="n"/>
      <c r="BC958" s="1392" t="n"/>
      <c r="BD958" s="1392" t="n"/>
      <c r="BE958" s="1392" t="n"/>
      <c r="BF958" s="1392" t="n"/>
      <c r="BG958" s="1392" t="n"/>
      <c r="BH958" s="1392" t="n"/>
      <c r="BI958" s="1392" t="n"/>
      <c r="BJ958" s="1392" t="n"/>
      <c r="BK958" s="1392" t="n"/>
      <c r="BL958" s="1392" t="n"/>
      <c r="BM958" s="1392" t="n"/>
      <c r="BN958" s="1392" t="n"/>
      <c r="BO958" s="1392" t="n"/>
      <c r="BP958" s="1392" t="n"/>
      <c r="BQ958" s="1392" t="n"/>
      <c r="BR958" s="1392" t="n"/>
      <c r="BS958" s="1392" t="n"/>
      <c r="BT958" s="1392" t="n"/>
      <c r="BU958" s="1416" t="n"/>
      <c r="BV958" s="1392" t="n"/>
      <c r="BW958" s="1392" t="n"/>
      <c r="BX958" s="1392" t="n"/>
      <c r="BY958" s="1392" t="n"/>
      <c r="BZ958" s="1416" t="n"/>
      <c r="CA958" s="1392" t="n"/>
      <c r="CB958" s="1392" t="n"/>
      <c r="CC958" s="1392" t="n"/>
      <c r="CD958" s="1392" t="n"/>
      <c r="CE958" s="1392" t="n"/>
      <c r="CF958" s="1392" t="n"/>
      <c r="CG958" s="1392" t="n"/>
      <c r="CH958" s="1392" t="n"/>
      <c r="CI958" s="1392" t="n"/>
      <c r="CJ958" s="1392" t="n"/>
      <c r="CK958" s="1392" t="n"/>
      <c r="CL958" s="1392" t="n"/>
    </row>
    <row r="959">
      <c r="A959" s="5" t="inlineStr">
        <is>
          <t>.</t>
        </is>
      </c>
      <c r="B959" s="5" t="inlineStr">
        <is>
          <t>.</t>
        </is>
      </c>
      <c r="C959" s="1378">
        <f>IF(raw[[#This Row],[city]]="","-",IF(raw[[#This Row],[city]]="TODAY","-",C958+1))</f>
        <v/>
      </c>
      <c r="D959" s="1393" t="inlineStr">
        <is>
          <t>Pietrasanta</t>
        </is>
      </c>
      <c r="E959" s="1394" t="n">
        <v>38581</v>
      </c>
      <c r="F959" s="1394" t="n">
        <v>38582</v>
      </c>
      <c r="G959" s="1393" t="inlineStr">
        <is>
          <t>-</t>
        </is>
      </c>
      <c r="H959" s="1393" t="inlineStr">
        <is>
          <t>Transit</t>
        </is>
      </c>
      <c r="I959" s="1393" t="inlineStr">
        <is>
          <t>VF</t>
        </is>
      </c>
      <c r="J959" s="1393" t="inlineStr">
        <is>
          <t>-</t>
        </is>
      </c>
      <c r="K959" s="1395">
        <f>IF(raw[[#This Row],[city]]&lt;&gt;"",_xlfn.XLOOKUP($D959,ccc[city],ccc[prov],"-"),"-")</f>
        <v/>
      </c>
      <c r="L959" s="1395">
        <f>IF(raw[[#This Row],[city]]&lt;&gt;"",_xlfn.XLOOKUP($D959,ccc[city],ccc[ctry],"-"),"-")</f>
        <v/>
      </c>
      <c r="M959" s="1395">
        <f>IF(raw[[#This Row],[city]]&lt;&gt;"",_xlfn.XLOOKUP($D959,ccc[city],ccc[cont],"-"),"-")</f>
        <v/>
      </c>
      <c r="N959" s="1396">
        <f>IF(raw[[#This Row],[city]]="","-",IF(raw[[#This Row],[cont]]="B",raw[[#This Row],[cont]],"W"))</f>
        <v/>
      </c>
      <c r="O959" s="1397">
        <f>IF(raw[[#This Row],[out]]=0,0,IF(raw[[#This Row],[out]]=raw[[#This Row],[in]],0.01,raw[[#This Row],[out]]-raw[[#This Row],[in]]))</f>
        <v/>
      </c>
      <c r="P959" s="1397">
        <f>IF(raw[[#This Row],[in]]=0,0,MONTH(raw[[#This Row],[in]]))</f>
        <v/>
      </c>
      <c r="Q959" s="1397">
        <f>IF(raw[[#This Row],[in]]=0,0,YEAR(raw[[#This Row],[in]]))</f>
        <v/>
      </c>
      <c r="R959" s="1397">
        <f>INT(raw[[#This Row],[yr]]/10)*10</f>
        <v/>
      </c>
      <c r="S959" s="1395">
        <f>IF(raw[[#This Row],[city]]="","-",IF(raw[[#This Row],[city]]&lt;&gt;_xlfn.XLOOKUP(raw[[#This Row],[home]],homes[home],homes[city],"-"),1,0))</f>
        <v/>
      </c>
      <c r="T959" s="1398" t="inlineStr">
        <is>
          <t>.</t>
        </is>
      </c>
      <c r="U959" s="1399">
        <f>IF(raw[[#This Row],[wb]]="w",raw[[#This Row],[stay]]+U958,U958)</f>
        <v/>
      </c>
      <c r="V959" s="1400">
        <f>IF(raw[[#This Row],[out]]=0,V958,(raw[[#This Row],[out]]-E$5))</f>
        <v/>
      </c>
      <c r="W959" s="1401">
        <f>U959/V959</f>
        <v/>
      </c>
      <c r="X959" s="1392" t="n"/>
      <c r="Y959" s="1392" t="n"/>
      <c r="Z959" s="1392" t="n"/>
      <c r="AA959" s="1392" t="n"/>
      <c r="AB959" s="1392" t="n"/>
      <c r="AC959" s="1392" t="n"/>
      <c r="AD959" s="1392" t="n"/>
      <c r="AE959" s="1392" t="n"/>
      <c r="AF959" s="1392" t="n"/>
      <c r="AG959" s="1392" t="n"/>
      <c r="AH959" s="1392" t="n"/>
      <c r="AI959" s="1392" t="n"/>
      <c r="AJ959" s="1392" t="n"/>
      <c r="AK959" s="1392" t="n"/>
      <c r="AL959" s="1392" t="n"/>
      <c r="AM959" s="1392" t="n"/>
      <c r="AN959" s="1392" t="n"/>
      <c r="AO959" s="1392" t="n"/>
      <c r="AP959" s="1392" t="n"/>
      <c r="AQ959" s="1392" t="n"/>
      <c r="AR959" s="1392" t="n"/>
      <c r="AS959" s="1422" t="n"/>
      <c r="AT959" s="1392" t="n"/>
      <c r="AU959" s="1392" t="n"/>
      <c r="AV959" s="1392" t="n"/>
      <c r="AW959" s="1392" t="n"/>
      <c r="AX959" s="1392" t="n"/>
      <c r="AY959" s="1392" t="n"/>
      <c r="AZ959" s="1392" t="n"/>
      <c r="BA959" s="1392" t="n"/>
      <c r="BB959" s="1422" t="n"/>
      <c r="BC959" s="1392" t="n"/>
      <c r="BD959" s="1392" t="n"/>
      <c r="BE959" s="1392" t="n"/>
      <c r="BF959" s="1392" t="n"/>
      <c r="BG959" s="1392" t="n"/>
      <c r="BH959" s="1392" t="n"/>
      <c r="BI959" s="1392" t="n"/>
      <c r="BJ959" s="1392" t="n"/>
      <c r="BK959" s="1392" t="n"/>
      <c r="BL959" s="1392" t="n"/>
      <c r="BM959" s="1392" t="n"/>
      <c r="BN959" s="1392" t="n"/>
      <c r="BO959" s="1392" t="n"/>
      <c r="BP959" s="1392" t="n"/>
      <c r="BQ959" s="1392" t="n"/>
      <c r="BR959" s="1392" t="n"/>
      <c r="BS959" s="1392" t="n"/>
      <c r="BT959" s="1392" t="n"/>
      <c r="BU959" s="1416" t="n"/>
      <c r="BV959" s="1392" t="n"/>
      <c r="BW959" s="1392" t="n"/>
      <c r="BX959" s="1392" t="n"/>
      <c r="BY959" s="1392" t="n"/>
      <c r="BZ959" s="1416" t="n"/>
      <c r="CA959" s="1392" t="n"/>
      <c r="CB959" s="1392" t="n"/>
      <c r="CC959" s="1392" t="n"/>
      <c r="CD959" s="1392" t="n"/>
      <c r="CE959" s="1392" t="n"/>
      <c r="CF959" s="1392" t="n"/>
      <c r="CG959" s="1392" t="n"/>
      <c r="CH959" s="1392" t="n"/>
      <c r="CI959" s="1392" t="n"/>
      <c r="CJ959" s="1392" t="n"/>
      <c r="CK959" s="1392" t="n"/>
      <c r="CL959" s="1392" t="n"/>
    </row>
    <row r="960">
      <c r="A960" s="5" t="inlineStr">
        <is>
          <t>.</t>
        </is>
      </c>
      <c r="B960" s="5" t="inlineStr">
        <is>
          <t>.</t>
        </is>
      </c>
      <c r="C960" s="1378">
        <f>IF(raw[[#This Row],[city]]="","-",IF(raw[[#This Row],[city]]="TODAY","-",C959+1))</f>
        <v/>
      </c>
      <c r="D960" s="1393" t="inlineStr">
        <is>
          <t>Lucca</t>
        </is>
      </c>
      <c r="E960" s="1394" t="n">
        <v>38582</v>
      </c>
      <c r="F960" s="1394" t="n">
        <v>38583</v>
      </c>
      <c r="G960" s="1393" t="inlineStr">
        <is>
          <t>-</t>
        </is>
      </c>
      <c r="H960" s="1393" t="inlineStr">
        <is>
          <t>Transit</t>
        </is>
      </c>
      <c r="I960" s="1393" t="inlineStr">
        <is>
          <t>VF</t>
        </is>
      </c>
      <c r="J960" s="1393" t="inlineStr">
        <is>
          <t>-</t>
        </is>
      </c>
      <c r="K960" s="1395">
        <f>IF(raw[[#This Row],[city]]&lt;&gt;"",_xlfn.XLOOKUP($D960,ccc[city],ccc[prov],"-"),"-")</f>
        <v/>
      </c>
      <c r="L960" s="1395">
        <f>IF(raw[[#This Row],[city]]&lt;&gt;"",_xlfn.XLOOKUP($D960,ccc[city],ccc[ctry],"-"),"-")</f>
        <v/>
      </c>
      <c r="M960" s="1395">
        <f>IF(raw[[#This Row],[city]]&lt;&gt;"",_xlfn.XLOOKUP($D960,ccc[city],ccc[cont],"-"),"-")</f>
        <v/>
      </c>
      <c r="N960" s="1396">
        <f>IF(raw[[#This Row],[city]]="","-",IF(raw[[#This Row],[cont]]="B",raw[[#This Row],[cont]],"W"))</f>
        <v/>
      </c>
      <c r="O960" s="1397">
        <f>IF(raw[[#This Row],[out]]=0,0,IF(raw[[#This Row],[out]]=raw[[#This Row],[in]],0.01,raw[[#This Row],[out]]-raw[[#This Row],[in]]))</f>
        <v/>
      </c>
      <c r="P960" s="1397">
        <f>IF(raw[[#This Row],[in]]=0,0,MONTH(raw[[#This Row],[in]]))</f>
        <v/>
      </c>
      <c r="Q960" s="1397">
        <f>IF(raw[[#This Row],[in]]=0,0,YEAR(raw[[#This Row],[in]]))</f>
        <v/>
      </c>
      <c r="R960" s="1397">
        <f>INT(raw[[#This Row],[yr]]/10)*10</f>
        <v/>
      </c>
      <c r="S960" s="1395">
        <f>IF(raw[[#This Row],[city]]="","-",IF(raw[[#This Row],[city]]&lt;&gt;_xlfn.XLOOKUP(raw[[#This Row],[home]],homes[home],homes[city],"-"),1,0))</f>
        <v/>
      </c>
      <c r="T960" s="1398" t="inlineStr">
        <is>
          <t>.</t>
        </is>
      </c>
      <c r="U960" s="1399">
        <f>IF(raw[[#This Row],[wb]]="w",raw[[#This Row],[stay]]+U959,U959)</f>
        <v/>
      </c>
      <c r="V960" s="1400">
        <f>IF(raw[[#This Row],[out]]=0,V959,(raw[[#This Row],[out]]-E$5))</f>
        <v/>
      </c>
      <c r="W960" s="1401">
        <f>U960/V960</f>
        <v/>
      </c>
      <c r="X960" s="1392" t="n"/>
      <c r="Y960" s="1392" t="n"/>
      <c r="Z960" s="1392" t="n"/>
      <c r="AA960" s="1392" t="n"/>
      <c r="AB960" s="1392" t="n"/>
      <c r="AC960" s="1392" t="n"/>
      <c r="AD960" s="1392" t="n"/>
      <c r="AE960" s="1392" t="n"/>
      <c r="AF960" s="1392" t="n"/>
      <c r="AG960" s="1392" t="n"/>
      <c r="AH960" s="1392" t="n"/>
      <c r="AI960" s="1392" t="n"/>
      <c r="AJ960" s="1392" t="n"/>
      <c r="AK960" s="1392" t="n"/>
      <c r="AL960" s="1392" t="n"/>
      <c r="AM960" s="1392" t="n"/>
      <c r="AN960" s="1392" t="n"/>
      <c r="AO960" s="1392" t="n"/>
      <c r="AP960" s="1392" t="n"/>
      <c r="AQ960" s="1392" t="n"/>
      <c r="AR960" s="1392" t="n"/>
      <c r="AS960" s="1422" t="n"/>
      <c r="AT960" s="1392" t="n"/>
      <c r="AU960" s="1392" t="n"/>
      <c r="AV960" s="1392" t="n"/>
      <c r="AW960" s="1392" t="n"/>
      <c r="AX960" s="1392" t="n"/>
      <c r="AY960" s="1392" t="n"/>
      <c r="AZ960" s="1392" t="n"/>
      <c r="BA960" s="1392" t="n"/>
      <c r="BB960" s="1422" t="n"/>
      <c r="BC960" s="1392" t="n"/>
      <c r="BD960" s="1392" t="n"/>
      <c r="BE960" s="1392" t="n"/>
      <c r="BF960" s="1392" t="n"/>
      <c r="BG960" s="1392" t="n"/>
      <c r="BH960" s="1392" t="n"/>
      <c r="BI960" s="1392" t="n"/>
      <c r="BJ960" s="1392" t="n"/>
      <c r="BK960" s="1392" t="n"/>
      <c r="BL960" s="1392" t="n"/>
      <c r="BM960" s="1392" t="n"/>
      <c r="BN960" s="1392" t="n"/>
      <c r="BO960" s="1392" t="n"/>
      <c r="BP960" s="1392" t="n"/>
      <c r="BQ960" s="1392" t="n"/>
      <c r="BR960" s="1392" t="n"/>
      <c r="BS960" s="1392" t="n"/>
      <c r="BT960" s="1392" t="n"/>
      <c r="BU960" s="1416" t="n"/>
      <c r="BV960" s="1392" t="n"/>
      <c r="BW960" s="1392" t="n"/>
      <c r="BX960" s="1392" t="n"/>
      <c r="BY960" s="1392" t="n"/>
      <c r="BZ960" s="1416" t="n"/>
      <c r="CA960" s="1392" t="n"/>
      <c r="CB960" s="1392" t="n"/>
      <c r="CC960" s="1392" t="n"/>
      <c r="CD960" s="1392" t="n"/>
      <c r="CE960" s="1392" t="n"/>
      <c r="CF960" s="1392" t="n"/>
      <c r="CG960" s="1392" t="n"/>
      <c r="CH960" s="1392" t="n"/>
      <c r="CI960" s="1392" t="n"/>
      <c r="CJ960" s="1392" t="n"/>
      <c r="CK960" s="1392" t="n"/>
      <c r="CL960" s="1392" t="n"/>
    </row>
    <row r="961">
      <c r="A961" s="5" t="inlineStr">
        <is>
          <t>.</t>
        </is>
      </c>
      <c r="B961" s="5" t="inlineStr">
        <is>
          <t>.</t>
        </is>
      </c>
      <c r="C961" s="1378">
        <f>IF(raw[[#This Row],[city]]="","-",IF(raw[[#This Row],[city]]="TODAY","-",C960+1))</f>
        <v/>
      </c>
      <c r="D961" s="1393" t="inlineStr">
        <is>
          <t>Pisa</t>
        </is>
      </c>
      <c r="E961" s="1394" t="n">
        <v>38583</v>
      </c>
      <c r="F961" s="1394" t="n">
        <v>38583</v>
      </c>
      <c r="G961" s="1393" t="inlineStr">
        <is>
          <t>-</t>
        </is>
      </c>
      <c r="H961" s="1393" t="inlineStr">
        <is>
          <t>Transit</t>
        </is>
      </c>
      <c r="I961" s="1393" t="inlineStr">
        <is>
          <t>VF</t>
        </is>
      </c>
      <c r="J961" s="1393" t="inlineStr">
        <is>
          <t>-</t>
        </is>
      </c>
      <c r="K961" s="1395">
        <f>IF(raw[[#This Row],[city]]&lt;&gt;"",_xlfn.XLOOKUP($D961,ccc[city],ccc[prov],"-"),"-")</f>
        <v/>
      </c>
      <c r="L961" s="1395">
        <f>IF(raw[[#This Row],[city]]&lt;&gt;"",_xlfn.XLOOKUP($D961,ccc[city],ccc[ctry],"-"),"-")</f>
        <v/>
      </c>
      <c r="M961" s="1395">
        <f>IF(raw[[#This Row],[city]]&lt;&gt;"",_xlfn.XLOOKUP($D961,ccc[city],ccc[cont],"-"),"-")</f>
        <v/>
      </c>
      <c r="N961" s="1396">
        <f>IF(raw[[#This Row],[city]]="","-",IF(raw[[#This Row],[cont]]="B",raw[[#This Row],[cont]],"W"))</f>
        <v/>
      </c>
      <c r="O961" s="1397">
        <f>IF(raw[[#This Row],[out]]=0,0,IF(raw[[#This Row],[out]]=raw[[#This Row],[in]],0.01,raw[[#This Row],[out]]-raw[[#This Row],[in]]))</f>
        <v/>
      </c>
      <c r="P961" s="1397">
        <f>IF(raw[[#This Row],[in]]=0,0,MONTH(raw[[#This Row],[in]]))</f>
        <v/>
      </c>
      <c r="Q961" s="1397">
        <f>IF(raw[[#This Row],[in]]=0,0,YEAR(raw[[#This Row],[in]]))</f>
        <v/>
      </c>
      <c r="R961" s="1397">
        <f>INT(raw[[#This Row],[yr]]/10)*10</f>
        <v/>
      </c>
      <c r="S961" s="1395">
        <f>IF(raw[[#This Row],[city]]="","-",IF(raw[[#This Row],[city]]&lt;&gt;_xlfn.XLOOKUP(raw[[#This Row],[home]],homes[home],homes[city],"-"),1,0))</f>
        <v/>
      </c>
      <c r="T961" s="1398" t="inlineStr">
        <is>
          <t>.</t>
        </is>
      </c>
      <c r="U961" s="1399">
        <f>IF(raw[[#This Row],[wb]]="w",raw[[#This Row],[stay]]+U960,U960)</f>
        <v/>
      </c>
      <c r="V961" s="1400">
        <f>IF(raw[[#This Row],[out]]=0,V960,(raw[[#This Row],[out]]-E$5))</f>
        <v/>
      </c>
      <c r="W961" s="1401">
        <f>U961/V961</f>
        <v/>
      </c>
      <c r="X961" s="1392" t="n"/>
      <c r="Y961" s="1392" t="n"/>
      <c r="Z961" s="1392" t="n"/>
      <c r="AA961" s="1392" t="n"/>
      <c r="AB961" s="1392" t="n"/>
      <c r="AC961" s="1392" t="n"/>
      <c r="AD961" s="1392" t="n"/>
      <c r="AE961" s="1392" t="n"/>
      <c r="AF961" s="1392" t="n"/>
      <c r="AG961" s="1392" t="n"/>
      <c r="AH961" s="1392" t="n"/>
      <c r="AI961" s="1392" t="n"/>
      <c r="AJ961" s="1392" t="n"/>
      <c r="AK961" s="1392" t="n"/>
      <c r="AL961" s="1392" t="n"/>
      <c r="AM961" s="1392" t="n"/>
      <c r="AN961" s="1392" t="n"/>
      <c r="AO961" s="1392" t="n"/>
      <c r="AP961" s="1392" t="n"/>
      <c r="AQ961" s="1392" t="n"/>
      <c r="AR961" s="1392" t="n"/>
      <c r="AS961" s="1422" t="n"/>
      <c r="AT961" s="1392" t="n"/>
      <c r="AU961" s="1392" t="n"/>
      <c r="AV961" s="1392" t="n"/>
      <c r="AW961" s="1392" t="n"/>
      <c r="AX961" s="1392" t="n"/>
      <c r="AY961" s="1392" t="n"/>
      <c r="AZ961" s="1392" t="n"/>
      <c r="BA961" s="1392" t="n"/>
      <c r="BB961" s="1422" t="n"/>
      <c r="BC961" s="1392" t="n"/>
      <c r="BD961" s="1392" t="n"/>
      <c r="BE961" s="1392" t="n"/>
      <c r="BF961" s="1392" t="n"/>
      <c r="BG961" s="1392" t="n"/>
      <c r="BH961" s="1392" t="n"/>
      <c r="BI961" s="1392" t="n"/>
      <c r="BJ961" s="1392" t="n"/>
      <c r="BK961" s="1392" t="n"/>
      <c r="BL961" s="1392" t="n"/>
      <c r="BM961" s="1392" t="n"/>
      <c r="BN961" s="1392" t="n"/>
      <c r="BO961" s="1392" t="n"/>
      <c r="BP961" s="1392" t="n"/>
      <c r="BQ961" s="1392" t="n"/>
      <c r="BR961" s="1392" t="n"/>
      <c r="BS961" s="1392" t="n"/>
      <c r="BT961" s="1392" t="n"/>
      <c r="BU961" s="1416" t="n"/>
      <c r="BV961" s="1392" t="n"/>
      <c r="BW961" s="1392" t="n"/>
      <c r="BX961" s="1392" t="n"/>
      <c r="BY961" s="1392" t="n"/>
      <c r="BZ961" s="1416" t="n"/>
      <c r="CA961" s="1392" t="n"/>
      <c r="CB961" s="1392" t="n"/>
      <c r="CC961" s="1392" t="n"/>
      <c r="CD961" s="1392" t="n"/>
      <c r="CE961" s="1392" t="n"/>
      <c r="CF961" s="1392" t="n"/>
      <c r="CG961" s="1392" t="n"/>
      <c r="CH961" s="1392" t="n"/>
      <c r="CI961" s="1392" t="n"/>
      <c r="CJ961" s="1392" t="n"/>
      <c r="CK961" s="1392" t="n"/>
      <c r="CL961" s="1392" t="n"/>
    </row>
    <row r="962">
      <c r="A962" s="5" t="inlineStr">
        <is>
          <t>.</t>
        </is>
      </c>
      <c r="B962" s="5" t="inlineStr">
        <is>
          <t>.</t>
        </is>
      </c>
      <c r="C962" s="1378">
        <f>IF(raw[[#This Row],[city]]="","-",IF(raw[[#This Row],[city]]="TODAY","-",C961+1))</f>
        <v/>
      </c>
      <c r="D962" s="1393" t="inlineStr">
        <is>
          <t>Lucca</t>
        </is>
      </c>
      <c r="E962" s="1394" t="n">
        <v>38583</v>
      </c>
      <c r="F962" s="1394" t="n">
        <v>38584</v>
      </c>
      <c r="G962" s="1393" t="inlineStr">
        <is>
          <t>-</t>
        </is>
      </c>
      <c r="H962" s="1393" t="inlineStr">
        <is>
          <t>Transit</t>
        </is>
      </c>
      <c r="I962" s="1393" t="inlineStr">
        <is>
          <t>VF</t>
        </is>
      </c>
      <c r="J962" s="1393" t="inlineStr">
        <is>
          <t>-</t>
        </is>
      </c>
      <c r="K962" s="1395">
        <f>IF(raw[[#This Row],[city]]&lt;&gt;"",_xlfn.XLOOKUP($D962,ccc[city],ccc[prov],"-"),"-")</f>
        <v/>
      </c>
      <c r="L962" s="1395">
        <f>IF(raw[[#This Row],[city]]&lt;&gt;"",_xlfn.XLOOKUP($D962,ccc[city],ccc[ctry],"-"),"-")</f>
        <v/>
      </c>
      <c r="M962" s="1395">
        <f>IF(raw[[#This Row],[city]]&lt;&gt;"",_xlfn.XLOOKUP($D962,ccc[city],ccc[cont],"-"),"-")</f>
        <v/>
      </c>
      <c r="N962" s="1396">
        <f>IF(raw[[#This Row],[city]]="","-",IF(raw[[#This Row],[cont]]="B",raw[[#This Row],[cont]],"W"))</f>
        <v/>
      </c>
      <c r="O962" s="1397">
        <f>IF(raw[[#This Row],[out]]=0,0,IF(raw[[#This Row],[out]]=raw[[#This Row],[in]],0.01,raw[[#This Row],[out]]-raw[[#This Row],[in]]))</f>
        <v/>
      </c>
      <c r="P962" s="1397">
        <f>IF(raw[[#This Row],[in]]=0,0,MONTH(raw[[#This Row],[in]]))</f>
        <v/>
      </c>
      <c r="Q962" s="1397">
        <f>IF(raw[[#This Row],[in]]=0,0,YEAR(raw[[#This Row],[in]]))</f>
        <v/>
      </c>
      <c r="R962" s="1397">
        <f>INT(raw[[#This Row],[yr]]/10)*10</f>
        <v/>
      </c>
      <c r="S962" s="1395">
        <f>IF(raw[[#This Row],[city]]="","-",IF(raw[[#This Row],[city]]&lt;&gt;_xlfn.XLOOKUP(raw[[#This Row],[home]],homes[home],homes[city],"-"),1,0))</f>
        <v/>
      </c>
      <c r="T962" s="1398" t="inlineStr">
        <is>
          <t>.</t>
        </is>
      </c>
      <c r="U962" s="1399">
        <f>IF(raw[[#This Row],[wb]]="w",raw[[#This Row],[stay]]+U961,U961)</f>
        <v/>
      </c>
      <c r="V962" s="1400">
        <f>IF(raw[[#This Row],[out]]=0,V961,(raw[[#This Row],[out]]-E$5))</f>
        <v/>
      </c>
      <c r="W962" s="1401">
        <f>U962/V962</f>
        <v/>
      </c>
      <c r="X962" s="1392" t="n"/>
      <c r="Y962" s="1392" t="n"/>
      <c r="Z962" s="1392" t="n"/>
      <c r="AA962" s="1392" t="n"/>
      <c r="AB962" s="1392" t="n"/>
      <c r="AC962" s="1392" t="n"/>
      <c r="AD962" s="1392" t="n"/>
      <c r="AE962" s="1392" t="n"/>
      <c r="AF962" s="1392" t="n"/>
      <c r="AG962" s="1392" t="n"/>
      <c r="AH962" s="1392" t="n"/>
      <c r="AI962" s="1392" t="n"/>
      <c r="AJ962" s="1392" t="n"/>
      <c r="AK962" s="1392" t="n"/>
      <c r="AL962" s="1392" t="n"/>
      <c r="AM962" s="1392" t="n"/>
      <c r="AN962" s="1392" t="n"/>
      <c r="AO962" s="1392" t="n"/>
      <c r="AP962" s="1392" t="n"/>
      <c r="AQ962" s="1392" t="n"/>
      <c r="AR962" s="1392" t="n"/>
      <c r="AS962" s="1422" t="n"/>
      <c r="AT962" s="1392" t="n"/>
      <c r="AU962" s="1392" t="n"/>
      <c r="AV962" s="1392" t="n"/>
      <c r="AW962" s="1392" t="n"/>
      <c r="AX962" s="1392" t="n"/>
      <c r="AY962" s="1392" t="n"/>
      <c r="AZ962" s="1392" t="n"/>
      <c r="BA962" s="1392" t="n"/>
      <c r="BB962" s="1422" t="n"/>
      <c r="BC962" s="1392" t="n"/>
      <c r="BD962" s="1392" t="n"/>
      <c r="BE962" s="1392" t="n"/>
      <c r="BF962" s="1392" t="n"/>
      <c r="BG962" s="1392" t="n"/>
      <c r="BH962" s="1392" t="n"/>
      <c r="BI962" s="1392" t="n"/>
      <c r="BJ962" s="1392" t="n"/>
      <c r="BK962" s="1392" t="n"/>
      <c r="BL962" s="1392" t="n"/>
      <c r="BM962" s="1392" t="n"/>
      <c r="BN962" s="1392" t="n"/>
      <c r="BO962" s="1392" t="n"/>
      <c r="BP962" s="1392" t="n"/>
      <c r="BQ962" s="1392" t="n"/>
      <c r="BR962" s="1392" t="n"/>
      <c r="BS962" s="1392" t="n"/>
      <c r="BT962" s="1392" t="n"/>
      <c r="BU962" s="1416" t="n"/>
      <c r="BV962" s="1392" t="n"/>
      <c r="BW962" s="1392" t="n"/>
      <c r="BX962" s="1392" t="n"/>
      <c r="BY962" s="1392" t="n"/>
      <c r="BZ962" s="1416" t="n"/>
      <c r="CA962" s="1392" t="n"/>
      <c r="CB962" s="1392" t="n"/>
      <c r="CC962" s="1392" t="n"/>
      <c r="CD962" s="1392" t="n"/>
      <c r="CE962" s="1392" t="n"/>
      <c r="CF962" s="1392" t="n"/>
      <c r="CG962" s="1392" t="n"/>
      <c r="CH962" s="1392" t="n"/>
      <c r="CI962" s="1392" t="n"/>
      <c r="CJ962" s="1392" t="n"/>
      <c r="CK962" s="1392" t="n"/>
      <c r="CL962" s="1392" t="n"/>
    </row>
    <row r="963">
      <c r="A963" s="5" t="inlineStr">
        <is>
          <t>.</t>
        </is>
      </c>
      <c r="B963" s="5" t="inlineStr">
        <is>
          <t>.</t>
        </is>
      </c>
      <c r="C963" s="1378">
        <f>IF(raw[[#This Row],[city]]="","-",IF(raw[[#This Row],[city]]="TODAY","-",C962+1))</f>
        <v/>
      </c>
      <c r="D963" s="1393" t="inlineStr">
        <is>
          <t>San Miniato Basso</t>
        </is>
      </c>
      <c r="E963" s="1394" t="n">
        <v>38584</v>
      </c>
      <c r="F963" s="1394" t="n">
        <v>38585</v>
      </c>
      <c r="G963" s="1393" t="inlineStr">
        <is>
          <t>-</t>
        </is>
      </c>
      <c r="H963" s="1393" t="inlineStr">
        <is>
          <t>Transit</t>
        </is>
      </c>
      <c r="I963" s="1393" t="inlineStr">
        <is>
          <t>VF</t>
        </is>
      </c>
      <c r="J963" s="1393" t="inlineStr">
        <is>
          <t>-</t>
        </is>
      </c>
      <c r="K963" s="1395">
        <f>IF(raw[[#This Row],[city]]&lt;&gt;"",_xlfn.XLOOKUP($D963,ccc[city],ccc[prov],"-"),"-")</f>
        <v/>
      </c>
      <c r="L963" s="1395">
        <f>IF(raw[[#This Row],[city]]&lt;&gt;"",_xlfn.XLOOKUP($D963,ccc[city],ccc[ctry],"-"),"-")</f>
        <v/>
      </c>
      <c r="M963" s="1395">
        <f>IF(raw[[#This Row],[city]]&lt;&gt;"",_xlfn.XLOOKUP($D963,ccc[city],ccc[cont],"-"),"-")</f>
        <v/>
      </c>
      <c r="N963" s="1396">
        <f>IF(raw[[#This Row],[city]]="","-",IF(raw[[#This Row],[cont]]="B",raw[[#This Row],[cont]],"W"))</f>
        <v/>
      </c>
      <c r="O963" s="1397">
        <f>IF(raw[[#This Row],[out]]=0,0,IF(raw[[#This Row],[out]]=raw[[#This Row],[in]],0.01,raw[[#This Row],[out]]-raw[[#This Row],[in]]))</f>
        <v/>
      </c>
      <c r="P963" s="1397">
        <f>IF(raw[[#This Row],[in]]=0,0,MONTH(raw[[#This Row],[in]]))</f>
        <v/>
      </c>
      <c r="Q963" s="1397">
        <f>IF(raw[[#This Row],[in]]=0,0,YEAR(raw[[#This Row],[in]]))</f>
        <v/>
      </c>
      <c r="R963" s="1397">
        <f>INT(raw[[#This Row],[yr]]/10)*10</f>
        <v/>
      </c>
      <c r="S963" s="1395">
        <f>IF(raw[[#This Row],[city]]="","-",IF(raw[[#This Row],[city]]&lt;&gt;_xlfn.XLOOKUP(raw[[#This Row],[home]],homes[home],homes[city],"-"),1,0))</f>
        <v/>
      </c>
      <c r="T963" s="1398" t="inlineStr">
        <is>
          <t>.</t>
        </is>
      </c>
      <c r="U963" s="1399">
        <f>IF(raw[[#This Row],[wb]]="w",raw[[#This Row],[stay]]+U962,U962)</f>
        <v/>
      </c>
      <c r="V963" s="1400">
        <f>IF(raw[[#This Row],[out]]=0,V962,(raw[[#This Row],[out]]-E$5))</f>
        <v/>
      </c>
      <c r="W963" s="1401">
        <f>U963/V963</f>
        <v/>
      </c>
      <c r="X963" s="1392" t="n"/>
      <c r="Y963" s="1392" t="n"/>
      <c r="Z963" s="1392" t="n"/>
      <c r="AA963" s="1392" t="n"/>
      <c r="AB963" s="1392" t="n"/>
      <c r="AC963" s="1392" t="n"/>
      <c r="AD963" s="1392" t="n"/>
      <c r="AE963" s="1392" t="n"/>
      <c r="AF963" s="1392" t="n"/>
      <c r="AG963" s="1392" t="n"/>
      <c r="AH963" s="1392" t="n"/>
      <c r="AI963" s="1392" t="n"/>
      <c r="AJ963" s="1392" t="n"/>
      <c r="AK963" s="1392" t="n"/>
      <c r="AL963" s="1392" t="n"/>
      <c r="AM963" s="1392" t="n"/>
      <c r="AN963" s="1392" t="n"/>
      <c r="AO963" s="1392" t="n"/>
      <c r="AP963" s="1392" t="n"/>
      <c r="AQ963" s="1392" t="n"/>
      <c r="AR963" s="1392" t="n"/>
      <c r="AS963" s="1422" t="n"/>
      <c r="AT963" s="1392" t="n"/>
      <c r="AU963" s="1392" t="n"/>
      <c r="AV963" s="1392" t="n"/>
      <c r="AW963" s="1392" t="n"/>
      <c r="AX963" s="1392" t="n"/>
      <c r="AY963" s="1392" t="n"/>
      <c r="AZ963" s="1392" t="n"/>
      <c r="BA963" s="1392" t="n"/>
      <c r="BB963" s="1422" t="n"/>
      <c r="BC963" s="1392" t="n"/>
      <c r="BD963" s="1392" t="n"/>
      <c r="BE963" s="1392" t="n"/>
      <c r="BF963" s="1392" t="n"/>
      <c r="BG963" s="1392" t="n"/>
      <c r="BH963" s="1392" t="n"/>
      <c r="BI963" s="1392" t="n"/>
      <c r="BJ963" s="1392" t="n"/>
      <c r="BK963" s="1392" t="n"/>
      <c r="BL963" s="1392" t="n"/>
      <c r="BM963" s="1392" t="n"/>
      <c r="BN963" s="1392" t="n"/>
      <c r="BO963" s="1392" t="n"/>
      <c r="BP963" s="1392" t="n"/>
      <c r="BQ963" s="1392" t="n"/>
      <c r="BR963" s="1392" t="n"/>
      <c r="BS963" s="1392" t="n"/>
      <c r="BT963" s="1392" t="n"/>
      <c r="BU963" s="1416" t="n"/>
      <c r="BV963" s="1392" t="n"/>
      <c r="BW963" s="1392" t="n"/>
      <c r="BX963" s="1392" t="n"/>
      <c r="BY963" s="1392" t="n"/>
      <c r="BZ963" s="1416" t="n"/>
      <c r="CA963" s="1392" t="n"/>
      <c r="CB963" s="1392" t="n"/>
      <c r="CC963" s="1392" t="n"/>
      <c r="CD963" s="1392" t="n"/>
      <c r="CE963" s="1392" t="n"/>
      <c r="CF963" s="1392" t="n"/>
      <c r="CG963" s="1392" t="n"/>
      <c r="CH963" s="1392" t="n"/>
      <c r="CI963" s="1392" t="n"/>
      <c r="CJ963" s="1392" t="n"/>
      <c r="CK963" s="1392" t="n"/>
      <c r="CL963" s="1392" t="n"/>
    </row>
    <row r="964">
      <c r="A964" s="5" t="inlineStr">
        <is>
          <t>.</t>
        </is>
      </c>
      <c r="B964" s="5" t="inlineStr">
        <is>
          <t>.</t>
        </is>
      </c>
      <c r="C964" s="1378">
        <f>IF(raw[[#This Row],[city]]="","-",IF(raw[[#This Row],[city]]="TODAY","-",C963+1))</f>
        <v/>
      </c>
      <c r="D964" s="1393" t="inlineStr">
        <is>
          <t>San Miniato Alto</t>
        </is>
      </c>
      <c r="E964" s="1394" t="n">
        <v>38585</v>
      </c>
      <c r="F964" s="1394" t="n">
        <v>38585</v>
      </c>
      <c r="G964" s="1393" t="inlineStr">
        <is>
          <t>-</t>
        </is>
      </c>
      <c r="H964" s="1393" t="inlineStr">
        <is>
          <t>Transit</t>
        </is>
      </c>
      <c r="I964" s="1393" t="inlineStr">
        <is>
          <t>VF</t>
        </is>
      </c>
      <c r="J964" s="1393" t="inlineStr">
        <is>
          <t>-</t>
        </is>
      </c>
      <c r="K964" s="1395">
        <f>IF(raw[[#This Row],[city]]&lt;&gt;"",_xlfn.XLOOKUP($D964,ccc[city],ccc[prov],"-"),"-")</f>
        <v/>
      </c>
      <c r="L964" s="1395">
        <f>IF(raw[[#This Row],[city]]&lt;&gt;"",_xlfn.XLOOKUP($D964,ccc[city],ccc[ctry],"-"),"-")</f>
        <v/>
      </c>
      <c r="M964" s="1395">
        <f>IF(raw[[#This Row],[city]]&lt;&gt;"",_xlfn.XLOOKUP($D964,ccc[city],ccc[cont],"-"),"-")</f>
        <v/>
      </c>
      <c r="N964" s="1396">
        <f>IF(raw[[#This Row],[city]]="","-",IF(raw[[#This Row],[cont]]="B",raw[[#This Row],[cont]],"W"))</f>
        <v/>
      </c>
      <c r="O964" s="1397">
        <f>IF(raw[[#This Row],[out]]=0,0,IF(raw[[#This Row],[out]]=raw[[#This Row],[in]],0.01,raw[[#This Row],[out]]-raw[[#This Row],[in]]))</f>
        <v/>
      </c>
      <c r="P964" s="1397">
        <f>IF(raw[[#This Row],[in]]=0,0,MONTH(raw[[#This Row],[in]]))</f>
        <v/>
      </c>
      <c r="Q964" s="1397">
        <f>IF(raw[[#This Row],[in]]=0,0,YEAR(raw[[#This Row],[in]]))</f>
        <v/>
      </c>
      <c r="R964" s="1397">
        <f>INT(raw[[#This Row],[yr]]/10)*10</f>
        <v/>
      </c>
      <c r="S964" s="1395">
        <f>IF(raw[[#This Row],[city]]="","-",IF(raw[[#This Row],[city]]&lt;&gt;_xlfn.XLOOKUP(raw[[#This Row],[home]],homes[home],homes[city],"-"),1,0))</f>
        <v/>
      </c>
      <c r="T964" s="1398" t="inlineStr">
        <is>
          <t>.</t>
        </is>
      </c>
      <c r="U964" s="1399">
        <f>IF(raw[[#This Row],[wb]]="w",raw[[#This Row],[stay]]+U963,U963)</f>
        <v/>
      </c>
      <c r="V964" s="1400">
        <f>IF(raw[[#This Row],[out]]=0,V963,(raw[[#This Row],[out]]-E$5))</f>
        <v/>
      </c>
      <c r="W964" s="1401">
        <f>U964/V964</f>
        <v/>
      </c>
      <c r="X964" s="1392" t="n"/>
      <c r="Y964" s="1392" t="n"/>
      <c r="Z964" s="1392" t="n"/>
      <c r="AA964" s="1392" t="n"/>
      <c r="AB964" s="1392" t="n"/>
      <c r="AC964" s="1392" t="n"/>
      <c r="AD964" s="1392" t="n"/>
      <c r="AE964" s="1392" t="n"/>
      <c r="AF964" s="1392" t="n"/>
      <c r="AG964" s="1392" t="n"/>
      <c r="AH964" s="1392" t="n"/>
      <c r="AI964" s="1392" t="n"/>
      <c r="AJ964" s="1392" t="n"/>
      <c r="AK964" s="1392" t="n"/>
      <c r="AL964" s="1392" t="n"/>
      <c r="AM964" s="1392" t="n"/>
      <c r="AN964" s="1392" t="n"/>
      <c r="AO964" s="1392" t="n"/>
      <c r="AP964" s="1392" t="n"/>
      <c r="AQ964" s="1392" t="n"/>
      <c r="AR964" s="1392" t="n"/>
      <c r="AS964" s="1422" t="n"/>
      <c r="AT964" s="1392" t="n"/>
      <c r="AU964" s="1392" t="n"/>
      <c r="AV964" s="1392" t="n"/>
      <c r="AW964" s="1392" t="n"/>
      <c r="AX964" s="1392" t="n"/>
      <c r="AY964" s="1392" t="n"/>
      <c r="AZ964" s="1392" t="n"/>
      <c r="BA964" s="1392" t="n"/>
      <c r="BB964" s="1422" t="n"/>
      <c r="BC964" s="1392" t="n"/>
      <c r="BD964" s="1392" t="n"/>
      <c r="BE964" s="1392" t="n"/>
      <c r="BF964" s="1392" t="n"/>
      <c r="BG964" s="1392" t="n"/>
      <c r="BH964" s="1392" t="n"/>
      <c r="BI964" s="1392" t="n"/>
      <c r="BJ964" s="1392" t="n"/>
      <c r="BK964" s="1392" t="n"/>
      <c r="BL964" s="1392" t="n"/>
      <c r="BM964" s="1392" t="n"/>
      <c r="BN964" s="1392" t="n"/>
      <c r="BO964" s="1392" t="n"/>
      <c r="BP964" s="1392" t="n"/>
      <c r="BQ964" s="1392" t="n"/>
      <c r="BR964" s="1392" t="n"/>
      <c r="BS964" s="1392" t="n"/>
      <c r="BT964" s="1392" t="n"/>
      <c r="BU964" s="1416" t="n"/>
      <c r="BV964" s="1392" t="n"/>
      <c r="BW964" s="1392" t="n"/>
      <c r="BX964" s="1392" t="n"/>
      <c r="BY964" s="1392" t="n"/>
      <c r="BZ964" s="1416" t="n"/>
      <c r="CA964" s="1392" t="n"/>
      <c r="CB964" s="1392" t="n"/>
      <c r="CC964" s="1392" t="n"/>
      <c r="CD964" s="1392" t="n"/>
      <c r="CE964" s="1392" t="n"/>
      <c r="CF964" s="1392" t="n"/>
      <c r="CG964" s="1392" t="n"/>
      <c r="CH964" s="1392" t="n"/>
      <c r="CI964" s="1392" t="n"/>
      <c r="CJ964" s="1392" t="n"/>
      <c r="CK964" s="1392" t="n"/>
      <c r="CL964" s="1392" t="n"/>
    </row>
    <row r="965">
      <c r="A965" s="5" t="inlineStr">
        <is>
          <t>.</t>
        </is>
      </c>
      <c r="B965" s="5" t="inlineStr">
        <is>
          <t>.</t>
        </is>
      </c>
      <c r="C965" s="1378">
        <f>IF(raw[[#This Row],[city]]="","-",IF(raw[[#This Row],[city]]="TODAY","-",C964+1))</f>
        <v/>
      </c>
      <c r="D965" s="1393" t="inlineStr">
        <is>
          <t>San Gimignano</t>
        </is>
      </c>
      <c r="E965" s="1394" t="n">
        <v>38585</v>
      </c>
      <c r="F965" s="1394" t="n">
        <v>38586</v>
      </c>
      <c r="G965" s="1393" t="inlineStr">
        <is>
          <t>-</t>
        </is>
      </c>
      <c r="H965" s="1393" t="inlineStr">
        <is>
          <t>Transit</t>
        </is>
      </c>
      <c r="I965" s="1393" t="inlineStr">
        <is>
          <t>VF</t>
        </is>
      </c>
      <c r="J965" s="1393" t="inlineStr">
        <is>
          <t>-</t>
        </is>
      </c>
      <c r="K965" s="1395">
        <f>IF(raw[[#This Row],[city]]&lt;&gt;"",_xlfn.XLOOKUP($D965,ccc[city],ccc[prov],"-"),"-")</f>
        <v/>
      </c>
      <c r="L965" s="1395">
        <f>IF(raw[[#This Row],[city]]&lt;&gt;"",_xlfn.XLOOKUP($D965,ccc[city],ccc[ctry],"-"),"-")</f>
        <v/>
      </c>
      <c r="M965" s="1395">
        <f>IF(raw[[#This Row],[city]]&lt;&gt;"",_xlfn.XLOOKUP($D965,ccc[city],ccc[cont],"-"),"-")</f>
        <v/>
      </c>
      <c r="N965" s="1396">
        <f>IF(raw[[#This Row],[city]]="","-",IF(raw[[#This Row],[cont]]="B",raw[[#This Row],[cont]],"W"))</f>
        <v/>
      </c>
      <c r="O965" s="1397">
        <f>IF(raw[[#This Row],[out]]=0,0,IF(raw[[#This Row],[out]]=raw[[#This Row],[in]],0.01,raw[[#This Row],[out]]-raw[[#This Row],[in]]))</f>
        <v/>
      </c>
      <c r="P965" s="1397">
        <f>IF(raw[[#This Row],[in]]=0,0,MONTH(raw[[#This Row],[in]]))</f>
        <v/>
      </c>
      <c r="Q965" s="1397">
        <f>IF(raw[[#This Row],[in]]=0,0,YEAR(raw[[#This Row],[in]]))</f>
        <v/>
      </c>
      <c r="R965" s="1397">
        <f>INT(raw[[#This Row],[yr]]/10)*10</f>
        <v/>
      </c>
      <c r="S965" s="1395">
        <f>IF(raw[[#This Row],[city]]="","-",IF(raw[[#This Row],[city]]&lt;&gt;_xlfn.XLOOKUP(raw[[#This Row],[home]],homes[home],homes[city],"-"),1,0))</f>
        <v/>
      </c>
      <c r="T965" s="1398" t="inlineStr">
        <is>
          <t>.</t>
        </is>
      </c>
      <c r="U965" s="1399">
        <f>IF(raw[[#This Row],[wb]]="w",raw[[#This Row],[stay]]+U964,U964)</f>
        <v/>
      </c>
      <c r="V965" s="1400">
        <f>IF(raw[[#This Row],[out]]=0,V964,(raw[[#This Row],[out]]-E$5))</f>
        <v/>
      </c>
      <c r="W965" s="1401">
        <f>U965/V965</f>
        <v/>
      </c>
      <c r="X965" s="1392" t="n"/>
      <c r="Y965" s="1392" t="n"/>
      <c r="Z965" s="1392" t="n"/>
      <c r="AA965" s="1392" t="n"/>
      <c r="AB965" s="1392" t="n"/>
      <c r="AC965" s="1392" t="n"/>
      <c r="AD965" s="1392" t="n"/>
      <c r="AE965" s="1392" t="n"/>
      <c r="AF965" s="1392" t="n"/>
      <c r="AG965" s="1392" t="n"/>
      <c r="AH965" s="1392" t="n"/>
      <c r="AI965" s="1392" t="n"/>
      <c r="AJ965" s="1392" t="n"/>
      <c r="AK965" s="1392" t="n"/>
      <c r="AL965" s="1392" t="n"/>
      <c r="AM965" s="1392" t="n"/>
      <c r="AN965" s="1392" t="n"/>
      <c r="AO965" s="1392" t="n"/>
      <c r="AP965" s="1392" t="n"/>
      <c r="AQ965" s="1392" t="n"/>
      <c r="AR965" s="1392" t="n"/>
      <c r="AS965" s="1422" t="n"/>
      <c r="AT965" s="1392" t="n"/>
      <c r="AU965" s="1392" t="n"/>
      <c r="AV965" s="1392" t="n"/>
      <c r="AW965" s="1392" t="n"/>
      <c r="AX965" s="1392" t="n"/>
      <c r="AY965" s="1392" t="n"/>
      <c r="AZ965" s="1392" t="n"/>
      <c r="BA965" s="1392" t="n"/>
      <c r="BB965" s="1422" t="n"/>
      <c r="BC965" s="1392" t="n"/>
      <c r="BD965" s="1392" t="n"/>
      <c r="BE965" s="1392" t="n"/>
      <c r="BF965" s="1392" t="n"/>
      <c r="BG965" s="1392" t="n"/>
      <c r="BH965" s="1392" t="n"/>
      <c r="BI965" s="1392" t="n"/>
      <c r="BJ965" s="1392" t="n"/>
      <c r="BK965" s="1392" t="n"/>
      <c r="BL965" s="1392" t="n"/>
      <c r="BM965" s="1392" t="n"/>
      <c r="BN965" s="1392" t="n"/>
      <c r="BO965" s="1392" t="n"/>
      <c r="BP965" s="1392" t="n"/>
      <c r="BQ965" s="1392" t="n"/>
      <c r="BR965" s="1392" t="n"/>
      <c r="BS965" s="1392" t="n"/>
      <c r="BT965" s="1392" t="n"/>
      <c r="BU965" s="1416" t="n"/>
      <c r="BV965" s="1392" t="n"/>
      <c r="BW965" s="1392" t="n"/>
      <c r="BX965" s="1392" t="n"/>
      <c r="BY965" s="1392" t="n"/>
      <c r="BZ965" s="1416" t="n"/>
      <c r="CA965" s="1392" t="n"/>
      <c r="CB965" s="1392" t="n"/>
      <c r="CC965" s="1392" t="n"/>
      <c r="CD965" s="1392" t="n"/>
      <c r="CE965" s="1392" t="n"/>
      <c r="CF965" s="1392" t="n"/>
      <c r="CG965" s="1392" t="n"/>
      <c r="CH965" s="1392" t="n"/>
      <c r="CI965" s="1392" t="n"/>
      <c r="CJ965" s="1392" t="n"/>
      <c r="CK965" s="1392" t="n"/>
      <c r="CL965" s="1392" t="n"/>
    </row>
    <row r="966">
      <c r="A966" s="5" t="inlineStr">
        <is>
          <t>.</t>
        </is>
      </c>
      <c r="B966" s="5" t="inlineStr">
        <is>
          <t>.</t>
        </is>
      </c>
      <c r="C966" s="1378">
        <f>IF(raw[[#This Row],[city]]="","-",IF(raw[[#This Row],[city]]="TODAY","-",C965+1))</f>
        <v/>
      </c>
      <c r="D966" s="1393" t="inlineStr">
        <is>
          <t>Siena</t>
        </is>
      </c>
      <c r="E966" s="1394" t="n">
        <v>38586</v>
      </c>
      <c r="F966" s="1394" t="n">
        <v>38587</v>
      </c>
      <c r="G966" s="1393" t="inlineStr">
        <is>
          <t>-</t>
        </is>
      </c>
      <c r="H966" s="1393" t="inlineStr">
        <is>
          <t>Transit</t>
        </is>
      </c>
      <c r="I966" s="1393" t="inlineStr">
        <is>
          <t>VF</t>
        </is>
      </c>
      <c r="J966" s="1393" t="inlineStr">
        <is>
          <t>-</t>
        </is>
      </c>
      <c r="K966" s="1395">
        <f>IF(raw[[#This Row],[city]]&lt;&gt;"",_xlfn.XLOOKUP($D966,ccc[city],ccc[prov],"-"),"-")</f>
        <v/>
      </c>
      <c r="L966" s="1395">
        <f>IF(raw[[#This Row],[city]]&lt;&gt;"",_xlfn.XLOOKUP($D966,ccc[city],ccc[ctry],"-"),"-")</f>
        <v/>
      </c>
      <c r="M966" s="1395">
        <f>IF(raw[[#This Row],[city]]&lt;&gt;"",_xlfn.XLOOKUP($D966,ccc[city],ccc[cont],"-"),"-")</f>
        <v/>
      </c>
      <c r="N966" s="1396">
        <f>IF(raw[[#This Row],[city]]="","-",IF(raw[[#This Row],[cont]]="B",raw[[#This Row],[cont]],"W"))</f>
        <v/>
      </c>
      <c r="O966" s="1397">
        <f>IF(raw[[#This Row],[out]]=0,0,IF(raw[[#This Row],[out]]=raw[[#This Row],[in]],0.01,raw[[#This Row],[out]]-raw[[#This Row],[in]]))</f>
        <v/>
      </c>
      <c r="P966" s="1397">
        <f>IF(raw[[#This Row],[in]]=0,0,MONTH(raw[[#This Row],[in]]))</f>
        <v/>
      </c>
      <c r="Q966" s="1397">
        <f>IF(raw[[#This Row],[in]]=0,0,YEAR(raw[[#This Row],[in]]))</f>
        <v/>
      </c>
      <c r="R966" s="1397">
        <f>INT(raw[[#This Row],[yr]]/10)*10</f>
        <v/>
      </c>
      <c r="S966" s="1395">
        <f>IF(raw[[#This Row],[city]]="","-",IF(raw[[#This Row],[city]]&lt;&gt;_xlfn.XLOOKUP(raw[[#This Row],[home]],homes[home],homes[city],"-"),1,0))</f>
        <v/>
      </c>
      <c r="T966" s="1398" t="inlineStr">
        <is>
          <t>.</t>
        </is>
      </c>
      <c r="U966" s="1399">
        <f>IF(raw[[#This Row],[wb]]="w",raw[[#This Row],[stay]]+U965,U965)</f>
        <v/>
      </c>
      <c r="V966" s="1400">
        <f>IF(raw[[#This Row],[out]]=0,V965,(raw[[#This Row],[out]]-E$5))</f>
        <v/>
      </c>
      <c r="W966" s="1401">
        <f>U966/V966</f>
        <v/>
      </c>
      <c r="X966" s="1392" t="n"/>
      <c r="Y966" s="1392" t="n"/>
      <c r="Z966" s="1392" t="n"/>
      <c r="AA966" s="1392" t="n"/>
      <c r="AB966" s="1392" t="n"/>
      <c r="AC966" s="1392" t="n"/>
      <c r="AD966" s="1392" t="n"/>
      <c r="AE966" s="1392" t="n"/>
      <c r="AF966" s="1392" t="n"/>
      <c r="AG966" s="1392" t="n"/>
      <c r="AH966" s="1392" t="n"/>
      <c r="AI966" s="1392" t="n"/>
      <c r="AJ966" s="1392" t="n"/>
      <c r="AK966" s="1392" t="n"/>
      <c r="AL966" s="1392" t="n"/>
      <c r="AM966" s="1392" t="n"/>
      <c r="AN966" s="1392" t="n"/>
      <c r="AO966" s="1392" t="n"/>
      <c r="AP966" s="1392" t="n"/>
      <c r="AQ966" s="1392" t="n"/>
      <c r="AR966" s="1392" t="n"/>
      <c r="AS966" s="1422" t="n"/>
      <c r="AT966" s="1392" t="n"/>
      <c r="AU966" s="1392" t="n"/>
      <c r="AV966" s="1392" t="n"/>
      <c r="AW966" s="1392" t="n"/>
      <c r="AX966" s="1392" t="n"/>
      <c r="AY966" s="1392" t="n"/>
      <c r="AZ966" s="1392" t="n"/>
      <c r="BA966" s="1392" t="n"/>
      <c r="BB966" s="1422" t="n"/>
      <c r="BC966" s="1392" t="n"/>
      <c r="BD966" s="1392" t="n"/>
      <c r="BE966" s="1392" t="n"/>
      <c r="BF966" s="1392" t="n"/>
      <c r="BG966" s="1392" t="n"/>
      <c r="BH966" s="1392" t="n"/>
      <c r="BI966" s="1392" t="n"/>
      <c r="BJ966" s="1392" t="n"/>
      <c r="BK966" s="1392" t="n"/>
      <c r="BL966" s="1392" t="n"/>
      <c r="BM966" s="1392" t="n"/>
      <c r="BN966" s="1392" t="n"/>
      <c r="BO966" s="1392" t="n"/>
      <c r="BP966" s="1392" t="n"/>
      <c r="BQ966" s="1392" t="n"/>
      <c r="BR966" s="1392" t="n"/>
      <c r="BS966" s="1392" t="n"/>
      <c r="BT966" s="1392" t="n"/>
      <c r="BU966" s="1416" t="n"/>
      <c r="BV966" s="1392" t="n"/>
      <c r="BW966" s="1392" t="n"/>
      <c r="BX966" s="1392" t="n"/>
      <c r="BY966" s="1392" t="n"/>
      <c r="BZ966" s="1416" t="n"/>
      <c r="CA966" s="1392" t="n"/>
      <c r="CB966" s="1392" t="n"/>
      <c r="CC966" s="1392" t="n"/>
      <c r="CD966" s="1392" t="n"/>
      <c r="CE966" s="1392" t="n"/>
      <c r="CF966" s="1392" t="n"/>
      <c r="CG966" s="1392" t="n"/>
      <c r="CH966" s="1392" t="n"/>
      <c r="CI966" s="1392" t="n"/>
      <c r="CJ966" s="1392" t="n"/>
      <c r="CK966" s="1392" t="n"/>
      <c r="CL966" s="1392" t="n"/>
    </row>
    <row r="967">
      <c r="A967" s="5" t="inlineStr">
        <is>
          <t>.</t>
        </is>
      </c>
      <c r="B967" s="5" t="inlineStr">
        <is>
          <t>.</t>
        </is>
      </c>
      <c r="C967" s="1378">
        <f>IF(raw[[#This Row],[city]]="","-",IF(raw[[#This Row],[city]]="TODAY","-",C966+1))</f>
        <v/>
      </c>
      <c r="D967" s="1393" t="inlineStr">
        <is>
          <t>Buonconvento</t>
        </is>
      </c>
      <c r="E967" s="1394" t="n">
        <v>38587</v>
      </c>
      <c r="F967" s="1394" t="n">
        <v>38588</v>
      </c>
      <c r="G967" s="1393" t="inlineStr">
        <is>
          <t>-</t>
        </is>
      </c>
      <c r="H967" s="1393" t="inlineStr">
        <is>
          <t>Transit</t>
        </is>
      </c>
      <c r="I967" s="1393" t="inlineStr">
        <is>
          <t>VF</t>
        </is>
      </c>
      <c r="J967" s="1393" t="inlineStr">
        <is>
          <t>-</t>
        </is>
      </c>
      <c r="K967" s="1395">
        <f>IF(raw[[#This Row],[city]]&lt;&gt;"",_xlfn.XLOOKUP($D967,ccc[city],ccc[prov],"-"),"-")</f>
        <v/>
      </c>
      <c r="L967" s="1395">
        <f>IF(raw[[#This Row],[city]]&lt;&gt;"",_xlfn.XLOOKUP($D967,ccc[city],ccc[ctry],"-"),"-")</f>
        <v/>
      </c>
      <c r="M967" s="1395">
        <f>IF(raw[[#This Row],[city]]&lt;&gt;"",_xlfn.XLOOKUP($D967,ccc[city],ccc[cont],"-"),"-")</f>
        <v/>
      </c>
      <c r="N967" s="1396">
        <f>IF(raw[[#This Row],[city]]="","-",IF(raw[[#This Row],[cont]]="B",raw[[#This Row],[cont]],"W"))</f>
        <v/>
      </c>
      <c r="O967" s="1397">
        <f>IF(raw[[#This Row],[out]]=0,0,IF(raw[[#This Row],[out]]=raw[[#This Row],[in]],0.01,raw[[#This Row],[out]]-raw[[#This Row],[in]]))</f>
        <v/>
      </c>
      <c r="P967" s="1397">
        <f>IF(raw[[#This Row],[in]]=0,0,MONTH(raw[[#This Row],[in]]))</f>
        <v/>
      </c>
      <c r="Q967" s="1397">
        <f>IF(raw[[#This Row],[in]]=0,0,YEAR(raw[[#This Row],[in]]))</f>
        <v/>
      </c>
      <c r="R967" s="1397">
        <f>INT(raw[[#This Row],[yr]]/10)*10</f>
        <v/>
      </c>
      <c r="S967" s="1395">
        <f>IF(raw[[#This Row],[city]]="","-",IF(raw[[#This Row],[city]]&lt;&gt;_xlfn.XLOOKUP(raw[[#This Row],[home]],homes[home],homes[city],"-"),1,0))</f>
        <v/>
      </c>
      <c r="T967" s="1398" t="inlineStr">
        <is>
          <t>.</t>
        </is>
      </c>
      <c r="U967" s="1399">
        <f>IF(raw[[#This Row],[wb]]="w",raw[[#This Row],[stay]]+U966,U966)</f>
        <v/>
      </c>
      <c r="V967" s="1400">
        <f>IF(raw[[#This Row],[out]]=0,V966,(raw[[#This Row],[out]]-E$5))</f>
        <v/>
      </c>
      <c r="W967" s="1401">
        <f>U967/V967</f>
        <v/>
      </c>
      <c r="X967" s="1392" t="n"/>
      <c r="Y967" s="1392" t="n"/>
      <c r="Z967" s="1392" t="n"/>
      <c r="AA967" s="1392" t="n"/>
      <c r="AB967" s="1392" t="n"/>
      <c r="AC967" s="1392" t="n"/>
      <c r="AD967" s="1392" t="n"/>
      <c r="AE967" s="1392" t="n"/>
      <c r="AF967" s="1392" t="n"/>
      <c r="AG967" s="1392" t="n"/>
      <c r="AH967" s="1392" t="n"/>
      <c r="AI967" s="1392" t="n"/>
      <c r="AJ967" s="1392" t="n"/>
      <c r="AK967" s="1392" t="n"/>
      <c r="AL967" s="1392" t="n"/>
      <c r="AM967" s="1392" t="n"/>
      <c r="AN967" s="1392" t="n"/>
      <c r="AO967" s="1392" t="n"/>
      <c r="AP967" s="1392" t="n"/>
      <c r="AQ967" s="1392" t="n"/>
      <c r="AR967" s="1392" t="n"/>
      <c r="AS967" s="1422" t="n"/>
      <c r="AT967" s="1392" t="n"/>
      <c r="AU967" s="1392" t="n"/>
      <c r="AV967" s="1392" t="n"/>
      <c r="AW967" s="1392" t="n"/>
      <c r="AX967" s="1392" t="n"/>
      <c r="AY967" s="1392" t="n"/>
      <c r="AZ967" s="1392" t="n"/>
      <c r="BA967" s="1392" t="n"/>
      <c r="BB967" s="1422" t="n"/>
      <c r="BC967" s="1392" t="n"/>
      <c r="BD967" s="1392" t="n"/>
      <c r="BE967" s="1392" t="n"/>
      <c r="BF967" s="1392" t="n"/>
      <c r="BG967" s="1392" t="n"/>
      <c r="BH967" s="1392" t="n"/>
      <c r="BI967" s="1392" t="n"/>
      <c r="BJ967" s="1392" t="n"/>
      <c r="BK967" s="1392" t="n"/>
      <c r="BL967" s="1392" t="n"/>
      <c r="BM967" s="1392" t="n"/>
      <c r="BN967" s="1392" t="n"/>
      <c r="BO967" s="1392" t="n"/>
      <c r="BP967" s="1392" t="n"/>
      <c r="BQ967" s="1392" t="n"/>
      <c r="BR967" s="1392" t="n"/>
      <c r="BS967" s="1392" t="n"/>
      <c r="BT967" s="1392" t="n"/>
      <c r="BU967" s="1416" t="n"/>
      <c r="BV967" s="1392" t="n"/>
      <c r="BW967" s="1392" t="n"/>
      <c r="BX967" s="1392" t="n"/>
      <c r="BY967" s="1392" t="n"/>
      <c r="BZ967" s="1416" t="n"/>
      <c r="CA967" s="1392" t="n"/>
      <c r="CB967" s="1392" t="n"/>
      <c r="CC967" s="1392" t="n"/>
      <c r="CD967" s="1392" t="n"/>
      <c r="CE967" s="1392" t="n"/>
      <c r="CF967" s="1392" t="n"/>
      <c r="CG967" s="1392" t="n"/>
      <c r="CH967" s="1392" t="n"/>
      <c r="CI967" s="1392" t="n"/>
      <c r="CJ967" s="1392" t="n"/>
      <c r="CK967" s="1392" t="n"/>
      <c r="CL967" s="1392" t="n"/>
    </row>
    <row r="968">
      <c r="A968" s="5" t="inlineStr">
        <is>
          <t>.</t>
        </is>
      </c>
      <c r="B968" s="5" t="inlineStr">
        <is>
          <t>.</t>
        </is>
      </c>
      <c r="C968" s="1378">
        <f>IF(raw[[#This Row],[city]]="","-",IF(raw[[#This Row],[city]]="TODAY","-",C967+1))</f>
        <v/>
      </c>
      <c r="D968" s="1393" t="inlineStr">
        <is>
          <t>Montalcino</t>
        </is>
      </c>
      <c r="E968" s="1394" t="n">
        <v>38588</v>
      </c>
      <c r="F968" s="1394" t="n">
        <v>38590</v>
      </c>
      <c r="G968" s="1393" t="inlineStr">
        <is>
          <t>-</t>
        </is>
      </c>
      <c r="H968" s="1393" t="inlineStr">
        <is>
          <t>Transit</t>
        </is>
      </c>
      <c r="I968" s="1393" t="inlineStr">
        <is>
          <t>VF</t>
        </is>
      </c>
      <c r="J968" s="1393" t="inlineStr">
        <is>
          <t>BDAY</t>
        </is>
      </c>
      <c r="K968" s="1395">
        <f>IF(raw[[#This Row],[city]]&lt;&gt;"",_xlfn.XLOOKUP($D968,ccc[city],ccc[prov],"-"),"-")</f>
        <v/>
      </c>
      <c r="L968" s="1395">
        <f>IF(raw[[#This Row],[city]]&lt;&gt;"",_xlfn.XLOOKUP($D968,ccc[city],ccc[ctry],"-"),"-")</f>
        <v/>
      </c>
      <c r="M968" s="1395">
        <f>IF(raw[[#This Row],[city]]&lt;&gt;"",_xlfn.XLOOKUP($D968,ccc[city],ccc[cont],"-"),"-")</f>
        <v/>
      </c>
      <c r="N968" s="1396">
        <f>IF(raw[[#This Row],[city]]="","-",IF(raw[[#This Row],[cont]]="B",raw[[#This Row],[cont]],"W"))</f>
        <v/>
      </c>
      <c r="O968" s="1397">
        <f>IF(raw[[#This Row],[out]]=0,0,IF(raw[[#This Row],[out]]=raw[[#This Row],[in]],0.01,raw[[#This Row],[out]]-raw[[#This Row],[in]]))</f>
        <v/>
      </c>
      <c r="P968" s="1397">
        <f>IF(raw[[#This Row],[in]]=0,0,MONTH(raw[[#This Row],[in]]))</f>
        <v/>
      </c>
      <c r="Q968" s="1397">
        <f>IF(raw[[#This Row],[in]]=0,0,YEAR(raw[[#This Row],[in]]))</f>
        <v/>
      </c>
      <c r="R968" s="1397">
        <f>INT(raw[[#This Row],[yr]]/10)*10</f>
        <v/>
      </c>
      <c r="S968" s="1395">
        <f>IF(raw[[#This Row],[city]]="","-",IF(raw[[#This Row],[city]]&lt;&gt;_xlfn.XLOOKUP(raw[[#This Row],[home]],homes[home],homes[city],"-"),1,0))</f>
        <v/>
      </c>
      <c r="T968" s="1398" t="inlineStr">
        <is>
          <t>.</t>
        </is>
      </c>
      <c r="U968" s="1399">
        <f>IF(raw[[#This Row],[wb]]="w",raw[[#This Row],[stay]]+U967,U967)</f>
        <v/>
      </c>
      <c r="V968" s="1400">
        <f>IF(raw[[#This Row],[out]]=0,V967,(raw[[#This Row],[out]]-E$5))</f>
        <v/>
      </c>
      <c r="W968" s="1401">
        <f>U968/V968</f>
        <v/>
      </c>
      <c r="X968" s="1392" t="n"/>
      <c r="Y968" s="1392" t="n"/>
      <c r="Z968" s="1392" t="n"/>
      <c r="AA968" s="1392" t="n"/>
      <c r="AB968" s="1392" t="n"/>
      <c r="AC968" s="1392" t="n"/>
      <c r="AD968" s="1392" t="n"/>
      <c r="AE968" s="1392" t="n"/>
      <c r="AF968" s="1392" t="n"/>
      <c r="AG968" s="1392" t="n"/>
      <c r="AH968" s="1392" t="n"/>
      <c r="AI968" s="1392" t="n"/>
      <c r="AJ968" s="1392" t="n"/>
      <c r="AK968" s="1392" t="n"/>
      <c r="AL968" s="1392" t="n"/>
      <c r="AM968" s="1392" t="n"/>
      <c r="AN968" s="1392" t="n"/>
      <c r="AO968" s="1392" t="n"/>
      <c r="AP968" s="1392" t="n"/>
      <c r="AQ968" s="1392" t="n"/>
      <c r="AR968" s="1392" t="n"/>
      <c r="AS968" s="1422" t="n"/>
      <c r="AT968" s="1392" t="n"/>
      <c r="AU968" s="1392" t="n"/>
      <c r="AV968" s="1392" t="n"/>
      <c r="AW968" s="1392" t="n"/>
      <c r="AX968" s="1392" t="n"/>
      <c r="AY968" s="1392" t="n"/>
      <c r="AZ968" s="1392" t="n"/>
      <c r="BA968" s="1392" t="n"/>
      <c r="BB968" s="1422" t="n"/>
      <c r="BC968" s="1392" t="n"/>
      <c r="BD968" s="1392" t="n"/>
      <c r="BE968" s="1392" t="n"/>
      <c r="BF968" s="1392" t="n"/>
      <c r="BG968" s="1392" t="n"/>
      <c r="BH968" s="1392" t="n"/>
      <c r="BI968" s="1392" t="n"/>
      <c r="BJ968" s="1392" t="n"/>
      <c r="BK968" s="1392" t="n"/>
      <c r="BL968" s="1392" t="n"/>
      <c r="BM968" s="1392" t="n"/>
      <c r="BN968" s="1392" t="n"/>
      <c r="BO968" s="1392" t="n"/>
      <c r="BP968" s="1392" t="n"/>
      <c r="BQ968" s="1392" t="n"/>
      <c r="BR968" s="1392" t="n"/>
      <c r="BS968" s="1392" t="n"/>
      <c r="BT968" s="1392" t="n"/>
      <c r="BU968" s="1416" t="n"/>
      <c r="BV968" s="1392" t="n"/>
      <c r="BW968" s="1392" t="n"/>
      <c r="BX968" s="1392" t="n"/>
      <c r="BY968" s="1392" t="n"/>
      <c r="BZ968" s="1416" t="n"/>
      <c r="CA968" s="1392" t="n"/>
      <c r="CB968" s="1392" t="n"/>
      <c r="CC968" s="1392" t="n"/>
      <c r="CD968" s="1392" t="n"/>
      <c r="CE968" s="1392" t="n"/>
      <c r="CF968" s="1392" t="n"/>
      <c r="CG968" s="1392" t="n"/>
      <c r="CH968" s="1392" t="n"/>
      <c r="CI968" s="1392" t="n"/>
      <c r="CJ968" s="1392" t="n"/>
      <c r="CK968" s="1392" t="n"/>
      <c r="CL968" s="1392" t="n"/>
    </row>
    <row r="969">
      <c r="A969" s="5" t="inlineStr">
        <is>
          <t>.</t>
        </is>
      </c>
      <c r="B969" s="5" t="inlineStr">
        <is>
          <t>.</t>
        </is>
      </c>
      <c r="C969" s="1378">
        <f>IF(raw[[#This Row],[city]]="","-",IF(raw[[#This Row],[city]]="TODAY","-",C968+1))</f>
        <v/>
      </c>
      <c r="D969" s="1393" t="inlineStr">
        <is>
          <t>Sant'Antimo</t>
        </is>
      </c>
      <c r="E969" s="1394" t="n">
        <v>38590</v>
      </c>
      <c r="F969" s="1394" t="n">
        <v>38590</v>
      </c>
      <c r="G969" s="1393" t="inlineStr">
        <is>
          <t>-</t>
        </is>
      </c>
      <c r="H969" s="1393" t="inlineStr">
        <is>
          <t>Transit</t>
        </is>
      </c>
      <c r="I969" s="1393" t="inlineStr">
        <is>
          <t>VF</t>
        </is>
      </c>
      <c r="J969" s="1393" t="inlineStr">
        <is>
          <t>-</t>
        </is>
      </c>
      <c r="K969" s="1395">
        <f>IF(raw[[#This Row],[city]]&lt;&gt;"",_xlfn.XLOOKUP($D969,ccc[city],ccc[prov],"-"),"-")</f>
        <v/>
      </c>
      <c r="L969" s="1395">
        <f>IF(raw[[#This Row],[city]]&lt;&gt;"",_xlfn.XLOOKUP($D969,ccc[city],ccc[ctry],"-"),"-")</f>
        <v/>
      </c>
      <c r="M969" s="1395">
        <f>IF(raw[[#This Row],[city]]&lt;&gt;"",_xlfn.XLOOKUP($D969,ccc[city],ccc[cont],"-"),"-")</f>
        <v/>
      </c>
      <c r="N969" s="1396">
        <f>IF(raw[[#This Row],[city]]="","-",IF(raw[[#This Row],[cont]]="B",raw[[#This Row],[cont]],"W"))</f>
        <v/>
      </c>
      <c r="O969" s="1397">
        <f>IF(raw[[#This Row],[out]]=0,0,IF(raw[[#This Row],[out]]=raw[[#This Row],[in]],0.01,raw[[#This Row],[out]]-raw[[#This Row],[in]]))</f>
        <v/>
      </c>
      <c r="P969" s="1397">
        <f>IF(raw[[#This Row],[in]]=0,0,MONTH(raw[[#This Row],[in]]))</f>
        <v/>
      </c>
      <c r="Q969" s="1397">
        <f>IF(raw[[#This Row],[in]]=0,0,YEAR(raw[[#This Row],[in]]))</f>
        <v/>
      </c>
      <c r="R969" s="1397">
        <f>INT(raw[[#This Row],[yr]]/10)*10</f>
        <v/>
      </c>
      <c r="S969" s="1395">
        <f>IF(raw[[#This Row],[city]]="","-",IF(raw[[#This Row],[city]]&lt;&gt;_xlfn.XLOOKUP(raw[[#This Row],[home]],homes[home],homes[city],"-"),1,0))</f>
        <v/>
      </c>
      <c r="T969" s="1398" t="inlineStr">
        <is>
          <t>.</t>
        </is>
      </c>
      <c r="U969" s="1399">
        <f>IF(raw[[#This Row],[wb]]="w",raw[[#This Row],[stay]]+U968,U968)</f>
        <v/>
      </c>
      <c r="V969" s="1400">
        <f>IF(raw[[#This Row],[out]]=0,V968,(raw[[#This Row],[out]]-E$5))</f>
        <v/>
      </c>
      <c r="W969" s="1401">
        <f>U969/V969</f>
        <v/>
      </c>
      <c r="X969" s="1392" t="n"/>
      <c r="Y969" s="1392" t="n"/>
      <c r="Z969" s="1392" t="n"/>
      <c r="AA969" s="1392" t="n"/>
      <c r="AB969" s="1392" t="n"/>
      <c r="AC969" s="1392" t="n"/>
      <c r="AD969" s="1392" t="n"/>
      <c r="AE969" s="1392" t="n"/>
      <c r="AF969" s="1392" t="n"/>
      <c r="AG969" s="1392" t="n"/>
      <c r="AH969" s="1392" t="n"/>
      <c r="AI969" s="1392" t="n"/>
      <c r="AJ969" s="1392" t="n"/>
      <c r="AK969" s="1392" t="n"/>
      <c r="AL969" s="1392" t="n"/>
      <c r="AM969" s="1392" t="n"/>
      <c r="AN969" s="1392" t="n"/>
      <c r="AO969" s="1392" t="n"/>
      <c r="AP969" s="1392" t="n"/>
      <c r="AQ969" s="1392" t="n"/>
      <c r="AR969" s="1392" t="n"/>
      <c r="AS969" s="1422" t="n"/>
      <c r="AT969" s="1392" t="n"/>
      <c r="AU969" s="1392" t="n"/>
      <c r="AV969" s="1392" t="n"/>
      <c r="AW969" s="1392" t="n"/>
      <c r="AX969" s="1392" t="n"/>
      <c r="AY969" s="1392" t="n"/>
      <c r="AZ969" s="1392" t="n"/>
      <c r="BA969" s="1392" t="n"/>
      <c r="BB969" s="1422" t="n"/>
      <c r="BC969" s="1392" t="n"/>
      <c r="BD969" s="1392" t="n"/>
      <c r="BE969" s="1392" t="n"/>
      <c r="BF969" s="1392" t="n"/>
      <c r="BG969" s="1392" t="n"/>
      <c r="BH969" s="1392" t="n"/>
      <c r="BI969" s="1392" t="n"/>
      <c r="BJ969" s="1392" t="n"/>
      <c r="BK969" s="1392" t="n"/>
      <c r="BL969" s="1392" t="n"/>
      <c r="BM969" s="1392" t="n"/>
      <c r="BN969" s="1392" t="n"/>
      <c r="BO969" s="1392" t="n"/>
      <c r="BP969" s="1392" t="n"/>
      <c r="BQ969" s="1392" t="n"/>
      <c r="BR969" s="1392" t="n"/>
      <c r="BS969" s="1392" t="n"/>
      <c r="BT969" s="1392" t="n"/>
      <c r="BU969" s="1416" t="n"/>
      <c r="BV969" s="1392" t="n"/>
      <c r="BW969" s="1392" t="n"/>
      <c r="BX969" s="1392" t="n"/>
      <c r="BY969" s="1392" t="n"/>
      <c r="BZ969" s="1416" t="n"/>
      <c r="CA969" s="1392" t="n"/>
      <c r="CB969" s="1392" t="n"/>
      <c r="CC969" s="1392" t="n"/>
      <c r="CD969" s="1392" t="n"/>
      <c r="CE969" s="1392" t="n"/>
      <c r="CF969" s="1392" t="n"/>
      <c r="CG969" s="1392" t="n"/>
      <c r="CH969" s="1392" t="n"/>
      <c r="CI969" s="1392" t="n"/>
      <c r="CJ969" s="1392" t="n"/>
      <c r="CK969" s="1392" t="n"/>
      <c r="CL969" s="1392" t="n"/>
    </row>
    <row r="970">
      <c r="A970" s="5" t="inlineStr">
        <is>
          <t>.</t>
        </is>
      </c>
      <c r="B970" s="5" t="inlineStr">
        <is>
          <t>.</t>
        </is>
      </c>
      <c r="C970" s="1378">
        <f>IF(raw[[#This Row],[city]]="","-",IF(raw[[#This Row],[city]]="TODAY","-",C969+1))</f>
        <v/>
      </c>
      <c r="D970" s="1393" t="inlineStr">
        <is>
          <t>Abbadia San Salvatore</t>
        </is>
      </c>
      <c r="E970" s="1394" t="n">
        <v>38590</v>
      </c>
      <c r="F970" s="1394" t="n">
        <v>38591</v>
      </c>
      <c r="G970" s="1393" t="inlineStr">
        <is>
          <t>-</t>
        </is>
      </c>
      <c r="H970" s="1393" t="inlineStr">
        <is>
          <t>Transit</t>
        </is>
      </c>
      <c r="I970" s="1393" t="inlineStr">
        <is>
          <t>VF</t>
        </is>
      </c>
      <c r="J970" s="1393" t="inlineStr">
        <is>
          <t>-</t>
        </is>
      </c>
      <c r="K970" s="1395">
        <f>IF(raw[[#This Row],[city]]&lt;&gt;"",_xlfn.XLOOKUP($D970,ccc[city],ccc[prov],"-"),"-")</f>
        <v/>
      </c>
      <c r="L970" s="1395">
        <f>IF(raw[[#This Row],[city]]&lt;&gt;"",_xlfn.XLOOKUP($D970,ccc[city],ccc[ctry],"-"),"-")</f>
        <v/>
      </c>
      <c r="M970" s="1395">
        <f>IF(raw[[#This Row],[city]]&lt;&gt;"",_xlfn.XLOOKUP($D970,ccc[city],ccc[cont],"-"),"-")</f>
        <v/>
      </c>
      <c r="N970" s="1396">
        <f>IF(raw[[#This Row],[city]]="","-",IF(raw[[#This Row],[cont]]="B",raw[[#This Row],[cont]],"W"))</f>
        <v/>
      </c>
      <c r="O970" s="1397">
        <f>IF(raw[[#This Row],[out]]=0,0,IF(raw[[#This Row],[out]]=raw[[#This Row],[in]],0.01,raw[[#This Row],[out]]-raw[[#This Row],[in]]))</f>
        <v/>
      </c>
      <c r="P970" s="1397">
        <f>IF(raw[[#This Row],[in]]=0,0,MONTH(raw[[#This Row],[in]]))</f>
        <v/>
      </c>
      <c r="Q970" s="1397">
        <f>IF(raw[[#This Row],[in]]=0,0,YEAR(raw[[#This Row],[in]]))</f>
        <v/>
      </c>
      <c r="R970" s="1397">
        <f>INT(raw[[#This Row],[yr]]/10)*10</f>
        <v/>
      </c>
      <c r="S970" s="1395">
        <f>IF(raw[[#This Row],[city]]="","-",IF(raw[[#This Row],[city]]&lt;&gt;_xlfn.XLOOKUP(raw[[#This Row],[home]],homes[home],homes[city],"-"),1,0))</f>
        <v/>
      </c>
      <c r="T970" s="1398" t="inlineStr">
        <is>
          <t>.</t>
        </is>
      </c>
      <c r="U970" s="1399">
        <f>IF(raw[[#This Row],[wb]]="w",raw[[#This Row],[stay]]+U969,U969)</f>
        <v/>
      </c>
      <c r="V970" s="1400">
        <f>IF(raw[[#This Row],[out]]=0,V969,(raw[[#This Row],[out]]-E$5))</f>
        <v/>
      </c>
      <c r="W970" s="1401">
        <f>U970/V970</f>
        <v/>
      </c>
      <c r="X970" s="1392" t="n"/>
      <c r="Y970" s="1392" t="n"/>
      <c r="Z970" s="1392" t="n"/>
      <c r="AA970" s="1392" t="n"/>
      <c r="AB970" s="1392" t="n"/>
      <c r="AC970" s="1392" t="n"/>
      <c r="AD970" s="1392" t="n"/>
      <c r="AE970" s="1392" t="n"/>
      <c r="AF970" s="1392" t="n"/>
      <c r="AG970" s="1392" t="n"/>
      <c r="AH970" s="1392" t="n"/>
      <c r="AI970" s="1392" t="n"/>
      <c r="AJ970" s="1392" t="n"/>
      <c r="AK970" s="1392" t="n"/>
      <c r="AL970" s="1392" t="n"/>
      <c r="AM970" s="1392" t="n"/>
      <c r="AN970" s="1392" t="n"/>
      <c r="AO970" s="1392" t="n"/>
      <c r="AP970" s="1392" t="n"/>
      <c r="AQ970" s="1392" t="n"/>
      <c r="AR970" s="1392" t="n"/>
      <c r="AS970" s="1422" t="n"/>
      <c r="AT970" s="1392" t="n"/>
      <c r="AU970" s="1392" t="n"/>
      <c r="AV970" s="1392" t="n"/>
      <c r="AW970" s="1392" t="n"/>
      <c r="AX970" s="1392" t="n"/>
      <c r="AY970" s="1392" t="n"/>
      <c r="AZ970" s="1392" t="n"/>
      <c r="BA970" s="1392" t="n"/>
      <c r="BB970" s="1422" t="n"/>
      <c r="BC970" s="1392" t="n"/>
      <c r="BD970" s="1392" t="n"/>
      <c r="BE970" s="1392" t="n"/>
      <c r="BF970" s="1392" t="n"/>
      <c r="BG970" s="1392" t="n"/>
      <c r="BH970" s="1392" t="n"/>
      <c r="BI970" s="1392" t="n"/>
      <c r="BJ970" s="1392" t="n"/>
      <c r="BK970" s="1392" t="n"/>
      <c r="BL970" s="1392" t="n"/>
      <c r="BM970" s="1392" t="n"/>
      <c r="BN970" s="1392" t="n"/>
      <c r="BO970" s="1392" t="n"/>
      <c r="BP970" s="1392" t="n"/>
      <c r="BQ970" s="1392" t="n"/>
      <c r="BR970" s="1392" t="n"/>
      <c r="BS970" s="1392" t="n"/>
      <c r="BT970" s="1392" t="n"/>
      <c r="BU970" s="1416" t="n"/>
      <c r="BV970" s="1392" t="n"/>
      <c r="BW970" s="1392" t="n"/>
      <c r="BX970" s="1392" t="n"/>
      <c r="BY970" s="1392" t="n"/>
      <c r="BZ970" s="1416" t="n"/>
      <c r="CA970" s="1392" t="n"/>
      <c r="CB970" s="1392" t="n"/>
      <c r="CC970" s="1392" t="n"/>
      <c r="CD970" s="1392" t="n"/>
      <c r="CE970" s="1392" t="n"/>
      <c r="CF970" s="1392" t="n"/>
      <c r="CG970" s="1392" t="n"/>
      <c r="CH970" s="1392" t="n"/>
      <c r="CI970" s="1392" t="n"/>
      <c r="CJ970" s="1392" t="n"/>
      <c r="CK970" s="1392" t="n"/>
      <c r="CL970" s="1392" t="n"/>
    </row>
    <row r="971">
      <c r="A971" s="5" t="inlineStr">
        <is>
          <t>.</t>
        </is>
      </c>
      <c r="B971" s="5" t="inlineStr">
        <is>
          <t>.</t>
        </is>
      </c>
      <c r="C971" s="1378">
        <f>IF(raw[[#This Row],[city]]="","-",IF(raw[[#This Row],[city]]="TODAY","-",C970+1))</f>
        <v/>
      </c>
      <c r="D971" s="1393" t="inlineStr">
        <is>
          <t>Acquapendente</t>
        </is>
      </c>
      <c r="E971" s="1394" t="n">
        <v>38591</v>
      </c>
      <c r="F971" s="1394" t="n">
        <v>38591</v>
      </c>
      <c r="G971" s="1393" t="inlineStr">
        <is>
          <t>-</t>
        </is>
      </c>
      <c r="H971" s="1393" t="inlineStr">
        <is>
          <t>Transit</t>
        </is>
      </c>
      <c r="I971" s="1393" t="inlineStr">
        <is>
          <t>VF</t>
        </is>
      </c>
      <c r="J971" s="1393" t="inlineStr">
        <is>
          <t>-</t>
        </is>
      </c>
      <c r="K971" s="1395">
        <f>IF(raw[[#This Row],[city]]&lt;&gt;"",_xlfn.XLOOKUP($D971,ccc[city],ccc[prov],"-"),"-")</f>
        <v/>
      </c>
      <c r="L971" s="1395">
        <f>IF(raw[[#This Row],[city]]&lt;&gt;"",_xlfn.XLOOKUP($D971,ccc[city],ccc[ctry],"-"),"-")</f>
        <v/>
      </c>
      <c r="M971" s="1395">
        <f>IF(raw[[#This Row],[city]]&lt;&gt;"",_xlfn.XLOOKUP($D971,ccc[city],ccc[cont],"-"),"-")</f>
        <v/>
      </c>
      <c r="N971" s="1396">
        <f>IF(raw[[#This Row],[city]]="","-",IF(raw[[#This Row],[cont]]="B",raw[[#This Row],[cont]],"W"))</f>
        <v/>
      </c>
      <c r="O971" s="1397">
        <f>IF(raw[[#This Row],[out]]=0,0,IF(raw[[#This Row],[out]]=raw[[#This Row],[in]],0.01,raw[[#This Row],[out]]-raw[[#This Row],[in]]))</f>
        <v/>
      </c>
      <c r="P971" s="1397">
        <f>IF(raw[[#This Row],[in]]=0,0,MONTH(raw[[#This Row],[in]]))</f>
        <v/>
      </c>
      <c r="Q971" s="1397">
        <f>IF(raw[[#This Row],[in]]=0,0,YEAR(raw[[#This Row],[in]]))</f>
        <v/>
      </c>
      <c r="R971" s="1397">
        <f>INT(raw[[#This Row],[yr]]/10)*10</f>
        <v/>
      </c>
      <c r="S971" s="1395">
        <f>IF(raw[[#This Row],[city]]="","-",IF(raw[[#This Row],[city]]&lt;&gt;_xlfn.XLOOKUP(raw[[#This Row],[home]],homes[home],homes[city],"-"),1,0))</f>
        <v/>
      </c>
      <c r="T971" s="1398" t="inlineStr">
        <is>
          <t>.</t>
        </is>
      </c>
      <c r="U971" s="1399">
        <f>IF(raw[[#This Row],[wb]]="w",raw[[#This Row],[stay]]+U970,U970)</f>
        <v/>
      </c>
      <c r="V971" s="1400">
        <f>IF(raw[[#This Row],[out]]=0,V970,(raw[[#This Row],[out]]-E$5))</f>
        <v/>
      </c>
      <c r="W971" s="1401">
        <f>U971/V971</f>
        <v/>
      </c>
      <c r="X971" s="1392" t="n"/>
      <c r="Y971" s="1392" t="n"/>
      <c r="Z971" s="1392" t="n"/>
      <c r="AA971" s="1392" t="n"/>
      <c r="AB971" s="1392" t="n"/>
      <c r="AC971" s="1392" t="n"/>
      <c r="AD971" s="1392" t="n"/>
      <c r="AE971" s="1392" t="n"/>
      <c r="AF971" s="1392" t="n"/>
      <c r="AG971" s="1392" t="n"/>
      <c r="AH971" s="1392" t="n"/>
      <c r="AI971" s="1392" t="n"/>
      <c r="AJ971" s="1392" t="n"/>
      <c r="AK971" s="1392" t="n"/>
      <c r="AL971" s="1392" t="n"/>
      <c r="AM971" s="1392" t="n"/>
      <c r="AN971" s="1392" t="n"/>
      <c r="AO971" s="1392" t="n"/>
      <c r="AP971" s="1392" t="n"/>
      <c r="AQ971" s="1392" t="n"/>
      <c r="AR971" s="1392" t="n"/>
      <c r="AS971" s="1422" t="n"/>
      <c r="AT971" s="1392" t="n"/>
      <c r="AU971" s="1392" t="n"/>
      <c r="AV971" s="1392" t="n"/>
      <c r="AW971" s="1392" t="n"/>
      <c r="AX971" s="1392" t="n"/>
      <c r="AY971" s="1392" t="n"/>
      <c r="AZ971" s="1392" t="n"/>
      <c r="BA971" s="1392" t="n"/>
      <c r="BB971" s="1422" t="n"/>
      <c r="BC971" s="1392" t="n"/>
      <c r="BD971" s="1392" t="n"/>
      <c r="BE971" s="1392" t="n"/>
      <c r="BF971" s="1392" t="n"/>
      <c r="BG971" s="1392" t="n"/>
      <c r="BH971" s="1392" t="n"/>
      <c r="BI971" s="1392" t="n"/>
      <c r="BJ971" s="1392" t="n"/>
      <c r="BK971" s="1392" t="n"/>
      <c r="BL971" s="1392" t="n"/>
      <c r="BM971" s="1392" t="n"/>
      <c r="BN971" s="1392" t="n"/>
      <c r="BO971" s="1392" t="n"/>
      <c r="BP971" s="1392" t="n"/>
      <c r="BQ971" s="1392" t="n"/>
      <c r="BR971" s="1392" t="n"/>
      <c r="BS971" s="1392" t="n"/>
      <c r="BT971" s="1392" t="n"/>
      <c r="BU971" s="1416" t="n"/>
      <c r="BV971" s="1392" t="n"/>
      <c r="BW971" s="1392" t="n"/>
      <c r="BX971" s="1392" t="n"/>
      <c r="BY971" s="1392" t="n"/>
      <c r="BZ971" s="1416" t="n"/>
      <c r="CA971" s="1392" t="n"/>
      <c r="CB971" s="1392" t="n"/>
      <c r="CC971" s="1392" t="n"/>
      <c r="CD971" s="1392" t="n"/>
      <c r="CE971" s="1392" t="n"/>
      <c r="CF971" s="1392" t="n"/>
      <c r="CG971" s="1392" t="n"/>
      <c r="CH971" s="1392" t="n"/>
      <c r="CI971" s="1392" t="n"/>
      <c r="CJ971" s="1392" t="n"/>
      <c r="CK971" s="1392" t="n"/>
      <c r="CL971" s="1392" t="n"/>
    </row>
    <row r="972">
      <c r="A972" s="5" t="inlineStr">
        <is>
          <t>.</t>
        </is>
      </c>
      <c r="B972" s="5" t="inlineStr">
        <is>
          <t>.</t>
        </is>
      </c>
      <c r="C972" s="1378">
        <f>IF(raw[[#This Row],[city]]="","-",IF(raw[[#This Row],[city]]="TODAY","-",C971+1))</f>
        <v/>
      </c>
      <c r="D972" s="1393" t="inlineStr">
        <is>
          <t>San Lorenzo Nuovo</t>
        </is>
      </c>
      <c r="E972" s="1394" t="n">
        <v>38591</v>
      </c>
      <c r="F972" s="1394" t="n">
        <v>38592</v>
      </c>
      <c r="G972" s="1393" t="inlineStr">
        <is>
          <t>-</t>
        </is>
      </c>
      <c r="H972" s="1393" t="inlineStr">
        <is>
          <t>Transit</t>
        </is>
      </c>
      <c r="I972" s="1393" t="inlineStr">
        <is>
          <t>VF</t>
        </is>
      </c>
      <c r="J972" s="1393" t="inlineStr">
        <is>
          <t>-</t>
        </is>
      </c>
      <c r="K972" s="1395">
        <f>IF(raw[[#This Row],[city]]&lt;&gt;"",_xlfn.XLOOKUP($D972,ccc[city],ccc[prov],"-"),"-")</f>
        <v/>
      </c>
      <c r="L972" s="1395">
        <f>IF(raw[[#This Row],[city]]&lt;&gt;"",_xlfn.XLOOKUP($D972,ccc[city],ccc[ctry],"-"),"-")</f>
        <v/>
      </c>
      <c r="M972" s="1395">
        <f>IF(raw[[#This Row],[city]]&lt;&gt;"",_xlfn.XLOOKUP($D972,ccc[city],ccc[cont],"-"),"-")</f>
        <v/>
      </c>
      <c r="N972" s="1396">
        <f>IF(raw[[#This Row],[city]]="","-",IF(raw[[#This Row],[cont]]="B",raw[[#This Row],[cont]],"W"))</f>
        <v/>
      </c>
      <c r="O972" s="1397">
        <f>IF(raw[[#This Row],[out]]=0,0,IF(raw[[#This Row],[out]]=raw[[#This Row],[in]],0.01,raw[[#This Row],[out]]-raw[[#This Row],[in]]))</f>
        <v/>
      </c>
      <c r="P972" s="1397">
        <f>IF(raw[[#This Row],[in]]=0,0,MONTH(raw[[#This Row],[in]]))</f>
        <v/>
      </c>
      <c r="Q972" s="1397">
        <f>IF(raw[[#This Row],[in]]=0,0,YEAR(raw[[#This Row],[in]]))</f>
        <v/>
      </c>
      <c r="R972" s="1397">
        <f>INT(raw[[#This Row],[yr]]/10)*10</f>
        <v/>
      </c>
      <c r="S972" s="1395">
        <f>IF(raw[[#This Row],[city]]="","-",IF(raw[[#This Row],[city]]&lt;&gt;_xlfn.XLOOKUP(raw[[#This Row],[home]],homes[home],homes[city],"-"),1,0))</f>
        <v/>
      </c>
      <c r="T972" s="1398" t="inlineStr">
        <is>
          <t>.</t>
        </is>
      </c>
      <c r="U972" s="1399">
        <f>IF(raw[[#This Row],[wb]]="w",raw[[#This Row],[stay]]+U971,U971)</f>
        <v/>
      </c>
      <c r="V972" s="1400">
        <f>IF(raw[[#This Row],[out]]=0,V971,(raw[[#This Row],[out]]-E$5))</f>
        <v/>
      </c>
      <c r="W972" s="1401">
        <f>U972/V972</f>
        <v/>
      </c>
      <c r="X972" s="1392" t="n"/>
      <c r="Y972" s="1392" t="n"/>
      <c r="Z972" s="1392" t="n"/>
      <c r="AA972" s="1392" t="n"/>
      <c r="AB972" s="1392" t="n"/>
      <c r="AC972" s="1392" t="n"/>
      <c r="AD972" s="1392" t="n"/>
      <c r="AE972" s="1392" t="n"/>
      <c r="AF972" s="1392" t="n"/>
      <c r="AG972" s="1392" t="n"/>
      <c r="AH972" s="1392" t="n"/>
      <c r="AI972" s="1392" t="n"/>
      <c r="AJ972" s="1392" t="n"/>
      <c r="AK972" s="1392" t="n"/>
      <c r="AL972" s="1392" t="n"/>
      <c r="AM972" s="1392" t="n"/>
      <c r="AN972" s="1392" t="n"/>
      <c r="AO972" s="1392" t="n"/>
      <c r="AP972" s="1392" t="n"/>
      <c r="AQ972" s="1392" t="n"/>
      <c r="AR972" s="1392" t="n"/>
      <c r="AS972" s="1422" t="n"/>
      <c r="AT972" s="1392" t="n"/>
      <c r="AU972" s="1392" t="n"/>
      <c r="AV972" s="1392" t="n"/>
      <c r="AW972" s="1392" t="n"/>
      <c r="AX972" s="1392" t="n"/>
      <c r="AY972" s="1392" t="n"/>
      <c r="AZ972" s="1392" t="n"/>
      <c r="BA972" s="1392" t="n"/>
      <c r="BB972" s="1422" t="n"/>
      <c r="BC972" s="1392" t="n"/>
      <c r="BD972" s="1392" t="n"/>
      <c r="BE972" s="1392" t="n"/>
      <c r="BF972" s="1392" t="n"/>
      <c r="BG972" s="1392" t="n"/>
      <c r="BH972" s="1392" t="n"/>
      <c r="BI972" s="1392" t="n"/>
      <c r="BJ972" s="1392" t="n"/>
      <c r="BK972" s="1392" t="n"/>
      <c r="BL972" s="1392" t="n"/>
      <c r="BM972" s="1392" t="n"/>
      <c r="BN972" s="1392" t="n"/>
      <c r="BO972" s="1392" t="n"/>
      <c r="BP972" s="1392" t="n"/>
      <c r="BQ972" s="1392" t="n"/>
      <c r="BR972" s="1392" t="n"/>
      <c r="BS972" s="1392" t="n"/>
      <c r="BT972" s="1392" t="n"/>
      <c r="BU972" s="1416" t="n"/>
      <c r="BV972" s="1392" t="n"/>
      <c r="BW972" s="1392" t="n"/>
      <c r="BX972" s="1392" t="n"/>
      <c r="BY972" s="1392" t="n"/>
      <c r="BZ972" s="1416" t="n"/>
      <c r="CA972" s="1392" t="n"/>
      <c r="CB972" s="1392" t="n"/>
      <c r="CC972" s="1392" t="n"/>
      <c r="CD972" s="1392" t="n"/>
      <c r="CE972" s="1392" t="n"/>
      <c r="CF972" s="1392" t="n"/>
      <c r="CG972" s="1392" t="n"/>
      <c r="CH972" s="1392" t="n"/>
      <c r="CI972" s="1392" t="n"/>
      <c r="CJ972" s="1392" t="n"/>
      <c r="CK972" s="1392" t="n"/>
      <c r="CL972" s="1392" t="n"/>
    </row>
    <row r="973">
      <c r="A973" s="5" t="inlineStr">
        <is>
          <t>.</t>
        </is>
      </c>
      <c r="B973" s="5" t="inlineStr">
        <is>
          <t>.</t>
        </is>
      </c>
      <c r="C973" s="1378">
        <f>IF(raw[[#This Row],[city]]="","-",IF(raw[[#This Row],[city]]="TODAY","-",C972+1))</f>
        <v/>
      </c>
      <c r="D973" s="1393" t="inlineStr">
        <is>
          <t>Bolsena</t>
        </is>
      </c>
      <c r="E973" s="1394" t="n">
        <v>38592</v>
      </c>
      <c r="F973" s="1394" t="n">
        <v>38592</v>
      </c>
      <c r="G973" s="1393" t="inlineStr">
        <is>
          <t>-</t>
        </is>
      </c>
      <c r="H973" s="1393" t="inlineStr">
        <is>
          <t>Transit</t>
        </is>
      </c>
      <c r="I973" s="1393" t="inlineStr">
        <is>
          <t>VF</t>
        </is>
      </c>
      <c r="J973" s="1393" t="inlineStr">
        <is>
          <t>-</t>
        </is>
      </c>
      <c r="K973" s="1395">
        <f>IF(raw[[#This Row],[city]]&lt;&gt;"",_xlfn.XLOOKUP($D973,ccc[city],ccc[prov],"-"),"-")</f>
        <v/>
      </c>
      <c r="L973" s="1395">
        <f>IF(raw[[#This Row],[city]]&lt;&gt;"",_xlfn.XLOOKUP($D973,ccc[city],ccc[ctry],"-"),"-")</f>
        <v/>
      </c>
      <c r="M973" s="1395">
        <f>IF(raw[[#This Row],[city]]&lt;&gt;"",_xlfn.XLOOKUP($D973,ccc[city],ccc[cont],"-"),"-")</f>
        <v/>
      </c>
      <c r="N973" s="1396">
        <f>IF(raw[[#This Row],[city]]="","-",IF(raw[[#This Row],[cont]]="B",raw[[#This Row],[cont]],"W"))</f>
        <v/>
      </c>
      <c r="O973" s="1397">
        <f>IF(raw[[#This Row],[out]]=0,0,IF(raw[[#This Row],[out]]=raw[[#This Row],[in]],0.01,raw[[#This Row],[out]]-raw[[#This Row],[in]]))</f>
        <v/>
      </c>
      <c r="P973" s="1397">
        <f>IF(raw[[#This Row],[in]]=0,0,MONTH(raw[[#This Row],[in]]))</f>
        <v/>
      </c>
      <c r="Q973" s="1397">
        <f>IF(raw[[#This Row],[in]]=0,0,YEAR(raw[[#This Row],[in]]))</f>
        <v/>
      </c>
      <c r="R973" s="1397">
        <f>INT(raw[[#This Row],[yr]]/10)*10</f>
        <v/>
      </c>
      <c r="S973" s="1395">
        <f>IF(raw[[#This Row],[city]]="","-",IF(raw[[#This Row],[city]]&lt;&gt;_xlfn.XLOOKUP(raw[[#This Row],[home]],homes[home],homes[city],"-"),1,0))</f>
        <v/>
      </c>
      <c r="T973" s="1398" t="inlineStr">
        <is>
          <t>.</t>
        </is>
      </c>
      <c r="U973" s="1399">
        <f>IF(raw[[#This Row],[wb]]="w",raw[[#This Row],[stay]]+U972,U972)</f>
        <v/>
      </c>
      <c r="V973" s="1400">
        <f>IF(raw[[#This Row],[out]]=0,V972,(raw[[#This Row],[out]]-E$5))</f>
        <v/>
      </c>
      <c r="W973" s="1401">
        <f>U973/V973</f>
        <v/>
      </c>
      <c r="X973" s="1392" t="n"/>
      <c r="Y973" s="1392" t="n"/>
      <c r="Z973" s="1392" t="n"/>
      <c r="AA973" s="1392" t="n"/>
      <c r="AB973" s="1392" t="n"/>
      <c r="AC973" s="1392" t="n"/>
      <c r="AD973" s="1392" t="n"/>
      <c r="AE973" s="1392" t="n"/>
      <c r="AF973" s="1392" t="n"/>
      <c r="AG973" s="1392" t="n"/>
      <c r="AH973" s="1392" t="n"/>
      <c r="AI973" s="1392" t="n"/>
      <c r="AJ973" s="1392" t="n"/>
      <c r="AK973" s="1392" t="n"/>
      <c r="AL973" s="1392" t="n"/>
      <c r="AM973" s="1392" t="n"/>
      <c r="AN973" s="1392" t="n"/>
      <c r="AO973" s="1392" t="n"/>
      <c r="AP973" s="1392" t="n"/>
      <c r="AQ973" s="1392" t="n"/>
      <c r="AR973" s="1392" t="n"/>
      <c r="AS973" s="1422" t="n"/>
      <c r="AT973" s="1392" t="n"/>
      <c r="AU973" s="1392" t="n"/>
      <c r="AV973" s="1392" t="n"/>
      <c r="AW973" s="1392" t="n"/>
      <c r="AX973" s="1392" t="n"/>
      <c r="AY973" s="1392" t="n"/>
      <c r="AZ973" s="1392" t="n"/>
      <c r="BA973" s="1392" t="n"/>
      <c r="BB973" s="1422" t="n"/>
      <c r="BC973" s="1392" t="n"/>
      <c r="BD973" s="1392" t="n"/>
      <c r="BE973" s="1392" t="n"/>
      <c r="BF973" s="1392" t="n"/>
      <c r="BG973" s="1392" t="n"/>
      <c r="BH973" s="1392" t="n"/>
      <c r="BI973" s="1392" t="n"/>
      <c r="BJ973" s="1392" t="n"/>
      <c r="BK973" s="1392" t="n"/>
      <c r="BL973" s="1392" t="n"/>
      <c r="BM973" s="1392" t="n"/>
      <c r="BN973" s="1392" t="n"/>
      <c r="BO973" s="1392" t="n"/>
      <c r="BP973" s="1392" t="n"/>
      <c r="BQ973" s="1392" t="n"/>
      <c r="BR973" s="1392" t="n"/>
      <c r="BS973" s="1392" t="n"/>
      <c r="BT973" s="1392" t="n"/>
      <c r="BU973" s="1416" t="n"/>
      <c r="BV973" s="1392" t="n"/>
      <c r="BW973" s="1392" t="n"/>
      <c r="BX973" s="1392" t="n"/>
      <c r="BY973" s="1392" t="n"/>
      <c r="BZ973" s="1416" t="n"/>
      <c r="CA973" s="1392" t="n"/>
      <c r="CB973" s="1392" t="n"/>
      <c r="CC973" s="1392" t="n"/>
      <c r="CD973" s="1392" t="n"/>
      <c r="CE973" s="1392" t="n"/>
      <c r="CF973" s="1392" t="n"/>
      <c r="CG973" s="1392" t="n"/>
      <c r="CH973" s="1392" t="n"/>
      <c r="CI973" s="1392" t="n"/>
      <c r="CJ973" s="1392" t="n"/>
      <c r="CK973" s="1392" t="n"/>
      <c r="CL973" s="1392" t="n"/>
    </row>
    <row r="974">
      <c r="A974" s="5" t="inlineStr">
        <is>
          <t>.</t>
        </is>
      </c>
      <c r="B974" s="5" t="inlineStr">
        <is>
          <t>.</t>
        </is>
      </c>
      <c r="C974" s="1378">
        <f>IF(raw[[#This Row],[city]]="","-",IF(raw[[#This Row],[city]]="TODAY","-",C973+1))</f>
        <v/>
      </c>
      <c r="D974" s="1393" t="inlineStr">
        <is>
          <t>Montefiascone</t>
        </is>
      </c>
      <c r="E974" s="1394" t="n">
        <v>38592</v>
      </c>
      <c r="F974" s="1394" t="n">
        <v>38593</v>
      </c>
      <c r="G974" s="1393" t="inlineStr">
        <is>
          <t>-</t>
        </is>
      </c>
      <c r="H974" s="1393" t="inlineStr">
        <is>
          <t>Transit</t>
        </is>
      </c>
      <c r="I974" s="1393" t="inlineStr">
        <is>
          <t>VF</t>
        </is>
      </c>
      <c r="J974" s="1393" t="inlineStr">
        <is>
          <t>-</t>
        </is>
      </c>
      <c r="K974" s="1395">
        <f>IF(raw[[#This Row],[city]]&lt;&gt;"",_xlfn.XLOOKUP($D974,ccc[city],ccc[prov],"-"),"-")</f>
        <v/>
      </c>
      <c r="L974" s="1395">
        <f>IF(raw[[#This Row],[city]]&lt;&gt;"",_xlfn.XLOOKUP($D974,ccc[city],ccc[ctry],"-"),"-")</f>
        <v/>
      </c>
      <c r="M974" s="1395">
        <f>IF(raw[[#This Row],[city]]&lt;&gt;"",_xlfn.XLOOKUP($D974,ccc[city],ccc[cont],"-"),"-")</f>
        <v/>
      </c>
      <c r="N974" s="1396">
        <f>IF(raw[[#This Row],[city]]="","-",IF(raw[[#This Row],[cont]]="B",raw[[#This Row],[cont]],"W"))</f>
        <v/>
      </c>
      <c r="O974" s="1397">
        <f>IF(raw[[#This Row],[out]]=0,0,IF(raw[[#This Row],[out]]=raw[[#This Row],[in]],0.01,raw[[#This Row],[out]]-raw[[#This Row],[in]]))</f>
        <v/>
      </c>
      <c r="P974" s="1397">
        <f>IF(raw[[#This Row],[in]]=0,0,MONTH(raw[[#This Row],[in]]))</f>
        <v/>
      </c>
      <c r="Q974" s="1397">
        <f>IF(raw[[#This Row],[in]]=0,0,YEAR(raw[[#This Row],[in]]))</f>
        <v/>
      </c>
      <c r="R974" s="1397">
        <f>INT(raw[[#This Row],[yr]]/10)*10</f>
        <v/>
      </c>
      <c r="S974" s="1395">
        <f>IF(raw[[#This Row],[city]]="","-",IF(raw[[#This Row],[city]]&lt;&gt;_xlfn.XLOOKUP(raw[[#This Row],[home]],homes[home],homes[city],"-"),1,0))</f>
        <v/>
      </c>
      <c r="T974" s="1398" t="inlineStr">
        <is>
          <t>.</t>
        </is>
      </c>
      <c r="U974" s="1399">
        <f>IF(raw[[#This Row],[wb]]="w",raw[[#This Row],[stay]]+U973,U973)</f>
        <v/>
      </c>
      <c r="V974" s="1400">
        <f>IF(raw[[#This Row],[out]]=0,V973,(raw[[#This Row],[out]]-E$5))</f>
        <v/>
      </c>
      <c r="W974" s="1401">
        <f>U974/V974</f>
        <v/>
      </c>
      <c r="X974" s="1392" t="n"/>
      <c r="Y974" s="1392" t="n"/>
      <c r="Z974" s="1392" t="n"/>
      <c r="AA974" s="1392" t="n"/>
      <c r="AB974" s="1392" t="n"/>
      <c r="AC974" s="1392" t="n"/>
      <c r="AD974" s="1392" t="n"/>
      <c r="AE974" s="1392" t="n"/>
      <c r="AF974" s="1392" t="n"/>
      <c r="AG974" s="1392" t="n"/>
      <c r="AH974" s="1392" t="n"/>
      <c r="AI974" s="1392" t="n"/>
      <c r="AJ974" s="1392" t="n"/>
      <c r="AK974" s="1392" t="n"/>
      <c r="AL974" s="1392" t="n"/>
      <c r="AM974" s="1392" t="n"/>
      <c r="AN974" s="1392" t="n"/>
      <c r="AO974" s="1392" t="n"/>
      <c r="AP974" s="1392" t="n"/>
      <c r="AQ974" s="1392" t="n"/>
      <c r="AR974" s="1392" t="n"/>
      <c r="AS974" s="1422" t="n"/>
      <c r="AT974" s="1392" t="n"/>
      <c r="AU974" s="1392" t="n"/>
      <c r="AV974" s="1392" t="n"/>
      <c r="AW974" s="1392" t="n"/>
      <c r="AX974" s="1392" t="n"/>
      <c r="AY974" s="1392" t="n"/>
      <c r="AZ974" s="1392" t="n"/>
      <c r="BA974" s="1392" t="n"/>
      <c r="BB974" s="1422" t="n"/>
      <c r="BC974" s="1392" t="n"/>
      <c r="BD974" s="1392" t="n"/>
      <c r="BE974" s="1392" t="n"/>
      <c r="BF974" s="1392" t="n"/>
      <c r="BG974" s="1392" t="n"/>
      <c r="BH974" s="1392" t="n"/>
      <c r="BI974" s="1392" t="n"/>
      <c r="BJ974" s="1392" t="n"/>
      <c r="BK974" s="1392" t="n"/>
      <c r="BL974" s="1392" t="n"/>
      <c r="BM974" s="1392" t="n"/>
      <c r="BN974" s="1392" t="n"/>
      <c r="BO974" s="1392" t="n"/>
      <c r="BP974" s="1392" t="n"/>
      <c r="BQ974" s="1392" t="n"/>
      <c r="BR974" s="1392" t="n"/>
      <c r="BS974" s="1392" t="n"/>
      <c r="BT974" s="1392" t="n"/>
      <c r="BU974" s="1416" t="n"/>
      <c r="BV974" s="1392" t="n"/>
      <c r="BW974" s="1392" t="n"/>
      <c r="BX974" s="1392" t="n"/>
      <c r="BY974" s="1392" t="n"/>
      <c r="BZ974" s="1416" t="n"/>
      <c r="CA974" s="1392" t="n"/>
      <c r="CB974" s="1392" t="n"/>
      <c r="CC974" s="1392" t="n"/>
      <c r="CD974" s="1392" t="n"/>
      <c r="CE974" s="1392" t="n"/>
      <c r="CF974" s="1392" t="n"/>
      <c r="CG974" s="1392" t="n"/>
      <c r="CH974" s="1392" t="n"/>
      <c r="CI974" s="1392" t="n"/>
      <c r="CJ974" s="1392" t="n"/>
      <c r="CK974" s="1392" t="n"/>
      <c r="CL974" s="1392" t="n"/>
    </row>
    <row r="975">
      <c r="A975" s="5" t="inlineStr">
        <is>
          <t>.</t>
        </is>
      </c>
      <c r="B975" s="5" t="inlineStr">
        <is>
          <t>.</t>
        </is>
      </c>
      <c r="C975" s="1378">
        <f>IF(raw[[#This Row],[city]]="","-",IF(raw[[#This Row],[city]]="TODAY","-",C974+1))</f>
        <v/>
      </c>
      <c r="D975" s="1393" t="inlineStr">
        <is>
          <t>Viterbo</t>
        </is>
      </c>
      <c r="E975" s="1394" t="n">
        <v>38593</v>
      </c>
      <c r="F975" s="1394" t="n">
        <v>38593</v>
      </c>
      <c r="G975" s="1393" t="inlineStr">
        <is>
          <t>-</t>
        </is>
      </c>
      <c r="H975" s="1393" t="inlineStr">
        <is>
          <t>Transit</t>
        </is>
      </c>
      <c r="I975" s="1393" t="inlineStr">
        <is>
          <t>VF</t>
        </is>
      </c>
      <c r="J975" s="1393" t="inlineStr">
        <is>
          <t>-</t>
        </is>
      </c>
      <c r="K975" s="1395">
        <f>IF(raw[[#This Row],[city]]&lt;&gt;"",_xlfn.XLOOKUP($D975,ccc[city],ccc[prov],"-"),"-")</f>
        <v/>
      </c>
      <c r="L975" s="1395">
        <f>IF(raw[[#This Row],[city]]&lt;&gt;"",_xlfn.XLOOKUP($D975,ccc[city],ccc[ctry],"-"),"-")</f>
        <v/>
      </c>
      <c r="M975" s="1395">
        <f>IF(raw[[#This Row],[city]]&lt;&gt;"",_xlfn.XLOOKUP($D975,ccc[city],ccc[cont],"-"),"-")</f>
        <v/>
      </c>
      <c r="N975" s="1396">
        <f>IF(raw[[#This Row],[city]]="","-",IF(raw[[#This Row],[cont]]="B",raw[[#This Row],[cont]],"W"))</f>
        <v/>
      </c>
      <c r="O975" s="1397">
        <f>IF(raw[[#This Row],[out]]=0,0,IF(raw[[#This Row],[out]]=raw[[#This Row],[in]],0.01,raw[[#This Row],[out]]-raw[[#This Row],[in]]))</f>
        <v/>
      </c>
      <c r="P975" s="1397">
        <f>IF(raw[[#This Row],[in]]=0,0,MONTH(raw[[#This Row],[in]]))</f>
        <v/>
      </c>
      <c r="Q975" s="1397">
        <f>IF(raw[[#This Row],[in]]=0,0,YEAR(raw[[#This Row],[in]]))</f>
        <v/>
      </c>
      <c r="R975" s="1397">
        <f>INT(raw[[#This Row],[yr]]/10)*10</f>
        <v/>
      </c>
      <c r="S975" s="1395">
        <f>IF(raw[[#This Row],[city]]="","-",IF(raw[[#This Row],[city]]&lt;&gt;_xlfn.XLOOKUP(raw[[#This Row],[home]],homes[home],homes[city],"-"),1,0))</f>
        <v/>
      </c>
      <c r="T975" s="1398" t="inlineStr">
        <is>
          <t>.</t>
        </is>
      </c>
      <c r="U975" s="1399">
        <f>IF(raw[[#This Row],[wb]]="w",raw[[#This Row],[stay]]+U974,U974)</f>
        <v/>
      </c>
      <c r="V975" s="1400">
        <f>IF(raw[[#This Row],[out]]=0,V974,(raw[[#This Row],[out]]-E$5))</f>
        <v/>
      </c>
      <c r="W975" s="1401">
        <f>U975/V975</f>
        <v/>
      </c>
      <c r="X975" s="1392" t="n"/>
      <c r="Y975" s="1392" t="n"/>
      <c r="Z975" s="1392" t="n"/>
      <c r="AA975" s="1392" t="n"/>
      <c r="AB975" s="1392" t="n"/>
      <c r="AC975" s="1392" t="n"/>
      <c r="AD975" s="1392" t="n"/>
      <c r="AE975" s="1392" t="n"/>
      <c r="AF975" s="1392" t="n"/>
      <c r="AG975" s="1392" t="n"/>
      <c r="AH975" s="1392" t="n"/>
      <c r="AI975" s="1392" t="n"/>
      <c r="AJ975" s="1392" t="n"/>
      <c r="AK975" s="1392" t="n"/>
      <c r="AL975" s="1392" t="n"/>
      <c r="AM975" s="1392" t="n"/>
      <c r="AN975" s="1392" t="n"/>
      <c r="AO975" s="1392" t="n"/>
      <c r="AP975" s="1392" t="n"/>
      <c r="AQ975" s="1392" t="n"/>
      <c r="AR975" s="1392" t="n"/>
      <c r="AS975" s="1422" t="n"/>
      <c r="AT975" s="1392" t="n"/>
      <c r="AU975" s="1392" t="n"/>
      <c r="AV975" s="1392" t="n"/>
      <c r="AW975" s="1392" t="n"/>
      <c r="AX975" s="1392" t="n"/>
      <c r="AY975" s="1392" t="n"/>
      <c r="AZ975" s="1392" t="n"/>
      <c r="BA975" s="1392" t="n"/>
      <c r="BB975" s="1422" t="n"/>
      <c r="BC975" s="1392" t="n"/>
      <c r="BD975" s="1392" t="n"/>
      <c r="BE975" s="1392" t="n"/>
      <c r="BF975" s="1392" t="n"/>
      <c r="BG975" s="1392" t="n"/>
      <c r="BH975" s="1392" t="n"/>
      <c r="BI975" s="1392" t="n"/>
      <c r="BJ975" s="1392" t="n"/>
      <c r="BK975" s="1392" t="n"/>
      <c r="BL975" s="1392" t="n"/>
      <c r="BM975" s="1392" t="n"/>
      <c r="BN975" s="1392" t="n"/>
      <c r="BO975" s="1392" t="n"/>
      <c r="BP975" s="1392" t="n"/>
      <c r="BQ975" s="1392" t="n"/>
      <c r="BR975" s="1392" t="n"/>
      <c r="BS975" s="1392" t="n"/>
      <c r="BT975" s="1392" t="n"/>
      <c r="BU975" s="1416" t="n"/>
      <c r="BV975" s="1392" t="n"/>
      <c r="BW975" s="1392" t="n"/>
      <c r="BX975" s="1392" t="n"/>
      <c r="BY975" s="1392" t="n"/>
      <c r="BZ975" s="1416" t="n"/>
      <c r="CA975" s="1392" t="n"/>
      <c r="CB975" s="1392" t="n"/>
      <c r="CC975" s="1392" t="n"/>
      <c r="CD975" s="1392" t="n"/>
      <c r="CE975" s="1392" t="n"/>
      <c r="CF975" s="1392" t="n"/>
      <c r="CG975" s="1392" t="n"/>
      <c r="CH975" s="1392" t="n"/>
      <c r="CI975" s="1392" t="n"/>
      <c r="CJ975" s="1392" t="n"/>
      <c r="CK975" s="1392" t="n"/>
      <c r="CL975" s="1392" t="n"/>
    </row>
    <row r="976">
      <c r="A976" s="5" t="inlineStr">
        <is>
          <t>.</t>
        </is>
      </c>
      <c r="B976" s="5" t="inlineStr">
        <is>
          <t>.</t>
        </is>
      </c>
      <c r="C976" s="1378">
        <f>IF(raw[[#This Row],[city]]="","-",IF(raw[[#This Row],[city]]="TODAY","-",C975+1))</f>
        <v/>
      </c>
      <c r="D976" s="1393" t="inlineStr">
        <is>
          <t>Ronciglione</t>
        </is>
      </c>
      <c r="E976" s="1394" t="n">
        <v>38593</v>
      </c>
      <c r="F976" s="1394" t="n">
        <v>38593</v>
      </c>
      <c r="G976" s="1393" t="inlineStr">
        <is>
          <t>-</t>
        </is>
      </c>
      <c r="H976" s="1393" t="inlineStr">
        <is>
          <t>Transit</t>
        </is>
      </c>
      <c r="I976" s="1393" t="inlineStr">
        <is>
          <t>VF</t>
        </is>
      </c>
      <c r="J976" s="1393" t="inlineStr">
        <is>
          <t>-</t>
        </is>
      </c>
      <c r="K976" s="1395">
        <f>IF(raw[[#This Row],[city]]&lt;&gt;"",_xlfn.XLOOKUP($D976,ccc[city],ccc[prov],"-"),"-")</f>
        <v/>
      </c>
      <c r="L976" s="1395">
        <f>IF(raw[[#This Row],[city]]&lt;&gt;"",_xlfn.XLOOKUP($D976,ccc[city],ccc[ctry],"-"),"-")</f>
        <v/>
      </c>
      <c r="M976" s="1395">
        <f>IF(raw[[#This Row],[city]]&lt;&gt;"",_xlfn.XLOOKUP($D976,ccc[city],ccc[cont],"-"),"-")</f>
        <v/>
      </c>
      <c r="N976" s="1396">
        <f>IF(raw[[#This Row],[city]]="","-",IF(raw[[#This Row],[cont]]="B",raw[[#This Row],[cont]],"W"))</f>
        <v/>
      </c>
      <c r="O976" s="1397">
        <f>IF(raw[[#This Row],[out]]=0,0,IF(raw[[#This Row],[out]]=raw[[#This Row],[in]],0.01,raw[[#This Row],[out]]-raw[[#This Row],[in]]))</f>
        <v/>
      </c>
      <c r="P976" s="1397">
        <f>IF(raw[[#This Row],[in]]=0,0,MONTH(raw[[#This Row],[in]]))</f>
        <v/>
      </c>
      <c r="Q976" s="1397">
        <f>IF(raw[[#This Row],[in]]=0,0,YEAR(raw[[#This Row],[in]]))</f>
        <v/>
      </c>
      <c r="R976" s="1397">
        <f>INT(raw[[#This Row],[yr]]/10)*10</f>
        <v/>
      </c>
      <c r="S976" s="1395">
        <f>IF(raw[[#This Row],[city]]="","-",IF(raw[[#This Row],[city]]&lt;&gt;_xlfn.XLOOKUP(raw[[#This Row],[home]],homes[home],homes[city],"-"),1,0))</f>
        <v/>
      </c>
      <c r="T976" s="1398" t="inlineStr">
        <is>
          <t>.</t>
        </is>
      </c>
      <c r="U976" s="1399">
        <f>IF(raw[[#This Row],[wb]]="w",raw[[#This Row],[stay]]+U975,U975)</f>
        <v/>
      </c>
      <c r="V976" s="1400">
        <f>IF(raw[[#This Row],[out]]=0,V975,(raw[[#This Row],[out]]-E$5))</f>
        <v/>
      </c>
      <c r="W976" s="1401">
        <f>U976/V976</f>
        <v/>
      </c>
      <c r="X976" s="1392" t="n"/>
      <c r="Y976" s="1392" t="n"/>
      <c r="Z976" s="1392" t="n"/>
      <c r="AA976" s="1392" t="n"/>
      <c r="AB976" s="1392" t="n"/>
      <c r="AC976" s="1392" t="n"/>
      <c r="AD976" s="1392" t="n"/>
      <c r="AE976" s="1392" t="n"/>
      <c r="AF976" s="1392" t="n"/>
      <c r="AG976" s="1392" t="n"/>
      <c r="AH976" s="1392" t="n"/>
      <c r="AI976" s="1392" t="n"/>
      <c r="AJ976" s="1392" t="n"/>
      <c r="AK976" s="1392" t="n"/>
      <c r="AL976" s="1392" t="n"/>
      <c r="AM976" s="1392" t="n"/>
      <c r="AN976" s="1392" t="n"/>
      <c r="AO976" s="1392" t="n"/>
      <c r="AP976" s="1392" t="n"/>
      <c r="AQ976" s="1392" t="n"/>
      <c r="AR976" s="1392" t="n"/>
      <c r="AS976" s="1422" t="n"/>
      <c r="AT976" s="1392" t="n"/>
      <c r="AU976" s="1392" t="n"/>
      <c r="AV976" s="1392" t="n"/>
      <c r="AW976" s="1392" t="n"/>
      <c r="AX976" s="1392" t="n"/>
      <c r="AY976" s="1392" t="n"/>
      <c r="AZ976" s="1392" t="n"/>
      <c r="BA976" s="1392" t="n"/>
      <c r="BB976" s="1422" t="n"/>
      <c r="BC976" s="1392" t="n"/>
      <c r="BD976" s="1392" t="n"/>
      <c r="BE976" s="1392" t="n"/>
      <c r="BF976" s="1392" t="n"/>
      <c r="BG976" s="1392" t="n"/>
      <c r="BH976" s="1392" t="n"/>
      <c r="BI976" s="1392" t="n"/>
      <c r="BJ976" s="1392" t="n"/>
      <c r="BK976" s="1392" t="n"/>
      <c r="BL976" s="1392" t="n"/>
      <c r="BM976" s="1392" t="n"/>
      <c r="BN976" s="1392" t="n"/>
      <c r="BO976" s="1392" t="n"/>
      <c r="BP976" s="1392" t="n"/>
      <c r="BQ976" s="1392" t="n"/>
      <c r="BR976" s="1392" t="n"/>
      <c r="BS976" s="1392" t="n"/>
      <c r="BT976" s="1392" t="n"/>
      <c r="BU976" s="1416" t="n"/>
      <c r="BV976" s="1392" t="n"/>
      <c r="BW976" s="1392" t="n"/>
      <c r="BX976" s="1392" t="n"/>
      <c r="BY976" s="1392" t="n"/>
      <c r="BZ976" s="1416" t="n"/>
      <c r="CA976" s="1392" t="n"/>
      <c r="CB976" s="1392" t="n"/>
      <c r="CC976" s="1392" t="n"/>
      <c r="CD976" s="1392" t="n"/>
      <c r="CE976" s="1392" t="n"/>
      <c r="CF976" s="1392" t="n"/>
      <c r="CG976" s="1392" t="n"/>
      <c r="CH976" s="1392" t="n"/>
      <c r="CI976" s="1392" t="n"/>
      <c r="CJ976" s="1392" t="n"/>
      <c r="CK976" s="1392" t="n"/>
      <c r="CL976" s="1392" t="n"/>
    </row>
    <row r="977">
      <c r="A977" s="5" t="inlineStr">
        <is>
          <t>.</t>
        </is>
      </c>
      <c r="B977" s="5" t="inlineStr">
        <is>
          <t>.</t>
        </is>
      </c>
      <c r="C977" s="1378">
        <f>IF(raw[[#This Row],[city]]="","-",IF(raw[[#This Row],[city]]="TODAY","-",C976+1))</f>
        <v/>
      </c>
      <c r="D977" s="1393" t="inlineStr">
        <is>
          <t>Sutri</t>
        </is>
      </c>
      <c r="E977" s="1394" t="n">
        <v>38593</v>
      </c>
      <c r="F977" s="1394" t="n">
        <v>38594</v>
      </c>
      <c r="G977" s="1393" t="inlineStr">
        <is>
          <t>-</t>
        </is>
      </c>
      <c r="H977" s="1393" t="inlineStr">
        <is>
          <t>Transit</t>
        </is>
      </c>
      <c r="I977" s="1393" t="inlineStr">
        <is>
          <t>VF</t>
        </is>
      </c>
      <c r="J977" s="1393" t="inlineStr">
        <is>
          <t>-</t>
        </is>
      </c>
      <c r="K977" s="1395">
        <f>IF(raw[[#This Row],[city]]&lt;&gt;"",_xlfn.XLOOKUP($D977,ccc[city],ccc[prov],"-"),"-")</f>
        <v/>
      </c>
      <c r="L977" s="1395">
        <f>IF(raw[[#This Row],[city]]&lt;&gt;"",_xlfn.XLOOKUP($D977,ccc[city],ccc[ctry],"-"),"-")</f>
        <v/>
      </c>
      <c r="M977" s="1395">
        <f>IF(raw[[#This Row],[city]]&lt;&gt;"",_xlfn.XLOOKUP($D977,ccc[city],ccc[cont],"-"),"-")</f>
        <v/>
      </c>
      <c r="N977" s="1396">
        <f>IF(raw[[#This Row],[city]]="","-",IF(raw[[#This Row],[cont]]="B",raw[[#This Row],[cont]],"W"))</f>
        <v/>
      </c>
      <c r="O977" s="1397">
        <f>IF(raw[[#This Row],[out]]=0,0,IF(raw[[#This Row],[out]]=raw[[#This Row],[in]],0.01,raw[[#This Row],[out]]-raw[[#This Row],[in]]))</f>
        <v/>
      </c>
      <c r="P977" s="1397">
        <f>IF(raw[[#This Row],[in]]=0,0,MONTH(raw[[#This Row],[in]]))</f>
        <v/>
      </c>
      <c r="Q977" s="1397">
        <f>IF(raw[[#This Row],[in]]=0,0,YEAR(raw[[#This Row],[in]]))</f>
        <v/>
      </c>
      <c r="R977" s="1397">
        <f>INT(raw[[#This Row],[yr]]/10)*10</f>
        <v/>
      </c>
      <c r="S977" s="1395">
        <f>IF(raw[[#This Row],[city]]="","-",IF(raw[[#This Row],[city]]&lt;&gt;_xlfn.XLOOKUP(raw[[#This Row],[home]],homes[home],homes[city],"-"),1,0))</f>
        <v/>
      </c>
      <c r="T977" s="1398" t="inlineStr">
        <is>
          <t>.</t>
        </is>
      </c>
      <c r="U977" s="1399">
        <f>IF(raw[[#This Row],[wb]]="w",raw[[#This Row],[stay]]+U976,U976)</f>
        <v/>
      </c>
      <c r="V977" s="1400">
        <f>IF(raw[[#This Row],[out]]=0,V976,(raw[[#This Row],[out]]-E$5))</f>
        <v/>
      </c>
      <c r="W977" s="1401">
        <f>U977/V977</f>
        <v/>
      </c>
      <c r="X977" s="1392" t="n"/>
      <c r="Y977" s="1392" t="n"/>
      <c r="Z977" s="1392" t="n"/>
      <c r="AA977" s="1392" t="n"/>
      <c r="AB977" s="1392" t="n"/>
      <c r="AC977" s="1392" t="n"/>
      <c r="AD977" s="1392" t="n"/>
      <c r="AE977" s="1392" t="n"/>
      <c r="AF977" s="1392" t="n"/>
      <c r="AG977" s="1392" t="n"/>
      <c r="AH977" s="1392" t="n"/>
      <c r="AI977" s="1392" t="n"/>
      <c r="AJ977" s="1392" t="n"/>
      <c r="AK977" s="1392" t="n"/>
      <c r="AL977" s="1392" t="n"/>
      <c r="AM977" s="1392" t="n"/>
      <c r="AN977" s="1392" t="n"/>
      <c r="AO977" s="1392" t="n"/>
      <c r="AP977" s="1392" t="n"/>
      <c r="AQ977" s="1392" t="n"/>
      <c r="AR977" s="1392" t="n"/>
      <c r="AS977" s="1422" t="n"/>
      <c r="AT977" s="1392" t="n"/>
      <c r="AU977" s="1392" t="n"/>
      <c r="AV977" s="1392" t="n"/>
      <c r="AW977" s="1392" t="n"/>
      <c r="AX977" s="1392" t="n"/>
      <c r="AY977" s="1392" t="n"/>
      <c r="AZ977" s="1392" t="n"/>
      <c r="BA977" s="1392" t="n"/>
      <c r="BB977" s="1422" t="n"/>
      <c r="BC977" s="1392" t="n"/>
      <c r="BD977" s="1392" t="n"/>
      <c r="BE977" s="1392" t="n"/>
      <c r="BF977" s="1392" t="n"/>
      <c r="BG977" s="1392" t="n"/>
      <c r="BH977" s="1392" t="n"/>
      <c r="BI977" s="1392" t="n"/>
      <c r="BJ977" s="1392" t="n"/>
      <c r="BK977" s="1392" t="n"/>
      <c r="BL977" s="1392" t="n"/>
      <c r="BM977" s="1392" t="n"/>
      <c r="BN977" s="1392" t="n"/>
      <c r="BO977" s="1392" t="n"/>
      <c r="BP977" s="1392" t="n"/>
      <c r="BQ977" s="1392" t="n"/>
      <c r="BR977" s="1392" t="n"/>
      <c r="BS977" s="1392" t="n"/>
      <c r="BT977" s="1392" t="n"/>
      <c r="BU977" s="1416" t="n"/>
      <c r="BV977" s="1392" t="n"/>
      <c r="BW977" s="1392" t="n"/>
      <c r="BX977" s="1392" t="n"/>
      <c r="BY977" s="1392" t="n"/>
      <c r="BZ977" s="1416" t="n"/>
      <c r="CA977" s="1392" t="n"/>
      <c r="CB977" s="1392" t="n"/>
      <c r="CC977" s="1392" t="n"/>
      <c r="CD977" s="1392" t="n"/>
      <c r="CE977" s="1392" t="n"/>
      <c r="CF977" s="1392" t="n"/>
      <c r="CG977" s="1392" t="n"/>
      <c r="CH977" s="1392" t="n"/>
      <c r="CI977" s="1392" t="n"/>
      <c r="CJ977" s="1392" t="n"/>
      <c r="CK977" s="1392" t="n"/>
      <c r="CL977" s="1392" t="n"/>
    </row>
    <row r="978">
      <c r="A978" s="5" t="inlineStr">
        <is>
          <t>.</t>
        </is>
      </c>
      <c r="B978" s="5" t="inlineStr">
        <is>
          <t>.</t>
        </is>
      </c>
      <c r="C978" s="1378">
        <f>IF(raw[[#This Row],[city]]="","-",IF(raw[[#This Row],[city]]="TODAY","-",C977+1))</f>
        <v/>
      </c>
      <c r="D978" s="1393" t="inlineStr">
        <is>
          <t>La Storta</t>
        </is>
      </c>
      <c r="E978" s="1394" t="n">
        <v>38594</v>
      </c>
      <c r="F978" s="1394" t="n">
        <v>38595</v>
      </c>
      <c r="G978" s="1393" t="inlineStr">
        <is>
          <t>-</t>
        </is>
      </c>
      <c r="H978" s="1393" t="inlineStr">
        <is>
          <t>Transit</t>
        </is>
      </c>
      <c r="I978" s="1393" t="inlineStr">
        <is>
          <t>VF</t>
        </is>
      </c>
      <c r="J978" s="1393" t="inlineStr">
        <is>
          <t>-</t>
        </is>
      </c>
      <c r="K978" s="1395">
        <f>IF(raw[[#This Row],[city]]&lt;&gt;"",_xlfn.XLOOKUP($D978,ccc[city],ccc[prov],"-"),"-")</f>
        <v/>
      </c>
      <c r="L978" s="1395">
        <f>IF(raw[[#This Row],[city]]&lt;&gt;"",_xlfn.XLOOKUP($D978,ccc[city],ccc[ctry],"-"),"-")</f>
        <v/>
      </c>
      <c r="M978" s="1395">
        <f>IF(raw[[#This Row],[city]]&lt;&gt;"",_xlfn.XLOOKUP($D978,ccc[city],ccc[cont],"-"),"-")</f>
        <v/>
      </c>
      <c r="N978" s="1396">
        <f>IF(raw[[#This Row],[city]]="","-",IF(raw[[#This Row],[cont]]="B",raw[[#This Row],[cont]],"W"))</f>
        <v/>
      </c>
      <c r="O978" s="1397">
        <f>IF(raw[[#This Row],[out]]=0,0,IF(raw[[#This Row],[out]]=raw[[#This Row],[in]],0.01,raw[[#This Row],[out]]-raw[[#This Row],[in]]))</f>
        <v/>
      </c>
      <c r="P978" s="1397">
        <f>IF(raw[[#This Row],[in]]=0,0,MONTH(raw[[#This Row],[in]]))</f>
        <v/>
      </c>
      <c r="Q978" s="1397">
        <f>IF(raw[[#This Row],[in]]=0,0,YEAR(raw[[#This Row],[in]]))</f>
        <v/>
      </c>
      <c r="R978" s="1397">
        <f>INT(raw[[#This Row],[yr]]/10)*10</f>
        <v/>
      </c>
      <c r="S978" s="1395">
        <f>IF(raw[[#This Row],[city]]="","-",IF(raw[[#This Row],[city]]&lt;&gt;_xlfn.XLOOKUP(raw[[#This Row],[home]],homes[home],homes[city],"-"),1,0))</f>
        <v/>
      </c>
      <c r="T978" s="1398" t="inlineStr">
        <is>
          <t>.</t>
        </is>
      </c>
      <c r="U978" s="1399">
        <f>IF(raw[[#This Row],[wb]]="w",raw[[#This Row],[stay]]+U977,U977)</f>
        <v/>
      </c>
      <c r="V978" s="1400">
        <f>IF(raw[[#This Row],[out]]=0,V977,(raw[[#This Row],[out]]-E$5))</f>
        <v/>
      </c>
      <c r="W978" s="1401">
        <f>U978/V978</f>
        <v/>
      </c>
      <c r="X978" s="1392" t="n"/>
      <c r="Y978" s="1392" t="n"/>
      <c r="Z978" s="1392" t="n"/>
      <c r="AA978" s="1392" t="n"/>
      <c r="AB978" s="1392" t="n"/>
      <c r="AC978" s="1392" t="n"/>
      <c r="AD978" s="1392" t="n"/>
      <c r="AE978" s="1392" t="n"/>
      <c r="AF978" s="1392" t="n"/>
      <c r="AG978" s="1392" t="n"/>
      <c r="AH978" s="1392" t="n"/>
      <c r="AI978" s="1392" t="n"/>
      <c r="AJ978" s="1392" t="n"/>
      <c r="AK978" s="1392" t="n"/>
      <c r="AL978" s="1392" t="n"/>
      <c r="AM978" s="1392" t="n"/>
      <c r="AN978" s="1392" t="n"/>
      <c r="AO978" s="1392" t="n"/>
      <c r="AP978" s="1392" t="n"/>
      <c r="AQ978" s="1392" t="n"/>
      <c r="AR978" s="1392" t="n"/>
      <c r="AS978" s="1422" t="n"/>
      <c r="AT978" s="1392" t="n"/>
      <c r="AU978" s="1392" t="n"/>
      <c r="AV978" s="1392" t="n"/>
      <c r="AW978" s="1392" t="n"/>
      <c r="AX978" s="1392" t="n"/>
      <c r="AY978" s="1392" t="n"/>
      <c r="AZ978" s="1392" t="n"/>
      <c r="BA978" s="1392" t="n"/>
      <c r="BB978" s="1422" t="n"/>
      <c r="BC978" s="1392" t="n"/>
      <c r="BD978" s="1392" t="n"/>
      <c r="BE978" s="1392" t="n"/>
      <c r="BF978" s="1392" t="n"/>
      <c r="BG978" s="1392" t="n"/>
      <c r="BH978" s="1392" t="n"/>
      <c r="BI978" s="1392" t="n"/>
      <c r="BJ978" s="1392" t="n"/>
      <c r="BK978" s="1392" t="n"/>
      <c r="BL978" s="1392" t="n"/>
      <c r="BM978" s="1392" t="n"/>
      <c r="BN978" s="1392" t="n"/>
      <c r="BO978" s="1392" t="n"/>
      <c r="BP978" s="1392" t="n"/>
      <c r="BQ978" s="1392" t="n"/>
      <c r="BR978" s="1392" t="n"/>
      <c r="BS978" s="1392" t="n"/>
      <c r="BT978" s="1392" t="n"/>
      <c r="BU978" s="1416" t="n"/>
      <c r="BV978" s="1392" t="n"/>
      <c r="BW978" s="1392" t="n"/>
      <c r="BX978" s="1392" t="n"/>
      <c r="BY978" s="1392" t="n"/>
      <c r="BZ978" s="1416" t="n"/>
      <c r="CA978" s="1392" t="n"/>
      <c r="CB978" s="1392" t="n"/>
      <c r="CC978" s="1392" t="n"/>
      <c r="CD978" s="1392" t="n"/>
      <c r="CE978" s="1392" t="n"/>
      <c r="CF978" s="1392" t="n"/>
      <c r="CG978" s="1392" t="n"/>
      <c r="CH978" s="1392" t="n"/>
      <c r="CI978" s="1392" t="n"/>
      <c r="CJ978" s="1392" t="n"/>
      <c r="CK978" s="1392" t="n"/>
      <c r="CL978" s="1392" t="n"/>
    </row>
    <row r="979">
      <c r="A979" s="5" t="inlineStr">
        <is>
          <t>.</t>
        </is>
      </c>
      <c r="B979" s="5" t="inlineStr">
        <is>
          <t>.</t>
        </is>
      </c>
      <c r="C979" s="1378">
        <f>IF(raw[[#This Row],[city]]="","-",IF(raw[[#This Row],[city]]="TODAY","-",C978+1))</f>
        <v/>
      </c>
      <c r="D979" s="1393" t="inlineStr">
        <is>
          <t>Rome</t>
        </is>
      </c>
      <c r="E979" s="1394" t="n">
        <v>38595</v>
      </c>
      <c r="F979" s="1394" t="n">
        <v>38596</v>
      </c>
      <c r="G979" s="1393" t="inlineStr">
        <is>
          <t>-</t>
        </is>
      </c>
      <c r="H979" s="1393" t="inlineStr">
        <is>
          <t>Fonteiana</t>
        </is>
      </c>
      <c r="I979" s="1393" t="inlineStr">
        <is>
          <t>-</t>
        </is>
      </c>
      <c r="J979" s="1393" t="inlineStr">
        <is>
          <t>-</t>
        </is>
      </c>
      <c r="K979" s="1395">
        <f>IF(raw[[#This Row],[city]]&lt;&gt;"",_xlfn.XLOOKUP($D979,ccc[city],ccc[prov],"-"),"-")</f>
        <v/>
      </c>
      <c r="L979" s="1395">
        <f>IF(raw[[#This Row],[city]]&lt;&gt;"",_xlfn.XLOOKUP($D979,ccc[city],ccc[ctry],"-"),"-")</f>
        <v/>
      </c>
      <c r="M979" s="1395">
        <f>IF(raw[[#This Row],[city]]&lt;&gt;"",_xlfn.XLOOKUP($D979,ccc[city],ccc[cont],"-"),"-")</f>
        <v/>
      </c>
      <c r="N979" s="1396">
        <f>IF(raw[[#This Row],[city]]="","-",IF(raw[[#This Row],[cont]]="B",raw[[#This Row],[cont]],"W"))</f>
        <v/>
      </c>
      <c r="O979" s="1397">
        <f>IF(raw[[#This Row],[out]]=0,0,IF(raw[[#This Row],[out]]=raw[[#This Row],[in]],0.01,raw[[#This Row],[out]]-raw[[#This Row],[in]]))</f>
        <v/>
      </c>
      <c r="P979" s="1397">
        <f>IF(raw[[#This Row],[in]]=0,0,MONTH(raw[[#This Row],[in]]))</f>
        <v/>
      </c>
      <c r="Q979" s="1397">
        <f>IF(raw[[#This Row],[in]]=0,0,YEAR(raw[[#This Row],[in]]))</f>
        <v/>
      </c>
      <c r="R979" s="1397">
        <f>INT(raw[[#This Row],[yr]]/10)*10</f>
        <v/>
      </c>
      <c r="S979" s="1395">
        <f>IF(raw[[#This Row],[city]]="","-",IF(raw[[#This Row],[city]]&lt;&gt;_xlfn.XLOOKUP(raw[[#This Row],[home]],homes[home],homes[city],"-"),1,0))</f>
        <v/>
      </c>
      <c r="T979" s="1398" t="inlineStr">
        <is>
          <t>.</t>
        </is>
      </c>
      <c r="U979" s="1399">
        <f>IF(raw[[#This Row],[wb]]="w",raw[[#This Row],[stay]]+U978,U978)</f>
        <v/>
      </c>
      <c r="V979" s="1400">
        <f>IF(raw[[#This Row],[out]]=0,V978,(raw[[#This Row],[out]]-E$5))</f>
        <v/>
      </c>
      <c r="W979" s="1401">
        <f>U979/V979</f>
        <v/>
      </c>
      <c r="X979" s="1392" t="n"/>
      <c r="Y979" s="1392" t="n"/>
      <c r="Z979" s="1392" t="n"/>
      <c r="AA979" s="1392" t="n"/>
      <c r="AB979" s="1392" t="n"/>
      <c r="AC979" s="1392" t="n"/>
      <c r="AD979" s="1392" t="n"/>
      <c r="AE979" s="1392" t="n"/>
      <c r="AF979" s="1392" t="n"/>
      <c r="AG979" s="1392" t="n"/>
      <c r="AH979" s="1392" t="n"/>
      <c r="AI979" s="1392" t="n"/>
      <c r="AJ979" s="1392" t="n"/>
      <c r="AK979" s="1392" t="n"/>
      <c r="AL979" s="1392" t="n"/>
      <c r="AM979" s="1392" t="n"/>
      <c r="AN979" s="1392" t="n"/>
      <c r="AO979" s="1392" t="n"/>
      <c r="AP979" s="1392" t="n"/>
      <c r="AQ979" s="1392" t="n"/>
      <c r="AR979" s="1392" t="n"/>
      <c r="AS979" s="1422" t="n"/>
      <c r="AT979" s="1392" t="n"/>
      <c r="AU979" s="1392" t="n"/>
      <c r="AV979" s="1392" t="n"/>
      <c r="AW979" s="1392" t="n"/>
      <c r="AX979" s="1392" t="n"/>
      <c r="AY979" s="1392" t="n"/>
      <c r="AZ979" s="1392" t="n"/>
      <c r="BA979" s="1392" t="n"/>
      <c r="BB979" s="1422" t="n"/>
      <c r="BC979" s="1392" t="n"/>
      <c r="BD979" s="1392" t="n"/>
      <c r="BE979" s="1392" t="n"/>
      <c r="BF979" s="1392" t="n"/>
      <c r="BG979" s="1392" t="n"/>
      <c r="BH979" s="1392" t="n"/>
      <c r="BI979" s="1392" t="n"/>
      <c r="BJ979" s="1392" t="n"/>
      <c r="BK979" s="1392" t="n"/>
      <c r="BL979" s="1392" t="n"/>
      <c r="BM979" s="1392" t="n"/>
      <c r="BN979" s="1392" t="n"/>
      <c r="BO979" s="1392" t="n"/>
      <c r="BP979" s="1392" t="n"/>
      <c r="BQ979" s="1392" t="n"/>
      <c r="BR979" s="1392" t="n"/>
      <c r="BS979" s="1392" t="n"/>
      <c r="BT979" s="1392" t="n"/>
      <c r="BU979" s="1416" t="n"/>
      <c r="BV979" s="1392" t="n"/>
      <c r="BW979" s="1392" t="n"/>
      <c r="BX979" s="1392" t="n"/>
      <c r="BY979" s="1392" t="n"/>
      <c r="BZ979" s="1416" t="n"/>
      <c r="CA979" s="1392" t="n"/>
      <c r="CB979" s="1392" t="n"/>
      <c r="CC979" s="1392" t="n"/>
      <c r="CD979" s="1392" t="n"/>
      <c r="CE979" s="1392" t="n"/>
      <c r="CF979" s="1392" t="n"/>
      <c r="CG979" s="1392" t="n"/>
      <c r="CH979" s="1392" t="n"/>
      <c r="CI979" s="1392" t="n"/>
      <c r="CJ979" s="1392" t="n"/>
      <c r="CK979" s="1392" t="n"/>
      <c r="CL979" s="1392" t="n"/>
    </row>
    <row r="980">
      <c r="A980" s="5" t="inlineStr">
        <is>
          <t>.</t>
        </is>
      </c>
      <c r="B980" s="5" t="inlineStr">
        <is>
          <t>.</t>
        </is>
      </c>
      <c r="C980" s="1378">
        <f>IF(raw[[#This Row],[city]]="","-",IF(raw[[#This Row],[city]]="TODAY","-",C979+1))</f>
        <v/>
      </c>
      <c r="D980" s="1393" t="inlineStr">
        <is>
          <t>Rome</t>
        </is>
      </c>
      <c r="E980" s="1394" t="n">
        <v>38596</v>
      </c>
      <c r="F980" s="1394" t="n">
        <v>38626</v>
      </c>
      <c r="G980" s="1393" t="inlineStr">
        <is>
          <t>-</t>
        </is>
      </c>
      <c r="H980" s="1393" t="inlineStr">
        <is>
          <t>Fonteiana</t>
        </is>
      </c>
      <c r="I980" s="1393" t="inlineStr">
        <is>
          <t>-</t>
        </is>
      </c>
      <c r="J980" s="1393" t="inlineStr">
        <is>
          <t>-</t>
        </is>
      </c>
      <c r="K980" s="1395">
        <f>IF(raw[[#This Row],[city]]&lt;&gt;"",_xlfn.XLOOKUP($D980,ccc[city],ccc[prov],"-"),"-")</f>
        <v/>
      </c>
      <c r="L980" s="1395">
        <f>IF(raw[[#This Row],[city]]&lt;&gt;"",_xlfn.XLOOKUP($D980,ccc[city],ccc[ctry],"-"),"-")</f>
        <v/>
      </c>
      <c r="M980" s="1395">
        <f>IF(raw[[#This Row],[city]]&lt;&gt;"",_xlfn.XLOOKUP($D980,ccc[city],ccc[cont],"-"),"-")</f>
        <v/>
      </c>
      <c r="N980" s="1396">
        <f>IF(raw[[#This Row],[city]]="","-",IF(raw[[#This Row],[cont]]="B",raw[[#This Row],[cont]],"W"))</f>
        <v/>
      </c>
      <c r="O980" s="1397">
        <f>IF(raw[[#This Row],[out]]=0,0,IF(raw[[#This Row],[out]]=raw[[#This Row],[in]],0.01,raw[[#This Row],[out]]-raw[[#This Row],[in]]))</f>
        <v/>
      </c>
      <c r="P980" s="1397">
        <f>IF(raw[[#This Row],[in]]=0,0,MONTH(raw[[#This Row],[in]]))</f>
        <v/>
      </c>
      <c r="Q980" s="1397">
        <f>IF(raw[[#This Row],[in]]=0,0,YEAR(raw[[#This Row],[in]]))</f>
        <v/>
      </c>
      <c r="R980" s="1397">
        <f>INT(raw[[#This Row],[yr]]/10)*10</f>
        <v/>
      </c>
      <c r="S980" s="1395">
        <f>IF(raw[[#This Row],[city]]="","-",IF(raw[[#This Row],[city]]&lt;&gt;_xlfn.XLOOKUP(raw[[#This Row],[home]],homes[home],homes[city],"-"),1,0))</f>
        <v/>
      </c>
      <c r="T980" s="1398" t="inlineStr">
        <is>
          <t>.</t>
        </is>
      </c>
      <c r="U980" s="1399">
        <f>IF(raw[[#This Row],[wb]]="w",raw[[#This Row],[stay]]+U979,U979)</f>
        <v/>
      </c>
      <c r="V980" s="1400">
        <f>IF(raw[[#This Row],[out]]=0,V979,(raw[[#This Row],[out]]-E$5))</f>
        <v/>
      </c>
      <c r="W980" s="1401">
        <f>U980/V980</f>
        <v/>
      </c>
      <c r="X980" s="1392" t="n"/>
      <c r="Y980" s="1392" t="n"/>
      <c r="Z980" s="1392" t="n"/>
      <c r="AA980" s="1392" t="n"/>
      <c r="AB980" s="1392" t="n"/>
      <c r="AC980" s="1392" t="n"/>
      <c r="AD980" s="1392" t="n"/>
      <c r="AE980" s="1392" t="n"/>
      <c r="AF980" s="1392" t="n"/>
      <c r="AG980" s="1392" t="n"/>
      <c r="AH980" s="1392" t="n"/>
      <c r="AI980" s="1392" t="n"/>
      <c r="AJ980" s="1392" t="n"/>
      <c r="AK980" s="1392" t="n"/>
      <c r="AL980" s="1392" t="n"/>
      <c r="AM980" s="1392" t="n"/>
      <c r="AN980" s="1392" t="n"/>
      <c r="AO980" s="1392" t="n"/>
      <c r="AP980" s="1392" t="n"/>
      <c r="AQ980" s="1392" t="n"/>
      <c r="AR980" s="1392" t="n"/>
      <c r="AS980" s="1422" t="n"/>
      <c r="AT980" s="1392" t="n"/>
      <c r="AU980" s="1392" t="n"/>
      <c r="AV980" s="1392" t="n"/>
      <c r="AW980" s="1392" t="n"/>
      <c r="AX980" s="1392" t="n"/>
      <c r="AY980" s="1392" t="n"/>
      <c r="AZ980" s="1392" t="n"/>
      <c r="BA980" s="1392" t="n"/>
      <c r="BB980" s="1422" t="n"/>
      <c r="BC980" s="1392" t="n"/>
      <c r="BD980" s="1392" t="n"/>
      <c r="BE980" s="1392" t="n"/>
      <c r="BF980" s="1392" t="n"/>
      <c r="BG980" s="1392" t="n"/>
      <c r="BH980" s="1392" t="n"/>
      <c r="BI980" s="1392" t="n"/>
      <c r="BJ980" s="1392" t="n"/>
      <c r="BK980" s="1392" t="n"/>
      <c r="BL980" s="1392" t="n"/>
      <c r="BM980" s="1392" t="n"/>
      <c r="BN980" s="1392" t="n"/>
      <c r="BO980" s="1392" t="n"/>
      <c r="BP980" s="1392" t="n"/>
      <c r="BQ980" s="1392" t="n"/>
      <c r="BR980" s="1392" t="n"/>
      <c r="BS980" s="1392" t="n"/>
      <c r="BT980" s="1392" t="n"/>
      <c r="BU980" s="1416" t="n"/>
      <c r="BV980" s="1392" t="n"/>
      <c r="BW980" s="1392" t="n"/>
      <c r="BX980" s="1392" t="n"/>
      <c r="BY980" s="1392" t="n"/>
      <c r="BZ980" s="1416" t="n"/>
      <c r="CA980" s="1392" t="n"/>
      <c r="CB980" s="1392" t="n"/>
      <c r="CC980" s="1392" t="n"/>
      <c r="CD980" s="1392" t="n"/>
      <c r="CE980" s="1392" t="n"/>
      <c r="CF980" s="1392" t="n"/>
      <c r="CG980" s="1392" t="n"/>
      <c r="CH980" s="1392" t="n"/>
      <c r="CI980" s="1392" t="n"/>
      <c r="CJ980" s="1392" t="n"/>
      <c r="CK980" s="1392" t="n"/>
      <c r="CL980" s="1392" t="n"/>
    </row>
    <row r="981">
      <c r="A981" s="5" t="inlineStr">
        <is>
          <t>.</t>
        </is>
      </c>
      <c r="B981" s="5" t="inlineStr">
        <is>
          <t>.</t>
        </is>
      </c>
      <c r="C981" s="1378">
        <f>IF(raw[[#This Row],[city]]="","-",IF(raw[[#This Row],[city]]="TODAY","-",C980+1))</f>
        <v/>
      </c>
      <c r="D981" s="1393" t="inlineStr">
        <is>
          <t>Rome</t>
        </is>
      </c>
      <c r="E981" s="1394" t="n">
        <v>38626</v>
      </c>
      <c r="F981" s="1394" t="n">
        <v>38633</v>
      </c>
      <c r="G981" s="1393" t="n">
        <v>1</v>
      </c>
      <c r="H981" s="1393" t="inlineStr">
        <is>
          <t>Fonteiana</t>
        </is>
      </c>
      <c r="I981" s="1393" t="inlineStr">
        <is>
          <t>-</t>
        </is>
      </c>
      <c r="J981" s="1393" t="inlineStr">
        <is>
          <t>-</t>
        </is>
      </c>
      <c r="K981" s="1395">
        <f>IF(raw[[#This Row],[city]]&lt;&gt;"",_xlfn.XLOOKUP($D981,ccc[city],ccc[prov],"-"),"-")</f>
        <v/>
      </c>
      <c r="L981" s="1395">
        <f>IF(raw[[#This Row],[city]]&lt;&gt;"",_xlfn.XLOOKUP($D981,ccc[city],ccc[ctry],"-"),"-")</f>
        <v/>
      </c>
      <c r="M981" s="1395">
        <f>IF(raw[[#This Row],[city]]&lt;&gt;"",_xlfn.XLOOKUP($D981,ccc[city],ccc[cont],"-"),"-")</f>
        <v/>
      </c>
      <c r="N981" s="1396">
        <f>IF(raw[[#This Row],[city]]="","-",IF(raw[[#This Row],[cont]]="B",raw[[#This Row],[cont]],"W"))</f>
        <v/>
      </c>
      <c r="O981" s="1397">
        <f>IF(raw[[#This Row],[out]]=0,0,IF(raw[[#This Row],[out]]=raw[[#This Row],[in]],0.01,raw[[#This Row],[out]]-raw[[#This Row],[in]]))</f>
        <v/>
      </c>
      <c r="P981" s="1397">
        <f>IF(raw[[#This Row],[in]]=0,0,MONTH(raw[[#This Row],[in]]))</f>
        <v/>
      </c>
      <c r="Q981" s="1397">
        <f>IF(raw[[#This Row],[in]]=0,0,YEAR(raw[[#This Row],[in]]))</f>
        <v/>
      </c>
      <c r="R981" s="1397">
        <f>INT(raw[[#This Row],[yr]]/10)*10</f>
        <v/>
      </c>
      <c r="S981" s="1395">
        <f>IF(raw[[#This Row],[city]]="","-",IF(raw[[#This Row],[city]]&lt;&gt;_xlfn.XLOOKUP(raw[[#This Row],[home]],homes[home],homes[city],"-"),1,0))</f>
        <v/>
      </c>
      <c r="T981" s="1398" t="inlineStr">
        <is>
          <t>.</t>
        </is>
      </c>
      <c r="U981" s="1399">
        <f>IF(raw[[#This Row],[wb]]="w",raw[[#This Row],[stay]]+U980,U980)</f>
        <v/>
      </c>
      <c r="V981" s="1400">
        <f>IF(raw[[#This Row],[out]]=0,V980,(raw[[#This Row],[out]]-E$5))</f>
        <v/>
      </c>
      <c r="W981" s="1401">
        <f>U981/V981</f>
        <v/>
      </c>
      <c r="X981" s="1392" t="n"/>
      <c r="Y981" s="1392" t="n"/>
      <c r="Z981" s="1392" t="n"/>
      <c r="AA981" s="1392" t="n"/>
      <c r="AB981" s="1392" t="n"/>
      <c r="AC981" s="1392" t="n"/>
      <c r="AD981" s="1392" t="n"/>
      <c r="AE981" s="1392" t="n"/>
      <c r="AF981" s="1392" t="n"/>
      <c r="AG981" s="1392" t="n"/>
      <c r="AH981" s="1392" t="n"/>
      <c r="AI981" s="1392" t="n"/>
      <c r="AJ981" s="1392" t="n"/>
      <c r="AK981" s="1392" t="n"/>
      <c r="AL981" s="1392" t="n"/>
      <c r="AM981" s="1392" t="n"/>
      <c r="AN981" s="1392" t="n"/>
      <c r="AO981" s="1392" t="n"/>
      <c r="AP981" s="1392" t="n"/>
      <c r="AQ981" s="1392" t="n"/>
      <c r="AR981" s="1392" t="n"/>
      <c r="AS981" s="1422" t="n"/>
      <c r="AT981" s="1392" t="n"/>
      <c r="AU981" s="1392" t="n"/>
      <c r="AV981" s="1392" t="n"/>
      <c r="AW981" s="1392" t="n"/>
      <c r="AX981" s="1392" t="n"/>
      <c r="AY981" s="1392" t="n"/>
      <c r="AZ981" s="1392" t="n"/>
      <c r="BA981" s="1392" t="n"/>
      <c r="BB981" s="1422" t="n"/>
      <c r="BC981" s="1392" t="n"/>
      <c r="BD981" s="1392" t="n"/>
      <c r="BE981" s="1392" t="n"/>
      <c r="BF981" s="1392" t="n"/>
      <c r="BG981" s="1392" t="n"/>
      <c r="BH981" s="1392" t="n"/>
      <c r="BI981" s="1392" t="n"/>
      <c r="BJ981" s="1392" t="n"/>
      <c r="BK981" s="1392" t="n"/>
      <c r="BL981" s="1392" t="n"/>
      <c r="BM981" s="1392" t="n"/>
      <c r="BN981" s="1392" t="n"/>
      <c r="BO981" s="1392" t="n"/>
      <c r="BP981" s="1392" t="n"/>
      <c r="BQ981" s="1392" t="n"/>
      <c r="BR981" s="1392" t="n"/>
      <c r="BS981" s="1392" t="n"/>
      <c r="BT981" s="1392" t="n"/>
      <c r="BU981" s="1416" t="n"/>
      <c r="BV981" s="1392" t="n"/>
      <c r="BW981" s="1392" t="n"/>
      <c r="BX981" s="1392" t="n"/>
      <c r="BY981" s="1392" t="n"/>
      <c r="BZ981" s="1416" t="n"/>
      <c r="CA981" s="1392" t="n"/>
      <c r="CB981" s="1392" t="n"/>
      <c r="CC981" s="1392" t="n"/>
      <c r="CD981" s="1392" t="n"/>
      <c r="CE981" s="1392" t="n"/>
      <c r="CF981" s="1392" t="n"/>
      <c r="CG981" s="1392" t="n"/>
      <c r="CH981" s="1392" t="n"/>
      <c r="CI981" s="1392" t="n"/>
      <c r="CJ981" s="1392" t="n"/>
      <c r="CK981" s="1392" t="n"/>
      <c r="CL981" s="1392" t="n"/>
    </row>
    <row r="982">
      <c r="A982" s="5" t="inlineStr">
        <is>
          <t>.</t>
        </is>
      </c>
      <c r="B982" s="5" t="inlineStr">
        <is>
          <t>.</t>
        </is>
      </c>
      <c r="C982" s="1378">
        <f>IF(raw[[#This Row],[city]]="","-",IF(raw[[#This Row],[city]]="TODAY","-",C981+1))</f>
        <v/>
      </c>
      <c r="D982" s="1393" t="inlineStr">
        <is>
          <t>London</t>
        </is>
      </c>
      <c r="E982" s="1394" t="n">
        <v>38633</v>
      </c>
      <c r="F982" s="1394" t="n">
        <v>38638</v>
      </c>
      <c r="G982" s="1393" t="n">
        <v>1</v>
      </c>
      <c r="H982" s="1393" t="inlineStr">
        <is>
          <t>Transit</t>
        </is>
      </c>
      <c r="I982" s="1393" t="inlineStr">
        <is>
          <t>David's</t>
        </is>
      </c>
      <c r="J982" s="1393" t="inlineStr">
        <is>
          <t>.</t>
        </is>
      </c>
      <c r="K982" s="1395">
        <f>IF(raw[[#This Row],[city]]&lt;&gt;"",_xlfn.XLOOKUP($D982,ccc[city],ccc[prov],"-"),"-")</f>
        <v/>
      </c>
      <c r="L982" s="1395">
        <f>IF(raw[[#This Row],[city]]&lt;&gt;"",_xlfn.XLOOKUP($D982,ccc[city],ccc[ctry],"-"),"-")</f>
        <v/>
      </c>
      <c r="M982" s="1395">
        <f>IF(raw[[#This Row],[city]]&lt;&gt;"",_xlfn.XLOOKUP($D982,ccc[city],ccc[cont],"-"),"-")</f>
        <v/>
      </c>
      <c r="N982" s="1396">
        <f>IF(raw[[#This Row],[city]]="","-",IF(raw[[#This Row],[cont]]="B",raw[[#This Row],[cont]],"W"))</f>
        <v/>
      </c>
      <c r="O982" s="1397">
        <f>IF(raw[[#This Row],[out]]=0,0,IF(raw[[#This Row],[out]]=raw[[#This Row],[in]],0.01,raw[[#This Row],[out]]-raw[[#This Row],[in]]))</f>
        <v/>
      </c>
      <c r="P982" s="1397">
        <f>IF(raw[[#This Row],[in]]=0,0,MONTH(raw[[#This Row],[in]]))</f>
        <v/>
      </c>
      <c r="Q982" s="1397">
        <f>IF(raw[[#This Row],[in]]=0,0,YEAR(raw[[#This Row],[in]]))</f>
        <v/>
      </c>
      <c r="R982" s="1397">
        <f>INT(raw[[#This Row],[yr]]/10)*10</f>
        <v/>
      </c>
      <c r="S982" s="1395">
        <f>IF(raw[[#This Row],[city]]="","-",IF(raw[[#This Row],[city]]&lt;&gt;_xlfn.XLOOKUP(raw[[#This Row],[home]],homes[home],homes[city],"-"),1,0))</f>
        <v/>
      </c>
      <c r="T982" s="1398" t="inlineStr">
        <is>
          <t>.</t>
        </is>
      </c>
      <c r="U982" s="1399">
        <f>IF(raw[[#This Row],[wb]]="w",raw[[#This Row],[stay]]+U981,U981)</f>
        <v/>
      </c>
      <c r="V982" s="1400">
        <f>IF(raw[[#This Row],[out]]=0,V981,(raw[[#This Row],[out]]-E$5))</f>
        <v/>
      </c>
      <c r="W982" s="1401">
        <f>U982/V982</f>
        <v/>
      </c>
      <c r="X982" s="1392" t="n"/>
      <c r="Y982" s="1392" t="n"/>
      <c r="Z982" s="1392" t="n"/>
      <c r="AA982" s="1392" t="n"/>
      <c r="AB982" s="1392" t="n"/>
      <c r="AC982" s="1392" t="n"/>
      <c r="AD982" s="1392" t="n"/>
      <c r="AE982" s="1392" t="n"/>
      <c r="AF982" s="1392" t="n"/>
      <c r="AG982" s="1392" t="n"/>
      <c r="AH982" s="1392" t="n"/>
      <c r="AI982" s="1392" t="n"/>
      <c r="AJ982" s="1392" t="n"/>
      <c r="AK982" s="1392" t="n"/>
      <c r="AL982" s="1392" t="n"/>
      <c r="AM982" s="1392" t="n"/>
      <c r="AN982" s="1392" t="n"/>
      <c r="AO982" s="1392" t="n"/>
      <c r="AP982" s="1392" t="n"/>
      <c r="AQ982" s="1392" t="n"/>
      <c r="AR982" s="1422" t="n"/>
      <c r="AS982" s="1422" t="n"/>
      <c r="AT982" s="1392" t="n"/>
      <c r="AU982" s="1392" t="n"/>
      <c r="AV982" s="1392" t="n"/>
      <c r="AW982" s="1392" t="n"/>
      <c r="AX982" s="1392" t="n"/>
      <c r="AY982" s="1392" t="n"/>
      <c r="AZ982" s="1392" t="n"/>
      <c r="BA982" s="1422" t="n"/>
      <c r="BB982" s="1422" t="n"/>
      <c r="BC982" s="1392" t="n"/>
      <c r="BD982" s="1392" t="n"/>
      <c r="BE982" s="1392" t="n"/>
      <c r="BF982" s="1392" t="n"/>
      <c r="BG982" s="1392" t="n"/>
      <c r="BH982" s="1392" t="n"/>
      <c r="BI982" s="1392" t="n"/>
      <c r="BJ982" s="1392" t="n"/>
      <c r="BK982" s="1392" t="n"/>
      <c r="BL982" s="1392" t="n"/>
      <c r="BM982" s="1392" t="n"/>
      <c r="BN982" s="1392" t="n"/>
      <c r="BO982" s="1392" t="n"/>
      <c r="BP982" s="1392" t="n"/>
      <c r="BQ982" s="1392" t="n"/>
      <c r="BR982" s="1392" t="n"/>
      <c r="BS982" s="1392" t="n"/>
      <c r="BT982" s="1392" t="n"/>
      <c r="BU982" s="1392" t="n"/>
      <c r="BV982" s="1392" t="n"/>
      <c r="BW982" s="1392" t="n"/>
      <c r="BX982" s="1392" t="n"/>
      <c r="BY982" s="1392" t="n"/>
      <c r="BZ982" s="1392" t="n"/>
      <c r="CA982" s="1392" t="n"/>
      <c r="CB982" s="1392" t="n"/>
      <c r="CC982" s="1392" t="n"/>
      <c r="CD982" s="1392" t="n"/>
      <c r="CE982" s="1392" t="n"/>
      <c r="CF982" s="1392" t="n"/>
      <c r="CG982" s="1392" t="n"/>
      <c r="CH982" s="1392" t="n"/>
      <c r="CI982" s="1392" t="n"/>
      <c r="CJ982" s="1392" t="n"/>
      <c r="CK982" s="1392" t="n"/>
      <c r="CL982" s="1392" t="n"/>
    </row>
    <row r="983">
      <c r="A983" s="5" t="inlineStr">
        <is>
          <t>.</t>
        </is>
      </c>
      <c r="B983" s="5" t="inlineStr">
        <is>
          <t>.</t>
        </is>
      </c>
      <c r="C983" s="1378">
        <f>IF(raw[[#This Row],[city]]="","-",IF(raw[[#This Row],[city]]="TODAY","-",C982+1))</f>
        <v/>
      </c>
      <c r="D983" s="1393" t="inlineStr">
        <is>
          <t>Lisbon</t>
        </is>
      </c>
      <c r="E983" s="1394" t="n">
        <v>38638</v>
      </c>
      <c r="F983" s="1394" t="n">
        <v>38638</v>
      </c>
      <c r="G983" s="1393" t="n">
        <v>0.01</v>
      </c>
      <c r="H983" s="1393" t="inlineStr">
        <is>
          <t>Transit</t>
        </is>
      </c>
      <c r="I983" s="1393" t="inlineStr">
        <is>
          <t>-</t>
        </is>
      </c>
      <c r="J983" s="1393" t="inlineStr">
        <is>
          <t>-</t>
        </is>
      </c>
      <c r="K983" s="1395">
        <f>IF(raw[[#This Row],[city]]&lt;&gt;"",_xlfn.XLOOKUP($D983,ccc[city],ccc[prov],"-"),"-")</f>
        <v/>
      </c>
      <c r="L983" s="1395">
        <f>IF(raw[[#This Row],[city]]&lt;&gt;"",_xlfn.XLOOKUP($D983,ccc[city],ccc[ctry],"-"),"-")</f>
        <v/>
      </c>
      <c r="M983" s="1395">
        <f>IF(raw[[#This Row],[city]]&lt;&gt;"",_xlfn.XLOOKUP($D983,ccc[city],ccc[cont],"-"),"-")</f>
        <v/>
      </c>
      <c r="N983" s="1396">
        <f>IF(raw[[#This Row],[city]]="","-",IF(raw[[#This Row],[cont]]="B",raw[[#This Row],[cont]],"W"))</f>
        <v/>
      </c>
      <c r="O983" s="1397">
        <f>IF(raw[[#This Row],[out]]=0,0,IF(raw[[#This Row],[out]]=raw[[#This Row],[in]],0.01,raw[[#This Row],[out]]-raw[[#This Row],[in]]))</f>
        <v/>
      </c>
      <c r="P983" s="1397">
        <f>IF(raw[[#This Row],[in]]=0,0,MONTH(raw[[#This Row],[in]]))</f>
        <v/>
      </c>
      <c r="Q983" s="1397">
        <f>IF(raw[[#This Row],[in]]=0,0,YEAR(raw[[#This Row],[in]]))</f>
        <v/>
      </c>
      <c r="R983" s="1397">
        <f>INT(raw[[#This Row],[yr]]/10)*10</f>
        <v/>
      </c>
      <c r="S983" s="1395">
        <f>IF(raw[[#This Row],[city]]="","-",IF(raw[[#This Row],[city]]&lt;&gt;_xlfn.XLOOKUP(raw[[#This Row],[home]],homes[home],homes[city],"-"),1,0))</f>
        <v/>
      </c>
      <c r="T983" s="1398" t="inlineStr">
        <is>
          <t>.</t>
        </is>
      </c>
      <c r="U983" s="1399">
        <f>IF(raw[[#This Row],[wb]]="w",raw[[#This Row],[stay]]+U982,U982)</f>
        <v/>
      </c>
      <c r="V983" s="1400">
        <f>IF(raw[[#This Row],[out]]=0,V982,(raw[[#This Row],[out]]-E$5))</f>
        <v/>
      </c>
      <c r="W983" s="1401">
        <f>U983/V983</f>
        <v/>
      </c>
      <c r="X983" s="1392" t="n"/>
      <c r="Y983" s="1392" t="n"/>
      <c r="Z983" s="1392" t="n"/>
      <c r="AA983" s="1392" t="n"/>
      <c r="AB983" s="1392" t="n"/>
      <c r="AC983" s="1392" t="n"/>
      <c r="AD983" s="1392" t="n"/>
      <c r="AE983" s="1392" t="n"/>
      <c r="AF983" s="1392" t="n"/>
      <c r="AG983" s="1392" t="n"/>
      <c r="AH983" s="1392" t="n"/>
      <c r="AI983" s="1392" t="n"/>
      <c r="AJ983" s="1392" t="n"/>
      <c r="AK983" s="1392" t="n"/>
      <c r="AL983" s="1392" t="n"/>
      <c r="AM983" s="1392" t="n"/>
      <c r="AN983" s="1392" t="n"/>
      <c r="AO983" s="1392" t="n"/>
      <c r="AP983" s="1392" t="n"/>
      <c r="AQ983" s="1392" t="n"/>
      <c r="AR983" s="1422" t="n"/>
      <c r="AS983" s="1422" t="n"/>
      <c r="AT983" s="1392" t="n"/>
      <c r="AU983" s="1392" t="n"/>
      <c r="AV983" s="1392" t="n"/>
      <c r="AW983" s="1392" t="n"/>
      <c r="AX983" s="1392" t="n"/>
      <c r="AY983" s="1392" t="n"/>
      <c r="AZ983" s="1392" t="n"/>
      <c r="BA983" s="1422" t="n"/>
      <c r="BB983" s="1422" t="n"/>
      <c r="BC983" s="1392" t="n"/>
      <c r="BD983" s="1392" t="n"/>
      <c r="BE983" s="1392" t="n"/>
      <c r="BF983" s="1392" t="n"/>
      <c r="BG983" s="1392" t="n"/>
      <c r="BH983" s="1392" t="n"/>
      <c r="BI983" s="1392" t="n"/>
      <c r="BJ983" s="1392" t="n"/>
      <c r="BK983" s="1392" t="n"/>
      <c r="BL983" s="1392" t="n"/>
      <c r="BM983" s="1392" t="n"/>
      <c r="BN983" s="1392" t="n"/>
      <c r="BO983" s="1392" t="n"/>
      <c r="BP983" s="1392" t="n"/>
      <c r="BQ983" s="1392" t="n"/>
      <c r="BR983" s="1392" t="n"/>
      <c r="BS983" s="1392" t="n"/>
      <c r="BT983" s="1392" t="n"/>
      <c r="BU983" s="1392" t="n"/>
      <c r="BV983" s="1392" t="n"/>
      <c r="BW983" s="1392" t="n"/>
      <c r="BX983" s="1392" t="n"/>
      <c r="BY983" s="1392" t="n"/>
      <c r="BZ983" s="1392" t="n"/>
      <c r="CA983" s="1392" t="n"/>
      <c r="CB983" s="1392" t="n"/>
      <c r="CC983" s="1392" t="n"/>
      <c r="CD983" s="1392" t="n"/>
      <c r="CE983" s="1392" t="n"/>
      <c r="CF983" s="1392" t="n"/>
      <c r="CG983" s="1392" t="n"/>
      <c r="CH983" s="1392" t="n"/>
      <c r="CI983" s="1392" t="n"/>
      <c r="CJ983" s="1392" t="n"/>
      <c r="CK983" s="1392" t="n"/>
      <c r="CL983" s="1392" t="n"/>
    </row>
    <row r="984">
      <c r="A984" s="5" t="inlineStr">
        <is>
          <t>.</t>
        </is>
      </c>
      <c r="B984" s="5" t="inlineStr">
        <is>
          <t>.</t>
        </is>
      </c>
      <c r="C984" s="1378">
        <f>IF(raw[[#This Row],[city]]="","-",IF(raw[[#This Row],[city]]="TODAY","-",C983+1))</f>
        <v/>
      </c>
      <c r="D984" s="1393" t="inlineStr">
        <is>
          <t>SSA</t>
        </is>
      </c>
      <c r="E984" s="1394" t="n">
        <v>38638</v>
      </c>
      <c r="F984" s="1394" t="n">
        <v>38657</v>
      </c>
      <c r="G984" s="1393" t="inlineStr">
        <is>
          <t>-</t>
        </is>
      </c>
      <c r="H984" s="1393" t="inlineStr">
        <is>
          <t>Ondina</t>
        </is>
      </c>
      <c r="I984" s="1393" t="inlineStr">
        <is>
          <t>-</t>
        </is>
      </c>
      <c r="J984" s="1393" t="inlineStr">
        <is>
          <t>-</t>
        </is>
      </c>
      <c r="K984" s="1395">
        <f>IF(raw[[#This Row],[city]]&lt;&gt;"",_xlfn.XLOOKUP($D984,ccc[city],ccc[prov],"-"),"-")</f>
        <v/>
      </c>
      <c r="L984" s="1395">
        <f>IF(raw[[#This Row],[city]]&lt;&gt;"",_xlfn.XLOOKUP($D984,ccc[city],ccc[ctry],"-"),"-")</f>
        <v/>
      </c>
      <c r="M984" s="1395">
        <f>IF(raw[[#This Row],[city]]&lt;&gt;"",_xlfn.XLOOKUP($D984,ccc[city],ccc[cont],"-"),"-")</f>
        <v/>
      </c>
      <c r="N984" s="1396">
        <f>IF(raw[[#This Row],[city]]="","-",IF(raw[[#This Row],[cont]]="B",raw[[#This Row],[cont]],"W"))</f>
        <v/>
      </c>
      <c r="O984" s="1397">
        <f>IF(raw[[#This Row],[out]]=0,0,IF(raw[[#This Row],[out]]=raw[[#This Row],[in]],0.01,raw[[#This Row],[out]]-raw[[#This Row],[in]]))</f>
        <v/>
      </c>
      <c r="P984" s="1397">
        <f>IF(raw[[#This Row],[in]]=0,0,MONTH(raw[[#This Row],[in]]))</f>
        <v/>
      </c>
      <c r="Q984" s="1397">
        <f>IF(raw[[#This Row],[in]]=0,0,YEAR(raw[[#This Row],[in]]))</f>
        <v/>
      </c>
      <c r="R984" s="1397">
        <f>INT(raw[[#This Row],[yr]]/10)*10</f>
        <v/>
      </c>
      <c r="S984" s="1395">
        <f>IF(raw[[#This Row],[city]]="","-",IF(raw[[#This Row],[city]]&lt;&gt;_xlfn.XLOOKUP(raw[[#This Row],[home]],homes[home],homes[city],"-"),1,0))</f>
        <v/>
      </c>
      <c r="T984" s="1398" t="inlineStr">
        <is>
          <t>.</t>
        </is>
      </c>
      <c r="U984" s="1399">
        <f>IF(raw[[#This Row],[wb]]="w",raw[[#This Row],[stay]]+U983,U983)</f>
        <v/>
      </c>
      <c r="V984" s="1400">
        <f>IF(raw[[#This Row],[out]]=0,V983,(raw[[#This Row],[out]]-E$5))</f>
        <v/>
      </c>
      <c r="W984" s="1401">
        <f>U984/V984</f>
        <v/>
      </c>
      <c r="X984" s="1392" t="n"/>
      <c r="Y984" s="1392" t="n"/>
      <c r="Z984" s="1392" t="n"/>
      <c r="AA984" s="1392" t="n"/>
      <c r="AB984" s="1392" t="n"/>
      <c r="AC984" s="1392" t="n"/>
      <c r="AD984" s="1392" t="n"/>
      <c r="AE984" s="1392" t="n"/>
      <c r="AF984" s="1392" t="n"/>
      <c r="AG984" s="1392" t="n"/>
      <c r="AH984" s="1392" t="n"/>
      <c r="AI984" s="1392" t="n"/>
      <c r="AJ984" s="1392" t="n"/>
      <c r="AK984" s="1392" t="n"/>
      <c r="AL984" s="1392" t="n"/>
      <c r="AM984" s="1392" t="n"/>
      <c r="AN984" s="1392" t="n"/>
      <c r="AO984" s="1392" t="n"/>
      <c r="AP984" s="1392" t="n"/>
      <c r="AQ984" s="1392" t="n"/>
      <c r="AR984" s="1422" t="n"/>
      <c r="AS984" s="1422" t="n"/>
      <c r="AT984" s="1392" t="n"/>
      <c r="AU984" s="1392" t="n"/>
      <c r="AV984" s="1392" t="n"/>
      <c r="AW984" s="1392" t="n"/>
      <c r="AX984" s="1392" t="n"/>
      <c r="AY984" s="1392" t="n"/>
      <c r="AZ984" s="1392" t="n"/>
      <c r="BA984" s="1422" t="n"/>
      <c r="BB984" s="1422" t="n"/>
      <c r="BC984" s="1392" t="n"/>
      <c r="BD984" s="1392" t="n"/>
      <c r="BE984" s="1392" t="n"/>
      <c r="BF984" s="1392" t="n"/>
      <c r="BG984" s="1392" t="n"/>
      <c r="BH984" s="1392" t="n"/>
      <c r="BI984" s="1392" t="n"/>
      <c r="BJ984" s="1392" t="n"/>
      <c r="BK984" s="1392" t="n"/>
      <c r="BL984" s="1392" t="n"/>
      <c r="BM984" s="1392" t="n"/>
      <c r="BN984" s="1392" t="n"/>
      <c r="BO984" s="1392" t="n"/>
      <c r="BP984" s="1392" t="n"/>
      <c r="BQ984" s="1392" t="n"/>
      <c r="BR984" s="1392" t="n"/>
      <c r="BS984" s="1392" t="n"/>
      <c r="BT984" s="1392" t="n"/>
      <c r="BU984" s="1392" t="n"/>
      <c r="BV984" s="1392" t="n"/>
      <c r="BW984" s="1392" t="n"/>
      <c r="BX984" s="1392" t="n"/>
      <c r="BY984" s="1392" t="n"/>
      <c r="BZ984" s="1392" t="n"/>
      <c r="CA984" s="1392" t="n"/>
      <c r="CB984" s="1392" t="n"/>
      <c r="CC984" s="1392" t="n"/>
      <c r="CD984" s="1392" t="n"/>
      <c r="CE984" s="1392" t="n"/>
      <c r="CF984" s="1392" t="n"/>
      <c r="CG984" s="1392" t="n"/>
      <c r="CH984" s="1392" t="n"/>
      <c r="CI984" s="1392" t="n"/>
      <c r="CJ984" s="1392" t="n"/>
      <c r="CK984" s="1392" t="n"/>
      <c r="CL984" s="1392" t="n"/>
    </row>
    <row r="985">
      <c r="A985" s="5" t="inlineStr">
        <is>
          <t>.</t>
        </is>
      </c>
      <c r="B985" s="5" t="inlineStr">
        <is>
          <t>.</t>
        </is>
      </c>
      <c r="C985" s="1378">
        <f>IF(raw[[#This Row],[city]]="","-",IF(raw[[#This Row],[city]]="TODAY","-",C984+1))</f>
        <v/>
      </c>
      <c r="D985" s="1393" t="inlineStr">
        <is>
          <t>SSA</t>
        </is>
      </c>
      <c r="E985" s="1394" t="n">
        <v>38657</v>
      </c>
      <c r="F985" s="1394" t="n">
        <v>38664</v>
      </c>
      <c r="G985" s="1393" t="n">
        <v>1</v>
      </c>
      <c r="H985" s="1393" t="inlineStr">
        <is>
          <t>Ondina</t>
        </is>
      </c>
      <c r="I985" s="1393" t="inlineStr">
        <is>
          <t>-</t>
        </is>
      </c>
      <c r="J985" s="1393" t="inlineStr">
        <is>
          <t>-</t>
        </is>
      </c>
      <c r="K985" s="1395">
        <f>IF(raw[[#This Row],[city]]&lt;&gt;"",_xlfn.XLOOKUP($D985,ccc[city],ccc[prov],"-"),"-")</f>
        <v/>
      </c>
      <c r="L985" s="1395">
        <f>IF(raw[[#This Row],[city]]&lt;&gt;"",_xlfn.XLOOKUP($D985,ccc[city],ccc[ctry],"-"),"-")</f>
        <v/>
      </c>
      <c r="M985" s="1395">
        <f>IF(raw[[#This Row],[city]]&lt;&gt;"",_xlfn.XLOOKUP($D985,ccc[city],ccc[cont],"-"),"-")</f>
        <v/>
      </c>
      <c r="N985" s="1396">
        <f>IF(raw[[#This Row],[city]]="","-",IF(raw[[#This Row],[cont]]="B",raw[[#This Row],[cont]],"W"))</f>
        <v/>
      </c>
      <c r="O985" s="1397">
        <f>IF(raw[[#This Row],[out]]=0,0,IF(raw[[#This Row],[out]]=raw[[#This Row],[in]],0.01,raw[[#This Row],[out]]-raw[[#This Row],[in]]))</f>
        <v/>
      </c>
      <c r="P985" s="1397">
        <f>IF(raw[[#This Row],[in]]=0,0,MONTH(raw[[#This Row],[in]]))</f>
        <v/>
      </c>
      <c r="Q985" s="1397">
        <f>IF(raw[[#This Row],[in]]=0,0,YEAR(raw[[#This Row],[in]]))</f>
        <v/>
      </c>
      <c r="R985" s="1397">
        <f>INT(raw[[#This Row],[yr]]/10)*10</f>
        <v/>
      </c>
      <c r="S985" s="1395">
        <f>IF(raw[[#This Row],[city]]="","-",IF(raw[[#This Row],[city]]&lt;&gt;_xlfn.XLOOKUP(raw[[#This Row],[home]],homes[home],homes[city],"-"),1,0))</f>
        <v/>
      </c>
      <c r="T985" s="1398" t="inlineStr">
        <is>
          <t>.</t>
        </is>
      </c>
      <c r="U985" s="1399">
        <f>IF(raw[[#This Row],[wb]]="w",raw[[#This Row],[stay]]+U984,U984)</f>
        <v/>
      </c>
      <c r="V985" s="1400">
        <f>IF(raw[[#This Row],[out]]=0,V984,(raw[[#This Row],[out]]-E$5))</f>
        <v/>
      </c>
      <c r="W985" s="1401">
        <f>U985/V985</f>
        <v/>
      </c>
      <c r="X985" s="1392" t="n"/>
      <c r="Y985" s="1392" t="n"/>
      <c r="Z985" s="1392" t="n"/>
      <c r="AA985" s="1392" t="n"/>
      <c r="AB985" s="1392" t="n"/>
      <c r="AC985" s="1392" t="n"/>
      <c r="AD985" s="1392" t="n"/>
      <c r="AE985" s="1392" t="n"/>
      <c r="AF985" s="1392" t="n"/>
      <c r="AG985" s="1392" t="n"/>
      <c r="AH985" s="1392" t="n"/>
      <c r="AI985" s="1392" t="n"/>
      <c r="AJ985" s="1392" t="n"/>
      <c r="AK985" s="1392" t="n"/>
      <c r="AL985" s="1392" t="n"/>
      <c r="AM985" s="1392" t="n"/>
      <c r="AN985" s="1392" t="n"/>
      <c r="AO985" s="1392" t="n"/>
      <c r="AP985" s="1392" t="n"/>
      <c r="AQ985" s="1392" t="n"/>
      <c r="AR985" s="1422" t="n"/>
      <c r="AS985" s="1422" t="n"/>
      <c r="AT985" s="1392" t="n"/>
      <c r="AU985" s="1392" t="n"/>
      <c r="AV985" s="1392" t="n"/>
      <c r="AW985" s="1392" t="n"/>
      <c r="AX985" s="1392" t="n"/>
      <c r="AY985" s="1392" t="n"/>
      <c r="AZ985" s="1392" t="n"/>
      <c r="BA985" s="1422" t="n"/>
      <c r="BB985" s="1422" t="n"/>
      <c r="BC985" s="1392" t="n"/>
      <c r="BD985" s="1392" t="n"/>
      <c r="BE985" s="1392" t="n"/>
      <c r="BF985" s="1392" t="n"/>
      <c r="BG985" s="1392" t="n"/>
      <c r="BH985" s="1392" t="n"/>
      <c r="BI985" s="1392" t="n"/>
      <c r="BJ985" s="1392" t="n"/>
      <c r="BK985" s="1392" t="n"/>
      <c r="BL985" s="1392" t="n"/>
      <c r="BM985" s="1392" t="n"/>
      <c r="BN985" s="1392" t="n"/>
      <c r="BO985" s="1392" t="n"/>
      <c r="BP985" s="1392" t="n"/>
      <c r="BQ985" s="1392" t="n"/>
      <c r="BR985" s="1392" t="n"/>
      <c r="BS985" s="1392" t="n"/>
      <c r="BT985" s="1392" t="n"/>
      <c r="BU985" s="1392" t="n"/>
      <c r="BV985" s="1392" t="n"/>
      <c r="BW985" s="1392" t="n"/>
      <c r="BX985" s="1392" t="n"/>
      <c r="BY985" s="1392" t="n"/>
      <c r="BZ985" s="1392" t="n"/>
      <c r="CA985" s="1392" t="n"/>
      <c r="CB985" s="1392" t="n"/>
      <c r="CC985" s="1392" t="n"/>
      <c r="CD985" s="1392" t="n"/>
      <c r="CE985" s="1392" t="n"/>
      <c r="CF985" s="1392" t="n"/>
      <c r="CG985" s="1392" t="n"/>
      <c r="CH985" s="1392" t="n"/>
      <c r="CI985" s="1392" t="n"/>
      <c r="CJ985" s="1392" t="n"/>
      <c r="CK985" s="1392" t="n"/>
      <c r="CL985" s="1392" t="n"/>
    </row>
    <row r="986">
      <c r="A986" s="5" t="inlineStr">
        <is>
          <t>.</t>
        </is>
      </c>
      <c r="B986" s="5" t="inlineStr">
        <is>
          <t>.</t>
        </is>
      </c>
      <c r="C986" s="1378">
        <f>IF(raw[[#This Row],[city]]="","-",IF(raw[[#This Row],[city]]="TODAY","-",C985+1))</f>
        <v/>
      </c>
      <c r="D986" s="1393" t="inlineStr">
        <is>
          <t>SP</t>
        </is>
      </c>
      <c r="E986" s="1394" t="n">
        <v>38664</v>
      </c>
      <c r="F986" s="1394" t="n">
        <v>38687</v>
      </c>
      <c r="G986" s="1393" t="inlineStr">
        <is>
          <t>-</t>
        </is>
      </c>
      <c r="H986" s="1393" t="inlineStr">
        <is>
          <t>Ondina</t>
        </is>
      </c>
      <c r="I986" s="1393" t="inlineStr">
        <is>
          <t>Bado/Morumbi</t>
        </is>
      </c>
      <c r="J986" s="1393" t="inlineStr">
        <is>
          <t>-</t>
        </is>
      </c>
      <c r="K986" s="1395">
        <f>IF(raw[[#This Row],[city]]&lt;&gt;"",_xlfn.XLOOKUP($D986,ccc[city],ccc[prov],"-"),"-")</f>
        <v/>
      </c>
      <c r="L986" s="1395">
        <f>IF(raw[[#This Row],[city]]&lt;&gt;"",_xlfn.XLOOKUP($D986,ccc[city],ccc[ctry],"-"),"-")</f>
        <v/>
      </c>
      <c r="M986" s="1395">
        <f>IF(raw[[#This Row],[city]]&lt;&gt;"",_xlfn.XLOOKUP($D986,ccc[city],ccc[cont],"-"),"-")</f>
        <v/>
      </c>
      <c r="N986" s="1396">
        <f>IF(raw[[#This Row],[city]]="","-",IF(raw[[#This Row],[cont]]="B",raw[[#This Row],[cont]],"W"))</f>
        <v/>
      </c>
      <c r="O986" s="1397">
        <f>IF(raw[[#This Row],[out]]=0,0,IF(raw[[#This Row],[out]]=raw[[#This Row],[in]],0.01,raw[[#This Row],[out]]-raw[[#This Row],[in]]))</f>
        <v/>
      </c>
      <c r="P986" s="1397">
        <f>IF(raw[[#This Row],[in]]=0,0,MONTH(raw[[#This Row],[in]]))</f>
        <v/>
      </c>
      <c r="Q986" s="1397">
        <f>IF(raw[[#This Row],[in]]=0,0,YEAR(raw[[#This Row],[in]]))</f>
        <v/>
      </c>
      <c r="R986" s="1397">
        <f>INT(raw[[#This Row],[yr]]/10)*10</f>
        <v/>
      </c>
      <c r="S986" s="1395">
        <f>IF(raw[[#This Row],[city]]="","-",IF(raw[[#This Row],[city]]&lt;&gt;_xlfn.XLOOKUP(raw[[#This Row],[home]],homes[home],homes[city],"-"),1,0))</f>
        <v/>
      </c>
      <c r="T986" s="1398" t="inlineStr">
        <is>
          <t>.</t>
        </is>
      </c>
      <c r="U986" s="1399">
        <f>IF(raw[[#This Row],[wb]]="w",raw[[#This Row],[stay]]+U985,U985)</f>
        <v/>
      </c>
      <c r="V986" s="1400">
        <f>IF(raw[[#This Row],[out]]=0,V985,(raw[[#This Row],[out]]-E$5))</f>
        <v/>
      </c>
      <c r="W986" s="1401">
        <f>U986/V986</f>
        <v/>
      </c>
      <c r="X986" s="1392" t="n"/>
      <c r="Y986" s="1392" t="n"/>
      <c r="Z986" s="1392" t="n"/>
      <c r="AA986" s="1392" t="n"/>
      <c r="AB986" s="1392" t="n"/>
      <c r="AC986" s="1392" t="n"/>
      <c r="AD986" s="1392" t="n"/>
      <c r="AE986" s="1392" t="n"/>
      <c r="AF986" s="1392" t="n"/>
      <c r="AG986" s="1392" t="n"/>
      <c r="AH986" s="1392" t="n"/>
      <c r="AI986" s="1392" t="n"/>
      <c r="AJ986" s="1392" t="n"/>
      <c r="AK986" s="1392" t="n"/>
      <c r="AL986" s="1392" t="n"/>
      <c r="AM986" s="1392" t="n"/>
      <c r="AN986" s="1392" t="n"/>
      <c r="AO986" s="1392" t="n"/>
      <c r="AP986" s="1392" t="n"/>
      <c r="AQ986" s="1392" t="n"/>
      <c r="AR986" s="1422" t="n"/>
      <c r="AS986" s="1422" t="n"/>
      <c r="AT986" s="1392" t="n"/>
      <c r="AU986" s="1392" t="n"/>
      <c r="AV986" s="1392" t="n"/>
      <c r="AW986" s="1392" t="n"/>
      <c r="AX986" s="1392" t="n"/>
      <c r="AY986" s="1392" t="n"/>
      <c r="AZ986" s="1392" t="n"/>
      <c r="BA986" s="1422" t="n"/>
      <c r="BB986" s="1422" t="n"/>
      <c r="BC986" s="1392" t="n"/>
      <c r="BD986" s="1392" t="n"/>
      <c r="BE986" s="1392" t="n"/>
      <c r="BF986" s="1392" t="n"/>
      <c r="BG986" s="1392" t="n"/>
      <c r="BH986" s="1392" t="n"/>
      <c r="BI986" s="1392" t="n"/>
      <c r="BJ986" s="1392" t="n"/>
      <c r="BK986" s="1392" t="n"/>
      <c r="BL986" s="1392" t="n"/>
      <c r="BM986" s="1392" t="n"/>
      <c r="BN986" s="1392" t="n"/>
      <c r="BO986" s="1392" t="n"/>
      <c r="BP986" s="1392" t="n"/>
      <c r="BQ986" s="1392" t="n"/>
      <c r="BR986" s="1392" t="n"/>
      <c r="BS986" s="1392" t="n"/>
      <c r="BT986" s="1392" t="n"/>
      <c r="BU986" s="1392" t="n"/>
      <c r="BV986" s="1392" t="n"/>
      <c r="BW986" s="1392" t="n"/>
      <c r="BX986" s="1392" t="n"/>
      <c r="BY986" s="1392" t="n"/>
      <c r="BZ986" s="1392" t="n"/>
      <c r="CA986" s="1392" t="n"/>
      <c r="CB986" s="1392" t="n"/>
      <c r="CC986" s="1392" t="n"/>
      <c r="CD986" s="1392" t="n"/>
      <c r="CE986" s="1392" t="n"/>
      <c r="CF986" s="1392" t="n"/>
      <c r="CG986" s="1392" t="n"/>
      <c r="CH986" s="1392" t="n"/>
      <c r="CI986" s="1392" t="n"/>
      <c r="CJ986" s="1392" t="n"/>
      <c r="CK986" s="1392" t="n"/>
      <c r="CL986" s="1392" t="n"/>
    </row>
    <row r="987">
      <c r="A987" s="5" t="inlineStr">
        <is>
          <t>.</t>
        </is>
      </c>
      <c r="B987" s="5" t="inlineStr">
        <is>
          <t>.</t>
        </is>
      </c>
      <c r="C987" s="1378">
        <f>IF(raw[[#This Row],[city]]="","-",IF(raw[[#This Row],[city]]="TODAY","-",C986+1))</f>
        <v/>
      </c>
      <c r="D987" s="1393" t="inlineStr">
        <is>
          <t>SP</t>
        </is>
      </c>
      <c r="E987" s="1394" t="n">
        <v>38687</v>
      </c>
      <c r="F987" s="1394" t="n">
        <v>38691</v>
      </c>
      <c r="G987" s="1393" t="n">
        <v>1</v>
      </c>
      <c r="H987" s="1393" t="inlineStr">
        <is>
          <t>Ondina</t>
        </is>
      </c>
      <c r="I987" s="1393" t="inlineStr">
        <is>
          <t>Bado/Morumbi</t>
        </is>
      </c>
      <c r="J987" s="1393" t="inlineStr">
        <is>
          <t>-</t>
        </is>
      </c>
      <c r="K987" s="1395">
        <f>IF(raw[[#This Row],[city]]&lt;&gt;"",_xlfn.XLOOKUP($D987,ccc[city],ccc[prov],"-"),"-")</f>
        <v/>
      </c>
      <c r="L987" s="1395">
        <f>IF(raw[[#This Row],[city]]&lt;&gt;"",_xlfn.XLOOKUP($D987,ccc[city],ccc[ctry],"-"),"-")</f>
        <v/>
      </c>
      <c r="M987" s="1395">
        <f>IF(raw[[#This Row],[city]]&lt;&gt;"",_xlfn.XLOOKUP($D987,ccc[city],ccc[cont],"-"),"-")</f>
        <v/>
      </c>
      <c r="N987" s="1396">
        <f>IF(raw[[#This Row],[city]]="","-",IF(raw[[#This Row],[cont]]="B",raw[[#This Row],[cont]],"W"))</f>
        <v/>
      </c>
      <c r="O987" s="1397">
        <f>IF(raw[[#This Row],[out]]=0,0,IF(raw[[#This Row],[out]]=raw[[#This Row],[in]],0.01,raw[[#This Row],[out]]-raw[[#This Row],[in]]))</f>
        <v/>
      </c>
      <c r="P987" s="1397">
        <f>IF(raw[[#This Row],[in]]=0,0,MONTH(raw[[#This Row],[in]]))</f>
        <v/>
      </c>
      <c r="Q987" s="1397">
        <f>IF(raw[[#This Row],[in]]=0,0,YEAR(raw[[#This Row],[in]]))</f>
        <v/>
      </c>
      <c r="R987" s="1397">
        <f>INT(raw[[#This Row],[yr]]/10)*10</f>
        <v/>
      </c>
      <c r="S987" s="1395">
        <f>IF(raw[[#This Row],[city]]="","-",IF(raw[[#This Row],[city]]&lt;&gt;_xlfn.XLOOKUP(raw[[#This Row],[home]],homes[home],homes[city],"-"),1,0))</f>
        <v/>
      </c>
      <c r="T987" s="1398" t="inlineStr">
        <is>
          <t>.</t>
        </is>
      </c>
      <c r="U987" s="1399">
        <f>IF(raw[[#This Row],[wb]]="w",raw[[#This Row],[stay]]+U986,U986)</f>
        <v/>
      </c>
      <c r="V987" s="1400">
        <f>IF(raw[[#This Row],[out]]=0,V986,(raw[[#This Row],[out]]-E$5))</f>
        <v/>
      </c>
      <c r="W987" s="1401">
        <f>U987/V987</f>
        <v/>
      </c>
      <c r="X987" s="1392" t="n"/>
      <c r="Y987" s="1392" t="n"/>
      <c r="Z987" s="1392" t="n"/>
      <c r="AA987" s="1392" t="n"/>
      <c r="AB987" s="1392" t="n"/>
      <c r="AC987" s="1392" t="n"/>
      <c r="AD987" s="1392" t="n"/>
      <c r="AE987" s="1392" t="n"/>
      <c r="AF987" s="1392" t="n"/>
      <c r="AG987" s="1392" t="n"/>
      <c r="AH987" s="1392" t="n"/>
      <c r="AI987" s="1392" t="n"/>
      <c r="AJ987" s="1392" t="n"/>
      <c r="AK987" s="1392" t="n"/>
      <c r="AL987" s="1392" t="n"/>
      <c r="AM987" s="1392" t="n"/>
      <c r="AN987" s="1392" t="n"/>
      <c r="AO987" s="1392" t="n"/>
      <c r="AP987" s="1392" t="n"/>
      <c r="AQ987" s="1392" t="n"/>
      <c r="AR987" s="1422" t="n"/>
      <c r="AS987" s="1422" t="n"/>
      <c r="AT987" s="1392" t="n"/>
      <c r="AU987" s="1392" t="n"/>
      <c r="AV987" s="1392" t="n"/>
      <c r="AW987" s="1392" t="n"/>
      <c r="AX987" s="1392" t="n"/>
      <c r="AY987" s="1392" t="n"/>
      <c r="AZ987" s="1392" t="n"/>
      <c r="BA987" s="1422" t="n"/>
      <c r="BB987" s="1422" t="n"/>
      <c r="BC987" s="1392" t="n"/>
      <c r="BD987" s="1392" t="n"/>
      <c r="BE987" s="1392" t="n"/>
      <c r="BF987" s="1392" t="n"/>
      <c r="BG987" s="1392" t="n"/>
      <c r="BH987" s="1392" t="n"/>
      <c r="BI987" s="1392" t="n"/>
      <c r="BJ987" s="1392" t="n"/>
      <c r="BK987" s="1392" t="n"/>
      <c r="BL987" s="1392" t="n"/>
      <c r="BM987" s="1392" t="n"/>
      <c r="BN987" s="1392" t="n"/>
      <c r="BO987" s="1392" t="n"/>
      <c r="BP987" s="1392" t="n"/>
      <c r="BQ987" s="1392" t="n"/>
      <c r="BR987" s="1392" t="n"/>
      <c r="BS987" s="1392" t="n"/>
      <c r="BT987" s="1392" t="n"/>
      <c r="BU987" s="1392" t="n"/>
      <c r="BV987" s="1392" t="n"/>
      <c r="BW987" s="1392" t="n"/>
      <c r="BX987" s="1392" t="n"/>
      <c r="BY987" s="1392" t="n"/>
      <c r="BZ987" s="1392" t="n"/>
      <c r="CA987" s="1392" t="n"/>
      <c r="CB987" s="1392" t="n"/>
      <c r="CC987" s="1392" t="n"/>
      <c r="CD987" s="1392" t="n"/>
      <c r="CE987" s="1392" t="n"/>
      <c r="CF987" s="1392" t="n"/>
      <c r="CG987" s="1392" t="n"/>
      <c r="CH987" s="1392" t="n"/>
      <c r="CI987" s="1392" t="n"/>
      <c r="CJ987" s="1392" t="n"/>
      <c r="CK987" s="1392" t="n"/>
      <c r="CL987" s="1392" t="n"/>
    </row>
    <row r="988">
      <c r="A988" s="5" t="inlineStr">
        <is>
          <t>.</t>
        </is>
      </c>
      <c r="B988" s="5" t="inlineStr">
        <is>
          <t>.</t>
        </is>
      </c>
      <c r="C988" s="1378">
        <f>IF(raw[[#This Row],[city]]="","-",IF(raw[[#This Row],[city]]="TODAY","-",C987+1))</f>
        <v/>
      </c>
      <c r="D988" s="1393" t="inlineStr">
        <is>
          <t>SSA</t>
        </is>
      </c>
      <c r="E988" s="1394" t="n">
        <v>38691</v>
      </c>
      <c r="F988" s="1394" t="n">
        <v>38718</v>
      </c>
      <c r="G988" s="1393" t="inlineStr">
        <is>
          <t>-</t>
        </is>
      </c>
      <c r="H988" s="1393" t="inlineStr">
        <is>
          <t>Ondina</t>
        </is>
      </c>
      <c r="I988" s="1393" t="inlineStr">
        <is>
          <t>-</t>
        </is>
      </c>
      <c r="J988" s="1393" t="inlineStr">
        <is>
          <t>-</t>
        </is>
      </c>
      <c r="K988" s="1395">
        <f>IF(raw[[#This Row],[city]]&lt;&gt;"",_xlfn.XLOOKUP($D988,ccc[city],ccc[prov],"-"),"-")</f>
        <v/>
      </c>
      <c r="L988" s="1395">
        <f>IF(raw[[#This Row],[city]]&lt;&gt;"",_xlfn.XLOOKUP($D988,ccc[city],ccc[ctry],"-"),"-")</f>
        <v/>
      </c>
      <c r="M988" s="1395">
        <f>IF(raw[[#This Row],[city]]&lt;&gt;"",_xlfn.XLOOKUP($D988,ccc[city],ccc[cont],"-"),"-")</f>
        <v/>
      </c>
      <c r="N988" s="1396">
        <f>IF(raw[[#This Row],[city]]="","-",IF(raw[[#This Row],[cont]]="B",raw[[#This Row],[cont]],"W"))</f>
        <v/>
      </c>
      <c r="O988" s="1397">
        <f>IF(raw[[#This Row],[out]]=0,0,IF(raw[[#This Row],[out]]=raw[[#This Row],[in]],0.01,raw[[#This Row],[out]]-raw[[#This Row],[in]]))</f>
        <v/>
      </c>
      <c r="P988" s="1397">
        <f>IF(raw[[#This Row],[in]]=0,0,MONTH(raw[[#This Row],[in]]))</f>
        <v/>
      </c>
      <c r="Q988" s="1397">
        <f>IF(raw[[#This Row],[in]]=0,0,YEAR(raw[[#This Row],[in]]))</f>
        <v/>
      </c>
      <c r="R988" s="1397">
        <f>INT(raw[[#This Row],[yr]]/10)*10</f>
        <v/>
      </c>
      <c r="S988" s="1395">
        <f>IF(raw[[#This Row],[city]]="","-",IF(raw[[#This Row],[city]]&lt;&gt;_xlfn.XLOOKUP(raw[[#This Row],[home]],homes[home],homes[city],"-"),1,0))</f>
        <v/>
      </c>
      <c r="T988" s="1398" t="inlineStr">
        <is>
          <t>.</t>
        </is>
      </c>
      <c r="U988" s="1399">
        <f>IF(raw[[#This Row],[wb]]="w",raw[[#This Row],[stay]]+U987,U987)</f>
        <v/>
      </c>
      <c r="V988" s="1400">
        <f>IF(raw[[#This Row],[out]]=0,V987,(raw[[#This Row],[out]]-E$5))</f>
        <v/>
      </c>
      <c r="W988" s="1401">
        <f>U988/V988</f>
        <v/>
      </c>
      <c r="X988" s="1392" t="n"/>
      <c r="Y988" s="1392" t="n"/>
      <c r="Z988" s="1392" t="n"/>
      <c r="AA988" s="1392" t="n"/>
      <c r="AB988" s="1392" t="n"/>
      <c r="AC988" s="1392" t="n"/>
      <c r="AD988" s="1392" t="n"/>
      <c r="AE988" s="1392" t="n"/>
      <c r="AF988" s="1392" t="n"/>
      <c r="AG988" s="1392" t="n"/>
      <c r="AH988" s="1392" t="n"/>
      <c r="AI988" s="1392" t="n"/>
      <c r="AJ988" s="1392" t="n"/>
      <c r="AK988" s="1392" t="n"/>
      <c r="AL988" s="1392" t="n"/>
      <c r="AM988" s="1392" t="n"/>
      <c r="AN988" s="1392" t="n"/>
      <c r="AO988" s="1392" t="n"/>
      <c r="AP988" s="1392" t="n"/>
      <c r="AQ988" s="1392" t="n"/>
      <c r="AR988" s="1422" t="n"/>
      <c r="AS988" s="1422" t="n"/>
      <c r="AT988" s="1392" t="n"/>
      <c r="AU988" s="1392" t="n"/>
      <c r="AV988" s="1392" t="n"/>
      <c r="AW988" s="1392" t="n"/>
      <c r="AX988" s="1392" t="n"/>
      <c r="AY988" s="1392" t="n"/>
      <c r="AZ988" s="1392" t="n"/>
      <c r="BA988" s="1422" t="n"/>
      <c r="BB988" s="1422" t="n"/>
      <c r="BC988" s="1392" t="n"/>
      <c r="BD988" s="1392" t="n"/>
      <c r="BE988" s="1392" t="n"/>
      <c r="BF988" s="1392" t="n"/>
      <c r="BG988" s="1392" t="n"/>
      <c r="BH988" s="1392" t="n"/>
      <c r="BI988" s="1392" t="n"/>
      <c r="BJ988" s="1392" t="n"/>
      <c r="BK988" s="1392" t="n"/>
      <c r="BL988" s="1392" t="n"/>
      <c r="BM988" s="1392" t="n"/>
      <c r="BN988" s="1392" t="n"/>
      <c r="BO988" s="1392" t="n"/>
      <c r="BP988" s="1392" t="n"/>
      <c r="BQ988" s="1392" t="n"/>
      <c r="BR988" s="1392" t="n"/>
      <c r="BS988" s="1392" t="n"/>
      <c r="BT988" s="1392" t="n"/>
      <c r="BU988" s="1392" t="n"/>
      <c r="BV988" s="1392" t="n"/>
      <c r="BW988" s="1392" t="n"/>
      <c r="BX988" s="1392" t="n"/>
      <c r="BY988" s="1392" t="n"/>
      <c r="BZ988" s="1392" t="n"/>
      <c r="CA988" s="1392" t="n"/>
      <c r="CB988" s="1392" t="n"/>
      <c r="CC988" s="1392" t="n"/>
      <c r="CD988" s="1392" t="n"/>
      <c r="CE988" s="1392" t="n"/>
      <c r="CF988" s="1392" t="n"/>
      <c r="CG988" s="1392" t="n"/>
      <c r="CH988" s="1392" t="n"/>
      <c r="CI988" s="1392" t="n"/>
      <c r="CJ988" s="1392" t="n"/>
      <c r="CK988" s="1392" t="n"/>
      <c r="CL988" s="1392" t="n"/>
    </row>
    <row r="989">
      <c r="A989" s="5" t="inlineStr">
        <is>
          <t>.</t>
        </is>
      </c>
      <c r="B989" s="5" t="inlineStr">
        <is>
          <t>.</t>
        </is>
      </c>
      <c r="C989" s="1378">
        <f>IF(raw[[#This Row],[city]]="","-",IF(raw[[#This Row],[city]]="TODAY","-",C988+1))</f>
        <v/>
      </c>
      <c r="D989" s="1393" t="inlineStr">
        <is>
          <t>SSA</t>
        </is>
      </c>
      <c r="E989" s="1394" t="n">
        <v>38718</v>
      </c>
      <c r="F989" s="1394" t="n">
        <v>38749</v>
      </c>
      <c r="G989" s="1393" t="inlineStr">
        <is>
          <t>-</t>
        </is>
      </c>
      <c r="H989" s="1393" t="inlineStr">
        <is>
          <t>Ondina</t>
        </is>
      </c>
      <c r="I989" s="1393" t="inlineStr">
        <is>
          <t>-</t>
        </is>
      </c>
      <c r="J989" s="1393" t="inlineStr">
        <is>
          <t>REV</t>
        </is>
      </c>
      <c r="K989" s="1395">
        <f>IF(raw[[#This Row],[city]]&lt;&gt;"",_xlfn.XLOOKUP($D989,ccc[city],ccc[prov],"-"),"-")</f>
        <v/>
      </c>
      <c r="L989" s="1395">
        <f>IF(raw[[#This Row],[city]]&lt;&gt;"",_xlfn.XLOOKUP($D989,ccc[city],ccc[ctry],"-"),"-")</f>
        <v/>
      </c>
      <c r="M989" s="1395">
        <f>IF(raw[[#This Row],[city]]&lt;&gt;"",_xlfn.XLOOKUP($D989,ccc[city],ccc[cont],"-"),"-")</f>
        <v/>
      </c>
      <c r="N989" s="1396">
        <f>IF(raw[[#This Row],[city]]="","-",IF(raw[[#This Row],[cont]]="B",raw[[#This Row],[cont]],"W"))</f>
        <v/>
      </c>
      <c r="O989" s="1397">
        <f>IF(raw[[#This Row],[out]]=0,0,IF(raw[[#This Row],[out]]=raw[[#This Row],[in]],0.01,raw[[#This Row],[out]]-raw[[#This Row],[in]]))</f>
        <v/>
      </c>
      <c r="P989" s="1397">
        <f>IF(raw[[#This Row],[in]]=0,0,MONTH(raw[[#This Row],[in]]))</f>
        <v/>
      </c>
      <c r="Q989" s="1397">
        <f>IF(raw[[#This Row],[in]]=0,0,YEAR(raw[[#This Row],[in]]))</f>
        <v/>
      </c>
      <c r="R989" s="1397">
        <f>INT(raw[[#This Row],[yr]]/10)*10</f>
        <v/>
      </c>
      <c r="S989" s="1395">
        <f>IF(raw[[#This Row],[city]]="","-",IF(raw[[#This Row],[city]]&lt;&gt;_xlfn.XLOOKUP(raw[[#This Row],[home]],homes[home],homes[city],"-"),1,0))</f>
        <v/>
      </c>
      <c r="T989" s="1398" t="inlineStr">
        <is>
          <t>.</t>
        </is>
      </c>
      <c r="U989" s="1399">
        <f>IF(raw[[#This Row],[wb]]="w",raw[[#This Row],[stay]]+U988,U988)</f>
        <v/>
      </c>
      <c r="V989" s="1400">
        <f>IF(raw[[#This Row],[out]]=0,V988,(raw[[#This Row],[out]]-E$5))</f>
        <v/>
      </c>
      <c r="W989" s="1401">
        <f>U989/V989</f>
        <v/>
      </c>
      <c r="X989" s="1392" t="n"/>
      <c r="Y989" s="1392" t="n"/>
      <c r="Z989" s="1392" t="n"/>
      <c r="AA989" s="1392" t="n"/>
      <c r="AB989" s="1392" t="n"/>
      <c r="AC989" s="1392" t="n"/>
      <c r="AD989" s="1392" t="n"/>
      <c r="AE989" s="1392" t="n"/>
      <c r="AF989" s="1392" t="n"/>
      <c r="AG989" s="1392" t="n"/>
      <c r="AH989" s="1392" t="n"/>
      <c r="AI989" s="1392" t="n"/>
      <c r="AJ989" s="1392" t="n"/>
      <c r="AK989" s="1392" t="n"/>
      <c r="AL989" s="1392" t="n"/>
      <c r="AM989" s="1392" t="n"/>
      <c r="AN989" s="1392" t="n"/>
      <c r="AO989" s="1392" t="n"/>
      <c r="AP989" s="1392" t="n"/>
      <c r="AQ989" s="1392" t="n"/>
      <c r="AR989" s="1422" t="n"/>
      <c r="AS989" s="1422" t="n"/>
      <c r="AT989" s="1392" t="n"/>
      <c r="AU989" s="1392" t="n"/>
      <c r="AV989" s="1392" t="n"/>
      <c r="AW989" s="1392" t="n"/>
      <c r="AX989" s="1392" t="n"/>
      <c r="AY989" s="1392" t="n"/>
      <c r="AZ989" s="1392" t="n"/>
      <c r="BA989" s="1422" t="n"/>
      <c r="BB989" s="1422" t="n"/>
      <c r="BC989" s="1392" t="n"/>
      <c r="BD989" s="1392" t="n"/>
      <c r="BE989" s="1392" t="n"/>
      <c r="BF989" s="1392" t="n"/>
      <c r="BG989" s="1392" t="n"/>
      <c r="BH989" s="1392" t="n"/>
      <c r="BI989" s="1392" t="n"/>
      <c r="BJ989" s="1392" t="n"/>
      <c r="BK989" s="1392" t="n"/>
      <c r="BL989" s="1392" t="n"/>
      <c r="BM989" s="1392" t="n"/>
      <c r="BN989" s="1392" t="n"/>
      <c r="BO989" s="1392" t="n"/>
      <c r="BP989" s="1392" t="n"/>
      <c r="BQ989" s="1392" t="n"/>
      <c r="BR989" s="1392" t="n"/>
      <c r="BS989" s="1392" t="n"/>
      <c r="BT989" s="1392" t="n"/>
      <c r="BU989" s="1392" t="n"/>
      <c r="BV989" s="1392" t="n"/>
      <c r="BW989" s="1392" t="n"/>
      <c r="BX989" s="1392" t="n"/>
      <c r="BY989" s="1392" t="n"/>
      <c r="BZ989" s="1392" t="n"/>
      <c r="CA989" s="1392" t="n"/>
      <c r="CB989" s="1392" t="n"/>
      <c r="CC989" s="1392" t="n"/>
      <c r="CD989" s="1392" t="n"/>
      <c r="CE989" s="1392" t="n"/>
      <c r="CF989" s="1392" t="n"/>
      <c r="CG989" s="1392" t="n"/>
      <c r="CH989" s="1392" t="n"/>
      <c r="CI989" s="1392" t="n"/>
      <c r="CJ989" s="1392" t="n"/>
      <c r="CK989" s="1392" t="n"/>
      <c r="CL989" s="1392" t="n"/>
    </row>
    <row r="990">
      <c r="A990" s="5" t="inlineStr">
        <is>
          <t>.</t>
        </is>
      </c>
      <c r="B990" s="5" t="inlineStr">
        <is>
          <t>.</t>
        </is>
      </c>
      <c r="C990" s="1378">
        <f>IF(raw[[#This Row],[city]]="","-",IF(raw[[#This Row],[city]]="TODAY","-",C989+1))</f>
        <v/>
      </c>
      <c r="D990" s="1393" t="inlineStr">
        <is>
          <t>SSA</t>
        </is>
      </c>
      <c r="E990" s="1394" t="n">
        <v>38749</v>
      </c>
      <c r="F990" s="1394" t="n">
        <v>38777</v>
      </c>
      <c r="G990" s="1393" t="inlineStr">
        <is>
          <t>-</t>
        </is>
      </c>
      <c r="H990" s="1393" t="inlineStr">
        <is>
          <t>Ondina</t>
        </is>
      </c>
      <c r="I990" s="1393" t="inlineStr">
        <is>
          <t>-</t>
        </is>
      </c>
      <c r="J990" s="1393" t="inlineStr">
        <is>
          <t>-</t>
        </is>
      </c>
      <c r="K990" s="1395">
        <f>IF(raw[[#This Row],[city]]&lt;&gt;"",_xlfn.XLOOKUP($D990,ccc[city],ccc[prov],"-"),"-")</f>
        <v/>
      </c>
      <c r="L990" s="1395">
        <f>IF(raw[[#This Row],[city]]&lt;&gt;"",_xlfn.XLOOKUP($D990,ccc[city],ccc[ctry],"-"),"-")</f>
        <v/>
      </c>
      <c r="M990" s="1395">
        <f>IF(raw[[#This Row],[city]]&lt;&gt;"",_xlfn.XLOOKUP($D990,ccc[city],ccc[cont],"-"),"-")</f>
        <v/>
      </c>
      <c r="N990" s="1396">
        <f>IF(raw[[#This Row],[city]]="","-",IF(raw[[#This Row],[cont]]="B",raw[[#This Row],[cont]],"W"))</f>
        <v/>
      </c>
      <c r="O990" s="1397">
        <f>IF(raw[[#This Row],[out]]=0,0,IF(raw[[#This Row],[out]]=raw[[#This Row],[in]],0.01,raw[[#This Row],[out]]-raw[[#This Row],[in]]))</f>
        <v/>
      </c>
      <c r="P990" s="1397">
        <f>IF(raw[[#This Row],[in]]=0,0,MONTH(raw[[#This Row],[in]]))</f>
        <v/>
      </c>
      <c r="Q990" s="1397">
        <f>IF(raw[[#This Row],[in]]=0,0,YEAR(raw[[#This Row],[in]]))</f>
        <v/>
      </c>
      <c r="R990" s="1397">
        <f>INT(raw[[#This Row],[yr]]/10)*10</f>
        <v/>
      </c>
      <c r="S990" s="1395">
        <f>IF(raw[[#This Row],[city]]="","-",IF(raw[[#This Row],[city]]&lt;&gt;_xlfn.XLOOKUP(raw[[#This Row],[home]],homes[home],homes[city],"-"),1,0))</f>
        <v/>
      </c>
      <c r="T990" s="1398" t="inlineStr">
        <is>
          <t>.</t>
        </is>
      </c>
      <c r="U990" s="1399">
        <f>IF(raw[[#This Row],[wb]]="w",raw[[#This Row],[stay]]+U989,U989)</f>
        <v/>
      </c>
      <c r="V990" s="1400">
        <f>IF(raw[[#This Row],[out]]=0,V989,(raw[[#This Row],[out]]-E$5))</f>
        <v/>
      </c>
      <c r="W990" s="1401">
        <f>U990/V990</f>
        <v/>
      </c>
      <c r="X990" s="1392" t="n"/>
      <c r="Y990" s="1392" t="n"/>
      <c r="Z990" s="1392" t="n"/>
      <c r="AA990" s="1392" t="n"/>
      <c r="AB990" s="1392" t="n"/>
      <c r="AC990" s="1392" t="n"/>
      <c r="AD990" s="1392" t="n"/>
      <c r="AE990" s="1392" t="n"/>
      <c r="AF990" s="1392" t="n"/>
      <c r="AG990" s="1392" t="n"/>
      <c r="AH990" s="1392" t="n"/>
      <c r="AI990" s="1392" t="n"/>
      <c r="AJ990" s="1392" t="n"/>
      <c r="AK990" s="1392" t="n"/>
      <c r="AL990" s="1392" t="n"/>
      <c r="AM990" s="1392" t="n"/>
      <c r="AN990" s="1392" t="n"/>
      <c r="AO990" s="1392" t="n"/>
      <c r="AP990" s="1392" t="n"/>
      <c r="AQ990" s="1392" t="n"/>
      <c r="AR990" s="1422" t="n"/>
      <c r="AS990" s="1422" t="n"/>
      <c r="AT990" s="1392" t="n"/>
      <c r="AU990" s="1392" t="n"/>
      <c r="AV990" s="1392" t="n"/>
      <c r="AW990" s="1392" t="n"/>
      <c r="AX990" s="1392" t="n"/>
      <c r="AY990" s="1392" t="n"/>
      <c r="AZ990" s="1392" t="n"/>
      <c r="BA990" s="1422" t="n"/>
      <c r="BB990" s="1422" t="n"/>
      <c r="BC990" s="1392" t="n"/>
      <c r="BD990" s="1392" t="n"/>
      <c r="BE990" s="1392" t="n"/>
      <c r="BF990" s="1392" t="n"/>
      <c r="BG990" s="1392" t="n"/>
      <c r="BH990" s="1392" t="n"/>
      <c r="BI990" s="1392" t="n"/>
      <c r="BJ990" s="1392" t="n"/>
      <c r="BK990" s="1392" t="n"/>
      <c r="BL990" s="1392" t="n"/>
      <c r="BM990" s="1392" t="n"/>
      <c r="BN990" s="1392" t="n"/>
      <c r="BO990" s="1392" t="n"/>
      <c r="BP990" s="1392" t="n"/>
      <c r="BQ990" s="1392" t="n"/>
      <c r="BR990" s="1392" t="n"/>
      <c r="BS990" s="1392" t="n"/>
      <c r="BT990" s="1392" t="n"/>
      <c r="BU990" s="1392" t="n"/>
      <c r="BV990" s="1392" t="n"/>
      <c r="BW990" s="1392" t="n"/>
      <c r="BX990" s="1392" t="n"/>
      <c r="BY990" s="1392" t="n"/>
      <c r="BZ990" s="1392" t="n"/>
      <c r="CA990" s="1392" t="n"/>
      <c r="CB990" s="1392" t="n"/>
      <c r="CC990" s="1392" t="n"/>
      <c r="CD990" s="1392" t="n"/>
      <c r="CE990" s="1392" t="n"/>
      <c r="CF990" s="1392" t="n"/>
      <c r="CG990" s="1392" t="n"/>
      <c r="CH990" s="1392" t="n"/>
      <c r="CI990" s="1392" t="n"/>
      <c r="CJ990" s="1392" t="n"/>
      <c r="CK990" s="1392" t="n"/>
      <c r="CL990" s="1392" t="n"/>
    </row>
    <row r="991">
      <c r="A991" s="5" t="inlineStr">
        <is>
          <t>.</t>
        </is>
      </c>
      <c r="B991" s="5" t="inlineStr">
        <is>
          <t>.</t>
        </is>
      </c>
      <c r="C991" s="1378">
        <f>IF(raw[[#This Row],[city]]="","-",IF(raw[[#This Row],[city]]="TODAY","-",C990+1))</f>
        <v/>
      </c>
      <c r="D991" s="1393" t="inlineStr">
        <is>
          <t>SSA</t>
        </is>
      </c>
      <c r="E991" s="1394" t="n">
        <v>38777</v>
      </c>
      <c r="F991" s="1394" t="n">
        <v>38779</v>
      </c>
      <c r="G991" s="1393" t="n">
        <v>1</v>
      </c>
      <c r="H991" s="1393" t="inlineStr">
        <is>
          <t>Ondina</t>
        </is>
      </c>
      <c r="I991" s="1393" t="inlineStr">
        <is>
          <t>-</t>
        </is>
      </c>
      <c r="J991" s="1393" t="inlineStr">
        <is>
          <t>-</t>
        </is>
      </c>
      <c r="K991" s="1395">
        <f>IF(raw[[#This Row],[city]]&lt;&gt;"",_xlfn.XLOOKUP($D991,ccc[city],ccc[prov],"-"),"-")</f>
        <v/>
      </c>
      <c r="L991" s="1395">
        <f>IF(raw[[#This Row],[city]]&lt;&gt;"",_xlfn.XLOOKUP($D991,ccc[city],ccc[ctry],"-"),"-")</f>
        <v/>
      </c>
      <c r="M991" s="1395">
        <f>IF(raw[[#This Row],[city]]&lt;&gt;"",_xlfn.XLOOKUP($D991,ccc[city],ccc[cont],"-"),"-")</f>
        <v/>
      </c>
      <c r="N991" s="1396">
        <f>IF(raw[[#This Row],[city]]="","-",IF(raw[[#This Row],[cont]]="B",raw[[#This Row],[cont]],"W"))</f>
        <v/>
      </c>
      <c r="O991" s="1397">
        <f>IF(raw[[#This Row],[out]]=0,0,IF(raw[[#This Row],[out]]=raw[[#This Row],[in]],0.01,raw[[#This Row],[out]]-raw[[#This Row],[in]]))</f>
        <v/>
      </c>
      <c r="P991" s="1397">
        <f>IF(raw[[#This Row],[in]]=0,0,MONTH(raw[[#This Row],[in]]))</f>
        <v/>
      </c>
      <c r="Q991" s="1397">
        <f>IF(raw[[#This Row],[in]]=0,0,YEAR(raw[[#This Row],[in]]))</f>
        <v/>
      </c>
      <c r="R991" s="1397">
        <f>INT(raw[[#This Row],[yr]]/10)*10</f>
        <v/>
      </c>
      <c r="S991" s="1395">
        <f>IF(raw[[#This Row],[city]]="","-",IF(raw[[#This Row],[city]]&lt;&gt;_xlfn.XLOOKUP(raw[[#This Row],[home]],homes[home],homes[city],"-"),1,0))</f>
        <v/>
      </c>
      <c r="T991" s="1398" t="inlineStr">
        <is>
          <t>.</t>
        </is>
      </c>
      <c r="U991" s="1399">
        <f>IF(raw[[#This Row],[wb]]="w",raw[[#This Row],[stay]]+U990,U990)</f>
        <v/>
      </c>
      <c r="V991" s="1400">
        <f>IF(raw[[#This Row],[out]]=0,V990,(raw[[#This Row],[out]]-E$5))</f>
        <v/>
      </c>
      <c r="W991" s="1401">
        <f>U991/V991</f>
        <v/>
      </c>
      <c r="X991" s="1392" t="n"/>
      <c r="Y991" s="1392" t="n"/>
      <c r="Z991" s="1392" t="n"/>
      <c r="AA991" s="1392" t="n"/>
      <c r="AB991" s="1392" t="n"/>
      <c r="AC991" s="1392" t="n"/>
      <c r="AD991" s="1392" t="n"/>
      <c r="AE991" s="1392" t="n"/>
      <c r="AF991" s="1392" t="n"/>
      <c r="AG991" s="1392" t="n"/>
      <c r="AH991" s="1392" t="n"/>
      <c r="AI991" s="1392" t="n"/>
      <c r="AJ991" s="1392" t="n"/>
      <c r="AK991" s="1392" t="n"/>
      <c r="AL991" s="1392" t="n"/>
      <c r="AM991" s="1392" t="n"/>
      <c r="AN991" s="1392" t="n"/>
      <c r="AO991" s="1392" t="n"/>
      <c r="AP991" s="1392" t="n"/>
      <c r="AQ991" s="1392" t="n"/>
      <c r="AR991" s="1422" t="n"/>
      <c r="AS991" s="1422" t="n"/>
      <c r="AT991" s="1392" t="n"/>
      <c r="AU991" s="1392" t="n"/>
      <c r="AV991" s="1392" t="n"/>
      <c r="AW991" s="1392" t="n"/>
      <c r="AX991" s="1392" t="n"/>
      <c r="AY991" s="1392" t="n"/>
      <c r="AZ991" s="1392" t="n"/>
      <c r="BA991" s="1422" t="n"/>
      <c r="BB991" s="1422" t="n"/>
      <c r="BC991" s="1392" t="n"/>
      <c r="BD991" s="1392" t="n"/>
      <c r="BE991" s="1392" t="n"/>
      <c r="BF991" s="1392" t="n"/>
      <c r="BG991" s="1392" t="n"/>
      <c r="BH991" s="1392" t="n"/>
      <c r="BI991" s="1392" t="n"/>
      <c r="BJ991" s="1392" t="n"/>
      <c r="BK991" s="1392" t="n"/>
      <c r="BL991" s="1392" t="n"/>
      <c r="BM991" s="1392" t="n"/>
      <c r="BN991" s="1392" t="n"/>
      <c r="BO991" s="1392" t="n"/>
      <c r="BP991" s="1392" t="n"/>
      <c r="BQ991" s="1392" t="n"/>
      <c r="BR991" s="1392" t="n"/>
      <c r="BS991" s="1392" t="n"/>
      <c r="BT991" s="1392" t="n"/>
      <c r="BU991" s="1392" t="n"/>
      <c r="BV991" s="1392" t="n"/>
      <c r="BW991" s="1392" t="n"/>
      <c r="BX991" s="1392" t="n"/>
      <c r="BY991" s="1392" t="n"/>
      <c r="BZ991" s="1392" t="n"/>
      <c r="CA991" s="1392" t="n"/>
      <c r="CB991" s="1392" t="n"/>
      <c r="CC991" s="1392" t="n"/>
      <c r="CD991" s="1392" t="n"/>
      <c r="CE991" s="1392" t="n"/>
      <c r="CF991" s="1392" t="n"/>
      <c r="CG991" s="1392" t="n"/>
      <c r="CH991" s="1392" t="n"/>
      <c r="CI991" s="1392" t="n"/>
      <c r="CJ991" s="1392" t="n"/>
      <c r="CK991" s="1392" t="n"/>
      <c r="CL991" s="1392" t="n"/>
    </row>
    <row r="992">
      <c r="A992" s="5" t="inlineStr">
        <is>
          <t>.</t>
        </is>
      </c>
      <c r="B992" s="5" t="inlineStr">
        <is>
          <t>.</t>
        </is>
      </c>
      <c r="C992" s="1378">
        <f>IF(raw[[#This Row],[city]]="","-",IF(raw[[#This Row],[city]]="TODAY","-",C991+1))</f>
        <v/>
      </c>
      <c r="D992" s="1393" t="inlineStr">
        <is>
          <t>SP</t>
        </is>
      </c>
      <c r="E992" s="1394" t="n">
        <v>38779</v>
      </c>
      <c r="F992" s="1394" t="n">
        <v>38779</v>
      </c>
      <c r="G992" s="1393" t="n">
        <v>0.01</v>
      </c>
      <c r="H992" s="1393" t="inlineStr">
        <is>
          <t>Ondina</t>
        </is>
      </c>
      <c r="I992" s="1393" t="inlineStr">
        <is>
          <t>Salto Grande</t>
        </is>
      </c>
      <c r="J992" s="1393" t="inlineStr">
        <is>
          <t>-</t>
        </is>
      </c>
      <c r="K992" s="1395">
        <f>IF(raw[[#This Row],[city]]&lt;&gt;"",_xlfn.XLOOKUP($D992,ccc[city],ccc[prov],"-"),"-")</f>
        <v/>
      </c>
      <c r="L992" s="1395">
        <f>IF(raw[[#This Row],[city]]&lt;&gt;"",_xlfn.XLOOKUP($D992,ccc[city],ccc[ctry],"-"),"-")</f>
        <v/>
      </c>
      <c r="M992" s="1395">
        <f>IF(raw[[#This Row],[city]]&lt;&gt;"",_xlfn.XLOOKUP($D992,ccc[city],ccc[cont],"-"),"-")</f>
        <v/>
      </c>
      <c r="N992" s="1396">
        <f>IF(raw[[#This Row],[city]]="","-",IF(raw[[#This Row],[cont]]="B",raw[[#This Row],[cont]],"W"))</f>
        <v/>
      </c>
      <c r="O992" s="1397">
        <f>IF(raw[[#This Row],[out]]=0,0,IF(raw[[#This Row],[out]]=raw[[#This Row],[in]],0.01,raw[[#This Row],[out]]-raw[[#This Row],[in]]))</f>
        <v/>
      </c>
      <c r="P992" s="1397">
        <f>IF(raw[[#This Row],[in]]=0,0,MONTH(raw[[#This Row],[in]]))</f>
        <v/>
      </c>
      <c r="Q992" s="1397">
        <f>IF(raw[[#This Row],[in]]=0,0,YEAR(raw[[#This Row],[in]]))</f>
        <v/>
      </c>
      <c r="R992" s="1397">
        <f>INT(raw[[#This Row],[yr]]/10)*10</f>
        <v/>
      </c>
      <c r="S992" s="1395">
        <f>IF(raw[[#This Row],[city]]="","-",IF(raw[[#This Row],[city]]&lt;&gt;_xlfn.XLOOKUP(raw[[#This Row],[home]],homes[home],homes[city],"-"),1,0))</f>
        <v/>
      </c>
      <c r="T992" s="1398" t="inlineStr">
        <is>
          <t>.</t>
        </is>
      </c>
      <c r="U992" s="1399">
        <f>IF(raw[[#This Row],[wb]]="w",raw[[#This Row],[stay]]+U991,U991)</f>
        <v/>
      </c>
      <c r="V992" s="1400">
        <f>IF(raw[[#This Row],[out]]=0,V991,(raw[[#This Row],[out]]-E$5))</f>
        <v/>
      </c>
      <c r="W992" s="1401">
        <f>U992/V992</f>
        <v/>
      </c>
      <c r="X992" s="1392" t="n"/>
      <c r="Y992" s="1392" t="n"/>
      <c r="Z992" s="1392" t="n"/>
      <c r="AA992" s="1392" t="n"/>
      <c r="AB992" s="1392" t="n"/>
      <c r="AC992" s="1392" t="n"/>
      <c r="AD992" s="1392" t="n"/>
      <c r="AE992" s="1392" t="n"/>
      <c r="AF992" s="1392" t="n"/>
      <c r="AG992" s="1392" t="n"/>
      <c r="AH992" s="1392" t="n"/>
      <c r="AI992" s="1392" t="n"/>
      <c r="AJ992" s="1392" t="n"/>
      <c r="AK992" s="1392" t="n"/>
      <c r="AL992" s="1392" t="n"/>
      <c r="AM992" s="1392" t="n"/>
      <c r="AN992" s="1392" t="n"/>
      <c r="AO992" s="1392" t="n"/>
      <c r="AP992" s="1392" t="n"/>
      <c r="AQ992" s="1392" t="n"/>
      <c r="AR992" s="1422" t="n"/>
      <c r="AS992" s="1422" t="n"/>
      <c r="AT992" s="1392" t="n"/>
      <c r="AU992" s="1392" t="n"/>
      <c r="AV992" s="1392" t="n"/>
      <c r="AW992" s="1392" t="n"/>
      <c r="AX992" s="1392" t="n"/>
      <c r="AY992" s="1392" t="n"/>
      <c r="AZ992" s="1392" t="n"/>
      <c r="BA992" s="1422" t="n"/>
      <c r="BB992" s="1422" t="n"/>
      <c r="BC992" s="1392" t="n"/>
      <c r="BD992" s="1392" t="n"/>
      <c r="BE992" s="1392" t="n"/>
      <c r="BF992" s="1392" t="n"/>
      <c r="BG992" s="1392" t="n"/>
      <c r="BH992" s="1392" t="n"/>
      <c r="BI992" s="1392" t="n"/>
      <c r="BJ992" s="1392" t="n"/>
      <c r="BK992" s="1392" t="n"/>
      <c r="BL992" s="1392" t="n"/>
      <c r="BM992" s="1392" t="n"/>
      <c r="BN992" s="1392" t="n"/>
      <c r="BO992" s="1392" t="n"/>
      <c r="BP992" s="1392" t="n"/>
      <c r="BQ992" s="1392" t="n"/>
      <c r="BR992" s="1392" t="n"/>
      <c r="BS992" s="1392" t="n"/>
      <c r="BT992" s="1392" t="n"/>
      <c r="BU992" s="1392" t="n"/>
      <c r="BV992" s="1392" t="n"/>
      <c r="BW992" s="1392" t="n"/>
      <c r="BX992" s="1392" t="n"/>
      <c r="BY992" s="1392" t="n"/>
      <c r="BZ992" s="1392" t="n"/>
      <c r="CA992" s="1392" t="n"/>
      <c r="CB992" s="1392" t="n"/>
      <c r="CC992" s="1392" t="n"/>
      <c r="CD992" s="1392" t="n"/>
      <c r="CE992" s="1392" t="n"/>
      <c r="CF992" s="1392" t="n"/>
      <c r="CG992" s="1392" t="n"/>
      <c r="CH992" s="1392" t="n"/>
      <c r="CI992" s="1392" t="n"/>
      <c r="CJ992" s="1392" t="n"/>
      <c r="CK992" s="1392" t="n"/>
      <c r="CL992" s="1392" t="n"/>
    </row>
    <row r="993">
      <c r="A993" s="5" t="inlineStr">
        <is>
          <t>.</t>
        </is>
      </c>
      <c r="B993" s="5" t="inlineStr">
        <is>
          <t>.</t>
        </is>
      </c>
      <c r="C993" s="1378">
        <f>IF(raw[[#This Row],[city]]="","-",IF(raw[[#This Row],[city]]="TODAY","-",C992+1))</f>
        <v/>
      </c>
      <c r="D993" s="1393" t="inlineStr">
        <is>
          <t>Miami</t>
        </is>
      </c>
      <c r="E993" s="1394" t="n">
        <v>38779</v>
      </c>
      <c r="F993" s="1394" t="n">
        <v>38779</v>
      </c>
      <c r="G993" s="1393" t="n">
        <v>0.01</v>
      </c>
      <c r="H993" s="1393" t="inlineStr">
        <is>
          <t>Ondina</t>
        </is>
      </c>
      <c r="I993" s="1393" t="inlineStr">
        <is>
          <t>-</t>
        </is>
      </c>
      <c r="J993" s="1393" t="inlineStr">
        <is>
          <t>-</t>
        </is>
      </c>
      <c r="K993" s="1395">
        <f>IF(raw[[#This Row],[city]]&lt;&gt;"",_xlfn.XLOOKUP($D993,ccc[city],ccc[prov],"-"),"-")</f>
        <v/>
      </c>
      <c r="L993" s="1395">
        <f>IF(raw[[#This Row],[city]]&lt;&gt;"",_xlfn.XLOOKUP($D993,ccc[city],ccc[ctry],"-"),"-")</f>
        <v/>
      </c>
      <c r="M993" s="1395">
        <f>IF(raw[[#This Row],[city]]&lt;&gt;"",_xlfn.XLOOKUP($D993,ccc[city],ccc[cont],"-"),"-")</f>
        <v/>
      </c>
      <c r="N993" s="1396">
        <f>IF(raw[[#This Row],[city]]="","-",IF(raw[[#This Row],[cont]]="B",raw[[#This Row],[cont]],"W"))</f>
        <v/>
      </c>
      <c r="O993" s="1397">
        <f>IF(raw[[#This Row],[out]]=0,0,IF(raw[[#This Row],[out]]=raw[[#This Row],[in]],0.01,raw[[#This Row],[out]]-raw[[#This Row],[in]]))</f>
        <v/>
      </c>
      <c r="P993" s="1397">
        <f>IF(raw[[#This Row],[in]]=0,0,MONTH(raw[[#This Row],[in]]))</f>
        <v/>
      </c>
      <c r="Q993" s="1397">
        <f>IF(raw[[#This Row],[in]]=0,0,YEAR(raw[[#This Row],[in]]))</f>
        <v/>
      </c>
      <c r="R993" s="1397">
        <f>INT(raw[[#This Row],[yr]]/10)*10</f>
        <v/>
      </c>
      <c r="S993" s="1395">
        <f>IF(raw[[#This Row],[city]]="","-",IF(raw[[#This Row],[city]]&lt;&gt;_xlfn.XLOOKUP(raw[[#This Row],[home]],homes[home],homes[city],"-"),1,0))</f>
        <v/>
      </c>
      <c r="T993" s="1398" t="inlineStr">
        <is>
          <t>.</t>
        </is>
      </c>
      <c r="U993" s="1399">
        <f>IF(raw[[#This Row],[wb]]="w",raw[[#This Row],[stay]]+U992,U992)</f>
        <v/>
      </c>
      <c r="V993" s="1400">
        <f>IF(raw[[#This Row],[out]]=0,V992,(raw[[#This Row],[out]]-E$5))</f>
        <v/>
      </c>
      <c r="W993" s="1401">
        <f>U993/V993</f>
        <v/>
      </c>
      <c r="X993" s="1392" t="n"/>
      <c r="Y993" s="1392" t="n"/>
      <c r="Z993" s="1392" t="n"/>
      <c r="AA993" s="1392" t="n"/>
      <c r="AB993" s="1392" t="n"/>
      <c r="AC993" s="1392" t="n"/>
      <c r="AD993" s="1392" t="n"/>
      <c r="AE993" s="1392" t="n"/>
      <c r="AF993" s="1392" t="n"/>
      <c r="AG993" s="1392" t="n"/>
      <c r="AH993" s="1392" t="n"/>
      <c r="AI993" s="1392" t="n"/>
      <c r="AJ993" s="1392" t="n"/>
      <c r="AK993" s="1392" t="n"/>
      <c r="AL993" s="1392" t="n"/>
      <c r="AM993" s="1392" t="n"/>
      <c r="AN993" s="1392" t="n"/>
      <c r="AO993" s="1392" t="n"/>
      <c r="AP993" s="1392" t="n"/>
      <c r="AQ993" s="1392" t="n"/>
      <c r="AR993" s="1422" t="n"/>
      <c r="AS993" s="1422" t="n"/>
      <c r="AT993" s="1392" t="n"/>
      <c r="AU993" s="1392" t="n"/>
      <c r="AV993" s="1392" t="n"/>
      <c r="AW993" s="1392" t="n"/>
      <c r="AX993" s="1392" t="n"/>
      <c r="AY993" s="1392" t="n"/>
      <c r="AZ993" s="1392" t="n"/>
      <c r="BA993" s="1422" t="n"/>
      <c r="BB993" s="1422" t="n"/>
      <c r="BC993" s="1392" t="n"/>
      <c r="BD993" s="1392" t="n"/>
      <c r="BE993" s="1392" t="n"/>
      <c r="BF993" s="1392" t="n"/>
      <c r="BG993" s="1392" t="n"/>
      <c r="BH993" s="1392" t="n"/>
      <c r="BI993" s="1392" t="n"/>
      <c r="BJ993" s="1392" t="n"/>
      <c r="BK993" s="1392" t="n"/>
      <c r="BL993" s="1392" t="n"/>
      <c r="BM993" s="1392" t="n"/>
      <c r="BN993" s="1392" t="n"/>
      <c r="BO993" s="1392" t="n"/>
      <c r="BP993" s="1392" t="n"/>
      <c r="BQ993" s="1392" t="n"/>
      <c r="BR993" s="1392" t="n"/>
      <c r="BS993" s="1392" t="n"/>
      <c r="BT993" s="1392" t="n"/>
      <c r="BU993" s="1392" t="n"/>
      <c r="BV993" s="1392" t="n"/>
      <c r="BW993" s="1392" t="n"/>
      <c r="BX993" s="1392" t="n"/>
      <c r="BY993" s="1392" t="n"/>
      <c r="BZ993" s="1392" t="n"/>
      <c r="CA993" s="1392" t="n"/>
      <c r="CB993" s="1392" t="n"/>
      <c r="CC993" s="1392" t="n"/>
      <c r="CD993" s="1392" t="n"/>
      <c r="CE993" s="1392" t="n"/>
      <c r="CF993" s="1392" t="n"/>
      <c r="CG993" s="1392" t="n"/>
      <c r="CH993" s="1392" t="n"/>
      <c r="CI993" s="1392" t="n"/>
      <c r="CJ993" s="1392" t="n"/>
      <c r="CK993" s="1392" t="n"/>
      <c r="CL993" s="1392" t="n"/>
    </row>
    <row r="994">
      <c r="A994" s="5" t="inlineStr">
        <is>
          <t>.</t>
        </is>
      </c>
      <c r="B994" s="5" t="inlineStr">
        <is>
          <t>.</t>
        </is>
      </c>
      <c r="C994" s="1378">
        <f>IF(raw[[#This Row],[city]]="","-",IF(raw[[#This Row],[city]]="TODAY","-",C993+1))</f>
        <v/>
      </c>
      <c r="D994" s="1393" t="inlineStr">
        <is>
          <t>Orlando</t>
        </is>
      </c>
      <c r="E994" s="1394" t="n">
        <v>38779</v>
      </c>
      <c r="F994" s="1394" t="n">
        <v>38788</v>
      </c>
      <c r="G994" s="1393" t="inlineStr">
        <is>
          <t>-</t>
        </is>
      </c>
      <c r="H994" s="1393" t="inlineStr">
        <is>
          <t>Ondina</t>
        </is>
      </c>
      <c r="I994" s="1393" t="inlineStr">
        <is>
          <t>-</t>
        </is>
      </c>
      <c r="J994" s="1393" t="inlineStr">
        <is>
          <t>-</t>
        </is>
      </c>
      <c r="K994" s="1395">
        <f>IF(raw[[#This Row],[city]]&lt;&gt;"",_xlfn.XLOOKUP($D994,ccc[city],ccc[prov],"-"),"-")</f>
        <v/>
      </c>
      <c r="L994" s="1395">
        <f>IF(raw[[#This Row],[city]]&lt;&gt;"",_xlfn.XLOOKUP($D994,ccc[city],ccc[ctry],"-"),"-")</f>
        <v/>
      </c>
      <c r="M994" s="1395">
        <f>IF(raw[[#This Row],[city]]&lt;&gt;"",_xlfn.XLOOKUP($D994,ccc[city],ccc[cont],"-"),"-")</f>
        <v/>
      </c>
      <c r="N994" s="1396">
        <f>IF(raw[[#This Row],[city]]="","-",IF(raw[[#This Row],[cont]]="B",raw[[#This Row],[cont]],"W"))</f>
        <v/>
      </c>
      <c r="O994" s="1397">
        <f>IF(raw[[#This Row],[out]]=0,0,IF(raw[[#This Row],[out]]=raw[[#This Row],[in]],0.01,raw[[#This Row],[out]]-raw[[#This Row],[in]]))</f>
        <v/>
      </c>
      <c r="P994" s="1397">
        <f>IF(raw[[#This Row],[in]]=0,0,MONTH(raw[[#This Row],[in]]))</f>
        <v/>
      </c>
      <c r="Q994" s="1397">
        <f>IF(raw[[#This Row],[in]]=0,0,YEAR(raw[[#This Row],[in]]))</f>
        <v/>
      </c>
      <c r="R994" s="1397">
        <f>INT(raw[[#This Row],[yr]]/10)*10</f>
        <v/>
      </c>
      <c r="S994" s="1395">
        <f>IF(raw[[#This Row],[city]]="","-",IF(raw[[#This Row],[city]]&lt;&gt;_xlfn.XLOOKUP(raw[[#This Row],[home]],homes[home],homes[city],"-"),1,0))</f>
        <v/>
      </c>
      <c r="T994" s="1398" t="inlineStr">
        <is>
          <t>.</t>
        </is>
      </c>
      <c r="U994" s="1399">
        <f>IF(raw[[#This Row],[wb]]="w",raw[[#This Row],[stay]]+U993,U993)</f>
        <v/>
      </c>
      <c r="V994" s="1400">
        <f>IF(raw[[#This Row],[out]]=0,V993,(raw[[#This Row],[out]]-E$5))</f>
        <v/>
      </c>
      <c r="W994" s="1401">
        <f>U994/V994</f>
        <v/>
      </c>
      <c r="X994" s="1392" t="n"/>
      <c r="Y994" s="1392" t="n"/>
      <c r="Z994" s="1392" t="n"/>
      <c r="AA994" s="1392" t="n"/>
      <c r="AB994" s="1392" t="n"/>
      <c r="AC994" s="1392" t="n"/>
      <c r="AD994" s="1392" t="n"/>
      <c r="AE994" s="1392" t="n"/>
      <c r="AF994" s="1392" t="n"/>
      <c r="AG994" s="1392" t="n"/>
      <c r="AH994" s="1392" t="n"/>
      <c r="AI994" s="1392" t="n"/>
      <c r="AJ994" s="1392" t="n"/>
      <c r="AK994" s="1392" t="n"/>
      <c r="AL994" s="1392" t="n"/>
      <c r="AM994" s="1392" t="n"/>
      <c r="AN994" s="1392" t="n"/>
      <c r="AO994" s="1392" t="n"/>
      <c r="AP994" s="1392" t="n"/>
      <c r="AQ994" s="1392" t="n"/>
      <c r="AR994" s="1422" t="n"/>
      <c r="AS994" s="1422" t="n"/>
      <c r="AT994" s="1392" t="n"/>
      <c r="AU994" s="1392" t="n"/>
      <c r="AV994" s="1392" t="n"/>
      <c r="AW994" s="1392" t="n"/>
      <c r="AX994" s="1392" t="n"/>
      <c r="AY994" s="1392" t="n"/>
      <c r="AZ994" s="1392" t="n"/>
      <c r="BA994" s="1422" t="n"/>
      <c r="BB994" s="1422" t="n"/>
      <c r="BC994" s="1392" t="n"/>
      <c r="BD994" s="1392" t="n"/>
      <c r="BE994" s="1392" t="n"/>
      <c r="BF994" s="1392" t="n"/>
      <c r="BG994" s="1392" t="n"/>
      <c r="BH994" s="1392" t="n"/>
      <c r="BI994" s="1392" t="n"/>
      <c r="BJ994" s="1392" t="n"/>
      <c r="BK994" s="1392" t="n"/>
      <c r="BL994" s="1392" t="n"/>
      <c r="BM994" s="1392" t="n"/>
      <c r="BN994" s="1392" t="n"/>
      <c r="BO994" s="1392" t="n"/>
      <c r="BP994" s="1392" t="n"/>
      <c r="BQ994" s="1392" t="n"/>
      <c r="BR994" s="1392" t="n"/>
      <c r="BS994" s="1392" t="n"/>
      <c r="BT994" s="1392" t="n"/>
      <c r="BU994" s="1392" t="n"/>
      <c r="BV994" s="1392" t="n"/>
      <c r="BW994" s="1392" t="n"/>
      <c r="BX994" s="1392" t="n"/>
      <c r="BY994" s="1392" t="n"/>
      <c r="BZ994" s="1392" t="n"/>
      <c r="CA994" s="1392" t="n"/>
      <c r="CB994" s="1392" t="n"/>
      <c r="CC994" s="1392" t="n"/>
      <c r="CD994" s="1392" t="n"/>
      <c r="CE994" s="1392" t="n"/>
      <c r="CF994" s="1392" t="n"/>
      <c r="CG994" s="1392" t="n"/>
      <c r="CH994" s="1392" t="n"/>
      <c r="CI994" s="1392" t="n"/>
      <c r="CJ994" s="1392" t="n"/>
      <c r="CK994" s="1392" t="n"/>
      <c r="CL994" s="1392" t="n"/>
    </row>
    <row r="995">
      <c r="A995" s="5" t="inlineStr">
        <is>
          <t>.</t>
        </is>
      </c>
      <c r="B995" s="5" t="inlineStr">
        <is>
          <t>.</t>
        </is>
      </c>
      <c r="C995" s="1378">
        <f>IF(raw[[#This Row],[city]]="","-",IF(raw[[#This Row],[city]]="TODAY","-",C994+1))</f>
        <v/>
      </c>
      <c r="D995" s="1393" t="inlineStr">
        <is>
          <t>Miami</t>
        </is>
      </c>
      <c r="E995" s="1394" t="n">
        <v>38788</v>
      </c>
      <c r="F995" s="1394" t="n">
        <v>38788</v>
      </c>
      <c r="G995" s="1393" t="n">
        <v>1</v>
      </c>
      <c r="H995" s="1393" t="inlineStr">
        <is>
          <t>Ondina</t>
        </is>
      </c>
      <c r="I995" s="1393" t="inlineStr">
        <is>
          <t>-</t>
        </is>
      </c>
      <c r="J995" s="1393" t="inlineStr">
        <is>
          <t>-</t>
        </is>
      </c>
      <c r="K995" s="1395">
        <f>IF(raw[[#This Row],[city]]&lt;&gt;"",_xlfn.XLOOKUP($D995,ccc[city],ccc[prov],"-"),"-")</f>
        <v/>
      </c>
      <c r="L995" s="1395">
        <f>IF(raw[[#This Row],[city]]&lt;&gt;"",_xlfn.XLOOKUP($D995,ccc[city],ccc[ctry],"-"),"-")</f>
        <v/>
      </c>
      <c r="M995" s="1395">
        <f>IF(raw[[#This Row],[city]]&lt;&gt;"",_xlfn.XLOOKUP($D995,ccc[city],ccc[cont],"-"),"-")</f>
        <v/>
      </c>
      <c r="N995" s="1396">
        <f>IF(raw[[#This Row],[city]]="","-",IF(raw[[#This Row],[cont]]="B",raw[[#This Row],[cont]],"W"))</f>
        <v/>
      </c>
      <c r="O995" s="1397">
        <f>IF(raw[[#This Row],[out]]=0,0,IF(raw[[#This Row],[out]]=raw[[#This Row],[in]],0.01,raw[[#This Row],[out]]-raw[[#This Row],[in]]))</f>
        <v/>
      </c>
      <c r="P995" s="1397">
        <f>IF(raw[[#This Row],[in]]=0,0,MONTH(raw[[#This Row],[in]]))</f>
        <v/>
      </c>
      <c r="Q995" s="1397">
        <f>IF(raw[[#This Row],[in]]=0,0,YEAR(raw[[#This Row],[in]]))</f>
        <v/>
      </c>
      <c r="R995" s="1397">
        <f>INT(raw[[#This Row],[yr]]/10)*10</f>
        <v/>
      </c>
      <c r="S995" s="1395">
        <f>IF(raw[[#This Row],[city]]="","-",IF(raw[[#This Row],[city]]&lt;&gt;_xlfn.XLOOKUP(raw[[#This Row],[home]],homes[home],homes[city],"-"),1,0))</f>
        <v/>
      </c>
      <c r="T995" s="1398" t="inlineStr">
        <is>
          <t>.</t>
        </is>
      </c>
      <c r="U995" s="1399">
        <f>IF(raw[[#This Row],[wb]]="w",raw[[#This Row],[stay]]+U994,U994)</f>
        <v/>
      </c>
      <c r="V995" s="1400">
        <f>IF(raw[[#This Row],[out]]=0,V994,(raw[[#This Row],[out]]-E$5))</f>
        <v/>
      </c>
      <c r="W995" s="1401">
        <f>U995/V995</f>
        <v/>
      </c>
      <c r="X995" s="1392" t="n"/>
      <c r="Y995" s="1392" t="n"/>
      <c r="Z995" s="1392" t="n"/>
      <c r="AA995" s="1392" t="n"/>
      <c r="AB995" s="1392" t="n"/>
      <c r="AC995" s="1392" t="n"/>
      <c r="AD995" s="1392" t="n"/>
      <c r="AE995" s="1392" t="n"/>
      <c r="AF995" s="1392" t="n"/>
      <c r="AG995" s="1392" t="n"/>
      <c r="AH995" s="1392" t="n"/>
      <c r="AI995" s="1392" t="n"/>
      <c r="AJ995" s="1392" t="n"/>
      <c r="AK995" s="1392" t="n"/>
      <c r="AL995" s="1392" t="n"/>
      <c r="AM995" s="1392" t="n"/>
      <c r="AN995" s="1392" t="n"/>
      <c r="AO995" s="1392" t="n"/>
      <c r="AP995" s="1392" t="n"/>
      <c r="AQ995" s="1392" t="n"/>
      <c r="AR995" s="1422" t="n"/>
      <c r="AS995" s="1422" t="n"/>
      <c r="AT995" s="1392" t="n"/>
      <c r="AU995" s="1392" t="n"/>
      <c r="AV995" s="1392" t="n"/>
      <c r="AW995" s="1392" t="n"/>
      <c r="AX995" s="1392" t="n"/>
      <c r="AY995" s="1392" t="n"/>
      <c r="AZ995" s="1392" t="n"/>
      <c r="BA995" s="1422" t="n"/>
      <c r="BB995" s="1422" t="n"/>
      <c r="BC995" s="1392" t="n"/>
      <c r="BD995" s="1392" t="n"/>
      <c r="BE995" s="1392" t="n"/>
      <c r="BF995" s="1392" t="n"/>
      <c r="BG995" s="1392" t="n"/>
      <c r="BH995" s="1392" t="n"/>
      <c r="BI995" s="1392" t="n"/>
      <c r="BJ995" s="1392" t="n"/>
      <c r="BK995" s="1392" t="n"/>
      <c r="BL995" s="1392" t="n"/>
      <c r="BM995" s="1392" t="n"/>
      <c r="BN995" s="1392" t="n"/>
      <c r="BO995" s="1392" t="n"/>
      <c r="BP995" s="1392" t="n"/>
      <c r="BQ995" s="1392" t="n"/>
      <c r="BR995" s="1392" t="n"/>
      <c r="BS995" s="1392" t="n"/>
      <c r="BT995" s="1392" t="n"/>
      <c r="BU995" s="1392" t="n"/>
      <c r="BV995" s="1392" t="n"/>
      <c r="BW995" s="1392" t="n"/>
      <c r="BX995" s="1392" t="n"/>
      <c r="BY995" s="1392" t="n"/>
      <c r="BZ995" s="1392" t="n"/>
      <c r="CA995" s="1392" t="n"/>
      <c r="CB995" s="1392" t="n"/>
      <c r="CC995" s="1392" t="n"/>
      <c r="CD995" s="1392" t="n"/>
      <c r="CE995" s="1392" t="n"/>
      <c r="CF995" s="1392" t="n"/>
      <c r="CG995" s="1392" t="n"/>
      <c r="CH995" s="1392" t="n"/>
      <c r="CI995" s="1392" t="n"/>
      <c r="CJ995" s="1392" t="n"/>
      <c r="CK995" s="1392" t="n"/>
      <c r="CL995" s="1392" t="n"/>
    </row>
    <row r="996">
      <c r="A996" s="5" t="inlineStr">
        <is>
          <t>.</t>
        </is>
      </c>
      <c r="B996" s="5" t="inlineStr">
        <is>
          <t>.</t>
        </is>
      </c>
      <c r="C996" s="1378">
        <f>IF(raw[[#This Row],[city]]="","-",IF(raw[[#This Row],[city]]="TODAY","-",C995+1))</f>
        <v/>
      </c>
      <c r="D996" s="1393" t="inlineStr">
        <is>
          <t>SSA</t>
        </is>
      </c>
      <c r="E996" s="1394" t="n">
        <v>38788</v>
      </c>
      <c r="F996" s="1394" t="n">
        <v>38808</v>
      </c>
      <c r="G996" s="1393" t="inlineStr">
        <is>
          <t>-</t>
        </is>
      </c>
      <c r="H996" s="1393" t="inlineStr">
        <is>
          <t>Ondina</t>
        </is>
      </c>
      <c r="I996" s="1393" t="inlineStr">
        <is>
          <t>-</t>
        </is>
      </c>
      <c r="J996" s="1393" t="inlineStr">
        <is>
          <t>-</t>
        </is>
      </c>
      <c r="K996" s="1395">
        <f>IF(raw[[#This Row],[city]]&lt;&gt;"",_xlfn.XLOOKUP($D996,ccc[city],ccc[prov],"-"),"-")</f>
        <v/>
      </c>
      <c r="L996" s="1395">
        <f>IF(raw[[#This Row],[city]]&lt;&gt;"",_xlfn.XLOOKUP($D996,ccc[city],ccc[ctry],"-"),"-")</f>
        <v/>
      </c>
      <c r="M996" s="1395">
        <f>IF(raw[[#This Row],[city]]&lt;&gt;"",_xlfn.XLOOKUP($D996,ccc[city],ccc[cont],"-"),"-")</f>
        <v/>
      </c>
      <c r="N996" s="1396">
        <f>IF(raw[[#This Row],[city]]="","-",IF(raw[[#This Row],[cont]]="B",raw[[#This Row],[cont]],"W"))</f>
        <v/>
      </c>
      <c r="O996" s="1397">
        <f>IF(raw[[#This Row],[out]]=0,0,IF(raw[[#This Row],[out]]=raw[[#This Row],[in]],0.01,raw[[#This Row],[out]]-raw[[#This Row],[in]]))</f>
        <v/>
      </c>
      <c r="P996" s="1397">
        <f>IF(raw[[#This Row],[in]]=0,0,MONTH(raw[[#This Row],[in]]))</f>
        <v/>
      </c>
      <c r="Q996" s="1397">
        <f>IF(raw[[#This Row],[in]]=0,0,YEAR(raw[[#This Row],[in]]))</f>
        <v/>
      </c>
      <c r="R996" s="1397">
        <f>INT(raw[[#This Row],[yr]]/10)*10</f>
        <v/>
      </c>
      <c r="S996" s="1395">
        <f>IF(raw[[#This Row],[city]]="","-",IF(raw[[#This Row],[city]]&lt;&gt;_xlfn.XLOOKUP(raw[[#This Row],[home]],homes[home],homes[city],"-"),1,0))</f>
        <v/>
      </c>
      <c r="T996" s="1398" t="inlineStr">
        <is>
          <t>.</t>
        </is>
      </c>
      <c r="U996" s="1399">
        <f>IF(raw[[#This Row],[wb]]="w",raw[[#This Row],[stay]]+U995,U995)</f>
        <v/>
      </c>
      <c r="V996" s="1400">
        <f>IF(raw[[#This Row],[out]]=0,V995,(raw[[#This Row],[out]]-E$5))</f>
        <v/>
      </c>
      <c r="W996" s="1401">
        <f>U996/V996</f>
        <v/>
      </c>
      <c r="X996" s="1392" t="n"/>
      <c r="Y996" s="1392" t="n"/>
      <c r="Z996" s="1392" t="n"/>
      <c r="AA996" s="1392" t="n"/>
      <c r="AB996" s="1392" t="n"/>
      <c r="AC996" s="1392" t="n"/>
      <c r="AD996" s="1392" t="n"/>
      <c r="AE996" s="1392" t="n"/>
      <c r="AF996" s="1392" t="n"/>
      <c r="AG996" s="1392" t="n"/>
      <c r="AH996" s="1392" t="n"/>
      <c r="AI996" s="1392" t="n"/>
      <c r="AJ996" s="1392" t="n"/>
      <c r="AK996" s="1392" t="n"/>
      <c r="AL996" s="1392" t="n"/>
      <c r="AM996" s="1392" t="n"/>
      <c r="AN996" s="1392" t="n"/>
      <c r="AO996" s="1392" t="n"/>
      <c r="AP996" s="1392" t="n"/>
      <c r="AQ996" s="1392" t="n"/>
      <c r="AR996" s="1422" t="n"/>
      <c r="AS996" s="1422" t="n"/>
      <c r="AT996" s="1392" t="n"/>
      <c r="AU996" s="1392" t="n"/>
      <c r="AV996" s="1392" t="n"/>
      <c r="AW996" s="1392" t="n"/>
      <c r="AX996" s="1392" t="n"/>
      <c r="AY996" s="1392" t="n"/>
      <c r="AZ996" s="1392" t="n"/>
      <c r="BA996" s="1422" t="n"/>
      <c r="BB996" s="1422" t="n"/>
      <c r="BC996" s="1392" t="n"/>
      <c r="BD996" s="1392" t="n"/>
      <c r="BE996" s="1392" t="n"/>
      <c r="BF996" s="1392" t="n"/>
      <c r="BG996" s="1392" t="n"/>
      <c r="BH996" s="1392" t="n"/>
      <c r="BI996" s="1392" t="n"/>
      <c r="BJ996" s="1392" t="n"/>
      <c r="BK996" s="1392" t="n"/>
      <c r="BL996" s="1392" t="n"/>
      <c r="BM996" s="1392" t="n"/>
      <c r="BN996" s="1392" t="n"/>
      <c r="BO996" s="1392" t="n"/>
      <c r="BP996" s="1392" t="n"/>
      <c r="BQ996" s="1392" t="n"/>
      <c r="BR996" s="1392" t="n"/>
      <c r="BS996" s="1392" t="n"/>
      <c r="BT996" s="1392" t="n"/>
      <c r="BU996" s="1392" t="n"/>
      <c r="BV996" s="1392" t="n"/>
      <c r="BW996" s="1392" t="n"/>
      <c r="BX996" s="1392" t="n"/>
      <c r="BY996" s="1392" t="n"/>
      <c r="BZ996" s="1392" t="n"/>
      <c r="CA996" s="1392" t="n"/>
      <c r="CB996" s="1392" t="n"/>
      <c r="CC996" s="1392" t="n"/>
      <c r="CD996" s="1392" t="n"/>
      <c r="CE996" s="1392" t="n"/>
      <c r="CF996" s="1392" t="n"/>
      <c r="CG996" s="1392" t="n"/>
      <c r="CH996" s="1392" t="n"/>
      <c r="CI996" s="1392" t="n"/>
      <c r="CJ996" s="1392" t="n"/>
      <c r="CK996" s="1392" t="n"/>
      <c r="CL996" s="1392" t="n"/>
    </row>
    <row r="997">
      <c r="A997" s="5" t="inlineStr">
        <is>
          <t>.</t>
        </is>
      </c>
      <c r="B997" s="5" t="inlineStr">
        <is>
          <t>.</t>
        </is>
      </c>
      <c r="C997" s="1378">
        <f>IF(raw[[#This Row],[city]]="","-",IF(raw[[#This Row],[city]]="TODAY","-",C996+1))</f>
        <v/>
      </c>
      <c r="D997" s="1393" t="inlineStr">
        <is>
          <t>SSA</t>
        </is>
      </c>
      <c r="E997" s="1394" t="n">
        <v>38808</v>
      </c>
      <c r="F997" s="1394" t="n">
        <v>38826</v>
      </c>
      <c r="G997" s="1393" t="n">
        <v>1</v>
      </c>
      <c r="H997" s="1393" t="inlineStr">
        <is>
          <t>Ondina</t>
        </is>
      </c>
      <c r="I997" s="1393" t="inlineStr">
        <is>
          <t>-</t>
        </is>
      </c>
      <c r="J997" s="1393" t="inlineStr">
        <is>
          <t>-</t>
        </is>
      </c>
      <c r="K997" s="1395">
        <f>IF(raw[[#This Row],[city]]&lt;&gt;"",_xlfn.XLOOKUP($D997,ccc[city],ccc[prov],"-"),"-")</f>
        <v/>
      </c>
      <c r="L997" s="1395">
        <f>IF(raw[[#This Row],[city]]&lt;&gt;"",_xlfn.XLOOKUP($D997,ccc[city],ccc[ctry],"-"),"-")</f>
        <v/>
      </c>
      <c r="M997" s="1395">
        <f>IF(raw[[#This Row],[city]]&lt;&gt;"",_xlfn.XLOOKUP($D997,ccc[city],ccc[cont],"-"),"-")</f>
        <v/>
      </c>
      <c r="N997" s="1396">
        <f>IF(raw[[#This Row],[city]]="","-",IF(raw[[#This Row],[cont]]="B",raw[[#This Row],[cont]],"W"))</f>
        <v/>
      </c>
      <c r="O997" s="1397">
        <f>IF(raw[[#This Row],[out]]=0,0,IF(raw[[#This Row],[out]]=raw[[#This Row],[in]],0.01,raw[[#This Row],[out]]-raw[[#This Row],[in]]))</f>
        <v/>
      </c>
      <c r="P997" s="1397">
        <f>IF(raw[[#This Row],[in]]=0,0,MONTH(raw[[#This Row],[in]]))</f>
        <v/>
      </c>
      <c r="Q997" s="1397">
        <f>IF(raw[[#This Row],[in]]=0,0,YEAR(raw[[#This Row],[in]]))</f>
        <v/>
      </c>
      <c r="R997" s="1397">
        <f>INT(raw[[#This Row],[yr]]/10)*10</f>
        <v/>
      </c>
      <c r="S997" s="1395">
        <f>IF(raw[[#This Row],[city]]="","-",IF(raw[[#This Row],[city]]&lt;&gt;_xlfn.XLOOKUP(raw[[#This Row],[home]],homes[home],homes[city],"-"),1,0))</f>
        <v/>
      </c>
      <c r="T997" s="1398" t="inlineStr">
        <is>
          <t>.</t>
        </is>
      </c>
      <c r="U997" s="1399">
        <f>IF(raw[[#This Row],[wb]]="w",raw[[#This Row],[stay]]+U996,U996)</f>
        <v/>
      </c>
      <c r="V997" s="1400">
        <f>IF(raw[[#This Row],[out]]=0,V996,(raw[[#This Row],[out]]-E$5))</f>
        <v/>
      </c>
      <c r="W997" s="1401">
        <f>U997/V997</f>
        <v/>
      </c>
      <c r="X997" s="1392" t="n"/>
      <c r="Y997" s="1392" t="n"/>
      <c r="Z997" s="1392" t="n"/>
      <c r="AA997" s="1392" t="n"/>
      <c r="AB997" s="1392" t="n"/>
      <c r="AC997" s="1392" t="n"/>
      <c r="AD997" s="1392" t="n"/>
      <c r="AE997" s="1392" t="n"/>
      <c r="AF997" s="1392" t="n"/>
      <c r="AG997" s="1392" t="n"/>
      <c r="AH997" s="1392" t="n"/>
      <c r="AI997" s="1392" t="n"/>
      <c r="AJ997" s="1392" t="n"/>
      <c r="AK997" s="1392" t="n"/>
      <c r="AL997" s="1392" t="n"/>
      <c r="AM997" s="1392" t="n"/>
      <c r="AN997" s="1392" t="n"/>
      <c r="AO997" s="1392" t="n"/>
      <c r="AP997" s="1392" t="n"/>
      <c r="AQ997" s="1392" t="n"/>
      <c r="AR997" s="1422" t="n"/>
      <c r="AS997" s="1422" t="n"/>
      <c r="AT997" s="1392" t="n"/>
      <c r="AU997" s="1392" t="n"/>
      <c r="AV997" s="1392" t="n"/>
      <c r="AW997" s="1392" t="n"/>
      <c r="AX997" s="1392" t="n"/>
      <c r="AY997" s="1392" t="n"/>
      <c r="AZ997" s="1392" t="n"/>
      <c r="BA997" s="1422" t="n"/>
      <c r="BB997" s="1422" t="n"/>
      <c r="BC997" s="1392" t="n"/>
      <c r="BD997" s="1392" t="n"/>
      <c r="BE997" s="1392" t="n"/>
      <c r="BF997" s="1392" t="n"/>
      <c r="BG997" s="1392" t="n"/>
      <c r="BH997" s="1392" t="n"/>
      <c r="BI997" s="1392" t="n"/>
      <c r="BJ997" s="1392" t="n"/>
      <c r="BK997" s="1392" t="n"/>
      <c r="BL997" s="1392" t="n"/>
      <c r="BM997" s="1392" t="n"/>
      <c r="BN997" s="1392" t="n"/>
      <c r="BO997" s="1392" t="n"/>
      <c r="BP997" s="1392" t="n"/>
      <c r="BQ997" s="1392" t="n"/>
      <c r="BR997" s="1392" t="n"/>
      <c r="BS997" s="1392" t="n"/>
      <c r="BT997" s="1392" t="n"/>
      <c r="BU997" s="1392" t="n"/>
      <c r="BV997" s="1392" t="n"/>
      <c r="BW997" s="1392" t="n"/>
      <c r="BX997" s="1392" t="n"/>
      <c r="BY997" s="1392" t="n"/>
      <c r="BZ997" s="1392" t="n"/>
      <c r="CA997" s="1392" t="n"/>
      <c r="CB997" s="1392" t="n"/>
      <c r="CC997" s="1392" t="n"/>
      <c r="CD997" s="1392" t="n"/>
      <c r="CE997" s="1392" t="n"/>
      <c r="CF997" s="1392" t="n"/>
      <c r="CG997" s="1392" t="n"/>
      <c r="CH997" s="1392" t="n"/>
      <c r="CI997" s="1392" t="n"/>
      <c r="CJ997" s="1392" t="n"/>
      <c r="CK997" s="1392" t="n"/>
      <c r="CL997" s="1392" t="n"/>
    </row>
    <row r="998">
      <c r="A998" s="5" t="inlineStr">
        <is>
          <t>.</t>
        </is>
      </c>
      <c r="B998" s="5" t="inlineStr">
        <is>
          <t>.</t>
        </is>
      </c>
      <c r="C998" s="1378">
        <f>IF(raw[[#This Row],[city]]="","-",IF(raw[[#This Row],[city]]="TODAY","-",C997+1))</f>
        <v/>
      </c>
      <c r="D998" s="1393" t="inlineStr">
        <is>
          <t>SP</t>
        </is>
      </c>
      <c r="E998" s="1394" t="n">
        <v>38826</v>
      </c>
      <c r="F998" s="1394" t="n">
        <v>38838</v>
      </c>
      <c r="G998" s="1393" t="inlineStr">
        <is>
          <t>-</t>
        </is>
      </c>
      <c r="H998" s="1393" t="inlineStr">
        <is>
          <t>Ondina</t>
        </is>
      </c>
      <c r="I998" s="1393" t="inlineStr">
        <is>
          <t>Salto Grande</t>
        </is>
      </c>
      <c r="J998" s="1393" t="inlineStr">
        <is>
          <t>-</t>
        </is>
      </c>
      <c r="K998" s="1395">
        <f>IF(raw[[#This Row],[city]]&lt;&gt;"",_xlfn.XLOOKUP($D998,ccc[city],ccc[prov],"-"),"-")</f>
        <v/>
      </c>
      <c r="L998" s="1395">
        <f>IF(raw[[#This Row],[city]]&lt;&gt;"",_xlfn.XLOOKUP($D998,ccc[city],ccc[ctry],"-"),"-")</f>
        <v/>
      </c>
      <c r="M998" s="1395">
        <f>IF(raw[[#This Row],[city]]&lt;&gt;"",_xlfn.XLOOKUP($D998,ccc[city],ccc[cont],"-"),"-")</f>
        <v/>
      </c>
      <c r="N998" s="1396">
        <f>IF(raw[[#This Row],[city]]="","-",IF(raw[[#This Row],[cont]]="B",raw[[#This Row],[cont]],"W"))</f>
        <v/>
      </c>
      <c r="O998" s="1397">
        <f>IF(raw[[#This Row],[out]]=0,0,IF(raw[[#This Row],[out]]=raw[[#This Row],[in]],0.01,raw[[#This Row],[out]]-raw[[#This Row],[in]]))</f>
        <v/>
      </c>
      <c r="P998" s="1397">
        <f>IF(raw[[#This Row],[in]]=0,0,MONTH(raw[[#This Row],[in]]))</f>
        <v/>
      </c>
      <c r="Q998" s="1397">
        <f>IF(raw[[#This Row],[in]]=0,0,YEAR(raw[[#This Row],[in]]))</f>
        <v/>
      </c>
      <c r="R998" s="1397">
        <f>INT(raw[[#This Row],[yr]]/10)*10</f>
        <v/>
      </c>
      <c r="S998" s="1395">
        <f>IF(raw[[#This Row],[city]]="","-",IF(raw[[#This Row],[city]]&lt;&gt;_xlfn.XLOOKUP(raw[[#This Row],[home]],homes[home],homes[city],"-"),1,0))</f>
        <v/>
      </c>
      <c r="T998" s="1398" t="inlineStr">
        <is>
          <t>.</t>
        </is>
      </c>
      <c r="U998" s="1399">
        <f>IF(raw[[#This Row],[wb]]="w",raw[[#This Row],[stay]]+U997,U997)</f>
        <v/>
      </c>
      <c r="V998" s="1400">
        <f>IF(raw[[#This Row],[out]]=0,V997,(raw[[#This Row],[out]]-E$5))</f>
        <v/>
      </c>
      <c r="W998" s="1401">
        <f>U998/V998</f>
        <v/>
      </c>
      <c r="X998" s="1392" t="n"/>
      <c r="Y998" s="1392" t="n"/>
      <c r="Z998" s="1392" t="n"/>
      <c r="AA998" s="1392" t="n"/>
      <c r="AB998" s="1392" t="n"/>
      <c r="AC998" s="1392" t="n"/>
      <c r="AD998" s="1392" t="n"/>
      <c r="AE998" s="1392" t="n"/>
      <c r="AF998" s="1392" t="n"/>
      <c r="AG998" s="1392" t="n"/>
      <c r="AH998" s="1392" t="n"/>
      <c r="AI998" s="1392" t="n"/>
      <c r="AJ998" s="1392" t="n"/>
      <c r="AK998" s="1392" t="n"/>
      <c r="AL998" s="1392" t="n"/>
      <c r="AM998" s="1392" t="n"/>
      <c r="AN998" s="1392" t="n"/>
      <c r="AO998" s="1392" t="n"/>
      <c r="AP998" s="1392" t="n"/>
      <c r="AQ998" s="1392" t="n"/>
      <c r="AR998" s="1422" t="n"/>
      <c r="AS998" s="1422" t="n"/>
      <c r="AT998" s="1392" t="n"/>
      <c r="AU998" s="1392" t="n"/>
      <c r="AV998" s="1392" t="n"/>
      <c r="AW998" s="1392" t="n"/>
      <c r="AX998" s="1392" t="n"/>
      <c r="AY998" s="1392" t="n"/>
      <c r="AZ998" s="1392" t="n"/>
      <c r="BA998" s="1422" t="n"/>
      <c r="BB998" s="1422" t="n"/>
      <c r="BC998" s="1392" t="n"/>
      <c r="BD998" s="1392" t="n"/>
      <c r="BE998" s="1392" t="n"/>
      <c r="BF998" s="1392" t="n"/>
      <c r="BG998" s="1392" t="n"/>
      <c r="BH998" s="1392" t="n"/>
      <c r="BI998" s="1392" t="n"/>
      <c r="BJ998" s="1392" t="n"/>
      <c r="BK998" s="1392" t="n"/>
      <c r="BL998" s="1392" t="n"/>
      <c r="BM998" s="1392" t="n"/>
      <c r="BN998" s="1392" t="n"/>
      <c r="BO998" s="1392" t="n"/>
      <c r="BP998" s="1392" t="n"/>
      <c r="BQ998" s="1392" t="n"/>
      <c r="BR998" s="1392" t="n"/>
      <c r="BS998" s="1392" t="n"/>
      <c r="BT998" s="1392" t="n"/>
      <c r="BU998" s="1392" t="n"/>
      <c r="BV998" s="1392" t="n"/>
      <c r="BW998" s="1392" t="n"/>
      <c r="BX998" s="1392" t="n"/>
      <c r="BY998" s="1392" t="n"/>
      <c r="BZ998" s="1392" t="n"/>
      <c r="CA998" s="1392" t="n"/>
      <c r="CB998" s="1392" t="n"/>
      <c r="CC998" s="1392" t="n"/>
      <c r="CD998" s="1392" t="n"/>
      <c r="CE998" s="1392" t="n"/>
      <c r="CF998" s="1392" t="n"/>
      <c r="CG998" s="1392" t="n"/>
      <c r="CH998" s="1392" t="n"/>
      <c r="CI998" s="1392" t="n"/>
      <c r="CJ998" s="1392" t="n"/>
      <c r="CK998" s="1392" t="n"/>
      <c r="CL998" s="1392" t="n"/>
    </row>
    <row r="999">
      <c r="A999" s="5" t="inlineStr">
        <is>
          <t>.</t>
        </is>
      </c>
      <c r="B999" s="5" t="inlineStr">
        <is>
          <t>.</t>
        </is>
      </c>
      <c r="C999" s="1378">
        <f>IF(raw[[#This Row],[city]]="","-",IF(raw[[#This Row],[city]]="TODAY","-",C998+1))</f>
        <v/>
      </c>
      <c r="D999" s="1393" t="inlineStr">
        <is>
          <t>SP</t>
        </is>
      </c>
      <c r="E999" s="1394" t="n">
        <v>38838</v>
      </c>
      <c r="F999" s="1394" t="n">
        <v>38841</v>
      </c>
      <c r="G999" s="1393" t="n">
        <v>1</v>
      </c>
      <c r="H999" s="1393" t="inlineStr">
        <is>
          <t>Ondina</t>
        </is>
      </c>
      <c r="I999" s="1393" t="inlineStr">
        <is>
          <t>Salto Grande</t>
        </is>
      </c>
      <c r="J999" s="1393" t="inlineStr">
        <is>
          <t>-</t>
        </is>
      </c>
      <c r="K999" s="1395">
        <f>IF(raw[[#This Row],[city]]&lt;&gt;"",_xlfn.XLOOKUP($D999,ccc[city],ccc[prov],"-"),"-")</f>
        <v/>
      </c>
      <c r="L999" s="1395">
        <f>IF(raw[[#This Row],[city]]&lt;&gt;"",_xlfn.XLOOKUP($D999,ccc[city],ccc[ctry],"-"),"-")</f>
        <v/>
      </c>
      <c r="M999" s="1395">
        <f>IF(raw[[#This Row],[city]]&lt;&gt;"",_xlfn.XLOOKUP($D999,ccc[city],ccc[cont],"-"),"-")</f>
        <v/>
      </c>
      <c r="N999" s="1396">
        <f>IF(raw[[#This Row],[city]]="","-",IF(raw[[#This Row],[cont]]="B",raw[[#This Row],[cont]],"W"))</f>
        <v/>
      </c>
      <c r="O999" s="1397">
        <f>IF(raw[[#This Row],[out]]=0,0,IF(raw[[#This Row],[out]]=raw[[#This Row],[in]],0.01,raw[[#This Row],[out]]-raw[[#This Row],[in]]))</f>
        <v/>
      </c>
      <c r="P999" s="1397">
        <f>IF(raw[[#This Row],[in]]=0,0,MONTH(raw[[#This Row],[in]]))</f>
        <v/>
      </c>
      <c r="Q999" s="1397">
        <f>IF(raw[[#This Row],[in]]=0,0,YEAR(raw[[#This Row],[in]]))</f>
        <v/>
      </c>
      <c r="R999" s="1397">
        <f>INT(raw[[#This Row],[yr]]/10)*10</f>
        <v/>
      </c>
      <c r="S999" s="1395">
        <f>IF(raw[[#This Row],[city]]="","-",IF(raw[[#This Row],[city]]&lt;&gt;_xlfn.XLOOKUP(raw[[#This Row],[home]],homes[home],homes[city],"-"),1,0))</f>
        <v/>
      </c>
      <c r="T999" s="1398" t="inlineStr">
        <is>
          <t>.</t>
        </is>
      </c>
      <c r="U999" s="1399">
        <f>IF(raw[[#This Row],[wb]]="w",raw[[#This Row],[stay]]+U998,U998)</f>
        <v/>
      </c>
      <c r="V999" s="1400">
        <f>IF(raw[[#This Row],[out]]=0,V998,(raw[[#This Row],[out]]-E$5))</f>
        <v/>
      </c>
      <c r="W999" s="1401">
        <f>U999/V999</f>
        <v/>
      </c>
      <c r="X999" s="1392" t="n"/>
      <c r="Y999" s="1392" t="n"/>
      <c r="Z999" s="1392" t="n"/>
      <c r="AA999" s="1392" t="n"/>
      <c r="AB999" s="1392" t="n"/>
      <c r="AC999" s="1392" t="n"/>
      <c r="AD999" s="1392" t="n"/>
      <c r="AE999" s="1392" t="n"/>
      <c r="AF999" s="1392" t="n"/>
      <c r="AG999" s="1392" t="n"/>
      <c r="AH999" s="1392" t="n"/>
      <c r="AI999" s="1392" t="n"/>
      <c r="AJ999" s="1392" t="n"/>
      <c r="AK999" s="1392" t="n"/>
      <c r="AL999" s="1392" t="n"/>
      <c r="AM999" s="1392" t="n"/>
      <c r="AN999" s="1392" t="n"/>
      <c r="AO999" s="1392" t="n"/>
      <c r="AP999" s="1392" t="n"/>
      <c r="AQ999" s="1392" t="n"/>
      <c r="AR999" s="1422" t="n"/>
      <c r="AS999" s="1422" t="n"/>
      <c r="AT999" s="1392" t="n"/>
      <c r="AU999" s="1392" t="n"/>
      <c r="AV999" s="1392" t="n"/>
      <c r="AW999" s="1392" t="n"/>
      <c r="AX999" s="1392" t="n"/>
      <c r="AY999" s="1392" t="n"/>
      <c r="AZ999" s="1392" t="n"/>
      <c r="BA999" s="1422" t="n"/>
      <c r="BB999" s="1422" t="n"/>
      <c r="BC999" s="1392" t="n"/>
      <c r="BD999" s="1392" t="n"/>
      <c r="BE999" s="1392" t="n"/>
      <c r="BF999" s="1392" t="n"/>
      <c r="BG999" s="1392" t="n"/>
      <c r="BH999" s="1392" t="n"/>
      <c r="BI999" s="1392" t="n"/>
      <c r="BJ999" s="1392" t="n"/>
      <c r="BK999" s="1392" t="n"/>
      <c r="BL999" s="1392" t="n"/>
      <c r="BM999" s="1392" t="n"/>
      <c r="BN999" s="1392" t="n"/>
      <c r="BO999" s="1392" t="n"/>
      <c r="BP999" s="1392" t="n"/>
      <c r="BQ999" s="1392" t="n"/>
      <c r="BR999" s="1392" t="n"/>
      <c r="BS999" s="1392" t="n"/>
      <c r="BT999" s="1392" t="n"/>
      <c r="BU999" s="1392" t="n"/>
      <c r="BV999" s="1392" t="n"/>
      <c r="BW999" s="1392" t="n"/>
      <c r="BX999" s="1392" t="n"/>
      <c r="BY999" s="1392" t="n"/>
      <c r="BZ999" s="1392" t="n"/>
      <c r="CA999" s="1392" t="n"/>
      <c r="CB999" s="1392" t="n"/>
      <c r="CC999" s="1392" t="n"/>
      <c r="CD999" s="1392" t="n"/>
      <c r="CE999" s="1392" t="n"/>
      <c r="CF999" s="1392" t="n"/>
      <c r="CG999" s="1392" t="n"/>
      <c r="CH999" s="1392" t="n"/>
      <c r="CI999" s="1392" t="n"/>
      <c r="CJ999" s="1392" t="n"/>
      <c r="CK999" s="1392" t="n"/>
      <c r="CL999" s="1392" t="n"/>
    </row>
    <row r="1000">
      <c r="A1000" s="5" t="inlineStr">
        <is>
          <t>.</t>
        </is>
      </c>
      <c r="B1000" s="5" t="inlineStr">
        <is>
          <t>.</t>
        </is>
      </c>
      <c r="C1000" s="1378">
        <f>IF(raw[[#This Row],[city]]="","-",IF(raw[[#This Row],[city]]="TODAY","-",C999+1))</f>
        <v/>
      </c>
      <c r="D1000" s="1393" t="inlineStr">
        <is>
          <t>SSA</t>
        </is>
      </c>
      <c r="E1000" s="1394" t="n">
        <v>38841</v>
      </c>
      <c r="F1000" s="1394" t="n">
        <v>38869</v>
      </c>
      <c r="G1000" s="1393" t="n">
        <v>1</v>
      </c>
      <c r="H1000" s="1393" t="inlineStr">
        <is>
          <t>Ondina</t>
        </is>
      </c>
      <c r="I1000" s="1393" t="inlineStr">
        <is>
          <t>-</t>
        </is>
      </c>
      <c r="J1000" s="1393" t="inlineStr">
        <is>
          <t>-</t>
        </is>
      </c>
      <c r="K1000" s="1395">
        <f>IF(raw[[#This Row],[city]]&lt;&gt;"",_xlfn.XLOOKUP($D1000,ccc[city],ccc[prov],"-"),"-")</f>
        <v/>
      </c>
      <c r="L1000" s="1395">
        <f>IF(raw[[#This Row],[city]]&lt;&gt;"",_xlfn.XLOOKUP($D1000,ccc[city],ccc[ctry],"-"),"-")</f>
        <v/>
      </c>
      <c r="M1000" s="1395">
        <f>IF(raw[[#This Row],[city]]&lt;&gt;"",_xlfn.XLOOKUP($D1000,ccc[city],ccc[cont],"-"),"-")</f>
        <v/>
      </c>
      <c r="N1000" s="1396">
        <f>IF(raw[[#This Row],[city]]="","-",IF(raw[[#This Row],[cont]]="B",raw[[#This Row],[cont]],"W"))</f>
        <v/>
      </c>
      <c r="O1000" s="1397">
        <f>IF(raw[[#This Row],[out]]=0,0,IF(raw[[#This Row],[out]]=raw[[#This Row],[in]],0.01,raw[[#This Row],[out]]-raw[[#This Row],[in]]))</f>
        <v/>
      </c>
      <c r="P1000" s="1397">
        <f>IF(raw[[#This Row],[in]]=0,0,MONTH(raw[[#This Row],[in]]))</f>
        <v/>
      </c>
      <c r="Q1000" s="1397">
        <f>IF(raw[[#This Row],[in]]=0,0,YEAR(raw[[#This Row],[in]]))</f>
        <v/>
      </c>
      <c r="R1000" s="1397">
        <f>INT(raw[[#This Row],[yr]]/10)*10</f>
        <v/>
      </c>
      <c r="S1000" s="1395">
        <f>IF(raw[[#This Row],[city]]="","-",IF(raw[[#This Row],[city]]&lt;&gt;_xlfn.XLOOKUP(raw[[#This Row],[home]],homes[home],homes[city],"-"),1,0))</f>
        <v/>
      </c>
      <c r="T1000" s="1398" t="inlineStr">
        <is>
          <t>.</t>
        </is>
      </c>
      <c r="U1000" s="1399">
        <f>IF(raw[[#This Row],[wb]]="w",raw[[#This Row],[stay]]+U999,U999)</f>
        <v/>
      </c>
      <c r="V1000" s="1400">
        <f>IF(raw[[#This Row],[out]]=0,V999,(raw[[#This Row],[out]]-E$5))</f>
        <v/>
      </c>
      <c r="W1000" s="1401">
        <f>U1000/V1000</f>
        <v/>
      </c>
      <c r="X1000" s="1392" t="n"/>
      <c r="Y1000" s="1392" t="n"/>
      <c r="Z1000" s="1392" t="n"/>
      <c r="AA1000" s="1392" t="n"/>
      <c r="AB1000" s="1392" t="n"/>
      <c r="AC1000" s="1392" t="n"/>
      <c r="AD1000" s="1392" t="n"/>
      <c r="AE1000" s="1392" t="n"/>
      <c r="AF1000" s="1392" t="n"/>
      <c r="AG1000" s="1392" t="n"/>
      <c r="AH1000" s="1392" t="n"/>
      <c r="AI1000" s="1392" t="n"/>
      <c r="AJ1000" s="1392" t="n"/>
      <c r="AK1000" s="1392" t="n"/>
      <c r="AL1000" s="1392" t="n"/>
      <c r="AM1000" s="1392" t="n"/>
      <c r="AN1000" s="1392" t="n"/>
      <c r="AO1000" s="1392" t="n"/>
      <c r="AP1000" s="1392" t="n"/>
      <c r="AQ1000" s="1392" t="n"/>
      <c r="AR1000" s="1422" t="n"/>
      <c r="AS1000" s="1422" t="n"/>
      <c r="AT1000" s="1392" t="n"/>
      <c r="AU1000" s="1392" t="n"/>
      <c r="AV1000" s="1392" t="n"/>
      <c r="AW1000" s="1392" t="n"/>
      <c r="AX1000" s="1392" t="n"/>
      <c r="AY1000" s="1392" t="n"/>
      <c r="AZ1000" s="1392" t="n"/>
      <c r="BA1000" s="1422" t="n"/>
      <c r="BB1000" s="1422" t="n"/>
      <c r="BC1000" s="1392" t="n"/>
      <c r="BD1000" s="1392" t="n"/>
      <c r="BE1000" s="1392" t="n"/>
      <c r="BF1000" s="1392" t="n"/>
      <c r="BG1000" s="1392" t="n"/>
      <c r="BH1000" s="1392" t="n"/>
      <c r="BI1000" s="1392" t="n"/>
      <c r="BJ1000" s="1392" t="n"/>
      <c r="BK1000" s="1392" t="n"/>
      <c r="BL1000" s="1392" t="n"/>
      <c r="BM1000" s="1392" t="n"/>
      <c r="BN1000" s="1392" t="n"/>
      <c r="BO1000" s="1392" t="n"/>
      <c r="BP1000" s="1392" t="n"/>
      <c r="BQ1000" s="1392" t="n"/>
      <c r="BR1000" s="1392" t="n"/>
      <c r="BS1000" s="1392" t="n"/>
      <c r="BT1000" s="1392" t="n"/>
      <c r="BU1000" s="1392" t="n"/>
      <c r="BV1000" s="1392" t="n"/>
      <c r="BW1000" s="1392" t="n"/>
      <c r="BX1000" s="1392" t="n"/>
      <c r="BY1000" s="1392" t="n"/>
      <c r="BZ1000" s="1392" t="n"/>
      <c r="CA1000" s="1392" t="n"/>
      <c r="CB1000" s="1392" t="n"/>
      <c r="CC1000" s="1392" t="n"/>
      <c r="CD1000" s="1392" t="n"/>
      <c r="CE1000" s="1392" t="n"/>
      <c r="CF1000" s="1392" t="n"/>
      <c r="CG1000" s="1392" t="n"/>
      <c r="CH1000" s="1392" t="n"/>
      <c r="CI1000" s="1392" t="n"/>
      <c r="CJ1000" s="1392" t="n"/>
      <c r="CK1000" s="1392" t="n"/>
      <c r="CL1000" s="1392" t="n"/>
    </row>
    <row r="1001">
      <c r="A1001" s="5" t="inlineStr">
        <is>
          <t>.</t>
        </is>
      </c>
      <c r="B1001" s="5" t="inlineStr">
        <is>
          <t>.</t>
        </is>
      </c>
      <c r="C1001" s="1378">
        <f>IF(raw[[#This Row],[city]]="","-",IF(raw[[#This Row],[city]]="TODAY","-",C1000+1))</f>
        <v/>
      </c>
      <c r="D1001" s="1393" t="inlineStr">
        <is>
          <t>SP</t>
        </is>
      </c>
      <c r="E1001" s="1394" t="n">
        <v>38869</v>
      </c>
      <c r="F1001" s="1394" t="n">
        <v>38897</v>
      </c>
      <c r="G1001" s="1393" t="n">
        <v>1</v>
      </c>
      <c r="H1001" s="1393" t="inlineStr">
        <is>
          <t>Ondina</t>
        </is>
      </c>
      <c r="I1001" s="1393" t="inlineStr">
        <is>
          <t>Salto Grande</t>
        </is>
      </c>
      <c r="J1001" s="1393" t="inlineStr">
        <is>
          <t>-</t>
        </is>
      </c>
      <c r="K1001" s="1395">
        <f>IF(raw[[#This Row],[city]]&lt;&gt;"",_xlfn.XLOOKUP($D1001,ccc[city],ccc[prov],"-"),"-")</f>
        <v/>
      </c>
      <c r="L1001" s="1395">
        <f>IF(raw[[#This Row],[city]]&lt;&gt;"",_xlfn.XLOOKUP($D1001,ccc[city],ccc[ctry],"-"),"-")</f>
        <v/>
      </c>
      <c r="M1001" s="1395">
        <f>IF(raw[[#This Row],[city]]&lt;&gt;"",_xlfn.XLOOKUP($D1001,ccc[city],ccc[cont],"-"),"-")</f>
        <v/>
      </c>
      <c r="N1001" s="1396">
        <f>IF(raw[[#This Row],[city]]="","-",IF(raw[[#This Row],[cont]]="B",raw[[#This Row],[cont]],"W"))</f>
        <v/>
      </c>
      <c r="O1001" s="1397">
        <f>IF(raw[[#This Row],[out]]=0,0,IF(raw[[#This Row],[out]]=raw[[#This Row],[in]],0.01,raw[[#This Row],[out]]-raw[[#This Row],[in]]))</f>
        <v/>
      </c>
      <c r="P1001" s="1397">
        <f>IF(raw[[#This Row],[in]]=0,0,MONTH(raw[[#This Row],[in]]))</f>
        <v/>
      </c>
      <c r="Q1001" s="1397">
        <f>IF(raw[[#This Row],[in]]=0,0,YEAR(raw[[#This Row],[in]]))</f>
        <v/>
      </c>
      <c r="R1001" s="1397">
        <f>INT(raw[[#This Row],[yr]]/10)*10</f>
        <v/>
      </c>
      <c r="S1001" s="1395">
        <f>IF(raw[[#This Row],[city]]="","-",IF(raw[[#This Row],[city]]&lt;&gt;_xlfn.XLOOKUP(raw[[#This Row],[home]],homes[home],homes[city],"-"),1,0))</f>
        <v/>
      </c>
      <c r="T1001" s="1398" t="inlineStr">
        <is>
          <t>.</t>
        </is>
      </c>
      <c r="U1001" s="1399">
        <f>IF(raw[[#This Row],[wb]]="w",raw[[#This Row],[stay]]+U1000,U1000)</f>
        <v/>
      </c>
      <c r="V1001" s="1400">
        <f>IF(raw[[#This Row],[out]]=0,V1000,(raw[[#This Row],[out]]-E$5))</f>
        <v/>
      </c>
      <c r="W1001" s="1401">
        <f>U1001/V1001</f>
        <v/>
      </c>
      <c r="X1001" s="1392" t="n"/>
      <c r="Y1001" s="1392" t="n"/>
      <c r="Z1001" s="1392" t="n"/>
      <c r="AA1001" s="1392" t="n"/>
      <c r="AB1001" s="1392" t="n"/>
      <c r="AC1001" s="1392" t="n"/>
      <c r="AD1001" s="1392" t="n"/>
      <c r="AE1001" s="1392" t="n"/>
      <c r="AF1001" s="1392" t="n"/>
      <c r="AG1001" s="1392" t="n"/>
      <c r="AH1001" s="1392" t="n"/>
      <c r="AI1001" s="1392" t="n"/>
      <c r="AJ1001" s="1392" t="n"/>
      <c r="AK1001" s="1392" t="n"/>
      <c r="AL1001" s="1392" t="n"/>
      <c r="AM1001" s="1392" t="n"/>
      <c r="AN1001" s="1392" t="n"/>
      <c r="AO1001" s="1392" t="n"/>
      <c r="AP1001" s="1392" t="n"/>
      <c r="AQ1001" s="1392" t="n"/>
      <c r="AR1001" s="1422" t="n"/>
      <c r="AS1001" s="1422" t="n"/>
      <c r="AT1001" s="1392" t="n"/>
      <c r="AU1001" s="1392" t="n"/>
      <c r="AV1001" s="1392" t="n"/>
      <c r="AW1001" s="1392" t="n"/>
      <c r="AX1001" s="1392" t="n"/>
      <c r="AY1001" s="1392" t="n"/>
      <c r="AZ1001" s="1392" t="n"/>
      <c r="BA1001" s="1422" t="n"/>
      <c r="BB1001" s="1422" t="n"/>
      <c r="BC1001" s="1392" t="n"/>
      <c r="BD1001" s="1392" t="n"/>
      <c r="BE1001" s="1392" t="n"/>
      <c r="BF1001" s="1392" t="n"/>
      <c r="BG1001" s="1392" t="n"/>
      <c r="BH1001" s="1392" t="n"/>
      <c r="BI1001" s="1392" t="n"/>
      <c r="BJ1001" s="1392" t="n"/>
      <c r="BK1001" s="1392" t="n"/>
      <c r="BL1001" s="1392" t="n"/>
      <c r="BM1001" s="1392" t="n"/>
      <c r="BN1001" s="1392" t="n"/>
      <c r="BO1001" s="1392" t="n"/>
      <c r="BP1001" s="1392" t="n"/>
      <c r="BQ1001" s="1392" t="n"/>
      <c r="BR1001" s="1392" t="n"/>
      <c r="BS1001" s="1392" t="n"/>
      <c r="BT1001" s="1392" t="n"/>
      <c r="BU1001" s="1392" t="n"/>
      <c r="BV1001" s="1392" t="n"/>
      <c r="BW1001" s="1392" t="n"/>
      <c r="BX1001" s="1392" t="n"/>
      <c r="BY1001" s="1392" t="n"/>
      <c r="BZ1001" s="1392" t="n"/>
      <c r="CA1001" s="1392" t="n"/>
      <c r="CB1001" s="1392" t="n"/>
      <c r="CC1001" s="1392" t="n"/>
      <c r="CD1001" s="1392" t="n"/>
      <c r="CE1001" s="1392" t="n"/>
      <c r="CF1001" s="1392" t="n"/>
      <c r="CG1001" s="1392" t="n"/>
      <c r="CH1001" s="1392" t="n"/>
      <c r="CI1001" s="1392" t="n"/>
      <c r="CJ1001" s="1392" t="n"/>
      <c r="CK1001" s="1392" t="n"/>
      <c r="CL1001" s="1392" t="n"/>
    </row>
    <row r="1002">
      <c r="A1002" s="5" t="inlineStr">
        <is>
          <t>.</t>
        </is>
      </c>
      <c r="B1002" s="5" t="inlineStr">
        <is>
          <t>.</t>
        </is>
      </c>
      <c r="C1002" s="1378">
        <f>IF(raw[[#This Row],[city]]="","-",IF(raw[[#This Row],[city]]="TODAY","-",C1001+1))</f>
        <v/>
      </c>
      <c r="D1002" s="1393" t="inlineStr">
        <is>
          <t>SSA</t>
        </is>
      </c>
      <c r="E1002" s="1394" t="n">
        <v>38897</v>
      </c>
      <c r="F1002" s="1394" t="n">
        <v>38899</v>
      </c>
      <c r="G1002" s="1393" t="inlineStr">
        <is>
          <t>-</t>
        </is>
      </c>
      <c r="H1002" s="1393" t="inlineStr">
        <is>
          <t>Ondina</t>
        </is>
      </c>
      <c r="I1002" s="1393" t="inlineStr">
        <is>
          <t>-</t>
        </is>
      </c>
      <c r="J1002" s="1393" t="inlineStr">
        <is>
          <t>-</t>
        </is>
      </c>
      <c r="K1002" s="1395">
        <f>IF(raw[[#This Row],[city]]&lt;&gt;"",_xlfn.XLOOKUP($D1002,ccc[city],ccc[prov],"-"),"-")</f>
        <v/>
      </c>
      <c r="L1002" s="1395">
        <f>IF(raw[[#This Row],[city]]&lt;&gt;"",_xlfn.XLOOKUP($D1002,ccc[city],ccc[ctry],"-"),"-")</f>
        <v/>
      </c>
      <c r="M1002" s="1395">
        <f>IF(raw[[#This Row],[city]]&lt;&gt;"",_xlfn.XLOOKUP($D1002,ccc[city],ccc[cont],"-"),"-")</f>
        <v/>
      </c>
      <c r="N1002" s="1396">
        <f>IF(raw[[#This Row],[city]]="","-",IF(raw[[#This Row],[cont]]="B",raw[[#This Row],[cont]],"W"))</f>
        <v/>
      </c>
      <c r="O1002" s="1397">
        <f>IF(raw[[#This Row],[out]]=0,0,IF(raw[[#This Row],[out]]=raw[[#This Row],[in]],0.01,raw[[#This Row],[out]]-raw[[#This Row],[in]]))</f>
        <v/>
      </c>
      <c r="P1002" s="1397">
        <f>IF(raw[[#This Row],[in]]=0,0,MONTH(raw[[#This Row],[in]]))</f>
        <v/>
      </c>
      <c r="Q1002" s="1397">
        <f>IF(raw[[#This Row],[in]]=0,0,YEAR(raw[[#This Row],[in]]))</f>
        <v/>
      </c>
      <c r="R1002" s="1397">
        <f>INT(raw[[#This Row],[yr]]/10)*10</f>
        <v/>
      </c>
      <c r="S1002" s="1395">
        <f>IF(raw[[#This Row],[city]]="","-",IF(raw[[#This Row],[city]]&lt;&gt;_xlfn.XLOOKUP(raw[[#This Row],[home]],homes[home],homes[city],"-"),1,0))</f>
        <v/>
      </c>
      <c r="T1002" s="1398" t="inlineStr">
        <is>
          <t>.</t>
        </is>
      </c>
      <c r="U1002" s="1399">
        <f>IF(raw[[#This Row],[wb]]="w",raw[[#This Row],[stay]]+U1001,U1001)</f>
        <v/>
      </c>
      <c r="V1002" s="1400">
        <f>IF(raw[[#This Row],[out]]=0,V1001,(raw[[#This Row],[out]]-E$5))</f>
        <v/>
      </c>
      <c r="W1002" s="1401">
        <f>U1002/V1002</f>
        <v/>
      </c>
      <c r="X1002" s="1392" t="n"/>
      <c r="Y1002" s="1392" t="n"/>
      <c r="Z1002" s="1392" t="n"/>
      <c r="AA1002" s="1392" t="n"/>
      <c r="AB1002" s="1392" t="n"/>
      <c r="AC1002" s="1392" t="n"/>
      <c r="AD1002" s="1392" t="n"/>
      <c r="AE1002" s="1392" t="n"/>
      <c r="AF1002" s="1392" t="n"/>
      <c r="AG1002" s="1392" t="n"/>
      <c r="AH1002" s="1392" t="n"/>
      <c r="AI1002" s="1392" t="n"/>
      <c r="AJ1002" s="1392" t="n"/>
      <c r="AK1002" s="1392" t="n"/>
      <c r="AL1002" s="1392" t="n"/>
      <c r="AM1002" s="1392" t="n"/>
      <c r="AN1002" s="1392" t="n"/>
      <c r="AO1002" s="1392" t="n"/>
      <c r="AP1002" s="1392" t="n"/>
      <c r="AQ1002" s="1392" t="n"/>
      <c r="AR1002" s="1422" t="n"/>
      <c r="AS1002" s="1422" t="n"/>
      <c r="AT1002" s="1392" t="n"/>
      <c r="AU1002" s="1392" t="n"/>
      <c r="AV1002" s="1392" t="n"/>
      <c r="AW1002" s="1392" t="n"/>
      <c r="AX1002" s="1392" t="n"/>
      <c r="AY1002" s="1392" t="n"/>
      <c r="AZ1002" s="1392" t="n"/>
      <c r="BA1002" s="1422" t="n"/>
      <c r="BB1002" s="1422" t="n"/>
      <c r="BC1002" s="1392" t="n"/>
      <c r="BD1002" s="1392" t="n"/>
      <c r="BE1002" s="1392" t="n"/>
      <c r="BF1002" s="1392" t="n"/>
      <c r="BG1002" s="1392" t="n"/>
      <c r="BH1002" s="1392" t="n"/>
      <c r="BI1002" s="1392" t="n"/>
      <c r="BJ1002" s="1392" t="n"/>
      <c r="BK1002" s="1392" t="n"/>
      <c r="BL1002" s="1392" t="n"/>
      <c r="BM1002" s="1392" t="n"/>
      <c r="BN1002" s="1392" t="n"/>
      <c r="BO1002" s="1392" t="n"/>
      <c r="BP1002" s="1392" t="n"/>
      <c r="BQ1002" s="1392" t="n"/>
      <c r="BR1002" s="1392" t="n"/>
      <c r="BS1002" s="1392" t="n"/>
      <c r="BT1002" s="1392" t="n"/>
      <c r="BU1002" s="1392" t="n"/>
      <c r="BV1002" s="1392" t="n"/>
      <c r="BW1002" s="1392" t="n"/>
      <c r="BX1002" s="1392" t="n"/>
      <c r="BY1002" s="1392" t="n"/>
      <c r="BZ1002" s="1392" t="n"/>
      <c r="CA1002" s="1392" t="n"/>
      <c r="CB1002" s="1392" t="n"/>
      <c r="CC1002" s="1392" t="n"/>
      <c r="CD1002" s="1392" t="n"/>
      <c r="CE1002" s="1392" t="n"/>
      <c r="CF1002" s="1392" t="n"/>
      <c r="CG1002" s="1392" t="n"/>
      <c r="CH1002" s="1392" t="n"/>
      <c r="CI1002" s="1392" t="n"/>
      <c r="CJ1002" s="1392" t="n"/>
      <c r="CK1002" s="1392" t="n"/>
      <c r="CL1002" s="1392" t="n"/>
    </row>
    <row r="1003">
      <c r="A1003" s="5" t="inlineStr">
        <is>
          <t>.</t>
        </is>
      </c>
      <c r="B1003" s="5" t="inlineStr">
        <is>
          <t>.</t>
        </is>
      </c>
      <c r="C1003" s="1378">
        <f>IF(raw[[#This Row],[city]]="","-",IF(raw[[#This Row],[city]]="TODAY","-",C1002+1))</f>
        <v/>
      </c>
      <c r="D1003" s="1393" t="inlineStr">
        <is>
          <t>SSA</t>
        </is>
      </c>
      <c r="E1003" s="1394" t="n">
        <v>38899</v>
      </c>
      <c r="F1003" s="1394" t="n">
        <v>38930</v>
      </c>
      <c r="G1003" s="1393" t="inlineStr">
        <is>
          <t>-</t>
        </is>
      </c>
      <c r="H1003" s="1393" t="inlineStr">
        <is>
          <t>Ondina</t>
        </is>
      </c>
      <c r="I1003" s="1393" t="inlineStr">
        <is>
          <t>-</t>
        </is>
      </c>
      <c r="J1003" s="1393" t="inlineStr">
        <is>
          <t>-</t>
        </is>
      </c>
      <c r="K1003" s="1395">
        <f>IF(raw[[#This Row],[city]]&lt;&gt;"",_xlfn.XLOOKUP($D1003,ccc[city],ccc[prov],"-"),"-")</f>
        <v/>
      </c>
      <c r="L1003" s="1395">
        <f>IF(raw[[#This Row],[city]]&lt;&gt;"",_xlfn.XLOOKUP($D1003,ccc[city],ccc[ctry],"-"),"-")</f>
        <v/>
      </c>
      <c r="M1003" s="1395">
        <f>IF(raw[[#This Row],[city]]&lt;&gt;"",_xlfn.XLOOKUP($D1003,ccc[city],ccc[cont],"-"),"-")</f>
        <v/>
      </c>
      <c r="N1003" s="1396">
        <f>IF(raw[[#This Row],[city]]="","-",IF(raw[[#This Row],[cont]]="B",raw[[#This Row],[cont]],"W"))</f>
        <v/>
      </c>
      <c r="O1003" s="1397">
        <f>IF(raw[[#This Row],[out]]=0,0,IF(raw[[#This Row],[out]]=raw[[#This Row],[in]],0.01,raw[[#This Row],[out]]-raw[[#This Row],[in]]))</f>
        <v/>
      </c>
      <c r="P1003" s="1397">
        <f>IF(raw[[#This Row],[in]]=0,0,MONTH(raw[[#This Row],[in]]))</f>
        <v/>
      </c>
      <c r="Q1003" s="1397">
        <f>IF(raw[[#This Row],[in]]=0,0,YEAR(raw[[#This Row],[in]]))</f>
        <v/>
      </c>
      <c r="R1003" s="1397">
        <f>INT(raw[[#This Row],[yr]]/10)*10</f>
        <v/>
      </c>
      <c r="S1003" s="1395">
        <f>IF(raw[[#This Row],[city]]="","-",IF(raw[[#This Row],[city]]&lt;&gt;_xlfn.XLOOKUP(raw[[#This Row],[home]],homes[home],homes[city],"-"),1,0))</f>
        <v/>
      </c>
      <c r="T1003" s="1398" t="inlineStr">
        <is>
          <t>.</t>
        </is>
      </c>
      <c r="U1003" s="1399">
        <f>IF(raw[[#This Row],[wb]]="w",raw[[#This Row],[stay]]+U1002,U1002)</f>
        <v/>
      </c>
      <c r="V1003" s="1400">
        <f>IF(raw[[#This Row],[out]]=0,V1002,(raw[[#This Row],[out]]-E$5))</f>
        <v/>
      </c>
      <c r="W1003" s="1401">
        <f>U1003/V1003</f>
        <v/>
      </c>
      <c r="X1003" s="1392" t="n"/>
      <c r="Y1003" s="1392" t="n"/>
      <c r="Z1003" s="1392" t="n"/>
      <c r="AA1003" s="1392" t="n"/>
      <c r="AB1003" s="1392" t="n"/>
      <c r="AC1003" s="1392" t="n"/>
      <c r="AD1003" s="1392" t="n"/>
      <c r="AE1003" s="1392" t="n"/>
      <c r="AF1003" s="1392" t="n"/>
      <c r="AG1003" s="1392" t="n"/>
      <c r="AH1003" s="1392" t="n"/>
      <c r="AI1003" s="1392" t="n"/>
      <c r="AJ1003" s="1392" t="n"/>
      <c r="AK1003" s="1392" t="n"/>
      <c r="AL1003" s="1392" t="n"/>
      <c r="AM1003" s="1392" t="n"/>
      <c r="AN1003" s="1392" t="n"/>
      <c r="AO1003" s="1392" t="n"/>
      <c r="AP1003" s="1392" t="n"/>
      <c r="AQ1003" s="1392" t="n"/>
      <c r="AR1003" s="1422" t="n"/>
      <c r="AS1003" s="1422" t="n"/>
      <c r="AT1003" s="1392" t="n"/>
      <c r="AU1003" s="1392" t="n"/>
      <c r="AV1003" s="1392" t="n"/>
      <c r="AW1003" s="1392" t="n"/>
      <c r="AX1003" s="1392" t="n"/>
      <c r="AY1003" s="1392" t="n"/>
      <c r="AZ1003" s="1392" t="n"/>
      <c r="BA1003" s="1422" t="n"/>
      <c r="BB1003" s="1422" t="n"/>
      <c r="BC1003" s="1392" t="n"/>
      <c r="BD1003" s="1392" t="n"/>
      <c r="BE1003" s="1392" t="n"/>
      <c r="BF1003" s="1392" t="n"/>
      <c r="BG1003" s="1392" t="n"/>
      <c r="BH1003" s="1392" t="n"/>
      <c r="BI1003" s="1392" t="n"/>
      <c r="BJ1003" s="1392" t="n"/>
      <c r="BK1003" s="1392" t="n"/>
      <c r="BL1003" s="1392" t="n"/>
      <c r="BM1003" s="1392" t="n"/>
      <c r="BN1003" s="1392" t="n"/>
      <c r="BO1003" s="1392" t="n"/>
      <c r="BP1003" s="1392" t="n"/>
      <c r="BQ1003" s="1392" t="n"/>
      <c r="BR1003" s="1392" t="n"/>
      <c r="BS1003" s="1392" t="n"/>
      <c r="BT1003" s="1392" t="n"/>
      <c r="BU1003" s="1392" t="n"/>
      <c r="BV1003" s="1392" t="n"/>
      <c r="BW1003" s="1392" t="n"/>
      <c r="BX1003" s="1392" t="n"/>
      <c r="BY1003" s="1392" t="n"/>
      <c r="BZ1003" s="1392" t="n"/>
      <c r="CA1003" s="1392" t="n"/>
      <c r="CB1003" s="1392" t="n"/>
      <c r="CC1003" s="1392" t="n"/>
      <c r="CD1003" s="1392" t="n"/>
      <c r="CE1003" s="1392" t="n"/>
      <c r="CF1003" s="1392" t="n"/>
      <c r="CG1003" s="1392" t="n"/>
      <c r="CH1003" s="1392" t="n"/>
      <c r="CI1003" s="1392" t="n"/>
      <c r="CJ1003" s="1392" t="n"/>
      <c r="CK1003" s="1392" t="n"/>
      <c r="CL1003" s="1392" t="n"/>
    </row>
    <row r="1004">
      <c r="A1004" s="5" t="inlineStr">
        <is>
          <t>.</t>
        </is>
      </c>
      <c r="B1004" s="5" t="inlineStr">
        <is>
          <t>.</t>
        </is>
      </c>
      <c r="C1004" s="1378">
        <f>IF(raw[[#This Row],[city]]="","-",IF(raw[[#This Row],[city]]="TODAY","-",C1003+1))</f>
        <v/>
      </c>
      <c r="D1004" s="1393" t="inlineStr">
        <is>
          <t>SSA</t>
        </is>
      </c>
      <c r="E1004" s="1394" t="n">
        <v>38930</v>
      </c>
      <c r="F1004" s="1394" t="n">
        <v>38961</v>
      </c>
      <c r="G1004" s="1393" t="n">
        <v>1</v>
      </c>
      <c r="H1004" s="1393" t="inlineStr">
        <is>
          <t>Ondina</t>
        </is>
      </c>
      <c r="I1004" s="1393" t="inlineStr">
        <is>
          <t>-</t>
        </is>
      </c>
      <c r="J1004" s="1393" t="inlineStr">
        <is>
          <t>BDAY</t>
        </is>
      </c>
      <c r="K1004" s="1395">
        <f>IF(raw[[#This Row],[city]]&lt;&gt;"",_xlfn.XLOOKUP($D1004,ccc[city],ccc[prov],"-"),"-")</f>
        <v/>
      </c>
      <c r="L1004" s="1395">
        <f>IF(raw[[#This Row],[city]]&lt;&gt;"",_xlfn.XLOOKUP($D1004,ccc[city],ccc[ctry],"-"),"-")</f>
        <v/>
      </c>
      <c r="M1004" s="1395">
        <f>IF(raw[[#This Row],[city]]&lt;&gt;"",_xlfn.XLOOKUP($D1004,ccc[city],ccc[cont],"-"),"-")</f>
        <v/>
      </c>
      <c r="N1004" s="1396">
        <f>IF(raw[[#This Row],[city]]="","-",IF(raw[[#This Row],[cont]]="B",raw[[#This Row],[cont]],"W"))</f>
        <v/>
      </c>
      <c r="O1004" s="1397">
        <f>IF(raw[[#This Row],[out]]=0,0,IF(raw[[#This Row],[out]]=raw[[#This Row],[in]],0.01,raw[[#This Row],[out]]-raw[[#This Row],[in]]))</f>
        <v/>
      </c>
      <c r="P1004" s="1397">
        <f>IF(raw[[#This Row],[in]]=0,0,MONTH(raw[[#This Row],[in]]))</f>
        <v/>
      </c>
      <c r="Q1004" s="1397">
        <f>IF(raw[[#This Row],[in]]=0,0,YEAR(raw[[#This Row],[in]]))</f>
        <v/>
      </c>
      <c r="R1004" s="1397">
        <f>INT(raw[[#This Row],[yr]]/10)*10</f>
        <v/>
      </c>
      <c r="S1004" s="1395">
        <f>IF(raw[[#This Row],[city]]="","-",IF(raw[[#This Row],[city]]&lt;&gt;_xlfn.XLOOKUP(raw[[#This Row],[home]],homes[home],homes[city],"-"),1,0))</f>
        <v/>
      </c>
      <c r="T1004" s="1398" t="inlineStr">
        <is>
          <t>.</t>
        </is>
      </c>
      <c r="U1004" s="1399">
        <f>IF(raw[[#This Row],[wb]]="w",raw[[#This Row],[stay]]+U1003,U1003)</f>
        <v/>
      </c>
      <c r="V1004" s="1400">
        <f>IF(raw[[#This Row],[out]]=0,V1003,(raw[[#This Row],[out]]-E$5))</f>
        <v/>
      </c>
      <c r="W1004" s="1401">
        <f>U1004/V1004</f>
        <v/>
      </c>
      <c r="X1004" s="1392" t="n"/>
      <c r="Y1004" s="1392" t="n"/>
      <c r="Z1004" s="1392" t="n"/>
      <c r="AA1004" s="1392" t="n"/>
      <c r="AB1004" s="1392" t="n"/>
      <c r="AC1004" s="1392" t="n"/>
      <c r="AD1004" s="1392" t="n"/>
      <c r="AE1004" s="1392" t="n"/>
      <c r="AF1004" s="1392" t="n"/>
      <c r="AG1004" s="1392" t="n"/>
      <c r="AH1004" s="1392" t="n"/>
      <c r="AI1004" s="1392" t="n"/>
      <c r="AJ1004" s="1392" t="n"/>
      <c r="AK1004" s="1392" t="n"/>
      <c r="AL1004" s="1392" t="n"/>
      <c r="AM1004" s="1392" t="n"/>
      <c r="AN1004" s="1392" t="n"/>
      <c r="AO1004" s="1392" t="n"/>
      <c r="AP1004" s="1392" t="n"/>
      <c r="AQ1004" s="1392" t="n"/>
      <c r="AR1004" s="1422" t="n"/>
      <c r="AS1004" s="1422" t="n"/>
      <c r="AT1004" s="1392" t="n"/>
      <c r="AU1004" s="1392" t="n"/>
      <c r="AV1004" s="1392" t="n"/>
      <c r="AW1004" s="1392" t="n"/>
      <c r="AX1004" s="1392" t="n"/>
      <c r="AY1004" s="1392" t="n"/>
      <c r="AZ1004" s="1392" t="n"/>
      <c r="BA1004" s="1422" t="n"/>
      <c r="BB1004" s="1422" t="n"/>
      <c r="BC1004" s="1392" t="n"/>
      <c r="BD1004" s="1392" t="n"/>
      <c r="BE1004" s="1392" t="n"/>
      <c r="BF1004" s="1392" t="n"/>
      <c r="BG1004" s="1392" t="n"/>
      <c r="BH1004" s="1392" t="n"/>
      <c r="BI1004" s="1392" t="n"/>
      <c r="BJ1004" s="1392" t="n"/>
      <c r="BK1004" s="1392" t="n"/>
      <c r="BL1004" s="1392" t="n"/>
      <c r="BM1004" s="1392" t="n"/>
      <c r="BN1004" s="1392" t="n"/>
      <c r="BO1004" s="1392" t="n"/>
      <c r="BP1004" s="1392" t="n"/>
      <c r="BQ1004" s="1392" t="n"/>
      <c r="BR1004" s="1392" t="n"/>
      <c r="BS1004" s="1392" t="n"/>
      <c r="BT1004" s="1392" t="n"/>
      <c r="BU1004" s="1392" t="n"/>
      <c r="BV1004" s="1392" t="n"/>
      <c r="BW1004" s="1392" t="n"/>
      <c r="BX1004" s="1392" t="n"/>
      <c r="BY1004" s="1392" t="n"/>
      <c r="BZ1004" s="1392" t="n"/>
      <c r="CA1004" s="1392" t="n"/>
      <c r="CB1004" s="1392" t="n"/>
      <c r="CC1004" s="1392" t="n"/>
      <c r="CD1004" s="1392" t="n"/>
      <c r="CE1004" s="1392" t="n"/>
      <c r="CF1004" s="1392" t="n"/>
      <c r="CG1004" s="1392" t="n"/>
      <c r="CH1004" s="1392" t="n"/>
      <c r="CI1004" s="1392" t="n"/>
      <c r="CJ1004" s="1392" t="n"/>
      <c r="CK1004" s="1392" t="n"/>
      <c r="CL1004" s="1392" t="n"/>
    </row>
    <row r="1005">
      <c r="A1005" s="5" t="inlineStr">
        <is>
          <t>.</t>
        </is>
      </c>
      <c r="B1005" s="5" t="inlineStr">
        <is>
          <t>.</t>
        </is>
      </c>
      <c r="C1005" s="1378">
        <f>IF(raw[[#This Row],[city]]="","-",IF(raw[[#This Row],[city]]="TODAY","-",C1004+1))</f>
        <v/>
      </c>
      <c r="D1005" s="1393" t="inlineStr">
        <is>
          <t>Rio</t>
        </is>
      </c>
      <c r="E1005" s="1394" t="n">
        <v>38961</v>
      </c>
      <c r="F1005" s="1394" t="n">
        <v>38964</v>
      </c>
      <c r="G1005" s="1393" t="n">
        <v>1</v>
      </c>
      <c r="H1005" s="1393" t="inlineStr">
        <is>
          <t>Ondina</t>
        </is>
      </c>
      <c r="I1005" s="1393" t="inlineStr">
        <is>
          <t>-</t>
        </is>
      </c>
      <c r="J1005" s="1393" t="inlineStr">
        <is>
          <t>-</t>
        </is>
      </c>
      <c r="K1005" s="1395">
        <f>IF(raw[[#This Row],[city]]&lt;&gt;"",_xlfn.XLOOKUP($D1005,ccc[city],ccc[prov],"-"),"-")</f>
        <v/>
      </c>
      <c r="L1005" s="1395">
        <f>IF(raw[[#This Row],[city]]&lt;&gt;"",_xlfn.XLOOKUP($D1005,ccc[city],ccc[ctry],"-"),"-")</f>
        <v/>
      </c>
      <c r="M1005" s="1395">
        <f>IF(raw[[#This Row],[city]]&lt;&gt;"",_xlfn.XLOOKUP($D1005,ccc[city],ccc[cont],"-"),"-")</f>
        <v/>
      </c>
      <c r="N1005" s="1396">
        <f>IF(raw[[#This Row],[city]]="","-",IF(raw[[#This Row],[cont]]="B",raw[[#This Row],[cont]],"W"))</f>
        <v/>
      </c>
      <c r="O1005" s="1397">
        <f>IF(raw[[#This Row],[out]]=0,0,IF(raw[[#This Row],[out]]=raw[[#This Row],[in]],0.01,raw[[#This Row],[out]]-raw[[#This Row],[in]]))</f>
        <v/>
      </c>
      <c r="P1005" s="1397">
        <f>IF(raw[[#This Row],[in]]=0,0,MONTH(raw[[#This Row],[in]]))</f>
        <v/>
      </c>
      <c r="Q1005" s="1397">
        <f>IF(raw[[#This Row],[in]]=0,0,YEAR(raw[[#This Row],[in]]))</f>
        <v/>
      </c>
      <c r="R1005" s="1397">
        <f>INT(raw[[#This Row],[yr]]/10)*10</f>
        <v/>
      </c>
      <c r="S1005" s="1395">
        <f>IF(raw[[#This Row],[city]]="","-",IF(raw[[#This Row],[city]]&lt;&gt;_xlfn.XLOOKUP(raw[[#This Row],[home]],homes[home],homes[city],"-"),1,0))</f>
        <v/>
      </c>
      <c r="T1005" s="1398" t="inlineStr">
        <is>
          <t>.</t>
        </is>
      </c>
      <c r="U1005" s="1399">
        <f>IF(raw[[#This Row],[wb]]="w",raw[[#This Row],[stay]]+U1004,U1004)</f>
        <v/>
      </c>
      <c r="V1005" s="1400">
        <f>IF(raw[[#This Row],[out]]=0,V1004,(raw[[#This Row],[out]]-E$5))</f>
        <v/>
      </c>
      <c r="W1005" s="1401">
        <f>U1005/V1005</f>
        <v/>
      </c>
      <c r="X1005" s="1392" t="n"/>
      <c r="Y1005" s="1392" t="n"/>
      <c r="Z1005" s="1392" t="n"/>
      <c r="AA1005" s="1392" t="n"/>
      <c r="AB1005" s="1392" t="n"/>
      <c r="AC1005" s="1392" t="n"/>
      <c r="AD1005" s="1392" t="n"/>
      <c r="AE1005" s="1392" t="n"/>
      <c r="AF1005" s="1392" t="n"/>
      <c r="AG1005" s="1392" t="n"/>
      <c r="AH1005" s="1392" t="n"/>
      <c r="AI1005" s="1392" t="n"/>
      <c r="AJ1005" s="1392" t="n"/>
      <c r="AK1005" s="1392" t="n"/>
      <c r="AL1005" s="1392" t="n"/>
      <c r="AM1005" s="1392" t="n"/>
      <c r="AN1005" s="1392" t="n"/>
      <c r="AO1005" s="1392" t="n"/>
      <c r="AP1005" s="1392" t="n"/>
      <c r="AQ1005" s="1392" t="n"/>
      <c r="AR1005" s="1422" t="n"/>
      <c r="AS1005" s="1422" t="n"/>
      <c r="AT1005" s="1392" t="n"/>
      <c r="AU1005" s="1392" t="n"/>
      <c r="AV1005" s="1392" t="n"/>
      <c r="AW1005" s="1392" t="n"/>
      <c r="AX1005" s="1392" t="n"/>
      <c r="AY1005" s="1392" t="n"/>
      <c r="AZ1005" s="1392" t="n"/>
      <c r="BA1005" s="1422" t="n"/>
      <c r="BB1005" s="1422" t="n"/>
      <c r="BC1005" s="1392" t="n"/>
      <c r="BD1005" s="1392" t="n"/>
      <c r="BE1005" s="1392" t="n"/>
      <c r="BF1005" s="1392" t="n"/>
      <c r="BG1005" s="1392" t="n"/>
      <c r="BH1005" s="1392" t="n"/>
      <c r="BI1005" s="1392" t="n"/>
      <c r="BJ1005" s="1392" t="n"/>
      <c r="BK1005" s="1392" t="n"/>
      <c r="BL1005" s="1392" t="n"/>
      <c r="BM1005" s="1392" t="n"/>
      <c r="BN1005" s="1392" t="n"/>
      <c r="BO1005" s="1392" t="n"/>
      <c r="BP1005" s="1392" t="n"/>
      <c r="BQ1005" s="1392" t="n"/>
      <c r="BR1005" s="1392" t="n"/>
      <c r="BS1005" s="1392" t="n"/>
      <c r="BT1005" s="1392" t="n"/>
      <c r="BU1005" s="1392" t="n"/>
      <c r="BV1005" s="1392" t="n"/>
      <c r="BW1005" s="1392" t="n"/>
      <c r="BX1005" s="1392" t="n"/>
      <c r="BY1005" s="1392" t="n"/>
      <c r="BZ1005" s="1392" t="n"/>
      <c r="CA1005" s="1392" t="n"/>
      <c r="CB1005" s="1392" t="n"/>
      <c r="CC1005" s="1392" t="n"/>
      <c r="CD1005" s="1392" t="n"/>
      <c r="CE1005" s="1392" t="n"/>
      <c r="CF1005" s="1392" t="n"/>
      <c r="CG1005" s="1392" t="n"/>
      <c r="CH1005" s="1392" t="n"/>
      <c r="CI1005" s="1392" t="n"/>
      <c r="CJ1005" s="1392" t="n"/>
      <c r="CK1005" s="1392" t="n"/>
      <c r="CL1005" s="1392" t="n"/>
    </row>
    <row r="1006">
      <c r="A1006" s="5" t="inlineStr">
        <is>
          <t>.</t>
        </is>
      </c>
      <c r="B1006" s="5" t="inlineStr">
        <is>
          <t>.</t>
        </is>
      </c>
      <c r="C1006" s="1378">
        <f>IF(raw[[#This Row],[city]]="","-",IF(raw[[#This Row],[city]]="TODAY","-",C1005+1))</f>
        <v/>
      </c>
      <c r="D1006" s="1393" t="inlineStr">
        <is>
          <t>SSA</t>
        </is>
      </c>
      <c r="E1006" s="1394" t="n">
        <v>38964</v>
      </c>
      <c r="F1006" s="1394" t="n">
        <v>38975</v>
      </c>
      <c r="G1006" s="1393" t="inlineStr">
        <is>
          <t>-</t>
        </is>
      </c>
      <c r="H1006" s="1393" t="inlineStr">
        <is>
          <t>Ondina</t>
        </is>
      </c>
      <c r="I1006" s="1393" t="inlineStr">
        <is>
          <t>-</t>
        </is>
      </c>
      <c r="J1006" s="1393" t="inlineStr">
        <is>
          <t>-</t>
        </is>
      </c>
      <c r="K1006" s="1395">
        <f>IF(raw[[#This Row],[city]]&lt;&gt;"",_xlfn.XLOOKUP($D1006,ccc[city],ccc[prov],"-"),"-")</f>
        <v/>
      </c>
      <c r="L1006" s="1395">
        <f>IF(raw[[#This Row],[city]]&lt;&gt;"",_xlfn.XLOOKUP($D1006,ccc[city],ccc[ctry],"-"),"-")</f>
        <v/>
      </c>
      <c r="M1006" s="1395">
        <f>IF(raw[[#This Row],[city]]&lt;&gt;"",_xlfn.XLOOKUP($D1006,ccc[city],ccc[cont],"-"),"-")</f>
        <v/>
      </c>
      <c r="N1006" s="1396">
        <f>IF(raw[[#This Row],[city]]="","-",IF(raw[[#This Row],[cont]]="B",raw[[#This Row],[cont]],"W"))</f>
        <v/>
      </c>
      <c r="O1006" s="1397">
        <f>IF(raw[[#This Row],[out]]=0,0,IF(raw[[#This Row],[out]]=raw[[#This Row],[in]],0.01,raw[[#This Row],[out]]-raw[[#This Row],[in]]))</f>
        <v/>
      </c>
      <c r="P1006" s="1397">
        <f>IF(raw[[#This Row],[in]]=0,0,MONTH(raw[[#This Row],[in]]))</f>
        <v/>
      </c>
      <c r="Q1006" s="1397">
        <f>IF(raw[[#This Row],[in]]=0,0,YEAR(raw[[#This Row],[in]]))</f>
        <v/>
      </c>
      <c r="R1006" s="1397">
        <f>INT(raw[[#This Row],[yr]]/10)*10</f>
        <v/>
      </c>
      <c r="S1006" s="1395">
        <f>IF(raw[[#This Row],[city]]="","-",IF(raw[[#This Row],[city]]&lt;&gt;_xlfn.XLOOKUP(raw[[#This Row],[home]],homes[home],homes[city],"-"),1,0))</f>
        <v/>
      </c>
      <c r="T1006" s="1398" t="inlineStr">
        <is>
          <t>.</t>
        </is>
      </c>
      <c r="U1006" s="1399">
        <f>IF(raw[[#This Row],[wb]]="w",raw[[#This Row],[stay]]+U1005,U1005)</f>
        <v/>
      </c>
      <c r="V1006" s="1400">
        <f>IF(raw[[#This Row],[out]]=0,V1005,(raw[[#This Row],[out]]-E$5))</f>
        <v/>
      </c>
      <c r="W1006" s="1401">
        <f>U1006/V1006</f>
        <v/>
      </c>
      <c r="X1006" s="1392" t="n"/>
      <c r="Y1006" s="1392" t="n"/>
      <c r="Z1006" s="1392" t="n"/>
      <c r="AA1006" s="1392" t="n"/>
      <c r="AB1006" s="1392" t="n"/>
      <c r="AC1006" s="1392" t="n"/>
      <c r="AD1006" s="1392" t="n"/>
      <c r="AE1006" s="1392" t="n"/>
      <c r="AF1006" s="1392" t="n"/>
      <c r="AG1006" s="1392" t="n"/>
      <c r="AH1006" s="1392" t="n"/>
      <c r="AI1006" s="1392" t="n"/>
      <c r="AJ1006" s="1392" t="n"/>
      <c r="AK1006" s="1392" t="n"/>
      <c r="AL1006" s="1392" t="n"/>
      <c r="AM1006" s="1392" t="n"/>
      <c r="AN1006" s="1392" t="n"/>
      <c r="AO1006" s="1392" t="n"/>
      <c r="AP1006" s="1392" t="n"/>
      <c r="AQ1006" s="1392" t="n"/>
      <c r="AR1006" s="1422" t="n"/>
      <c r="AS1006" s="1422" t="n"/>
      <c r="AT1006" s="1392" t="n"/>
      <c r="AU1006" s="1392" t="n"/>
      <c r="AV1006" s="1392" t="n"/>
      <c r="AW1006" s="1392" t="n"/>
      <c r="AX1006" s="1392" t="n"/>
      <c r="AY1006" s="1392" t="n"/>
      <c r="AZ1006" s="1392" t="n"/>
      <c r="BA1006" s="1422" t="n"/>
      <c r="BB1006" s="1422" t="n"/>
      <c r="BC1006" s="1392" t="n"/>
      <c r="BD1006" s="1392" t="n"/>
      <c r="BE1006" s="1392" t="n"/>
      <c r="BF1006" s="1392" t="n"/>
      <c r="BG1006" s="1392" t="n"/>
      <c r="BH1006" s="1392" t="n"/>
      <c r="BI1006" s="1392" t="n"/>
      <c r="BJ1006" s="1392" t="n"/>
      <c r="BK1006" s="1392" t="n"/>
      <c r="BL1006" s="1392" t="n"/>
      <c r="BM1006" s="1392" t="n"/>
      <c r="BN1006" s="1392" t="n"/>
      <c r="BO1006" s="1392" t="n"/>
      <c r="BP1006" s="1392" t="n"/>
      <c r="BQ1006" s="1392" t="n"/>
      <c r="BR1006" s="1392" t="n"/>
      <c r="BS1006" s="1392" t="n"/>
      <c r="BT1006" s="1392" t="n"/>
      <c r="BU1006" s="1392" t="n"/>
      <c r="BV1006" s="1392" t="n"/>
      <c r="BW1006" s="1392" t="n"/>
      <c r="BX1006" s="1392" t="n"/>
      <c r="BY1006" s="1392" t="n"/>
      <c r="BZ1006" s="1392" t="n"/>
      <c r="CA1006" s="1392" t="n"/>
      <c r="CB1006" s="1392" t="n"/>
      <c r="CC1006" s="1392" t="n"/>
      <c r="CD1006" s="1392" t="n"/>
      <c r="CE1006" s="1392" t="n"/>
      <c r="CF1006" s="1392" t="n"/>
      <c r="CG1006" s="1392" t="n"/>
      <c r="CH1006" s="1392" t="n"/>
      <c r="CI1006" s="1392" t="n"/>
      <c r="CJ1006" s="1392" t="n"/>
      <c r="CK1006" s="1392" t="n"/>
      <c r="CL1006" s="1392" t="n"/>
    </row>
    <row r="1007">
      <c r="A1007" s="5" t="inlineStr">
        <is>
          <t>.</t>
        </is>
      </c>
      <c r="B1007" s="5" t="inlineStr">
        <is>
          <t>.</t>
        </is>
      </c>
      <c r="C1007" s="1378">
        <f>IF(raw[[#This Row],[city]]="","-",IF(raw[[#This Row],[city]]="TODAY","-",C1006+1))</f>
        <v/>
      </c>
      <c r="D1007" s="1393" t="inlineStr">
        <is>
          <t>Lencois</t>
        </is>
      </c>
      <c r="E1007" s="1394" t="n">
        <v>38975</v>
      </c>
      <c r="F1007" s="1394" t="n">
        <v>38976</v>
      </c>
      <c r="G1007" s="1393" t="inlineStr">
        <is>
          <t>-</t>
        </is>
      </c>
      <c r="H1007" s="1393" t="inlineStr">
        <is>
          <t>Ondina</t>
        </is>
      </c>
      <c r="I1007" s="1393" t="inlineStr">
        <is>
          <t>-</t>
        </is>
      </c>
      <c r="J1007" s="1393" t="inlineStr">
        <is>
          <t>c/ PL+Vergne (trilha+camping)</t>
        </is>
      </c>
      <c r="K1007" s="1395">
        <f>IF(raw[[#This Row],[city]]&lt;&gt;"",_xlfn.XLOOKUP($D1007,ccc[city],ccc[prov],"-"),"-")</f>
        <v/>
      </c>
      <c r="L1007" s="1395">
        <f>IF(raw[[#This Row],[city]]&lt;&gt;"",_xlfn.XLOOKUP($D1007,ccc[city],ccc[ctry],"-"),"-")</f>
        <v/>
      </c>
      <c r="M1007" s="1395">
        <f>IF(raw[[#This Row],[city]]&lt;&gt;"",_xlfn.XLOOKUP($D1007,ccc[city],ccc[cont],"-"),"-")</f>
        <v/>
      </c>
      <c r="N1007" s="1396">
        <f>IF(raw[[#This Row],[city]]="","-",IF(raw[[#This Row],[cont]]="B",raw[[#This Row],[cont]],"W"))</f>
        <v/>
      </c>
      <c r="O1007" s="1397">
        <f>IF(raw[[#This Row],[out]]=0,0,IF(raw[[#This Row],[out]]=raw[[#This Row],[in]],0.01,raw[[#This Row],[out]]-raw[[#This Row],[in]]))</f>
        <v/>
      </c>
      <c r="P1007" s="1397">
        <f>IF(raw[[#This Row],[in]]=0,0,MONTH(raw[[#This Row],[in]]))</f>
        <v/>
      </c>
      <c r="Q1007" s="1397">
        <f>IF(raw[[#This Row],[in]]=0,0,YEAR(raw[[#This Row],[in]]))</f>
        <v/>
      </c>
      <c r="R1007" s="1397">
        <f>INT(raw[[#This Row],[yr]]/10)*10</f>
        <v/>
      </c>
      <c r="S1007" s="1395">
        <f>IF(raw[[#This Row],[city]]="","-",IF(raw[[#This Row],[city]]&lt;&gt;_xlfn.XLOOKUP(raw[[#This Row],[home]],homes[home],homes[city],"-"),1,0))</f>
        <v/>
      </c>
      <c r="T1007" s="1398" t="inlineStr">
        <is>
          <t>.</t>
        </is>
      </c>
      <c r="U1007" s="1399">
        <f>IF(raw[[#This Row],[wb]]="w",raw[[#This Row],[stay]]+U1006,U1006)</f>
        <v/>
      </c>
      <c r="V1007" s="1400">
        <f>IF(raw[[#This Row],[out]]=0,V1006,(raw[[#This Row],[out]]-E$5))</f>
        <v/>
      </c>
      <c r="W1007" s="1401">
        <f>U1007/V1007</f>
        <v/>
      </c>
      <c r="X1007" s="1392" t="n"/>
      <c r="Y1007" s="1392" t="n"/>
      <c r="Z1007" s="1392" t="n"/>
      <c r="AA1007" s="1392" t="n"/>
      <c r="AB1007" s="1392" t="n"/>
      <c r="AC1007" s="1392" t="n"/>
      <c r="AD1007" s="1392" t="n"/>
      <c r="AE1007" s="1392" t="n"/>
      <c r="AF1007" s="1392" t="n"/>
      <c r="AG1007" s="1392" t="n"/>
      <c r="AH1007" s="1392" t="n"/>
      <c r="AI1007" s="1392" t="n"/>
      <c r="AJ1007" s="1392" t="n"/>
      <c r="AK1007" s="1392" t="n"/>
      <c r="AL1007" s="1392" t="n"/>
      <c r="AM1007" s="1392" t="n"/>
      <c r="AN1007" s="1392" t="n"/>
      <c r="AO1007" s="1392" t="n"/>
      <c r="AP1007" s="1392" t="n"/>
      <c r="AQ1007" s="1392" t="n"/>
      <c r="AR1007" s="1422" t="n"/>
      <c r="AS1007" s="1422" t="n"/>
      <c r="AT1007" s="1392" t="n"/>
      <c r="AU1007" s="1392" t="n"/>
      <c r="AV1007" s="1392" t="n"/>
      <c r="AW1007" s="1392" t="n"/>
      <c r="AX1007" s="1392" t="n"/>
      <c r="AY1007" s="1392" t="n"/>
      <c r="AZ1007" s="1392" t="n"/>
      <c r="BA1007" s="1422" t="n"/>
      <c r="BB1007" s="1422" t="n"/>
      <c r="BC1007" s="1392" t="n"/>
      <c r="BD1007" s="1392" t="n"/>
      <c r="BE1007" s="1392" t="n"/>
      <c r="BF1007" s="1392" t="n"/>
      <c r="BG1007" s="1392" t="n"/>
      <c r="BH1007" s="1392" t="n"/>
      <c r="BI1007" s="1392" t="n"/>
      <c r="BJ1007" s="1392" t="n"/>
      <c r="BK1007" s="1392" t="n"/>
      <c r="BL1007" s="1392" t="n"/>
      <c r="BM1007" s="1392" t="n"/>
      <c r="BN1007" s="1392" t="n"/>
      <c r="BO1007" s="1392" t="n"/>
      <c r="BP1007" s="1392" t="n"/>
      <c r="BQ1007" s="1392" t="n"/>
      <c r="BR1007" s="1392" t="n"/>
      <c r="BS1007" s="1392" t="n"/>
      <c r="BT1007" s="1392" t="n"/>
      <c r="BU1007" s="1392" t="n"/>
      <c r="BV1007" s="1392" t="n"/>
      <c r="BW1007" s="1392" t="n"/>
      <c r="BX1007" s="1392" t="n"/>
      <c r="BY1007" s="1392" t="n"/>
      <c r="BZ1007" s="1392" t="n"/>
      <c r="CA1007" s="1392" t="n"/>
      <c r="CB1007" s="1392" t="n"/>
      <c r="CC1007" s="1392" t="n"/>
      <c r="CD1007" s="1392" t="n"/>
      <c r="CE1007" s="1392" t="n"/>
      <c r="CF1007" s="1392" t="n"/>
      <c r="CG1007" s="1392" t="n"/>
      <c r="CH1007" s="1392" t="n"/>
      <c r="CI1007" s="1392" t="n"/>
      <c r="CJ1007" s="1392" t="n"/>
      <c r="CK1007" s="1392" t="n"/>
      <c r="CL1007" s="1392" t="n"/>
    </row>
    <row r="1008">
      <c r="A1008" s="5" t="inlineStr">
        <is>
          <t>.</t>
        </is>
      </c>
      <c r="B1008" s="5" t="inlineStr">
        <is>
          <t>.</t>
        </is>
      </c>
      <c r="C1008" s="1378">
        <f>IF(raw[[#This Row],[city]]="","-",IF(raw[[#This Row],[city]]="TODAY","-",C1007+1))</f>
        <v/>
      </c>
      <c r="D1008" s="1393" t="inlineStr">
        <is>
          <t>Andarai</t>
        </is>
      </c>
      <c r="E1008" s="1394" t="n">
        <v>38976</v>
      </c>
      <c r="F1008" s="1394" t="n">
        <v>38977</v>
      </c>
      <c r="G1008" s="1393" t="inlineStr">
        <is>
          <t>-</t>
        </is>
      </c>
      <c r="H1008" s="1393" t="inlineStr">
        <is>
          <t>Ondina</t>
        </is>
      </c>
      <c r="I1008" s="1393" t="inlineStr">
        <is>
          <t>-</t>
        </is>
      </c>
      <c r="J1008" s="1393" t="inlineStr">
        <is>
          <t>c/ PL+Vergne (trilha+camping)</t>
        </is>
      </c>
      <c r="K1008" s="1395">
        <f>IF(raw[[#This Row],[city]]&lt;&gt;"",_xlfn.XLOOKUP($D1008,ccc[city],ccc[prov],"-"),"-")</f>
        <v/>
      </c>
      <c r="L1008" s="1395">
        <f>IF(raw[[#This Row],[city]]&lt;&gt;"",_xlfn.XLOOKUP($D1008,ccc[city],ccc[ctry],"-"),"-")</f>
        <v/>
      </c>
      <c r="M1008" s="1395">
        <f>IF(raw[[#This Row],[city]]&lt;&gt;"",_xlfn.XLOOKUP($D1008,ccc[city],ccc[cont],"-"),"-")</f>
        <v/>
      </c>
      <c r="N1008" s="1396">
        <f>IF(raw[[#This Row],[city]]="","-",IF(raw[[#This Row],[cont]]="B",raw[[#This Row],[cont]],"W"))</f>
        <v/>
      </c>
      <c r="O1008" s="1397">
        <f>IF(raw[[#This Row],[out]]=0,0,IF(raw[[#This Row],[out]]=raw[[#This Row],[in]],0.01,raw[[#This Row],[out]]-raw[[#This Row],[in]]))</f>
        <v/>
      </c>
      <c r="P1008" s="1397">
        <f>IF(raw[[#This Row],[in]]=0,0,MONTH(raw[[#This Row],[in]]))</f>
        <v/>
      </c>
      <c r="Q1008" s="1397">
        <f>IF(raw[[#This Row],[in]]=0,0,YEAR(raw[[#This Row],[in]]))</f>
        <v/>
      </c>
      <c r="R1008" s="1397">
        <f>INT(raw[[#This Row],[yr]]/10)*10</f>
        <v/>
      </c>
      <c r="S1008" s="1395">
        <f>IF(raw[[#This Row],[city]]="","-",IF(raw[[#This Row],[city]]&lt;&gt;_xlfn.XLOOKUP(raw[[#This Row],[home]],homes[home],homes[city],"-"),1,0))</f>
        <v/>
      </c>
      <c r="T1008" s="1398" t="inlineStr">
        <is>
          <t>.</t>
        </is>
      </c>
      <c r="U1008" s="1399">
        <f>IF(raw[[#This Row],[wb]]="w",raw[[#This Row],[stay]]+U1007,U1007)</f>
        <v/>
      </c>
      <c r="V1008" s="1400">
        <f>IF(raw[[#This Row],[out]]=0,V1007,(raw[[#This Row],[out]]-E$5))</f>
        <v/>
      </c>
      <c r="W1008" s="1401">
        <f>U1008/V1008</f>
        <v/>
      </c>
      <c r="X1008" s="1392" t="n"/>
      <c r="Y1008" s="1392" t="n"/>
      <c r="Z1008" s="1392" t="n"/>
      <c r="AA1008" s="1392" t="n"/>
      <c r="AB1008" s="1392" t="n"/>
      <c r="AC1008" s="1392" t="n"/>
      <c r="AD1008" s="1392" t="n"/>
      <c r="AE1008" s="1392" t="n"/>
      <c r="AF1008" s="1392" t="n"/>
      <c r="AG1008" s="1392" t="n"/>
      <c r="AH1008" s="1392" t="n"/>
      <c r="AI1008" s="1392" t="n"/>
      <c r="AJ1008" s="1392" t="n"/>
      <c r="AK1008" s="1392" t="n"/>
      <c r="AL1008" s="1392" t="n"/>
      <c r="AM1008" s="1392" t="n"/>
      <c r="AN1008" s="1392" t="n"/>
      <c r="AO1008" s="1392" t="n"/>
      <c r="AP1008" s="1392" t="n"/>
      <c r="AQ1008" s="1392" t="n"/>
      <c r="AR1008" s="1422" t="n"/>
      <c r="AS1008" s="1422" t="n"/>
      <c r="AT1008" s="1392" t="n"/>
      <c r="AU1008" s="1392" t="n"/>
      <c r="AV1008" s="1392" t="n"/>
      <c r="AW1008" s="1392" t="n"/>
      <c r="AX1008" s="1392" t="n"/>
      <c r="AY1008" s="1392" t="n"/>
      <c r="AZ1008" s="1392" t="n"/>
      <c r="BA1008" s="1422" t="n"/>
      <c r="BB1008" s="1422" t="n"/>
      <c r="BC1008" s="1392" t="n"/>
      <c r="BD1008" s="1392" t="n"/>
      <c r="BE1008" s="1392" t="n"/>
      <c r="BF1008" s="1392" t="n"/>
      <c r="BG1008" s="1392" t="n"/>
      <c r="BH1008" s="1392" t="n"/>
      <c r="BI1008" s="1392" t="n"/>
      <c r="BJ1008" s="1392" t="n"/>
      <c r="BK1008" s="1392" t="n"/>
      <c r="BL1008" s="1392" t="n"/>
      <c r="BM1008" s="1392" t="n"/>
      <c r="BN1008" s="1392" t="n"/>
      <c r="BO1008" s="1392" t="n"/>
      <c r="BP1008" s="1392" t="n"/>
      <c r="BQ1008" s="1392" t="n"/>
      <c r="BR1008" s="1392" t="n"/>
      <c r="BS1008" s="1392" t="n"/>
      <c r="BT1008" s="1392" t="n"/>
      <c r="BU1008" s="1392" t="n"/>
      <c r="BV1008" s="1392" t="n"/>
      <c r="BW1008" s="1392" t="n"/>
      <c r="BX1008" s="1392" t="n"/>
      <c r="BY1008" s="1392" t="n"/>
      <c r="BZ1008" s="1392" t="n"/>
      <c r="CA1008" s="1392" t="n"/>
      <c r="CB1008" s="1392" t="n"/>
      <c r="CC1008" s="1392" t="n"/>
      <c r="CD1008" s="1392" t="n"/>
      <c r="CE1008" s="1392" t="n"/>
      <c r="CF1008" s="1392" t="n"/>
      <c r="CG1008" s="1392" t="n"/>
      <c r="CH1008" s="1392" t="n"/>
      <c r="CI1008" s="1392" t="n"/>
      <c r="CJ1008" s="1392" t="n"/>
      <c r="CK1008" s="1392" t="n"/>
      <c r="CL1008" s="1392" t="n"/>
    </row>
    <row r="1009">
      <c r="A1009" s="5" t="inlineStr">
        <is>
          <t>.</t>
        </is>
      </c>
      <c r="B1009" s="5" t="inlineStr">
        <is>
          <t>.</t>
        </is>
      </c>
      <c r="C1009" s="1378">
        <f>IF(raw[[#This Row],[city]]="","-",IF(raw[[#This Row],[city]]="TODAY","-",C1008+1))</f>
        <v/>
      </c>
      <c r="D1009" s="1393" t="inlineStr">
        <is>
          <t>Lencois</t>
        </is>
      </c>
      <c r="E1009" s="1394" t="n">
        <v>38977</v>
      </c>
      <c r="F1009" s="1394" t="n">
        <v>38978</v>
      </c>
      <c r="G1009" s="1393" t="inlineStr">
        <is>
          <t>-</t>
        </is>
      </c>
      <c r="H1009" s="1393" t="inlineStr">
        <is>
          <t>Ondina</t>
        </is>
      </c>
      <c r="I1009" s="1393" t="inlineStr">
        <is>
          <t>-</t>
        </is>
      </c>
      <c r="J1009" s="1393" t="inlineStr">
        <is>
          <t>c/ PL+Vergne (trilha+camping)</t>
        </is>
      </c>
      <c r="K1009" s="1395">
        <f>IF(raw[[#This Row],[city]]&lt;&gt;"",_xlfn.XLOOKUP($D1009,ccc[city],ccc[prov],"-"),"-")</f>
        <v/>
      </c>
      <c r="L1009" s="1395">
        <f>IF(raw[[#This Row],[city]]&lt;&gt;"",_xlfn.XLOOKUP($D1009,ccc[city],ccc[ctry],"-"),"-")</f>
        <v/>
      </c>
      <c r="M1009" s="1395">
        <f>IF(raw[[#This Row],[city]]&lt;&gt;"",_xlfn.XLOOKUP($D1009,ccc[city],ccc[cont],"-"),"-")</f>
        <v/>
      </c>
      <c r="N1009" s="1396">
        <f>IF(raw[[#This Row],[city]]="","-",IF(raw[[#This Row],[cont]]="B",raw[[#This Row],[cont]],"W"))</f>
        <v/>
      </c>
      <c r="O1009" s="1397">
        <f>IF(raw[[#This Row],[out]]=0,0,IF(raw[[#This Row],[out]]=raw[[#This Row],[in]],0.01,raw[[#This Row],[out]]-raw[[#This Row],[in]]))</f>
        <v/>
      </c>
      <c r="P1009" s="1397">
        <f>IF(raw[[#This Row],[in]]=0,0,MONTH(raw[[#This Row],[in]]))</f>
        <v/>
      </c>
      <c r="Q1009" s="1397">
        <f>IF(raw[[#This Row],[in]]=0,0,YEAR(raw[[#This Row],[in]]))</f>
        <v/>
      </c>
      <c r="R1009" s="1397">
        <f>INT(raw[[#This Row],[yr]]/10)*10</f>
        <v/>
      </c>
      <c r="S1009" s="1395">
        <f>IF(raw[[#This Row],[city]]="","-",IF(raw[[#This Row],[city]]&lt;&gt;_xlfn.XLOOKUP(raw[[#This Row],[home]],homes[home],homes[city],"-"),1,0))</f>
        <v/>
      </c>
      <c r="T1009" s="1398" t="inlineStr">
        <is>
          <t>.</t>
        </is>
      </c>
      <c r="U1009" s="1399">
        <f>IF(raw[[#This Row],[wb]]="w",raw[[#This Row],[stay]]+U1008,U1008)</f>
        <v/>
      </c>
      <c r="V1009" s="1400">
        <f>IF(raw[[#This Row],[out]]=0,V1008,(raw[[#This Row],[out]]-E$5))</f>
        <v/>
      </c>
      <c r="W1009" s="1401">
        <f>U1009/V1009</f>
        <v/>
      </c>
      <c r="X1009" s="1392" t="n"/>
      <c r="Y1009" s="1392" t="n"/>
      <c r="Z1009" s="1392" t="n"/>
      <c r="AA1009" s="1392" t="n"/>
      <c r="AB1009" s="1392" t="n"/>
      <c r="AC1009" s="1392" t="n"/>
      <c r="AD1009" s="1392" t="n"/>
      <c r="AE1009" s="1392" t="n"/>
      <c r="AF1009" s="1392" t="n"/>
      <c r="AG1009" s="1392" t="n"/>
      <c r="AH1009" s="1392" t="n"/>
      <c r="AI1009" s="1392" t="n"/>
      <c r="AJ1009" s="1392" t="n"/>
      <c r="AK1009" s="1392" t="n"/>
      <c r="AL1009" s="1392" t="n"/>
      <c r="AM1009" s="1392" t="n"/>
      <c r="AN1009" s="1392" t="n"/>
      <c r="AO1009" s="1392" t="n"/>
      <c r="AP1009" s="1392" t="n"/>
      <c r="AQ1009" s="1392" t="n"/>
      <c r="AR1009" s="1422" t="n"/>
      <c r="AS1009" s="1422" t="n"/>
      <c r="AT1009" s="1392" t="n"/>
      <c r="AU1009" s="1392" t="n"/>
      <c r="AV1009" s="1392" t="n"/>
      <c r="AW1009" s="1392" t="n"/>
      <c r="AX1009" s="1392" t="n"/>
      <c r="AY1009" s="1392" t="n"/>
      <c r="AZ1009" s="1392" t="n"/>
      <c r="BA1009" s="1422" t="n"/>
      <c r="BB1009" s="1422" t="n"/>
      <c r="BC1009" s="1392" t="n"/>
      <c r="BD1009" s="1392" t="n"/>
      <c r="BE1009" s="1392" t="n"/>
      <c r="BF1009" s="1392" t="n"/>
      <c r="BG1009" s="1392" t="n"/>
      <c r="BH1009" s="1392" t="n"/>
      <c r="BI1009" s="1392" t="n"/>
      <c r="BJ1009" s="1392" t="n"/>
      <c r="BK1009" s="1392" t="n"/>
      <c r="BL1009" s="1392" t="n"/>
      <c r="BM1009" s="1392" t="n"/>
      <c r="BN1009" s="1392" t="n"/>
      <c r="BO1009" s="1392" t="n"/>
      <c r="BP1009" s="1392" t="n"/>
      <c r="BQ1009" s="1392" t="n"/>
      <c r="BR1009" s="1392" t="n"/>
      <c r="BS1009" s="1392" t="n"/>
      <c r="BT1009" s="1392" t="n"/>
      <c r="BU1009" s="1392" t="n"/>
      <c r="BV1009" s="1392" t="n"/>
      <c r="BW1009" s="1392" t="n"/>
      <c r="BX1009" s="1392" t="n"/>
      <c r="BY1009" s="1392" t="n"/>
      <c r="BZ1009" s="1392" t="n"/>
      <c r="CA1009" s="1392" t="n"/>
      <c r="CB1009" s="1392" t="n"/>
      <c r="CC1009" s="1392" t="n"/>
      <c r="CD1009" s="1392" t="n"/>
      <c r="CE1009" s="1392" t="n"/>
      <c r="CF1009" s="1392" t="n"/>
      <c r="CG1009" s="1392" t="n"/>
      <c r="CH1009" s="1392" t="n"/>
      <c r="CI1009" s="1392" t="n"/>
      <c r="CJ1009" s="1392" t="n"/>
      <c r="CK1009" s="1392" t="n"/>
      <c r="CL1009" s="1392" t="n"/>
    </row>
    <row r="1010">
      <c r="A1010" s="5" t="inlineStr">
        <is>
          <t>.</t>
        </is>
      </c>
      <c r="B1010" s="5" t="inlineStr">
        <is>
          <t>.</t>
        </is>
      </c>
      <c r="C1010" s="1378">
        <f>IF(raw[[#This Row],[city]]="","-",IF(raw[[#This Row],[city]]="TODAY","-",C1009+1))</f>
        <v/>
      </c>
      <c r="D1010" s="1393" t="inlineStr">
        <is>
          <t>SSA</t>
        </is>
      </c>
      <c r="E1010" s="1394" t="n">
        <v>38978</v>
      </c>
      <c r="F1010" s="1394" t="n">
        <v>38991</v>
      </c>
      <c r="G1010" s="1393" t="inlineStr">
        <is>
          <t>-</t>
        </is>
      </c>
      <c r="H1010" s="1393" t="inlineStr">
        <is>
          <t>Ondina</t>
        </is>
      </c>
      <c r="I1010" s="1393" t="inlineStr">
        <is>
          <t>-</t>
        </is>
      </c>
      <c r="J1010" s="1393" t="inlineStr">
        <is>
          <t>c/ PL+Vergne (trilha+camping)</t>
        </is>
      </c>
      <c r="K1010" s="1395">
        <f>IF(raw[[#This Row],[city]]&lt;&gt;"",_xlfn.XLOOKUP($D1010,ccc[city],ccc[prov],"-"),"-")</f>
        <v/>
      </c>
      <c r="L1010" s="1395">
        <f>IF(raw[[#This Row],[city]]&lt;&gt;"",_xlfn.XLOOKUP($D1010,ccc[city],ccc[ctry],"-"),"-")</f>
        <v/>
      </c>
      <c r="M1010" s="1395">
        <f>IF(raw[[#This Row],[city]]&lt;&gt;"",_xlfn.XLOOKUP($D1010,ccc[city],ccc[cont],"-"),"-")</f>
        <v/>
      </c>
      <c r="N1010" s="1396">
        <f>IF(raw[[#This Row],[city]]="","-",IF(raw[[#This Row],[cont]]="B",raw[[#This Row],[cont]],"W"))</f>
        <v/>
      </c>
      <c r="O1010" s="1397">
        <f>IF(raw[[#This Row],[out]]=0,0,IF(raw[[#This Row],[out]]=raw[[#This Row],[in]],0.01,raw[[#This Row],[out]]-raw[[#This Row],[in]]))</f>
        <v/>
      </c>
      <c r="P1010" s="1397">
        <f>IF(raw[[#This Row],[in]]=0,0,MONTH(raw[[#This Row],[in]]))</f>
        <v/>
      </c>
      <c r="Q1010" s="1397">
        <f>IF(raw[[#This Row],[in]]=0,0,YEAR(raw[[#This Row],[in]]))</f>
        <v/>
      </c>
      <c r="R1010" s="1397">
        <f>INT(raw[[#This Row],[yr]]/10)*10</f>
        <v/>
      </c>
      <c r="S1010" s="1395">
        <f>IF(raw[[#This Row],[city]]="","-",IF(raw[[#This Row],[city]]&lt;&gt;_xlfn.XLOOKUP(raw[[#This Row],[home]],homes[home],homes[city],"-"),1,0))</f>
        <v/>
      </c>
      <c r="T1010" s="1398" t="inlineStr">
        <is>
          <t>.</t>
        </is>
      </c>
      <c r="U1010" s="1399">
        <f>IF(raw[[#This Row],[wb]]="w",raw[[#This Row],[stay]]+U1009,U1009)</f>
        <v/>
      </c>
      <c r="V1010" s="1400">
        <f>IF(raw[[#This Row],[out]]=0,V1009,(raw[[#This Row],[out]]-E$5))</f>
        <v/>
      </c>
      <c r="W1010" s="1401">
        <f>U1010/V1010</f>
        <v/>
      </c>
      <c r="X1010" s="1392" t="n"/>
      <c r="Y1010" s="1392" t="n"/>
      <c r="Z1010" s="1392" t="n"/>
      <c r="AA1010" s="1392" t="n"/>
      <c r="AB1010" s="1392" t="n"/>
      <c r="AC1010" s="1392" t="n"/>
      <c r="AD1010" s="1392" t="n"/>
      <c r="AE1010" s="1392" t="n"/>
      <c r="AF1010" s="1392" t="n"/>
      <c r="AG1010" s="1392" t="n"/>
      <c r="AH1010" s="1392" t="n"/>
      <c r="AI1010" s="1392" t="n"/>
      <c r="AJ1010" s="1392" t="n"/>
      <c r="AK1010" s="1392" t="n"/>
      <c r="AL1010" s="1392" t="n"/>
      <c r="AM1010" s="1392" t="n"/>
      <c r="AN1010" s="1392" t="n"/>
      <c r="AO1010" s="1392" t="n"/>
      <c r="AP1010" s="1392" t="n"/>
      <c r="AQ1010" s="1392" t="n"/>
      <c r="AR1010" s="1422" t="n"/>
      <c r="AS1010" s="1422" t="n"/>
      <c r="AT1010" s="1392" t="n"/>
      <c r="AU1010" s="1392" t="n"/>
      <c r="AV1010" s="1392" t="n"/>
      <c r="AW1010" s="1392" t="n"/>
      <c r="AX1010" s="1392" t="n"/>
      <c r="AY1010" s="1392" t="n"/>
      <c r="AZ1010" s="1392" t="n"/>
      <c r="BA1010" s="1422" t="n"/>
      <c r="BB1010" s="1422" t="n"/>
      <c r="BC1010" s="1392" t="n"/>
      <c r="BD1010" s="1392" t="n"/>
      <c r="BE1010" s="1392" t="n"/>
      <c r="BF1010" s="1392" t="n"/>
      <c r="BG1010" s="1392" t="n"/>
      <c r="BH1010" s="1392" t="n"/>
      <c r="BI1010" s="1392" t="n"/>
      <c r="BJ1010" s="1392" t="n"/>
      <c r="BK1010" s="1392" t="n"/>
      <c r="BL1010" s="1392" t="n"/>
      <c r="BM1010" s="1392" t="n"/>
      <c r="BN1010" s="1392" t="n"/>
      <c r="BO1010" s="1392" t="n"/>
      <c r="BP1010" s="1392" t="n"/>
      <c r="BQ1010" s="1392" t="n"/>
      <c r="BR1010" s="1392" t="n"/>
      <c r="BS1010" s="1392" t="n"/>
      <c r="BT1010" s="1392" t="n"/>
      <c r="BU1010" s="1392" t="n"/>
      <c r="BV1010" s="1392" t="n"/>
      <c r="BW1010" s="1392" t="n"/>
      <c r="BX1010" s="1392" t="n"/>
      <c r="BY1010" s="1392" t="n"/>
      <c r="BZ1010" s="1392" t="n"/>
      <c r="CA1010" s="1392" t="n"/>
      <c r="CB1010" s="1392" t="n"/>
      <c r="CC1010" s="1392" t="n"/>
      <c r="CD1010" s="1392" t="n"/>
      <c r="CE1010" s="1392" t="n"/>
      <c r="CF1010" s="1392" t="n"/>
      <c r="CG1010" s="1392" t="n"/>
      <c r="CH1010" s="1392" t="n"/>
      <c r="CI1010" s="1392" t="n"/>
      <c r="CJ1010" s="1392" t="n"/>
      <c r="CK1010" s="1392" t="n"/>
      <c r="CL1010" s="1392" t="n"/>
    </row>
    <row r="1011">
      <c r="A1011" s="5" t="inlineStr">
        <is>
          <t>.</t>
        </is>
      </c>
      <c r="B1011" s="5" t="inlineStr">
        <is>
          <t>.</t>
        </is>
      </c>
      <c r="C1011" s="1378">
        <f>IF(raw[[#This Row],[city]]="","-",IF(raw[[#This Row],[city]]="TODAY","-",C1010+1))</f>
        <v/>
      </c>
      <c r="D1011" s="1393" t="inlineStr">
        <is>
          <t>SSA</t>
        </is>
      </c>
      <c r="E1011" s="1394" t="n">
        <v>38991</v>
      </c>
      <c r="F1011" s="1394" t="n">
        <v>39022</v>
      </c>
      <c r="G1011" s="1393" t="inlineStr">
        <is>
          <t>-</t>
        </is>
      </c>
      <c r="H1011" s="1393" t="inlineStr">
        <is>
          <t>Ondina</t>
        </is>
      </c>
      <c r="I1011" s="1393" t="inlineStr">
        <is>
          <t>-</t>
        </is>
      </c>
      <c r="J1011" s="1393" t="inlineStr">
        <is>
          <t>-</t>
        </is>
      </c>
      <c r="K1011" s="1395">
        <f>IF(raw[[#This Row],[city]]&lt;&gt;"",_xlfn.XLOOKUP($D1011,ccc[city],ccc[prov],"-"),"-")</f>
        <v/>
      </c>
      <c r="L1011" s="1395">
        <f>IF(raw[[#This Row],[city]]&lt;&gt;"",_xlfn.XLOOKUP($D1011,ccc[city],ccc[ctry],"-"),"-")</f>
        <v/>
      </c>
      <c r="M1011" s="1395">
        <f>IF(raw[[#This Row],[city]]&lt;&gt;"",_xlfn.XLOOKUP($D1011,ccc[city],ccc[cont],"-"),"-")</f>
        <v/>
      </c>
      <c r="N1011" s="1396">
        <f>IF(raw[[#This Row],[city]]="","-",IF(raw[[#This Row],[cont]]="B",raw[[#This Row],[cont]],"W"))</f>
        <v/>
      </c>
      <c r="O1011" s="1397">
        <f>IF(raw[[#This Row],[out]]=0,0,IF(raw[[#This Row],[out]]=raw[[#This Row],[in]],0.01,raw[[#This Row],[out]]-raw[[#This Row],[in]]))</f>
        <v/>
      </c>
      <c r="P1011" s="1397">
        <f>IF(raw[[#This Row],[in]]=0,0,MONTH(raw[[#This Row],[in]]))</f>
        <v/>
      </c>
      <c r="Q1011" s="1397">
        <f>IF(raw[[#This Row],[in]]=0,0,YEAR(raw[[#This Row],[in]]))</f>
        <v/>
      </c>
      <c r="R1011" s="1397">
        <f>INT(raw[[#This Row],[yr]]/10)*10</f>
        <v/>
      </c>
      <c r="S1011" s="1395">
        <f>IF(raw[[#This Row],[city]]="","-",IF(raw[[#This Row],[city]]&lt;&gt;_xlfn.XLOOKUP(raw[[#This Row],[home]],homes[home],homes[city],"-"),1,0))</f>
        <v/>
      </c>
      <c r="T1011" s="1398" t="inlineStr">
        <is>
          <t>.</t>
        </is>
      </c>
      <c r="U1011" s="1399">
        <f>IF(raw[[#This Row],[wb]]="w",raw[[#This Row],[stay]]+U1010,U1010)</f>
        <v/>
      </c>
      <c r="V1011" s="1400">
        <f>IF(raw[[#This Row],[out]]=0,V1010,(raw[[#This Row],[out]]-E$5))</f>
        <v/>
      </c>
      <c r="W1011" s="1401">
        <f>U1011/V1011</f>
        <v/>
      </c>
      <c r="X1011" s="1392" t="n"/>
      <c r="Y1011" s="1392" t="n"/>
      <c r="Z1011" s="1392" t="n"/>
      <c r="AA1011" s="1392" t="n"/>
      <c r="AB1011" s="1392" t="n"/>
      <c r="AC1011" s="1392" t="n"/>
      <c r="AD1011" s="1392" t="n"/>
      <c r="AE1011" s="1392" t="n"/>
      <c r="AF1011" s="1392" t="n"/>
      <c r="AG1011" s="1392" t="n"/>
      <c r="AH1011" s="1392" t="n"/>
      <c r="AI1011" s="1392" t="n"/>
      <c r="AJ1011" s="1392" t="n"/>
      <c r="AK1011" s="1392" t="n"/>
      <c r="AL1011" s="1392" t="n"/>
      <c r="AM1011" s="1392" t="n"/>
      <c r="AN1011" s="1392" t="n"/>
      <c r="AO1011" s="1392" t="n"/>
      <c r="AP1011" s="1392" t="n"/>
      <c r="AQ1011" s="1392" t="n"/>
      <c r="AR1011" s="1422" t="n"/>
      <c r="AS1011" s="1422" t="n"/>
      <c r="AT1011" s="1392" t="n"/>
      <c r="AU1011" s="1392" t="n"/>
      <c r="AV1011" s="1392" t="n"/>
      <c r="AW1011" s="1392" t="n"/>
      <c r="AX1011" s="1392" t="n"/>
      <c r="AY1011" s="1392" t="n"/>
      <c r="AZ1011" s="1392" t="n"/>
      <c r="BA1011" s="1422" t="n"/>
      <c r="BB1011" s="1422" t="n"/>
      <c r="BC1011" s="1392" t="n"/>
      <c r="BD1011" s="1392" t="n"/>
      <c r="BE1011" s="1392" t="n"/>
      <c r="BF1011" s="1392" t="n"/>
      <c r="BG1011" s="1392" t="n"/>
      <c r="BH1011" s="1392" t="n"/>
      <c r="BI1011" s="1392" t="n"/>
      <c r="BJ1011" s="1392" t="n"/>
      <c r="BK1011" s="1392" t="n"/>
      <c r="BL1011" s="1392" t="n"/>
      <c r="BM1011" s="1392" t="n"/>
      <c r="BN1011" s="1392" t="n"/>
      <c r="BO1011" s="1392" t="n"/>
      <c r="BP1011" s="1392" t="n"/>
      <c r="BQ1011" s="1392" t="n"/>
      <c r="BR1011" s="1392" t="n"/>
      <c r="BS1011" s="1392" t="n"/>
      <c r="BT1011" s="1392" t="n"/>
      <c r="BU1011" s="1392" t="n"/>
      <c r="BV1011" s="1392" t="n"/>
      <c r="BW1011" s="1392" t="n"/>
      <c r="BX1011" s="1392" t="n"/>
      <c r="BY1011" s="1392" t="n"/>
      <c r="BZ1011" s="1392" t="n"/>
      <c r="CA1011" s="1392" t="n"/>
      <c r="CB1011" s="1392" t="n"/>
      <c r="CC1011" s="1392" t="n"/>
      <c r="CD1011" s="1392" t="n"/>
      <c r="CE1011" s="1392" t="n"/>
      <c r="CF1011" s="1392" t="n"/>
      <c r="CG1011" s="1392" t="n"/>
      <c r="CH1011" s="1392" t="n"/>
      <c r="CI1011" s="1392" t="n"/>
      <c r="CJ1011" s="1392" t="n"/>
      <c r="CK1011" s="1392" t="n"/>
      <c r="CL1011" s="1392" t="n"/>
    </row>
    <row r="1012">
      <c r="A1012" s="5" t="inlineStr">
        <is>
          <t>.</t>
        </is>
      </c>
      <c r="B1012" s="5" t="inlineStr">
        <is>
          <t>.</t>
        </is>
      </c>
      <c r="C1012" s="1378">
        <f>IF(raw[[#This Row],[city]]="","-",IF(raw[[#This Row],[city]]="TODAY","-",C1011+1))</f>
        <v/>
      </c>
      <c r="D1012" s="1393" t="inlineStr">
        <is>
          <t>SSA</t>
        </is>
      </c>
      <c r="E1012" s="1394" t="n">
        <v>39022</v>
      </c>
      <c r="F1012" s="1394" t="n">
        <v>39052</v>
      </c>
      <c r="G1012" s="1393" t="inlineStr">
        <is>
          <t>-</t>
        </is>
      </c>
      <c r="H1012" s="1393" t="inlineStr">
        <is>
          <t>Ondina</t>
        </is>
      </c>
      <c r="I1012" s="1393" t="inlineStr">
        <is>
          <t>-</t>
        </is>
      </c>
      <c r="J1012" s="1393" t="inlineStr">
        <is>
          <t>-</t>
        </is>
      </c>
      <c r="K1012" s="1395">
        <f>IF(raw[[#This Row],[city]]&lt;&gt;"",_xlfn.XLOOKUP($D1012,ccc[city],ccc[prov],"-"),"-")</f>
        <v/>
      </c>
      <c r="L1012" s="1395">
        <f>IF(raw[[#This Row],[city]]&lt;&gt;"",_xlfn.XLOOKUP($D1012,ccc[city],ccc[ctry],"-"),"-")</f>
        <v/>
      </c>
      <c r="M1012" s="1395">
        <f>IF(raw[[#This Row],[city]]&lt;&gt;"",_xlfn.XLOOKUP($D1012,ccc[city],ccc[cont],"-"),"-")</f>
        <v/>
      </c>
      <c r="N1012" s="1396">
        <f>IF(raw[[#This Row],[city]]="","-",IF(raw[[#This Row],[cont]]="B",raw[[#This Row],[cont]],"W"))</f>
        <v/>
      </c>
      <c r="O1012" s="1397">
        <f>IF(raw[[#This Row],[out]]=0,0,IF(raw[[#This Row],[out]]=raw[[#This Row],[in]],0.01,raw[[#This Row],[out]]-raw[[#This Row],[in]]))</f>
        <v/>
      </c>
      <c r="P1012" s="1397">
        <f>IF(raw[[#This Row],[in]]=0,0,MONTH(raw[[#This Row],[in]]))</f>
        <v/>
      </c>
      <c r="Q1012" s="1397">
        <f>IF(raw[[#This Row],[in]]=0,0,YEAR(raw[[#This Row],[in]]))</f>
        <v/>
      </c>
      <c r="R1012" s="1397">
        <f>INT(raw[[#This Row],[yr]]/10)*10</f>
        <v/>
      </c>
      <c r="S1012" s="1395">
        <f>IF(raw[[#This Row],[city]]="","-",IF(raw[[#This Row],[city]]&lt;&gt;_xlfn.XLOOKUP(raw[[#This Row],[home]],homes[home],homes[city],"-"),1,0))</f>
        <v/>
      </c>
      <c r="T1012" s="1398" t="inlineStr">
        <is>
          <t>.</t>
        </is>
      </c>
      <c r="U1012" s="1399">
        <f>IF(raw[[#This Row],[wb]]="w",raw[[#This Row],[stay]]+U1011,U1011)</f>
        <v/>
      </c>
      <c r="V1012" s="1400">
        <f>IF(raw[[#This Row],[out]]=0,V1011,(raw[[#This Row],[out]]-E$5))</f>
        <v/>
      </c>
      <c r="W1012" s="1401">
        <f>U1012/V1012</f>
        <v/>
      </c>
      <c r="X1012" s="1392" t="n"/>
      <c r="Y1012" s="1392" t="n"/>
      <c r="Z1012" s="1392" t="n"/>
      <c r="AA1012" s="1392" t="n"/>
      <c r="AB1012" s="1392" t="n"/>
      <c r="AC1012" s="1392" t="n"/>
      <c r="AD1012" s="1392" t="n"/>
      <c r="AE1012" s="1392" t="n"/>
      <c r="AF1012" s="1392" t="n"/>
      <c r="AG1012" s="1392" t="n"/>
      <c r="AH1012" s="1392" t="n"/>
      <c r="AI1012" s="1392" t="n"/>
      <c r="AJ1012" s="1392" t="n"/>
      <c r="AK1012" s="1392" t="n"/>
      <c r="AL1012" s="1392" t="n"/>
      <c r="AM1012" s="1392" t="n"/>
      <c r="AN1012" s="1392" t="n"/>
      <c r="AO1012" s="1392" t="n"/>
      <c r="AP1012" s="1392" t="n"/>
      <c r="AQ1012" s="1392" t="n"/>
      <c r="AR1012" s="1422" t="n"/>
      <c r="AS1012" s="1422" t="n"/>
      <c r="AT1012" s="1392" t="n"/>
      <c r="AU1012" s="1392" t="n"/>
      <c r="AV1012" s="1392" t="n"/>
      <c r="AW1012" s="1392" t="n"/>
      <c r="AX1012" s="1392" t="n"/>
      <c r="AY1012" s="1392" t="n"/>
      <c r="AZ1012" s="1392" t="n"/>
      <c r="BA1012" s="1422" t="n"/>
      <c r="BB1012" s="1422" t="n"/>
      <c r="BC1012" s="1392" t="n"/>
      <c r="BD1012" s="1392" t="n"/>
      <c r="BE1012" s="1392" t="n"/>
      <c r="BF1012" s="1392" t="n"/>
      <c r="BG1012" s="1392" t="n"/>
      <c r="BH1012" s="1392" t="n"/>
      <c r="BI1012" s="1392" t="n"/>
      <c r="BJ1012" s="1392" t="n"/>
      <c r="BK1012" s="1392" t="n"/>
      <c r="BL1012" s="1392" t="n"/>
      <c r="BM1012" s="1392" t="n"/>
      <c r="BN1012" s="1392" t="n"/>
      <c r="BO1012" s="1392" t="n"/>
      <c r="BP1012" s="1392" t="n"/>
      <c r="BQ1012" s="1392" t="n"/>
      <c r="BR1012" s="1392" t="n"/>
      <c r="BS1012" s="1392" t="n"/>
      <c r="BT1012" s="1392" t="n"/>
      <c r="BU1012" s="1392" t="n"/>
      <c r="BV1012" s="1392" t="n"/>
      <c r="BW1012" s="1392" t="n"/>
      <c r="BX1012" s="1392" t="n"/>
      <c r="BY1012" s="1392" t="n"/>
      <c r="BZ1012" s="1392" t="n"/>
      <c r="CA1012" s="1392" t="n"/>
      <c r="CB1012" s="1392" t="n"/>
      <c r="CC1012" s="1392" t="n"/>
      <c r="CD1012" s="1392" t="n"/>
      <c r="CE1012" s="1392" t="n"/>
      <c r="CF1012" s="1392" t="n"/>
      <c r="CG1012" s="1392" t="n"/>
      <c r="CH1012" s="1392" t="n"/>
      <c r="CI1012" s="1392" t="n"/>
      <c r="CJ1012" s="1392" t="n"/>
      <c r="CK1012" s="1392" t="n"/>
      <c r="CL1012" s="1392" t="n"/>
    </row>
    <row r="1013">
      <c r="A1013" s="5" t="inlineStr">
        <is>
          <t>.</t>
        </is>
      </c>
      <c r="B1013" s="5" t="inlineStr">
        <is>
          <t>.</t>
        </is>
      </c>
      <c r="C1013" s="1378">
        <f>IF(raw[[#This Row],[city]]="","-",IF(raw[[#This Row],[city]]="TODAY","-",C1012+1))</f>
        <v/>
      </c>
      <c r="D1013" s="1393" t="inlineStr">
        <is>
          <t>SSA</t>
        </is>
      </c>
      <c r="E1013" s="1394" t="n">
        <v>39052</v>
      </c>
      <c r="F1013" s="1394" t="n">
        <v>39083</v>
      </c>
      <c r="G1013" s="1393" t="inlineStr">
        <is>
          <t>-</t>
        </is>
      </c>
      <c r="H1013" s="1393" t="inlineStr">
        <is>
          <t>Ondina</t>
        </is>
      </c>
      <c r="I1013" s="1393" t="inlineStr">
        <is>
          <t>-</t>
        </is>
      </c>
      <c r="J1013" s="1393" t="inlineStr">
        <is>
          <t>-</t>
        </is>
      </c>
      <c r="K1013" s="1395">
        <f>IF(raw[[#This Row],[city]]&lt;&gt;"",_xlfn.XLOOKUP($D1013,ccc[city],ccc[prov],"-"),"-")</f>
        <v/>
      </c>
      <c r="L1013" s="1395">
        <f>IF(raw[[#This Row],[city]]&lt;&gt;"",_xlfn.XLOOKUP($D1013,ccc[city],ccc[ctry],"-"),"-")</f>
        <v/>
      </c>
      <c r="M1013" s="1395">
        <f>IF(raw[[#This Row],[city]]&lt;&gt;"",_xlfn.XLOOKUP($D1013,ccc[city],ccc[cont],"-"),"-")</f>
        <v/>
      </c>
      <c r="N1013" s="1396">
        <f>IF(raw[[#This Row],[city]]="","-",IF(raw[[#This Row],[cont]]="B",raw[[#This Row],[cont]],"W"))</f>
        <v/>
      </c>
      <c r="O1013" s="1397">
        <f>IF(raw[[#This Row],[out]]=0,0,IF(raw[[#This Row],[out]]=raw[[#This Row],[in]],0.01,raw[[#This Row],[out]]-raw[[#This Row],[in]]))</f>
        <v/>
      </c>
      <c r="P1013" s="1397">
        <f>IF(raw[[#This Row],[in]]=0,0,MONTH(raw[[#This Row],[in]]))</f>
        <v/>
      </c>
      <c r="Q1013" s="1397">
        <f>IF(raw[[#This Row],[in]]=0,0,YEAR(raw[[#This Row],[in]]))</f>
        <v/>
      </c>
      <c r="R1013" s="1397">
        <f>INT(raw[[#This Row],[yr]]/10)*10</f>
        <v/>
      </c>
      <c r="S1013" s="1395">
        <f>IF(raw[[#This Row],[city]]="","-",IF(raw[[#This Row],[city]]&lt;&gt;_xlfn.XLOOKUP(raw[[#This Row],[home]],homes[home],homes[city],"-"),1,0))</f>
        <v/>
      </c>
      <c r="T1013" s="1398" t="inlineStr">
        <is>
          <t>.</t>
        </is>
      </c>
      <c r="U1013" s="1399">
        <f>IF(raw[[#This Row],[wb]]="w",raw[[#This Row],[stay]]+U1012,U1012)</f>
        <v/>
      </c>
      <c r="V1013" s="1400">
        <f>IF(raw[[#This Row],[out]]=0,V1012,(raw[[#This Row],[out]]-E$5))</f>
        <v/>
      </c>
      <c r="W1013" s="1401">
        <f>U1013/V1013</f>
        <v/>
      </c>
      <c r="X1013" s="1392" t="n"/>
      <c r="Y1013" s="1392" t="n"/>
      <c r="Z1013" s="1392" t="n"/>
      <c r="AA1013" s="1392" t="n"/>
      <c r="AB1013" s="1392" t="n"/>
      <c r="AC1013" s="1392" t="n"/>
      <c r="AD1013" s="1392" t="n"/>
      <c r="AE1013" s="1392" t="n"/>
      <c r="AF1013" s="1392" t="n"/>
      <c r="AG1013" s="1392" t="n"/>
      <c r="AH1013" s="1392" t="n"/>
      <c r="AI1013" s="1392" t="n"/>
      <c r="AJ1013" s="1392" t="n"/>
      <c r="AK1013" s="1392" t="n"/>
      <c r="AL1013" s="1392" t="n"/>
      <c r="AM1013" s="1392" t="n"/>
      <c r="AN1013" s="1392" t="n"/>
      <c r="AO1013" s="1392" t="n"/>
      <c r="AP1013" s="1392" t="n"/>
      <c r="AQ1013" s="1392" t="n"/>
      <c r="AR1013" s="1422" t="n"/>
      <c r="AS1013" s="1422" t="n"/>
      <c r="AT1013" s="1392" t="n"/>
      <c r="AU1013" s="1392" t="n"/>
      <c r="AV1013" s="1392" t="n"/>
      <c r="AW1013" s="1392" t="n"/>
      <c r="AX1013" s="1392" t="n"/>
      <c r="AY1013" s="1392" t="n"/>
      <c r="AZ1013" s="1392" t="n"/>
      <c r="BA1013" s="1422" t="n"/>
      <c r="BB1013" s="1422" t="n"/>
      <c r="BC1013" s="1392" t="n"/>
      <c r="BD1013" s="1392" t="n"/>
      <c r="BE1013" s="1392" t="n"/>
      <c r="BF1013" s="1392" t="n"/>
      <c r="BG1013" s="1392" t="n"/>
      <c r="BH1013" s="1392" t="n"/>
      <c r="BI1013" s="1392" t="n"/>
      <c r="BJ1013" s="1392" t="n"/>
      <c r="BK1013" s="1392" t="n"/>
      <c r="BL1013" s="1392" t="n"/>
      <c r="BM1013" s="1392" t="n"/>
      <c r="BN1013" s="1392" t="n"/>
      <c r="BO1013" s="1392" t="n"/>
      <c r="BP1013" s="1392" t="n"/>
      <c r="BQ1013" s="1392" t="n"/>
      <c r="BR1013" s="1392" t="n"/>
      <c r="BS1013" s="1392" t="n"/>
      <c r="BT1013" s="1392" t="n"/>
      <c r="BU1013" s="1392" t="n"/>
      <c r="BV1013" s="1392" t="n"/>
      <c r="BW1013" s="1392" t="n"/>
      <c r="BX1013" s="1392" t="n"/>
      <c r="BY1013" s="1392" t="n"/>
      <c r="BZ1013" s="1392" t="n"/>
      <c r="CA1013" s="1392" t="n"/>
      <c r="CB1013" s="1392" t="n"/>
      <c r="CC1013" s="1392" t="n"/>
      <c r="CD1013" s="1392" t="n"/>
      <c r="CE1013" s="1392" t="n"/>
      <c r="CF1013" s="1392" t="n"/>
      <c r="CG1013" s="1392" t="n"/>
      <c r="CH1013" s="1392" t="n"/>
      <c r="CI1013" s="1392" t="n"/>
      <c r="CJ1013" s="1392" t="n"/>
      <c r="CK1013" s="1392" t="n"/>
      <c r="CL1013" s="1392" t="n"/>
    </row>
    <row r="1014">
      <c r="A1014" s="5" t="inlineStr">
        <is>
          <t>.</t>
        </is>
      </c>
      <c r="B1014" s="5" t="inlineStr">
        <is>
          <t>.</t>
        </is>
      </c>
      <c r="C1014" s="1378">
        <f>IF(raw[[#This Row],[city]]="","-",IF(raw[[#This Row],[city]]="TODAY","-",C1013+1))</f>
        <v/>
      </c>
      <c r="D1014" s="1393" t="inlineStr">
        <is>
          <t>SSA</t>
        </is>
      </c>
      <c r="E1014" s="1394" t="n">
        <v>39083</v>
      </c>
      <c r="F1014" s="1394" t="n">
        <v>39093</v>
      </c>
      <c r="G1014" s="1393" t="n">
        <v>1</v>
      </c>
      <c r="H1014" s="1393" t="inlineStr">
        <is>
          <t>Ondina</t>
        </is>
      </c>
      <c r="I1014" s="1393" t="inlineStr">
        <is>
          <t>-</t>
        </is>
      </c>
      <c r="J1014" s="1393" t="inlineStr">
        <is>
          <t>REV</t>
        </is>
      </c>
      <c r="K1014" s="1395">
        <f>IF(raw[[#This Row],[city]]&lt;&gt;"",_xlfn.XLOOKUP($D1014,ccc[city],ccc[prov],"-"),"-")</f>
        <v/>
      </c>
      <c r="L1014" s="1395">
        <f>IF(raw[[#This Row],[city]]&lt;&gt;"",_xlfn.XLOOKUP($D1014,ccc[city],ccc[ctry],"-"),"-")</f>
        <v/>
      </c>
      <c r="M1014" s="1395">
        <f>IF(raw[[#This Row],[city]]&lt;&gt;"",_xlfn.XLOOKUP($D1014,ccc[city],ccc[cont],"-"),"-")</f>
        <v/>
      </c>
      <c r="N1014" s="1396">
        <f>IF(raw[[#This Row],[city]]="","-",IF(raw[[#This Row],[cont]]="B",raw[[#This Row],[cont]],"W"))</f>
        <v/>
      </c>
      <c r="O1014" s="1397">
        <f>IF(raw[[#This Row],[out]]=0,0,IF(raw[[#This Row],[out]]=raw[[#This Row],[in]],0.01,raw[[#This Row],[out]]-raw[[#This Row],[in]]))</f>
        <v/>
      </c>
      <c r="P1014" s="1397">
        <f>IF(raw[[#This Row],[in]]=0,0,MONTH(raw[[#This Row],[in]]))</f>
        <v/>
      </c>
      <c r="Q1014" s="1397">
        <f>IF(raw[[#This Row],[in]]=0,0,YEAR(raw[[#This Row],[in]]))</f>
        <v/>
      </c>
      <c r="R1014" s="1397">
        <f>INT(raw[[#This Row],[yr]]/10)*10</f>
        <v/>
      </c>
      <c r="S1014" s="1395">
        <f>IF(raw[[#This Row],[city]]="","-",IF(raw[[#This Row],[city]]&lt;&gt;_xlfn.XLOOKUP(raw[[#This Row],[home]],homes[home],homes[city],"-"),1,0))</f>
        <v/>
      </c>
      <c r="T1014" s="1398" t="inlineStr">
        <is>
          <t>.</t>
        </is>
      </c>
      <c r="U1014" s="1399">
        <f>IF(raw[[#This Row],[wb]]="w",raw[[#This Row],[stay]]+U1013,U1013)</f>
        <v/>
      </c>
      <c r="V1014" s="1400">
        <f>IF(raw[[#This Row],[out]]=0,V1013,(raw[[#This Row],[out]]-E$5))</f>
        <v/>
      </c>
      <c r="W1014" s="1401">
        <f>U1014/V1014</f>
        <v/>
      </c>
      <c r="X1014" s="1392" t="n"/>
      <c r="Y1014" s="1392" t="n"/>
      <c r="Z1014" s="1392" t="n"/>
      <c r="AA1014" s="1392" t="n"/>
      <c r="AB1014" s="1392" t="n"/>
      <c r="AC1014" s="1392" t="n"/>
      <c r="AD1014" s="1392" t="n"/>
      <c r="AE1014" s="1392" t="n"/>
      <c r="AF1014" s="1392" t="n"/>
      <c r="AG1014" s="1392" t="n"/>
      <c r="AH1014" s="1392" t="n"/>
      <c r="AI1014" s="1392" t="n"/>
      <c r="AJ1014" s="1392" t="n"/>
      <c r="AK1014" s="1392" t="n"/>
      <c r="AL1014" s="1392" t="n"/>
      <c r="AM1014" s="1392" t="n"/>
      <c r="AN1014" s="1392" t="n"/>
      <c r="AO1014" s="1392" t="n"/>
      <c r="AP1014" s="1392" t="n"/>
      <c r="AQ1014" s="1392" t="n"/>
      <c r="AR1014" s="1422" t="n"/>
      <c r="AS1014" s="1422" t="n"/>
      <c r="AT1014" s="1392" t="n"/>
      <c r="AU1014" s="1392" t="n"/>
      <c r="AV1014" s="1392" t="n"/>
      <c r="AW1014" s="1392" t="n"/>
      <c r="AX1014" s="1392" t="n"/>
      <c r="AY1014" s="1392" t="n"/>
      <c r="AZ1014" s="1392" t="n"/>
      <c r="BA1014" s="1422" t="n"/>
      <c r="BB1014" s="1422" t="n"/>
      <c r="BC1014" s="1392" t="n"/>
      <c r="BD1014" s="1392" t="n"/>
      <c r="BE1014" s="1392" t="n"/>
      <c r="BF1014" s="1392" t="n"/>
      <c r="BG1014" s="1392" t="n"/>
      <c r="BH1014" s="1392" t="n"/>
      <c r="BI1014" s="1392" t="n"/>
      <c r="BJ1014" s="1392" t="n"/>
      <c r="BK1014" s="1392" t="n"/>
      <c r="BL1014" s="1392" t="n"/>
      <c r="BM1014" s="1392" t="n"/>
      <c r="BN1014" s="1392" t="n"/>
      <c r="BO1014" s="1392" t="n"/>
      <c r="BP1014" s="1392" t="n"/>
      <c r="BQ1014" s="1392" t="n"/>
      <c r="BR1014" s="1392" t="n"/>
      <c r="BS1014" s="1392" t="n"/>
      <c r="BT1014" s="1392" t="n"/>
      <c r="BU1014" s="1392" t="n"/>
      <c r="BV1014" s="1392" t="n"/>
      <c r="BW1014" s="1392" t="n"/>
      <c r="BX1014" s="1392" t="n"/>
      <c r="BY1014" s="1392" t="n"/>
      <c r="BZ1014" s="1392" t="n"/>
      <c r="CA1014" s="1392" t="n"/>
      <c r="CB1014" s="1392" t="n"/>
      <c r="CC1014" s="1392" t="n"/>
      <c r="CD1014" s="1392" t="n"/>
      <c r="CE1014" s="1392" t="n"/>
      <c r="CF1014" s="1392" t="n"/>
      <c r="CG1014" s="1392" t="n"/>
      <c r="CH1014" s="1392" t="n"/>
      <c r="CI1014" s="1392" t="n"/>
      <c r="CJ1014" s="1392" t="n"/>
      <c r="CK1014" s="1392" t="n"/>
      <c r="CL1014" s="1392" t="n"/>
    </row>
    <row r="1015">
      <c r="A1015" s="5" t="inlineStr">
        <is>
          <t>.</t>
        </is>
      </c>
      <c r="B1015" s="5" t="inlineStr">
        <is>
          <t>.</t>
        </is>
      </c>
      <c r="C1015" s="1378">
        <f>IF(raw[[#This Row],[city]]="","-",IF(raw[[#This Row],[city]]="TODAY","-",C1014+1))</f>
        <v/>
      </c>
      <c r="D1015" s="1393" t="inlineStr">
        <is>
          <t>Fortaleza</t>
        </is>
      </c>
      <c r="E1015" s="1394" t="n">
        <v>39093</v>
      </c>
      <c r="F1015" s="1394" t="n">
        <v>39098</v>
      </c>
      <c r="G1015" s="1393" t="n">
        <v>1</v>
      </c>
      <c r="H1015" s="1393" t="inlineStr">
        <is>
          <t>Ondina</t>
        </is>
      </c>
      <c r="I1015" s="1393" t="inlineStr">
        <is>
          <t>-</t>
        </is>
      </c>
      <c r="J1015" s="1393" t="inlineStr">
        <is>
          <t>-</t>
        </is>
      </c>
      <c r="K1015" s="1395">
        <f>IF(raw[[#This Row],[city]]&lt;&gt;"",_xlfn.XLOOKUP($D1015,ccc[city],ccc[prov],"-"),"-")</f>
        <v/>
      </c>
      <c r="L1015" s="1395">
        <f>IF(raw[[#This Row],[city]]&lt;&gt;"",_xlfn.XLOOKUP($D1015,ccc[city],ccc[ctry],"-"),"-")</f>
        <v/>
      </c>
      <c r="M1015" s="1395">
        <f>IF(raw[[#This Row],[city]]&lt;&gt;"",_xlfn.XLOOKUP($D1015,ccc[city],ccc[cont],"-"),"-")</f>
        <v/>
      </c>
      <c r="N1015" s="1396">
        <f>IF(raw[[#This Row],[city]]="","-",IF(raw[[#This Row],[cont]]="B",raw[[#This Row],[cont]],"W"))</f>
        <v/>
      </c>
      <c r="O1015" s="1397">
        <f>IF(raw[[#This Row],[out]]=0,0,IF(raw[[#This Row],[out]]=raw[[#This Row],[in]],0.01,raw[[#This Row],[out]]-raw[[#This Row],[in]]))</f>
        <v/>
      </c>
      <c r="P1015" s="1397">
        <f>IF(raw[[#This Row],[in]]=0,0,MONTH(raw[[#This Row],[in]]))</f>
        <v/>
      </c>
      <c r="Q1015" s="1397">
        <f>IF(raw[[#This Row],[in]]=0,0,YEAR(raw[[#This Row],[in]]))</f>
        <v/>
      </c>
      <c r="R1015" s="1397">
        <f>INT(raw[[#This Row],[yr]]/10)*10</f>
        <v/>
      </c>
      <c r="S1015" s="1395">
        <f>IF(raw[[#This Row],[city]]="","-",IF(raw[[#This Row],[city]]&lt;&gt;_xlfn.XLOOKUP(raw[[#This Row],[home]],homes[home],homes[city],"-"),1,0))</f>
        <v/>
      </c>
      <c r="T1015" s="1398" t="inlineStr">
        <is>
          <t>.</t>
        </is>
      </c>
      <c r="U1015" s="1399">
        <f>IF(raw[[#This Row],[wb]]="w",raw[[#This Row],[stay]]+U1014,U1014)</f>
        <v/>
      </c>
      <c r="V1015" s="1400">
        <f>IF(raw[[#This Row],[out]]=0,V1014,(raw[[#This Row],[out]]-E$5))</f>
        <v/>
      </c>
      <c r="W1015" s="1401">
        <f>U1015/V1015</f>
        <v/>
      </c>
      <c r="X1015" s="1392" t="n"/>
      <c r="Y1015" s="1392" t="n"/>
      <c r="Z1015" s="1392" t="n"/>
      <c r="AA1015" s="1392" t="n"/>
      <c r="AB1015" s="1392" t="n"/>
      <c r="AC1015" s="1392" t="n"/>
      <c r="AD1015" s="1392" t="n"/>
      <c r="AE1015" s="1392" t="n"/>
      <c r="AF1015" s="1392" t="n"/>
      <c r="AG1015" s="1392" t="n"/>
      <c r="AH1015" s="1392" t="n"/>
      <c r="AI1015" s="1392" t="n"/>
      <c r="AJ1015" s="1392" t="n"/>
      <c r="AK1015" s="1392" t="n"/>
      <c r="AL1015" s="1392" t="n"/>
      <c r="AM1015" s="1392" t="n"/>
      <c r="AN1015" s="1392" t="n"/>
      <c r="AO1015" s="1392" t="n"/>
      <c r="AP1015" s="1392" t="n"/>
      <c r="AQ1015" s="1392" t="n"/>
      <c r="AR1015" s="1422" t="n"/>
      <c r="AS1015" s="1422" t="n"/>
      <c r="AT1015" s="1392" t="n"/>
      <c r="AU1015" s="1392" t="n"/>
      <c r="AV1015" s="1392" t="n"/>
      <c r="AW1015" s="1392" t="n"/>
      <c r="AX1015" s="1392" t="n"/>
      <c r="AY1015" s="1392" t="n"/>
      <c r="AZ1015" s="1392" t="n"/>
      <c r="BA1015" s="1422" t="n"/>
      <c r="BB1015" s="1422" t="n"/>
      <c r="BC1015" s="1392" t="n"/>
      <c r="BD1015" s="1392" t="n"/>
      <c r="BE1015" s="1392" t="n"/>
      <c r="BF1015" s="1392" t="n"/>
      <c r="BG1015" s="1392" t="n"/>
      <c r="BH1015" s="1392" t="n"/>
      <c r="BI1015" s="1392" t="n"/>
      <c r="BJ1015" s="1392" t="n"/>
      <c r="BK1015" s="1392" t="n"/>
      <c r="BL1015" s="1392" t="n"/>
      <c r="BM1015" s="1392" t="n"/>
      <c r="BN1015" s="1392" t="n"/>
      <c r="BO1015" s="1392" t="n"/>
      <c r="BP1015" s="1392" t="n"/>
      <c r="BQ1015" s="1392" t="n"/>
      <c r="BR1015" s="1392" t="n"/>
      <c r="BS1015" s="1392" t="n"/>
      <c r="BT1015" s="1392" t="n"/>
      <c r="BU1015" s="1392" t="n"/>
      <c r="BV1015" s="1392" t="n"/>
      <c r="BW1015" s="1392" t="n"/>
      <c r="BX1015" s="1392" t="n"/>
      <c r="BY1015" s="1392" t="n"/>
      <c r="BZ1015" s="1392" t="n"/>
      <c r="CA1015" s="1392" t="n"/>
      <c r="CB1015" s="1392" t="n"/>
      <c r="CC1015" s="1392" t="n"/>
      <c r="CD1015" s="1392" t="n"/>
      <c r="CE1015" s="1392" t="n"/>
      <c r="CF1015" s="1392" t="n"/>
      <c r="CG1015" s="1392" t="n"/>
      <c r="CH1015" s="1392" t="n"/>
      <c r="CI1015" s="1392" t="n"/>
      <c r="CJ1015" s="1392" t="n"/>
      <c r="CK1015" s="1392" t="n"/>
      <c r="CL1015" s="1392" t="n"/>
    </row>
    <row r="1016">
      <c r="A1016" s="5" t="inlineStr">
        <is>
          <t>.</t>
        </is>
      </c>
      <c r="B1016" s="5" t="inlineStr">
        <is>
          <t>.</t>
        </is>
      </c>
      <c r="C1016" s="1378">
        <f>IF(raw[[#This Row],[city]]="","-",IF(raw[[#This Row],[city]]="TODAY","-",C1015+1))</f>
        <v/>
      </c>
      <c r="D1016" s="1393" t="inlineStr">
        <is>
          <t>SSA</t>
        </is>
      </c>
      <c r="E1016" s="1394" t="n">
        <v>39098</v>
      </c>
      <c r="F1016" s="1394" t="n">
        <v>39114</v>
      </c>
      <c r="G1016" s="1393" t="inlineStr">
        <is>
          <t>-</t>
        </is>
      </c>
      <c r="H1016" s="1393" t="inlineStr">
        <is>
          <t>Ondina</t>
        </is>
      </c>
      <c r="I1016" s="1393" t="inlineStr">
        <is>
          <t>-</t>
        </is>
      </c>
      <c r="J1016" s="1393" t="inlineStr">
        <is>
          <t>-</t>
        </is>
      </c>
      <c r="K1016" s="1395">
        <f>IF(raw[[#This Row],[city]]&lt;&gt;"",_xlfn.XLOOKUP($D1016,ccc[city],ccc[prov],"-"),"-")</f>
        <v/>
      </c>
      <c r="L1016" s="1395">
        <f>IF(raw[[#This Row],[city]]&lt;&gt;"",_xlfn.XLOOKUP($D1016,ccc[city],ccc[ctry],"-"),"-")</f>
        <v/>
      </c>
      <c r="M1016" s="1395">
        <f>IF(raw[[#This Row],[city]]&lt;&gt;"",_xlfn.XLOOKUP($D1016,ccc[city],ccc[cont],"-"),"-")</f>
        <v/>
      </c>
      <c r="N1016" s="1396">
        <f>IF(raw[[#This Row],[city]]="","-",IF(raw[[#This Row],[cont]]="B",raw[[#This Row],[cont]],"W"))</f>
        <v/>
      </c>
      <c r="O1016" s="1397">
        <f>IF(raw[[#This Row],[out]]=0,0,IF(raw[[#This Row],[out]]=raw[[#This Row],[in]],0.01,raw[[#This Row],[out]]-raw[[#This Row],[in]]))</f>
        <v/>
      </c>
      <c r="P1016" s="1397">
        <f>IF(raw[[#This Row],[in]]=0,0,MONTH(raw[[#This Row],[in]]))</f>
        <v/>
      </c>
      <c r="Q1016" s="1397">
        <f>IF(raw[[#This Row],[in]]=0,0,YEAR(raw[[#This Row],[in]]))</f>
        <v/>
      </c>
      <c r="R1016" s="1397">
        <f>INT(raw[[#This Row],[yr]]/10)*10</f>
        <v/>
      </c>
      <c r="S1016" s="1395">
        <f>IF(raw[[#This Row],[city]]="","-",IF(raw[[#This Row],[city]]&lt;&gt;_xlfn.XLOOKUP(raw[[#This Row],[home]],homes[home],homes[city],"-"),1,0))</f>
        <v/>
      </c>
      <c r="T1016" s="1398" t="inlineStr">
        <is>
          <t>.</t>
        </is>
      </c>
      <c r="U1016" s="1399">
        <f>IF(raw[[#This Row],[wb]]="w",raw[[#This Row],[stay]]+U1015,U1015)</f>
        <v/>
      </c>
      <c r="V1016" s="1400">
        <f>IF(raw[[#This Row],[out]]=0,V1015,(raw[[#This Row],[out]]-E$5))</f>
        <v/>
      </c>
      <c r="W1016" s="1401">
        <f>U1016/V1016</f>
        <v/>
      </c>
      <c r="X1016" s="1392" t="n"/>
      <c r="Y1016" s="1392" t="n"/>
      <c r="Z1016" s="1392" t="n"/>
      <c r="AA1016" s="1392" t="n"/>
      <c r="AB1016" s="1392" t="n"/>
      <c r="AC1016" s="1392" t="n"/>
      <c r="AD1016" s="1392" t="n"/>
      <c r="AE1016" s="1392" t="n"/>
      <c r="AF1016" s="1392" t="n"/>
      <c r="AG1016" s="1392" t="n"/>
      <c r="AH1016" s="1392" t="n"/>
      <c r="AI1016" s="1392" t="n"/>
      <c r="AJ1016" s="1392" t="n"/>
      <c r="AK1016" s="1392" t="n"/>
      <c r="AL1016" s="1392" t="n"/>
      <c r="AM1016" s="1392" t="n"/>
      <c r="AN1016" s="1392" t="n"/>
      <c r="AO1016" s="1392" t="n"/>
      <c r="AP1016" s="1392" t="n"/>
      <c r="AQ1016" s="1392" t="n"/>
      <c r="AR1016" s="1422" t="n"/>
      <c r="AS1016" s="1422" t="n"/>
      <c r="AT1016" s="1392" t="n"/>
      <c r="AU1016" s="1392" t="n"/>
      <c r="AV1016" s="1392" t="n"/>
      <c r="AW1016" s="1392" t="n"/>
      <c r="AX1016" s="1392" t="n"/>
      <c r="AY1016" s="1392" t="n"/>
      <c r="AZ1016" s="1392" t="n"/>
      <c r="BA1016" s="1422" t="n"/>
      <c r="BB1016" s="1422" t="n"/>
      <c r="BC1016" s="1392" t="n"/>
      <c r="BD1016" s="1392" t="n"/>
      <c r="BE1016" s="1392" t="n"/>
      <c r="BF1016" s="1392" t="n"/>
      <c r="BG1016" s="1392" t="n"/>
      <c r="BH1016" s="1392" t="n"/>
      <c r="BI1016" s="1392" t="n"/>
      <c r="BJ1016" s="1392" t="n"/>
      <c r="BK1016" s="1392" t="n"/>
      <c r="BL1016" s="1392" t="n"/>
      <c r="BM1016" s="1392" t="n"/>
      <c r="BN1016" s="1392" t="n"/>
      <c r="BO1016" s="1392" t="n"/>
      <c r="BP1016" s="1392" t="n"/>
      <c r="BQ1016" s="1392" t="n"/>
      <c r="BR1016" s="1392" t="n"/>
      <c r="BS1016" s="1392" t="n"/>
      <c r="BT1016" s="1392" t="n"/>
      <c r="BU1016" s="1392" t="n"/>
      <c r="BV1016" s="1392" t="n"/>
      <c r="BW1016" s="1392" t="n"/>
      <c r="BX1016" s="1392" t="n"/>
      <c r="BY1016" s="1392" t="n"/>
      <c r="BZ1016" s="1392" t="n"/>
      <c r="CA1016" s="1392" t="n"/>
      <c r="CB1016" s="1392" t="n"/>
      <c r="CC1016" s="1392" t="n"/>
      <c r="CD1016" s="1392" t="n"/>
      <c r="CE1016" s="1392" t="n"/>
      <c r="CF1016" s="1392" t="n"/>
      <c r="CG1016" s="1392" t="n"/>
      <c r="CH1016" s="1392" t="n"/>
      <c r="CI1016" s="1392" t="n"/>
      <c r="CJ1016" s="1392" t="n"/>
      <c r="CK1016" s="1392" t="n"/>
      <c r="CL1016" s="1392" t="n"/>
    </row>
    <row r="1017">
      <c r="A1017" s="5" t="inlineStr">
        <is>
          <t>.</t>
        </is>
      </c>
      <c r="B1017" s="5" t="inlineStr">
        <is>
          <t>.</t>
        </is>
      </c>
      <c r="C1017" s="1378">
        <f>IF(raw[[#This Row],[city]]="","-",IF(raw[[#This Row],[city]]="TODAY","-",C1016+1))</f>
        <v/>
      </c>
      <c r="D1017" s="1393" t="inlineStr">
        <is>
          <t>SSA</t>
        </is>
      </c>
      <c r="E1017" s="1394" t="n">
        <v>39114</v>
      </c>
      <c r="F1017" s="1394" t="n">
        <v>39142</v>
      </c>
      <c r="G1017" s="1393" t="inlineStr">
        <is>
          <t>-</t>
        </is>
      </c>
      <c r="H1017" s="1393" t="inlineStr">
        <is>
          <t>Ondina</t>
        </is>
      </c>
      <c r="I1017" s="1393" t="inlineStr">
        <is>
          <t>-</t>
        </is>
      </c>
      <c r="J1017" s="1393" t="inlineStr">
        <is>
          <t>-</t>
        </is>
      </c>
      <c r="K1017" s="1395">
        <f>IF(raw[[#This Row],[city]]&lt;&gt;"",_xlfn.XLOOKUP($D1017,ccc[city],ccc[prov],"-"),"-")</f>
        <v/>
      </c>
      <c r="L1017" s="1395">
        <f>IF(raw[[#This Row],[city]]&lt;&gt;"",_xlfn.XLOOKUP($D1017,ccc[city],ccc[ctry],"-"),"-")</f>
        <v/>
      </c>
      <c r="M1017" s="1395">
        <f>IF(raw[[#This Row],[city]]&lt;&gt;"",_xlfn.XLOOKUP($D1017,ccc[city],ccc[cont],"-"),"-")</f>
        <v/>
      </c>
      <c r="N1017" s="1396">
        <f>IF(raw[[#This Row],[city]]="","-",IF(raw[[#This Row],[cont]]="B",raw[[#This Row],[cont]],"W"))</f>
        <v/>
      </c>
      <c r="O1017" s="1397">
        <f>IF(raw[[#This Row],[out]]=0,0,IF(raw[[#This Row],[out]]=raw[[#This Row],[in]],0.01,raw[[#This Row],[out]]-raw[[#This Row],[in]]))</f>
        <v/>
      </c>
      <c r="P1017" s="1397">
        <f>IF(raw[[#This Row],[in]]=0,0,MONTH(raw[[#This Row],[in]]))</f>
        <v/>
      </c>
      <c r="Q1017" s="1397">
        <f>IF(raw[[#This Row],[in]]=0,0,YEAR(raw[[#This Row],[in]]))</f>
        <v/>
      </c>
      <c r="R1017" s="1397">
        <f>INT(raw[[#This Row],[yr]]/10)*10</f>
        <v/>
      </c>
      <c r="S1017" s="1395">
        <f>IF(raw[[#This Row],[city]]="","-",IF(raw[[#This Row],[city]]&lt;&gt;_xlfn.XLOOKUP(raw[[#This Row],[home]],homes[home],homes[city],"-"),1,0))</f>
        <v/>
      </c>
      <c r="T1017" s="1398" t="inlineStr">
        <is>
          <t>.</t>
        </is>
      </c>
      <c r="U1017" s="1399">
        <f>IF(raw[[#This Row],[wb]]="w",raw[[#This Row],[stay]]+U1016,U1016)</f>
        <v/>
      </c>
      <c r="V1017" s="1400">
        <f>IF(raw[[#This Row],[out]]=0,V1016,(raw[[#This Row],[out]]-E$5))</f>
        <v/>
      </c>
      <c r="W1017" s="1401">
        <f>U1017/V1017</f>
        <v/>
      </c>
      <c r="X1017" s="1392" t="n"/>
      <c r="Y1017" s="1392" t="n"/>
      <c r="Z1017" s="1392" t="n"/>
      <c r="AA1017" s="1392" t="n"/>
      <c r="AB1017" s="1392" t="n"/>
      <c r="AC1017" s="1392" t="n"/>
      <c r="AD1017" s="1392" t="n"/>
      <c r="AE1017" s="1392" t="n"/>
      <c r="AF1017" s="1392" t="n"/>
      <c r="AG1017" s="1392" t="n"/>
      <c r="AH1017" s="1392" t="n"/>
      <c r="AI1017" s="1392" t="n"/>
      <c r="AJ1017" s="1392" t="n"/>
      <c r="AK1017" s="1392" t="n"/>
      <c r="AL1017" s="1392" t="n"/>
      <c r="AM1017" s="1392" t="n"/>
      <c r="AN1017" s="1392" t="n"/>
      <c r="AO1017" s="1392" t="n"/>
      <c r="AP1017" s="1392" t="n"/>
      <c r="AQ1017" s="1392" t="n"/>
      <c r="AR1017" s="1422" t="n"/>
      <c r="AS1017" s="1422" t="n"/>
      <c r="AT1017" s="1392" t="n"/>
      <c r="AU1017" s="1392" t="n"/>
      <c r="AV1017" s="1392" t="n"/>
      <c r="AW1017" s="1392" t="n"/>
      <c r="AX1017" s="1392" t="n"/>
      <c r="AY1017" s="1392" t="n"/>
      <c r="AZ1017" s="1392" t="n"/>
      <c r="BA1017" s="1422" t="n"/>
      <c r="BB1017" s="1422" t="n"/>
      <c r="BC1017" s="1392" t="n"/>
      <c r="BD1017" s="1392" t="n"/>
      <c r="BE1017" s="1392" t="n"/>
      <c r="BF1017" s="1392" t="n"/>
      <c r="BG1017" s="1392" t="n"/>
      <c r="BH1017" s="1392" t="n"/>
      <c r="BI1017" s="1392" t="n"/>
      <c r="BJ1017" s="1392" t="n"/>
      <c r="BK1017" s="1392" t="n"/>
      <c r="BL1017" s="1392" t="n"/>
      <c r="BM1017" s="1392" t="n"/>
      <c r="BN1017" s="1392" t="n"/>
      <c r="BO1017" s="1392" t="n"/>
      <c r="BP1017" s="1392" t="n"/>
      <c r="BQ1017" s="1392" t="n"/>
      <c r="BR1017" s="1392" t="n"/>
      <c r="BS1017" s="1392" t="n"/>
      <c r="BT1017" s="1392" t="n"/>
      <c r="BU1017" s="1392" t="n"/>
      <c r="BV1017" s="1392" t="n"/>
      <c r="BW1017" s="1392" t="n"/>
      <c r="BX1017" s="1392" t="n"/>
      <c r="BY1017" s="1392" t="n"/>
      <c r="BZ1017" s="1392" t="n"/>
      <c r="CA1017" s="1392" t="n"/>
      <c r="CB1017" s="1392" t="n"/>
      <c r="CC1017" s="1392" t="n"/>
      <c r="CD1017" s="1392" t="n"/>
      <c r="CE1017" s="1392" t="n"/>
      <c r="CF1017" s="1392" t="n"/>
      <c r="CG1017" s="1392" t="n"/>
      <c r="CH1017" s="1392" t="n"/>
      <c r="CI1017" s="1392" t="n"/>
      <c r="CJ1017" s="1392" t="n"/>
      <c r="CK1017" s="1392" t="n"/>
      <c r="CL1017" s="1392" t="n"/>
    </row>
    <row r="1018">
      <c r="A1018" s="5" t="inlineStr">
        <is>
          <t>.</t>
        </is>
      </c>
      <c r="B1018" s="5" t="inlineStr">
        <is>
          <t>.</t>
        </is>
      </c>
      <c r="C1018" s="1378">
        <f>IF(raw[[#This Row],[city]]="","-",IF(raw[[#This Row],[city]]="TODAY","-",C1017+1))</f>
        <v/>
      </c>
      <c r="D1018" s="1393" t="inlineStr">
        <is>
          <t>SSA</t>
        </is>
      </c>
      <c r="E1018" s="1394" t="n">
        <v>39142</v>
      </c>
      <c r="F1018" s="1394" t="n">
        <v>39173</v>
      </c>
      <c r="G1018" s="1393" t="inlineStr">
        <is>
          <t>-</t>
        </is>
      </c>
      <c r="H1018" s="1393" t="inlineStr">
        <is>
          <t>Ondina</t>
        </is>
      </c>
      <c r="I1018" s="1393" t="inlineStr">
        <is>
          <t>-</t>
        </is>
      </c>
      <c r="J1018" s="1393" t="inlineStr">
        <is>
          <t>-</t>
        </is>
      </c>
      <c r="K1018" s="1395">
        <f>IF(raw[[#This Row],[city]]&lt;&gt;"",_xlfn.XLOOKUP($D1018,ccc[city],ccc[prov],"-"),"-")</f>
        <v/>
      </c>
      <c r="L1018" s="1395">
        <f>IF(raw[[#This Row],[city]]&lt;&gt;"",_xlfn.XLOOKUP($D1018,ccc[city],ccc[ctry],"-"),"-")</f>
        <v/>
      </c>
      <c r="M1018" s="1395">
        <f>IF(raw[[#This Row],[city]]&lt;&gt;"",_xlfn.XLOOKUP($D1018,ccc[city],ccc[cont],"-"),"-")</f>
        <v/>
      </c>
      <c r="N1018" s="1396">
        <f>IF(raw[[#This Row],[city]]="","-",IF(raw[[#This Row],[cont]]="B",raw[[#This Row],[cont]],"W"))</f>
        <v/>
      </c>
      <c r="O1018" s="1397">
        <f>IF(raw[[#This Row],[out]]=0,0,IF(raw[[#This Row],[out]]=raw[[#This Row],[in]],0.01,raw[[#This Row],[out]]-raw[[#This Row],[in]]))</f>
        <v/>
      </c>
      <c r="P1018" s="1397">
        <f>IF(raw[[#This Row],[in]]=0,0,MONTH(raw[[#This Row],[in]]))</f>
        <v/>
      </c>
      <c r="Q1018" s="1397">
        <f>IF(raw[[#This Row],[in]]=0,0,YEAR(raw[[#This Row],[in]]))</f>
        <v/>
      </c>
      <c r="R1018" s="1397">
        <f>INT(raw[[#This Row],[yr]]/10)*10</f>
        <v/>
      </c>
      <c r="S1018" s="1395">
        <f>IF(raw[[#This Row],[city]]="","-",IF(raw[[#This Row],[city]]&lt;&gt;_xlfn.XLOOKUP(raw[[#This Row],[home]],homes[home],homes[city],"-"),1,0))</f>
        <v/>
      </c>
      <c r="T1018" s="1398" t="inlineStr">
        <is>
          <t>.</t>
        </is>
      </c>
      <c r="U1018" s="1399">
        <f>IF(raw[[#This Row],[wb]]="w",raw[[#This Row],[stay]]+U1017,U1017)</f>
        <v/>
      </c>
      <c r="V1018" s="1400">
        <f>IF(raw[[#This Row],[out]]=0,V1017,(raw[[#This Row],[out]]-E$5))</f>
        <v/>
      </c>
      <c r="W1018" s="1401">
        <f>U1018/V1018</f>
        <v/>
      </c>
      <c r="X1018" s="1392" t="n"/>
      <c r="Y1018" s="1392" t="n"/>
      <c r="Z1018" s="1392" t="n"/>
      <c r="AA1018" s="1392" t="n"/>
      <c r="AB1018" s="1392" t="n"/>
      <c r="AC1018" s="1392" t="n"/>
      <c r="AD1018" s="1392" t="n"/>
      <c r="AE1018" s="1392" t="n"/>
      <c r="AF1018" s="1392" t="n"/>
      <c r="AG1018" s="1392" t="n"/>
      <c r="AH1018" s="1392" t="n"/>
      <c r="AI1018" s="1392" t="n"/>
      <c r="AJ1018" s="1392" t="n"/>
      <c r="AK1018" s="1392" t="n"/>
      <c r="AL1018" s="1392" t="n"/>
      <c r="AM1018" s="1392" t="n"/>
      <c r="AN1018" s="1392" t="n"/>
      <c r="AO1018" s="1392" t="n"/>
      <c r="AP1018" s="1392" t="n"/>
      <c r="AQ1018" s="1392" t="n"/>
      <c r="AR1018" s="1422" t="n"/>
      <c r="AS1018" s="1422" t="n"/>
      <c r="AT1018" s="1392" t="n"/>
      <c r="AU1018" s="1392" t="n"/>
      <c r="AV1018" s="1392" t="n"/>
      <c r="AW1018" s="1392" t="n"/>
      <c r="AX1018" s="1392" t="n"/>
      <c r="AY1018" s="1392" t="n"/>
      <c r="AZ1018" s="1392" t="n"/>
      <c r="BA1018" s="1422" t="n"/>
      <c r="BB1018" s="1422" t="n"/>
      <c r="BC1018" s="1392" t="n"/>
      <c r="BD1018" s="1392" t="n"/>
      <c r="BE1018" s="1392" t="n"/>
      <c r="BF1018" s="1392" t="n"/>
      <c r="BG1018" s="1392" t="n"/>
      <c r="BH1018" s="1392" t="n"/>
      <c r="BI1018" s="1392" t="n"/>
      <c r="BJ1018" s="1392" t="n"/>
      <c r="BK1018" s="1392" t="n"/>
      <c r="BL1018" s="1392" t="n"/>
      <c r="BM1018" s="1392" t="n"/>
      <c r="BN1018" s="1392" t="n"/>
      <c r="BO1018" s="1392" t="n"/>
      <c r="BP1018" s="1392" t="n"/>
      <c r="BQ1018" s="1392" t="n"/>
      <c r="BR1018" s="1392" t="n"/>
      <c r="BS1018" s="1392" t="n"/>
      <c r="BT1018" s="1392" t="n"/>
      <c r="BU1018" s="1392" t="n"/>
      <c r="BV1018" s="1392" t="n"/>
      <c r="BW1018" s="1392" t="n"/>
      <c r="BX1018" s="1392" t="n"/>
      <c r="BY1018" s="1392" t="n"/>
      <c r="BZ1018" s="1392" t="n"/>
      <c r="CA1018" s="1392" t="n"/>
      <c r="CB1018" s="1392" t="n"/>
      <c r="CC1018" s="1392" t="n"/>
      <c r="CD1018" s="1392" t="n"/>
      <c r="CE1018" s="1392" t="n"/>
      <c r="CF1018" s="1392" t="n"/>
      <c r="CG1018" s="1392" t="n"/>
      <c r="CH1018" s="1392" t="n"/>
      <c r="CI1018" s="1392" t="n"/>
      <c r="CJ1018" s="1392" t="n"/>
      <c r="CK1018" s="1392" t="n"/>
      <c r="CL1018" s="1392" t="n"/>
    </row>
    <row r="1019">
      <c r="A1019" s="5" t="inlineStr">
        <is>
          <t>.</t>
        </is>
      </c>
      <c r="B1019" s="5" t="inlineStr">
        <is>
          <t>.</t>
        </is>
      </c>
      <c r="C1019" s="1378">
        <f>IF(raw[[#This Row],[city]]="","-",IF(raw[[#This Row],[city]]="TODAY","-",C1018+1))</f>
        <v/>
      </c>
      <c r="D1019" s="1393" t="inlineStr">
        <is>
          <t>SSA</t>
        </is>
      </c>
      <c r="E1019" s="1394" t="n">
        <v>39173</v>
      </c>
      <c r="F1019" s="1394" t="n">
        <v>39203</v>
      </c>
      <c r="G1019" s="1393" t="inlineStr">
        <is>
          <t>-</t>
        </is>
      </c>
      <c r="H1019" s="1393" t="inlineStr">
        <is>
          <t>Ondina</t>
        </is>
      </c>
      <c r="I1019" s="1393" t="inlineStr">
        <is>
          <t>-</t>
        </is>
      </c>
      <c r="J1019" s="1393" t="inlineStr">
        <is>
          <t>-</t>
        </is>
      </c>
      <c r="K1019" s="1395">
        <f>IF(raw[[#This Row],[city]]&lt;&gt;"",_xlfn.XLOOKUP($D1019,ccc[city],ccc[prov],"-"),"-")</f>
        <v/>
      </c>
      <c r="L1019" s="1395">
        <f>IF(raw[[#This Row],[city]]&lt;&gt;"",_xlfn.XLOOKUP($D1019,ccc[city],ccc[ctry],"-"),"-")</f>
        <v/>
      </c>
      <c r="M1019" s="1395">
        <f>IF(raw[[#This Row],[city]]&lt;&gt;"",_xlfn.XLOOKUP($D1019,ccc[city],ccc[cont],"-"),"-")</f>
        <v/>
      </c>
      <c r="N1019" s="1396">
        <f>IF(raw[[#This Row],[city]]="","-",IF(raw[[#This Row],[cont]]="B",raw[[#This Row],[cont]],"W"))</f>
        <v/>
      </c>
      <c r="O1019" s="1397">
        <f>IF(raw[[#This Row],[out]]=0,0,IF(raw[[#This Row],[out]]=raw[[#This Row],[in]],0.01,raw[[#This Row],[out]]-raw[[#This Row],[in]]))</f>
        <v/>
      </c>
      <c r="P1019" s="1397">
        <f>IF(raw[[#This Row],[in]]=0,0,MONTH(raw[[#This Row],[in]]))</f>
        <v/>
      </c>
      <c r="Q1019" s="1397">
        <f>IF(raw[[#This Row],[in]]=0,0,YEAR(raw[[#This Row],[in]]))</f>
        <v/>
      </c>
      <c r="R1019" s="1397">
        <f>INT(raw[[#This Row],[yr]]/10)*10</f>
        <v/>
      </c>
      <c r="S1019" s="1395">
        <f>IF(raw[[#This Row],[city]]="","-",IF(raw[[#This Row],[city]]&lt;&gt;_xlfn.XLOOKUP(raw[[#This Row],[home]],homes[home],homes[city],"-"),1,0))</f>
        <v/>
      </c>
      <c r="T1019" s="1398" t="inlineStr">
        <is>
          <t>.</t>
        </is>
      </c>
      <c r="U1019" s="1399">
        <f>IF(raw[[#This Row],[wb]]="w",raw[[#This Row],[stay]]+U1018,U1018)</f>
        <v/>
      </c>
      <c r="V1019" s="1400">
        <f>IF(raw[[#This Row],[out]]=0,V1018,(raw[[#This Row],[out]]-E$5))</f>
        <v/>
      </c>
      <c r="W1019" s="1401">
        <f>U1019/V1019</f>
        <v/>
      </c>
      <c r="X1019" s="1392" t="n"/>
      <c r="Y1019" s="1392" t="n"/>
      <c r="Z1019" s="1392" t="n"/>
      <c r="AA1019" s="1392" t="n"/>
      <c r="AB1019" s="1392" t="n"/>
      <c r="AC1019" s="1392" t="n"/>
      <c r="AD1019" s="1392" t="n"/>
      <c r="AE1019" s="1392" t="n"/>
      <c r="AF1019" s="1392" t="n"/>
      <c r="AG1019" s="1392" t="n"/>
      <c r="AH1019" s="1392" t="n"/>
      <c r="AI1019" s="1392" t="n"/>
      <c r="AJ1019" s="1392" t="n"/>
      <c r="AK1019" s="1392" t="n"/>
      <c r="AL1019" s="1392" t="n"/>
      <c r="AM1019" s="1392" t="n"/>
      <c r="AN1019" s="1392" t="n"/>
      <c r="AO1019" s="1392" t="n"/>
      <c r="AP1019" s="1392" t="n"/>
      <c r="AQ1019" s="1392" t="n"/>
      <c r="AR1019" s="1422" t="n"/>
      <c r="AS1019" s="1422" t="n"/>
      <c r="AT1019" s="1392" t="n"/>
      <c r="AU1019" s="1392" t="n"/>
      <c r="AV1019" s="1392" t="n"/>
      <c r="AW1019" s="1392" t="n"/>
      <c r="AX1019" s="1392" t="n"/>
      <c r="AY1019" s="1392" t="n"/>
      <c r="AZ1019" s="1392" t="n"/>
      <c r="BA1019" s="1422" t="n"/>
      <c r="BB1019" s="1422" t="n"/>
      <c r="BC1019" s="1392" t="n"/>
      <c r="BD1019" s="1392" t="n"/>
      <c r="BE1019" s="1392" t="n"/>
      <c r="BF1019" s="1392" t="n"/>
      <c r="BG1019" s="1392" t="n"/>
      <c r="BH1019" s="1392" t="n"/>
      <c r="BI1019" s="1392" t="n"/>
      <c r="BJ1019" s="1392" t="n"/>
      <c r="BK1019" s="1392" t="n"/>
      <c r="BL1019" s="1392" t="n"/>
      <c r="BM1019" s="1392" t="n"/>
      <c r="BN1019" s="1392" t="n"/>
      <c r="BO1019" s="1392" t="n"/>
      <c r="BP1019" s="1392" t="n"/>
      <c r="BQ1019" s="1392" t="n"/>
      <c r="BR1019" s="1392" t="n"/>
      <c r="BS1019" s="1392" t="n"/>
      <c r="BT1019" s="1392" t="n"/>
      <c r="BU1019" s="1392" t="n"/>
      <c r="BV1019" s="1392" t="n"/>
      <c r="BW1019" s="1392" t="n"/>
      <c r="BX1019" s="1392" t="n"/>
      <c r="BY1019" s="1392" t="n"/>
      <c r="BZ1019" s="1392" t="n"/>
      <c r="CA1019" s="1392" t="n"/>
      <c r="CB1019" s="1392" t="n"/>
      <c r="CC1019" s="1392" t="n"/>
      <c r="CD1019" s="1392" t="n"/>
      <c r="CE1019" s="1392" t="n"/>
      <c r="CF1019" s="1392" t="n"/>
      <c r="CG1019" s="1392" t="n"/>
      <c r="CH1019" s="1392" t="n"/>
      <c r="CI1019" s="1392" t="n"/>
      <c r="CJ1019" s="1392" t="n"/>
      <c r="CK1019" s="1392" t="n"/>
      <c r="CL1019" s="1392" t="n"/>
    </row>
    <row r="1020">
      <c r="A1020" s="5" t="inlineStr">
        <is>
          <t>.</t>
        </is>
      </c>
      <c r="B1020" s="5" t="inlineStr">
        <is>
          <t>.</t>
        </is>
      </c>
      <c r="C1020" s="1378">
        <f>IF(raw[[#This Row],[city]]="","-",IF(raw[[#This Row],[city]]="TODAY","-",C1019+1))</f>
        <v/>
      </c>
      <c r="D1020" s="1393" t="inlineStr">
        <is>
          <t>SSA</t>
        </is>
      </c>
      <c r="E1020" s="1394" t="n">
        <v>39203</v>
      </c>
      <c r="F1020" s="1394" t="n">
        <v>39213</v>
      </c>
      <c r="G1020" s="1393" t="n">
        <v>1</v>
      </c>
      <c r="H1020" s="1393" t="inlineStr">
        <is>
          <t>Ondina</t>
        </is>
      </c>
      <c r="I1020" s="1393" t="inlineStr">
        <is>
          <t>-</t>
        </is>
      </c>
      <c r="J1020" s="1393" t="inlineStr">
        <is>
          <t>-</t>
        </is>
      </c>
      <c r="K1020" s="1395">
        <f>IF(raw[[#This Row],[city]]&lt;&gt;"",_xlfn.XLOOKUP($D1020,ccc[city],ccc[prov],"-"),"-")</f>
        <v/>
      </c>
      <c r="L1020" s="1395">
        <f>IF(raw[[#This Row],[city]]&lt;&gt;"",_xlfn.XLOOKUP($D1020,ccc[city],ccc[ctry],"-"),"-")</f>
        <v/>
      </c>
      <c r="M1020" s="1395">
        <f>IF(raw[[#This Row],[city]]&lt;&gt;"",_xlfn.XLOOKUP($D1020,ccc[city],ccc[cont],"-"),"-")</f>
        <v/>
      </c>
      <c r="N1020" s="1396">
        <f>IF(raw[[#This Row],[city]]="","-",IF(raw[[#This Row],[cont]]="B",raw[[#This Row],[cont]],"W"))</f>
        <v/>
      </c>
      <c r="O1020" s="1397">
        <f>IF(raw[[#This Row],[out]]=0,0,IF(raw[[#This Row],[out]]=raw[[#This Row],[in]],0.01,raw[[#This Row],[out]]-raw[[#This Row],[in]]))</f>
        <v/>
      </c>
      <c r="P1020" s="1397">
        <f>IF(raw[[#This Row],[in]]=0,0,MONTH(raw[[#This Row],[in]]))</f>
        <v/>
      </c>
      <c r="Q1020" s="1397">
        <f>IF(raw[[#This Row],[in]]=0,0,YEAR(raw[[#This Row],[in]]))</f>
        <v/>
      </c>
      <c r="R1020" s="1397">
        <f>INT(raw[[#This Row],[yr]]/10)*10</f>
        <v/>
      </c>
      <c r="S1020" s="1395">
        <f>IF(raw[[#This Row],[city]]="","-",IF(raw[[#This Row],[city]]&lt;&gt;_xlfn.XLOOKUP(raw[[#This Row],[home]],homes[home],homes[city],"-"),1,0))</f>
        <v/>
      </c>
      <c r="T1020" s="1398" t="inlineStr">
        <is>
          <t>.</t>
        </is>
      </c>
      <c r="U1020" s="1399">
        <f>IF(raw[[#This Row],[wb]]="w",raw[[#This Row],[stay]]+U1019,U1019)</f>
        <v/>
      </c>
      <c r="V1020" s="1400">
        <f>IF(raw[[#This Row],[out]]=0,V1019,(raw[[#This Row],[out]]-E$5))</f>
        <v/>
      </c>
      <c r="W1020" s="1401">
        <f>U1020/V1020</f>
        <v/>
      </c>
      <c r="X1020" s="1392" t="n"/>
      <c r="Y1020" s="1392" t="n"/>
      <c r="Z1020" s="1392" t="n"/>
      <c r="AA1020" s="1392" t="n"/>
      <c r="AB1020" s="1392" t="n"/>
      <c r="AC1020" s="1392" t="n"/>
      <c r="AD1020" s="1392" t="n"/>
      <c r="AE1020" s="1392" t="n"/>
      <c r="AF1020" s="1392" t="n"/>
      <c r="AG1020" s="1392" t="n"/>
      <c r="AH1020" s="1392" t="n"/>
      <c r="AI1020" s="1392" t="n"/>
      <c r="AJ1020" s="1392" t="n"/>
      <c r="AK1020" s="1392" t="n"/>
      <c r="AL1020" s="1392" t="n"/>
      <c r="AM1020" s="1392" t="n"/>
      <c r="AN1020" s="1392" t="n"/>
      <c r="AO1020" s="1392" t="n"/>
      <c r="AP1020" s="1392" t="n"/>
      <c r="AQ1020" s="1392" t="n"/>
      <c r="AR1020" s="1422" t="n"/>
      <c r="AS1020" s="1422" t="n"/>
      <c r="AT1020" s="1392" t="n"/>
      <c r="AU1020" s="1392" t="n"/>
      <c r="AV1020" s="1392" t="n"/>
      <c r="AW1020" s="1392" t="n"/>
      <c r="AX1020" s="1392" t="n"/>
      <c r="AY1020" s="1392" t="n"/>
      <c r="AZ1020" s="1392" t="n"/>
      <c r="BA1020" s="1422" t="n"/>
      <c r="BB1020" s="1422" t="n"/>
      <c r="BC1020" s="1392" t="n"/>
      <c r="BD1020" s="1392" t="n"/>
      <c r="BE1020" s="1392" t="n"/>
      <c r="BF1020" s="1392" t="n"/>
      <c r="BG1020" s="1392" t="n"/>
      <c r="BH1020" s="1392" t="n"/>
      <c r="BI1020" s="1392" t="n"/>
      <c r="BJ1020" s="1392" t="n"/>
      <c r="BK1020" s="1392" t="n"/>
      <c r="BL1020" s="1392" t="n"/>
      <c r="BM1020" s="1392" t="n"/>
      <c r="BN1020" s="1392" t="n"/>
      <c r="BO1020" s="1392" t="n"/>
      <c r="BP1020" s="1392" t="n"/>
      <c r="BQ1020" s="1392" t="n"/>
      <c r="BR1020" s="1392" t="n"/>
      <c r="BS1020" s="1392" t="n"/>
      <c r="BT1020" s="1392" t="n"/>
      <c r="BU1020" s="1392" t="n"/>
      <c r="BV1020" s="1392" t="n"/>
      <c r="BW1020" s="1392" t="n"/>
      <c r="BX1020" s="1392" t="n"/>
      <c r="BY1020" s="1392" t="n"/>
      <c r="BZ1020" s="1392" t="n"/>
      <c r="CA1020" s="1392" t="n"/>
      <c r="CB1020" s="1392" t="n"/>
      <c r="CC1020" s="1392" t="n"/>
      <c r="CD1020" s="1392" t="n"/>
      <c r="CE1020" s="1392" t="n"/>
      <c r="CF1020" s="1392" t="n"/>
      <c r="CG1020" s="1392" t="n"/>
      <c r="CH1020" s="1392" t="n"/>
      <c r="CI1020" s="1392" t="n"/>
      <c r="CJ1020" s="1392" t="n"/>
      <c r="CK1020" s="1392" t="n"/>
      <c r="CL1020" s="1392" t="n"/>
    </row>
    <row r="1021">
      <c r="A1021" s="5" t="inlineStr">
        <is>
          <t>.</t>
        </is>
      </c>
      <c r="B1021" s="5" t="inlineStr">
        <is>
          <t>.</t>
        </is>
      </c>
      <c r="C1021" s="1378">
        <f>IF(raw[[#This Row],[city]]="","-",IF(raw[[#This Row],[city]]="TODAY","-",C1020+1))</f>
        <v/>
      </c>
      <c r="D1021" s="1393" t="inlineStr">
        <is>
          <t>Recife</t>
        </is>
      </c>
      <c r="E1021" s="1394" t="n">
        <v>39213</v>
      </c>
      <c r="F1021" s="1394" t="n">
        <v>39213</v>
      </c>
      <c r="G1021" s="1393" t="n">
        <v>0.01</v>
      </c>
      <c r="H1021" s="1393" t="inlineStr">
        <is>
          <t>Ondina</t>
        </is>
      </c>
      <c r="I1021" s="1393" t="inlineStr">
        <is>
          <t>-</t>
        </is>
      </c>
      <c r="J1021" s="1393" t="inlineStr">
        <is>
          <t>-</t>
        </is>
      </c>
      <c r="K1021" s="1395">
        <f>IF(raw[[#This Row],[city]]&lt;&gt;"",_xlfn.XLOOKUP($D1021,ccc[city],ccc[prov],"-"),"-")</f>
        <v/>
      </c>
      <c r="L1021" s="1395">
        <f>IF(raw[[#This Row],[city]]&lt;&gt;"",_xlfn.XLOOKUP($D1021,ccc[city],ccc[ctry],"-"),"-")</f>
        <v/>
      </c>
      <c r="M1021" s="1395">
        <f>IF(raw[[#This Row],[city]]&lt;&gt;"",_xlfn.XLOOKUP($D1021,ccc[city],ccc[cont],"-"),"-")</f>
        <v/>
      </c>
      <c r="N1021" s="1396">
        <f>IF(raw[[#This Row],[city]]="","-",IF(raw[[#This Row],[cont]]="B",raw[[#This Row],[cont]],"W"))</f>
        <v/>
      </c>
      <c r="O1021" s="1397">
        <f>IF(raw[[#This Row],[out]]=0,0,IF(raw[[#This Row],[out]]=raw[[#This Row],[in]],0.01,raw[[#This Row],[out]]-raw[[#This Row],[in]]))</f>
        <v/>
      </c>
      <c r="P1021" s="1397">
        <f>IF(raw[[#This Row],[in]]=0,0,MONTH(raw[[#This Row],[in]]))</f>
        <v/>
      </c>
      <c r="Q1021" s="1397">
        <f>IF(raw[[#This Row],[in]]=0,0,YEAR(raw[[#This Row],[in]]))</f>
        <v/>
      </c>
      <c r="R1021" s="1397">
        <f>INT(raw[[#This Row],[yr]]/10)*10</f>
        <v/>
      </c>
      <c r="S1021" s="1395">
        <f>IF(raw[[#This Row],[city]]="","-",IF(raw[[#This Row],[city]]&lt;&gt;_xlfn.XLOOKUP(raw[[#This Row],[home]],homes[home],homes[city],"-"),1,0))</f>
        <v/>
      </c>
      <c r="T1021" s="1398" t="inlineStr">
        <is>
          <t>.</t>
        </is>
      </c>
      <c r="U1021" s="1399">
        <f>IF(raw[[#This Row],[wb]]="w",raw[[#This Row],[stay]]+U1020,U1020)</f>
        <v/>
      </c>
      <c r="V1021" s="1400">
        <f>IF(raw[[#This Row],[out]]=0,V1020,(raw[[#This Row],[out]]-E$5))</f>
        <v/>
      </c>
      <c r="W1021" s="1401">
        <f>U1021/V1021</f>
        <v/>
      </c>
      <c r="X1021" s="1392" t="n"/>
      <c r="Y1021" s="1392" t="n"/>
      <c r="Z1021" s="1392" t="n"/>
      <c r="AA1021" s="1392" t="n"/>
      <c r="AB1021" s="1392" t="n"/>
      <c r="AC1021" s="1392" t="n"/>
      <c r="AD1021" s="1392" t="n"/>
      <c r="AE1021" s="1392" t="n"/>
      <c r="AF1021" s="1392" t="n"/>
      <c r="AG1021" s="1392" t="n"/>
      <c r="AH1021" s="1392" t="n"/>
      <c r="AI1021" s="1392" t="n"/>
      <c r="AJ1021" s="1392" t="n"/>
      <c r="AK1021" s="1392" t="n"/>
      <c r="AL1021" s="1392" t="n"/>
      <c r="AM1021" s="1392" t="n"/>
      <c r="AN1021" s="1392" t="n"/>
      <c r="AO1021" s="1392" t="n"/>
      <c r="AP1021" s="1392" t="n"/>
      <c r="AQ1021" s="1392" t="n"/>
      <c r="AR1021" s="1422" t="n"/>
      <c r="AS1021" s="1422" t="n"/>
      <c r="AT1021" s="1392" t="n"/>
      <c r="AU1021" s="1392" t="n"/>
      <c r="AV1021" s="1392" t="n"/>
      <c r="AW1021" s="1392" t="n"/>
      <c r="AX1021" s="1392" t="n"/>
      <c r="AY1021" s="1392" t="n"/>
      <c r="AZ1021" s="1392" t="n"/>
      <c r="BA1021" s="1422" t="n"/>
      <c r="BB1021" s="1422" t="n"/>
      <c r="BC1021" s="1392" t="n"/>
      <c r="BD1021" s="1392" t="n"/>
      <c r="BE1021" s="1392" t="n"/>
      <c r="BF1021" s="1392" t="n"/>
      <c r="BG1021" s="1392" t="n"/>
      <c r="BH1021" s="1392" t="n"/>
      <c r="BI1021" s="1392" t="n"/>
      <c r="BJ1021" s="1392" t="n"/>
      <c r="BK1021" s="1392" t="n"/>
      <c r="BL1021" s="1392" t="n"/>
      <c r="BM1021" s="1392" t="n"/>
      <c r="BN1021" s="1392" t="n"/>
      <c r="BO1021" s="1392" t="n"/>
      <c r="BP1021" s="1392" t="n"/>
      <c r="BQ1021" s="1392" t="n"/>
      <c r="BR1021" s="1392" t="n"/>
      <c r="BS1021" s="1392" t="n"/>
      <c r="BT1021" s="1392" t="n"/>
      <c r="BU1021" s="1392" t="n"/>
      <c r="BV1021" s="1392" t="n"/>
      <c r="BW1021" s="1392" t="n"/>
      <c r="BX1021" s="1392" t="n"/>
      <c r="BY1021" s="1392" t="n"/>
      <c r="BZ1021" s="1392" t="n"/>
      <c r="CA1021" s="1392" t="n"/>
      <c r="CB1021" s="1392" t="n"/>
      <c r="CC1021" s="1392" t="n"/>
      <c r="CD1021" s="1392" t="n"/>
      <c r="CE1021" s="1392" t="n"/>
      <c r="CF1021" s="1392" t="n"/>
      <c r="CG1021" s="1392" t="n"/>
      <c r="CH1021" s="1392" t="n"/>
      <c r="CI1021" s="1392" t="n"/>
      <c r="CJ1021" s="1392" t="n"/>
      <c r="CK1021" s="1392" t="n"/>
      <c r="CL1021" s="1392" t="n"/>
    </row>
    <row r="1022">
      <c r="A1022" s="5" t="inlineStr">
        <is>
          <t>.</t>
        </is>
      </c>
      <c r="B1022" s="5" t="inlineStr">
        <is>
          <t>.</t>
        </is>
      </c>
      <c r="C1022" s="1378">
        <f>IF(raw[[#This Row],[city]]="","-",IF(raw[[#This Row],[city]]="TODAY","-",C1021+1))</f>
        <v/>
      </c>
      <c r="D1022" s="1393" t="inlineStr">
        <is>
          <t>Joao Pessoa</t>
        </is>
      </c>
      <c r="E1022" s="1394" t="n">
        <v>39213</v>
      </c>
      <c r="F1022" s="1394" t="n">
        <v>39215</v>
      </c>
      <c r="G1022" s="1393" t="n">
        <v>1</v>
      </c>
      <c r="H1022" s="1393" t="inlineStr">
        <is>
          <t>Ondina</t>
        </is>
      </c>
      <c r="I1022" s="1393" t="inlineStr">
        <is>
          <t>-</t>
        </is>
      </c>
      <c r="J1022" s="1393" t="inlineStr">
        <is>
          <t>-</t>
        </is>
      </c>
      <c r="K1022" s="1395">
        <f>IF(raw[[#This Row],[city]]&lt;&gt;"",_xlfn.XLOOKUP($D1022,ccc[city],ccc[prov],"-"),"-")</f>
        <v/>
      </c>
      <c r="L1022" s="1395">
        <f>IF(raw[[#This Row],[city]]&lt;&gt;"",_xlfn.XLOOKUP($D1022,ccc[city],ccc[ctry],"-"),"-")</f>
        <v/>
      </c>
      <c r="M1022" s="1395">
        <f>IF(raw[[#This Row],[city]]&lt;&gt;"",_xlfn.XLOOKUP($D1022,ccc[city],ccc[cont],"-"),"-")</f>
        <v/>
      </c>
      <c r="N1022" s="1396">
        <f>IF(raw[[#This Row],[city]]="","-",IF(raw[[#This Row],[cont]]="B",raw[[#This Row],[cont]],"W"))</f>
        <v/>
      </c>
      <c r="O1022" s="1397">
        <f>IF(raw[[#This Row],[out]]=0,0,IF(raw[[#This Row],[out]]=raw[[#This Row],[in]],0.01,raw[[#This Row],[out]]-raw[[#This Row],[in]]))</f>
        <v/>
      </c>
      <c r="P1022" s="1397">
        <f>IF(raw[[#This Row],[in]]=0,0,MONTH(raw[[#This Row],[in]]))</f>
        <v/>
      </c>
      <c r="Q1022" s="1397">
        <f>IF(raw[[#This Row],[in]]=0,0,YEAR(raw[[#This Row],[in]]))</f>
        <v/>
      </c>
      <c r="R1022" s="1397">
        <f>INT(raw[[#This Row],[yr]]/10)*10</f>
        <v/>
      </c>
      <c r="S1022" s="1395">
        <f>IF(raw[[#This Row],[city]]="","-",IF(raw[[#This Row],[city]]&lt;&gt;_xlfn.XLOOKUP(raw[[#This Row],[home]],homes[home],homes[city],"-"),1,0))</f>
        <v/>
      </c>
      <c r="T1022" s="1398" t="inlineStr">
        <is>
          <t>.</t>
        </is>
      </c>
      <c r="U1022" s="1399">
        <f>IF(raw[[#This Row],[wb]]="w",raw[[#This Row],[stay]]+U1021,U1021)</f>
        <v/>
      </c>
      <c r="V1022" s="1400">
        <f>IF(raw[[#This Row],[out]]=0,V1021,(raw[[#This Row],[out]]-E$5))</f>
        <v/>
      </c>
      <c r="W1022" s="1401">
        <f>U1022/V1022</f>
        <v/>
      </c>
      <c r="X1022" s="1392" t="n"/>
      <c r="Y1022" s="1392" t="n"/>
      <c r="Z1022" s="1392" t="n"/>
      <c r="AA1022" s="1392" t="n"/>
      <c r="AB1022" s="1392" t="n"/>
      <c r="AC1022" s="1392" t="n"/>
      <c r="AD1022" s="1392" t="n"/>
      <c r="AE1022" s="1392" t="n"/>
      <c r="AF1022" s="1392" t="n"/>
      <c r="AG1022" s="1392" t="n"/>
      <c r="AH1022" s="1392" t="n"/>
      <c r="AI1022" s="1392" t="n"/>
      <c r="AJ1022" s="1392" t="n"/>
      <c r="AK1022" s="1392" t="n"/>
      <c r="AL1022" s="1392" t="n"/>
      <c r="AM1022" s="1392" t="n"/>
      <c r="AN1022" s="1392" t="n"/>
      <c r="AO1022" s="1392" t="n"/>
      <c r="AP1022" s="1392" t="n"/>
      <c r="AQ1022" s="1392" t="n"/>
      <c r="AR1022" s="1422" t="n"/>
      <c r="AS1022" s="1422" t="n"/>
      <c r="AT1022" s="1392" t="n"/>
      <c r="AU1022" s="1392" t="n"/>
      <c r="AV1022" s="1392" t="n"/>
      <c r="AW1022" s="1392" t="n"/>
      <c r="AX1022" s="1392" t="n"/>
      <c r="AY1022" s="1392" t="n"/>
      <c r="AZ1022" s="1392" t="n"/>
      <c r="BA1022" s="1422" t="n"/>
      <c r="BB1022" s="1422" t="n"/>
      <c r="BC1022" s="1392" t="n"/>
      <c r="BD1022" s="1392" t="n"/>
      <c r="BE1022" s="1392" t="n"/>
      <c r="BF1022" s="1392" t="n"/>
      <c r="BG1022" s="1392" t="n"/>
      <c r="BH1022" s="1392" t="n"/>
      <c r="BI1022" s="1392" t="n"/>
      <c r="BJ1022" s="1392" t="n"/>
      <c r="BK1022" s="1392" t="n"/>
      <c r="BL1022" s="1392" t="n"/>
      <c r="BM1022" s="1392" t="n"/>
      <c r="BN1022" s="1392" t="n"/>
      <c r="BO1022" s="1392" t="n"/>
      <c r="BP1022" s="1392" t="n"/>
      <c r="BQ1022" s="1392" t="n"/>
      <c r="BR1022" s="1392" t="n"/>
      <c r="BS1022" s="1392" t="n"/>
      <c r="BT1022" s="1392" t="n"/>
      <c r="BU1022" s="1392" t="n"/>
      <c r="BV1022" s="1392" t="n"/>
      <c r="BW1022" s="1392" t="n"/>
      <c r="BX1022" s="1392" t="n"/>
      <c r="BY1022" s="1392" t="n"/>
      <c r="BZ1022" s="1392" t="n"/>
      <c r="CA1022" s="1392" t="n"/>
      <c r="CB1022" s="1392" t="n"/>
      <c r="CC1022" s="1392" t="n"/>
      <c r="CD1022" s="1392" t="n"/>
      <c r="CE1022" s="1392" t="n"/>
      <c r="CF1022" s="1392" t="n"/>
      <c r="CG1022" s="1392" t="n"/>
      <c r="CH1022" s="1392" t="n"/>
      <c r="CI1022" s="1392" t="n"/>
      <c r="CJ1022" s="1392" t="n"/>
      <c r="CK1022" s="1392" t="n"/>
      <c r="CL1022" s="1392" t="n"/>
    </row>
    <row r="1023">
      <c r="A1023" s="5" t="inlineStr">
        <is>
          <t>.</t>
        </is>
      </c>
      <c r="B1023" s="5" t="inlineStr">
        <is>
          <t>.</t>
        </is>
      </c>
      <c r="C1023" s="1378">
        <f>IF(raw[[#This Row],[city]]="","-",IF(raw[[#This Row],[city]]="TODAY","-",C1022+1))</f>
        <v/>
      </c>
      <c r="D1023" s="1393" t="inlineStr">
        <is>
          <t>Recife</t>
        </is>
      </c>
      <c r="E1023" s="1394" t="n">
        <v>39215</v>
      </c>
      <c r="F1023" s="1394" t="n">
        <v>39215</v>
      </c>
      <c r="G1023" s="1393" t="n">
        <v>0.01</v>
      </c>
      <c r="H1023" s="1393" t="inlineStr">
        <is>
          <t>Ondina</t>
        </is>
      </c>
      <c r="I1023" s="1393" t="inlineStr">
        <is>
          <t>-</t>
        </is>
      </c>
      <c r="J1023" s="1393" t="inlineStr">
        <is>
          <t>-</t>
        </is>
      </c>
      <c r="K1023" s="1395">
        <f>IF(raw[[#This Row],[city]]&lt;&gt;"",_xlfn.XLOOKUP($D1023,ccc[city],ccc[prov],"-"),"-")</f>
        <v/>
      </c>
      <c r="L1023" s="1395">
        <f>IF(raw[[#This Row],[city]]&lt;&gt;"",_xlfn.XLOOKUP($D1023,ccc[city],ccc[ctry],"-"),"-")</f>
        <v/>
      </c>
      <c r="M1023" s="1395">
        <f>IF(raw[[#This Row],[city]]&lt;&gt;"",_xlfn.XLOOKUP($D1023,ccc[city],ccc[cont],"-"),"-")</f>
        <v/>
      </c>
      <c r="N1023" s="1396">
        <f>IF(raw[[#This Row],[city]]="","-",IF(raw[[#This Row],[cont]]="B",raw[[#This Row],[cont]],"W"))</f>
        <v/>
      </c>
      <c r="O1023" s="1397">
        <f>IF(raw[[#This Row],[out]]=0,0,IF(raw[[#This Row],[out]]=raw[[#This Row],[in]],0.01,raw[[#This Row],[out]]-raw[[#This Row],[in]]))</f>
        <v/>
      </c>
      <c r="P1023" s="1397">
        <f>IF(raw[[#This Row],[in]]=0,0,MONTH(raw[[#This Row],[in]]))</f>
        <v/>
      </c>
      <c r="Q1023" s="1397">
        <f>IF(raw[[#This Row],[in]]=0,0,YEAR(raw[[#This Row],[in]]))</f>
        <v/>
      </c>
      <c r="R1023" s="1397">
        <f>INT(raw[[#This Row],[yr]]/10)*10</f>
        <v/>
      </c>
      <c r="S1023" s="1395">
        <f>IF(raw[[#This Row],[city]]="","-",IF(raw[[#This Row],[city]]&lt;&gt;_xlfn.XLOOKUP(raw[[#This Row],[home]],homes[home],homes[city],"-"),1,0))</f>
        <v/>
      </c>
      <c r="T1023" s="1398" t="inlineStr">
        <is>
          <t>.</t>
        </is>
      </c>
      <c r="U1023" s="1399">
        <f>IF(raw[[#This Row],[wb]]="w",raw[[#This Row],[stay]]+U1022,U1022)</f>
        <v/>
      </c>
      <c r="V1023" s="1400">
        <f>IF(raw[[#This Row],[out]]=0,V1022,(raw[[#This Row],[out]]-E$5))</f>
        <v/>
      </c>
      <c r="W1023" s="1401">
        <f>U1023/V1023</f>
        <v/>
      </c>
      <c r="X1023" s="1392" t="n"/>
      <c r="Y1023" s="1392" t="n"/>
      <c r="Z1023" s="1392" t="n"/>
      <c r="AA1023" s="1392" t="n"/>
      <c r="AB1023" s="1392" t="n"/>
      <c r="AC1023" s="1392" t="n"/>
      <c r="AD1023" s="1392" t="n"/>
      <c r="AE1023" s="1392" t="n"/>
      <c r="AF1023" s="1392" t="n"/>
      <c r="AG1023" s="1392" t="n"/>
      <c r="AH1023" s="1392" t="n"/>
      <c r="AI1023" s="1392" t="n"/>
      <c r="AJ1023" s="1392" t="n"/>
      <c r="AK1023" s="1392" t="n"/>
      <c r="AL1023" s="1392" t="n"/>
      <c r="AM1023" s="1392" t="n"/>
      <c r="AN1023" s="1392" t="n"/>
      <c r="AO1023" s="1392" t="n"/>
      <c r="AP1023" s="1392" t="n"/>
      <c r="AQ1023" s="1392" t="n"/>
      <c r="AR1023" s="1422" t="n"/>
      <c r="AS1023" s="1422" t="n"/>
      <c r="AT1023" s="1392" t="n"/>
      <c r="AU1023" s="1392" t="n"/>
      <c r="AV1023" s="1392" t="n"/>
      <c r="AW1023" s="1392" t="n"/>
      <c r="AX1023" s="1392" t="n"/>
      <c r="AY1023" s="1392" t="n"/>
      <c r="AZ1023" s="1392" t="n"/>
      <c r="BA1023" s="1422" t="n"/>
      <c r="BB1023" s="1422" t="n"/>
      <c r="BC1023" s="1392" t="n"/>
      <c r="BD1023" s="1392" t="n"/>
      <c r="BE1023" s="1392" t="n"/>
      <c r="BF1023" s="1392" t="n"/>
      <c r="BG1023" s="1392" t="n"/>
      <c r="BH1023" s="1392" t="n"/>
      <c r="BI1023" s="1392" t="n"/>
      <c r="BJ1023" s="1392" t="n"/>
      <c r="BK1023" s="1392" t="n"/>
      <c r="BL1023" s="1392" t="n"/>
      <c r="BM1023" s="1392" t="n"/>
      <c r="BN1023" s="1392" t="n"/>
      <c r="BO1023" s="1392" t="n"/>
      <c r="BP1023" s="1392" t="n"/>
      <c r="BQ1023" s="1392" t="n"/>
      <c r="BR1023" s="1392" t="n"/>
      <c r="BS1023" s="1392" t="n"/>
      <c r="BT1023" s="1392" t="n"/>
      <c r="BU1023" s="1392" t="n"/>
      <c r="BV1023" s="1392" t="n"/>
      <c r="BW1023" s="1392" t="n"/>
      <c r="BX1023" s="1392" t="n"/>
      <c r="BY1023" s="1392" t="n"/>
      <c r="BZ1023" s="1392" t="n"/>
      <c r="CA1023" s="1392" t="n"/>
      <c r="CB1023" s="1392" t="n"/>
      <c r="CC1023" s="1392" t="n"/>
      <c r="CD1023" s="1392" t="n"/>
      <c r="CE1023" s="1392" t="n"/>
      <c r="CF1023" s="1392" t="n"/>
      <c r="CG1023" s="1392" t="n"/>
      <c r="CH1023" s="1392" t="n"/>
      <c r="CI1023" s="1392" t="n"/>
      <c r="CJ1023" s="1392" t="n"/>
      <c r="CK1023" s="1392" t="n"/>
      <c r="CL1023" s="1392" t="n"/>
    </row>
    <row r="1024">
      <c r="A1024" s="5" t="inlineStr">
        <is>
          <t>.</t>
        </is>
      </c>
      <c r="B1024" s="5" t="inlineStr">
        <is>
          <t>.</t>
        </is>
      </c>
      <c r="C1024" s="1378">
        <f>IF(raw[[#This Row],[city]]="","-",IF(raw[[#This Row],[city]]="TODAY","-",C1023+1))</f>
        <v/>
      </c>
      <c r="D1024" s="1393" t="inlineStr">
        <is>
          <t>SSA</t>
        </is>
      </c>
      <c r="E1024" s="1394" t="n">
        <v>39215</v>
      </c>
      <c r="F1024" s="1394" t="n">
        <v>39219</v>
      </c>
      <c r="G1024" s="1393" t="n">
        <v>1</v>
      </c>
      <c r="H1024" s="1393" t="inlineStr">
        <is>
          <t>Ondina</t>
        </is>
      </c>
      <c r="I1024" s="1393" t="inlineStr">
        <is>
          <t>-</t>
        </is>
      </c>
      <c r="J1024" s="1393" t="inlineStr">
        <is>
          <t>-</t>
        </is>
      </c>
      <c r="K1024" s="1395">
        <f>IF(raw[[#This Row],[city]]&lt;&gt;"",_xlfn.XLOOKUP($D1024,ccc[city],ccc[prov],"-"),"-")</f>
        <v/>
      </c>
      <c r="L1024" s="1395">
        <f>IF(raw[[#This Row],[city]]&lt;&gt;"",_xlfn.XLOOKUP($D1024,ccc[city],ccc[ctry],"-"),"-")</f>
        <v/>
      </c>
      <c r="M1024" s="1395">
        <f>IF(raw[[#This Row],[city]]&lt;&gt;"",_xlfn.XLOOKUP($D1024,ccc[city],ccc[cont],"-"),"-")</f>
        <v/>
      </c>
      <c r="N1024" s="1396">
        <f>IF(raw[[#This Row],[city]]="","-",IF(raw[[#This Row],[cont]]="B",raw[[#This Row],[cont]],"W"))</f>
        <v/>
      </c>
      <c r="O1024" s="1397">
        <f>IF(raw[[#This Row],[out]]=0,0,IF(raw[[#This Row],[out]]=raw[[#This Row],[in]],0.01,raw[[#This Row],[out]]-raw[[#This Row],[in]]))</f>
        <v/>
      </c>
      <c r="P1024" s="1397">
        <f>IF(raw[[#This Row],[in]]=0,0,MONTH(raw[[#This Row],[in]]))</f>
        <v/>
      </c>
      <c r="Q1024" s="1397">
        <f>IF(raw[[#This Row],[in]]=0,0,YEAR(raw[[#This Row],[in]]))</f>
        <v/>
      </c>
      <c r="R1024" s="1397">
        <f>INT(raw[[#This Row],[yr]]/10)*10</f>
        <v/>
      </c>
      <c r="S1024" s="1395">
        <f>IF(raw[[#This Row],[city]]="","-",IF(raw[[#This Row],[city]]&lt;&gt;_xlfn.XLOOKUP(raw[[#This Row],[home]],homes[home],homes[city],"-"),1,0))</f>
        <v/>
      </c>
      <c r="T1024" s="1398" t="inlineStr">
        <is>
          <t>.</t>
        </is>
      </c>
      <c r="U1024" s="1399">
        <f>IF(raw[[#This Row],[wb]]="w",raw[[#This Row],[stay]]+U1023,U1023)</f>
        <v/>
      </c>
      <c r="V1024" s="1400">
        <f>IF(raw[[#This Row],[out]]=0,V1023,(raw[[#This Row],[out]]-E$5))</f>
        <v/>
      </c>
      <c r="W1024" s="1401">
        <f>U1024/V1024</f>
        <v/>
      </c>
      <c r="X1024" s="1392" t="n"/>
      <c r="Y1024" s="1392" t="n"/>
      <c r="Z1024" s="1392" t="n"/>
      <c r="AA1024" s="1392" t="n"/>
      <c r="AB1024" s="1392" t="n"/>
      <c r="AC1024" s="1392" t="n"/>
      <c r="AD1024" s="1392" t="n"/>
      <c r="AE1024" s="1392" t="n"/>
      <c r="AF1024" s="1392" t="n"/>
      <c r="AG1024" s="1392" t="n"/>
      <c r="AH1024" s="1392" t="n"/>
      <c r="AI1024" s="1392" t="n"/>
      <c r="AJ1024" s="1392" t="n"/>
      <c r="AK1024" s="1392" t="n"/>
      <c r="AL1024" s="1392" t="n"/>
      <c r="AM1024" s="1392" t="n"/>
      <c r="AN1024" s="1392" t="n"/>
      <c r="AO1024" s="1392" t="n"/>
      <c r="AP1024" s="1392" t="n"/>
      <c r="AQ1024" s="1392" t="n"/>
      <c r="AR1024" s="1422" t="n"/>
      <c r="AS1024" s="1422" t="n"/>
      <c r="AT1024" s="1392" t="n"/>
      <c r="AU1024" s="1392" t="n"/>
      <c r="AV1024" s="1392" t="n"/>
      <c r="AW1024" s="1392" t="n"/>
      <c r="AX1024" s="1392" t="n"/>
      <c r="AY1024" s="1392" t="n"/>
      <c r="AZ1024" s="1392" t="n"/>
      <c r="BA1024" s="1422" t="n"/>
      <c r="BB1024" s="1422" t="n"/>
      <c r="BC1024" s="1392" t="n"/>
      <c r="BD1024" s="1392" t="n"/>
      <c r="BE1024" s="1392" t="n"/>
      <c r="BF1024" s="1392" t="n"/>
      <c r="BG1024" s="1392" t="n"/>
      <c r="BH1024" s="1392" t="n"/>
      <c r="BI1024" s="1392" t="n"/>
      <c r="BJ1024" s="1392" t="n"/>
      <c r="BK1024" s="1392" t="n"/>
      <c r="BL1024" s="1392" t="n"/>
      <c r="BM1024" s="1392" t="n"/>
      <c r="BN1024" s="1392" t="n"/>
      <c r="BO1024" s="1392" t="n"/>
      <c r="BP1024" s="1392" t="n"/>
      <c r="BQ1024" s="1392" t="n"/>
      <c r="BR1024" s="1392" t="n"/>
      <c r="BS1024" s="1392" t="n"/>
      <c r="BT1024" s="1392" t="n"/>
      <c r="BU1024" s="1392" t="n"/>
      <c r="BV1024" s="1392" t="n"/>
      <c r="BW1024" s="1392" t="n"/>
      <c r="BX1024" s="1392" t="n"/>
      <c r="BY1024" s="1392" t="n"/>
      <c r="BZ1024" s="1392" t="n"/>
      <c r="CA1024" s="1392" t="n"/>
      <c r="CB1024" s="1392" t="n"/>
      <c r="CC1024" s="1392" t="n"/>
      <c r="CD1024" s="1392" t="n"/>
      <c r="CE1024" s="1392" t="n"/>
      <c r="CF1024" s="1392" t="n"/>
      <c r="CG1024" s="1392" t="n"/>
      <c r="CH1024" s="1392" t="n"/>
      <c r="CI1024" s="1392" t="n"/>
      <c r="CJ1024" s="1392" t="n"/>
      <c r="CK1024" s="1392" t="n"/>
      <c r="CL1024" s="1392" t="n"/>
    </row>
    <row r="1025">
      <c r="A1025" s="5" t="inlineStr">
        <is>
          <t>.</t>
        </is>
      </c>
      <c r="B1025" s="5" t="inlineStr">
        <is>
          <t>.</t>
        </is>
      </c>
      <c r="C1025" s="1378">
        <f>IF(raw[[#This Row],[city]]="","-",IF(raw[[#This Row],[city]]="TODAY","-",C1024+1))</f>
        <v/>
      </c>
      <c r="D1025" s="1393" t="inlineStr">
        <is>
          <t>SP</t>
        </is>
      </c>
      <c r="E1025" s="1394" t="n">
        <v>39219</v>
      </c>
      <c r="F1025" s="1394" t="n">
        <v>39222</v>
      </c>
      <c r="G1025" s="1393" t="n">
        <v>1</v>
      </c>
      <c r="H1025" s="1393" t="inlineStr">
        <is>
          <t>Ondina</t>
        </is>
      </c>
      <c r="I1025" s="1393" t="inlineStr">
        <is>
          <t>Bado/Morumbi</t>
        </is>
      </c>
      <c r="J1025" s="1393" t="inlineStr">
        <is>
          <t>-</t>
        </is>
      </c>
      <c r="K1025" s="1395">
        <f>IF(raw[[#This Row],[city]]&lt;&gt;"",_xlfn.XLOOKUP($D1025,ccc[city],ccc[prov],"-"),"-")</f>
        <v/>
      </c>
      <c r="L1025" s="1395">
        <f>IF(raw[[#This Row],[city]]&lt;&gt;"",_xlfn.XLOOKUP($D1025,ccc[city],ccc[ctry],"-"),"-")</f>
        <v/>
      </c>
      <c r="M1025" s="1395">
        <f>IF(raw[[#This Row],[city]]&lt;&gt;"",_xlfn.XLOOKUP($D1025,ccc[city],ccc[cont],"-"),"-")</f>
        <v/>
      </c>
      <c r="N1025" s="1396">
        <f>IF(raw[[#This Row],[city]]="","-",IF(raw[[#This Row],[cont]]="B",raw[[#This Row],[cont]],"W"))</f>
        <v/>
      </c>
      <c r="O1025" s="1397">
        <f>IF(raw[[#This Row],[out]]=0,0,IF(raw[[#This Row],[out]]=raw[[#This Row],[in]],0.01,raw[[#This Row],[out]]-raw[[#This Row],[in]]))</f>
        <v/>
      </c>
      <c r="P1025" s="1397">
        <f>IF(raw[[#This Row],[in]]=0,0,MONTH(raw[[#This Row],[in]]))</f>
        <v/>
      </c>
      <c r="Q1025" s="1397">
        <f>IF(raw[[#This Row],[in]]=0,0,YEAR(raw[[#This Row],[in]]))</f>
        <v/>
      </c>
      <c r="R1025" s="1397">
        <f>INT(raw[[#This Row],[yr]]/10)*10</f>
        <v/>
      </c>
      <c r="S1025" s="1395">
        <f>IF(raw[[#This Row],[city]]="","-",IF(raw[[#This Row],[city]]&lt;&gt;_xlfn.XLOOKUP(raw[[#This Row],[home]],homes[home],homes[city],"-"),1,0))</f>
        <v/>
      </c>
      <c r="T1025" s="1398" t="inlineStr">
        <is>
          <t>.</t>
        </is>
      </c>
      <c r="U1025" s="1399">
        <f>IF(raw[[#This Row],[wb]]="w",raw[[#This Row],[stay]]+U1024,U1024)</f>
        <v/>
      </c>
      <c r="V1025" s="1400">
        <f>IF(raw[[#This Row],[out]]=0,V1024,(raw[[#This Row],[out]]-E$5))</f>
        <v/>
      </c>
      <c r="W1025" s="1401">
        <f>U1025/V1025</f>
        <v/>
      </c>
      <c r="X1025" s="1392" t="n"/>
      <c r="Y1025" s="1392" t="n"/>
      <c r="Z1025" s="1392" t="n"/>
      <c r="AA1025" s="1392" t="n"/>
      <c r="AB1025" s="1392" t="n"/>
      <c r="AC1025" s="1392" t="n"/>
      <c r="AD1025" s="1392" t="n"/>
      <c r="AE1025" s="1392" t="n"/>
      <c r="AF1025" s="1392" t="n"/>
      <c r="AG1025" s="1392" t="n"/>
      <c r="AH1025" s="1392" t="n"/>
      <c r="AI1025" s="1392" t="n"/>
      <c r="AJ1025" s="1392" t="n"/>
      <c r="AK1025" s="1392" t="n"/>
      <c r="AL1025" s="1392" t="n"/>
      <c r="AM1025" s="1392" t="n"/>
      <c r="AN1025" s="1392" t="n"/>
      <c r="AO1025" s="1392" t="n"/>
      <c r="AP1025" s="1392" t="n"/>
      <c r="AQ1025" s="1392" t="n"/>
      <c r="AR1025" s="1422" t="n"/>
      <c r="AS1025" s="1422" t="n"/>
      <c r="AT1025" s="1392" t="n"/>
      <c r="AU1025" s="1392" t="n"/>
      <c r="AV1025" s="1392" t="n"/>
      <c r="AW1025" s="1392" t="n"/>
      <c r="AX1025" s="1392" t="n"/>
      <c r="AY1025" s="1392" t="n"/>
      <c r="AZ1025" s="1392" t="n"/>
      <c r="BA1025" s="1422" t="n"/>
      <c r="BB1025" s="1422" t="n"/>
      <c r="BC1025" s="1392" t="n"/>
      <c r="BD1025" s="1392" t="n"/>
      <c r="BE1025" s="1392" t="n"/>
      <c r="BF1025" s="1392" t="n"/>
      <c r="BG1025" s="1392" t="n"/>
      <c r="BH1025" s="1392" t="n"/>
      <c r="BI1025" s="1392" t="n"/>
      <c r="BJ1025" s="1392" t="n"/>
      <c r="BK1025" s="1392" t="n"/>
      <c r="BL1025" s="1392" t="n"/>
      <c r="BM1025" s="1392" t="n"/>
      <c r="BN1025" s="1392" t="n"/>
      <c r="BO1025" s="1392" t="n"/>
      <c r="BP1025" s="1392" t="n"/>
      <c r="BQ1025" s="1392" t="n"/>
      <c r="BR1025" s="1392" t="n"/>
      <c r="BS1025" s="1392" t="n"/>
      <c r="BT1025" s="1392" t="n"/>
      <c r="BU1025" s="1392" t="n"/>
      <c r="BV1025" s="1392" t="n"/>
      <c r="BW1025" s="1392" t="n"/>
      <c r="BX1025" s="1392" t="n"/>
      <c r="BY1025" s="1392" t="n"/>
      <c r="BZ1025" s="1392" t="n"/>
      <c r="CA1025" s="1392" t="n"/>
      <c r="CB1025" s="1392" t="n"/>
      <c r="CC1025" s="1392" t="n"/>
      <c r="CD1025" s="1392" t="n"/>
      <c r="CE1025" s="1392" t="n"/>
      <c r="CF1025" s="1392" t="n"/>
      <c r="CG1025" s="1392" t="n"/>
      <c r="CH1025" s="1392" t="n"/>
      <c r="CI1025" s="1392" t="n"/>
      <c r="CJ1025" s="1392" t="n"/>
      <c r="CK1025" s="1392" t="n"/>
      <c r="CL1025" s="1392" t="n"/>
    </row>
    <row r="1026">
      <c r="A1026" s="5" t="inlineStr">
        <is>
          <t>.</t>
        </is>
      </c>
      <c r="B1026" s="5" t="inlineStr">
        <is>
          <t>.</t>
        </is>
      </c>
      <c r="C1026" s="1378">
        <f>IF(raw[[#This Row],[city]]="","-",IF(raw[[#This Row],[city]]="TODAY","-",C1025+1))</f>
        <v/>
      </c>
      <c r="D1026" s="1393" t="inlineStr">
        <is>
          <t>Curitiba</t>
        </is>
      </c>
      <c r="E1026" s="1394" t="n">
        <v>39222</v>
      </c>
      <c r="F1026" s="1394" t="n">
        <v>39226</v>
      </c>
      <c r="G1026" s="1393" t="n">
        <v>1</v>
      </c>
      <c r="H1026" s="1393" t="inlineStr">
        <is>
          <t>Ondina</t>
        </is>
      </c>
      <c r="I1026" s="1393" t="inlineStr">
        <is>
          <t>-</t>
        </is>
      </c>
      <c r="J1026" s="1393" t="inlineStr">
        <is>
          <t>-</t>
        </is>
      </c>
      <c r="K1026" s="1395">
        <f>IF(raw[[#This Row],[city]]&lt;&gt;"",_xlfn.XLOOKUP($D1026,ccc[city],ccc[prov],"-"),"-")</f>
        <v/>
      </c>
      <c r="L1026" s="1395">
        <f>IF(raw[[#This Row],[city]]&lt;&gt;"",_xlfn.XLOOKUP($D1026,ccc[city],ccc[ctry],"-"),"-")</f>
        <v/>
      </c>
      <c r="M1026" s="1395">
        <f>IF(raw[[#This Row],[city]]&lt;&gt;"",_xlfn.XLOOKUP($D1026,ccc[city],ccc[cont],"-"),"-")</f>
        <v/>
      </c>
      <c r="N1026" s="1396">
        <f>IF(raw[[#This Row],[city]]="","-",IF(raw[[#This Row],[cont]]="B",raw[[#This Row],[cont]],"W"))</f>
        <v/>
      </c>
      <c r="O1026" s="1397">
        <f>IF(raw[[#This Row],[out]]=0,0,IF(raw[[#This Row],[out]]=raw[[#This Row],[in]],0.01,raw[[#This Row],[out]]-raw[[#This Row],[in]]))</f>
        <v/>
      </c>
      <c r="P1026" s="1397">
        <f>IF(raw[[#This Row],[in]]=0,0,MONTH(raw[[#This Row],[in]]))</f>
        <v/>
      </c>
      <c r="Q1026" s="1397">
        <f>IF(raw[[#This Row],[in]]=0,0,YEAR(raw[[#This Row],[in]]))</f>
        <v/>
      </c>
      <c r="R1026" s="1397">
        <f>INT(raw[[#This Row],[yr]]/10)*10</f>
        <v/>
      </c>
      <c r="S1026" s="1395">
        <f>IF(raw[[#This Row],[city]]="","-",IF(raw[[#This Row],[city]]&lt;&gt;_xlfn.XLOOKUP(raw[[#This Row],[home]],homes[home],homes[city],"-"),1,0))</f>
        <v/>
      </c>
      <c r="T1026" s="1398" t="inlineStr">
        <is>
          <t>.</t>
        </is>
      </c>
      <c r="U1026" s="1399">
        <f>IF(raw[[#This Row],[wb]]="w",raw[[#This Row],[stay]]+U1025,U1025)</f>
        <v/>
      </c>
      <c r="V1026" s="1400">
        <f>IF(raw[[#This Row],[out]]=0,V1025,(raw[[#This Row],[out]]-E$5))</f>
        <v/>
      </c>
      <c r="W1026" s="1401">
        <f>U1026/V1026</f>
        <v/>
      </c>
      <c r="X1026" s="1392" t="n"/>
      <c r="Y1026" s="1392" t="n"/>
      <c r="Z1026" s="1392" t="n"/>
      <c r="AA1026" s="1392" t="n"/>
      <c r="AB1026" s="1392" t="n"/>
      <c r="AC1026" s="1392" t="n"/>
      <c r="AD1026" s="1392" t="n"/>
      <c r="AE1026" s="1392" t="n"/>
      <c r="AF1026" s="1392" t="n"/>
      <c r="AG1026" s="1392" t="n"/>
      <c r="AH1026" s="1392" t="n"/>
      <c r="AI1026" s="1392" t="n"/>
      <c r="AJ1026" s="1392" t="n"/>
      <c r="AK1026" s="1392" t="n"/>
      <c r="AL1026" s="1392" t="n"/>
      <c r="AM1026" s="1392" t="n"/>
      <c r="AN1026" s="1392" t="n"/>
      <c r="AO1026" s="1392" t="n"/>
      <c r="AP1026" s="1392" t="n"/>
      <c r="AQ1026" s="1392" t="n"/>
      <c r="AR1026" s="1422" t="n"/>
      <c r="AS1026" s="1422" t="n"/>
      <c r="AT1026" s="1392" t="n"/>
      <c r="AU1026" s="1392" t="n"/>
      <c r="AV1026" s="1392" t="n"/>
      <c r="AW1026" s="1392" t="n"/>
      <c r="AX1026" s="1392" t="n"/>
      <c r="AY1026" s="1392" t="n"/>
      <c r="AZ1026" s="1392" t="n"/>
      <c r="BA1026" s="1422" t="n"/>
      <c r="BB1026" s="1422" t="n"/>
      <c r="BC1026" s="1392" t="n"/>
      <c r="BD1026" s="1392" t="n"/>
      <c r="BE1026" s="1392" t="n"/>
      <c r="BF1026" s="1392" t="n"/>
      <c r="BG1026" s="1392" t="n"/>
      <c r="BH1026" s="1392" t="n"/>
      <c r="BI1026" s="1392" t="n"/>
      <c r="BJ1026" s="1392" t="n"/>
      <c r="BK1026" s="1392" t="n"/>
      <c r="BL1026" s="1392" t="n"/>
      <c r="BM1026" s="1392" t="n"/>
      <c r="BN1026" s="1392" t="n"/>
      <c r="BO1026" s="1392" t="n"/>
      <c r="BP1026" s="1392" t="n"/>
      <c r="BQ1026" s="1392" t="n"/>
      <c r="BR1026" s="1392" t="n"/>
      <c r="BS1026" s="1392" t="n"/>
      <c r="BT1026" s="1392" t="n"/>
      <c r="BU1026" s="1392" t="n"/>
      <c r="BV1026" s="1392" t="n"/>
      <c r="BW1026" s="1392" t="n"/>
      <c r="BX1026" s="1392" t="n"/>
      <c r="BY1026" s="1392" t="n"/>
      <c r="BZ1026" s="1392" t="n"/>
      <c r="CA1026" s="1392" t="n"/>
      <c r="CB1026" s="1392" t="n"/>
      <c r="CC1026" s="1392" t="n"/>
      <c r="CD1026" s="1392" t="n"/>
      <c r="CE1026" s="1392" t="n"/>
      <c r="CF1026" s="1392" t="n"/>
      <c r="CG1026" s="1392" t="n"/>
      <c r="CH1026" s="1392" t="n"/>
      <c r="CI1026" s="1392" t="n"/>
      <c r="CJ1026" s="1392" t="n"/>
      <c r="CK1026" s="1392" t="n"/>
      <c r="CL1026" s="1392" t="n"/>
    </row>
    <row r="1027">
      <c r="A1027" s="5" t="inlineStr">
        <is>
          <t>.</t>
        </is>
      </c>
      <c r="B1027" s="5" t="inlineStr">
        <is>
          <t>.</t>
        </is>
      </c>
      <c r="C1027" s="1378">
        <f>IF(raw[[#This Row],[city]]="","-",IF(raw[[#This Row],[city]]="TODAY","-",C1026+1))</f>
        <v/>
      </c>
      <c r="D1027" s="1393" t="inlineStr">
        <is>
          <t>SP</t>
        </is>
      </c>
      <c r="E1027" s="1394" t="n">
        <v>39226</v>
      </c>
      <c r="F1027" s="1394" t="n">
        <v>39233</v>
      </c>
      <c r="G1027" s="1393" t="n">
        <v>1</v>
      </c>
      <c r="H1027" s="1393" t="inlineStr">
        <is>
          <t>Ondina</t>
        </is>
      </c>
      <c r="I1027" s="1393" t="inlineStr">
        <is>
          <t>Salto Grande</t>
        </is>
      </c>
      <c r="J1027" s="1393" t="inlineStr">
        <is>
          <t>-</t>
        </is>
      </c>
      <c r="K1027" s="1395">
        <f>IF(raw[[#This Row],[city]]&lt;&gt;"",_xlfn.XLOOKUP($D1027,ccc[city],ccc[prov],"-"),"-")</f>
        <v/>
      </c>
      <c r="L1027" s="1395">
        <f>IF(raw[[#This Row],[city]]&lt;&gt;"",_xlfn.XLOOKUP($D1027,ccc[city],ccc[ctry],"-"),"-")</f>
        <v/>
      </c>
      <c r="M1027" s="1395">
        <f>IF(raw[[#This Row],[city]]&lt;&gt;"",_xlfn.XLOOKUP($D1027,ccc[city],ccc[cont],"-"),"-")</f>
        <v/>
      </c>
      <c r="N1027" s="1396">
        <f>IF(raw[[#This Row],[city]]="","-",IF(raw[[#This Row],[cont]]="B",raw[[#This Row],[cont]],"W"))</f>
        <v/>
      </c>
      <c r="O1027" s="1397">
        <f>IF(raw[[#This Row],[out]]=0,0,IF(raw[[#This Row],[out]]=raw[[#This Row],[in]],0.01,raw[[#This Row],[out]]-raw[[#This Row],[in]]))</f>
        <v/>
      </c>
      <c r="P1027" s="1397">
        <f>IF(raw[[#This Row],[in]]=0,0,MONTH(raw[[#This Row],[in]]))</f>
        <v/>
      </c>
      <c r="Q1027" s="1397">
        <f>IF(raw[[#This Row],[in]]=0,0,YEAR(raw[[#This Row],[in]]))</f>
        <v/>
      </c>
      <c r="R1027" s="1397">
        <f>INT(raw[[#This Row],[yr]]/10)*10</f>
        <v/>
      </c>
      <c r="S1027" s="1395">
        <f>IF(raw[[#This Row],[city]]="","-",IF(raw[[#This Row],[city]]&lt;&gt;_xlfn.XLOOKUP(raw[[#This Row],[home]],homes[home],homes[city],"-"),1,0))</f>
        <v/>
      </c>
      <c r="T1027" s="1398" t="inlineStr">
        <is>
          <t>.</t>
        </is>
      </c>
      <c r="U1027" s="1399">
        <f>IF(raw[[#This Row],[wb]]="w",raw[[#This Row],[stay]]+U1026,U1026)</f>
        <v/>
      </c>
      <c r="V1027" s="1400">
        <f>IF(raw[[#This Row],[out]]=0,V1026,(raw[[#This Row],[out]]-E$5))</f>
        <v/>
      </c>
      <c r="W1027" s="1401">
        <f>U1027/V1027</f>
        <v/>
      </c>
      <c r="X1027" s="1392" t="n"/>
      <c r="Y1027" s="1392" t="n"/>
      <c r="Z1027" s="1392" t="n"/>
      <c r="AA1027" s="1392" t="n"/>
      <c r="AB1027" s="1392" t="n"/>
      <c r="AC1027" s="1392" t="n"/>
      <c r="AD1027" s="1392" t="n"/>
      <c r="AE1027" s="1392" t="n"/>
      <c r="AF1027" s="1392" t="n"/>
      <c r="AG1027" s="1392" t="n"/>
      <c r="AH1027" s="1392" t="n"/>
      <c r="AI1027" s="1392" t="n"/>
      <c r="AJ1027" s="1392" t="n"/>
      <c r="AK1027" s="1392" t="n"/>
      <c r="AL1027" s="1392" t="n"/>
      <c r="AM1027" s="1392" t="n"/>
      <c r="AN1027" s="1392" t="n"/>
      <c r="AO1027" s="1392" t="n"/>
      <c r="AP1027" s="1392" t="n"/>
      <c r="AQ1027" s="1392" t="n"/>
      <c r="AR1027" s="1422" t="n"/>
      <c r="AS1027" s="1422" t="n"/>
      <c r="AT1027" s="1392" t="n"/>
      <c r="AU1027" s="1392" t="n"/>
      <c r="AV1027" s="1392" t="n"/>
      <c r="AW1027" s="1392" t="n"/>
      <c r="AX1027" s="1392" t="n"/>
      <c r="AY1027" s="1392" t="n"/>
      <c r="AZ1027" s="1392" t="n"/>
      <c r="BA1027" s="1422" t="n"/>
      <c r="BB1027" s="1422" t="n"/>
      <c r="BC1027" s="1392" t="n"/>
      <c r="BD1027" s="1392" t="n"/>
      <c r="BE1027" s="1392" t="n"/>
      <c r="BF1027" s="1392" t="n"/>
      <c r="BG1027" s="1392" t="n"/>
      <c r="BH1027" s="1392" t="n"/>
      <c r="BI1027" s="1392" t="n"/>
      <c r="BJ1027" s="1392" t="n"/>
      <c r="BK1027" s="1392" t="n"/>
      <c r="BL1027" s="1392" t="n"/>
      <c r="BM1027" s="1392" t="n"/>
      <c r="BN1027" s="1392" t="n"/>
      <c r="BO1027" s="1392" t="n"/>
      <c r="BP1027" s="1392" t="n"/>
      <c r="BQ1027" s="1392" t="n"/>
      <c r="BR1027" s="1392" t="n"/>
      <c r="BS1027" s="1392" t="n"/>
      <c r="BT1027" s="1392" t="n"/>
      <c r="BU1027" s="1392" t="n"/>
      <c r="BV1027" s="1392" t="n"/>
      <c r="BW1027" s="1392" t="n"/>
      <c r="BX1027" s="1392" t="n"/>
      <c r="BY1027" s="1392" t="n"/>
      <c r="BZ1027" s="1392" t="n"/>
      <c r="CA1027" s="1392" t="n"/>
      <c r="CB1027" s="1392" t="n"/>
      <c r="CC1027" s="1392" t="n"/>
      <c r="CD1027" s="1392" t="n"/>
      <c r="CE1027" s="1392" t="n"/>
      <c r="CF1027" s="1392" t="n"/>
      <c r="CG1027" s="1392" t="n"/>
      <c r="CH1027" s="1392" t="n"/>
      <c r="CI1027" s="1392" t="n"/>
      <c r="CJ1027" s="1392" t="n"/>
      <c r="CK1027" s="1392" t="n"/>
      <c r="CL1027" s="1392" t="n"/>
    </row>
    <row r="1028">
      <c r="A1028" s="5" t="inlineStr">
        <is>
          <t>.</t>
        </is>
      </c>
      <c r="B1028" s="5" t="inlineStr">
        <is>
          <t>.</t>
        </is>
      </c>
      <c r="C1028" s="1378">
        <f>IF(raw[[#This Row],[city]]="","-",IF(raw[[#This Row],[city]]="TODAY","-",C1027+1))</f>
        <v/>
      </c>
      <c r="D1028" s="1393" t="inlineStr">
        <is>
          <t>Rio</t>
        </is>
      </c>
      <c r="E1028" s="1394" t="n">
        <v>39233</v>
      </c>
      <c r="F1028" s="1394" t="n">
        <v>39234</v>
      </c>
      <c r="G1028" s="1393" t="inlineStr">
        <is>
          <t>-</t>
        </is>
      </c>
      <c r="H1028" s="1393" t="inlineStr">
        <is>
          <t>Ondina</t>
        </is>
      </c>
      <c r="I1028" s="1393" t="inlineStr">
        <is>
          <t>Renê/Ipanema</t>
        </is>
      </c>
      <c r="J1028" s="1393" t="inlineStr">
        <is>
          <t>-</t>
        </is>
      </c>
      <c r="K1028" s="1395">
        <f>IF(raw[[#This Row],[city]]&lt;&gt;"",_xlfn.XLOOKUP($D1028,ccc[city],ccc[prov],"-"),"-")</f>
        <v/>
      </c>
      <c r="L1028" s="1395">
        <f>IF(raw[[#This Row],[city]]&lt;&gt;"",_xlfn.XLOOKUP($D1028,ccc[city],ccc[ctry],"-"),"-")</f>
        <v/>
      </c>
      <c r="M1028" s="1395">
        <f>IF(raw[[#This Row],[city]]&lt;&gt;"",_xlfn.XLOOKUP($D1028,ccc[city],ccc[cont],"-"),"-")</f>
        <v/>
      </c>
      <c r="N1028" s="1396">
        <f>IF(raw[[#This Row],[city]]="","-",IF(raw[[#This Row],[cont]]="B",raw[[#This Row],[cont]],"W"))</f>
        <v/>
      </c>
      <c r="O1028" s="1397">
        <f>IF(raw[[#This Row],[out]]=0,0,IF(raw[[#This Row],[out]]=raw[[#This Row],[in]],0.01,raw[[#This Row],[out]]-raw[[#This Row],[in]]))</f>
        <v/>
      </c>
      <c r="P1028" s="1397">
        <f>IF(raw[[#This Row],[in]]=0,0,MONTH(raw[[#This Row],[in]]))</f>
        <v/>
      </c>
      <c r="Q1028" s="1397">
        <f>IF(raw[[#This Row],[in]]=0,0,YEAR(raw[[#This Row],[in]]))</f>
        <v/>
      </c>
      <c r="R1028" s="1397">
        <f>INT(raw[[#This Row],[yr]]/10)*10</f>
        <v/>
      </c>
      <c r="S1028" s="1395">
        <f>IF(raw[[#This Row],[city]]="","-",IF(raw[[#This Row],[city]]&lt;&gt;_xlfn.XLOOKUP(raw[[#This Row],[home]],homes[home],homes[city],"-"),1,0))</f>
        <v/>
      </c>
      <c r="T1028" s="1398" t="inlineStr">
        <is>
          <t>.</t>
        </is>
      </c>
      <c r="U1028" s="1399">
        <f>IF(raw[[#This Row],[wb]]="w",raw[[#This Row],[stay]]+U1027,U1027)</f>
        <v/>
      </c>
      <c r="V1028" s="1400">
        <f>IF(raw[[#This Row],[out]]=0,V1027,(raw[[#This Row],[out]]-E$5))</f>
        <v/>
      </c>
      <c r="W1028" s="1401">
        <f>U1028/V1028</f>
        <v/>
      </c>
      <c r="X1028" s="1392" t="n"/>
      <c r="Y1028" s="1392" t="n"/>
      <c r="Z1028" s="1392" t="n"/>
      <c r="AA1028" s="1392" t="n"/>
      <c r="AB1028" s="1392" t="n"/>
      <c r="AC1028" s="1392" t="n"/>
      <c r="AD1028" s="1392" t="n"/>
      <c r="AE1028" s="1392" t="n"/>
      <c r="AF1028" s="1392" t="n"/>
      <c r="AG1028" s="1392" t="n"/>
      <c r="AH1028" s="1392" t="n"/>
      <c r="AI1028" s="1392" t="n"/>
      <c r="AJ1028" s="1392" t="n"/>
      <c r="AK1028" s="1392" t="n"/>
      <c r="AL1028" s="1392" t="n"/>
      <c r="AM1028" s="1392" t="n"/>
      <c r="AN1028" s="1392" t="n"/>
      <c r="AO1028" s="1392" t="n"/>
      <c r="AP1028" s="1392" t="n"/>
      <c r="AQ1028" s="1392" t="n"/>
      <c r="AR1028" s="1422" t="n"/>
      <c r="AS1028" s="1422" t="n"/>
      <c r="AT1028" s="1392" t="n"/>
      <c r="AU1028" s="1392" t="n"/>
      <c r="AV1028" s="1392" t="n"/>
      <c r="AW1028" s="1392" t="n"/>
      <c r="AX1028" s="1392" t="n"/>
      <c r="AY1028" s="1392" t="n"/>
      <c r="AZ1028" s="1392" t="n"/>
      <c r="BA1028" s="1422" t="n"/>
      <c r="BB1028" s="1422" t="n"/>
      <c r="BC1028" s="1392" t="n"/>
      <c r="BD1028" s="1392" t="n"/>
      <c r="BE1028" s="1392" t="n"/>
      <c r="BF1028" s="1392" t="n"/>
      <c r="BG1028" s="1392" t="n"/>
      <c r="BH1028" s="1392" t="n"/>
      <c r="BI1028" s="1392" t="n"/>
      <c r="BJ1028" s="1392" t="n"/>
      <c r="BK1028" s="1392" t="n"/>
      <c r="BL1028" s="1392" t="n"/>
      <c r="BM1028" s="1392" t="n"/>
      <c r="BN1028" s="1392" t="n"/>
      <c r="BO1028" s="1392" t="n"/>
      <c r="BP1028" s="1392" t="n"/>
      <c r="BQ1028" s="1392" t="n"/>
      <c r="BR1028" s="1392" t="n"/>
      <c r="BS1028" s="1392" t="n"/>
      <c r="BT1028" s="1392" t="n"/>
      <c r="BU1028" s="1392" t="n"/>
      <c r="BV1028" s="1392" t="n"/>
      <c r="BW1028" s="1392" t="n"/>
      <c r="BX1028" s="1392" t="n"/>
      <c r="BY1028" s="1392" t="n"/>
      <c r="BZ1028" s="1392" t="n"/>
      <c r="CA1028" s="1392" t="n"/>
      <c r="CB1028" s="1392" t="n"/>
      <c r="CC1028" s="1392" t="n"/>
      <c r="CD1028" s="1392" t="n"/>
      <c r="CE1028" s="1392" t="n"/>
      <c r="CF1028" s="1392" t="n"/>
      <c r="CG1028" s="1392" t="n"/>
      <c r="CH1028" s="1392" t="n"/>
      <c r="CI1028" s="1392" t="n"/>
      <c r="CJ1028" s="1392" t="n"/>
      <c r="CK1028" s="1392" t="n"/>
      <c r="CL1028" s="1392" t="n"/>
    </row>
    <row r="1029">
      <c r="A1029" s="5" t="inlineStr">
        <is>
          <t>.</t>
        </is>
      </c>
      <c r="B1029" s="5" t="inlineStr">
        <is>
          <t>.</t>
        </is>
      </c>
      <c r="C1029" s="1378">
        <f>IF(raw[[#This Row],[city]]="","-",IF(raw[[#This Row],[city]]="TODAY","-",C1028+1))</f>
        <v/>
      </c>
      <c r="D1029" s="1393" t="inlineStr">
        <is>
          <t>Rio</t>
        </is>
      </c>
      <c r="E1029" s="1394" t="n">
        <v>39234</v>
      </c>
      <c r="F1029" s="1394" t="n">
        <v>39241</v>
      </c>
      <c r="G1029" s="1393" t="n">
        <v>1</v>
      </c>
      <c r="H1029" s="1393" t="inlineStr">
        <is>
          <t>Ondina</t>
        </is>
      </c>
      <c r="I1029" s="1393" t="inlineStr">
        <is>
          <t>Renê/Ipanema</t>
        </is>
      </c>
      <c r="J1029" s="1393" t="inlineStr">
        <is>
          <t>-</t>
        </is>
      </c>
      <c r="K1029" s="1395">
        <f>IF(raw[[#This Row],[city]]&lt;&gt;"",_xlfn.XLOOKUP($D1029,ccc[city],ccc[prov],"-"),"-")</f>
        <v/>
      </c>
      <c r="L1029" s="1395">
        <f>IF(raw[[#This Row],[city]]&lt;&gt;"",_xlfn.XLOOKUP($D1029,ccc[city],ccc[ctry],"-"),"-")</f>
        <v/>
      </c>
      <c r="M1029" s="1395">
        <f>IF(raw[[#This Row],[city]]&lt;&gt;"",_xlfn.XLOOKUP($D1029,ccc[city],ccc[cont],"-"),"-")</f>
        <v/>
      </c>
      <c r="N1029" s="1396">
        <f>IF(raw[[#This Row],[city]]="","-",IF(raw[[#This Row],[cont]]="B",raw[[#This Row],[cont]],"W"))</f>
        <v/>
      </c>
      <c r="O1029" s="1397">
        <f>IF(raw[[#This Row],[out]]=0,0,IF(raw[[#This Row],[out]]=raw[[#This Row],[in]],0.01,raw[[#This Row],[out]]-raw[[#This Row],[in]]))</f>
        <v/>
      </c>
      <c r="P1029" s="1397">
        <f>IF(raw[[#This Row],[in]]=0,0,MONTH(raw[[#This Row],[in]]))</f>
        <v/>
      </c>
      <c r="Q1029" s="1397">
        <f>IF(raw[[#This Row],[in]]=0,0,YEAR(raw[[#This Row],[in]]))</f>
        <v/>
      </c>
      <c r="R1029" s="1397">
        <f>INT(raw[[#This Row],[yr]]/10)*10</f>
        <v/>
      </c>
      <c r="S1029" s="1395">
        <f>IF(raw[[#This Row],[city]]="","-",IF(raw[[#This Row],[city]]&lt;&gt;_xlfn.XLOOKUP(raw[[#This Row],[home]],homes[home],homes[city],"-"),1,0))</f>
        <v/>
      </c>
      <c r="T1029" s="1398" t="inlineStr">
        <is>
          <t>.</t>
        </is>
      </c>
      <c r="U1029" s="1399">
        <f>IF(raw[[#This Row],[wb]]="w",raw[[#This Row],[stay]]+U1028,U1028)</f>
        <v/>
      </c>
      <c r="V1029" s="1400">
        <f>IF(raw[[#This Row],[out]]=0,V1028,(raw[[#This Row],[out]]-E$5))</f>
        <v/>
      </c>
      <c r="W1029" s="1401">
        <f>U1029/V1029</f>
        <v/>
      </c>
      <c r="X1029" s="1392" t="n"/>
      <c r="Y1029" s="1392" t="n"/>
      <c r="Z1029" s="1392" t="n"/>
      <c r="AA1029" s="1392" t="n"/>
      <c r="AB1029" s="1392" t="n"/>
      <c r="AC1029" s="1392" t="n"/>
      <c r="AD1029" s="1392" t="n"/>
      <c r="AE1029" s="1392" t="n"/>
      <c r="AF1029" s="1392" t="n"/>
      <c r="AG1029" s="1392" t="n"/>
      <c r="AH1029" s="1392" t="n"/>
      <c r="AI1029" s="1392" t="n"/>
      <c r="AJ1029" s="1392" t="n"/>
      <c r="AK1029" s="1392" t="n"/>
      <c r="AL1029" s="1392" t="n"/>
      <c r="AM1029" s="1392" t="n"/>
      <c r="AN1029" s="1392" t="n"/>
      <c r="AO1029" s="1392" t="n"/>
      <c r="AP1029" s="1392" t="n"/>
      <c r="AQ1029" s="1392" t="n"/>
      <c r="AR1029" s="1422" t="n"/>
      <c r="AS1029" s="1422" t="n"/>
      <c r="AT1029" s="1392" t="n"/>
      <c r="AU1029" s="1392" t="n"/>
      <c r="AV1029" s="1392" t="n"/>
      <c r="AW1029" s="1392" t="n"/>
      <c r="AX1029" s="1392" t="n"/>
      <c r="AY1029" s="1392" t="n"/>
      <c r="AZ1029" s="1392" t="n"/>
      <c r="BA1029" s="1422" t="n"/>
      <c r="BB1029" s="1422" t="n"/>
      <c r="BC1029" s="1392" t="n"/>
      <c r="BD1029" s="1392" t="n"/>
      <c r="BE1029" s="1392" t="n"/>
      <c r="BF1029" s="1392" t="n"/>
      <c r="BG1029" s="1392" t="n"/>
      <c r="BH1029" s="1392" t="n"/>
      <c r="BI1029" s="1392" t="n"/>
      <c r="BJ1029" s="1392" t="n"/>
      <c r="BK1029" s="1392" t="n"/>
      <c r="BL1029" s="1392" t="n"/>
      <c r="BM1029" s="1392" t="n"/>
      <c r="BN1029" s="1392" t="n"/>
      <c r="BO1029" s="1392" t="n"/>
      <c r="BP1029" s="1392" t="n"/>
      <c r="BQ1029" s="1392" t="n"/>
      <c r="BR1029" s="1392" t="n"/>
      <c r="BS1029" s="1392" t="n"/>
      <c r="BT1029" s="1392" t="n"/>
      <c r="BU1029" s="1392" t="n"/>
      <c r="BV1029" s="1392" t="n"/>
      <c r="BW1029" s="1392" t="n"/>
      <c r="BX1029" s="1392" t="n"/>
      <c r="BY1029" s="1392" t="n"/>
      <c r="BZ1029" s="1392" t="n"/>
      <c r="CA1029" s="1392" t="n"/>
      <c r="CB1029" s="1392" t="n"/>
      <c r="CC1029" s="1392" t="n"/>
      <c r="CD1029" s="1392" t="n"/>
      <c r="CE1029" s="1392" t="n"/>
      <c r="CF1029" s="1392" t="n"/>
      <c r="CG1029" s="1392" t="n"/>
      <c r="CH1029" s="1392" t="n"/>
      <c r="CI1029" s="1392" t="n"/>
      <c r="CJ1029" s="1392" t="n"/>
      <c r="CK1029" s="1392" t="n"/>
      <c r="CL1029" s="1392" t="n"/>
    </row>
    <row r="1030">
      <c r="A1030" s="5" t="inlineStr">
        <is>
          <t>.</t>
        </is>
      </c>
      <c r="B1030" s="5" t="inlineStr">
        <is>
          <t>.</t>
        </is>
      </c>
      <c r="C1030" s="1378">
        <f>IF(raw[[#This Row],[city]]="","-",IF(raw[[#This Row],[city]]="TODAY","-",C1029+1))</f>
        <v/>
      </c>
      <c r="D1030" s="1393" t="inlineStr">
        <is>
          <t>SSA</t>
        </is>
      </c>
      <c r="E1030" s="1394" t="n">
        <v>39241</v>
      </c>
      <c r="F1030" s="1394" t="n">
        <v>39252</v>
      </c>
      <c r="G1030" s="1393" t="n">
        <v>1</v>
      </c>
      <c r="H1030" s="1393" t="inlineStr">
        <is>
          <t>Ondina</t>
        </is>
      </c>
      <c r="I1030" s="1393" t="inlineStr">
        <is>
          <t>-</t>
        </is>
      </c>
      <c r="J1030" s="1393" t="inlineStr">
        <is>
          <t>-</t>
        </is>
      </c>
      <c r="K1030" s="1395">
        <f>IF(raw[[#This Row],[city]]&lt;&gt;"",_xlfn.XLOOKUP($D1030,ccc[city],ccc[prov],"-"),"-")</f>
        <v/>
      </c>
      <c r="L1030" s="1395">
        <f>IF(raw[[#This Row],[city]]&lt;&gt;"",_xlfn.XLOOKUP($D1030,ccc[city],ccc[ctry],"-"),"-")</f>
        <v/>
      </c>
      <c r="M1030" s="1395">
        <f>IF(raw[[#This Row],[city]]&lt;&gt;"",_xlfn.XLOOKUP($D1030,ccc[city],ccc[cont],"-"),"-")</f>
        <v/>
      </c>
      <c r="N1030" s="1396">
        <f>IF(raw[[#This Row],[city]]="","-",IF(raw[[#This Row],[cont]]="B",raw[[#This Row],[cont]],"W"))</f>
        <v/>
      </c>
      <c r="O1030" s="1397">
        <f>IF(raw[[#This Row],[out]]=0,0,IF(raw[[#This Row],[out]]=raw[[#This Row],[in]],0.01,raw[[#This Row],[out]]-raw[[#This Row],[in]]))</f>
        <v/>
      </c>
      <c r="P1030" s="1397">
        <f>IF(raw[[#This Row],[in]]=0,0,MONTH(raw[[#This Row],[in]]))</f>
        <v/>
      </c>
      <c r="Q1030" s="1397">
        <f>IF(raw[[#This Row],[in]]=0,0,YEAR(raw[[#This Row],[in]]))</f>
        <v/>
      </c>
      <c r="R1030" s="1397">
        <f>INT(raw[[#This Row],[yr]]/10)*10</f>
        <v/>
      </c>
      <c r="S1030" s="1395">
        <f>IF(raw[[#This Row],[city]]="","-",IF(raw[[#This Row],[city]]&lt;&gt;_xlfn.XLOOKUP(raw[[#This Row],[home]],homes[home],homes[city],"-"),1,0))</f>
        <v/>
      </c>
      <c r="T1030" s="1398" t="inlineStr">
        <is>
          <t>.</t>
        </is>
      </c>
      <c r="U1030" s="1399">
        <f>IF(raw[[#This Row],[wb]]="w",raw[[#This Row],[stay]]+U1029,U1029)</f>
        <v/>
      </c>
      <c r="V1030" s="1400">
        <f>IF(raw[[#This Row],[out]]=0,V1029,(raw[[#This Row],[out]]-E$5))</f>
        <v/>
      </c>
      <c r="W1030" s="1401">
        <f>U1030/V1030</f>
        <v/>
      </c>
      <c r="X1030" s="1392" t="n"/>
      <c r="Y1030" s="1392" t="n"/>
      <c r="Z1030" s="1392" t="n"/>
      <c r="AA1030" s="1392" t="n"/>
      <c r="AB1030" s="1392" t="n"/>
      <c r="AC1030" s="1392" t="n"/>
      <c r="AD1030" s="1392" t="n"/>
      <c r="AE1030" s="1392" t="n"/>
      <c r="AF1030" s="1392" t="n"/>
      <c r="AG1030" s="1392" t="n"/>
      <c r="AH1030" s="1392" t="n"/>
      <c r="AI1030" s="1392" t="n"/>
      <c r="AJ1030" s="1392" t="n"/>
      <c r="AK1030" s="1392" t="n"/>
      <c r="AL1030" s="1392" t="n"/>
      <c r="AM1030" s="1392" t="n"/>
      <c r="AN1030" s="1392" t="n"/>
      <c r="AO1030" s="1392" t="n"/>
      <c r="AP1030" s="1392" t="n"/>
      <c r="AQ1030" s="1392" t="n"/>
      <c r="AR1030" s="1422" t="n"/>
      <c r="AS1030" s="1422" t="n"/>
      <c r="AT1030" s="1392" t="n"/>
      <c r="AU1030" s="1392" t="n"/>
      <c r="AV1030" s="1392" t="n"/>
      <c r="AW1030" s="1392" t="n"/>
      <c r="AX1030" s="1392" t="n"/>
      <c r="AY1030" s="1392" t="n"/>
      <c r="AZ1030" s="1392" t="n"/>
      <c r="BA1030" s="1422" t="n"/>
      <c r="BB1030" s="1422" t="n"/>
      <c r="BC1030" s="1392" t="n"/>
      <c r="BD1030" s="1392" t="n"/>
      <c r="BE1030" s="1392" t="n"/>
      <c r="BF1030" s="1392" t="n"/>
      <c r="BG1030" s="1392" t="n"/>
      <c r="BH1030" s="1392" t="n"/>
      <c r="BI1030" s="1392" t="n"/>
      <c r="BJ1030" s="1392" t="n"/>
      <c r="BK1030" s="1392" t="n"/>
      <c r="BL1030" s="1392" t="n"/>
      <c r="BM1030" s="1392" t="n"/>
      <c r="BN1030" s="1392" t="n"/>
      <c r="BO1030" s="1392" t="n"/>
      <c r="BP1030" s="1392" t="n"/>
      <c r="BQ1030" s="1392" t="n"/>
      <c r="BR1030" s="1392" t="n"/>
      <c r="BS1030" s="1392" t="n"/>
      <c r="BT1030" s="1392" t="n"/>
      <c r="BU1030" s="1392" t="n"/>
      <c r="BV1030" s="1392" t="n"/>
      <c r="BW1030" s="1392" t="n"/>
      <c r="BX1030" s="1392" t="n"/>
      <c r="BY1030" s="1392" t="n"/>
      <c r="BZ1030" s="1392" t="n"/>
      <c r="CA1030" s="1392" t="n"/>
      <c r="CB1030" s="1392" t="n"/>
      <c r="CC1030" s="1392" t="n"/>
      <c r="CD1030" s="1392" t="n"/>
      <c r="CE1030" s="1392" t="n"/>
      <c r="CF1030" s="1392" t="n"/>
      <c r="CG1030" s="1392" t="n"/>
      <c r="CH1030" s="1392" t="n"/>
      <c r="CI1030" s="1392" t="n"/>
      <c r="CJ1030" s="1392" t="n"/>
      <c r="CK1030" s="1392" t="n"/>
      <c r="CL1030" s="1392" t="n"/>
    </row>
    <row r="1031">
      <c r="A1031" s="5" t="inlineStr">
        <is>
          <t>.</t>
        </is>
      </c>
      <c r="B1031" s="5" t="inlineStr">
        <is>
          <t>.</t>
        </is>
      </c>
      <c r="C1031" s="1378">
        <f>IF(raw[[#This Row],[city]]="","-",IF(raw[[#This Row],[city]]="TODAY","-",C1030+1))</f>
        <v/>
      </c>
      <c r="D1031" s="1393" t="inlineStr">
        <is>
          <t>AIR</t>
        </is>
      </c>
      <c r="E1031" s="1394" t="n">
        <v>39252</v>
      </c>
      <c r="F1031" s="1394" t="n">
        <v>39253</v>
      </c>
      <c r="G1031" s="1393" t="inlineStr">
        <is>
          <t>x</t>
        </is>
      </c>
      <c r="H1031" s="1393" t="inlineStr">
        <is>
          <t>Ondina</t>
        </is>
      </c>
      <c r="I1031" s="1393" t="inlineStr">
        <is>
          <t>-</t>
        </is>
      </c>
      <c r="J1031" s="1393" t="inlineStr">
        <is>
          <t>-</t>
        </is>
      </c>
      <c r="K1031" s="1395">
        <f>IF(raw[[#This Row],[city]]&lt;&gt;"",_xlfn.XLOOKUP($D1031,ccc[city],ccc[prov],"-"),"-")</f>
        <v/>
      </c>
      <c r="L1031" s="1395">
        <f>IF(raw[[#This Row],[city]]&lt;&gt;"",_xlfn.XLOOKUP($D1031,ccc[city],ccc[ctry],"-"),"-")</f>
        <v/>
      </c>
      <c r="M1031" s="1395">
        <f>IF(raw[[#This Row],[city]]&lt;&gt;"",_xlfn.XLOOKUP($D1031,ccc[city],ccc[cont],"-"),"-")</f>
        <v/>
      </c>
      <c r="N1031" s="1396">
        <f>IF(raw[[#This Row],[city]]="","-",IF(raw[[#This Row],[cont]]="B",raw[[#This Row],[cont]],"W"))</f>
        <v/>
      </c>
      <c r="O1031" s="1397">
        <f>IF(raw[[#This Row],[out]]=0,0,IF(raw[[#This Row],[out]]=raw[[#This Row],[in]],0.01,raw[[#This Row],[out]]-raw[[#This Row],[in]]))</f>
        <v/>
      </c>
      <c r="P1031" s="1397">
        <f>IF(raw[[#This Row],[in]]=0,0,MONTH(raw[[#This Row],[in]]))</f>
        <v/>
      </c>
      <c r="Q1031" s="1397">
        <f>IF(raw[[#This Row],[in]]=0,0,YEAR(raw[[#This Row],[in]]))</f>
        <v/>
      </c>
      <c r="R1031" s="1397">
        <f>INT(raw[[#This Row],[yr]]/10)*10</f>
        <v/>
      </c>
      <c r="S1031" s="1395">
        <f>IF(raw[[#This Row],[city]]="","-",IF(raw[[#This Row],[city]]&lt;&gt;_xlfn.XLOOKUP(raw[[#This Row],[home]],homes[home],homes[city],"-"),1,0))</f>
        <v/>
      </c>
      <c r="T1031" s="1398" t="inlineStr">
        <is>
          <t>.</t>
        </is>
      </c>
      <c r="U1031" s="1399">
        <f>IF(raw[[#This Row],[wb]]="w",raw[[#This Row],[stay]]+U1030,U1030)</f>
        <v/>
      </c>
      <c r="V1031" s="1400">
        <f>IF(raw[[#This Row],[out]]=0,V1030,(raw[[#This Row],[out]]-E$5))</f>
        <v/>
      </c>
      <c r="W1031" s="1401">
        <f>U1031/V1031</f>
        <v/>
      </c>
      <c r="X1031" s="1392" t="n"/>
      <c r="Y1031" s="1392" t="n"/>
      <c r="Z1031" s="1392" t="n"/>
      <c r="AA1031" s="1392" t="n"/>
      <c r="AB1031" s="1392" t="n"/>
      <c r="AC1031" s="1392" t="n"/>
      <c r="AD1031" s="1392" t="n"/>
      <c r="AE1031" s="1392" t="n"/>
      <c r="AF1031" s="1392" t="n"/>
      <c r="AG1031" s="1392" t="n"/>
      <c r="AH1031" s="1392" t="n"/>
      <c r="AI1031" s="1392" t="n"/>
      <c r="AJ1031" s="1392" t="n"/>
      <c r="AK1031" s="1392" t="n"/>
      <c r="AL1031" s="1392" t="n"/>
      <c r="AM1031" s="1392" t="n"/>
      <c r="AN1031" s="1392" t="n"/>
      <c r="AO1031" s="1392" t="n"/>
      <c r="AP1031" s="1392" t="n"/>
      <c r="AQ1031" s="1392" t="n"/>
      <c r="AR1031" s="1422" t="n"/>
      <c r="AS1031" s="1422" t="n"/>
      <c r="AT1031" s="1392" t="n"/>
      <c r="AU1031" s="1392" t="n"/>
      <c r="AV1031" s="1392" t="n"/>
      <c r="AW1031" s="1392" t="n"/>
      <c r="AX1031" s="1392" t="n"/>
      <c r="AY1031" s="1392" t="n"/>
      <c r="AZ1031" s="1392" t="n"/>
      <c r="BA1031" s="1422" t="n"/>
      <c r="BB1031" s="1422" t="n"/>
      <c r="BC1031" s="1392" t="n"/>
      <c r="BD1031" s="1392" t="n"/>
      <c r="BE1031" s="1392" t="n"/>
      <c r="BF1031" s="1392" t="n"/>
      <c r="BG1031" s="1392" t="n"/>
      <c r="BH1031" s="1392" t="n"/>
      <c r="BI1031" s="1392" t="n"/>
      <c r="BJ1031" s="1392" t="n"/>
      <c r="BK1031" s="1392" t="n"/>
      <c r="BL1031" s="1392" t="n"/>
      <c r="BM1031" s="1392" t="n"/>
      <c r="BN1031" s="1392" t="n"/>
      <c r="BO1031" s="1392" t="n"/>
      <c r="BP1031" s="1392" t="n"/>
      <c r="BQ1031" s="1392" t="n"/>
      <c r="BR1031" s="1392" t="n"/>
      <c r="BS1031" s="1392" t="n"/>
      <c r="BT1031" s="1392" t="n"/>
      <c r="BU1031" s="1392" t="n"/>
      <c r="BV1031" s="1392" t="n"/>
      <c r="BW1031" s="1392" t="n"/>
      <c r="BX1031" s="1392" t="n"/>
      <c r="BY1031" s="1392" t="n"/>
      <c r="BZ1031" s="1392" t="n"/>
      <c r="CA1031" s="1392" t="n"/>
      <c r="CB1031" s="1392" t="n"/>
      <c r="CC1031" s="1392" t="n"/>
      <c r="CD1031" s="1392" t="n"/>
      <c r="CE1031" s="1392" t="n"/>
      <c r="CF1031" s="1392" t="n"/>
      <c r="CG1031" s="1392" t="n"/>
      <c r="CH1031" s="1392" t="n"/>
      <c r="CI1031" s="1392" t="n"/>
      <c r="CJ1031" s="1392" t="n"/>
      <c r="CK1031" s="1392" t="n"/>
      <c r="CL1031" s="1392" t="n"/>
    </row>
    <row r="1032">
      <c r="A1032" s="5" t="inlineStr">
        <is>
          <t>.</t>
        </is>
      </c>
      <c r="B1032" s="5" t="inlineStr">
        <is>
          <t>.</t>
        </is>
      </c>
      <c r="C1032" s="1378">
        <f>IF(raw[[#This Row],[city]]="","-",IF(raw[[#This Row],[city]]="TODAY","-",C1031+1))</f>
        <v/>
      </c>
      <c r="D1032" s="1393" t="inlineStr">
        <is>
          <t>Madrid</t>
        </is>
      </c>
      <c r="E1032" s="1394" t="n">
        <v>39253</v>
      </c>
      <c r="F1032" s="1394" t="n">
        <v>39253</v>
      </c>
      <c r="G1032" s="1393" t="n">
        <v>0.01</v>
      </c>
      <c r="H1032" s="1393" t="inlineStr">
        <is>
          <t>Ondina</t>
        </is>
      </c>
      <c r="I1032" s="1393" t="inlineStr">
        <is>
          <t>-</t>
        </is>
      </c>
      <c r="J1032" s="1393" t="inlineStr">
        <is>
          <t>-</t>
        </is>
      </c>
      <c r="K1032" s="1395">
        <f>IF(raw[[#This Row],[city]]&lt;&gt;"",_xlfn.XLOOKUP($D1032,ccc[city],ccc[prov],"-"),"-")</f>
        <v/>
      </c>
      <c r="L1032" s="1395">
        <f>IF(raw[[#This Row],[city]]&lt;&gt;"",_xlfn.XLOOKUP($D1032,ccc[city],ccc[ctry],"-"),"-")</f>
        <v/>
      </c>
      <c r="M1032" s="1395">
        <f>IF(raw[[#This Row],[city]]&lt;&gt;"",_xlfn.XLOOKUP($D1032,ccc[city],ccc[cont],"-"),"-")</f>
        <v/>
      </c>
      <c r="N1032" s="1396">
        <f>IF(raw[[#This Row],[city]]="","-",IF(raw[[#This Row],[cont]]="B",raw[[#This Row],[cont]],"W"))</f>
        <v/>
      </c>
      <c r="O1032" s="1397">
        <f>IF(raw[[#This Row],[out]]=0,0,IF(raw[[#This Row],[out]]=raw[[#This Row],[in]],0.01,raw[[#This Row],[out]]-raw[[#This Row],[in]]))</f>
        <v/>
      </c>
      <c r="P1032" s="1397">
        <f>IF(raw[[#This Row],[in]]=0,0,MONTH(raw[[#This Row],[in]]))</f>
        <v/>
      </c>
      <c r="Q1032" s="1397">
        <f>IF(raw[[#This Row],[in]]=0,0,YEAR(raw[[#This Row],[in]]))</f>
        <v/>
      </c>
      <c r="R1032" s="1397">
        <f>INT(raw[[#This Row],[yr]]/10)*10</f>
        <v/>
      </c>
      <c r="S1032" s="1395">
        <f>IF(raw[[#This Row],[city]]="","-",IF(raw[[#This Row],[city]]&lt;&gt;_xlfn.XLOOKUP(raw[[#This Row],[home]],homes[home],homes[city],"-"),1,0))</f>
        <v/>
      </c>
      <c r="T1032" s="1398" t="inlineStr">
        <is>
          <t>.</t>
        </is>
      </c>
      <c r="U1032" s="1399">
        <f>IF(raw[[#This Row],[wb]]="w",raw[[#This Row],[stay]]+U1031,U1031)</f>
        <v/>
      </c>
      <c r="V1032" s="1400">
        <f>IF(raw[[#This Row],[out]]=0,V1031,(raw[[#This Row],[out]]-E$5))</f>
        <v/>
      </c>
      <c r="W1032" s="1401">
        <f>U1032/V1032</f>
        <v/>
      </c>
      <c r="X1032" s="1392" t="n"/>
      <c r="Y1032" s="1392" t="n"/>
      <c r="Z1032" s="1392" t="n"/>
      <c r="AA1032" s="1392" t="n"/>
      <c r="AB1032" s="1392" t="n"/>
      <c r="AC1032" s="1392" t="n"/>
      <c r="AD1032" s="1392" t="n"/>
      <c r="AE1032" s="1392" t="n"/>
      <c r="AF1032" s="1392" t="n"/>
      <c r="AG1032" s="1392" t="n"/>
      <c r="AH1032" s="1392" t="n"/>
      <c r="AI1032" s="1392" t="n"/>
      <c r="AJ1032" s="1392" t="n"/>
      <c r="AK1032" s="1392" t="n"/>
      <c r="AL1032" s="1392" t="n"/>
      <c r="AM1032" s="1392" t="n"/>
      <c r="AN1032" s="1392" t="n"/>
      <c r="AO1032" s="1392" t="n"/>
      <c r="AP1032" s="1392" t="n"/>
      <c r="AQ1032" s="1392" t="n"/>
      <c r="AR1032" s="1422" t="n"/>
      <c r="AS1032" s="1422" t="n"/>
      <c r="AT1032" s="1392" t="n"/>
      <c r="AU1032" s="1392" t="n"/>
      <c r="AV1032" s="1392" t="n"/>
      <c r="AW1032" s="1392" t="n"/>
      <c r="AX1032" s="1392" t="n"/>
      <c r="AY1032" s="1392" t="n"/>
      <c r="AZ1032" s="1392" t="n"/>
      <c r="BA1032" s="1422" t="n"/>
      <c r="BB1032" s="1422" t="n"/>
      <c r="BC1032" s="1392" t="n"/>
      <c r="BD1032" s="1392" t="n"/>
      <c r="BE1032" s="1392" t="n"/>
      <c r="BF1032" s="1392" t="n"/>
      <c r="BG1032" s="1392" t="n"/>
      <c r="BH1032" s="1392" t="n"/>
      <c r="BI1032" s="1392" t="n"/>
      <c r="BJ1032" s="1392" t="n"/>
      <c r="BK1032" s="1392" t="n"/>
      <c r="BL1032" s="1392" t="n"/>
      <c r="BM1032" s="1392" t="n"/>
      <c r="BN1032" s="1392" t="n"/>
      <c r="BO1032" s="1392" t="n"/>
      <c r="BP1032" s="1392" t="n"/>
      <c r="BQ1032" s="1392" t="n"/>
      <c r="BR1032" s="1392" t="n"/>
      <c r="BS1032" s="1392" t="n"/>
      <c r="BT1032" s="1392" t="n"/>
      <c r="BU1032" s="1392" t="n"/>
      <c r="BV1032" s="1392" t="n"/>
      <c r="BW1032" s="1392" t="n"/>
      <c r="BX1032" s="1392" t="n"/>
      <c r="BY1032" s="1392" t="n"/>
      <c r="BZ1032" s="1392" t="n"/>
      <c r="CA1032" s="1392" t="n"/>
      <c r="CB1032" s="1392" t="n"/>
      <c r="CC1032" s="1392" t="n"/>
      <c r="CD1032" s="1392" t="n"/>
      <c r="CE1032" s="1392" t="n"/>
      <c r="CF1032" s="1392" t="n"/>
      <c r="CG1032" s="1392" t="n"/>
      <c r="CH1032" s="1392" t="n"/>
      <c r="CI1032" s="1392" t="n"/>
      <c r="CJ1032" s="1392" t="n"/>
      <c r="CK1032" s="1392" t="n"/>
      <c r="CL1032" s="1392" t="n"/>
    </row>
    <row r="1033">
      <c r="A1033" s="5" t="inlineStr">
        <is>
          <t>.</t>
        </is>
      </c>
      <c r="B1033" s="5" t="inlineStr">
        <is>
          <t>.</t>
        </is>
      </c>
      <c r="C1033" s="1378">
        <f>IF(raw[[#This Row],[city]]="","-",IF(raw[[#This Row],[city]]="TODAY","-",C1032+1))</f>
        <v/>
      </c>
      <c r="D1033" s="1393" t="inlineStr">
        <is>
          <t>London</t>
        </is>
      </c>
      <c r="E1033" s="1394" t="n">
        <v>39253</v>
      </c>
      <c r="F1033" s="1394" t="n">
        <v>39257</v>
      </c>
      <c r="G1033" s="1393" t="inlineStr">
        <is>
          <t>-</t>
        </is>
      </c>
      <c r="H1033" s="1393" t="inlineStr">
        <is>
          <t>David's</t>
        </is>
      </c>
      <c r="I1033" s="1393" t="inlineStr">
        <is>
          <t>-</t>
        </is>
      </c>
      <c r="J1033" s="1393" t="inlineStr">
        <is>
          <t>-</t>
        </is>
      </c>
      <c r="K1033" s="1395">
        <f>IF(raw[[#This Row],[city]]&lt;&gt;"",_xlfn.XLOOKUP($D1033,ccc[city],ccc[prov],"-"),"-")</f>
        <v/>
      </c>
      <c r="L1033" s="1395">
        <f>IF(raw[[#This Row],[city]]&lt;&gt;"",_xlfn.XLOOKUP($D1033,ccc[city],ccc[ctry],"-"),"-")</f>
        <v/>
      </c>
      <c r="M1033" s="1395">
        <f>IF(raw[[#This Row],[city]]&lt;&gt;"",_xlfn.XLOOKUP($D1033,ccc[city],ccc[cont],"-"),"-")</f>
        <v/>
      </c>
      <c r="N1033" s="1396">
        <f>IF(raw[[#This Row],[city]]="","-",IF(raw[[#This Row],[cont]]="B",raw[[#This Row],[cont]],"W"))</f>
        <v/>
      </c>
      <c r="O1033" s="1397">
        <f>IF(raw[[#This Row],[out]]=0,0,IF(raw[[#This Row],[out]]=raw[[#This Row],[in]],0.01,raw[[#This Row],[out]]-raw[[#This Row],[in]]))</f>
        <v/>
      </c>
      <c r="P1033" s="1397">
        <f>IF(raw[[#This Row],[in]]=0,0,MONTH(raw[[#This Row],[in]]))</f>
        <v/>
      </c>
      <c r="Q1033" s="1397">
        <f>IF(raw[[#This Row],[in]]=0,0,YEAR(raw[[#This Row],[in]]))</f>
        <v/>
      </c>
      <c r="R1033" s="1397">
        <f>INT(raw[[#This Row],[yr]]/10)*10</f>
        <v/>
      </c>
      <c r="S1033" s="1395">
        <f>IF(raw[[#This Row],[city]]="","-",IF(raw[[#This Row],[city]]&lt;&gt;_xlfn.XLOOKUP(raw[[#This Row],[home]],homes[home],homes[city],"-"),1,0))</f>
        <v/>
      </c>
      <c r="T1033" s="1398" t="inlineStr">
        <is>
          <t>.</t>
        </is>
      </c>
      <c r="U1033" s="1399">
        <f>IF(raw[[#This Row],[wb]]="w",raw[[#This Row],[stay]]+U1032,U1032)</f>
        <v/>
      </c>
      <c r="V1033" s="1400">
        <f>IF(raw[[#This Row],[out]]=0,V1032,(raw[[#This Row],[out]]-E$5))</f>
        <v/>
      </c>
      <c r="W1033" s="1401">
        <f>U1033/V1033</f>
        <v/>
      </c>
      <c r="X1033" s="1392" t="n"/>
      <c r="Y1033" s="1392" t="n"/>
      <c r="Z1033" s="1392" t="n"/>
      <c r="AA1033" s="1392" t="n"/>
      <c r="AB1033" s="1392" t="n"/>
      <c r="AC1033" s="1392" t="n"/>
      <c r="AD1033" s="1392" t="n"/>
      <c r="AE1033" s="1392" t="n"/>
      <c r="AF1033" s="1392" t="n"/>
      <c r="AG1033" s="1392" t="n"/>
      <c r="AH1033" s="1392" t="n"/>
      <c r="AI1033" s="1392" t="n"/>
      <c r="AJ1033" s="1392" t="n"/>
      <c r="AK1033" s="1392" t="n"/>
      <c r="AL1033" s="1392" t="n"/>
      <c r="AM1033" s="1392" t="n"/>
      <c r="AN1033" s="1392" t="n"/>
      <c r="AO1033" s="1392" t="n"/>
      <c r="AP1033" s="1392" t="n"/>
      <c r="AQ1033" s="1392" t="n"/>
      <c r="AR1033" s="1422" t="n"/>
      <c r="AS1033" s="1422" t="n"/>
      <c r="AT1033" s="1392" t="n"/>
      <c r="AU1033" s="1392" t="n"/>
      <c r="AV1033" s="1392" t="n"/>
      <c r="AW1033" s="1392" t="n"/>
      <c r="AX1033" s="1392" t="n"/>
      <c r="AY1033" s="1392" t="n"/>
      <c r="AZ1033" s="1392" t="n"/>
      <c r="BA1033" s="1422" t="n"/>
      <c r="BB1033" s="1422" t="n"/>
      <c r="BC1033" s="1392" t="n"/>
      <c r="BD1033" s="1392" t="n"/>
      <c r="BE1033" s="1392" t="n"/>
      <c r="BF1033" s="1392" t="n"/>
      <c r="BG1033" s="1392" t="n"/>
      <c r="BH1033" s="1392" t="n"/>
      <c r="BI1033" s="1392" t="n"/>
      <c r="BJ1033" s="1392" t="n"/>
      <c r="BK1033" s="1392" t="n"/>
      <c r="BL1033" s="1392" t="n"/>
      <c r="BM1033" s="1392" t="n"/>
      <c r="BN1033" s="1392" t="n"/>
      <c r="BO1033" s="1392" t="n"/>
      <c r="BP1033" s="1392" t="n"/>
      <c r="BQ1033" s="1392" t="n"/>
      <c r="BR1033" s="1392" t="n"/>
      <c r="BS1033" s="1392" t="n"/>
      <c r="BT1033" s="1392" t="n"/>
      <c r="BU1033" s="1392" t="n"/>
      <c r="BV1033" s="1392" t="n"/>
      <c r="BW1033" s="1392" t="n"/>
      <c r="BX1033" s="1392" t="n"/>
      <c r="BY1033" s="1392" t="n"/>
      <c r="BZ1033" s="1392" t="n"/>
      <c r="CA1033" s="1392" t="n"/>
      <c r="CB1033" s="1392" t="n"/>
      <c r="CC1033" s="1392" t="n"/>
      <c r="CD1033" s="1392" t="n"/>
      <c r="CE1033" s="1392" t="n"/>
      <c r="CF1033" s="1392" t="n"/>
      <c r="CG1033" s="1392" t="n"/>
      <c r="CH1033" s="1392" t="n"/>
      <c r="CI1033" s="1392" t="n"/>
      <c r="CJ1033" s="1392" t="n"/>
      <c r="CK1033" s="1392" t="n"/>
      <c r="CL1033" s="1392" t="n"/>
    </row>
    <row r="1034">
      <c r="A1034" s="5" t="inlineStr">
        <is>
          <t>.</t>
        </is>
      </c>
      <c r="B1034" s="5" t="inlineStr">
        <is>
          <t>.</t>
        </is>
      </c>
      <c r="C1034" s="1378">
        <f>IF(raw[[#This Row],[city]]="","-",IF(raw[[#This Row],[city]]="TODAY","-",C1033+1))</f>
        <v/>
      </c>
      <c r="D1034" s="1393" t="inlineStr">
        <is>
          <t>Penzance</t>
        </is>
      </c>
      <c r="E1034" s="1394" t="n">
        <v>39257</v>
      </c>
      <c r="F1034" s="1394" t="n">
        <v>39262</v>
      </c>
      <c r="G1034" s="1393" t="inlineStr">
        <is>
          <t>-</t>
        </is>
      </c>
      <c r="H1034" s="1393" t="inlineStr">
        <is>
          <t>David's</t>
        </is>
      </c>
      <c r="I1034" s="1393" t="inlineStr">
        <is>
          <t>Thomas/Cornwall</t>
        </is>
      </c>
      <c r="J1034" s="1393" t="inlineStr">
        <is>
          <t>-</t>
        </is>
      </c>
      <c r="K1034" s="1395">
        <f>IF(raw[[#This Row],[city]]&lt;&gt;"",_xlfn.XLOOKUP($D1034,ccc[city],ccc[prov],"-"),"-")</f>
        <v/>
      </c>
      <c r="L1034" s="1395">
        <f>IF(raw[[#This Row],[city]]&lt;&gt;"",_xlfn.XLOOKUP($D1034,ccc[city],ccc[ctry],"-"),"-")</f>
        <v/>
      </c>
      <c r="M1034" s="1395">
        <f>IF(raw[[#This Row],[city]]&lt;&gt;"",_xlfn.XLOOKUP($D1034,ccc[city],ccc[cont],"-"),"-")</f>
        <v/>
      </c>
      <c r="N1034" s="1396">
        <f>IF(raw[[#This Row],[city]]="","-",IF(raw[[#This Row],[cont]]="B",raw[[#This Row],[cont]],"W"))</f>
        <v/>
      </c>
      <c r="O1034" s="1397">
        <f>IF(raw[[#This Row],[out]]=0,0,IF(raw[[#This Row],[out]]=raw[[#This Row],[in]],0.01,raw[[#This Row],[out]]-raw[[#This Row],[in]]))</f>
        <v/>
      </c>
      <c r="P1034" s="1397">
        <f>IF(raw[[#This Row],[in]]=0,0,MONTH(raw[[#This Row],[in]]))</f>
        <v/>
      </c>
      <c r="Q1034" s="1397">
        <f>IF(raw[[#This Row],[in]]=0,0,YEAR(raw[[#This Row],[in]]))</f>
        <v/>
      </c>
      <c r="R1034" s="1397">
        <f>INT(raw[[#This Row],[yr]]/10)*10</f>
        <v/>
      </c>
      <c r="S1034" s="1395">
        <f>IF(raw[[#This Row],[city]]="","-",IF(raw[[#This Row],[city]]&lt;&gt;_xlfn.XLOOKUP(raw[[#This Row],[home]],homes[home],homes[city],"-"),1,0))</f>
        <v/>
      </c>
      <c r="T1034" s="1398" t="inlineStr">
        <is>
          <t>.</t>
        </is>
      </c>
      <c r="U1034" s="1399">
        <f>IF(raw[[#This Row],[wb]]="w",raw[[#This Row],[stay]]+U1033,U1033)</f>
        <v/>
      </c>
      <c r="V1034" s="1400">
        <f>IF(raw[[#This Row],[out]]=0,V1033,(raw[[#This Row],[out]]-E$5))</f>
        <v/>
      </c>
      <c r="W1034" s="1401">
        <f>U1034/V1034</f>
        <v/>
      </c>
      <c r="X1034" s="1392" t="n"/>
      <c r="Y1034" s="1392" t="n"/>
      <c r="Z1034" s="1392" t="n"/>
      <c r="AA1034" s="1392" t="n"/>
      <c r="AB1034" s="1392" t="n"/>
      <c r="AC1034" s="1392" t="n"/>
      <c r="AD1034" s="1392" t="n"/>
      <c r="AE1034" s="1392" t="n"/>
      <c r="AF1034" s="1392" t="n"/>
      <c r="AG1034" s="1392" t="n"/>
      <c r="AH1034" s="1392" t="n"/>
      <c r="AI1034" s="1392" t="n"/>
      <c r="AJ1034" s="1392" t="n"/>
      <c r="AK1034" s="1392" t="n"/>
      <c r="AL1034" s="1392" t="n"/>
      <c r="AM1034" s="1392" t="n"/>
      <c r="AN1034" s="1392" t="n"/>
      <c r="AO1034" s="1392" t="n"/>
      <c r="AP1034" s="1392" t="n"/>
      <c r="AQ1034" s="1392" t="n"/>
      <c r="AR1034" s="1422" t="n"/>
      <c r="AS1034" s="1422" t="n"/>
      <c r="AT1034" s="1392" t="n"/>
      <c r="AU1034" s="1392" t="n"/>
      <c r="AV1034" s="1392" t="n"/>
      <c r="AW1034" s="1392" t="n"/>
      <c r="AX1034" s="1392" t="n"/>
      <c r="AY1034" s="1392" t="n"/>
      <c r="AZ1034" s="1392" t="n"/>
      <c r="BA1034" s="1422" t="n"/>
      <c r="BB1034" s="1422" t="n"/>
      <c r="BC1034" s="1392" t="n"/>
      <c r="BD1034" s="1392" t="n"/>
      <c r="BE1034" s="1392" t="n"/>
      <c r="BF1034" s="1392" t="n"/>
      <c r="BG1034" s="1392" t="n"/>
      <c r="BH1034" s="1392" t="n"/>
      <c r="BI1034" s="1392" t="n"/>
      <c r="BJ1034" s="1392" t="n"/>
      <c r="BK1034" s="1392" t="n"/>
      <c r="BL1034" s="1392" t="n"/>
      <c r="BM1034" s="1392" t="n"/>
      <c r="BN1034" s="1392" t="n"/>
      <c r="BO1034" s="1392" t="n"/>
      <c r="BP1034" s="1392" t="n"/>
      <c r="BQ1034" s="1392" t="n"/>
      <c r="BR1034" s="1392" t="n"/>
      <c r="BS1034" s="1392" t="n"/>
      <c r="BT1034" s="1392" t="n"/>
      <c r="BU1034" s="1392" t="n"/>
      <c r="BV1034" s="1392" t="n"/>
      <c r="BW1034" s="1392" t="n"/>
      <c r="BX1034" s="1392" t="n"/>
      <c r="BY1034" s="1392" t="n"/>
      <c r="BZ1034" s="1392" t="n"/>
      <c r="CA1034" s="1392" t="n"/>
      <c r="CB1034" s="1392" t="n"/>
      <c r="CC1034" s="1392" t="n"/>
      <c r="CD1034" s="1392" t="n"/>
      <c r="CE1034" s="1392" t="n"/>
      <c r="CF1034" s="1392" t="n"/>
      <c r="CG1034" s="1392" t="n"/>
      <c r="CH1034" s="1392" t="n"/>
      <c r="CI1034" s="1392" t="n"/>
      <c r="CJ1034" s="1392" t="n"/>
      <c r="CK1034" s="1392" t="n"/>
      <c r="CL1034" s="1392" t="n"/>
    </row>
    <row r="1035">
      <c r="A1035" s="5" t="inlineStr">
        <is>
          <t>.</t>
        </is>
      </c>
      <c r="B1035" s="5" t="inlineStr">
        <is>
          <t>.</t>
        </is>
      </c>
      <c r="C1035" s="1378">
        <f>IF(raw[[#This Row],[city]]="","-",IF(raw[[#This Row],[city]]="TODAY","-",C1034+1))</f>
        <v/>
      </c>
      <c r="D1035" s="1393" t="inlineStr">
        <is>
          <t>St. Ives</t>
        </is>
      </c>
      <c r="E1035" s="1394" t="n">
        <v>39258</v>
      </c>
      <c r="F1035" s="1394" t="n">
        <v>39258</v>
      </c>
      <c r="G1035" s="1393" t="inlineStr">
        <is>
          <t>-</t>
        </is>
      </c>
      <c r="H1035" s="1393" t="inlineStr">
        <is>
          <t>David's</t>
        </is>
      </c>
      <c r="I1035" s="1393" t="inlineStr">
        <is>
          <t>Thomas/Cornwall</t>
        </is>
      </c>
      <c r="J1035" s="1393" t="inlineStr">
        <is>
          <t>-</t>
        </is>
      </c>
      <c r="K1035" s="1395">
        <f>IF(raw[[#This Row],[city]]&lt;&gt;"",_xlfn.XLOOKUP($D1035,ccc[city],ccc[prov],"-"),"-")</f>
        <v/>
      </c>
      <c r="L1035" s="1395">
        <f>IF(raw[[#This Row],[city]]&lt;&gt;"",_xlfn.XLOOKUP($D1035,ccc[city],ccc[ctry],"-"),"-")</f>
        <v/>
      </c>
      <c r="M1035" s="1395">
        <f>IF(raw[[#This Row],[city]]&lt;&gt;"",_xlfn.XLOOKUP($D1035,ccc[city],ccc[cont],"-"),"-")</f>
        <v/>
      </c>
      <c r="N1035" s="1396">
        <f>IF(raw[[#This Row],[city]]="","-",IF(raw[[#This Row],[cont]]="B",raw[[#This Row],[cont]],"W"))</f>
        <v/>
      </c>
      <c r="O1035" s="1397">
        <f>IF(raw[[#This Row],[out]]=0,0,IF(raw[[#This Row],[out]]=raw[[#This Row],[in]],0.01,raw[[#This Row],[out]]-raw[[#This Row],[in]]))</f>
        <v/>
      </c>
      <c r="P1035" s="1397">
        <f>IF(raw[[#This Row],[in]]=0,0,MONTH(raw[[#This Row],[in]]))</f>
        <v/>
      </c>
      <c r="Q1035" s="1397">
        <f>IF(raw[[#This Row],[in]]=0,0,YEAR(raw[[#This Row],[in]]))</f>
        <v/>
      </c>
      <c r="R1035" s="1397">
        <f>INT(raw[[#This Row],[yr]]/10)*10</f>
        <v/>
      </c>
      <c r="S1035" s="1395">
        <f>IF(raw[[#This Row],[city]]="","-",IF(raw[[#This Row],[city]]&lt;&gt;_xlfn.XLOOKUP(raw[[#This Row],[home]],homes[home],homes[city],"-"),1,0))</f>
        <v/>
      </c>
      <c r="T1035" s="1398" t="inlineStr">
        <is>
          <t>.</t>
        </is>
      </c>
      <c r="U1035" s="1399">
        <f>IF(raw[[#This Row],[wb]]="w",raw[[#This Row],[stay]]+U1034,U1034)</f>
        <v/>
      </c>
      <c r="V1035" s="1400">
        <f>IF(raw[[#This Row],[out]]=0,V1034,(raw[[#This Row],[out]]-E$5))</f>
        <v/>
      </c>
      <c r="W1035" s="1401">
        <f>U1035/V1035</f>
        <v/>
      </c>
      <c r="X1035" s="1392" t="n"/>
      <c r="Y1035" s="1392" t="n"/>
      <c r="Z1035" s="1392" t="n"/>
      <c r="AA1035" s="1392" t="n"/>
      <c r="AB1035" s="1392" t="n"/>
      <c r="AC1035" s="1392" t="n"/>
      <c r="AD1035" s="1392" t="n"/>
      <c r="AE1035" s="1392" t="n"/>
      <c r="AF1035" s="1392" t="n"/>
      <c r="AG1035" s="1392" t="n"/>
      <c r="AH1035" s="1392" t="n"/>
      <c r="AI1035" s="1392" t="n"/>
      <c r="AJ1035" s="1392" t="n"/>
      <c r="AK1035" s="1392" t="n"/>
      <c r="AL1035" s="1392" t="n"/>
      <c r="AM1035" s="1392" t="n"/>
      <c r="AN1035" s="1392" t="n"/>
      <c r="AO1035" s="1392" t="n"/>
      <c r="AP1035" s="1392" t="n"/>
      <c r="AQ1035" s="1392" t="n"/>
      <c r="AR1035" s="1422" t="n"/>
      <c r="AS1035" s="1422" t="n"/>
      <c r="AT1035" s="1392" t="n"/>
      <c r="AU1035" s="1392" t="n"/>
      <c r="AV1035" s="1392" t="n"/>
      <c r="AW1035" s="1392" t="n"/>
      <c r="AX1035" s="1392" t="n"/>
      <c r="AY1035" s="1392" t="n"/>
      <c r="AZ1035" s="1392" t="n"/>
      <c r="BA1035" s="1422" t="n"/>
      <c r="BB1035" s="1422" t="n"/>
      <c r="BC1035" s="1392" t="n"/>
      <c r="BD1035" s="1392" t="n"/>
      <c r="BE1035" s="1392" t="n"/>
      <c r="BF1035" s="1392" t="n"/>
      <c r="BG1035" s="1392" t="n"/>
      <c r="BH1035" s="1392" t="n"/>
      <c r="BI1035" s="1392" t="n"/>
      <c r="BJ1035" s="1392" t="n"/>
      <c r="BK1035" s="1392" t="n"/>
      <c r="BL1035" s="1392" t="n"/>
      <c r="BM1035" s="1392" t="n"/>
      <c r="BN1035" s="1392" t="n"/>
      <c r="BO1035" s="1392" t="n"/>
      <c r="BP1035" s="1392" t="n"/>
      <c r="BQ1035" s="1392" t="n"/>
      <c r="BR1035" s="1392" t="n"/>
      <c r="BS1035" s="1392" t="n"/>
      <c r="BT1035" s="1392" t="n"/>
      <c r="BU1035" s="1392" t="n"/>
      <c r="BV1035" s="1392" t="n"/>
      <c r="BW1035" s="1392" t="n"/>
      <c r="BX1035" s="1392" t="n"/>
      <c r="BY1035" s="1392" t="n"/>
      <c r="BZ1035" s="1392" t="n"/>
      <c r="CA1035" s="1392" t="n"/>
      <c r="CB1035" s="1392" t="n"/>
      <c r="CC1035" s="1392" t="n"/>
      <c r="CD1035" s="1392" t="n"/>
      <c r="CE1035" s="1392" t="n"/>
      <c r="CF1035" s="1392" t="n"/>
      <c r="CG1035" s="1392" t="n"/>
      <c r="CH1035" s="1392" t="n"/>
      <c r="CI1035" s="1392" t="n"/>
      <c r="CJ1035" s="1392" t="n"/>
      <c r="CK1035" s="1392" t="n"/>
      <c r="CL1035" s="1392" t="n"/>
    </row>
    <row r="1036">
      <c r="A1036" s="5" t="inlineStr">
        <is>
          <t>.</t>
        </is>
      </c>
      <c r="B1036" s="5" t="inlineStr">
        <is>
          <t>.</t>
        </is>
      </c>
      <c r="C1036" s="1378">
        <f>IF(raw[[#This Row],[city]]="","-",IF(raw[[#This Row],[city]]="TODAY","-",C1035+1))</f>
        <v/>
      </c>
      <c r="D1036" s="1393" t="inlineStr">
        <is>
          <t>St. Juste</t>
        </is>
      </c>
      <c r="E1036" s="1394" t="n">
        <v>39260</v>
      </c>
      <c r="F1036" s="1394" t="n">
        <v>39260</v>
      </c>
      <c r="G1036" s="1393" t="inlineStr">
        <is>
          <t>-</t>
        </is>
      </c>
      <c r="H1036" s="1393" t="inlineStr">
        <is>
          <t>David's</t>
        </is>
      </c>
      <c r="I1036" s="1393" t="inlineStr">
        <is>
          <t>Thomas/Cornwall</t>
        </is>
      </c>
      <c r="J1036" s="1393" t="inlineStr">
        <is>
          <t>-</t>
        </is>
      </c>
      <c r="K1036" s="1395">
        <f>IF(raw[[#This Row],[city]]&lt;&gt;"",_xlfn.XLOOKUP($D1036,ccc[city],ccc[prov],"-"),"-")</f>
        <v/>
      </c>
      <c r="L1036" s="1395">
        <f>IF(raw[[#This Row],[city]]&lt;&gt;"",_xlfn.XLOOKUP($D1036,ccc[city],ccc[ctry],"-"),"-")</f>
        <v/>
      </c>
      <c r="M1036" s="1395">
        <f>IF(raw[[#This Row],[city]]&lt;&gt;"",_xlfn.XLOOKUP($D1036,ccc[city],ccc[cont],"-"),"-")</f>
        <v/>
      </c>
      <c r="N1036" s="1396">
        <f>IF(raw[[#This Row],[city]]="","-",IF(raw[[#This Row],[cont]]="B",raw[[#This Row],[cont]],"W"))</f>
        <v/>
      </c>
      <c r="O1036" s="1397">
        <f>IF(raw[[#This Row],[out]]=0,0,IF(raw[[#This Row],[out]]=raw[[#This Row],[in]],0.01,raw[[#This Row],[out]]-raw[[#This Row],[in]]))</f>
        <v/>
      </c>
      <c r="P1036" s="1397">
        <f>IF(raw[[#This Row],[in]]=0,0,MONTH(raw[[#This Row],[in]]))</f>
        <v/>
      </c>
      <c r="Q1036" s="1397">
        <f>IF(raw[[#This Row],[in]]=0,0,YEAR(raw[[#This Row],[in]]))</f>
        <v/>
      </c>
      <c r="R1036" s="1397">
        <f>INT(raw[[#This Row],[yr]]/10)*10</f>
        <v/>
      </c>
      <c r="S1036" s="1395">
        <f>IF(raw[[#This Row],[city]]="","-",IF(raw[[#This Row],[city]]&lt;&gt;_xlfn.XLOOKUP(raw[[#This Row],[home]],homes[home],homes[city],"-"),1,0))</f>
        <v/>
      </c>
      <c r="T1036" s="1398" t="inlineStr">
        <is>
          <t>.</t>
        </is>
      </c>
      <c r="U1036" s="1399">
        <f>IF(raw[[#This Row],[wb]]="w",raw[[#This Row],[stay]]+U1035,U1035)</f>
        <v/>
      </c>
      <c r="V1036" s="1400">
        <f>IF(raw[[#This Row],[out]]=0,V1035,(raw[[#This Row],[out]]-E$5))</f>
        <v/>
      </c>
      <c r="W1036" s="1401">
        <f>U1036/V1036</f>
        <v/>
      </c>
      <c r="X1036" s="1392" t="n"/>
      <c r="Y1036" s="1392" t="n"/>
      <c r="Z1036" s="1392" t="n"/>
      <c r="AA1036" s="1392" t="n"/>
      <c r="AB1036" s="1392" t="n"/>
      <c r="AC1036" s="1392" t="n"/>
      <c r="AD1036" s="1392" t="n"/>
      <c r="AE1036" s="1392" t="n"/>
      <c r="AF1036" s="1392" t="n"/>
      <c r="AG1036" s="1392" t="n"/>
      <c r="AH1036" s="1392" t="n"/>
      <c r="AI1036" s="1392" t="n"/>
      <c r="AJ1036" s="1392" t="n"/>
      <c r="AK1036" s="1392" t="n"/>
      <c r="AL1036" s="1392" t="n"/>
      <c r="AM1036" s="1392" t="n"/>
      <c r="AN1036" s="1392" t="n"/>
      <c r="AO1036" s="1392" t="n"/>
      <c r="AP1036" s="1392" t="n"/>
      <c r="AQ1036" s="1392" t="n"/>
      <c r="AR1036" s="1422" t="n"/>
      <c r="AS1036" s="1422" t="n"/>
      <c r="AT1036" s="1392" t="n"/>
      <c r="AU1036" s="1392" t="n"/>
      <c r="AV1036" s="1392" t="n"/>
      <c r="AW1036" s="1392" t="n"/>
      <c r="AX1036" s="1392" t="n"/>
      <c r="AY1036" s="1392" t="n"/>
      <c r="AZ1036" s="1392" t="n"/>
      <c r="BA1036" s="1422" t="n"/>
      <c r="BB1036" s="1422" t="n"/>
      <c r="BC1036" s="1392" t="n"/>
      <c r="BD1036" s="1392" t="n"/>
      <c r="BE1036" s="1392" t="n"/>
      <c r="BF1036" s="1392" t="n"/>
      <c r="BG1036" s="1392" t="n"/>
      <c r="BH1036" s="1392" t="n"/>
      <c r="BI1036" s="1392" t="n"/>
      <c r="BJ1036" s="1392" t="n"/>
      <c r="BK1036" s="1392" t="n"/>
      <c r="BL1036" s="1392" t="n"/>
      <c r="BM1036" s="1392" t="n"/>
      <c r="BN1036" s="1392" t="n"/>
      <c r="BO1036" s="1392" t="n"/>
      <c r="BP1036" s="1392" t="n"/>
      <c r="BQ1036" s="1392" t="n"/>
      <c r="BR1036" s="1392" t="n"/>
      <c r="BS1036" s="1392" t="n"/>
      <c r="BT1036" s="1392" t="n"/>
      <c r="BU1036" s="1392" t="n"/>
      <c r="BV1036" s="1392" t="n"/>
      <c r="BW1036" s="1392" t="n"/>
      <c r="BX1036" s="1392" t="n"/>
      <c r="BY1036" s="1392" t="n"/>
      <c r="BZ1036" s="1392" t="n"/>
      <c r="CA1036" s="1392" t="n"/>
      <c r="CB1036" s="1392" t="n"/>
      <c r="CC1036" s="1392" t="n"/>
      <c r="CD1036" s="1392" t="n"/>
      <c r="CE1036" s="1392" t="n"/>
      <c r="CF1036" s="1392" t="n"/>
      <c r="CG1036" s="1392" t="n"/>
      <c r="CH1036" s="1392" t="n"/>
      <c r="CI1036" s="1392" t="n"/>
      <c r="CJ1036" s="1392" t="n"/>
      <c r="CK1036" s="1392" t="n"/>
      <c r="CL1036" s="1392" t="n"/>
    </row>
    <row r="1037">
      <c r="A1037" s="5" t="inlineStr">
        <is>
          <t>.</t>
        </is>
      </c>
      <c r="B1037" s="5" t="inlineStr">
        <is>
          <t>.</t>
        </is>
      </c>
      <c r="C1037" s="1378">
        <f>IF(raw[[#This Row],[city]]="","-",IF(raw[[#This Row],[city]]="TODAY","-",C1036+1))</f>
        <v/>
      </c>
      <c r="D1037" s="1393" t="inlineStr">
        <is>
          <t>Trerice National Trust</t>
        </is>
      </c>
      <c r="E1037" s="1394" t="n">
        <v>39262</v>
      </c>
      <c r="F1037" s="1394" t="n">
        <v>39262</v>
      </c>
      <c r="G1037" s="1393" t="inlineStr">
        <is>
          <t>-</t>
        </is>
      </c>
      <c r="H1037" s="1393" t="inlineStr">
        <is>
          <t>David's</t>
        </is>
      </c>
      <c r="I1037" s="1393" t="inlineStr">
        <is>
          <t>Thomas/Cornwall</t>
        </is>
      </c>
      <c r="J1037" s="1393" t="inlineStr">
        <is>
          <t>-</t>
        </is>
      </c>
      <c r="K1037" s="1395">
        <f>IF(raw[[#This Row],[city]]&lt;&gt;"",_xlfn.XLOOKUP($D1037,ccc[city],ccc[prov],"-"),"-")</f>
        <v/>
      </c>
      <c r="L1037" s="1395">
        <f>IF(raw[[#This Row],[city]]&lt;&gt;"",_xlfn.XLOOKUP($D1037,ccc[city],ccc[ctry],"-"),"-")</f>
        <v/>
      </c>
      <c r="M1037" s="1395">
        <f>IF(raw[[#This Row],[city]]&lt;&gt;"",_xlfn.XLOOKUP($D1037,ccc[city],ccc[cont],"-"),"-")</f>
        <v/>
      </c>
      <c r="N1037" s="1396">
        <f>IF(raw[[#This Row],[city]]="","-",IF(raw[[#This Row],[cont]]="B",raw[[#This Row],[cont]],"W"))</f>
        <v/>
      </c>
      <c r="O1037" s="1397">
        <f>IF(raw[[#This Row],[out]]=0,0,IF(raw[[#This Row],[out]]=raw[[#This Row],[in]],0.01,raw[[#This Row],[out]]-raw[[#This Row],[in]]))</f>
        <v/>
      </c>
      <c r="P1037" s="1397">
        <f>IF(raw[[#This Row],[in]]=0,0,MONTH(raw[[#This Row],[in]]))</f>
        <v/>
      </c>
      <c r="Q1037" s="1397">
        <f>IF(raw[[#This Row],[in]]=0,0,YEAR(raw[[#This Row],[in]]))</f>
        <v/>
      </c>
      <c r="R1037" s="1397">
        <f>INT(raw[[#This Row],[yr]]/10)*10</f>
        <v/>
      </c>
      <c r="S1037" s="1395">
        <f>IF(raw[[#This Row],[city]]="","-",IF(raw[[#This Row],[city]]&lt;&gt;_xlfn.XLOOKUP(raw[[#This Row],[home]],homes[home],homes[city],"-"),1,0))</f>
        <v/>
      </c>
      <c r="T1037" s="1398" t="inlineStr">
        <is>
          <t>.</t>
        </is>
      </c>
      <c r="U1037" s="1399">
        <f>IF(raw[[#This Row],[wb]]="w",raw[[#This Row],[stay]]+U1036,U1036)</f>
        <v/>
      </c>
      <c r="V1037" s="1400">
        <f>IF(raw[[#This Row],[out]]=0,V1036,(raw[[#This Row],[out]]-E$5))</f>
        <v/>
      </c>
      <c r="W1037" s="1401">
        <f>U1037/V1037</f>
        <v/>
      </c>
      <c r="X1037" s="1392" t="n"/>
      <c r="Y1037" s="1392" t="n"/>
      <c r="Z1037" s="1392" t="n"/>
      <c r="AA1037" s="1392" t="n"/>
      <c r="AB1037" s="1392" t="n"/>
      <c r="AC1037" s="1392" t="n"/>
      <c r="AD1037" s="1392" t="n"/>
      <c r="AE1037" s="1392" t="n"/>
      <c r="AF1037" s="1392" t="n"/>
      <c r="AG1037" s="1392" t="n"/>
      <c r="AH1037" s="1392" t="n"/>
      <c r="AI1037" s="1392" t="n"/>
      <c r="AJ1037" s="1392" t="n"/>
      <c r="AK1037" s="1392" t="n"/>
      <c r="AL1037" s="1392" t="n"/>
      <c r="AM1037" s="1392" t="n"/>
      <c r="AN1037" s="1392" t="n"/>
      <c r="AO1037" s="1392" t="n"/>
      <c r="AP1037" s="1392" t="n"/>
      <c r="AQ1037" s="1392" t="n"/>
      <c r="AR1037" s="1422" t="n"/>
      <c r="AS1037" s="1422" t="n"/>
      <c r="AT1037" s="1392" t="n"/>
      <c r="AU1037" s="1392" t="n"/>
      <c r="AV1037" s="1392" t="n"/>
      <c r="AW1037" s="1392" t="n"/>
      <c r="AX1037" s="1392" t="n"/>
      <c r="AY1037" s="1392" t="n"/>
      <c r="AZ1037" s="1392" t="n"/>
      <c r="BA1037" s="1422" t="n"/>
      <c r="BB1037" s="1422" t="n"/>
      <c r="BC1037" s="1392" t="n"/>
      <c r="BD1037" s="1392" t="n"/>
      <c r="BE1037" s="1392" t="n"/>
      <c r="BF1037" s="1392" t="n"/>
      <c r="BG1037" s="1392" t="n"/>
      <c r="BH1037" s="1392" t="n"/>
      <c r="BI1037" s="1392" t="n"/>
      <c r="BJ1037" s="1392" t="n"/>
      <c r="BK1037" s="1392" t="n"/>
      <c r="BL1037" s="1392" t="n"/>
      <c r="BM1037" s="1392" t="n"/>
      <c r="BN1037" s="1392" t="n"/>
      <c r="BO1037" s="1392" t="n"/>
      <c r="BP1037" s="1392" t="n"/>
      <c r="BQ1037" s="1392" t="n"/>
      <c r="BR1037" s="1392" t="n"/>
      <c r="BS1037" s="1392" t="n"/>
      <c r="BT1037" s="1392" t="n"/>
      <c r="BU1037" s="1392" t="n"/>
      <c r="BV1037" s="1392" t="n"/>
      <c r="BW1037" s="1392" t="n"/>
      <c r="BX1037" s="1392" t="n"/>
      <c r="BY1037" s="1392" t="n"/>
      <c r="BZ1037" s="1392" t="n"/>
      <c r="CA1037" s="1392" t="n"/>
      <c r="CB1037" s="1392" t="n"/>
      <c r="CC1037" s="1392" t="n"/>
      <c r="CD1037" s="1392" t="n"/>
      <c r="CE1037" s="1392" t="n"/>
      <c r="CF1037" s="1392" t="n"/>
      <c r="CG1037" s="1392" t="n"/>
      <c r="CH1037" s="1392" t="n"/>
      <c r="CI1037" s="1392" t="n"/>
      <c r="CJ1037" s="1392" t="n"/>
      <c r="CK1037" s="1392" t="n"/>
      <c r="CL1037" s="1392" t="n"/>
    </row>
    <row r="1038">
      <c r="A1038" s="5" t="inlineStr">
        <is>
          <t>.</t>
        </is>
      </c>
      <c r="B1038" s="5" t="inlineStr">
        <is>
          <t>.</t>
        </is>
      </c>
      <c r="C1038" s="1378">
        <f>IF(raw[[#This Row],[city]]="","-",IF(raw[[#This Row],[city]]="TODAY","-",C1037+1))</f>
        <v/>
      </c>
      <c r="D1038" s="1393" t="inlineStr">
        <is>
          <t>Portreath</t>
        </is>
      </c>
      <c r="E1038" s="1394" t="n">
        <v>39262</v>
      </c>
      <c r="F1038" s="1394" t="n">
        <v>39262</v>
      </c>
      <c r="G1038" s="1393" t="inlineStr">
        <is>
          <t>-</t>
        </is>
      </c>
      <c r="H1038" s="1393" t="inlineStr">
        <is>
          <t>David's</t>
        </is>
      </c>
      <c r="I1038" s="1393" t="inlineStr">
        <is>
          <t>Thomas/Cornwall</t>
        </is>
      </c>
      <c r="J1038" s="1393" t="inlineStr">
        <is>
          <t>-</t>
        </is>
      </c>
      <c r="K1038" s="1395">
        <f>IF(raw[[#This Row],[city]]&lt;&gt;"",_xlfn.XLOOKUP($D1038,ccc[city],ccc[prov],"-"),"-")</f>
        <v/>
      </c>
      <c r="L1038" s="1395">
        <f>IF(raw[[#This Row],[city]]&lt;&gt;"",_xlfn.XLOOKUP($D1038,ccc[city],ccc[ctry],"-"),"-")</f>
        <v/>
      </c>
      <c r="M1038" s="1395">
        <f>IF(raw[[#This Row],[city]]&lt;&gt;"",_xlfn.XLOOKUP($D1038,ccc[city],ccc[cont],"-"),"-")</f>
        <v/>
      </c>
      <c r="N1038" s="1396">
        <f>IF(raw[[#This Row],[city]]="","-",IF(raw[[#This Row],[cont]]="B",raw[[#This Row],[cont]],"W"))</f>
        <v/>
      </c>
      <c r="O1038" s="1397">
        <f>IF(raw[[#This Row],[out]]=0,0,IF(raw[[#This Row],[out]]=raw[[#This Row],[in]],0.01,raw[[#This Row],[out]]-raw[[#This Row],[in]]))</f>
        <v/>
      </c>
      <c r="P1038" s="1397">
        <f>IF(raw[[#This Row],[in]]=0,0,MONTH(raw[[#This Row],[in]]))</f>
        <v/>
      </c>
      <c r="Q1038" s="1397">
        <f>IF(raw[[#This Row],[in]]=0,0,YEAR(raw[[#This Row],[in]]))</f>
        <v/>
      </c>
      <c r="R1038" s="1397">
        <f>INT(raw[[#This Row],[yr]]/10)*10</f>
        <v/>
      </c>
      <c r="S1038" s="1395">
        <f>IF(raw[[#This Row],[city]]="","-",IF(raw[[#This Row],[city]]&lt;&gt;_xlfn.XLOOKUP(raw[[#This Row],[home]],homes[home],homes[city],"-"),1,0))</f>
        <v/>
      </c>
      <c r="T1038" s="1398" t="inlineStr">
        <is>
          <t>.</t>
        </is>
      </c>
      <c r="U1038" s="1399">
        <f>IF(raw[[#This Row],[wb]]="w",raw[[#This Row],[stay]]+U1037,U1037)</f>
        <v/>
      </c>
      <c r="V1038" s="1400">
        <f>IF(raw[[#This Row],[out]]=0,V1037,(raw[[#This Row],[out]]-E$5))</f>
        <v/>
      </c>
      <c r="W1038" s="1401">
        <f>U1038/V1038</f>
        <v/>
      </c>
      <c r="X1038" s="1392" t="n"/>
      <c r="Y1038" s="1392" t="n"/>
      <c r="Z1038" s="1392" t="n"/>
      <c r="AA1038" s="1392" t="n"/>
      <c r="AB1038" s="1392" t="n"/>
      <c r="AC1038" s="1392" t="n"/>
      <c r="AD1038" s="1392" t="n"/>
      <c r="AE1038" s="1392" t="n"/>
      <c r="AF1038" s="1392" t="n"/>
      <c r="AG1038" s="1392" t="n"/>
      <c r="AH1038" s="1392" t="n"/>
      <c r="AI1038" s="1392" t="n"/>
      <c r="AJ1038" s="1392" t="n"/>
      <c r="AK1038" s="1392" t="n"/>
      <c r="AL1038" s="1392" t="n"/>
      <c r="AM1038" s="1392" t="n"/>
      <c r="AN1038" s="1392" t="n"/>
      <c r="AO1038" s="1392" t="n"/>
      <c r="AP1038" s="1392" t="n"/>
      <c r="AQ1038" s="1392" t="n"/>
      <c r="AR1038" s="1422" t="n"/>
      <c r="AS1038" s="1422" t="n"/>
      <c r="AT1038" s="1392" t="n"/>
      <c r="AU1038" s="1392" t="n"/>
      <c r="AV1038" s="1392" t="n"/>
      <c r="AW1038" s="1392" t="n"/>
      <c r="AX1038" s="1392" t="n"/>
      <c r="AY1038" s="1392" t="n"/>
      <c r="AZ1038" s="1392" t="n"/>
      <c r="BA1038" s="1422" t="n"/>
      <c r="BB1038" s="1422" t="n"/>
      <c r="BC1038" s="1392" t="n"/>
      <c r="BD1038" s="1392" t="n"/>
      <c r="BE1038" s="1392" t="n"/>
      <c r="BF1038" s="1392" t="n"/>
      <c r="BG1038" s="1392" t="n"/>
      <c r="BH1038" s="1392" t="n"/>
      <c r="BI1038" s="1392" t="n"/>
      <c r="BJ1038" s="1392" t="n"/>
      <c r="BK1038" s="1392" t="n"/>
      <c r="BL1038" s="1392" t="n"/>
      <c r="BM1038" s="1392" t="n"/>
      <c r="BN1038" s="1392" t="n"/>
      <c r="BO1038" s="1392" t="n"/>
      <c r="BP1038" s="1392" t="n"/>
      <c r="BQ1038" s="1392" t="n"/>
      <c r="BR1038" s="1392" t="n"/>
      <c r="BS1038" s="1392" t="n"/>
      <c r="BT1038" s="1392" t="n"/>
      <c r="BU1038" s="1392" t="n"/>
      <c r="BV1038" s="1392" t="n"/>
      <c r="BW1038" s="1392" t="n"/>
      <c r="BX1038" s="1392" t="n"/>
      <c r="BY1038" s="1392" t="n"/>
      <c r="BZ1038" s="1392" t="n"/>
      <c r="CA1038" s="1392" t="n"/>
      <c r="CB1038" s="1392" t="n"/>
      <c r="CC1038" s="1392" t="n"/>
      <c r="CD1038" s="1392" t="n"/>
      <c r="CE1038" s="1392" t="n"/>
      <c r="CF1038" s="1392" t="n"/>
      <c r="CG1038" s="1392" t="n"/>
      <c r="CH1038" s="1392" t="n"/>
      <c r="CI1038" s="1392" t="n"/>
      <c r="CJ1038" s="1392" t="n"/>
      <c r="CK1038" s="1392" t="n"/>
      <c r="CL1038" s="1392" t="n"/>
    </row>
    <row r="1039">
      <c r="A1039" s="5" t="inlineStr">
        <is>
          <t>.</t>
        </is>
      </c>
      <c r="B1039" s="5" t="inlineStr">
        <is>
          <t>.</t>
        </is>
      </c>
      <c r="C1039" s="1378">
        <f>IF(raw[[#This Row],[city]]="","-",IF(raw[[#This Row],[city]]="TODAY","-",C1038+1))</f>
        <v/>
      </c>
      <c r="D1039" s="1393" t="inlineStr">
        <is>
          <t>Lanhydrock</t>
        </is>
      </c>
      <c r="E1039" s="1394" t="n">
        <v>39262</v>
      </c>
      <c r="F1039" s="1394" t="n">
        <v>39262</v>
      </c>
      <c r="G1039" s="1393" t="inlineStr">
        <is>
          <t>-</t>
        </is>
      </c>
      <c r="H1039" s="1393" t="inlineStr">
        <is>
          <t>David's</t>
        </is>
      </c>
      <c r="I1039" s="1393" t="inlineStr">
        <is>
          <t>Thomas/Cornwall</t>
        </is>
      </c>
      <c r="J1039" s="1393" t="inlineStr">
        <is>
          <t>-</t>
        </is>
      </c>
      <c r="K1039" s="1395">
        <f>IF(raw[[#This Row],[city]]&lt;&gt;"",_xlfn.XLOOKUP($D1039,ccc[city],ccc[prov],"-"),"-")</f>
        <v/>
      </c>
      <c r="L1039" s="1395">
        <f>IF(raw[[#This Row],[city]]&lt;&gt;"",_xlfn.XLOOKUP($D1039,ccc[city],ccc[ctry],"-"),"-")</f>
        <v/>
      </c>
      <c r="M1039" s="1395">
        <f>IF(raw[[#This Row],[city]]&lt;&gt;"",_xlfn.XLOOKUP($D1039,ccc[city],ccc[cont],"-"),"-")</f>
        <v/>
      </c>
      <c r="N1039" s="1396">
        <f>IF(raw[[#This Row],[city]]="","-",IF(raw[[#This Row],[cont]]="B",raw[[#This Row],[cont]],"W"))</f>
        <v/>
      </c>
      <c r="O1039" s="1397">
        <f>IF(raw[[#This Row],[out]]=0,0,IF(raw[[#This Row],[out]]=raw[[#This Row],[in]],0.01,raw[[#This Row],[out]]-raw[[#This Row],[in]]))</f>
        <v/>
      </c>
      <c r="P1039" s="1397">
        <f>IF(raw[[#This Row],[in]]=0,0,MONTH(raw[[#This Row],[in]]))</f>
        <v/>
      </c>
      <c r="Q1039" s="1397">
        <f>IF(raw[[#This Row],[in]]=0,0,YEAR(raw[[#This Row],[in]]))</f>
        <v/>
      </c>
      <c r="R1039" s="1397">
        <f>INT(raw[[#This Row],[yr]]/10)*10</f>
        <v/>
      </c>
      <c r="S1039" s="1395">
        <f>IF(raw[[#This Row],[city]]="","-",IF(raw[[#This Row],[city]]&lt;&gt;_xlfn.XLOOKUP(raw[[#This Row],[home]],homes[home],homes[city],"-"),1,0))</f>
        <v/>
      </c>
      <c r="T1039" s="1398" t="inlineStr">
        <is>
          <t>.</t>
        </is>
      </c>
      <c r="U1039" s="1399">
        <f>IF(raw[[#This Row],[wb]]="w",raw[[#This Row],[stay]]+U1038,U1038)</f>
        <v/>
      </c>
      <c r="V1039" s="1400">
        <f>IF(raw[[#This Row],[out]]=0,V1038,(raw[[#This Row],[out]]-E$5))</f>
        <v/>
      </c>
      <c r="W1039" s="1401">
        <f>U1039/V1039</f>
        <v/>
      </c>
      <c r="X1039" s="1392" t="n"/>
      <c r="Y1039" s="1392" t="n"/>
      <c r="Z1039" s="1392" t="n"/>
      <c r="AA1039" s="1392" t="n"/>
      <c r="AB1039" s="1392" t="n"/>
      <c r="AC1039" s="1392" t="n"/>
      <c r="AD1039" s="1392" t="n"/>
      <c r="AE1039" s="1392" t="n"/>
      <c r="AF1039" s="1392" t="n"/>
      <c r="AG1039" s="1392" t="n"/>
      <c r="AH1039" s="1392" t="n"/>
      <c r="AI1039" s="1392" t="n"/>
      <c r="AJ1039" s="1392" t="n"/>
      <c r="AK1039" s="1392" t="n"/>
      <c r="AL1039" s="1392" t="n"/>
      <c r="AM1039" s="1392" t="n"/>
      <c r="AN1039" s="1392" t="n"/>
      <c r="AO1039" s="1392" t="n"/>
      <c r="AP1039" s="1392" t="n"/>
      <c r="AQ1039" s="1392" t="n"/>
      <c r="AR1039" s="1422" t="n"/>
      <c r="AS1039" s="1422" t="n"/>
      <c r="AT1039" s="1392" t="n"/>
      <c r="AU1039" s="1392" t="n"/>
      <c r="AV1039" s="1392" t="n"/>
      <c r="AW1039" s="1392" t="n"/>
      <c r="AX1039" s="1392" t="n"/>
      <c r="AY1039" s="1392" t="n"/>
      <c r="AZ1039" s="1392" t="n"/>
      <c r="BA1039" s="1422" t="n"/>
      <c r="BB1039" s="1422" t="n"/>
      <c r="BC1039" s="1392" t="n"/>
      <c r="BD1039" s="1392" t="n"/>
      <c r="BE1039" s="1392" t="n"/>
      <c r="BF1039" s="1392" t="n"/>
      <c r="BG1039" s="1392" t="n"/>
      <c r="BH1039" s="1392" t="n"/>
      <c r="BI1039" s="1392" t="n"/>
      <c r="BJ1039" s="1392" t="n"/>
      <c r="BK1039" s="1392" t="n"/>
      <c r="BL1039" s="1392" t="n"/>
      <c r="BM1039" s="1392" t="n"/>
      <c r="BN1039" s="1392" t="n"/>
      <c r="BO1039" s="1392" t="n"/>
      <c r="BP1039" s="1392" t="n"/>
      <c r="BQ1039" s="1392" t="n"/>
      <c r="BR1039" s="1392" t="n"/>
      <c r="BS1039" s="1392" t="n"/>
      <c r="BT1039" s="1392" t="n"/>
      <c r="BU1039" s="1392" t="n"/>
      <c r="BV1039" s="1392" t="n"/>
      <c r="BW1039" s="1392" t="n"/>
      <c r="BX1039" s="1392" t="n"/>
      <c r="BY1039" s="1392" t="n"/>
      <c r="BZ1039" s="1392" t="n"/>
      <c r="CA1039" s="1392" t="n"/>
      <c r="CB1039" s="1392" t="n"/>
      <c r="CC1039" s="1392" t="n"/>
      <c r="CD1039" s="1392" t="n"/>
      <c r="CE1039" s="1392" t="n"/>
      <c r="CF1039" s="1392" t="n"/>
      <c r="CG1039" s="1392" t="n"/>
      <c r="CH1039" s="1392" t="n"/>
      <c r="CI1039" s="1392" t="n"/>
      <c r="CJ1039" s="1392" t="n"/>
      <c r="CK1039" s="1392" t="n"/>
      <c r="CL1039" s="1392" t="n"/>
    </row>
    <row r="1040">
      <c r="A1040" s="5" t="inlineStr">
        <is>
          <t>.</t>
        </is>
      </c>
      <c r="B1040" s="5" t="inlineStr">
        <is>
          <t>.</t>
        </is>
      </c>
      <c r="C1040" s="1378">
        <f>IF(raw[[#This Row],[city]]="","-",IF(raw[[#This Row],[city]]="TODAY","-",C1039+1))</f>
        <v/>
      </c>
      <c r="D1040" s="1393" t="inlineStr">
        <is>
          <t>Stonehenge</t>
        </is>
      </c>
      <c r="E1040" s="1394" t="n">
        <v>39262</v>
      </c>
      <c r="F1040" s="1394" t="n">
        <v>39262</v>
      </c>
      <c r="G1040" s="1393" t="inlineStr">
        <is>
          <t>-</t>
        </is>
      </c>
      <c r="H1040" s="1393" t="inlineStr">
        <is>
          <t>David's</t>
        </is>
      </c>
      <c r="I1040" s="1393" t="inlineStr">
        <is>
          <t>Thomas/Cornwall</t>
        </is>
      </c>
      <c r="J1040" s="1393" t="inlineStr">
        <is>
          <t>-</t>
        </is>
      </c>
      <c r="K1040" s="1395">
        <f>IF(raw[[#This Row],[city]]&lt;&gt;"",_xlfn.XLOOKUP($D1040,ccc[city],ccc[prov],"-"),"-")</f>
        <v/>
      </c>
      <c r="L1040" s="1395">
        <f>IF(raw[[#This Row],[city]]&lt;&gt;"",_xlfn.XLOOKUP($D1040,ccc[city],ccc[ctry],"-"),"-")</f>
        <v/>
      </c>
      <c r="M1040" s="1395">
        <f>IF(raw[[#This Row],[city]]&lt;&gt;"",_xlfn.XLOOKUP($D1040,ccc[city],ccc[cont],"-"),"-")</f>
        <v/>
      </c>
      <c r="N1040" s="1396">
        <f>IF(raw[[#This Row],[city]]="","-",IF(raw[[#This Row],[cont]]="B",raw[[#This Row],[cont]],"W"))</f>
        <v/>
      </c>
      <c r="O1040" s="1397">
        <f>IF(raw[[#This Row],[out]]=0,0,IF(raw[[#This Row],[out]]=raw[[#This Row],[in]],0.01,raw[[#This Row],[out]]-raw[[#This Row],[in]]))</f>
        <v/>
      </c>
      <c r="P1040" s="1397">
        <f>IF(raw[[#This Row],[in]]=0,0,MONTH(raw[[#This Row],[in]]))</f>
        <v/>
      </c>
      <c r="Q1040" s="1397">
        <f>IF(raw[[#This Row],[in]]=0,0,YEAR(raw[[#This Row],[in]]))</f>
        <v/>
      </c>
      <c r="R1040" s="1397">
        <f>INT(raw[[#This Row],[yr]]/10)*10</f>
        <v/>
      </c>
      <c r="S1040" s="1395">
        <f>IF(raw[[#This Row],[city]]="","-",IF(raw[[#This Row],[city]]&lt;&gt;_xlfn.XLOOKUP(raw[[#This Row],[home]],homes[home],homes[city],"-"),1,0))</f>
        <v/>
      </c>
      <c r="T1040" s="1398" t="inlineStr">
        <is>
          <t>.</t>
        </is>
      </c>
      <c r="U1040" s="1399">
        <f>IF(raw[[#This Row],[wb]]="w",raw[[#This Row],[stay]]+U1039,U1039)</f>
        <v/>
      </c>
      <c r="V1040" s="1400">
        <f>IF(raw[[#This Row],[out]]=0,V1039,(raw[[#This Row],[out]]-E$5))</f>
        <v/>
      </c>
      <c r="W1040" s="1401">
        <f>U1040/V1040</f>
        <v/>
      </c>
      <c r="X1040" s="1392" t="n"/>
      <c r="Y1040" s="1392" t="n"/>
      <c r="Z1040" s="1392" t="n"/>
      <c r="AA1040" s="1392" t="n"/>
      <c r="AB1040" s="1392" t="n"/>
      <c r="AC1040" s="1392" t="n"/>
      <c r="AD1040" s="1392" t="n"/>
      <c r="AE1040" s="1392" t="n"/>
      <c r="AF1040" s="1392" t="n"/>
      <c r="AG1040" s="1392" t="n"/>
      <c r="AH1040" s="1392" t="n"/>
      <c r="AI1040" s="1392" t="n"/>
      <c r="AJ1040" s="1392" t="n"/>
      <c r="AK1040" s="1392" t="n"/>
      <c r="AL1040" s="1392" t="n"/>
      <c r="AM1040" s="1392" t="n"/>
      <c r="AN1040" s="1392" t="n"/>
      <c r="AO1040" s="1392" t="n"/>
      <c r="AP1040" s="1392" t="n"/>
      <c r="AQ1040" s="1392" t="n"/>
      <c r="AR1040" s="1422" t="n"/>
      <c r="AS1040" s="1422" t="n"/>
      <c r="AT1040" s="1392" t="n"/>
      <c r="AU1040" s="1392" t="n"/>
      <c r="AV1040" s="1392" t="n"/>
      <c r="AW1040" s="1392" t="n"/>
      <c r="AX1040" s="1392" t="n"/>
      <c r="AY1040" s="1392" t="n"/>
      <c r="AZ1040" s="1392" t="n"/>
      <c r="BA1040" s="1422" t="n"/>
      <c r="BB1040" s="1422" t="n"/>
      <c r="BC1040" s="1392" t="n"/>
      <c r="BD1040" s="1392" t="n"/>
      <c r="BE1040" s="1392" t="n"/>
      <c r="BF1040" s="1392" t="n"/>
      <c r="BG1040" s="1392" t="n"/>
      <c r="BH1040" s="1392" t="n"/>
      <c r="BI1040" s="1392" t="n"/>
      <c r="BJ1040" s="1392" t="n"/>
      <c r="BK1040" s="1392" t="n"/>
      <c r="BL1040" s="1392" t="n"/>
      <c r="BM1040" s="1392" t="n"/>
      <c r="BN1040" s="1392" t="n"/>
      <c r="BO1040" s="1392" t="n"/>
      <c r="BP1040" s="1392" t="n"/>
      <c r="BQ1040" s="1392" t="n"/>
      <c r="BR1040" s="1392" t="n"/>
      <c r="BS1040" s="1392" t="n"/>
      <c r="BT1040" s="1392" t="n"/>
      <c r="BU1040" s="1392" t="n"/>
      <c r="BV1040" s="1392" t="n"/>
      <c r="BW1040" s="1392" t="n"/>
      <c r="BX1040" s="1392" t="n"/>
      <c r="BY1040" s="1392" t="n"/>
      <c r="BZ1040" s="1392" t="n"/>
      <c r="CA1040" s="1392" t="n"/>
      <c r="CB1040" s="1392" t="n"/>
      <c r="CC1040" s="1392" t="n"/>
      <c r="CD1040" s="1392" t="n"/>
      <c r="CE1040" s="1392" t="n"/>
      <c r="CF1040" s="1392" t="n"/>
      <c r="CG1040" s="1392" t="n"/>
      <c r="CH1040" s="1392" t="n"/>
      <c r="CI1040" s="1392" t="n"/>
      <c r="CJ1040" s="1392" t="n"/>
      <c r="CK1040" s="1392" t="n"/>
      <c r="CL1040" s="1392" t="n"/>
    </row>
    <row r="1041">
      <c r="A1041" s="5" t="inlineStr">
        <is>
          <t>.</t>
        </is>
      </c>
      <c r="B1041" s="5" t="inlineStr">
        <is>
          <t>.</t>
        </is>
      </c>
      <c r="C1041" s="1378">
        <f>IF(raw[[#This Row],[city]]="","-",IF(raw[[#This Row],[city]]="TODAY","-",C1040+1))</f>
        <v/>
      </c>
      <c r="D1041" s="1393" t="inlineStr">
        <is>
          <t>London</t>
        </is>
      </c>
      <c r="E1041" s="1394" t="n">
        <v>39262</v>
      </c>
      <c r="F1041" s="1394" t="n">
        <v>39264</v>
      </c>
      <c r="G1041" s="1393" t="inlineStr">
        <is>
          <t>-</t>
        </is>
      </c>
      <c r="H1041" s="1393" t="inlineStr">
        <is>
          <t>David's</t>
        </is>
      </c>
      <c r="I1041" s="1393" t="inlineStr">
        <is>
          <t>-</t>
        </is>
      </c>
      <c r="J1041" s="1393" t="inlineStr">
        <is>
          <t>-</t>
        </is>
      </c>
      <c r="K1041" s="1395">
        <f>IF(raw[[#This Row],[city]]&lt;&gt;"",_xlfn.XLOOKUP($D1041,ccc[city],ccc[prov],"-"),"-")</f>
        <v/>
      </c>
      <c r="L1041" s="1395">
        <f>IF(raw[[#This Row],[city]]&lt;&gt;"",_xlfn.XLOOKUP($D1041,ccc[city],ccc[ctry],"-"),"-")</f>
        <v/>
      </c>
      <c r="M1041" s="1395">
        <f>IF(raw[[#This Row],[city]]&lt;&gt;"",_xlfn.XLOOKUP($D1041,ccc[city],ccc[cont],"-"),"-")</f>
        <v/>
      </c>
      <c r="N1041" s="1396">
        <f>IF(raw[[#This Row],[city]]="","-",IF(raw[[#This Row],[cont]]="B",raw[[#This Row],[cont]],"W"))</f>
        <v/>
      </c>
      <c r="O1041" s="1397">
        <f>IF(raw[[#This Row],[out]]=0,0,IF(raw[[#This Row],[out]]=raw[[#This Row],[in]],0.01,raw[[#This Row],[out]]-raw[[#This Row],[in]]))</f>
        <v/>
      </c>
      <c r="P1041" s="1397">
        <f>IF(raw[[#This Row],[in]]=0,0,MONTH(raw[[#This Row],[in]]))</f>
        <v/>
      </c>
      <c r="Q1041" s="1397">
        <f>IF(raw[[#This Row],[in]]=0,0,YEAR(raw[[#This Row],[in]]))</f>
        <v/>
      </c>
      <c r="R1041" s="1397">
        <f>INT(raw[[#This Row],[yr]]/10)*10</f>
        <v/>
      </c>
      <c r="S1041" s="1395">
        <f>IF(raw[[#This Row],[city]]="","-",IF(raw[[#This Row],[city]]&lt;&gt;_xlfn.XLOOKUP(raw[[#This Row],[home]],homes[home],homes[city],"-"),1,0))</f>
        <v/>
      </c>
      <c r="T1041" s="1398" t="inlineStr">
        <is>
          <t>.</t>
        </is>
      </c>
      <c r="U1041" s="1399">
        <f>IF(raw[[#This Row],[wb]]="w",raw[[#This Row],[stay]]+U1040,U1040)</f>
        <v/>
      </c>
      <c r="V1041" s="1400">
        <f>IF(raw[[#This Row],[out]]=0,V1040,(raw[[#This Row],[out]]-E$5))</f>
        <v/>
      </c>
      <c r="W1041" s="1401">
        <f>U1041/V1041</f>
        <v/>
      </c>
      <c r="X1041" s="1392" t="n"/>
      <c r="Y1041" s="1392" t="n"/>
      <c r="Z1041" s="1392" t="n"/>
      <c r="AA1041" s="1392" t="n"/>
      <c r="AB1041" s="1392" t="n"/>
      <c r="AC1041" s="1392" t="n"/>
      <c r="AD1041" s="1392" t="n"/>
      <c r="AE1041" s="1392" t="n"/>
      <c r="AF1041" s="1392" t="n"/>
      <c r="AG1041" s="1392" t="n"/>
      <c r="AH1041" s="1392" t="n"/>
      <c r="AI1041" s="1392" t="n"/>
      <c r="AJ1041" s="1392" t="n"/>
      <c r="AK1041" s="1392" t="n"/>
      <c r="AL1041" s="1392" t="n"/>
      <c r="AM1041" s="1392" t="n"/>
      <c r="AN1041" s="1392" t="n"/>
      <c r="AO1041" s="1392" t="n"/>
      <c r="AP1041" s="1392" t="n"/>
      <c r="AQ1041" s="1392" t="n"/>
      <c r="AR1041" s="1422" t="n"/>
      <c r="AS1041" s="1422" t="n"/>
      <c r="AT1041" s="1392" t="n"/>
      <c r="AU1041" s="1392" t="n"/>
      <c r="AV1041" s="1392" t="n"/>
      <c r="AW1041" s="1392" t="n"/>
      <c r="AX1041" s="1392" t="n"/>
      <c r="AY1041" s="1392" t="n"/>
      <c r="AZ1041" s="1392" t="n"/>
      <c r="BA1041" s="1422" t="n"/>
      <c r="BB1041" s="1422" t="n"/>
      <c r="BC1041" s="1392" t="n"/>
      <c r="BD1041" s="1392" t="n"/>
      <c r="BE1041" s="1392" t="n"/>
      <c r="BF1041" s="1392" t="n"/>
      <c r="BG1041" s="1392" t="n"/>
      <c r="BH1041" s="1392" t="n"/>
      <c r="BI1041" s="1392" t="n"/>
      <c r="BJ1041" s="1392" t="n"/>
      <c r="BK1041" s="1392" t="n"/>
      <c r="BL1041" s="1392" t="n"/>
      <c r="BM1041" s="1392" t="n"/>
      <c r="BN1041" s="1392" t="n"/>
      <c r="BO1041" s="1392" t="n"/>
      <c r="BP1041" s="1392" t="n"/>
      <c r="BQ1041" s="1392" t="n"/>
      <c r="BR1041" s="1392" t="n"/>
      <c r="BS1041" s="1392" t="n"/>
      <c r="BT1041" s="1392" t="n"/>
      <c r="BU1041" s="1392" t="n"/>
      <c r="BV1041" s="1392" t="n"/>
      <c r="BW1041" s="1392" t="n"/>
      <c r="BX1041" s="1392" t="n"/>
      <c r="BY1041" s="1392" t="n"/>
      <c r="BZ1041" s="1392" t="n"/>
      <c r="CA1041" s="1392" t="n"/>
      <c r="CB1041" s="1392" t="n"/>
      <c r="CC1041" s="1392" t="n"/>
      <c r="CD1041" s="1392" t="n"/>
      <c r="CE1041" s="1392" t="n"/>
      <c r="CF1041" s="1392" t="n"/>
      <c r="CG1041" s="1392" t="n"/>
      <c r="CH1041" s="1392" t="n"/>
      <c r="CI1041" s="1392" t="n"/>
      <c r="CJ1041" s="1392" t="n"/>
      <c r="CK1041" s="1392" t="n"/>
      <c r="CL1041" s="1392" t="n"/>
    </row>
    <row r="1042">
      <c r="A1042" s="5" t="inlineStr">
        <is>
          <t>.</t>
        </is>
      </c>
      <c r="B1042" s="5" t="inlineStr">
        <is>
          <t>.</t>
        </is>
      </c>
      <c r="C1042" s="1378">
        <f>IF(raw[[#This Row],[city]]="","-",IF(raw[[#This Row],[city]]="TODAY","-",C1041+1))</f>
        <v/>
      </c>
      <c r="D1042" s="1393" t="inlineStr">
        <is>
          <t>London</t>
        </is>
      </c>
      <c r="E1042" s="1394" t="n">
        <v>39264</v>
      </c>
      <c r="F1042" s="1394" t="n">
        <v>39270</v>
      </c>
      <c r="G1042" s="1393" t="inlineStr">
        <is>
          <t>-</t>
        </is>
      </c>
      <c r="H1042" s="1393" t="inlineStr">
        <is>
          <t>David's</t>
        </is>
      </c>
      <c r="I1042" s="1393" t="inlineStr">
        <is>
          <t>-</t>
        </is>
      </c>
      <c r="J1042" s="1393" t="inlineStr">
        <is>
          <t>-</t>
        </is>
      </c>
      <c r="K1042" s="1395">
        <f>IF(raw[[#This Row],[city]]&lt;&gt;"",_xlfn.XLOOKUP($D1042,ccc[city],ccc[prov],"-"),"-")</f>
        <v/>
      </c>
      <c r="L1042" s="1395">
        <f>IF(raw[[#This Row],[city]]&lt;&gt;"",_xlfn.XLOOKUP($D1042,ccc[city],ccc[ctry],"-"),"-")</f>
        <v/>
      </c>
      <c r="M1042" s="1395">
        <f>IF(raw[[#This Row],[city]]&lt;&gt;"",_xlfn.XLOOKUP($D1042,ccc[city],ccc[cont],"-"),"-")</f>
        <v/>
      </c>
      <c r="N1042" s="1396">
        <f>IF(raw[[#This Row],[city]]="","-",IF(raw[[#This Row],[cont]]="B",raw[[#This Row],[cont]],"W"))</f>
        <v/>
      </c>
      <c r="O1042" s="1397">
        <f>IF(raw[[#This Row],[out]]=0,0,IF(raw[[#This Row],[out]]=raw[[#This Row],[in]],0.01,raw[[#This Row],[out]]-raw[[#This Row],[in]]))</f>
        <v/>
      </c>
      <c r="P1042" s="1397">
        <f>IF(raw[[#This Row],[in]]=0,0,MONTH(raw[[#This Row],[in]]))</f>
        <v/>
      </c>
      <c r="Q1042" s="1397">
        <f>IF(raw[[#This Row],[in]]=0,0,YEAR(raw[[#This Row],[in]]))</f>
        <v/>
      </c>
      <c r="R1042" s="1397">
        <f>INT(raw[[#This Row],[yr]]/10)*10</f>
        <v/>
      </c>
      <c r="S1042" s="1395">
        <f>IF(raw[[#This Row],[city]]="","-",IF(raw[[#This Row],[city]]&lt;&gt;_xlfn.XLOOKUP(raw[[#This Row],[home]],homes[home],homes[city],"-"),1,0))</f>
        <v/>
      </c>
      <c r="T1042" s="1398" t="inlineStr">
        <is>
          <t>.</t>
        </is>
      </c>
      <c r="U1042" s="1399">
        <f>IF(raw[[#This Row],[wb]]="w",raw[[#This Row],[stay]]+U1041,U1041)</f>
        <v/>
      </c>
      <c r="V1042" s="1400">
        <f>IF(raw[[#This Row],[out]]=0,V1041,(raw[[#This Row],[out]]-E$5))</f>
        <v/>
      </c>
      <c r="W1042" s="1401">
        <f>U1042/V1042</f>
        <v/>
      </c>
      <c r="X1042" s="1392" t="n"/>
      <c r="Y1042" s="1392" t="n"/>
      <c r="Z1042" s="1392" t="n"/>
      <c r="AA1042" s="1392" t="n"/>
      <c r="AB1042" s="1392" t="n"/>
      <c r="AC1042" s="1392" t="n"/>
      <c r="AD1042" s="1392" t="n"/>
      <c r="AE1042" s="1392" t="n"/>
      <c r="AF1042" s="1392" t="n"/>
      <c r="AG1042" s="1392" t="n"/>
      <c r="AH1042" s="1392" t="n"/>
      <c r="AI1042" s="1392" t="n"/>
      <c r="AJ1042" s="1392" t="n"/>
      <c r="AK1042" s="1392" t="n"/>
      <c r="AL1042" s="1392" t="n"/>
      <c r="AM1042" s="1392" t="n"/>
      <c r="AN1042" s="1392" t="n"/>
      <c r="AO1042" s="1392" t="n"/>
      <c r="AP1042" s="1392" t="n"/>
      <c r="AQ1042" s="1392" t="n"/>
      <c r="AR1042" s="1422" t="n"/>
      <c r="AS1042" s="1422" t="n"/>
      <c r="AT1042" s="1392" t="n"/>
      <c r="AU1042" s="1392" t="n"/>
      <c r="AV1042" s="1392" t="n"/>
      <c r="AW1042" s="1392" t="n"/>
      <c r="AX1042" s="1392" t="n"/>
      <c r="AY1042" s="1392" t="n"/>
      <c r="AZ1042" s="1392" t="n"/>
      <c r="BA1042" s="1422" t="n"/>
      <c r="BB1042" s="1422" t="n"/>
      <c r="BC1042" s="1392" t="n"/>
      <c r="BD1042" s="1392" t="n"/>
      <c r="BE1042" s="1392" t="n"/>
      <c r="BF1042" s="1392" t="n"/>
      <c r="BG1042" s="1392" t="n"/>
      <c r="BH1042" s="1392" t="n"/>
      <c r="BI1042" s="1392" t="n"/>
      <c r="BJ1042" s="1392" t="n"/>
      <c r="BK1042" s="1392" t="n"/>
      <c r="BL1042" s="1392" t="n"/>
      <c r="BM1042" s="1392" t="n"/>
      <c r="BN1042" s="1392" t="n"/>
      <c r="BO1042" s="1392" t="n"/>
      <c r="BP1042" s="1392" t="n"/>
      <c r="BQ1042" s="1392" t="n"/>
      <c r="BR1042" s="1392" t="n"/>
      <c r="BS1042" s="1392" t="n"/>
      <c r="BT1042" s="1392" t="n"/>
      <c r="BU1042" s="1392" t="n"/>
      <c r="BV1042" s="1392" t="n"/>
      <c r="BW1042" s="1392" t="n"/>
      <c r="BX1042" s="1392" t="n"/>
      <c r="BY1042" s="1392" t="n"/>
      <c r="BZ1042" s="1392" t="n"/>
      <c r="CA1042" s="1392" t="n"/>
      <c r="CB1042" s="1392" t="n"/>
      <c r="CC1042" s="1392" t="n"/>
      <c r="CD1042" s="1392" t="n"/>
      <c r="CE1042" s="1392" t="n"/>
      <c r="CF1042" s="1392" t="n"/>
      <c r="CG1042" s="1392" t="n"/>
      <c r="CH1042" s="1392" t="n"/>
      <c r="CI1042" s="1392" t="n"/>
      <c r="CJ1042" s="1392" t="n"/>
      <c r="CK1042" s="1392" t="n"/>
      <c r="CL1042" s="1392" t="n"/>
    </row>
    <row r="1043">
      <c r="A1043" s="5" t="inlineStr">
        <is>
          <t>.</t>
        </is>
      </c>
      <c r="B1043" s="5" t="inlineStr">
        <is>
          <t>.</t>
        </is>
      </c>
      <c r="C1043" s="1378">
        <f>IF(raw[[#This Row],[city]]="","-",IF(raw[[#This Row],[city]]="TODAY","-",C1042+1))</f>
        <v/>
      </c>
      <c r="D1043" s="1393" t="inlineStr">
        <is>
          <t>Bath</t>
        </is>
      </c>
      <c r="E1043" s="1394" t="n">
        <v>39270</v>
      </c>
      <c r="F1043" s="1394" t="n">
        <v>39270</v>
      </c>
      <c r="G1043" s="1393" t="inlineStr">
        <is>
          <t>-</t>
        </is>
      </c>
      <c r="H1043" s="1393" t="inlineStr">
        <is>
          <t>David's</t>
        </is>
      </c>
      <c r="I1043" s="1393" t="inlineStr">
        <is>
          <t>-</t>
        </is>
      </c>
      <c r="J1043" s="1393" t="inlineStr">
        <is>
          <t>-</t>
        </is>
      </c>
      <c r="K1043" s="1395">
        <f>IF(raw[[#This Row],[city]]&lt;&gt;"",_xlfn.XLOOKUP($D1043,ccc[city],ccc[prov],"-"),"-")</f>
        <v/>
      </c>
      <c r="L1043" s="1395">
        <f>IF(raw[[#This Row],[city]]&lt;&gt;"",_xlfn.XLOOKUP($D1043,ccc[city],ccc[ctry],"-"),"-")</f>
        <v/>
      </c>
      <c r="M1043" s="1395">
        <f>IF(raw[[#This Row],[city]]&lt;&gt;"",_xlfn.XLOOKUP($D1043,ccc[city],ccc[cont],"-"),"-")</f>
        <v/>
      </c>
      <c r="N1043" s="1396">
        <f>IF(raw[[#This Row],[city]]="","-",IF(raw[[#This Row],[cont]]="B",raw[[#This Row],[cont]],"W"))</f>
        <v/>
      </c>
      <c r="O1043" s="1397">
        <f>IF(raw[[#This Row],[out]]=0,0,IF(raw[[#This Row],[out]]=raw[[#This Row],[in]],0.01,raw[[#This Row],[out]]-raw[[#This Row],[in]]))</f>
        <v/>
      </c>
      <c r="P1043" s="1397">
        <f>IF(raw[[#This Row],[in]]=0,0,MONTH(raw[[#This Row],[in]]))</f>
        <v/>
      </c>
      <c r="Q1043" s="1397">
        <f>IF(raw[[#This Row],[in]]=0,0,YEAR(raw[[#This Row],[in]]))</f>
        <v/>
      </c>
      <c r="R1043" s="1397">
        <f>INT(raw[[#This Row],[yr]]/10)*10</f>
        <v/>
      </c>
      <c r="S1043" s="1395">
        <f>IF(raw[[#This Row],[city]]="","-",IF(raw[[#This Row],[city]]&lt;&gt;_xlfn.XLOOKUP(raw[[#This Row],[home]],homes[home],homes[city],"-"),1,0))</f>
        <v/>
      </c>
      <c r="T1043" s="1398" t="inlineStr">
        <is>
          <t>.</t>
        </is>
      </c>
      <c r="U1043" s="1399">
        <f>IF(raw[[#This Row],[wb]]="w",raw[[#This Row],[stay]]+U1042,U1042)</f>
        <v/>
      </c>
      <c r="V1043" s="1400">
        <f>IF(raw[[#This Row],[out]]=0,V1042,(raw[[#This Row],[out]]-E$5))</f>
        <v/>
      </c>
      <c r="W1043" s="1401">
        <f>U1043/V1043</f>
        <v/>
      </c>
      <c r="X1043" s="1392" t="n"/>
      <c r="Y1043" s="1392" t="n"/>
      <c r="Z1043" s="1392" t="n"/>
      <c r="AA1043" s="1392" t="n"/>
      <c r="AB1043" s="1392" t="n"/>
      <c r="AC1043" s="1392" t="n"/>
      <c r="AD1043" s="1392" t="n"/>
      <c r="AE1043" s="1392" t="n"/>
      <c r="AF1043" s="1392" t="n"/>
      <c r="AG1043" s="1392" t="n"/>
      <c r="AH1043" s="1392" t="n"/>
      <c r="AI1043" s="1392" t="n"/>
      <c r="AJ1043" s="1392" t="n"/>
      <c r="AK1043" s="1392" t="n"/>
      <c r="AL1043" s="1392" t="n"/>
      <c r="AM1043" s="1392" t="n"/>
      <c r="AN1043" s="1392" t="n"/>
      <c r="AO1043" s="1392" t="n"/>
      <c r="AP1043" s="1392" t="n"/>
      <c r="AQ1043" s="1392" t="n"/>
      <c r="AR1043" s="1422" t="n"/>
      <c r="AS1043" s="1422" t="n"/>
      <c r="AT1043" s="1392" t="n"/>
      <c r="AU1043" s="1392" t="n"/>
      <c r="AV1043" s="1392" t="n"/>
      <c r="AW1043" s="1392" t="n"/>
      <c r="AX1043" s="1392" t="n"/>
      <c r="AY1043" s="1392" t="n"/>
      <c r="AZ1043" s="1392" t="n"/>
      <c r="BA1043" s="1422" t="n"/>
      <c r="BB1043" s="1422" t="n"/>
      <c r="BC1043" s="1392" t="n"/>
      <c r="BD1043" s="1392" t="n"/>
      <c r="BE1043" s="1392" t="n"/>
      <c r="BF1043" s="1392" t="n"/>
      <c r="BG1043" s="1392" t="n"/>
      <c r="BH1043" s="1392" t="n"/>
      <c r="BI1043" s="1392" t="n"/>
      <c r="BJ1043" s="1392" t="n"/>
      <c r="BK1043" s="1392" t="n"/>
      <c r="BL1043" s="1392" t="n"/>
      <c r="BM1043" s="1392" t="n"/>
      <c r="BN1043" s="1392" t="n"/>
      <c r="BO1043" s="1392" t="n"/>
      <c r="BP1043" s="1392" t="n"/>
      <c r="BQ1043" s="1392" t="n"/>
      <c r="BR1043" s="1392" t="n"/>
      <c r="BS1043" s="1392" t="n"/>
      <c r="BT1043" s="1392" t="n"/>
      <c r="BU1043" s="1392" t="n"/>
      <c r="BV1043" s="1392" t="n"/>
      <c r="BW1043" s="1392" t="n"/>
      <c r="BX1043" s="1392" t="n"/>
      <c r="BY1043" s="1392" t="n"/>
      <c r="BZ1043" s="1392" t="n"/>
      <c r="CA1043" s="1392" t="n"/>
      <c r="CB1043" s="1392" t="n"/>
      <c r="CC1043" s="1392" t="n"/>
      <c r="CD1043" s="1392" t="n"/>
      <c r="CE1043" s="1392" t="n"/>
      <c r="CF1043" s="1392" t="n"/>
      <c r="CG1043" s="1392" t="n"/>
      <c r="CH1043" s="1392" t="n"/>
      <c r="CI1043" s="1392" t="n"/>
      <c r="CJ1043" s="1392" t="n"/>
      <c r="CK1043" s="1392" t="n"/>
      <c r="CL1043" s="1392" t="n"/>
    </row>
    <row r="1044">
      <c r="A1044" s="5" t="inlineStr">
        <is>
          <t>.</t>
        </is>
      </c>
      <c r="B1044" s="5" t="inlineStr">
        <is>
          <t>.</t>
        </is>
      </c>
      <c r="C1044" s="1378">
        <f>IF(raw[[#This Row],[city]]="","-",IF(raw[[#This Row],[city]]="TODAY","-",C1043+1))</f>
        <v/>
      </c>
      <c r="D1044" s="1393" t="inlineStr">
        <is>
          <t>Stonehenge</t>
        </is>
      </c>
      <c r="E1044" s="1394" t="n">
        <v>39270</v>
      </c>
      <c r="F1044" s="1394" t="n">
        <v>39270</v>
      </c>
      <c r="G1044" s="1393" t="inlineStr">
        <is>
          <t>-</t>
        </is>
      </c>
      <c r="H1044" s="1393" t="inlineStr">
        <is>
          <t>David's</t>
        </is>
      </c>
      <c r="I1044" s="1393" t="inlineStr">
        <is>
          <t>-</t>
        </is>
      </c>
      <c r="J1044" s="1393" t="inlineStr">
        <is>
          <t>-</t>
        </is>
      </c>
      <c r="K1044" s="1395">
        <f>IF(raw[[#This Row],[city]]&lt;&gt;"",_xlfn.XLOOKUP($D1044,ccc[city],ccc[prov],"-"),"-")</f>
        <v/>
      </c>
      <c r="L1044" s="1395">
        <f>IF(raw[[#This Row],[city]]&lt;&gt;"",_xlfn.XLOOKUP($D1044,ccc[city],ccc[ctry],"-"),"-")</f>
        <v/>
      </c>
      <c r="M1044" s="1395">
        <f>IF(raw[[#This Row],[city]]&lt;&gt;"",_xlfn.XLOOKUP($D1044,ccc[city],ccc[cont],"-"),"-")</f>
        <v/>
      </c>
      <c r="N1044" s="1396">
        <f>IF(raw[[#This Row],[city]]="","-",IF(raw[[#This Row],[cont]]="B",raw[[#This Row],[cont]],"W"))</f>
        <v/>
      </c>
      <c r="O1044" s="1397">
        <f>IF(raw[[#This Row],[out]]=0,0,IF(raw[[#This Row],[out]]=raw[[#This Row],[in]],0.01,raw[[#This Row],[out]]-raw[[#This Row],[in]]))</f>
        <v/>
      </c>
      <c r="P1044" s="1397">
        <f>IF(raw[[#This Row],[in]]=0,0,MONTH(raw[[#This Row],[in]]))</f>
        <v/>
      </c>
      <c r="Q1044" s="1397">
        <f>IF(raw[[#This Row],[in]]=0,0,YEAR(raw[[#This Row],[in]]))</f>
        <v/>
      </c>
      <c r="R1044" s="1397">
        <f>INT(raw[[#This Row],[yr]]/10)*10</f>
        <v/>
      </c>
      <c r="S1044" s="1395">
        <f>IF(raw[[#This Row],[city]]="","-",IF(raw[[#This Row],[city]]&lt;&gt;_xlfn.XLOOKUP(raw[[#This Row],[home]],homes[home],homes[city],"-"),1,0))</f>
        <v/>
      </c>
      <c r="T1044" s="1398" t="inlineStr">
        <is>
          <t>.</t>
        </is>
      </c>
      <c r="U1044" s="1399">
        <f>IF(raw[[#This Row],[wb]]="w",raw[[#This Row],[stay]]+U1043,U1043)</f>
        <v/>
      </c>
      <c r="V1044" s="1400">
        <f>IF(raw[[#This Row],[out]]=0,V1043,(raw[[#This Row],[out]]-E$5))</f>
        <v/>
      </c>
      <c r="W1044" s="1401">
        <f>U1044/V1044</f>
        <v/>
      </c>
      <c r="X1044" s="1392" t="n"/>
      <c r="Y1044" s="1392" t="n"/>
      <c r="Z1044" s="1392" t="n"/>
      <c r="AA1044" s="1392" t="n"/>
      <c r="AB1044" s="1392" t="n"/>
      <c r="AC1044" s="1392" t="n"/>
      <c r="AD1044" s="1392" t="n"/>
      <c r="AE1044" s="1392" t="n"/>
      <c r="AF1044" s="1392" t="n"/>
      <c r="AG1044" s="1392" t="n"/>
      <c r="AH1044" s="1392" t="n"/>
      <c r="AI1044" s="1392" t="n"/>
      <c r="AJ1044" s="1392" t="n"/>
      <c r="AK1044" s="1392" t="n"/>
      <c r="AL1044" s="1392" t="n"/>
      <c r="AM1044" s="1392" t="n"/>
      <c r="AN1044" s="1392" t="n"/>
      <c r="AO1044" s="1392" t="n"/>
      <c r="AP1044" s="1392" t="n"/>
      <c r="AQ1044" s="1392" t="n"/>
      <c r="AR1044" s="1422" t="n"/>
      <c r="AS1044" s="1422" t="n"/>
      <c r="AT1044" s="1392" t="n"/>
      <c r="AU1044" s="1392" t="n"/>
      <c r="AV1044" s="1392" t="n"/>
      <c r="AW1044" s="1392" t="n"/>
      <c r="AX1044" s="1392" t="n"/>
      <c r="AY1044" s="1392" t="n"/>
      <c r="AZ1044" s="1392" t="n"/>
      <c r="BA1044" s="1422" t="n"/>
      <c r="BB1044" s="1422" t="n"/>
      <c r="BC1044" s="1392" t="n"/>
      <c r="BD1044" s="1392" t="n"/>
      <c r="BE1044" s="1392" t="n"/>
      <c r="BF1044" s="1392" t="n"/>
      <c r="BG1044" s="1392" t="n"/>
      <c r="BH1044" s="1392" t="n"/>
      <c r="BI1044" s="1392" t="n"/>
      <c r="BJ1044" s="1392" t="n"/>
      <c r="BK1044" s="1392" t="n"/>
      <c r="BL1044" s="1392" t="n"/>
      <c r="BM1044" s="1392" t="n"/>
      <c r="BN1044" s="1392" t="n"/>
      <c r="BO1044" s="1392" t="n"/>
      <c r="BP1044" s="1392" t="n"/>
      <c r="BQ1044" s="1392" t="n"/>
      <c r="BR1044" s="1392" t="n"/>
      <c r="BS1044" s="1392" t="n"/>
      <c r="BT1044" s="1392" t="n"/>
      <c r="BU1044" s="1392" t="n"/>
      <c r="BV1044" s="1392" t="n"/>
      <c r="BW1044" s="1392" t="n"/>
      <c r="BX1044" s="1392" t="n"/>
      <c r="BY1044" s="1392" t="n"/>
      <c r="BZ1044" s="1392" t="n"/>
      <c r="CA1044" s="1392" t="n"/>
      <c r="CB1044" s="1392" t="n"/>
      <c r="CC1044" s="1392" t="n"/>
      <c r="CD1044" s="1392" t="n"/>
      <c r="CE1044" s="1392" t="n"/>
      <c r="CF1044" s="1392" t="n"/>
      <c r="CG1044" s="1392" t="n"/>
      <c r="CH1044" s="1392" t="n"/>
      <c r="CI1044" s="1392" t="n"/>
      <c r="CJ1044" s="1392" t="n"/>
      <c r="CK1044" s="1392" t="n"/>
      <c r="CL1044" s="1392" t="n"/>
    </row>
    <row r="1045">
      <c r="A1045" s="5" t="inlineStr">
        <is>
          <t>.</t>
        </is>
      </c>
      <c r="B1045" s="5" t="inlineStr">
        <is>
          <t>.</t>
        </is>
      </c>
      <c r="C1045" s="1378">
        <f>IF(raw[[#This Row],[city]]="","-",IF(raw[[#This Row],[city]]="TODAY","-",C1044+1))</f>
        <v/>
      </c>
      <c r="D1045" s="1393" t="inlineStr">
        <is>
          <t>London</t>
        </is>
      </c>
      <c r="E1045" s="1394" t="n">
        <v>39270</v>
      </c>
      <c r="F1045" s="1394" t="n">
        <v>39291</v>
      </c>
      <c r="G1045" s="1393" t="inlineStr">
        <is>
          <t>-</t>
        </is>
      </c>
      <c r="H1045" s="1393" t="inlineStr">
        <is>
          <t>David's</t>
        </is>
      </c>
      <c r="I1045" s="1393" t="inlineStr">
        <is>
          <t>-</t>
        </is>
      </c>
      <c r="J1045" s="1393" t="inlineStr">
        <is>
          <t>-</t>
        </is>
      </c>
      <c r="K1045" s="1395">
        <f>IF(raw[[#This Row],[city]]&lt;&gt;"",_xlfn.XLOOKUP($D1045,ccc[city],ccc[prov],"-"),"-")</f>
        <v/>
      </c>
      <c r="L1045" s="1395">
        <f>IF(raw[[#This Row],[city]]&lt;&gt;"",_xlfn.XLOOKUP($D1045,ccc[city],ccc[ctry],"-"),"-")</f>
        <v/>
      </c>
      <c r="M1045" s="1395">
        <f>IF(raw[[#This Row],[city]]&lt;&gt;"",_xlfn.XLOOKUP($D1045,ccc[city],ccc[cont],"-"),"-")</f>
        <v/>
      </c>
      <c r="N1045" s="1396">
        <f>IF(raw[[#This Row],[city]]="","-",IF(raw[[#This Row],[cont]]="B",raw[[#This Row],[cont]],"W"))</f>
        <v/>
      </c>
      <c r="O1045" s="1397">
        <f>IF(raw[[#This Row],[out]]=0,0,IF(raw[[#This Row],[out]]=raw[[#This Row],[in]],0.01,raw[[#This Row],[out]]-raw[[#This Row],[in]]))</f>
        <v/>
      </c>
      <c r="P1045" s="1397">
        <f>IF(raw[[#This Row],[in]]=0,0,MONTH(raw[[#This Row],[in]]))</f>
        <v/>
      </c>
      <c r="Q1045" s="1397">
        <f>IF(raw[[#This Row],[in]]=0,0,YEAR(raw[[#This Row],[in]]))</f>
        <v/>
      </c>
      <c r="R1045" s="1397">
        <f>INT(raw[[#This Row],[yr]]/10)*10</f>
        <v/>
      </c>
      <c r="S1045" s="1395">
        <f>IF(raw[[#This Row],[city]]="","-",IF(raw[[#This Row],[city]]&lt;&gt;_xlfn.XLOOKUP(raw[[#This Row],[home]],homes[home],homes[city],"-"),1,0))</f>
        <v/>
      </c>
      <c r="T1045" s="1398" t="inlineStr">
        <is>
          <t>.</t>
        </is>
      </c>
      <c r="U1045" s="1399">
        <f>IF(raw[[#This Row],[wb]]="w",raw[[#This Row],[stay]]+U1044,U1044)</f>
        <v/>
      </c>
      <c r="V1045" s="1400">
        <f>IF(raw[[#This Row],[out]]=0,V1044,(raw[[#This Row],[out]]-E$5))</f>
        <v/>
      </c>
      <c r="W1045" s="1401">
        <f>U1045/V1045</f>
        <v/>
      </c>
      <c r="X1045" s="1392" t="n"/>
      <c r="Y1045" s="1392" t="n"/>
      <c r="Z1045" s="1392" t="n"/>
      <c r="AA1045" s="1392" t="n"/>
      <c r="AB1045" s="1392" t="n"/>
      <c r="AC1045" s="1392" t="n"/>
      <c r="AD1045" s="1392" t="n"/>
      <c r="AE1045" s="1392" t="n"/>
      <c r="AF1045" s="1392" t="n"/>
      <c r="AG1045" s="1392" t="n"/>
      <c r="AH1045" s="1392" t="n"/>
      <c r="AI1045" s="1392" t="n"/>
      <c r="AJ1045" s="1392" t="n"/>
      <c r="AK1045" s="1392" t="n"/>
      <c r="AL1045" s="1392" t="n"/>
      <c r="AM1045" s="1392" t="n"/>
      <c r="AN1045" s="1392" t="n"/>
      <c r="AO1045" s="1392" t="n"/>
      <c r="AP1045" s="1392" t="n"/>
      <c r="AQ1045" s="1392" t="n"/>
      <c r="AR1045" s="1422" t="n"/>
      <c r="AS1045" s="1422" t="n"/>
      <c r="AT1045" s="1392" t="n"/>
      <c r="AU1045" s="1392" t="n"/>
      <c r="AV1045" s="1392" t="n"/>
      <c r="AW1045" s="1392" t="n"/>
      <c r="AX1045" s="1392" t="n"/>
      <c r="AY1045" s="1392" t="n"/>
      <c r="AZ1045" s="1392" t="n"/>
      <c r="BA1045" s="1422" t="n"/>
      <c r="BB1045" s="1422" t="n"/>
      <c r="BC1045" s="1392" t="n"/>
      <c r="BD1045" s="1392" t="n"/>
      <c r="BE1045" s="1392" t="n"/>
      <c r="BF1045" s="1392" t="n"/>
      <c r="BG1045" s="1392" t="n"/>
      <c r="BH1045" s="1392" t="n"/>
      <c r="BI1045" s="1392" t="n"/>
      <c r="BJ1045" s="1392" t="n"/>
      <c r="BK1045" s="1392" t="n"/>
      <c r="BL1045" s="1392" t="n"/>
      <c r="BM1045" s="1392" t="n"/>
      <c r="BN1045" s="1392" t="n"/>
      <c r="BO1045" s="1392" t="n"/>
      <c r="BP1045" s="1392" t="n"/>
      <c r="BQ1045" s="1392" t="n"/>
      <c r="BR1045" s="1392" t="n"/>
      <c r="BS1045" s="1392" t="n"/>
      <c r="BT1045" s="1392" t="n"/>
      <c r="BU1045" s="1392" t="n"/>
      <c r="BV1045" s="1392" t="n"/>
      <c r="BW1045" s="1392" t="n"/>
      <c r="BX1045" s="1392" t="n"/>
      <c r="BY1045" s="1392" t="n"/>
      <c r="BZ1045" s="1392" t="n"/>
      <c r="CA1045" s="1392" t="n"/>
      <c r="CB1045" s="1392" t="n"/>
      <c r="CC1045" s="1392" t="n"/>
      <c r="CD1045" s="1392" t="n"/>
      <c r="CE1045" s="1392" t="n"/>
      <c r="CF1045" s="1392" t="n"/>
      <c r="CG1045" s="1392" t="n"/>
      <c r="CH1045" s="1392" t="n"/>
      <c r="CI1045" s="1392" t="n"/>
      <c r="CJ1045" s="1392" t="n"/>
      <c r="CK1045" s="1392" t="n"/>
      <c r="CL1045" s="1392" t="n"/>
    </row>
    <row r="1046">
      <c r="A1046" s="5" t="inlineStr">
        <is>
          <t>.</t>
        </is>
      </c>
      <c r="B1046" s="5" t="inlineStr">
        <is>
          <t>.</t>
        </is>
      </c>
      <c r="C1046" s="1378">
        <f>IF(raw[[#This Row],[city]]="","-",IF(raw[[#This Row],[city]]="TODAY","-",C1045+1))</f>
        <v/>
      </c>
      <c r="D1046" s="1393" t="inlineStr">
        <is>
          <t>Paris</t>
        </is>
      </c>
      <c r="E1046" s="1394" t="n">
        <v>39291</v>
      </c>
      <c r="F1046" s="1394" t="n">
        <v>39295</v>
      </c>
      <c r="G1046" s="1393" t="inlineStr">
        <is>
          <t>-</t>
        </is>
      </c>
      <c r="H1046" s="1393" t="inlineStr">
        <is>
          <t>Transit</t>
        </is>
      </c>
      <c r="I1046" s="1393" t="inlineStr">
        <is>
          <t>Mauricio</t>
        </is>
      </c>
      <c r="J1046" s="1393" t="inlineStr">
        <is>
          <t>-</t>
        </is>
      </c>
      <c r="K1046" s="1395">
        <f>IF(raw[[#This Row],[city]]&lt;&gt;"",_xlfn.XLOOKUP($D1046,ccc[city],ccc[prov],"-"),"-")</f>
        <v/>
      </c>
      <c r="L1046" s="1395">
        <f>IF(raw[[#This Row],[city]]&lt;&gt;"",_xlfn.XLOOKUP($D1046,ccc[city],ccc[ctry],"-"),"-")</f>
        <v/>
      </c>
      <c r="M1046" s="1395">
        <f>IF(raw[[#This Row],[city]]&lt;&gt;"",_xlfn.XLOOKUP($D1046,ccc[city],ccc[cont],"-"),"-")</f>
        <v/>
      </c>
      <c r="N1046" s="1396">
        <f>IF(raw[[#This Row],[city]]="","-",IF(raw[[#This Row],[cont]]="B",raw[[#This Row],[cont]],"W"))</f>
        <v/>
      </c>
      <c r="O1046" s="1397">
        <f>IF(raw[[#This Row],[out]]=0,0,IF(raw[[#This Row],[out]]=raw[[#This Row],[in]],0.01,raw[[#This Row],[out]]-raw[[#This Row],[in]]))</f>
        <v/>
      </c>
      <c r="P1046" s="1397">
        <f>IF(raw[[#This Row],[in]]=0,0,MONTH(raw[[#This Row],[in]]))</f>
        <v/>
      </c>
      <c r="Q1046" s="1397">
        <f>IF(raw[[#This Row],[in]]=0,0,YEAR(raw[[#This Row],[in]]))</f>
        <v/>
      </c>
      <c r="R1046" s="1397">
        <f>INT(raw[[#This Row],[yr]]/10)*10</f>
        <v/>
      </c>
      <c r="S1046" s="1395">
        <f>IF(raw[[#This Row],[city]]="","-",IF(raw[[#This Row],[city]]&lt;&gt;_xlfn.XLOOKUP(raw[[#This Row],[home]],homes[home],homes[city],"-"),1,0))</f>
        <v/>
      </c>
      <c r="T1046" s="1398" t="inlineStr">
        <is>
          <t>.</t>
        </is>
      </c>
      <c r="U1046" s="1399">
        <f>IF(raw[[#This Row],[wb]]="w",raw[[#This Row],[stay]]+U1045,U1045)</f>
        <v/>
      </c>
      <c r="V1046" s="1400">
        <f>IF(raw[[#This Row],[out]]=0,V1045,(raw[[#This Row],[out]]-E$5))</f>
        <v/>
      </c>
      <c r="W1046" s="1401">
        <f>U1046/V1046</f>
        <v/>
      </c>
      <c r="X1046" s="1392" t="n"/>
      <c r="Y1046" s="1392" t="n"/>
      <c r="Z1046" s="1392" t="n"/>
      <c r="AA1046" s="1392" t="n"/>
      <c r="AB1046" s="1392" t="n"/>
      <c r="AC1046" s="1392" t="n"/>
      <c r="AD1046" s="1392" t="n"/>
      <c r="AE1046" s="1392" t="n"/>
      <c r="AF1046" s="1392" t="n"/>
      <c r="AG1046" s="1392" t="n"/>
      <c r="AH1046" s="1392" t="n"/>
      <c r="AI1046" s="1392" t="n"/>
      <c r="AJ1046" s="1392" t="n"/>
      <c r="AK1046" s="1392" t="n"/>
      <c r="AL1046" s="1392" t="n"/>
      <c r="AM1046" s="1392" t="n"/>
      <c r="AN1046" s="1392" t="n"/>
      <c r="AO1046" s="1392" t="n"/>
      <c r="AP1046" s="1392" t="n"/>
      <c r="AQ1046" s="1392" t="n"/>
      <c r="AR1046" s="1422" t="n"/>
      <c r="AS1046" s="1422" t="n"/>
      <c r="AT1046" s="1392" t="n"/>
      <c r="AU1046" s="1392" t="n"/>
      <c r="AV1046" s="1392" t="n"/>
      <c r="AW1046" s="1392" t="n"/>
      <c r="AX1046" s="1392" t="n"/>
      <c r="AY1046" s="1392" t="n"/>
      <c r="AZ1046" s="1392" t="n"/>
      <c r="BA1046" s="1422" t="n"/>
      <c r="BB1046" s="1422" t="n"/>
      <c r="BC1046" s="1392" t="n"/>
      <c r="BD1046" s="1392" t="n"/>
      <c r="BE1046" s="1392" t="n"/>
      <c r="BF1046" s="1392" t="n"/>
      <c r="BG1046" s="1392" t="n"/>
      <c r="BH1046" s="1392" t="n"/>
      <c r="BI1046" s="1392" t="n"/>
      <c r="BJ1046" s="1392" t="n"/>
      <c r="BK1046" s="1392" t="n"/>
      <c r="BL1046" s="1392" t="n"/>
      <c r="BM1046" s="1392" t="n"/>
      <c r="BN1046" s="1392" t="n"/>
      <c r="BO1046" s="1392" t="n"/>
      <c r="BP1046" s="1392" t="n"/>
      <c r="BQ1046" s="1392" t="n"/>
      <c r="BR1046" s="1392" t="n"/>
      <c r="BS1046" s="1392" t="n"/>
      <c r="BT1046" s="1392" t="n"/>
      <c r="BU1046" s="1392" t="n"/>
      <c r="BV1046" s="1392" t="n"/>
      <c r="BW1046" s="1392" t="n"/>
      <c r="BX1046" s="1392" t="n"/>
      <c r="BY1046" s="1392" t="n"/>
      <c r="BZ1046" s="1392" t="n"/>
      <c r="CA1046" s="1392" t="n"/>
      <c r="CB1046" s="1392" t="n"/>
      <c r="CC1046" s="1392" t="n"/>
      <c r="CD1046" s="1392" t="n"/>
      <c r="CE1046" s="1392" t="n"/>
      <c r="CF1046" s="1392" t="n"/>
      <c r="CG1046" s="1392" t="n"/>
      <c r="CH1046" s="1392" t="n"/>
      <c r="CI1046" s="1392" t="n"/>
      <c r="CJ1046" s="1392" t="n"/>
      <c r="CK1046" s="1392" t="n"/>
      <c r="CL1046" s="1392" t="n"/>
    </row>
    <row r="1047">
      <c r="A1047" s="5" t="inlineStr">
        <is>
          <t>.</t>
        </is>
      </c>
      <c r="B1047" s="5" t="inlineStr">
        <is>
          <t>.</t>
        </is>
      </c>
      <c r="C1047" s="1378">
        <f>IF(raw[[#This Row],[city]]="","-",IF(raw[[#This Row],[city]]="TODAY","-",C1046+1))</f>
        <v/>
      </c>
      <c r="D1047" s="1393" t="inlineStr">
        <is>
          <t>Paris</t>
        </is>
      </c>
      <c r="E1047" s="1394" t="n">
        <v>39295</v>
      </c>
      <c r="F1047" s="1394" t="n">
        <v>39298</v>
      </c>
      <c r="G1047" s="1393" t="inlineStr">
        <is>
          <t>-</t>
        </is>
      </c>
      <c r="H1047" s="1393" t="inlineStr">
        <is>
          <t>Transit</t>
        </is>
      </c>
      <c r="I1047" s="1393" t="inlineStr">
        <is>
          <t>Mauricio</t>
        </is>
      </c>
      <c r="J1047" s="1393" t="inlineStr">
        <is>
          <t>-</t>
        </is>
      </c>
      <c r="K1047" s="1395">
        <f>IF(raw[[#This Row],[city]]&lt;&gt;"",_xlfn.XLOOKUP($D1047,ccc[city],ccc[prov],"-"),"-")</f>
        <v/>
      </c>
      <c r="L1047" s="1395">
        <f>IF(raw[[#This Row],[city]]&lt;&gt;"",_xlfn.XLOOKUP($D1047,ccc[city],ccc[ctry],"-"),"-")</f>
        <v/>
      </c>
      <c r="M1047" s="1395">
        <f>IF(raw[[#This Row],[city]]&lt;&gt;"",_xlfn.XLOOKUP($D1047,ccc[city],ccc[cont],"-"),"-")</f>
        <v/>
      </c>
      <c r="N1047" s="1396">
        <f>IF(raw[[#This Row],[city]]="","-",IF(raw[[#This Row],[cont]]="B",raw[[#This Row],[cont]],"W"))</f>
        <v/>
      </c>
      <c r="O1047" s="1397">
        <f>IF(raw[[#This Row],[out]]=0,0,IF(raw[[#This Row],[out]]=raw[[#This Row],[in]],0.01,raw[[#This Row],[out]]-raw[[#This Row],[in]]))</f>
        <v/>
      </c>
      <c r="P1047" s="1397">
        <f>IF(raw[[#This Row],[in]]=0,0,MONTH(raw[[#This Row],[in]]))</f>
        <v/>
      </c>
      <c r="Q1047" s="1397">
        <f>IF(raw[[#This Row],[in]]=0,0,YEAR(raw[[#This Row],[in]]))</f>
        <v/>
      </c>
      <c r="R1047" s="1397">
        <f>INT(raw[[#This Row],[yr]]/10)*10</f>
        <v/>
      </c>
      <c r="S1047" s="1395">
        <f>IF(raw[[#This Row],[city]]="","-",IF(raw[[#This Row],[city]]&lt;&gt;_xlfn.XLOOKUP(raw[[#This Row],[home]],homes[home],homes[city],"-"),1,0))</f>
        <v/>
      </c>
      <c r="T1047" s="1398" t="inlineStr">
        <is>
          <t>.</t>
        </is>
      </c>
      <c r="U1047" s="1399">
        <f>IF(raw[[#This Row],[wb]]="w",raw[[#This Row],[stay]]+U1046,U1046)</f>
        <v/>
      </c>
      <c r="V1047" s="1400">
        <f>IF(raw[[#This Row],[out]]=0,V1046,(raw[[#This Row],[out]]-E$5))</f>
        <v/>
      </c>
      <c r="W1047" s="1401">
        <f>U1047/V1047</f>
        <v/>
      </c>
      <c r="X1047" s="1392" t="n"/>
      <c r="Y1047" s="1392" t="n"/>
      <c r="Z1047" s="1392" t="n"/>
      <c r="AA1047" s="1392" t="n"/>
      <c r="AB1047" s="1392" t="n"/>
      <c r="AC1047" s="1392" t="n"/>
      <c r="AD1047" s="1392" t="n"/>
      <c r="AE1047" s="1392" t="n"/>
      <c r="AF1047" s="1392" t="n"/>
      <c r="AG1047" s="1392" t="n"/>
      <c r="AH1047" s="1392" t="n"/>
      <c r="AI1047" s="1392" t="n"/>
      <c r="AJ1047" s="1392" t="n"/>
      <c r="AK1047" s="1392" t="n"/>
      <c r="AL1047" s="1392" t="n"/>
      <c r="AM1047" s="1392" t="n"/>
      <c r="AN1047" s="1392" t="n"/>
      <c r="AO1047" s="1392" t="n"/>
      <c r="AP1047" s="1392" t="n"/>
      <c r="AQ1047" s="1392" t="n"/>
      <c r="AR1047" s="1422" t="n"/>
      <c r="AS1047" s="1422" t="n"/>
      <c r="AT1047" s="1392" t="n"/>
      <c r="AU1047" s="1392" t="n"/>
      <c r="AV1047" s="1392" t="n"/>
      <c r="AW1047" s="1392" t="n"/>
      <c r="AX1047" s="1392" t="n"/>
      <c r="AY1047" s="1392" t="n"/>
      <c r="AZ1047" s="1392" t="n"/>
      <c r="BA1047" s="1422" t="n"/>
      <c r="BB1047" s="1422" t="n"/>
      <c r="BC1047" s="1392" t="n"/>
      <c r="BD1047" s="1392" t="n"/>
      <c r="BE1047" s="1392" t="n"/>
      <c r="BF1047" s="1392" t="n"/>
      <c r="BG1047" s="1392" t="n"/>
      <c r="BH1047" s="1392" t="n"/>
      <c r="BI1047" s="1392" t="n"/>
      <c r="BJ1047" s="1392" t="n"/>
      <c r="BK1047" s="1392" t="n"/>
      <c r="BL1047" s="1392" t="n"/>
      <c r="BM1047" s="1392" t="n"/>
      <c r="BN1047" s="1392" t="n"/>
      <c r="BO1047" s="1392" t="n"/>
      <c r="BP1047" s="1392" t="n"/>
      <c r="BQ1047" s="1392" t="n"/>
      <c r="BR1047" s="1392" t="n"/>
      <c r="BS1047" s="1392" t="n"/>
      <c r="BT1047" s="1392" t="n"/>
      <c r="BU1047" s="1392" t="n"/>
      <c r="BV1047" s="1392" t="n"/>
      <c r="BW1047" s="1392" t="n"/>
      <c r="BX1047" s="1392" t="n"/>
      <c r="BY1047" s="1392" t="n"/>
      <c r="BZ1047" s="1392" t="n"/>
      <c r="CA1047" s="1392" t="n"/>
      <c r="CB1047" s="1392" t="n"/>
      <c r="CC1047" s="1392" t="n"/>
      <c r="CD1047" s="1392" t="n"/>
      <c r="CE1047" s="1392" t="n"/>
      <c r="CF1047" s="1392" t="n"/>
      <c r="CG1047" s="1392" t="n"/>
      <c r="CH1047" s="1392" t="n"/>
      <c r="CI1047" s="1392" t="n"/>
      <c r="CJ1047" s="1392" t="n"/>
      <c r="CK1047" s="1392" t="n"/>
      <c r="CL1047" s="1392" t="n"/>
    </row>
    <row r="1048">
      <c r="A1048" s="5" t="inlineStr">
        <is>
          <t>.</t>
        </is>
      </c>
      <c r="B1048" s="5" t="inlineStr">
        <is>
          <t>.</t>
        </is>
      </c>
      <c r="C1048" s="1378">
        <f>IF(raw[[#This Row],[city]]="","-",IF(raw[[#This Row],[city]]="TODAY","-",C1047+1))</f>
        <v/>
      </c>
      <c r="D1048" s="1393" t="inlineStr">
        <is>
          <t>Toulouse</t>
        </is>
      </c>
      <c r="E1048" s="1394" t="n">
        <v>39298</v>
      </c>
      <c r="F1048" s="1394" t="n">
        <v>39298</v>
      </c>
      <c r="G1048" s="1393" t="inlineStr">
        <is>
          <t>-</t>
        </is>
      </c>
      <c r="H1048" s="1393" t="inlineStr">
        <is>
          <t>Transit</t>
        </is>
      </c>
      <c r="I1048" s="1393" t="inlineStr">
        <is>
          <t>-</t>
        </is>
      </c>
      <c r="J1048" s="1393" t="inlineStr">
        <is>
          <t>-</t>
        </is>
      </c>
      <c r="K1048" s="1395">
        <f>IF(raw[[#This Row],[city]]&lt;&gt;"",_xlfn.XLOOKUP($D1048,ccc[city],ccc[prov],"-"),"-")</f>
        <v/>
      </c>
      <c r="L1048" s="1395">
        <f>IF(raw[[#This Row],[city]]&lt;&gt;"",_xlfn.XLOOKUP($D1048,ccc[city],ccc[ctry],"-"),"-")</f>
        <v/>
      </c>
      <c r="M1048" s="1395">
        <f>IF(raw[[#This Row],[city]]&lt;&gt;"",_xlfn.XLOOKUP($D1048,ccc[city],ccc[cont],"-"),"-")</f>
        <v/>
      </c>
      <c r="N1048" s="1396">
        <f>IF(raw[[#This Row],[city]]="","-",IF(raw[[#This Row],[cont]]="B",raw[[#This Row],[cont]],"W"))</f>
        <v/>
      </c>
      <c r="O1048" s="1397">
        <f>IF(raw[[#This Row],[out]]=0,0,IF(raw[[#This Row],[out]]=raw[[#This Row],[in]],0.01,raw[[#This Row],[out]]-raw[[#This Row],[in]]))</f>
        <v/>
      </c>
      <c r="P1048" s="1397">
        <f>IF(raw[[#This Row],[in]]=0,0,MONTH(raw[[#This Row],[in]]))</f>
        <v/>
      </c>
      <c r="Q1048" s="1397">
        <f>IF(raw[[#This Row],[in]]=0,0,YEAR(raw[[#This Row],[in]]))</f>
        <v/>
      </c>
      <c r="R1048" s="1397">
        <f>INT(raw[[#This Row],[yr]]/10)*10</f>
        <v/>
      </c>
      <c r="S1048" s="1395">
        <f>IF(raw[[#This Row],[city]]="","-",IF(raw[[#This Row],[city]]&lt;&gt;_xlfn.XLOOKUP(raw[[#This Row],[home]],homes[home],homes[city],"-"),1,0))</f>
        <v/>
      </c>
      <c r="T1048" s="1398" t="inlineStr">
        <is>
          <t>.</t>
        </is>
      </c>
      <c r="U1048" s="1399">
        <f>IF(raw[[#This Row],[wb]]="w",raw[[#This Row],[stay]]+U1047,U1047)</f>
        <v/>
      </c>
      <c r="V1048" s="1400">
        <f>IF(raw[[#This Row],[out]]=0,V1047,(raw[[#This Row],[out]]-E$5))</f>
        <v/>
      </c>
      <c r="W1048" s="1401">
        <f>U1048/V1048</f>
        <v/>
      </c>
      <c r="X1048" s="1392" t="n"/>
      <c r="Y1048" s="1392" t="n"/>
      <c r="Z1048" s="1392" t="n"/>
      <c r="AA1048" s="1392" t="n"/>
      <c r="AB1048" s="1392" t="n"/>
      <c r="AC1048" s="1392" t="n"/>
      <c r="AD1048" s="1392" t="n"/>
      <c r="AE1048" s="1392" t="n"/>
      <c r="AF1048" s="1392" t="n"/>
      <c r="AG1048" s="1392" t="n"/>
      <c r="AH1048" s="1392" t="n"/>
      <c r="AI1048" s="1392" t="n"/>
      <c r="AJ1048" s="1392" t="n"/>
      <c r="AK1048" s="1392" t="n"/>
      <c r="AL1048" s="1392" t="n"/>
      <c r="AM1048" s="1392" t="n"/>
      <c r="AN1048" s="1392" t="n"/>
      <c r="AO1048" s="1392" t="n"/>
      <c r="AP1048" s="1392" t="n"/>
      <c r="AQ1048" s="1392" t="n"/>
      <c r="AR1048" s="1422" t="n"/>
      <c r="AS1048" s="1422" t="n"/>
      <c r="AT1048" s="1392" t="n"/>
      <c r="AU1048" s="1392" t="n"/>
      <c r="AV1048" s="1392" t="n"/>
      <c r="AW1048" s="1392" t="n"/>
      <c r="AX1048" s="1392" t="n"/>
      <c r="AY1048" s="1392" t="n"/>
      <c r="AZ1048" s="1392" t="n"/>
      <c r="BA1048" s="1422" t="n"/>
      <c r="BB1048" s="1422" t="n"/>
      <c r="BC1048" s="1392" t="n"/>
      <c r="BD1048" s="1392" t="n"/>
      <c r="BE1048" s="1392" t="n"/>
      <c r="BF1048" s="1392" t="n"/>
      <c r="BG1048" s="1392" t="n"/>
      <c r="BH1048" s="1392" t="n"/>
      <c r="BI1048" s="1392" t="n"/>
      <c r="BJ1048" s="1392" t="n"/>
      <c r="BK1048" s="1392" t="n"/>
      <c r="BL1048" s="1392" t="n"/>
      <c r="BM1048" s="1392" t="n"/>
      <c r="BN1048" s="1392" t="n"/>
      <c r="BO1048" s="1392" t="n"/>
      <c r="BP1048" s="1392" t="n"/>
      <c r="BQ1048" s="1392" t="n"/>
      <c r="BR1048" s="1392" t="n"/>
      <c r="BS1048" s="1392" t="n"/>
      <c r="BT1048" s="1392" t="n"/>
      <c r="BU1048" s="1392" t="n"/>
      <c r="BV1048" s="1392" t="n"/>
      <c r="BW1048" s="1392" t="n"/>
      <c r="BX1048" s="1392" t="n"/>
      <c r="BY1048" s="1392" t="n"/>
      <c r="BZ1048" s="1392" t="n"/>
      <c r="CA1048" s="1392" t="n"/>
      <c r="CB1048" s="1392" t="n"/>
      <c r="CC1048" s="1392" t="n"/>
      <c r="CD1048" s="1392" t="n"/>
      <c r="CE1048" s="1392" t="n"/>
      <c r="CF1048" s="1392" t="n"/>
      <c r="CG1048" s="1392" t="n"/>
      <c r="CH1048" s="1392" t="n"/>
      <c r="CI1048" s="1392" t="n"/>
      <c r="CJ1048" s="1392" t="n"/>
      <c r="CK1048" s="1392" t="n"/>
      <c r="CL1048" s="1392" t="n"/>
    </row>
    <row r="1049">
      <c r="A1049" s="5" t="inlineStr">
        <is>
          <t>.</t>
        </is>
      </c>
      <c r="B1049" s="5" t="inlineStr">
        <is>
          <t>.</t>
        </is>
      </c>
      <c r="C1049" s="1378">
        <f>IF(raw[[#This Row],[city]]="","-",IF(raw[[#This Row],[city]]="TODAY","-",C1048+1))</f>
        <v/>
      </c>
      <c r="D1049" s="1393" t="inlineStr">
        <is>
          <t>train FRA</t>
        </is>
      </c>
      <c r="E1049" s="1394" t="n">
        <v>39298</v>
      </c>
      <c r="F1049" s="1394" t="n">
        <v>39299</v>
      </c>
      <c r="G1049" s="1393" t="inlineStr">
        <is>
          <t>-</t>
        </is>
      </c>
      <c r="H1049" s="1393" t="inlineStr">
        <is>
          <t>Transit</t>
        </is>
      </c>
      <c r="I1049" s="1393" t="inlineStr">
        <is>
          <t>-</t>
        </is>
      </c>
      <c r="J1049" s="1393" t="inlineStr">
        <is>
          <t>-</t>
        </is>
      </c>
      <c r="K1049" s="1395">
        <f>IF(raw[[#This Row],[city]]&lt;&gt;"",_xlfn.XLOOKUP($D1049,ccc[city],ccc[prov],"-"),"-")</f>
        <v/>
      </c>
      <c r="L1049" s="1395">
        <f>IF(raw[[#This Row],[city]]&lt;&gt;"",_xlfn.XLOOKUP($D1049,ccc[city],ccc[ctry],"-"),"-")</f>
        <v/>
      </c>
      <c r="M1049" s="1395">
        <f>IF(raw[[#This Row],[city]]&lt;&gt;"",_xlfn.XLOOKUP($D1049,ccc[city],ccc[cont],"-"),"-")</f>
        <v/>
      </c>
      <c r="N1049" s="1396">
        <f>IF(raw[[#This Row],[city]]="","-",IF(raw[[#This Row],[cont]]="B",raw[[#This Row],[cont]],"W"))</f>
        <v/>
      </c>
      <c r="O1049" s="1397">
        <f>IF(raw[[#This Row],[out]]=0,0,IF(raw[[#This Row],[out]]=raw[[#This Row],[in]],0.01,raw[[#This Row],[out]]-raw[[#This Row],[in]]))</f>
        <v/>
      </c>
      <c r="P1049" s="1397">
        <f>IF(raw[[#This Row],[in]]=0,0,MONTH(raw[[#This Row],[in]]))</f>
        <v/>
      </c>
      <c r="Q1049" s="1397">
        <f>IF(raw[[#This Row],[in]]=0,0,YEAR(raw[[#This Row],[in]]))</f>
        <v/>
      </c>
      <c r="R1049" s="1397">
        <f>INT(raw[[#This Row],[yr]]/10)*10</f>
        <v/>
      </c>
      <c r="S1049" s="1395">
        <f>IF(raw[[#This Row],[city]]="","-",IF(raw[[#This Row],[city]]&lt;&gt;_xlfn.XLOOKUP(raw[[#This Row],[home]],homes[home],homes[city],"-"),1,0))</f>
        <v/>
      </c>
      <c r="T1049" s="1398" t="inlineStr">
        <is>
          <t>.</t>
        </is>
      </c>
      <c r="U1049" s="1399">
        <f>IF(raw[[#This Row],[wb]]="w",raw[[#This Row],[stay]]+U1048,U1048)</f>
        <v/>
      </c>
      <c r="V1049" s="1400">
        <f>IF(raw[[#This Row],[out]]=0,V1048,(raw[[#This Row],[out]]-E$5))</f>
        <v/>
      </c>
      <c r="W1049" s="1401">
        <f>U1049/V1049</f>
        <v/>
      </c>
      <c r="X1049" s="1392" t="n"/>
      <c r="Y1049" s="1392" t="n"/>
      <c r="Z1049" s="1392" t="n"/>
      <c r="AA1049" s="1392" t="n"/>
      <c r="AB1049" s="1392" t="n"/>
      <c r="AC1049" s="1392" t="n"/>
      <c r="AD1049" s="1392" t="n"/>
      <c r="AE1049" s="1392" t="n"/>
      <c r="AF1049" s="1392" t="n"/>
      <c r="AG1049" s="1392" t="n"/>
      <c r="AH1049" s="1392" t="n"/>
      <c r="AI1049" s="1392" t="n"/>
      <c r="AJ1049" s="1392" t="n"/>
      <c r="AK1049" s="1392" t="n"/>
      <c r="AL1049" s="1392" t="n"/>
      <c r="AM1049" s="1392" t="n"/>
      <c r="AN1049" s="1392" t="n"/>
      <c r="AO1049" s="1392" t="n"/>
      <c r="AP1049" s="1392" t="n"/>
      <c r="AQ1049" s="1392" t="n"/>
      <c r="AR1049" s="1422" t="n"/>
      <c r="AS1049" s="1422" t="n"/>
      <c r="AT1049" s="1392" t="n"/>
      <c r="AU1049" s="1392" t="n"/>
      <c r="AV1049" s="1392" t="n"/>
      <c r="AW1049" s="1392" t="n"/>
      <c r="AX1049" s="1392" t="n"/>
      <c r="AY1049" s="1392" t="n"/>
      <c r="AZ1049" s="1392" t="n"/>
      <c r="BA1049" s="1422" t="n"/>
      <c r="BB1049" s="1422" t="n"/>
      <c r="BC1049" s="1392" t="n"/>
      <c r="BD1049" s="1392" t="n"/>
      <c r="BE1049" s="1392" t="n"/>
      <c r="BF1049" s="1392" t="n"/>
      <c r="BG1049" s="1392" t="n"/>
      <c r="BH1049" s="1392" t="n"/>
      <c r="BI1049" s="1392" t="n"/>
      <c r="BJ1049" s="1392" t="n"/>
      <c r="BK1049" s="1392" t="n"/>
      <c r="BL1049" s="1392" t="n"/>
      <c r="BM1049" s="1392" t="n"/>
      <c r="BN1049" s="1392" t="n"/>
      <c r="BO1049" s="1392" t="n"/>
      <c r="BP1049" s="1392" t="n"/>
      <c r="BQ1049" s="1392" t="n"/>
      <c r="BR1049" s="1392" t="n"/>
      <c r="BS1049" s="1392" t="n"/>
      <c r="BT1049" s="1392" t="n"/>
      <c r="BU1049" s="1392" t="n"/>
      <c r="BV1049" s="1392" t="n"/>
      <c r="BW1049" s="1392" t="n"/>
      <c r="BX1049" s="1392" t="n"/>
      <c r="BY1049" s="1392" t="n"/>
      <c r="BZ1049" s="1392" t="n"/>
      <c r="CA1049" s="1392" t="n"/>
      <c r="CB1049" s="1392" t="n"/>
      <c r="CC1049" s="1392" t="n"/>
      <c r="CD1049" s="1392" t="n"/>
      <c r="CE1049" s="1392" t="n"/>
      <c r="CF1049" s="1392" t="n"/>
      <c r="CG1049" s="1392" t="n"/>
      <c r="CH1049" s="1392" t="n"/>
      <c r="CI1049" s="1392" t="n"/>
      <c r="CJ1049" s="1392" t="n"/>
      <c r="CK1049" s="1392" t="n"/>
      <c r="CL1049" s="1392" t="n"/>
    </row>
    <row r="1050">
      <c r="A1050" s="5" t="inlineStr">
        <is>
          <t>.</t>
        </is>
      </c>
      <c r="B1050" s="5" t="inlineStr">
        <is>
          <t>.</t>
        </is>
      </c>
      <c r="C1050" s="1378">
        <f>IF(raw[[#This Row],[city]]="","-",IF(raw[[#This Row],[city]]="TODAY","-",C1049+1))</f>
        <v/>
      </c>
      <c r="D1050" s="1393" t="inlineStr">
        <is>
          <t>Barcelona</t>
        </is>
      </c>
      <c r="E1050" s="1394" t="n">
        <v>39299</v>
      </c>
      <c r="F1050" s="1394" t="n">
        <v>39316</v>
      </c>
      <c r="G1050" s="1393" t="inlineStr">
        <is>
          <t>-</t>
        </is>
      </c>
      <c r="H1050" s="1393" t="inlineStr">
        <is>
          <t>Bailen</t>
        </is>
      </c>
      <c r="I1050" s="1393" t="inlineStr">
        <is>
          <t>-</t>
        </is>
      </c>
      <c r="J1050" s="1393" t="inlineStr">
        <is>
          <t>-</t>
        </is>
      </c>
      <c r="K1050" s="1395">
        <f>IF(raw[[#This Row],[city]]&lt;&gt;"",_xlfn.XLOOKUP($D1050,ccc[city],ccc[prov],"-"),"-")</f>
        <v/>
      </c>
      <c r="L1050" s="1395">
        <f>IF(raw[[#This Row],[city]]&lt;&gt;"",_xlfn.XLOOKUP($D1050,ccc[city],ccc[ctry],"-"),"-")</f>
        <v/>
      </c>
      <c r="M1050" s="1395">
        <f>IF(raw[[#This Row],[city]]&lt;&gt;"",_xlfn.XLOOKUP($D1050,ccc[city],ccc[cont],"-"),"-")</f>
        <v/>
      </c>
      <c r="N1050" s="1396">
        <f>IF(raw[[#This Row],[city]]="","-",IF(raw[[#This Row],[cont]]="B",raw[[#This Row],[cont]],"W"))</f>
        <v/>
      </c>
      <c r="O1050" s="1397">
        <f>IF(raw[[#This Row],[out]]=0,0,IF(raw[[#This Row],[out]]=raw[[#This Row],[in]],0.01,raw[[#This Row],[out]]-raw[[#This Row],[in]]))</f>
        <v/>
      </c>
      <c r="P1050" s="1397">
        <f>IF(raw[[#This Row],[in]]=0,0,MONTH(raw[[#This Row],[in]]))</f>
        <v/>
      </c>
      <c r="Q1050" s="1397">
        <f>IF(raw[[#This Row],[in]]=0,0,YEAR(raw[[#This Row],[in]]))</f>
        <v/>
      </c>
      <c r="R1050" s="1397">
        <f>INT(raw[[#This Row],[yr]]/10)*10</f>
        <v/>
      </c>
      <c r="S1050" s="1395">
        <f>IF(raw[[#This Row],[city]]="","-",IF(raw[[#This Row],[city]]&lt;&gt;_xlfn.XLOOKUP(raw[[#This Row],[home]],homes[home],homes[city],"-"),1,0))</f>
        <v/>
      </c>
      <c r="T1050" s="1398" t="inlineStr">
        <is>
          <t>.</t>
        </is>
      </c>
      <c r="U1050" s="1399">
        <f>IF(raw[[#This Row],[wb]]="w",raw[[#This Row],[stay]]+U1049,U1049)</f>
        <v/>
      </c>
      <c r="V1050" s="1400">
        <f>IF(raw[[#This Row],[out]]=0,V1049,(raw[[#This Row],[out]]-E$5))</f>
        <v/>
      </c>
      <c r="W1050" s="1401">
        <f>U1050/V1050</f>
        <v/>
      </c>
      <c r="X1050" s="1392" t="n"/>
      <c r="Y1050" s="1392" t="n"/>
      <c r="Z1050" s="1392" t="n"/>
      <c r="AA1050" s="1392" t="n"/>
      <c r="AB1050" s="1392" t="n"/>
      <c r="AC1050" s="1392" t="n"/>
      <c r="AD1050" s="1392" t="n"/>
      <c r="AE1050" s="1392" t="n"/>
      <c r="AF1050" s="1392" t="n"/>
      <c r="AG1050" s="1392" t="n"/>
      <c r="AH1050" s="1392" t="n"/>
      <c r="AI1050" s="1392" t="n"/>
      <c r="AJ1050" s="1392" t="n"/>
      <c r="AK1050" s="1392" t="n"/>
      <c r="AL1050" s="1392" t="n"/>
      <c r="AM1050" s="1392" t="n"/>
      <c r="AN1050" s="1392" t="n"/>
      <c r="AO1050" s="1392" t="n"/>
      <c r="AP1050" s="1392" t="n"/>
      <c r="AQ1050" s="1392" t="n"/>
      <c r="AR1050" s="1422" t="n"/>
      <c r="AS1050" s="1422" t="n"/>
      <c r="AT1050" s="1392" t="n"/>
      <c r="AU1050" s="1392" t="n"/>
      <c r="AV1050" s="1392" t="n"/>
      <c r="AW1050" s="1392" t="n"/>
      <c r="AX1050" s="1392" t="n"/>
      <c r="AY1050" s="1392" t="n"/>
      <c r="AZ1050" s="1392" t="n"/>
      <c r="BA1050" s="1422" t="n"/>
      <c r="BB1050" s="1422" t="n"/>
      <c r="BC1050" s="1392" t="n"/>
      <c r="BD1050" s="1392" t="n"/>
      <c r="BE1050" s="1392" t="n"/>
      <c r="BF1050" s="1392" t="n"/>
      <c r="BG1050" s="1392" t="n"/>
      <c r="BH1050" s="1392" t="n"/>
      <c r="BI1050" s="1392" t="n"/>
      <c r="BJ1050" s="1392" t="n"/>
      <c r="BK1050" s="1392" t="n"/>
      <c r="BL1050" s="1392" t="n"/>
      <c r="BM1050" s="1392" t="n"/>
      <c r="BN1050" s="1392" t="n"/>
      <c r="BO1050" s="1392" t="n"/>
      <c r="BP1050" s="1392" t="n"/>
      <c r="BQ1050" s="1392" t="n"/>
      <c r="BR1050" s="1392" t="n"/>
      <c r="BS1050" s="1392" t="n"/>
      <c r="BT1050" s="1392" t="n"/>
      <c r="BU1050" s="1392" t="n"/>
      <c r="BV1050" s="1392" t="n"/>
      <c r="BW1050" s="1392" t="n"/>
      <c r="BX1050" s="1392" t="n"/>
      <c r="BY1050" s="1392" t="n"/>
      <c r="BZ1050" s="1392" t="n"/>
      <c r="CA1050" s="1392" t="n"/>
      <c r="CB1050" s="1392" t="n"/>
      <c r="CC1050" s="1392" t="n"/>
      <c r="CD1050" s="1392" t="n"/>
      <c r="CE1050" s="1392" t="n"/>
      <c r="CF1050" s="1392" t="n"/>
      <c r="CG1050" s="1392" t="n"/>
      <c r="CH1050" s="1392" t="n"/>
      <c r="CI1050" s="1392" t="n"/>
      <c r="CJ1050" s="1392" t="n"/>
      <c r="CK1050" s="1392" t="n"/>
      <c r="CL1050" s="1392" t="n"/>
    </row>
    <row r="1051">
      <c r="A1051" s="5" t="inlineStr">
        <is>
          <t>.</t>
        </is>
      </c>
      <c r="B1051" s="5" t="inlineStr">
        <is>
          <t>.</t>
        </is>
      </c>
      <c r="C1051" s="1378">
        <f>IF(raw[[#This Row],[city]]="","-",IF(raw[[#This Row],[city]]="TODAY","-",C1050+1))</f>
        <v/>
      </c>
      <c r="D1051" s="1393" t="inlineStr">
        <is>
          <t>Saint Feliu de Guixoi</t>
        </is>
      </c>
      <c r="E1051" s="1394" t="n">
        <v>39316</v>
      </c>
      <c r="F1051" s="1394" t="n">
        <v>39316</v>
      </c>
      <c r="G1051" s="1393" t="inlineStr">
        <is>
          <t>-</t>
        </is>
      </c>
      <c r="H1051" s="1393" t="inlineStr">
        <is>
          <t>Bailen</t>
        </is>
      </c>
      <c r="I1051" s="1393" t="inlineStr">
        <is>
          <t>-</t>
        </is>
      </c>
      <c r="J1051" s="1393" t="inlineStr">
        <is>
          <t>-</t>
        </is>
      </c>
      <c r="K1051" s="1395">
        <f>IF(raw[[#This Row],[city]]&lt;&gt;"",_xlfn.XLOOKUP($D1051,ccc[city],ccc[prov],"-"),"-")</f>
        <v/>
      </c>
      <c r="L1051" s="1395">
        <f>IF(raw[[#This Row],[city]]&lt;&gt;"",_xlfn.XLOOKUP($D1051,ccc[city],ccc[ctry],"-"),"-")</f>
        <v/>
      </c>
      <c r="M1051" s="1395">
        <f>IF(raw[[#This Row],[city]]&lt;&gt;"",_xlfn.XLOOKUP($D1051,ccc[city],ccc[cont],"-"),"-")</f>
        <v/>
      </c>
      <c r="N1051" s="1396">
        <f>IF(raw[[#This Row],[city]]="","-",IF(raw[[#This Row],[cont]]="B",raw[[#This Row],[cont]],"W"))</f>
        <v/>
      </c>
      <c r="O1051" s="1397">
        <f>IF(raw[[#This Row],[out]]=0,0,IF(raw[[#This Row],[out]]=raw[[#This Row],[in]],0.01,raw[[#This Row],[out]]-raw[[#This Row],[in]]))</f>
        <v/>
      </c>
      <c r="P1051" s="1397">
        <f>IF(raw[[#This Row],[in]]=0,0,MONTH(raw[[#This Row],[in]]))</f>
        <v/>
      </c>
      <c r="Q1051" s="1397">
        <f>IF(raw[[#This Row],[in]]=0,0,YEAR(raw[[#This Row],[in]]))</f>
        <v/>
      </c>
      <c r="R1051" s="1397">
        <f>INT(raw[[#This Row],[yr]]/10)*10</f>
        <v/>
      </c>
      <c r="S1051" s="1395">
        <f>IF(raw[[#This Row],[city]]="","-",IF(raw[[#This Row],[city]]&lt;&gt;_xlfn.XLOOKUP(raw[[#This Row],[home]],homes[home],homes[city],"-"),1,0))</f>
        <v/>
      </c>
      <c r="T1051" s="1398" t="inlineStr">
        <is>
          <t>.</t>
        </is>
      </c>
      <c r="U1051" s="1399">
        <f>IF(raw[[#This Row],[wb]]="w",raw[[#This Row],[stay]]+U1050,U1050)</f>
        <v/>
      </c>
      <c r="V1051" s="1400">
        <f>IF(raw[[#This Row],[out]]=0,V1050,(raw[[#This Row],[out]]-E$5))</f>
        <v/>
      </c>
      <c r="W1051" s="1401">
        <f>U1051/V1051</f>
        <v/>
      </c>
      <c r="X1051" s="1392" t="n"/>
      <c r="Y1051" s="1392" t="n"/>
      <c r="Z1051" s="1392" t="n"/>
      <c r="AA1051" s="1392" t="n"/>
      <c r="AB1051" s="1392" t="n"/>
      <c r="AC1051" s="1392" t="n"/>
      <c r="AD1051" s="1392" t="n"/>
      <c r="AE1051" s="1392" t="n"/>
      <c r="AF1051" s="1392" t="n"/>
      <c r="AG1051" s="1392" t="n"/>
      <c r="AH1051" s="1392" t="n"/>
      <c r="AI1051" s="1392" t="n"/>
      <c r="AJ1051" s="1392" t="n"/>
      <c r="AK1051" s="1392" t="n"/>
      <c r="AL1051" s="1392" t="n"/>
      <c r="AM1051" s="1392" t="n"/>
      <c r="AN1051" s="1392" t="n"/>
      <c r="AO1051" s="1392" t="n"/>
      <c r="AP1051" s="1392" t="n"/>
      <c r="AQ1051" s="1392" t="n"/>
      <c r="AR1051" s="1422" t="n"/>
      <c r="AS1051" s="1422" t="n"/>
      <c r="AT1051" s="1392" t="n"/>
      <c r="AU1051" s="1392" t="n"/>
      <c r="AV1051" s="1392" t="n"/>
      <c r="AW1051" s="1392" t="n"/>
      <c r="AX1051" s="1392" t="n"/>
      <c r="AY1051" s="1392" t="n"/>
      <c r="AZ1051" s="1392" t="n"/>
      <c r="BA1051" s="1422" t="n"/>
      <c r="BB1051" s="1422" t="n"/>
      <c r="BC1051" s="1392" t="n"/>
      <c r="BD1051" s="1392" t="n"/>
      <c r="BE1051" s="1392" t="n"/>
      <c r="BF1051" s="1392" t="n"/>
      <c r="BG1051" s="1392" t="n"/>
      <c r="BH1051" s="1392" t="n"/>
      <c r="BI1051" s="1392" t="n"/>
      <c r="BJ1051" s="1392" t="n"/>
      <c r="BK1051" s="1392" t="n"/>
      <c r="BL1051" s="1392" t="n"/>
      <c r="BM1051" s="1392" t="n"/>
      <c r="BN1051" s="1392" t="n"/>
      <c r="BO1051" s="1392" t="n"/>
      <c r="BP1051" s="1392" t="n"/>
      <c r="BQ1051" s="1392" t="n"/>
      <c r="BR1051" s="1392" t="n"/>
      <c r="BS1051" s="1392" t="n"/>
      <c r="BT1051" s="1392" t="n"/>
      <c r="BU1051" s="1392" t="n"/>
      <c r="BV1051" s="1392" t="n"/>
      <c r="BW1051" s="1392" t="n"/>
      <c r="BX1051" s="1392" t="n"/>
      <c r="BY1051" s="1392" t="n"/>
      <c r="BZ1051" s="1392" t="n"/>
      <c r="CA1051" s="1392" t="n"/>
      <c r="CB1051" s="1392" t="n"/>
      <c r="CC1051" s="1392" t="n"/>
      <c r="CD1051" s="1392" t="n"/>
      <c r="CE1051" s="1392" t="n"/>
      <c r="CF1051" s="1392" t="n"/>
      <c r="CG1051" s="1392" t="n"/>
      <c r="CH1051" s="1392" t="n"/>
      <c r="CI1051" s="1392" t="n"/>
      <c r="CJ1051" s="1392" t="n"/>
      <c r="CK1051" s="1392" t="n"/>
      <c r="CL1051" s="1392" t="n"/>
    </row>
    <row r="1052">
      <c r="A1052" s="5" t="inlineStr">
        <is>
          <t>.</t>
        </is>
      </c>
      <c r="B1052" s="5" t="inlineStr">
        <is>
          <t>.</t>
        </is>
      </c>
      <c r="C1052" s="1378">
        <f>IF(raw[[#This Row],[city]]="","-",IF(raw[[#This Row],[city]]="TODAY","-",C1051+1))</f>
        <v/>
      </c>
      <c r="D1052" s="1393" t="inlineStr">
        <is>
          <t>Barcelona</t>
        </is>
      </c>
      <c r="E1052" s="1394" t="n">
        <v>39316</v>
      </c>
      <c r="F1052" s="1394" t="n">
        <v>39326</v>
      </c>
      <c r="G1052" s="1393" t="inlineStr">
        <is>
          <t>-</t>
        </is>
      </c>
      <c r="H1052" s="1393" t="inlineStr">
        <is>
          <t>Bailen</t>
        </is>
      </c>
      <c r="I1052" s="1393" t="inlineStr">
        <is>
          <t>-</t>
        </is>
      </c>
      <c r="J1052" s="1393" t="inlineStr">
        <is>
          <t>BDAY</t>
        </is>
      </c>
      <c r="K1052" s="1395">
        <f>IF(raw[[#This Row],[city]]&lt;&gt;"",_xlfn.XLOOKUP($D1052,ccc[city],ccc[prov],"-"),"-")</f>
        <v/>
      </c>
      <c r="L1052" s="1395">
        <f>IF(raw[[#This Row],[city]]&lt;&gt;"",_xlfn.XLOOKUP($D1052,ccc[city],ccc[ctry],"-"),"-")</f>
        <v/>
      </c>
      <c r="M1052" s="1395">
        <f>IF(raw[[#This Row],[city]]&lt;&gt;"",_xlfn.XLOOKUP($D1052,ccc[city],ccc[cont],"-"),"-")</f>
        <v/>
      </c>
      <c r="N1052" s="1396">
        <f>IF(raw[[#This Row],[city]]="","-",IF(raw[[#This Row],[cont]]="B",raw[[#This Row],[cont]],"W"))</f>
        <v/>
      </c>
      <c r="O1052" s="1397">
        <f>IF(raw[[#This Row],[out]]=0,0,IF(raw[[#This Row],[out]]=raw[[#This Row],[in]],0.01,raw[[#This Row],[out]]-raw[[#This Row],[in]]))</f>
        <v/>
      </c>
      <c r="P1052" s="1397">
        <f>IF(raw[[#This Row],[in]]=0,0,MONTH(raw[[#This Row],[in]]))</f>
        <v/>
      </c>
      <c r="Q1052" s="1397">
        <f>IF(raw[[#This Row],[in]]=0,0,YEAR(raw[[#This Row],[in]]))</f>
        <v/>
      </c>
      <c r="R1052" s="1397">
        <f>INT(raw[[#This Row],[yr]]/10)*10</f>
        <v/>
      </c>
      <c r="S1052" s="1395">
        <f>IF(raw[[#This Row],[city]]="","-",IF(raw[[#This Row],[city]]&lt;&gt;_xlfn.XLOOKUP(raw[[#This Row],[home]],homes[home],homes[city],"-"),1,0))</f>
        <v/>
      </c>
      <c r="T1052" s="1398" t="inlineStr">
        <is>
          <t>.</t>
        </is>
      </c>
      <c r="U1052" s="1399">
        <f>IF(raw[[#This Row],[wb]]="w",raw[[#This Row],[stay]]+U1051,U1051)</f>
        <v/>
      </c>
      <c r="V1052" s="1400">
        <f>IF(raw[[#This Row],[out]]=0,V1051,(raw[[#This Row],[out]]-E$5))</f>
        <v/>
      </c>
      <c r="W1052" s="1401">
        <f>U1052/V1052</f>
        <v/>
      </c>
      <c r="X1052" s="1392" t="n"/>
      <c r="Y1052" s="1392" t="n"/>
      <c r="Z1052" s="1392" t="n"/>
      <c r="AA1052" s="1392" t="n"/>
      <c r="AB1052" s="1392" t="n"/>
      <c r="AC1052" s="1392" t="n"/>
      <c r="AD1052" s="1392" t="n"/>
      <c r="AE1052" s="1392" t="n"/>
      <c r="AF1052" s="1392" t="n"/>
      <c r="AG1052" s="1392" t="n"/>
      <c r="AH1052" s="1392" t="n"/>
      <c r="AI1052" s="1392" t="n"/>
      <c r="AJ1052" s="1392" t="n"/>
      <c r="AK1052" s="1392" t="n"/>
      <c r="AL1052" s="1392" t="n"/>
      <c r="AM1052" s="1392" t="n"/>
      <c r="AN1052" s="1392" t="n"/>
      <c r="AO1052" s="1392" t="n"/>
      <c r="AP1052" s="1392" t="n"/>
      <c r="AQ1052" s="1392" t="n"/>
      <c r="AR1052" s="1422" t="n"/>
      <c r="AS1052" s="1422" t="n"/>
      <c r="AT1052" s="1392" t="n"/>
      <c r="AU1052" s="1392" t="n"/>
      <c r="AV1052" s="1392" t="n"/>
      <c r="AW1052" s="1392" t="n"/>
      <c r="AX1052" s="1392" t="n"/>
      <c r="AY1052" s="1392" t="n"/>
      <c r="AZ1052" s="1392" t="n"/>
      <c r="BA1052" s="1422" t="n"/>
      <c r="BB1052" s="1422" t="n"/>
      <c r="BC1052" s="1392" t="n"/>
      <c r="BD1052" s="1392" t="n"/>
      <c r="BE1052" s="1392" t="n"/>
      <c r="BF1052" s="1392" t="n"/>
      <c r="BG1052" s="1392" t="n"/>
      <c r="BH1052" s="1392" t="n"/>
      <c r="BI1052" s="1392" t="n"/>
      <c r="BJ1052" s="1392" t="n"/>
      <c r="BK1052" s="1392" t="n"/>
      <c r="BL1052" s="1392" t="n"/>
      <c r="BM1052" s="1392" t="n"/>
      <c r="BN1052" s="1392" t="n"/>
      <c r="BO1052" s="1392" t="n"/>
      <c r="BP1052" s="1392" t="n"/>
      <c r="BQ1052" s="1392" t="n"/>
      <c r="BR1052" s="1392" t="n"/>
      <c r="BS1052" s="1392" t="n"/>
      <c r="BT1052" s="1392" t="n"/>
      <c r="BU1052" s="1392" t="n"/>
      <c r="BV1052" s="1392" t="n"/>
      <c r="BW1052" s="1392" t="n"/>
      <c r="BX1052" s="1392" t="n"/>
      <c r="BY1052" s="1392" t="n"/>
      <c r="BZ1052" s="1392" t="n"/>
      <c r="CA1052" s="1392" t="n"/>
      <c r="CB1052" s="1392" t="n"/>
      <c r="CC1052" s="1392" t="n"/>
      <c r="CD1052" s="1392" t="n"/>
      <c r="CE1052" s="1392" t="n"/>
      <c r="CF1052" s="1392" t="n"/>
      <c r="CG1052" s="1392" t="n"/>
      <c r="CH1052" s="1392" t="n"/>
      <c r="CI1052" s="1392" t="n"/>
      <c r="CJ1052" s="1392" t="n"/>
      <c r="CK1052" s="1392" t="n"/>
      <c r="CL1052" s="1392" t="n"/>
    </row>
    <row r="1053">
      <c r="A1053" s="5" t="inlineStr">
        <is>
          <t>.</t>
        </is>
      </c>
      <c r="B1053" s="5" t="inlineStr">
        <is>
          <t>.</t>
        </is>
      </c>
      <c r="C1053" s="1378">
        <f>IF(raw[[#This Row],[city]]="","-",IF(raw[[#This Row],[city]]="TODAY","-",C1052+1))</f>
        <v/>
      </c>
      <c r="D1053" s="1393" t="inlineStr">
        <is>
          <t>Barcelona</t>
        </is>
      </c>
      <c r="E1053" s="1394" t="n">
        <v>39326</v>
      </c>
      <c r="F1053" s="1394" t="n">
        <v>39327</v>
      </c>
      <c r="G1053" s="1393" t="n">
        <v>1</v>
      </c>
      <c r="H1053" s="1393" t="inlineStr">
        <is>
          <t>Bailen</t>
        </is>
      </c>
      <c r="I1053" s="1393" t="inlineStr">
        <is>
          <t>-</t>
        </is>
      </c>
      <c r="J1053" s="1393" t="inlineStr">
        <is>
          <t>-</t>
        </is>
      </c>
      <c r="K1053" s="1395">
        <f>IF(raw[[#This Row],[city]]&lt;&gt;"",_xlfn.XLOOKUP($D1053,ccc[city],ccc[prov],"-"),"-")</f>
        <v/>
      </c>
      <c r="L1053" s="1395">
        <f>IF(raw[[#This Row],[city]]&lt;&gt;"",_xlfn.XLOOKUP($D1053,ccc[city],ccc[ctry],"-"),"-")</f>
        <v/>
      </c>
      <c r="M1053" s="1395">
        <f>IF(raw[[#This Row],[city]]&lt;&gt;"",_xlfn.XLOOKUP($D1053,ccc[city],ccc[cont],"-"),"-")</f>
        <v/>
      </c>
      <c r="N1053" s="1396">
        <f>IF(raw[[#This Row],[city]]="","-",IF(raw[[#This Row],[cont]]="B",raw[[#This Row],[cont]],"W"))</f>
        <v/>
      </c>
      <c r="O1053" s="1397">
        <f>IF(raw[[#This Row],[out]]=0,0,IF(raw[[#This Row],[out]]=raw[[#This Row],[in]],0.01,raw[[#This Row],[out]]-raw[[#This Row],[in]]))</f>
        <v/>
      </c>
      <c r="P1053" s="1397">
        <f>IF(raw[[#This Row],[in]]=0,0,MONTH(raw[[#This Row],[in]]))</f>
        <v/>
      </c>
      <c r="Q1053" s="1397">
        <f>IF(raw[[#This Row],[in]]=0,0,YEAR(raw[[#This Row],[in]]))</f>
        <v/>
      </c>
      <c r="R1053" s="1397">
        <f>INT(raw[[#This Row],[yr]]/10)*10</f>
        <v/>
      </c>
      <c r="S1053" s="1395">
        <f>IF(raw[[#This Row],[city]]="","-",IF(raw[[#This Row],[city]]&lt;&gt;_xlfn.XLOOKUP(raw[[#This Row],[home]],homes[home],homes[city],"-"),1,0))</f>
        <v/>
      </c>
      <c r="T1053" s="1398" t="inlineStr">
        <is>
          <t>.</t>
        </is>
      </c>
      <c r="U1053" s="1399">
        <f>IF(raw[[#This Row],[wb]]="w",raw[[#This Row],[stay]]+U1052,U1052)</f>
        <v/>
      </c>
      <c r="V1053" s="1400">
        <f>IF(raw[[#This Row],[out]]=0,V1052,(raw[[#This Row],[out]]-E$5))</f>
        <v/>
      </c>
      <c r="W1053" s="1401">
        <f>U1053/V1053</f>
        <v/>
      </c>
      <c r="X1053" s="1392" t="n"/>
      <c r="Y1053" s="1392" t="n"/>
      <c r="Z1053" s="1392" t="n"/>
      <c r="AA1053" s="1392" t="n"/>
      <c r="AB1053" s="1392" t="n"/>
      <c r="AC1053" s="1392" t="n"/>
      <c r="AD1053" s="1392" t="n"/>
      <c r="AE1053" s="1392" t="n"/>
      <c r="AF1053" s="1392" t="n"/>
      <c r="AG1053" s="1392" t="n"/>
      <c r="AH1053" s="1392" t="n"/>
      <c r="AI1053" s="1392" t="n"/>
      <c r="AJ1053" s="1392" t="n"/>
      <c r="AK1053" s="1392" t="n"/>
      <c r="AL1053" s="1392" t="n"/>
      <c r="AM1053" s="1392" t="n"/>
      <c r="AN1053" s="1392" t="n"/>
      <c r="AO1053" s="1392" t="n"/>
      <c r="AP1053" s="1392" t="n"/>
      <c r="AQ1053" s="1392" t="n"/>
      <c r="AR1053" s="1422" t="n"/>
      <c r="AS1053" s="1422" t="n"/>
      <c r="AT1053" s="1392" t="n"/>
      <c r="AU1053" s="1392" t="n"/>
      <c r="AV1053" s="1392" t="n"/>
      <c r="AW1053" s="1392" t="n"/>
      <c r="AX1053" s="1392" t="n"/>
      <c r="AY1053" s="1392" t="n"/>
      <c r="AZ1053" s="1392" t="n"/>
      <c r="BA1053" s="1422" t="n"/>
      <c r="BB1053" s="1422" t="n"/>
      <c r="BC1053" s="1392" t="n"/>
      <c r="BD1053" s="1392" t="n"/>
      <c r="BE1053" s="1392" t="n"/>
      <c r="BF1053" s="1392" t="n"/>
      <c r="BG1053" s="1392" t="n"/>
      <c r="BH1053" s="1392" t="n"/>
      <c r="BI1053" s="1392" t="n"/>
      <c r="BJ1053" s="1392" t="n"/>
      <c r="BK1053" s="1392" t="n"/>
      <c r="BL1053" s="1392" t="n"/>
      <c r="BM1053" s="1392" t="n"/>
      <c r="BN1053" s="1392" t="n"/>
      <c r="BO1053" s="1392" t="n"/>
      <c r="BP1053" s="1392" t="n"/>
      <c r="BQ1053" s="1392" t="n"/>
      <c r="BR1053" s="1392" t="n"/>
      <c r="BS1053" s="1392" t="n"/>
      <c r="BT1053" s="1392" t="n"/>
      <c r="BU1053" s="1392" t="n"/>
      <c r="BV1053" s="1392" t="n"/>
      <c r="BW1053" s="1392" t="n"/>
      <c r="BX1053" s="1392" t="n"/>
      <c r="BY1053" s="1392" t="n"/>
      <c r="BZ1053" s="1392" t="n"/>
      <c r="CA1053" s="1392" t="n"/>
      <c r="CB1053" s="1392" t="n"/>
      <c r="CC1053" s="1392" t="n"/>
      <c r="CD1053" s="1392" t="n"/>
      <c r="CE1053" s="1392" t="n"/>
      <c r="CF1053" s="1392" t="n"/>
      <c r="CG1053" s="1392" t="n"/>
      <c r="CH1053" s="1392" t="n"/>
      <c r="CI1053" s="1392" t="n"/>
      <c r="CJ1053" s="1392" t="n"/>
      <c r="CK1053" s="1392" t="n"/>
      <c r="CL1053" s="1392" t="n"/>
    </row>
    <row r="1054">
      <c r="A1054" s="5" t="inlineStr">
        <is>
          <t>.</t>
        </is>
      </c>
      <c r="B1054" s="5" t="inlineStr">
        <is>
          <t>.</t>
        </is>
      </c>
      <c r="C1054" s="1378">
        <f>IF(raw[[#This Row],[city]]="","-",IF(raw[[#This Row],[city]]="TODAY","-",C1053+1))</f>
        <v/>
      </c>
      <c r="D1054" s="1393" t="inlineStr">
        <is>
          <t>Berlin</t>
        </is>
      </c>
      <c r="E1054" s="1394" t="n">
        <v>39327</v>
      </c>
      <c r="F1054" s="1394" t="n">
        <v>39347</v>
      </c>
      <c r="G1054" s="1393" t="n">
        <v>1</v>
      </c>
      <c r="H1054" s="1393" t="inlineStr">
        <is>
          <t>Berlin</t>
        </is>
      </c>
      <c r="I1054" s="1393" t="inlineStr">
        <is>
          <t>-</t>
        </is>
      </c>
      <c r="J1054" s="1393" t="inlineStr">
        <is>
          <t>-</t>
        </is>
      </c>
      <c r="K1054" s="1395">
        <f>IF(raw[[#This Row],[city]]&lt;&gt;"",_xlfn.XLOOKUP($D1054,ccc[city],ccc[prov],"-"),"-")</f>
        <v/>
      </c>
      <c r="L1054" s="1395">
        <f>IF(raw[[#This Row],[city]]&lt;&gt;"",_xlfn.XLOOKUP($D1054,ccc[city],ccc[ctry],"-"),"-")</f>
        <v/>
      </c>
      <c r="M1054" s="1395">
        <f>IF(raw[[#This Row],[city]]&lt;&gt;"",_xlfn.XLOOKUP($D1054,ccc[city],ccc[cont],"-"),"-")</f>
        <v/>
      </c>
      <c r="N1054" s="1396">
        <f>IF(raw[[#This Row],[city]]="","-",IF(raw[[#This Row],[cont]]="B",raw[[#This Row],[cont]],"W"))</f>
        <v/>
      </c>
      <c r="O1054" s="1397">
        <f>IF(raw[[#This Row],[out]]=0,0,IF(raw[[#This Row],[out]]=raw[[#This Row],[in]],0.01,raw[[#This Row],[out]]-raw[[#This Row],[in]]))</f>
        <v/>
      </c>
      <c r="P1054" s="1397">
        <f>IF(raw[[#This Row],[in]]=0,0,MONTH(raw[[#This Row],[in]]))</f>
        <v/>
      </c>
      <c r="Q1054" s="1397">
        <f>IF(raw[[#This Row],[in]]=0,0,YEAR(raw[[#This Row],[in]]))</f>
        <v/>
      </c>
      <c r="R1054" s="1397">
        <f>INT(raw[[#This Row],[yr]]/10)*10</f>
        <v/>
      </c>
      <c r="S1054" s="1395">
        <f>IF(raw[[#This Row],[city]]="","-",IF(raw[[#This Row],[city]]&lt;&gt;_xlfn.XLOOKUP(raw[[#This Row],[home]],homes[home],homes[city],"-"),1,0))</f>
        <v/>
      </c>
      <c r="T1054" s="1398" t="inlineStr">
        <is>
          <t>.</t>
        </is>
      </c>
      <c r="U1054" s="1399">
        <f>IF(raw[[#This Row],[wb]]="w",raw[[#This Row],[stay]]+U1053,U1053)</f>
        <v/>
      </c>
      <c r="V1054" s="1400">
        <f>IF(raw[[#This Row],[out]]=0,V1053,(raw[[#This Row],[out]]-E$5))</f>
        <v/>
      </c>
      <c r="W1054" s="1401">
        <f>U1054/V1054</f>
        <v/>
      </c>
      <c r="X1054" s="1392" t="n"/>
      <c r="Y1054" s="1392" t="n"/>
      <c r="Z1054" s="1392" t="n"/>
      <c r="AA1054" s="1392" t="n"/>
      <c r="AB1054" s="1392" t="n"/>
      <c r="AC1054" s="1392" t="n"/>
      <c r="AD1054" s="1392" t="n"/>
      <c r="AE1054" s="1392" t="n"/>
      <c r="AF1054" s="1392" t="n"/>
      <c r="AG1054" s="1392" t="n"/>
      <c r="AH1054" s="1392" t="n"/>
      <c r="AI1054" s="1392" t="n"/>
      <c r="AJ1054" s="1392" t="n"/>
      <c r="AK1054" s="1392" t="n"/>
      <c r="AL1054" s="1392" t="n"/>
      <c r="AM1054" s="1392" t="n"/>
      <c r="AN1054" s="1392" t="n"/>
      <c r="AO1054" s="1392" t="n"/>
      <c r="AP1054" s="1392" t="n"/>
      <c r="AQ1054" s="1392" t="n"/>
      <c r="AR1054" s="1422" t="n"/>
      <c r="AS1054" s="1422" t="n"/>
      <c r="AT1054" s="1392" t="n"/>
      <c r="AU1054" s="1392" t="n"/>
      <c r="AV1054" s="1392" t="n"/>
      <c r="AW1054" s="1392" t="n"/>
      <c r="AX1054" s="1392" t="n"/>
      <c r="AY1054" s="1392" t="n"/>
      <c r="AZ1054" s="1392" t="n"/>
      <c r="BA1054" s="1422" t="n"/>
      <c r="BB1054" s="1422" t="n"/>
      <c r="BC1054" s="1392" t="n"/>
      <c r="BD1054" s="1392" t="n"/>
      <c r="BE1054" s="1392" t="n"/>
      <c r="BF1054" s="1392" t="n"/>
      <c r="BG1054" s="1392" t="n"/>
      <c r="BH1054" s="1392" t="n"/>
      <c r="BI1054" s="1392" t="n"/>
      <c r="BJ1054" s="1392" t="n"/>
      <c r="BK1054" s="1392" t="n"/>
      <c r="BL1054" s="1392" t="n"/>
      <c r="BM1054" s="1392" t="n"/>
      <c r="BN1054" s="1392" t="n"/>
      <c r="BO1054" s="1392" t="n"/>
      <c r="BP1054" s="1392" t="n"/>
      <c r="BQ1054" s="1392" t="n"/>
      <c r="BR1054" s="1392" t="n"/>
      <c r="BS1054" s="1392" t="n"/>
      <c r="BT1054" s="1392" t="n"/>
      <c r="BU1054" s="1392" t="n"/>
      <c r="BV1054" s="1392" t="n"/>
      <c r="BW1054" s="1392" t="n"/>
      <c r="BX1054" s="1392" t="n"/>
      <c r="BY1054" s="1392" t="n"/>
      <c r="BZ1054" s="1392" t="n"/>
      <c r="CA1054" s="1392" t="n"/>
      <c r="CB1054" s="1392" t="n"/>
      <c r="CC1054" s="1392" t="n"/>
      <c r="CD1054" s="1392" t="n"/>
      <c r="CE1054" s="1392" t="n"/>
      <c r="CF1054" s="1392" t="n"/>
      <c r="CG1054" s="1392" t="n"/>
      <c r="CH1054" s="1392" t="n"/>
      <c r="CI1054" s="1392" t="n"/>
      <c r="CJ1054" s="1392" t="n"/>
      <c r="CK1054" s="1392" t="n"/>
      <c r="CL1054" s="1392" t="n"/>
    </row>
    <row r="1055">
      <c r="A1055" s="5" t="inlineStr">
        <is>
          <t>.</t>
        </is>
      </c>
      <c r="B1055" s="5" t="inlineStr">
        <is>
          <t>.</t>
        </is>
      </c>
      <c r="C1055" s="1378">
        <f>IF(raw[[#This Row],[city]]="","-",IF(raw[[#This Row],[city]]="TODAY","-",C1054+1))</f>
        <v/>
      </c>
      <c r="D1055" s="1393" t="inlineStr">
        <is>
          <t>London</t>
        </is>
      </c>
      <c r="E1055" s="1394" t="n">
        <v>39347</v>
      </c>
      <c r="F1055" s="1394" t="n">
        <v>39354</v>
      </c>
      <c r="G1055" s="1393" t="n">
        <v>1</v>
      </c>
      <c r="H1055" s="1393" t="inlineStr">
        <is>
          <t>Transit</t>
        </is>
      </c>
      <c r="I1055" s="1393" t="inlineStr">
        <is>
          <t>David's</t>
        </is>
      </c>
      <c r="J1055" s="1393" t="inlineStr">
        <is>
          <t>-</t>
        </is>
      </c>
      <c r="K1055" s="1395">
        <f>IF(raw[[#This Row],[city]]&lt;&gt;"",_xlfn.XLOOKUP($D1055,ccc[city],ccc[prov],"-"),"-")</f>
        <v/>
      </c>
      <c r="L1055" s="1395">
        <f>IF(raw[[#This Row],[city]]&lt;&gt;"",_xlfn.XLOOKUP($D1055,ccc[city],ccc[ctry],"-"),"-")</f>
        <v/>
      </c>
      <c r="M1055" s="1395">
        <f>IF(raw[[#This Row],[city]]&lt;&gt;"",_xlfn.XLOOKUP($D1055,ccc[city],ccc[cont],"-"),"-")</f>
        <v/>
      </c>
      <c r="N1055" s="1396">
        <f>IF(raw[[#This Row],[city]]="","-",IF(raw[[#This Row],[cont]]="B",raw[[#This Row],[cont]],"W"))</f>
        <v/>
      </c>
      <c r="O1055" s="1397">
        <f>IF(raw[[#This Row],[out]]=0,0,IF(raw[[#This Row],[out]]=raw[[#This Row],[in]],0.01,raw[[#This Row],[out]]-raw[[#This Row],[in]]))</f>
        <v/>
      </c>
      <c r="P1055" s="1397">
        <f>IF(raw[[#This Row],[in]]=0,0,MONTH(raw[[#This Row],[in]]))</f>
        <v/>
      </c>
      <c r="Q1055" s="1397">
        <f>IF(raw[[#This Row],[in]]=0,0,YEAR(raw[[#This Row],[in]]))</f>
        <v/>
      </c>
      <c r="R1055" s="1397">
        <f>INT(raw[[#This Row],[yr]]/10)*10</f>
        <v/>
      </c>
      <c r="S1055" s="1395">
        <f>IF(raw[[#This Row],[city]]="","-",IF(raw[[#This Row],[city]]&lt;&gt;_xlfn.XLOOKUP(raw[[#This Row],[home]],homes[home],homes[city],"-"),1,0))</f>
        <v/>
      </c>
      <c r="T1055" s="1398" t="inlineStr">
        <is>
          <t>.</t>
        </is>
      </c>
      <c r="U1055" s="1399">
        <f>IF(raw[[#This Row],[wb]]="w",raw[[#This Row],[stay]]+U1054,U1054)</f>
        <v/>
      </c>
      <c r="V1055" s="1400">
        <f>IF(raw[[#This Row],[out]]=0,V1054,(raw[[#This Row],[out]]-E$5))</f>
        <v/>
      </c>
      <c r="W1055" s="1401">
        <f>U1055/V1055</f>
        <v/>
      </c>
      <c r="X1055" s="1392" t="n"/>
      <c r="Y1055" s="1392" t="n"/>
      <c r="Z1055" s="1392" t="n"/>
      <c r="AA1055" s="1392" t="n"/>
      <c r="AB1055" s="1392" t="n"/>
      <c r="AC1055" s="1392" t="n"/>
      <c r="AD1055" s="1392" t="n"/>
      <c r="AE1055" s="1392" t="n"/>
      <c r="AF1055" s="1392" t="n"/>
      <c r="AG1055" s="1392" t="n"/>
      <c r="AH1055" s="1392" t="n"/>
      <c r="AI1055" s="1392" t="n"/>
      <c r="AJ1055" s="1392" t="n"/>
      <c r="AK1055" s="1392" t="n"/>
      <c r="AL1055" s="1392" t="n"/>
      <c r="AM1055" s="1392" t="n"/>
      <c r="AN1055" s="1392" t="n"/>
      <c r="AO1055" s="1392" t="n"/>
      <c r="AP1055" s="1392" t="n"/>
      <c r="AQ1055" s="1392" t="n"/>
      <c r="AR1055" s="1422" t="n"/>
      <c r="AS1055" s="1422" t="n"/>
      <c r="AT1055" s="1392" t="n"/>
      <c r="AU1055" s="1392" t="n"/>
      <c r="AV1055" s="1392" t="n"/>
      <c r="AW1055" s="1392" t="n"/>
      <c r="AX1055" s="1392" t="n"/>
      <c r="AY1055" s="1392" t="n"/>
      <c r="AZ1055" s="1392" t="n"/>
      <c r="BA1055" s="1422" t="n"/>
      <c r="BB1055" s="1422" t="n"/>
      <c r="BC1055" s="1392" t="n"/>
      <c r="BD1055" s="1392" t="n"/>
      <c r="BE1055" s="1392" t="n"/>
      <c r="BF1055" s="1392" t="n"/>
      <c r="BG1055" s="1392" t="n"/>
      <c r="BH1055" s="1392" t="n"/>
      <c r="BI1055" s="1392" t="n"/>
      <c r="BJ1055" s="1392" t="n"/>
      <c r="BK1055" s="1392" t="n"/>
      <c r="BL1055" s="1392" t="n"/>
      <c r="BM1055" s="1392" t="n"/>
      <c r="BN1055" s="1392" t="n"/>
      <c r="BO1055" s="1392" t="n"/>
      <c r="BP1055" s="1392" t="n"/>
      <c r="BQ1055" s="1392" t="n"/>
      <c r="BR1055" s="1392" t="n"/>
      <c r="BS1055" s="1392" t="n"/>
      <c r="BT1055" s="1392" t="n"/>
      <c r="BU1055" s="1392" t="n"/>
      <c r="BV1055" s="1392" t="n"/>
      <c r="BW1055" s="1392" t="n"/>
      <c r="BX1055" s="1392" t="n"/>
      <c r="BY1055" s="1392" t="n"/>
      <c r="BZ1055" s="1392" t="n"/>
      <c r="CA1055" s="1392" t="n"/>
      <c r="CB1055" s="1392" t="n"/>
      <c r="CC1055" s="1392" t="n"/>
      <c r="CD1055" s="1392" t="n"/>
      <c r="CE1055" s="1392" t="n"/>
      <c r="CF1055" s="1392" t="n"/>
      <c r="CG1055" s="1392" t="n"/>
      <c r="CH1055" s="1392" t="n"/>
      <c r="CI1055" s="1392" t="n"/>
      <c r="CJ1055" s="1392" t="n"/>
      <c r="CK1055" s="1392" t="n"/>
      <c r="CL1055" s="1392" t="n"/>
    </row>
    <row r="1056">
      <c r="A1056" s="5" t="inlineStr">
        <is>
          <t>.</t>
        </is>
      </c>
      <c r="B1056" s="5" t="inlineStr">
        <is>
          <t>.</t>
        </is>
      </c>
      <c r="C1056" s="1378">
        <f>IF(raw[[#This Row],[city]]="","-",IF(raw[[#This Row],[city]]="TODAY","-",C1055+1))</f>
        <v/>
      </c>
      <c r="D1056" s="1393" t="inlineStr">
        <is>
          <t>Madrid</t>
        </is>
      </c>
      <c r="E1056" s="1394" t="n">
        <v>39354</v>
      </c>
      <c r="F1056" s="1394" t="n">
        <v>39355</v>
      </c>
      <c r="G1056" s="1393" t="n">
        <v>1</v>
      </c>
      <c r="H1056" s="1393" t="inlineStr">
        <is>
          <t>Transit</t>
        </is>
      </c>
      <c r="I1056" s="1393" t="inlineStr">
        <is>
          <t>-</t>
        </is>
      </c>
      <c r="J1056" s="1393" t="inlineStr">
        <is>
          <t>-</t>
        </is>
      </c>
      <c r="K1056" s="1395">
        <f>IF(raw[[#This Row],[city]]&lt;&gt;"",_xlfn.XLOOKUP($D1056,ccc[city],ccc[prov],"-"),"-")</f>
        <v/>
      </c>
      <c r="L1056" s="1395">
        <f>IF(raw[[#This Row],[city]]&lt;&gt;"",_xlfn.XLOOKUP($D1056,ccc[city],ccc[ctry],"-"),"-")</f>
        <v/>
      </c>
      <c r="M1056" s="1395">
        <f>IF(raw[[#This Row],[city]]&lt;&gt;"",_xlfn.XLOOKUP($D1056,ccc[city],ccc[cont],"-"),"-")</f>
        <v/>
      </c>
      <c r="N1056" s="1396">
        <f>IF(raw[[#This Row],[city]]="","-",IF(raw[[#This Row],[cont]]="B",raw[[#This Row],[cont]],"W"))</f>
        <v/>
      </c>
      <c r="O1056" s="1397">
        <f>IF(raw[[#This Row],[out]]=0,0,IF(raw[[#This Row],[out]]=raw[[#This Row],[in]],0.01,raw[[#This Row],[out]]-raw[[#This Row],[in]]))</f>
        <v/>
      </c>
      <c r="P1056" s="1397">
        <f>IF(raw[[#This Row],[in]]=0,0,MONTH(raw[[#This Row],[in]]))</f>
        <v/>
      </c>
      <c r="Q1056" s="1397">
        <f>IF(raw[[#This Row],[in]]=0,0,YEAR(raw[[#This Row],[in]]))</f>
        <v/>
      </c>
      <c r="R1056" s="1397">
        <f>INT(raw[[#This Row],[yr]]/10)*10</f>
        <v/>
      </c>
      <c r="S1056" s="1395">
        <f>IF(raw[[#This Row],[city]]="","-",IF(raw[[#This Row],[city]]&lt;&gt;_xlfn.XLOOKUP(raw[[#This Row],[home]],homes[home],homes[city],"-"),1,0))</f>
        <v/>
      </c>
      <c r="T1056" s="1398" t="inlineStr">
        <is>
          <t>.</t>
        </is>
      </c>
      <c r="U1056" s="1399">
        <f>IF(raw[[#This Row],[wb]]="w",raw[[#This Row],[stay]]+U1055,U1055)</f>
        <v/>
      </c>
      <c r="V1056" s="1400">
        <f>IF(raw[[#This Row],[out]]=0,V1055,(raw[[#This Row],[out]]-E$5))</f>
        <v/>
      </c>
      <c r="W1056" s="1401">
        <f>U1056/V1056</f>
        <v/>
      </c>
      <c r="X1056" s="1392" t="n"/>
      <c r="Y1056" s="1392" t="n"/>
      <c r="Z1056" s="1392" t="n"/>
      <c r="AA1056" s="1392" t="n"/>
      <c r="AB1056" s="1392" t="n"/>
      <c r="AC1056" s="1392" t="n"/>
      <c r="AD1056" s="1392" t="n"/>
      <c r="AE1056" s="1392" t="n"/>
      <c r="AF1056" s="1392" t="n"/>
      <c r="AG1056" s="1392" t="n"/>
      <c r="AH1056" s="1392" t="n"/>
      <c r="AI1056" s="1392" t="n"/>
      <c r="AJ1056" s="1392" t="n"/>
      <c r="AK1056" s="1392" t="n"/>
      <c r="AL1056" s="1392" t="n"/>
      <c r="AM1056" s="1392" t="n"/>
      <c r="AN1056" s="1392" t="n"/>
      <c r="AO1056" s="1392" t="n"/>
      <c r="AP1056" s="1392" t="n"/>
      <c r="AQ1056" s="1392" t="n"/>
      <c r="AR1056" s="1422" t="n"/>
      <c r="AS1056" s="1422" t="n"/>
      <c r="AT1056" s="1392" t="n"/>
      <c r="AU1056" s="1392" t="n"/>
      <c r="AV1056" s="1392" t="n"/>
      <c r="AW1056" s="1392" t="n"/>
      <c r="AX1056" s="1392" t="n"/>
      <c r="AY1056" s="1392" t="n"/>
      <c r="AZ1056" s="1392" t="n"/>
      <c r="BA1056" s="1422" t="n"/>
      <c r="BB1056" s="1422" t="n"/>
      <c r="BC1056" s="1392" t="n"/>
      <c r="BD1056" s="1392" t="n"/>
      <c r="BE1056" s="1392" t="n"/>
      <c r="BF1056" s="1392" t="n"/>
      <c r="BG1056" s="1392" t="n"/>
      <c r="BH1056" s="1392" t="n"/>
      <c r="BI1056" s="1392" t="n"/>
      <c r="BJ1056" s="1392" t="n"/>
      <c r="BK1056" s="1392" t="n"/>
      <c r="BL1056" s="1392" t="n"/>
      <c r="BM1056" s="1392" t="n"/>
      <c r="BN1056" s="1392" t="n"/>
      <c r="BO1056" s="1392" t="n"/>
      <c r="BP1056" s="1392" t="n"/>
      <c r="BQ1056" s="1392" t="n"/>
      <c r="BR1056" s="1392" t="n"/>
      <c r="BS1056" s="1392" t="n"/>
      <c r="BT1056" s="1392" t="n"/>
      <c r="BU1056" s="1392" t="n"/>
      <c r="BV1056" s="1392" t="n"/>
      <c r="BW1056" s="1392" t="n"/>
      <c r="BX1056" s="1392" t="n"/>
      <c r="BY1056" s="1392" t="n"/>
      <c r="BZ1056" s="1392" t="n"/>
      <c r="CA1056" s="1392" t="n"/>
      <c r="CB1056" s="1392" t="n"/>
      <c r="CC1056" s="1392" t="n"/>
      <c r="CD1056" s="1392" t="n"/>
      <c r="CE1056" s="1392" t="n"/>
      <c r="CF1056" s="1392" t="n"/>
      <c r="CG1056" s="1392" t="n"/>
      <c r="CH1056" s="1392" t="n"/>
      <c r="CI1056" s="1392" t="n"/>
      <c r="CJ1056" s="1392" t="n"/>
      <c r="CK1056" s="1392" t="n"/>
      <c r="CL1056" s="1392" t="n"/>
    </row>
    <row r="1057">
      <c r="A1057" s="5" t="inlineStr">
        <is>
          <t>.</t>
        </is>
      </c>
      <c r="B1057" s="5" t="inlineStr">
        <is>
          <t>.</t>
        </is>
      </c>
      <c r="C1057" s="1378">
        <f>IF(raw[[#This Row],[city]]="","-",IF(raw[[#This Row],[city]]="TODAY","-",C1056+1))</f>
        <v/>
      </c>
      <c r="D1057" s="1393" t="inlineStr">
        <is>
          <t>Lisbon</t>
        </is>
      </c>
      <c r="E1057" s="1394" t="n">
        <v>39355</v>
      </c>
      <c r="F1057" s="1394" t="n">
        <v>39355</v>
      </c>
      <c r="G1057" s="1393" t="n">
        <v>0.01</v>
      </c>
      <c r="H1057" s="1393" t="inlineStr">
        <is>
          <t>Transit</t>
        </is>
      </c>
      <c r="I1057" s="1393" t="inlineStr">
        <is>
          <t>-</t>
        </is>
      </c>
      <c r="J1057" s="1393" t="inlineStr">
        <is>
          <t>-</t>
        </is>
      </c>
      <c r="K1057" s="1395">
        <f>IF(raw[[#This Row],[city]]&lt;&gt;"",_xlfn.XLOOKUP($D1057,ccc[city],ccc[prov],"-"),"-")</f>
        <v/>
      </c>
      <c r="L1057" s="1395">
        <f>IF(raw[[#This Row],[city]]&lt;&gt;"",_xlfn.XLOOKUP($D1057,ccc[city],ccc[ctry],"-"),"-")</f>
        <v/>
      </c>
      <c r="M1057" s="1395">
        <f>IF(raw[[#This Row],[city]]&lt;&gt;"",_xlfn.XLOOKUP($D1057,ccc[city],ccc[cont],"-"),"-")</f>
        <v/>
      </c>
      <c r="N1057" s="1396">
        <f>IF(raw[[#This Row],[city]]="","-",IF(raw[[#This Row],[cont]]="B",raw[[#This Row],[cont]],"W"))</f>
        <v/>
      </c>
      <c r="O1057" s="1397">
        <f>IF(raw[[#This Row],[out]]=0,0,IF(raw[[#This Row],[out]]=raw[[#This Row],[in]],0.01,raw[[#This Row],[out]]-raw[[#This Row],[in]]))</f>
        <v/>
      </c>
      <c r="P1057" s="1397">
        <f>IF(raw[[#This Row],[in]]=0,0,MONTH(raw[[#This Row],[in]]))</f>
        <v/>
      </c>
      <c r="Q1057" s="1397">
        <f>IF(raw[[#This Row],[in]]=0,0,YEAR(raw[[#This Row],[in]]))</f>
        <v/>
      </c>
      <c r="R1057" s="1397">
        <f>INT(raw[[#This Row],[yr]]/10)*10</f>
        <v/>
      </c>
      <c r="S1057" s="1395">
        <f>IF(raw[[#This Row],[city]]="","-",IF(raw[[#This Row],[city]]&lt;&gt;_xlfn.XLOOKUP(raw[[#This Row],[home]],homes[home],homes[city],"-"),1,0))</f>
        <v/>
      </c>
      <c r="T1057" s="1398" t="inlineStr">
        <is>
          <t>.</t>
        </is>
      </c>
      <c r="U1057" s="1399">
        <f>IF(raw[[#This Row],[wb]]="w",raw[[#This Row],[stay]]+U1056,U1056)</f>
        <v/>
      </c>
      <c r="V1057" s="1400">
        <f>IF(raw[[#This Row],[out]]=0,V1056,(raw[[#This Row],[out]]-E$5))</f>
        <v/>
      </c>
      <c r="W1057" s="1401">
        <f>U1057/V1057</f>
        <v/>
      </c>
      <c r="X1057" s="1392" t="n"/>
      <c r="Y1057" s="1392" t="n"/>
      <c r="Z1057" s="1392" t="n"/>
      <c r="AA1057" s="1392" t="n"/>
      <c r="AB1057" s="1392" t="n"/>
      <c r="AC1057" s="1392" t="n"/>
      <c r="AD1057" s="1392" t="n"/>
      <c r="AE1057" s="1392" t="n"/>
      <c r="AF1057" s="1392" t="n"/>
      <c r="AG1057" s="1392" t="n"/>
      <c r="AH1057" s="1392" t="n"/>
      <c r="AI1057" s="1392" t="n"/>
      <c r="AJ1057" s="1392" t="n"/>
      <c r="AK1057" s="1392" t="n"/>
      <c r="AL1057" s="1392" t="n"/>
      <c r="AM1057" s="1392" t="n"/>
      <c r="AN1057" s="1392" t="n"/>
      <c r="AO1057" s="1392" t="n"/>
      <c r="AP1057" s="1392" t="n"/>
      <c r="AQ1057" s="1392" t="n"/>
      <c r="AR1057" s="1422" t="n"/>
      <c r="AS1057" s="1422" t="n"/>
      <c r="AT1057" s="1392" t="n"/>
      <c r="AU1057" s="1392" t="n"/>
      <c r="AV1057" s="1392" t="n"/>
      <c r="AW1057" s="1392" t="n"/>
      <c r="AX1057" s="1392" t="n"/>
      <c r="AY1057" s="1392" t="n"/>
      <c r="AZ1057" s="1392" t="n"/>
      <c r="BA1057" s="1422" t="n"/>
      <c r="BB1057" s="1422" t="n"/>
      <c r="BC1057" s="1392" t="n"/>
      <c r="BD1057" s="1392" t="n"/>
      <c r="BE1057" s="1392" t="n"/>
      <c r="BF1057" s="1392" t="n"/>
      <c r="BG1057" s="1392" t="n"/>
      <c r="BH1057" s="1392" t="n"/>
      <c r="BI1057" s="1392" t="n"/>
      <c r="BJ1057" s="1392" t="n"/>
      <c r="BK1057" s="1392" t="n"/>
      <c r="BL1057" s="1392" t="n"/>
      <c r="BM1057" s="1392" t="n"/>
      <c r="BN1057" s="1392" t="n"/>
      <c r="BO1057" s="1392" t="n"/>
      <c r="BP1057" s="1392" t="n"/>
      <c r="BQ1057" s="1392" t="n"/>
      <c r="BR1057" s="1392" t="n"/>
      <c r="BS1057" s="1392" t="n"/>
      <c r="BT1057" s="1392" t="n"/>
      <c r="BU1057" s="1392" t="n"/>
      <c r="BV1057" s="1392" t="n"/>
      <c r="BW1057" s="1392" t="n"/>
      <c r="BX1057" s="1392" t="n"/>
      <c r="BY1057" s="1392" t="n"/>
      <c r="BZ1057" s="1392" t="n"/>
      <c r="CA1057" s="1392" t="n"/>
      <c r="CB1057" s="1392" t="n"/>
      <c r="CC1057" s="1392" t="n"/>
      <c r="CD1057" s="1392" t="n"/>
      <c r="CE1057" s="1392" t="n"/>
      <c r="CF1057" s="1392" t="n"/>
      <c r="CG1057" s="1392" t="n"/>
      <c r="CH1057" s="1392" t="n"/>
      <c r="CI1057" s="1392" t="n"/>
      <c r="CJ1057" s="1392" t="n"/>
      <c r="CK1057" s="1392" t="n"/>
      <c r="CL1057" s="1392" t="n"/>
    </row>
    <row r="1058">
      <c r="A1058" s="5" t="inlineStr">
        <is>
          <t>.</t>
        </is>
      </c>
      <c r="B1058" s="5" t="inlineStr">
        <is>
          <t>.</t>
        </is>
      </c>
      <c r="C1058" s="1378">
        <f>IF(raw[[#This Row],[city]]="","-",IF(raw[[#This Row],[city]]="TODAY","-",C1057+1))</f>
        <v/>
      </c>
      <c r="D1058" s="1393" t="inlineStr">
        <is>
          <t>SSA</t>
        </is>
      </c>
      <c r="E1058" s="1394" t="n">
        <v>39355</v>
      </c>
      <c r="F1058" s="1394" t="n">
        <v>39356</v>
      </c>
      <c r="G1058" s="1393" t="inlineStr">
        <is>
          <t>-</t>
        </is>
      </c>
      <c r="H1058" s="1393" t="inlineStr">
        <is>
          <t>Ondina</t>
        </is>
      </c>
      <c r="I1058" s="1393" t="inlineStr">
        <is>
          <t>-</t>
        </is>
      </c>
      <c r="J1058" s="1393" t="inlineStr">
        <is>
          <t>-</t>
        </is>
      </c>
      <c r="K1058" s="1395">
        <f>IF(raw[[#This Row],[city]]&lt;&gt;"",_xlfn.XLOOKUP($D1058,ccc[city],ccc[prov],"-"),"-")</f>
        <v/>
      </c>
      <c r="L1058" s="1395">
        <f>IF(raw[[#This Row],[city]]&lt;&gt;"",_xlfn.XLOOKUP($D1058,ccc[city],ccc[ctry],"-"),"-")</f>
        <v/>
      </c>
      <c r="M1058" s="1395">
        <f>IF(raw[[#This Row],[city]]&lt;&gt;"",_xlfn.XLOOKUP($D1058,ccc[city],ccc[cont],"-"),"-")</f>
        <v/>
      </c>
      <c r="N1058" s="1396">
        <f>IF(raw[[#This Row],[city]]="","-",IF(raw[[#This Row],[cont]]="B",raw[[#This Row],[cont]],"W"))</f>
        <v/>
      </c>
      <c r="O1058" s="1397">
        <f>IF(raw[[#This Row],[out]]=0,0,IF(raw[[#This Row],[out]]=raw[[#This Row],[in]],0.01,raw[[#This Row],[out]]-raw[[#This Row],[in]]))</f>
        <v/>
      </c>
      <c r="P1058" s="1397">
        <f>IF(raw[[#This Row],[in]]=0,0,MONTH(raw[[#This Row],[in]]))</f>
        <v/>
      </c>
      <c r="Q1058" s="1397">
        <f>IF(raw[[#This Row],[in]]=0,0,YEAR(raw[[#This Row],[in]]))</f>
        <v/>
      </c>
      <c r="R1058" s="1397">
        <f>INT(raw[[#This Row],[yr]]/10)*10</f>
        <v/>
      </c>
      <c r="S1058" s="1395">
        <f>IF(raw[[#This Row],[city]]="","-",IF(raw[[#This Row],[city]]&lt;&gt;_xlfn.XLOOKUP(raw[[#This Row],[home]],homes[home],homes[city],"-"),1,0))</f>
        <v/>
      </c>
      <c r="T1058" s="1398" t="inlineStr">
        <is>
          <t>.</t>
        </is>
      </c>
      <c r="U1058" s="1399">
        <f>IF(raw[[#This Row],[wb]]="w",raw[[#This Row],[stay]]+U1057,U1057)</f>
        <v/>
      </c>
      <c r="V1058" s="1400">
        <f>IF(raw[[#This Row],[out]]=0,V1057,(raw[[#This Row],[out]]-E$5))</f>
        <v/>
      </c>
      <c r="W1058" s="1401">
        <f>U1058/V1058</f>
        <v/>
      </c>
      <c r="X1058" s="1392" t="n"/>
      <c r="Y1058" s="1392" t="n"/>
      <c r="Z1058" s="1392" t="n"/>
      <c r="AA1058" s="1392" t="n"/>
      <c r="AB1058" s="1392" t="n"/>
      <c r="AC1058" s="1392" t="n"/>
      <c r="AD1058" s="1392" t="n"/>
      <c r="AE1058" s="1392" t="n"/>
      <c r="AF1058" s="1392" t="n"/>
      <c r="AG1058" s="1392" t="n"/>
      <c r="AH1058" s="1392" t="n"/>
      <c r="AI1058" s="1392" t="n"/>
      <c r="AJ1058" s="1392" t="n"/>
      <c r="AK1058" s="1392" t="n"/>
      <c r="AL1058" s="1392" t="n"/>
      <c r="AM1058" s="1392" t="n"/>
      <c r="AN1058" s="1392" t="n"/>
      <c r="AO1058" s="1392" t="n"/>
      <c r="AP1058" s="1392" t="n"/>
      <c r="AQ1058" s="1392" t="n"/>
      <c r="AR1058" s="1422" t="n"/>
      <c r="AS1058" s="1422" t="n"/>
      <c r="AT1058" s="1392" t="n"/>
      <c r="AU1058" s="1392" t="n"/>
      <c r="AV1058" s="1392" t="n"/>
      <c r="AW1058" s="1392" t="n"/>
      <c r="AX1058" s="1392" t="n"/>
      <c r="AY1058" s="1392" t="n"/>
      <c r="AZ1058" s="1392" t="n"/>
      <c r="BA1058" s="1422" t="n"/>
      <c r="BB1058" s="1422" t="n"/>
      <c r="BC1058" s="1392" t="n"/>
      <c r="BD1058" s="1392" t="n"/>
      <c r="BE1058" s="1392" t="n"/>
      <c r="BF1058" s="1392" t="n"/>
      <c r="BG1058" s="1392" t="n"/>
      <c r="BH1058" s="1392" t="n"/>
      <c r="BI1058" s="1392" t="n"/>
      <c r="BJ1058" s="1392" t="n"/>
      <c r="BK1058" s="1392" t="n"/>
      <c r="BL1058" s="1392" t="n"/>
      <c r="BM1058" s="1392" t="n"/>
      <c r="BN1058" s="1392" t="n"/>
      <c r="BO1058" s="1392" t="n"/>
      <c r="BP1058" s="1392" t="n"/>
      <c r="BQ1058" s="1392" t="n"/>
      <c r="BR1058" s="1392" t="n"/>
      <c r="BS1058" s="1392" t="n"/>
      <c r="BT1058" s="1392" t="n"/>
      <c r="BU1058" s="1392" t="n"/>
      <c r="BV1058" s="1392" t="n"/>
      <c r="BW1058" s="1392" t="n"/>
      <c r="BX1058" s="1392" t="n"/>
      <c r="BY1058" s="1392" t="n"/>
      <c r="BZ1058" s="1392" t="n"/>
      <c r="CA1058" s="1392" t="n"/>
      <c r="CB1058" s="1392" t="n"/>
      <c r="CC1058" s="1392" t="n"/>
      <c r="CD1058" s="1392" t="n"/>
      <c r="CE1058" s="1392" t="n"/>
      <c r="CF1058" s="1392" t="n"/>
      <c r="CG1058" s="1392" t="n"/>
      <c r="CH1058" s="1392" t="n"/>
      <c r="CI1058" s="1392" t="n"/>
      <c r="CJ1058" s="1392" t="n"/>
      <c r="CK1058" s="1392" t="n"/>
      <c r="CL1058" s="1392" t="n"/>
    </row>
    <row r="1059">
      <c r="A1059" s="5" t="inlineStr">
        <is>
          <t>.</t>
        </is>
      </c>
      <c r="B1059" s="5" t="inlineStr">
        <is>
          <t>.</t>
        </is>
      </c>
      <c r="C1059" s="1378">
        <f>IF(raw[[#This Row],[city]]="","-",IF(raw[[#This Row],[city]]="TODAY","-",C1058+1))</f>
        <v/>
      </c>
      <c r="D1059" s="1393" t="inlineStr">
        <is>
          <t>SSA</t>
        </is>
      </c>
      <c r="E1059" s="1394" t="n">
        <v>39356</v>
      </c>
      <c r="F1059" s="1394" t="n">
        <v>39368</v>
      </c>
      <c r="G1059" s="1393" t="n">
        <v>1</v>
      </c>
      <c r="H1059" s="1393" t="inlineStr">
        <is>
          <t>Ondina</t>
        </is>
      </c>
      <c r="I1059" s="1393" t="inlineStr">
        <is>
          <t>-</t>
        </is>
      </c>
      <c r="J1059" s="1393" t="inlineStr">
        <is>
          <t>-</t>
        </is>
      </c>
      <c r="K1059" s="1395">
        <f>IF(raw[[#This Row],[city]]&lt;&gt;"",_xlfn.XLOOKUP($D1059,ccc[city],ccc[prov],"-"),"-")</f>
        <v/>
      </c>
      <c r="L1059" s="1395">
        <f>IF(raw[[#This Row],[city]]&lt;&gt;"",_xlfn.XLOOKUP($D1059,ccc[city],ccc[ctry],"-"),"-")</f>
        <v/>
      </c>
      <c r="M1059" s="1395">
        <f>IF(raw[[#This Row],[city]]&lt;&gt;"",_xlfn.XLOOKUP($D1059,ccc[city],ccc[cont],"-"),"-")</f>
        <v/>
      </c>
      <c r="N1059" s="1396">
        <f>IF(raw[[#This Row],[city]]="","-",IF(raw[[#This Row],[cont]]="B",raw[[#This Row],[cont]],"W"))</f>
        <v/>
      </c>
      <c r="O1059" s="1397">
        <f>IF(raw[[#This Row],[out]]=0,0,IF(raw[[#This Row],[out]]=raw[[#This Row],[in]],0.01,raw[[#This Row],[out]]-raw[[#This Row],[in]]))</f>
        <v/>
      </c>
      <c r="P1059" s="1397">
        <f>IF(raw[[#This Row],[in]]=0,0,MONTH(raw[[#This Row],[in]]))</f>
        <v/>
      </c>
      <c r="Q1059" s="1397">
        <f>IF(raw[[#This Row],[in]]=0,0,YEAR(raw[[#This Row],[in]]))</f>
        <v/>
      </c>
      <c r="R1059" s="1397">
        <f>INT(raw[[#This Row],[yr]]/10)*10</f>
        <v/>
      </c>
      <c r="S1059" s="1395">
        <f>IF(raw[[#This Row],[city]]="","-",IF(raw[[#This Row],[city]]&lt;&gt;_xlfn.XLOOKUP(raw[[#This Row],[home]],homes[home],homes[city],"-"),1,0))</f>
        <v/>
      </c>
      <c r="T1059" s="1398" t="inlineStr">
        <is>
          <t>.</t>
        </is>
      </c>
      <c r="U1059" s="1399">
        <f>IF(raw[[#This Row],[wb]]="w",raw[[#This Row],[stay]]+U1058,U1058)</f>
        <v/>
      </c>
      <c r="V1059" s="1400">
        <f>IF(raw[[#This Row],[out]]=0,V1058,(raw[[#This Row],[out]]-E$5))</f>
        <v/>
      </c>
      <c r="W1059" s="1401">
        <f>U1059/V1059</f>
        <v/>
      </c>
      <c r="X1059" s="1392" t="n"/>
      <c r="Y1059" s="1392" t="n"/>
      <c r="Z1059" s="1392" t="n"/>
      <c r="AA1059" s="1392" t="n"/>
      <c r="AB1059" s="1392" t="n"/>
      <c r="AC1059" s="1392" t="n"/>
      <c r="AD1059" s="1392" t="n"/>
      <c r="AE1059" s="1392" t="n"/>
      <c r="AF1059" s="1392" t="n"/>
      <c r="AG1059" s="1392" t="n"/>
      <c r="AH1059" s="1392" t="n"/>
      <c r="AI1059" s="1392" t="n"/>
      <c r="AJ1059" s="1392" t="n"/>
      <c r="AK1059" s="1392" t="n"/>
      <c r="AL1059" s="1392" t="n"/>
      <c r="AM1059" s="1392" t="n"/>
      <c r="AN1059" s="1392" t="n"/>
      <c r="AO1059" s="1392" t="n"/>
      <c r="AP1059" s="1392" t="n"/>
      <c r="AQ1059" s="1392" t="n"/>
      <c r="AR1059" s="1422" t="n"/>
      <c r="AS1059" s="1422" t="n"/>
      <c r="AT1059" s="1392" t="n"/>
      <c r="AU1059" s="1392" t="n"/>
      <c r="AV1059" s="1392" t="n"/>
      <c r="AW1059" s="1392" t="n"/>
      <c r="AX1059" s="1392" t="n"/>
      <c r="AY1059" s="1392" t="n"/>
      <c r="AZ1059" s="1392" t="n"/>
      <c r="BA1059" s="1422" t="n"/>
      <c r="BB1059" s="1422" t="n"/>
      <c r="BC1059" s="1392" t="n"/>
      <c r="BD1059" s="1392" t="n"/>
      <c r="BE1059" s="1392" t="n"/>
      <c r="BF1059" s="1392" t="n"/>
      <c r="BG1059" s="1392" t="n"/>
      <c r="BH1059" s="1392" t="n"/>
      <c r="BI1059" s="1392" t="n"/>
      <c r="BJ1059" s="1392" t="n"/>
      <c r="BK1059" s="1392" t="n"/>
      <c r="BL1059" s="1392" t="n"/>
      <c r="BM1059" s="1392" t="n"/>
      <c r="BN1059" s="1392" t="n"/>
      <c r="BO1059" s="1392" t="n"/>
      <c r="BP1059" s="1392" t="n"/>
      <c r="BQ1059" s="1392" t="n"/>
      <c r="BR1059" s="1392" t="n"/>
      <c r="BS1059" s="1392" t="n"/>
      <c r="BT1059" s="1392" t="n"/>
      <c r="BU1059" s="1392" t="n"/>
      <c r="BV1059" s="1392" t="n"/>
      <c r="BW1059" s="1392" t="n"/>
      <c r="BX1059" s="1392" t="n"/>
      <c r="BY1059" s="1392" t="n"/>
      <c r="BZ1059" s="1392" t="n"/>
      <c r="CA1059" s="1392" t="n"/>
      <c r="CB1059" s="1392" t="n"/>
      <c r="CC1059" s="1392" t="n"/>
      <c r="CD1059" s="1392" t="n"/>
      <c r="CE1059" s="1392" t="n"/>
      <c r="CF1059" s="1392" t="n"/>
      <c r="CG1059" s="1392" t="n"/>
      <c r="CH1059" s="1392" t="n"/>
      <c r="CI1059" s="1392" t="n"/>
      <c r="CJ1059" s="1392" t="n"/>
      <c r="CK1059" s="1392" t="n"/>
      <c r="CL1059" s="1392" t="n"/>
    </row>
    <row r="1060">
      <c r="A1060" s="5" t="inlineStr">
        <is>
          <t>.</t>
        </is>
      </c>
      <c r="B1060" s="5" t="inlineStr">
        <is>
          <t>.</t>
        </is>
      </c>
      <c r="C1060" s="1378">
        <f>IF(raw[[#This Row],[city]]="","-",IF(raw[[#This Row],[city]]="TODAY","-",C1059+1))</f>
        <v/>
      </c>
      <c r="D1060" s="1393" t="inlineStr">
        <is>
          <t>SP</t>
        </is>
      </c>
      <c r="E1060" s="1394" t="n">
        <v>39368</v>
      </c>
      <c r="F1060" s="1394" t="n">
        <v>39375</v>
      </c>
      <c r="G1060" s="1393" t="n">
        <v>1</v>
      </c>
      <c r="H1060" s="1393" t="inlineStr">
        <is>
          <t>Ondina</t>
        </is>
      </c>
      <c r="I1060" s="1393" t="inlineStr">
        <is>
          <t>Salto Grande</t>
        </is>
      </c>
      <c r="J1060" s="1393" t="inlineStr">
        <is>
          <t>-</t>
        </is>
      </c>
      <c r="K1060" s="1395">
        <f>IF(raw[[#This Row],[city]]&lt;&gt;"",_xlfn.XLOOKUP($D1060,ccc[city],ccc[prov],"-"),"-")</f>
        <v/>
      </c>
      <c r="L1060" s="1395">
        <f>IF(raw[[#This Row],[city]]&lt;&gt;"",_xlfn.XLOOKUP($D1060,ccc[city],ccc[ctry],"-"),"-")</f>
        <v/>
      </c>
      <c r="M1060" s="1395">
        <f>IF(raw[[#This Row],[city]]&lt;&gt;"",_xlfn.XLOOKUP($D1060,ccc[city],ccc[cont],"-"),"-")</f>
        <v/>
      </c>
      <c r="N1060" s="1396">
        <f>IF(raw[[#This Row],[city]]="","-",IF(raw[[#This Row],[cont]]="B",raw[[#This Row],[cont]],"W"))</f>
        <v/>
      </c>
      <c r="O1060" s="1397">
        <f>IF(raw[[#This Row],[out]]=0,0,IF(raw[[#This Row],[out]]=raw[[#This Row],[in]],0.01,raw[[#This Row],[out]]-raw[[#This Row],[in]]))</f>
        <v/>
      </c>
      <c r="P1060" s="1397">
        <f>IF(raw[[#This Row],[in]]=0,0,MONTH(raw[[#This Row],[in]]))</f>
        <v/>
      </c>
      <c r="Q1060" s="1397">
        <f>IF(raw[[#This Row],[in]]=0,0,YEAR(raw[[#This Row],[in]]))</f>
        <v/>
      </c>
      <c r="R1060" s="1397">
        <f>INT(raw[[#This Row],[yr]]/10)*10</f>
        <v/>
      </c>
      <c r="S1060" s="1395">
        <f>IF(raw[[#This Row],[city]]="","-",IF(raw[[#This Row],[city]]&lt;&gt;_xlfn.XLOOKUP(raw[[#This Row],[home]],homes[home],homes[city],"-"),1,0))</f>
        <v/>
      </c>
      <c r="T1060" s="1398" t="inlineStr">
        <is>
          <t>.</t>
        </is>
      </c>
      <c r="U1060" s="1399">
        <f>IF(raw[[#This Row],[wb]]="w",raw[[#This Row],[stay]]+U1059,U1059)</f>
        <v/>
      </c>
      <c r="V1060" s="1400">
        <f>IF(raw[[#This Row],[out]]=0,V1059,(raw[[#This Row],[out]]-E$5))</f>
        <v/>
      </c>
      <c r="W1060" s="1401">
        <f>U1060/V1060</f>
        <v/>
      </c>
      <c r="X1060" s="1392" t="n"/>
      <c r="Y1060" s="1392" t="n"/>
      <c r="Z1060" s="1392" t="n"/>
      <c r="AA1060" s="1392" t="n"/>
      <c r="AB1060" s="1392" t="n"/>
      <c r="AC1060" s="1392" t="n"/>
      <c r="AD1060" s="1392" t="n"/>
      <c r="AE1060" s="1392" t="n"/>
      <c r="AF1060" s="1392" t="n"/>
      <c r="AG1060" s="1392" t="n"/>
      <c r="AH1060" s="1392" t="n"/>
      <c r="AI1060" s="1392" t="n"/>
      <c r="AJ1060" s="1392" t="n"/>
      <c r="AK1060" s="1392" t="n"/>
      <c r="AL1060" s="1392" t="n"/>
      <c r="AM1060" s="1392" t="n"/>
      <c r="AN1060" s="1392" t="n"/>
      <c r="AO1060" s="1392" t="n"/>
      <c r="AP1060" s="1392" t="n"/>
      <c r="AQ1060" s="1392" t="n"/>
      <c r="AR1060" s="1422" t="n"/>
      <c r="AS1060" s="1422" t="n"/>
      <c r="AT1060" s="1392" t="n"/>
      <c r="AU1060" s="1392" t="n"/>
      <c r="AV1060" s="1392" t="n"/>
      <c r="AW1060" s="1392" t="n"/>
      <c r="AX1060" s="1392" t="n"/>
      <c r="AY1060" s="1392" t="n"/>
      <c r="AZ1060" s="1392" t="n"/>
      <c r="BA1060" s="1422" t="n"/>
      <c r="BB1060" s="1422" t="n"/>
      <c r="BC1060" s="1392" t="n"/>
      <c r="BD1060" s="1392" t="n"/>
      <c r="BE1060" s="1392" t="n"/>
      <c r="BF1060" s="1392" t="n"/>
      <c r="BG1060" s="1392" t="n"/>
      <c r="BH1060" s="1392" t="n"/>
      <c r="BI1060" s="1392" t="n"/>
      <c r="BJ1060" s="1392" t="n"/>
      <c r="BK1060" s="1392" t="n"/>
      <c r="BL1060" s="1392" t="n"/>
      <c r="BM1060" s="1392" t="n"/>
      <c r="BN1060" s="1392" t="n"/>
      <c r="BO1060" s="1392" t="n"/>
      <c r="BP1060" s="1392" t="n"/>
      <c r="BQ1060" s="1392" t="n"/>
      <c r="BR1060" s="1392" t="n"/>
      <c r="BS1060" s="1392" t="n"/>
      <c r="BT1060" s="1392" t="n"/>
      <c r="BU1060" s="1392" t="n"/>
      <c r="BV1060" s="1392" t="n"/>
      <c r="BW1060" s="1392" t="n"/>
      <c r="BX1060" s="1392" t="n"/>
      <c r="BY1060" s="1392" t="n"/>
      <c r="BZ1060" s="1392" t="n"/>
      <c r="CA1060" s="1392" t="n"/>
      <c r="CB1060" s="1392" t="n"/>
      <c r="CC1060" s="1392" t="n"/>
      <c r="CD1060" s="1392" t="n"/>
      <c r="CE1060" s="1392" t="n"/>
      <c r="CF1060" s="1392" t="n"/>
      <c r="CG1060" s="1392" t="n"/>
      <c r="CH1060" s="1392" t="n"/>
      <c r="CI1060" s="1392" t="n"/>
      <c r="CJ1060" s="1392" t="n"/>
      <c r="CK1060" s="1392" t="n"/>
      <c r="CL1060" s="1392" t="n"/>
    </row>
    <row r="1061">
      <c r="A1061" s="5" t="inlineStr">
        <is>
          <t>.</t>
        </is>
      </c>
      <c r="B1061" s="5" t="inlineStr">
        <is>
          <t>.</t>
        </is>
      </c>
      <c r="C1061" s="1378">
        <f>IF(raw[[#This Row],[city]]="","-",IF(raw[[#This Row],[city]]="TODAY","-",C1060+1))</f>
        <v/>
      </c>
      <c r="D1061" s="1393" t="inlineStr">
        <is>
          <t>SSA</t>
        </is>
      </c>
      <c r="E1061" s="1394" t="n">
        <v>39375</v>
      </c>
      <c r="F1061" s="1394" t="n">
        <v>39387</v>
      </c>
      <c r="G1061" s="1393" t="inlineStr">
        <is>
          <t>-</t>
        </is>
      </c>
      <c r="H1061" s="1393" t="inlineStr">
        <is>
          <t>Ondina</t>
        </is>
      </c>
      <c r="I1061" s="1393" t="inlineStr">
        <is>
          <t>-</t>
        </is>
      </c>
      <c r="J1061" s="1393" t="inlineStr">
        <is>
          <t>-</t>
        </is>
      </c>
      <c r="K1061" s="1395">
        <f>IF(raw[[#This Row],[city]]&lt;&gt;"",_xlfn.XLOOKUP($D1061,ccc[city],ccc[prov],"-"),"-")</f>
        <v/>
      </c>
      <c r="L1061" s="1395">
        <f>IF(raw[[#This Row],[city]]&lt;&gt;"",_xlfn.XLOOKUP($D1061,ccc[city],ccc[ctry],"-"),"-")</f>
        <v/>
      </c>
      <c r="M1061" s="1395">
        <f>IF(raw[[#This Row],[city]]&lt;&gt;"",_xlfn.XLOOKUP($D1061,ccc[city],ccc[cont],"-"),"-")</f>
        <v/>
      </c>
      <c r="N1061" s="1396">
        <f>IF(raw[[#This Row],[city]]="","-",IF(raw[[#This Row],[cont]]="B",raw[[#This Row],[cont]],"W"))</f>
        <v/>
      </c>
      <c r="O1061" s="1397">
        <f>IF(raw[[#This Row],[out]]=0,0,IF(raw[[#This Row],[out]]=raw[[#This Row],[in]],0.01,raw[[#This Row],[out]]-raw[[#This Row],[in]]))</f>
        <v/>
      </c>
      <c r="P1061" s="1397">
        <f>IF(raw[[#This Row],[in]]=0,0,MONTH(raw[[#This Row],[in]]))</f>
        <v/>
      </c>
      <c r="Q1061" s="1397">
        <f>IF(raw[[#This Row],[in]]=0,0,YEAR(raw[[#This Row],[in]]))</f>
        <v/>
      </c>
      <c r="R1061" s="1397">
        <f>INT(raw[[#This Row],[yr]]/10)*10</f>
        <v/>
      </c>
      <c r="S1061" s="1395">
        <f>IF(raw[[#This Row],[city]]="","-",IF(raw[[#This Row],[city]]&lt;&gt;_xlfn.XLOOKUP(raw[[#This Row],[home]],homes[home],homes[city],"-"),1,0))</f>
        <v/>
      </c>
      <c r="T1061" s="1398" t="inlineStr">
        <is>
          <t>.</t>
        </is>
      </c>
      <c r="U1061" s="1399">
        <f>IF(raw[[#This Row],[wb]]="w",raw[[#This Row],[stay]]+U1060,U1060)</f>
        <v/>
      </c>
      <c r="V1061" s="1400">
        <f>IF(raw[[#This Row],[out]]=0,V1060,(raw[[#This Row],[out]]-E$5))</f>
        <v/>
      </c>
      <c r="W1061" s="1401">
        <f>U1061/V1061</f>
        <v/>
      </c>
      <c r="X1061" s="1392" t="n"/>
      <c r="Y1061" s="1392" t="n"/>
      <c r="Z1061" s="1392" t="n"/>
      <c r="AA1061" s="1392" t="n"/>
      <c r="AB1061" s="1392" t="n"/>
      <c r="AC1061" s="1392" t="n"/>
      <c r="AD1061" s="1392" t="n"/>
      <c r="AE1061" s="1392" t="n"/>
      <c r="AF1061" s="1392" t="n"/>
      <c r="AG1061" s="1392" t="n"/>
      <c r="AH1061" s="1392" t="n"/>
      <c r="AI1061" s="1392" t="n"/>
      <c r="AJ1061" s="1392" t="n"/>
      <c r="AK1061" s="1392" t="n"/>
      <c r="AL1061" s="1392" t="n"/>
      <c r="AM1061" s="1392" t="n"/>
      <c r="AN1061" s="1392" t="n"/>
      <c r="AO1061" s="1392" t="n"/>
      <c r="AP1061" s="1392" t="n"/>
      <c r="AQ1061" s="1392" t="n"/>
      <c r="AR1061" s="1422" t="n"/>
      <c r="AS1061" s="1422" t="n"/>
      <c r="AT1061" s="1392" t="n"/>
      <c r="AU1061" s="1392" t="n"/>
      <c r="AV1061" s="1392" t="n"/>
      <c r="AW1061" s="1392" t="n"/>
      <c r="AX1061" s="1392" t="n"/>
      <c r="AY1061" s="1392" t="n"/>
      <c r="AZ1061" s="1392" t="n"/>
      <c r="BA1061" s="1422" t="n"/>
      <c r="BB1061" s="1422" t="n"/>
      <c r="BC1061" s="1392" t="n"/>
      <c r="BD1061" s="1392" t="n"/>
      <c r="BE1061" s="1392" t="n"/>
      <c r="BF1061" s="1392" t="n"/>
      <c r="BG1061" s="1392" t="n"/>
      <c r="BH1061" s="1392" t="n"/>
      <c r="BI1061" s="1392" t="n"/>
      <c r="BJ1061" s="1392" t="n"/>
      <c r="BK1061" s="1392" t="n"/>
      <c r="BL1061" s="1392" t="n"/>
      <c r="BM1061" s="1392" t="n"/>
      <c r="BN1061" s="1392" t="n"/>
      <c r="BO1061" s="1392" t="n"/>
      <c r="BP1061" s="1392" t="n"/>
      <c r="BQ1061" s="1392" t="n"/>
      <c r="BR1061" s="1392" t="n"/>
      <c r="BS1061" s="1392" t="n"/>
      <c r="BT1061" s="1392" t="n"/>
      <c r="BU1061" s="1392" t="n"/>
      <c r="BV1061" s="1392" t="n"/>
      <c r="BW1061" s="1392" t="n"/>
      <c r="BX1061" s="1392" t="n"/>
      <c r="BY1061" s="1392" t="n"/>
      <c r="BZ1061" s="1392" t="n"/>
      <c r="CA1061" s="1392" t="n"/>
      <c r="CB1061" s="1392" t="n"/>
      <c r="CC1061" s="1392" t="n"/>
      <c r="CD1061" s="1392" t="n"/>
      <c r="CE1061" s="1392" t="n"/>
      <c r="CF1061" s="1392" t="n"/>
      <c r="CG1061" s="1392" t="n"/>
      <c r="CH1061" s="1392" t="n"/>
      <c r="CI1061" s="1392" t="n"/>
      <c r="CJ1061" s="1392" t="n"/>
      <c r="CK1061" s="1392" t="n"/>
      <c r="CL1061" s="1392" t="n"/>
    </row>
    <row r="1062">
      <c r="A1062" s="5" t="inlineStr">
        <is>
          <t>.</t>
        </is>
      </c>
      <c r="B1062" s="5" t="inlineStr">
        <is>
          <t>.</t>
        </is>
      </c>
      <c r="C1062" s="1378">
        <f>IF(raw[[#This Row],[city]]="","-",IF(raw[[#This Row],[city]]="TODAY","-",C1061+1))</f>
        <v/>
      </c>
      <c r="D1062" s="1393" t="inlineStr">
        <is>
          <t>SSA</t>
        </is>
      </c>
      <c r="E1062" s="1394" t="n">
        <v>39387</v>
      </c>
      <c r="F1062" s="1394" t="n">
        <v>39415</v>
      </c>
      <c r="G1062" s="1393" t="n">
        <v>1</v>
      </c>
      <c r="H1062" s="1393" t="inlineStr">
        <is>
          <t>Ondina</t>
        </is>
      </c>
      <c r="I1062" s="1393" t="inlineStr">
        <is>
          <t>-</t>
        </is>
      </c>
      <c r="J1062" s="1393" t="inlineStr">
        <is>
          <t>-</t>
        </is>
      </c>
      <c r="K1062" s="1395">
        <f>IF(raw[[#This Row],[city]]&lt;&gt;"",_xlfn.XLOOKUP($D1062,ccc[city],ccc[prov],"-"),"-")</f>
        <v/>
      </c>
      <c r="L1062" s="1395">
        <f>IF(raw[[#This Row],[city]]&lt;&gt;"",_xlfn.XLOOKUP($D1062,ccc[city],ccc[ctry],"-"),"-")</f>
        <v/>
      </c>
      <c r="M1062" s="1395">
        <f>IF(raw[[#This Row],[city]]&lt;&gt;"",_xlfn.XLOOKUP($D1062,ccc[city],ccc[cont],"-"),"-")</f>
        <v/>
      </c>
      <c r="N1062" s="1396">
        <f>IF(raw[[#This Row],[city]]="","-",IF(raw[[#This Row],[cont]]="B",raw[[#This Row],[cont]],"W"))</f>
        <v/>
      </c>
      <c r="O1062" s="1397">
        <f>IF(raw[[#This Row],[out]]=0,0,IF(raw[[#This Row],[out]]=raw[[#This Row],[in]],0.01,raw[[#This Row],[out]]-raw[[#This Row],[in]]))</f>
        <v/>
      </c>
      <c r="P1062" s="1397">
        <f>IF(raw[[#This Row],[in]]=0,0,MONTH(raw[[#This Row],[in]]))</f>
        <v/>
      </c>
      <c r="Q1062" s="1397">
        <f>IF(raw[[#This Row],[in]]=0,0,YEAR(raw[[#This Row],[in]]))</f>
        <v/>
      </c>
      <c r="R1062" s="1397">
        <f>INT(raw[[#This Row],[yr]]/10)*10</f>
        <v/>
      </c>
      <c r="S1062" s="1395">
        <f>IF(raw[[#This Row],[city]]="","-",IF(raw[[#This Row],[city]]&lt;&gt;_xlfn.XLOOKUP(raw[[#This Row],[home]],homes[home],homes[city],"-"),1,0))</f>
        <v/>
      </c>
      <c r="T1062" s="1398" t="inlineStr">
        <is>
          <t>.</t>
        </is>
      </c>
      <c r="U1062" s="1399">
        <f>IF(raw[[#This Row],[wb]]="w",raw[[#This Row],[stay]]+U1061,U1061)</f>
        <v/>
      </c>
      <c r="V1062" s="1400">
        <f>IF(raw[[#This Row],[out]]=0,V1061,(raw[[#This Row],[out]]-E$5))</f>
        <v/>
      </c>
      <c r="W1062" s="1401">
        <f>U1062/V1062</f>
        <v/>
      </c>
      <c r="X1062" s="1392" t="n"/>
      <c r="Y1062" s="1392" t="n"/>
      <c r="Z1062" s="1392" t="n"/>
      <c r="AA1062" s="1392" t="n"/>
      <c r="AB1062" s="1392" t="n"/>
      <c r="AC1062" s="1392" t="n"/>
      <c r="AD1062" s="1392" t="n"/>
      <c r="AE1062" s="1392" t="n"/>
      <c r="AF1062" s="1392" t="n"/>
      <c r="AG1062" s="1392" t="n"/>
      <c r="AH1062" s="1392" t="n"/>
      <c r="AI1062" s="1392" t="n"/>
      <c r="AJ1062" s="1392" t="n"/>
      <c r="AK1062" s="1392" t="n"/>
      <c r="AL1062" s="1392" t="n"/>
      <c r="AM1062" s="1392" t="n"/>
      <c r="AN1062" s="1392" t="n"/>
      <c r="AO1062" s="1392" t="n"/>
      <c r="AP1062" s="1392" t="n"/>
      <c r="AQ1062" s="1392" t="n"/>
      <c r="AR1062" s="1422" t="n"/>
      <c r="AS1062" s="1422" t="n"/>
      <c r="AT1062" s="1392" t="n"/>
      <c r="AU1062" s="1392" t="n"/>
      <c r="AV1062" s="1392" t="n"/>
      <c r="AW1062" s="1392" t="n"/>
      <c r="AX1062" s="1392" t="n"/>
      <c r="AY1062" s="1392" t="n"/>
      <c r="AZ1062" s="1392" t="n"/>
      <c r="BA1062" s="1422" t="n"/>
      <c r="BB1062" s="1422" t="n"/>
      <c r="BC1062" s="1392" t="n"/>
      <c r="BD1062" s="1392" t="n"/>
      <c r="BE1062" s="1392" t="n"/>
      <c r="BF1062" s="1392" t="n"/>
      <c r="BG1062" s="1392" t="n"/>
      <c r="BH1062" s="1392" t="n"/>
      <c r="BI1062" s="1392" t="n"/>
      <c r="BJ1062" s="1392" t="n"/>
      <c r="BK1062" s="1392" t="n"/>
      <c r="BL1062" s="1392" t="n"/>
      <c r="BM1062" s="1392" t="n"/>
      <c r="BN1062" s="1392" t="n"/>
      <c r="BO1062" s="1392" t="n"/>
      <c r="BP1062" s="1392" t="n"/>
      <c r="BQ1062" s="1392" t="n"/>
      <c r="BR1062" s="1392" t="n"/>
      <c r="BS1062" s="1392" t="n"/>
      <c r="BT1062" s="1392" t="n"/>
      <c r="BU1062" s="1392" t="n"/>
      <c r="BV1062" s="1392" t="n"/>
      <c r="BW1062" s="1392" t="n"/>
      <c r="BX1062" s="1392" t="n"/>
      <c r="BY1062" s="1392" t="n"/>
      <c r="BZ1062" s="1392" t="n"/>
      <c r="CA1062" s="1392" t="n"/>
      <c r="CB1062" s="1392" t="n"/>
      <c r="CC1062" s="1392" t="n"/>
      <c r="CD1062" s="1392" t="n"/>
      <c r="CE1062" s="1392" t="n"/>
      <c r="CF1062" s="1392" t="n"/>
      <c r="CG1062" s="1392" t="n"/>
      <c r="CH1062" s="1392" t="n"/>
      <c r="CI1062" s="1392" t="n"/>
      <c r="CJ1062" s="1392" t="n"/>
      <c r="CK1062" s="1392" t="n"/>
      <c r="CL1062" s="1392" t="n"/>
    </row>
    <row r="1063">
      <c r="A1063" s="5" t="inlineStr">
        <is>
          <t>.</t>
        </is>
      </c>
      <c r="B1063" s="5" t="inlineStr">
        <is>
          <t>.</t>
        </is>
      </c>
      <c r="C1063" s="1378">
        <f>IF(raw[[#This Row],[city]]="","-",IF(raw[[#This Row],[city]]="TODAY","-",C1062+1))</f>
        <v/>
      </c>
      <c r="D1063" s="1393" t="inlineStr">
        <is>
          <t>Natal</t>
        </is>
      </c>
      <c r="E1063" s="1394" t="n">
        <v>39415</v>
      </c>
      <c r="F1063" s="1394" t="n">
        <v>39417</v>
      </c>
      <c r="G1063" s="1393" t="inlineStr">
        <is>
          <t>-</t>
        </is>
      </c>
      <c r="H1063" s="1393" t="inlineStr">
        <is>
          <t>Ondina</t>
        </is>
      </c>
      <c r="I1063" s="1393" t="inlineStr">
        <is>
          <t>-</t>
        </is>
      </c>
      <c r="J1063" s="1393" t="inlineStr">
        <is>
          <t>-</t>
        </is>
      </c>
      <c r="K1063" s="1395">
        <f>IF(raw[[#This Row],[city]]&lt;&gt;"",_xlfn.XLOOKUP($D1063,ccc[city],ccc[prov],"-"),"-")</f>
        <v/>
      </c>
      <c r="L1063" s="1395">
        <f>IF(raw[[#This Row],[city]]&lt;&gt;"",_xlfn.XLOOKUP($D1063,ccc[city],ccc[ctry],"-"),"-")</f>
        <v/>
      </c>
      <c r="M1063" s="1395">
        <f>IF(raw[[#This Row],[city]]&lt;&gt;"",_xlfn.XLOOKUP($D1063,ccc[city],ccc[cont],"-"),"-")</f>
        <v/>
      </c>
      <c r="N1063" s="1396">
        <f>IF(raw[[#This Row],[city]]="","-",IF(raw[[#This Row],[cont]]="B",raw[[#This Row],[cont]],"W"))</f>
        <v/>
      </c>
      <c r="O1063" s="1397">
        <f>IF(raw[[#This Row],[out]]=0,0,IF(raw[[#This Row],[out]]=raw[[#This Row],[in]],0.01,raw[[#This Row],[out]]-raw[[#This Row],[in]]))</f>
        <v/>
      </c>
      <c r="P1063" s="1397">
        <f>IF(raw[[#This Row],[in]]=0,0,MONTH(raw[[#This Row],[in]]))</f>
        <v/>
      </c>
      <c r="Q1063" s="1397">
        <f>IF(raw[[#This Row],[in]]=0,0,YEAR(raw[[#This Row],[in]]))</f>
        <v/>
      </c>
      <c r="R1063" s="1397">
        <f>INT(raw[[#This Row],[yr]]/10)*10</f>
        <v/>
      </c>
      <c r="S1063" s="1395">
        <f>IF(raw[[#This Row],[city]]="","-",IF(raw[[#This Row],[city]]&lt;&gt;_xlfn.XLOOKUP(raw[[#This Row],[home]],homes[home],homes[city],"-"),1,0))</f>
        <v/>
      </c>
      <c r="T1063" s="1398" t="inlineStr">
        <is>
          <t>.</t>
        </is>
      </c>
      <c r="U1063" s="1399">
        <f>IF(raw[[#This Row],[wb]]="w",raw[[#This Row],[stay]]+U1062,U1062)</f>
        <v/>
      </c>
      <c r="V1063" s="1400">
        <f>IF(raw[[#This Row],[out]]=0,V1062,(raw[[#This Row],[out]]-E$5))</f>
        <v/>
      </c>
      <c r="W1063" s="1401">
        <f>U1063/V1063</f>
        <v/>
      </c>
      <c r="X1063" s="1392" t="n"/>
      <c r="Y1063" s="1392" t="n"/>
      <c r="Z1063" s="1392" t="n"/>
      <c r="AA1063" s="1392" t="n"/>
      <c r="AB1063" s="1392" t="n"/>
      <c r="AC1063" s="1392" t="n"/>
      <c r="AD1063" s="1392" t="n"/>
      <c r="AE1063" s="1392" t="n"/>
      <c r="AF1063" s="1392" t="n"/>
      <c r="AG1063" s="1392" t="n"/>
      <c r="AH1063" s="1392" t="n"/>
      <c r="AI1063" s="1392" t="n"/>
      <c r="AJ1063" s="1392" t="n"/>
      <c r="AK1063" s="1392" t="n"/>
      <c r="AL1063" s="1392" t="n"/>
      <c r="AM1063" s="1392" t="n"/>
      <c r="AN1063" s="1392" t="n"/>
      <c r="AO1063" s="1392" t="n"/>
      <c r="AP1063" s="1392" t="n"/>
      <c r="AQ1063" s="1392" t="n"/>
      <c r="AR1063" s="1422" t="n"/>
      <c r="AS1063" s="1422" t="n"/>
      <c r="AT1063" s="1392" t="n"/>
      <c r="AU1063" s="1392" t="n"/>
      <c r="AV1063" s="1392" t="n"/>
      <c r="AW1063" s="1392" t="n"/>
      <c r="AX1063" s="1392" t="n"/>
      <c r="AY1063" s="1392" t="n"/>
      <c r="AZ1063" s="1392" t="n"/>
      <c r="BA1063" s="1422" t="n"/>
      <c r="BB1063" s="1422" t="n"/>
      <c r="BC1063" s="1392" t="n"/>
      <c r="BD1063" s="1392" t="n"/>
      <c r="BE1063" s="1392" t="n"/>
      <c r="BF1063" s="1392" t="n"/>
      <c r="BG1063" s="1392" t="n"/>
      <c r="BH1063" s="1392" t="n"/>
      <c r="BI1063" s="1392" t="n"/>
      <c r="BJ1063" s="1392" t="n"/>
      <c r="BK1063" s="1392" t="n"/>
      <c r="BL1063" s="1392" t="n"/>
      <c r="BM1063" s="1392" t="n"/>
      <c r="BN1063" s="1392" t="n"/>
      <c r="BO1063" s="1392" t="n"/>
      <c r="BP1063" s="1392" t="n"/>
      <c r="BQ1063" s="1392" t="n"/>
      <c r="BR1063" s="1392" t="n"/>
      <c r="BS1063" s="1392" t="n"/>
      <c r="BT1063" s="1392" t="n"/>
      <c r="BU1063" s="1392" t="n"/>
      <c r="BV1063" s="1392" t="n"/>
      <c r="BW1063" s="1392" t="n"/>
      <c r="BX1063" s="1392" t="n"/>
      <c r="BY1063" s="1392" t="n"/>
      <c r="BZ1063" s="1392" t="n"/>
      <c r="CA1063" s="1392" t="n"/>
      <c r="CB1063" s="1392" t="n"/>
      <c r="CC1063" s="1392" t="n"/>
      <c r="CD1063" s="1392" t="n"/>
      <c r="CE1063" s="1392" t="n"/>
      <c r="CF1063" s="1392" t="n"/>
      <c r="CG1063" s="1392" t="n"/>
      <c r="CH1063" s="1392" t="n"/>
      <c r="CI1063" s="1392" t="n"/>
      <c r="CJ1063" s="1392" t="n"/>
      <c r="CK1063" s="1392" t="n"/>
      <c r="CL1063" s="1392" t="n"/>
    </row>
    <row r="1064">
      <c r="A1064" s="5" t="inlineStr">
        <is>
          <t>.</t>
        </is>
      </c>
      <c r="B1064" s="5" t="inlineStr">
        <is>
          <t>.</t>
        </is>
      </c>
      <c r="C1064" s="1378">
        <f>IF(raw[[#This Row],[city]]="","-",IF(raw[[#This Row],[city]]="TODAY","-",C1063+1))</f>
        <v/>
      </c>
      <c r="D1064" s="1393" t="inlineStr">
        <is>
          <t>Natal</t>
        </is>
      </c>
      <c r="E1064" s="1394" t="n">
        <v>39417</v>
      </c>
      <c r="F1064" s="1394" t="n">
        <v>39420</v>
      </c>
      <c r="G1064" s="1393" t="n">
        <v>1</v>
      </c>
      <c r="H1064" s="1393" t="inlineStr">
        <is>
          <t>Ondina</t>
        </is>
      </c>
      <c r="I1064" s="1393" t="inlineStr">
        <is>
          <t>-</t>
        </is>
      </c>
      <c r="J1064" s="1393" t="inlineStr">
        <is>
          <t>-</t>
        </is>
      </c>
      <c r="K1064" s="1395">
        <f>IF(raw[[#This Row],[city]]&lt;&gt;"",_xlfn.XLOOKUP($D1064,ccc[city],ccc[prov],"-"),"-")</f>
        <v/>
      </c>
      <c r="L1064" s="1395">
        <f>IF(raw[[#This Row],[city]]&lt;&gt;"",_xlfn.XLOOKUP($D1064,ccc[city],ccc[ctry],"-"),"-")</f>
        <v/>
      </c>
      <c r="M1064" s="1395">
        <f>IF(raw[[#This Row],[city]]&lt;&gt;"",_xlfn.XLOOKUP($D1064,ccc[city],ccc[cont],"-"),"-")</f>
        <v/>
      </c>
      <c r="N1064" s="1396">
        <f>IF(raw[[#This Row],[city]]="","-",IF(raw[[#This Row],[cont]]="B",raw[[#This Row],[cont]],"W"))</f>
        <v/>
      </c>
      <c r="O1064" s="1397">
        <f>IF(raw[[#This Row],[out]]=0,0,IF(raw[[#This Row],[out]]=raw[[#This Row],[in]],0.01,raw[[#This Row],[out]]-raw[[#This Row],[in]]))</f>
        <v/>
      </c>
      <c r="P1064" s="1397">
        <f>IF(raw[[#This Row],[in]]=0,0,MONTH(raw[[#This Row],[in]]))</f>
        <v/>
      </c>
      <c r="Q1064" s="1397">
        <f>IF(raw[[#This Row],[in]]=0,0,YEAR(raw[[#This Row],[in]]))</f>
        <v/>
      </c>
      <c r="R1064" s="1397">
        <f>INT(raw[[#This Row],[yr]]/10)*10</f>
        <v/>
      </c>
      <c r="S1064" s="1395">
        <f>IF(raw[[#This Row],[city]]="","-",IF(raw[[#This Row],[city]]&lt;&gt;_xlfn.XLOOKUP(raw[[#This Row],[home]],homes[home],homes[city],"-"),1,0))</f>
        <v/>
      </c>
      <c r="T1064" s="1398" t="inlineStr">
        <is>
          <t>.</t>
        </is>
      </c>
      <c r="U1064" s="1399">
        <f>IF(raw[[#This Row],[wb]]="w",raw[[#This Row],[stay]]+U1063,U1063)</f>
        <v/>
      </c>
      <c r="V1064" s="1400">
        <f>IF(raw[[#This Row],[out]]=0,V1063,(raw[[#This Row],[out]]-E$5))</f>
        <v/>
      </c>
      <c r="W1064" s="1401">
        <f>U1064/V1064</f>
        <v/>
      </c>
      <c r="X1064" s="1392" t="n"/>
      <c r="Y1064" s="1392" t="n"/>
      <c r="Z1064" s="1392" t="n"/>
      <c r="AA1064" s="1392" t="n"/>
      <c r="AB1064" s="1392" t="n"/>
      <c r="AC1064" s="1392" t="n"/>
      <c r="AD1064" s="1392" t="n"/>
      <c r="AE1064" s="1392" t="n"/>
      <c r="AF1064" s="1392" t="n"/>
      <c r="AG1064" s="1392" t="n"/>
      <c r="AH1064" s="1392" t="n"/>
      <c r="AI1064" s="1392" t="n"/>
      <c r="AJ1064" s="1392" t="n"/>
      <c r="AK1064" s="1392" t="n"/>
      <c r="AL1064" s="1392" t="n"/>
      <c r="AM1064" s="1392" t="n"/>
      <c r="AN1064" s="1392" t="n"/>
      <c r="AO1064" s="1392" t="n"/>
      <c r="AP1064" s="1392" t="n"/>
      <c r="AQ1064" s="1392" t="n"/>
      <c r="AR1064" s="1422" t="n"/>
      <c r="AS1064" s="1422" t="n"/>
      <c r="AT1064" s="1392" t="n"/>
      <c r="AU1064" s="1392" t="n"/>
      <c r="AV1064" s="1392" t="n"/>
      <c r="AW1064" s="1392" t="n"/>
      <c r="AX1064" s="1392" t="n"/>
      <c r="AY1064" s="1392" t="n"/>
      <c r="AZ1064" s="1392" t="n"/>
      <c r="BA1064" s="1422" t="n"/>
      <c r="BB1064" s="1422" t="n"/>
      <c r="BC1064" s="1392" t="n"/>
      <c r="BD1064" s="1392" t="n"/>
      <c r="BE1064" s="1392" t="n"/>
      <c r="BF1064" s="1392" t="n"/>
      <c r="BG1064" s="1392" t="n"/>
      <c r="BH1064" s="1392" t="n"/>
      <c r="BI1064" s="1392" t="n"/>
      <c r="BJ1064" s="1392" t="n"/>
      <c r="BK1064" s="1392" t="n"/>
      <c r="BL1064" s="1392" t="n"/>
      <c r="BM1064" s="1392" t="n"/>
      <c r="BN1064" s="1392" t="n"/>
      <c r="BO1064" s="1392" t="n"/>
      <c r="BP1064" s="1392" t="n"/>
      <c r="BQ1064" s="1392" t="n"/>
      <c r="BR1064" s="1392" t="n"/>
      <c r="BS1064" s="1392" t="n"/>
      <c r="BT1064" s="1392" t="n"/>
      <c r="BU1064" s="1392" t="n"/>
      <c r="BV1064" s="1392" t="n"/>
      <c r="BW1064" s="1392" t="n"/>
      <c r="BX1064" s="1392" t="n"/>
      <c r="BY1064" s="1392" t="n"/>
      <c r="BZ1064" s="1392" t="n"/>
      <c r="CA1064" s="1392" t="n"/>
      <c r="CB1064" s="1392" t="n"/>
      <c r="CC1064" s="1392" t="n"/>
      <c r="CD1064" s="1392" t="n"/>
      <c r="CE1064" s="1392" t="n"/>
      <c r="CF1064" s="1392" t="n"/>
      <c r="CG1064" s="1392" t="n"/>
      <c r="CH1064" s="1392" t="n"/>
      <c r="CI1064" s="1392" t="n"/>
      <c r="CJ1064" s="1392" t="n"/>
      <c r="CK1064" s="1392" t="n"/>
      <c r="CL1064" s="1392" t="n"/>
    </row>
    <row r="1065">
      <c r="A1065" s="5" t="inlineStr">
        <is>
          <t>.</t>
        </is>
      </c>
      <c r="B1065" s="5" t="inlineStr">
        <is>
          <t>.</t>
        </is>
      </c>
      <c r="C1065" s="1378">
        <f>IF(raw[[#This Row],[city]]="","-",IF(raw[[#This Row],[city]]="TODAY","-",C1064+1))</f>
        <v/>
      </c>
      <c r="D1065" s="1393" t="inlineStr">
        <is>
          <t>Brasilia</t>
        </is>
      </c>
      <c r="E1065" s="1394" t="n">
        <v>39420</v>
      </c>
      <c r="F1065" s="1394" t="n">
        <v>39420</v>
      </c>
      <c r="G1065" s="1393" t="n">
        <v>0.01</v>
      </c>
      <c r="H1065" s="1393" t="inlineStr">
        <is>
          <t>Ondina</t>
        </is>
      </c>
      <c r="I1065" s="1393" t="inlineStr">
        <is>
          <t>-</t>
        </is>
      </c>
      <c r="J1065" s="1393" t="inlineStr">
        <is>
          <t>-</t>
        </is>
      </c>
      <c r="K1065" s="1395">
        <f>IF(raw[[#This Row],[city]]&lt;&gt;"",_xlfn.XLOOKUP($D1065,ccc[city],ccc[prov],"-"),"-")</f>
        <v/>
      </c>
      <c r="L1065" s="1395">
        <f>IF(raw[[#This Row],[city]]&lt;&gt;"",_xlfn.XLOOKUP($D1065,ccc[city],ccc[ctry],"-"),"-")</f>
        <v/>
      </c>
      <c r="M1065" s="1395">
        <f>IF(raw[[#This Row],[city]]&lt;&gt;"",_xlfn.XLOOKUP($D1065,ccc[city],ccc[cont],"-"),"-")</f>
        <v/>
      </c>
      <c r="N1065" s="1396">
        <f>IF(raw[[#This Row],[city]]="","-",IF(raw[[#This Row],[cont]]="B",raw[[#This Row],[cont]],"W"))</f>
        <v/>
      </c>
      <c r="O1065" s="1397">
        <f>IF(raw[[#This Row],[out]]=0,0,IF(raw[[#This Row],[out]]=raw[[#This Row],[in]],0.01,raw[[#This Row],[out]]-raw[[#This Row],[in]]))</f>
        <v/>
      </c>
      <c r="P1065" s="1397">
        <f>IF(raw[[#This Row],[in]]=0,0,MONTH(raw[[#This Row],[in]]))</f>
        <v/>
      </c>
      <c r="Q1065" s="1397">
        <f>IF(raw[[#This Row],[in]]=0,0,YEAR(raw[[#This Row],[in]]))</f>
        <v/>
      </c>
      <c r="R1065" s="1397">
        <f>INT(raw[[#This Row],[yr]]/10)*10</f>
        <v/>
      </c>
      <c r="S1065" s="1395">
        <f>IF(raw[[#This Row],[city]]="","-",IF(raw[[#This Row],[city]]&lt;&gt;_xlfn.XLOOKUP(raw[[#This Row],[home]],homes[home],homes[city],"-"),1,0))</f>
        <v/>
      </c>
      <c r="T1065" s="1398" t="inlineStr">
        <is>
          <t>.</t>
        </is>
      </c>
      <c r="U1065" s="1399">
        <f>IF(raw[[#This Row],[wb]]="w",raw[[#This Row],[stay]]+U1064,U1064)</f>
        <v/>
      </c>
      <c r="V1065" s="1400">
        <f>IF(raw[[#This Row],[out]]=0,V1064,(raw[[#This Row],[out]]-E$5))</f>
        <v/>
      </c>
      <c r="W1065" s="1401">
        <f>U1065/V1065</f>
        <v/>
      </c>
      <c r="X1065" s="1392" t="n"/>
      <c r="Y1065" s="1392" t="n"/>
      <c r="Z1065" s="1392" t="n"/>
      <c r="AA1065" s="1392" t="n"/>
      <c r="AB1065" s="1392" t="n"/>
      <c r="AC1065" s="1392" t="n"/>
      <c r="AD1065" s="1392" t="n"/>
      <c r="AE1065" s="1392" t="n"/>
      <c r="AF1065" s="1392" t="n"/>
      <c r="AG1065" s="1392" t="n"/>
      <c r="AH1065" s="1392" t="n"/>
      <c r="AI1065" s="1392" t="n"/>
      <c r="AJ1065" s="1392" t="n"/>
      <c r="AK1065" s="1392" t="n"/>
      <c r="AL1065" s="1392" t="n"/>
      <c r="AM1065" s="1392" t="n"/>
      <c r="AN1065" s="1392" t="n"/>
      <c r="AO1065" s="1392" t="n"/>
      <c r="AP1065" s="1392" t="n"/>
      <c r="AQ1065" s="1392" t="n"/>
      <c r="AR1065" s="1422" t="n"/>
      <c r="AS1065" s="1422" t="n"/>
      <c r="AT1065" s="1392" t="n"/>
      <c r="AU1065" s="1392" t="n"/>
      <c r="AV1065" s="1392" t="n"/>
      <c r="AW1065" s="1392" t="n"/>
      <c r="AX1065" s="1392" t="n"/>
      <c r="AY1065" s="1392" t="n"/>
      <c r="AZ1065" s="1392" t="n"/>
      <c r="BA1065" s="1422" t="n"/>
      <c r="BB1065" s="1422" t="n"/>
      <c r="BC1065" s="1392" t="n"/>
      <c r="BD1065" s="1392" t="n"/>
      <c r="BE1065" s="1392" t="n"/>
      <c r="BF1065" s="1392" t="n"/>
      <c r="BG1065" s="1392" t="n"/>
      <c r="BH1065" s="1392" t="n"/>
      <c r="BI1065" s="1392" t="n"/>
      <c r="BJ1065" s="1392" t="n"/>
      <c r="BK1065" s="1392" t="n"/>
      <c r="BL1065" s="1392" t="n"/>
      <c r="BM1065" s="1392" t="n"/>
      <c r="BN1065" s="1392" t="n"/>
      <c r="BO1065" s="1392" t="n"/>
      <c r="BP1065" s="1392" t="n"/>
      <c r="BQ1065" s="1392" t="n"/>
      <c r="BR1065" s="1392" t="n"/>
      <c r="BS1065" s="1392" t="n"/>
      <c r="BT1065" s="1392" t="n"/>
      <c r="BU1065" s="1392" t="n"/>
      <c r="BV1065" s="1392" t="n"/>
      <c r="BW1065" s="1392" t="n"/>
      <c r="BX1065" s="1392" t="n"/>
      <c r="BY1065" s="1392" t="n"/>
      <c r="BZ1065" s="1392" t="n"/>
      <c r="CA1065" s="1392" t="n"/>
      <c r="CB1065" s="1392" t="n"/>
      <c r="CC1065" s="1392" t="n"/>
      <c r="CD1065" s="1392" t="n"/>
      <c r="CE1065" s="1392" t="n"/>
      <c r="CF1065" s="1392" t="n"/>
      <c r="CG1065" s="1392" t="n"/>
      <c r="CH1065" s="1392" t="n"/>
      <c r="CI1065" s="1392" t="n"/>
      <c r="CJ1065" s="1392" t="n"/>
      <c r="CK1065" s="1392" t="n"/>
      <c r="CL1065" s="1392" t="n"/>
    </row>
    <row r="1066">
      <c r="A1066" s="5" t="inlineStr">
        <is>
          <t>.</t>
        </is>
      </c>
      <c r="B1066" s="5" t="inlineStr">
        <is>
          <t>.</t>
        </is>
      </c>
      <c r="C1066" s="1378">
        <f>IF(raw[[#This Row],[city]]="","-",IF(raw[[#This Row],[city]]="TODAY","-",C1065+1))</f>
        <v/>
      </c>
      <c r="D1066" s="1393" t="inlineStr">
        <is>
          <t>SSA</t>
        </is>
      </c>
      <c r="E1066" s="1394" t="n">
        <v>39420</v>
      </c>
      <c r="F1066" s="1394" t="n">
        <v>39448</v>
      </c>
      <c r="G1066" s="1393" t="inlineStr">
        <is>
          <t>-</t>
        </is>
      </c>
      <c r="H1066" s="1393" t="inlineStr">
        <is>
          <t>Ondina</t>
        </is>
      </c>
      <c r="I1066" s="1393" t="inlineStr">
        <is>
          <t>-</t>
        </is>
      </c>
      <c r="J1066" s="1393" t="inlineStr">
        <is>
          <t>-</t>
        </is>
      </c>
      <c r="K1066" s="1395">
        <f>IF(raw[[#This Row],[city]]&lt;&gt;"",_xlfn.XLOOKUP($D1066,ccc[city],ccc[prov],"-"),"-")</f>
        <v/>
      </c>
      <c r="L1066" s="1395">
        <f>IF(raw[[#This Row],[city]]&lt;&gt;"",_xlfn.XLOOKUP($D1066,ccc[city],ccc[ctry],"-"),"-")</f>
        <v/>
      </c>
      <c r="M1066" s="1395">
        <f>IF(raw[[#This Row],[city]]&lt;&gt;"",_xlfn.XLOOKUP($D1066,ccc[city],ccc[cont],"-"),"-")</f>
        <v/>
      </c>
      <c r="N1066" s="1396">
        <f>IF(raw[[#This Row],[city]]="","-",IF(raw[[#This Row],[cont]]="B",raw[[#This Row],[cont]],"W"))</f>
        <v/>
      </c>
      <c r="O1066" s="1397">
        <f>IF(raw[[#This Row],[out]]=0,0,IF(raw[[#This Row],[out]]=raw[[#This Row],[in]],0.01,raw[[#This Row],[out]]-raw[[#This Row],[in]]))</f>
        <v/>
      </c>
      <c r="P1066" s="1397">
        <f>IF(raw[[#This Row],[in]]=0,0,MONTH(raw[[#This Row],[in]]))</f>
        <v/>
      </c>
      <c r="Q1066" s="1397">
        <f>IF(raw[[#This Row],[in]]=0,0,YEAR(raw[[#This Row],[in]]))</f>
        <v/>
      </c>
      <c r="R1066" s="1397">
        <f>INT(raw[[#This Row],[yr]]/10)*10</f>
        <v/>
      </c>
      <c r="S1066" s="1395">
        <f>IF(raw[[#This Row],[city]]="","-",IF(raw[[#This Row],[city]]&lt;&gt;_xlfn.XLOOKUP(raw[[#This Row],[home]],homes[home],homes[city],"-"),1,0))</f>
        <v/>
      </c>
      <c r="T1066" s="1398" t="inlineStr">
        <is>
          <t>.</t>
        </is>
      </c>
      <c r="U1066" s="1399">
        <f>IF(raw[[#This Row],[wb]]="w",raw[[#This Row],[stay]]+U1065,U1065)</f>
        <v/>
      </c>
      <c r="V1066" s="1400">
        <f>IF(raw[[#This Row],[out]]=0,V1065,(raw[[#This Row],[out]]-E$5))</f>
        <v/>
      </c>
      <c r="W1066" s="1401">
        <f>U1066/V1066</f>
        <v/>
      </c>
      <c r="X1066" s="1392" t="n"/>
      <c r="Y1066" s="1392" t="n"/>
      <c r="Z1066" s="1392" t="n"/>
      <c r="AA1066" s="1392" t="n"/>
      <c r="AB1066" s="1392" t="n"/>
      <c r="AC1066" s="1392" t="n"/>
      <c r="AD1066" s="1392" t="n"/>
      <c r="AE1066" s="1392" t="n"/>
      <c r="AF1066" s="1392" t="n"/>
      <c r="AG1066" s="1392" t="n"/>
      <c r="AH1066" s="1392" t="n"/>
      <c r="AI1066" s="1392" t="n"/>
      <c r="AJ1066" s="1392" t="n"/>
      <c r="AK1066" s="1392" t="n"/>
      <c r="AL1066" s="1392" t="n"/>
      <c r="AM1066" s="1392" t="n"/>
      <c r="AN1066" s="1392" t="n"/>
      <c r="AO1066" s="1392" t="n"/>
      <c r="AP1066" s="1392" t="n"/>
      <c r="AQ1066" s="1392" t="n"/>
      <c r="AR1066" s="1422" t="n"/>
      <c r="AS1066" s="1422" t="n"/>
      <c r="AT1066" s="1392" t="n"/>
      <c r="AU1066" s="1392" t="n"/>
      <c r="AV1066" s="1392" t="n"/>
      <c r="AW1066" s="1392" t="n"/>
      <c r="AX1066" s="1392" t="n"/>
      <c r="AY1066" s="1392" t="n"/>
      <c r="AZ1066" s="1392" t="n"/>
      <c r="BA1066" s="1422" t="n"/>
      <c r="BB1066" s="1422" t="n"/>
      <c r="BC1066" s="1392" t="n"/>
      <c r="BD1066" s="1392" t="n"/>
      <c r="BE1066" s="1392" t="n"/>
      <c r="BF1066" s="1392" t="n"/>
      <c r="BG1066" s="1392" t="n"/>
      <c r="BH1066" s="1392" t="n"/>
      <c r="BI1066" s="1392" t="n"/>
      <c r="BJ1066" s="1392" t="n"/>
      <c r="BK1066" s="1392" t="n"/>
      <c r="BL1066" s="1392" t="n"/>
      <c r="BM1066" s="1392" t="n"/>
      <c r="BN1066" s="1392" t="n"/>
      <c r="BO1066" s="1392" t="n"/>
      <c r="BP1066" s="1392" t="n"/>
      <c r="BQ1066" s="1392" t="n"/>
      <c r="BR1066" s="1392" t="n"/>
      <c r="BS1066" s="1392" t="n"/>
      <c r="BT1066" s="1392" t="n"/>
      <c r="BU1066" s="1392" t="n"/>
      <c r="BV1066" s="1392" t="n"/>
      <c r="BW1066" s="1392" t="n"/>
      <c r="BX1066" s="1392" t="n"/>
      <c r="BY1066" s="1392" t="n"/>
      <c r="BZ1066" s="1392" t="n"/>
      <c r="CA1066" s="1392" t="n"/>
      <c r="CB1066" s="1392" t="n"/>
      <c r="CC1066" s="1392" t="n"/>
      <c r="CD1066" s="1392" t="n"/>
      <c r="CE1066" s="1392" t="n"/>
      <c r="CF1066" s="1392" t="n"/>
      <c r="CG1066" s="1392" t="n"/>
      <c r="CH1066" s="1392" t="n"/>
      <c r="CI1066" s="1392" t="n"/>
      <c r="CJ1066" s="1392" t="n"/>
      <c r="CK1066" s="1392" t="n"/>
      <c r="CL1066" s="1392" t="n"/>
    </row>
    <row r="1067">
      <c r="A1067" s="5" t="inlineStr">
        <is>
          <t>.</t>
        </is>
      </c>
      <c r="B1067" s="5" t="inlineStr">
        <is>
          <t>.</t>
        </is>
      </c>
      <c r="C1067" s="1378">
        <f>IF(raw[[#This Row],[city]]="","-",IF(raw[[#This Row],[city]]="TODAY","-",C1066+1))</f>
        <v/>
      </c>
      <c r="D1067" s="1393" t="inlineStr">
        <is>
          <t>SSA</t>
        </is>
      </c>
      <c r="E1067" s="1394" t="n">
        <v>39448</v>
      </c>
      <c r="F1067" s="1394" t="n">
        <v>39453</v>
      </c>
      <c r="G1067" s="1393" t="inlineStr">
        <is>
          <t>-</t>
        </is>
      </c>
      <c r="H1067" s="1393" t="inlineStr">
        <is>
          <t>Ondina</t>
        </is>
      </c>
      <c r="I1067" s="1393" t="inlineStr">
        <is>
          <t>-</t>
        </is>
      </c>
      <c r="J1067" s="1393" t="inlineStr">
        <is>
          <t>REV</t>
        </is>
      </c>
      <c r="K1067" s="1395">
        <f>IF(raw[[#This Row],[city]]&lt;&gt;"",_xlfn.XLOOKUP($D1067,ccc[city],ccc[prov],"-"),"-")</f>
        <v/>
      </c>
      <c r="L1067" s="1395">
        <f>IF(raw[[#This Row],[city]]&lt;&gt;"",_xlfn.XLOOKUP($D1067,ccc[city],ccc[ctry],"-"),"-")</f>
        <v/>
      </c>
      <c r="M1067" s="1395">
        <f>IF(raw[[#This Row],[city]]&lt;&gt;"",_xlfn.XLOOKUP($D1067,ccc[city],ccc[cont],"-"),"-")</f>
        <v/>
      </c>
      <c r="N1067" s="1396">
        <f>IF(raw[[#This Row],[city]]="","-",IF(raw[[#This Row],[cont]]="B",raw[[#This Row],[cont]],"W"))</f>
        <v/>
      </c>
      <c r="O1067" s="1397">
        <f>IF(raw[[#This Row],[out]]=0,0,IF(raw[[#This Row],[out]]=raw[[#This Row],[in]],0.01,raw[[#This Row],[out]]-raw[[#This Row],[in]]))</f>
        <v/>
      </c>
      <c r="P1067" s="1397">
        <f>IF(raw[[#This Row],[in]]=0,0,MONTH(raw[[#This Row],[in]]))</f>
        <v/>
      </c>
      <c r="Q1067" s="1397">
        <f>IF(raw[[#This Row],[in]]=0,0,YEAR(raw[[#This Row],[in]]))</f>
        <v/>
      </c>
      <c r="R1067" s="1397">
        <f>INT(raw[[#This Row],[yr]]/10)*10</f>
        <v/>
      </c>
      <c r="S1067" s="1395">
        <f>IF(raw[[#This Row],[city]]="","-",IF(raw[[#This Row],[city]]&lt;&gt;_xlfn.XLOOKUP(raw[[#This Row],[home]],homes[home],homes[city],"-"),1,0))</f>
        <v/>
      </c>
      <c r="T1067" s="1398" t="inlineStr">
        <is>
          <t>.</t>
        </is>
      </c>
      <c r="U1067" s="1399">
        <f>IF(raw[[#This Row],[wb]]="w",raw[[#This Row],[stay]]+U1066,U1066)</f>
        <v/>
      </c>
      <c r="V1067" s="1400">
        <f>IF(raw[[#This Row],[out]]=0,V1066,(raw[[#This Row],[out]]-E$5))</f>
        <v/>
      </c>
      <c r="W1067" s="1401">
        <f>U1067/V1067</f>
        <v/>
      </c>
      <c r="X1067" s="1392" t="n"/>
      <c r="Y1067" s="1392" t="n"/>
      <c r="Z1067" s="1392" t="n"/>
      <c r="AA1067" s="1392" t="n"/>
      <c r="AB1067" s="1392" t="n"/>
      <c r="AC1067" s="1392" t="n"/>
      <c r="AD1067" s="1392" t="n"/>
      <c r="AE1067" s="1392" t="n"/>
      <c r="AF1067" s="1392" t="n"/>
      <c r="AG1067" s="1392" t="n"/>
      <c r="AH1067" s="1392" t="n"/>
      <c r="AI1067" s="1392" t="n"/>
      <c r="AJ1067" s="1392" t="n"/>
      <c r="AK1067" s="1392" t="n"/>
      <c r="AL1067" s="1392" t="n"/>
      <c r="AM1067" s="1392" t="n"/>
      <c r="AN1067" s="1392" t="n"/>
      <c r="AO1067" s="1392" t="n"/>
      <c r="AP1067" s="1392" t="n"/>
      <c r="AQ1067" s="1392" t="n"/>
      <c r="AR1067" s="1422" t="n"/>
      <c r="AS1067" s="1422" t="n"/>
      <c r="AT1067" s="1392" t="n"/>
      <c r="AU1067" s="1392" t="n"/>
      <c r="AV1067" s="1392" t="n"/>
      <c r="AW1067" s="1392" t="n"/>
      <c r="AX1067" s="1392" t="n"/>
      <c r="AY1067" s="1392" t="n"/>
      <c r="AZ1067" s="1392" t="n"/>
      <c r="BA1067" s="1422" t="n"/>
      <c r="BB1067" s="1422" t="n"/>
      <c r="BC1067" s="1392" t="n"/>
      <c r="BD1067" s="1392" t="n"/>
      <c r="BE1067" s="1392" t="n"/>
      <c r="BF1067" s="1392" t="n"/>
      <c r="BG1067" s="1392" t="n"/>
      <c r="BH1067" s="1392" t="n"/>
      <c r="BI1067" s="1392" t="n"/>
      <c r="BJ1067" s="1392" t="n"/>
      <c r="BK1067" s="1392" t="n"/>
      <c r="BL1067" s="1392" t="n"/>
      <c r="BM1067" s="1392" t="n"/>
      <c r="BN1067" s="1392" t="n"/>
      <c r="BO1067" s="1392" t="n"/>
      <c r="BP1067" s="1392" t="n"/>
      <c r="BQ1067" s="1392" t="n"/>
      <c r="BR1067" s="1392" t="n"/>
      <c r="BS1067" s="1392" t="n"/>
      <c r="BT1067" s="1392" t="n"/>
      <c r="BU1067" s="1392" t="n"/>
      <c r="BV1067" s="1392" t="n"/>
      <c r="BW1067" s="1392" t="n"/>
      <c r="BX1067" s="1392" t="n"/>
      <c r="BY1067" s="1392" t="n"/>
      <c r="BZ1067" s="1392" t="n"/>
      <c r="CA1067" s="1392" t="n"/>
      <c r="CB1067" s="1392" t="n"/>
      <c r="CC1067" s="1392" t="n"/>
      <c r="CD1067" s="1392" t="n"/>
      <c r="CE1067" s="1392" t="n"/>
      <c r="CF1067" s="1392" t="n"/>
      <c r="CG1067" s="1392" t="n"/>
      <c r="CH1067" s="1392" t="n"/>
      <c r="CI1067" s="1392" t="n"/>
      <c r="CJ1067" s="1392" t="n"/>
      <c r="CK1067" s="1392" t="n"/>
      <c r="CL1067" s="1392" t="n"/>
    </row>
    <row r="1068">
      <c r="A1068" s="5" t="inlineStr">
        <is>
          <t>.</t>
        </is>
      </c>
      <c r="B1068" s="5" t="inlineStr">
        <is>
          <t>.</t>
        </is>
      </c>
      <c r="C1068" s="1378">
        <f>IF(raw[[#This Row],[city]]="","-",IF(raw[[#This Row],[city]]="TODAY","-",C1067+1))</f>
        <v/>
      </c>
      <c r="D1068" s="1393" t="inlineStr">
        <is>
          <t>Praia do Forte</t>
        </is>
      </c>
      <c r="E1068" s="1394" t="n">
        <v>39453</v>
      </c>
      <c r="F1068" s="1394" t="n">
        <v>39456</v>
      </c>
      <c r="G1068" s="1393" t="inlineStr">
        <is>
          <t>-</t>
        </is>
      </c>
      <c r="H1068" s="1393" t="inlineStr">
        <is>
          <t>Ondina</t>
        </is>
      </c>
      <c r="I1068" s="1393" t="inlineStr">
        <is>
          <t>Porto do Sol</t>
        </is>
      </c>
      <c r="J1068" s="1393" t="inlineStr">
        <is>
          <t>-</t>
        </is>
      </c>
      <c r="K1068" s="1395">
        <f>IF(raw[[#This Row],[city]]&lt;&gt;"",_xlfn.XLOOKUP($D1068,ccc[city],ccc[prov],"-"),"-")</f>
        <v/>
      </c>
      <c r="L1068" s="1395">
        <f>IF(raw[[#This Row],[city]]&lt;&gt;"",_xlfn.XLOOKUP($D1068,ccc[city],ccc[ctry],"-"),"-")</f>
        <v/>
      </c>
      <c r="M1068" s="1395">
        <f>IF(raw[[#This Row],[city]]&lt;&gt;"",_xlfn.XLOOKUP($D1068,ccc[city],ccc[cont],"-"),"-")</f>
        <v/>
      </c>
      <c r="N1068" s="1396">
        <f>IF(raw[[#This Row],[city]]="","-",IF(raw[[#This Row],[cont]]="B",raw[[#This Row],[cont]],"W"))</f>
        <v/>
      </c>
      <c r="O1068" s="1397">
        <f>IF(raw[[#This Row],[out]]=0,0,IF(raw[[#This Row],[out]]=raw[[#This Row],[in]],0.01,raw[[#This Row],[out]]-raw[[#This Row],[in]]))</f>
        <v/>
      </c>
      <c r="P1068" s="1397">
        <f>IF(raw[[#This Row],[in]]=0,0,MONTH(raw[[#This Row],[in]]))</f>
        <v/>
      </c>
      <c r="Q1068" s="1397">
        <f>IF(raw[[#This Row],[in]]=0,0,YEAR(raw[[#This Row],[in]]))</f>
        <v/>
      </c>
      <c r="R1068" s="1397">
        <f>INT(raw[[#This Row],[yr]]/10)*10</f>
        <v/>
      </c>
      <c r="S1068" s="1395">
        <f>IF(raw[[#This Row],[city]]="","-",IF(raw[[#This Row],[city]]&lt;&gt;_xlfn.XLOOKUP(raw[[#This Row],[home]],homes[home],homes[city],"-"),1,0))</f>
        <v/>
      </c>
      <c r="T1068" s="1398" t="inlineStr">
        <is>
          <t>.</t>
        </is>
      </c>
      <c r="U1068" s="1399">
        <f>IF(raw[[#This Row],[wb]]="w",raw[[#This Row],[stay]]+U1067,U1067)</f>
        <v/>
      </c>
      <c r="V1068" s="1400">
        <f>IF(raw[[#This Row],[out]]=0,V1067,(raw[[#This Row],[out]]-E$5))</f>
        <v/>
      </c>
      <c r="W1068" s="1401">
        <f>U1068/V1068</f>
        <v/>
      </c>
      <c r="X1068" s="1392" t="n"/>
      <c r="Y1068" s="1392" t="n"/>
      <c r="Z1068" s="1392" t="n"/>
      <c r="AA1068" s="1392" t="n"/>
      <c r="AB1068" s="1392" t="n"/>
      <c r="AC1068" s="1392" t="n"/>
      <c r="AD1068" s="1392" t="n"/>
      <c r="AE1068" s="1392" t="n"/>
      <c r="AF1068" s="1392" t="n"/>
      <c r="AG1068" s="1392" t="n"/>
      <c r="AH1068" s="1392" t="n"/>
      <c r="AI1068" s="1392" t="n"/>
      <c r="AJ1068" s="1392" t="n"/>
      <c r="AK1068" s="1392" t="n"/>
      <c r="AL1068" s="1392" t="n"/>
      <c r="AM1068" s="1392" t="n"/>
      <c r="AN1068" s="1392" t="n"/>
      <c r="AO1068" s="1392" t="n"/>
      <c r="AP1068" s="1392" t="n"/>
      <c r="AQ1068" s="1392" t="n"/>
      <c r="AR1068" s="1422" t="n"/>
      <c r="AS1068" s="1422" t="n"/>
      <c r="AT1068" s="1392" t="n"/>
      <c r="AU1068" s="1392" t="n"/>
      <c r="AV1068" s="1392" t="n"/>
      <c r="AW1068" s="1392" t="n"/>
      <c r="AX1068" s="1392" t="n"/>
      <c r="AY1068" s="1392" t="n"/>
      <c r="AZ1068" s="1392" t="n"/>
      <c r="BA1068" s="1422" t="n"/>
      <c r="BB1068" s="1422" t="n"/>
      <c r="BC1068" s="1392" t="n"/>
      <c r="BD1068" s="1392" t="n"/>
      <c r="BE1068" s="1392" t="n"/>
      <c r="BF1068" s="1392" t="n"/>
      <c r="BG1068" s="1392" t="n"/>
      <c r="BH1068" s="1392" t="n"/>
      <c r="BI1068" s="1392" t="n"/>
      <c r="BJ1068" s="1392" t="n"/>
      <c r="BK1068" s="1392" t="n"/>
      <c r="BL1068" s="1392" t="n"/>
      <c r="BM1068" s="1392" t="n"/>
      <c r="BN1068" s="1392" t="n"/>
      <c r="BO1068" s="1392" t="n"/>
      <c r="BP1068" s="1392" t="n"/>
      <c r="BQ1068" s="1392" t="n"/>
      <c r="BR1068" s="1392" t="n"/>
      <c r="BS1068" s="1392" t="n"/>
      <c r="BT1068" s="1392" t="n"/>
      <c r="BU1068" s="1392" t="n"/>
      <c r="BV1068" s="1392" t="n"/>
      <c r="BW1068" s="1392" t="n"/>
      <c r="BX1068" s="1392" t="n"/>
      <c r="BY1068" s="1392" t="n"/>
      <c r="BZ1068" s="1392" t="n"/>
      <c r="CA1068" s="1392" t="n"/>
      <c r="CB1068" s="1392" t="n"/>
      <c r="CC1068" s="1392" t="n"/>
      <c r="CD1068" s="1392" t="n"/>
      <c r="CE1068" s="1392" t="n"/>
      <c r="CF1068" s="1392" t="n"/>
      <c r="CG1068" s="1392" t="n"/>
      <c r="CH1068" s="1392" t="n"/>
      <c r="CI1068" s="1392" t="n"/>
      <c r="CJ1068" s="1392" t="n"/>
      <c r="CK1068" s="1392" t="n"/>
      <c r="CL1068" s="1392" t="n"/>
    </row>
    <row r="1069">
      <c r="A1069" s="5" t="inlineStr">
        <is>
          <t>.</t>
        </is>
      </c>
      <c r="B1069" s="5" t="inlineStr">
        <is>
          <t>.</t>
        </is>
      </c>
      <c r="C1069" s="1378">
        <f>IF(raw[[#This Row],[city]]="","-",IF(raw[[#This Row],[city]]="TODAY","-",C1068+1))</f>
        <v/>
      </c>
      <c r="D1069" s="1393" t="inlineStr">
        <is>
          <t>SSA</t>
        </is>
      </c>
      <c r="E1069" s="1394" t="n">
        <v>39456</v>
      </c>
      <c r="F1069" s="1394" t="n">
        <v>39479</v>
      </c>
      <c r="G1069" s="1393" t="inlineStr">
        <is>
          <t>-</t>
        </is>
      </c>
      <c r="H1069" s="1393" t="inlineStr">
        <is>
          <t>Ondina</t>
        </is>
      </c>
      <c r="I1069" s="1393" t="inlineStr">
        <is>
          <t>-</t>
        </is>
      </c>
      <c r="J1069" s="1393" t="inlineStr">
        <is>
          <t>-</t>
        </is>
      </c>
      <c r="K1069" s="1395">
        <f>IF(raw[[#This Row],[city]]&lt;&gt;"",_xlfn.XLOOKUP($D1069,ccc[city],ccc[prov],"-"),"-")</f>
        <v/>
      </c>
      <c r="L1069" s="1395">
        <f>IF(raw[[#This Row],[city]]&lt;&gt;"",_xlfn.XLOOKUP($D1069,ccc[city],ccc[ctry],"-"),"-")</f>
        <v/>
      </c>
      <c r="M1069" s="1395">
        <f>IF(raw[[#This Row],[city]]&lt;&gt;"",_xlfn.XLOOKUP($D1069,ccc[city],ccc[cont],"-"),"-")</f>
        <v/>
      </c>
      <c r="N1069" s="1396">
        <f>IF(raw[[#This Row],[city]]="","-",IF(raw[[#This Row],[cont]]="B",raw[[#This Row],[cont]],"W"))</f>
        <v/>
      </c>
      <c r="O1069" s="1397">
        <f>IF(raw[[#This Row],[out]]=0,0,IF(raw[[#This Row],[out]]=raw[[#This Row],[in]],0.01,raw[[#This Row],[out]]-raw[[#This Row],[in]]))</f>
        <v/>
      </c>
      <c r="P1069" s="1397">
        <f>IF(raw[[#This Row],[in]]=0,0,MONTH(raw[[#This Row],[in]]))</f>
        <v/>
      </c>
      <c r="Q1069" s="1397">
        <f>IF(raw[[#This Row],[in]]=0,0,YEAR(raw[[#This Row],[in]]))</f>
        <v/>
      </c>
      <c r="R1069" s="1397">
        <f>INT(raw[[#This Row],[yr]]/10)*10</f>
        <v/>
      </c>
      <c r="S1069" s="1395">
        <f>IF(raw[[#This Row],[city]]="","-",IF(raw[[#This Row],[city]]&lt;&gt;_xlfn.XLOOKUP(raw[[#This Row],[home]],homes[home],homes[city],"-"),1,0))</f>
        <v/>
      </c>
      <c r="T1069" s="1398" t="inlineStr">
        <is>
          <t>.</t>
        </is>
      </c>
      <c r="U1069" s="1399">
        <f>IF(raw[[#This Row],[wb]]="w",raw[[#This Row],[stay]]+U1068,U1068)</f>
        <v/>
      </c>
      <c r="V1069" s="1400">
        <f>IF(raw[[#This Row],[out]]=0,V1068,(raw[[#This Row],[out]]-E$5))</f>
        <v/>
      </c>
      <c r="W1069" s="1401">
        <f>U1069/V1069</f>
        <v/>
      </c>
      <c r="X1069" s="1392" t="n"/>
      <c r="Y1069" s="1392" t="n"/>
      <c r="Z1069" s="1392" t="n"/>
      <c r="AA1069" s="1392" t="n"/>
      <c r="AB1069" s="1392" t="n"/>
      <c r="AC1069" s="1392" t="n"/>
      <c r="AD1069" s="1392" t="n"/>
      <c r="AE1069" s="1392" t="n"/>
      <c r="AF1069" s="1392" t="n"/>
      <c r="AG1069" s="1392" t="n"/>
      <c r="AH1069" s="1392" t="n"/>
      <c r="AI1069" s="1392" t="n"/>
      <c r="AJ1069" s="1392" t="n"/>
      <c r="AK1069" s="1392" t="n"/>
      <c r="AL1069" s="1392" t="n"/>
      <c r="AM1069" s="1392" t="n"/>
      <c r="AN1069" s="1392" t="n"/>
      <c r="AO1069" s="1392" t="n"/>
      <c r="AP1069" s="1392" t="n"/>
      <c r="AQ1069" s="1392" t="n"/>
      <c r="AR1069" s="1422" t="n"/>
      <c r="AS1069" s="1422" t="n"/>
      <c r="AT1069" s="1392" t="n"/>
      <c r="AU1069" s="1392" t="n"/>
      <c r="AV1069" s="1392" t="n"/>
      <c r="AW1069" s="1392" t="n"/>
      <c r="AX1069" s="1392" t="n"/>
      <c r="AY1069" s="1392" t="n"/>
      <c r="AZ1069" s="1392" t="n"/>
      <c r="BA1069" s="1422" t="n"/>
      <c r="BB1069" s="1422" t="n"/>
      <c r="BC1069" s="1392" t="n"/>
      <c r="BD1069" s="1392" t="n"/>
      <c r="BE1069" s="1392" t="n"/>
      <c r="BF1069" s="1392" t="n"/>
      <c r="BG1069" s="1392" t="n"/>
      <c r="BH1069" s="1392" t="n"/>
      <c r="BI1069" s="1392" t="n"/>
      <c r="BJ1069" s="1392" t="n"/>
      <c r="BK1069" s="1392" t="n"/>
      <c r="BL1069" s="1392" t="n"/>
      <c r="BM1069" s="1392" t="n"/>
      <c r="BN1069" s="1392" t="n"/>
      <c r="BO1069" s="1392" t="n"/>
      <c r="BP1069" s="1392" t="n"/>
      <c r="BQ1069" s="1392" t="n"/>
      <c r="BR1069" s="1392" t="n"/>
      <c r="BS1069" s="1392" t="n"/>
      <c r="BT1069" s="1392" t="n"/>
      <c r="BU1069" s="1392" t="n"/>
      <c r="BV1069" s="1392" t="n"/>
      <c r="BW1069" s="1392" t="n"/>
      <c r="BX1069" s="1392" t="n"/>
      <c r="BY1069" s="1392" t="n"/>
      <c r="BZ1069" s="1392" t="n"/>
      <c r="CA1069" s="1392" t="n"/>
      <c r="CB1069" s="1392" t="n"/>
      <c r="CC1069" s="1392" t="n"/>
      <c r="CD1069" s="1392" t="n"/>
      <c r="CE1069" s="1392" t="n"/>
      <c r="CF1069" s="1392" t="n"/>
      <c r="CG1069" s="1392" t="n"/>
      <c r="CH1069" s="1392" t="n"/>
      <c r="CI1069" s="1392" t="n"/>
      <c r="CJ1069" s="1392" t="n"/>
      <c r="CK1069" s="1392" t="n"/>
      <c r="CL1069" s="1392" t="n"/>
    </row>
    <row r="1070">
      <c r="A1070" s="5" t="inlineStr">
        <is>
          <t>.</t>
        </is>
      </c>
      <c r="B1070" s="5" t="inlineStr">
        <is>
          <t>.</t>
        </is>
      </c>
      <c r="C1070" s="1378">
        <f>IF(raw[[#This Row],[city]]="","-",IF(raw[[#This Row],[city]]="TODAY","-",C1069+1))</f>
        <v/>
      </c>
      <c r="D1070" s="1393" t="inlineStr">
        <is>
          <t>SSA</t>
        </is>
      </c>
      <c r="E1070" s="1394" t="n">
        <v>39479</v>
      </c>
      <c r="F1070" s="1394" t="n">
        <v>39508</v>
      </c>
      <c r="G1070" s="1393" t="inlineStr">
        <is>
          <t>-</t>
        </is>
      </c>
      <c r="H1070" s="1393" t="inlineStr">
        <is>
          <t>Ondina</t>
        </is>
      </c>
      <c r="I1070" s="1393" t="inlineStr">
        <is>
          <t>-</t>
        </is>
      </c>
      <c r="J1070" s="1393" t="inlineStr">
        <is>
          <t>-</t>
        </is>
      </c>
      <c r="K1070" s="1395">
        <f>IF(raw[[#This Row],[city]]&lt;&gt;"",_xlfn.XLOOKUP($D1070,ccc[city],ccc[prov],"-"),"-")</f>
        <v/>
      </c>
      <c r="L1070" s="1395">
        <f>IF(raw[[#This Row],[city]]&lt;&gt;"",_xlfn.XLOOKUP($D1070,ccc[city],ccc[ctry],"-"),"-")</f>
        <v/>
      </c>
      <c r="M1070" s="1395">
        <f>IF(raw[[#This Row],[city]]&lt;&gt;"",_xlfn.XLOOKUP($D1070,ccc[city],ccc[cont],"-"),"-")</f>
        <v/>
      </c>
      <c r="N1070" s="1396">
        <f>IF(raw[[#This Row],[city]]="","-",IF(raw[[#This Row],[cont]]="B",raw[[#This Row],[cont]],"W"))</f>
        <v/>
      </c>
      <c r="O1070" s="1397">
        <f>IF(raw[[#This Row],[out]]=0,0,IF(raw[[#This Row],[out]]=raw[[#This Row],[in]],0.01,raw[[#This Row],[out]]-raw[[#This Row],[in]]))</f>
        <v/>
      </c>
      <c r="P1070" s="1397">
        <f>IF(raw[[#This Row],[in]]=0,0,MONTH(raw[[#This Row],[in]]))</f>
        <v/>
      </c>
      <c r="Q1070" s="1397">
        <f>IF(raw[[#This Row],[in]]=0,0,YEAR(raw[[#This Row],[in]]))</f>
        <v/>
      </c>
      <c r="R1070" s="1397">
        <f>INT(raw[[#This Row],[yr]]/10)*10</f>
        <v/>
      </c>
      <c r="S1070" s="1395">
        <f>IF(raw[[#This Row],[city]]="","-",IF(raw[[#This Row],[city]]&lt;&gt;_xlfn.XLOOKUP(raw[[#This Row],[home]],homes[home],homes[city],"-"),1,0))</f>
        <v/>
      </c>
      <c r="T1070" s="1398" t="inlineStr">
        <is>
          <t>.</t>
        </is>
      </c>
      <c r="U1070" s="1399">
        <f>IF(raw[[#This Row],[wb]]="w",raw[[#This Row],[stay]]+U1069,U1069)</f>
        <v/>
      </c>
      <c r="V1070" s="1400">
        <f>IF(raw[[#This Row],[out]]=0,V1069,(raw[[#This Row],[out]]-E$5))</f>
        <v/>
      </c>
      <c r="W1070" s="1401">
        <f>U1070/V1070</f>
        <v/>
      </c>
      <c r="X1070" s="1392" t="n"/>
      <c r="Y1070" s="1392" t="n"/>
      <c r="Z1070" s="1392" t="n"/>
      <c r="AA1070" s="1392" t="n"/>
      <c r="AB1070" s="1392" t="n"/>
      <c r="AC1070" s="1392" t="n"/>
      <c r="AD1070" s="1392" t="n"/>
      <c r="AE1070" s="1392" t="n"/>
      <c r="AF1070" s="1392" t="n"/>
      <c r="AG1070" s="1392" t="n"/>
      <c r="AH1070" s="1392" t="n"/>
      <c r="AI1070" s="1392" t="n"/>
      <c r="AJ1070" s="1392" t="n"/>
      <c r="AK1070" s="1392" t="n"/>
      <c r="AL1070" s="1392" t="n"/>
      <c r="AM1070" s="1392" t="n"/>
      <c r="AN1070" s="1392" t="n"/>
      <c r="AO1070" s="1392" t="n"/>
      <c r="AP1070" s="1392" t="n"/>
      <c r="AQ1070" s="1392" t="n"/>
      <c r="AR1070" s="1422" t="n"/>
      <c r="AS1070" s="1422" t="n"/>
      <c r="AT1070" s="1392" t="n"/>
      <c r="AU1070" s="1392" t="n"/>
      <c r="AV1070" s="1392" t="n"/>
      <c r="AW1070" s="1392" t="n"/>
      <c r="AX1070" s="1392" t="n"/>
      <c r="AY1070" s="1392" t="n"/>
      <c r="AZ1070" s="1392" t="n"/>
      <c r="BA1070" s="1422" t="n"/>
      <c r="BB1070" s="1422" t="n"/>
      <c r="BC1070" s="1392" t="n"/>
      <c r="BD1070" s="1392" t="n"/>
      <c r="BE1070" s="1392" t="n"/>
      <c r="BF1070" s="1392" t="n"/>
      <c r="BG1070" s="1392" t="n"/>
      <c r="BH1070" s="1392" t="n"/>
      <c r="BI1070" s="1392" t="n"/>
      <c r="BJ1070" s="1392" t="n"/>
      <c r="BK1070" s="1392" t="n"/>
      <c r="BL1070" s="1392" t="n"/>
      <c r="BM1070" s="1392" t="n"/>
      <c r="BN1070" s="1392" t="n"/>
      <c r="BO1070" s="1392" t="n"/>
      <c r="BP1070" s="1392" t="n"/>
      <c r="BQ1070" s="1392" t="n"/>
      <c r="BR1070" s="1392" t="n"/>
      <c r="BS1070" s="1392" t="n"/>
      <c r="BT1070" s="1392" t="n"/>
      <c r="BU1070" s="1392" t="n"/>
      <c r="BV1070" s="1392" t="n"/>
      <c r="BW1070" s="1392" t="n"/>
      <c r="BX1070" s="1392" t="n"/>
      <c r="BY1070" s="1392" t="n"/>
      <c r="BZ1070" s="1392" t="n"/>
      <c r="CA1070" s="1392" t="n"/>
      <c r="CB1070" s="1392" t="n"/>
      <c r="CC1070" s="1392" t="n"/>
      <c r="CD1070" s="1392" t="n"/>
      <c r="CE1070" s="1392" t="n"/>
      <c r="CF1070" s="1392" t="n"/>
      <c r="CG1070" s="1392" t="n"/>
      <c r="CH1070" s="1392" t="n"/>
      <c r="CI1070" s="1392" t="n"/>
      <c r="CJ1070" s="1392" t="n"/>
      <c r="CK1070" s="1392" t="n"/>
      <c r="CL1070" s="1392" t="n"/>
    </row>
    <row r="1071">
      <c r="A1071" s="5" t="inlineStr">
        <is>
          <t>.</t>
        </is>
      </c>
      <c r="B1071" s="5" t="inlineStr">
        <is>
          <t>.</t>
        </is>
      </c>
      <c r="C1071" s="1378">
        <f>IF(raw[[#This Row],[city]]="","-",IF(raw[[#This Row],[city]]="TODAY","-",C1070+1))</f>
        <v/>
      </c>
      <c r="D1071" s="1393" t="inlineStr">
        <is>
          <t>SSA</t>
        </is>
      </c>
      <c r="E1071" s="1394" t="n">
        <v>39508</v>
      </c>
      <c r="F1071" s="1394" t="n">
        <v>39511</v>
      </c>
      <c r="G1071" s="1393" t="n">
        <v>1</v>
      </c>
      <c r="H1071" s="1393" t="inlineStr">
        <is>
          <t>Ondina</t>
        </is>
      </c>
      <c r="I1071" s="1393" t="inlineStr">
        <is>
          <t>-</t>
        </is>
      </c>
      <c r="J1071" s="1393" t="inlineStr">
        <is>
          <t>-</t>
        </is>
      </c>
      <c r="K1071" s="1395">
        <f>IF(raw[[#This Row],[city]]&lt;&gt;"",_xlfn.XLOOKUP($D1071,ccc[city],ccc[prov],"-"),"-")</f>
        <v/>
      </c>
      <c r="L1071" s="1395">
        <f>IF(raw[[#This Row],[city]]&lt;&gt;"",_xlfn.XLOOKUP($D1071,ccc[city],ccc[ctry],"-"),"-")</f>
        <v/>
      </c>
      <c r="M1071" s="1395">
        <f>IF(raw[[#This Row],[city]]&lt;&gt;"",_xlfn.XLOOKUP($D1071,ccc[city],ccc[cont],"-"),"-")</f>
        <v/>
      </c>
      <c r="N1071" s="1396">
        <f>IF(raw[[#This Row],[city]]="","-",IF(raw[[#This Row],[cont]]="B",raw[[#This Row],[cont]],"W"))</f>
        <v/>
      </c>
      <c r="O1071" s="1397">
        <f>IF(raw[[#This Row],[out]]=0,0,IF(raw[[#This Row],[out]]=raw[[#This Row],[in]],0.01,raw[[#This Row],[out]]-raw[[#This Row],[in]]))</f>
        <v/>
      </c>
      <c r="P1071" s="1397">
        <f>IF(raw[[#This Row],[in]]=0,0,MONTH(raw[[#This Row],[in]]))</f>
        <v/>
      </c>
      <c r="Q1071" s="1397">
        <f>IF(raw[[#This Row],[in]]=0,0,YEAR(raw[[#This Row],[in]]))</f>
        <v/>
      </c>
      <c r="R1071" s="1397">
        <f>INT(raw[[#This Row],[yr]]/10)*10</f>
        <v/>
      </c>
      <c r="S1071" s="1395">
        <f>IF(raw[[#This Row],[city]]="","-",IF(raw[[#This Row],[city]]&lt;&gt;_xlfn.XLOOKUP(raw[[#This Row],[home]],homes[home],homes[city],"-"),1,0))</f>
        <v/>
      </c>
      <c r="T1071" s="1398" t="inlineStr">
        <is>
          <t>.</t>
        </is>
      </c>
      <c r="U1071" s="1399">
        <f>IF(raw[[#This Row],[wb]]="w",raw[[#This Row],[stay]]+U1070,U1070)</f>
        <v/>
      </c>
      <c r="V1071" s="1400">
        <f>IF(raw[[#This Row],[out]]=0,V1070,(raw[[#This Row],[out]]-E$5))</f>
        <v/>
      </c>
      <c r="W1071" s="1401">
        <f>U1071/V1071</f>
        <v/>
      </c>
      <c r="X1071" s="1392" t="n"/>
      <c r="Y1071" s="1392" t="n"/>
      <c r="Z1071" s="1392" t="n"/>
      <c r="AA1071" s="1392" t="n"/>
      <c r="AB1071" s="1392" t="n"/>
      <c r="AC1071" s="1392" t="n"/>
      <c r="AD1071" s="1392" t="n"/>
      <c r="AE1071" s="1392" t="n"/>
      <c r="AF1071" s="1392" t="n"/>
      <c r="AG1071" s="1392" t="n"/>
      <c r="AH1071" s="1392" t="n"/>
      <c r="AI1071" s="1392" t="n"/>
      <c r="AJ1071" s="1392" t="n"/>
      <c r="AK1071" s="1392" t="n"/>
      <c r="AL1071" s="1392" t="n"/>
      <c r="AM1071" s="1392" t="n"/>
      <c r="AN1071" s="1392" t="n"/>
      <c r="AO1071" s="1392" t="n"/>
      <c r="AP1071" s="1392" t="n"/>
      <c r="AQ1071" s="1392" t="n"/>
      <c r="AR1071" s="1422" t="n"/>
      <c r="AS1071" s="1422" t="n"/>
      <c r="AT1071" s="1392" t="n"/>
      <c r="AU1071" s="1392" t="n"/>
      <c r="AV1071" s="1392" t="n"/>
      <c r="AW1071" s="1392" t="n"/>
      <c r="AX1071" s="1392" t="n"/>
      <c r="AY1071" s="1392" t="n"/>
      <c r="AZ1071" s="1392" t="n"/>
      <c r="BA1071" s="1422" t="n"/>
      <c r="BB1071" s="1422" t="n"/>
      <c r="BC1071" s="1392" t="n"/>
      <c r="BD1071" s="1392" t="n"/>
      <c r="BE1071" s="1392" t="n"/>
      <c r="BF1071" s="1392" t="n"/>
      <c r="BG1071" s="1392" t="n"/>
      <c r="BH1071" s="1392" t="n"/>
      <c r="BI1071" s="1392" t="n"/>
      <c r="BJ1071" s="1392" t="n"/>
      <c r="BK1071" s="1392" t="n"/>
      <c r="BL1071" s="1392" t="n"/>
      <c r="BM1071" s="1392" t="n"/>
      <c r="BN1071" s="1392" t="n"/>
      <c r="BO1071" s="1392" t="n"/>
      <c r="BP1071" s="1392" t="n"/>
      <c r="BQ1071" s="1392" t="n"/>
      <c r="BR1071" s="1392" t="n"/>
      <c r="BS1071" s="1392" t="n"/>
      <c r="BT1071" s="1392" t="n"/>
      <c r="BU1071" s="1392" t="n"/>
      <c r="BV1071" s="1392" t="n"/>
      <c r="BW1071" s="1392" t="n"/>
      <c r="BX1071" s="1392" t="n"/>
      <c r="BY1071" s="1392" t="n"/>
      <c r="BZ1071" s="1392" t="n"/>
      <c r="CA1071" s="1392" t="n"/>
      <c r="CB1071" s="1392" t="n"/>
      <c r="CC1071" s="1392" t="n"/>
      <c r="CD1071" s="1392" t="n"/>
      <c r="CE1071" s="1392" t="n"/>
      <c r="CF1071" s="1392" t="n"/>
      <c r="CG1071" s="1392" t="n"/>
      <c r="CH1071" s="1392" t="n"/>
      <c r="CI1071" s="1392" t="n"/>
      <c r="CJ1071" s="1392" t="n"/>
      <c r="CK1071" s="1392" t="n"/>
      <c r="CL1071" s="1392" t="n"/>
    </row>
    <row r="1072">
      <c r="A1072" s="5" t="inlineStr">
        <is>
          <t>.</t>
        </is>
      </c>
      <c r="B1072" s="5" t="inlineStr">
        <is>
          <t>.</t>
        </is>
      </c>
      <c r="C1072" s="1378">
        <f>IF(raw[[#This Row],[city]]="","-",IF(raw[[#This Row],[city]]="TODAY","-",C1071+1))</f>
        <v/>
      </c>
      <c r="D1072" s="1393" t="inlineStr">
        <is>
          <t>Aracaju</t>
        </is>
      </c>
      <c r="E1072" s="1394" t="n">
        <v>39511</v>
      </c>
      <c r="F1072" s="1394" t="n">
        <v>39512</v>
      </c>
      <c r="G1072" s="1393" t="n">
        <v>1</v>
      </c>
      <c r="H1072" s="1393" t="inlineStr">
        <is>
          <t>Ondina</t>
        </is>
      </c>
      <c r="I1072" s="1393" t="inlineStr">
        <is>
          <t>-</t>
        </is>
      </c>
      <c r="J1072" s="1393" t="inlineStr">
        <is>
          <t>-</t>
        </is>
      </c>
      <c r="K1072" s="1395">
        <f>IF(raw[[#This Row],[city]]&lt;&gt;"",_xlfn.XLOOKUP($D1072,ccc[city],ccc[prov],"-"),"-")</f>
        <v/>
      </c>
      <c r="L1072" s="1395">
        <f>IF(raw[[#This Row],[city]]&lt;&gt;"",_xlfn.XLOOKUP($D1072,ccc[city],ccc[ctry],"-"),"-")</f>
        <v/>
      </c>
      <c r="M1072" s="1395">
        <f>IF(raw[[#This Row],[city]]&lt;&gt;"",_xlfn.XLOOKUP($D1072,ccc[city],ccc[cont],"-"),"-")</f>
        <v/>
      </c>
      <c r="N1072" s="1396">
        <f>IF(raw[[#This Row],[city]]="","-",IF(raw[[#This Row],[cont]]="B",raw[[#This Row],[cont]],"W"))</f>
        <v/>
      </c>
      <c r="O1072" s="1397">
        <f>IF(raw[[#This Row],[out]]=0,0,IF(raw[[#This Row],[out]]=raw[[#This Row],[in]],0.01,raw[[#This Row],[out]]-raw[[#This Row],[in]]))</f>
        <v/>
      </c>
      <c r="P1072" s="1397">
        <f>IF(raw[[#This Row],[in]]=0,0,MONTH(raw[[#This Row],[in]]))</f>
        <v/>
      </c>
      <c r="Q1072" s="1397">
        <f>IF(raw[[#This Row],[in]]=0,0,YEAR(raw[[#This Row],[in]]))</f>
        <v/>
      </c>
      <c r="R1072" s="1397">
        <f>INT(raw[[#This Row],[yr]]/10)*10</f>
        <v/>
      </c>
      <c r="S1072" s="1395">
        <f>IF(raw[[#This Row],[city]]="","-",IF(raw[[#This Row],[city]]&lt;&gt;_xlfn.XLOOKUP(raw[[#This Row],[home]],homes[home],homes[city],"-"),1,0))</f>
        <v/>
      </c>
      <c r="T1072" s="1398" t="inlineStr">
        <is>
          <t>.</t>
        </is>
      </c>
      <c r="U1072" s="1399">
        <f>IF(raw[[#This Row],[wb]]="w",raw[[#This Row],[stay]]+U1071,U1071)</f>
        <v/>
      </c>
      <c r="V1072" s="1400">
        <f>IF(raw[[#This Row],[out]]=0,V1071,(raw[[#This Row],[out]]-E$5))</f>
        <v/>
      </c>
      <c r="W1072" s="1401">
        <f>U1072/V1072</f>
        <v/>
      </c>
      <c r="X1072" s="1392" t="n"/>
      <c r="Y1072" s="1392" t="n"/>
      <c r="Z1072" s="1392" t="n"/>
      <c r="AA1072" s="1392" t="n"/>
      <c r="AB1072" s="1392" t="n"/>
      <c r="AC1072" s="1392" t="n"/>
      <c r="AD1072" s="1392" t="n"/>
      <c r="AE1072" s="1392" t="n"/>
      <c r="AF1072" s="1392" t="n"/>
      <c r="AG1072" s="1392" t="n"/>
      <c r="AH1072" s="1392" t="n"/>
      <c r="AI1072" s="1392" t="n"/>
      <c r="AJ1072" s="1392" t="n"/>
      <c r="AK1072" s="1392" t="n"/>
      <c r="AL1072" s="1392" t="n"/>
      <c r="AM1072" s="1392" t="n"/>
      <c r="AN1072" s="1392" t="n"/>
      <c r="AO1072" s="1392" t="n"/>
      <c r="AP1072" s="1392" t="n"/>
      <c r="AQ1072" s="1392" t="n"/>
      <c r="AR1072" s="1422" t="n"/>
      <c r="AS1072" s="1422" t="n"/>
      <c r="AT1072" s="1392" t="n"/>
      <c r="AU1072" s="1392" t="n"/>
      <c r="AV1072" s="1392" t="n"/>
      <c r="AW1072" s="1392" t="n"/>
      <c r="AX1072" s="1392" t="n"/>
      <c r="AY1072" s="1392" t="n"/>
      <c r="AZ1072" s="1392" t="n"/>
      <c r="BA1072" s="1422" t="n"/>
      <c r="BB1072" s="1422" t="n"/>
      <c r="BC1072" s="1392" t="n"/>
      <c r="BD1072" s="1392" t="n"/>
      <c r="BE1072" s="1392" t="n"/>
      <c r="BF1072" s="1392" t="n"/>
      <c r="BG1072" s="1392" t="n"/>
      <c r="BH1072" s="1392" t="n"/>
      <c r="BI1072" s="1392" t="n"/>
      <c r="BJ1072" s="1392" t="n"/>
      <c r="BK1072" s="1392" t="n"/>
      <c r="BL1072" s="1392" t="n"/>
      <c r="BM1072" s="1392" t="n"/>
      <c r="BN1072" s="1392" t="n"/>
      <c r="BO1072" s="1392" t="n"/>
      <c r="BP1072" s="1392" t="n"/>
      <c r="BQ1072" s="1392" t="n"/>
      <c r="BR1072" s="1392" t="n"/>
      <c r="BS1072" s="1392" t="n"/>
      <c r="BT1072" s="1392" t="n"/>
      <c r="BU1072" s="1392" t="n"/>
      <c r="BV1072" s="1392" t="n"/>
      <c r="BW1072" s="1392" t="n"/>
      <c r="BX1072" s="1392" t="n"/>
      <c r="BY1072" s="1392" t="n"/>
      <c r="BZ1072" s="1392" t="n"/>
      <c r="CA1072" s="1392" t="n"/>
      <c r="CB1072" s="1392" t="n"/>
      <c r="CC1072" s="1392" t="n"/>
      <c r="CD1072" s="1392" t="n"/>
      <c r="CE1072" s="1392" t="n"/>
      <c r="CF1072" s="1392" t="n"/>
      <c r="CG1072" s="1392" t="n"/>
      <c r="CH1072" s="1392" t="n"/>
      <c r="CI1072" s="1392" t="n"/>
      <c r="CJ1072" s="1392" t="n"/>
      <c r="CK1072" s="1392" t="n"/>
      <c r="CL1072" s="1392" t="n"/>
    </row>
    <row r="1073">
      <c r="A1073" s="5" t="inlineStr">
        <is>
          <t>.</t>
        </is>
      </c>
      <c r="B1073" s="5" t="inlineStr">
        <is>
          <t>.</t>
        </is>
      </c>
      <c r="C1073" s="1378">
        <f>IF(raw[[#This Row],[city]]="","-",IF(raw[[#This Row],[city]]="TODAY","-",C1072+1))</f>
        <v/>
      </c>
      <c r="D1073" s="1393" t="inlineStr">
        <is>
          <t>SSA</t>
        </is>
      </c>
      <c r="E1073" s="1394" t="n">
        <v>39512</v>
      </c>
      <c r="F1073" s="1394" t="n">
        <v>39534</v>
      </c>
      <c r="G1073" s="1393" t="n">
        <v>1</v>
      </c>
      <c r="H1073" s="1393" t="inlineStr">
        <is>
          <t>Ondina</t>
        </is>
      </c>
      <c r="I1073" s="1393" t="inlineStr">
        <is>
          <t>-</t>
        </is>
      </c>
      <c r="J1073" s="1393" t="inlineStr">
        <is>
          <t>-</t>
        </is>
      </c>
      <c r="K1073" s="1395">
        <f>IF(raw[[#This Row],[city]]&lt;&gt;"",_xlfn.XLOOKUP($D1073,ccc[city],ccc[prov],"-"),"-")</f>
        <v/>
      </c>
      <c r="L1073" s="1395">
        <f>IF(raw[[#This Row],[city]]&lt;&gt;"",_xlfn.XLOOKUP($D1073,ccc[city],ccc[ctry],"-"),"-")</f>
        <v/>
      </c>
      <c r="M1073" s="1395">
        <f>IF(raw[[#This Row],[city]]&lt;&gt;"",_xlfn.XLOOKUP($D1073,ccc[city],ccc[cont],"-"),"-")</f>
        <v/>
      </c>
      <c r="N1073" s="1396">
        <f>IF(raw[[#This Row],[city]]="","-",IF(raw[[#This Row],[cont]]="B",raw[[#This Row],[cont]],"W"))</f>
        <v/>
      </c>
      <c r="O1073" s="1397">
        <f>IF(raw[[#This Row],[out]]=0,0,IF(raw[[#This Row],[out]]=raw[[#This Row],[in]],0.01,raw[[#This Row],[out]]-raw[[#This Row],[in]]))</f>
        <v/>
      </c>
      <c r="P1073" s="1397">
        <f>IF(raw[[#This Row],[in]]=0,0,MONTH(raw[[#This Row],[in]]))</f>
        <v/>
      </c>
      <c r="Q1073" s="1397">
        <f>IF(raw[[#This Row],[in]]=0,0,YEAR(raw[[#This Row],[in]]))</f>
        <v/>
      </c>
      <c r="R1073" s="1397">
        <f>INT(raw[[#This Row],[yr]]/10)*10</f>
        <v/>
      </c>
      <c r="S1073" s="1395">
        <f>IF(raw[[#This Row],[city]]="","-",IF(raw[[#This Row],[city]]&lt;&gt;_xlfn.XLOOKUP(raw[[#This Row],[home]],homes[home],homes[city],"-"),1,0))</f>
        <v/>
      </c>
      <c r="T1073" s="1398" t="inlineStr">
        <is>
          <t>.</t>
        </is>
      </c>
      <c r="U1073" s="1399">
        <f>IF(raw[[#This Row],[wb]]="w",raw[[#This Row],[stay]]+U1072,U1072)</f>
        <v/>
      </c>
      <c r="V1073" s="1400">
        <f>IF(raw[[#This Row],[out]]=0,V1072,(raw[[#This Row],[out]]-E$5))</f>
        <v/>
      </c>
      <c r="W1073" s="1401">
        <f>U1073/V1073</f>
        <v/>
      </c>
      <c r="X1073" s="1392" t="n"/>
      <c r="Y1073" s="1392" t="n"/>
      <c r="Z1073" s="1392" t="n"/>
      <c r="AA1073" s="1392" t="n"/>
      <c r="AB1073" s="1392" t="n"/>
      <c r="AC1073" s="1392" t="n"/>
      <c r="AD1073" s="1392" t="n"/>
      <c r="AE1073" s="1392" t="n"/>
      <c r="AF1073" s="1392" t="n"/>
      <c r="AG1073" s="1392" t="n"/>
      <c r="AH1073" s="1392" t="n"/>
      <c r="AI1073" s="1392" t="n"/>
      <c r="AJ1073" s="1392" t="n"/>
      <c r="AK1073" s="1392" t="n"/>
      <c r="AL1073" s="1392" t="n"/>
      <c r="AM1073" s="1392" t="n"/>
      <c r="AN1073" s="1392" t="n"/>
      <c r="AO1073" s="1392" t="n"/>
      <c r="AP1073" s="1392" t="n"/>
      <c r="AQ1073" s="1392" t="n"/>
      <c r="AR1073" s="1422" t="n"/>
      <c r="AS1073" s="1422" t="n"/>
      <c r="AT1073" s="1392" t="n"/>
      <c r="AU1073" s="1392" t="n"/>
      <c r="AV1073" s="1392" t="n"/>
      <c r="AW1073" s="1392" t="n"/>
      <c r="AX1073" s="1392" t="n"/>
      <c r="AY1073" s="1392" t="n"/>
      <c r="AZ1073" s="1392" t="n"/>
      <c r="BA1073" s="1422" t="n"/>
      <c r="BB1073" s="1422" t="n"/>
      <c r="BC1073" s="1392" t="n"/>
      <c r="BD1073" s="1392" t="n"/>
      <c r="BE1073" s="1392" t="n"/>
      <c r="BF1073" s="1392" t="n"/>
      <c r="BG1073" s="1392" t="n"/>
      <c r="BH1073" s="1392" t="n"/>
      <c r="BI1073" s="1392" t="n"/>
      <c r="BJ1073" s="1392" t="n"/>
      <c r="BK1073" s="1392" t="n"/>
      <c r="BL1073" s="1392" t="n"/>
      <c r="BM1073" s="1392" t="n"/>
      <c r="BN1073" s="1392" t="n"/>
      <c r="BO1073" s="1392" t="n"/>
      <c r="BP1073" s="1392" t="n"/>
      <c r="BQ1073" s="1392" t="n"/>
      <c r="BR1073" s="1392" t="n"/>
      <c r="BS1073" s="1392" t="n"/>
      <c r="BT1073" s="1392" t="n"/>
      <c r="BU1073" s="1392" t="n"/>
      <c r="BV1073" s="1392" t="n"/>
      <c r="BW1073" s="1392" t="n"/>
      <c r="BX1073" s="1392" t="n"/>
      <c r="BY1073" s="1392" t="n"/>
      <c r="BZ1073" s="1392" t="n"/>
      <c r="CA1073" s="1392" t="n"/>
      <c r="CB1073" s="1392" t="n"/>
      <c r="CC1073" s="1392" t="n"/>
      <c r="CD1073" s="1392" t="n"/>
      <c r="CE1073" s="1392" t="n"/>
      <c r="CF1073" s="1392" t="n"/>
      <c r="CG1073" s="1392" t="n"/>
      <c r="CH1073" s="1392" t="n"/>
      <c r="CI1073" s="1392" t="n"/>
      <c r="CJ1073" s="1392" t="n"/>
      <c r="CK1073" s="1392" t="n"/>
      <c r="CL1073" s="1392" t="n"/>
    </row>
    <row r="1074">
      <c r="A1074" s="5" t="inlineStr">
        <is>
          <t>.</t>
        </is>
      </c>
      <c r="B1074" s="5" t="inlineStr">
        <is>
          <t>.</t>
        </is>
      </c>
      <c r="C1074" s="1378">
        <f>IF(raw[[#This Row],[city]]="","-",IF(raw[[#This Row],[city]]="TODAY","-",C1073+1))</f>
        <v/>
      </c>
      <c r="D1074" s="1393" t="inlineStr">
        <is>
          <t>SP</t>
        </is>
      </c>
      <c r="E1074" s="1394" t="n">
        <v>39534</v>
      </c>
      <c r="F1074" s="1394" t="n">
        <v>39539</v>
      </c>
      <c r="G1074" s="1393" t="inlineStr">
        <is>
          <t>-</t>
        </is>
      </c>
      <c r="H1074" s="1393" t="inlineStr">
        <is>
          <t>Ondina</t>
        </is>
      </c>
      <c r="I1074" s="1393" t="inlineStr">
        <is>
          <t>Rato/Vila Mariana</t>
        </is>
      </c>
      <c r="J1074" s="1393" t="inlineStr">
        <is>
          <t>-</t>
        </is>
      </c>
      <c r="K1074" s="1395">
        <f>IF(raw[[#This Row],[city]]&lt;&gt;"",_xlfn.XLOOKUP($D1074,ccc[city],ccc[prov],"-"),"-")</f>
        <v/>
      </c>
      <c r="L1074" s="1395">
        <f>IF(raw[[#This Row],[city]]&lt;&gt;"",_xlfn.XLOOKUP($D1074,ccc[city],ccc[ctry],"-"),"-")</f>
        <v/>
      </c>
      <c r="M1074" s="1395">
        <f>IF(raw[[#This Row],[city]]&lt;&gt;"",_xlfn.XLOOKUP($D1074,ccc[city],ccc[cont],"-"),"-")</f>
        <v/>
      </c>
      <c r="N1074" s="1396">
        <f>IF(raw[[#This Row],[city]]="","-",IF(raw[[#This Row],[cont]]="B",raw[[#This Row],[cont]],"W"))</f>
        <v/>
      </c>
      <c r="O1074" s="1397">
        <f>IF(raw[[#This Row],[out]]=0,0,IF(raw[[#This Row],[out]]=raw[[#This Row],[in]],0.01,raw[[#This Row],[out]]-raw[[#This Row],[in]]))</f>
        <v/>
      </c>
      <c r="P1074" s="1397">
        <f>IF(raw[[#This Row],[in]]=0,0,MONTH(raw[[#This Row],[in]]))</f>
        <v/>
      </c>
      <c r="Q1074" s="1397">
        <f>IF(raw[[#This Row],[in]]=0,0,YEAR(raw[[#This Row],[in]]))</f>
        <v/>
      </c>
      <c r="R1074" s="1397">
        <f>INT(raw[[#This Row],[yr]]/10)*10</f>
        <v/>
      </c>
      <c r="S1074" s="1395">
        <f>IF(raw[[#This Row],[city]]="","-",IF(raw[[#This Row],[city]]&lt;&gt;_xlfn.XLOOKUP(raw[[#This Row],[home]],homes[home],homes[city],"-"),1,0))</f>
        <v/>
      </c>
      <c r="T1074" s="1398" t="inlineStr">
        <is>
          <t>.</t>
        </is>
      </c>
      <c r="U1074" s="1399">
        <f>IF(raw[[#This Row],[wb]]="w",raw[[#This Row],[stay]]+U1073,U1073)</f>
        <v/>
      </c>
      <c r="V1074" s="1400">
        <f>IF(raw[[#This Row],[out]]=0,V1073,(raw[[#This Row],[out]]-E$5))</f>
        <v/>
      </c>
      <c r="W1074" s="1401">
        <f>U1074/V1074</f>
        <v/>
      </c>
      <c r="X1074" s="1392" t="n"/>
      <c r="Y1074" s="1392" t="n"/>
      <c r="Z1074" s="1392" t="n"/>
      <c r="AA1074" s="1392" t="n"/>
      <c r="AB1074" s="1392" t="n"/>
      <c r="AC1074" s="1392" t="n"/>
      <c r="AD1074" s="1392" t="n"/>
      <c r="AE1074" s="1392" t="n"/>
      <c r="AF1074" s="1392" t="n"/>
      <c r="AG1074" s="1392" t="n"/>
      <c r="AH1074" s="1392" t="n"/>
      <c r="AI1074" s="1392" t="n"/>
      <c r="AJ1074" s="1392" t="n"/>
      <c r="AK1074" s="1392" t="n"/>
      <c r="AL1074" s="1392" t="n"/>
      <c r="AM1074" s="1392" t="n"/>
      <c r="AN1074" s="1392" t="n"/>
      <c r="AO1074" s="1392" t="n"/>
      <c r="AP1074" s="1392" t="n"/>
      <c r="AQ1074" s="1392" t="n"/>
      <c r="AR1074" s="1422" t="n"/>
      <c r="AS1074" s="1422" t="n"/>
      <c r="AT1074" s="1392" t="n"/>
      <c r="AU1074" s="1392" t="n"/>
      <c r="AV1074" s="1392" t="n"/>
      <c r="AW1074" s="1392" t="n"/>
      <c r="AX1074" s="1392" t="n"/>
      <c r="AY1074" s="1392" t="n"/>
      <c r="AZ1074" s="1392" t="n"/>
      <c r="BA1074" s="1422" t="n"/>
      <c r="BB1074" s="1422" t="n"/>
      <c r="BC1074" s="1392" t="n"/>
      <c r="BD1074" s="1392" t="n"/>
      <c r="BE1074" s="1392" t="n"/>
      <c r="BF1074" s="1392" t="n"/>
      <c r="BG1074" s="1392" t="n"/>
      <c r="BH1074" s="1392" t="n"/>
      <c r="BI1074" s="1392" t="n"/>
      <c r="BJ1074" s="1392" t="n"/>
      <c r="BK1074" s="1392" t="n"/>
      <c r="BL1074" s="1392" t="n"/>
      <c r="BM1074" s="1392" t="n"/>
      <c r="BN1074" s="1392" t="n"/>
      <c r="BO1074" s="1392" t="n"/>
      <c r="BP1074" s="1392" t="n"/>
      <c r="BQ1074" s="1392" t="n"/>
      <c r="BR1074" s="1392" t="n"/>
      <c r="BS1074" s="1392" t="n"/>
      <c r="BT1074" s="1392" t="n"/>
      <c r="BU1074" s="1392" t="n"/>
      <c r="BV1074" s="1392" t="n"/>
      <c r="BW1074" s="1392" t="n"/>
      <c r="BX1074" s="1392" t="n"/>
      <c r="BY1074" s="1392" t="n"/>
      <c r="BZ1074" s="1392" t="n"/>
      <c r="CA1074" s="1392" t="n"/>
      <c r="CB1074" s="1392" t="n"/>
      <c r="CC1074" s="1392" t="n"/>
      <c r="CD1074" s="1392" t="n"/>
      <c r="CE1074" s="1392" t="n"/>
      <c r="CF1074" s="1392" t="n"/>
      <c r="CG1074" s="1392" t="n"/>
      <c r="CH1074" s="1392" t="n"/>
      <c r="CI1074" s="1392" t="n"/>
      <c r="CJ1074" s="1392" t="n"/>
      <c r="CK1074" s="1392" t="n"/>
      <c r="CL1074" s="1392" t="n"/>
    </row>
    <row r="1075">
      <c r="A1075" s="5" t="inlineStr">
        <is>
          <t>.</t>
        </is>
      </c>
      <c r="B1075" s="5" t="inlineStr">
        <is>
          <t>.</t>
        </is>
      </c>
      <c r="C1075" s="1378">
        <f>IF(raw[[#This Row],[city]]="","-",IF(raw[[#This Row],[city]]="TODAY","-",C1074+1))</f>
        <v/>
      </c>
      <c r="D1075" s="1393" t="inlineStr">
        <is>
          <t>SP</t>
        </is>
      </c>
      <c r="E1075" s="1394" t="n">
        <v>39539</v>
      </c>
      <c r="F1075" s="1394" t="n">
        <v>39540</v>
      </c>
      <c r="G1075" s="1393" t="n">
        <v>1</v>
      </c>
      <c r="H1075" s="1393" t="inlineStr">
        <is>
          <t>Ondina</t>
        </is>
      </c>
      <c r="I1075" s="1393" t="inlineStr">
        <is>
          <t>Salto Grande</t>
        </is>
      </c>
      <c r="J1075" s="1393" t="inlineStr">
        <is>
          <t>-</t>
        </is>
      </c>
      <c r="K1075" s="1395">
        <f>IF(raw[[#This Row],[city]]&lt;&gt;"",_xlfn.XLOOKUP($D1075,ccc[city],ccc[prov],"-"),"-")</f>
        <v/>
      </c>
      <c r="L1075" s="1395">
        <f>IF(raw[[#This Row],[city]]&lt;&gt;"",_xlfn.XLOOKUP($D1075,ccc[city],ccc[ctry],"-"),"-")</f>
        <v/>
      </c>
      <c r="M1075" s="1395">
        <f>IF(raw[[#This Row],[city]]&lt;&gt;"",_xlfn.XLOOKUP($D1075,ccc[city],ccc[cont],"-"),"-")</f>
        <v/>
      </c>
      <c r="N1075" s="1396">
        <f>IF(raw[[#This Row],[city]]="","-",IF(raw[[#This Row],[cont]]="B",raw[[#This Row],[cont]],"W"))</f>
        <v/>
      </c>
      <c r="O1075" s="1397">
        <f>IF(raw[[#This Row],[out]]=0,0,IF(raw[[#This Row],[out]]=raw[[#This Row],[in]],0.01,raw[[#This Row],[out]]-raw[[#This Row],[in]]))</f>
        <v/>
      </c>
      <c r="P1075" s="1397">
        <f>IF(raw[[#This Row],[in]]=0,0,MONTH(raw[[#This Row],[in]]))</f>
        <v/>
      </c>
      <c r="Q1075" s="1397">
        <f>IF(raw[[#This Row],[in]]=0,0,YEAR(raw[[#This Row],[in]]))</f>
        <v/>
      </c>
      <c r="R1075" s="1397">
        <f>INT(raw[[#This Row],[yr]]/10)*10</f>
        <v/>
      </c>
      <c r="S1075" s="1395">
        <f>IF(raw[[#This Row],[city]]="","-",IF(raw[[#This Row],[city]]&lt;&gt;_xlfn.XLOOKUP(raw[[#This Row],[home]],homes[home],homes[city],"-"),1,0))</f>
        <v/>
      </c>
      <c r="T1075" s="1398" t="inlineStr">
        <is>
          <t>.</t>
        </is>
      </c>
      <c r="U1075" s="1399">
        <f>IF(raw[[#This Row],[wb]]="w",raw[[#This Row],[stay]]+U1074,U1074)</f>
        <v/>
      </c>
      <c r="V1075" s="1400">
        <f>IF(raw[[#This Row],[out]]=0,V1074,(raw[[#This Row],[out]]-E$5))</f>
        <v/>
      </c>
      <c r="W1075" s="1401">
        <f>U1075/V1075</f>
        <v/>
      </c>
      <c r="X1075" s="1392" t="n"/>
      <c r="Y1075" s="1392" t="n"/>
      <c r="Z1075" s="1392" t="n"/>
      <c r="AA1075" s="1392" t="n"/>
      <c r="AB1075" s="1392" t="n"/>
      <c r="AC1075" s="1392" t="n"/>
      <c r="AD1075" s="1392" t="n"/>
      <c r="AE1075" s="1392" t="n"/>
      <c r="AF1075" s="1392" t="n"/>
      <c r="AG1075" s="1392" t="n"/>
      <c r="AH1075" s="1392" t="n"/>
      <c r="AI1075" s="1392" t="n"/>
      <c r="AJ1075" s="1392" t="n"/>
      <c r="AK1075" s="1392" t="n"/>
      <c r="AL1075" s="1392" t="n"/>
      <c r="AM1075" s="1392" t="n"/>
      <c r="AN1075" s="1392" t="n"/>
      <c r="AO1075" s="1392" t="n"/>
      <c r="AP1075" s="1392" t="n"/>
      <c r="AQ1075" s="1392" t="n"/>
      <c r="AR1075" s="1422" t="n"/>
      <c r="AS1075" s="1422" t="n"/>
      <c r="AT1075" s="1392" t="n"/>
      <c r="AU1075" s="1392" t="n"/>
      <c r="AV1075" s="1392" t="n"/>
      <c r="AW1075" s="1392" t="n"/>
      <c r="AX1075" s="1392" t="n"/>
      <c r="AY1075" s="1392" t="n"/>
      <c r="AZ1075" s="1392" t="n"/>
      <c r="BA1075" s="1422" t="n"/>
      <c r="BB1075" s="1422" t="n"/>
      <c r="BC1075" s="1392" t="n"/>
      <c r="BD1075" s="1392" t="n"/>
      <c r="BE1075" s="1392" t="n"/>
      <c r="BF1075" s="1392" t="n"/>
      <c r="BG1075" s="1392" t="n"/>
      <c r="BH1075" s="1392" t="n"/>
      <c r="BI1075" s="1392" t="n"/>
      <c r="BJ1075" s="1392" t="n"/>
      <c r="BK1075" s="1392" t="n"/>
      <c r="BL1075" s="1392" t="n"/>
      <c r="BM1075" s="1392" t="n"/>
      <c r="BN1075" s="1392" t="n"/>
      <c r="BO1075" s="1392" t="n"/>
      <c r="BP1075" s="1392" t="n"/>
      <c r="BQ1075" s="1392" t="n"/>
      <c r="BR1075" s="1392" t="n"/>
      <c r="BS1075" s="1392" t="n"/>
      <c r="BT1075" s="1392" t="n"/>
      <c r="BU1075" s="1392" t="n"/>
      <c r="BV1075" s="1392" t="n"/>
      <c r="BW1075" s="1392" t="n"/>
      <c r="BX1075" s="1392" t="n"/>
      <c r="BY1075" s="1392" t="n"/>
      <c r="BZ1075" s="1392" t="n"/>
      <c r="CA1075" s="1392" t="n"/>
      <c r="CB1075" s="1392" t="n"/>
      <c r="CC1075" s="1392" t="n"/>
      <c r="CD1075" s="1392" t="n"/>
      <c r="CE1075" s="1392" t="n"/>
      <c r="CF1075" s="1392" t="n"/>
      <c r="CG1075" s="1392" t="n"/>
      <c r="CH1075" s="1392" t="n"/>
      <c r="CI1075" s="1392" t="n"/>
      <c r="CJ1075" s="1392" t="n"/>
      <c r="CK1075" s="1392" t="n"/>
      <c r="CL1075" s="1392" t="n"/>
    </row>
    <row r="1076">
      <c r="A1076" s="5" t="inlineStr">
        <is>
          <t>.</t>
        </is>
      </c>
      <c r="B1076" s="5" t="inlineStr">
        <is>
          <t>.</t>
        </is>
      </c>
      <c r="C1076" s="1378">
        <f>IF(raw[[#This Row],[city]]="","-",IF(raw[[#This Row],[city]]="TODAY","-",C1075+1))</f>
        <v/>
      </c>
      <c r="D1076" s="1393" t="inlineStr">
        <is>
          <t>SSA</t>
        </is>
      </c>
      <c r="E1076" s="1394" t="n">
        <v>39540</v>
      </c>
      <c r="F1076" s="1394" t="n">
        <v>39548</v>
      </c>
      <c r="G1076" s="1393" t="inlineStr">
        <is>
          <t>-</t>
        </is>
      </c>
      <c r="H1076" s="1393" t="inlineStr">
        <is>
          <t>Ondina</t>
        </is>
      </c>
      <c r="I1076" s="1393" t="inlineStr">
        <is>
          <t>-</t>
        </is>
      </c>
      <c r="J1076" s="1393" t="inlineStr">
        <is>
          <t>-</t>
        </is>
      </c>
      <c r="K1076" s="1395">
        <f>IF(raw[[#This Row],[city]]&lt;&gt;"",_xlfn.XLOOKUP($D1076,ccc[city],ccc[prov],"-"),"-")</f>
        <v/>
      </c>
      <c r="L1076" s="1395">
        <f>IF(raw[[#This Row],[city]]&lt;&gt;"",_xlfn.XLOOKUP($D1076,ccc[city],ccc[ctry],"-"),"-")</f>
        <v/>
      </c>
      <c r="M1076" s="1395">
        <f>IF(raw[[#This Row],[city]]&lt;&gt;"",_xlfn.XLOOKUP($D1076,ccc[city],ccc[cont],"-"),"-")</f>
        <v/>
      </c>
      <c r="N1076" s="1396">
        <f>IF(raw[[#This Row],[city]]="","-",IF(raw[[#This Row],[cont]]="B",raw[[#This Row],[cont]],"W"))</f>
        <v/>
      </c>
      <c r="O1076" s="1397">
        <f>IF(raw[[#This Row],[out]]=0,0,IF(raw[[#This Row],[out]]=raw[[#This Row],[in]],0.01,raw[[#This Row],[out]]-raw[[#This Row],[in]]))</f>
        <v/>
      </c>
      <c r="P1076" s="1397">
        <f>IF(raw[[#This Row],[in]]=0,0,MONTH(raw[[#This Row],[in]]))</f>
        <v/>
      </c>
      <c r="Q1076" s="1397">
        <f>IF(raw[[#This Row],[in]]=0,0,YEAR(raw[[#This Row],[in]]))</f>
        <v/>
      </c>
      <c r="R1076" s="1397">
        <f>INT(raw[[#This Row],[yr]]/10)*10</f>
        <v/>
      </c>
      <c r="S1076" s="1395">
        <f>IF(raw[[#This Row],[city]]="","-",IF(raw[[#This Row],[city]]&lt;&gt;_xlfn.XLOOKUP(raw[[#This Row],[home]],homes[home],homes[city],"-"),1,0))</f>
        <v/>
      </c>
      <c r="T1076" s="1398" t="inlineStr">
        <is>
          <t>.</t>
        </is>
      </c>
      <c r="U1076" s="1399">
        <f>IF(raw[[#This Row],[wb]]="w",raw[[#This Row],[stay]]+U1075,U1075)</f>
        <v/>
      </c>
      <c r="V1076" s="1400">
        <f>IF(raw[[#This Row],[out]]=0,V1075,(raw[[#This Row],[out]]-E$5))</f>
        <v/>
      </c>
      <c r="W1076" s="1401">
        <f>U1076/V1076</f>
        <v/>
      </c>
      <c r="X1076" s="1392" t="n"/>
      <c r="Y1076" s="1392" t="n"/>
      <c r="Z1076" s="1392" t="n"/>
      <c r="AA1076" s="1392" t="n"/>
      <c r="AB1076" s="1392" t="n"/>
      <c r="AC1076" s="1392" t="n"/>
      <c r="AD1076" s="1392" t="n"/>
      <c r="AE1076" s="1392" t="n"/>
      <c r="AF1076" s="1392" t="n"/>
      <c r="AG1076" s="1392" t="n"/>
      <c r="AH1076" s="1392" t="n"/>
      <c r="AI1076" s="1392" t="n"/>
      <c r="AJ1076" s="1392" t="n"/>
      <c r="AK1076" s="1392" t="n"/>
      <c r="AL1076" s="1392" t="n"/>
      <c r="AM1076" s="1392" t="n"/>
      <c r="AN1076" s="1392" t="n"/>
      <c r="AO1076" s="1392" t="n"/>
      <c r="AP1076" s="1392" t="n"/>
      <c r="AQ1076" s="1392" t="n"/>
      <c r="AR1076" s="1422" t="n"/>
      <c r="AS1076" s="1422" t="n"/>
      <c r="AT1076" s="1392" t="n"/>
      <c r="AU1076" s="1392" t="n"/>
      <c r="AV1076" s="1392" t="n"/>
      <c r="AW1076" s="1392" t="n"/>
      <c r="AX1076" s="1392" t="n"/>
      <c r="AY1076" s="1392" t="n"/>
      <c r="AZ1076" s="1392" t="n"/>
      <c r="BA1076" s="1422" t="n"/>
      <c r="BB1076" s="1422" t="n"/>
      <c r="BC1076" s="1392" t="n"/>
      <c r="BD1076" s="1392" t="n"/>
      <c r="BE1076" s="1392" t="n"/>
      <c r="BF1076" s="1392" t="n"/>
      <c r="BG1076" s="1392" t="n"/>
      <c r="BH1076" s="1392" t="n"/>
      <c r="BI1076" s="1392" t="n"/>
      <c r="BJ1076" s="1392" t="n"/>
      <c r="BK1076" s="1392" t="n"/>
      <c r="BL1076" s="1392" t="n"/>
      <c r="BM1076" s="1392" t="n"/>
      <c r="BN1076" s="1392" t="n"/>
      <c r="BO1076" s="1392" t="n"/>
      <c r="BP1076" s="1392" t="n"/>
      <c r="BQ1076" s="1392" t="n"/>
      <c r="BR1076" s="1392" t="n"/>
      <c r="BS1076" s="1392" t="n"/>
      <c r="BT1076" s="1392" t="n"/>
      <c r="BU1076" s="1392" t="n"/>
      <c r="BV1076" s="1392" t="n"/>
      <c r="BW1076" s="1392" t="n"/>
      <c r="BX1076" s="1392" t="n"/>
      <c r="BY1076" s="1392" t="n"/>
      <c r="BZ1076" s="1392" t="n"/>
      <c r="CA1076" s="1392" t="n"/>
      <c r="CB1076" s="1392" t="n"/>
      <c r="CC1076" s="1392" t="n"/>
      <c r="CD1076" s="1392" t="n"/>
      <c r="CE1076" s="1392" t="n"/>
      <c r="CF1076" s="1392" t="n"/>
      <c r="CG1076" s="1392" t="n"/>
      <c r="CH1076" s="1392" t="n"/>
      <c r="CI1076" s="1392" t="n"/>
      <c r="CJ1076" s="1392" t="n"/>
      <c r="CK1076" s="1392" t="n"/>
      <c r="CL1076" s="1392" t="n"/>
    </row>
    <row r="1077">
      <c r="A1077" s="5" t="inlineStr">
        <is>
          <t>.</t>
        </is>
      </c>
      <c r="B1077" s="5" t="inlineStr">
        <is>
          <t>.</t>
        </is>
      </c>
      <c r="C1077" s="1378">
        <f>IF(raw[[#This Row],[city]]="","-",IF(raw[[#This Row],[city]]="TODAY","-",C1076+1))</f>
        <v/>
      </c>
      <c r="D1077" s="1393" t="inlineStr">
        <is>
          <t>SSA</t>
        </is>
      </c>
      <c r="E1077" s="1394" t="n">
        <v>39548</v>
      </c>
      <c r="F1077" s="1394" t="n">
        <v>39557</v>
      </c>
      <c r="G1077" s="1393" t="n">
        <v>1</v>
      </c>
      <c r="H1077" s="1393" t="inlineStr">
        <is>
          <t>Summer Flat</t>
        </is>
      </c>
      <c r="I1077" s="1393" t="inlineStr">
        <is>
          <t>-</t>
        </is>
      </c>
      <c r="J1077" s="1393" t="inlineStr">
        <is>
          <t>-</t>
        </is>
      </c>
      <c r="K1077" s="1395">
        <f>IF(raw[[#This Row],[city]]&lt;&gt;"",_xlfn.XLOOKUP($D1077,ccc[city],ccc[prov],"-"),"-")</f>
        <v/>
      </c>
      <c r="L1077" s="1395">
        <f>IF(raw[[#This Row],[city]]&lt;&gt;"",_xlfn.XLOOKUP($D1077,ccc[city],ccc[ctry],"-"),"-")</f>
        <v/>
      </c>
      <c r="M1077" s="1395">
        <f>IF(raw[[#This Row],[city]]&lt;&gt;"",_xlfn.XLOOKUP($D1077,ccc[city],ccc[cont],"-"),"-")</f>
        <v/>
      </c>
      <c r="N1077" s="1396">
        <f>IF(raw[[#This Row],[city]]="","-",IF(raw[[#This Row],[cont]]="B",raw[[#This Row],[cont]],"W"))</f>
        <v/>
      </c>
      <c r="O1077" s="1397">
        <f>IF(raw[[#This Row],[out]]=0,0,IF(raw[[#This Row],[out]]=raw[[#This Row],[in]],0.01,raw[[#This Row],[out]]-raw[[#This Row],[in]]))</f>
        <v/>
      </c>
      <c r="P1077" s="1397">
        <f>IF(raw[[#This Row],[in]]=0,0,MONTH(raw[[#This Row],[in]]))</f>
        <v/>
      </c>
      <c r="Q1077" s="1397">
        <f>IF(raw[[#This Row],[in]]=0,0,YEAR(raw[[#This Row],[in]]))</f>
        <v/>
      </c>
      <c r="R1077" s="1397">
        <f>INT(raw[[#This Row],[yr]]/10)*10</f>
        <v/>
      </c>
      <c r="S1077" s="1395">
        <f>IF(raw[[#This Row],[city]]="","-",IF(raw[[#This Row],[city]]&lt;&gt;_xlfn.XLOOKUP(raw[[#This Row],[home]],homes[home],homes[city],"-"),1,0))</f>
        <v/>
      </c>
      <c r="T1077" s="1398" t="inlineStr">
        <is>
          <t>.</t>
        </is>
      </c>
      <c r="U1077" s="1399">
        <f>IF(raw[[#This Row],[wb]]="w",raw[[#This Row],[stay]]+U1076,U1076)</f>
        <v/>
      </c>
      <c r="V1077" s="1400">
        <f>IF(raw[[#This Row],[out]]=0,V1076,(raw[[#This Row],[out]]-E$5))</f>
        <v/>
      </c>
      <c r="W1077" s="1401">
        <f>U1077/V1077</f>
        <v/>
      </c>
      <c r="X1077" s="1392" t="n"/>
      <c r="Y1077" s="1392" t="n"/>
      <c r="Z1077" s="1392" t="n"/>
      <c r="AA1077" s="1392" t="n"/>
      <c r="AB1077" s="1392" t="n"/>
      <c r="AC1077" s="1392" t="n"/>
      <c r="AD1077" s="1392" t="n"/>
      <c r="AE1077" s="1392" t="n"/>
      <c r="AF1077" s="1392" t="n"/>
      <c r="AG1077" s="1392" t="n"/>
      <c r="AH1077" s="1392" t="n"/>
      <c r="AI1077" s="1392" t="n"/>
      <c r="AJ1077" s="1392" t="n"/>
      <c r="AK1077" s="1392" t="n"/>
      <c r="AL1077" s="1392" t="n"/>
      <c r="AM1077" s="1392" t="n"/>
      <c r="AN1077" s="1392" t="n"/>
      <c r="AO1077" s="1392" t="n"/>
      <c r="AP1077" s="1392" t="n"/>
      <c r="AQ1077" s="1392" t="n"/>
      <c r="AR1077" s="1422" t="n"/>
      <c r="AS1077" s="1422" t="n"/>
      <c r="AT1077" s="1392" t="n"/>
      <c r="AU1077" s="1392" t="n"/>
      <c r="AV1077" s="1392" t="n"/>
      <c r="AW1077" s="1392" t="n"/>
      <c r="AX1077" s="1392" t="n"/>
      <c r="AY1077" s="1392" t="n"/>
      <c r="AZ1077" s="1392" t="n"/>
      <c r="BA1077" s="1422" t="n"/>
      <c r="BB1077" s="1422" t="n"/>
      <c r="BC1077" s="1392" t="n"/>
      <c r="BD1077" s="1392" t="n"/>
      <c r="BE1077" s="1392" t="n"/>
      <c r="BF1077" s="1392" t="n"/>
      <c r="BG1077" s="1392" t="n"/>
      <c r="BH1077" s="1392" t="n"/>
      <c r="BI1077" s="1392" t="n"/>
      <c r="BJ1077" s="1392" t="n"/>
      <c r="BK1077" s="1392" t="n"/>
      <c r="BL1077" s="1392" t="n"/>
      <c r="BM1077" s="1392" t="n"/>
      <c r="BN1077" s="1392" t="n"/>
      <c r="BO1077" s="1392" t="n"/>
      <c r="BP1077" s="1392" t="n"/>
      <c r="BQ1077" s="1392" t="n"/>
      <c r="BR1077" s="1392" t="n"/>
      <c r="BS1077" s="1392" t="n"/>
      <c r="BT1077" s="1392" t="n"/>
      <c r="BU1077" s="1392" t="n"/>
      <c r="BV1077" s="1392" t="n"/>
      <c r="BW1077" s="1392" t="n"/>
      <c r="BX1077" s="1392" t="n"/>
      <c r="BY1077" s="1392" t="n"/>
      <c r="BZ1077" s="1392" t="n"/>
      <c r="CA1077" s="1392" t="n"/>
      <c r="CB1077" s="1392" t="n"/>
      <c r="CC1077" s="1392" t="n"/>
      <c r="CD1077" s="1392" t="n"/>
      <c r="CE1077" s="1392" t="n"/>
      <c r="CF1077" s="1392" t="n"/>
      <c r="CG1077" s="1392" t="n"/>
      <c r="CH1077" s="1392" t="n"/>
      <c r="CI1077" s="1392" t="n"/>
      <c r="CJ1077" s="1392" t="n"/>
      <c r="CK1077" s="1392" t="n"/>
      <c r="CL1077" s="1392" t="n"/>
    </row>
    <row r="1078">
      <c r="A1078" s="5" t="inlineStr">
        <is>
          <t>.</t>
        </is>
      </c>
      <c r="B1078" s="5" t="inlineStr">
        <is>
          <t>.</t>
        </is>
      </c>
      <c r="C1078" s="1378">
        <f>IF(raw[[#This Row],[city]]="","-",IF(raw[[#This Row],[city]]="TODAY","-",C1077+1))</f>
        <v/>
      </c>
      <c r="D1078" s="1393" t="inlineStr">
        <is>
          <t>Rio</t>
        </is>
      </c>
      <c r="E1078" s="1394" t="n">
        <v>39557</v>
      </c>
      <c r="F1078" s="1394" t="n">
        <v>39563</v>
      </c>
      <c r="G1078" s="1393" t="n">
        <v>1</v>
      </c>
      <c r="H1078" s="1393" t="inlineStr">
        <is>
          <t>Summer Flat</t>
        </is>
      </c>
      <c r="I1078" s="1393" t="inlineStr">
        <is>
          <t>Monica Rio</t>
        </is>
      </c>
      <c r="J1078" s="1393" t="inlineStr">
        <is>
          <t>-</t>
        </is>
      </c>
      <c r="K1078" s="1395">
        <f>IF(raw[[#This Row],[city]]&lt;&gt;"",_xlfn.XLOOKUP($D1078,ccc[city],ccc[prov],"-"),"-")</f>
        <v/>
      </c>
      <c r="L1078" s="1395">
        <f>IF(raw[[#This Row],[city]]&lt;&gt;"",_xlfn.XLOOKUP($D1078,ccc[city],ccc[ctry],"-"),"-")</f>
        <v/>
      </c>
      <c r="M1078" s="1395">
        <f>IF(raw[[#This Row],[city]]&lt;&gt;"",_xlfn.XLOOKUP($D1078,ccc[city],ccc[cont],"-"),"-")</f>
        <v/>
      </c>
      <c r="N1078" s="1396">
        <f>IF(raw[[#This Row],[city]]="","-",IF(raw[[#This Row],[cont]]="B",raw[[#This Row],[cont]],"W"))</f>
        <v/>
      </c>
      <c r="O1078" s="1397">
        <f>IF(raw[[#This Row],[out]]=0,0,IF(raw[[#This Row],[out]]=raw[[#This Row],[in]],0.01,raw[[#This Row],[out]]-raw[[#This Row],[in]]))</f>
        <v/>
      </c>
      <c r="P1078" s="1397">
        <f>IF(raw[[#This Row],[in]]=0,0,MONTH(raw[[#This Row],[in]]))</f>
        <v/>
      </c>
      <c r="Q1078" s="1397">
        <f>IF(raw[[#This Row],[in]]=0,0,YEAR(raw[[#This Row],[in]]))</f>
        <v/>
      </c>
      <c r="R1078" s="1397">
        <f>INT(raw[[#This Row],[yr]]/10)*10</f>
        <v/>
      </c>
      <c r="S1078" s="1395">
        <f>IF(raw[[#This Row],[city]]="","-",IF(raw[[#This Row],[city]]&lt;&gt;_xlfn.XLOOKUP(raw[[#This Row],[home]],homes[home],homes[city],"-"),1,0))</f>
        <v/>
      </c>
      <c r="T1078" s="1398" t="inlineStr">
        <is>
          <t>.</t>
        </is>
      </c>
      <c r="U1078" s="1399">
        <f>IF(raw[[#This Row],[wb]]="w",raw[[#This Row],[stay]]+U1077,U1077)</f>
        <v/>
      </c>
      <c r="V1078" s="1400">
        <f>IF(raw[[#This Row],[out]]=0,V1077,(raw[[#This Row],[out]]-E$5))</f>
        <v/>
      </c>
      <c r="W1078" s="1401">
        <f>U1078/V1078</f>
        <v/>
      </c>
      <c r="X1078" s="1392" t="n"/>
      <c r="Y1078" s="1392" t="n"/>
      <c r="Z1078" s="1392" t="n"/>
      <c r="AA1078" s="1392" t="n"/>
      <c r="AB1078" s="1392" t="n"/>
      <c r="AC1078" s="1392" t="n"/>
      <c r="AD1078" s="1392" t="n"/>
      <c r="AE1078" s="1392" t="n"/>
      <c r="AF1078" s="1392" t="n"/>
      <c r="AG1078" s="1392" t="n"/>
      <c r="AH1078" s="1392" t="n"/>
      <c r="AI1078" s="1392" t="n"/>
      <c r="AJ1078" s="1392" t="n"/>
      <c r="AK1078" s="1392" t="n"/>
      <c r="AL1078" s="1392" t="n"/>
      <c r="AM1078" s="1392" t="n"/>
      <c r="AN1078" s="1392" t="n"/>
      <c r="AO1078" s="1392" t="n"/>
      <c r="AP1078" s="1392" t="n"/>
      <c r="AQ1078" s="1392" t="n"/>
      <c r="AR1078" s="1422" t="n"/>
      <c r="AS1078" s="1422" t="n"/>
      <c r="AT1078" s="1392" t="n"/>
      <c r="AU1078" s="1392" t="n"/>
      <c r="AV1078" s="1392" t="n"/>
      <c r="AW1078" s="1392" t="n"/>
      <c r="AX1078" s="1392" t="n"/>
      <c r="AY1078" s="1392" t="n"/>
      <c r="AZ1078" s="1392" t="n"/>
      <c r="BA1078" s="1422" t="n"/>
      <c r="BB1078" s="1422" t="n"/>
      <c r="BC1078" s="1392" t="n"/>
      <c r="BD1078" s="1392" t="n"/>
      <c r="BE1078" s="1392" t="n"/>
      <c r="BF1078" s="1392" t="n"/>
      <c r="BG1078" s="1392" t="n"/>
      <c r="BH1078" s="1392" t="n"/>
      <c r="BI1078" s="1392" t="n"/>
      <c r="BJ1078" s="1392" t="n"/>
      <c r="BK1078" s="1392" t="n"/>
      <c r="BL1078" s="1392" t="n"/>
      <c r="BM1078" s="1392" t="n"/>
      <c r="BN1078" s="1392" t="n"/>
      <c r="BO1078" s="1392" t="n"/>
      <c r="BP1078" s="1392" t="n"/>
      <c r="BQ1078" s="1392" t="n"/>
      <c r="BR1078" s="1392" t="n"/>
      <c r="BS1078" s="1392" t="n"/>
      <c r="BT1078" s="1392" t="n"/>
      <c r="BU1078" s="1392" t="n"/>
      <c r="BV1078" s="1392" t="n"/>
      <c r="BW1078" s="1392" t="n"/>
      <c r="BX1078" s="1392" t="n"/>
      <c r="BY1078" s="1392" t="n"/>
      <c r="BZ1078" s="1392" t="n"/>
      <c r="CA1078" s="1392" t="n"/>
      <c r="CB1078" s="1392" t="n"/>
      <c r="CC1078" s="1392" t="n"/>
      <c r="CD1078" s="1392" t="n"/>
      <c r="CE1078" s="1392" t="n"/>
      <c r="CF1078" s="1392" t="n"/>
      <c r="CG1078" s="1392" t="n"/>
      <c r="CH1078" s="1392" t="n"/>
      <c r="CI1078" s="1392" t="n"/>
      <c r="CJ1078" s="1392" t="n"/>
      <c r="CK1078" s="1392" t="n"/>
      <c r="CL1078" s="1392" t="n"/>
    </row>
    <row r="1079">
      <c r="A1079" s="5" t="inlineStr">
        <is>
          <t>.</t>
        </is>
      </c>
      <c r="B1079" s="5" t="inlineStr">
        <is>
          <t>.</t>
        </is>
      </c>
      <c r="C1079" s="1378">
        <f>IF(raw[[#This Row],[city]]="","-",IF(raw[[#This Row],[city]]="TODAY","-",C1078+1))</f>
        <v/>
      </c>
      <c r="D1079" s="1393" t="inlineStr">
        <is>
          <t>SSA</t>
        </is>
      </c>
      <c r="E1079" s="1394" t="n">
        <v>39563</v>
      </c>
      <c r="F1079" s="1394" t="n">
        <v>39569</v>
      </c>
      <c r="G1079" s="1393" t="inlineStr">
        <is>
          <t>-</t>
        </is>
      </c>
      <c r="H1079" s="1393" t="inlineStr">
        <is>
          <t>Summer Flat</t>
        </is>
      </c>
      <c r="I1079" s="1393" t="inlineStr">
        <is>
          <t>-</t>
        </is>
      </c>
      <c r="J1079" s="1393" t="inlineStr">
        <is>
          <t>-</t>
        </is>
      </c>
      <c r="K1079" s="1395">
        <f>IF(raw[[#This Row],[city]]&lt;&gt;"",_xlfn.XLOOKUP($D1079,ccc[city],ccc[prov],"-"),"-")</f>
        <v/>
      </c>
      <c r="L1079" s="1395">
        <f>IF(raw[[#This Row],[city]]&lt;&gt;"",_xlfn.XLOOKUP($D1079,ccc[city],ccc[ctry],"-"),"-")</f>
        <v/>
      </c>
      <c r="M1079" s="1395">
        <f>IF(raw[[#This Row],[city]]&lt;&gt;"",_xlfn.XLOOKUP($D1079,ccc[city],ccc[cont],"-"),"-")</f>
        <v/>
      </c>
      <c r="N1079" s="1396">
        <f>IF(raw[[#This Row],[city]]="","-",IF(raw[[#This Row],[cont]]="B",raw[[#This Row],[cont]],"W"))</f>
        <v/>
      </c>
      <c r="O1079" s="1397">
        <f>IF(raw[[#This Row],[out]]=0,0,IF(raw[[#This Row],[out]]=raw[[#This Row],[in]],0.01,raw[[#This Row],[out]]-raw[[#This Row],[in]]))</f>
        <v/>
      </c>
      <c r="P1079" s="1397">
        <f>IF(raw[[#This Row],[in]]=0,0,MONTH(raw[[#This Row],[in]]))</f>
        <v/>
      </c>
      <c r="Q1079" s="1397">
        <f>IF(raw[[#This Row],[in]]=0,0,YEAR(raw[[#This Row],[in]]))</f>
        <v/>
      </c>
      <c r="R1079" s="1397">
        <f>INT(raw[[#This Row],[yr]]/10)*10</f>
        <v/>
      </c>
      <c r="S1079" s="1395">
        <f>IF(raw[[#This Row],[city]]="","-",IF(raw[[#This Row],[city]]&lt;&gt;_xlfn.XLOOKUP(raw[[#This Row],[home]],homes[home],homes[city],"-"),1,0))</f>
        <v/>
      </c>
      <c r="T1079" s="1398" t="inlineStr">
        <is>
          <t>.</t>
        </is>
      </c>
      <c r="U1079" s="1399">
        <f>IF(raw[[#This Row],[wb]]="w",raw[[#This Row],[stay]]+U1078,U1078)</f>
        <v/>
      </c>
      <c r="V1079" s="1400">
        <f>IF(raw[[#This Row],[out]]=0,V1078,(raw[[#This Row],[out]]-E$5))</f>
        <v/>
      </c>
      <c r="W1079" s="1401">
        <f>U1079/V1079</f>
        <v/>
      </c>
      <c r="X1079" s="1392" t="n"/>
      <c r="Y1079" s="1392" t="n"/>
      <c r="Z1079" s="1392" t="n"/>
      <c r="AA1079" s="1392" t="n"/>
      <c r="AB1079" s="1392" t="n"/>
      <c r="AC1079" s="1392" t="n"/>
      <c r="AD1079" s="1392" t="n"/>
      <c r="AE1079" s="1392" t="n"/>
      <c r="AF1079" s="1392" t="n"/>
      <c r="AG1079" s="1392" t="n"/>
      <c r="AH1079" s="1392" t="n"/>
      <c r="AI1079" s="1392" t="n"/>
      <c r="AJ1079" s="1392" t="n"/>
      <c r="AK1079" s="1392" t="n"/>
      <c r="AL1079" s="1392" t="n"/>
      <c r="AM1079" s="1392" t="n"/>
      <c r="AN1079" s="1392" t="n"/>
      <c r="AO1079" s="1392" t="n"/>
      <c r="AP1079" s="1392" t="n"/>
      <c r="AQ1079" s="1392" t="n"/>
      <c r="AR1079" s="1422" t="n"/>
      <c r="AS1079" s="1422" t="n"/>
      <c r="AT1079" s="1392" t="n"/>
      <c r="AU1079" s="1392" t="n"/>
      <c r="AV1079" s="1392" t="n"/>
      <c r="AW1079" s="1392" t="n"/>
      <c r="AX1079" s="1392" t="n"/>
      <c r="AY1079" s="1392" t="n"/>
      <c r="AZ1079" s="1392" t="n"/>
      <c r="BA1079" s="1422" t="n"/>
      <c r="BB1079" s="1422" t="n"/>
      <c r="BC1079" s="1392" t="n"/>
      <c r="BD1079" s="1392" t="n"/>
      <c r="BE1079" s="1392" t="n"/>
      <c r="BF1079" s="1392" t="n"/>
      <c r="BG1079" s="1392" t="n"/>
      <c r="BH1079" s="1392" t="n"/>
      <c r="BI1079" s="1392" t="n"/>
      <c r="BJ1079" s="1392" t="n"/>
      <c r="BK1079" s="1392" t="n"/>
      <c r="BL1079" s="1392" t="n"/>
      <c r="BM1079" s="1392" t="n"/>
      <c r="BN1079" s="1392" t="n"/>
      <c r="BO1079" s="1392" t="n"/>
      <c r="BP1079" s="1392" t="n"/>
      <c r="BQ1079" s="1392" t="n"/>
      <c r="BR1079" s="1392" t="n"/>
      <c r="BS1079" s="1392" t="n"/>
      <c r="BT1079" s="1392" t="n"/>
      <c r="BU1079" s="1392" t="n"/>
      <c r="BV1079" s="1392" t="n"/>
      <c r="BW1079" s="1392" t="n"/>
      <c r="BX1079" s="1392" t="n"/>
      <c r="BY1079" s="1392" t="n"/>
      <c r="BZ1079" s="1392" t="n"/>
      <c r="CA1079" s="1392" t="n"/>
      <c r="CB1079" s="1392" t="n"/>
      <c r="CC1079" s="1392" t="n"/>
      <c r="CD1079" s="1392" t="n"/>
      <c r="CE1079" s="1392" t="n"/>
      <c r="CF1079" s="1392" t="n"/>
      <c r="CG1079" s="1392" t="n"/>
      <c r="CH1079" s="1392" t="n"/>
      <c r="CI1079" s="1392" t="n"/>
      <c r="CJ1079" s="1392" t="n"/>
      <c r="CK1079" s="1392" t="n"/>
      <c r="CL1079" s="1392" t="n"/>
    </row>
    <row r="1080">
      <c r="A1080" s="5" t="inlineStr">
        <is>
          <t>.</t>
        </is>
      </c>
      <c r="B1080" s="5" t="inlineStr">
        <is>
          <t>.</t>
        </is>
      </c>
      <c r="C1080" s="1378">
        <f>IF(raw[[#This Row],[city]]="","-",IF(raw[[#This Row],[city]]="TODAY","-",C1079+1))</f>
        <v/>
      </c>
      <c r="D1080" s="1393" t="inlineStr">
        <is>
          <t>SSA</t>
        </is>
      </c>
      <c r="E1080" s="1394" t="n">
        <v>39569</v>
      </c>
      <c r="F1080" s="1394" t="n">
        <v>39581</v>
      </c>
      <c r="G1080" s="1393" t="n">
        <v>1</v>
      </c>
      <c r="H1080" s="1393" t="inlineStr">
        <is>
          <t>Summer Flat</t>
        </is>
      </c>
      <c r="I1080" s="1393" t="inlineStr">
        <is>
          <t>-</t>
        </is>
      </c>
      <c r="J1080" s="1393" t="inlineStr">
        <is>
          <t>-</t>
        </is>
      </c>
      <c r="K1080" s="1395">
        <f>IF(raw[[#This Row],[city]]&lt;&gt;"",_xlfn.XLOOKUP($D1080,ccc[city],ccc[prov],"-"),"-")</f>
        <v/>
      </c>
      <c r="L1080" s="1395">
        <f>IF(raw[[#This Row],[city]]&lt;&gt;"",_xlfn.XLOOKUP($D1080,ccc[city],ccc[ctry],"-"),"-")</f>
        <v/>
      </c>
      <c r="M1080" s="1395">
        <f>IF(raw[[#This Row],[city]]&lt;&gt;"",_xlfn.XLOOKUP($D1080,ccc[city],ccc[cont],"-"),"-")</f>
        <v/>
      </c>
      <c r="N1080" s="1396">
        <f>IF(raw[[#This Row],[city]]="","-",IF(raw[[#This Row],[cont]]="B",raw[[#This Row],[cont]],"W"))</f>
        <v/>
      </c>
      <c r="O1080" s="1397">
        <f>IF(raw[[#This Row],[out]]=0,0,IF(raw[[#This Row],[out]]=raw[[#This Row],[in]],0.01,raw[[#This Row],[out]]-raw[[#This Row],[in]]))</f>
        <v/>
      </c>
      <c r="P1080" s="1397">
        <f>IF(raw[[#This Row],[in]]=0,0,MONTH(raw[[#This Row],[in]]))</f>
        <v/>
      </c>
      <c r="Q1080" s="1397">
        <f>IF(raw[[#This Row],[in]]=0,0,YEAR(raw[[#This Row],[in]]))</f>
        <v/>
      </c>
      <c r="R1080" s="1397">
        <f>INT(raw[[#This Row],[yr]]/10)*10</f>
        <v/>
      </c>
      <c r="S1080" s="1395">
        <f>IF(raw[[#This Row],[city]]="","-",IF(raw[[#This Row],[city]]&lt;&gt;_xlfn.XLOOKUP(raw[[#This Row],[home]],homes[home],homes[city],"-"),1,0))</f>
        <v/>
      </c>
      <c r="T1080" s="1398" t="inlineStr">
        <is>
          <t>.</t>
        </is>
      </c>
      <c r="U1080" s="1399">
        <f>IF(raw[[#This Row],[wb]]="w",raw[[#This Row],[stay]]+U1079,U1079)</f>
        <v/>
      </c>
      <c r="V1080" s="1400">
        <f>IF(raw[[#This Row],[out]]=0,V1079,(raw[[#This Row],[out]]-E$5))</f>
        <v/>
      </c>
      <c r="W1080" s="1401">
        <f>U1080/V1080</f>
        <v/>
      </c>
      <c r="X1080" s="1392" t="n"/>
      <c r="Y1080" s="1392" t="n"/>
      <c r="Z1080" s="1392" t="n"/>
      <c r="AA1080" s="1392" t="n"/>
      <c r="AB1080" s="1392" t="n"/>
      <c r="AC1080" s="1392" t="n"/>
      <c r="AD1080" s="1392" t="n"/>
      <c r="AE1080" s="1392" t="n"/>
      <c r="AF1080" s="1392" t="n"/>
      <c r="AG1080" s="1392" t="n"/>
      <c r="AH1080" s="1392" t="n"/>
      <c r="AI1080" s="1392" t="n"/>
      <c r="AJ1080" s="1392" t="n"/>
      <c r="AK1080" s="1392" t="n"/>
      <c r="AL1080" s="1392" t="n"/>
      <c r="AM1080" s="1392" t="n"/>
      <c r="AN1080" s="1392" t="n"/>
      <c r="AO1080" s="1392" t="n"/>
      <c r="AP1080" s="1392" t="n"/>
      <c r="AQ1080" s="1392" t="n"/>
      <c r="AR1080" s="1422" t="n"/>
      <c r="AS1080" s="1422" t="n"/>
      <c r="AT1080" s="1392" t="n"/>
      <c r="AU1080" s="1392" t="n"/>
      <c r="AV1080" s="1392" t="n"/>
      <c r="AW1080" s="1392" t="n"/>
      <c r="AX1080" s="1392" t="n"/>
      <c r="AY1080" s="1392" t="n"/>
      <c r="AZ1080" s="1392" t="n"/>
      <c r="BA1080" s="1422" t="n"/>
      <c r="BB1080" s="1422" t="n"/>
      <c r="BC1080" s="1392" t="n"/>
      <c r="BD1080" s="1392" t="n"/>
      <c r="BE1080" s="1392" t="n"/>
      <c r="BF1080" s="1392" t="n"/>
      <c r="BG1080" s="1392" t="n"/>
      <c r="BH1080" s="1392" t="n"/>
      <c r="BI1080" s="1392" t="n"/>
      <c r="BJ1080" s="1392" t="n"/>
      <c r="BK1080" s="1392" t="n"/>
      <c r="BL1080" s="1392" t="n"/>
      <c r="BM1080" s="1392" t="n"/>
      <c r="BN1080" s="1392" t="n"/>
      <c r="BO1080" s="1392" t="n"/>
      <c r="BP1080" s="1392" t="n"/>
      <c r="BQ1080" s="1392" t="n"/>
      <c r="BR1080" s="1392" t="n"/>
      <c r="BS1080" s="1392" t="n"/>
      <c r="BT1080" s="1392" t="n"/>
      <c r="BU1080" s="1392" t="n"/>
      <c r="BV1080" s="1392" t="n"/>
      <c r="BW1080" s="1392" t="n"/>
      <c r="BX1080" s="1392" t="n"/>
      <c r="BY1080" s="1392" t="n"/>
      <c r="BZ1080" s="1392" t="n"/>
      <c r="CA1080" s="1392" t="n"/>
      <c r="CB1080" s="1392" t="n"/>
      <c r="CC1080" s="1392" t="n"/>
      <c r="CD1080" s="1392" t="n"/>
      <c r="CE1080" s="1392" t="n"/>
      <c r="CF1080" s="1392" t="n"/>
      <c r="CG1080" s="1392" t="n"/>
      <c r="CH1080" s="1392" t="n"/>
      <c r="CI1080" s="1392" t="n"/>
      <c r="CJ1080" s="1392" t="n"/>
      <c r="CK1080" s="1392" t="n"/>
      <c r="CL1080" s="1392" t="n"/>
    </row>
    <row r="1081">
      <c r="A1081" s="5" t="inlineStr">
        <is>
          <t>.</t>
        </is>
      </c>
      <c r="B1081" s="5" t="inlineStr">
        <is>
          <t>.</t>
        </is>
      </c>
      <c r="C1081" s="1378">
        <f>IF(raw[[#This Row],[city]]="","-",IF(raw[[#This Row],[city]]="TODAY","-",C1080+1))</f>
        <v/>
      </c>
      <c r="D1081" s="1393" t="inlineStr">
        <is>
          <t>SP</t>
        </is>
      </c>
      <c r="E1081" s="1394" t="n">
        <v>39581</v>
      </c>
      <c r="F1081" s="1394" t="n">
        <v>39584</v>
      </c>
      <c r="G1081" s="1393" t="n">
        <v>1</v>
      </c>
      <c r="H1081" s="1393" t="inlineStr">
        <is>
          <t>Summer Flat</t>
        </is>
      </c>
      <c r="I1081" s="1393" t="inlineStr">
        <is>
          <t>Salto Grande</t>
        </is>
      </c>
      <c r="J1081" s="1393" t="inlineStr">
        <is>
          <t>-</t>
        </is>
      </c>
      <c r="K1081" s="1395">
        <f>IF(raw[[#This Row],[city]]&lt;&gt;"",_xlfn.XLOOKUP($D1081,ccc[city],ccc[prov],"-"),"-")</f>
        <v/>
      </c>
      <c r="L1081" s="1395">
        <f>IF(raw[[#This Row],[city]]&lt;&gt;"",_xlfn.XLOOKUP($D1081,ccc[city],ccc[ctry],"-"),"-")</f>
        <v/>
      </c>
      <c r="M1081" s="1395">
        <f>IF(raw[[#This Row],[city]]&lt;&gt;"",_xlfn.XLOOKUP($D1081,ccc[city],ccc[cont],"-"),"-")</f>
        <v/>
      </c>
      <c r="N1081" s="1396">
        <f>IF(raw[[#This Row],[city]]="","-",IF(raw[[#This Row],[cont]]="B",raw[[#This Row],[cont]],"W"))</f>
        <v/>
      </c>
      <c r="O1081" s="1397">
        <f>IF(raw[[#This Row],[out]]=0,0,IF(raw[[#This Row],[out]]=raw[[#This Row],[in]],0.01,raw[[#This Row],[out]]-raw[[#This Row],[in]]))</f>
        <v/>
      </c>
      <c r="P1081" s="1397">
        <f>IF(raw[[#This Row],[in]]=0,0,MONTH(raw[[#This Row],[in]]))</f>
        <v/>
      </c>
      <c r="Q1081" s="1397">
        <f>IF(raw[[#This Row],[in]]=0,0,YEAR(raw[[#This Row],[in]]))</f>
        <v/>
      </c>
      <c r="R1081" s="1397">
        <f>INT(raw[[#This Row],[yr]]/10)*10</f>
        <v/>
      </c>
      <c r="S1081" s="1395">
        <f>IF(raw[[#This Row],[city]]="","-",IF(raw[[#This Row],[city]]&lt;&gt;_xlfn.XLOOKUP(raw[[#This Row],[home]],homes[home],homes[city],"-"),1,0))</f>
        <v/>
      </c>
      <c r="T1081" s="1398" t="inlineStr">
        <is>
          <t>.</t>
        </is>
      </c>
      <c r="U1081" s="1399">
        <f>IF(raw[[#This Row],[wb]]="w",raw[[#This Row],[stay]]+U1080,U1080)</f>
        <v/>
      </c>
      <c r="V1081" s="1400">
        <f>IF(raw[[#This Row],[out]]=0,V1080,(raw[[#This Row],[out]]-E$5))</f>
        <v/>
      </c>
      <c r="W1081" s="1401">
        <f>U1081/V1081</f>
        <v/>
      </c>
      <c r="X1081" s="1392" t="n"/>
      <c r="Y1081" s="1392" t="n"/>
      <c r="Z1081" s="1392" t="n"/>
      <c r="AA1081" s="1392" t="n"/>
      <c r="AB1081" s="1392" t="n"/>
      <c r="AC1081" s="1392" t="n"/>
      <c r="AD1081" s="1392" t="n"/>
      <c r="AE1081" s="1392" t="n"/>
      <c r="AF1081" s="1392" t="n"/>
      <c r="AG1081" s="1392" t="n"/>
      <c r="AH1081" s="1392" t="n"/>
      <c r="AI1081" s="1392" t="n"/>
      <c r="AJ1081" s="1392" t="n"/>
      <c r="AK1081" s="1392" t="n"/>
      <c r="AL1081" s="1392" t="n"/>
      <c r="AM1081" s="1392" t="n"/>
      <c r="AN1081" s="1392" t="n"/>
      <c r="AO1081" s="1392" t="n"/>
      <c r="AP1081" s="1392" t="n"/>
      <c r="AQ1081" s="1392" t="n"/>
      <c r="AR1081" s="1422" t="n"/>
      <c r="AS1081" s="1422" t="n"/>
      <c r="AT1081" s="1392" t="n"/>
      <c r="AU1081" s="1392" t="n"/>
      <c r="AV1081" s="1392" t="n"/>
      <c r="AW1081" s="1392" t="n"/>
      <c r="AX1081" s="1392" t="n"/>
      <c r="AY1081" s="1392" t="n"/>
      <c r="AZ1081" s="1392" t="n"/>
      <c r="BA1081" s="1422" t="n"/>
      <c r="BB1081" s="1422" t="n"/>
      <c r="BC1081" s="1392" t="n"/>
      <c r="BD1081" s="1392" t="n"/>
      <c r="BE1081" s="1392" t="n"/>
      <c r="BF1081" s="1392" t="n"/>
      <c r="BG1081" s="1392" t="n"/>
      <c r="BH1081" s="1392" t="n"/>
      <c r="BI1081" s="1392" t="n"/>
      <c r="BJ1081" s="1392" t="n"/>
      <c r="BK1081" s="1392" t="n"/>
      <c r="BL1081" s="1392" t="n"/>
      <c r="BM1081" s="1392" t="n"/>
      <c r="BN1081" s="1392" t="n"/>
      <c r="BO1081" s="1392" t="n"/>
      <c r="BP1081" s="1392" t="n"/>
      <c r="BQ1081" s="1392" t="n"/>
      <c r="BR1081" s="1392" t="n"/>
      <c r="BS1081" s="1392" t="n"/>
      <c r="BT1081" s="1392" t="n"/>
      <c r="BU1081" s="1392" t="n"/>
      <c r="BV1081" s="1392" t="n"/>
      <c r="BW1081" s="1392" t="n"/>
      <c r="BX1081" s="1392" t="n"/>
      <c r="BY1081" s="1392" t="n"/>
      <c r="BZ1081" s="1392" t="n"/>
      <c r="CA1081" s="1392" t="n"/>
      <c r="CB1081" s="1392" t="n"/>
      <c r="CC1081" s="1392" t="n"/>
      <c r="CD1081" s="1392" t="n"/>
      <c r="CE1081" s="1392" t="n"/>
      <c r="CF1081" s="1392" t="n"/>
      <c r="CG1081" s="1392" t="n"/>
      <c r="CH1081" s="1392" t="n"/>
      <c r="CI1081" s="1392" t="n"/>
      <c r="CJ1081" s="1392" t="n"/>
      <c r="CK1081" s="1392" t="n"/>
      <c r="CL1081" s="1392" t="n"/>
    </row>
    <row r="1082">
      <c r="A1082" s="5" t="inlineStr">
        <is>
          <t>.</t>
        </is>
      </c>
      <c r="B1082" s="5" t="inlineStr">
        <is>
          <t>.</t>
        </is>
      </c>
      <c r="C1082" s="1378">
        <f>IF(raw[[#This Row],[city]]="","-",IF(raw[[#This Row],[city]]="TODAY","-",C1081+1))</f>
        <v/>
      </c>
      <c r="D1082" s="1393" t="inlineStr">
        <is>
          <t>SSA</t>
        </is>
      </c>
      <c r="E1082" s="1394" t="n">
        <v>39584</v>
      </c>
      <c r="F1082" s="1394" t="n">
        <v>39597</v>
      </c>
      <c r="G1082" s="1393" t="n">
        <v>1</v>
      </c>
      <c r="H1082" s="1393" t="inlineStr">
        <is>
          <t>Summer Flat</t>
        </is>
      </c>
      <c r="I1082" s="1393" t="inlineStr">
        <is>
          <t>-</t>
        </is>
      </c>
      <c r="J1082" s="1393" t="inlineStr">
        <is>
          <t>-</t>
        </is>
      </c>
      <c r="K1082" s="1395">
        <f>IF(raw[[#This Row],[city]]&lt;&gt;"",_xlfn.XLOOKUP($D1082,ccc[city],ccc[prov],"-"),"-")</f>
        <v/>
      </c>
      <c r="L1082" s="1395">
        <f>IF(raw[[#This Row],[city]]&lt;&gt;"",_xlfn.XLOOKUP($D1082,ccc[city],ccc[ctry],"-"),"-")</f>
        <v/>
      </c>
      <c r="M1082" s="1395">
        <f>IF(raw[[#This Row],[city]]&lt;&gt;"",_xlfn.XLOOKUP($D1082,ccc[city],ccc[cont],"-"),"-")</f>
        <v/>
      </c>
      <c r="N1082" s="1396">
        <f>IF(raw[[#This Row],[city]]="","-",IF(raw[[#This Row],[cont]]="B",raw[[#This Row],[cont]],"W"))</f>
        <v/>
      </c>
      <c r="O1082" s="1397">
        <f>IF(raw[[#This Row],[out]]=0,0,IF(raw[[#This Row],[out]]=raw[[#This Row],[in]],0.01,raw[[#This Row],[out]]-raw[[#This Row],[in]]))</f>
        <v/>
      </c>
      <c r="P1082" s="1397">
        <f>IF(raw[[#This Row],[in]]=0,0,MONTH(raw[[#This Row],[in]]))</f>
        <v/>
      </c>
      <c r="Q1082" s="1397">
        <f>IF(raw[[#This Row],[in]]=0,0,YEAR(raw[[#This Row],[in]]))</f>
        <v/>
      </c>
      <c r="R1082" s="1397">
        <f>INT(raw[[#This Row],[yr]]/10)*10</f>
        <v/>
      </c>
      <c r="S1082" s="1395">
        <f>IF(raw[[#This Row],[city]]="","-",IF(raw[[#This Row],[city]]&lt;&gt;_xlfn.XLOOKUP(raw[[#This Row],[home]],homes[home],homes[city],"-"),1,0))</f>
        <v/>
      </c>
      <c r="T1082" s="1398" t="inlineStr">
        <is>
          <t>.</t>
        </is>
      </c>
      <c r="U1082" s="1399">
        <f>IF(raw[[#This Row],[wb]]="w",raw[[#This Row],[stay]]+U1081,U1081)</f>
        <v/>
      </c>
      <c r="V1082" s="1400">
        <f>IF(raw[[#This Row],[out]]=0,V1081,(raw[[#This Row],[out]]-E$5))</f>
        <v/>
      </c>
      <c r="W1082" s="1401">
        <f>U1082/V1082</f>
        <v/>
      </c>
      <c r="X1082" s="1392" t="n"/>
      <c r="Y1082" s="1392" t="n"/>
      <c r="Z1082" s="1392" t="n"/>
      <c r="AA1082" s="1392" t="n"/>
      <c r="AB1082" s="1392" t="n"/>
      <c r="AC1082" s="1392" t="n"/>
      <c r="AD1082" s="1392" t="n"/>
      <c r="AE1082" s="1392" t="n"/>
      <c r="AF1082" s="1392" t="n"/>
      <c r="AG1082" s="1392" t="n"/>
      <c r="AH1082" s="1392" t="n"/>
      <c r="AI1082" s="1392" t="n"/>
      <c r="AJ1082" s="1392" t="n"/>
      <c r="AK1082" s="1392" t="n"/>
      <c r="AL1082" s="1392" t="n"/>
      <c r="AM1082" s="1392" t="n"/>
      <c r="AN1082" s="1392" t="n"/>
      <c r="AO1082" s="1392" t="n"/>
      <c r="AP1082" s="1392" t="n"/>
      <c r="AQ1082" s="1392" t="n"/>
      <c r="AR1082" s="1422" t="n"/>
      <c r="AS1082" s="1422" t="n"/>
      <c r="AT1082" s="1392" t="n"/>
      <c r="AU1082" s="1392" t="n"/>
      <c r="AV1082" s="1392" t="n"/>
      <c r="AW1082" s="1392" t="n"/>
      <c r="AX1082" s="1392" t="n"/>
      <c r="AY1082" s="1392" t="n"/>
      <c r="AZ1082" s="1392" t="n"/>
      <c r="BA1082" s="1422" t="n"/>
      <c r="BB1082" s="1422" t="n"/>
      <c r="BC1082" s="1392" t="n"/>
      <c r="BD1082" s="1392" t="n"/>
      <c r="BE1082" s="1392" t="n"/>
      <c r="BF1082" s="1392" t="n"/>
      <c r="BG1082" s="1392" t="n"/>
      <c r="BH1082" s="1392" t="n"/>
      <c r="BI1082" s="1392" t="n"/>
      <c r="BJ1082" s="1392" t="n"/>
      <c r="BK1082" s="1392" t="n"/>
      <c r="BL1082" s="1392" t="n"/>
      <c r="BM1082" s="1392" t="n"/>
      <c r="BN1082" s="1392" t="n"/>
      <c r="BO1082" s="1392" t="n"/>
      <c r="BP1082" s="1392" t="n"/>
      <c r="BQ1082" s="1392" t="n"/>
      <c r="BR1082" s="1392" t="n"/>
      <c r="BS1082" s="1392" t="n"/>
      <c r="BT1082" s="1392" t="n"/>
      <c r="BU1082" s="1392" t="n"/>
      <c r="BV1082" s="1392" t="n"/>
      <c r="BW1082" s="1392" t="n"/>
      <c r="BX1082" s="1392" t="n"/>
      <c r="BY1082" s="1392" t="n"/>
      <c r="BZ1082" s="1392" t="n"/>
      <c r="CA1082" s="1392" t="n"/>
      <c r="CB1082" s="1392" t="n"/>
      <c r="CC1082" s="1392" t="n"/>
      <c r="CD1082" s="1392" t="n"/>
      <c r="CE1082" s="1392" t="n"/>
      <c r="CF1082" s="1392" t="n"/>
      <c r="CG1082" s="1392" t="n"/>
      <c r="CH1082" s="1392" t="n"/>
      <c r="CI1082" s="1392" t="n"/>
      <c r="CJ1082" s="1392" t="n"/>
      <c r="CK1082" s="1392" t="n"/>
      <c r="CL1082" s="1392" t="n"/>
    </row>
    <row r="1083">
      <c r="A1083" s="5" t="inlineStr">
        <is>
          <t>.</t>
        </is>
      </c>
      <c r="B1083" s="5" t="inlineStr">
        <is>
          <t>.</t>
        </is>
      </c>
      <c r="C1083" s="1378">
        <f>IF(raw[[#This Row],[city]]="","-",IF(raw[[#This Row],[city]]="TODAY","-",C1082+1))</f>
        <v/>
      </c>
      <c r="D1083" s="1393" t="inlineStr">
        <is>
          <t>SP</t>
        </is>
      </c>
      <c r="E1083" s="1394" t="n">
        <v>39597</v>
      </c>
      <c r="F1083" s="1394" t="n">
        <v>39600</v>
      </c>
      <c r="G1083" s="1393" t="inlineStr">
        <is>
          <t>-</t>
        </is>
      </c>
      <c r="H1083" s="1393" t="inlineStr">
        <is>
          <t>Summer Flat</t>
        </is>
      </c>
      <c r="I1083" s="1393" t="inlineStr">
        <is>
          <t>Rato/Vila Mariana</t>
        </is>
      </c>
      <c r="J1083" s="1393" t="inlineStr">
        <is>
          <t>-</t>
        </is>
      </c>
      <c r="K1083" s="1395">
        <f>IF(raw[[#This Row],[city]]&lt;&gt;"",_xlfn.XLOOKUP($D1083,ccc[city],ccc[prov],"-"),"-")</f>
        <v/>
      </c>
      <c r="L1083" s="1395">
        <f>IF(raw[[#This Row],[city]]&lt;&gt;"",_xlfn.XLOOKUP($D1083,ccc[city],ccc[ctry],"-"),"-")</f>
        <v/>
      </c>
      <c r="M1083" s="1395">
        <f>IF(raw[[#This Row],[city]]&lt;&gt;"",_xlfn.XLOOKUP($D1083,ccc[city],ccc[cont],"-"),"-")</f>
        <v/>
      </c>
      <c r="N1083" s="1396">
        <f>IF(raw[[#This Row],[city]]="","-",IF(raw[[#This Row],[cont]]="B",raw[[#This Row],[cont]],"W"))</f>
        <v/>
      </c>
      <c r="O1083" s="1397">
        <f>IF(raw[[#This Row],[out]]=0,0,IF(raw[[#This Row],[out]]=raw[[#This Row],[in]],0.01,raw[[#This Row],[out]]-raw[[#This Row],[in]]))</f>
        <v/>
      </c>
      <c r="P1083" s="1397">
        <f>IF(raw[[#This Row],[in]]=0,0,MONTH(raw[[#This Row],[in]]))</f>
        <v/>
      </c>
      <c r="Q1083" s="1397">
        <f>IF(raw[[#This Row],[in]]=0,0,YEAR(raw[[#This Row],[in]]))</f>
        <v/>
      </c>
      <c r="R1083" s="1397">
        <f>INT(raw[[#This Row],[yr]]/10)*10</f>
        <v/>
      </c>
      <c r="S1083" s="1395">
        <f>IF(raw[[#This Row],[city]]="","-",IF(raw[[#This Row],[city]]&lt;&gt;_xlfn.XLOOKUP(raw[[#This Row],[home]],homes[home],homes[city],"-"),1,0))</f>
        <v/>
      </c>
      <c r="T1083" s="1398" t="inlineStr">
        <is>
          <t>.</t>
        </is>
      </c>
      <c r="U1083" s="1399">
        <f>IF(raw[[#This Row],[wb]]="w",raw[[#This Row],[stay]]+U1082,U1082)</f>
        <v/>
      </c>
      <c r="V1083" s="1400">
        <f>IF(raw[[#This Row],[out]]=0,V1082,(raw[[#This Row],[out]]-E$5))</f>
        <v/>
      </c>
      <c r="W1083" s="1401">
        <f>U1083/V1083</f>
        <v/>
      </c>
      <c r="X1083" s="1392" t="n"/>
      <c r="Y1083" s="1392" t="n"/>
      <c r="Z1083" s="1392" t="n"/>
      <c r="AA1083" s="1392" t="n"/>
      <c r="AB1083" s="1392" t="n"/>
      <c r="AC1083" s="1392" t="n"/>
      <c r="AD1083" s="1392" t="n"/>
      <c r="AE1083" s="1392" t="n"/>
      <c r="AF1083" s="1392" t="n"/>
      <c r="AG1083" s="1392" t="n"/>
      <c r="AH1083" s="1392" t="n"/>
      <c r="AI1083" s="1392" t="n"/>
      <c r="AJ1083" s="1392" t="n"/>
      <c r="AK1083" s="1392" t="n"/>
      <c r="AL1083" s="1392" t="n"/>
      <c r="AM1083" s="1392" t="n"/>
      <c r="AN1083" s="1392" t="n"/>
      <c r="AO1083" s="1392" t="n"/>
      <c r="AP1083" s="1392" t="n"/>
      <c r="AQ1083" s="1392" t="n"/>
      <c r="AR1083" s="1422" t="n"/>
      <c r="AS1083" s="1422" t="n"/>
      <c r="AT1083" s="1392" t="n"/>
      <c r="AU1083" s="1392" t="n"/>
      <c r="AV1083" s="1392" t="n"/>
      <c r="AW1083" s="1392" t="n"/>
      <c r="AX1083" s="1392" t="n"/>
      <c r="AY1083" s="1392" t="n"/>
      <c r="AZ1083" s="1392" t="n"/>
      <c r="BA1083" s="1422" t="n"/>
      <c r="BB1083" s="1422" t="n"/>
      <c r="BC1083" s="1392" t="n"/>
      <c r="BD1083" s="1392" t="n"/>
      <c r="BE1083" s="1392" t="n"/>
      <c r="BF1083" s="1392" t="n"/>
      <c r="BG1083" s="1392" t="n"/>
      <c r="BH1083" s="1392" t="n"/>
      <c r="BI1083" s="1392" t="n"/>
      <c r="BJ1083" s="1392" t="n"/>
      <c r="BK1083" s="1392" t="n"/>
      <c r="BL1083" s="1392" t="n"/>
      <c r="BM1083" s="1392" t="n"/>
      <c r="BN1083" s="1392" t="n"/>
      <c r="BO1083" s="1392" t="n"/>
      <c r="BP1083" s="1392" t="n"/>
      <c r="BQ1083" s="1392" t="n"/>
      <c r="BR1083" s="1392" t="n"/>
      <c r="BS1083" s="1392" t="n"/>
      <c r="BT1083" s="1392" t="n"/>
      <c r="BU1083" s="1392" t="n"/>
      <c r="BV1083" s="1392" t="n"/>
      <c r="BW1083" s="1392" t="n"/>
      <c r="BX1083" s="1392" t="n"/>
      <c r="BY1083" s="1392" t="n"/>
      <c r="BZ1083" s="1392" t="n"/>
      <c r="CA1083" s="1392" t="n"/>
      <c r="CB1083" s="1392" t="n"/>
      <c r="CC1083" s="1392" t="n"/>
      <c r="CD1083" s="1392" t="n"/>
      <c r="CE1083" s="1392" t="n"/>
      <c r="CF1083" s="1392" t="n"/>
      <c r="CG1083" s="1392" t="n"/>
      <c r="CH1083" s="1392" t="n"/>
      <c r="CI1083" s="1392" t="n"/>
      <c r="CJ1083" s="1392" t="n"/>
      <c r="CK1083" s="1392" t="n"/>
      <c r="CL1083" s="1392" t="n"/>
    </row>
    <row r="1084">
      <c r="A1084" s="5" t="inlineStr">
        <is>
          <t>.</t>
        </is>
      </c>
      <c r="B1084" s="5" t="inlineStr">
        <is>
          <t>.</t>
        </is>
      </c>
      <c r="C1084" s="1378">
        <f>IF(raw[[#This Row],[city]]="","-",IF(raw[[#This Row],[city]]="TODAY","-",C1083+1))</f>
        <v/>
      </c>
      <c r="D1084" s="1393" t="inlineStr">
        <is>
          <t>SP</t>
        </is>
      </c>
      <c r="E1084" s="1394" t="n">
        <v>39600</v>
      </c>
      <c r="F1084" s="1394" t="n">
        <v>39601</v>
      </c>
      <c r="G1084" s="1393" t="n">
        <v>1</v>
      </c>
      <c r="H1084" s="1393" t="inlineStr">
        <is>
          <t>Summer Flat</t>
        </is>
      </c>
      <c r="I1084" s="1393" t="inlineStr">
        <is>
          <t>Rato/Vila Mariana</t>
        </is>
      </c>
      <c r="J1084" s="1393" t="inlineStr">
        <is>
          <t>-</t>
        </is>
      </c>
      <c r="K1084" s="1395">
        <f>IF(raw[[#This Row],[city]]&lt;&gt;"",_xlfn.XLOOKUP($D1084,ccc[city],ccc[prov],"-"),"-")</f>
        <v/>
      </c>
      <c r="L1084" s="1395">
        <f>IF(raw[[#This Row],[city]]&lt;&gt;"",_xlfn.XLOOKUP($D1084,ccc[city],ccc[ctry],"-"),"-")</f>
        <v/>
      </c>
      <c r="M1084" s="1395">
        <f>IF(raw[[#This Row],[city]]&lt;&gt;"",_xlfn.XLOOKUP($D1084,ccc[city],ccc[cont],"-"),"-")</f>
        <v/>
      </c>
      <c r="N1084" s="1396">
        <f>IF(raw[[#This Row],[city]]="","-",IF(raw[[#This Row],[cont]]="B",raw[[#This Row],[cont]],"W"))</f>
        <v/>
      </c>
      <c r="O1084" s="1397">
        <f>IF(raw[[#This Row],[out]]=0,0,IF(raw[[#This Row],[out]]=raw[[#This Row],[in]],0.01,raw[[#This Row],[out]]-raw[[#This Row],[in]]))</f>
        <v/>
      </c>
      <c r="P1084" s="1397">
        <f>IF(raw[[#This Row],[in]]=0,0,MONTH(raw[[#This Row],[in]]))</f>
        <v/>
      </c>
      <c r="Q1084" s="1397">
        <f>IF(raw[[#This Row],[in]]=0,0,YEAR(raw[[#This Row],[in]]))</f>
        <v/>
      </c>
      <c r="R1084" s="1397">
        <f>INT(raw[[#This Row],[yr]]/10)*10</f>
        <v/>
      </c>
      <c r="S1084" s="1395">
        <f>IF(raw[[#This Row],[city]]="","-",IF(raw[[#This Row],[city]]&lt;&gt;_xlfn.XLOOKUP(raw[[#This Row],[home]],homes[home],homes[city],"-"),1,0))</f>
        <v/>
      </c>
      <c r="T1084" s="1398" t="inlineStr">
        <is>
          <t>.</t>
        </is>
      </c>
      <c r="U1084" s="1399">
        <f>IF(raw[[#This Row],[wb]]="w",raw[[#This Row],[stay]]+U1083,U1083)</f>
        <v/>
      </c>
      <c r="V1084" s="1400">
        <f>IF(raw[[#This Row],[out]]=0,V1083,(raw[[#This Row],[out]]-E$5))</f>
        <v/>
      </c>
      <c r="W1084" s="1401">
        <f>U1084/V1084</f>
        <v/>
      </c>
      <c r="X1084" s="1392" t="n"/>
      <c r="Y1084" s="1392" t="n"/>
      <c r="Z1084" s="1392" t="n"/>
      <c r="AA1084" s="1392" t="n"/>
      <c r="AB1084" s="1392" t="n"/>
      <c r="AC1084" s="1392" t="n"/>
      <c r="AD1084" s="1392" t="n"/>
      <c r="AE1084" s="1392" t="n"/>
      <c r="AF1084" s="1392" t="n"/>
      <c r="AG1084" s="1392" t="n"/>
      <c r="AH1084" s="1392" t="n"/>
      <c r="AI1084" s="1392" t="n"/>
      <c r="AJ1084" s="1392" t="n"/>
      <c r="AK1084" s="1392" t="n"/>
      <c r="AL1084" s="1392" t="n"/>
      <c r="AM1084" s="1392" t="n"/>
      <c r="AN1084" s="1392" t="n"/>
      <c r="AO1084" s="1392" t="n"/>
      <c r="AP1084" s="1392" t="n"/>
      <c r="AQ1084" s="1392" t="n"/>
      <c r="AR1084" s="1422" t="n"/>
      <c r="AS1084" s="1422" t="n"/>
      <c r="AT1084" s="1392" t="n"/>
      <c r="AU1084" s="1392" t="n"/>
      <c r="AV1084" s="1392" t="n"/>
      <c r="AW1084" s="1392" t="n"/>
      <c r="AX1084" s="1392" t="n"/>
      <c r="AY1084" s="1392" t="n"/>
      <c r="AZ1084" s="1392" t="n"/>
      <c r="BA1084" s="1422" t="n"/>
      <c r="BB1084" s="1422" t="n"/>
      <c r="BC1084" s="1392" t="n"/>
      <c r="BD1084" s="1392" t="n"/>
      <c r="BE1084" s="1392" t="n"/>
      <c r="BF1084" s="1392" t="n"/>
      <c r="BG1084" s="1392" t="n"/>
      <c r="BH1084" s="1392" t="n"/>
      <c r="BI1084" s="1392" t="n"/>
      <c r="BJ1084" s="1392" t="n"/>
      <c r="BK1084" s="1392" t="n"/>
      <c r="BL1084" s="1392" t="n"/>
      <c r="BM1084" s="1392" t="n"/>
      <c r="BN1084" s="1392" t="n"/>
      <c r="BO1084" s="1392" t="n"/>
      <c r="BP1084" s="1392" t="n"/>
      <c r="BQ1084" s="1392" t="n"/>
      <c r="BR1084" s="1392" t="n"/>
      <c r="BS1084" s="1392" t="n"/>
      <c r="BT1084" s="1392" t="n"/>
      <c r="BU1084" s="1392" t="n"/>
      <c r="BV1084" s="1392" t="n"/>
      <c r="BW1084" s="1392" t="n"/>
      <c r="BX1084" s="1392" t="n"/>
      <c r="BY1084" s="1392" t="n"/>
      <c r="BZ1084" s="1392" t="n"/>
      <c r="CA1084" s="1392" t="n"/>
      <c r="CB1084" s="1392" t="n"/>
      <c r="CC1084" s="1392" t="n"/>
      <c r="CD1084" s="1392" t="n"/>
      <c r="CE1084" s="1392" t="n"/>
      <c r="CF1084" s="1392" t="n"/>
      <c r="CG1084" s="1392" t="n"/>
      <c r="CH1084" s="1392" t="n"/>
      <c r="CI1084" s="1392" t="n"/>
      <c r="CJ1084" s="1392" t="n"/>
      <c r="CK1084" s="1392" t="n"/>
      <c r="CL1084" s="1392" t="n"/>
    </row>
    <row r="1085">
      <c r="A1085" s="5" t="inlineStr">
        <is>
          <t>.</t>
        </is>
      </c>
      <c r="B1085" s="5" t="inlineStr">
        <is>
          <t>.</t>
        </is>
      </c>
      <c r="C1085" s="1378">
        <f>IF(raw[[#This Row],[city]]="","-",IF(raw[[#This Row],[city]]="TODAY","-",C1084+1))</f>
        <v/>
      </c>
      <c r="D1085" s="1393" t="inlineStr">
        <is>
          <t>SSA</t>
        </is>
      </c>
      <c r="E1085" s="1394" t="n">
        <v>39601</v>
      </c>
      <c r="F1085" s="1394" t="n">
        <v>39611</v>
      </c>
      <c r="G1085" s="1393" t="n">
        <v>1</v>
      </c>
      <c r="H1085" s="1393" t="inlineStr">
        <is>
          <t>Summer Flat</t>
        </is>
      </c>
      <c r="I1085" s="1393" t="inlineStr">
        <is>
          <t>-</t>
        </is>
      </c>
      <c r="J1085" s="1393" t="inlineStr">
        <is>
          <t>-</t>
        </is>
      </c>
      <c r="K1085" s="1395">
        <f>IF(raw[[#This Row],[city]]&lt;&gt;"",_xlfn.XLOOKUP($D1085,ccc[city],ccc[prov],"-"),"-")</f>
        <v/>
      </c>
      <c r="L1085" s="1395">
        <f>IF(raw[[#This Row],[city]]&lt;&gt;"",_xlfn.XLOOKUP($D1085,ccc[city],ccc[ctry],"-"),"-")</f>
        <v/>
      </c>
      <c r="M1085" s="1395">
        <f>IF(raw[[#This Row],[city]]&lt;&gt;"",_xlfn.XLOOKUP($D1085,ccc[city],ccc[cont],"-"),"-")</f>
        <v/>
      </c>
      <c r="N1085" s="1396">
        <f>IF(raw[[#This Row],[city]]="","-",IF(raw[[#This Row],[cont]]="B",raw[[#This Row],[cont]],"W"))</f>
        <v/>
      </c>
      <c r="O1085" s="1397">
        <f>IF(raw[[#This Row],[out]]=0,0,IF(raw[[#This Row],[out]]=raw[[#This Row],[in]],0.01,raw[[#This Row],[out]]-raw[[#This Row],[in]]))</f>
        <v/>
      </c>
      <c r="P1085" s="1397">
        <f>IF(raw[[#This Row],[in]]=0,0,MONTH(raw[[#This Row],[in]]))</f>
        <v/>
      </c>
      <c r="Q1085" s="1397">
        <f>IF(raw[[#This Row],[in]]=0,0,YEAR(raw[[#This Row],[in]]))</f>
        <v/>
      </c>
      <c r="R1085" s="1397">
        <f>INT(raw[[#This Row],[yr]]/10)*10</f>
        <v/>
      </c>
      <c r="S1085" s="1395">
        <f>IF(raw[[#This Row],[city]]="","-",IF(raw[[#This Row],[city]]&lt;&gt;_xlfn.XLOOKUP(raw[[#This Row],[home]],homes[home],homes[city],"-"),1,0))</f>
        <v/>
      </c>
      <c r="T1085" s="1398" t="inlineStr">
        <is>
          <t>.</t>
        </is>
      </c>
      <c r="U1085" s="1399">
        <f>IF(raw[[#This Row],[wb]]="w",raw[[#This Row],[stay]]+U1084,U1084)</f>
        <v/>
      </c>
      <c r="V1085" s="1400">
        <f>IF(raw[[#This Row],[out]]=0,V1084,(raw[[#This Row],[out]]-E$5))</f>
        <v/>
      </c>
      <c r="W1085" s="1401">
        <f>U1085/V1085</f>
        <v/>
      </c>
      <c r="X1085" s="1392" t="n"/>
      <c r="Y1085" s="1392" t="n"/>
      <c r="Z1085" s="1392" t="n"/>
      <c r="AA1085" s="1392" t="n"/>
      <c r="AB1085" s="1392" t="n"/>
      <c r="AC1085" s="1392" t="n"/>
      <c r="AD1085" s="1392" t="n"/>
      <c r="AE1085" s="1392" t="n"/>
      <c r="AF1085" s="1392" t="n"/>
      <c r="AG1085" s="1392" t="n"/>
      <c r="AH1085" s="1392" t="n"/>
      <c r="AI1085" s="1392" t="n"/>
      <c r="AJ1085" s="1392" t="n"/>
      <c r="AK1085" s="1392" t="n"/>
      <c r="AL1085" s="1392" t="n"/>
      <c r="AM1085" s="1392" t="n"/>
      <c r="AN1085" s="1392" t="n"/>
      <c r="AO1085" s="1392" t="n"/>
      <c r="AP1085" s="1392" t="n"/>
      <c r="AQ1085" s="1392" t="n"/>
      <c r="AR1085" s="1422" t="n"/>
      <c r="AS1085" s="1422" t="n"/>
      <c r="AT1085" s="1392" t="n"/>
      <c r="AU1085" s="1392" t="n"/>
      <c r="AV1085" s="1392" t="n"/>
      <c r="AW1085" s="1392" t="n"/>
      <c r="AX1085" s="1392" t="n"/>
      <c r="AY1085" s="1392" t="n"/>
      <c r="AZ1085" s="1392" t="n"/>
      <c r="BA1085" s="1422" t="n"/>
      <c r="BB1085" s="1422" t="n"/>
      <c r="BC1085" s="1392" t="n"/>
      <c r="BD1085" s="1392" t="n"/>
      <c r="BE1085" s="1392" t="n"/>
      <c r="BF1085" s="1392" t="n"/>
      <c r="BG1085" s="1392" t="n"/>
      <c r="BH1085" s="1392" t="n"/>
      <c r="BI1085" s="1392" t="n"/>
      <c r="BJ1085" s="1392" t="n"/>
      <c r="BK1085" s="1392" t="n"/>
      <c r="BL1085" s="1392" t="n"/>
      <c r="BM1085" s="1392" t="n"/>
      <c r="BN1085" s="1392" t="n"/>
      <c r="BO1085" s="1392" t="n"/>
      <c r="BP1085" s="1392" t="n"/>
      <c r="BQ1085" s="1392" t="n"/>
      <c r="BR1085" s="1392" t="n"/>
      <c r="BS1085" s="1392" t="n"/>
      <c r="BT1085" s="1392" t="n"/>
      <c r="BU1085" s="1392" t="n"/>
      <c r="BV1085" s="1392" t="n"/>
      <c r="BW1085" s="1392" t="n"/>
      <c r="BX1085" s="1392" t="n"/>
      <c r="BY1085" s="1392" t="n"/>
      <c r="BZ1085" s="1392" t="n"/>
      <c r="CA1085" s="1392" t="n"/>
      <c r="CB1085" s="1392" t="n"/>
      <c r="CC1085" s="1392" t="n"/>
      <c r="CD1085" s="1392" t="n"/>
      <c r="CE1085" s="1392" t="n"/>
      <c r="CF1085" s="1392" t="n"/>
      <c r="CG1085" s="1392" t="n"/>
      <c r="CH1085" s="1392" t="n"/>
      <c r="CI1085" s="1392" t="n"/>
      <c r="CJ1085" s="1392" t="n"/>
      <c r="CK1085" s="1392" t="n"/>
      <c r="CL1085" s="1392" t="n"/>
    </row>
    <row r="1086">
      <c r="A1086" s="5" t="inlineStr">
        <is>
          <t>.</t>
        </is>
      </c>
      <c r="B1086" s="5" t="inlineStr">
        <is>
          <t>.</t>
        </is>
      </c>
      <c r="C1086" s="1378">
        <f>IF(raw[[#This Row],[city]]="","-",IF(raw[[#This Row],[city]]="TODAY","-",C1085+1))</f>
        <v/>
      </c>
      <c r="D1086" s="1393" t="inlineStr">
        <is>
          <t>SP</t>
        </is>
      </c>
      <c r="E1086" s="1394" t="n">
        <v>39611</v>
      </c>
      <c r="F1086" s="1394" t="n">
        <v>39611</v>
      </c>
      <c r="G1086" s="1393" t="n">
        <v>0.01</v>
      </c>
      <c r="H1086" s="1393" t="inlineStr">
        <is>
          <t>Summer Flat</t>
        </is>
      </c>
      <c r="I1086" s="1393" t="inlineStr">
        <is>
          <t>-</t>
        </is>
      </c>
      <c r="J1086" s="1393" t="inlineStr">
        <is>
          <t>-</t>
        </is>
      </c>
      <c r="K1086" s="1395">
        <f>IF(raw[[#This Row],[city]]&lt;&gt;"",_xlfn.XLOOKUP($D1086,ccc[city],ccc[prov],"-"),"-")</f>
        <v/>
      </c>
      <c r="L1086" s="1395">
        <f>IF(raw[[#This Row],[city]]&lt;&gt;"",_xlfn.XLOOKUP($D1086,ccc[city],ccc[ctry],"-"),"-")</f>
        <v/>
      </c>
      <c r="M1086" s="1395">
        <f>IF(raw[[#This Row],[city]]&lt;&gt;"",_xlfn.XLOOKUP($D1086,ccc[city],ccc[cont],"-"),"-")</f>
        <v/>
      </c>
      <c r="N1086" s="1396">
        <f>IF(raw[[#This Row],[city]]="","-",IF(raw[[#This Row],[cont]]="B",raw[[#This Row],[cont]],"W"))</f>
        <v/>
      </c>
      <c r="O1086" s="1397">
        <f>IF(raw[[#This Row],[out]]=0,0,IF(raw[[#This Row],[out]]=raw[[#This Row],[in]],0.01,raw[[#This Row],[out]]-raw[[#This Row],[in]]))</f>
        <v/>
      </c>
      <c r="P1086" s="1397">
        <f>IF(raw[[#This Row],[in]]=0,0,MONTH(raw[[#This Row],[in]]))</f>
        <v/>
      </c>
      <c r="Q1086" s="1397">
        <f>IF(raw[[#This Row],[in]]=0,0,YEAR(raw[[#This Row],[in]]))</f>
        <v/>
      </c>
      <c r="R1086" s="1397">
        <f>INT(raw[[#This Row],[yr]]/10)*10</f>
        <v/>
      </c>
      <c r="S1086" s="1395">
        <f>IF(raw[[#This Row],[city]]="","-",IF(raw[[#This Row],[city]]&lt;&gt;_xlfn.XLOOKUP(raw[[#This Row],[home]],homes[home],homes[city],"-"),1,0))</f>
        <v/>
      </c>
      <c r="T1086" s="1398" t="inlineStr">
        <is>
          <t>.</t>
        </is>
      </c>
      <c r="U1086" s="1399">
        <f>IF(raw[[#This Row],[wb]]="w",raw[[#This Row],[stay]]+U1085,U1085)</f>
        <v/>
      </c>
      <c r="V1086" s="1400">
        <f>IF(raw[[#This Row],[out]]=0,V1085,(raw[[#This Row],[out]]-E$5))</f>
        <v/>
      </c>
      <c r="W1086" s="1401">
        <f>U1086/V1086</f>
        <v/>
      </c>
      <c r="X1086" s="1392" t="n"/>
      <c r="Y1086" s="1392" t="n"/>
      <c r="Z1086" s="1392" t="n"/>
      <c r="AA1086" s="1392" t="n"/>
      <c r="AB1086" s="1392" t="n"/>
      <c r="AC1086" s="1392" t="n"/>
      <c r="AD1086" s="1392" t="n"/>
      <c r="AE1086" s="1392" t="n"/>
      <c r="AF1086" s="1392" t="n"/>
      <c r="AG1086" s="1392" t="n"/>
      <c r="AH1086" s="1392" t="n"/>
      <c r="AI1086" s="1392" t="n"/>
      <c r="AJ1086" s="1392" t="n"/>
      <c r="AK1086" s="1392" t="n"/>
      <c r="AL1086" s="1392" t="n"/>
      <c r="AM1086" s="1392" t="n"/>
      <c r="AN1086" s="1392" t="n"/>
      <c r="AO1086" s="1392" t="n"/>
      <c r="AP1086" s="1392" t="n"/>
      <c r="AQ1086" s="1392" t="n"/>
      <c r="AR1086" s="1422" t="n"/>
      <c r="AS1086" s="1422" t="n"/>
      <c r="AT1086" s="1392" t="n"/>
      <c r="AU1086" s="1392" t="n"/>
      <c r="AV1086" s="1392" t="n"/>
      <c r="AW1086" s="1392" t="n"/>
      <c r="AX1086" s="1392" t="n"/>
      <c r="AY1086" s="1392" t="n"/>
      <c r="AZ1086" s="1392" t="n"/>
      <c r="BA1086" s="1422" t="n"/>
      <c r="BB1086" s="1422" t="n"/>
      <c r="BC1086" s="1392" t="n"/>
      <c r="BD1086" s="1392" t="n"/>
      <c r="BE1086" s="1392" t="n"/>
      <c r="BF1086" s="1392" t="n"/>
      <c r="BG1086" s="1392" t="n"/>
      <c r="BH1086" s="1392" t="n"/>
      <c r="BI1086" s="1392" t="n"/>
      <c r="BJ1086" s="1392" t="n"/>
      <c r="BK1086" s="1392" t="n"/>
      <c r="BL1086" s="1392" t="n"/>
      <c r="BM1086" s="1392" t="n"/>
      <c r="BN1086" s="1392" t="n"/>
      <c r="BO1086" s="1392" t="n"/>
      <c r="BP1086" s="1392" t="n"/>
      <c r="BQ1086" s="1392" t="n"/>
      <c r="BR1086" s="1392" t="n"/>
      <c r="BS1086" s="1392" t="n"/>
      <c r="BT1086" s="1392" t="n"/>
      <c r="BU1086" s="1392" t="n"/>
      <c r="BV1086" s="1392" t="n"/>
      <c r="BW1086" s="1392" t="n"/>
      <c r="BX1086" s="1392" t="n"/>
      <c r="BY1086" s="1392" t="n"/>
      <c r="BZ1086" s="1392" t="n"/>
      <c r="CA1086" s="1392" t="n"/>
      <c r="CB1086" s="1392" t="n"/>
      <c r="CC1086" s="1392" t="n"/>
      <c r="CD1086" s="1392" t="n"/>
      <c r="CE1086" s="1392" t="n"/>
      <c r="CF1086" s="1392" t="n"/>
      <c r="CG1086" s="1392" t="n"/>
      <c r="CH1086" s="1392" t="n"/>
      <c r="CI1086" s="1392" t="n"/>
      <c r="CJ1086" s="1392" t="n"/>
      <c r="CK1086" s="1392" t="n"/>
      <c r="CL1086" s="1392" t="n"/>
    </row>
    <row r="1087">
      <c r="A1087" s="5" t="inlineStr">
        <is>
          <t>.</t>
        </is>
      </c>
      <c r="B1087" s="5" t="inlineStr">
        <is>
          <t>.</t>
        </is>
      </c>
      <c r="C1087" s="1378">
        <f>IF(raw[[#This Row],[city]]="","-",IF(raw[[#This Row],[city]]="TODAY","-",C1086+1))</f>
        <v/>
      </c>
      <c r="D1087" s="1393" t="inlineStr">
        <is>
          <t>Buenos Aires</t>
        </is>
      </c>
      <c r="E1087" s="1394" t="n">
        <v>39611</v>
      </c>
      <c r="F1087" s="1394" t="n">
        <v>39618</v>
      </c>
      <c r="G1087" s="1393" t="inlineStr">
        <is>
          <t>-</t>
        </is>
      </c>
      <c r="H1087" s="1393" t="inlineStr">
        <is>
          <t>Summer Flat</t>
        </is>
      </c>
      <c r="I1087" s="1393" t="inlineStr">
        <is>
          <t>-</t>
        </is>
      </c>
      <c r="J1087" s="1393" t="inlineStr">
        <is>
          <t>-</t>
        </is>
      </c>
      <c r="K1087" s="1395">
        <f>IF(raw[[#This Row],[city]]&lt;&gt;"",_xlfn.XLOOKUP($D1087,ccc[city],ccc[prov],"-"),"-")</f>
        <v/>
      </c>
      <c r="L1087" s="1395">
        <f>IF(raw[[#This Row],[city]]&lt;&gt;"",_xlfn.XLOOKUP($D1087,ccc[city],ccc[ctry],"-"),"-")</f>
        <v/>
      </c>
      <c r="M1087" s="1395">
        <f>IF(raw[[#This Row],[city]]&lt;&gt;"",_xlfn.XLOOKUP($D1087,ccc[city],ccc[cont],"-"),"-")</f>
        <v/>
      </c>
      <c r="N1087" s="1396">
        <f>IF(raw[[#This Row],[city]]="","-",IF(raw[[#This Row],[cont]]="B",raw[[#This Row],[cont]],"W"))</f>
        <v/>
      </c>
      <c r="O1087" s="1397">
        <f>IF(raw[[#This Row],[out]]=0,0,IF(raw[[#This Row],[out]]=raw[[#This Row],[in]],0.01,raw[[#This Row],[out]]-raw[[#This Row],[in]]))</f>
        <v/>
      </c>
      <c r="P1087" s="1397">
        <f>IF(raw[[#This Row],[in]]=0,0,MONTH(raw[[#This Row],[in]]))</f>
        <v/>
      </c>
      <c r="Q1087" s="1397">
        <f>IF(raw[[#This Row],[in]]=0,0,YEAR(raw[[#This Row],[in]]))</f>
        <v/>
      </c>
      <c r="R1087" s="1397">
        <f>INT(raw[[#This Row],[yr]]/10)*10</f>
        <v/>
      </c>
      <c r="S1087" s="1395">
        <f>IF(raw[[#This Row],[city]]="","-",IF(raw[[#This Row],[city]]&lt;&gt;_xlfn.XLOOKUP(raw[[#This Row],[home]],homes[home],homes[city],"-"),1,0))</f>
        <v/>
      </c>
      <c r="T1087" s="1398" t="inlineStr">
        <is>
          <t>.</t>
        </is>
      </c>
      <c r="U1087" s="1399">
        <f>IF(raw[[#This Row],[wb]]="w",raw[[#This Row],[stay]]+U1086,U1086)</f>
        <v/>
      </c>
      <c r="V1087" s="1400">
        <f>IF(raw[[#This Row],[out]]=0,V1086,(raw[[#This Row],[out]]-E$5))</f>
        <v/>
      </c>
      <c r="W1087" s="1401">
        <f>U1087/V1087</f>
        <v/>
      </c>
      <c r="X1087" s="1392" t="n"/>
      <c r="Y1087" s="1392" t="n"/>
      <c r="Z1087" s="1392" t="n"/>
      <c r="AA1087" s="1392" t="n"/>
      <c r="AB1087" s="1392" t="n"/>
      <c r="AC1087" s="1392" t="n"/>
      <c r="AD1087" s="1392" t="n"/>
      <c r="AE1087" s="1392" t="n"/>
      <c r="AF1087" s="1392" t="n"/>
      <c r="AG1087" s="1392" t="n"/>
      <c r="AH1087" s="1392" t="n"/>
      <c r="AI1087" s="1392" t="n"/>
      <c r="AJ1087" s="1392" t="n"/>
      <c r="AK1087" s="1392" t="n"/>
      <c r="AL1087" s="1392" t="n"/>
      <c r="AM1087" s="1392" t="n"/>
      <c r="AN1087" s="1392" t="n"/>
      <c r="AO1087" s="1392" t="n"/>
      <c r="AP1087" s="1392" t="n"/>
      <c r="AQ1087" s="1392" t="n"/>
      <c r="AR1087" s="1422" t="n"/>
      <c r="AS1087" s="1422" t="n"/>
      <c r="AT1087" s="1392" t="n"/>
      <c r="AU1087" s="1392" t="n"/>
      <c r="AV1087" s="1392" t="n"/>
      <c r="AW1087" s="1392" t="n"/>
      <c r="AX1087" s="1392" t="n"/>
      <c r="AY1087" s="1392" t="n"/>
      <c r="AZ1087" s="1392" t="n"/>
      <c r="BA1087" s="1422" t="n"/>
      <c r="BB1087" s="1422" t="n"/>
      <c r="BC1087" s="1392" t="n"/>
      <c r="BD1087" s="1392" t="n"/>
      <c r="BE1087" s="1392" t="n"/>
      <c r="BF1087" s="1392" t="n"/>
      <c r="BG1087" s="1392" t="n"/>
      <c r="BH1087" s="1392" t="n"/>
      <c r="BI1087" s="1392" t="n"/>
      <c r="BJ1087" s="1392" t="n"/>
      <c r="BK1087" s="1392" t="n"/>
      <c r="BL1087" s="1392" t="n"/>
      <c r="BM1087" s="1392" t="n"/>
      <c r="BN1087" s="1392" t="n"/>
      <c r="BO1087" s="1392" t="n"/>
      <c r="BP1087" s="1392" t="n"/>
      <c r="BQ1087" s="1392" t="n"/>
      <c r="BR1087" s="1392" t="n"/>
      <c r="BS1087" s="1392" t="n"/>
      <c r="BT1087" s="1392" t="n"/>
      <c r="BU1087" s="1392" t="n"/>
      <c r="BV1087" s="1392" t="n"/>
      <c r="BW1087" s="1392" t="n"/>
      <c r="BX1087" s="1392" t="n"/>
      <c r="BY1087" s="1392" t="n"/>
      <c r="BZ1087" s="1392" t="n"/>
      <c r="CA1087" s="1392" t="n"/>
      <c r="CB1087" s="1392" t="n"/>
      <c r="CC1087" s="1392" t="n"/>
      <c r="CD1087" s="1392" t="n"/>
      <c r="CE1087" s="1392" t="n"/>
      <c r="CF1087" s="1392" t="n"/>
      <c r="CG1087" s="1392" t="n"/>
      <c r="CH1087" s="1392" t="n"/>
      <c r="CI1087" s="1392" t="n"/>
      <c r="CJ1087" s="1392" t="n"/>
      <c r="CK1087" s="1392" t="n"/>
      <c r="CL1087" s="1392" t="n"/>
    </row>
    <row r="1088">
      <c r="A1088" s="5" t="inlineStr">
        <is>
          <t>.</t>
        </is>
      </c>
      <c r="B1088" s="5" t="inlineStr">
        <is>
          <t>.</t>
        </is>
      </c>
      <c r="C1088" s="1378">
        <f>IF(raw[[#This Row],[city]]="","-",IF(raw[[#This Row],[city]]="TODAY","-",C1087+1))</f>
        <v/>
      </c>
      <c r="D1088" s="1393" t="inlineStr">
        <is>
          <t>Montevideo</t>
        </is>
      </c>
      <c r="E1088" s="1394" t="n">
        <v>39618</v>
      </c>
      <c r="F1088" s="1394" t="n">
        <v>39618</v>
      </c>
      <c r="G1088" s="1393" t="inlineStr">
        <is>
          <t>-</t>
        </is>
      </c>
      <c r="H1088" s="1393" t="inlineStr">
        <is>
          <t>Summer Flat</t>
        </is>
      </c>
      <c r="I1088" s="1393" t="inlineStr">
        <is>
          <t>-</t>
        </is>
      </c>
      <c r="J1088" s="1393" t="inlineStr">
        <is>
          <t>-</t>
        </is>
      </c>
      <c r="K1088" s="1395">
        <f>IF(raw[[#This Row],[city]]&lt;&gt;"",_xlfn.XLOOKUP($D1088,ccc[city],ccc[prov],"-"),"-")</f>
        <v/>
      </c>
      <c r="L1088" s="1395">
        <f>IF(raw[[#This Row],[city]]&lt;&gt;"",_xlfn.XLOOKUP($D1088,ccc[city],ccc[ctry],"-"),"-")</f>
        <v/>
      </c>
      <c r="M1088" s="1395">
        <f>IF(raw[[#This Row],[city]]&lt;&gt;"",_xlfn.XLOOKUP($D1088,ccc[city],ccc[cont],"-"),"-")</f>
        <v/>
      </c>
      <c r="N1088" s="1396">
        <f>IF(raw[[#This Row],[city]]="","-",IF(raw[[#This Row],[cont]]="B",raw[[#This Row],[cont]],"W"))</f>
        <v/>
      </c>
      <c r="O1088" s="1397">
        <f>IF(raw[[#This Row],[out]]=0,0,IF(raw[[#This Row],[out]]=raw[[#This Row],[in]],0.01,raw[[#This Row],[out]]-raw[[#This Row],[in]]))</f>
        <v/>
      </c>
      <c r="P1088" s="1397">
        <f>IF(raw[[#This Row],[in]]=0,0,MONTH(raw[[#This Row],[in]]))</f>
        <v/>
      </c>
      <c r="Q1088" s="1397">
        <f>IF(raw[[#This Row],[in]]=0,0,YEAR(raw[[#This Row],[in]]))</f>
        <v/>
      </c>
      <c r="R1088" s="1397">
        <f>INT(raw[[#This Row],[yr]]/10)*10</f>
        <v/>
      </c>
      <c r="S1088" s="1395">
        <f>IF(raw[[#This Row],[city]]="","-",IF(raw[[#This Row],[city]]&lt;&gt;_xlfn.XLOOKUP(raw[[#This Row],[home]],homes[home],homes[city],"-"),1,0))</f>
        <v/>
      </c>
      <c r="T1088" s="1398" t="inlineStr">
        <is>
          <t>.</t>
        </is>
      </c>
      <c r="U1088" s="1399">
        <f>IF(raw[[#This Row],[wb]]="w",raw[[#This Row],[stay]]+U1087,U1087)</f>
        <v/>
      </c>
      <c r="V1088" s="1400">
        <f>IF(raw[[#This Row],[out]]=0,V1087,(raw[[#This Row],[out]]-E$5))</f>
        <v/>
      </c>
      <c r="W1088" s="1401">
        <f>U1088/V1088</f>
        <v/>
      </c>
      <c r="X1088" s="1392" t="n"/>
      <c r="Y1088" s="1392" t="n"/>
      <c r="Z1088" s="1392" t="n"/>
      <c r="AA1088" s="1392" t="n"/>
      <c r="AB1088" s="1392" t="n"/>
      <c r="AC1088" s="1392" t="n"/>
      <c r="AD1088" s="1392" t="n"/>
      <c r="AE1088" s="1392" t="n"/>
      <c r="AF1088" s="1392" t="n"/>
      <c r="AG1088" s="1392" t="n"/>
      <c r="AH1088" s="1392" t="n"/>
      <c r="AI1088" s="1392" t="n"/>
      <c r="AJ1088" s="1392" t="n"/>
      <c r="AK1088" s="1392" t="n"/>
      <c r="AL1088" s="1392" t="n"/>
      <c r="AM1088" s="1392" t="n"/>
      <c r="AN1088" s="1392" t="n"/>
      <c r="AO1088" s="1392" t="n"/>
      <c r="AP1088" s="1392" t="n"/>
      <c r="AQ1088" s="1392" t="n"/>
      <c r="AR1088" s="1422" t="n"/>
      <c r="AS1088" s="1422" t="n"/>
      <c r="AT1088" s="1392" t="n"/>
      <c r="AU1088" s="1392" t="n"/>
      <c r="AV1088" s="1392" t="n"/>
      <c r="AW1088" s="1392" t="n"/>
      <c r="AX1088" s="1392" t="n"/>
      <c r="AY1088" s="1392" t="n"/>
      <c r="AZ1088" s="1392" t="n"/>
      <c r="BA1088" s="1422" t="n"/>
      <c r="BB1088" s="1422" t="n"/>
      <c r="BC1088" s="1392" t="n"/>
      <c r="BD1088" s="1392" t="n"/>
      <c r="BE1088" s="1392" t="n"/>
      <c r="BF1088" s="1392" t="n"/>
      <c r="BG1088" s="1392" t="n"/>
      <c r="BH1088" s="1392" t="n"/>
      <c r="BI1088" s="1392" t="n"/>
      <c r="BJ1088" s="1392" t="n"/>
      <c r="BK1088" s="1392" t="n"/>
      <c r="BL1088" s="1392" t="n"/>
      <c r="BM1088" s="1392" t="n"/>
      <c r="BN1088" s="1392" t="n"/>
      <c r="BO1088" s="1392" t="n"/>
      <c r="BP1088" s="1392" t="n"/>
      <c r="BQ1088" s="1392" t="n"/>
      <c r="BR1088" s="1392" t="n"/>
      <c r="BS1088" s="1392" t="n"/>
      <c r="BT1088" s="1392" t="n"/>
      <c r="BU1088" s="1392" t="n"/>
      <c r="BV1088" s="1392" t="n"/>
      <c r="BW1088" s="1392" t="n"/>
      <c r="BX1088" s="1392" t="n"/>
      <c r="BY1088" s="1392" t="n"/>
      <c r="BZ1088" s="1392" t="n"/>
      <c r="CA1088" s="1392" t="n"/>
      <c r="CB1088" s="1392" t="n"/>
      <c r="CC1088" s="1392" t="n"/>
      <c r="CD1088" s="1392" t="n"/>
      <c r="CE1088" s="1392" t="n"/>
      <c r="CF1088" s="1392" t="n"/>
      <c r="CG1088" s="1392" t="n"/>
      <c r="CH1088" s="1392" t="n"/>
      <c r="CI1088" s="1392" t="n"/>
      <c r="CJ1088" s="1392" t="n"/>
      <c r="CK1088" s="1392" t="n"/>
      <c r="CL1088" s="1392" t="n"/>
    </row>
    <row r="1089">
      <c r="A1089" s="5" t="inlineStr">
        <is>
          <t>.</t>
        </is>
      </c>
      <c r="B1089" s="5" t="inlineStr">
        <is>
          <t>.</t>
        </is>
      </c>
      <c r="C1089" s="1378">
        <f>IF(raw[[#This Row],[city]]="","-",IF(raw[[#This Row],[city]]="TODAY","-",C1088+1))</f>
        <v/>
      </c>
      <c r="D1089" s="1393" t="inlineStr">
        <is>
          <t>Buenos Aires</t>
        </is>
      </c>
      <c r="E1089" s="1394" t="n">
        <v>39618</v>
      </c>
      <c r="F1089" s="1394" t="n">
        <v>39624</v>
      </c>
      <c r="G1089" s="1393" t="n">
        <v>1</v>
      </c>
      <c r="H1089" s="1393" t="inlineStr">
        <is>
          <t>Summer Flat</t>
        </is>
      </c>
      <c r="I1089" s="1393" t="inlineStr">
        <is>
          <t>-</t>
        </is>
      </c>
      <c r="J1089" s="1393" t="inlineStr">
        <is>
          <t>-</t>
        </is>
      </c>
      <c r="K1089" s="1395">
        <f>IF(raw[[#This Row],[city]]&lt;&gt;"",_xlfn.XLOOKUP($D1089,ccc[city],ccc[prov],"-"),"-")</f>
        <v/>
      </c>
      <c r="L1089" s="1395">
        <f>IF(raw[[#This Row],[city]]&lt;&gt;"",_xlfn.XLOOKUP($D1089,ccc[city],ccc[ctry],"-"),"-")</f>
        <v/>
      </c>
      <c r="M1089" s="1395">
        <f>IF(raw[[#This Row],[city]]&lt;&gt;"",_xlfn.XLOOKUP($D1089,ccc[city],ccc[cont],"-"),"-")</f>
        <v/>
      </c>
      <c r="N1089" s="1396">
        <f>IF(raw[[#This Row],[city]]="","-",IF(raw[[#This Row],[cont]]="B",raw[[#This Row],[cont]],"W"))</f>
        <v/>
      </c>
      <c r="O1089" s="1397">
        <f>IF(raw[[#This Row],[out]]=0,0,IF(raw[[#This Row],[out]]=raw[[#This Row],[in]],0.01,raw[[#This Row],[out]]-raw[[#This Row],[in]]))</f>
        <v/>
      </c>
      <c r="P1089" s="1397">
        <f>IF(raw[[#This Row],[in]]=0,0,MONTH(raw[[#This Row],[in]]))</f>
        <v/>
      </c>
      <c r="Q1089" s="1397">
        <f>IF(raw[[#This Row],[in]]=0,0,YEAR(raw[[#This Row],[in]]))</f>
        <v/>
      </c>
      <c r="R1089" s="1397">
        <f>INT(raw[[#This Row],[yr]]/10)*10</f>
        <v/>
      </c>
      <c r="S1089" s="1395">
        <f>IF(raw[[#This Row],[city]]="","-",IF(raw[[#This Row],[city]]&lt;&gt;_xlfn.XLOOKUP(raw[[#This Row],[home]],homes[home],homes[city],"-"),1,0))</f>
        <v/>
      </c>
      <c r="T1089" s="1398" t="inlineStr">
        <is>
          <t>.</t>
        </is>
      </c>
      <c r="U1089" s="1399">
        <f>IF(raw[[#This Row],[wb]]="w",raw[[#This Row],[stay]]+U1088,U1088)</f>
        <v/>
      </c>
      <c r="V1089" s="1400">
        <f>IF(raw[[#This Row],[out]]=0,V1088,(raw[[#This Row],[out]]-E$5))</f>
        <v/>
      </c>
      <c r="W1089" s="1401">
        <f>U1089/V1089</f>
        <v/>
      </c>
      <c r="X1089" s="1392" t="n"/>
      <c r="Y1089" s="1392" t="n"/>
      <c r="Z1089" s="1392" t="n"/>
      <c r="AA1089" s="1392" t="n"/>
      <c r="AB1089" s="1392" t="n"/>
      <c r="AC1089" s="1392" t="n"/>
      <c r="AD1089" s="1392" t="n"/>
      <c r="AE1089" s="1392" t="n"/>
      <c r="AF1089" s="1392" t="n"/>
      <c r="AG1089" s="1392" t="n"/>
      <c r="AH1089" s="1392" t="n"/>
      <c r="AI1089" s="1392" t="n"/>
      <c r="AJ1089" s="1392" t="n"/>
      <c r="AK1089" s="1392" t="n"/>
      <c r="AL1089" s="1392" t="n"/>
      <c r="AM1089" s="1392" t="n"/>
      <c r="AN1089" s="1392" t="n"/>
      <c r="AO1089" s="1392" t="n"/>
      <c r="AP1089" s="1392" t="n"/>
      <c r="AQ1089" s="1392" t="n"/>
      <c r="AR1089" s="1422" t="n"/>
      <c r="AS1089" s="1422" t="n"/>
      <c r="AT1089" s="1392" t="n"/>
      <c r="AU1089" s="1392" t="n"/>
      <c r="AV1089" s="1392" t="n"/>
      <c r="AW1089" s="1392" t="n"/>
      <c r="AX1089" s="1392" t="n"/>
      <c r="AY1089" s="1392" t="n"/>
      <c r="AZ1089" s="1392" t="n"/>
      <c r="BA1089" s="1422" t="n"/>
      <c r="BB1089" s="1422" t="n"/>
      <c r="BC1089" s="1392" t="n"/>
      <c r="BD1089" s="1392" t="n"/>
      <c r="BE1089" s="1392" t="n"/>
      <c r="BF1089" s="1392" t="n"/>
      <c r="BG1089" s="1392" t="n"/>
      <c r="BH1089" s="1392" t="n"/>
      <c r="BI1089" s="1392" t="n"/>
      <c r="BJ1089" s="1392" t="n"/>
      <c r="BK1089" s="1392" t="n"/>
      <c r="BL1089" s="1392" t="n"/>
      <c r="BM1089" s="1392" t="n"/>
      <c r="BN1089" s="1392" t="n"/>
      <c r="BO1089" s="1392" t="n"/>
      <c r="BP1089" s="1392" t="n"/>
      <c r="BQ1089" s="1392" t="n"/>
      <c r="BR1089" s="1392" t="n"/>
      <c r="BS1089" s="1392" t="n"/>
      <c r="BT1089" s="1392" t="n"/>
      <c r="BU1089" s="1392" t="n"/>
      <c r="BV1089" s="1392" t="n"/>
      <c r="BW1089" s="1392" t="n"/>
      <c r="BX1089" s="1392" t="n"/>
      <c r="BY1089" s="1392" t="n"/>
      <c r="BZ1089" s="1392" t="n"/>
      <c r="CA1089" s="1392" t="n"/>
      <c r="CB1089" s="1392" t="n"/>
      <c r="CC1089" s="1392" t="n"/>
      <c r="CD1089" s="1392" t="n"/>
      <c r="CE1089" s="1392" t="n"/>
      <c r="CF1089" s="1392" t="n"/>
      <c r="CG1089" s="1392" t="n"/>
      <c r="CH1089" s="1392" t="n"/>
      <c r="CI1089" s="1392" t="n"/>
      <c r="CJ1089" s="1392" t="n"/>
      <c r="CK1089" s="1392" t="n"/>
      <c r="CL1089" s="1392" t="n"/>
    </row>
    <row r="1090">
      <c r="A1090" s="5" t="inlineStr">
        <is>
          <t>.</t>
        </is>
      </c>
      <c r="B1090" s="5" t="inlineStr">
        <is>
          <t>.</t>
        </is>
      </c>
      <c r="C1090" s="1378">
        <f>IF(raw[[#This Row],[city]]="","-",IF(raw[[#This Row],[city]]="TODAY","-",C1089+1))</f>
        <v/>
      </c>
      <c r="D1090" s="1393" t="inlineStr">
        <is>
          <t>SP</t>
        </is>
      </c>
      <c r="E1090" s="1394" t="n">
        <v>39624</v>
      </c>
      <c r="F1090" s="1394" t="n">
        <v>39625</v>
      </c>
      <c r="G1090" s="1393" t="n">
        <v>1</v>
      </c>
      <c r="H1090" s="1393" t="inlineStr">
        <is>
          <t>Summer Flat</t>
        </is>
      </c>
      <c r="I1090" s="1393" t="inlineStr">
        <is>
          <t>Rato/Vila Mariana</t>
        </is>
      </c>
      <c r="J1090" s="1393" t="inlineStr">
        <is>
          <t>-</t>
        </is>
      </c>
      <c r="K1090" s="1395">
        <f>IF(raw[[#This Row],[city]]&lt;&gt;"",_xlfn.XLOOKUP($D1090,ccc[city],ccc[prov],"-"),"-")</f>
        <v/>
      </c>
      <c r="L1090" s="1395">
        <f>IF(raw[[#This Row],[city]]&lt;&gt;"",_xlfn.XLOOKUP($D1090,ccc[city],ccc[ctry],"-"),"-")</f>
        <v/>
      </c>
      <c r="M1090" s="1395">
        <f>IF(raw[[#This Row],[city]]&lt;&gt;"",_xlfn.XLOOKUP($D1090,ccc[city],ccc[cont],"-"),"-")</f>
        <v/>
      </c>
      <c r="N1090" s="1396">
        <f>IF(raw[[#This Row],[city]]="","-",IF(raw[[#This Row],[cont]]="B",raw[[#This Row],[cont]],"W"))</f>
        <v/>
      </c>
      <c r="O1090" s="1397">
        <f>IF(raw[[#This Row],[out]]=0,0,IF(raw[[#This Row],[out]]=raw[[#This Row],[in]],0.01,raw[[#This Row],[out]]-raw[[#This Row],[in]]))</f>
        <v/>
      </c>
      <c r="P1090" s="1397">
        <f>IF(raw[[#This Row],[in]]=0,0,MONTH(raw[[#This Row],[in]]))</f>
        <v/>
      </c>
      <c r="Q1090" s="1397">
        <f>IF(raw[[#This Row],[in]]=0,0,YEAR(raw[[#This Row],[in]]))</f>
        <v/>
      </c>
      <c r="R1090" s="1397">
        <f>INT(raw[[#This Row],[yr]]/10)*10</f>
        <v/>
      </c>
      <c r="S1090" s="1395">
        <f>IF(raw[[#This Row],[city]]="","-",IF(raw[[#This Row],[city]]&lt;&gt;_xlfn.XLOOKUP(raw[[#This Row],[home]],homes[home],homes[city],"-"),1,0))</f>
        <v/>
      </c>
      <c r="T1090" s="1398" t="inlineStr">
        <is>
          <t>.</t>
        </is>
      </c>
      <c r="U1090" s="1399">
        <f>IF(raw[[#This Row],[wb]]="w",raw[[#This Row],[stay]]+U1089,U1089)</f>
        <v/>
      </c>
      <c r="V1090" s="1400">
        <f>IF(raw[[#This Row],[out]]=0,V1089,(raw[[#This Row],[out]]-E$5))</f>
        <v/>
      </c>
      <c r="W1090" s="1401">
        <f>U1090/V1090</f>
        <v/>
      </c>
      <c r="X1090" s="1392" t="n"/>
      <c r="Y1090" s="1392" t="n"/>
      <c r="Z1090" s="1392" t="n"/>
      <c r="AA1090" s="1392" t="n"/>
      <c r="AB1090" s="1392" t="n"/>
      <c r="AC1090" s="1392" t="n"/>
      <c r="AD1090" s="1392" t="n"/>
      <c r="AE1090" s="1392" t="n"/>
      <c r="AF1090" s="1392" t="n"/>
      <c r="AG1090" s="1392" t="n"/>
      <c r="AH1090" s="1392" t="n"/>
      <c r="AI1090" s="1392" t="n"/>
      <c r="AJ1090" s="1392" t="n"/>
      <c r="AK1090" s="1392" t="n"/>
      <c r="AL1090" s="1392" t="n"/>
      <c r="AM1090" s="1392" t="n"/>
      <c r="AN1090" s="1392" t="n"/>
      <c r="AO1090" s="1392" t="n"/>
      <c r="AP1090" s="1392" t="n"/>
      <c r="AQ1090" s="1392" t="n"/>
      <c r="AR1090" s="1422" t="n"/>
      <c r="AS1090" s="1422" t="n"/>
      <c r="AT1090" s="1392" t="n"/>
      <c r="AU1090" s="1392" t="n"/>
      <c r="AV1090" s="1392" t="n"/>
      <c r="AW1090" s="1392" t="n"/>
      <c r="AX1090" s="1392" t="n"/>
      <c r="AY1090" s="1392" t="n"/>
      <c r="AZ1090" s="1392" t="n"/>
      <c r="BA1090" s="1422" t="n"/>
      <c r="BB1090" s="1422" t="n"/>
      <c r="BC1090" s="1392" t="n"/>
      <c r="BD1090" s="1392" t="n"/>
      <c r="BE1090" s="1392" t="n"/>
      <c r="BF1090" s="1392" t="n"/>
      <c r="BG1090" s="1392" t="n"/>
      <c r="BH1090" s="1392" t="n"/>
      <c r="BI1090" s="1392" t="n"/>
      <c r="BJ1090" s="1392" t="n"/>
      <c r="BK1090" s="1392" t="n"/>
      <c r="BL1090" s="1392" t="n"/>
      <c r="BM1090" s="1392" t="n"/>
      <c r="BN1090" s="1392" t="n"/>
      <c r="BO1090" s="1392" t="n"/>
      <c r="BP1090" s="1392" t="n"/>
      <c r="BQ1090" s="1392" t="n"/>
      <c r="BR1090" s="1392" t="n"/>
      <c r="BS1090" s="1392" t="n"/>
      <c r="BT1090" s="1392" t="n"/>
      <c r="BU1090" s="1392" t="n"/>
      <c r="BV1090" s="1392" t="n"/>
      <c r="BW1090" s="1392" t="n"/>
      <c r="BX1090" s="1392" t="n"/>
      <c r="BY1090" s="1392" t="n"/>
      <c r="BZ1090" s="1392" t="n"/>
      <c r="CA1090" s="1392" t="n"/>
      <c r="CB1090" s="1392" t="n"/>
      <c r="CC1090" s="1392" t="n"/>
      <c r="CD1090" s="1392" t="n"/>
      <c r="CE1090" s="1392" t="n"/>
      <c r="CF1090" s="1392" t="n"/>
      <c r="CG1090" s="1392" t="n"/>
      <c r="CH1090" s="1392" t="n"/>
      <c r="CI1090" s="1392" t="n"/>
      <c r="CJ1090" s="1392" t="n"/>
      <c r="CK1090" s="1392" t="n"/>
      <c r="CL1090" s="1392" t="n"/>
    </row>
    <row r="1091">
      <c r="A1091" s="5" t="inlineStr">
        <is>
          <t>.</t>
        </is>
      </c>
      <c r="B1091" s="5" t="inlineStr">
        <is>
          <t>.</t>
        </is>
      </c>
      <c r="C1091" s="1378">
        <f>IF(raw[[#This Row],[city]]="","-",IF(raw[[#This Row],[city]]="TODAY","-",C1090+1))</f>
        <v/>
      </c>
      <c r="D1091" s="1393" t="inlineStr">
        <is>
          <t>Rio</t>
        </is>
      </c>
      <c r="E1091" s="1394" t="n">
        <v>39625</v>
      </c>
      <c r="F1091" s="1394" t="n">
        <v>39625</v>
      </c>
      <c r="G1091" s="1393" t="n">
        <v>1</v>
      </c>
      <c r="H1091" s="1393" t="inlineStr">
        <is>
          <t>Summer Flat</t>
        </is>
      </c>
      <c r="I1091" s="1393" t="inlineStr">
        <is>
          <t>-</t>
        </is>
      </c>
      <c r="J1091" s="1393" t="inlineStr">
        <is>
          <t>-</t>
        </is>
      </c>
      <c r="K1091" s="1395">
        <f>IF(raw[[#This Row],[city]]&lt;&gt;"",_xlfn.XLOOKUP($D1091,ccc[city],ccc[prov],"-"),"-")</f>
        <v/>
      </c>
      <c r="L1091" s="1395">
        <f>IF(raw[[#This Row],[city]]&lt;&gt;"",_xlfn.XLOOKUP($D1091,ccc[city],ccc[ctry],"-"),"-")</f>
        <v/>
      </c>
      <c r="M1091" s="1395">
        <f>IF(raw[[#This Row],[city]]&lt;&gt;"",_xlfn.XLOOKUP($D1091,ccc[city],ccc[cont],"-"),"-")</f>
        <v/>
      </c>
      <c r="N1091" s="1396">
        <f>IF(raw[[#This Row],[city]]="","-",IF(raw[[#This Row],[cont]]="B",raw[[#This Row],[cont]],"W"))</f>
        <v/>
      </c>
      <c r="O1091" s="1397">
        <f>IF(raw[[#This Row],[out]]=0,0,IF(raw[[#This Row],[out]]=raw[[#This Row],[in]],0.01,raw[[#This Row],[out]]-raw[[#This Row],[in]]))</f>
        <v/>
      </c>
      <c r="P1091" s="1397">
        <f>IF(raw[[#This Row],[in]]=0,0,MONTH(raw[[#This Row],[in]]))</f>
        <v/>
      </c>
      <c r="Q1091" s="1397">
        <f>IF(raw[[#This Row],[in]]=0,0,YEAR(raw[[#This Row],[in]]))</f>
        <v/>
      </c>
      <c r="R1091" s="1397">
        <f>INT(raw[[#This Row],[yr]]/10)*10</f>
        <v/>
      </c>
      <c r="S1091" s="1395">
        <f>IF(raw[[#This Row],[city]]="","-",IF(raw[[#This Row],[city]]&lt;&gt;_xlfn.XLOOKUP(raw[[#This Row],[home]],homes[home],homes[city],"-"),1,0))</f>
        <v/>
      </c>
      <c r="T1091" s="1398" t="inlineStr">
        <is>
          <t>.</t>
        </is>
      </c>
      <c r="U1091" s="1399">
        <f>IF(raw[[#This Row],[wb]]="w",raw[[#This Row],[stay]]+U1090,U1090)</f>
        <v/>
      </c>
      <c r="V1091" s="1400">
        <f>IF(raw[[#This Row],[out]]=0,V1090,(raw[[#This Row],[out]]-E$5))</f>
        <v/>
      </c>
      <c r="W1091" s="1401">
        <f>U1091/V1091</f>
        <v/>
      </c>
      <c r="X1091" s="1392" t="n"/>
      <c r="Y1091" s="1392" t="n"/>
      <c r="Z1091" s="1392" t="n"/>
      <c r="AA1091" s="1392" t="n"/>
      <c r="AB1091" s="1392" t="n"/>
      <c r="AC1091" s="1392" t="n"/>
      <c r="AD1091" s="1392" t="n"/>
      <c r="AE1091" s="1392" t="n"/>
      <c r="AF1091" s="1392" t="n"/>
      <c r="AG1091" s="1392" t="n"/>
      <c r="AH1091" s="1392" t="n"/>
      <c r="AI1091" s="1392" t="n"/>
      <c r="AJ1091" s="1392" t="n"/>
      <c r="AK1091" s="1392" t="n"/>
      <c r="AL1091" s="1392" t="n"/>
      <c r="AM1091" s="1392" t="n"/>
      <c r="AN1091" s="1392" t="n"/>
      <c r="AO1091" s="1392" t="n"/>
      <c r="AP1091" s="1392" t="n"/>
      <c r="AQ1091" s="1392" t="n"/>
      <c r="AR1091" s="1422" t="n"/>
      <c r="AS1091" s="1422" t="n"/>
      <c r="AT1091" s="1392" t="n"/>
      <c r="AU1091" s="1392" t="n"/>
      <c r="AV1091" s="1392" t="n"/>
      <c r="AW1091" s="1392" t="n"/>
      <c r="AX1091" s="1392" t="n"/>
      <c r="AY1091" s="1392" t="n"/>
      <c r="AZ1091" s="1392" t="n"/>
      <c r="BA1091" s="1422" t="n"/>
      <c r="BB1091" s="1422" t="n"/>
      <c r="BC1091" s="1392" t="n"/>
      <c r="BD1091" s="1392" t="n"/>
      <c r="BE1091" s="1392" t="n"/>
      <c r="BF1091" s="1392" t="n"/>
      <c r="BG1091" s="1392" t="n"/>
      <c r="BH1091" s="1392" t="n"/>
      <c r="BI1091" s="1392" t="n"/>
      <c r="BJ1091" s="1392" t="n"/>
      <c r="BK1091" s="1392" t="n"/>
      <c r="BL1091" s="1392" t="n"/>
      <c r="BM1091" s="1392" t="n"/>
      <c r="BN1091" s="1392" t="n"/>
      <c r="BO1091" s="1392" t="n"/>
      <c r="BP1091" s="1392" t="n"/>
      <c r="BQ1091" s="1392" t="n"/>
      <c r="BR1091" s="1392" t="n"/>
      <c r="BS1091" s="1392" t="n"/>
      <c r="BT1091" s="1392" t="n"/>
      <c r="BU1091" s="1392" t="n"/>
      <c r="BV1091" s="1392" t="n"/>
      <c r="BW1091" s="1392" t="n"/>
      <c r="BX1091" s="1392" t="n"/>
      <c r="BY1091" s="1392" t="n"/>
      <c r="BZ1091" s="1392" t="n"/>
      <c r="CA1091" s="1392" t="n"/>
      <c r="CB1091" s="1392" t="n"/>
      <c r="CC1091" s="1392" t="n"/>
      <c r="CD1091" s="1392" t="n"/>
      <c r="CE1091" s="1392" t="n"/>
      <c r="CF1091" s="1392" t="n"/>
      <c r="CG1091" s="1392" t="n"/>
      <c r="CH1091" s="1392" t="n"/>
      <c r="CI1091" s="1392" t="n"/>
      <c r="CJ1091" s="1392" t="n"/>
      <c r="CK1091" s="1392" t="n"/>
      <c r="CL1091" s="1392" t="n"/>
    </row>
    <row r="1092">
      <c r="A1092" s="5" t="inlineStr">
        <is>
          <t>.</t>
        </is>
      </c>
      <c r="B1092" s="5" t="inlineStr">
        <is>
          <t>.</t>
        </is>
      </c>
      <c r="C1092" s="1378">
        <f>IF(raw[[#This Row],[city]]="","-",IF(raw[[#This Row],[city]]="TODAY","-",C1091+1))</f>
        <v/>
      </c>
      <c r="D1092" s="1393" t="inlineStr">
        <is>
          <t>SSA</t>
        </is>
      </c>
      <c r="E1092" s="1394" t="n">
        <v>39625</v>
      </c>
      <c r="F1092" s="1394" t="n">
        <v>39630</v>
      </c>
      <c r="G1092" s="1393" t="inlineStr">
        <is>
          <t>-</t>
        </is>
      </c>
      <c r="H1092" s="1393" t="inlineStr">
        <is>
          <t>Summer Flat</t>
        </is>
      </c>
      <c r="I1092" s="1393" t="inlineStr">
        <is>
          <t>-</t>
        </is>
      </c>
      <c r="J1092" s="1393" t="inlineStr">
        <is>
          <t>-</t>
        </is>
      </c>
      <c r="K1092" s="1395">
        <f>IF(raw[[#This Row],[city]]&lt;&gt;"",_xlfn.XLOOKUP($D1092,ccc[city],ccc[prov],"-"),"-")</f>
        <v/>
      </c>
      <c r="L1092" s="1395">
        <f>IF(raw[[#This Row],[city]]&lt;&gt;"",_xlfn.XLOOKUP($D1092,ccc[city],ccc[ctry],"-"),"-")</f>
        <v/>
      </c>
      <c r="M1092" s="1395">
        <f>IF(raw[[#This Row],[city]]&lt;&gt;"",_xlfn.XLOOKUP($D1092,ccc[city],ccc[cont],"-"),"-")</f>
        <v/>
      </c>
      <c r="N1092" s="1396">
        <f>IF(raw[[#This Row],[city]]="","-",IF(raw[[#This Row],[cont]]="B",raw[[#This Row],[cont]],"W"))</f>
        <v/>
      </c>
      <c r="O1092" s="1397">
        <f>IF(raw[[#This Row],[out]]=0,0,IF(raw[[#This Row],[out]]=raw[[#This Row],[in]],0.01,raw[[#This Row],[out]]-raw[[#This Row],[in]]))</f>
        <v/>
      </c>
      <c r="P1092" s="1397">
        <f>IF(raw[[#This Row],[in]]=0,0,MONTH(raw[[#This Row],[in]]))</f>
        <v/>
      </c>
      <c r="Q1092" s="1397">
        <f>IF(raw[[#This Row],[in]]=0,0,YEAR(raw[[#This Row],[in]]))</f>
        <v/>
      </c>
      <c r="R1092" s="1397">
        <f>INT(raw[[#This Row],[yr]]/10)*10</f>
        <v/>
      </c>
      <c r="S1092" s="1395">
        <f>IF(raw[[#This Row],[city]]="","-",IF(raw[[#This Row],[city]]&lt;&gt;_xlfn.XLOOKUP(raw[[#This Row],[home]],homes[home],homes[city],"-"),1,0))</f>
        <v/>
      </c>
      <c r="T1092" s="1398" t="inlineStr">
        <is>
          <t>.</t>
        </is>
      </c>
      <c r="U1092" s="1399">
        <f>IF(raw[[#This Row],[wb]]="w",raw[[#This Row],[stay]]+U1091,U1091)</f>
        <v/>
      </c>
      <c r="V1092" s="1400">
        <f>IF(raw[[#This Row],[out]]=0,V1091,(raw[[#This Row],[out]]-E$5))</f>
        <v/>
      </c>
      <c r="W1092" s="1401">
        <f>U1092/V1092</f>
        <v/>
      </c>
      <c r="X1092" s="1392" t="n"/>
      <c r="Y1092" s="1392" t="n"/>
      <c r="Z1092" s="1392" t="n"/>
      <c r="AA1092" s="1392" t="n"/>
      <c r="AB1092" s="1392" t="n"/>
      <c r="AC1092" s="1392" t="n"/>
      <c r="AD1092" s="1392" t="n"/>
      <c r="AE1092" s="1392" t="n"/>
      <c r="AF1092" s="1392" t="n"/>
      <c r="AG1092" s="1392" t="n"/>
      <c r="AH1092" s="1392" t="n"/>
      <c r="AI1092" s="1392" t="n"/>
      <c r="AJ1092" s="1392" t="n"/>
      <c r="AK1092" s="1392" t="n"/>
      <c r="AL1092" s="1392" t="n"/>
      <c r="AM1092" s="1392" t="n"/>
      <c r="AN1092" s="1392" t="n"/>
      <c r="AO1092" s="1392" t="n"/>
      <c r="AP1092" s="1392" t="n"/>
      <c r="AQ1092" s="1392" t="n"/>
      <c r="AR1092" s="1422" t="n"/>
      <c r="AS1092" s="1422" t="n"/>
      <c r="AT1092" s="1392" t="n"/>
      <c r="AU1092" s="1392" t="n"/>
      <c r="AV1092" s="1392" t="n"/>
      <c r="AW1092" s="1392" t="n"/>
      <c r="AX1092" s="1392" t="n"/>
      <c r="AY1092" s="1392" t="n"/>
      <c r="AZ1092" s="1392" t="n"/>
      <c r="BA1092" s="1422" t="n"/>
      <c r="BB1092" s="1422" t="n"/>
      <c r="BC1092" s="1392" t="n"/>
      <c r="BD1092" s="1392" t="n"/>
      <c r="BE1092" s="1392" t="n"/>
      <c r="BF1092" s="1392" t="n"/>
      <c r="BG1092" s="1392" t="n"/>
      <c r="BH1092" s="1392" t="n"/>
      <c r="BI1092" s="1392" t="n"/>
      <c r="BJ1092" s="1392" t="n"/>
      <c r="BK1092" s="1392" t="n"/>
      <c r="BL1092" s="1392" t="n"/>
      <c r="BM1092" s="1392" t="n"/>
      <c r="BN1092" s="1392" t="n"/>
      <c r="BO1092" s="1392" t="n"/>
      <c r="BP1092" s="1392" t="n"/>
      <c r="BQ1092" s="1392" t="n"/>
      <c r="BR1092" s="1392" t="n"/>
      <c r="BS1092" s="1392" t="n"/>
      <c r="BT1092" s="1392" t="n"/>
      <c r="BU1092" s="1392" t="n"/>
      <c r="BV1092" s="1392" t="n"/>
      <c r="BW1092" s="1392" t="n"/>
      <c r="BX1092" s="1392" t="n"/>
      <c r="BY1092" s="1392" t="n"/>
      <c r="BZ1092" s="1392" t="n"/>
      <c r="CA1092" s="1392" t="n"/>
      <c r="CB1092" s="1392" t="n"/>
      <c r="CC1092" s="1392" t="n"/>
      <c r="CD1092" s="1392" t="n"/>
      <c r="CE1092" s="1392" t="n"/>
      <c r="CF1092" s="1392" t="n"/>
      <c r="CG1092" s="1392" t="n"/>
      <c r="CH1092" s="1392" t="n"/>
      <c r="CI1092" s="1392" t="n"/>
      <c r="CJ1092" s="1392" t="n"/>
      <c r="CK1092" s="1392" t="n"/>
      <c r="CL1092" s="1392" t="n"/>
    </row>
    <row r="1093">
      <c r="A1093" s="5" t="inlineStr">
        <is>
          <t>.</t>
        </is>
      </c>
      <c r="B1093" s="5" t="inlineStr">
        <is>
          <t>.</t>
        </is>
      </c>
      <c r="C1093" s="1378">
        <f>IF(raw[[#This Row],[city]]="","-",IF(raw[[#This Row],[city]]="TODAY","-",C1092+1))</f>
        <v/>
      </c>
      <c r="D1093" s="1393" t="inlineStr">
        <is>
          <t>SSA</t>
        </is>
      </c>
      <c r="E1093" s="1394" t="n">
        <v>39630</v>
      </c>
      <c r="F1093" s="1394" t="n">
        <v>39633</v>
      </c>
      <c r="G1093" s="1393" t="inlineStr">
        <is>
          <t>-</t>
        </is>
      </c>
      <c r="H1093" s="1393" t="inlineStr">
        <is>
          <t>Summer Flat</t>
        </is>
      </c>
      <c r="I1093" s="1393" t="inlineStr">
        <is>
          <t>-</t>
        </is>
      </c>
      <c r="J1093" s="1393" t="inlineStr">
        <is>
          <t>-</t>
        </is>
      </c>
      <c r="K1093" s="1395">
        <f>IF(raw[[#This Row],[city]]&lt;&gt;"",_xlfn.XLOOKUP($D1093,ccc[city],ccc[prov],"-"),"-")</f>
        <v/>
      </c>
      <c r="L1093" s="1395">
        <f>IF(raw[[#This Row],[city]]&lt;&gt;"",_xlfn.XLOOKUP($D1093,ccc[city],ccc[ctry],"-"),"-")</f>
        <v/>
      </c>
      <c r="M1093" s="1395">
        <f>IF(raw[[#This Row],[city]]&lt;&gt;"",_xlfn.XLOOKUP($D1093,ccc[city],ccc[cont],"-"),"-")</f>
        <v/>
      </c>
      <c r="N1093" s="1396">
        <f>IF(raw[[#This Row],[city]]="","-",IF(raw[[#This Row],[cont]]="B",raw[[#This Row],[cont]],"W"))</f>
        <v/>
      </c>
      <c r="O1093" s="1397">
        <f>IF(raw[[#This Row],[out]]=0,0,IF(raw[[#This Row],[out]]=raw[[#This Row],[in]],0.01,raw[[#This Row],[out]]-raw[[#This Row],[in]]))</f>
        <v/>
      </c>
      <c r="P1093" s="1397">
        <f>IF(raw[[#This Row],[in]]=0,0,MONTH(raw[[#This Row],[in]]))</f>
        <v/>
      </c>
      <c r="Q1093" s="1397">
        <f>IF(raw[[#This Row],[in]]=0,0,YEAR(raw[[#This Row],[in]]))</f>
        <v/>
      </c>
      <c r="R1093" s="1397">
        <f>INT(raw[[#This Row],[yr]]/10)*10</f>
        <v/>
      </c>
      <c r="S1093" s="1395">
        <f>IF(raw[[#This Row],[city]]="","-",IF(raw[[#This Row],[city]]&lt;&gt;_xlfn.XLOOKUP(raw[[#This Row],[home]],homes[home],homes[city],"-"),1,0))</f>
        <v/>
      </c>
      <c r="T1093" s="1398" t="inlineStr">
        <is>
          <t>.</t>
        </is>
      </c>
      <c r="U1093" s="1399">
        <f>IF(raw[[#This Row],[wb]]="w",raw[[#This Row],[stay]]+U1092,U1092)</f>
        <v/>
      </c>
      <c r="V1093" s="1400">
        <f>IF(raw[[#This Row],[out]]=0,V1092,(raw[[#This Row],[out]]-E$5))</f>
        <v/>
      </c>
      <c r="W1093" s="1401">
        <f>U1093/V1093</f>
        <v/>
      </c>
      <c r="X1093" s="1392" t="n"/>
      <c r="Y1093" s="1392" t="n"/>
      <c r="Z1093" s="1392" t="n"/>
      <c r="AA1093" s="1392" t="n"/>
      <c r="AB1093" s="1392" t="n"/>
      <c r="AC1093" s="1392" t="n"/>
      <c r="AD1093" s="1392" t="n"/>
      <c r="AE1093" s="1392" t="n"/>
      <c r="AF1093" s="1392" t="n"/>
      <c r="AG1093" s="1392" t="n"/>
      <c r="AH1093" s="1392" t="n"/>
      <c r="AI1093" s="1392" t="n"/>
      <c r="AJ1093" s="1392" t="n"/>
      <c r="AK1093" s="1392" t="n"/>
      <c r="AL1093" s="1392" t="n"/>
      <c r="AM1093" s="1392" t="n"/>
      <c r="AN1093" s="1392" t="n"/>
      <c r="AO1093" s="1392" t="n"/>
      <c r="AP1093" s="1392" t="n"/>
      <c r="AQ1093" s="1392" t="n"/>
      <c r="AR1093" s="1422" t="n"/>
      <c r="AS1093" s="1422" t="n"/>
      <c r="AT1093" s="1392" t="n"/>
      <c r="AU1093" s="1392" t="n"/>
      <c r="AV1093" s="1392" t="n"/>
      <c r="AW1093" s="1392" t="n"/>
      <c r="AX1093" s="1392" t="n"/>
      <c r="AY1093" s="1392" t="n"/>
      <c r="AZ1093" s="1392" t="n"/>
      <c r="BA1093" s="1422" t="n"/>
      <c r="BB1093" s="1422" t="n"/>
      <c r="BC1093" s="1392" t="n"/>
      <c r="BD1093" s="1392" t="n"/>
      <c r="BE1093" s="1392" t="n"/>
      <c r="BF1093" s="1392" t="n"/>
      <c r="BG1093" s="1392" t="n"/>
      <c r="BH1093" s="1392" t="n"/>
      <c r="BI1093" s="1392" t="n"/>
      <c r="BJ1093" s="1392" t="n"/>
      <c r="BK1093" s="1392" t="n"/>
      <c r="BL1093" s="1392" t="n"/>
      <c r="BM1093" s="1392" t="n"/>
      <c r="BN1093" s="1392" t="n"/>
      <c r="BO1093" s="1392" t="n"/>
      <c r="BP1093" s="1392" t="n"/>
      <c r="BQ1093" s="1392" t="n"/>
      <c r="BR1093" s="1392" t="n"/>
      <c r="BS1093" s="1392" t="n"/>
      <c r="BT1093" s="1392" t="n"/>
      <c r="BU1093" s="1392" t="n"/>
      <c r="BV1093" s="1392" t="n"/>
      <c r="BW1093" s="1392" t="n"/>
      <c r="BX1093" s="1392" t="n"/>
      <c r="BY1093" s="1392" t="n"/>
      <c r="BZ1093" s="1392" t="n"/>
      <c r="CA1093" s="1392" t="n"/>
      <c r="CB1093" s="1392" t="n"/>
      <c r="CC1093" s="1392" t="n"/>
      <c r="CD1093" s="1392" t="n"/>
      <c r="CE1093" s="1392" t="n"/>
      <c r="CF1093" s="1392" t="n"/>
      <c r="CG1093" s="1392" t="n"/>
      <c r="CH1093" s="1392" t="n"/>
      <c r="CI1093" s="1392" t="n"/>
      <c r="CJ1093" s="1392" t="n"/>
      <c r="CK1093" s="1392" t="n"/>
      <c r="CL1093" s="1392" t="n"/>
    </row>
    <row r="1094">
      <c r="A1094" s="5" t="inlineStr">
        <is>
          <t>.</t>
        </is>
      </c>
      <c r="B1094" s="5" t="inlineStr">
        <is>
          <t>.</t>
        </is>
      </c>
      <c r="C1094" s="1378">
        <f>IF(raw[[#This Row],[city]]="","-",IF(raw[[#This Row],[city]]="TODAY","-",C1093+1))</f>
        <v/>
      </c>
      <c r="D1094" s="1393" t="inlineStr">
        <is>
          <t>Aracaju</t>
        </is>
      </c>
      <c r="E1094" s="1394" t="n">
        <v>39633</v>
      </c>
      <c r="F1094" s="1394" t="n">
        <v>39635</v>
      </c>
      <c r="G1094" s="1393" t="inlineStr">
        <is>
          <t>-</t>
        </is>
      </c>
      <c r="H1094" s="1393" t="inlineStr">
        <is>
          <t>Summer Flat</t>
        </is>
      </c>
      <c r="I1094" s="1393" t="inlineStr">
        <is>
          <t>-</t>
        </is>
      </c>
      <c r="J1094" s="1393" t="inlineStr">
        <is>
          <t>-</t>
        </is>
      </c>
      <c r="K1094" s="1395">
        <f>IF(raw[[#This Row],[city]]&lt;&gt;"",_xlfn.XLOOKUP($D1094,ccc[city],ccc[prov],"-"),"-")</f>
        <v/>
      </c>
      <c r="L1094" s="1395">
        <f>IF(raw[[#This Row],[city]]&lt;&gt;"",_xlfn.XLOOKUP($D1094,ccc[city],ccc[ctry],"-"),"-")</f>
        <v/>
      </c>
      <c r="M1094" s="1395">
        <f>IF(raw[[#This Row],[city]]&lt;&gt;"",_xlfn.XLOOKUP($D1094,ccc[city],ccc[cont],"-"),"-")</f>
        <v/>
      </c>
      <c r="N1094" s="1396">
        <f>IF(raw[[#This Row],[city]]="","-",IF(raw[[#This Row],[cont]]="B",raw[[#This Row],[cont]],"W"))</f>
        <v/>
      </c>
      <c r="O1094" s="1397">
        <f>IF(raw[[#This Row],[out]]=0,0,IF(raw[[#This Row],[out]]=raw[[#This Row],[in]],0.01,raw[[#This Row],[out]]-raw[[#This Row],[in]]))</f>
        <v/>
      </c>
      <c r="P1094" s="1397">
        <f>IF(raw[[#This Row],[in]]=0,0,MONTH(raw[[#This Row],[in]]))</f>
        <v/>
      </c>
      <c r="Q1094" s="1397">
        <f>IF(raw[[#This Row],[in]]=0,0,YEAR(raw[[#This Row],[in]]))</f>
        <v/>
      </c>
      <c r="R1094" s="1397">
        <f>INT(raw[[#This Row],[yr]]/10)*10</f>
        <v/>
      </c>
      <c r="S1094" s="1395">
        <f>IF(raw[[#This Row],[city]]="","-",IF(raw[[#This Row],[city]]&lt;&gt;_xlfn.XLOOKUP(raw[[#This Row],[home]],homes[home],homes[city],"-"),1,0))</f>
        <v/>
      </c>
      <c r="T1094" s="1398" t="inlineStr">
        <is>
          <t>.</t>
        </is>
      </c>
      <c r="U1094" s="1399">
        <f>IF(raw[[#This Row],[wb]]="w",raw[[#This Row],[stay]]+U1093,U1093)</f>
        <v/>
      </c>
      <c r="V1094" s="1400">
        <f>IF(raw[[#This Row],[out]]=0,V1093,(raw[[#This Row],[out]]-E$5))</f>
        <v/>
      </c>
      <c r="W1094" s="1401">
        <f>U1094/V1094</f>
        <v/>
      </c>
      <c r="X1094" s="1392" t="n"/>
      <c r="Y1094" s="1392" t="n"/>
      <c r="Z1094" s="1392" t="n"/>
      <c r="AA1094" s="1392" t="n"/>
      <c r="AB1094" s="1392" t="n"/>
      <c r="AC1094" s="1392" t="n"/>
      <c r="AD1094" s="1392" t="n"/>
      <c r="AE1094" s="1392" t="n"/>
      <c r="AF1094" s="1392" t="n"/>
      <c r="AG1094" s="1392" t="n"/>
      <c r="AH1094" s="1392" t="n"/>
      <c r="AI1094" s="1392" t="n"/>
      <c r="AJ1094" s="1392" t="n"/>
      <c r="AK1094" s="1392" t="n"/>
      <c r="AL1094" s="1392" t="n"/>
      <c r="AM1094" s="1392" t="n"/>
      <c r="AN1094" s="1392" t="n"/>
      <c r="AO1094" s="1392" t="n"/>
      <c r="AP1094" s="1392" t="n"/>
      <c r="AQ1094" s="1392" t="n"/>
      <c r="AR1094" s="1422" t="n"/>
      <c r="AS1094" s="1422" t="n"/>
      <c r="AT1094" s="1392" t="n"/>
      <c r="AU1094" s="1392" t="n"/>
      <c r="AV1094" s="1392" t="n"/>
      <c r="AW1094" s="1392" t="n"/>
      <c r="AX1094" s="1392" t="n"/>
      <c r="AY1094" s="1392" t="n"/>
      <c r="AZ1094" s="1392" t="n"/>
      <c r="BA1094" s="1422" t="n"/>
      <c r="BB1094" s="1422" t="n"/>
      <c r="BC1094" s="1392" t="n"/>
      <c r="BD1094" s="1392" t="n"/>
      <c r="BE1094" s="1392" t="n"/>
      <c r="BF1094" s="1392" t="n"/>
      <c r="BG1094" s="1392" t="n"/>
      <c r="BH1094" s="1392" t="n"/>
      <c r="BI1094" s="1392" t="n"/>
      <c r="BJ1094" s="1392" t="n"/>
      <c r="BK1094" s="1392" t="n"/>
      <c r="BL1094" s="1392" t="n"/>
      <c r="BM1094" s="1392" t="n"/>
      <c r="BN1094" s="1392" t="n"/>
      <c r="BO1094" s="1392" t="n"/>
      <c r="BP1094" s="1392" t="n"/>
      <c r="BQ1094" s="1392" t="n"/>
      <c r="BR1094" s="1392" t="n"/>
      <c r="BS1094" s="1392" t="n"/>
      <c r="BT1094" s="1392" t="n"/>
      <c r="BU1094" s="1392" t="n"/>
      <c r="BV1094" s="1392" t="n"/>
      <c r="BW1094" s="1392" t="n"/>
      <c r="BX1094" s="1392" t="n"/>
      <c r="BY1094" s="1392" t="n"/>
      <c r="BZ1094" s="1392" t="n"/>
      <c r="CA1094" s="1392" t="n"/>
      <c r="CB1094" s="1392" t="n"/>
      <c r="CC1094" s="1392" t="n"/>
      <c r="CD1094" s="1392" t="n"/>
      <c r="CE1094" s="1392" t="n"/>
      <c r="CF1094" s="1392" t="n"/>
      <c r="CG1094" s="1392" t="n"/>
      <c r="CH1094" s="1392" t="n"/>
      <c r="CI1094" s="1392" t="n"/>
      <c r="CJ1094" s="1392" t="n"/>
      <c r="CK1094" s="1392" t="n"/>
      <c r="CL1094" s="1392" t="n"/>
    </row>
    <row r="1095">
      <c r="A1095" s="5" t="inlineStr">
        <is>
          <t>.</t>
        </is>
      </c>
      <c r="B1095" s="5" t="inlineStr">
        <is>
          <t>.</t>
        </is>
      </c>
      <c r="C1095" s="1378">
        <f>IF(raw[[#This Row],[city]]="","-",IF(raw[[#This Row],[city]]="TODAY","-",C1094+1))</f>
        <v/>
      </c>
      <c r="D1095" s="1393" t="inlineStr">
        <is>
          <t>SSA</t>
        </is>
      </c>
      <c r="E1095" s="1394" t="n">
        <v>39635</v>
      </c>
      <c r="F1095" s="1394" t="n">
        <v>39661</v>
      </c>
      <c r="G1095" s="1393" t="inlineStr">
        <is>
          <t>-</t>
        </is>
      </c>
      <c r="H1095" s="1393" t="inlineStr">
        <is>
          <t>Summer Flat</t>
        </is>
      </c>
      <c r="I1095" s="1393" t="inlineStr">
        <is>
          <t>-</t>
        </is>
      </c>
      <c r="J1095" s="1393" t="inlineStr">
        <is>
          <t>-</t>
        </is>
      </c>
      <c r="K1095" s="1395">
        <f>IF(raw[[#This Row],[city]]&lt;&gt;"",_xlfn.XLOOKUP($D1095,ccc[city],ccc[prov],"-"),"-")</f>
        <v/>
      </c>
      <c r="L1095" s="1395">
        <f>IF(raw[[#This Row],[city]]&lt;&gt;"",_xlfn.XLOOKUP($D1095,ccc[city],ccc[ctry],"-"),"-")</f>
        <v/>
      </c>
      <c r="M1095" s="1395">
        <f>IF(raw[[#This Row],[city]]&lt;&gt;"",_xlfn.XLOOKUP($D1095,ccc[city],ccc[cont],"-"),"-")</f>
        <v/>
      </c>
      <c r="N1095" s="1396">
        <f>IF(raw[[#This Row],[city]]="","-",IF(raw[[#This Row],[cont]]="B",raw[[#This Row],[cont]],"W"))</f>
        <v/>
      </c>
      <c r="O1095" s="1397">
        <f>IF(raw[[#This Row],[out]]=0,0,IF(raw[[#This Row],[out]]=raw[[#This Row],[in]],0.01,raw[[#This Row],[out]]-raw[[#This Row],[in]]))</f>
        <v/>
      </c>
      <c r="P1095" s="1397">
        <f>IF(raw[[#This Row],[in]]=0,0,MONTH(raw[[#This Row],[in]]))</f>
        <v/>
      </c>
      <c r="Q1095" s="1397">
        <f>IF(raw[[#This Row],[in]]=0,0,YEAR(raw[[#This Row],[in]]))</f>
        <v/>
      </c>
      <c r="R1095" s="1397">
        <f>INT(raw[[#This Row],[yr]]/10)*10</f>
        <v/>
      </c>
      <c r="S1095" s="1395">
        <f>IF(raw[[#This Row],[city]]="","-",IF(raw[[#This Row],[city]]&lt;&gt;_xlfn.XLOOKUP(raw[[#This Row],[home]],homes[home],homes[city],"-"),1,0))</f>
        <v/>
      </c>
      <c r="T1095" s="1398" t="inlineStr">
        <is>
          <t>.</t>
        </is>
      </c>
      <c r="U1095" s="1399">
        <f>IF(raw[[#This Row],[wb]]="w",raw[[#This Row],[stay]]+U1094,U1094)</f>
        <v/>
      </c>
      <c r="V1095" s="1400">
        <f>IF(raw[[#This Row],[out]]=0,V1094,(raw[[#This Row],[out]]-E$5))</f>
        <v/>
      </c>
      <c r="W1095" s="1401">
        <f>U1095/V1095</f>
        <v/>
      </c>
      <c r="X1095" s="1392" t="n"/>
      <c r="Y1095" s="1392" t="n"/>
      <c r="Z1095" s="1392" t="n"/>
      <c r="AA1095" s="1392" t="n"/>
      <c r="AB1095" s="1392" t="n"/>
      <c r="AC1095" s="1392" t="n"/>
      <c r="AD1095" s="1392" t="n"/>
      <c r="AE1095" s="1392" t="n"/>
      <c r="AF1095" s="1392" t="n"/>
      <c r="AG1095" s="1392" t="n"/>
      <c r="AH1095" s="1392" t="n"/>
      <c r="AI1095" s="1392" t="n"/>
      <c r="AJ1095" s="1392" t="n"/>
      <c r="AK1095" s="1392" t="n"/>
      <c r="AL1095" s="1392" t="n"/>
      <c r="AM1095" s="1392" t="n"/>
      <c r="AN1095" s="1392" t="n"/>
      <c r="AO1095" s="1392" t="n"/>
      <c r="AP1095" s="1392" t="n"/>
      <c r="AQ1095" s="1392" t="n"/>
      <c r="AR1095" s="1422" t="n"/>
      <c r="AS1095" s="1422" t="n"/>
      <c r="AT1095" s="1392" t="n"/>
      <c r="AU1095" s="1392" t="n"/>
      <c r="AV1095" s="1392" t="n"/>
      <c r="AW1095" s="1392" t="n"/>
      <c r="AX1095" s="1392" t="n"/>
      <c r="AY1095" s="1392" t="n"/>
      <c r="AZ1095" s="1392" t="n"/>
      <c r="BA1095" s="1422" t="n"/>
      <c r="BB1095" s="1422" t="n"/>
      <c r="BC1095" s="1392" t="n"/>
      <c r="BD1095" s="1392" t="n"/>
      <c r="BE1095" s="1392" t="n"/>
      <c r="BF1095" s="1392" t="n"/>
      <c r="BG1095" s="1392" t="n"/>
      <c r="BH1095" s="1392" t="n"/>
      <c r="BI1095" s="1392" t="n"/>
      <c r="BJ1095" s="1392" t="n"/>
      <c r="BK1095" s="1392" t="n"/>
      <c r="BL1095" s="1392" t="n"/>
      <c r="BM1095" s="1392" t="n"/>
      <c r="BN1095" s="1392" t="n"/>
      <c r="BO1095" s="1392" t="n"/>
      <c r="BP1095" s="1392" t="n"/>
      <c r="BQ1095" s="1392" t="n"/>
      <c r="BR1095" s="1392" t="n"/>
      <c r="BS1095" s="1392" t="n"/>
      <c r="BT1095" s="1392" t="n"/>
      <c r="BU1095" s="1392" t="n"/>
      <c r="BV1095" s="1392" t="n"/>
      <c r="BW1095" s="1392" t="n"/>
      <c r="BX1095" s="1392" t="n"/>
      <c r="BY1095" s="1392" t="n"/>
      <c r="BZ1095" s="1392" t="n"/>
      <c r="CA1095" s="1392" t="n"/>
      <c r="CB1095" s="1392" t="n"/>
      <c r="CC1095" s="1392" t="n"/>
      <c r="CD1095" s="1392" t="n"/>
      <c r="CE1095" s="1392" t="n"/>
      <c r="CF1095" s="1392" t="n"/>
      <c r="CG1095" s="1392" t="n"/>
      <c r="CH1095" s="1392" t="n"/>
      <c r="CI1095" s="1392" t="n"/>
      <c r="CJ1095" s="1392" t="n"/>
      <c r="CK1095" s="1392" t="n"/>
      <c r="CL1095" s="1392" t="n"/>
    </row>
    <row r="1096">
      <c r="A1096" s="5" t="inlineStr">
        <is>
          <t>.</t>
        </is>
      </c>
      <c r="B1096" s="5" t="inlineStr">
        <is>
          <t>.</t>
        </is>
      </c>
      <c r="C1096" s="1378">
        <f>IF(raw[[#This Row],[city]]="","-",IF(raw[[#This Row],[city]]="TODAY","-",C1095+1))</f>
        <v/>
      </c>
      <c r="D1096" s="1393" t="inlineStr">
        <is>
          <t>SSA</t>
        </is>
      </c>
      <c r="E1096" s="1394" t="n">
        <v>39661</v>
      </c>
      <c r="F1096" s="1394" t="n">
        <v>39671</v>
      </c>
      <c r="G1096" s="1393" t="n">
        <v>1</v>
      </c>
      <c r="H1096" s="1393" t="inlineStr">
        <is>
          <t>Summer Flat</t>
        </is>
      </c>
      <c r="I1096" s="1393" t="inlineStr">
        <is>
          <t>-</t>
        </is>
      </c>
      <c r="J1096" s="1393" t="inlineStr">
        <is>
          <t>-</t>
        </is>
      </c>
      <c r="K1096" s="1395">
        <f>IF(raw[[#This Row],[city]]&lt;&gt;"",_xlfn.XLOOKUP($D1096,ccc[city],ccc[prov],"-"),"-")</f>
        <v/>
      </c>
      <c r="L1096" s="1395">
        <f>IF(raw[[#This Row],[city]]&lt;&gt;"",_xlfn.XLOOKUP($D1096,ccc[city],ccc[ctry],"-"),"-")</f>
        <v/>
      </c>
      <c r="M1096" s="1395">
        <f>IF(raw[[#This Row],[city]]&lt;&gt;"",_xlfn.XLOOKUP($D1096,ccc[city],ccc[cont],"-"),"-")</f>
        <v/>
      </c>
      <c r="N1096" s="1396">
        <f>IF(raw[[#This Row],[city]]="","-",IF(raw[[#This Row],[cont]]="B",raw[[#This Row],[cont]],"W"))</f>
        <v/>
      </c>
      <c r="O1096" s="1397">
        <f>IF(raw[[#This Row],[out]]=0,0,IF(raw[[#This Row],[out]]=raw[[#This Row],[in]],0.01,raw[[#This Row],[out]]-raw[[#This Row],[in]]))</f>
        <v/>
      </c>
      <c r="P1096" s="1397">
        <f>IF(raw[[#This Row],[in]]=0,0,MONTH(raw[[#This Row],[in]]))</f>
        <v/>
      </c>
      <c r="Q1096" s="1397">
        <f>IF(raw[[#This Row],[in]]=0,0,YEAR(raw[[#This Row],[in]]))</f>
        <v/>
      </c>
      <c r="R1096" s="1397">
        <f>INT(raw[[#This Row],[yr]]/10)*10</f>
        <v/>
      </c>
      <c r="S1096" s="1395">
        <f>IF(raw[[#This Row],[city]]="","-",IF(raw[[#This Row],[city]]&lt;&gt;_xlfn.XLOOKUP(raw[[#This Row],[home]],homes[home],homes[city],"-"),1,0))</f>
        <v/>
      </c>
      <c r="T1096" s="1398" t="inlineStr">
        <is>
          <t>.</t>
        </is>
      </c>
      <c r="U1096" s="1399">
        <f>IF(raw[[#This Row],[wb]]="w",raw[[#This Row],[stay]]+U1095,U1095)</f>
        <v/>
      </c>
      <c r="V1096" s="1400">
        <f>IF(raw[[#This Row],[out]]=0,V1095,(raw[[#This Row],[out]]-E$5))</f>
        <v/>
      </c>
      <c r="W1096" s="1401">
        <f>U1096/V1096</f>
        <v/>
      </c>
      <c r="X1096" s="1392" t="n"/>
      <c r="Y1096" s="1392" t="n"/>
      <c r="Z1096" s="1392" t="n"/>
      <c r="AA1096" s="1392" t="n"/>
      <c r="AB1096" s="1392" t="n"/>
      <c r="AC1096" s="1392" t="n"/>
      <c r="AD1096" s="1392" t="n"/>
      <c r="AE1096" s="1392" t="n"/>
      <c r="AF1096" s="1392" t="n"/>
      <c r="AG1096" s="1392" t="n"/>
      <c r="AH1096" s="1392" t="n"/>
      <c r="AI1096" s="1392" t="n"/>
      <c r="AJ1096" s="1392" t="n"/>
      <c r="AK1096" s="1392" t="n"/>
      <c r="AL1096" s="1392" t="n"/>
      <c r="AM1096" s="1392" t="n"/>
      <c r="AN1096" s="1392" t="n"/>
      <c r="AO1096" s="1392" t="n"/>
      <c r="AP1096" s="1392" t="n"/>
      <c r="AQ1096" s="1392" t="n"/>
      <c r="AR1096" s="1422" t="n"/>
      <c r="AS1096" s="1422" t="n"/>
      <c r="AT1096" s="1392" t="n"/>
      <c r="AU1096" s="1392" t="n"/>
      <c r="AV1096" s="1392" t="n"/>
      <c r="AW1096" s="1392" t="n"/>
      <c r="AX1096" s="1392" t="n"/>
      <c r="AY1096" s="1392" t="n"/>
      <c r="AZ1096" s="1392" t="n"/>
      <c r="BA1096" s="1422" t="n"/>
      <c r="BB1096" s="1422" t="n"/>
      <c r="BC1096" s="1392" t="n"/>
      <c r="BD1096" s="1392" t="n"/>
      <c r="BE1096" s="1392" t="n"/>
      <c r="BF1096" s="1392" t="n"/>
      <c r="BG1096" s="1392" t="n"/>
      <c r="BH1096" s="1392" t="n"/>
      <c r="BI1096" s="1392" t="n"/>
      <c r="BJ1096" s="1392" t="n"/>
      <c r="BK1096" s="1392" t="n"/>
      <c r="BL1096" s="1392" t="n"/>
      <c r="BM1096" s="1392" t="n"/>
      <c r="BN1096" s="1392" t="n"/>
      <c r="BO1096" s="1392" t="n"/>
      <c r="BP1096" s="1392" t="n"/>
      <c r="BQ1096" s="1392" t="n"/>
      <c r="BR1096" s="1392" t="n"/>
      <c r="BS1096" s="1392" t="n"/>
      <c r="BT1096" s="1392" t="n"/>
      <c r="BU1096" s="1392" t="n"/>
      <c r="BV1096" s="1392" t="n"/>
      <c r="BW1096" s="1392" t="n"/>
      <c r="BX1096" s="1392" t="n"/>
      <c r="BY1096" s="1392" t="n"/>
      <c r="BZ1096" s="1392" t="n"/>
      <c r="CA1096" s="1392" t="n"/>
      <c r="CB1096" s="1392" t="n"/>
      <c r="CC1096" s="1392" t="n"/>
      <c r="CD1096" s="1392" t="n"/>
      <c r="CE1096" s="1392" t="n"/>
      <c r="CF1096" s="1392" t="n"/>
      <c r="CG1096" s="1392" t="n"/>
      <c r="CH1096" s="1392" t="n"/>
      <c r="CI1096" s="1392" t="n"/>
      <c r="CJ1096" s="1392" t="n"/>
      <c r="CK1096" s="1392" t="n"/>
      <c r="CL1096" s="1392" t="n"/>
    </row>
    <row r="1097">
      <c r="A1097" s="5" t="inlineStr">
        <is>
          <t>.</t>
        </is>
      </c>
      <c r="B1097" s="5" t="inlineStr">
        <is>
          <t>.</t>
        </is>
      </c>
      <c r="C1097" s="1378">
        <f>IF(raw[[#This Row],[city]]="","-",IF(raw[[#This Row],[city]]="TODAY","-",C1096+1))</f>
        <v/>
      </c>
      <c r="D1097" s="1393" t="inlineStr">
        <is>
          <t>SP</t>
        </is>
      </c>
      <c r="E1097" s="1394" t="n">
        <v>39671</v>
      </c>
      <c r="F1097" s="1394" t="n">
        <v>39675</v>
      </c>
      <c r="G1097" s="1393" t="n">
        <v>1</v>
      </c>
      <c r="H1097" s="1393" t="inlineStr">
        <is>
          <t>Summer Flat</t>
        </is>
      </c>
      <c r="I1097" s="1393" t="inlineStr">
        <is>
          <t>Salto Grande</t>
        </is>
      </c>
      <c r="J1097" s="1393" t="inlineStr">
        <is>
          <t>-</t>
        </is>
      </c>
      <c r="K1097" s="1395">
        <f>IF(raw[[#This Row],[city]]&lt;&gt;"",_xlfn.XLOOKUP($D1097,ccc[city],ccc[prov],"-"),"-")</f>
        <v/>
      </c>
      <c r="L1097" s="1395">
        <f>IF(raw[[#This Row],[city]]&lt;&gt;"",_xlfn.XLOOKUP($D1097,ccc[city],ccc[ctry],"-"),"-")</f>
        <v/>
      </c>
      <c r="M1097" s="1395">
        <f>IF(raw[[#This Row],[city]]&lt;&gt;"",_xlfn.XLOOKUP($D1097,ccc[city],ccc[cont],"-"),"-")</f>
        <v/>
      </c>
      <c r="N1097" s="1396">
        <f>IF(raw[[#This Row],[city]]="","-",IF(raw[[#This Row],[cont]]="B",raw[[#This Row],[cont]],"W"))</f>
        <v/>
      </c>
      <c r="O1097" s="1397">
        <f>IF(raw[[#This Row],[out]]=0,0,IF(raw[[#This Row],[out]]=raw[[#This Row],[in]],0.01,raw[[#This Row],[out]]-raw[[#This Row],[in]]))</f>
        <v/>
      </c>
      <c r="P1097" s="1397">
        <f>IF(raw[[#This Row],[in]]=0,0,MONTH(raw[[#This Row],[in]]))</f>
        <v/>
      </c>
      <c r="Q1097" s="1397">
        <f>IF(raw[[#This Row],[in]]=0,0,YEAR(raw[[#This Row],[in]]))</f>
        <v/>
      </c>
      <c r="R1097" s="1397">
        <f>INT(raw[[#This Row],[yr]]/10)*10</f>
        <v/>
      </c>
      <c r="S1097" s="1395">
        <f>IF(raw[[#This Row],[city]]="","-",IF(raw[[#This Row],[city]]&lt;&gt;_xlfn.XLOOKUP(raw[[#This Row],[home]],homes[home],homes[city],"-"),1,0))</f>
        <v/>
      </c>
      <c r="T1097" s="1398" t="inlineStr">
        <is>
          <t>.</t>
        </is>
      </c>
      <c r="U1097" s="1399">
        <f>IF(raw[[#This Row],[wb]]="w",raw[[#This Row],[stay]]+U1096,U1096)</f>
        <v/>
      </c>
      <c r="V1097" s="1400">
        <f>IF(raw[[#This Row],[out]]=0,V1096,(raw[[#This Row],[out]]-E$5))</f>
        <v/>
      </c>
      <c r="W1097" s="1401">
        <f>U1097/V1097</f>
        <v/>
      </c>
      <c r="X1097" s="1392" t="n"/>
      <c r="Y1097" s="1392" t="n"/>
      <c r="Z1097" s="1392" t="n"/>
      <c r="AA1097" s="1392" t="n"/>
      <c r="AB1097" s="1392" t="n"/>
      <c r="AC1097" s="1392" t="n"/>
      <c r="AD1097" s="1392" t="n"/>
      <c r="AE1097" s="1392" t="n"/>
      <c r="AF1097" s="1392" t="n"/>
      <c r="AG1097" s="1392" t="n"/>
      <c r="AH1097" s="1392" t="n"/>
      <c r="AI1097" s="1392" t="n"/>
      <c r="AJ1097" s="1392" t="n"/>
      <c r="AK1097" s="1392" t="n"/>
      <c r="AL1097" s="1392" t="n"/>
      <c r="AM1097" s="1392" t="n"/>
      <c r="AN1097" s="1392" t="n"/>
      <c r="AO1097" s="1392" t="n"/>
      <c r="AP1097" s="1392" t="n"/>
      <c r="AQ1097" s="1392" t="n"/>
      <c r="AR1097" s="1422" t="n"/>
      <c r="AS1097" s="1422" t="n"/>
      <c r="AT1097" s="1392" t="n"/>
      <c r="AU1097" s="1392" t="n"/>
      <c r="AV1097" s="1392" t="n"/>
      <c r="AW1097" s="1392" t="n"/>
      <c r="AX1097" s="1392" t="n"/>
      <c r="AY1097" s="1392" t="n"/>
      <c r="AZ1097" s="1392" t="n"/>
      <c r="BA1097" s="1422" t="n"/>
      <c r="BB1097" s="1422" t="n"/>
      <c r="BC1097" s="1392" t="n"/>
      <c r="BD1097" s="1392" t="n"/>
      <c r="BE1097" s="1392" t="n"/>
      <c r="BF1097" s="1392" t="n"/>
      <c r="BG1097" s="1392" t="n"/>
      <c r="BH1097" s="1392" t="n"/>
      <c r="BI1097" s="1392" t="n"/>
      <c r="BJ1097" s="1392" t="n"/>
      <c r="BK1097" s="1392" t="n"/>
      <c r="BL1097" s="1392" t="n"/>
      <c r="BM1097" s="1392" t="n"/>
      <c r="BN1097" s="1392" t="n"/>
      <c r="BO1097" s="1392" t="n"/>
      <c r="BP1097" s="1392" t="n"/>
      <c r="BQ1097" s="1392" t="n"/>
      <c r="BR1097" s="1392" t="n"/>
      <c r="BS1097" s="1392" t="n"/>
      <c r="BT1097" s="1392" t="n"/>
      <c r="BU1097" s="1392" t="n"/>
      <c r="BV1097" s="1392" t="n"/>
      <c r="BW1097" s="1392" t="n"/>
      <c r="BX1097" s="1392" t="n"/>
      <c r="BY1097" s="1392" t="n"/>
      <c r="BZ1097" s="1392" t="n"/>
      <c r="CA1097" s="1392" t="n"/>
      <c r="CB1097" s="1392" t="n"/>
      <c r="CC1097" s="1392" t="n"/>
      <c r="CD1097" s="1392" t="n"/>
      <c r="CE1097" s="1392" t="n"/>
      <c r="CF1097" s="1392" t="n"/>
      <c r="CG1097" s="1392" t="n"/>
      <c r="CH1097" s="1392" t="n"/>
      <c r="CI1097" s="1392" t="n"/>
      <c r="CJ1097" s="1392" t="n"/>
      <c r="CK1097" s="1392" t="n"/>
      <c r="CL1097" s="1392" t="n"/>
    </row>
    <row r="1098">
      <c r="A1098" s="5" t="inlineStr">
        <is>
          <t>.</t>
        </is>
      </c>
      <c r="B1098" s="5" t="inlineStr">
        <is>
          <t>.</t>
        </is>
      </c>
      <c r="C1098" s="1378">
        <f>IF(raw[[#This Row],[city]]="","-",IF(raw[[#This Row],[city]]="TODAY","-",C1097+1))</f>
        <v/>
      </c>
      <c r="D1098" s="1393" t="inlineStr">
        <is>
          <t>SSA</t>
        </is>
      </c>
      <c r="E1098" s="1394" t="n">
        <v>39675</v>
      </c>
      <c r="F1098" s="1394" t="n">
        <v>39692</v>
      </c>
      <c r="G1098" s="1393" t="inlineStr">
        <is>
          <t>-</t>
        </is>
      </c>
      <c r="H1098" s="1393" t="inlineStr">
        <is>
          <t>Summer Flat</t>
        </is>
      </c>
      <c r="I1098" s="1393" t="inlineStr">
        <is>
          <t>-</t>
        </is>
      </c>
      <c r="J1098" s="1393" t="inlineStr">
        <is>
          <t>BDAY</t>
        </is>
      </c>
      <c r="K1098" s="1395">
        <f>IF(raw[[#This Row],[city]]&lt;&gt;"",_xlfn.XLOOKUP($D1098,ccc[city],ccc[prov],"-"),"-")</f>
        <v/>
      </c>
      <c r="L1098" s="1395">
        <f>IF(raw[[#This Row],[city]]&lt;&gt;"",_xlfn.XLOOKUP($D1098,ccc[city],ccc[ctry],"-"),"-")</f>
        <v/>
      </c>
      <c r="M1098" s="1395">
        <f>IF(raw[[#This Row],[city]]&lt;&gt;"",_xlfn.XLOOKUP($D1098,ccc[city],ccc[cont],"-"),"-")</f>
        <v/>
      </c>
      <c r="N1098" s="1396">
        <f>IF(raw[[#This Row],[city]]="","-",IF(raw[[#This Row],[cont]]="B",raw[[#This Row],[cont]],"W"))</f>
        <v/>
      </c>
      <c r="O1098" s="1397">
        <f>IF(raw[[#This Row],[out]]=0,0,IF(raw[[#This Row],[out]]=raw[[#This Row],[in]],0.01,raw[[#This Row],[out]]-raw[[#This Row],[in]]))</f>
        <v/>
      </c>
      <c r="P1098" s="1397">
        <f>IF(raw[[#This Row],[in]]=0,0,MONTH(raw[[#This Row],[in]]))</f>
        <v/>
      </c>
      <c r="Q1098" s="1397">
        <f>IF(raw[[#This Row],[in]]=0,0,YEAR(raw[[#This Row],[in]]))</f>
        <v/>
      </c>
      <c r="R1098" s="1397">
        <f>INT(raw[[#This Row],[yr]]/10)*10</f>
        <v/>
      </c>
      <c r="S1098" s="1395">
        <f>IF(raw[[#This Row],[city]]="","-",IF(raw[[#This Row],[city]]&lt;&gt;_xlfn.XLOOKUP(raw[[#This Row],[home]],homes[home],homes[city],"-"),1,0))</f>
        <v/>
      </c>
      <c r="T1098" s="1398" t="inlineStr">
        <is>
          <t>.</t>
        </is>
      </c>
      <c r="U1098" s="1399">
        <f>IF(raw[[#This Row],[wb]]="w",raw[[#This Row],[stay]]+U1097,U1097)</f>
        <v/>
      </c>
      <c r="V1098" s="1400">
        <f>IF(raw[[#This Row],[out]]=0,V1097,(raw[[#This Row],[out]]-E$5))</f>
        <v/>
      </c>
      <c r="W1098" s="1401">
        <f>U1098/V1098</f>
        <v/>
      </c>
      <c r="X1098" s="1392" t="n"/>
      <c r="Y1098" s="1392" t="n"/>
      <c r="Z1098" s="1392" t="n"/>
      <c r="AA1098" s="1392" t="n"/>
      <c r="AB1098" s="1392" t="n"/>
      <c r="AC1098" s="1392" t="n"/>
      <c r="AD1098" s="1392" t="n"/>
      <c r="AE1098" s="1392" t="n"/>
      <c r="AF1098" s="1392" t="n"/>
      <c r="AG1098" s="1392" t="n"/>
      <c r="AH1098" s="1392" t="n"/>
      <c r="AI1098" s="1392" t="n"/>
      <c r="AJ1098" s="1392" t="n"/>
      <c r="AK1098" s="1392" t="n"/>
      <c r="AL1098" s="1392" t="n"/>
      <c r="AM1098" s="1392" t="n"/>
      <c r="AN1098" s="1392" t="n"/>
      <c r="AO1098" s="1392" t="n"/>
      <c r="AP1098" s="1392" t="n"/>
      <c r="AQ1098" s="1392" t="n"/>
      <c r="AR1098" s="1422" t="n"/>
      <c r="AS1098" s="1422" t="n"/>
      <c r="AT1098" s="1392" t="n"/>
      <c r="AU1098" s="1392" t="n"/>
      <c r="AV1098" s="1392" t="n"/>
      <c r="AW1098" s="1392" t="n"/>
      <c r="AX1098" s="1392" t="n"/>
      <c r="AY1098" s="1392" t="n"/>
      <c r="AZ1098" s="1392" t="n"/>
      <c r="BA1098" s="1422" t="n"/>
      <c r="BB1098" s="1422" t="n"/>
      <c r="BC1098" s="1392" t="n"/>
      <c r="BD1098" s="1392" t="n"/>
      <c r="BE1098" s="1392" t="n"/>
      <c r="BF1098" s="1392" t="n"/>
      <c r="BG1098" s="1392" t="n"/>
      <c r="BH1098" s="1392" t="n"/>
      <c r="BI1098" s="1392" t="n"/>
      <c r="BJ1098" s="1392" t="n"/>
      <c r="BK1098" s="1392" t="n"/>
      <c r="BL1098" s="1392" t="n"/>
      <c r="BM1098" s="1392" t="n"/>
      <c r="BN1098" s="1392" t="n"/>
      <c r="BO1098" s="1392" t="n"/>
      <c r="BP1098" s="1392" t="n"/>
      <c r="BQ1098" s="1392" t="n"/>
      <c r="BR1098" s="1392" t="n"/>
      <c r="BS1098" s="1392" t="n"/>
      <c r="BT1098" s="1392" t="n"/>
      <c r="BU1098" s="1392" t="n"/>
      <c r="BV1098" s="1392" t="n"/>
      <c r="BW1098" s="1392" t="n"/>
      <c r="BX1098" s="1392" t="n"/>
      <c r="BY1098" s="1392" t="n"/>
      <c r="BZ1098" s="1392" t="n"/>
      <c r="CA1098" s="1392" t="n"/>
      <c r="CB1098" s="1392" t="n"/>
      <c r="CC1098" s="1392" t="n"/>
      <c r="CD1098" s="1392" t="n"/>
      <c r="CE1098" s="1392" t="n"/>
      <c r="CF1098" s="1392" t="n"/>
      <c r="CG1098" s="1392" t="n"/>
      <c r="CH1098" s="1392" t="n"/>
      <c r="CI1098" s="1392" t="n"/>
      <c r="CJ1098" s="1392" t="n"/>
      <c r="CK1098" s="1392" t="n"/>
      <c r="CL1098" s="1392" t="n"/>
    </row>
    <row r="1099">
      <c r="A1099" s="5" t="inlineStr">
        <is>
          <t>.</t>
        </is>
      </c>
      <c r="B1099" s="5" t="inlineStr">
        <is>
          <t>.</t>
        </is>
      </c>
      <c r="C1099" s="1378">
        <f>IF(raw[[#This Row],[city]]="","-",IF(raw[[#This Row],[city]]="TODAY","-",C1098+1))</f>
        <v/>
      </c>
      <c r="D1099" s="1393" t="inlineStr">
        <is>
          <t>SSA</t>
        </is>
      </c>
      <c r="E1099" s="1394" t="n">
        <v>39692</v>
      </c>
      <c r="F1099" s="1394" t="n">
        <v>39709</v>
      </c>
      <c r="G1099" s="1393" t="n">
        <v>1</v>
      </c>
      <c r="H1099" s="1393" t="inlineStr">
        <is>
          <t>Summer Flat</t>
        </is>
      </c>
      <c r="I1099" s="1393" t="inlineStr">
        <is>
          <t>-</t>
        </is>
      </c>
      <c r="J1099" s="1393" t="inlineStr">
        <is>
          <t>-</t>
        </is>
      </c>
      <c r="K1099" s="1395">
        <f>IF(raw[[#This Row],[city]]&lt;&gt;"",_xlfn.XLOOKUP($D1099,ccc[city],ccc[prov],"-"),"-")</f>
        <v/>
      </c>
      <c r="L1099" s="1395">
        <f>IF(raw[[#This Row],[city]]&lt;&gt;"",_xlfn.XLOOKUP($D1099,ccc[city],ccc[ctry],"-"),"-")</f>
        <v/>
      </c>
      <c r="M1099" s="1395">
        <f>IF(raw[[#This Row],[city]]&lt;&gt;"",_xlfn.XLOOKUP($D1099,ccc[city],ccc[cont],"-"),"-")</f>
        <v/>
      </c>
      <c r="N1099" s="1396">
        <f>IF(raw[[#This Row],[city]]="","-",IF(raw[[#This Row],[cont]]="B",raw[[#This Row],[cont]],"W"))</f>
        <v/>
      </c>
      <c r="O1099" s="1397">
        <f>IF(raw[[#This Row],[out]]=0,0,IF(raw[[#This Row],[out]]=raw[[#This Row],[in]],0.01,raw[[#This Row],[out]]-raw[[#This Row],[in]]))</f>
        <v/>
      </c>
      <c r="P1099" s="1397">
        <f>IF(raw[[#This Row],[in]]=0,0,MONTH(raw[[#This Row],[in]]))</f>
        <v/>
      </c>
      <c r="Q1099" s="1397">
        <f>IF(raw[[#This Row],[in]]=0,0,YEAR(raw[[#This Row],[in]]))</f>
        <v/>
      </c>
      <c r="R1099" s="1397">
        <f>INT(raw[[#This Row],[yr]]/10)*10</f>
        <v/>
      </c>
      <c r="S1099" s="1395">
        <f>IF(raw[[#This Row],[city]]="","-",IF(raw[[#This Row],[city]]&lt;&gt;_xlfn.XLOOKUP(raw[[#This Row],[home]],homes[home],homes[city],"-"),1,0))</f>
        <v/>
      </c>
      <c r="T1099" s="1398" t="inlineStr">
        <is>
          <t>.</t>
        </is>
      </c>
      <c r="U1099" s="1399">
        <f>IF(raw[[#This Row],[wb]]="w",raw[[#This Row],[stay]]+U1098,U1098)</f>
        <v/>
      </c>
      <c r="V1099" s="1400">
        <f>IF(raw[[#This Row],[out]]=0,V1098,(raw[[#This Row],[out]]-E$5))</f>
        <v/>
      </c>
      <c r="W1099" s="1401">
        <f>U1099/V1099</f>
        <v/>
      </c>
      <c r="X1099" s="1392" t="n"/>
      <c r="Y1099" s="1392" t="n"/>
      <c r="Z1099" s="1392" t="n"/>
      <c r="AA1099" s="1392" t="n"/>
      <c r="AB1099" s="1392" t="n"/>
      <c r="AC1099" s="1392" t="n"/>
      <c r="AD1099" s="1392" t="n"/>
      <c r="AE1099" s="1392" t="n"/>
      <c r="AF1099" s="1392" t="n"/>
      <c r="AG1099" s="1392" t="n"/>
      <c r="AH1099" s="1392" t="n"/>
      <c r="AI1099" s="1392" t="n"/>
      <c r="AJ1099" s="1392" t="n"/>
      <c r="AK1099" s="1392" t="n"/>
      <c r="AL1099" s="1392" t="n"/>
      <c r="AM1099" s="1392" t="n"/>
      <c r="AN1099" s="1392" t="n"/>
      <c r="AO1099" s="1392" t="n"/>
      <c r="AP1099" s="1392" t="n"/>
      <c r="AQ1099" s="1392" t="n"/>
      <c r="AR1099" s="1422" t="n"/>
      <c r="AS1099" s="1422" t="n"/>
      <c r="AT1099" s="1392" t="n"/>
      <c r="AU1099" s="1392" t="n"/>
      <c r="AV1099" s="1392" t="n"/>
      <c r="AW1099" s="1392" t="n"/>
      <c r="AX1099" s="1392" t="n"/>
      <c r="AY1099" s="1392" t="n"/>
      <c r="AZ1099" s="1392" t="n"/>
      <c r="BA1099" s="1422" t="n"/>
      <c r="BB1099" s="1422" t="n"/>
      <c r="BC1099" s="1392" t="n"/>
      <c r="BD1099" s="1392" t="n"/>
      <c r="BE1099" s="1392" t="n"/>
      <c r="BF1099" s="1392" t="n"/>
      <c r="BG1099" s="1392" t="n"/>
      <c r="BH1099" s="1392" t="n"/>
      <c r="BI1099" s="1392" t="n"/>
      <c r="BJ1099" s="1392" t="n"/>
      <c r="BK1099" s="1392" t="n"/>
      <c r="BL1099" s="1392" t="n"/>
      <c r="BM1099" s="1392" t="n"/>
      <c r="BN1099" s="1392" t="n"/>
      <c r="BO1099" s="1392" t="n"/>
      <c r="BP1099" s="1392" t="n"/>
      <c r="BQ1099" s="1392" t="n"/>
      <c r="BR1099" s="1392" t="n"/>
      <c r="BS1099" s="1392" t="n"/>
      <c r="BT1099" s="1392" t="n"/>
      <c r="BU1099" s="1392" t="n"/>
      <c r="BV1099" s="1392" t="n"/>
      <c r="BW1099" s="1392" t="n"/>
      <c r="BX1099" s="1392" t="n"/>
      <c r="BY1099" s="1392" t="n"/>
      <c r="BZ1099" s="1392" t="n"/>
      <c r="CA1099" s="1392" t="n"/>
      <c r="CB1099" s="1392" t="n"/>
      <c r="CC1099" s="1392" t="n"/>
      <c r="CD1099" s="1392" t="n"/>
      <c r="CE1099" s="1392" t="n"/>
      <c r="CF1099" s="1392" t="n"/>
      <c r="CG1099" s="1392" t="n"/>
      <c r="CH1099" s="1392" t="n"/>
      <c r="CI1099" s="1392" t="n"/>
      <c r="CJ1099" s="1392" t="n"/>
      <c r="CK1099" s="1392" t="n"/>
      <c r="CL1099" s="1392" t="n"/>
    </row>
    <row r="1100">
      <c r="A1100" s="5" t="inlineStr">
        <is>
          <t>.</t>
        </is>
      </c>
      <c r="B1100" s="5" t="inlineStr">
        <is>
          <t>.</t>
        </is>
      </c>
      <c r="C1100" s="1378">
        <f>IF(raw[[#This Row],[city]]="","-",IF(raw[[#This Row],[city]]="TODAY","-",C1099+1))</f>
        <v/>
      </c>
      <c r="D1100" s="1393" t="inlineStr">
        <is>
          <t>SP</t>
        </is>
      </c>
      <c r="E1100" s="1394" t="n">
        <v>39709</v>
      </c>
      <c r="F1100" s="1394" t="n">
        <v>39709</v>
      </c>
      <c r="G1100" s="1393" t="n">
        <v>0.01</v>
      </c>
      <c r="H1100" s="1393" t="inlineStr">
        <is>
          <t>Summer Flat</t>
        </is>
      </c>
      <c r="I1100" s="1393" t="inlineStr">
        <is>
          <t>-</t>
        </is>
      </c>
      <c r="J1100" s="1393" t="inlineStr">
        <is>
          <t>-</t>
        </is>
      </c>
      <c r="K1100" s="1395">
        <f>IF(raw[[#This Row],[city]]&lt;&gt;"",_xlfn.XLOOKUP($D1100,ccc[city],ccc[prov],"-"),"-")</f>
        <v/>
      </c>
      <c r="L1100" s="1395">
        <f>IF(raw[[#This Row],[city]]&lt;&gt;"",_xlfn.XLOOKUP($D1100,ccc[city],ccc[ctry],"-"),"-")</f>
        <v/>
      </c>
      <c r="M1100" s="1395">
        <f>IF(raw[[#This Row],[city]]&lt;&gt;"",_xlfn.XLOOKUP($D1100,ccc[city],ccc[cont],"-"),"-")</f>
        <v/>
      </c>
      <c r="N1100" s="1396">
        <f>IF(raw[[#This Row],[city]]="","-",IF(raw[[#This Row],[cont]]="B",raw[[#This Row],[cont]],"W"))</f>
        <v/>
      </c>
      <c r="O1100" s="1397">
        <f>IF(raw[[#This Row],[out]]=0,0,IF(raw[[#This Row],[out]]=raw[[#This Row],[in]],0.01,raw[[#This Row],[out]]-raw[[#This Row],[in]]))</f>
        <v/>
      </c>
      <c r="P1100" s="1397">
        <f>IF(raw[[#This Row],[in]]=0,0,MONTH(raw[[#This Row],[in]]))</f>
        <v/>
      </c>
      <c r="Q1100" s="1397">
        <f>IF(raw[[#This Row],[in]]=0,0,YEAR(raw[[#This Row],[in]]))</f>
        <v/>
      </c>
      <c r="R1100" s="1397">
        <f>INT(raw[[#This Row],[yr]]/10)*10</f>
        <v/>
      </c>
      <c r="S1100" s="1395">
        <f>IF(raw[[#This Row],[city]]="","-",IF(raw[[#This Row],[city]]&lt;&gt;_xlfn.XLOOKUP(raw[[#This Row],[home]],homes[home],homes[city],"-"),1,0))</f>
        <v/>
      </c>
      <c r="T1100" s="1398" t="inlineStr">
        <is>
          <t>.</t>
        </is>
      </c>
      <c r="U1100" s="1399">
        <f>IF(raw[[#This Row],[wb]]="w",raw[[#This Row],[stay]]+U1099,U1099)</f>
        <v/>
      </c>
      <c r="V1100" s="1400">
        <f>IF(raw[[#This Row],[out]]=0,V1099,(raw[[#This Row],[out]]-E$5))</f>
        <v/>
      </c>
      <c r="W1100" s="1401">
        <f>U1100/V1100</f>
        <v/>
      </c>
      <c r="X1100" s="1392" t="n"/>
      <c r="Y1100" s="1392" t="n"/>
      <c r="Z1100" s="1392" t="n"/>
      <c r="AA1100" s="1392" t="n"/>
      <c r="AB1100" s="1392" t="n"/>
      <c r="AC1100" s="1392" t="n"/>
      <c r="AD1100" s="1392" t="n"/>
      <c r="AE1100" s="1392" t="n"/>
      <c r="AF1100" s="1392" t="n"/>
      <c r="AG1100" s="1392" t="n"/>
      <c r="AH1100" s="1392" t="n"/>
      <c r="AI1100" s="1392" t="n"/>
      <c r="AJ1100" s="1392" t="n"/>
      <c r="AK1100" s="1392" t="n"/>
      <c r="AL1100" s="1392" t="n"/>
      <c r="AM1100" s="1392" t="n"/>
      <c r="AN1100" s="1392" t="n"/>
      <c r="AO1100" s="1392" t="n"/>
      <c r="AP1100" s="1392" t="n"/>
      <c r="AQ1100" s="1392" t="n"/>
      <c r="AR1100" s="1422" t="n"/>
      <c r="AS1100" s="1422" t="n"/>
      <c r="AT1100" s="1392" t="n"/>
      <c r="AU1100" s="1392" t="n"/>
      <c r="AV1100" s="1392" t="n"/>
      <c r="AW1100" s="1392" t="n"/>
      <c r="AX1100" s="1392" t="n"/>
      <c r="AY1100" s="1392" t="n"/>
      <c r="AZ1100" s="1392" t="n"/>
      <c r="BA1100" s="1422" t="n"/>
      <c r="BB1100" s="1422" t="n"/>
      <c r="BC1100" s="1392" t="n"/>
      <c r="BD1100" s="1392" t="n"/>
      <c r="BE1100" s="1392" t="n"/>
      <c r="BF1100" s="1392" t="n"/>
      <c r="BG1100" s="1392" t="n"/>
      <c r="BH1100" s="1392" t="n"/>
      <c r="BI1100" s="1392" t="n"/>
      <c r="BJ1100" s="1392" t="n"/>
      <c r="BK1100" s="1392" t="n"/>
      <c r="BL1100" s="1392" t="n"/>
      <c r="BM1100" s="1392" t="n"/>
      <c r="BN1100" s="1392" t="n"/>
      <c r="BO1100" s="1392" t="n"/>
      <c r="BP1100" s="1392" t="n"/>
      <c r="BQ1100" s="1392" t="n"/>
      <c r="BR1100" s="1392" t="n"/>
      <c r="BS1100" s="1392" t="n"/>
      <c r="BT1100" s="1392" t="n"/>
      <c r="BU1100" s="1392" t="n"/>
      <c r="BV1100" s="1392" t="n"/>
      <c r="BW1100" s="1392" t="n"/>
      <c r="BX1100" s="1392" t="n"/>
      <c r="BY1100" s="1392" t="n"/>
      <c r="BZ1100" s="1392" t="n"/>
      <c r="CA1100" s="1392" t="n"/>
      <c r="CB1100" s="1392" t="n"/>
      <c r="CC1100" s="1392" t="n"/>
      <c r="CD1100" s="1392" t="n"/>
      <c r="CE1100" s="1392" t="n"/>
      <c r="CF1100" s="1392" t="n"/>
      <c r="CG1100" s="1392" t="n"/>
      <c r="CH1100" s="1392" t="n"/>
      <c r="CI1100" s="1392" t="n"/>
      <c r="CJ1100" s="1392" t="n"/>
      <c r="CK1100" s="1392" t="n"/>
      <c r="CL1100" s="1392" t="n"/>
    </row>
    <row r="1101">
      <c r="A1101" s="5" t="inlineStr">
        <is>
          <t>.</t>
        </is>
      </c>
      <c r="B1101" s="5" t="inlineStr">
        <is>
          <t>.</t>
        </is>
      </c>
      <c r="C1101" s="1378">
        <f>IF(raw[[#This Row],[city]]="","-",IF(raw[[#This Row],[city]]="TODAY","-",C1100+1))</f>
        <v/>
      </c>
      <c r="D1101" s="1393" t="inlineStr">
        <is>
          <t>AIR</t>
        </is>
      </c>
      <c r="E1101" s="1394" t="n">
        <v>39709</v>
      </c>
      <c r="F1101" s="1394" t="n">
        <v>39710</v>
      </c>
      <c r="G1101" s="1393" t="inlineStr">
        <is>
          <t>x</t>
        </is>
      </c>
      <c r="H1101" s="1393" t="inlineStr">
        <is>
          <t>Summer Flat</t>
        </is>
      </c>
      <c r="I1101" s="1393" t="inlineStr">
        <is>
          <t>-</t>
        </is>
      </c>
      <c r="J1101" s="1393" t="inlineStr">
        <is>
          <t>-</t>
        </is>
      </c>
      <c r="K1101" s="1395">
        <f>IF(raw[[#This Row],[city]]&lt;&gt;"",_xlfn.XLOOKUP($D1101,ccc[city],ccc[prov],"-"),"-")</f>
        <v/>
      </c>
      <c r="L1101" s="1395">
        <f>IF(raw[[#This Row],[city]]&lt;&gt;"",_xlfn.XLOOKUP($D1101,ccc[city],ccc[ctry],"-"),"-")</f>
        <v/>
      </c>
      <c r="M1101" s="1395">
        <f>IF(raw[[#This Row],[city]]&lt;&gt;"",_xlfn.XLOOKUP($D1101,ccc[city],ccc[cont],"-"),"-")</f>
        <v/>
      </c>
      <c r="N1101" s="1396">
        <f>IF(raw[[#This Row],[city]]="","-",IF(raw[[#This Row],[cont]]="B",raw[[#This Row],[cont]],"W"))</f>
        <v/>
      </c>
      <c r="O1101" s="1397">
        <f>IF(raw[[#This Row],[out]]=0,0,IF(raw[[#This Row],[out]]=raw[[#This Row],[in]],0.01,raw[[#This Row],[out]]-raw[[#This Row],[in]]))</f>
        <v/>
      </c>
      <c r="P1101" s="1397">
        <f>IF(raw[[#This Row],[in]]=0,0,MONTH(raw[[#This Row],[in]]))</f>
        <v/>
      </c>
      <c r="Q1101" s="1397">
        <f>IF(raw[[#This Row],[in]]=0,0,YEAR(raw[[#This Row],[in]]))</f>
        <v/>
      </c>
      <c r="R1101" s="1397">
        <f>INT(raw[[#This Row],[yr]]/10)*10</f>
        <v/>
      </c>
      <c r="S1101" s="1395">
        <f>IF(raw[[#This Row],[city]]="","-",IF(raw[[#This Row],[city]]&lt;&gt;_xlfn.XLOOKUP(raw[[#This Row],[home]],homes[home],homes[city],"-"),1,0))</f>
        <v/>
      </c>
      <c r="T1101" s="1398" t="inlineStr">
        <is>
          <t>.</t>
        </is>
      </c>
      <c r="U1101" s="1399">
        <f>IF(raw[[#This Row],[wb]]="w",raw[[#This Row],[stay]]+U1100,U1100)</f>
        <v/>
      </c>
      <c r="V1101" s="1400">
        <f>IF(raw[[#This Row],[out]]=0,V1100,(raw[[#This Row],[out]]-E$5))</f>
        <v/>
      </c>
      <c r="W1101" s="1401">
        <f>U1101/V1101</f>
        <v/>
      </c>
      <c r="X1101" s="1392" t="n"/>
      <c r="Y1101" s="1392" t="n"/>
      <c r="Z1101" s="1392" t="n"/>
      <c r="AA1101" s="1392" t="n"/>
      <c r="AB1101" s="1392" t="n"/>
      <c r="AC1101" s="1392" t="n"/>
      <c r="AD1101" s="1392" t="n"/>
      <c r="AE1101" s="1392" t="n"/>
      <c r="AF1101" s="1392" t="n"/>
      <c r="AG1101" s="1392" t="n"/>
      <c r="AH1101" s="1392" t="n"/>
      <c r="AI1101" s="1392" t="n"/>
      <c r="AJ1101" s="1392" t="n"/>
      <c r="AK1101" s="1392" t="n"/>
      <c r="AL1101" s="1392" t="n"/>
      <c r="AM1101" s="1392" t="n"/>
      <c r="AN1101" s="1392" t="n"/>
      <c r="AO1101" s="1392" t="n"/>
      <c r="AP1101" s="1392" t="n"/>
      <c r="AQ1101" s="1392" t="n"/>
      <c r="AR1101" s="1422" t="n"/>
      <c r="AS1101" s="1422" t="n"/>
      <c r="AT1101" s="1392" t="n"/>
      <c r="AU1101" s="1392" t="n"/>
      <c r="AV1101" s="1392" t="n"/>
      <c r="AW1101" s="1392" t="n"/>
      <c r="AX1101" s="1392" t="n"/>
      <c r="AY1101" s="1392" t="n"/>
      <c r="AZ1101" s="1392" t="n"/>
      <c r="BA1101" s="1422" t="n"/>
      <c r="BB1101" s="1422" t="n"/>
      <c r="BC1101" s="1392" t="n"/>
      <c r="BD1101" s="1392" t="n"/>
      <c r="BE1101" s="1392" t="n"/>
      <c r="BF1101" s="1392" t="n"/>
      <c r="BG1101" s="1392" t="n"/>
      <c r="BH1101" s="1392" t="n"/>
      <c r="BI1101" s="1392" t="n"/>
      <c r="BJ1101" s="1392" t="n"/>
      <c r="BK1101" s="1392" t="n"/>
      <c r="BL1101" s="1392" t="n"/>
      <c r="BM1101" s="1392" t="n"/>
      <c r="BN1101" s="1392" t="n"/>
      <c r="BO1101" s="1392" t="n"/>
      <c r="BP1101" s="1392" t="n"/>
      <c r="BQ1101" s="1392" t="n"/>
      <c r="BR1101" s="1392" t="n"/>
      <c r="BS1101" s="1392" t="n"/>
      <c r="BT1101" s="1392" t="n"/>
      <c r="BU1101" s="1392" t="n"/>
      <c r="BV1101" s="1392" t="n"/>
      <c r="BW1101" s="1392" t="n"/>
      <c r="BX1101" s="1392" t="n"/>
      <c r="BY1101" s="1392" t="n"/>
      <c r="BZ1101" s="1392" t="n"/>
      <c r="CA1101" s="1392" t="n"/>
      <c r="CB1101" s="1392" t="n"/>
      <c r="CC1101" s="1392" t="n"/>
      <c r="CD1101" s="1392" t="n"/>
      <c r="CE1101" s="1392" t="n"/>
      <c r="CF1101" s="1392" t="n"/>
      <c r="CG1101" s="1392" t="n"/>
      <c r="CH1101" s="1392" t="n"/>
      <c r="CI1101" s="1392" t="n"/>
      <c r="CJ1101" s="1392" t="n"/>
      <c r="CK1101" s="1392" t="n"/>
      <c r="CL1101" s="1392" t="n"/>
    </row>
    <row r="1102">
      <c r="A1102" s="5" t="inlineStr">
        <is>
          <t>.</t>
        </is>
      </c>
      <c r="B1102" s="5" t="inlineStr">
        <is>
          <t>.</t>
        </is>
      </c>
      <c r="C1102" s="1378">
        <f>IF(raw[[#This Row],[city]]="","-",IF(raw[[#This Row],[city]]="TODAY","-",C1101+1))</f>
        <v/>
      </c>
      <c r="D1102" s="1393" t="inlineStr">
        <is>
          <t>Bariloche</t>
        </is>
      </c>
      <c r="E1102" s="1394" t="n">
        <v>39710</v>
      </c>
      <c r="F1102" s="1394" t="n">
        <v>39717</v>
      </c>
      <c r="G1102" s="1393" t="n">
        <v>1</v>
      </c>
      <c r="H1102" s="1393" t="inlineStr">
        <is>
          <t>Summer Flat</t>
        </is>
      </c>
      <c r="I1102" s="1393" t="inlineStr">
        <is>
          <t>-</t>
        </is>
      </c>
      <c r="J1102" s="1393" t="inlineStr">
        <is>
          <t>-</t>
        </is>
      </c>
      <c r="K1102" s="1395">
        <f>IF(raw[[#This Row],[city]]&lt;&gt;"",_xlfn.XLOOKUP($D1102,ccc[city],ccc[prov],"-"),"-")</f>
        <v/>
      </c>
      <c r="L1102" s="1395">
        <f>IF(raw[[#This Row],[city]]&lt;&gt;"",_xlfn.XLOOKUP($D1102,ccc[city],ccc[ctry],"-"),"-")</f>
        <v/>
      </c>
      <c r="M1102" s="1395">
        <f>IF(raw[[#This Row],[city]]&lt;&gt;"",_xlfn.XLOOKUP($D1102,ccc[city],ccc[cont],"-"),"-")</f>
        <v/>
      </c>
      <c r="N1102" s="1396">
        <f>IF(raw[[#This Row],[city]]="","-",IF(raw[[#This Row],[cont]]="B",raw[[#This Row],[cont]],"W"))</f>
        <v/>
      </c>
      <c r="O1102" s="1397">
        <f>IF(raw[[#This Row],[out]]=0,0,IF(raw[[#This Row],[out]]=raw[[#This Row],[in]],0.01,raw[[#This Row],[out]]-raw[[#This Row],[in]]))</f>
        <v/>
      </c>
      <c r="P1102" s="1397">
        <f>IF(raw[[#This Row],[in]]=0,0,MONTH(raw[[#This Row],[in]]))</f>
        <v/>
      </c>
      <c r="Q1102" s="1397">
        <f>IF(raw[[#This Row],[in]]=0,0,YEAR(raw[[#This Row],[in]]))</f>
        <v/>
      </c>
      <c r="R1102" s="1397">
        <f>INT(raw[[#This Row],[yr]]/10)*10</f>
        <v/>
      </c>
      <c r="S1102" s="1395">
        <f>IF(raw[[#This Row],[city]]="","-",IF(raw[[#This Row],[city]]&lt;&gt;_xlfn.XLOOKUP(raw[[#This Row],[home]],homes[home],homes[city],"-"),1,0))</f>
        <v/>
      </c>
      <c r="T1102" s="1398" t="inlineStr">
        <is>
          <t>.</t>
        </is>
      </c>
      <c r="U1102" s="1399">
        <f>IF(raw[[#This Row],[wb]]="w",raw[[#This Row],[stay]]+U1101,U1101)</f>
        <v/>
      </c>
      <c r="V1102" s="1400">
        <f>IF(raw[[#This Row],[out]]=0,V1101,(raw[[#This Row],[out]]-E$5))</f>
        <v/>
      </c>
      <c r="W1102" s="1401">
        <f>U1102/V1102</f>
        <v/>
      </c>
      <c r="X1102" s="1392" t="n"/>
      <c r="Y1102" s="1392" t="n"/>
      <c r="Z1102" s="1392" t="n"/>
      <c r="AA1102" s="1392" t="n"/>
      <c r="AB1102" s="1392" t="n"/>
      <c r="AC1102" s="1392" t="n"/>
      <c r="AD1102" s="1392" t="n"/>
      <c r="AE1102" s="1392" t="n"/>
      <c r="AF1102" s="1392" t="n"/>
      <c r="AG1102" s="1392" t="n"/>
      <c r="AH1102" s="1392" t="n"/>
      <c r="AI1102" s="1392" t="n"/>
      <c r="AJ1102" s="1392" t="n"/>
      <c r="AK1102" s="1392" t="n"/>
      <c r="AL1102" s="1392" t="n"/>
      <c r="AM1102" s="1392" t="n"/>
      <c r="AN1102" s="1392" t="n"/>
      <c r="AO1102" s="1392" t="n"/>
      <c r="AP1102" s="1392" t="n"/>
      <c r="AQ1102" s="1392" t="n"/>
      <c r="AR1102" s="1422" t="n"/>
      <c r="AS1102" s="1422" t="n"/>
      <c r="AT1102" s="1392" t="n"/>
      <c r="AU1102" s="1392" t="n"/>
      <c r="AV1102" s="1392" t="n"/>
      <c r="AW1102" s="1392" t="n"/>
      <c r="AX1102" s="1392" t="n"/>
      <c r="AY1102" s="1392" t="n"/>
      <c r="AZ1102" s="1392" t="n"/>
      <c r="BA1102" s="1422" t="n"/>
      <c r="BB1102" s="1422" t="n"/>
      <c r="BC1102" s="1392" t="n"/>
      <c r="BD1102" s="1392" t="n"/>
      <c r="BE1102" s="1392" t="n"/>
      <c r="BF1102" s="1392" t="n"/>
      <c r="BG1102" s="1392" t="n"/>
      <c r="BH1102" s="1392" t="n"/>
      <c r="BI1102" s="1392" t="n"/>
      <c r="BJ1102" s="1392" t="n"/>
      <c r="BK1102" s="1392" t="n"/>
      <c r="BL1102" s="1392" t="n"/>
      <c r="BM1102" s="1392" t="n"/>
      <c r="BN1102" s="1392" t="n"/>
      <c r="BO1102" s="1392" t="n"/>
      <c r="BP1102" s="1392" t="n"/>
      <c r="BQ1102" s="1392" t="n"/>
      <c r="BR1102" s="1392" t="n"/>
      <c r="BS1102" s="1392" t="n"/>
      <c r="BT1102" s="1392" t="n"/>
      <c r="BU1102" s="1392" t="n"/>
      <c r="BV1102" s="1392" t="n"/>
      <c r="BW1102" s="1392" t="n"/>
      <c r="BX1102" s="1392" t="n"/>
      <c r="BY1102" s="1392" t="n"/>
      <c r="BZ1102" s="1392" t="n"/>
      <c r="CA1102" s="1392" t="n"/>
      <c r="CB1102" s="1392" t="n"/>
      <c r="CC1102" s="1392" t="n"/>
      <c r="CD1102" s="1392" t="n"/>
      <c r="CE1102" s="1392" t="n"/>
      <c r="CF1102" s="1392" t="n"/>
      <c r="CG1102" s="1392" t="n"/>
      <c r="CH1102" s="1392" t="n"/>
      <c r="CI1102" s="1392" t="n"/>
      <c r="CJ1102" s="1392" t="n"/>
      <c r="CK1102" s="1392" t="n"/>
      <c r="CL1102" s="1392" t="n"/>
    </row>
    <row r="1103">
      <c r="A1103" s="5" t="inlineStr">
        <is>
          <t>.</t>
        </is>
      </c>
      <c r="B1103" s="5" t="inlineStr">
        <is>
          <t>.</t>
        </is>
      </c>
      <c r="C1103" s="1378">
        <f>IF(raw[[#This Row],[city]]="","-",IF(raw[[#This Row],[city]]="TODAY","-",C1102+1))</f>
        <v/>
      </c>
      <c r="D1103" s="1393" t="inlineStr">
        <is>
          <t>SP</t>
        </is>
      </c>
      <c r="E1103" s="1394" t="n">
        <v>39717</v>
      </c>
      <c r="F1103" s="1394" t="n">
        <v>39717</v>
      </c>
      <c r="G1103" s="1393" t="n">
        <v>0.01</v>
      </c>
      <c r="H1103" s="1393" t="inlineStr">
        <is>
          <t>Summer Flat</t>
        </is>
      </c>
      <c r="I1103" s="1393" t="inlineStr">
        <is>
          <t>-</t>
        </is>
      </c>
      <c r="J1103" s="1393" t="inlineStr">
        <is>
          <t>-</t>
        </is>
      </c>
      <c r="K1103" s="1395">
        <f>IF(raw[[#This Row],[city]]&lt;&gt;"",_xlfn.XLOOKUP($D1103,ccc[city],ccc[prov],"-"),"-")</f>
        <v/>
      </c>
      <c r="L1103" s="1395">
        <f>IF(raw[[#This Row],[city]]&lt;&gt;"",_xlfn.XLOOKUP($D1103,ccc[city],ccc[ctry],"-"),"-")</f>
        <v/>
      </c>
      <c r="M1103" s="1395">
        <f>IF(raw[[#This Row],[city]]&lt;&gt;"",_xlfn.XLOOKUP($D1103,ccc[city],ccc[cont],"-"),"-")</f>
        <v/>
      </c>
      <c r="N1103" s="1396">
        <f>IF(raw[[#This Row],[city]]="","-",IF(raw[[#This Row],[cont]]="B",raw[[#This Row],[cont]],"W"))</f>
        <v/>
      </c>
      <c r="O1103" s="1397">
        <f>IF(raw[[#This Row],[out]]=0,0,IF(raw[[#This Row],[out]]=raw[[#This Row],[in]],0.01,raw[[#This Row],[out]]-raw[[#This Row],[in]]))</f>
        <v/>
      </c>
      <c r="P1103" s="1397">
        <f>IF(raw[[#This Row],[in]]=0,0,MONTH(raw[[#This Row],[in]]))</f>
        <v/>
      </c>
      <c r="Q1103" s="1397">
        <f>IF(raw[[#This Row],[in]]=0,0,YEAR(raw[[#This Row],[in]]))</f>
        <v/>
      </c>
      <c r="R1103" s="1397">
        <f>INT(raw[[#This Row],[yr]]/10)*10</f>
        <v/>
      </c>
      <c r="S1103" s="1395">
        <f>IF(raw[[#This Row],[city]]="","-",IF(raw[[#This Row],[city]]&lt;&gt;_xlfn.XLOOKUP(raw[[#This Row],[home]],homes[home],homes[city],"-"),1,0))</f>
        <v/>
      </c>
      <c r="T1103" s="1398" t="inlineStr">
        <is>
          <t>.</t>
        </is>
      </c>
      <c r="U1103" s="1399">
        <f>IF(raw[[#This Row],[wb]]="w",raw[[#This Row],[stay]]+U1102,U1102)</f>
        <v/>
      </c>
      <c r="V1103" s="1400">
        <f>IF(raw[[#This Row],[out]]=0,V1102,(raw[[#This Row],[out]]-E$5))</f>
        <v/>
      </c>
      <c r="W1103" s="1401">
        <f>U1103/V1103</f>
        <v/>
      </c>
      <c r="X1103" s="1392" t="n"/>
      <c r="Y1103" s="1392" t="n"/>
      <c r="Z1103" s="1392" t="n"/>
      <c r="AA1103" s="1392" t="n"/>
      <c r="AB1103" s="1392" t="n"/>
      <c r="AC1103" s="1392" t="n"/>
      <c r="AD1103" s="1392" t="n"/>
      <c r="AE1103" s="1392" t="n"/>
      <c r="AF1103" s="1392" t="n"/>
      <c r="AG1103" s="1392" t="n"/>
      <c r="AH1103" s="1392" t="n"/>
      <c r="AI1103" s="1392" t="n"/>
      <c r="AJ1103" s="1392" t="n"/>
      <c r="AK1103" s="1392" t="n"/>
      <c r="AL1103" s="1392" t="n"/>
      <c r="AM1103" s="1392" t="n"/>
      <c r="AN1103" s="1392" t="n"/>
      <c r="AO1103" s="1392" t="n"/>
      <c r="AP1103" s="1392" t="n"/>
      <c r="AQ1103" s="1392" t="n"/>
      <c r="AR1103" s="1422" t="n"/>
      <c r="AS1103" s="1422" t="n"/>
      <c r="AT1103" s="1392" t="n"/>
      <c r="AU1103" s="1392" t="n"/>
      <c r="AV1103" s="1392" t="n"/>
      <c r="AW1103" s="1392" t="n"/>
      <c r="AX1103" s="1392" t="n"/>
      <c r="AY1103" s="1392" t="n"/>
      <c r="AZ1103" s="1392" t="n"/>
      <c r="BA1103" s="1422" t="n"/>
      <c r="BB1103" s="1422" t="n"/>
      <c r="BC1103" s="1392" t="n"/>
      <c r="BD1103" s="1392" t="n"/>
      <c r="BE1103" s="1392" t="n"/>
      <c r="BF1103" s="1392" t="n"/>
      <c r="BG1103" s="1392" t="n"/>
      <c r="BH1103" s="1392" t="n"/>
      <c r="BI1103" s="1392" t="n"/>
      <c r="BJ1103" s="1392" t="n"/>
      <c r="BK1103" s="1392" t="n"/>
      <c r="BL1103" s="1392" t="n"/>
      <c r="BM1103" s="1392" t="n"/>
      <c r="BN1103" s="1392" t="n"/>
      <c r="BO1103" s="1392" t="n"/>
      <c r="BP1103" s="1392" t="n"/>
      <c r="BQ1103" s="1392" t="n"/>
      <c r="BR1103" s="1392" t="n"/>
      <c r="BS1103" s="1392" t="n"/>
      <c r="BT1103" s="1392" t="n"/>
      <c r="BU1103" s="1392" t="n"/>
      <c r="BV1103" s="1392" t="n"/>
      <c r="BW1103" s="1392" t="n"/>
      <c r="BX1103" s="1392" t="n"/>
      <c r="BY1103" s="1392" t="n"/>
      <c r="BZ1103" s="1392" t="n"/>
      <c r="CA1103" s="1392" t="n"/>
      <c r="CB1103" s="1392" t="n"/>
      <c r="CC1103" s="1392" t="n"/>
      <c r="CD1103" s="1392" t="n"/>
      <c r="CE1103" s="1392" t="n"/>
      <c r="CF1103" s="1392" t="n"/>
      <c r="CG1103" s="1392" t="n"/>
      <c r="CH1103" s="1392" t="n"/>
      <c r="CI1103" s="1392" t="n"/>
      <c r="CJ1103" s="1392" t="n"/>
      <c r="CK1103" s="1392" t="n"/>
      <c r="CL1103" s="1392" t="n"/>
    </row>
    <row r="1104">
      <c r="A1104" s="5" t="inlineStr">
        <is>
          <t>.</t>
        </is>
      </c>
      <c r="B1104" s="5" t="inlineStr">
        <is>
          <t>.</t>
        </is>
      </c>
      <c r="C1104" s="1378">
        <f>IF(raw[[#This Row],[city]]="","-",IF(raw[[#This Row],[city]]="TODAY","-",C1103+1))</f>
        <v/>
      </c>
      <c r="D1104" s="1393" t="inlineStr">
        <is>
          <t>SSA</t>
        </is>
      </c>
      <c r="E1104" s="1394" t="n">
        <v>39717</v>
      </c>
      <c r="F1104" s="1394" t="n">
        <v>39722</v>
      </c>
      <c r="G1104" s="1393" t="inlineStr">
        <is>
          <t>-</t>
        </is>
      </c>
      <c r="H1104" s="1393" t="inlineStr">
        <is>
          <t>Summer Flat</t>
        </is>
      </c>
      <c r="I1104" s="1393" t="inlineStr">
        <is>
          <t>-</t>
        </is>
      </c>
      <c r="J1104" s="1393" t="inlineStr">
        <is>
          <t>-</t>
        </is>
      </c>
      <c r="K1104" s="1395">
        <f>IF(raw[[#This Row],[city]]&lt;&gt;"",_xlfn.XLOOKUP($D1104,ccc[city],ccc[prov],"-"),"-")</f>
        <v/>
      </c>
      <c r="L1104" s="1395">
        <f>IF(raw[[#This Row],[city]]&lt;&gt;"",_xlfn.XLOOKUP($D1104,ccc[city],ccc[ctry],"-"),"-")</f>
        <v/>
      </c>
      <c r="M1104" s="1395">
        <f>IF(raw[[#This Row],[city]]&lt;&gt;"",_xlfn.XLOOKUP($D1104,ccc[city],ccc[cont],"-"),"-")</f>
        <v/>
      </c>
      <c r="N1104" s="1396">
        <f>IF(raw[[#This Row],[city]]="","-",IF(raw[[#This Row],[cont]]="B",raw[[#This Row],[cont]],"W"))</f>
        <v/>
      </c>
      <c r="O1104" s="1397">
        <f>IF(raw[[#This Row],[out]]=0,0,IF(raw[[#This Row],[out]]=raw[[#This Row],[in]],0.01,raw[[#This Row],[out]]-raw[[#This Row],[in]]))</f>
        <v/>
      </c>
      <c r="P1104" s="1397">
        <f>IF(raw[[#This Row],[in]]=0,0,MONTH(raw[[#This Row],[in]]))</f>
        <v/>
      </c>
      <c r="Q1104" s="1397">
        <f>IF(raw[[#This Row],[in]]=0,0,YEAR(raw[[#This Row],[in]]))</f>
        <v/>
      </c>
      <c r="R1104" s="1397">
        <f>INT(raw[[#This Row],[yr]]/10)*10</f>
        <v/>
      </c>
      <c r="S1104" s="1395">
        <f>IF(raw[[#This Row],[city]]="","-",IF(raw[[#This Row],[city]]&lt;&gt;_xlfn.XLOOKUP(raw[[#This Row],[home]],homes[home],homes[city],"-"),1,0))</f>
        <v/>
      </c>
      <c r="T1104" s="1398" t="inlineStr">
        <is>
          <t>.</t>
        </is>
      </c>
      <c r="U1104" s="1399">
        <f>IF(raw[[#This Row],[wb]]="w",raw[[#This Row],[stay]]+U1103,U1103)</f>
        <v/>
      </c>
      <c r="V1104" s="1400">
        <f>IF(raw[[#This Row],[out]]=0,V1103,(raw[[#This Row],[out]]-E$5))</f>
        <v/>
      </c>
      <c r="W1104" s="1401">
        <f>U1104/V1104</f>
        <v/>
      </c>
      <c r="X1104" s="1392" t="n"/>
      <c r="Y1104" s="1392" t="n"/>
      <c r="Z1104" s="1392" t="n"/>
      <c r="AA1104" s="1392" t="n"/>
      <c r="AB1104" s="1392" t="n"/>
      <c r="AC1104" s="1392" t="n"/>
      <c r="AD1104" s="1392" t="n"/>
      <c r="AE1104" s="1392" t="n"/>
      <c r="AF1104" s="1392" t="n"/>
      <c r="AG1104" s="1392" t="n"/>
      <c r="AH1104" s="1392" t="n"/>
      <c r="AI1104" s="1392" t="n"/>
      <c r="AJ1104" s="1392" t="n"/>
      <c r="AK1104" s="1392" t="n"/>
      <c r="AL1104" s="1392" t="n"/>
      <c r="AM1104" s="1392" t="n"/>
      <c r="AN1104" s="1392" t="n"/>
      <c r="AO1104" s="1392" t="n"/>
      <c r="AP1104" s="1392" t="n"/>
      <c r="AQ1104" s="1392" t="n"/>
      <c r="AR1104" s="1422" t="n"/>
      <c r="AS1104" s="1422" t="n"/>
      <c r="AT1104" s="1392" t="n"/>
      <c r="AU1104" s="1392" t="n"/>
      <c r="AV1104" s="1392" t="n"/>
      <c r="AW1104" s="1392" t="n"/>
      <c r="AX1104" s="1392" t="n"/>
      <c r="AY1104" s="1392" t="n"/>
      <c r="AZ1104" s="1392" t="n"/>
      <c r="BA1104" s="1422" t="n"/>
      <c r="BB1104" s="1422" t="n"/>
      <c r="BC1104" s="1392" t="n"/>
      <c r="BD1104" s="1392" t="n"/>
      <c r="BE1104" s="1392" t="n"/>
      <c r="BF1104" s="1392" t="n"/>
      <c r="BG1104" s="1392" t="n"/>
      <c r="BH1104" s="1392" t="n"/>
      <c r="BI1104" s="1392" t="n"/>
      <c r="BJ1104" s="1392" t="n"/>
      <c r="BK1104" s="1392" t="n"/>
      <c r="BL1104" s="1392" t="n"/>
      <c r="BM1104" s="1392" t="n"/>
      <c r="BN1104" s="1392" t="n"/>
      <c r="BO1104" s="1392" t="n"/>
      <c r="BP1104" s="1392" t="n"/>
      <c r="BQ1104" s="1392" t="n"/>
      <c r="BR1104" s="1392" t="n"/>
      <c r="BS1104" s="1392" t="n"/>
      <c r="BT1104" s="1392" t="n"/>
      <c r="BU1104" s="1392" t="n"/>
      <c r="BV1104" s="1392" t="n"/>
      <c r="BW1104" s="1392" t="n"/>
      <c r="BX1104" s="1392" t="n"/>
      <c r="BY1104" s="1392" t="n"/>
      <c r="BZ1104" s="1392" t="n"/>
      <c r="CA1104" s="1392" t="n"/>
      <c r="CB1104" s="1392" t="n"/>
      <c r="CC1104" s="1392" t="n"/>
      <c r="CD1104" s="1392" t="n"/>
      <c r="CE1104" s="1392" t="n"/>
      <c r="CF1104" s="1392" t="n"/>
      <c r="CG1104" s="1392" t="n"/>
      <c r="CH1104" s="1392" t="n"/>
      <c r="CI1104" s="1392" t="n"/>
      <c r="CJ1104" s="1392" t="n"/>
      <c r="CK1104" s="1392" t="n"/>
      <c r="CL1104" s="1392" t="n"/>
    </row>
    <row r="1105">
      <c r="A1105" s="5" t="inlineStr">
        <is>
          <t>.</t>
        </is>
      </c>
      <c r="B1105" s="5" t="inlineStr">
        <is>
          <t>.</t>
        </is>
      </c>
      <c r="C1105" s="1378">
        <f>IF(raw[[#This Row],[city]]="","-",IF(raw[[#This Row],[city]]="TODAY","-",C1104+1))</f>
        <v/>
      </c>
      <c r="D1105" s="1393" t="inlineStr">
        <is>
          <t>SSA</t>
        </is>
      </c>
      <c r="E1105" s="1394" t="n">
        <v>39722</v>
      </c>
      <c r="F1105" s="1394" t="n">
        <v>39730</v>
      </c>
      <c r="G1105" s="1393" t="n">
        <v>1</v>
      </c>
      <c r="H1105" s="1393" t="inlineStr">
        <is>
          <t>Summer Flat</t>
        </is>
      </c>
      <c r="I1105" s="1393" t="inlineStr">
        <is>
          <t>-</t>
        </is>
      </c>
      <c r="J1105" s="1393" t="inlineStr">
        <is>
          <t>-</t>
        </is>
      </c>
      <c r="K1105" s="1395">
        <f>IF(raw[[#This Row],[city]]&lt;&gt;"",_xlfn.XLOOKUP($D1105,ccc[city],ccc[prov],"-"),"-")</f>
        <v/>
      </c>
      <c r="L1105" s="1395">
        <f>IF(raw[[#This Row],[city]]&lt;&gt;"",_xlfn.XLOOKUP($D1105,ccc[city],ccc[ctry],"-"),"-")</f>
        <v/>
      </c>
      <c r="M1105" s="1395">
        <f>IF(raw[[#This Row],[city]]&lt;&gt;"",_xlfn.XLOOKUP($D1105,ccc[city],ccc[cont],"-"),"-")</f>
        <v/>
      </c>
      <c r="N1105" s="1396">
        <f>IF(raw[[#This Row],[city]]="","-",IF(raw[[#This Row],[cont]]="B",raw[[#This Row],[cont]],"W"))</f>
        <v/>
      </c>
      <c r="O1105" s="1397">
        <f>IF(raw[[#This Row],[out]]=0,0,IF(raw[[#This Row],[out]]=raw[[#This Row],[in]],0.01,raw[[#This Row],[out]]-raw[[#This Row],[in]]))</f>
        <v/>
      </c>
      <c r="P1105" s="1397">
        <f>IF(raw[[#This Row],[in]]=0,0,MONTH(raw[[#This Row],[in]]))</f>
        <v/>
      </c>
      <c r="Q1105" s="1397">
        <f>IF(raw[[#This Row],[in]]=0,0,YEAR(raw[[#This Row],[in]]))</f>
        <v/>
      </c>
      <c r="R1105" s="1397">
        <f>INT(raw[[#This Row],[yr]]/10)*10</f>
        <v/>
      </c>
      <c r="S1105" s="1395">
        <f>IF(raw[[#This Row],[city]]="","-",IF(raw[[#This Row],[city]]&lt;&gt;_xlfn.XLOOKUP(raw[[#This Row],[home]],homes[home],homes[city],"-"),1,0))</f>
        <v/>
      </c>
      <c r="T1105" s="1398" t="inlineStr">
        <is>
          <t>.</t>
        </is>
      </c>
      <c r="U1105" s="1399">
        <f>IF(raw[[#This Row],[wb]]="w",raw[[#This Row],[stay]]+U1104,U1104)</f>
        <v/>
      </c>
      <c r="V1105" s="1400">
        <f>IF(raw[[#This Row],[out]]=0,V1104,(raw[[#This Row],[out]]-E$5))</f>
        <v/>
      </c>
      <c r="W1105" s="1401">
        <f>U1105/V1105</f>
        <v/>
      </c>
      <c r="X1105" s="1392" t="n"/>
      <c r="Y1105" s="1392" t="n"/>
      <c r="Z1105" s="1392" t="n"/>
      <c r="AA1105" s="1392" t="n"/>
      <c r="AB1105" s="1392" t="n"/>
      <c r="AC1105" s="1392" t="n"/>
      <c r="AD1105" s="1392" t="n"/>
      <c r="AE1105" s="1392" t="n"/>
      <c r="AF1105" s="1392" t="n"/>
      <c r="AG1105" s="1392" t="n"/>
      <c r="AH1105" s="1392" t="n"/>
      <c r="AI1105" s="1392" t="n"/>
      <c r="AJ1105" s="1392" t="n"/>
      <c r="AK1105" s="1392" t="n"/>
      <c r="AL1105" s="1392" t="n"/>
      <c r="AM1105" s="1392" t="n"/>
      <c r="AN1105" s="1392" t="n"/>
      <c r="AO1105" s="1392" t="n"/>
      <c r="AP1105" s="1392" t="n"/>
      <c r="AQ1105" s="1392" t="n"/>
      <c r="AR1105" s="1422" t="n"/>
      <c r="AS1105" s="1422" t="n"/>
      <c r="AT1105" s="1392" t="n"/>
      <c r="AU1105" s="1392" t="n"/>
      <c r="AV1105" s="1392" t="n"/>
      <c r="AW1105" s="1392" t="n"/>
      <c r="AX1105" s="1392" t="n"/>
      <c r="AY1105" s="1392" t="n"/>
      <c r="AZ1105" s="1392" t="n"/>
      <c r="BA1105" s="1422" t="n"/>
      <c r="BB1105" s="1422" t="n"/>
      <c r="BC1105" s="1392" t="n"/>
      <c r="BD1105" s="1392" t="n"/>
      <c r="BE1105" s="1392" t="n"/>
      <c r="BF1105" s="1392" t="n"/>
      <c r="BG1105" s="1392" t="n"/>
      <c r="BH1105" s="1392" t="n"/>
      <c r="BI1105" s="1392" t="n"/>
      <c r="BJ1105" s="1392" t="n"/>
      <c r="BK1105" s="1392" t="n"/>
      <c r="BL1105" s="1392" t="n"/>
      <c r="BM1105" s="1392" t="n"/>
      <c r="BN1105" s="1392" t="n"/>
      <c r="BO1105" s="1392" t="n"/>
      <c r="BP1105" s="1392" t="n"/>
      <c r="BQ1105" s="1392" t="n"/>
      <c r="BR1105" s="1392" t="n"/>
      <c r="BS1105" s="1392" t="n"/>
      <c r="BT1105" s="1392" t="n"/>
      <c r="BU1105" s="1392" t="n"/>
      <c r="BV1105" s="1392" t="n"/>
      <c r="BW1105" s="1392" t="n"/>
      <c r="BX1105" s="1392" t="n"/>
      <c r="BY1105" s="1392" t="n"/>
      <c r="BZ1105" s="1392" t="n"/>
      <c r="CA1105" s="1392" t="n"/>
      <c r="CB1105" s="1392" t="n"/>
      <c r="CC1105" s="1392" t="n"/>
      <c r="CD1105" s="1392" t="n"/>
      <c r="CE1105" s="1392" t="n"/>
      <c r="CF1105" s="1392" t="n"/>
      <c r="CG1105" s="1392" t="n"/>
      <c r="CH1105" s="1392" t="n"/>
      <c r="CI1105" s="1392" t="n"/>
      <c r="CJ1105" s="1392" t="n"/>
      <c r="CK1105" s="1392" t="n"/>
      <c r="CL1105" s="1392" t="n"/>
    </row>
    <row r="1106">
      <c r="A1106" s="5" t="inlineStr">
        <is>
          <t>.</t>
        </is>
      </c>
      <c r="B1106" s="5" t="inlineStr">
        <is>
          <t>.</t>
        </is>
      </c>
      <c r="C1106" s="1378">
        <f>IF(raw[[#This Row],[city]]="","-",IF(raw[[#This Row],[city]]="TODAY","-",C1105+1))</f>
        <v/>
      </c>
      <c r="D1106" s="1393" t="inlineStr">
        <is>
          <t>Brasilia</t>
        </is>
      </c>
      <c r="E1106" s="1394" t="n">
        <v>39730</v>
      </c>
      <c r="F1106" s="1394" t="n">
        <v>39730</v>
      </c>
      <c r="G1106" s="1393" t="n">
        <v>0.01</v>
      </c>
      <c r="H1106" s="1393" t="inlineStr">
        <is>
          <t>Summer Flat</t>
        </is>
      </c>
      <c r="I1106" s="1393" t="inlineStr">
        <is>
          <t>-</t>
        </is>
      </c>
      <c r="J1106" s="1393" t="inlineStr">
        <is>
          <t>-</t>
        </is>
      </c>
      <c r="K1106" s="1395">
        <f>IF(raw[[#This Row],[city]]&lt;&gt;"",_xlfn.XLOOKUP($D1106,ccc[city],ccc[prov],"-"),"-")</f>
        <v/>
      </c>
      <c r="L1106" s="1395">
        <f>IF(raw[[#This Row],[city]]&lt;&gt;"",_xlfn.XLOOKUP($D1106,ccc[city],ccc[ctry],"-"),"-")</f>
        <v/>
      </c>
      <c r="M1106" s="1395">
        <f>IF(raw[[#This Row],[city]]&lt;&gt;"",_xlfn.XLOOKUP($D1106,ccc[city],ccc[cont],"-"),"-")</f>
        <v/>
      </c>
      <c r="N1106" s="1396">
        <f>IF(raw[[#This Row],[city]]="","-",IF(raw[[#This Row],[cont]]="B",raw[[#This Row],[cont]],"W"))</f>
        <v/>
      </c>
      <c r="O1106" s="1397">
        <f>IF(raw[[#This Row],[out]]=0,0,IF(raw[[#This Row],[out]]=raw[[#This Row],[in]],0.01,raw[[#This Row],[out]]-raw[[#This Row],[in]]))</f>
        <v/>
      </c>
      <c r="P1106" s="1397">
        <f>IF(raw[[#This Row],[in]]=0,0,MONTH(raw[[#This Row],[in]]))</f>
        <v/>
      </c>
      <c r="Q1106" s="1397">
        <f>IF(raw[[#This Row],[in]]=0,0,YEAR(raw[[#This Row],[in]]))</f>
        <v/>
      </c>
      <c r="R1106" s="1397">
        <f>INT(raw[[#This Row],[yr]]/10)*10</f>
        <v/>
      </c>
      <c r="S1106" s="1395">
        <f>IF(raw[[#This Row],[city]]="","-",IF(raw[[#This Row],[city]]&lt;&gt;_xlfn.XLOOKUP(raw[[#This Row],[home]],homes[home],homes[city],"-"),1,0))</f>
        <v/>
      </c>
      <c r="T1106" s="1398" t="inlineStr">
        <is>
          <t>.</t>
        </is>
      </c>
      <c r="U1106" s="1399">
        <f>IF(raw[[#This Row],[wb]]="w",raw[[#This Row],[stay]]+U1105,U1105)</f>
        <v/>
      </c>
      <c r="V1106" s="1400">
        <f>IF(raw[[#This Row],[out]]=0,V1105,(raw[[#This Row],[out]]-E$5))</f>
        <v/>
      </c>
      <c r="W1106" s="1401">
        <f>U1106/V1106</f>
        <v/>
      </c>
      <c r="X1106" s="1392" t="n"/>
      <c r="Y1106" s="1392" t="n"/>
      <c r="Z1106" s="1392" t="n"/>
      <c r="AA1106" s="1392" t="n"/>
      <c r="AB1106" s="1392" t="n"/>
      <c r="AC1106" s="1392" t="n"/>
      <c r="AD1106" s="1392" t="n"/>
      <c r="AE1106" s="1392" t="n"/>
      <c r="AF1106" s="1392" t="n"/>
      <c r="AG1106" s="1392" t="n"/>
      <c r="AH1106" s="1392" t="n"/>
      <c r="AI1106" s="1392" t="n"/>
      <c r="AJ1106" s="1392" t="n"/>
      <c r="AK1106" s="1392" t="n"/>
      <c r="AL1106" s="1392" t="n"/>
      <c r="AM1106" s="1392" t="n"/>
      <c r="AN1106" s="1392" t="n"/>
      <c r="AO1106" s="1392" t="n"/>
      <c r="AP1106" s="1392" t="n"/>
      <c r="AQ1106" s="1392" t="n"/>
      <c r="AR1106" s="1422" t="n"/>
      <c r="AS1106" s="1422" t="n"/>
      <c r="AT1106" s="1392" t="n"/>
      <c r="AU1106" s="1392" t="n"/>
      <c r="AV1106" s="1392" t="n"/>
      <c r="AW1106" s="1392" t="n"/>
      <c r="AX1106" s="1392" t="n"/>
      <c r="AY1106" s="1392" t="n"/>
      <c r="AZ1106" s="1392" t="n"/>
      <c r="BA1106" s="1422" t="n"/>
      <c r="BB1106" s="1422" t="n"/>
      <c r="BC1106" s="1392" t="n"/>
      <c r="BD1106" s="1392" t="n"/>
      <c r="BE1106" s="1392" t="n"/>
      <c r="BF1106" s="1392" t="n"/>
      <c r="BG1106" s="1392" t="n"/>
      <c r="BH1106" s="1392" t="n"/>
      <c r="BI1106" s="1392" t="n"/>
      <c r="BJ1106" s="1392" t="n"/>
      <c r="BK1106" s="1392" t="n"/>
      <c r="BL1106" s="1392" t="n"/>
      <c r="BM1106" s="1392" t="n"/>
      <c r="BN1106" s="1392" t="n"/>
      <c r="BO1106" s="1392" t="n"/>
      <c r="BP1106" s="1392" t="n"/>
      <c r="BQ1106" s="1392" t="n"/>
      <c r="BR1106" s="1392" t="n"/>
      <c r="BS1106" s="1392" t="n"/>
      <c r="BT1106" s="1392" t="n"/>
      <c r="BU1106" s="1392" t="n"/>
      <c r="BV1106" s="1392" t="n"/>
      <c r="BW1106" s="1392" t="n"/>
      <c r="BX1106" s="1392" t="n"/>
      <c r="BY1106" s="1392" t="n"/>
      <c r="BZ1106" s="1392" t="n"/>
      <c r="CA1106" s="1392" t="n"/>
      <c r="CB1106" s="1392" t="n"/>
      <c r="CC1106" s="1392" t="n"/>
      <c r="CD1106" s="1392" t="n"/>
      <c r="CE1106" s="1392" t="n"/>
      <c r="CF1106" s="1392" t="n"/>
      <c r="CG1106" s="1392" t="n"/>
      <c r="CH1106" s="1392" t="n"/>
      <c r="CI1106" s="1392" t="n"/>
      <c r="CJ1106" s="1392" t="n"/>
      <c r="CK1106" s="1392" t="n"/>
      <c r="CL1106" s="1392" t="n"/>
    </row>
    <row r="1107">
      <c r="A1107" s="5" t="inlineStr">
        <is>
          <t>.</t>
        </is>
      </c>
      <c r="B1107" s="5" t="inlineStr">
        <is>
          <t>.</t>
        </is>
      </c>
      <c r="C1107" s="1378">
        <f>IF(raw[[#This Row],[city]]="","-",IF(raw[[#This Row],[city]]="TODAY","-",C1106+1))</f>
        <v/>
      </c>
      <c r="D1107" s="1393" t="inlineStr">
        <is>
          <t>Rio</t>
        </is>
      </c>
      <c r="E1107" s="1394" t="n">
        <v>39730</v>
      </c>
      <c r="F1107" s="1394" t="n">
        <v>39734</v>
      </c>
      <c r="G1107" s="1393" t="n">
        <v>0.01</v>
      </c>
      <c r="H1107" s="1393" t="inlineStr">
        <is>
          <t>Summer Flat</t>
        </is>
      </c>
      <c r="I1107" s="1393" t="inlineStr">
        <is>
          <t>Monica Rio</t>
        </is>
      </c>
      <c r="J1107" s="1393" t="inlineStr">
        <is>
          <t>-</t>
        </is>
      </c>
      <c r="K1107" s="1395">
        <f>IF(raw[[#This Row],[city]]&lt;&gt;"",_xlfn.XLOOKUP($D1107,ccc[city],ccc[prov],"-"),"-")</f>
        <v/>
      </c>
      <c r="L1107" s="1395">
        <f>IF(raw[[#This Row],[city]]&lt;&gt;"",_xlfn.XLOOKUP($D1107,ccc[city],ccc[ctry],"-"),"-")</f>
        <v/>
      </c>
      <c r="M1107" s="1395">
        <f>IF(raw[[#This Row],[city]]&lt;&gt;"",_xlfn.XLOOKUP($D1107,ccc[city],ccc[cont],"-"),"-")</f>
        <v/>
      </c>
      <c r="N1107" s="1396">
        <f>IF(raw[[#This Row],[city]]="","-",IF(raw[[#This Row],[cont]]="B",raw[[#This Row],[cont]],"W"))</f>
        <v/>
      </c>
      <c r="O1107" s="1397">
        <f>IF(raw[[#This Row],[out]]=0,0,IF(raw[[#This Row],[out]]=raw[[#This Row],[in]],0.01,raw[[#This Row],[out]]-raw[[#This Row],[in]]))</f>
        <v/>
      </c>
      <c r="P1107" s="1397">
        <f>IF(raw[[#This Row],[in]]=0,0,MONTH(raw[[#This Row],[in]]))</f>
        <v/>
      </c>
      <c r="Q1107" s="1397">
        <f>IF(raw[[#This Row],[in]]=0,0,YEAR(raw[[#This Row],[in]]))</f>
        <v/>
      </c>
      <c r="R1107" s="1397">
        <f>INT(raw[[#This Row],[yr]]/10)*10</f>
        <v/>
      </c>
      <c r="S1107" s="1395">
        <f>IF(raw[[#This Row],[city]]="","-",IF(raw[[#This Row],[city]]&lt;&gt;_xlfn.XLOOKUP(raw[[#This Row],[home]],homes[home],homes[city],"-"),1,0))</f>
        <v/>
      </c>
      <c r="T1107" s="1398" t="inlineStr">
        <is>
          <t>.</t>
        </is>
      </c>
      <c r="U1107" s="1399">
        <f>IF(raw[[#This Row],[wb]]="w",raw[[#This Row],[stay]]+U1106,U1106)</f>
        <v/>
      </c>
      <c r="V1107" s="1400">
        <f>IF(raw[[#This Row],[out]]=0,V1106,(raw[[#This Row],[out]]-E$5))</f>
        <v/>
      </c>
      <c r="W1107" s="1401">
        <f>U1107/V1107</f>
        <v/>
      </c>
      <c r="X1107" s="1392" t="n"/>
      <c r="Y1107" s="1392" t="n"/>
      <c r="Z1107" s="1392" t="n"/>
      <c r="AA1107" s="1392" t="n"/>
      <c r="AB1107" s="1392" t="n"/>
      <c r="AC1107" s="1392" t="n"/>
      <c r="AD1107" s="1392" t="n"/>
      <c r="AE1107" s="1392" t="n"/>
      <c r="AF1107" s="1392" t="n"/>
      <c r="AG1107" s="1392" t="n"/>
      <c r="AH1107" s="1392" t="n"/>
      <c r="AI1107" s="1392" t="n"/>
      <c r="AJ1107" s="1392" t="n"/>
      <c r="AK1107" s="1392" t="n"/>
      <c r="AL1107" s="1392" t="n"/>
      <c r="AM1107" s="1392" t="n"/>
      <c r="AN1107" s="1392" t="n"/>
      <c r="AO1107" s="1392" t="n"/>
      <c r="AP1107" s="1392" t="n"/>
      <c r="AQ1107" s="1392" t="n"/>
      <c r="AR1107" s="1422" t="n"/>
      <c r="AS1107" s="1422" t="n"/>
      <c r="AT1107" s="1392" t="n"/>
      <c r="AU1107" s="1392" t="n"/>
      <c r="AV1107" s="1392" t="n"/>
      <c r="AW1107" s="1392" t="n"/>
      <c r="AX1107" s="1392" t="n"/>
      <c r="AY1107" s="1392" t="n"/>
      <c r="AZ1107" s="1392" t="n"/>
      <c r="BA1107" s="1422" t="n"/>
      <c r="BB1107" s="1422" t="n"/>
      <c r="BC1107" s="1392" t="n"/>
      <c r="BD1107" s="1392" t="n"/>
      <c r="BE1107" s="1392" t="n"/>
      <c r="BF1107" s="1392" t="n"/>
      <c r="BG1107" s="1392" t="n"/>
      <c r="BH1107" s="1392" t="n"/>
      <c r="BI1107" s="1392" t="n"/>
      <c r="BJ1107" s="1392" t="n"/>
      <c r="BK1107" s="1392" t="n"/>
      <c r="BL1107" s="1392" t="n"/>
      <c r="BM1107" s="1392" t="n"/>
      <c r="BN1107" s="1392" t="n"/>
      <c r="BO1107" s="1392" t="n"/>
      <c r="BP1107" s="1392" t="n"/>
      <c r="BQ1107" s="1392" t="n"/>
      <c r="BR1107" s="1392" t="n"/>
      <c r="BS1107" s="1392" t="n"/>
      <c r="BT1107" s="1392" t="n"/>
      <c r="BU1107" s="1392" t="n"/>
      <c r="BV1107" s="1392" t="n"/>
      <c r="BW1107" s="1392" t="n"/>
      <c r="BX1107" s="1392" t="n"/>
      <c r="BY1107" s="1392" t="n"/>
      <c r="BZ1107" s="1392" t="n"/>
      <c r="CA1107" s="1392" t="n"/>
      <c r="CB1107" s="1392" t="n"/>
      <c r="CC1107" s="1392" t="n"/>
      <c r="CD1107" s="1392" t="n"/>
      <c r="CE1107" s="1392" t="n"/>
      <c r="CF1107" s="1392" t="n"/>
      <c r="CG1107" s="1392" t="n"/>
      <c r="CH1107" s="1392" t="n"/>
      <c r="CI1107" s="1392" t="n"/>
      <c r="CJ1107" s="1392" t="n"/>
      <c r="CK1107" s="1392" t="n"/>
      <c r="CL1107" s="1392" t="n"/>
    </row>
    <row r="1108">
      <c r="A1108" s="5" t="inlineStr">
        <is>
          <t>.</t>
        </is>
      </c>
      <c r="B1108" s="5" t="inlineStr">
        <is>
          <t>.</t>
        </is>
      </c>
      <c r="C1108" s="1378">
        <f>IF(raw[[#This Row],[city]]="","-",IF(raw[[#This Row],[city]]="TODAY","-",C1107+1))</f>
        <v/>
      </c>
      <c r="D1108" s="1393" t="inlineStr">
        <is>
          <t>SSA</t>
        </is>
      </c>
      <c r="E1108" s="1394" t="n">
        <v>39734</v>
      </c>
      <c r="F1108" s="1394" t="n">
        <v>39753</v>
      </c>
      <c r="G1108" s="1393" t="inlineStr">
        <is>
          <t>-</t>
        </is>
      </c>
      <c r="H1108" s="1393" t="inlineStr">
        <is>
          <t>Summer Flat</t>
        </is>
      </c>
      <c r="I1108" s="1393" t="inlineStr">
        <is>
          <t>-</t>
        </is>
      </c>
      <c r="J1108" s="1393" t="inlineStr">
        <is>
          <t>-</t>
        </is>
      </c>
      <c r="K1108" s="1395">
        <f>IF(raw[[#This Row],[city]]&lt;&gt;"",_xlfn.XLOOKUP($D1108,ccc[city],ccc[prov],"-"),"-")</f>
        <v/>
      </c>
      <c r="L1108" s="1395">
        <f>IF(raw[[#This Row],[city]]&lt;&gt;"",_xlfn.XLOOKUP($D1108,ccc[city],ccc[ctry],"-"),"-")</f>
        <v/>
      </c>
      <c r="M1108" s="1395">
        <f>IF(raw[[#This Row],[city]]&lt;&gt;"",_xlfn.XLOOKUP($D1108,ccc[city],ccc[cont],"-"),"-")</f>
        <v/>
      </c>
      <c r="N1108" s="1396">
        <f>IF(raw[[#This Row],[city]]="","-",IF(raw[[#This Row],[cont]]="B",raw[[#This Row],[cont]],"W"))</f>
        <v/>
      </c>
      <c r="O1108" s="1397">
        <f>IF(raw[[#This Row],[out]]=0,0,IF(raw[[#This Row],[out]]=raw[[#This Row],[in]],0.01,raw[[#This Row],[out]]-raw[[#This Row],[in]]))</f>
        <v/>
      </c>
      <c r="P1108" s="1397">
        <f>IF(raw[[#This Row],[in]]=0,0,MONTH(raw[[#This Row],[in]]))</f>
        <v/>
      </c>
      <c r="Q1108" s="1397">
        <f>IF(raw[[#This Row],[in]]=0,0,YEAR(raw[[#This Row],[in]]))</f>
        <v/>
      </c>
      <c r="R1108" s="1397">
        <f>INT(raw[[#This Row],[yr]]/10)*10</f>
        <v/>
      </c>
      <c r="S1108" s="1395">
        <f>IF(raw[[#This Row],[city]]="","-",IF(raw[[#This Row],[city]]&lt;&gt;_xlfn.XLOOKUP(raw[[#This Row],[home]],homes[home],homes[city],"-"),1,0))</f>
        <v/>
      </c>
      <c r="T1108" s="1398" t="inlineStr">
        <is>
          <t>.</t>
        </is>
      </c>
      <c r="U1108" s="1399">
        <f>IF(raw[[#This Row],[wb]]="w",raw[[#This Row],[stay]]+U1107,U1107)</f>
        <v/>
      </c>
      <c r="V1108" s="1400">
        <f>IF(raw[[#This Row],[out]]=0,V1107,(raw[[#This Row],[out]]-E$5))</f>
        <v/>
      </c>
      <c r="W1108" s="1401">
        <f>U1108/V1108</f>
        <v/>
      </c>
      <c r="X1108" s="1392" t="n"/>
      <c r="Y1108" s="1392" t="n"/>
      <c r="Z1108" s="1392" t="n"/>
      <c r="AA1108" s="1392" t="n"/>
      <c r="AB1108" s="1392" t="n"/>
      <c r="AC1108" s="1392" t="n"/>
      <c r="AD1108" s="1392" t="n"/>
      <c r="AE1108" s="1392" t="n"/>
      <c r="AF1108" s="1392" t="n"/>
      <c r="AG1108" s="1392" t="n"/>
      <c r="AH1108" s="1392" t="n"/>
      <c r="AI1108" s="1392" t="n"/>
      <c r="AJ1108" s="1392" t="n"/>
      <c r="AK1108" s="1392" t="n"/>
      <c r="AL1108" s="1392" t="n"/>
      <c r="AM1108" s="1392" t="n"/>
      <c r="AN1108" s="1392" t="n"/>
      <c r="AO1108" s="1392" t="n"/>
      <c r="AP1108" s="1392" t="n"/>
      <c r="AQ1108" s="1392" t="n"/>
      <c r="AR1108" s="1422" t="n"/>
      <c r="AS1108" s="1422" t="n"/>
      <c r="AT1108" s="1392" t="n"/>
      <c r="AU1108" s="1392" t="n"/>
      <c r="AV1108" s="1392" t="n"/>
      <c r="AW1108" s="1392" t="n"/>
      <c r="AX1108" s="1392" t="n"/>
      <c r="AY1108" s="1392" t="n"/>
      <c r="AZ1108" s="1392" t="n"/>
      <c r="BA1108" s="1422" t="n"/>
      <c r="BB1108" s="1422" t="n"/>
      <c r="BC1108" s="1392" t="n"/>
      <c r="BD1108" s="1392" t="n"/>
      <c r="BE1108" s="1392" t="n"/>
      <c r="BF1108" s="1392" t="n"/>
      <c r="BG1108" s="1392" t="n"/>
      <c r="BH1108" s="1392" t="n"/>
      <c r="BI1108" s="1392" t="n"/>
      <c r="BJ1108" s="1392" t="n"/>
      <c r="BK1108" s="1392" t="n"/>
      <c r="BL1108" s="1392" t="n"/>
      <c r="BM1108" s="1392" t="n"/>
      <c r="BN1108" s="1392" t="n"/>
      <c r="BO1108" s="1392" t="n"/>
      <c r="BP1108" s="1392" t="n"/>
      <c r="BQ1108" s="1392" t="n"/>
      <c r="BR1108" s="1392" t="n"/>
      <c r="BS1108" s="1392" t="n"/>
      <c r="BT1108" s="1392" t="n"/>
      <c r="BU1108" s="1392" t="n"/>
      <c r="BV1108" s="1392" t="n"/>
      <c r="BW1108" s="1392" t="n"/>
      <c r="BX1108" s="1392" t="n"/>
      <c r="BY1108" s="1392" t="n"/>
      <c r="BZ1108" s="1392" t="n"/>
      <c r="CA1108" s="1392" t="n"/>
      <c r="CB1108" s="1392" t="n"/>
      <c r="CC1108" s="1392" t="n"/>
      <c r="CD1108" s="1392" t="n"/>
      <c r="CE1108" s="1392" t="n"/>
      <c r="CF1108" s="1392" t="n"/>
      <c r="CG1108" s="1392" t="n"/>
      <c r="CH1108" s="1392" t="n"/>
      <c r="CI1108" s="1392" t="n"/>
      <c r="CJ1108" s="1392" t="n"/>
      <c r="CK1108" s="1392" t="n"/>
      <c r="CL1108" s="1392" t="n"/>
    </row>
    <row r="1109">
      <c r="A1109" s="5" t="inlineStr">
        <is>
          <t>.</t>
        </is>
      </c>
      <c r="B1109" s="5" t="inlineStr">
        <is>
          <t>.</t>
        </is>
      </c>
      <c r="C1109" s="1378">
        <f>IF(raw[[#This Row],[city]]="","-",IF(raw[[#This Row],[city]]="TODAY","-",C1108+1))</f>
        <v/>
      </c>
      <c r="D1109" s="1393" t="inlineStr">
        <is>
          <t>SSA</t>
        </is>
      </c>
      <c r="E1109" s="1394" t="n">
        <v>39753</v>
      </c>
      <c r="F1109" s="1394" t="n">
        <v>39754</v>
      </c>
      <c r="G1109" s="1393" t="n">
        <v>1</v>
      </c>
      <c r="H1109" s="1393" t="inlineStr">
        <is>
          <t>Summer Flat</t>
        </is>
      </c>
      <c r="I1109" s="1393" t="inlineStr">
        <is>
          <t>-</t>
        </is>
      </c>
      <c r="J1109" s="1393" t="inlineStr">
        <is>
          <t>-</t>
        </is>
      </c>
      <c r="K1109" s="1395">
        <f>IF(raw[[#This Row],[city]]&lt;&gt;"",_xlfn.XLOOKUP($D1109,ccc[city],ccc[prov],"-"),"-")</f>
        <v/>
      </c>
      <c r="L1109" s="1395">
        <f>IF(raw[[#This Row],[city]]&lt;&gt;"",_xlfn.XLOOKUP($D1109,ccc[city],ccc[ctry],"-"),"-")</f>
        <v/>
      </c>
      <c r="M1109" s="1395">
        <f>IF(raw[[#This Row],[city]]&lt;&gt;"",_xlfn.XLOOKUP($D1109,ccc[city],ccc[cont],"-"),"-")</f>
        <v/>
      </c>
      <c r="N1109" s="1396">
        <f>IF(raw[[#This Row],[city]]="","-",IF(raw[[#This Row],[cont]]="B",raw[[#This Row],[cont]],"W"))</f>
        <v/>
      </c>
      <c r="O1109" s="1397">
        <f>IF(raw[[#This Row],[out]]=0,0,IF(raw[[#This Row],[out]]=raw[[#This Row],[in]],0.01,raw[[#This Row],[out]]-raw[[#This Row],[in]]))</f>
        <v/>
      </c>
      <c r="P1109" s="1397">
        <f>IF(raw[[#This Row],[in]]=0,0,MONTH(raw[[#This Row],[in]]))</f>
        <v/>
      </c>
      <c r="Q1109" s="1397">
        <f>IF(raw[[#This Row],[in]]=0,0,YEAR(raw[[#This Row],[in]]))</f>
        <v/>
      </c>
      <c r="R1109" s="1397">
        <f>INT(raw[[#This Row],[yr]]/10)*10</f>
        <v/>
      </c>
      <c r="S1109" s="1395">
        <f>IF(raw[[#This Row],[city]]="","-",IF(raw[[#This Row],[city]]&lt;&gt;_xlfn.XLOOKUP(raw[[#This Row],[home]],homes[home],homes[city],"-"),1,0))</f>
        <v/>
      </c>
      <c r="T1109" s="1398" t="inlineStr">
        <is>
          <t>.</t>
        </is>
      </c>
      <c r="U1109" s="1399">
        <f>IF(raw[[#This Row],[wb]]="w",raw[[#This Row],[stay]]+U1108,U1108)</f>
        <v/>
      </c>
      <c r="V1109" s="1400">
        <f>IF(raw[[#This Row],[out]]=0,V1108,(raw[[#This Row],[out]]-E$5))</f>
        <v/>
      </c>
      <c r="W1109" s="1401">
        <f>U1109/V1109</f>
        <v/>
      </c>
      <c r="X1109" s="1392" t="n"/>
      <c r="Y1109" s="1392" t="n"/>
      <c r="Z1109" s="1392" t="n"/>
      <c r="AA1109" s="1392" t="n"/>
      <c r="AB1109" s="1392" t="n"/>
      <c r="AC1109" s="1392" t="n"/>
      <c r="AD1109" s="1392" t="n"/>
      <c r="AE1109" s="1392" t="n"/>
      <c r="AF1109" s="1392" t="n"/>
      <c r="AG1109" s="1392" t="n"/>
      <c r="AH1109" s="1392" t="n"/>
      <c r="AI1109" s="1392" t="n"/>
      <c r="AJ1109" s="1392" t="n"/>
      <c r="AK1109" s="1392" t="n"/>
      <c r="AL1109" s="1392" t="n"/>
      <c r="AM1109" s="1392" t="n"/>
      <c r="AN1109" s="1392" t="n"/>
      <c r="AO1109" s="1392" t="n"/>
      <c r="AP1109" s="1392" t="n"/>
      <c r="AQ1109" s="1392" t="n"/>
      <c r="AR1109" s="1422" t="n"/>
      <c r="AS1109" s="1422" t="n"/>
      <c r="AT1109" s="1392" t="n"/>
      <c r="AU1109" s="1392" t="n"/>
      <c r="AV1109" s="1392" t="n"/>
      <c r="AW1109" s="1392" t="n"/>
      <c r="AX1109" s="1392" t="n"/>
      <c r="AY1109" s="1392" t="n"/>
      <c r="AZ1109" s="1392" t="n"/>
      <c r="BA1109" s="1422" t="n"/>
      <c r="BB1109" s="1422" t="n"/>
      <c r="BC1109" s="1392" t="n"/>
      <c r="BD1109" s="1392" t="n"/>
      <c r="BE1109" s="1392" t="n"/>
      <c r="BF1109" s="1392" t="n"/>
      <c r="BG1109" s="1392" t="n"/>
      <c r="BH1109" s="1392" t="n"/>
      <c r="BI1109" s="1392" t="n"/>
      <c r="BJ1109" s="1392" t="n"/>
      <c r="BK1109" s="1392" t="n"/>
      <c r="BL1109" s="1392" t="n"/>
      <c r="BM1109" s="1392" t="n"/>
      <c r="BN1109" s="1392" t="n"/>
      <c r="BO1109" s="1392" t="n"/>
      <c r="BP1109" s="1392" t="n"/>
      <c r="BQ1109" s="1392" t="n"/>
      <c r="BR1109" s="1392" t="n"/>
      <c r="BS1109" s="1392" t="n"/>
      <c r="BT1109" s="1392" t="n"/>
      <c r="BU1109" s="1392" t="n"/>
      <c r="BV1109" s="1392" t="n"/>
      <c r="BW1109" s="1392" t="n"/>
      <c r="BX1109" s="1392" t="n"/>
      <c r="BY1109" s="1392" t="n"/>
      <c r="BZ1109" s="1392" t="n"/>
      <c r="CA1109" s="1392" t="n"/>
      <c r="CB1109" s="1392" t="n"/>
      <c r="CC1109" s="1392" t="n"/>
      <c r="CD1109" s="1392" t="n"/>
      <c r="CE1109" s="1392" t="n"/>
      <c r="CF1109" s="1392" t="n"/>
      <c r="CG1109" s="1392" t="n"/>
      <c r="CH1109" s="1392" t="n"/>
      <c r="CI1109" s="1392" t="n"/>
      <c r="CJ1109" s="1392" t="n"/>
      <c r="CK1109" s="1392" t="n"/>
      <c r="CL1109" s="1392" t="n"/>
    </row>
    <row r="1110">
      <c r="A1110" s="5" t="inlineStr">
        <is>
          <t>.</t>
        </is>
      </c>
      <c r="B1110" s="5" t="inlineStr">
        <is>
          <t>.</t>
        </is>
      </c>
      <c r="C1110" s="1378">
        <f>IF(raw[[#This Row],[city]]="","-",IF(raw[[#This Row],[city]]="TODAY","-",C1109+1))</f>
        <v/>
      </c>
      <c r="D1110" s="1393" t="inlineStr">
        <is>
          <t>SP</t>
        </is>
      </c>
      <c r="E1110" s="1394" t="n">
        <v>39754</v>
      </c>
      <c r="F1110" s="1394" t="n">
        <v>39754</v>
      </c>
      <c r="G1110" s="1393" t="n">
        <v>1</v>
      </c>
      <c r="H1110" s="1393" t="inlineStr">
        <is>
          <t>Summer Flat</t>
        </is>
      </c>
      <c r="I1110" s="1393" t="inlineStr">
        <is>
          <t>-</t>
        </is>
      </c>
      <c r="J1110" s="1393" t="inlineStr">
        <is>
          <t>-</t>
        </is>
      </c>
      <c r="K1110" s="1395">
        <f>IF(raw[[#This Row],[city]]&lt;&gt;"",_xlfn.XLOOKUP($D1110,ccc[city],ccc[prov],"-"),"-")</f>
        <v/>
      </c>
      <c r="L1110" s="1395">
        <f>IF(raw[[#This Row],[city]]&lt;&gt;"",_xlfn.XLOOKUP($D1110,ccc[city],ccc[ctry],"-"),"-")</f>
        <v/>
      </c>
      <c r="M1110" s="1395">
        <f>IF(raw[[#This Row],[city]]&lt;&gt;"",_xlfn.XLOOKUP($D1110,ccc[city],ccc[cont],"-"),"-")</f>
        <v/>
      </c>
      <c r="N1110" s="1396">
        <f>IF(raw[[#This Row],[city]]="","-",IF(raw[[#This Row],[cont]]="B",raw[[#This Row],[cont]],"W"))</f>
        <v/>
      </c>
      <c r="O1110" s="1397">
        <f>IF(raw[[#This Row],[out]]=0,0,IF(raw[[#This Row],[out]]=raw[[#This Row],[in]],0.01,raw[[#This Row],[out]]-raw[[#This Row],[in]]))</f>
        <v/>
      </c>
      <c r="P1110" s="1397">
        <f>IF(raw[[#This Row],[in]]=0,0,MONTH(raw[[#This Row],[in]]))</f>
        <v/>
      </c>
      <c r="Q1110" s="1397">
        <f>IF(raw[[#This Row],[in]]=0,0,YEAR(raw[[#This Row],[in]]))</f>
        <v/>
      </c>
      <c r="R1110" s="1397">
        <f>INT(raw[[#This Row],[yr]]/10)*10</f>
        <v/>
      </c>
      <c r="S1110" s="1395">
        <f>IF(raw[[#This Row],[city]]="","-",IF(raw[[#This Row],[city]]&lt;&gt;_xlfn.XLOOKUP(raw[[#This Row],[home]],homes[home],homes[city],"-"),1,0))</f>
        <v/>
      </c>
      <c r="T1110" s="1398" t="inlineStr">
        <is>
          <t>.</t>
        </is>
      </c>
      <c r="U1110" s="1399">
        <f>IF(raw[[#This Row],[wb]]="w",raw[[#This Row],[stay]]+U1109,U1109)</f>
        <v/>
      </c>
      <c r="V1110" s="1400">
        <f>IF(raw[[#This Row],[out]]=0,V1109,(raw[[#This Row],[out]]-E$5))</f>
        <v/>
      </c>
      <c r="W1110" s="1401">
        <f>U1110/V1110</f>
        <v/>
      </c>
      <c r="X1110" s="1392" t="n"/>
      <c r="Y1110" s="1392" t="n"/>
      <c r="Z1110" s="1392" t="n"/>
      <c r="AA1110" s="1392" t="n"/>
      <c r="AB1110" s="1392" t="n"/>
      <c r="AC1110" s="1392" t="n"/>
      <c r="AD1110" s="1392" t="n"/>
      <c r="AE1110" s="1392" t="n"/>
      <c r="AF1110" s="1392" t="n"/>
      <c r="AG1110" s="1392" t="n"/>
      <c r="AH1110" s="1392" t="n"/>
      <c r="AI1110" s="1392" t="n"/>
      <c r="AJ1110" s="1392" t="n"/>
      <c r="AK1110" s="1392" t="n"/>
      <c r="AL1110" s="1392" t="n"/>
      <c r="AM1110" s="1392" t="n"/>
      <c r="AN1110" s="1392" t="n"/>
      <c r="AO1110" s="1392" t="n"/>
      <c r="AP1110" s="1392" t="n"/>
      <c r="AQ1110" s="1392" t="n"/>
      <c r="AR1110" s="1422" t="n"/>
      <c r="AS1110" s="1422" t="n"/>
      <c r="AT1110" s="1392" t="n"/>
      <c r="AU1110" s="1392" t="n"/>
      <c r="AV1110" s="1392" t="n"/>
      <c r="AW1110" s="1392" t="n"/>
      <c r="AX1110" s="1392" t="n"/>
      <c r="AY1110" s="1392" t="n"/>
      <c r="AZ1110" s="1392" t="n"/>
      <c r="BA1110" s="1422" t="n"/>
      <c r="BB1110" s="1422" t="n"/>
      <c r="BC1110" s="1392" t="n"/>
      <c r="BD1110" s="1392" t="n"/>
      <c r="BE1110" s="1392" t="n"/>
      <c r="BF1110" s="1392" t="n"/>
      <c r="BG1110" s="1392" t="n"/>
      <c r="BH1110" s="1392" t="n"/>
      <c r="BI1110" s="1392" t="n"/>
      <c r="BJ1110" s="1392" t="n"/>
      <c r="BK1110" s="1392" t="n"/>
      <c r="BL1110" s="1392" t="n"/>
      <c r="BM1110" s="1392" t="n"/>
      <c r="BN1110" s="1392" t="n"/>
      <c r="BO1110" s="1392" t="n"/>
      <c r="BP1110" s="1392" t="n"/>
      <c r="BQ1110" s="1392" t="n"/>
      <c r="BR1110" s="1392" t="n"/>
      <c r="BS1110" s="1392" t="n"/>
      <c r="BT1110" s="1392" t="n"/>
      <c r="BU1110" s="1392" t="n"/>
      <c r="BV1110" s="1392" t="n"/>
      <c r="BW1110" s="1392" t="n"/>
      <c r="BX1110" s="1392" t="n"/>
      <c r="BY1110" s="1392" t="n"/>
      <c r="BZ1110" s="1392" t="n"/>
      <c r="CA1110" s="1392" t="n"/>
      <c r="CB1110" s="1392" t="n"/>
      <c r="CC1110" s="1392" t="n"/>
      <c r="CD1110" s="1392" t="n"/>
      <c r="CE1110" s="1392" t="n"/>
      <c r="CF1110" s="1392" t="n"/>
      <c r="CG1110" s="1392" t="n"/>
      <c r="CH1110" s="1392" t="n"/>
      <c r="CI1110" s="1392" t="n"/>
      <c r="CJ1110" s="1392" t="n"/>
      <c r="CK1110" s="1392" t="n"/>
      <c r="CL1110" s="1392" t="n"/>
    </row>
    <row r="1111">
      <c r="A1111" s="5" t="inlineStr">
        <is>
          <t>.</t>
        </is>
      </c>
      <c r="B1111" s="5" t="inlineStr">
        <is>
          <t>.</t>
        </is>
      </c>
      <c r="C1111" s="1378">
        <f>IF(raw[[#This Row],[city]]="","-",IF(raw[[#This Row],[city]]="TODAY","-",C1110+1))</f>
        <v/>
      </c>
      <c r="D1111" s="1393" t="inlineStr">
        <is>
          <t>SSA</t>
        </is>
      </c>
      <c r="E1111" s="1394" t="n">
        <v>39754</v>
      </c>
      <c r="F1111" s="1394" t="n">
        <v>39759</v>
      </c>
      <c r="G1111" s="1393" t="inlineStr">
        <is>
          <t>-</t>
        </is>
      </c>
      <c r="H1111" s="1393" t="inlineStr">
        <is>
          <t>Summer Flat</t>
        </is>
      </c>
      <c r="I1111" s="1393" t="inlineStr">
        <is>
          <t>-</t>
        </is>
      </c>
      <c r="J1111" s="1393" t="inlineStr">
        <is>
          <t>-</t>
        </is>
      </c>
      <c r="K1111" s="1395">
        <f>IF(raw[[#This Row],[city]]&lt;&gt;"",_xlfn.XLOOKUP($D1111,ccc[city],ccc[prov],"-"),"-")</f>
        <v/>
      </c>
      <c r="L1111" s="1395">
        <f>IF(raw[[#This Row],[city]]&lt;&gt;"",_xlfn.XLOOKUP($D1111,ccc[city],ccc[ctry],"-"),"-")</f>
        <v/>
      </c>
      <c r="M1111" s="1395">
        <f>IF(raw[[#This Row],[city]]&lt;&gt;"",_xlfn.XLOOKUP($D1111,ccc[city],ccc[cont],"-"),"-")</f>
        <v/>
      </c>
      <c r="N1111" s="1396">
        <f>IF(raw[[#This Row],[city]]="","-",IF(raw[[#This Row],[cont]]="B",raw[[#This Row],[cont]],"W"))</f>
        <v/>
      </c>
      <c r="O1111" s="1397">
        <f>IF(raw[[#This Row],[out]]=0,0,IF(raw[[#This Row],[out]]=raw[[#This Row],[in]],0.01,raw[[#This Row],[out]]-raw[[#This Row],[in]]))</f>
        <v/>
      </c>
      <c r="P1111" s="1397">
        <f>IF(raw[[#This Row],[in]]=0,0,MONTH(raw[[#This Row],[in]]))</f>
        <v/>
      </c>
      <c r="Q1111" s="1397">
        <f>IF(raw[[#This Row],[in]]=0,0,YEAR(raw[[#This Row],[in]]))</f>
        <v/>
      </c>
      <c r="R1111" s="1397">
        <f>INT(raw[[#This Row],[yr]]/10)*10</f>
        <v/>
      </c>
      <c r="S1111" s="1395">
        <f>IF(raw[[#This Row],[city]]="","-",IF(raw[[#This Row],[city]]&lt;&gt;_xlfn.XLOOKUP(raw[[#This Row],[home]],homes[home],homes[city],"-"),1,0))</f>
        <v/>
      </c>
      <c r="T1111" s="1398" t="inlineStr">
        <is>
          <t>.</t>
        </is>
      </c>
      <c r="U1111" s="1399">
        <f>IF(raw[[#This Row],[wb]]="w",raw[[#This Row],[stay]]+U1110,U1110)</f>
        <v/>
      </c>
      <c r="V1111" s="1400">
        <f>IF(raw[[#This Row],[out]]=0,V1110,(raw[[#This Row],[out]]-E$5))</f>
        <v/>
      </c>
      <c r="W1111" s="1401">
        <f>U1111/V1111</f>
        <v/>
      </c>
      <c r="X1111" s="1392" t="n"/>
      <c r="Y1111" s="1392" t="n"/>
      <c r="Z1111" s="1392" t="n"/>
      <c r="AA1111" s="1392" t="n"/>
      <c r="AB1111" s="1392" t="n"/>
      <c r="AC1111" s="1392" t="n"/>
      <c r="AD1111" s="1392" t="n"/>
      <c r="AE1111" s="1392" t="n"/>
      <c r="AF1111" s="1392" t="n"/>
      <c r="AG1111" s="1392" t="n"/>
      <c r="AH1111" s="1392" t="n"/>
      <c r="AI1111" s="1392" t="n"/>
      <c r="AJ1111" s="1392" t="n"/>
      <c r="AK1111" s="1392" t="n"/>
      <c r="AL1111" s="1392" t="n"/>
      <c r="AM1111" s="1392" t="n"/>
      <c r="AN1111" s="1392" t="n"/>
      <c r="AO1111" s="1392" t="n"/>
      <c r="AP1111" s="1392" t="n"/>
      <c r="AQ1111" s="1392" t="n"/>
      <c r="AR1111" s="1422" t="n"/>
      <c r="AS1111" s="1422" t="n"/>
      <c r="AT1111" s="1392" t="n"/>
      <c r="AU1111" s="1392" t="n"/>
      <c r="AV1111" s="1392" t="n"/>
      <c r="AW1111" s="1392" t="n"/>
      <c r="AX1111" s="1392" t="n"/>
      <c r="AY1111" s="1392" t="n"/>
      <c r="AZ1111" s="1392" t="n"/>
      <c r="BA1111" s="1422" t="n"/>
      <c r="BB1111" s="1422" t="n"/>
      <c r="BC1111" s="1392" t="n"/>
      <c r="BD1111" s="1392" t="n"/>
      <c r="BE1111" s="1392" t="n"/>
      <c r="BF1111" s="1392" t="n"/>
      <c r="BG1111" s="1392" t="n"/>
      <c r="BH1111" s="1392" t="n"/>
      <c r="BI1111" s="1392" t="n"/>
      <c r="BJ1111" s="1392" t="n"/>
      <c r="BK1111" s="1392" t="n"/>
      <c r="BL1111" s="1392" t="n"/>
      <c r="BM1111" s="1392" t="n"/>
      <c r="BN1111" s="1392" t="n"/>
      <c r="BO1111" s="1392" t="n"/>
      <c r="BP1111" s="1392" t="n"/>
      <c r="BQ1111" s="1392" t="n"/>
      <c r="BR1111" s="1392" t="n"/>
      <c r="BS1111" s="1392" t="n"/>
      <c r="BT1111" s="1392" t="n"/>
      <c r="BU1111" s="1392" t="n"/>
      <c r="BV1111" s="1392" t="n"/>
      <c r="BW1111" s="1392" t="n"/>
      <c r="BX1111" s="1392" t="n"/>
      <c r="BY1111" s="1392" t="n"/>
      <c r="BZ1111" s="1392" t="n"/>
      <c r="CA1111" s="1392" t="n"/>
      <c r="CB1111" s="1392" t="n"/>
      <c r="CC1111" s="1392" t="n"/>
      <c r="CD1111" s="1392" t="n"/>
      <c r="CE1111" s="1392" t="n"/>
      <c r="CF1111" s="1392" t="n"/>
      <c r="CG1111" s="1392" t="n"/>
      <c r="CH1111" s="1392" t="n"/>
      <c r="CI1111" s="1392" t="n"/>
      <c r="CJ1111" s="1392" t="n"/>
      <c r="CK1111" s="1392" t="n"/>
      <c r="CL1111" s="1392" t="n"/>
    </row>
    <row r="1112">
      <c r="A1112" s="5" t="inlineStr">
        <is>
          <t>.</t>
        </is>
      </c>
      <c r="B1112" s="5" t="inlineStr">
        <is>
          <t>.</t>
        </is>
      </c>
      <c r="C1112" s="1378">
        <f>IF(raw[[#This Row],[city]]="","-",IF(raw[[#This Row],[city]]="TODAY","-",C1111+1))</f>
        <v/>
      </c>
      <c r="D1112" s="1393" t="inlineStr">
        <is>
          <t>SSA</t>
        </is>
      </c>
      <c r="E1112" s="1394" t="n">
        <v>39759</v>
      </c>
      <c r="F1112" s="1394" t="n">
        <v>39767</v>
      </c>
      <c r="G1112" s="1393" t="inlineStr">
        <is>
          <t>-</t>
        </is>
      </c>
      <c r="H1112" s="1393" t="inlineStr">
        <is>
          <t>Summer Flat</t>
        </is>
      </c>
      <c r="I1112" s="1393" t="inlineStr">
        <is>
          <t>-</t>
        </is>
      </c>
      <c r="J1112" s="1393" t="inlineStr">
        <is>
          <t>-</t>
        </is>
      </c>
      <c r="K1112" s="1395">
        <f>IF(raw[[#This Row],[city]]&lt;&gt;"",_xlfn.XLOOKUP($D1112,ccc[city],ccc[prov],"-"),"-")</f>
        <v/>
      </c>
      <c r="L1112" s="1395">
        <f>IF(raw[[#This Row],[city]]&lt;&gt;"",_xlfn.XLOOKUP($D1112,ccc[city],ccc[ctry],"-"),"-")</f>
        <v/>
      </c>
      <c r="M1112" s="1395">
        <f>IF(raw[[#This Row],[city]]&lt;&gt;"",_xlfn.XLOOKUP($D1112,ccc[city],ccc[cont],"-"),"-")</f>
        <v/>
      </c>
      <c r="N1112" s="1396">
        <f>IF(raw[[#This Row],[city]]="","-",IF(raw[[#This Row],[cont]]="B",raw[[#This Row],[cont]],"W"))</f>
        <v/>
      </c>
      <c r="O1112" s="1397">
        <f>IF(raw[[#This Row],[out]]=0,0,IF(raw[[#This Row],[out]]=raw[[#This Row],[in]],0.01,raw[[#This Row],[out]]-raw[[#This Row],[in]]))</f>
        <v/>
      </c>
      <c r="P1112" s="1397">
        <f>IF(raw[[#This Row],[in]]=0,0,MONTH(raw[[#This Row],[in]]))</f>
        <v/>
      </c>
      <c r="Q1112" s="1397">
        <f>IF(raw[[#This Row],[in]]=0,0,YEAR(raw[[#This Row],[in]]))</f>
        <v/>
      </c>
      <c r="R1112" s="1397">
        <f>INT(raw[[#This Row],[yr]]/10)*10</f>
        <v/>
      </c>
      <c r="S1112" s="1395">
        <f>IF(raw[[#This Row],[city]]="","-",IF(raw[[#This Row],[city]]&lt;&gt;_xlfn.XLOOKUP(raw[[#This Row],[home]],homes[home],homes[city],"-"),1,0))</f>
        <v/>
      </c>
      <c r="T1112" s="1398" t="inlineStr">
        <is>
          <t>.</t>
        </is>
      </c>
      <c r="U1112" s="1399">
        <f>IF(raw[[#This Row],[wb]]="w",raw[[#This Row],[stay]]+U1111,U1111)</f>
        <v/>
      </c>
      <c r="V1112" s="1400">
        <f>IF(raw[[#This Row],[out]]=0,V1111,(raw[[#This Row],[out]]-E$5))</f>
        <v/>
      </c>
      <c r="W1112" s="1401">
        <f>U1112/V1112</f>
        <v/>
      </c>
      <c r="X1112" s="1392" t="n"/>
      <c r="Y1112" s="1392" t="n"/>
      <c r="Z1112" s="1392" t="n"/>
      <c r="AA1112" s="1392" t="n"/>
      <c r="AB1112" s="1392" t="n"/>
      <c r="AC1112" s="1392" t="n"/>
      <c r="AD1112" s="1392" t="n"/>
      <c r="AE1112" s="1392" t="n"/>
      <c r="AF1112" s="1392" t="n"/>
      <c r="AG1112" s="1392" t="n"/>
      <c r="AH1112" s="1392" t="n"/>
      <c r="AI1112" s="1392" t="n"/>
      <c r="AJ1112" s="1392" t="n"/>
      <c r="AK1112" s="1392" t="n"/>
      <c r="AL1112" s="1392" t="n"/>
      <c r="AM1112" s="1392" t="n"/>
      <c r="AN1112" s="1392" t="n"/>
      <c r="AO1112" s="1392" t="n"/>
      <c r="AP1112" s="1392" t="n"/>
      <c r="AQ1112" s="1392" t="n"/>
      <c r="AR1112" s="1422" t="n"/>
      <c r="AS1112" s="1422" t="n"/>
      <c r="AT1112" s="1392" t="n"/>
      <c r="AU1112" s="1392" t="n"/>
      <c r="AV1112" s="1392" t="n"/>
      <c r="AW1112" s="1392" t="n"/>
      <c r="AX1112" s="1392" t="n"/>
      <c r="AY1112" s="1392" t="n"/>
      <c r="AZ1112" s="1392" t="n"/>
      <c r="BA1112" s="1422" t="n"/>
      <c r="BB1112" s="1422" t="n"/>
      <c r="BC1112" s="1392" t="n"/>
      <c r="BD1112" s="1392" t="n"/>
      <c r="BE1112" s="1392" t="n"/>
      <c r="BF1112" s="1392" t="n"/>
      <c r="BG1112" s="1392" t="n"/>
      <c r="BH1112" s="1392" t="n"/>
      <c r="BI1112" s="1392" t="n"/>
      <c r="BJ1112" s="1392" t="n"/>
      <c r="BK1112" s="1392" t="n"/>
      <c r="BL1112" s="1392" t="n"/>
      <c r="BM1112" s="1392" t="n"/>
      <c r="BN1112" s="1392" t="n"/>
      <c r="BO1112" s="1392" t="n"/>
      <c r="BP1112" s="1392" t="n"/>
      <c r="BQ1112" s="1392" t="n"/>
      <c r="BR1112" s="1392" t="n"/>
      <c r="BS1112" s="1392" t="n"/>
      <c r="BT1112" s="1392" t="n"/>
      <c r="BU1112" s="1392" t="n"/>
      <c r="BV1112" s="1392" t="n"/>
      <c r="BW1112" s="1392" t="n"/>
      <c r="BX1112" s="1392" t="n"/>
      <c r="BY1112" s="1392" t="n"/>
      <c r="BZ1112" s="1392" t="n"/>
      <c r="CA1112" s="1392" t="n"/>
      <c r="CB1112" s="1392" t="n"/>
      <c r="CC1112" s="1392" t="n"/>
      <c r="CD1112" s="1392" t="n"/>
      <c r="CE1112" s="1392" t="n"/>
      <c r="CF1112" s="1392" t="n"/>
      <c r="CG1112" s="1392" t="n"/>
      <c r="CH1112" s="1392" t="n"/>
      <c r="CI1112" s="1392" t="n"/>
      <c r="CJ1112" s="1392" t="n"/>
      <c r="CK1112" s="1392" t="n"/>
      <c r="CL1112" s="1392" t="n"/>
    </row>
    <row r="1113">
      <c r="A1113" s="5" t="inlineStr">
        <is>
          <t>.</t>
        </is>
      </c>
      <c r="B1113" s="5" t="inlineStr">
        <is>
          <t>.</t>
        </is>
      </c>
      <c r="C1113" s="1378">
        <f>IF(raw[[#This Row],[city]]="","-",IF(raw[[#This Row],[city]]="TODAY","-",C1112+1))</f>
        <v/>
      </c>
      <c r="D1113" s="1393" t="inlineStr">
        <is>
          <t>Aracaju</t>
        </is>
      </c>
      <c r="E1113" s="1394" t="n">
        <v>39767</v>
      </c>
      <c r="F1113" s="1394" t="n">
        <v>39769</v>
      </c>
      <c r="G1113" s="1393" t="inlineStr">
        <is>
          <t>-</t>
        </is>
      </c>
      <c r="H1113" s="1393" t="inlineStr">
        <is>
          <t>Summer Flat</t>
        </is>
      </c>
      <c r="I1113" s="1393" t="inlineStr">
        <is>
          <t>-</t>
        </is>
      </c>
      <c r="J1113" s="1393" t="inlineStr">
        <is>
          <t>-</t>
        </is>
      </c>
      <c r="K1113" s="1395">
        <f>IF(raw[[#This Row],[city]]&lt;&gt;"",_xlfn.XLOOKUP($D1113,ccc[city],ccc[prov],"-"),"-")</f>
        <v/>
      </c>
      <c r="L1113" s="1395">
        <f>IF(raw[[#This Row],[city]]&lt;&gt;"",_xlfn.XLOOKUP($D1113,ccc[city],ccc[ctry],"-"),"-")</f>
        <v/>
      </c>
      <c r="M1113" s="1395">
        <f>IF(raw[[#This Row],[city]]&lt;&gt;"",_xlfn.XLOOKUP($D1113,ccc[city],ccc[cont],"-"),"-")</f>
        <v/>
      </c>
      <c r="N1113" s="1396">
        <f>IF(raw[[#This Row],[city]]="","-",IF(raw[[#This Row],[cont]]="B",raw[[#This Row],[cont]],"W"))</f>
        <v/>
      </c>
      <c r="O1113" s="1397">
        <f>IF(raw[[#This Row],[out]]=0,0,IF(raw[[#This Row],[out]]=raw[[#This Row],[in]],0.01,raw[[#This Row],[out]]-raw[[#This Row],[in]]))</f>
        <v/>
      </c>
      <c r="P1113" s="1397">
        <f>IF(raw[[#This Row],[in]]=0,0,MONTH(raw[[#This Row],[in]]))</f>
        <v/>
      </c>
      <c r="Q1113" s="1397">
        <f>IF(raw[[#This Row],[in]]=0,0,YEAR(raw[[#This Row],[in]]))</f>
        <v/>
      </c>
      <c r="R1113" s="1397">
        <f>INT(raw[[#This Row],[yr]]/10)*10</f>
        <v/>
      </c>
      <c r="S1113" s="1395">
        <f>IF(raw[[#This Row],[city]]="","-",IF(raw[[#This Row],[city]]&lt;&gt;_xlfn.XLOOKUP(raw[[#This Row],[home]],homes[home],homes[city],"-"),1,0))</f>
        <v/>
      </c>
      <c r="T1113" s="1398" t="inlineStr">
        <is>
          <t>.</t>
        </is>
      </c>
      <c r="U1113" s="1399">
        <f>IF(raw[[#This Row],[wb]]="w",raw[[#This Row],[stay]]+U1112,U1112)</f>
        <v/>
      </c>
      <c r="V1113" s="1400">
        <f>IF(raw[[#This Row],[out]]=0,V1112,(raw[[#This Row],[out]]-E$5))</f>
        <v/>
      </c>
      <c r="W1113" s="1401">
        <f>U1113/V1113</f>
        <v/>
      </c>
      <c r="X1113" s="1392" t="n"/>
      <c r="Y1113" s="1392" t="n"/>
      <c r="Z1113" s="1392" t="n"/>
      <c r="AA1113" s="1392" t="n"/>
      <c r="AB1113" s="1392" t="n"/>
      <c r="AC1113" s="1392" t="n"/>
      <c r="AD1113" s="1392" t="n"/>
      <c r="AE1113" s="1392" t="n"/>
      <c r="AF1113" s="1392" t="n"/>
      <c r="AG1113" s="1392" t="n"/>
      <c r="AH1113" s="1392" t="n"/>
      <c r="AI1113" s="1392" t="n"/>
      <c r="AJ1113" s="1392" t="n"/>
      <c r="AK1113" s="1392" t="n"/>
      <c r="AL1113" s="1392" t="n"/>
      <c r="AM1113" s="1392" t="n"/>
      <c r="AN1113" s="1392" t="n"/>
      <c r="AO1113" s="1392" t="n"/>
      <c r="AP1113" s="1392" t="n"/>
      <c r="AQ1113" s="1392" t="n"/>
      <c r="AR1113" s="1422" t="n"/>
      <c r="AS1113" s="1422" t="n"/>
      <c r="AT1113" s="1392" t="n"/>
      <c r="AU1113" s="1392" t="n"/>
      <c r="AV1113" s="1392" t="n"/>
      <c r="AW1113" s="1392" t="n"/>
      <c r="AX1113" s="1392" t="n"/>
      <c r="AY1113" s="1392" t="n"/>
      <c r="AZ1113" s="1392" t="n"/>
      <c r="BA1113" s="1422" t="n"/>
      <c r="BB1113" s="1422" t="n"/>
      <c r="BC1113" s="1392" t="n"/>
      <c r="BD1113" s="1392" t="n"/>
      <c r="BE1113" s="1392" t="n"/>
      <c r="BF1113" s="1392" t="n"/>
      <c r="BG1113" s="1392" t="n"/>
      <c r="BH1113" s="1392" t="n"/>
      <c r="BI1113" s="1392" t="n"/>
      <c r="BJ1113" s="1392" t="n"/>
      <c r="BK1113" s="1392" t="n"/>
      <c r="BL1113" s="1392" t="n"/>
      <c r="BM1113" s="1392" t="n"/>
      <c r="BN1113" s="1392" t="n"/>
      <c r="BO1113" s="1392" t="n"/>
      <c r="BP1113" s="1392" t="n"/>
      <c r="BQ1113" s="1392" t="n"/>
      <c r="BR1113" s="1392" t="n"/>
      <c r="BS1113" s="1392" t="n"/>
      <c r="BT1113" s="1392" t="n"/>
      <c r="BU1113" s="1392" t="n"/>
      <c r="BV1113" s="1392" t="n"/>
      <c r="BW1113" s="1392" t="n"/>
      <c r="BX1113" s="1392" t="n"/>
      <c r="BY1113" s="1392" t="n"/>
      <c r="BZ1113" s="1392" t="n"/>
      <c r="CA1113" s="1392" t="n"/>
      <c r="CB1113" s="1392" t="n"/>
      <c r="CC1113" s="1392" t="n"/>
      <c r="CD1113" s="1392" t="n"/>
      <c r="CE1113" s="1392" t="n"/>
      <c r="CF1113" s="1392" t="n"/>
      <c r="CG1113" s="1392" t="n"/>
      <c r="CH1113" s="1392" t="n"/>
      <c r="CI1113" s="1392" t="n"/>
      <c r="CJ1113" s="1392" t="n"/>
      <c r="CK1113" s="1392" t="n"/>
      <c r="CL1113" s="1392" t="n"/>
    </row>
    <row r="1114">
      <c r="A1114" s="5" t="inlineStr">
        <is>
          <t>.</t>
        </is>
      </c>
      <c r="B1114" s="5" t="inlineStr">
        <is>
          <t>.</t>
        </is>
      </c>
      <c r="C1114" s="1378">
        <f>IF(raw[[#This Row],[city]]="","-",IF(raw[[#This Row],[city]]="TODAY","-",C1113+1))</f>
        <v/>
      </c>
      <c r="D1114" s="1393" t="inlineStr">
        <is>
          <t>SSA</t>
        </is>
      </c>
      <c r="E1114" s="1394" t="n">
        <v>39769</v>
      </c>
      <c r="F1114" s="1394" t="n">
        <v>39771</v>
      </c>
      <c r="G1114" s="1393" t="n">
        <v>1</v>
      </c>
      <c r="H1114" s="1393" t="inlineStr">
        <is>
          <t>Summer Flat</t>
        </is>
      </c>
      <c r="I1114" s="1393" t="inlineStr">
        <is>
          <t>-</t>
        </is>
      </c>
      <c r="J1114" s="1393" t="inlineStr">
        <is>
          <t>-</t>
        </is>
      </c>
      <c r="K1114" s="1395">
        <f>IF(raw[[#This Row],[city]]&lt;&gt;"",_xlfn.XLOOKUP($D1114,ccc[city],ccc[prov],"-"),"-")</f>
        <v/>
      </c>
      <c r="L1114" s="1395">
        <f>IF(raw[[#This Row],[city]]&lt;&gt;"",_xlfn.XLOOKUP($D1114,ccc[city],ccc[ctry],"-"),"-")</f>
        <v/>
      </c>
      <c r="M1114" s="1395">
        <f>IF(raw[[#This Row],[city]]&lt;&gt;"",_xlfn.XLOOKUP($D1114,ccc[city],ccc[cont],"-"),"-")</f>
        <v/>
      </c>
      <c r="N1114" s="1396">
        <f>IF(raw[[#This Row],[city]]="","-",IF(raw[[#This Row],[cont]]="B",raw[[#This Row],[cont]],"W"))</f>
        <v/>
      </c>
      <c r="O1114" s="1397">
        <f>IF(raw[[#This Row],[out]]=0,0,IF(raw[[#This Row],[out]]=raw[[#This Row],[in]],0.01,raw[[#This Row],[out]]-raw[[#This Row],[in]]))</f>
        <v/>
      </c>
      <c r="P1114" s="1397">
        <f>IF(raw[[#This Row],[in]]=0,0,MONTH(raw[[#This Row],[in]]))</f>
        <v/>
      </c>
      <c r="Q1114" s="1397">
        <f>IF(raw[[#This Row],[in]]=0,0,YEAR(raw[[#This Row],[in]]))</f>
        <v/>
      </c>
      <c r="R1114" s="1397">
        <f>INT(raw[[#This Row],[yr]]/10)*10</f>
        <v/>
      </c>
      <c r="S1114" s="1395">
        <f>IF(raw[[#This Row],[city]]="","-",IF(raw[[#This Row],[city]]&lt;&gt;_xlfn.XLOOKUP(raw[[#This Row],[home]],homes[home],homes[city],"-"),1,0))</f>
        <v/>
      </c>
      <c r="T1114" s="1398" t="inlineStr">
        <is>
          <t>.</t>
        </is>
      </c>
      <c r="U1114" s="1399">
        <f>IF(raw[[#This Row],[wb]]="w",raw[[#This Row],[stay]]+U1113,U1113)</f>
        <v/>
      </c>
      <c r="V1114" s="1400">
        <f>IF(raw[[#This Row],[out]]=0,V1113,(raw[[#This Row],[out]]-E$5))</f>
        <v/>
      </c>
      <c r="W1114" s="1401">
        <f>U1114/V1114</f>
        <v/>
      </c>
      <c r="X1114" s="1392" t="n"/>
      <c r="Y1114" s="1392" t="n"/>
      <c r="Z1114" s="1392" t="n"/>
      <c r="AA1114" s="1392" t="n"/>
      <c r="AB1114" s="1392" t="n"/>
      <c r="AC1114" s="1392" t="n"/>
      <c r="AD1114" s="1392" t="n"/>
      <c r="AE1114" s="1392" t="n"/>
      <c r="AF1114" s="1392" t="n"/>
      <c r="AG1114" s="1392" t="n"/>
      <c r="AH1114" s="1392" t="n"/>
      <c r="AI1114" s="1392" t="n"/>
      <c r="AJ1114" s="1392" t="n"/>
      <c r="AK1114" s="1392" t="n"/>
      <c r="AL1114" s="1392" t="n"/>
      <c r="AM1114" s="1392" t="n"/>
      <c r="AN1114" s="1392" t="n"/>
      <c r="AO1114" s="1392" t="n"/>
      <c r="AP1114" s="1392" t="n"/>
      <c r="AQ1114" s="1392" t="n"/>
      <c r="AR1114" s="1422" t="n"/>
      <c r="AS1114" s="1422" t="n"/>
      <c r="AT1114" s="1392" t="n"/>
      <c r="AU1114" s="1392" t="n"/>
      <c r="AV1114" s="1392" t="n"/>
      <c r="AW1114" s="1392" t="n"/>
      <c r="AX1114" s="1392" t="n"/>
      <c r="AY1114" s="1392" t="n"/>
      <c r="AZ1114" s="1392" t="n"/>
      <c r="BA1114" s="1422" t="n"/>
      <c r="BB1114" s="1422" t="n"/>
      <c r="BC1114" s="1392" t="n"/>
      <c r="BD1114" s="1392" t="n"/>
      <c r="BE1114" s="1392" t="n"/>
      <c r="BF1114" s="1392" t="n"/>
      <c r="BG1114" s="1392" t="n"/>
      <c r="BH1114" s="1392" t="n"/>
      <c r="BI1114" s="1392" t="n"/>
      <c r="BJ1114" s="1392" t="n"/>
      <c r="BK1114" s="1392" t="n"/>
      <c r="BL1114" s="1392" t="n"/>
      <c r="BM1114" s="1392" t="n"/>
      <c r="BN1114" s="1392" t="n"/>
      <c r="BO1114" s="1392" t="n"/>
      <c r="BP1114" s="1392" t="n"/>
      <c r="BQ1114" s="1392" t="n"/>
      <c r="BR1114" s="1392" t="n"/>
      <c r="BS1114" s="1392" t="n"/>
      <c r="BT1114" s="1392" t="n"/>
      <c r="BU1114" s="1392" t="n"/>
      <c r="BV1114" s="1392" t="n"/>
      <c r="BW1114" s="1392" t="n"/>
      <c r="BX1114" s="1392" t="n"/>
      <c r="BY1114" s="1392" t="n"/>
      <c r="BZ1114" s="1392" t="n"/>
      <c r="CA1114" s="1392" t="n"/>
      <c r="CB1114" s="1392" t="n"/>
      <c r="CC1114" s="1392" t="n"/>
      <c r="CD1114" s="1392" t="n"/>
      <c r="CE1114" s="1392" t="n"/>
      <c r="CF1114" s="1392" t="n"/>
      <c r="CG1114" s="1392" t="n"/>
      <c r="CH1114" s="1392" t="n"/>
      <c r="CI1114" s="1392" t="n"/>
      <c r="CJ1114" s="1392" t="n"/>
      <c r="CK1114" s="1392" t="n"/>
      <c r="CL1114" s="1392" t="n"/>
    </row>
    <row r="1115">
      <c r="A1115" s="5" t="inlineStr">
        <is>
          <t>.</t>
        </is>
      </c>
      <c r="B1115" s="5" t="inlineStr">
        <is>
          <t>.</t>
        </is>
      </c>
      <c r="C1115" s="1378">
        <f>IF(raw[[#This Row],[city]]="","-",IF(raw[[#This Row],[city]]="TODAY","-",C1114+1))</f>
        <v/>
      </c>
      <c r="D1115" s="1393" t="inlineStr">
        <is>
          <t>Natal</t>
        </is>
      </c>
      <c r="E1115" s="1394" t="n">
        <v>39771</v>
      </c>
      <c r="F1115" s="1394" t="n">
        <v>39772</v>
      </c>
      <c r="G1115" s="1393" t="inlineStr">
        <is>
          <t>-</t>
        </is>
      </c>
      <c r="H1115" s="1393" t="inlineStr">
        <is>
          <t>Summer Flat</t>
        </is>
      </c>
      <c r="I1115" s="1393" t="inlineStr">
        <is>
          <t>-</t>
        </is>
      </c>
      <c r="J1115" s="1393" t="inlineStr">
        <is>
          <t>-</t>
        </is>
      </c>
      <c r="K1115" s="1395">
        <f>IF(raw[[#This Row],[city]]&lt;&gt;"",_xlfn.XLOOKUP($D1115,ccc[city],ccc[prov],"-"),"-")</f>
        <v/>
      </c>
      <c r="L1115" s="1395">
        <f>IF(raw[[#This Row],[city]]&lt;&gt;"",_xlfn.XLOOKUP($D1115,ccc[city],ccc[ctry],"-"),"-")</f>
        <v/>
      </c>
      <c r="M1115" s="1395">
        <f>IF(raw[[#This Row],[city]]&lt;&gt;"",_xlfn.XLOOKUP($D1115,ccc[city],ccc[cont],"-"),"-")</f>
        <v/>
      </c>
      <c r="N1115" s="1396">
        <f>IF(raw[[#This Row],[city]]="","-",IF(raw[[#This Row],[cont]]="B",raw[[#This Row],[cont]],"W"))</f>
        <v/>
      </c>
      <c r="O1115" s="1397">
        <f>IF(raw[[#This Row],[out]]=0,0,IF(raw[[#This Row],[out]]=raw[[#This Row],[in]],0.01,raw[[#This Row],[out]]-raw[[#This Row],[in]]))</f>
        <v/>
      </c>
      <c r="P1115" s="1397">
        <f>IF(raw[[#This Row],[in]]=0,0,MONTH(raw[[#This Row],[in]]))</f>
        <v/>
      </c>
      <c r="Q1115" s="1397">
        <f>IF(raw[[#This Row],[in]]=0,0,YEAR(raw[[#This Row],[in]]))</f>
        <v/>
      </c>
      <c r="R1115" s="1397">
        <f>INT(raw[[#This Row],[yr]]/10)*10</f>
        <v/>
      </c>
      <c r="S1115" s="1395">
        <f>IF(raw[[#This Row],[city]]="","-",IF(raw[[#This Row],[city]]&lt;&gt;_xlfn.XLOOKUP(raw[[#This Row],[home]],homes[home],homes[city],"-"),1,0))</f>
        <v/>
      </c>
      <c r="T1115" s="1398" t="inlineStr">
        <is>
          <t>.</t>
        </is>
      </c>
      <c r="U1115" s="1399">
        <f>IF(raw[[#This Row],[wb]]="w",raw[[#This Row],[stay]]+U1114,U1114)</f>
        <v/>
      </c>
      <c r="V1115" s="1400">
        <f>IF(raw[[#This Row],[out]]=0,V1114,(raw[[#This Row],[out]]-E$5))</f>
        <v/>
      </c>
      <c r="W1115" s="1401">
        <f>U1115/V1115</f>
        <v/>
      </c>
      <c r="X1115" s="1392" t="n"/>
      <c r="Y1115" s="1392" t="n"/>
      <c r="Z1115" s="1392" t="n"/>
      <c r="AA1115" s="1392" t="n"/>
      <c r="AB1115" s="1392" t="n"/>
      <c r="AC1115" s="1392" t="n"/>
      <c r="AD1115" s="1392" t="n"/>
      <c r="AE1115" s="1392" t="n"/>
      <c r="AF1115" s="1392" t="n"/>
      <c r="AG1115" s="1392" t="n"/>
      <c r="AH1115" s="1392" t="n"/>
      <c r="AI1115" s="1392" t="n"/>
      <c r="AJ1115" s="1392" t="n"/>
      <c r="AK1115" s="1392" t="n"/>
      <c r="AL1115" s="1392" t="n"/>
      <c r="AM1115" s="1392" t="n"/>
      <c r="AN1115" s="1392" t="n"/>
      <c r="AO1115" s="1392" t="n"/>
      <c r="AP1115" s="1392" t="n"/>
      <c r="AQ1115" s="1392" t="n"/>
      <c r="AR1115" s="1422" t="n"/>
      <c r="AS1115" s="1422" t="n"/>
      <c r="AT1115" s="1392" t="n"/>
      <c r="AU1115" s="1392" t="n"/>
      <c r="AV1115" s="1392" t="n"/>
      <c r="AW1115" s="1392" t="n"/>
      <c r="AX1115" s="1392" t="n"/>
      <c r="AY1115" s="1392" t="n"/>
      <c r="AZ1115" s="1392" t="n"/>
      <c r="BA1115" s="1422" t="n"/>
      <c r="BB1115" s="1422" t="n"/>
      <c r="BC1115" s="1392" t="n"/>
      <c r="BD1115" s="1392" t="n"/>
      <c r="BE1115" s="1392" t="n"/>
      <c r="BF1115" s="1392" t="n"/>
      <c r="BG1115" s="1392" t="n"/>
      <c r="BH1115" s="1392" t="n"/>
      <c r="BI1115" s="1392" t="n"/>
      <c r="BJ1115" s="1392" t="n"/>
      <c r="BK1115" s="1392" t="n"/>
      <c r="BL1115" s="1392" t="n"/>
      <c r="BM1115" s="1392" t="n"/>
      <c r="BN1115" s="1392" t="n"/>
      <c r="BO1115" s="1392" t="n"/>
      <c r="BP1115" s="1392" t="n"/>
      <c r="BQ1115" s="1392" t="n"/>
      <c r="BR1115" s="1392" t="n"/>
      <c r="BS1115" s="1392" t="n"/>
      <c r="BT1115" s="1392" t="n"/>
      <c r="BU1115" s="1392" t="n"/>
      <c r="BV1115" s="1392" t="n"/>
      <c r="BW1115" s="1392" t="n"/>
      <c r="BX1115" s="1392" t="n"/>
      <c r="BY1115" s="1392" t="n"/>
      <c r="BZ1115" s="1392" t="n"/>
      <c r="CA1115" s="1392" t="n"/>
      <c r="CB1115" s="1392" t="n"/>
      <c r="CC1115" s="1392" t="n"/>
      <c r="CD1115" s="1392" t="n"/>
      <c r="CE1115" s="1392" t="n"/>
      <c r="CF1115" s="1392" t="n"/>
      <c r="CG1115" s="1392" t="n"/>
      <c r="CH1115" s="1392" t="n"/>
      <c r="CI1115" s="1392" t="n"/>
      <c r="CJ1115" s="1392" t="n"/>
      <c r="CK1115" s="1392" t="n"/>
      <c r="CL1115" s="1392" t="n"/>
    </row>
    <row r="1116">
      <c r="A1116" s="5" t="inlineStr">
        <is>
          <t>.</t>
        </is>
      </c>
      <c r="B1116" s="5" t="inlineStr">
        <is>
          <t>.</t>
        </is>
      </c>
      <c r="C1116" s="1378">
        <f>IF(raw[[#This Row],[city]]="","-",IF(raw[[#This Row],[city]]="TODAY","-",C1115+1))</f>
        <v/>
      </c>
      <c r="D1116" s="1393" t="inlineStr">
        <is>
          <t>Pipa</t>
        </is>
      </c>
      <c r="E1116" s="1394" t="n">
        <v>39772</v>
      </c>
      <c r="F1116" s="1394" t="n">
        <v>39774</v>
      </c>
      <c r="G1116" s="1393" t="inlineStr">
        <is>
          <t>-</t>
        </is>
      </c>
      <c r="H1116" s="1393" t="inlineStr">
        <is>
          <t>Summer Flat</t>
        </is>
      </c>
      <c r="I1116" s="1393" t="inlineStr">
        <is>
          <t>-</t>
        </is>
      </c>
      <c r="J1116" s="1393" t="inlineStr">
        <is>
          <t>-</t>
        </is>
      </c>
      <c r="K1116" s="1395">
        <f>IF(raw[[#This Row],[city]]&lt;&gt;"",_xlfn.XLOOKUP($D1116,ccc[city],ccc[prov],"-"),"-")</f>
        <v/>
      </c>
      <c r="L1116" s="1395">
        <f>IF(raw[[#This Row],[city]]&lt;&gt;"",_xlfn.XLOOKUP($D1116,ccc[city],ccc[ctry],"-"),"-")</f>
        <v/>
      </c>
      <c r="M1116" s="1395">
        <f>IF(raw[[#This Row],[city]]&lt;&gt;"",_xlfn.XLOOKUP($D1116,ccc[city],ccc[cont],"-"),"-")</f>
        <v/>
      </c>
      <c r="N1116" s="1396">
        <f>IF(raw[[#This Row],[city]]="","-",IF(raw[[#This Row],[cont]]="B",raw[[#This Row],[cont]],"W"))</f>
        <v/>
      </c>
      <c r="O1116" s="1397">
        <f>IF(raw[[#This Row],[out]]=0,0,IF(raw[[#This Row],[out]]=raw[[#This Row],[in]],0.01,raw[[#This Row],[out]]-raw[[#This Row],[in]]))</f>
        <v/>
      </c>
      <c r="P1116" s="1397">
        <f>IF(raw[[#This Row],[in]]=0,0,MONTH(raw[[#This Row],[in]]))</f>
        <v/>
      </c>
      <c r="Q1116" s="1397">
        <f>IF(raw[[#This Row],[in]]=0,0,YEAR(raw[[#This Row],[in]]))</f>
        <v/>
      </c>
      <c r="R1116" s="1397">
        <f>INT(raw[[#This Row],[yr]]/10)*10</f>
        <v/>
      </c>
      <c r="S1116" s="1395">
        <f>IF(raw[[#This Row],[city]]="","-",IF(raw[[#This Row],[city]]&lt;&gt;_xlfn.XLOOKUP(raw[[#This Row],[home]],homes[home],homes[city],"-"),1,0))</f>
        <v/>
      </c>
      <c r="T1116" s="1398" t="inlineStr">
        <is>
          <t>.</t>
        </is>
      </c>
      <c r="U1116" s="1399">
        <f>IF(raw[[#This Row],[wb]]="w",raw[[#This Row],[stay]]+U1115,U1115)</f>
        <v/>
      </c>
      <c r="V1116" s="1400">
        <f>IF(raw[[#This Row],[out]]=0,V1115,(raw[[#This Row],[out]]-E$5))</f>
        <v/>
      </c>
      <c r="W1116" s="1401">
        <f>U1116/V1116</f>
        <v/>
      </c>
      <c r="X1116" s="1392" t="n"/>
      <c r="Y1116" s="1392" t="n"/>
      <c r="Z1116" s="1392" t="n"/>
      <c r="AA1116" s="1392" t="n"/>
      <c r="AB1116" s="1392" t="n"/>
      <c r="AC1116" s="1392" t="n"/>
      <c r="AD1116" s="1392" t="n"/>
      <c r="AE1116" s="1392" t="n"/>
      <c r="AF1116" s="1392" t="n"/>
      <c r="AG1116" s="1392" t="n"/>
      <c r="AH1116" s="1392" t="n"/>
      <c r="AI1116" s="1392" t="n"/>
      <c r="AJ1116" s="1392" t="n"/>
      <c r="AK1116" s="1392" t="n"/>
      <c r="AL1116" s="1392" t="n"/>
      <c r="AM1116" s="1392" t="n"/>
      <c r="AN1116" s="1392" t="n"/>
      <c r="AO1116" s="1392" t="n"/>
      <c r="AP1116" s="1392" t="n"/>
      <c r="AQ1116" s="1392" t="n"/>
      <c r="AR1116" s="1422" t="n"/>
      <c r="AS1116" s="1422" t="n"/>
      <c r="AT1116" s="1392" t="n"/>
      <c r="AU1116" s="1392" t="n"/>
      <c r="AV1116" s="1392" t="n"/>
      <c r="AW1116" s="1392" t="n"/>
      <c r="AX1116" s="1392" t="n"/>
      <c r="AY1116" s="1392" t="n"/>
      <c r="AZ1116" s="1392" t="n"/>
      <c r="BA1116" s="1422" t="n"/>
      <c r="BB1116" s="1422" t="n"/>
      <c r="BC1116" s="1392" t="n"/>
      <c r="BD1116" s="1392" t="n"/>
      <c r="BE1116" s="1392" t="n"/>
      <c r="BF1116" s="1392" t="n"/>
      <c r="BG1116" s="1392" t="n"/>
      <c r="BH1116" s="1392" t="n"/>
      <c r="BI1116" s="1392" t="n"/>
      <c r="BJ1116" s="1392" t="n"/>
      <c r="BK1116" s="1392" t="n"/>
      <c r="BL1116" s="1392" t="n"/>
      <c r="BM1116" s="1392" t="n"/>
      <c r="BN1116" s="1392" t="n"/>
      <c r="BO1116" s="1392" t="n"/>
      <c r="BP1116" s="1392" t="n"/>
      <c r="BQ1116" s="1392" t="n"/>
      <c r="BR1116" s="1392" t="n"/>
      <c r="BS1116" s="1392" t="n"/>
      <c r="BT1116" s="1392" t="n"/>
      <c r="BU1116" s="1392" t="n"/>
      <c r="BV1116" s="1392" t="n"/>
      <c r="BW1116" s="1392" t="n"/>
      <c r="BX1116" s="1392" t="n"/>
      <c r="BY1116" s="1392" t="n"/>
      <c r="BZ1116" s="1392" t="n"/>
      <c r="CA1116" s="1392" t="n"/>
      <c r="CB1116" s="1392" t="n"/>
      <c r="CC1116" s="1392" t="n"/>
      <c r="CD1116" s="1392" t="n"/>
      <c r="CE1116" s="1392" t="n"/>
      <c r="CF1116" s="1392" t="n"/>
      <c r="CG1116" s="1392" t="n"/>
      <c r="CH1116" s="1392" t="n"/>
      <c r="CI1116" s="1392" t="n"/>
      <c r="CJ1116" s="1392" t="n"/>
      <c r="CK1116" s="1392" t="n"/>
      <c r="CL1116" s="1392" t="n"/>
    </row>
    <row r="1117">
      <c r="A1117" s="5" t="inlineStr">
        <is>
          <t>.</t>
        </is>
      </c>
      <c r="B1117" s="5" t="inlineStr">
        <is>
          <t>.</t>
        </is>
      </c>
      <c r="C1117" s="1378">
        <f>IF(raw[[#This Row],[city]]="","-",IF(raw[[#This Row],[city]]="TODAY","-",C1116+1))</f>
        <v/>
      </c>
      <c r="D1117" s="1393" t="inlineStr">
        <is>
          <t>Timbau do Sul</t>
        </is>
      </c>
      <c r="E1117" s="1394" t="n">
        <v>39774</v>
      </c>
      <c r="F1117" s="1394" t="n">
        <v>39774</v>
      </c>
      <c r="G1117" s="1393" t="inlineStr">
        <is>
          <t>-</t>
        </is>
      </c>
      <c r="H1117" s="1393" t="inlineStr">
        <is>
          <t>Summer Flat</t>
        </is>
      </c>
      <c r="I1117" s="1393" t="inlineStr">
        <is>
          <t>-</t>
        </is>
      </c>
      <c r="J1117" s="1393" t="inlineStr">
        <is>
          <t>-</t>
        </is>
      </c>
      <c r="K1117" s="1395">
        <f>IF(raw[[#This Row],[city]]&lt;&gt;"",_xlfn.XLOOKUP($D1117,ccc[city],ccc[prov],"-"),"-")</f>
        <v/>
      </c>
      <c r="L1117" s="1395">
        <f>IF(raw[[#This Row],[city]]&lt;&gt;"",_xlfn.XLOOKUP($D1117,ccc[city],ccc[ctry],"-"),"-")</f>
        <v/>
      </c>
      <c r="M1117" s="1395">
        <f>IF(raw[[#This Row],[city]]&lt;&gt;"",_xlfn.XLOOKUP($D1117,ccc[city],ccc[cont],"-"),"-")</f>
        <v/>
      </c>
      <c r="N1117" s="1396">
        <f>IF(raw[[#This Row],[city]]="","-",IF(raw[[#This Row],[cont]]="B",raw[[#This Row],[cont]],"W"))</f>
        <v/>
      </c>
      <c r="O1117" s="1397">
        <f>IF(raw[[#This Row],[out]]=0,0,IF(raw[[#This Row],[out]]=raw[[#This Row],[in]],0.01,raw[[#This Row],[out]]-raw[[#This Row],[in]]))</f>
        <v/>
      </c>
      <c r="P1117" s="1397">
        <f>IF(raw[[#This Row],[in]]=0,0,MONTH(raw[[#This Row],[in]]))</f>
        <v/>
      </c>
      <c r="Q1117" s="1397">
        <f>IF(raw[[#This Row],[in]]=0,0,YEAR(raw[[#This Row],[in]]))</f>
        <v/>
      </c>
      <c r="R1117" s="1397">
        <f>INT(raw[[#This Row],[yr]]/10)*10</f>
        <v/>
      </c>
      <c r="S1117" s="1395">
        <f>IF(raw[[#This Row],[city]]="","-",IF(raw[[#This Row],[city]]&lt;&gt;_xlfn.XLOOKUP(raw[[#This Row],[home]],homes[home],homes[city],"-"),1,0))</f>
        <v/>
      </c>
      <c r="T1117" s="1398" t="inlineStr">
        <is>
          <t>.</t>
        </is>
      </c>
      <c r="U1117" s="1399">
        <f>IF(raw[[#This Row],[wb]]="w",raw[[#This Row],[stay]]+U1116,U1116)</f>
        <v/>
      </c>
      <c r="V1117" s="1400">
        <f>IF(raw[[#This Row],[out]]=0,V1116,(raw[[#This Row],[out]]-E$5))</f>
        <v/>
      </c>
      <c r="W1117" s="1401">
        <f>U1117/V1117</f>
        <v/>
      </c>
      <c r="X1117" s="1392" t="n"/>
      <c r="Y1117" s="1392" t="n"/>
      <c r="Z1117" s="1392" t="n"/>
      <c r="AA1117" s="1392" t="n"/>
      <c r="AB1117" s="1392" t="n"/>
      <c r="AC1117" s="1392" t="n"/>
      <c r="AD1117" s="1392" t="n"/>
      <c r="AE1117" s="1392" t="n"/>
      <c r="AF1117" s="1392" t="n"/>
      <c r="AG1117" s="1392" t="n"/>
      <c r="AH1117" s="1392" t="n"/>
      <c r="AI1117" s="1392" t="n"/>
      <c r="AJ1117" s="1392" t="n"/>
      <c r="AK1117" s="1392" t="n"/>
      <c r="AL1117" s="1392" t="n"/>
      <c r="AM1117" s="1392" t="n"/>
      <c r="AN1117" s="1392" t="n"/>
      <c r="AO1117" s="1392" t="n"/>
      <c r="AP1117" s="1392" t="n"/>
      <c r="AQ1117" s="1392" t="n"/>
      <c r="AR1117" s="1422" t="n"/>
      <c r="AS1117" s="1422" t="n"/>
      <c r="AT1117" s="1392" t="n"/>
      <c r="AU1117" s="1392" t="n"/>
      <c r="AV1117" s="1392" t="n"/>
      <c r="AW1117" s="1392" t="n"/>
      <c r="AX1117" s="1392" t="n"/>
      <c r="AY1117" s="1392" t="n"/>
      <c r="AZ1117" s="1392" t="n"/>
      <c r="BA1117" s="1422" t="n"/>
      <c r="BB1117" s="1422" t="n"/>
      <c r="BC1117" s="1392" t="n"/>
      <c r="BD1117" s="1392" t="n"/>
      <c r="BE1117" s="1392" t="n"/>
      <c r="BF1117" s="1392" t="n"/>
      <c r="BG1117" s="1392" t="n"/>
      <c r="BH1117" s="1392" t="n"/>
      <c r="BI1117" s="1392" t="n"/>
      <c r="BJ1117" s="1392" t="n"/>
      <c r="BK1117" s="1392" t="n"/>
      <c r="BL1117" s="1392" t="n"/>
      <c r="BM1117" s="1392" t="n"/>
      <c r="BN1117" s="1392" t="n"/>
      <c r="BO1117" s="1392" t="n"/>
      <c r="BP1117" s="1392" t="n"/>
      <c r="BQ1117" s="1392" t="n"/>
      <c r="BR1117" s="1392" t="n"/>
      <c r="BS1117" s="1392" t="n"/>
      <c r="BT1117" s="1392" t="n"/>
      <c r="BU1117" s="1392" t="n"/>
      <c r="BV1117" s="1392" t="n"/>
      <c r="BW1117" s="1392" t="n"/>
      <c r="BX1117" s="1392" t="n"/>
      <c r="BY1117" s="1392" t="n"/>
      <c r="BZ1117" s="1392" t="n"/>
      <c r="CA1117" s="1392" t="n"/>
      <c r="CB1117" s="1392" t="n"/>
      <c r="CC1117" s="1392" t="n"/>
      <c r="CD1117" s="1392" t="n"/>
      <c r="CE1117" s="1392" t="n"/>
      <c r="CF1117" s="1392" t="n"/>
      <c r="CG1117" s="1392" t="n"/>
      <c r="CH1117" s="1392" t="n"/>
      <c r="CI1117" s="1392" t="n"/>
      <c r="CJ1117" s="1392" t="n"/>
      <c r="CK1117" s="1392" t="n"/>
      <c r="CL1117" s="1392" t="n"/>
    </row>
    <row r="1118">
      <c r="A1118" s="5" t="inlineStr">
        <is>
          <t>.</t>
        </is>
      </c>
      <c r="B1118" s="5" t="inlineStr">
        <is>
          <t>.</t>
        </is>
      </c>
      <c r="C1118" s="1378">
        <f>IF(raw[[#This Row],[city]]="","-",IF(raw[[#This Row],[city]]="TODAY","-",C1117+1))</f>
        <v/>
      </c>
      <c r="D1118" s="1393" t="inlineStr">
        <is>
          <t>Pipa</t>
        </is>
      </c>
      <c r="E1118" s="1394" t="n">
        <v>39774</v>
      </c>
      <c r="F1118" s="1394" t="n">
        <v>39776</v>
      </c>
      <c r="G1118" s="1393" t="inlineStr">
        <is>
          <t>-</t>
        </is>
      </c>
      <c r="H1118" s="1393" t="inlineStr">
        <is>
          <t>Summer Flat</t>
        </is>
      </c>
      <c r="I1118" s="1393" t="inlineStr">
        <is>
          <t>-</t>
        </is>
      </c>
      <c r="J1118" s="1393" t="inlineStr">
        <is>
          <t>-</t>
        </is>
      </c>
      <c r="K1118" s="1395">
        <f>IF(raw[[#This Row],[city]]&lt;&gt;"",_xlfn.XLOOKUP($D1118,ccc[city],ccc[prov],"-"),"-")</f>
        <v/>
      </c>
      <c r="L1118" s="1395">
        <f>IF(raw[[#This Row],[city]]&lt;&gt;"",_xlfn.XLOOKUP($D1118,ccc[city],ccc[ctry],"-"),"-")</f>
        <v/>
      </c>
      <c r="M1118" s="1395">
        <f>IF(raw[[#This Row],[city]]&lt;&gt;"",_xlfn.XLOOKUP($D1118,ccc[city],ccc[cont],"-"),"-")</f>
        <v/>
      </c>
      <c r="N1118" s="1396">
        <f>IF(raw[[#This Row],[city]]="","-",IF(raw[[#This Row],[cont]]="B",raw[[#This Row],[cont]],"W"))</f>
        <v/>
      </c>
      <c r="O1118" s="1397">
        <f>IF(raw[[#This Row],[out]]=0,0,IF(raw[[#This Row],[out]]=raw[[#This Row],[in]],0.01,raw[[#This Row],[out]]-raw[[#This Row],[in]]))</f>
        <v/>
      </c>
      <c r="P1118" s="1397">
        <f>IF(raw[[#This Row],[in]]=0,0,MONTH(raw[[#This Row],[in]]))</f>
        <v/>
      </c>
      <c r="Q1118" s="1397">
        <f>IF(raw[[#This Row],[in]]=0,0,YEAR(raw[[#This Row],[in]]))</f>
        <v/>
      </c>
      <c r="R1118" s="1397">
        <f>INT(raw[[#This Row],[yr]]/10)*10</f>
        <v/>
      </c>
      <c r="S1118" s="1395">
        <f>IF(raw[[#This Row],[city]]="","-",IF(raw[[#This Row],[city]]&lt;&gt;_xlfn.XLOOKUP(raw[[#This Row],[home]],homes[home],homes[city],"-"),1,0))</f>
        <v/>
      </c>
      <c r="T1118" s="1398" t="inlineStr">
        <is>
          <t>.</t>
        </is>
      </c>
      <c r="U1118" s="1399">
        <f>IF(raw[[#This Row],[wb]]="w",raw[[#This Row],[stay]]+U1117,U1117)</f>
        <v/>
      </c>
      <c r="V1118" s="1400">
        <f>IF(raw[[#This Row],[out]]=0,V1117,(raw[[#This Row],[out]]-E$5))</f>
        <v/>
      </c>
      <c r="W1118" s="1401">
        <f>U1118/V1118</f>
        <v/>
      </c>
      <c r="X1118" s="1392" t="n"/>
      <c r="Y1118" s="1392" t="n"/>
      <c r="Z1118" s="1392" t="n"/>
      <c r="AA1118" s="1392" t="n"/>
      <c r="AB1118" s="1392" t="n"/>
      <c r="AC1118" s="1392" t="n"/>
      <c r="AD1118" s="1392" t="n"/>
      <c r="AE1118" s="1392" t="n"/>
      <c r="AF1118" s="1392" t="n"/>
      <c r="AG1118" s="1392" t="n"/>
      <c r="AH1118" s="1392" t="n"/>
      <c r="AI1118" s="1392" t="n"/>
      <c r="AJ1118" s="1392" t="n"/>
      <c r="AK1118" s="1392" t="n"/>
      <c r="AL1118" s="1392" t="n"/>
      <c r="AM1118" s="1392" t="n"/>
      <c r="AN1118" s="1392" t="n"/>
      <c r="AO1118" s="1392" t="n"/>
      <c r="AP1118" s="1392" t="n"/>
      <c r="AQ1118" s="1392" t="n"/>
      <c r="AR1118" s="1422" t="n"/>
      <c r="AS1118" s="1422" t="n"/>
      <c r="AT1118" s="1392" t="n"/>
      <c r="AU1118" s="1392" t="n"/>
      <c r="AV1118" s="1392" t="n"/>
      <c r="AW1118" s="1392" t="n"/>
      <c r="AX1118" s="1392" t="n"/>
      <c r="AY1118" s="1392" t="n"/>
      <c r="AZ1118" s="1392" t="n"/>
      <c r="BA1118" s="1422" t="n"/>
      <c r="BB1118" s="1422" t="n"/>
      <c r="BC1118" s="1392" t="n"/>
      <c r="BD1118" s="1392" t="n"/>
      <c r="BE1118" s="1392" t="n"/>
      <c r="BF1118" s="1392" t="n"/>
      <c r="BG1118" s="1392" t="n"/>
      <c r="BH1118" s="1392" t="n"/>
      <c r="BI1118" s="1392" t="n"/>
      <c r="BJ1118" s="1392" t="n"/>
      <c r="BK1118" s="1392" t="n"/>
      <c r="BL1118" s="1392" t="n"/>
      <c r="BM1118" s="1392" t="n"/>
      <c r="BN1118" s="1392" t="n"/>
      <c r="BO1118" s="1392" t="n"/>
      <c r="BP1118" s="1392" t="n"/>
      <c r="BQ1118" s="1392" t="n"/>
      <c r="BR1118" s="1392" t="n"/>
      <c r="BS1118" s="1392" t="n"/>
      <c r="BT1118" s="1392" t="n"/>
      <c r="BU1118" s="1392" t="n"/>
      <c r="BV1118" s="1392" t="n"/>
      <c r="BW1118" s="1392" t="n"/>
      <c r="BX1118" s="1392" t="n"/>
      <c r="BY1118" s="1392" t="n"/>
      <c r="BZ1118" s="1392" t="n"/>
      <c r="CA1118" s="1392" t="n"/>
      <c r="CB1118" s="1392" t="n"/>
      <c r="CC1118" s="1392" t="n"/>
      <c r="CD1118" s="1392" t="n"/>
      <c r="CE1118" s="1392" t="n"/>
      <c r="CF1118" s="1392" t="n"/>
      <c r="CG1118" s="1392" t="n"/>
      <c r="CH1118" s="1392" t="n"/>
      <c r="CI1118" s="1392" t="n"/>
      <c r="CJ1118" s="1392" t="n"/>
      <c r="CK1118" s="1392" t="n"/>
      <c r="CL1118" s="1392" t="n"/>
    </row>
    <row r="1119">
      <c r="A1119" s="5" t="inlineStr">
        <is>
          <t>.</t>
        </is>
      </c>
      <c r="B1119" s="5" t="inlineStr">
        <is>
          <t>.</t>
        </is>
      </c>
      <c r="C1119" s="1378">
        <f>IF(raw[[#This Row],[city]]="","-",IF(raw[[#This Row],[city]]="TODAY","-",C1118+1))</f>
        <v/>
      </c>
      <c r="D1119" s="1393" t="inlineStr">
        <is>
          <t>Natal</t>
        </is>
      </c>
      <c r="E1119" s="1394" t="n">
        <v>39776</v>
      </c>
      <c r="F1119" s="1394" t="n">
        <v>39776</v>
      </c>
      <c r="G1119" s="1393" t="n">
        <v>1</v>
      </c>
      <c r="H1119" s="1393" t="inlineStr">
        <is>
          <t>Summer Flat</t>
        </is>
      </c>
      <c r="I1119" s="1393" t="inlineStr">
        <is>
          <t>-</t>
        </is>
      </c>
      <c r="J1119" s="1393" t="inlineStr">
        <is>
          <t>-</t>
        </is>
      </c>
      <c r="K1119" s="1395">
        <f>IF(raw[[#This Row],[city]]&lt;&gt;"",_xlfn.XLOOKUP($D1119,ccc[city],ccc[prov],"-"),"-")</f>
        <v/>
      </c>
      <c r="L1119" s="1395">
        <f>IF(raw[[#This Row],[city]]&lt;&gt;"",_xlfn.XLOOKUP($D1119,ccc[city],ccc[ctry],"-"),"-")</f>
        <v/>
      </c>
      <c r="M1119" s="1395">
        <f>IF(raw[[#This Row],[city]]&lt;&gt;"",_xlfn.XLOOKUP($D1119,ccc[city],ccc[cont],"-"),"-")</f>
        <v/>
      </c>
      <c r="N1119" s="1396">
        <f>IF(raw[[#This Row],[city]]="","-",IF(raw[[#This Row],[cont]]="B",raw[[#This Row],[cont]],"W"))</f>
        <v/>
      </c>
      <c r="O1119" s="1397">
        <f>IF(raw[[#This Row],[out]]=0,0,IF(raw[[#This Row],[out]]=raw[[#This Row],[in]],0.01,raw[[#This Row],[out]]-raw[[#This Row],[in]]))</f>
        <v/>
      </c>
      <c r="P1119" s="1397">
        <f>IF(raw[[#This Row],[in]]=0,0,MONTH(raw[[#This Row],[in]]))</f>
        <v/>
      </c>
      <c r="Q1119" s="1397">
        <f>IF(raw[[#This Row],[in]]=0,0,YEAR(raw[[#This Row],[in]]))</f>
        <v/>
      </c>
      <c r="R1119" s="1397">
        <f>INT(raw[[#This Row],[yr]]/10)*10</f>
        <v/>
      </c>
      <c r="S1119" s="1395">
        <f>IF(raw[[#This Row],[city]]="","-",IF(raw[[#This Row],[city]]&lt;&gt;_xlfn.XLOOKUP(raw[[#This Row],[home]],homes[home],homes[city],"-"),1,0))</f>
        <v/>
      </c>
      <c r="T1119" s="1398" t="inlineStr">
        <is>
          <t>.</t>
        </is>
      </c>
      <c r="U1119" s="1399">
        <f>IF(raw[[#This Row],[wb]]="w",raw[[#This Row],[stay]]+U1118,U1118)</f>
        <v/>
      </c>
      <c r="V1119" s="1400">
        <f>IF(raw[[#This Row],[out]]=0,V1118,(raw[[#This Row],[out]]-E$5))</f>
        <v/>
      </c>
      <c r="W1119" s="1401">
        <f>U1119/V1119</f>
        <v/>
      </c>
      <c r="X1119" s="1392" t="n"/>
      <c r="Y1119" s="1392" t="n"/>
      <c r="Z1119" s="1392" t="n"/>
      <c r="AA1119" s="1392" t="n"/>
      <c r="AB1119" s="1392" t="n"/>
      <c r="AC1119" s="1392" t="n"/>
      <c r="AD1119" s="1392" t="n"/>
      <c r="AE1119" s="1392" t="n"/>
      <c r="AF1119" s="1392" t="n"/>
      <c r="AG1119" s="1392" t="n"/>
      <c r="AH1119" s="1392" t="n"/>
      <c r="AI1119" s="1392" t="n"/>
      <c r="AJ1119" s="1392" t="n"/>
      <c r="AK1119" s="1392" t="n"/>
      <c r="AL1119" s="1392" t="n"/>
      <c r="AM1119" s="1392" t="n"/>
      <c r="AN1119" s="1392" t="n"/>
      <c r="AO1119" s="1392" t="n"/>
      <c r="AP1119" s="1392" t="n"/>
      <c r="AQ1119" s="1392" t="n"/>
      <c r="AR1119" s="1422" t="n"/>
      <c r="AS1119" s="1422" t="n"/>
      <c r="AT1119" s="1392" t="n"/>
      <c r="AU1119" s="1392" t="n"/>
      <c r="AV1119" s="1392" t="n"/>
      <c r="AW1119" s="1392" t="n"/>
      <c r="AX1119" s="1392" t="n"/>
      <c r="AY1119" s="1392" t="n"/>
      <c r="AZ1119" s="1392" t="n"/>
      <c r="BA1119" s="1422" t="n"/>
      <c r="BB1119" s="1422" t="n"/>
      <c r="BC1119" s="1392" t="n"/>
      <c r="BD1119" s="1392" t="n"/>
      <c r="BE1119" s="1392" t="n"/>
      <c r="BF1119" s="1392" t="n"/>
      <c r="BG1119" s="1392" t="n"/>
      <c r="BH1119" s="1392" t="n"/>
      <c r="BI1119" s="1392" t="n"/>
      <c r="BJ1119" s="1392" t="n"/>
      <c r="BK1119" s="1392" t="n"/>
      <c r="BL1119" s="1392" t="n"/>
      <c r="BM1119" s="1392" t="n"/>
      <c r="BN1119" s="1392" t="n"/>
      <c r="BO1119" s="1392" t="n"/>
      <c r="BP1119" s="1392" t="n"/>
      <c r="BQ1119" s="1392" t="n"/>
      <c r="BR1119" s="1392" t="n"/>
      <c r="BS1119" s="1392" t="n"/>
      <c r="BT1119" s="1392" t="n"/>
      <c r="BU1119" s="1392" t="n"/>
      <c r="BV1119" s="1392" t="n"/>
      <c r="BW1119" s="1392" t="n"/>
      <c r="BX1119" s="1392" t="n"/>
      <c r="BY1119" s="1392" t="n"/>
      <c r="BZ1119" s="1392" t="n"/>
      <c r="CA1119" s="1392" t="n"/>
      <c r="CB1119" s="1392" t="n"/>
      <c r="CC1119" s="1392" t="n"/>
      <c r="CD1119" s="1392" t="n"/>
      <c r="CE1119" s="1392" t="n"/>
      <c r="CF1119" s="1392" t="n"/>
      <c r="CG1119" s="1392" t="n"/>
      <c r="CH1119" s="1392" t="n"/>
      <c r="CI1119" s="1392" t="n"/>
      <c r="CJ1119" s="1392" t="n"/>
      <c r="CK1119" s="1392" t="n"/>
      <c r="CL1119" s="1392" t="n"/>
    </row>
    <row r="1120">
      <c r="A1120" s="5" t="inlineStr">
        <is>
          <t>.</t>
        </is>
      </c>
      <c r="B1120" s="5" t="inlineStr">
        <is>
          <t>.</t>
        </is>
      </c>
      <c r="C1120" s="1378">
        <f>IF(raw[[#This Row],[city]]="","-",IF(raw[[#This Row],[city]]="TODAY","-",C1119+1))</f>
        <v/>
      </c>
      <c r="D1120" s="1393" t="inlineStr">
        <is>
          <t>SSA</t>
        </is>
      </c>
      <c r="E1120" s="1394" t="n">
        <v>39776</v>
      </c>
      <c r="F1120" s="1394" t="n">
        <v>39783</v>
      </c>
      <c r="G1120" s="1393" t="inlineStr">
        <is>
          <t>-</t>
        </is>
      </c>
      <c r="H1120" s="1393" t="inlineStr">
        <is>
          <t>Summer Flat</t>
        </is>
      </c>
      <c r="I1120" s="1393" t="inlineStr">
        <is>
          <t>-</t>
        </is>
      </c>
      <c r="J1120" s="1393" t="inlineStr">
        <is>
          <t>-</t>
        </is>
      </c>
      <c r="K1120" s="1395">
        <f>IF(raw[[#This Row],[city]]&lt;&gt;"",_xlfn.XLOOKUP($D1120,ccc[city],ccc[prov],"-"),"-")</f>
        <v/>
      </c>
      <c r="L1120" s="1395">
        <f>IF(raw[[#This Row],[city]]&lt;&gt;"",_xlfn.XLOOKUP($D1120,ccc[city],ccc[ctry],"-"),"-")</f>
        <v/>
      </c>
      <c r="M1120" s="1395">
        <f>IF(raw[[#This Row],[city]]&lt;&gt;"",_xlfn.XLOOKUP($D1120,ccc[city],ccc[cont],"-"),"-")</f>
        <v/>
      </c>
      <c r="N1120" s="1396">
        <f>IF(raw[[#This Row],[city]]="","-",IF(raw[[#This Row],[cont]]="B",raw[[#This Row],[cont]],"W"))</f>
        <v/>
      </c>
      <c r="O1120" s="1397">
        <f>IF(raw[[#This Row],[out]]=0,0,IF(raw[[#This Row],[out]]=raw[[#This Row],[in]],0.01,raw[[#This Row],[out]]-raw[[#This Row],[in]]))</f>
        <v/>
      </c>
      <c r="P1120" s="1397">
        <f>IF(raw[[#This Row],[in]]=0,0,MONTH(raw[[#This Row],[in]]))</f>
        <v/>
      </c>
      <c r="Q1120" s="1397">
        <f>IF(raw[[#This Row],[in]]=0,0,YEAR(raw[[#This Row],[in]]))</f>
        <v/>
      </c>
      <c r="R1120" s="1397">
        <f>INT(raw[[#This Row],[yr]]/10)*10</f>
        <v/>
      </c>
      <c r="S1120" s="1395">
        <f>IF(raw[[#This Row],[city]]="","-",IF(raw[[#This Row],[city]]&lt;&gt;_xlfn.XLOOKUP(raw[[#This Row],[home]],homes[home],homes[city],"-"),1,0))</f>
        <v/>
      </c>
      <c r="T1120" s="1398" t="inlineStr">
        <is>
          <t>.</t>
        </is>
      </c>
      <c r="U1120" s="1399">
        <f>IF(raw[[#This Row],[wb]]="w",raw[[#This Row],[stay]]+U1119,U1119)</f>
        <v/>
      </c>
      <c r="V1120" s="1400">
        <f>IF(raw[[#This Row],[out]]=0,V1119,(raw[[#This Row],[out]]-E$5))</f>
        <v/>
      </c>
      <c r="W1120" s="1401">
        <f>U1120/V1120</f>
        <v/>
      </c>
      <c r="X1120" s="1392" t="n"/>
      <c r="Y1120" s="1392" t="n"/>
      <c r="Z1120" s="1392" t="n"/>
      <c r="AA1120" s="1392" t="n"/>
      <c r="AB1120" s="1392" t="n"/>
      <c r="AC1120" s="1392" t="n"/>
      <c r="AD1120" s="1392" t="n"/>
      <c r="AE1120" s="1392" t="n"/>
      <c r="AF1120" s="1392" t="n"/>
      <c r="AG1120" s="1392" t="n"/>
      <c r="AH1120" s="1392" t="n"/>
      <c r="AI1120" s="1392" t="n"/>
      <c r="AJ1120" s="1392" t="n"/>
      <c r="AK1120" s="1392" t="n"/>
      <c r="AL1120" s="1392" t="n"/>
      <c r="AM1120" s="1392" t="n"/>
      <c r="AN1120" s="1392" t="n"/>
      <c r="AO1120" s="1392" t="n"/>
      <c r="AP1120" s="1392" t="n"/>
      <c r="AQ1120" s="1392" t="n"/>
      <c r="AR1120" s="1422" t="n"/>
      <c r="AS1120" s="1422" t="n"/>
      <c r="AT1120" s="1392" t="n"/>
      <c r="AU1120" s="1392" t="n"/>
      <c r="AV1120" s="1392" t="n"/>
      <c r="AW1120" s="1392" t="n"/>
      <c r="AX1120" s="1392" t="n"/>
      <c r="AY1120" s="1392" t="n"/>
      <c r="AZ1120" s="1392" t="n"/>
      <c r="BA1120" s="1422" t="n"/>
      <c r="BB1120" s="1422" t="n"/>
      <c r="BC1120" s="1392" t="n"/>
      <c r="BD1120" s="1392" t="n"/>
      <c r="BE1120" s="1392" t="n"/>
      <c r="BF1120" s="1392" t="n"/>
      <c r="BG1120" s="1392" t="n"/>
      <c r="BH1120" s="1392" t="n"/>
      <c r="BI1120" s="1392" t="n"/>
      <c r="BJ1120" s="1392" t="n"/>
      <c r="BK1120" s="1392" t="n"/>
      <c r="BL1120" s="1392" t="n"/>
      <c r="BM1120" s="1392" t="n"/>
      <c r="BN1120" s="1392" t="n"/>
      <c r="BO1120" s="1392" t="n"/>
      <c r="BP1120" s="1392" t="n"/>
      <c r="BQ1120" s="1392" t="n"/>
      <c r="BR1120" s="1392" t="n"/>
      <c r="BS1120" s="1392" t="n"/>
      <c r="BT1120" s="1392" t="n"/>
      <c r="BU1120" s="1392" t="n"/>
      <c r="BV1120" s="1392" t="n"/>
      <c r="BW1120" s="1392" t="n"/>
      <c r="BX1120" s="1392" t="n"/>
      <c r="BY1120" s="1392" t="n"/>
      <c r="BZ1120" s="1392" t="n"/>
      <c r="CA1120" s="1392" t="n"/>
      <c r="CB1120" s="1392" t="n"/>
      <c r="CC1120" s="1392" t="n"/>
      <c r="CD1120" s="1392" t="n"/>
      <c r="CE1120" s="1392" t="n"/>
      <c r="CF1120" s="1392" t="n"/>
      <c r="CG1120" s="1392" t="n"/>
      <c r="CH1120" s="1392" t="n"/>
      <c r="CI1120" s="1392" t="n"/>
      <c r="CJ1120" s="1392" t="n"/>
      <c r="CK1120" s="1392" t="n"/>
      <c r="CL1120" s="1392" t="n"/>
    </row>
    <row r="1121">
      <c r="A1121" s="5" t="inlineStr">
        <is>
          <t>.</t>
        </is>
      </c>
      <c r="B1121" s="5" t="inlineStr">
        <is>
          <t>.</t>
        </is>
      </c>
      <c r="C1121" s="1378">
        <f>IF(raw[[#This Row],[city]]="","-",IF(raw[[#This Row],[city]]="TODAY","-",C1120+1))</f>
        <v/>
      </c>
      <c r="D1121" s="1393" t="inlineStr">
        <is>
          <t>SSA</t>
        </is>
      </c>
      <c r="E1121" s="1394" t="n">
        <v>39783</v>
      </c>
      <c r="F1121" s="1394" t="n">
        <v>39795</v>
      </c>
      <c r="G1121" s="1393" t="n">
        <v>1</v>
      </c>
      <c r="H1121" s="1393" t="inlineStr">
        <is>
          <t>Summer Flat</t>
        </is>
      </c>
      <c r="I1121" s="1393" t="inlineStr">
        <is>
          <t>-</t>
        </is>
      </c>
      <c r="J1121" s="1393" t="inlineStr">
        <is>
          <t>-</t>
        </is>
      </c>
      <c r="K1121" s="1395">
        <f>IF(raw[[#This Row],[city]]&lt;&gt;"",_xlfn.XLOOKUP($D1121,ccc[city],ccc[prov],"-"),"-")</f>
        <v/>
      </c>
      <c r="L1121" s="1395">
        <f>IF(raw[[#This Row],[city]]&lt;&gt;"",_xlfn.XLOOKUP($D1121,ccc[city],ccc[ctry],"-"),"-")</f>
        <v/>
      </c>
      <c r="M1121" s="1395">
        <f>IF(raw[[#This Row],[city]]&lt;&gt;"",_xlfn.XLOOKUP($D1121,ccc[city],ccc[cont],"-"),"-")</f>
        <v/>
      </c>
      <c r="N1121" s="1396">
        <f>IF(raw[[#This Row],[city]]="","-",IF(raw[[#This Row],[cont]]="B",raw[[#This Row],[cont]],"W"))</f>
        <v/>
      </c>
      <c r="O1121" s="1397">
        <f>IF(raw[[#This Row],[out]]=0,0,IF(raw[[#This Row],[out]]=raw[[#This Row],[in]],0.01,raw[[#This Row],[out]]-raw[[#This Row],[in]]))</f>
        <v/>
      </c>
      <c r="P1121" s="1397">
        <f>IF(raw[[#This Row],[in]]=0,0,MONTH(raw[[#This Row],[in]]))</f>
        <v/>
      </c>
      <c r="Q1121" s="1397">
        <f>IF(raw[[#This Row],[in]]=0,0,YEAR(raw[[#This Row],[in]]))</f>
        <v/>
      </c>
      <c r="R1121" s="1397">
        <f>INT(raw[[#This Row],[yr]]/10)*10</f>
        <v/>
      </c>
      <c r="S1121" s="1395">
        <f>IF(raw[[#This Row],[city]]="","-",IF(raw[[#This Row],[city]]&lt;&gt;_xlfn.XLOOKUP(raw[[#This Row],[home]],homes[home],homes[city],"-"),1,0))</f>
        <v/>
      </c>
      <c r="T1121" s="1398" t="inlineStr">
        <is>
          <t>.</t>
        </is>
      </c>
      <c r="U1121" s="1399">
        <f>IF(raw[[#This Row],[wb]]="w",raw[[#This Row],[stay]]+U1120,U1120)</f>
        <v/>
      </c>
      <c r="V1121" s="1400">
        <f>IF(raw[[#This Row],[out]]=0,V1120,(raw[[#This Row],[out]]-E$5))</f>
        <v/>
      </c>
      <c r="W1121" s="1401">
        <f>U1121/V1121</f>
        <v/>
      </c>
      <c r="X1121" s="1392" t="n"/>
      <c r="Y1121" s="1392" t="n"/>
      <c r="Z1121" s="1392" t="n"/>
      <c r="AA1121" s="1392" t="n"/>
      <c r="AB1121" s="1392" t="n"/>
      <c r="AC1121" s="1392" t="n"/>
      <c r="AD1121" s="1392" t="n"/>
      <c r="AE1121" s="1392" t="n"/>
      <c r="AF1121" s="1392" t="n"/>
      <c r="AG1121" s="1392" t="n"/>
      <c r="AH1121" s="1392" t="n"/>
      <c r="AI1121" s="1392" t="n"/>
      <c r="AJ1121" s="1392" t="n"/>
      <c r="AK1121" s="1392" t="n"/>
      <c r="AL1121" s="1392" t="n"/>
      <c r="AM1121" s="1392" t="n"/>
      <c r="AN1121" s="1392" t="n"/>
      <c r="AO1121" s="1392" t="n"/>
      <c r="AP1121" s="1392" t="n"/>
      <c r="AQ1121" s="1392" t="n"/>
      <c r="AR1121" s="1422" t="n"/>
      <c r="AS1121" s="1422" t="n"/>
      <c r="AT1121" s="1392" t="n"/>
      <c r="AU1121" s="1392" t="n"/>
      <c r="AV1121" s="1392" t="n"/>
      <c r="AW1121" s="1392" t="n"/>
      <c r="AX1121" s="1392" t="n"/>
      <c r="AY1121" s="1392" t="n"/>
      <c r="AZ1121" s="1392" t="n"/>
      <c r="BA1121" s="1422" t="n"/>
      <c r="BB1121" s="1422" t="n"/>
      <c r="BC1121" s="1392" t="n"/>
      <c r="BD1121" s="1392" t="n"/>
      <c r="BE1121" s="1392" t="n"/>
      <c r="BF1121" s="1392" t="n"/>
      <c r="BG1121" s="1392" t="n"/>
      <c r="BH1121" s="1392" t="n"/>
      <c r="BI1121" s="1392" t="n"/>
      <c r="BJ1121" s="1392" t="n"/>
      <c r="BK1121" s="1392" t="n"/>
      <c r="BL1121" s="1392" t="n"/>
      <c r="BM1121" s="1392" t="n"/>
      <c r="BN1121" s="1392" t="n"/>
      <c r="BO1121" s="1392" t="n"/>
      <c r="BP1121" s="1392" t="n"/>
      <c r="BQ1121" s="1392" t="n"/>
      <c r="BR1121" s="1392" t="n"/>
      <c r="BS1121" s="1392" t="n"/>
      <c r="BT1121" s="1392" t="n"/>
      <c r="BU1121" s="1392" t="n"/>
      <c r="BV1121" s="1392" t="n"/>
      <c r="BW1121" s="1392" t="n"/>
      <c r="BX1121" s="1392" t="n"/>
      <c r="BY1121" s="1392" t="n"/>
      <c r="BZ1121" s="1392" t="n"/>
      <c r="CA1121" s="1392" t="n"/>
      <c r="CB1121" s="1392" t="n"/>
      <c r="CC1121" s="1392" t="n"/>
      <c r="CD1121" s="1392" t="n"/>
      <c r="CE1121" s="1392" t="n"/>
      <c r="CF1121" s="1392" t="n"/>
      <c r="CG1121" s="1392" t="n"/>
      <c r="CH1121" s="1392" t="n"/>
      <c r="CI1121" s="1392" t="n"/>
      <c r="CJ1121" s="1392" t="n"/>
      <c r="CK1121" s="1392" t="n"/>
      <c r="CL1121" s="1392" t="n"/>
    </row>
    <row r="1122">
      <c r="A1122" s="5" t="inlineStr">
        <is>
          <t>.</t>
        </is>
      </c>
      <c r="B1122" s="5" t="inlineStr">
        <is>
          <t>.</t>
        </is>
      </c>
      <c r="C1122" s="1378">
        <f>IF(raw[[#This Row],[city]]="","-",IF(raw[[#This Row],[city]]="TODAY","-",C1121+1))</f>
        <v/>
      </c>
      <c r="D1122" s="1393" t="inlineStr">
        <is>
          <t>Rio</t>
        </is>
      </c>
      <c r="E1122" s="1394" t="n">
        <v>39795</v>
      </c>
      <c r="F1122" s="1394" t="n">
        <v>39798</v>
      </c>
      <c r="G1122" s="1393" t="n">
        <v>1</v>
      </c>
      <c r="H1122" s="1393" t="inlineStr">
        <is>
          <t>Summer Flat</t>
        </is>
      </c>
      <c r="I1122" s="1393" t="inlineStr">
        <is>
          <t>Monica Rio</t>
        </is>
      </c>
      <c r="J1122" s="1393" t="inlineStr">
        <is>
          <t>-</t>
        </is>
      </c>
      <c r="K1122" s="1395">
        <f>IF(raw[[#This Row],[city]]&lt;&gt;"",_xlfn.XLOOKUP($D1122,ccc[city],ccc[prov],"-"),"-")</f>
        <v/>
      </c>
      <c r="L1122" s="1395">
        <f>IF(raw[[#This Row],[city]]&lt;&gt;"",_xlfn.XLOOKUP($D1122,ccc[city],ccc[ctry],"-"),"-")</f>
        <v/>
      </c>
      <c r="M1122" s="1395">
        <f>IF(raw[[#This Row],[city]]&lt;&gt;"",_xlfn.XLOOKUP($D1122,ccc[city],ccc[cont],"-"),"-")</f>
        <v/>
      </c>
      <c r="N1122" s="1396">
        <f>IF(raw[[#This Row],[city]]="","-",IF(raw[[#This Row],[cont]]="B",raw[[#This Row],[cont]],"W"))</f>
        <v/>
      </c>
      <c r="O1122" s="1397">
        <f>IF(raw[[#This Row],[out]]=0,0,IF(raw[[#This Row],[out]]=raw[[#This Row],[in]],0.01,raw[[#This Row],[out]]-raw[[#This Row],[in]]))</f>
        <v/>
      </c>
      <c r="P1122" s="1397">
        <f>IF(raw[[#This Row],[in]]=0,0,MONTH(raw[[#This Row],[in]]))</f>
        <v/>
      </c>
      <c r="Q1122" s="1397">
        <f>IF(raw[[#This Row],[in]]=0,0,YEAR(raw[[#This Row],[in]]))</f>
        <v/>
      </c>
      <c r="R1122" s="1397">
        <f>INT(raw[[#This Row],[yr]]/10)*10</f>
        <v/>
      </c>
      <c r="S1122" s="1395">
        <f>IF(raw[[#This Row],[city]]="","-",IF(raw[[#This Row],[city]]&lt;&gt;_xlfn.XLOOKUP(raw[[#This Row],[home]],homes[home],homes[city],"-"),1,0))</f>
        <v/>
      </c>
      <c r="T1122" s="1398" t="inlineStr">
        <is>
          <t>.</t>
        </is>
      </c>
      <c r="U1122" s="1399">
        <f>IF(raw[[#This Row],[wb]]="w",raw[[#This Row],[stay]]+U1121,U1121)</f>
        <v/>
      </c>
      <c r="V1122" s="1400">
        <f>IF(raw[[#This Row],[out]]=0,V1121,(raw[[#This Row],[out]]-E$5))</f>
        <v/>
      </c>
      <c r="W1122" s="1401">
        <f>U1122/V1122</f>
        <v/>
      </c>
      <c r="X1122" s="1392" t="n"/>
      <c r="Y1122" s="1392" t="n"/>
      <c r="Z1122" s="1392" t="n"/>
      <c r="AA1122" s="1392" t="n"/>
      <c r="AB1122" s="1392" t="n"/>
      <c r="AC1122" s="1392" t="n"/>
      <c r="AD1122" s="1392" t="n"/>
      <c r="AE1122" s="1392" t="n"/>
      <c r="AF1122" s="1392" t="n"/>
      <c r="AG1122" s="1392" t="n"/>
      <c r="AH1122" s="1392" t="n"/>
      <c r="AI1122" s="1392" t="n"/>
      <c r="AJ1122" s="1392" t="n"/>
      <c r="AK1122" s="1392" t="n"/>
      <c r="AL1122" s="1392" t="n"/>
      <c r="AM1122" s="1392" t="n"/>
      <c r="AN1122" s="1392" t="n"/>
      <c r="AO1122" s="1392" t="n"/>
      <c r="AP1122" s="1392" t="n"/>
      <c r="AQ1122" s="1392" t="n"/>
      <c r="AR1122" s="1422" t="n"/>
      <c r="AS1122" s="1422" t="n"/>
      <c r="AT1122" s="1392" t="n"/>
      <c r="AU1122" s="1392" t="n"/>
      <c r="AV1122" s="1392" t="n"/>
      <c r="AW1122" s="1392" t="n"/>
      <c r="AX1122" s="1392" t="n"/>
      <c r="AY1122" s="1392" t="n"/>
      <c r="AZ1122" s="1392" t="n"/>
      <c r="BA1122" s="1422" t="n"/>
      <c r="BB1122" s="1422" t="n"/>
      <c r="BC1122" s="1392" t="n"/>
      <c r="BD1122" s="1392" t="n"/>
      <c r="BE1122" s="1392" t="n"/>
      <c r="BF1122" s="1392" t="n"/>
      <c r="BG1122" s="1392" t="n"/>
      <c r="BH1122" s="1392" t="n"/>
      <c r="BI1122" s="1392" t="n"/>
      <c r="BJ1122" s="1392" t="n"/>
      <c r="BK1122" s="1392" t="n"/>
      <c r="BL1122" s="1392" t="n"/>
      <c r="BM1122" s="1392" t="n"/>
      <c r="BN1122" s="1392" t="n"/>
      <c r="BO1122" s="1392" t="n"/>
      <c r="BP1122" s="1392" t="n"/>
      <c r="BQ1122" s="1392" t="n"/>
      <c r="BR1122" s="1392" t="n"/>
      <c r="BS1122" s="1392" t="n"/>
      <c r="BT1122" s="1392" t="n"/>
      <c r="BU1122" s="1392" t="n"/>
      <c r="BV1122" s="1392" t="n"/>
      <c r="BW1122" s="1392" t="n"/>
      <c r="BX1122" s="1392" t="n"/>
      <c r="BY1122" s="1392" t="n"/>
      <c r="BZ1122" s="1392" t="n"/>
      <c r="CA1122" s="1392" t="n"/>
      <c r="CB1122" s="1392" t="n"/>
      <c r="CC1122" s="1392" t="n"/>
      <c r="CD1122" s="1392" t="n"/>
      <c r="CE1122" s="1392" t="n"/>
      <c r="CF1122" s="1392" t="n"/>
      <c r="CG1122" s="1392" t="n"/>
      <c r="CH1122" s="1392" t="n"/>
      <c r="CI1122" s="1392" t="n"/>
      <c r="CJ1122" s="1392" t="n"/>
      <c r="CK1122" s="1392" t="n"/>
      <c r="CL1122" s="1392" t="n"/>
    </row>
    <row r="1123">
      <c r="A1123" s="5" t="inlineStr">
        <is>
          <t>.</t>
        </is>
      </c>
      <c r="B1123" s="5" t="inlineStr">
        <is>
          <t>.</t>
        </is>
      </c>
      <c r="C1123" s="1378">
        <f>IF(raw[[#This Row],[city]]="","-",IF(raw[[#This Row],[city]]="TODAY","-",C1122+1))</f>
        <v/>
      </c>
      <c r="D1123" s="1393" t="inlineStr">
        <is>
          <t>SP</t>
        </is>
      </c>
      <c r="E1123" s="1394" t="n">
        <v>39798</v>
      </c>
      <c r="F1123" s="1394" t="n">
        <v>39804</v>
      </c>
      <c r="G1123" s="1393" t="n">
        <v>1</v>
      </c>
      <c r="H1123" s="1393" t="inlineStr">
        <is>
          <t>Summer Flat</t>
        </is>
      </c>
      <c r="I1123" s="1393" t="inlineStr">
        <is>
          <t>Salto Grande</t>
        </is>
      </c>
      <c r="J1123" s="1393" t="inlineStr">
        <is>
          <t>-</t>
        </is>
      </c>
      <c r="K1123" s="1395">
        <f>IF(raw[[#This Row],[city]]&lt;&gt;"",_xlfn.XLOOKUP($D1123,ccc[city],ccc[prov],"-"),"-")</f>
        <v/>
      </c>
      <c r="L1123" s="1395">
        <f>IF(raw[[#This Row],[city]]&lt;&gt;"",_xlfn.XLOOKUP($D1123,ccc[city],ccc[ctry],"-"),"-")</f>
        <v/>
      </c>
      <c r="M1123" s="1395">
        <f>IF(raw[[#This Row],[city]]&lt;&gt;"",_xlfn.XLOOKUP($D1123,ccc[city],ccc[cont],"-"),"-")</f>
        <v/>
      </c>
      <c r="N1123" s="1396">
        <f>IF(raw[[#This Row],[city]]="","-",IF(raw[[#This Row],[cont]]="B",raw[[#This Row],[cont]],"W"))</f>
        <v/>
      </c>
      <c r="O1123" s="1397">
        <f>IF(raw[[#This Row],[out]]=0,0,IF(raw[[#This Row],[out]]=raw[[#This Row],[in]],0.01,raw[[#This Row],[out]]-raw[[#This Row],[in]]))</f>
        <v/>
      </c>
      <c r="P1123" s="1397">
        <f>IF(raw[[#This Row],[in]]=0,0,MONTH(raw[[#This Row],[in]]))</f>
        <v/>
      </c>
      <c r="Q1123" s="1397">
        <f>IF(raw[[#This Row],[in]]=0,0,YEAR(raw[[#This Row],[in]]))</f>
        <v/>
      </c>
      <c r="R1123" s="1397">
        <f>INT(raw[[#This Row],[yr]]/10)*10</f>
        <v/>
      </c>
      <c r="S1123" s="1395">
        <f>IF(raw[[#This Row],[city]]="","-",IF(raw[[#This Row],[city]]&lt;&gt;_xlfn.XLOOKUP(raw[[#This Row],[home]],homes[home],homes[city],"-"),1,0))</f>
        <v/>
      </c>
      <c r="T1123" s="1398" t="inlineStr">
        <is>
          <t>.</t>
        </is>
      </c>
      <c r="U1123" s="1399">
        <f>IF(raw[[#This Row],[wb]]="w",raw[[#This Row],[stay]]+U1122,U1122)</f>
        <v/>
      </c>
      <c r="V1123" s="1400">
        <f>IF(raw[[#This Row],[out]]=0,V1122,(raw[[#This Row],[out]]-E$5))</f>
        <v/>
      </c>
      <c r="W1123" s="1401">
        <f>U1123/V1123</f>
        <v/>
      </c>
      <c r="X1123" s="1392" t="n"/>
      <c r="Y1123" s="1392" t="n"/>
      <c r="Z1123" s="1392" t="n"/>
      <c r="AA1123" s="1392" t="n"/>
      <c r="AB1123" s="1392" t="n"/>
      <c r="AC1123" s="1392" t="n"/>
      <c r="AD1123" s="1392" t="n"/>
      <c r="AE1123" s="1392" t="n"/>
      <c r="AF1123" s="1392" t="n"/>
      <c r="AG1123" s="1392" t="n"/>
      <c r="AH1123" s="1392" t="n"/>
      <c r="AI1123" s="1392" t="n"/>
      <c r="AJ1123" s="1392" t="n"/>
      <c r="AK1123" s="1392" t="n"/>
      <c r="AL1123" s="1392" t="n"/>
      <c r="AM1123" s="1392" t="n"/>
      <c r="AN1123" s="1392" t="n"/>
      <c r="AO1123" s="1392" t="n"/>
      <c r="AP1123" s="1392" t="n"/>
      <c r="AQ1123" s="1392" t="n"/>
      <c r="AR1123" s="1422" t="n"/>
      <c r="AS1123" s="1422" t="n"/>
      <c r="AT1123" s="1392" t="n"/>
      <c r="AU1123" s="1392" t="n"/>
      <c r="AV1123" s="1392" t="n"/>
      <c r="AW1123" s="1392" t="n"/>
      <c r="AX1123" s="1392" t="n"/>
      <c r="AY1123" s="1392" t="n"/>
      <c r="AZ1123" s="1392" t="n"/>
      <c r="BA1123" s="1422" t="n"/>
      <c r="BB1123" s="1422" t="n"/>
      <c r="BC1123" s="1392" t="n"/>
      <c r="BD1123" s="1392" t="n"/>
      <c r="BE1123" s="1392" t="n"/>
      <c r="BF1123" s="1392" t="n"/>
      <c r="BG1123" s="1392" t="n"/>
      <c r="BH1123" s="1392" t="n"/>
      <c r="BI1123" s="1392" t="n"/>
      <c r="BJ1123" s="1392" t="n"/>
      <c r="BK1123" s="1392" t="n"/>
      <c r="BL1123" s="1392" t="n"/>
      <c r="BM1123" s="1392" t="n"/>
      <c r="BN1123" s="1392" t="n"/>
      <c r="BO1123" s="1392" t="n"/>
      <c r="BP1123" s="1392" t="n"/>
      <c r="BQ1123" s="1392" t="n"/>
      <c r="BR1123" s="1392" t="n"/>
      <c r="BS1123" s="1392" t="n"/>
      <c r="BT1123" s="1392" t="n"/>
      <c r="BU1123" s="1392" t="n"/>
      <c r="BV1123" s="1392" t="n"/>
      <c r="BW1123" s="1392" t="n"/>
      <c r="BX1123" s="1392" t="n"/>
      <c r="BY1123" s="1392" t="n"/>
      <c r="BZ1123" s="1392" t="n"/>
      <c r="CA1123" s="1392" t="n"/>
      <c r="CB1123" s="1392" t="n"/>
      <c r="CC1123" s="1392" t="n"/>
      <c r="CD1123" s="1392" t="n"/>
      <c r="CE1123" s="1392" t="n"/>
      <c r="CF1123" s="1392" t="n"/>
      <c r="CG1123" s="1392" t="n"/>
      <c r="CH1123" s="1392" t="n"/>
      <c r="CI1123" s="1392" t="n"/>
      <c r="CJ1123" s="1392" t="n"/>
      <c r="CK1123" s="1392" t="n"/>
      <c r="CL1123" s="1392" t="n"/>
    </row>
    <row r="1124">
      <c r="A1124" s="5" t="inlineStr">
        <is>
          <t>.</t>
        </is>
      </c>
      <c r="B1124" s="5" t="inlineStr">
        <is>
          <t>.</t>
        </is>
      </c>
      <c r="C1124" s="1378">
        <f>IF(raw[[#This Row],[city]]="","-",IF(raw[[#This Row],[city]]="TODAY","-",C1123+1))</f>
        <v/>
      </c>
      <c r="D1124" s="1393" t="inlineStr">
        <is>
          <t>Rio</t>
        </is>
      </c>
      <c r="E1124" s="1394" t="n">
        <v>39804</v>
      </c>
      <c r="F1124" s="1394" t="n">
        <v>39804</v>
      </c>
      <c r="G1124" s="1393" t="n">
        <v>1</v>
      </c>
      <c r="H1124" s="1393" t="inlineStr">
        <is>
          <t>Summer Flat</t>
        </is>
      </c>
      <c r="I1124" s="1393" t="inlineStr">
        <is>
          <t>-</t>
        </is>
      </c>
      <c r="J1124" s="1393" t="inlineStr">
        <is>
          <t>-</t>
        </is>
      </c>
      <c r="K1124" s="1395">
        <f>IF(raw[[#This Row],[city]]&lt;&gt;"",_xlfn.XLOOKUP($D1124,ccc[city],ccc[prov],"-"),"-")</f>
        <v/>
      </c>
      <c r="L1124" s="1395">
        <f>IF(raw[[#This Row],[city]]&lt;&gt;"",_xlfn.XLOOKUP($D1124,ccc[city],ccc[ctry],"-"),"-")</f>
        <v/>
      </c>
      <c r="M1124" s="1395">
        <f>IF(raw[[#This Row],[city]]&lt;&gt;"",_xlfn.XLOOKUP($D1124,ccc[city],ccc[cont],"-"),"-")</f>
        <v/>
      </c>
      <c r="N1124" s="1396">
        <f>IF(raw[[#This Row],[city]]="","-",IF(raw[[#This Row],[cont]]="B",raw[[#This Row],[cont]],"W"))</f>
        <v/>
      </c>
      <c r="O1124" s="1397">
        <f>IF(raw[[#This Row],[out]]=0,0,IF(raw[[#This Row],[out]]=raw[[#This Row],[in]],0.01,raw[[#This Row],[out]]-raw[[#This Row],[in]]))</f>
        <v/>
      </c>
      <c r="P1124" s="1397">
        <f>IF(raw[[#This Row],[in]]=0,0,MONTH(raw[[#This Row],[in]]))</f>
        <v/>
      </c>
      <c r="Q1124" s="1397">
        <f>IF(raw[[#This Row],[in]]=0,0,YEAR(raw[[#This Row],[in]]))</f>
        <v/>
      </c>
      <c r="R1124" s="1397">
        <f>INT(raw[[#This Row],[yr]]/10)*10</f>
        <v/>
      </c>
      <c r="S1124" s="1395">
        <f>IF(raw[[#This Row],[city]]="","-",IF(raw[[#This Row],[city]]&lt;&gt;_xlfn.XLOOKUP(raw[[#This Row],[home]],homes[home],homes[city],"-"),1,0))</f>
        <v/>
      </c>
      <c r="T1124" s="1398" t="inlineStr">
        <is>
          <t>.</t>
        </is>
      </c>
      <c r="U1124" s="1399">
        <f>IF(raw[[#This Row],[wb]]="w",raw[[#This Row],[stay]]+U1123,U1123)</f>
        <v/>
      </c>
      <c r="V1124" s="1400">
        <f>IF(raw[[#This Row],[out]]=0,V1123,(raw[[#This Row],[out]]-E$5))</f>
        <v/>
      </c>
      <c r="W1124" s="1401">
        <f>U1124/V1124</f>
        <v/>
      </c>
      <c r="X1124" s="1392" t="n"/>
      <c r="Y1124" s="1392" t="n"/>
      <c r="Z1124" s="1392" t="n"/>
      <c r="AA1124" s="1392" t="n"/>
      <c r="AB1124" s="1392" t="n"/>
      <c r="AC1124" s="1392" t="n"/>
      <c r="AD1124" s="1392" t="n"/>
      <c r="AE1124" s="1392" t="n"/>
      <c r="AF1124" s="1392" t="n"/>
      <c r="AG1124" s="1392" t="n"/>
      <c r="AH1124" s="1392" t="n"/>
      <c r="AI1124" s="1392" t="n"/>
      <c r="AJ1124" s="1392" t="n"/>
      <c r="AK1124" s="1392" t="n"/>
      <c r="AL1124" s="1392" t="n"/>
      <c r="AM1124" s="1392" t="n"/>
      <c r="AN1124" s="1392" t="n"/>
      <c r="AO1124" s="1392" t="n"/>
      <c r="AP1124" s="1392" t="n"/>
      <c r="AQ1124" s="1392" t="n"/>
      <c r="AR1124" s="1422" t="n"/>
      <c r="AS1124" s="1422" t="n"/>
      <c r="AT1124" s="1392" t="n"/>
      <c r="AU1124" s="1392" t="n"/>
      <c r="AV1124" s="1392" t="n"/>
      <c r="AW1124" s="1392" t="n"/>
      <c r="AX1124" s="1392" t="n"/>
      <c r="AY1124" s="1392" t="n"/>
      <c r="AZ1124" s="1392" t="n"/>
      <c r="BA1124" s="1422" t="n"/>
      <c r="BB1124" s="1422" t="n"/>
      <c r="BC1124" s="1392" t="n"/>
      <c r="BD1124" s="1392" t="n"/>
      <c r="BE1124" s="1392" t="n"/>
      <c r="BF1124" s="1392" t="n"/>
      <c r="BG1124" s="1392" t="n"/>
      <c r="BH1124" s="1392" t="n"/>
      <c r="BI1124" s="1392" t="n"/>
      <c r="BJ1124" s="1392" t="n"/>
      <c r="BK1124" s="1392" t="n"/>
      <c r="BL1124" s="1392" t="n"/>
      <c r="BM1124" s="1392" t="n"/>
      <c r="BN1124" s="1392" t="n"/>
      <c r="BO1124" s="1392" t="n"/>
      <c r="BP1124" s="1392" t="n"/>
      <c r="BQ1124" s="1392" t="n"/>
      <c r="BR1124" s="1392" t="n"/>
      <c r="BS1124" s="1392" t="n"/>
      <c r="BT1124" s="1392" t="n"/>
      <c r="BU1124" s="1392" t="n"/>
      <c r="BV1124" s="1392" t="n"/>
      <c r="BW1124" s="1392" t="n"/>
      <c r="BX1124" s="1392" t="n"/>
      <c r="BY1124" s="1392" t="n"/>
      <c r="BZ1124" s="1392" t="n"/>
      <c r="CA1124" s="1392" t="n"/>
      <c r="CB1124" s="1392" t="n"/>
      <c r="CC1124" s="1392" t="n"/>
      <c r="CD1124" s="1392" t="n"/>
      <c r="CE1124" s="1392" t="n"/>
      <c r="CF1124" s="1392" t="n"/>
      <c r="CG1124" s="1392" t="n"/>
      <c r="CH1124" s="1392" t="n"/>
      <c r="CI1124" s="1392" t="n"/>
      <c r="CJ1124" s="1392" t="n"/>
      <c r="CK1124" s="1392" t="n"/>
      <c r="CL1124" s="1392" t="n"/>
    </row>
    <row r="1125">
      <c r="A1125" s="5" t="inlineStr">
        <is>
          <t>.</t>
        </is>
      </c>
      <c r="B1125" s="5" t="inlineStr">
        <is>
          <t>.</t>
        </is>
      </c>
      <c r="C1125" s="1378">
        <f>IF(raw[[#This Row],[city]]="","-",IF(raw[[#This Row],[city]]="TODAY","-",C1124+1))</f>
        <v/>
      </c>
      <c r="D1125" s="1393" t="inlineStr">
        <is>
          <t>SSA</t>
        </is>
      </c>
      <c r="E1125" s="1394" t="n">
        <v>39804</v>
      </c>
      <c r="F1125" s="1394" t="n">
        <v>39814</v>
      </c>
      <c r="G1125" s="1393" t="inlineStr">
        <is>
          <t>-</t>
        </is>
      </c>
      <c r="H1125" s="1393" t="inlineStr">
        <is>
          <t>Summer Flat</t>
        </is>
      </c>
      <c r="I1125" s="1393" t="inlineStr">
        <is>
          <t>-</t>
        </is>
      </c>
      <c r="J1125" s="1393" t="inlineStr">
        <is>
          <t>-</t>
        </is>
      </c>
      <c r="K1125" s="1395">
        <f>IF(raw[[#This Row],[city]]&lt;&gt;"",_xlfn.XLOOKUP($D1125,ccc[city],ccc[prov],"-"),"-")</f>
        <v/>
      </c>
      <c r="L1125" s="1395">
        <f>IF(raw[[#This Row],[city]]&lt;&gt;"",_xlfn.XLOOKUP($D1125,ccc[city],ccc[ctry],"-"),"-")</f>
        <v/>
      </c>
      <c r="M1125" s="1395">
        <f>IF(raw[[#This Row],[city]]&lt;&gt;"",_xlfn.XLOOKUP($D1125,ccc[city],ccc[cont],"-"),"-")</f>
        <v/>
      </c>
      <c r="N1125" s="1396">
        <f>IF(raw[[#This Row],[city]]="","-",IF(raw[[#This Row],[cont]]="B",raw[[#This Row],[cont]],"W"))</f>
        <v/>
      </c>
      <c r="O1125" s="1397">
        <f>IF(raw[[#This Row],[out]]=0,0,IF(raw[[#This Row],[out]]=raw[[#This Row],[in]],0.01,raw[[#This Row],[out]]-raw[[#This Row],[in]]))</f>
        <v/>
      </c>
      <c r="P1125" s="1397">
        <f>IF(raw[[#This Row],[in]]=0,0,MONTH(raw[[#This Row],[in]]))</f>
        <v/>
      </c>
      <c r="Q1125" s="1397">
        <f>IF(raw[[#This Row],[in]]=0,0,YEAR(raw[[#This Row],[in]]))</f>
        <v/>
      </c>
      <c r="R1125" s="1397">
        <f>INT(raw[[#This Row],[yr]]/10)*10</f>
        <v/>
      </c>
      <c r="S1125" s="1395">
        <f>IF(raw[[#This Row],[city]]="","-",IF(raw[[#This Row],[city]]&lt;&gt;_xlfn.XLOOKUP(raw[[#This Row],[home]],homes[home],homes[city],"-"),1,0))</f>
        <v/>
      </c>
      <c r="T1125" s="1398" t="inlineStr">
        <is>
          <t>.</t>
        </is>
      </c>
      <c r="U1125" s="1399">
        <f>IF(raw[[#This Row],[wb]]="w",raw[[#This Row],[stay]]+U1124,U1124)</f>
        <v/>
      </c>
      <c r="V1125" s="1400">
        <f>IF(raw[[#This Row],[out]]=0,V1124,(raw[[#This Row],[out]]-E$5))</f>
        <v/>
      </c>
      <c r="W1125" s="1401">
        <f>U1125/V1125</f>
        <v/>
      </c>
      <c r="X1125" s="1392" t="n"/>
      <c r="Y1125" s="1392" t="n"/>
      <c r="Z1125" s="1392" t="n"/>
      <c r="AA1125" s="1392" t="n"/>
      <c r="AB1125" s="1392" t="n"/>
      <c r="AC1125" s="1392" t="n"/>
      <c r="AD1125" s="1392" t="n"/>
      <c r="AE1125" s="1392" t="n"/>
      <c r="AF1125" s="1392" t="n"/>
      <c r="AG1125" s="1392" t="n"/>
      <c r="AH1125" s="1392" t="n"/>
      <c r="AI1125" s="1392" t="n"/>
      <c r="AJ1125" s="1392" t="n"/>
      <c r="AK1125" s="1392" t="n"/>
      <c r="AL1125" s="1392" t="n"/>
      <c r="AM1125" s="1392" t="n"/>
      <c r="AN1125" s="1392" t="n"/>
      <c r="AO1125" s="1392" t="n"/>
      <c r="AP1125" s="1392" t="n"/>
      <c r="AQ1125" s="1392" t="n"/>
      <c r="AR1125" s="1422" t="n"/>
      <c r="AS1125" s="1422" t="n"/>
      <c r="AT1125" s="1392" t="n"/>
      <c r="AU1125" s="1392" t="n"/>
      <c r="AV1125" s="1392" t="n"/>
      <c r="AW1125" s="1392" t="n"/>
      <c r="AX1125" s="1392" t="n"/>
      <c r="AY1125" s="1392" t="n"/>
      <c r="AZ1125" s="1392" t="n"/>
      <c r="BA1125" s="1422" t="n"/>
      <c r="BB1125" s="1422" t="n"/>
      <c r="BC1125" s="1392" t="n"/>
      <c r="BD1125" s="1392" t="n"/>
      <c r="BE1125" s="1392" t="n"/>
      <c r="BF1125" s="1392" t="n"/>
      <c r="BG1125" s="1392" t="n"/>
      <c r="BH1125" s="1392" t="n"/>
      <c r="BI1125" s="1392" t="n"/>
      <c r="BJ1125" s="1392" t="n"/>
      <c r="BK1125" s="1392" t="n"/>
      <c r="BL1125" s="1392" t="n"/>
      <c r="BM1125" s="1392" t="n"/>
      <c r="BN1125" s="1392" t="n"/>
      <c r="BO1125" s="1392" t="n"/>
      <c r="BP1125" s="1392" t="n"/>
      <c r="BQ1125" s="1392" t="n"/>
      <c r="BR1125" s="1392" t="n"/>
      <c r="BS1125" s="1392" t="n"/>
      <c r="BT1125" s="1392" t="n"/>
      <c r="BU1125" s="1392" t="n"/>
      <c r="BV1125" s="1392" t="n"/>
      <c r="BW1125" s="1392" t="n"/>
      <c r="BX1125" s="1392" t="n"/>
      <c r="BY1125" s="1392" t="n"/>
      <c r="BZ1125" s="1392" t="n"/>
      <c r="CA1125" s="1392" t="n"/>
      <c r="CB1125" s="1392" t="n"/>
      <c r="CC1125" s="1392" t="n"/>
      <c r="CD1125" s="1392" t="n"/>
      <c r="CE1125" s="1392" t="n"/>
      <c r="CF1125" s="1392" t="n"/>
      <c r="CG1125" s="1392" t="n"/>
      <c r="CH1125" s="1392" t="n"/>
      <c r="CI1125" s="1392" t="n"/>
      <c r="CJ1125" s="1392" t="n"/>
      <c r="CK1125" s="1392" t="n"/>
      <c r="CL1125" s="1392" t="n"/>
    </row>
    <row r="1126">
      <c r="A1126" s="5" t="inlineStr">
        <is>
          <t>.</t>
        </is>
      </c>
      <c r="B1126" s="5" t="inlineStr">
        <is>
          <t>.</t>
        </is>
      </c>
      <c r="C1126" s="1378">
        <f>IF(raw[[#This Row],[city]]="","-",IF(raw[[#This Row],[city]]="TODAY","-",C1125+1))</f>
        <v/>
      </c>
      <c r="D1126" s="1393" t="inlineStr">
        <is>
          <t>SSA</t>
        </is>
      </c>
      <c r="E1126" s="1394" t="n">
        <v>39814</v>
      </c>
      <c r="F1126" s="1394" t="n">
        <v>39845</v>
      </c>
      <c r="G1126" s="1393" t="inlineStr">
        <is>
          <t>-</t>
        </is>
      </c>
      <c r="H1126" s="1393" t="inlineStr">
        <is>
          <t>Summer Flat</t>
        </is>
      </c>
      <c r="I1126" s="1393" t="inlineStr">
        <is>
          <t>-</t>
        </is>
      </c>
      <c r="J1126" s="1393" t="inlineStr">
        <is>
          <t>REV</t>
        </is>
      </c>
      <c r="K1126" s="1395">
        <f>IF(raw[[#This Row],[city]]&lt;&gt;"",_xlfn.XLOOKUP($D1126,ccc[city],ccc[prov],"-"),"-")</f>
        <v/>
      </c>
      <c r="L1126" s="1395">
        <f>IF(raw[[#This Row],[city]]&lt;&gt;"",_xlfn.XLOOKUP($D1126,ccc[city],ccc[ctry],"-"),"-")</f>
        <v/>
      </c>
      <c r="M1126" s="1395">
        <f>IF(raw[[#This Row],[city]]&lt;&gt;"",_xlfn.XLOOKUP($D1126,ccc[city],ccc[cont],"-"),"-")</f>
        <v/>
      </c>
      <c r="N1126" s="1396">
        <f>IF(raw[[#This Row],[city]]="","-",IF(raw[[#This Row],[cont]]="B",raw[[#This Row],[cont]],"W"))</f>
        <v/>
      </c>
      <c r="O1126" s="1397">
        <f>IF(raw[[#This Row],[out]]=0,0,IF(raw[[#This Row],[out]]=raw[[#This Row],[in]],0.01,raw[[#This Row],[out]]-raw[[#This Row],[in]]))</f>
        <v/>
      </c>
      <c r="P1126" s="1397">
        <f>IF(raw[[#This Row],[in]]=0,0,MONTH(raw[[#This Row],[in]]))</f>
        <v/>
      </c>
      <c r="Q1126" s="1397">
        <f>IF(raw[[#This Row],[in]]=0,0,YEAR(raw[[#This Row],[in]]))</f>
        <v/>
      </c>
      <c r="R1126" s="1397">
        <f>INT(raw[[#This Row],[yr]]/10)*10</f>
        <v/>
      </c>
      <c r="S1126" s="1395">
        <f>IF(raw[[#This Row],[city]]="","-",IF(raw[[#This Row],[city]]&lt;&gt;_xlfn.XLOOKUP(raw[[#This Row],[home]],homes[home],homes[city],"-"),1,0))</f>
        <v/>
      </c>
      <c r="T1126" s="1398" t="inlineStr">
        <is>
          <t>.</t>
        </is>
      </c>
      <c r="U1126" s="1399">
        <f>IF(raw[[#This Row],[wb]]="w",raw[[#This Row],[stay]]+U1125,U1125)</f>
        <v/>
      </c>
      <c r="V1126" s="1400">
        <f>IF(raw[[#This Row],[out]]=0,V1125,(raw[[#This Row],[out]]-E$5))</f>
        <v/>
      </c>
      <c r="W1126" s="1401">
        <f>U1126/V1126</f>
        <v/>
      </c>
      <c r="X1126" s="1392" t="n"/>
      <c r="Y1126" s="1392" t="n"/>
      <c r="Z1126" s="1392" t="n"/>
      <c r="AA1126" s="1392" t="n"/>
      <c r="AB1126" s="1392" t="n"/>
      <c r="AC1126" s="1392" t="n"/>
      <c r="AD1126" s="1392" t="n"/>
      <c r="AE1126" s="1392" t="n"/>
      <c r="AF1126" s="1392" t="n"/>
      <c r="AG1126" s="1392" t="n"/>
      <c r="AH1126" s="1392" t="n"/>
      <c r="AI1126" s="1392" t="n"/>
      <c r="AJ1126" s="1392" t="n"/>
      <c r="AK1126" s="1392" t="n"/>
      <c r="AL1126" s="1392" t="n"/>
      <c r="AM1126" s="1392" t="n"/>
      <c r="AN1126" s="1392" t="n"/>
      <c r="AO1126" s="1392" t="n"/>
      <c r="AP1126" s="1392" t="n"/>
      <c r="AQ1126" s="1392" t="n"/>
      <c r="AR1126" s="1422" t="n"/>
      <c r="AS1126" s="1422" t="n"/>
      <c r="AT1126" s="1392" t="n"/>
      <c r="AU1126" s="1392" t="n"/>
      <c r="AV1126" s="1392" t="n"/>
      <c r="AW1126" s="1392" t="n"/>
      <c r="AX1126" s="1392" t="n"/>
      <c r="AY1126" s="1392" t="n"/>
      <c r="AZ1126" s="1392" t="n"/>
      <c r="BA1126" s="1422" t="n"/>
      <c r="BB1126" s="1422" t="n"/>
      <c r="BC1126" s="1392" t="n"/>
      <c r="BD1126" s="1392" t="n"/>
      <c r="BE1126" s="1392" t="n"/>
      <c r="BF1126" s="1392" t="n"/>
      <c r="BG1126" s="1392" t="n"/>
      <c r="BH1126" s="1392" t="n"/>
      <c r="BI1126" s="1392" t="n"/>
      <c r="BJ1126" s="1392" t="n"/>
      <c r="BK1126" s="1392" t="n"/>
      <c r="BL1126" s="1392" t="n"/>
      <c r="BM1126" s="1392" t="n"/>
      <c r="BN1126" s="1392" t="n"/>
      <c r="BO1126" s="1392" t="n"/>
      <c r="BP1126" s="1392" t="n"/>
      <c r="BQ1126" s="1392" t="n"/>
      <c r="BR1126" s="1392" t="n"/>
      <c r="BS1126" s="1392" t="n"/>
      <c r="BT1126" s="1392" t="n"/>
      <c r="BU1126" s="1392" t="n"/>
      <c r="BV1126" s="1392" t="n"/>
      <c r="BW1126" s="1392" t="n"/>
      <c r="BX1126" s="1392" t="n"/>
      <c r="BY1126" s="1392" t="n"/>
      <c r="BZ1126" s="1392" t="n"/>
      <c r="CA1126" s="1392" t="n"/>
      <c r="CB1126" s="1392" t="n"/>
      <c r="CC1126" s="1392" t="n"/>
      <c r="CD1126" s="1392" t="n"/>
      <c r="CE1126" s="1392" t="n"/>
      <c r="CF1126" s="1392" t="n"/>
      <c r="CG1126" s="1392" t="n"/>
      <c r="CH1126" s="1392" t="n"/>
      <c r="CI1126" s="1392" t="n"/>
      <c r="CJ1126" s="1392" t="n"/>
      <c r="CK1126" s="1392" t="n"/>
      <c r="CL1126" s="1392" t="n"/>
    </row>
    <row r="1127">
      <c r="A1127" s="5" t="inlineStr">
        <is>
          <t>.</t>
        </is>
      </c>
      <c r="B1127" s="5" t="inlineStr">
        <is>
          <t>.</t>
        </is>
      </c>
      <c r="C1127" s="1378">
        <f>IF(raw[[#This Row],[city]]="","-",IF(raw[[#This Row],[city]]="TODAY","-",C1126+1))</f>
        <v/>
      </c>
      <c r="D1127" s="1393" t="inlineStr">
        <is>
          <t>SSA</t>
        </is>
      </c>
      <c r="E1127" s="1394" t="n">
        <v>39845</v>
      </c>
      <c r="F1127" s="1394" t="n">
        <v>39873</v>
      </c>
      <c r="G1127" s="1393" t="inlineStr">
        <is>
          <t>-</t>
        </is>
      </c>
      <c r="H1127" s="1393" t="inlineStr">
        <is>
          <t>Summer Flat</t>
        </is>
      </c>
      <c r="I1127" s="1393" t="inlineStr">
        <is>
          <t>-</t>
        </is>
      </c>
      <c r="J1127" s="1393" t="inlineStr">
        <is>
          <t>-</t>
        </is>
      </c>
      <c r="K1127" s="1395">
        <f>IF(raw[[#This Row],[city]]&lt;&gt;"",_xlfn.XLOOKUP($D1127,ccc[city],ccc[prov],"-"),"-")</f>
        <v/>
      </c>
      <c r="L1127" s="1395">
        <f>IF(raw[[#This Row],[city]]&lt;&gt;"",_xlfn.XLOOKUP($D1127,ccc[city],ccc[ctry],"-"),"-")</f>
        <v/>
      </c>
      <c r="M1127" s="1395">
        <f>IF(raw[[#This Row],[city]]&lt;&gt;"",_xlfn.XLOOKUP($D1127,ccc[city],ccc[cont],"-"),"-")</f>
        <v/>
      </c>
      <c r="N1127" s="1396">
        <f>IF(raw[[#This Row],[city]]="","-",IF(raw[[#This Row],[cont]]="B",raw[[#This Row],[cont]],"W"))</f>
        <v/>
      </c>
      <c r="O1127" s="1397">
        <f>IF(raw[[#This Row],[out]]=0,0,IF(raw[[#This Row],[out]]=raw[[#This Row],[in]],0.01,raw[[#This Row],[out]]-raw[[#This Row],[in]]))</f>
        <v/>
      </c>
      <c r="P1127" s="1397">
        <f>IF(raw[[#This Row],[in]]=0,0,MONTH(raw[[#This Row],[in]]))</f>
        <v/>
      </c>
      <c r="Q1127" s="1397">
        <f>IF(raw[[#This Row],[in]]=0,0,YEAR(raw[[#This Row],[in]]))</f>
        <v/>
      </c>
      <c r="R1127" s="1397">
        <f>INT(raw[[#This Row],[yr]]/10)*10</f>
        <v/>
      </c>
      <c r="S1127" s="1395">
        <f>IF(raw[[#This Row],[city]]="","-",IF(raw[[#This Row],[city]]&lt;&gt;_xlfn.XLOOKUP(raw[[#This Row],[home]],homes[home],homes[city],"-"),1,0))</f>
        <v/>
      </c>
      <c r="T1127" s="1398" t="inlineStr">
        <is>
          <t>.</t>
        </is>
      </c>
      <c r="U1127" s="1399">
        <f>IF(raw[[#This Row],[wb]]="w",raw[[#This Row],[stay]]+U1126,U1126)</f>
        <v/>
      </c>
      <c r="V1127" s="1400">
        <f>IF(raw[[#This Row],[out]]=0,V1126,(raw[[#This Row],[out]]-E$5))</f>
        <v/>
      </c>
      <c r="W1127" s="1401">
        <f>U1127/V1127</f>
        <v/>
      </c>
      <c r="X1127" s="1392" t="n"/>
      <c r="Y1127" s="1392" t="n"/>
      <c r="Z1127" s="1392" t="n"/>
      <c r="AA1127" s="1392" t="n"/>
      <c r="AB1127" s="1392" t="n"/>
      <c r="AC1127" s="1392" t="n"/>
      <c r="AD1127" s="1392" t="n"/>
      <c r="AE1127" s="1392" t="n"/>
      <c r="AF1127" s="1392" t="n"/>
      <c r="AG1127" s="1392" t="n"/>
      <c r="AH1127" s="1392" t="n"/>
      <c r="AI1127" s="1392" t="n"/>
      <c r="AJ1127" s="1392" t="n"/>
      <c r="AK1127" s="1392" t="n"/>
      <c r="AL1127" s="1392" t="n"/>
      <c r="AM1127" s="1392" t="n"/>
      <c r="AN1127" s="1392" t="n"/>
      <c r="AO1127" s="1392" t="n"/>
      <c r="AP1127" s="1392" t="n"/>
      <c r="AQ1127" s="1392" t="n"/>
      <c r="AR1127" s="1422" t="n"/>
      <c r="AS1127" s="1422" t="n"/>
      <c r="AT1127" s="1392" t="n"/>
      <c r="AU1127" s="1392" t="n"/>
      <c r="AV1127" s="1392" t="n"/>
      <c r="AW1127" s="1392" t="n"/>
      <c r="AX1127" s="1392" t="n"/>
      <c r="AY1127" s="1392" t="n"/>
      <c r="AZ1127" s="1392" t="n"/>
      <c r="BA1127" s="1422" t="n"/>
      <c r="BB1127" s="1422" t="n"/>
      <c r="BC1127" s="1392" t="n"/>
      <c r="BD1127" s="1392" t="n"/>
      <c r="BE1127" s="1392" t="n"/>
      <c r="BF1127" s="1392" t="n"/>
      <c r="BG1127" s="1392" t="n"/>
      <c r="BH1127" s="1392" t="n"/>
      <c r="BI1127" s="1392" t="n"/>
      <c r="BJ1127" s="1392" t="n"/>
      <c r="BK1127" s="1392" t="n"/>
      <c r="BL1127" s="1392" t="n"/>
      <c r="BM1127" s="1392" t="n"/>
      <c r="BN1127" s="1392" t="n"/>
      <c r="BO1127" s="1392" t="n"/>
      <c r="BP1127" s="1392" t="n"/>
      <c r="BQ1127" s="1392" t="n"/>
      <c r="BR1127" s="1392" t="n"/>
      <c r="BS1127" s="1392" t="n"/>
      <c r="BT1127" s="1392" t="n"/>
      <c r="BU1127" s="1392" t="n"/>
      <c r="BV1127" s="1392" t="n"/>
      <c r="BW1127" s="1392" t="n"/>
      <c r="BX1127" s="1392" t="n"/>
      <c r="BY1127" s="1392" t="n"/>
      <c r="BZ1127" s="1392" t="n"/>
      <c r="CA1127" s="1392" t="n"/>
      <c r="CB1127" s="1392" t="n"/>
      <c r="CC1127" s="1392" t="n"/>
      <c r="CD1127" s="1392" t="n"/>
      <c r="CE1127" s="1392" t="n"/>
      <c r="CF1127" s="1392" t="n"/>
      <c r="CG1127" s="1392" t="n"/>
      <c r="CH1127" s="1392" t="n"/>
      <c r="CI1127" s="1392" t="n"/>
      <c r="CJ1127" s="1392" t="n"/>
      <c r="CK1127" s="1392" t="n"/>
      <c r="CL1127" s="1392" t="n"/>
    </row>
    <row r="1128">
      <c r="A1128" s="5" t="inlineStr">
        <is>
          <t>.</t>
        </is>
      </c>
      <c r="B1128" s="5" t="inlineStr">
        <is>
          <t>.</t>
        </is>
      </c>
      <c r="C1128" s="1378">
        <f>IF(raw[[#This Row],[city]]="","-",IF(raw[[#This Row],[city]]="TODAY","-",C1127+1))</f>
        <v/>
      </c>
      <c r="D1128" s="1393" t="inlineStr">
        <is>
          <t>SSA</t>
        </is>
      </c>
      <c r="E1128" s="1394" t="n">
        <v>39873</v>
      </c>
      <c r="F1128" s="1394" t="n">
        <v>39889</v>
      </c>
      <c r="G1128" s="1393" t="n">
        <v>1</v>
      </c>
      <c r="H1128" s="1393" t="inlineStr">
        <is>
          <t>Summer Flat</t>
        </is>
      </c>
      <c r="I1128" s="1393" t="inlineStr">
        <is>
          <t>-</t>
        </is>
      </c>
      <c r="J1128" s="1393" t="inlineStr">
        <is>
          <t>-</t>
        </is>
      </c>
      <c r="K1128" s="1395">
        <f>IF(raw[[#This Row],[city]]&lt;&gt;"",_xlfn.XLOOKUP($D1128,ccc[city],ccc[prov],"-"),"-")</f>
        <v/>
      </c>
      <c r="L1128" s="1395">
        <f>IF(raw[[#This Row],[city]]&lt;&gt;"",_xlfn.XLOOKUP($D1128,ccc[city],ccc[ctry],"-"),"-")</f>
        <v/>
      </c>
      <c r="M1128" s="1395">
        <f>IF(raw[[#This Row],[city]]&lt;&gt;"",_xlfn.XLOOKUP($D1128,ccc[city],ccc[cont],"-"),"-")</f>
        <v/>
      </c>
      <c r="N1128" s="1396">
        <f>IF(raw[[#This Row],[city]]="","-",IF(raw[[#This Row],[cont]]="B",raw[[#This Row],[cont]],"W"))</f>
        <v/>
      </c>
      <c r="O1128" s="1397">
        <f>IF(raw[[#This Row],[out]]=0,0,IF(raw[[#This Row],[out]]=raw[[#This Row],[in]],0.01,raw[[#This Row],[out]]-raw[[#This Row],[in]]))</f>
        <v/>
      </c>
      <c r="P1128" s="1397">
        <f>IF(raw[[#This Row],[in]]=0,0,MONTH(raw[[#This Row],[in]]))</f>
        <v/>
      </c>
      <c r="Q1128" s="1397">
        <f>IF(raw[[#This Row],[in]]=0,0,YEAR(raw[[#This Row],[in]]))</f>
        <v/>
      </c>
      <c r="R1128" s="1397">
        <f>INT(raw[[#This Row],[yr]]/10)*10</f>
        <v/>
      </c>
      <c r="S1128" s="1395">
        <f>IF(raw[[#This Row],[city]]="","-",IF(raw[[#This Row],[city]]&lt;&gt;_xlfn.XLOOKUP(raw[[#This Row],[home]],homes[home],homes[city],"-"),1,0))</f>
        <v/>
      </c>
      <c r="T1128" s="1398" t="inlineStr">
        <is>
          <t>.</t>
        </is>
      </c>
      <c r="U1128" s="1399">
        <f>IF(raw[[#This Row],[wb]]="w",raw[[#This Row],[stay]]+U1127,U1127)</f>
        <v/>
      </c>
      <c r="V1128" s="1400">
        <f>IF(raw[[#This Row],[out]]=0,V1127,(raw[[#This Row],[out]]-E$5))</f>
        <v/>
      </c>
      <c r="W1128" s="1401">
        <f>U1128/V1128</f>
        <v/>
      </c>
      <c r="X1128" s="1392" t="n"/>
      <c r="Y1128" s="1392" t="n"/>
      <c r="Z1128" s="1392" t="n"/>
      <c r="AA1128" s="1392" t="n"/>
      <c r="AB1128" s="1392" t="n"/>
      <c r="AC1128" s="1392" t="n"/>
      <c r="AD1128" s="1392" t="n"/>
      <c r="AE1128" s="1392" t="n"/>
      <c r="AF1128" s="1392" t="n"/>
      <c r="AG1128" s="1392" t="n"/>
      <c r="AH1128" s="1392" t="n"/>
      <c r="AI1128" s="1392" t="n"/>
      <c r="AJ1128" s="1392" t="n"/>
      <c r="AK1128" s="1392" t="n"/>
      <c r="AL1128" s="1392" t="n"/>
      <c r="AM1128" s="1392" t="n"/>
      <c r="AN1128" s="1392" t="n"/>
      <c r="AO1128" s="1392" t="n"/>
      <c r="AP1128" s="1392" t="n"/>
      <c r="AQ1128" s="1392" t="n"/>
      <c r="AR1128" s="1422" t="n"/>
      <c r="AS1128" s="1422" t="n"/>
      <c r="AT1128" s="1392" t="n"/>
      <c r="AU1128" s="1392" t="n"/>
      <c r="AV1128" s="1392" t="n"/>
      <c r="AW1128" s="1392" t="n"/>
      <c r="AX1128" s="1392" t="n"/>
      <c r="AY1128" s="1392" t="n"/>
      <c r="AZ1128" s="1392" t="n"/>
      <c r="BA1128" s="1422" t="n"/>
      <c r="BB1128" s="1422" t="n"/>
      <c r="BC1128" s="1392" t="n"/>
      <c r="BD1128" s="1392" t="n"/>
      <c r="BE1128" s="1392" t="n"/>
      <c r="BF1128" s="1392" t="n"/>
      <c r="BG1128" s="1392" t="n"/>
      <c r="BH1128" s="1392" t="n"/>
      <c r="BI1128" s="1392" t="n"/>
      <c r="BJ1128" s="1392" t="n"/>
      <c r="BK1128" s="1392" t="n"/>
      <c r="BL1128" s="1392" t="n"/>
      <c r="BM1128" s="1392" t="n"/>
      <c r="BN1128" s="1392" t="n"/>
      <c r="BO1128" s="1392" t="n"/>
      <c r="BP1128" s="1392" t="n"/>
      <c r="BQ1128" s="1392" t="n"/>
      <c r="BR1128" s="1392" t="n"/>
      <c r="BS1128" s="1392" t="n"/>
      <c r="BT1128" s="1392" t="n"/>
      <c r="BU1128" s="1392" t="n"/>
      <c r="BV1128" s="1392" t="n"/>
      <c r="BW1128" s="1392" t="n"/>
      <c r="BX1128" s="1392" t="n"/>
      <c r="BY1128" s="1392" t="n"/>
      <c r="BZ1128" s="1392" t="n"/>
      <c r="CA1128" s="1392" t="n"/>
      <c r="CB1128" s="1392" t="n"/>
      <c r="CC1128" s="1392" t="n"/>
      <c r="CD1128" s="1392" t="n"/>
      <c r="CE1128" s="1392" t="n"/>
      <c r="CF1128" s="1392" t="n"/>
      <c r="CG1128" s="1392" t="n"/>
      <c r="CH1128" s="1392" t="n"/>
      <c r="CI1128" s="1392" t="n"/>
      <c r="CJ1128" s="1392" t="n"/>
      <c r="CK1128" s="1392" t="n"/>
      <c r="CL1128" s="1392" t="n"/>
    </row>
    <row r="1129">
      <c r="A1129" s="5" t="inlineStr">
        <is>
          <t>.</t>
        </is>
      </c>
      <c r="B1129" s="5" t="inlineStr">
        <is>
          <t>.</t>
        </is>
      </c>
      <c r="C1129" s="1378">
        <f>IF(raw[[#This Row],[city]]="","-",IF(raw[[#This Row],[city]]="TODAY","-",C1128+1))</f>
        <v/>
      </c>
      <c r="D1129" s="1393" t="inlineStr">
        <is>
          <t>SP</t>
        </is>
      </c>
      <c r="E1129" s="1394" t="n">
        <v>39889</v>
      </c>
      <c r="F1129" s="1394" t="n">
        <v>39904</v>
      </c>
      <c r="G1129" s="1393" t="inlineStr">
        <is>
          <t>-</t>
        </is>
      </c>
      <c r="H1129" s="1393" t="inlineStr">
        <is>
          <t>Transit</t>
        </is>
      </c>
      <c r="I1129" s="1393" t="inlineStr">
        <is>
          <t>Salto Grande</t>
        </is>
      </c>
      <c r="J1129" s="1393" t="inlineStr">
        <is>
          <t>-</t>
        </is>
      </c>
      <c r="K1129" s="1395">
        <f>IF(raw[[#This Row],[city]]&lt;&gt;"",_xlfn.XLOOKUP($D1129,ccc[city],ccc[prov],"-"),"-")</f>
        <v/>
      </c>
      <c r="L1129" s="1395">
        <f>IF(raw[[#This Row],[city]]&lt;&gt;"",_xlfn.XLOOKUP($D1129,ccc[city],ccc[ctry],"-"),"-")</f>
        <v/>
      </c>
      <c r="M1129" s="1395">
        <f>IF(raw[[#This Row],[city]]&lt;&gt;"",_xlfn.XLOOKUP($D1129,ccc[city],ccc[cont],"-"),"-")</f>
        <v/>
      </c>
      <c r="N1129" s="1396">
        <f>IF(raw[[#This Row],[city]]="","-",IF(raw[[#This Row],[cont]]="B",raw[[#This Row],[cont]],"W"))</f>
        <v/>
      </c>
      <c r="O1129" s="1397">
        <f>IF(raw[[#This Row],[out]]=0,0,IF(raw[[#This Row],[out]]=raw[[#This Row],[in]],0.01,raw[[#This Row],[out]]-raw[[#This Row],[in]]))</f>
        <v/>
      </c>
      <c r="P1129" s="1397">
        <f>IF(raw[[#This Row],[in]]=0,0,MONTH(raw[[#This Row],[in]]))</f>
        <v/>
      </c>
      <c r="Q1129" s="1397">
        <f>IF(raw[[#This Row],[in]]=0,0,YEAR(raw[[#This Row],[in]]))</f>
        <v/>
      </c>
      <c r="R1129" s="1397">
        <f>INT(raw[[#This Row],[yr]]/10)*10</f>
        <v/>
      </c>
      <c r="S1129" s="1395">
        <f>IF(raw[[#This Row],[city]]="","-",IF(raw[[#This Row],[city]]&lt;&gt;_xlfn.XLOOKUP(raw[[#This Row],[home]],homes[home],homes[city],"-"),1,0))</f>
        <v/>
      </c>
      <c r="T1129" s="1398" t="inlineStr">
        <is>
          <t>.</t>
        </is>
      </c>
      <c r="U1129" s="1399">
        <f>IF(raw[[#This Row],[wb]]="w",raw[[#This Row],[stay]]+U1128,U1128)</f>
        <v/>
      </c>
      <c r="V1129" s="1400">
        <f>IF(raw[[#This Row],[out]]=0,V1128,(raw[[#This Row],[out]]-E$5))</f>
        <v/>
      </c>
      <c r="W1129" s="1401">
        <f>U1129/V1129</f>
        <v/>
      </c>
      <c r="X1129" s="1392" t="n"/>
      <c r="Y1129" s="1392" t="n"/>
      <c r="Z1129" s="1392" t="n"/>
      <c r="AA1129" s="1392" t="n"/>
      <c r="AB1129" s="1392" t="n"/>
      <c r="AC1129" s="1392" t="n"/>
      <c r="AD1129" s="1392" t="n"/>
      <c r="AE1129" s="1392" t="n"/>
      <c r="AF1129" s="1392" t="n"/>
      <c r="AG1129" s="1392" t="n"/>
      <c r="AH1129" s="1392" t="n"/>
      <c r="AI1129" s="1392" t="n"/>
      <c r="AJ1129" s="1392" t="n"/>
      <c r="AK1129" s="1392" t="n"/>
      <c r="AL1129" s="1392" t="n"/>
      <c r="AM1129" s="1392" t="n"/>
      <c r="AN1129" s="1392" t="n"/>
      <c r="AO1129" s="1392" t="n"/>
      <c r="AP1129" s="1392" t="n"/>
      <c r="AQ1129" s="1392" t="n"/>
      <c r="AR1129" s="1422" t="n"/>
      <c r="AS1129" s="1422" t="n"/>
      <c r="AT1129" s="1392" t="n"/>
      <c r="AU1129" s="1392" t="n"/>
      <c r="AV1129" s="1392" t="n"/>
      <c r="AW1129" s="1392" t="n"/>
      <c r="AX1129" s="1392" t="n"/>
      <c r="AY1129" s="1392" t="n"/>
      <c r="AZ1129" s="1392" t="n"/>
      <c r="BA1129" s="1422" t="n"/>
      <c r="BB1129" s="1422" t="n"/>
      <c r="BC1129" s="1392" t="n"/>
      <c r="BD1129" s="1392" t="n"/>
      <c r="BE1129" s="1392" t="n"/>
      <c r="BF1129" s="1392" t="n"/>
      <c r="BG1129" s="1392" t="n"/>
      <c r="BH1129" s="1392" t="n"/>
      <c r="BI1129" s="1392" t="n"/>
      <c r="BJ1129" s="1392" t="n"/>
      <c r="BK1129" s="1392" t="n"/>
      <c r="BL1129" s="1392" t="n"/>
      <c r="BM1129" s="1392" t="n"/>
      <c r="BN1129" s="1392" t="n"/>
      <c r="BO1129" s="1392" t="n"/>
      <c r="BP1129" s="1392" t="n"/>
      <c r="BQ1129" s="1392" t="n"/>
      <c r="BR1129" s="1392" t="n"/>
      <c r="BS1129" s="1392" t="n"/>
      <c r="BT1129" s="1392" t="n"/>
      <c r="BU1129" s="1392" t="n"/>
      <c r="BV1129" s="1392" t="n"/>
      <c r="BW1129" s="1392" t="n"/>
      <c r="BX1129" s="1392" t="n"/>
      <c r="BY1129" s="1392" t="n"/>
      <c r="BZ1129" s="1392" t="n"/>
      <c r="CA1129" s="1392" t="n"/>
      <c r="CB1129" s="1392" t="n"/>
      <c r="CC1129" s="1392" t="n"/>
      <c r="CD1129" s="1392" t="n"/>
      <c r="CE1129" s="1392" t="n"/>
      <c r="CF1129" s="1392" t="n"/>
      <c r="CG1129" s="1392" t="n"/>
      <c r="CH1129" s="1392" t="n"/>
      <c r="CI1129" s="1392" t="n"/>
      <c r="CJ1129" s="1392" t="n"/>
      <c r="CK1129" s="1392" t="n"/>
      <c r="CL1129" s="1392" t="n"/>
    </row>
    <row r="1130">
      <c r="A1130" s="5" t="inlineStr">
        <is>
          <t>.</t>
        </is>
      </c>
      <c r="B1130" s="5" t="inlineStr">
        <is>
          <t>.</t>
        </is>
      </c>
      <c r="C1130" s="1378">
        <f>IF(raw[[#This Row],[city]]="","-",IF(raw[[#This Row],[city]]="TODAY","-",C1129+1))</f>
        <v/>
      </c>
      <c r="D1130" s="1393" t="inlineStr">
        <is>
          <t>SP</t>
        </is>
      </c>
      <c r="E1130" s="1394" t="n">
        <v>39904</v>
      </c>
      <c r="F1130" s="1394" t="n">
        <v>39910</v>
      </c>
      <c r="G1130" s="1393" t="n">
        <v>1</v>
      </c>
      <c r="H1130" s="1393" t="inlineStr">
        <is>
          <t>Transit</t>
        </is>
      </c>
      <c r="I1130" s="1393" t="inlineStr">
        <is>
          <t>Salto Grande</t>
        </is>
      </c>
      <c r="J1130" s="1393" t="inlineStr">
        <is>
          <t>-</t>
        </is>
      </c>
      <c r="K1130" s="1395">
        <f>IF(raw[[#This Row],[city]]&lt;&gt;"",_xlfn.XLOOKUP($D1130,ccc[city],ccc[prov],"-"),"-")</f>
        <v/>
      </c>
      <c r="L1130" s="1395">
        <f>IF(raw[[#This Row],[city]]&lt;&gt;"",_xlfn.XLOOKUP($D1130,ccc[city],ccc[ctry],"-"),"-")</f>
        <v/>
      </c>
      <c r="M1130" s="1395">
        <f>IF(raw[[#This Row],[city]]&lt;&gt;"",_xlfn.XLOOKUP($D1130,ccc[city],ccc[cont],"-"),"-")</f>
        <v/>
      </c>
      <c r="N1130" s="1396">
        <f>IF(raw[[#This Row],[city]]="","-",IF(raw[[#This Row],[cont]]="B",raw[[#This Row],[cont]],"W"))</f>
        <v/>
      </c>
      <c r="O1130" s="1397">
        <f>IF(raw[[#This Row],[out]]=0,0,IF(raw[[#This Row],[out]]=raw[[#This Row],[in]],0.01,raw[[#This Row],[out]]-raw[[#This Row],[in]]))</f>
        <v/>
      </c>
      <c r="P1130" s="1397">
        <f>IF(raw[[#This Row],[in]]=0,0,MONTH(raw[[#This Row],[in]]))</f>
        <v/>
      </c>
      <c r="Q1130" s="1397">
        <f>IF(raw[[#This Row],[in]]=0,0,YEAR(raw[[#This Row],[in]]))</f>
        <v/>
      </c>
      <c r="R1130" s="1397">
        <f>INT(raw[[#This Row],[yr]]/10)*10</f>
        <v/>
      </c>
      <c r="S1130" s="1395">
        <f>IF(raw[[#This Row],[city]]="","-",IF(raw[[#This Row],[city]]&lt;&gt;_xlfn.XLOOKUP(raw[[#This Row],[home]],homes[home],homes[city],"-"),1,0))</f>
        <v/>
      </c>
      <c r="T1130" s="1398" t="inlineStr">
        <is>
          <t>.</t>
        </is>
      </c>
      <c r="U1130" s="1399">
        <f>IF(raw[[#This Row],[wb]]="w",raw[[#This Row],[stay]]+U1129,U1129)</f>
        <v/>
      </c>
      <c r="V1130" s="1400">
        <f>IF(raw[[#This Row],[out]]=0,V1129,(raw[[#This Row],[out]]-E$5))</f>
        <v/>
      </c>
      <c r="W1130" s="1401">
        <f>U1130/V1130</f>
        <v/>
      </c>
      <c r="X1130" s="1392" t="n"/>
      <c r="Y1130" s="1392" t="n"/>
      <c r="Z1130" s="1392" t="n"/>
      <c r="AA1130" s="1392" t="n"/>
      <c r="AB1130" s="1392" t="n"/>
      <c r="AC1130" s="1392" t="n"/>
      <c r="AD1130" s="1392" t="n"/>
      <c r="AE1130" s="1392" t="n"/>
      <c r="AF1130" s="1392" t="n"/>
      <c r="AG1130" s="1392" t="n"/>
      <c r="AH1130" s="1392" t="n"/>
      <c r="AI1130" s="1392" t="n"/>
      <c r="AJ1130" s="1392" t="n"/>
      <c r="AK1130" s="1392" t="n"/>
      <c r="AL1130" s="1392" t="n"/>
      <c r="AM1130" s="1392" t="n"/>
      <c r="AN1130" s="1392" t="n"/>
      <c r="AO1130" s="1392" t="n"/>
      <c r="AP1130" s="1392" t="n"/>
      <c r="AQ1130" s="1392" t="n"/>
      <c r="AR1130" s="1422" t="n"/>
      <c r="AS1130" s="1422" t="n"/>
      <c r="AT1130" s="1392" t="n"/>
      <c r="AU1130" s="1392" t="n"/>
      <c r="AV1130" s="1392" t="n"/>
      <c r="AW1130" s="1392" t="n"/>
      <c r="AX1130" s="1392" t="n"/>
      <c r="AY1130" s="1392" t="n"/>
      <c r="AZ1130" s="1392" t="n"/>
      <c r="BA1130" s="1422" t="n"/>
      <c r="BB1130" s="1422" t="n"/>
      <c r="BC1130" s="1392" t="n"/>
      <c r="BD1130" s="1392" t="n"/>
      <c r="BE1130" s="1392" t="n"/>
      <c r="BF1130" s="1392" t="n"/>
      <c r="BG1130" s="1392" t="n"/>
      <c r="BH1130" s="1392" t="n"/>
      <c r="BI1130" s="1392" t="n"/>
      <c r="BJ1130" s="1392" t="n"/>
      <c r="BK1130" s="1392" t="n"/>
      <c r="BL1130" s="1392" t="n"/>
      <c r="BM1130" s="1392" t="n"/>
      <c r="BN1130" s="1392" t="n"/>
      <c r="BO1130" s="1392" t="n"/>
      <c r="BP1130" s="1392" t="n"/>
      <c r="BQ1130" s="1392" t="n"/>
      <c r="BR1130" s="1392" t="n"/>
      <c r="BS1130" s="1392" t="n"/>
      <c r="BT1130" s="1392" t="n"/>
      <c r="BU1130" s="1392" t="n"/>
      <c r="BV1130" s="1392" t="n"/>
      <c r="BW1130" s="1392" t="n"/>
      <c r="BX1130" s="1392" t="n"/>
      <c r="BY1130" s="1392" t="n"/>
      <c r="BZ1130" s="1392" t="n"/>
      <c r="CA1130" s="1392" t="n"/>
      <c r="CB1130" s="1392" t="n"/>
      <c r="CC1130" s="1392" t="n"/>
      <c r="CD1130" s="1392" t="n"/>
      <c r="CE1130" s="1392" t="n"/>
      <c r="CF1130" s="1392" t="n"/>
      <c r="CG1130" s="1392" t="n"/>
      <c r="CH1130" s="1392" t="n"/>
      <c r="CI1130" s="1392" t="n"/>
      <c r="CJ1130" s="1392" t="n"/>
      <c r="CK1130" s="1392" t="n"/>
      <c r="CL1130" s="1392" t="n"/>
    </row>
    <row r="1131">
      <c r="A1131" s="5" t="inlineStr">
        <is>
          <t>.</t>
        </is>
      </c>
      <c r="B1131" s="5" t="inlineStr">
        <is>
          <t>.</t>
        </is>
      </c>
      <c r="C1131" s="1378">
        <f>IF(raw[[#This Row],[city]]="","-",IF(raw[[#This Row],[city]]="TODAY","-",C1130+1))</f>
        <v/>
      </c>
      <c r="D1131" s="1393" t="inlineStr">
        <is>
          <t>AIR</t>
        </is>
      </c>
      <c r="E1131" s="1394" t="n">
        <v>39910</v>
      </c>
      <c r="F1131" s="1394" t="n">
        <v>39911</v>
      </c>
      <c r="G1131" s="1393" t="inlineStr">
        <is>
          <t>x</t>
        </is>
      </c>
      <c r="H1131" s="1393" t="inlineStr">
        <is>
          <t>Transit</t>
        </is>
      </c>
      <c r="I1131" s="1393" t="inlineStr">
        <is>
          <t>-</t>
        </is>
      </c>
      <c r="J1131" s="1393" t="inlineStr">
        <is>
          <t>-</t>
        </is>
      </c>
      <c r="K1131" s="1395">
        <f>IF(raw[[#This Row],[city]]&lt;&gt;"",_xlfn.XLOOKUP($D1131,ccc[city],ccc[prov],"-"),"-")</f>
        <v/>
      </c>
      <c r="L1131" s="1395">
        <f>IF(raw[[#This Row],[city]]&lt;&gt;"",_xlfn.XLOOKUP($D1131,ccc[city],ccc[ctry],"-"),"-")</f>
        <v/>
      </c>
      <c r="M1131" s="1395">
        <f>IF(raw[[#This Row],[city]]&lt;&gt;"",_xlfn.XLOOKUP($D1131,ccc[city],ccc[cont],"-"),"-")</f>
        <v/>
      </c>
      <c r="N1131" s="1396">
        <f>IF(raw[[#This Row],[city]]="","-",IF(raw[[#This Row],[cont]]="B",raw[[#This Row],[cont]],"W"))</f>
        <v/>
      </c>
      <c r="O1131" s="1397">
        <f>IF(raw[[#This Row],[out]]=0,0,IF(raw[[#This Row],[out]]=raw[[#This Row],[in]],0.01,raw[[#This Row],[out]]-raw[[#This Row],[in]]))</f>
        <v/>
      </c>
      <c r="P1131" s="1397">
        <f>IF(raw[[#This Row],[in]]=0,0,MONTH(raw[[#This Row],[in]]))</f>
        <v/>
      </c>
      <c r="Q1131" s="1397">
        <f>IF(raw[[#This Row],[in]]=0,0,YEAR(raw[[#This Row],[in]]))</f>
        <v/>
      </c>
      <c r="R1131" s="1397">
        <f>INT(raw[[#This Row],[yr]]/10)*10</f>
        <v/>
      </c>
      <c r="S1131" s="1395">
        <f>IF(raw[[#This Row],[city]]="","-",IF(raw[[#This Row],[city]]&lt;&gt;_xlfn.XLOOKUP(raw[[#This Row],[home]],homes[home],homes[city],"-"),1,0))</f>
        <v/>
      </c>
      <c r="T1131" s="1398" t="inlineStr">
        <is>
          <t>.</t>
        </is>
      </c>
      <c r="U1131" s="1399">
        <f>IF(raw[[#This Row],[wb]]="w",raw[[#This Row],[stay]]+U1130,U1130)</f>
        <v/>
      </c>
      <c r="V1131" s="1400">
        <f>IF(raw[[#This Row],[out]]=0,V1130,(raw[[#This Row],[out]]-E$5))</f>
        <v/>
      </c>
      <c r="W1131" s="1401">
        <f>U1131/V1131</f>
        <v/>
      </c>
      <c r="X1131" s="1392" t="n"/>
      <c r="Y1131" s="1392" t="n"/>
      <c r="Z1131" s="1392" t="n"/>
      <c r="AA1131" s="1392" t="n"/>
      <c r="AB1131" s="1392" t="n"/>
      <c r="AC1131" s="1392" t="n"/>
      <c r="AD1131" s="1392" t="n"/>
      <c r="AE1131" s="1392" t="n"/>
      <c r="AF1131" s="1392" t="n"/>
      <c r="AG1131" s="1392" t="n"/>
      <c r="AH1131" s="1392" t="n"/>
      <c r="AI1131" s="1392" t="n"/>
      <c r="AJ1131" s="1392" t="n"/>
      <c r="AK1131" s="1392" t="n"/>
      <c r="AL1131" s="1392" t="n"/>
      <c r="AM1131" s="1392" t="n"/>
      <c r="AN1131" s="1392" t="n"/>
      <c r="AO1131" s="1392" t="n"/>
      <c r="AP1131" s="1392" t="n"/>
      <c r="AQ1131" s="1392" t="n"/>
      <c r="AR1131" s="1422" t="n"/>
      <c r="AS1131" s="1422" t="n"/>
      <c r="AT1131" s="1392" t="n"/>
      <c r="AU1131" s="1392" t="n"/>
      <c r="AV1131" s="1392" t="n"/>
      <c r="AW1131" s="1392" t="n"/>
      <c r="AX1131" s="1392" t="n"/>
      <c r="AY1131" s="1392" t="n"/>
      <c r="AZ1131" s="1392" t="n"/>
      <c r="BA1131" s="1422" t="n"/>
      <c r="BB1131" s="1422" t="n"/>
      <c r="BC1131" s="1392" t="n"/>
      <c r="BD1131" s="1392" t="n"/>
      <c r="BE1131" s="1392" t="n"/>
      <c r="BF1131" s="1392" t="n"/>
      <c r="BG1131" s="1392" t="n"/>
      <c r="BH1131" s="1392" t="n"/>
      <c r="BI1131" s="1392" t="n"/>
      <c r="BJ1131" s="1392" t="n"/>
      <c r="BK1131" s="1392" t="n"/>
      <c r="BL1131" s="1392" t="n"/>
      <c r="BM1131" s="1392" t="n"/>
      <c r="BN1131" s="1392" t="n"/>
      <c r="BO1131" s="1392" t="n"/>
      <c r="BP1131" s="1392" t="n"/>
      <c r="BQ1131" s="1392" t="n"/>
      <c r="BR1131" s="1392" t="n"/>
      <c r="BS1131" s="1392" t="n"/>
      <c r="BT1131" s="1392" t="n"/>
      <c r="BU1131" s="1392" t="n"/>
      <c r="BV1131" s="1392" t="n"/>
      <c r="BW1131" s="1392" t="n"/>
      <c r="BX1131" s="1392" t="n"/>
      <c r="BY1131" s="1392" t="n"/>
      <c r="BZ1131" s="1392" t="n"/>
      <c r="CA1131" s="1392" t="n"/>
      <c r="CB1131" s="1392" t="n"/>
      <c r="CC1131" s="1392" t="n"/>
      <c r="CD1131" s="1392" t="n"/>
      <c r="CE1131" s="1392" t="n"/>
      <c r="CF1131" s="1392" t="n"/>
      <c r="CG1131" s="1392" t="n"/>
      <c r="CH1131" s="1392" t="n"/>
      <c r="CI1131" s="1392" t="n"/>
      <c r="CJ1131" s="1392" t="n"/>
      <c r="CK1131" s="1392" t="n"/>
      <c r="CL1131" s="1392" t="n"/>
    </row>
    <row r="1132">
      <c r="A1132" s="5" t="inlineStr">
        <is>
          <t>.</t>
        </is>
      </c>
      <c r="B1132" s="5" t="inlineStr">
        <is>
          <t>.</t>
        </is>
      </c>
      <c r="C1132" s="1378">
        <f>IF(raw[[#This Row],[city]]="","-",IF(raw[[#This Row],[city]]="TODAY","-",C1131+1))</f>
        <v/>
      </c>
      <c r="D1132" s="1393" t="inlineStr">
        <is>
          <t>Zurich</t>
        </is>
      </c>
      <c r="E1132" s="1394" t="n">
        <v>39911</v>
      </c>
      <c r="F1132" s="1394" t="n">
        <v>39911</v>
      </c>
      <c r="G1132" s="1393" t="n">
        <v>0.01</v>
      </c>
      <c r="H1132" s="1393" t="inlineStr">
        <is>
          <t>Transit</t>
        </is>
      </c>
      <c r="I1132" s="1393" t="inlineStr">
        <is>
          <t>-</t>
        </is>
      </c>
      <c r="J1132" s="1393" t="inlineStr">
        <is>
          <t>-</t>
        </is>
      </c>
      <c r="K1132" s="1395">
        <f>IF(raw[[#This Row],[city]]&lt;&gt;"",_xlfn.XLOOKUP($D1132,ccc[city],ccc[prov],"-"),"-")</f>
        <v/>
      </c>
      <c r="L1132" s="1395">
        <f>IF(raw[[#This Row],[city]]&lt;&gt;"",_xlfn.XLOOKUP($D1132,ccc[city],ccc[ctry],"-"),"-")</f>
        <v/>
      </c>
      <c r="M1132" s="1395">
        <f>IF(raw[[#This Row],[city]]&lt;&gt;"",_xlfn.XLOOKUP($D1132,ccc[city],ccc[cont],"-"),"-")</f>
        <v/>
      </c>
      <c r="N1132" s="1396">
        <f>IF(raw[[#This Row],[city]]="","-",IF(raw[[#This Row],[cont]]="B",raw[[#This Row],[cont]],"W"))</f>
        <v/>
      </c>
      <c r="O1132" s="1397">
        <f>IF(raw[[#This Row],[out]]=0,0,IF(raw[[#This Row],[out]]=raw[[#This Row],[in]],0.01,raw[[#This Row],[out]]-raw[[#This Row],[in]]))</f>
        <v/>
      </c>
      <c r="P1132" s="1397">
        <f>IF(raw[[#This Row],[in]]=0,0,MONTH(raw[[#This Row],[in]]))</f>
        <v/>
      </c>
      <c r="Q1132" s="1397">
        <f>IF(raw[[#This Row],[in]]=0,0,YEAR(raw[[#This Row],[in]]))</f>
        <v/>
      </c>
      <c r="R1132" s="1397">
        <f>INT(raw[[#This Row],[yr]]/10)*10</f>
        <v/>
      </c>
      <c r="S1132" s="1395">
        <f>IF(raw[[#This Row],[city]]="","-",IF(raw[[#This Row],[city]]&lt;&gt;_xlfn.XLOOKUP(raw[[#This Row],[home]],homes[home],homes[city],"-"),1,0))</f>
        <v/>
      </c>
      <c r="T1132" s="1398" t="inlineStr">
        <is>
          <t>.</t>
        </is>
      </c>
      <c r="U1132" s="1399">
        <f>IF(raw[[#This Row],[wb]]="w",raw[[#This Row],[stay]]+U1131,U1131)</f>
        <v/>
      </c>
      <c r="V1132" s="1400">
        <f>IF(raw[[#This Row],[out]]=0,V1131,(raw[[#This Row],[out]]-E$5))</f>
        <v/>
      </c>
      <c r="W1132" s="1401">
        <f>U1132/V1132</f>
        <v/>
      </c>
      <c r="X1132" s="1392" t="n"/>
      <c r="Y1132" s="1392" t="n"/>
      <c r="Z1132" s="1392" t="n"/>
      <c r="AA1132" s="1392" t="n"/>
      <c r="AB1132" s="1392" t="n"/>
      <c r="AC1132" s="1392" t="n"/>
      <c r="AD1132" s="1392" t="n"/>
      <c r="AE1132" s="1392" t="n"/>
      <c r="AF1132" s="1392" t="n"/>
      <c r="AG1132" s="1392" t="n"/>
      <c r="AH1132" s="1392" t="n"/>
      <c r="AI1132" s="1392" t="n"/>
      <c r="AJ1132" s="1392" t="n"/>
      <c r="AK1132" s="1392" t="n"/>
      <c r="AL1132" s="1392" t="n"/>
      <c r="AM1132" s="1392" t="n"/>
      <c r="AN1132" s="1392" t="n"/>
      <c r="AO1132" s="1392" t="n"/>
      <c r="AP1132" s="1392" t="n"/>
      <c r="AQ1132" s="1392" t="n"/>
      <c r="AR1132" s="1422" t="n"/>
      <c r="AS1132" s="1422" t="n"/>
      <c r="AT1132" s="1392" t="n"/>
      <c r="AU1132" s="1392" t="n"/>
      <c r="AV1132" s="1392" t="n"/>
      <c r="AW1132" s="1392" t="n"/>
      <c r="AX1132" s="1392" t="n"/>
      <c r="AY1132" s="1392" t="n"/>
      <c r="AZ1132" s="1392" t="n"/>
      <c r="BA1132" s="1422" t="n"/>
      <c r="BB1132" s="1422" t="n"/>
      <c r="BC1132" s="1392" t="n"/>
      <c r="BD1132" s="1392" t="n"/>
      <c r="BE1132" s="1392" t="n"/>
      <c r="BF1132" s="1392" t="n"/>
      <c r="BG1132" s="1392" t="n"/>
      <c r="BH1132" s="1392" t="n"/>
      <c r="BI1132" s="1392" t="n"/>
      <c r="BJ1132" s="1392" t="n"/>
      <c r="BK1132" s="1392" t="n"/>
      <c r="BL1132" s="1392" t="n"/>
      <c r="BM1132" s="1392" t="n"/>
      <c r="BN1132" s="1392" t="n"/>
      <c r="BO1132" s="1392" t="n"/>
      <c r="BP1132" s="1392" t="n"/>
      <c r="BQ1132" s="1392" t="n"/>
      <c r="BR1132" s="1392" t="n"/>
      <c r="BS1132" s="1392" t="n"/>
      <c r="BT1132" s="1392" t="n"/>
      <c r="BU1132" s="1392" t="n"/>
      <c r="BV1132" s="1392" t="n"/>
      <c r="BW1132" s="1392" t="n"/>
      <c r="BX1132" s="1392" t="n"/>
      <c r="BY1132" s="1392" t="n"/>
      <c r="BZ1132" s="1392" t="n"/>
      <c r="CA1132" s="1392" t="n"/>
      <c r="CB1132" s="1392" t="n"/>
      <c r="CC1132" s="1392" t="n"/>
      <c r="CD1132" s="1392" t="n"/>
      <c r="CE1132" s="1392" t="n"/>
      <c r="CF1132" s="1392" t="n"/>
      <c r="CG1132" s="1392" t="n"/>
      <c r="CH1132" s="1392" t="n"/>
      <c r="CI1132" s="1392" t="n"/>
      <c r="CJ1132" s="1392" t="n"/>
      <c r="CK1132" s="1392" t="n"/>
      <c r="CL1132" s="1392" t="n"/>
    </row>
    <row r="1133">
      <c r="A1133" s="5" t="inlineStr">
        <is>
          <t>.</t>
        </is>
      </c>
      <c r="B1133" s="5" t="inlineStr">
        <is>
          <t>.</t>
        </is>
      </c>
      <c r="C1133" s="1378">
        <f>IF(raw[[#This Row],[city]]="","-",IF(raw[[#This Row],[city]]="TODAY","-",C1132+1))</f>
        <v/>
      </c>
      <c r="D1133" s="1393" t="inlineStr">
        <is>
          <t>Paris</t>
        </is>
      </c>
      <c r="E1133" s="1394" t="n">
        <v>39911</v>
      </c>
      <c r="F1133" s="1394" t="n">
        <v>39915</v>
      </c>
      <c r="G1133" s="1393" t="inlineStr">
        <is>
          <t>-</t>
        </is>
      </c>
      <c r="H1133" s="1393" t="inlineStr">
        <is>
          <t>Transit</t>
        </is>
      </c>
      <c r="I1133" s="1393" t="inlineStr">
        <is>
          <t>-</t>
        </is>
      </c>
      <c r="J1133" s="1393" t="inlineStr">
        <is>
          <t>-</t>
        </is>
      </c>
      <c r="K1133" s="1395">
        <f>IF(raw[[#This Row],[city]]&lt;&gt;"",_xlfn.XLOOKUP($D1133,ccc[city],ccc[prov],"-"),"-")</f>
        <v/>
      </c>
      <c r="L1133" s="1395">
        <f>IF(raw[[#This Row],[city]]&lt;&gt;"",_xlfn.XLOOKUP($D1133,ccc[city],ccc[ctry],"-"),"-")</f>
        <v/>
      </c>
      <c r="M1133" s="1395">
        <f>IF(raw[[#This Row],[city]]&lt;&gt;"",_xlfn.XLOOKUP($D1133,ccc[city],ccc[cont],"-"),"-")</f>
        <v/>
      </c>
      <c r="N1133" s="1396">
        <f>IF(raw[[#This Row],[city]]="","-",IF(raw[[#This Row],[cont]]="B",raw[[#This Row],[cont]],"W"))</f>
        <v/>
      </c>
      <c r="O1133" s="1397">
        <f>IF(raw[[#This Row],[out]]=0,0,IF(raw[[#This Row],[out]]=raw[[#This Row],[in]],0.01,raw[[#This Row],[out]]-raw[[#This Row],[in]]))</f>
        <v/>
      </c>
      <c r="P1133" s="1397">
        <f>IF(raw[[#This Row],[in]]=0,0,MONTH(raw[[#This Row],[in]]))</f>
        <v/>
      </c>
      <c r="Q1133" s="1397">
        <f>IF(raw[[#This Row],[in]]=0,0,YEAR(raw[[#This Row],[in]]))</f>
        <v/>
      </c>
      <c r="R1133" s="1397">
        <f>INT(raw[[#This Row],[yr]]/10)*10</f>
        <v/>
      </c>
      <c r="S1133" s="1395">
        <f>IF(raw[[#This Row],[city]]="","-",IF(raw[[#This Row],[city]]&lt;&gt;_xlfn.XLOOKUP(raw[[#This Row],[home]],homes[home],homes[city],"-"),1,0))</f>
        <v/>
      </c>
      <c r="T1133" s="1398" t="inlineStr">
        <is>
          <t>.</t>
        </is>
      </c>
      <c r="U1133" s="1399">
        <f>IF(raw[[#This Row],[wb]]="w",raw[[#This Row],[stay]]+U1132,U1132)</f>
        <v/>
      </c>
      <c r="V1133" s="1400">
        <f>IF(raw[[#This Row],[out]]=0,V1132,(raw[[#This Row],[out]]-E$5))</f>
        <v/>
      </c>
      <c r="W1133" s="1401">
        <f>U1133/V1133</f>
        <v/>
      </c>
      <c r="X1133" s="1392" t="n"/>
      <c r="Y1133" s="1392" t="n"/>
      <c r="Z1133" s="1392" t="n"/>
      <c r="AA1133" s="1392" t="n"/>
      <c r="AB1133" s="1392" t="n"/>
      <c r="AC1133" s="1392" t="n"/>
      <c r="AD1133" s="1392" t="n"/>
      <c r="AE1133" s="1392" t="n"/>
      <c r="AF1133" s="1392" t="n"/>
      <c r="AG1133" s="1392" t="n"/>
      <c r="AH1133" s="1392" t="n"/>
      <c r="AI1133" s="1392" t="n"/>
      <c r="AJ1133" s="1392" t="n"/>
      <c r="AK1133" s="1392" t="n"/>
      <c r="AL1133" s="1392" t="n"/>
      <c r="AM1133" s="1392" t="n"/>
      <c r="AN1133" s="1392" t="n"/>
      <c r="AO1133" s="1392" t="n"/>
      <c r="AP1133" s="1392" t="n"/>
      <c r="AQ1133" s="1392" t="n"/>
      <c r="AR1133" s="1422" t="n"/>
      <c r="AS1133" s="1422" t="n"/>
      <c r="AT1133" s="1392" t="n"/>
      <c r="AU1133" s="1392" t="n"/>
      <c r="AV1133" s="1392" t="n"/>
      <c r="AW1133" s="1392" t="n"/>
      <c r="AX1133" s="1392" t="n"/>
      <c r="AY1133" s="1392" t="n"/>
      <c r="AZ1133" s="1392" t="n"/>
      <c r="BA1133" s="1422" t="n"/>
      <c r="BB1133" s="1422" t="n"/>
      <c r="BC1133" s="1392" t="n"/>
      <c r="BD1133" s="1392" t="n"/>
      <c r="BE1133" s="1392" t="n"/>
      <c r="BF1133" s="1392" t="n"/>
      <c r="BG1133" s="1392" t="n"/>
      <c r="BH1133" s="1392" t="n"/>
      <c r="BI1133" s="1392" t="n"/>
      <c r="BJ1133" s="1392" t="n"/>
      <c r="BK1133" s="1392" t="n"/>
      <c r="BL1133" s="1392" t="n"/>
      <c r="BM1133" s="1392" t="n"/>
      <c r="BN1133" s="1392" t="n"/>
      <c r="BO1133" s="1392" t="n"/>
      <c r="BP1133" s="1392" t="n"/>
      <c r="BQ1133" s="1392" t="n"/>
      <c r="BR1133" s="1392" t="n"/>
      <c r="BS1133" s="1392" t="n"/>
      <c r="BT1133" s="1392" t="n"/>
      <c r="BU1133" s="1392" t="n"/>
      <c r="BV1133" s="1392" t="n"/>
      <c r="BW1133" s="1392" t="n"/>
      <c r="BX1133" s="1392" t="n"/>
      <c r="BY1133" s="1392" t="n"/>
      <c r="BZ1133" s="1392" t="n"/>
      <c r="CA1133" s="1392" t="n"/>
      <c r="CB1133" s="1392" t="n"/>
      <c r="CC1133" s="1392" t="n"/>
      <c r="CD1133" s="1392" t="n"/>
      <c r="CE1133" s="1392" t="n"/>
      <c r="CF1133" s="1392" t="n"/>
      <c r="CG1133" s="1392" t="n"/>
      <c r="CH1133" s="1392" t="n"/>
      <c r="CI1133" s="1392" t="n"/>
      <c r="CJ1133" s="1392" t="n"/>
      <c r="CK1133" s="1392" t="n"/>
      <c r="CL1133" s="1392" t="n"/>
    </row>
    <row r="1134">
      <c r="A1134" s="5" t="inlineStr">
        <is>
          <t>.</t>
        </is>
      </c>
      <c r="B1134" s="5" t="inlineStr">
        <is>
          <t>.</t>
        </is>
      </c>
      <c r="C1134" s="1378">
        <f>IF(raw[[#This Row],[city]]="","-",IF(raw[[#This Row],[city]]="TODAY","-",C1133+1))</f>
        <v/>
      </c>
      <c r="D1134" s="1393" t="inlineStr">
        <is>
          <t>London</t>
        </is>
      </c>
      <c r="E1134" s="1394" t="n">
        <v>39915</v>
      </c>
      <c r="F1134" s="1394" t="n">
        <v>39923</v>
      </c>
      <c r="G1134" s="1393" t="inlineStr">
        <is>
          <t>-</t>
        </is>
      </c>
      <c r="H1134" s="1393" t="inlineStr">
        <is>
          <t>Thomas/Tufnell</t>
        </is>
      </c>
      <c r="I1134" s="1393" t="inlineStr">
        <is>
          <t>-</t>
        </is>
      </c>
      <c r="J1134" s="1393" t="inlineStr">
        <is>
          <t>-</t>
        </is>
      </c>
      <c r="K1134" s="1395">
        <f>IF(raw[[#This Row],[city]]&lt;&gt;"",_xlfn.XLOOKUP($D1134,ccc[city],ccc[prov],"-"),"-")</f>
        <v/>
      </c>
      <c r="L1134" s="1395">
        <f>IF(raw[[#This Row],[city]]&lt;&gt;"",_xlfn.XLOOKUP($D1134,ccc[city],ccc[ctry],"-"),"-")</f>
        <v/>
      </c>
      <c r="M1134" s="1395">
        <f>IF(raw[[#This Row],[city]]&lt;&gt;"",_xlfn.XLOOKUP($D1134,ccc[city],ccc[cont],"-"),"-")</f>
        <v/>
      </c>
      <c r="N1134" s="1396">
        <f>IF(raw[[#This Row],[city]]="","-",IF(raw[[#This Row],[cont]]="B",raw[[#This Row],[cont]],"W"))</f>
        <v/>
      </c>
      <c r="O1134" s="1397">
        <f>IF(raw[[#This Row],[out]]=0,0,IF(raw[[#This Row],[out]]=raw[[#This Row],[in]],0.01,raw[[#This Row],[out]]-raw[[#This Row],[in]]))</f>
        <v/>
      </c>
      <c r="P1134" s="1397">
        <f>IF(raw[[#This Row],[in]]=0,0,MONTH(raw[[#This Row],[in]]))</f>
        <v/>
      </c>
      <c r="Q1134" s="1397">
        <f>IF(raw[[#This Row],[in]]=0,0,YEAR(raw[[#This Row],[in]]))</f>
        <v/>
      </c>
      <c r="R1134" s="1397">
        <f>INT(raw[[#This Row],[yr]]/10)*10</f>
        <v/>
      </c>
      <c r="S1134" s="1395">
        <f>IF(raw[[#This Row],[city]]="","-",IF(raw[[#This Row],[city]]&lt;&gt;_xlfn.XLOOKUP(raw[[#This Row],[home]],homes[home],homes[city],"-"),1,0))</f>
        <v/>
      </c>
      <c r="T1134" s="1398" t="inlineStr">
        <is>
          <t>.</t>
        </is>
      </c>
      <c r="U1134" s="1399">
        <f>IF(raw[[#This Row],[wb]]="w",raw[[#This Row],[stay]]+U1133,U1133)</f>
        <v/>
      </c>
      <c r="V1134" s="1400">
        <f>IF(raw[[#This Row],[out]]=0,V1133,(raw[[#This Row],[out]]-E$5))</f>
        <v/>
      </c>
      <c r="W1134" s="1401">
        <f>U1134/V1134</f>
        <v/>
      </c>
      <c r="X1134" s="1392" t="n"/>
      <c r="Y1134" s="1392" t="n"/>
      <c r="Z1134" s="1392" t="n"/>
      <c r="AA1134" s="1392" t="n"/>
      <c r="AB1134" s="1392" t="n"/>
      <c r="AC1134" s="1392" t="n"/>
      <c r="AD1134" s="1392" t="n"/>
      <c r="AE1134" s="1392" t="n"/>
      <c r="AF1134" s="1392" t="n"/>
      <c r="AG1134" s="1392" t="n"/>
      <c r="AH1134" s="1392" t="n"/>
      <c r="AI1134" s="1392" t="n"/>
      <c r="AJ1134" s="1392" t="n"/>
      <c r="AK1134" s="1392" t="n"/>
      <c r="AL1134" s="1392" t="n"/>
      <c r="AM1134" s="1392" t="n"/>
      <c r="AN1134" s="1392" t="n"/>
      <c r="AO1134" s="1392" t="n"/>
      <c r="AP1134" s="1392" t="n"/>
      <c r="AQ1134" s="1392" t="n"/>
      <c r="AR1134" s="1422" t="n"/>
      <c r="AS1134" s="1422" t="n"/>
      <c r="AT1134" s="1392" t="n"/>
      <c r="AU1134" s="1392" t="n"/>
      <c r="AV1134" s="1392" t="n"/>
      <c r="AW1134" s="1392" t="n"/>
      <c r="AX1134" s="1392" t="n"/>
      <c r="AY1134" s="1392" t="n"/>
      <c r="AZ1134" s="1392" t="n"/>
      <c r="BA1134" s="1422" t="n"/>
      <c r="BB1134" s="1422" t="n"/>
      <c r="BC1134" s="1392" t="n"/>
      <c r="BD1134" s="1392" t="n"/>
      <c r="BE1134" s="1392" t="n"/>
      <c r="BF1134" s="1392" t="n"/>
      <c r="BG1134" s="1392" t="n"/>
      <c r="BH1134" s="1392" t="n"/>
      <c r="BI1134" s="1392" t="n"/>
      <c r="BJ1134" s="1392" t="n"/>
      <c r="BK1134" s="1392" t="n"/>
      <c r="BL1134" s="1392" t="n"/>
      <c r="BM1134" s="1392" t="n"/>
      <c r="BN1134" s="1392" t="n"/>
      <c r="BO1134" s="1392" t="n"/>
      <c r="BP1134" s="1392" t="n"/>
      <c r="BQ1134" s="1392" t="n"/>
      <c r="BR1134" s="1392" t="n"/>
      <c r="BS1134" s="1392" t="n"/>
      <c r="BT1134" s="1392" t="n"/>
      <c r="BU1134" s="1392" t="n"/>
      <c r="BV1134" s="1392" t="n"/>
      <c r="BW1134" s="1392" t="n"/>
      <c r="BX1134" s="1392" t="n"/>
      <c r="BY1134" s="1392" t="n"/>
      <c r="BZ1134" s="1392" t="n"/>
      <c r="CA1134" s="1392" t="n"/>
      <c r="CB1134" s="1392" t="n"/>
      <c r="CC1134" s="1392" t="n"/>
      <c r="CD1134" s="1392" t="n"/>
      <c r="CE1134" s="1392" t="n"/>
      <c r="CF1134" s="1392" t="n"/>
      <c r="CG1134" s="1392" t="n"/>
      <c r="CH1134" s="1392" t="n"/>
      <c r="CI1134" s="1392" t="n"/>
      <c r="CJ1134" s="1392" t="n"/>
      <c r="CK1134" s="1392" t="n"/>
      <c r="CL1134" s="1392" t="n"/>
    </row>
    <row r="1135">
      <c r="A1135" s="5" t="inlineStr">
        <is>
          <t>.</t>
        </is>
      </c>
      <c r="B1135" s="5" t="inlineStr">
        <is>
          <t>.</t>
        </is>
      </c>
      <c r="C1135" s="1378">
        <f>IF(raw[[#This Row],[city]]="","-",IF(raw[[#This Row],[city]]="TODAY","-",C1134+1))</f>
        <v/>
      </c>
      <c r="D1135" s="1393" t="inlineStr">
        <is>
          <t>London</t>
        </is>
      </c>
      <c r="E1135" s="1394" t="n">
        <v>39923</v>
      </c>
      <c r="F1135" s="1394" t="n">
        <v>39934</v>
      </c>
      <c r="G1135" s="1393" t="inlineStr">
        <is>
          <t>-</t>
        </is>
      </c>
      <c r="H1135" s="1393" t="inlineStr">
        <is>
          <t>North Gower</t>
        </is>
      </c>
      <c r="I1135" s="1393" t="inlineStr">
        <is>
          <t>-</t>
        </is>
      </c>
      <c r="J1135" s="1393" t="inlineStr">
        <is>
          <t>-</t>
        </is>
      </c>
      <c r="K1135" s="1395">
        <f>IF(raw[[#This Row],[city]]&lt;&gt;"",_xlfn.XLOOKUP($D1135,ccc[city],ccc[prov],"-"),"-")</f>
        <v/>
      </c>
      <c r="L1135" s="1395">
        <f>IF(raw[[#This Row],[city]]&lt;&gt;"",_xlfn.XLOOKUP($D1135,ccc[city],ccc[ctry],"-"),"-")</f>
        <v/>
      </c>
      <c r="M1135" s="1395">
        <f>IF(raw[[#This Row],[city]]&lt;&gt;"",_xlfn.XLOOKUP($D1135,ccc[city],ccc[cont],"-"),"-")</f>
        <v/>
      </c>
      <c r="N1135" s="1396">
        <f>IF(raw[[#This Row],[city]]="","-",IF(raw[[#This Row],[cont]]="B",raw[[#This Row],[cont]],"W"))</f>
        <v/>
      </c>
      <c r="O1135" s="1397">
        <f>IF(raw[[#This Row],[out]]=0,0,IF(raw[[#This Row],[out]]=raw[[#This Row],[in]],0.01,raw[[#This Row],[out]]-raw[[#This Row],[in]]))</f>
        <v/>
      </c>
      <c r="P1135" s="1397">
        <f>IF(raw[[#This Row],[in]]=0,0,MONTH(raw[[#This Row],[in]]))</f>
        <v/>
      </c>
      <c r="Q1135" s="1397">
        <f>IF(raw[[#This Row],[in]]=0,0,YEAR(raw[[#This Row],[in]]))</f>
        <v/>
      </c>
      <c r="R1135" s="1397">
        <f>INT(raw[[#This Row],[yr]]/10)*10</f>
        <v/>
      </c>
      <c r="S1135" s="1395">
        <f>IF(raw[[#This Row],[city]]="","-",IF(raw[[#This Row],[city]]&lt;&gt;_xlfn.XLOOKUP(raw[[#This Row],[home]],homes[home],homes[city],"-"),1,0))</f>
        <v/>
      </c>
      <c r="T1135" s="1398" t="inlineStr">
        <is>
          <t>.</t>
        </is>
      </c>
      <c r="U1135" s="1399">
        <f>IF(raw[[#This Row],[wb]]="w",raw[[#This Row],[stay]]+U1134,U1134)</f>
        <v/>
      </c>
      <c r="V1135" s="1400">
        <f>IF(raw[[#This Row],[out]]=0,V1134,(raw[[#This Row],[out]]-E$5))</f>
        <v/>
      </c>
      <c r="W1135" s="1401">
        <f>U1135/V1135</f>
        <v/>
      </c>
      <c r="X1135" s="1392" t="n"/>
      <c r="Y1135" s="1392" t="n"/>
      <c r="Z1135" s="1392" t="n"/>
      <c r="AA1135" s="1392" t="n"/>
      <c r="AB1135" s="1392" t="n"/>
      <c r="AC1135" s="1392" t="n"/>
      <c r="AD1135" s="1392" t="n"/>
      <c r="AE1135" s="1392" t="n"/>
      <c r="AF1135" s="1392" t="n"/>
      <c r="AG1135" s="1392" t="n"/>
      <c r="AH1135" s="1392" t="n"/>
      <c r="AI1135" s="1392" t="n"/>
      <c r="AJ1135" s="1392" t="n"/>
      <c r="AK1135" s="1392" t="n"/>
      <c r="AL1135" s="1392" t="n"/>
      <c r="AM1135" s="1392" t="n"/>
      <c r="AN1135" s="1392" t="n"/>
      <c r="AO1135" s="1392" t="n"/>
      <c r="AP1135" s="1392" t="n"/>
      <c r="AQ1135" s="1392" t="n"/>
      <c r="AR1135" s="1422" t="n"/>
      <c r="AS1135" s="1422" t="n"/>
      <c r="AT1135" s="1392" t="n"/>
      <c r="AU1135" s="1392" t="n"/>
      <c r="AV1135" s="1392" t="n"/>
      <c r="AW1135" s="1392" t="n"/>
      <c r="AX1135" s="1392" t="n"/>
      <c r="AY1135" s="1392" t="n"/>
      <c r="AZ1135" s="1392" t="n"/>
      <c r="BA1135" s="1422" t="n"/>
      <c r="BB1135" s="1422" t="n"/>
      <c r="BC1135" s="1392" t="n"/>
      <c r="BD1135" s="1392" t="n"/>
      <c r="BE1135" s="1392" t="n"/>
      <c r="BF1135" s="1392" t="n"/>
      <c r="BG1135" s="1392" t="n"/>
      <c r="BH1135" s="1392" t="n"/>
      <c r="BI1135" s="1392" t="n"/>
      <c r="BJ1135" s="1392" t="n"/>
      <c r="BK1135" s="1392" t="n"/>
      <c r="BL1135" s="1392" t="n"/>
      <c r="BM1135" s="1392" t="n"/>
      <c r="BN1135" s="1392" t="n"/>
      <c r="BO1135" s="1392" t="n"/>
      <c r="BP1135" s="1392" t="n"/>
      <c r="BQ1135" s="1392" t="n"/>
      <c r="BR1135" s="1392" t="n"/>
      <c r="BS1135" s="1392" t="n"/>
      <c r="BT1135" s="1392" t="n"/>
      <c r="BU1135" s="1392" t="n"/>
      <c r="BV1135" s="1392" t="n"/>
      <c r="BW1135" s="1392" t="n"/>
      <c r="BX1135" s="1392" t="n"/>
      <c r="BY1135" s="1392" t="n"/>
      <c r="BZ1135" s="1392" t="n"/>
      <c r="CA1135" s="1392" t="n"/>
      <c r="CB1135" s="1392" t="n"/>
      <c r="CC1135" s="1392" t="n"/>
      <c r="CD1135" s="1392" t="n"/>
      <c r="CE1135" s="1392" t="n"/>
      <c r="CF1135" s="1392" t="n"/>
      <c r="CG1135" s="1392" t="n"/>
      <c r="CH1135" s="1392" t="n"/>
      <c r="CI1135" s="1392" t="n"/>
      <c r="CJ1135" s="1392" t="n"/>
      <c r="CK1135" s="1392" t="n"/>
      <c r="CL1135" s="1392" t="n"/>
    </row>
    <row r="1136">
      <c r="A1136" s="5" t="inlineStr">
        <is>
          <t>.</t>
        </is>
      </c>
      <c r="B1136" s="5" t="inlineStr">
        <is>
          <t>.</t>
        </is>
      </c>
      <c r="C1136" s="1378">
        <f>IF(raw[[#This Row],[city]]="","-",IF(raw[[#This Row],[city]]="TODAY","-",C1135+1))</f>
        <v/>
      </c>
      <c r="D1136" s="1393" t="inlineStr">
        <is>
          <t>London</t>
        </is>
      </c>
      <c r="E1136" s="1394" t="n">
        <v>39934</v>
      </c>
      <c r="F1136" s="1394" t="n">
        <v>39949</v>
      </c>
      <c r="G1136" s="1393" t="inlineStr">
        <is>
          <t>-</t>
        </is>
      </c>
      <c r="H1136" s="1393" t="inlineStr">
        <is>
          <t>North Gower</t>
        </is>
      </c>
      <c r="I1136" s="1393" t="inlineStr">
        <is>
          <t>-</t>
        </is>
      </c>
      <c r="J1136" s="1393" t="inlineStr">
        <is>
          <t>-</t>
        </is>
      </c>
      <c r="K1136" s="1395">
        <f>IF(raw[[#This Row],[city]]&lt;&gt;"",_xlfn.XLOOKUP($D1136,ccc[city],ccc[prov],"-"),"-")</f>
        <v/>
      </c>
      <c r="L1136" s="1395">
        <f>IF(raw[[#This Row],[city]]&lt;&gt;"",_xlfn.XLOOKUP($D1136,ccc[city],ccc[ctry],"-"),"-")</f>
        <v/>
      </c>
      <c r="M1136" s="1395">
        <f>IF(raw[[#This Row],[city]]&lt;&gt;"",_xlfn.XLOOKUP($D1136,ccc[city],ccc[cont],"-"),"-")</f>
        <v/>
      </c>
      <c r="N1136" s="1396">
        <f>IF(raw[[#This Row],[city]]="","-",IF(raw[[#This Row],[cont]]="B",raw[[#This Row],[cont]],"W"))</f>
        <v/>
      </c>
      <c r="O1136" s="1397">
        <f>IF(raw[[#This Row],[out]]=0,0,IF(raw[[#This Row],[out]]=raw[[#This Row],[in]],0.01,raw[[#This Row],[out]]-raw[[#This Row],[in]]))</f>
        <v/>
      </c>
      <c r="P1136" s="1397">
        <f>IF(raw[[#This Row],[in]]=0,0,MONTH(raw[[#This Row],[in]]))</f>
        <v/>
      </c>
      <c r="Q1136" s="1397">
        <f>IF(raw[[#This Row],[in]]=0,0,YEAR(raw[[#This Row],[in]]))</f>
        <v/>
      </c>
      <c r="R1136" s="1397">
        <f>INT(raw[[#This Row],[yr]]/10)*10</f>
        <v/>
      </c>
      <c r="S1136" s="1395">
        <f>IF(raw[[#This Row],[city]]="","-",IF(raw[[#This Row],[city]]&lt;&gt;_xlfn.XLOOKUP(raw[[#This Row],[home]],homes[home],homes[city],"-"),1,0))</f>
        <v/>
      </c>
      <c r="T1136" s="1398" t="inlineStr">
        <is>
          <t>.</t>
        </is>
      </c>
      <c r="U1136" s="1399">
        <f>IF(raw[[#This Row],[wb]]="w",raw[[#This Row],[stay]]+U1135,U1135)</f>
        <v/>
      </c>
      <c r="V1136" s="1400">
        <f>IF(raw[[#This Row],[out]]=0,V1135,(raw[[#This Row],[out]]-E$5))</f>
        <v/>
      </c>
      <c r="W1136" s="1401">
        <f>U1136/V1136</f>
        <v/>
      </c>
      <c r="X1136" s="1392" t="n"/>
      <c r="Y1136" s="1392" t="n"/>
      <c r="Z1136" s="1392" t="n"/>
      <c r="AA1136" s="1392" t="n"/>
      <c r="AB1136" s="1392" t="n"/>
      <c r="AC1136" s="1392" t="n"/>
      <c r="AD1136" s="1392" t="n"/>
      <c r="AE1136" s="1392" t="n"/>
      <c r="AF1136" s="1392" t="n"/>
      <c r="AG1136" s="1392" t="n"/>
      <c r="AH1136" s="1392" t="n"/>
      <c r="AI1136" s="1392" t="n"/>
      <c r="AJ1136" s="1392" t="n"/>
      <c r="AK1136" s="1392" t="n"/>
      <c r="AL1136" s="1392" t="n"/>
      <c r="AM1136" s="1392" t="n"/>
      <c r="AN1136" s="1392" t="n"/>
      <c r="AO1136" s="1392" t="n"/>
      <c r="AP1136" s="1392" t="n"/>
      <c r="AQ1136" s="1392" t="n"/>
      <c r="AR1136" s="1422" t="n"/>
      <c r="AS1136" s="1422" t="n"/>
      <c r="AT1136" s="1392" t="n"/>
      <c r="AU1136" s="1392" t="n"/>
      <c r="AV1136" s="1392" t="n"/>
      <c r="AW1136" s="1392" t="n"/>
      <c r="AX1136" s="1392" t="n"/>
      <c r="AY1136" s="1392" t="n"/>
      <c r="AZ1136" s="1392" t="n"/>
      <c r="BA1136" s="1422" t="n"/>
      <c r="BB1136" s="1422" t="n"/>
      <c r="BC1136" s="1392" t="n"/>
      <c r="BD1136" s="1392" t="n"/>
      <c r="BE1136" s="1392" t="n"/>
      <c r="BF1136" s="1392" t="n"/>
      <c r="BG1136" s="1392" t="n"/>
      <c r="BH1136" s="1392" t="n"/>
      <c r="BI1136" s="1392" t="n"/>
      <c r="BJ1136" s="1392" t="n"/>
      <c r="BK1136" s="1392" t="n"/>
      <c r="BL1136" s="1392" t="n"/>
      <c r="BM1136" s="1392" t="n"/>
      <c r="BN1136" s="1392" t="n"/>
      <c r="BO1136" s="1392" t="n"/>
      <c r="BP1136" s="1392" t="n"/>
      <c r="BQ1136" s="1392" t="n"/>
      <c r="BR1136" s="1392" t="n"/>
      <c r="BS1136" s="1392" t="n"/>
      <c r="BT1136" s="1392" t="n"/>
      <c r="BU1136" s="1392" t="n"/>
      <c r="BV1136" s="1392" t="n"/>
      <c r="BW1136" s="1392" t="n"/>
      <c r="BX1136" s="1392" t="n"/>
      <c r="BY1136" s="1392" t="n"/>
      <c r="BZ1136" s="1392" t="n"/>
      <c r="CA1136" s="1392" t="n"/>
      <c r="CB1136" s="1392" t="n"/>
      <c r="CC1136" s="1392" t="n"/>
      <c r="CD1136" s="1392" t="n"/>
      <c r="CE1136" s="1392" t="n"/>
      <c r="CF1136" s="1392" t="n"/>
      <c r="CG1136" s="1392" t="n"/>
      <c r="CH1136" s="1392" t="n"/>
      <c r="CI1136" s="1392" t="n"/>
      <c r="CJ1136" s="1392" t="n"/>
      <c r="CK1136" s="1392" t="n"/>
      <c r="CL1136" s="1392" t="n"/>
    </row>
    <row r="1137">
      <c r="A1137" s="5" t="inlineStr">
        <is>
          <t>.</t>
        </is>
      </c>
      <c r="B1137" s="5" t="inlineStr">
        <is>
          <t>.</t>
        </is>
      </c>
      <c r="C1137" s="1378">
        <f>IF(raw[[#This Row],[city]]="","-",IF(raw[[#This Row],[city]]="TODAY","-",C1136+1))</f>
        <v/>
      </c>
      <c r="D1137" s="1393" t="inlineStr">
        <is>
          <t>Norwich</t>
        </is>
      </c>
      <c r="E1137" s="1394" t="n">
        <v>39949</v>
      </c>
      <c r="F1137" s="1394" t="n">
        <v>39949</v>
      </c>
      <c r="G1137" s="1393" t="inlineStr">
        <is>
          <t>-</t>
        </is>
      </c>
      <c r="H1137" s="1393" t="inlineStr">
        <is>
          <t>North Gower</t>
        </is>
      </c>
      <c r="I1137" s="1393" t="inlineStr">
        <is>
          <t>-</t>
        </is>
      </c>
      <c r="J1137" s="1393" t="inlineStr">
        <is>
          <t>-</t>
        </is>
      </c>
      <c r="K1137" s="1395">
        <f>IF(raw[[#This Row],[city]]&lt;&gt;"",_xlfn.XLOOKUP($D1137,ccc[city],ccc[prov],"-"),"-")</f>
        <v/>
      </c>
      <c r="L1137" s="1395">
        <f>IF(raw[[#This Row],[city]]&lt;&gt;"",_xlfn.XLOOKUP($D1137,ccc[city],ccc[ctry],"-"),"-")</f>
        <v/>
      </c>
      <c r="M1137" s="1395">
        <f>IF(raw[[#This Row],[city]]&lt;&gt;"",_xlfn.XLOOKUP($D1137,ccc[city],ccc[cont],"-"),"-")</f>
        <v/>
      </c>
      <c r="N1137" s="1396">
        <f>IF(raw[[#This Row],[city]]="","-",IF(raw[[#This Row],[cont]]="B",raw[[#This Row],[cont]],"W"))</f>
        <v/>
      </c>
      <c r="O1137" s="1397">
        <f>IF(raw[[#This Row],[out]]=0,0,IF(raw[[#This Row],[out]]=raw[[#This Row],[in]],0.01,raw[[#This Row],[out]]-raw[[#This Row],[in]]))</f>
        <v/>
      </c>
      <c r="P1137" s="1397">
        <f>IF(raw[[#This Row],[in]]=0,0,MONTH(raw[[#This Row],[in]]))</f>
        <v/>
      </c>
      <c r="Q1137" s="1397">
        <f>IF(raw[[#This Row],[in]]=0,0,YEAR(raw[[#This Row],[in]]))</f>
        <v/>
      </c>
      <c r="R1137" s="1397">
        <f>INT(raw[[#This Row],[yr]]/10)*10</f>
        <v/>
      </c>
      <c r="S1137" s="1395">
        <f>IF(raw[[#This Row],[city]]="","-",IF(raw[[#This Row],[city]]&lt;&gt;_xlfn.XLOOKUP(raw[[#This Row],[home]],homes[home],homes[city],"-"),1,0))</f>
        <v/>
      </c>
      <c r="T1137" s="1398" t="inlineStr">
        <is>
          <t>.</t>
        </is>
      </c>
      <c r="U1137" s="1399">
        <f>IF(raw[[#This Row],[wb]]="w",raw[[#This Row],[stay]]+U1136,U1136)</f>
        <v/>
      </c>
      <c r="V1137" s="1400">
        <f>IF(raw[[#This Row],[out]]=0,V1136,(raw[[#This Row],[out]]-E$5))</f>
        <v/>
      </c>
      <c r="W1137" s="1401">
        <f>U1137/V1137</f>
        <v/>
      </c>
      <c r="X1137" s="1392" t="n"/>
      <c r="Y1137" s="1392" t="n"/>
      <c r="Z1137" s="1392" t="n"/>
      <c r="AA1137" s="1392" t="n"/>
      <c r="AB1137" s="1392" t="n"/>
      <c r="AC1137" s="1392" t="n"/>
      <c r="AD1137" s="1392" t="n"/>
      <c r="AE1137" s="1392" t="n"/>
      <c r="AF1137" s="1392" t="n"/>
      <c r="AG1137" s="1392" t="n"/>
      <c r="AH1137" s="1392" t="n"/>
      <c r="AI1137" s="1392" t="n"/>
      <c r="AJ1137" s="1392" t="n"/>
      <c r="AK1137" s="1392" t="n"/>
      <c r="AL1137" s="1392" t="n"/>
      <c r="AM1137" s="1392" t="n"/>
      <c r="AN1137" s="1392" t="n"/>
      <c r="AO1137" s="1392" t="n"/>
      <c r="AP1137" s="1392" t="n"/>
      <c r="AQ1137" s="1392" t="n"/>
      <c r="AR1137" s="1422" t="n"/>
      <c r="AS1137" s="1422" t="n"/>
      <c r="AT1137" s="1392" t="n"/>
      <c r="AU1137" s="1392" t="n"/>
      <c r="AV1137" s="1392" t="n"/>
      <c r="AW1137" s="1392" t="n"/>
      <c r="AX1137" s="1392" t="n"/>
      <c r="AY1137" s="1392" t="n"/>
      <c r="AZ1137" s="1392" t="n"/>
      <c r="BA1137" s="1422" t="n"/>
      <c r="BB1137" s="1422" t="n"/>
      <c r="BC1137" s="1392" t="n"/>
      <c r="BD1137" s="1392" t="n"/>
      <c r="BE1137" s="1392" t="n"/>
      <c r="BF1137" s="1392" t="n"/>
      <c r="BG1137" s="1392" t="n"/>
      <c r="BH1137" s="1392" t="n"/>
      <c r="BI1137" s="1392" t="n"/>
      <c r="BJ1137" s="1392" t="n"/>
      <c r="BK1137" s="1392" t="n"/>
      <c r="BL1137" s="1392" t="n"/>
      <c r="BM1137" s="1392" t="n"/>
      <c r="BN1137" s="1392" t="n"/>
      <c r="BO1137" s="1392" t="n"/>
      <c r="BP1137" s="1392" t="n"/>
      <c r="BQ1137" s="1392" t="n"/>
      <c r="BR1137" s="1392" t="n"/>
      <c r="BS1137" s="1392" t="n"/>
      <c r="BT1137" s="1392" t="n"/>
      <c r="BU1137" s="1392" t="n"/>
      <c r="BV1137" s="1392" t="n"/>
      <c r="BW1137" s="1392" t="n"/>
      <c r="BX1137" s="1392" t="n"/>
      <c r="BY1137" s="1392" t="n"/>
      <c r="BZ1137" s="1392" t="n"/>
      <c r="CA1137" s="1392" t="n"/>
      <c r="CB1137" s="1392" t="n"/>
      <c r="CC1137" s="1392" t="n"/>
      <c r="CD1137" s="1392" t="n"/>
      <c r="CE1137" s="1392" t="n"/>
      <c r="CF1137" s="1392" t="n"/>
      <c r="CG1137" s="1392" t="n"/>
      <c r="CH1137" s="1392" t="n"/>
      <c r="CI1137" s="1392" t="n"/>
      <c r="CJ1137" s="1392" t="n"/>
      <c r="CK1137" s="1392" t="n"/>
      <c r="CL1137" s="1392" t="n"/>
    </row>
    <row r="1138">
      <c r="A1138" s="5" t="inlineStr">
        <is>
          <t>.</t>
        </is>
      </c>
      <c r="B1138" s="5" t="inlineStr">
        <is>
          <t>.</t>
        </is>
      </c>
      <c r="C1138" s="1378">
        <f>IF(raw[[#This Row],[city]]="","-",IF(raw[[#This Row],[city]]="TODAY","-",C1137+1))</f>
        <v/>
      </c>
      <c r="D1138" s="1393" t="inlineStr">
        <is>
          <t>Cromer</t>
        </is>
      </c>
      <c r="E1138" s="1394" t="n">
        <v>39949</v>
      </c>
      <c r="F1138" s="1394" t="n">
        <v>39949</v>
      </c>
      <c r="G1138" s="1393" t="inlineStr">
        <is>
          <t>-</t>
        </is>
      </c>
      <c r="H1138" s="1393" t="inlineStr">
        <is>
          <t>North Gower</t>
        </is>
      </c>
      <c r="I1138" s="1393" t="inlineStr">
        <is>
          <t>-</t>
        </is>
      </c>
      <c r="J1138" s="1393" t="inlineStr">
        <is>
          <t>-</t>
        </is>
      </c>
      <c r="K1138" s="1395">
        <f>IF(raw[[#This Row],[city]]&lt;&gt;"",_xlfn.XLOOKUP($D1138,ccc[city],ccc[prov],"-"),"-")</f>
        <v/>
      </c>
      <c r="L1138" s="1395">
        <f>IF(raw[[#This Row],[city]]&lt;&gt;"",_xlfn.XLOOKUP($D1138,ccc[city],ccc[ctry],"-"),"-")</f>
        <v/>
      </c>
      <c r="M1138" s="1395">
        <f>IF(raw[[#This Row],[city]]&lt;&gt;"",_xlfn.XLOOKUP($D1138,ccc[city],ccc[cont],"-"),"-")</f>
        <v/>
      </c>
      <c r="N1138" s="1396">
        <f>IF(raw[[#This Row],[city]]="","-",IF(raw[[#This Row],[cont]]="B",raw[[#This Row],[cont]],"W"))</f>
        <v/>
      </c>
      <c r="O1138" s="1397">
        <f>IF(raw[[#This Row],[out]]=0,0,IF(raw[[#This Row],[out]]=raw[[#This Row],[in]],0.01,raw[[#This Row],[out]]-raw[[#This Row],[in]]))</f>
        <v/>
      </c>
      <c r="P1138" s="1397">
        <f>IF(raw[[#This Row],[in]]=0,0,MONTH(raw[[#This Row],[in]]))</f>
        <v/>
      </c>
      <c r="Q1138" s="1397">
        <f>IF(raw[[#This Row],[in]]=0,0,YEAR(raw[[#This Row],[in]]))</f>
        <v/>
      </c>
      <c r="R1138" s="1397">
        <f>INT(raw[[#This Row],[yr]]/10)*10</f>
        <v/>
      </c>
      <c r="S1138" s="1395">
        <f>IF(raw[[#This Row],[city]]="","-",IF(raw[[#This Row],[city]]&lt;&gt;_xlfn.XLOOKUP(raw[[#This Row],[home]],homes[home],homes[city],"-"),1,0))</f>
        <v/>
      </c>
      <c r="T1138" s="1398" t="inlineStr">
        <is>
          <t>.</t>
        </is>
      </c>
      <c r="U1138" s="1399">
        <f>IF(raw[[#This Row],[wb]]="w",raw[[#This Row],[stay]]+U1137,U1137)</f>
        <v/>
      </c>
      <c r="V1138" s="1400">
        <f>IF(raw[[#This Row],[out]]=0,V1137,(raw[[#This Row],[out]]-E$5))</f>
        <v/>
      </c>
      <c r="W1138" s="1401">
        <f>U1138/V1138</f>
        <v/>
      </c>
      <c r="X1138" s="1392" t="n"/>
      <c r="Y1138" s="1392" t="n"/>
      <c r="Z1138" s="1392" t="n"/>
      <c r="AA1138" s="1392" t="n"/>
      <c r="AB1138" s="1392" t="n"/>
      <c r="AC1138" s="1392" t="n"/>
      <c r="AD1138" s="1392" t="n"/>
      <c r="AE1138" s="1392" t="n"/>
      <c r="AF1138" s="1392" t="n"/>
      <c r="AG1138" s="1392" t="n"/>
      <c r="AH1138" s="1392" t="n"/>
      <c r="AI1138" s="1392" t="n"/>
      <c r="AJ1138" s="1392" t="n"/>
      <c r="AK1138" s="1392" t="n"/>
      <c r="AL1138" s="1392" t="n"/>
      <c r="AM1138" s="1392" t="n"/>
      <c r="AN1138" s="1392" t="n"/>
      <c r="AO1138" s="1392" t="n"/>
      <c r="AP1138" s="1392" t="n"/>
      <c r="AQ1138" s="1392" t="n"/>
      <c r="AR1138" s="1422" t="n"/>
      <c r="AS1138" s="1422" t="n"/>
      <c r="AT1138" s="1392" t="n"/>
      <c r="AU1138" s="1392" t="n"/>
      <c r="AV1138" s="1392" t="n"/>
      <c r="AW1138" s="1392" t="n"/>
      <c r="AX1138" s="1392" t="n"/>
      <c r="AY1138" s="1392" t="n"/>
      <c r="AZ1138" s="1392" t="n"/>
      <c r="BA1138" s="1422" t="n"/>
      <c r="BB1138" s="1422" t="n"/>
      <c r="BC1138" s="1392" t="n"/>
      <c r="BD1138" s="1392" t="n"/>
      <c r="BE1138" s="1392" t="n"/>
      <c r="BF1138" s="1392" t="n"/>
      <c r="BG1138" s="1392" t="n"/>
      <c r="BH1138" s="1392" t="n"/>
      <c r="BI1138" s="1392" t="n"/>
      <c r="BJ1138" s="1392" t="n"/>
      <c r="BK1138" s="1392" t="n"/>
      <c r="BL1138" s="1392" t="n"/>
      <c r="BM1138" s="1392" t="n"/>
      <c r="BN1138" s="1392" t="n"/>
      <c r="BO1138" s="1392" t="n"/>
      <c r="BP1138" s="1392" t="n"/>
      <c r="BQ1138" s="1392" t="n"/>
      <c r="BR1138" s="1392" t="n"/>
      <c r="BS1138" s="1392" t="n"/>
      <c r="BT1138" s="1392" t="n"/>
      <c r="BU1138" s="1392" t="n"/>
      <c r="BV1138" s="1392" t="n"/>
      <c r="BW1138" s="1392" t="n"/>
      <c r="BX1138" s="1392" t="n"/>
      <c r="BY1138" s="1392" t="n"/>
      <c r="BZ1138" s="1392" t="n"/>
      <c r="CA1138" s="1392" t="n"/>
      <c r="CB1138" s="1392" t="n"/>
      <c r="CC1138" s="1392" t="n"/>
      <c r="CD1138" s="1392" t="n"/>
      <c r="CE1138" s="1392" t="n"/>
      <c r="CF1138" s="1392" t="n"/>
      <c r="CG1138" s="1392" t="n"/>
      <c r="CH1138" s="1392" t="n"/>
      <c r="CI1138" s="1392" t="n"/>
      <c r="CJ1138" s="1392" t="n"/>
      <c r="CK1138" s="1392" t="n"/>
      <c r="CL1138" s="1392" t="n"/>
    </row>
    <row r="1139">
      <c r="A1139" s="5" t="inlineStr">
        <is>
          <t>.</t>
        </is>
      </c>
      <c r="B1139" s="5" t="inlineStr">
        <is>
          <t>.</t>
        </is>
      </c>
      <c r="C1139" s="1378">
        <f>IF(raw[[#This Row],[city]]="","-",IF(raw[[#This Row],[city]]="TODAY","-",C1138+1))</f>
        <v/>
      </c>
      <c r="D1139" s="1393" t="inlineStr">
        <is>
          <t>Sheringham</t>
        </is>
      </c>
      <c r="E1139" s="1394" t="n">
        <v>39949</v>
      </c>
      <c r="F1139" s="1394" t="n">
        <v>39950</v>
      </c>
      <c r="G1139" s="1393" t="inlineStr">
        <is>
          <t>-</t>
        </is>
      </c>
      <c r="H1139" s="1393" t="inlineStr">
        <is>
          <t>North Gower</t>
        </is>
      </c>
      <c r="I1139" s="1393" t="inlineStr">
        <is>
          <t>-</t>
        </is>
      </c>
      <c r="J1139" s="1393" t="inlineStr">
        <is>
          <t>-</t>
        </is>
      </c>
      <c r="K1139" s="1395">
        <f>IF(raw[[#This Row],[city]]&lt;&gt;"",_xlfn.XLOOKUP($D1139,ccc[city],ccc[prov],"-"),"-")</f>
        <v/>
      </c>
      <c r="L1139" s="1395">
        <f>IF(raw[[#This Row],[city]]&lt;&gt;"",_xlfn.XLOOKUP($D1139,ccc[city],ccc[ctry],"-"),"-")</f>
        <v/>
      </c>
      <c r="M1139" s="1395">
        <f>IF(raw[[#This Row],[city]]&lt;&gt;"",_xlfn.XLOOKUP($D1139,ccc[city],ccc[cont],"-"),"-")</f>
        <v/>
      </c>
      <c r="N1139" s="1396">
        <f>IF(raw[[#This Row],[city]]="","-",IF(raw[[#This Row],[cont]]="B",raw[[#This Row],[cont]],"W"))</f>
        <v/>
      </c>
      <c r="O1139" s="1397">
        <f>IF(raw[[#This Row],[out]]=0,0,IF(raw[[#This Row],[out]]=raw[[#This Row],[in]],0.01,raw[[#This Row],[out]]-raw[[#This Row],[in]]))</f>
        <v/>
      </c>
      <c r="P1139" s="1397">
        <f>IF(raw[[#This Row],[in]]=0,0,MONTH(raw[[#This Row],[in]]))</f>
        <v/>
      </c>
      <c r="Q1139" s="1397">
        <f>IF(raw[[#This Row],[in]]=0,0,YEAR(raw[[#This Row],[in]]))</f>
        <v/>
      </c>
      <c r="R1139" s="1397">
        <f>INT(raw[[#This Row],[yr]]/10)*10</f>
        <v/>
      </c>
      <c r="S1139" s="1395">
        <f>IF(raw[[#This Row],[city]]="","-",IF(raw[[#This Row],[city]]&lt;&gt;_xlfn.XLOOKUP(raw[[#This Row],[home]],homes[home],homes[city],"-"),1,0))</f>
        <v/>
      </c>
      <c r="T1139" s="1398" t="inlineStr">
        <is>
          <t>.</t>
        </is>
      </c>
      <c r="U1139" s="1399">
        <f>IF(raw[[#This Row],[wb]]="w",raw[[#This Row],[stay]]+U1138,U1138)</f>
        <v/>
      </c>
      <c r="V1139" s="1400">
        <f>IF(raw[[#This Row],[out]]=0,V1138,(raw[[#This Row],[out]]-E$5))</f>
        <v/>
      </c>
      <c r="W1139" s="1401">
        <f>U1139/V1139</f>
        <v/>
      </c>
      <c r="X1139" s="1392" t="n"/>
      <c r="Y1139" s="1392" t="n"/>
      <c r="Z1139" s="1392" t="n"/>
      <c r="AA1139" s="1392" t="n"/>
      <c r="AB1139" s="1392" t="n"/>
      <c r="AC1139" s="1392" t="n"/>
      <c r="AD1139" s="1392" t="n"/>
      <c r="AE1139" s="1392" t="n"/>
      <c r="AF1139" s="1392" t="n"/>
      <c r="AG1139" s="1392" t="n"/>
      <c r="AH1139" s="1392" t="n"/>
      <c r="AI1139" s="1392" t="n"/>
      <c r="AJ1139" s="1392" t="n"/>
      <c r="AK1139" s="1392" t="n"/>
      <c r="AL1139" s="1392" t="n"/>
      <c r="AM1139" s="1392" t="n"/>
      <c r="AN1139" s="1392" t="n"/>
      <c r="AO1139" s="1392" t="n"/>
      <c r="AP1139" s="1392" t="n"/>
      <c r="AQ1139" s="1392" t="n"/>
      <c r="AR1139" s="1422" t="n"/>
      <c r="AS1139" s="1422" t="n"/>
      <c r="AT1139" s="1392" t="n"/>
      <c r="AU1139" s="1392" t="n"/>
      <c r="AV1139" s="1392" t="n"/>
      <c r="AW1139" s="1392" t="n"/>
      <c r="AX1139" s="1392" t="n"/>
      <c r="AY1139" s="1392" t="n"/>
      <c r="AZ1139" s="1392" t="n"/>
      <c r="BA1139" s="1422" t="n"/>
      <c r="BB1139" s="1422" t="n"/>
      <c r="BC1139" s="1392" t="n"/>
      <c r="BD1139" s="1392" t="n"/>
      <c r="BE1139" s="1392" t="n"/>
      <c r="BF1139" s="1392" t="n"/>
      <c r="BG1139" s="1392" t="n"/>
      <c r="BH1139" s="1392" t="n"/>
      <c r="BI1139" s="1392" t="n"/>
      <c r="BJ1139" s="1392" t="n"/>
      <c r="BK1139" s="1392" t="n"/>
      <c r="BL1139" s="1392" t="n"/>
      <c r="BM1139" s="1392" t="n"/>
      <c r="BN1139" s="1392" t="n"/>
      <c r="BO1139" s="1392" t="n"/>
      <c r="BP1139" s="1392" t="n"/>
      <c r="BQ1139" s="1392" t="n"/>
      <c r="BR1139" s="1392" t="n"/>
      <c r="BS1139" s="1392" t="n"/>
      <c r="BT1139" s="1392" t="n"/>
      <c r="BU1139" s="1392" t="n"/>
      <c r="BV1139" s="1392" t="n"/>
      <c r="BW1139" s="1392" t="n"/>
      <c r="BX1139" s="1392" t="n"/>
      <c r="BY1139" s="1392" t="n"/>
      <c r="BZ1139" s="1392" t="n"/>
      <c r="CA1139" s="1392" t="n"/>
      <c r="CB1139" s="1392" t="n"/>
      <c r="CC1139" s="1392" t="n"/>
      <c r="CD1139" s="1392" t="n"/>
      <c r="CE1139" s="1392" t="n"/>
      <c r="CF1139" s="1392" t="n"/>
      <c r="CG1139" s="1392" t="n"/>
      <c r="CH1139" s="1392" t="n"/>
      <c r="CI1139" s="1392" t="n"/>
      <c r="CJ1139" s="1392" t="n"/>
      <c r="CK1139" s="1392" t="n"/>
      <c r="CL1139" s="1392" t="n"/>
    </row>
    <row r="1140">
      <c r="A1140" s="5" t="inlineStr">
        <is>
          <t>.</t>
        </is>
      </c>
      <c r="B1140" s="5" t="inlineStr">
        <is>
          <t>.</t>
        </is>
      </c>
      <c r="C1140" s="1378">
        <f>IF(raw[[#This Row],[city]]="","-",IF(raw[[#This Row],[city]]="TODAY","-",C1139+1))</f>
        <v/>
      </c>
      <c r="D1140" s="1393" t="inlineStr">
        <is>
          <t>Blickling</t>
        </is>
      </c>
      <c r="E1140" s="1394" t="n">
        <v>39950</v>
      </c>
      <c r="F1140" s="1394" t="n">
        <v>39950</v>
      </c>
      <c r="G1140" s="1393" t="inlineStr">
        <is>
          <t>-</t>
        </is>
      </c>
      <c r="H1140" s="1393" t="inlineStr">
        <is>
          <t>North Gower</t>
        </is>
      </c>
      <c r="I1140" s="1393" t="inlineStr">
        <is>
          <t>-</t>
        </is>
      </c>
      <c r="J1140" s="1393" t="inlineStr">
        <is>
          <t>-</t>
        </is>
      </c>
      <c r="K1140" s="1395">
        <f>IF(raw[[#This Row],[city]]&lt;&gt;"",_xlfn.XLOOKUP($D1140,ccc[city],ccc[prov],"-"),"-")</f>
        <v/>
      </c>
      <c r="L1140" s="1395">
        <f>IF(raw[[#This Row],[city]]&lt;&gt;"",_xlfn.XLOOKUP($D1140,ccc[city],ccc[ctry],"-"),"-")</f>
        <v/>
      </c>
      <c r="M1140" s="1395">
        <f>IF(raw[[#This Row],[city]]&lt;&gt;"",_xlfn.XLOOKUP($D1140,ccc[city],ccc[cont],"-"),"-")</f>
        <v/>
      </c>
      <c r="N1140" s="1396">
        <f>IF(raw[[#This Row],[city]]="","-",IF(raw[[#This Row],[cont]]="B",raw[[#This Row],[cont]],"W"))</f>
        <v/>
      </c>
      <c r="O1140" s="1397">
        <f>IF(raw[[#This Row],[out]]=0,0,IF(raw[[#This Row],[out]]=raw[[#This Row],[in]],0.01,raw[[#This Row],[out]]-raw[[#This Row],[in]]))</f>
        <v/>
      </c>
      <c r="P1140" s="1397">
        <f>IF(raw[[#This Row],[in]]=0,0,MONTH(raw[[#This Row],[in]]))</f>
        <v/>
      </c>
      <c r="Q1140" s="1397">
        <f>IF(raw[[#This Row],[in]]=0,0,YEAR(raw[[#This Row],[in]]))</f>
        <v/>
      </c>
      <c r="R1140" s="1397">
        <f>INT(raw[[#This Row],[yr]]/10)*10</f>
        <v/>
      </c>
      <c r="S1140" s="1395">
        <f>IF(raw[[#This Row],[city]]="","-",IF(raw[[#This Row],[city]]&lt;&gt;_xlfn.XLOOKUP(raw[[#This Row],[home]],homes[home],homes[city],"-"),1,0))</f>
        <v/>
      </c>
      <c r="T1140" s="1398" t="inlineStr">
        <is>
          <t>.</t>
        </is>
      </c>
      <c r="U1140" s="1399">
        <f>IF(raw[[#This Row],[wb]]="w",raw[[#This Row],[stay]]+U1139,U1139)</f>
        <v/>
      </c>
      <c r="V1140" s="1400">
        <f>IF(raw[[#This Row],[out]]=0,V1139,(raw[[#This Row],[out]]-E$5))</f>
        <v/>
      </c>
      <c r="W1140" s="1401">
        <f>U1140/V1140</f>
        <v/>
      </c>
      <c r="X1140" s="1392" t="n"/>
      <c r="Y1140" s="1392" t="n"/>
      <c r="Z1140" s="1392" t="n"/>
      <c r="AA1140" s="1392" t="n"/>
      <c r="AB1140" s="1392" t="n"/>
      <c r="AC1140" s="1392" t="n"/>
      <c r="AD1140" s="1392" t="n"/>
      <c r="AE1140" s="1392" t="n"/>
      <c r="AF1140" s="1392" t="n"/>
      <c r="AG1140" s="1392" t="n"/>
      <c r="AH1140" s="1392" t="n"/>
      <c r="AI1140" s="1392" t="n"/>
      <c r="AJ1140" s="1392" t="n"/>
      <c r="AK1140" s="1392" t="n"/>
      <c r="AL1140" s="1392" t="n"/>
      <c r="AM1140" s="1392" t="n"/>
      <c r="AN1140" s="1392" t="n"/>
      <c r="AO1140" s="1392" t="n"/>
      <c r="AP1140" s="1392" t="n"/>
      <c r="AQ1140" s="1392" t="n"/>
      <c r="AR1140" s="1422" t="n"/>
      <c r="AS1140" s="1422" t="n"/>
      <c r="AT1140" s="1392" t="n"/>
      <c r="AU1140" s="1392" t="n"/>
      <c r="AV1140" s="1392" t="n"/>
      <c r="AW1140" s="1392" t="n"/>
      <c r="AX1140" s="1392" t="n"/>
      <c r="AY1140" s="1392" t="n"/>
      <c r="AZ1140" s="1392" t="n"/>
      <c r="BA1140" s="1422" t="n"/>
      <c r="BB1140" s="1422" t="n"/>
      <c r="BC1140" s="1392" t="n"/>
      <c r="BD1140" s="1392" t="n"/>
      <c r="BE1140" s="1392" t="n"/>
      <c r="BF1140" s="1392" t="n"/>
      <c r="BG1140" s="1392" t="n"/>
      <c r="BH1140" s="1392" t="n"/>
      <c r="BI1140" s="1392" t="n"/>
      <c r="BJ1140" s="1392" t="n"/>
      <c r="BK1140" s="1392" t="n"/>
      <c r="BL1140" s="1392" t="n"/>
      <c r="BM1140" s="1392" t="n"/>
      <c r="BN1140" s="1392" t="n"/>
      <c r="BO1140" s="1392" t="n"/>
      <c r="BP1140" s="1392" t="n"/>
      <c r="BQ1140" s="1392" t="n"/>
      <c r="BR1140" s="1392" t="n"/>
      <c r="BS1140" s="1392" t="n"/>
      <c r="BT1140" s="1392" t="n"/>
      <c r="BU1140" s="1392" t="n"/>
      <c r="BV1140" s="1392" t="n"/>
      <c r="BW1140" s="1392" t="n"/>
      <c r="BX1140" s="1392" t="n"/>
      <c r="BY1140" s="1392" t="n"/>
      <c r="BZ1140" s="1392" t="n"/>
      <c r="CA1140" s="1392" t="n"/>
      <c r="CB1140" s="1392" t="n"/>
      <c r="CC1140" s="1392" t="n"/>
      <c r="CD1140" s="1392" t="n"/>
      <c r="CE1140" s="1392" t="n"/>
      <c r="CF1140" s="1392" t="n"/>
      <c r="CG1140" s="1392" t="n"/>
      <c r="CH1140" s="1392" t="n"/>
      <c r="CI1140" s="1392" t="n"/>
      <c r="CJ1140" s="1392" t="n"/>
      <c r="CK1140" s="1392" t="n"/>
      <c r="CL1140" s="1392" t="n"/>
    </row>
    <row r="1141">
      <c r="A1141" s="5" t="inlineStr">
        <is>
          <t>.</t>
        </is>
      </c>
      <c r="B1141" s="5" t="inlineStr">
        <is>
          <t>.</t>
        </is>
      </c>
      <c r="C1141" s="1378">
        <f>IF(raw[[#This Row],[city]]="","-",IF(raw[[#This Row],[city]]="TODAY","-",C1140+1))</f>
        <v/>
      </c>
      <c r="D1141" s="1393" t="inlineStr">
        <is>
          <t>London</t>
        </is>
      </c>
      <c r="E1141" s="1394" t="n">
        <v>39950</v>
      </c>
      <c r="F1141" s="1394" t="n">
        <v>39965</v>
      </c>
      <c r="G1141" s="1393" t="inlineStr">
        <is>
          <t>-</t>
        </is>
      </c>
      <c r="H1141" s="1393" t="inlineStr">
        <is>
          <t>North Gower</t>
        </is>
      </c>
      <c r="I1141" s="1393" t="inlineStr">
        <is>
          <t>-</t>
        </is>
      </c>
      <c r="J1141" s="1393" t="inlineStr">
        <is>
          <t>-</t>
        </is>
      </c>
      <c r="K1141" s="1395">
        <f>IF(raw[[#This Row],[city]]&lt;&gt;"",_xlfn.XLOOKUP($D1141,ccc[city],ccc[prov],"-"),"-")</f>
        <v/>
      </c>
      <c r="L1141" s="1395">
        <f>IF(raw[[#This Row],[city]]&lt;&gt;"",_xlfn.XLOOKUP($D1141,ccc[city],ccc[ctry],"-"),"-")</f>
        <v/>
      </c>
      <c r="M1141" s="1395">
        <f>IF(raw[[#This Row],[city]]&lt;&gt;"",_xlfn.XLOOKUP($D1141,ccc[city],ccc[cont],"-"),"-")</f>
        <v/>
      </c>
      <c r="N1141" s="1396">
        <f>IF(raw[[#This Row],[city]]="","-",IF(raw[[#This Row],[cont]]="B",raw[[#This Row],[cont]],"W"))</f>
        <v/>
      </c>
      <c r="O1141" s="1397">
        <f>IF(raw[[#This Row],[out]]=0,0,IF(raw[[#This Row],[out]]=raw[[#This Row],[in]],0.01,raw[[#This Row],[out]]-raw[[#This Row],[in]]))</f>
        <v/>
      </c>
      <c r="P1141" s="1397">
        <f>IF(raw[[#This Row],[in]]=0,0,MONTH(raw[[#This Row],[in]]))</f>
        <v/>
      </c>
      <c r="Q1141" s="1397">
        <f>IF(raw[[#This Row],[in]]=0,0,YEAR(raw[[#This Row],[in]]))</f>
        <v/>
      </c>
      <c r="R1141" s="1397">
        <f>INT(raw[[#This Row],[yr]]/10)*10</f>
        <v/>
      </c>
      <c r="S1141" s="1395">
        <f>IF(raw[[#This Row],[city]]="","-",IF(raw[[#This Row],[city]]&lt;&gt;_xlfn.XLOOKUP(raw[[#This Row],[home]],homes[home],homes[city],"-"),1,0))</f>
        <v/>
      </c>
      <c r="T1141" s="1398" t="inlineStr">
        <is>
          <t>.</t>
        </is>
      </c>
      <c r="U1141" s="1399">
        <f>IF(raw[[#This Row],[wb]]="w",raw[[#This Row],[stay]]+U1140,U1140)</f>
        <v/>
      </c>
      <c r="V1141" s="1400">
        <f>IF(raw[[#This Row],[out]]=0,V1140,(raw[[#This Row],[out]]-E$5))</f>
        <v/>
      </c>
      <c r="W1141" s="1401">
        <f>U1141/V1141</f>
        <v/>
      </c>
      <c r="X1141" s="1392" t="n"/>
      <c r="Y1141" s="1392" t="n"/>
      <c r="Z1141" s="1392" t="n"/>
      <c r="AA1141" s="1392" t="n"/>
      <c r="AB1141" s="1392" t="n"/>
      <c r="AC1141" s="1392" t="n"/>
      <c r="AD1141" s="1392" t="n"/>
      <c r="AE1141" s="1392" t="n"/>
      <c r="AF1141" s="1392" t="n"/>
      <c r="AG1141" s="1392" t="n"/>
      <c r="AH1141" s="1392" t="n"/>
      <c r="AI1141" s="1392" t="n"/>
      <c r="AJ1141" s="1392" t="n"/>
      <c r="AK1141" s="1392" t="n"/>
      <c r="AL1141" s="1392" t="n"/>
      <c r="AM1141" s="1392" t="n"/>
      <c r="AN1141" s="1392" t="n"/>
      <c r="AO1141" s="1392" t="n"/>
      <c r="AP1141" s="1392" t="n"/>
      <c r="AQ1141" s="1392" t="n"/>
      <c r="AR1141" s="1422" t="n"/>
      <c r="AS1141" s="1422" t="n"/>
      <c r="AT1141" s="1392" t="n"/>
      <c r="AU1141" s="1392" t="n"/>
      <c r="AV1141" s="1392" t="n"/>
      <c r="AW1141" s="1392" t="n"/>
      <c r="AX1141" s="1392" t="n"/>
      <c r="AY1141" s="1392" t="n"/>
      <c r="AZ1141" s="1392" t="n"/>
      <c r="BA1141" s="1422" t="n"/>
      <c r="BB1141" s="1422" t="n"/>
      <c r="BC1141" s="1392" t="n"/>
      <c r="BD1141" s="1392" t="n"/>
      <c r="BE1141" s="1392" t="n"/>
      <c r="BF1141" s="1392" t="n"/>
      <c r="BG1141" s="1392" t="n"/>
      <c r="BH1141" s="1392" t="n"/>
      <c r="BI1141" s="1392" t="n"/>
      <c r="BJ1141" s="1392" t="n"/>
      <c r="BK1141" s="1392" t="n"/>
      <c r="BL1141" s="1392" t="n"/>
      <c r="BM1141" s="1392" t="n"/>
      <c r="BN1141" s="1392" t="n"/>
      <c r="BO1141" s="1392" t="n"/>
      <c r="BP1141" s="1392" t="n"/>
      <c r="BQ1141" s="1392" t="n"/>
      <c r="BR1141" s="1392" t="n"/>
      <c r="BS1141" s="1392" t="n"/>
      <c r="BT1141" s="1392" t="n"/>
      <c r="BU1141" s="1392" t="n"/>
      <c r="BV1141" s="1392" t="n"/>
      <c r="BW1141" s="1392" t="n"/>
      <c r="BX1141" s="1392" t="n"/>
      <c r="BY1141" s="1392" t="n"/>
      <c r="BZ1141" s="1392" t="n"/>
      <c r="CA1141" s="1392" t="n"/>
      <c r="CB1141" s="1392" t="n"/>
      <c r="CC1141" s="1392" t="n"/>
      <c r="CD1141" s="1392" t="n"/>
      <c r="CE1141" s="1392" t="n"/>
      <c r="CF1141" s="1392" t="n"/>
      <c r="CG1141" s="1392" t="n"/>
      <c r="CH1141" s="1392" t="n"/>
      <c r="CI1141" s="1392" t="n"/>
      <c r="CJ1141" s="1392" t="n"/>
      <c r="CK1141" s="1392" t="n"/>
      <c r="CL1141" s="1392" t="n"/>
    </row>
    <row r="1142">
      <c r="A1142" s="5" t="inlineStr">
        <is>
          <t>.</t>
        </is>
      </c>
      <c r="B1142" s="5" t="inlineStr">
        <is>
          <t>.</t>
        </is>
      </c>
      <c r="C1142" s="1378">
        <f>IF(raw[[#This Row],[city]]="","-",IF(raw[[#This Row],[city]]="TODAY","-",C1141+1))</f>
        <v/>
      </c>
      <c r="D1142" s="1393" t="inlineStr">
        <is>
          <t>London</t>
        </is>
      </c>
      <c r="E1142" s="1394" t="n">
        <v>39965</v>
      </c>
      <c r="F1142" s="1394" t="n">
        <v>39975</v>
      </c>
      <c r="G1142" s="1393" t="n">
        <v>1</v>
      </c>
      <c r="H1142" s="1393" t="inlineStr">
        <is>
          <t>North Gower</t>
        </is>
      </c>
      <c r="I1142" s="1393" t="inlineStr">
        <is>
          <t>-</t>
        </is>
      </c>
      <c r="J1142" s="1393" t="inlineStr">
        <is>
          <t>-</t>
        </is>
      </c>
      <c r="K1142" s="1395">
        <f>IF(raw[[#This Row],[city]]&lt;&gt;"",_xlfn.XLOOKUP($D1142,ccc[city],ccc[prov],"-"),"-")</f>
        <v/>
      </c>
      <c r="L1142" s="1395">
        <f>IF(raw[[#This Row],[city]]&lt;&gt;"",_xlfn.XLOOKUP($D1142,ccc[city],ccc[ctry],"-"),"-")</f>
        <v/>
      </c>
      <c r="M1142" s="1395">
        <f>IF(raw[[#This Row],[city]]&lt;&gt;"",_xlfn.XLOOKUP($D1142,ccc[city],ccc[cont],"-"),"-")</f>
        <v/>
      </c>
      <c r="N1142" s="1396">
        <f>IF(raw[[#This Row],[city]]="","-",IF(raw[[#This Row],[cont]]="B",raw[[#This Row],[cont]],"W"))</f>
        <v/>
      </c>
      <c r="O1142" s="1397">
        <f>IF(raw[[#This Row],[out]]=0,0,IF(raw[[#This Row],[out]]=raw[[#This Row],[in]],0.01,raw[[#This Row],[out]]-raw[[#This Row],[in]]))</f>
        <v/>
      </c>
      <c r="P1142" s="1397">
        <f>IF(raw[[#This Row],[in]]=0,0,MONTH(raw[[#This Row],[in]]))</f>
        <v/>
      </c>
      <c r="Q1142" s="1397">
        <f>IF(raw[[#This Row],[in]]=0,0,YEAR(raw[[#This Row],[in]]))</f>
        <v/>
      </c>
      <c r="R1142" s="1397">
        <f>INT(raw[[#This Row],[yr]]/10)*10</f>
        <v/>
      </c>
      <c r="S1142" s="1395">
        <f>IF(raw[[#This Row],[city]]="","-",IF(raw[[#This Row],[city]]&lt;&gt;_xlfn.XLOOKUP(raw[[#This Row],[home]],homes[home],homes[city],"-"),1,0))</f>
        <v/>
      </c>
      <c r="T1142" s="1398" t="inlineStr">
        <is>
          <t>.</t>
        </is>
      </c>
      <c r="U1142" s="1399">
        <f>IF(raw[[#This Row],[wb]]="w",raw[[#This Row],[stay]]+U1141,U1141)</f>
        <v/>
      </c>
      <c r="V1142" s="1400">
        <f>IF(raw[[#This Row],[out]]=0,V1141,(raw[[#This Row],[out]]-E$5))</f>
        <v/>
      </c>
      <c r="W1142" s="1401">
        <f>U1142/V1142</f>
        <v/>
      </c>
      <c r="X1142" s="1392" t="n"/>
      <c r="Y1142" s="1392" t="n"/>
      <c r="Z1142" s="1392" t="n"/>
      <c r="AA1142" s="1392" t="n"/>
      <c r="AB1142" s="1392" t="n"/>
      <c r="AC1142" s="1392" t="n"/>
      <c r="AD1142" s="1392" t="n"/>
      <c r="AE1142" s="1392" t="n"/>
      <c r="AF1142" s="1392" t="n"/>
      <c r="AG1142" s="1392" t="n"/>
      <c r="AH1142" s="1392" t="n"/>
      <c r="AI1142" s="1392" t="n"/>
      <c r="AJ1142" s="1392" t="n"/>
      <c r="AK1142" s="1392" t="n"/>
      <c r="AL1142" s="1392" t="n"/>
      <c r="AM1142" s="1392" t="n"/>
      <c r="AN1142" s="1392" t="n"/>
      <c r="AO1142" s="1392" t="n"/>
      <c r="AP1142" s="1392" t="n"/>
      <c r="AQ1142" s="1392" t="n"/>
      <c r="AR1142" s="1422" t="n"/>
      <c r="AS1142" s="1422" t="n"/>
      <c r="AT1142" s="1392" t="n"/>
      <c r="AU1142" s="1392" t="n"/>
      <c r="AV1142" s="1392" t="n"/>
      <c r="AW1142" s="1392" t="n"/>
      <c r="AX1142" s="1392" t="n"/>
      <c r="AY1142" s="1392" t="n"/>
      <c r="AZ1142" s="1392" t="n"/>
      <c r="BA1142" s="1422" t="n"/>
      <c r="BB1142" s="1422" t="n"/>
      <c r="BC1142" s="1392" t="n"/>
      <c r="BD1142" s="1392" t="n"/>
      <c r="BE1142" s="1392" t="n"/>
      <c r="BF1142" s="1392" t="n"/>
      <c r="BG1142" s="1392" t="n"/>
      <c r="BH1142" s="1392" t="n"/>
      <c r="BI1142" s="1392" t="n"/>
      <c r="BJ1142" s="1392" t="n"/>
      <c r="BK1142" s="1392" t="n"/>
      <c r="BL1142" s="1392" t="n"/>
      <c r="BM1142" s="1392" t="n"/>
      <c r="BN1142" s="1392" t="n"/>
      <c r="BO1142" s="1392" t="n"/>
      <c r="BP1142" s="1392" t="n"/>
      <c r="BQ1142" s="1392" t="n"/>
      <c r="BR1142" s="1392" t="n"/>
      <c r="BS1142" s="1392" t="n"/>
      <c r="BT1142" s="1392" t="n"/>
      <c r="BU1142" s="1392" t="n"/>
      <c r="BV1142" s="1392" t="n"/>
      <c r="BW1142" s="1392" t="n"/>
      <c r="BX1142" s="1392" t="n"/>
      <c r="BY1142" s="1392" t="n"/>
      <c r="BZ1142" s="1392" t="n"/>
      <c r="CA1142" s="1392" t="n"/>
      <c r="CB1142" s="1392" t="n"/>
      <c r="CC1142" s="1392" t="n"/>
      <c r="CD1142" s="1392" t="n"/>
      <c r="CE1142" s="1392" t="n"/>
      <c r="CF1142" s="1392" t="n"/>
      <c r="CG1142" s="1392" t="n"/>
      <c r="CH1142" s="1392" t="n"/>
      <c r="CI1142" s="1392" t="n"/>
      <c r="CJ1142" s="1392" t="n"/>
      <c r="CK1142" s="1392" t="n"/>
      <c r="CL1142" s="1392" t="n"/>
    </row>
    <row r="1143">
      <c r="A1143" s="5" t="inlineStr">
        <is>
          <t>.</t>
        </is>
      </c>
      <c r="B1143" s="5" t="inlineStr">
        <is>
          <t>.</t>
        </is>
      </c>
      <c r="C1143" s="1378">
        <f>IF(raw[[#This Row],[city]]="","-",IF(raw[[#This Row],[city]]="TODAY","-",C1142+1))</f>
        <v/>
      </c>
      <c r="D1143" s="1393" t="inlineStr">
        <is>
          <t>Dublin</t>
        </is>
      </c>
      <c r="E1143" s="1394" t="n">
        <v>39975</v>
      </c>
      <c r="F1143" s="1394" t="n">
        <v>39979</v>
      </c>
      <c r="G1143" s="1393" t="n">
        <v>1</v>
      </c>
      <c r="H1143" s="1393" t="inlineStr">
        <is>
          <t>North Gower</t>
        </is>
      </c>
      <c r="I1143" s="1393" t="inlineStr">
        <is>
          <t>-</t>
        </is>
      </c>
      <c r="J1143" s="1393" t="inlineStr">
        <is>
          <t>-</t>
        </is>
      </c>
      <c r="K1143" s="1395">
        <f>IF(raw[[#This Row],[city]]&lt;&gt;"",_xlfn.XLOOKUP($D1143,ccc[city],ccc[prov],"-"),"-")</f>
        <v/>
      </c>
      <c r="L1143" s="1395">
        <f>IF(raw[[#This Row],[city]]&lt;&gt;"",_xlfn.XLOOKUP($D1143,ccc[city],ccc[ctry],"-"),"-")</f>
        <v/>
      </c>
      <c r="M1143" s="1395">
        <f>IF(raw[[#This Row],[city]]&lt;&gt;"",_xlfn.XLOOKUP($D1143,ccc[city],ccc[cont],"-"),"-")</f>
        <v/>
      </c>
      <c r="N1143" s="1396">
        <f>IF(raw[[#This Row],[city]]="","-",IF(raw[[#This Row],[cont]]="B",raw[[#This Row],[cont]],"W"))</f>
        <v/>
      </c>
      <c r="O1143" s="1397">
        <f>IF(raw[[#This Row],[out]]=0,0,IF(raw[[#This Row],[out]]=raw[[#This Row],[in]],0.01,raw[[#This Row],[out]]-raw[[#This Row],[in]]))</f>
        <v/>
      </c>
      <c r="P1143" s="1397">
        <f>IF(raw[[#This Row],[in]]=0,0,MONTH(raw[[#This Row],[in]]))</f>
        <v/>
      </c>
      <c r="Q1143" s="1397">
        <f>IF(raw[[#This Row],[in]]=0,0,YEAR(raw[[#This Row],[in]]))</f>
        <v/>
      </c>
      <c r="R1143" s="1397">
        <f>INT(raw[[#This Row],[yr]]/10)*10</f>
        <v/>
      </c>
      <c r="S1143" s="1395">
        <f>IF(raw[[#This Row],[city]]="","-",IF(raw[[#This Row],[city]]&lt;&gt;_xlfn.XLOOKUP(raw[[#This Row],[home]],homes[home],homes[city],"-"),1,0))</f>
        <v/>
      </c>
      <c r="T1143" s="1398" t="inlineStr">
        <is>
          <t>.</t>
        </is>
      </c>
      <c r="U1143" s="1399">
        <f>IF(raw[[#This Row],[wb]]="w",raw[[#This Row],[stay]]+U1142,U1142)</f>
        <v/>
      </c>
      <c r="V1143" s="1400">
        <f>IF(raw[[#This Row],[out]]=0,V1142,(raw[[#This Row],[out]]-E$5))</f>
        <v/>
      </c>
      <c r="W1143" s="1401">
        <f>U1143/V1143</f>
        <v/>
      </c>
      <c r="X1143" s="1392" t="n"/>
      <c r="Y1143" s="1392" t="n"/>
      <c r="Z1143" s="1392" t="n"/>
      <c r="AA1143" s="1392" t="n"/>
      <c r="AB1143" s="1392" t="n"/>
      <c r="AC1143" s="1392" t="n"/>
      <c r="AD1143" s="1392" t="n"/>
      <c r="AE1143" s="1392" t="n"/>
      <c r="AF1143" s="1392" t="n"/>
      <c r="AG1143" s="1392" t="n"/>
      <c r="AH1143" s="1392" t="n"/>
      <c r="AI1143" s="1392" t="n"/>
      <c r="AJ1143" s="1392" t="n"/>
      <c r="AK1143" s="1392" t="n"/>
      <c r="AL1143" s="1392" t="n"/>
      <c r="AM1143" s="1392" t="n"/>
      <c r="AN1143" s="1392" t="n"/>
      <c r="AO1143" s="1392" t="n"/>
      <c r="AP1143" s="1392" t="n"/>
      <c r="AQ1143" s="1392" t="n"/>
      <c r="AR1143" s="1422" t="n"/>
      <c r="AS1143" s="1422" t="n"/>
      <c r="AT1143" s="1392" t="n"/>
      <c r="AU1143" s="1392" t="n"/>
      <c r="AV1143" s="1392" t="n"/>
      <c r="AW1143" s="1392" t="n"/>
      <c r="AX1143" s="1392" t="n"/>
      <c r="AY1143" s="1392" t="n"/>
      <c r="AZ1143" s="1392" t="n"/>
      <c r="BA1143" s="1422" t="n"/>
      <c r="BB1143" s="1422" t="n"/>
      <c r="BC1143" s="1392" t="n"/>
      <c r="BD1143" s="1392" t="n"/>
      <c r="BE1143" s="1392" t="n"/>
      <c r="BF1143" s="1392" t="n"/>
      <c r="BG1143" s="1392" t="n"/>
      <c r="BH1143" s="1392" t="n"/>
      <c r="BI1143" s="1392" t="n"/>
      <c r="BJ1143" s="1392" t="n"/>
      <c r="BK1143" s="1392" t="n"/>
      <c r="BL1143" s="1392" t="n"/>
      <c r="BM1143" s="1392" t="n"/>
      <c r="BN1143" s="1392" t="n"/>
      <c r="BO1143" s="1392" t="n"/>
      <c r="BP1143" s="1392" t="n"/>
      <c r="BQ1143" s="1392" t="n"/>
      <c r="BR1143" s="1392" t="n"/>
      <c r="BS1143" s="1392" t="n"/>
      <c r="BT1143" s="1392" t="n"/>
      <c r="BU1143" s="1392" t="n"/>
      <c r="BV1143" s="1392" t="n"/>
      <c r="BW1143" s="1392" t="n"/>
      <c r="BX1143" s="1392" t="n"/>
      <c r="BY1143" s="1392" t="n"/>
      <c r="BZ1143" s="1392" t="n"/>
      <c r="CA1143" s="1392" t="n"/>
      <c r="CB1143" s="1392" t="n"/>
      <c r="CC1143" s="1392" t="n"/>
      <c r="CD1143" s="1392" t="n"/>
      <c r="CE1143" s="1392" t="n"/>
      <c r="CF1143" s="1392" t="n"/>
      <c r="CG1143" s="1392" t="n"/>
      <c r="CH1143" s="1392" t="n"/>
      <c r="CI1143" s="1392" t="n"/>
      <c r="CJ1143" s="1392" t="n"/>
      <c r="CK1143" s="1392" t="n"/>
      <c r="CL1143" s="1392" t="n"/>
    </row>
    <row r="1144">
      <c r="A1144" s="5" t="inlineStr">
        <is>
          <t>.</t>
        </is>
      </c>
      <c r="B1144" s="5" t="inlineStr">
        <is>
          <t>.</t>
        </is>
      </c>
      <c r="C1144" s="1378">
        <f>IF(raw[[#This Row],[city]]="","-",IF(raw[[#This Row],[city]]="TODAY","-",C1143+1))</f>
        <v/>
      </c>
      <c r="D1144" s="1393" t="inlineStr">
        <is>
          <t>London</t>
        </is>
      </c>
      <c r="E1144" s="1394" t="n">
        <v>39979</v>
      </c>
      <c r="F1144" s="1394" t="n">
        <v>39995</v>
      </c>
      <c r="G1144" s="1393" t="inlineStr">
        <is>
          <t>-</t>
        </is>
      </c>
      <c r="H1144" s="1393" t="inlineStr">
        <is>
          <t>North Gower</t>
        </is>
      </c>
      <c r="I1144" s="1393" t="inlineStr">
        <is>
          <t>-</t>
        </is>
      </c>
      <c r="J1144" s="1393" t="inlineStr">
        <is>
          <t>-</t>
        </is>
      </c>
      <c r="K1144" s="1395">
        <f>IF(raw[[#This Row],[city]]&lt;&gt;"",_xlfn.XLOOKUP($D1144,ccc[city],ccc[prov],"-"),"-")</f>
        <v/>
      </c>
      <c r="L1144" s="1395">
        <f>IF(raw[[#This Row],[city]]&lt;&gt;"",_xlfn.XLOOKUP($D1144,ccc[city],ccc[ctry],"-"),"-")</f>
        <v/>
      </c>
      <c r="M1144" s="1395">
        <f>IF(raw[[#This Row],[city]]&lt;&gt;"",_xlfn.XLOOKUP($D1144,ccc[city],ccc[cont],"-"),"-")</f>
        <v/>
      </c>
      <c r="N1144" s="1396">
        <f>IF(raw[[#This Row],[city]]="","-",IF(raw[[#This Row],[cont]]="B",raw[[#This Row],[cont]],"W"))</f>
        <v/>
      </c>
      <c r="O1144" s="1397">
        <f>IF(raw[[#This Row],[out]]=0,0,IF(raw[[#This Row],[out]]=raw[[#This Row],[in]],0.01,raw[[#This Row],[out]]-raw[[#This Row],[in]]))</f>
        <v/>
      </c>
      <c r="P1144" s="1397">
        <f>IF(raw[[#This Row],[in]]=0,0,MONTH(raw[[#This Row],[in]]))</f>
        <v/>
      </c>
      <c r="Q1144" s="1397">
        <f>IF(raw[[#This Row],[in]]=0,0,YEAR(raw[[#This Row],[in]]))</f>
        <v/>
      </c>
      <c r="R1144" s="1397">
        <f>INT(raw[[#This Row],[yr]]/10)*10</f>
        <v/>
      </c>
      <c r="S1144" s="1395">
        <f>IF(raw[[#This Row],[city]]="","-",IF(raw[[#This Row],[city]]&lt;&gt;_xlfn.XLOOKUP(raw[[#This Row],[home]],homes[home],homes[city],"-"),1,0))</f>
        <v/>
      </c>
      <c r="T1144" s="1398" t="inlineStr">
        <is>
          <t>.</t>
        </is>
      </c>
      <c r="U1144" s="1399">
        <f>IF(raw[[#This Row],[wb]]="w",raw[[#This Row],[stay]]+U1143,U1143)</f>
        <v/>
      </c>
      <c r="V1144" s="1400">
        <f>IF(raw[[#This Row],[out]]=0,V1143,(raw[[#This Row],[out]]-E$5))</f>
        <v/>
      </c>
      <c r="W1144" s="1401">
        <f>U1144/V1144</f>
        <v/>
      </c>
      <c r="X1144" s="1392" t="n"/>
      <c r="Y1144" s="1392" t="n"/>
      <c r="Z1144" s="1392" t="n"/>
      <c r="AA1144" s="1392" t="n"/>
      <c r="AB1144" s="1392" t="n"/>
      <c r="AC1144" s="1392" t="n"/>
      <c r="AD1144" s="1392" t="n"/>
      <c r="AE1144" s="1392" t="n"/>
      <c r="AF1144" s="1392" t="n"/>
      <c r="AG1144" s="1392" t="n"/>
      <c r="AH1144" s="1392" t="n"/>
      <c r="AI1144" s="1392" t="n"/>
      <c r="AJ1144" s="1392" t="n"/>
      <c r="AK1144" s="1392" t="n"/>
      <c r="AL1144" s="1392" t="n"/>
      <c r="AM1144" s="1392" t="n"/>
      <c r="AN1144" s="1392" t="n"/>
      <c r="AO1144" s="1392" t="n"/>
      <c r="AP1144" s="1392" t="n"/>
      <c r="AQ1144" s="1392" t="n"/>
      <c r="AR1144" s="1422" t="n"/>
      <c r="AS1144" s="1422" t="n"/>
      <c r="AT1144" s="1392" t="n"/>
      <c r="AU1144" s="1392" t="n"/>
      <c r="AV1144" s="1392" t="n"/>
      <c r="AW1144" s="1392" t="n"/>
      <c r="AX1144" s="1392" t="n"/>
      <c r="AY1144" s="1392" t="n"/>
      <c r="AZ1144" s="1392" t="n"/>
      <c r="BA1144" s="1422" t="n"/>
      <c r="BB1144" s="1422" t="n"/>
      <c r="BC1144" s="1392" t="n"/>
      <c r="BD1144" s="1392" t="n"/>
      <c r="BE1144" s="1392" t="n"/>
      <c r="BF1144" s="1392" t="n"/>
      <c r="BG1144" s="1392" t="n"/>
      <c r="BH1144" s="1392" t="n"/>
      <c r="BI1144" s="1392" t="n"/>
      <c r="BJ1144" s="1392" t="n"/>
      <c r="BK1144" s="1392" t="n"/>
      <c r="BL1144" s="1392" t="n"/>
      <c r="BM1144" s="1392" t="n"/>
      <c r="BN1144" s="1392" t="n"/>
      <c r="BO1144" s="1392" t="n"/>
      <c r="BP1144" s="1392" t="n"/>
      <c r="BQ1144" s="1392" t="n"/>
      <c r="BR1144" s="1392" t="n"/>
      <c r="BS1144" s="1392" t="n"/>
      <c r="BT1144" s="1392" t="n"/>
      <c r="BU1144" s="1392" t="n"/>
      <c r="BV1144" s="1392" t="n"/>
      <c r="BW1144" s="1392" t="n"/>
      <c r="BX1144" s="1392" t="n"/>
      <c r="BY1144" s="1392" t="n"/>
      <c r="BZ1144" s="1392" t="n"/>
      <c r="CA1144" s="1392" t="n"/>
      <c r="CB1144" s="1392" t="n"/>
      <c r="CC1144" s="1392" t="n"/>
      <c r="CD1144" s="1392" t="n"/>
      <c r="CE1144" s="1392" t="n"/>
      <c r="CF1144" s="1392" t="n"/>
      <c r="CG1144" s="1392" t="n"/>
      <c r="CH1144" s="1392" t="n"/>
      <c r="CI1144" s="1392" t="n"/>
      <c r="CJ1144" s="1392" t="n"/>
      <c r="CK1144" s="1392" t="n"/>
      <c r="CL1144" s="1392" t="n"/>
    </row>
    <row r="1145">
      <c r="A1145" s="5" t="inlineStr">
        <is>
          <t>.</t>
        </is>
      </c>
      <c r="B1145" s="5" t="inlineStr">
        <is>
          <t>.</t>
        </is>
      </c>
      <c r="C1145" s="1378">
        <f>IF(raw[[#This Row],[city]]="","-",IF(raw[[#This Row],[city]]="TODAY","-",C1144+1))</f>
        <v/>
      </c>
      <c r="D1145" s="1393" t="inlineStr">
        <is>
          <t>London</t>
        </is>
      </c>
      <c r="E1145" s="1394" t="n">
        <v>39995</v>
      </c>
      <c r="F1145" s="1394" t="n">
        <v>40026</v>
      </c>
      <c r="G1145" s="1393" t="inlineStr">
        <is>
          <t>-</t>
        </is>
      </c>
      <c r="H1145" s="1393" t="inlineStr">
        <is>
          <t>North Gower</t>
        </is>
      </c>
      <c r="I1145" s="1393" t="inlineStr">
        <is>
          <t>-</t>
        </is>
      </c>
      <c r="J1145" s="1393" t="inlineStr">
        <is>
          <t>-</t>
        </is>
      </c>
      <c r="K1145" s="1395">
        <f>IF(raw[[#This Row],[city]]&lt;&gt;"",_xlfn.XLOOKUP($D1145,ccc[city],ccc[prov],"-"),"-")</f>
        <v/>
      </c>
      <c r="L1145" s="1395">
        <f>IF(raw[[#This Row],[city]]&lt;&gt;"",_xlfn.XLOOKUP($D1145,ccc[city],ccc[ctry],"-"),"-")</f>
        <v/>
      </c>
      <c r="M1145" s="1395">
        <f>IF(raw[[#This Row],[city]]&lt;&gt;"",_xlfn.XLOOKUP($D1145,ccc[city],ccc[cont],"-"),"-")</f>
        <v/>
      </c>
      <c r="N1145" s="1396">
        <f>IF(raw[[#This Row],[city]]="","-",IF(raw[[#This Row],[cont]]="B",raw[[#This Row],[cont]],"W"))</f>
        <v/>
      </c>
      <c r="O1145" s="1397">
        <f>IF(raw[[#This Row],[out]]=0,0,IF(raw[[#This Row],[out]]=raw[[#This Row],[in]],0.01,raw[[#This Row],[out]]-raw[[#This Row],[in]]))</f>
        <v/>
      </c>
      <c r="P1145" s="1397">
        <f>IF(raw[[#This Row],[in]]=0,0,MONTH(raw[[#This Row],[in]]))</f>
        <v/>
      </c>
      <c r="Q1145" s="1397">
        <f>IF(raw[[#This Row],[in]]=0,0,YEAR(raw[[#This Row],[in]]))</f>
        <v/>
      </c>
      <c r="R1145" s="1397">
        <f>INT(raw[[#This Row],[yr]]/10)*10</f>
        <v/>
      </c>
      <c r="S1145" s="1395">
        <f>IF(raw[[#This Row],[city]]="","-",IF(raw[[#This Row],[city]]&lt;&gt;_xlfn.XLOOKUP(raw[[#This Row],[home]],homes[home],homes[city],"-"),1,0))</f>
        <v/>
      </c>
      <c r="T1145" s="1398" t="inlineStr">
        <is>
          <t>.</t>
        </is>
      </c>
      <c r="U1145" s="1399">
        <f>IF(raw[[#This Row],[wb]]="w",raw[[#This Row],[stay]]+U1144,U1144)</f>
        <v/>
      </c>
      <c r="V1145" s="1400">
        <f>IF(raw[[#This Row],[out]]=0,V1144,(raw[[#This Row],[out]]-E$5))</f>
        <v/>
      </c>
      <c r="W1145" s="1401">
        <f>U1145/V1145</f>
        <v/>
      </c>
      <c r="X1145" s="1392" t="n"/>
      <c r="Y1145" s="1392" t="n"/>
      <c r="Z1145" s="1392" t="n"/>
      <c r="AA1145" s="1392" t="n"/>
      <c r="AB1145" s="1392" t="n"/>
      <c r="AC1145" s="1392" t="n"/>
      <c r="AD1145" s="1392" t="n"/>
      <c r="AE1145" s="1392" t="n"/>
      <c r="AF1145" s="1392" t="n"/>
      <c r="AG1145" s="1392" t="n"/>
      <c r="AH1145" s="1392" t="n"/>
      <c r="AI1145" s="1392" t="n"/>
      <c r="AJ1145" s="1392" t="n"/>
      <c r="AK1145" s="1392" t="n"/>
      <c r="AL1145" s="1392" t="n"/>
      <c r="AM1145" s="1392" t="n"/>
      <c r="AN1145" s="1392" t="n"/>
      <c r="AO1145" s="1392" t="n"/>
      <c r="AP1145" s="1392" t="n"/>
      <c r="AQ1145" s="1392" t="n"/>
      <c r="AR1145" s="1422" t="n"/>
      <c r="AS1145" s="1422" t="n"/>
      <c r="AT1145" s="1392" t="n"/>
      <c r="AU1145" s="1392" t="n"/>
      <c r="AV1145" s="1392" t="n"/>
      <c r="AW1145" s="1392" t="n"/>
      <c r="AX1145" s="1392" t="n"/>
      <c r="AY1145" s="1392" t="n"/>
      <c r="AZ1145" s="1392" t="n"/>
      <c r="BA1145" s="1422" t="n"/>
      <c r="BB1145" s="1422" t="n"/>
      <c r="BC1145" s="1392" t="n"/>
      <c r="BD1145" s="1392" t="n"/>
      <c r="BE1145" s="1392" t="n"/>
      <c r="BF1145" s="1392" t="n"/>
      <c r="BG1145" s="1392" t="n"/>
      <c r="BH1145" s="1392" t="n"/>
      <c r="BI1145" s="1392" t="n"/>
      <c r="BJ1145" s="1392" t="n"/>
      <c r="BK1145" s="1392" t="n"/>
      <c r="BL1145" s="1392" t="n"/>
      <c r="BM1145" s="1392" t="n"/>
      <c r="BN1145" s="1392" t="n"/>
      <c r="BO1145" s="1392" t="n"/>
      <c r="BP1145" s="1392" t="n"/>
      <c r="BQ1145" s="1392" t="n"/>
      <c r="BR1145" s="1392" t="n"/>
      <c r="BS1145" s="1392" t="n"/>
      <c r="BT1145" s="1392" t="n"/>
      <c r="BU1145" s="1392" t="n"/>
      <c r="BV1145" s="1392" t="n"/>
      <c r="BW1145" s="1392" t="n"/>
      <c r="BX1145" s="1392" t="n"/>
      <c r="BY1145" s="1392" t="n"/>
      <c r="BZ1145" s="1392" t="n"/>
      <c r="CA1145" s="1392" t="n"/>
      <c r="CB1145" s="1392" t="n"/>
      <c r="CC1145" s="1392" t="n"/>
      <c r="CD1145" s="1392" t="n"/>
      <c r="CE1145" s="1392" t="n"/>
      <c r="CF1145" s="1392" t="n"/>
      <c r="CG1145" s="1392" t="n"/>
      <c r="CH1145" s="1392" t="n"/>
      <c r="CI1145" s="1392" t="n"/>
      <c r="CJ1145" s="1392" t="n"/>
      <c r="CK1145" s="1392" t="n"/>
      <c r="CL1145" s="1392" t="n"/>
    </row>
    <row r="1146">
      <c r="A1146" s="5" t="inlineStr">
        <is>
          <t>.</t>
        </is>
      </c>
      <c r="B1146" s="5" t="inlineStr">
        <is>
          <t>.</t>
        </is>
      </c>
      <c r="C1146" s="1378">
        <f>IF(raw[[#This Row],[city]]="","-",IF(raw[[#This Row],[city]]="TODAY","-",C1145+1))</f>
        <v/>
      </c>
      <c r="D1146" s="1393" t="inlineStr">
        <is>
          <t>London</t>
        </is>
      </c>
      <c r="E1146" s="1394" t="n">
        <v>40026</v>
      </c>
      <c r="F1146" s="1394" t="n">
        <v>40057</v>
      </c>
      <c r="G1146" s="1393" t="inlineStr">
        <is>
          <t>-</t>
        </is>
      </c>
      <c r="H1146" s="1393" t="inlineStr">
        <is>
          <t>North Gower</t>
        </is>
      </c>
      <c r="I1146" s="1393" t="inlineStr">
        <is>
          <t>-</t>
        </is>
      </c>
      <c r="J1146" s="1393" t="inlineStr">
        <is>
          <t>BDAY</t>
        </is>
      </c>
      <c r="K1146" s="1395">
        <f>IF(raw[[#This Row],[city]]&lt;&gt;"",_xlfn.XLOOKUP($D1146,ccc[city],ccc[prov],"-"),"-")</f>
        <v/>
      </c>
      <c r="L1146" s="1395">
        <f>IF(raw[[#This Row],[city]]&lt;&gt;"",_xlfn.XLOOKUP($D1146,ccc[city],ccc[ctry],"-"),"-")</f>
        <v/>
      </c>
      <c r="M1146" s="1395">
        <f>IF(raw[[#This Row],[city]]&lt;&gt;"",_xlfn.XLOOKUP($D1146,ccc[city],ccc[cont],"-"),"-")</f>
        <v/>
      </c>
      <c r="N1146" s="1396">
        <f>IF(raw[[#This Row],[city]]="","-",IF(raw[[#This Row],[cont]]="B",raw[[#This Row],[cont]],"W"))</f>
        <v/>
      </c>
      <c r="O1146" s="1397">
        <f>IF(raw[[#This Row],[out]]=0,0,IF(raw[[#This Row],[out]]=raw[[#This Row],[in]],0.01,raw[[#This Row],[out]]-raw[[#This Row],[in]]))</f>
        <v/>
      </c>
      <c r="P1146" s="1397">
        <f>IF(raw[[#This Row],[in]]=0,0,MONTH(raw[[#This Row],[in]]))</f>
        <v/>
      </c>
      <c r="Q1146" s="1397">
        <f>IF(raw[[#This Row],[in]]=0,0,YEAR(raw[[#This Row],[in]]))</f>
        <v/>
      </c>
      <c r="R1146" s="1397">
        <f>INT(raw[[#This Row],[yr]]/10)*10</f>
        <v/>
      </c>
      <c r="S1146" s="1395">
        <f>IF(raw[[#This Row],[city]]="","-",IF(raw[[#This Row],[city]]&lt;&gt;_xlfn.XLOOKUP(raw[[#This Row],[home]],homes[home],homes[city],"-"),1,0))</f>
        <v/>
      </c>
      <c r="T1146" s="1398" t="inlineStr">
        <is>
          <t>.</t>
        </is>
      </c>
      <c r="U1146" s="1399">
        <f>IF(raw[[#This Row],[wb]]="w",raw[[#This Row],[stay]]+U1145,U1145)</f>
        <v/>
      </c>
      <c r="V1146" s="1400">
        <f>IF(raw[[#This Row],[out]]=0,V1145,(raw[[#This Row],[out]]-E$5))</f>
        <v/>
      </c>
      <c r="W1146" s="1401">
        <f>U1146/V1146</f>
        <v/>
      </c>
      <c r="X1146" s="1392" t="n"/>
      <c r="Y1146" s="1392" t="n"/>
      <c r="Z1146" s="1392" t="n"/>
      <c r="AA1146" s="1392" t="n"/>
      <c r="AB1146" s="1392" t="n"/>
      <c r="AC1146" s="1392" t="n"/>
      <c r="AD1146" s="1392" t="n"/>
      <c r="AE1146" s="1392" t="n"/>
      <c r="AF1146" s="1392" t="n"/>
      <c r="AG1146" s="1392" t="n"/>
      <c r="AH1146" s="1392" t="n"/>
      <c r="AI1146" s="1392" t="n"/>
      <c r="AJ1146" s="1392" t="n"/>
      <c r="AK1146" s="1392" t="n"/>
      <c r="AL1146" s="1392" t="n"/>
      <c r="AM1146" s="1392" t="n"/>
      <c r="AN1146" s="1392" t="n"/>
      <c r="AO1146" s="1392" t="n"/>
      <c r="AP1146" s="1392" t="n"/>
      <c r="AQ1146" s="1392" t="n"/>
      <c r="AR1146" s="1422" t="n"/>
      <c r="AS1146" s="1422" t="n"/>
      <c r="AT1146" s="1392" t="n"/>
      <c r="AU1146" s="1392" t="n"/>
      <c r="AV1146" s="1392" t="n"/>
      <c r="AW1146" s="1392" t="n"/>
      <c r="AX1146" s="1392" t="n"/>
      <c r="AY1146" s="1392" t="n"/>
      <c r="AZ1146" s="1392" t="n"/>
      <c r="BA1146" s="1422" t="n"/>
      <c r="BB1146" s="1422" t="n"/>
      <c r="BC1146" s="1392" t="n"/>
      <c r="BD1146" s="1392" t="n"/>
      <c r="BE1146" s="1392" t="n"/>
      <c r="BF1146" s="1392" t="n"/>
      <c r="BG1146" s="1392" t="n"/>
      <c r="BH1146" s="1392" t="n"/>
      <c r="BI1146" s="1392" t="n"/>
      <c r="BJ1146" s="1392" t="n"/>
      <c r="BK1146" s="1392" t="n"/>
      <c r="BL1146" s="1392" t="n"/>
      <c r="BM1146" s="1392" t="n"/>
      <c r="BN1146" s="1392" t="n"/>
      <c r="BO1146" s="1392" t="n"/>
      <c r="BP1146" s="1392" t="n"/>
      <c r="BQ1146" s="1392" t="n"/>
      <c r="BR1146" s="1392" t="n"/>
      <c r="BS1146" s="1392" t="n"/>
      <c r="BT1146" s="1392" t="n"/>
      <c r="BU1146" s="1392" t="n"/>
      <c r="BV1146" s="1392" t="n"/>
      <c r="BW1146" s="1392" t="n"/>
      <c r="BX1146" s="1392" t="n"/>
      <c r="BY1146" s="1392" t="n"/>
      <c r="BZ1146" s="1392" t="n"/>
      <c r="CA1146" s="1392" t="n"/>
      <c r="CB1146" s="1392" t="n"/>
      <c r="CC1146" s="1392" t="n"/>
      <c r="CD1146" s="1392" t="n"/>
      <c r="CE1146" s="1392" t="n"/>
      <c r="CF1146" s="1392" t="n"/>
      <c r="CG1146" s="1392" t="n"/>
      <c r="CH1146" s="1392" t="n"/>
      <c r="CI1146" s="1392" t="n"/>
      <c r="CJ1146" s="1392" t="n"/>
      <c r="CK1146" s="1392" t="n"/>
      <c r="CL1146" s="1392" t="n"/>
    </row>
    <row r="1147">
      <c r="A1147" s="5" t="inlineStr">
        <is>
          <t>.</t>
        </is>
      </c>
      <c r="B1147" s="5" t="inlineStr">
        <is>
          <t>.</t>
        </is>
      </c>
      <c r="C1147" s="1378">
        <f>IF(raw[[#This Row],[city]]="","-",IF(raw[[#This Row],[city]]="TODAY","-",C1146+1))</f>
        <v/>
      </c>
      <c r="D1147" s="1393" t="inlineStr">
        <is>
          <t>London</t>
        </is>
      </c>
      <c r="E1147" s="1394" t="n">
        <v>40057</v>
      </c>
      <c r="F1147" s="1394" t="n">
        <v>40060</v>
      </c>
      <c r="G1147" s="1393" t="n">
        <v>1</v>
      </c>
      <c r="H1147" s="1393" t="inlineStr">
        <is>
          <t>North Gower</t>
        </is>
      </c>
      <c r="I1147" s="1393" t="inlineStr">
        <is>
          <t>-</t>
        </is>
      </c>
      <c r="J1147" s="1393" t="inlineStr">
        <is>
          <t>-</t>
        </is>
      </c>
      <c r="K1147" s="1395">
        <f>IF(raw[[#This Row],[city]]&lt;&gt;"",_xlfn.XLOOKUP($D1147,ccc[city],ccc[prov],"-"),"-")</f>
        <v/>
      </c>
      <c r="L1147" s="1395">
        <f>IF(raw[[#This Row],[city]]&lt;&gt;"",_xlfn.XLOOKUP($D1147,ccc[city],ccc[ctry],"-"),"-")</f>
        <v/>
      </c>
      <c r="M1147" s="1395">
        <f>IF(raw[[#This Row],[city]]&lt;&gt;"",_xlfn.XLOOKUP($D1147,ccc[city],ccc[cont],"-"),"-")</f>
        <v/>
      </c>
      <c r="N1147" s="1396">
        <f>IF(raw[[#This Row],[city]]="","-",IF(raw[[#This Row],[cont]]="B",raw[[#This Row],[cont]],"W"))</f>
        <v/>
      </c>
      <c r="O1147" s="1397">
        <f>IF(raw[[#This Row],[out]]=0,0,IF(raw[[#This Row],[out]]=raw[[#This Row],[in]],0.01,raw[[#This Row],[out]]-raw[[#This Row],[in]]))</f>
        <v/>
      </c>
      <c r="P1147" s="1397">
        <f>IF(raw[[#This Row],[in]]=0,0,MONTH(raw[[#This Row],[in]]))</f>
        <v/>
      </c>
      <c r="Q1147" s="1397">
        <f>IF(raw[[#This Row],[in]]=0,0,YEAR(raw[[#This Row],[in]]))</f>
        <v/>
      </c>
      <c r="R1147" s="1397">
        <f>INT(raw[[#This Row],[yr]]/10)*10</f>
        <v/>
      </c>
      <c r="S1147" s="1395">
        <f>IF(raw[[#This Row],[city]]="","-",IF(raw[[#This Row],[city]]&lt;&gt;_xlfn.XLOOKUP(raw[[#This Row],[home]],homes[home],homes[city],"-"),1,0))</f>
        <v/>
      </c>
      <c r="T1147" s="1398" t="inlineStr">
        <is>
          <t>.</t>
        </is>
      </c>
      <c r="U1147" s="1399">
        <f>IF(raw[[#This Row],[wb]]="w",raw[[#This Row],[stay]]+U1146,U1146)</f>
        <v/>
      </c>
      <c r="V1147" s="1400">
        <f>IF(raw[[#This Row],[out]]=0,V1146,(raw[[#This Row],[out]]-E$5))</f>
        <v/>
      </c>
      <c r="W1147" s="1401">
        <f>U1147/V1147</f>
        <v/>
      </c>
      <c r="X1147" s="1392" t="n"/>
      <c r="Y1147" s="1392" t="n"/>
      <c r="Z1147" s="1392" t="n"/>
      <c r="AA1147" s="1392" t="n"/>
      <c r="AB1147" s="1392" t="n"/>
      <c r="AC1147" s="1392" t="n"/>
      <c r="AD1147" s="1392" t="n"/>
      <c r="AE1147" s="1392" t="n"/>
      <c r="AF1147" s="1392" t="n"/>
      <c r="AG1147" s="1392" t="n"/>
      <c r="AH1147" s="1392" t="n"/>
      <c r="AI1147" s="1392" t="n"/>
      <c r="AJ1147" s="1392" t="n"/>
      <c r="AK1147" s="1392" t="n"/>
      <c r="AL1147" s="1392" t="n"/>
      <c r="AM1147" s="1392" t="n"/>
      <c r="AN1147" s="1392" t="n"/>
      <c r="AO1147" s="1392" t="n"/>
      <c r="AP1147" s="1392" t="n"/>
      <c r="AQ1147" s="1392" t="n"/>
      <c r="AR1147" s="1422" t="n"/>
      <c r="AS1147" s="1422" t="n"/>
      <c r="AT1147" s="1392" t="n"/>
      <c r="AU1147" s="1392" t="n"/>
      <c r="AV1147" s="1392" t="n"/>
      <c r="AW1147" s="1392" t="n"/>
      <c r="AX1147" s="1392" t="n"/>
      <c r="AY1147" s="1392" t="n"/>
      <c r="AZ1147" s="1392" t="n"/>
      <c r="BA1147" s="1422" t="n"/>
      <c r="BB1147" s="1422" t="n"/>
      <c r="BC1147" s="1392" t="n"/>
      <c r="BD1147" s="1392" t="n"/>
      <c r="BE1147" s="1392" t="n"/>
      <c r="BF1147" s="1392" t="n"/>
      <c r="BG1147" s="1392" t="n"/>
      <c r="BH1147" s="1392" t="n"/>
      <c r="BI1147" s="1392" t="n"/>
      <c r="BJ1147" s="1392" t="n"/>
      <c r="BK1147" s="1392" t="n"/>
      <c r="BL1147" s="1392" t="n"/>
      <c r="BM1147" s="1392" t="n"/>
      <c r="BN1147" s="1392" t="n"/>
      <c r="BO1147" s="1392" t="n"/>
      <c r="BP1147" s="1392" t="n"/>
      <c r="BQ1147" s="1392" t="n"/>
      <c r="BR1147" s="1392" t="n"/>
      <c r="BS1147" s="1392" t="n"/>
      <c r="BT1147" s="1392" t="n"/>
      <c r="BU1147" s="1392" t="n"/>
      <c r="BV1147" s="1392" t="n"/>
      <c r="BW1147" s="1392" t="n"/>
      <c r="BX1147" s="1392" t="n"/>
      <c r="BY1147" s="1392" t="n"/>
      <c r="BZ1147" s="1392" t="n"/>
      <c r="CA1147" s="1392" t="n"/>
      <c r="CB1147" s="1392" t="n"/>
      <c r="CC1147" s="1392" t="n"/>
      <c r="CD1147" s="1392" t="n"/>
      <c r="CE1147" s="1392" t="n"/>
      <c r="CF1147" s="1392" t="n"/>
      <c r="CG1147" s="1392" t="n"/>
      <c r="CH1147" s="1392" t="n"/>
      <c r="CI1147" s="1392" t="n"/>
      <c r="CJ1147" s="1392" t="n"/>
      <c r="CK1147" s="1392" t="n"/>
      <c r="CL1147" s="1392" t="n"/>
    </row>
    <row r="1148">
      <c r="A1148" s="5" t="inlineStr">
        <is>
          <t>.</t>
        </is>
      </c>
      <c r="B1148" s="5" t="inlineStr">
        <is>
          <t>.</t>
        </is>
      </c>
      <c r="C1148" s="1378">
        <f>IF(raw[[#This Row],[city]]="","-",IF(raw[[#This Row],[city]]="TODAY","-",C1147+1))</f>
        <v/>
      </c>
      <c r="D1148" s="1393" t="inlineStr">
        <is>
          <t>Venice</t>
        </is>
      </c>
      <c r="E1148" s="1394" t="n">
        <v>40060</v>
      </c>
      <c r="F1148" s="1394" t="n">
        <v>40062</v>
      </c>
      <c r="G1148" s="1393" t="inlineStr">
        <is>
          <t>-</t>
        </is>
      </c>
      <c r="H1148" s="1393" t="inlineStr">
        <is>
          <t>North Gower</t>
        </is>
      </c>
      <c r="I1148" s="1393" t="inlineStr">
        <is>
          <t>Cruise/Nina</t>
        </is>
      </c>
      <c r="J1148" s="1393" t="inlineStr">
        <is>
          <t>-</t>
        </is>
      </c>
      <c r="K1148" s="1395">
        <f>IF(raw[[#This Row],[city]]&lt;&gt;"",_xlfn.XLOOKUP($D1148,ccc[city],ccc[prov],"-"),"-")</f>
        <v/>
      </c>
      <c r="L1148" s="1395">
        <f>IF(raw[[#This Row],[city]]&lt;&gt;"",_xlfn.XLOOKUP($D1148,ccc[city],ccc[ctry],"-"),"-")</f>
        <v/>
      </c>
      <c r="M1148" s="1395">
        <f>IF(raw[[#This Row],[city]]&lt;&gt;"",_xlfn.XLOOKUP($D1148,ccc[city],ccc[cont],"-"),"-")</f>
        <v/>
      </c>
      <c r="N1148" s="1396">
        <f>IF(raw[[#This Row],[city]]="","-",IF(raw[[#This Row],[cont]]="B",raw[[#This Row],[cont]],"W"))</f>
        <v/>
      </c>
      <c r="O1148" s="1397">
        <f>IF(raw[[#This Row],[out]]=0,0,IF(raw[[#This Row],[out]]=raw[[#This Row],[in]],0.01,raw[[#This Row],[out]]-raw[[#This Row],[in]]))</f>
        <v/>
      </c>
      <c r="P1148" s="1397">
        <f>IF(raw[[#This Row],[in]]=0,0,MONTH(raw[[#This Row],[in]]))</f>
        <v/>
      </c>
      <c r="Q1148" s="1397">
        <f>IF(raw[[#This Row],[in]]=0,0,YEAR(raw[[#This Row],[in]]))</f>
        <v/>
      </c>
      <c r="R1148" s="1397">
        <f>INT(raw[[#This Row],[yr]]/10)*10</f>
        <v/>
      </c>
      <c r="S1148" s="1395">
        <f>IF(raw[[#This Row],[city]]="","-",IF(raw[[#This Row],[city]]&lt;&gt;_xlfn.XLOOKUP(raw[[#This Row],[home]],homes[home],homes[city],"-"),1,0))</f>
        <v/>
      </c>
      <c r="T1148" s="1398" t="inlineStr">
        <is>
          <t>.</t>
        </is>
      </c>
      <c r="U1148" s="1399">
        <f>IF(raw[[#This Row],[wb]]="w",raw[[#This Row],[stay]]+U1147,U1147)</f>
        <v/>
      </c>
      <c r="V1148" s="1400">
        <f>IF(raw[[#This Row],[out]]=0,V1147,(raw[[#This Row],[out]]-E$5))</f>
        <v/>
      </c>
      <c r="W1148" s="1401">
        <f>U1148/V1148</f>
        <v/>
      </c>
      <c r="X1148" s="1392" t="n"/>
      <c r="Y1148" s="1392" t="n"/>
      <c r="Z1148" s="1392" t="n"/>
      <c r="AA1148" s="1392" t="n"/>
      <c r="AB1148" s="1392" t="n"/>
      <c r="AC1148" s="1392" t="n"/>
      <c r="AD1148" s="1392" t="n"/>
      <c r="AE1148" s="1392" t="n"/>
      <c r="AF1148" s="1392" t="n"/>
      <c r="AG1148" s="1392" t="n"/>
      <c r="AH1148" s="1392" t="n"/>
      <c r="AI1148" s="1392" t="n"/>
      <c r="AJ1148" s="1392" t="n"/>
      <c r="AK1148" s="1392" t="n"/>
      <c r="AL1148" s="1392" t="n"/>
      <c r="AM1148" s="1392" t="n"/>
      <c r="AN1148" s="1392" t="n"/>
      <c r="AO1148" s="1392" t="n"/>
      <c r="AP1148" s="1392" t="n"/>
      <c r="AQ1148" s="1392" t="n"/>
      <c r="AR1148" s="1422" t="n"/>
      <c r="AS1148" s="1422" t="n"/>
      <c r="AT1148" s="1392" t="n"/>
      <c r="AU1148" s="1392" t="n"/>
      <c r="AV1148" s="1392" t="n"/>
      <c r="AW1148" s="1392" t="n"/>
      <c r="AX1148" s="1392" t="n"/>
      <c r="AY1148" s="1392" t="n"/>
      <c r="AZ1148" s="1392" t="n"/>
      <c r="BA1148" s="1422" t="n"/>
      <c r="BB1148" s="1422" t="n"/>
      <c r="BC1148" s="1392" t="n"/>
      <c r="BD1148" s="1392" t="n"/>
      <c r="BE1148" s="1392" t="n"/>
      <c r="BF1148" s="1392" t="n"/>
      <c r="BG1148" s="1392" t="n"/>
      <c r="BH1148" s="1392" t="n"/>
      <c r="BI1148" s="1392" t="n"/>
      <c r="BJ1148" s="1392" t="n"/>
      <c r="BK1148" s="1392" t="n"/>
      <c r="BL1148" s="1392" t="n"/>
      <c r="BM1148" s="1392" t="n"/>
      <c r="BN1148" s="1392" t="n"/>
      <c r="BO1148" s="1392" t="n"/>
      <c r="BP1148" s="1392" t="n"/>
      <c r="BQ1148" s="1392" t="n"/>
      <c r="BR1148" s="1392" t="n"/>
      <c r="BS1148" s="1392" t="n"/>
      <c r="BT1148" s="1392" t="n"/>
      <c r="BU1148" s="1392" t="n"/>
      <c r="BV1148" s="1392" t="n"/>
      <c r="BW1148" s="1392" t="n"/>
      <c r="BX1148" s="1392" t="n"/>
      <c r="BY1148" s="1392" t="n"/>
      <c r="BZ1148" s="1392" t="n"/>
      <c r="CA1148" s="1392" t="n"/>
      <c r="CB1148" s="1392" t="n"/>
      <c r="CC1148" s="1392" t="n"/>
      <c r="CD1148" s="1392" t="n"/>
      <c r="CE1148" s="1392" t="n"/>
      <c r="CF1148" s="1392" t="n"/>
      <c r="CG1148" s="1392" t="n"/>
      <c r="CH1148" s="1392" t="n"/>
      <c r="CI1148" s="1392" t="n"/>
      <c r="CJ1148" s="1392" t="n"/>
      <c r="CK1148" s="1392" t="n"/>
      <c r="CL1148" s="1392" t="n"/>
    </row>
    <row r="1149">
      <c r="A1149" s="5" t="inlineStr">
        <is>
          <t>.</t>
        </is>
      </c>
      <c r="B1149" s="5" t="inlineStr">
        <is>
          <t>.</t>
        </is>
      </c>
      <c r="C1149" s="1378">
        <f>IF(raw[[#This Row],[city]]="","-",IF(raw[[#This Row],[city]]="TODAY","-",C1148+1))</f>
        <v/>
      </c>
      <c r="D1149" s="1393" t="inlineStr">
        <is>
          <t>SEA ITA</t>
        </is>
      </c>
      <c r="E1149" s="1394" t="n">
        <v>40062</v>
      </c>
      <c r="F1149" s="1394" t="n">
        <v>40064</v>
      </c>
      <c r="G1149" s="1393" t="inlineStr">
        <is>
          <t>-</t>
        </is>
      </c>
      <c r="H1149" s="1393" t="inlineStr">
        <is>
          <t>North Gower</t>
        </is>
      </c>
      <c r="I1149" s="1393" t="inlineStr">
        <is>
          <t>Cruise/Nina</t>
        </is>
      </c>
      <c r="J1149" s="1393" t="inlineStr">
        <is>
          <t>-</t>
        </is>
      </c>
      <c r="K1149" s="1395">
        <f>IF(raw[[#This Row],[city]]&lt;&gt;"",_xlfn.XLOOKUP($D1149,ccc[city],ccc[prov],"-"),"-")</f>
        <v/>
      </c>
      <c r="L1149" s="1395">
        <f>IF(raw[[#This Row],[city]]&lt;&gt;"",_xlfn.XLOOKUP($D1149,ccc[city],ccc[ctry],"-"),"-")</f>
        <v/>
      </c>
      <c r="M1149" s="1395">
        <f>IF(raw[[#This Row],[city]]&lt;&gt;"",_xlfn.XLOOKUP($D1149,ccc[city],ccc[cont],"-"),"-")</f>
        <v/>
      </c>
      <c r="N1149" s="1396">
        <f>IF(raw[[#This Row],[city]]="","-",IF(raw[[#This Row],[cont]]="B",raw[[#This Row],[cont]],"W"))</f>
        <v/>
      </c>
      <c r="O1149" s="1397">
        <f>IF(raw[[#This Row],[out]]=0,0,IF(raw[[#This Row],[out]]=raw[[#This Row],[in]],0.01,raw[[#This Row],[out]]-raw[[#This Row],[in]]))</f>
        <v/>
      </c>
      <c r="P1149" s="1397">
        <f>IF(raw[[#This Row],[in]]=0,0,MONTH(raw[[#This Row],[in]]))</f>
        <v/>
      </c>
      <c r="Q1149" s="1397">
        <f>IF(raw[[#This Row],[in]]=0,0,YEAR(raw[[#This Row],[in]]))</f>
        <v/>
      </c>
      <c r="R1149" s="1397">
        <f>INT(raw[[#This Row],[yr]]/10)*10</f>
        <v/>
      </c>
      <c r="S1149" s="1395">
        <f>IF(raw[[#This Row],[city]]="","-",IF(raw[[#This Row],[city]]&lt;&gt;_xlfn.XLOOKUP(raw[[#This Row],[home]],homes[home],homes[city],"-"),1,0))</f>
        <v/>
      </c>
      <c r="T1149" s="1398" t="inlineStr">
        <is>
          <t>.</t>
        </is>
      </c>
      <c r="U1149" s="1399">
        <f>IF(raw[[#This Row],[wb]]="w",raw[[#This Row],[stay]]+U1148,U1148)</f>
        <v/>
      </c>
      <c r="V1149" s="1400">
        <f>IF(raw[[#This Row],[out]]=0,V1148,(raw[[#This Row],[out]]-E$5))</f>
        <v/>
      </c>
      <c r="W1149" s="1401">
        <f>U1149/V1149</f>
        <v/>
      </c>
      <c r="X1149" s="1392" t="n"/>
      <c r="Y1149" s="1392" t="n"/>
      <c r="Z1149" s="1392" t="n"/>
      <c r="AA1149" s="1392" t="n"/>
      <c r="AB1149" s="1392" t="n"/>
      <c r="AC1149" s="1392" t="n"/>
      <c r="AD1149" s="1392" t="n"/>
      <c r="AE1149" s="1392" t="n"/>
      <c r="AF1149" s="1392" t="n"/>
      <c r="AG1149" s="1392" t="n"/>
      <c r="AH1149" s="1392" t="n"/>
      <c r="AI1149" s="1392" t="n"/>
      <c r="AJ1149" s="1392" t="n"/>
      <c r="AK1149" s="1392" t="n"/>
      <c r="AL1149" s="1392" t="n"/>
      <c r="AM1149" s="1392" t="n"/>
      <c r="AN1149" s="1392" t="n"/>
      <c r="AO1149" s="1392" t="n"/>
      <c r="AP1149" s="1392" t="n"/>
      <c r="AQ1149" s="1392" t="n"/>
      <c r="AR1149" s="1422" t="n"/>
      <c r="AS1149" s="1422" t="n"/>
      <c r="AT1149" s="1392" t="n"/>
      <c r="AU1149" s="1392" t="n"/>
      <c r="AV1149" s="1392" t="n"/>
      <c r="AW1149" s="1392" t="n"/>
      <c r="AX1149" s="1392" t="n"/>
      <c r="AY1149" s="1392" t="n"/>
      <c r="AZ1149" s="1392" t="n"/>
      <c r="BA1149" s="1422" t="n"/>
      <c r="BB1149" s="1422" t="n"/>
      <c r="BC1149" s="1392" t="n"/>
      <c r="BD1149" s="1392" t="n"/>
      <c r="BE1149" s="1392" t="n"/>
      <c r="BF1149" s="1392" t="n"/>
      <c r="BG1149" s="1392" t="n"/>
      <c r="BH1149" s="1392" t="n"/>
      <c r="BI1149" s="1392" t="n"/>
      <c r="BJ1149" s="1392" t="n"/>
      <c r="BK1149" s="1392" t="n"/>
      <c r="BL1149" s="1392" t="n"/>
      <c r="BM1149" s="1392" t="n"/>
      <c r="BN1149" s="1392" t="n"/>
      <c r="BO1149" s="1392" t="n"/>
      <c r="BP1149" s="1392" t="n"/>
      <c r="BQ1149" s="1392" t="n"/>
      <c r="BR1149" s="1392" t="n"/>
      <c r="BS1149" s="1392" t="n"/>
      <c r="BT1149" s="1392" t="n"/>
      <c r="BU1149" s="1392" t="n"/>
      <c r="BV1149" s="1392" t="n"/>
      <c r="BW1149" s="1392" t="n"/>
      <c r="BX1149" s="1392" t="n"/>
      <c r="BY1149" s="1392" t="n"/>
      <c r="BZ1149" s="1392" t="n"/>
      <c r="CA1149" s="1392" t="n"/>
      <c r="CB1149" s="1392" t="n"/>
      <c r="CC1149" s="1392" t="n"/>
      <c r="CD1149" s="1392" t="n"/>
      <c r="CE1149" s="1392" t="n"/>
      <c r="CF1149" s="1392" t="n"/>
      <c r="CG1149" s="1392" t="n"/>
      <c r="CH1149" s="1392" t="n"/>
      <c r="CI1149" s="1392" t="n"/>
      <c r="CJ1149" s="1392" t="n"/>
      <c r="CK1149" s="1392" t="n"/>
      <c r="CL1149" s="1392" t="n"/>
    </row>
    <row r="1150">
      <c r="A1150" s="5" t="inlineStr">
        <is>
          <t>.</t>
        </is>
      </c>
      <c r="B1150" s="5" t="inlineStr">
        <is>
          <t>.</t>
        </is>
      </c>
      <c r="C1150" s="1378">
        <f>IF(raw[[#This Row],[city]]="","-",IF(raw[[#This Row],[city]]="TODAY","-",C1149+1))</f>
        <v/>
      </c>
      <c r="D1150" s="1393" t="inlineStr">
        <is>
          <t>Bari</t>
        </is>
      </c>
      <c r="E1150" s="1394" t="n">
        <v>40064</v>
      </c>
      <c r="F1150" s="1394" t="n">
        <v>40064</v>
      </c>
      <c r="G1150" s="1393" t="inlineStr">
        <is>
          <t>-</t>
        </is>
      </c>
      <c r="H1150" s="1393" t="inlineStr">
        <is>
          <t>North Gower</t>
        </is>
      </c>
      <c r="I1150" s="1393" t="inlineStr">
        <is>
          <t>Cruise/Nina</t>
        </is>
      </c>
      <c r="J1150" s="1393" t="inlineStr">
        <is>
          <t>-</t>
        </is>
      </c>
      <c r="K1150" s="1395">
        <f>IF(raw[[#This Row],[city]]&lt;&gt;"",_xlfn.XLOOKUP($D1150,ccc[city],ccc[prov],"-"),"-")</f>
        <v/>
      </c>
      <c r="L1150" s="1395">
        <f>IF(raw[[#This Row],[city]]&lt;&gt;"",_xlfn.XLOOKUP($D1150,ccc[city],ccc[ctry],"-"),"-")</f>
        <v/>
      </c>
      <c r="M1150" s="1395">
        <f>IF(raw[[#This Row],[city]]&lt;&gt;"",_xlfn.XLOOKUP($D1150,ccc[city],ccc[cont],"-"),"-")</f>
        <v/>
      </c>
      <c r="N1150" s="1396">
        <f>IF(raw[[#This Row],[city]]="","-",IF(raw[[#This Row],[cont]]="B",raw[[#This Row],[cont]],"W"))</f>
        <v/>
      </c>
      <c r="O1150" s="1397">
        <f>IF(raw[[#This Row],[out]]=0,0,IF(raw[[#This Row],[out]]=raw[[#This Row],[in]],0.01,raw[[#This Row],[out]]-raw[[#This Row],[in]]))</f>
        <v/>
      </c>
      <c r="P1150" s="1397">
        <f>IF(raw[[#This Row],[in]]=0,0,MONTH(raw[[#This Row],[in]]))</f>
        <v/>
      </c>
      <c r="Q1150" s="1397">
        <f>IF(raw[[#This Row],[in]]=0,0,YEAR(raw[[#This Row],[in]]))</f>
        <v/>
      </c>
      <c r="R1150" s="1397">
        <f>INT(raw[[#This Row],[yr]]/10)*10</f>
        <v/>
      </c>
      <c r="S1150" s="1395">
        <f>IF(raw[[#This Row],[city]]="","-",IF(raw[[#This Row],[city]]&lt;&gt;_xlfn.XLOOKUP(raw[[#This Row],[home]],homes[home],homes[city],"-"),1,0))</f>
        <v/>
      </c>
      <c r="T1150" s="1398" t="inlineStr">
        <is>
          <t>.</t>
        </is>
      </c>
      <c r="U1150" s="1399">
        <f>IF(raw[[#This Row],[wb]]="w",raw[[#This Row],[stay]]+U1149,U1149)</f>
        <v/>
      </c>
      <c r="V1150" s="1400">
        <f>IF(raw[[#This Row],[out]]=0,V1149,(raw[[#This Row],[out]]-E$5))</f>
        <v/>
      </c>
      <c r="W1150" s="1401">
        <f>U1150/V1150</f>
        <v/>
      </c>
      <c r="X1150" s="1392" t="n"/>
      <c r="Y1150" s="1392" t="n"/>
      <c r="Z1150" s="1392" t="n"/>
      <c r="AA1150" s="1392" t="n"/>
      <c r="AB1150" s="1392" t="n"/>
      <c r="AC1150" s="1392" t="n"/>
      <c r="AD1150" s="1392" t="n"/>
      <c r="AE1150" s="1392" t="n"/>
      <c r="AF1150" s="1392" t="n"/>
      <c r="AG1150" s="1392" t="n"/>
      <c r="AH1150" s="1392" t="n"/>
      <c r="AI1150" s="1392" t="n"/>
      <c r="AJ1150" s="1392" t="n"/>
      <c r="AK1150" s="1392" t="n"/>
      <c r="AL1150" s="1392" t="n"/>
      <c r="AM1150" s="1392" t="n"/>
      <c r="AN1150" s="1392" t="n"/>
      <c r="AO1150" s="1392" t="n"/>
      <c r="AP1150" s="1392" t="n"/>
      <c r="AQ1150" s="1392" t="n"/>
      <c r="AR1150" s="1422" t="n"/>
      <c r="AS1150" s="1422" t="n"/>
      <c r="AT1150" s="1392" t="n"/>
      <c r="AU1150" s="1392" t="n"/>
      <c r="AV1150" s="1392" t="n"/>
      <c r="AW1150" s="1392" t="n"/>
      <c r="AX1150" s="1392" t="n"/>
      <c r="AY1150" s="1392" t="n"/>
      <c r="AZ1150" s="1392" t="n"/>
      <c r="BA1150" s="1422" t="n"/>
      <c r="BB1150" s="1422" t="n"/>
      <c r="BC1150" s="1392" t="n"/>
      <c r="BD1150" s="1392" t="n"/>
      <c r="BE1150" s="1392" t="n"/>
      <c r="BF1150" s="1392" t="n"/>
      <c r="BG1150" s="1392" t="n"/>
      <c r="BH1150" s="1392" t="n"/>
      <c r="BI1150" s="1392" t="n"/>
      <c r="BJ1150" s="1392" t="n"/>
      <c r="BK1150" s="1392" t="n"/>
      <c r="BL1150" s="1392" t="n"/>
      <c r="BM1150" s="1392" t="n"/>
      <c r="BN1150" s="1392" t="n"/>
      <c r="BO1150" s="1392" t="n"/>
      <c r="BP1150" s="1392" t="n"/>
      <c r="BQ1150" s="1392" t="n"/>
      <c r="BR1150" s="1392" t="n"/>
      <c r="BS1150" s="1392" t="n"/>
      <c r="BT1150" s="1392" t="n"/>
      <c r="BU1150" s="1392" t="n"/>
      <c r="BV1150" s="1392" t="n"/>
      <c r="BW1150" s="1392" t="n"/>
      <c r="BX1150" s="1392" t="n"/>
      <c r="BY1150" s="1392" t="n"/>
      <c r="BZ1150" s="1392" t="n"/>
      <c r="CA1150" s="1392" t="n"/>
      <c r="CB1150" s="1392" t="n"/>
      <c r="CC1150" s="1392" t="n"/>
      <c r="CD1150" s="1392" t="n"/>
      <c r="CE1150" s="1392" t="n"/>
      <c r="CF1150" s="1392" t="n"/>
      <c r="CG1150" s="1392" t="n"/>
      <c r="CH1150" s="1392" t="n"/>
      <c r="CI1150" s="1392" t="n"/>
      <c r="CJ1150" s="1392" t="n"/>
      <c r="CK1150" s="1392" t="n"/>
      <c r="CL1150" s="1392" t="n"/>
    </row>
    <row r="1151">
      <c r="A1151" s="5" t="inlineStr">
        <is>
          <t>.</t>
        </is>
      </c>
      <c r="B1151" s="5" t="inlineStr">
        <is>
          <t>.</t>
        </is>
      </c>
      <c r="C1151" s="1378">
        <f>IF(raw[[#This Row],[city]]="","-",IF(raw[[#This Row],[city]]="TODAY","-",C1150+1))</f>
        <v/>
      </c>
      <c r="D1151" s="1393" t="inlineStr">
        <is>
          <t>SEA GRC</t>
        </is>
      </c>
      <c r="E1151" s="1394" t="n">
        <v>40064</v>
      </c>
      <c r="F1151" s="1394" t="n">
        <v>40068</v>
      </c>
      <c r="G1151" s="1393" t="inlineStr">
        <is>
          <t>-</t>
        </is>
      </c>
      <c r="H1151" s="1393" t="inlineStr">
        <is>
          <t>North Gower</t>
        </is>
      </c>
      <c r="I1151" s="1393" t="inlineStr">
        <is>
          <t>Cruise/Nina</t>
        </is>
      </c>
      <c r="J1151" s="1393" t="inlineStr">
        <is>
          <t>-</t>
        </is>
      </c>
      <c r="K1151" s="1395">
        <f>IF(raw[[#This Row],[city]]&lt;&gt;"",_xlfn.XLOOKUP($D1151,ccc[city],ccc[prov],"-"),"-")</f>
        <v/>
      </c>
      <c r="L1151" s="1395">
        <f>IF(raw[[#This Row],[city]]&lt;&gt;"",_xlfn.XLOOKUP($D1151,ccc[city],ccc[ctry],"-"),"-")</f>
        <v/>
      </c>
      <c r="M1151" s="1395">
        <f>IF(raw[[#This Row],[city]]&lt;&gt;"",_xlfn.XLOOKUP($D1151,ccc[city],ccc[cont],"-"),"-")</f>
        <v/>
      </c>
      <c r="N1151" s="1396">
        <f>IF(raw[[#This Row],[city]]="","-",IF(raw[[#This Row],[cont]]="B",raw[[#This Row],[cont]],"W"))</f>
        <v/>
      </c>
      <c r="O1151" s="1397">
        <f>IF(raw[[#This Row],[out]]=0,0,IF(raw[[#This Row],[out]]=raw[[#This Row],[in]],0.01,raw[[#This Row],[out]]-raw[[#This Row],[in]]))</f>
        <v/>
      </c>
      <c r="P1151" s="1397">
        <f>IF(raw[[#This Row],[in]]=0,0,MONTH(raw[[#This Row],[in]]))</f>
        <v/>
      </c>
      <c r="Q1151" s="1397">
        <f>IF(raw[[#This Row],[in]]=0,0,YEAR(raw[[#This Row],[in]]))</f>
        <v/>
      </c>
      <c r="R1151" s="1397">
        <f>INT(raw[[#This Row],[yr]]/10)*10</f>
        <v/>
      </c>
      <c r="S1151" s="1395">
        <f>IF(raw[[#This Row],[city]]="","-",IF(raw[[#This Row],[city]]&lt;&gt;_xlfn.XLOOKUP(raw[[#This Row],[home]],homes[home],homes[city],"-"),1,0))</f>
        <v/>
      </c>
      <c r="T1151" s="1398" t="inlineStr">
        <is>
          <t>.</t>
        </is>
      </c>
      <c r="U1151" s="1399">
        <f>IF(raw[[#This Row],[wb]]="w",raw[[#This Row],[stay]]+U1150,U1150)</f>
        <v/>
      </c>
      <c r="V1151" s="1400">
        <f>IF(raw[[#This Row],[out]]=0,V1150,(raw[[#This Row],[out]]-E$5))</f>
        <v/>
      </c>
      <c r="W1151" s="1401">
        <f>U1151/V1151</f>
        <v/>
      </c>
      <c r="X1151" s="1392" t="n"/>
      <c r="Y1151" s="1392" t="n"/>
      <c r="Z1151" s="1392" t="n"/>
      <c r="AA1151" s="1392" t="n"/>
      <c r="AB1151" s="1392" t="n"/>
      <c r="AC1151" s="1392" t="n"/>
      <c r="AD1151" s="1392" t="n"/>
      <c r="AE1151" s="1392" t="n"/>
      <c r="AF1151" s="1392" t="n"/>
      <c r="AG1151" s="1392" t="n"/>
      <c r="AH1151" s="1392" t="n"/>
      <c r="AI1151" s="1392" t="n"/>
      <c r="AJ1151" s="1392" t="n"/>
      <c r="AK1151" s="1392" t="n"/>
      <c r="AL1151" s="1392" t="n"/>
      <c r="AM1151" s="1392" t="n"/>
      <c r="AN1151" s="1392" t="n"/>
      <c r="AO1151" s="1392" t="n"/>
      <c r="AP1151" s="1392" t="n"/>
      <c r="AQ1151" s="1392" t="n"/>
      <c r="AR1151" s="1422" t="n"/>
      <c r="AS1151" s="1422" t="n"/>
      <c r="AT1151" s="1392" t="n"/>
      <c r="AU1151" s="1392" t="n"/>
      <c r="AV1151" s="1392" t="n"/>
      <c r="AW1151" s="1392" t="n"/>
      <c r="AX1151" s="1392" t="n"/>
      <c r="AY1151" s="1392" t="n"/>
      <c r="AZ1151" s="1392" t="n"/>
      <c r="BA1151" s="1422" t="n"/>
      <c r="BB1151" s="1422" t="n"/>
      <c r="BC1151" s="1392" t="n"/>
      <c r="BD1151" s="1392" t="n"/>
      <c r="BE1151" s="1392" t="n"/>
      <c r="BF1151" s="1392" t="n"/>
      <c r="BG1151" s="1392" t="n"/>
      <c r="BH1151" s="1392" t="n"/>
      <c r="BI1151" s="1392" t="n"/>
      <c r="BJ1151" s="1392" t="n"/>
      <c r="BK1151" s="1392" t="n"/>
      <c r="BL1151" s="1392" t="n"/>
      <c r="BM1151" s="1392" t="n"/>
      <c r="BN1151" s="1392" t="n"/>
      <c r="BO1151" s="1392" t="n"/>
      <c r="BP1151" s="1392" t="n"/>
      <c r="BQ1151" s="1392" t="n"/>
      <c r="BR1151" s="1392" t="n"/>
      <c r="BS1151" s="1392" t="n"/>
      <c r="BT1151" s="1392" t="n"/>
      <c r="BU1151" s="1392" t="n"/>
      <c r="BV1151" s="1392" t="n"/>
      <c r="BW1151" s="1392" t="n"/>
      <c r="BX1151" s="1392" t="n"/>
      <c r="BY1151" s="1392" t="n"/>
      <c r="BZ1151" s="1392" t="n"/>
      <c r="CA1151" s="1392" t="n"/>
      <c r="CB1151" s="1392" t="n"/>
      <c r="CC1151" s="1392" t="n"/>
      <c r="CD1151" s="1392" t="n"/>
      <c r="CE1151" s="1392" t="n"/>
      <c r="CF1151" s="1392" t="n"/>
      <c r="CG1151" s="1392" t="n"/>
      <c r="CH1151" s="1392" t="n"/>
      <c r="CI1151" s="1392" t="n"/>
      <c r="CJ1151" s="1392" t="n"/>
      <c r="CK1151" s="1392" t="n"/>
      <c r="CL1151" s="1392" t="n"/>
    </row>
    <row r="1152">
      <c r="A1152" s="5" t="inlineStr">
        <is>
          <t>.</t>
        </is>
      </c>
      <c r="B1152" s="5" t="inlineStr">
        <is>
          <t>.</t>
        </is>
      </c>
      <c r="C1152" s="1378">
        <f>IF(raw[[#This Row],[city]]="","-",IF(raw[[#This Row],[city]]="TODAY","-",C1151+1))</f>
        <v/>
      </c>
      <c r="D1152" s="1393" t="inlineStr">
        <is>
          <t>Corfu</t>
        </is>
      </c>
      <c r="E1152" s="1394" t="n">
        <v>40064</v>
      </c>
      <c r="F1152" s="1394" t="n">
        <v>40064</v>
      </c>
      <c r="G1152" s="1393" t="inlineStr">
        <is>
          <t>-</t>
        </is>
      </c>
      <c r="H1152" s="1393" t="inlineStr">
        <is>
          <t>North Gower</t>
        </is>
      </c>
      <c r="I1152" s="1393" t="inlineStr">
        <is>
          <t>Cruise/Nina</t>
        </is>
      </c>
      <c r="J1152" s="1393" t="inlineStr">
        <is>
          <t>-</t>
        </is>
      </c>
      <c r="K1152" s="1395">
        <f>IF(raw[[#This Row],[city]]&lt;&gt;"",_xlfn.XLOOKUP($D1152,ccc[city],ccc[prov],"-"),"-")</f>
        <v/>
      </c>
      <c r="L1152" s="1395">
        <f>IF(raw[[#This Row],[city]]&lt;&gt;"",_xlfn.XLOOKUP($D1152,ccc[city],ccc[ctry],"-"),"-")</f>
        <v/>
      </c>
      <c r="M1152" s="1395">
        <f>IF(raw[[#This Row],[city]]&lt;&gt;"",_xlfn.XLOOKUP($D1152,ccc[city],ccc[cont],"-"),"-")</f>
        <v/>
      </c>
      <c r="N1152" s="1396">
        <f>IF(raw[[#This Row],[city]]="","-",IF(raw[[#This Row],[cont]]="B",raw[[#This Row],[cont]],"W"))</f>
        <v/>
      </c>
      <c r="O1152" s="1397">
        <f>IF(raw[[#This Row],[out]]=0,0,IF(raw[[#This Row],[out]]=raw[[#This Row],[in]],0.01,raw[[#This Row],[out]]-raw[[#This Row],[in]]))</f>
        <v/>
      </c>
      <c r="P1152" s="1397">
        <f>IF(raw[[#This Row],[in]]=0,0,MONTH(raw[[#This Row],[in]]))</f>
        <v/>
      </c>
      <c r="Q1152" s="1397">
        <f>IF(raw[[#This Row],[in]]=0,0,YEAR(raw[[#This Row],[in]]))</f>
        <v/>
      </c>
      <c r="R1152" s="1397">
        <f>INT(raw[[#This Row],[yr]]/10)*10</f>
        <v/>
      </c>
      <c r="S1152" s="1395">
        <f>IF(raw[[#This Row],[city]]="","-",IF(raw[[#This Row],[city]]&lt;&gt;_xlfn.XLOOKUP(raw[[#This Row],[home]],homes[home],homes[city],"-"),1,0))</f>
        <v/>
      </c>
      <c r="T1152" s="1398" t="inlineStr">
        <is>
          <t>.</t>
        </is>
      </c>
      <c r="U1152" s="1399">
        <f>IF(raw[[#This Row],[wb]]="w",raw[[#This Row],[stay]]+U1151,U1151)</f>
        <v/>
      </c>
      <c r="V1152" s="1400">
        <f>IF(raw[[#This Row],[out]]=0,V1151,(raw[[#This Row],[out]]-E$5))</f>
        <v/>
      </c>
      <c r="W1152" s="1401">
        <f>U1152/V1152</f>
        <v/>
      </c>
      <c r="X1152" s="1392" t="n"/>
      <c r="Y1152" s="1392" t="n"/>
      <c r="Z1152" s="1392" t="n"/>
      <c r="AA1152" s="1392" t="n"/>
      <c r="AB1152" s="1392" t="n"/>
      <c r="AC1152" s="1392" t="n"/>
      <c r="AD1152" s="1392" t="n"/>
      <c r="AE1152" s="1392" t="n"/>
      <c r="AF1152" s="1392" t="n"/>
      <c r="AG1152" s="1392" t="n"/>
      <c r="AH1152" s="1392" t="n"/>
      <c r="AI1152" s="1392" t="n"/>
      <c r="AJ1152" s="1392" t="n"/>
      <c r="AK1152" s="1392" t="n"/>
      <c r="AL1152" s="1392" t="n"/>
      <c r="AM1152" s="1392" t="n"/>
      <c r="AN1152" s="1392" t="n"/>
      <c r="AO1152" s="1392" t="n"/>
      <c r="AP1152" s="1392" t="n"/>
      <c r="AQ1152" s="1392" t="n"/>
      <c r="AR1152" s="1422" t="n"/>
      <c r="AS1152" s="1422" t="n"/>
      <c r="AT1152" s="1392" t="n"/>
      <c r="AU1152" s="1392" t="n"/>
      <c r="AV1152" s="1392" t="n"/>
      <c r="AW1152" s="1392" t="n"/>
      <c r="AX1152" s="1392" t="n"/>
      <c r="AY1152" s="1392" t="n"/>
      <c r="AZ1152" s="1392" t="n"/>
      <c r="BA1152" s="1422" t="n"/>
      <c r="BB1152" s="1422" t="n"/>
      <c r="BC1152" s="1392" t="n"/>
      <c r="BD1152" s="1392" t="n"/>
      <c r="BE1152" s="1392" t="n"/>
      <c r="BF1152" s="1392" t="n"/>
      <c r="BG1152" s="1392" t="n"/>
      <c r="BH1152" s="1392" t="n"/>
      <c r="BI1152" s="1392" t="n"/>
      <c r="BJ1152" s="1392" t="n"/>
      <c r="BK1152" s="1392" t="n"/>
      <c r="BL1152" s="1392" t="n"/>
      <c r="BM1152" s="1392" t="n"/>
      <c r="BN1152" s="1392" t="n"/>
      <c r="BO1152" s="1392" t="n"/>
      <c r="BP1152" s="1392" t="n"/>
      <c r="BQ1152" s="1392" t="n"/>
      <c r="BR1152" s="1392" t="n"/>
      <c r="BS1152" s="1392" t="n"/>
      <c r="BT1152" s="1392" t="n"/>
      <c r="BU1152" s="1392" t="n"/>
      <c r="BV1152" s="1392" t="n"/>
      <c r="BW1152" s="1392" t="n"/>
      <c r="BX1152" s="1392" t="n"/>
      <c r="BY1152" s="1392" t="n"/>
      <c r="BZ1152" s="1392" t="n"/>
      <c r="CA1152" s="1392" t="n"/>
      <c r="CB1152" s="1392" t="n"/>
      <c r="CC1152" s="1392" t="n"/>
      <c r="CD1152" s="1392" t="n"/>
      <c r="CE1152" s="1392" t="n"/>
      <c r="CF1152" s="1392" t="n"/>
      <c r="CG1152" s="1392" t="n"/>
      <c r="CH1152" s="1392" t="n"/>
      <c r="CI1152" s="1392" t="n"/>
      <c r="CJ1152" s="1392" t="n"/>
      <c r="CK1152" s="1392" t="n"/>
      <c r="CL1152" s="1392" t="n"/>
    </row>
    <row r="1153">
      <c r="A1153" s="5" t="inlineStr">
        <is>
          <t>.</t>
        </is>
      </c>
      <c r="B1153" s="5" t="inlineStr">
        <is>
          <t>.</t>
        </is>
      </c>
      <c r="C1153" s="1378">
        <f>IF(raw[[#This Row],[city]]="","-",IF(raw[[#This Row],[city]]="TODAY","-",C1152+1))</f>
        <v/>
      </c>
      <c r="D1153" s="1393" t="inlineStr">
        <is>
          <t>Santorini</t>
        </is>
      </c>
      <c r="E1153" s="1394" t="n">
        <v>40064</v>
      </c>
      <c r="F1153" s="1394" t="n">
        <v>40064</v>
      </c>
      <c r="G1153" s="1393" t="inlineStr">
        <is>
          <t>-</t>
        </is>
      </c>
      <c r="H1153" s="1393" t="inlineStr">
        <is>
          <t>North Gower</t>
        </is>
      </c>
      <c r="I1153" s="1393" t="inlineStr">
        <is>
          <t>Cruise/Nina</t>
        </is>
      </c>
      <c r="J1153" s="1393" t="inlineStr">
        <is>
          <t>-</t>
        </is>
      </c>
      <c r="K1153" s="1395">
        <f>IF(raw[[#This Row],[city]]&lt;&gt;"",_xlfn.XLOOKUP($D1153,ccc[city],ccc[prov],"-"),"-")</f>
        <v/>
      </c>
      <c r="L1153" s="1395">
        <f>IF(raw[[#This Row],[city]]&lt;&gt;"",_xlfn.XLOOKUP($D1153,ccc[city],ccc[ctry],"-"),"-")</f>
        <v/>
      </c>
      <c r="M1153" s="1395">
        <f>IF(raw[[#This Row],[city]]&lt;&gt;"",_xlfn.XLOOKUP($D1153,ccc[city],ccc[cont],"-"),"-")</f>
        <v/>
      </c>
      <c r="N1153" s="1396">
        <f>IF(raw[[#This Row],[city]]="","-",IF(raw[[#This Row],[cont]]="B",raw[[#This Row],[cont]],"W"))</f>
        <v/>
      </c>
      <c r="O1153" s="1397">
        <f>IF(raw[[#This Row],[out]]=0,0,IF(raw[[#This Row],[out]]=raw[[#This Row],[in]],0.01,raw[[#This Row],[out]]-raw[[#This Row],[in]]))</f>
        <v/>
      </c>
      <c r="P1153" s="1397">
        <f>IF(raw[[#This Row],[in]]=0,0,MONTH(raw[[#This Row],[in]]))</f>
        <v/>
      </c>
      <c r="Q1153" s="1397">
        <f>IF(raw[[#This Row],[in]]=0,0,YEAR(raw[[#This Row],[in]]))</f>
        <v/>
      </c>
      <c r="R1153" s="1397">
        <f>INT(raw[[#This Row],[yr]]/10)*10</f>
        <v/>
      </c>
      <c r="S1153" s="1395">
        <f>IF(raw[[#This Row],[city]]="","-",IF(raw[[#This Row],[city]]&lt;&gt;_xlfn.XLOOKUP(raw[[#This Row],[home]],homes[home],homes[city],"-"),1,0))</f>
        <v/>
      </c>
      <c r="T1153" s="1398" t="inlineStr">
        <is>
          <t>.</t>
        </is>
      </c>
      <c r="U1153" s="1399">
        <f>IF(raw[[#This Row],[wb]]="w",raw[[#This Row],[stay]]+U1152,U1152)</f>
        <v/>
      </c>
      <c r="V1153" s="1400">
        <f>IF(raw[[#This Row],[out]]=0,V1152,(raw[[#This Row],[out]]-E$5))</f>
        <v/>
      </c>
      <c r="W1153" s="1401">
        <f>U1153/V1153</f>
        <v/>
      </c>
      <c r="X1153" s="1392" t="n"/>
      <c r="Y1153" s="1392" t="n"/>
      <c r="Z1153" s="1392" t="n"/>
      <c r="AA1153" s="1392" t="n"/>
      <c r="AB1153" s="1392" t="n"/>
      <c r="AC1153" s="1392" t="n"/>
      <c r="AD1153" s="1392" t="n"/>
      <c r="AE1153" s="1392" t="n"/>
      <c r="AF1153" s="1392" t="n"/>
      <c r="AG1153" s="1392" t="n"/>
      <c r="AH1153" s="1392" t="n"/>
      <c r="AI1153" s="1392" t="n"/>
      <c r="AJ1153" s="1392" t="n"/>
      <c r="AK1153" s="1392" t="n"/>
      <c r="AL1153" s="1392" t="n"/>
      <c r="AM1153" s="1392" t="n"/>
      <c r="AN1153" s="1392" t="n"/>
      <c r="AO1153" s="1392" t="n"/>
      <c r="AP1153" s="1392" t="n"/>
      <c r="AQ1153" s="1392" t="n"/>
      <c r="AR1153" s="1422" t="n"/>
      <c r="AS1153" s="1422" t="n"/>
      <c r="AT1153" s="1392" t="n"/>
      <c r="AU1153" s="1392" t="n"/>
      <c r="AV1153" s="1392" t="n"/>
      <c r="AW1153" s="1392" t="n"/>
      <c r="AX1153" s="1392" t="n"/>
      <c r="AY1153" s="1392" t="n"/>
      <c r="AZ1153" s="1392" t="n"/>
      <c r="BA1153" s="1422" t="n"/>
      <c r="BB1153" s="1422" t="n"/>
      <c r="BC1153" s="1392" t="n"/>
      <c r="BD1153" s="1392" t="n"/>
      <c r="BE1153" s="1392" t="n"/>
      <c r="BF1153" s="1392" t="n"/>
      <c r="BG1153" s="1392" t="n"/>
      <c r="BH1153" s="1392" t="n"/>
      <c r="BI1153" s="1392" t="n"/>
      <c r="BJ1153" s="1392" t="n"/>
      <c r="BK1153" s="1392" t="n"/>
      <c r="BL1153" s="1392" t="n"/>
      <c r="BM1153" s="1392" t="n"/>
      <c r="BN1153" s="1392" t="n"/>
      <c r="BO1153" s="1392" t="n"/>
      <c r="BP1153" s="1392" t="n"/>
      <c r="BQ1153" s="1392" t="n"/>
      <c r="BR1153" s="1392" t="n"/>
      <c r="BS1153" s="1392" t="n"/>
      <c r="BT1153" s="1392" t="n"/>
      <c r="BU1153" s="1392" t="n"/>
      <c r="BV1153" s="1392" t="n"/>
      <c r="BW1153" s="1392" t="n"/>
      <c r="BX1153" s="1392" t="n"/>
      <c r="BY1153" s="1392" t="n"/>
      <c r="BZ1153" s="1392" t="n"/>
      <c r="CA1153" s="1392" t="n"/>
      <c r="CB1153" s="1392" t="n"/>
      <c r="CC1153" s="1392" t="n"/>
      <c r="CD1153" s="1392" t="n"/>
      <c r="CE1153" s="1392" t="n"/>
      <c r="CF1153" s="1392" t="n"/>
      <c r="CG1153" s="1392" t="n"/>
      <c r="CH1153" s="1392" t="n"/>
      <c r="CI1153" s="1392" t="n"/>
      <c r="CJ1153" s="1392" t="n"/>
      <c r="CK1153" s="1392" t="n"/>
      <c r="CL1153" s="1392" t="n"/>
    </row>
    <row r="1154">
      <c r="A1154" s="5" t="inlineStr">
        <is>
          <t>.</t>
        </is>
      </c>
      <c r="B1154" s="5" t="inlineStr">
        <is>
          <t>.</t>
        </is>
      </c>
      <c r="C1154" s="1378">
        <f>IF(raw[[#This Row],[city]]="","-",IF(raw[[#This Row],[city]]="TODAY","-",C1153+1))</f>
        <v/>
      </c>
      <c r="D1154" s="1393" t="inlineStr">
        <is>
          <t>Mikonos</t>
        </is>
      </c>
      <c r="E1154" s="1394" t="n">
        <v>40065</v>
      </c>
      <c r="F1154" s="1394" t="n">
        <v>40065</v>
      </c>
      <c r="G1154" s="1393" t="inlineStr">
        <is>
          <t>-</t>
        </is>
      </c>
      <c r="H1154" s="1393" t="inlineStr">
        <is>
          <t>North Gower</t>
        </is>
      </c>
      <c r="I1154" s="1393" t="inlineStr">
        <is>
          <t>Cruise/Nina</t>
        </is>
      </c>
      <c r="J1154" s="1393" t="inlineStr">
        <is>
          <t>-</t>
        </is>
      </c>
      <c r="K1154" s="1395">
        <f>IF(raw[[#This Row],[city]]&lt;&gt;"",_xlfn.XLOOKUP($D1154,ccc[city],ccc[prov],"-"),"-")</f>
        <v/>
      </c>
      <c r="L1154" s="1395">
        <f>IF(raw[[#This Row],[city]]&lt;&gt;"",_xlfn.XLOOKUP($D1154,ccc[city],ccc[ctry],"-"),"-")</f>
        <v/>
      </c>
      <c r="M1154" s="1395">
        <f>IF(raw[[#This Row],[city]]&lt;&gt;"",_xlfn.XLOOKUP($D1154,ccc[city],ccc[cont],"-"),"-")</f>
        <v/>
      </c>
      <c r="N1154" s="1396">
        <f>IF(raw[[#This Row],[city]]="","-",IF(raw[[#This Row],[cont]]="B",raw[[#This Row],[cont]],"W"))</f>
        <v/>
      </c>
      <c r="O1154" s="1397">
        <f>IF(raw[[#This Row],[out]]=0,0,IF(raw[[#This Row],[out]]=raw[[#This Row],[in]],0.01,raw[[#This Row],[out]]-raw[[#This Row],[in]]))</f>
        <v/>
      </c>
      <c r="P1154" s="1397">
        <f>IF(raw[[#This Row],[in]]=0,0,MONTH(raw[[#This Row],[in]]))</f>
        <v/>
      </c>
      <c r="Q1154" s="1397">
        <f>IF(raw[[#This Row],[in]]=0,0,YEAR(raw[[#This Row],[in]]))</f>
        <v/>
      </c>
      <c r="R1154" s="1397">
        <f>INT(raw[[#This Row],[yr]]/10)*10</f>
        <v/>
      </c>
      <c r="S1154" s="1395">
        <f>IF(raw[[#This Row],[city]]="","-",IF(raw[[#This Row],[city]]&lt;&gt;_xlfn.XLOOKUP(raw[[#This Row],[home]],homes[home],homes[city],"-"),1,0))</f>
        <v/>
      </c>
      <c r="T1154" s="1398" t="inlineStr">
        <is>
          <t>.</t>
        </is>
      </c>
      <c r="U1154" s="1399">
        <f>IF(raw[[#This Row],[wb]]="w",raw[[#This Row],[stay]]+U1153,U1153)</f>
        <v/>
      </c>
      <c r="V1154" s="1400">
        <f>IF(raw[[#This Row],[out]]=0,V1153,(raw[[#This Row],[out]]-E$5))</f>
        <v/>
      </c>
      <c r="W1154" s="1401">
        <f>U1154/V1154</f>
        <v/>
      </c>
      <c r="X1154" s="1392" t="n"/>
      <c r="Y1154" s="1392" t="n"/>
      <c r="Z1154" s="1392" t="n"/>
      <c r="AA1154" s="1392" t="n"/>
      <c r="AB1154" s="1392" t="n"/>
      <c r="AC1154" s="1392" t="n"/>
      <c r="AD1154" s="1392" t="n"/>
      <c r="AE1154" s="1392" t="n"/>
      <c r="AF1154" s="1392" t="n"/>
      <c r="AG1154" s="1392" t="n"/>
      <c r="AH1154" s="1392" t="n"/>
      <c r="AI1154" s="1392" t="n"/>
      <c r="AJ1154" s="1392" t="n"/>
      <c r="AK1154" s="1392" t="n"/>
      <c r="AL1154" s="1392" t="n"/>
      <c r="AM1154" s="1392" t="n"/>
      <c r="AN1154" s="1392" t="n"/>
      <c r="AO1154" s="1392" t="n"/>
      <c r="AP1154" s="1392" t="n"/>
      <c r="AQ1154" s="1392" t="n"/>
      <c r="AR1154" s="1422" t="n"/>
      <c r="AS1154" s="1422" t="n"/>
      <c r="AT1154" s="1392" t="n"/>
      <c r="AU1154" s="1392" t="n"/>
      <c r="AV1154" s="1392" t="n"/>
      <c r="AW1154" s="1392" t="n"/>
      <c r="AX1154" s="1392" t="n"/>
      <c r="AY1154" s="1392" t="n"/>
      <c r="AZ1154" s="1392" t="n"/>
      <c r="BA1154" s="1422" t="n"/>
      <c r="BB1154" s="1422" t="n"/>
      <c r="BC1154" s="1392" t="n"/>
      <c r="BD1154" s="1392" t="n"/>
      <c r="BE1154" s="1392" t="n"/>
      <c r="BF1154" s="1392" t="n"/>
      <c r="BG1154" s="1392" t="n"/>
      <c r="BH1154" s="1392" t="n"/>
      <c r="BI1154" s="1392" t="n"/>
      <c r="BJ1154" s="1392" t="n"/>
      <c r="BK1154" s="1392" t="n"/>
      <c r="BL1154" s="1392" t="n"/>
      <c r="BM1154" s="1392" t="n"/>
      <c r="BN1154" s="1392" t="n"/>
      <c r="BO1154" s="1392" t="n"/>
      <c r="BP1154" s="1392" t="n"/>
      <c r="BQ1154" s="1392" t="n"/>
      <c r="BR1154" s="1392" t="n"/>
      <c r="BS1154" s="1392" t="n"/>
      <c r="BT1154" s="1392" t="n"/>
      <c r="BU1154" s="1392" t="n"/>
      <c r="BV1154" s="1392" t="n"/>
      <c r="BW1154" s="1392" t="n"/>
      <c r="BX1154" s="1392" t="n"/>
      <c r="BY1154" s="1392" t="n"/>
      <c r="BZ1154" s="1392" t="n"/>
      <c r="CA1154" s="1392" t="n"/>
      <c r="CB1154" s="1392" t="n"/>
      <c r="CC1154" s="1392" t="n"/>
      <c r="CD1154" s="1392" t="n"/>
      <c r="CE1154" s="1392" t="n"/>
      <c r="CF1154" s="1392" t="n"/>
      <c r="CG1154" s="1392" t="n"/>
      <c r="CH1154" s="1392" t="n"/>
      <c r="CI1154" s="1392" t="n"/>
      <c r="CJ1154" s="1392" t="n"/>
      <c r="CK1154" s="1392" t="n"/>
      <c r="CL1154" s="1392" t="n"/>
    </row>
    <row r="1155">
      <c r="A1155" s="5" t="inlineStr">
        <is>
          <t>.</t>
        </is>
      </c>
      <c r="B1155" s="5" t="inlineStr">
        <is>
          <t>.</t>
        </is>
      </c>
      <c r="C1155" s="1378">
        <f>IF(raw[[#This Row],[city]]="","-",IF(raw[[#This Row],[city]]="TODAY","-",C1154+1))</f>
        <v/>
      </c>
      <c r="D1155" s="1393" t="inlineStr">
        <is>
          <t>Santorini</t>
        </is>
      </c>
      <c r="E1155" s="1394" t="n">
        <v>40065</v>
      </c>
      <c r="F1155" s="1394" t="n">
        <v>40065</v>
      </c>
      <c r="G1155" s="1393" t="inlineStr">
        <is>
          <t>-</t>
        </is>
      </c>
      <c r="H1155" s="1393" t="inlineStr">
        <is>
          <t>North Gower</t>
        </is>
      </c>
      <c r="I1155" s="1393" t="inlineStr">
        <is>
          <t>Cruise/Nina</t>
        </is>
      </c>
      <c r="J1155" s="1393" t="inlineStr">
        <is>
          <t>-</t>
        </is>
      </c>
      <c r="K1155" s="1395">
        <f>IF(raw[[#This Row],[city]]&lt;&gt;"",_xlfn.XLOOKUP($D1155,ccc[city],ccc[prov],"-"),"-")</f>
        <v/>
      </c>
      <c r="L1155" s="1395">
        <f>IF(raw[[#This Row],[city]]&lt;&gt;"",_xlfn.XLOOKUP($D1155,ccc[city],ccc[ctry],"-"),"-")</f>
        <v/>
      </c>
      <c r="M1155" s="1395">
        <f>IF(raw[[#This Row],[city]]&lt;&gt;"",_xlfn.XLOOKUP($D1155,ccc[city],ccc[cont],"-"),"-")</f>
        <v/>
      </c>
      <c r="N1155" s="1396">
        <f>IF(raw[[#This Row],[city]]="","-",IF(raw[[#This Row],[cont]]="B",raw[[#This Row],[cont]],"W"))</f>
        <v/>
      </c>
      <c r="O1155" s="1397">
        <f>IF(raw[[#This Row],[out]]=0,0,IF(raw[[#This Row],[out]]=raw[[#This Row],[in]],0.01,raw[[#This Row],[out]]-raw[[#This Row],[in]]))</f>
        <v/>
      </c>
      <c r="P1155" s="1397">
        <f>IF(raw[[#This Row],[in]]=0,0,MONTH(raw[[#This Row],[in]]))</f>
        <v/>
      </c>
      <c r="Q1155" s="1397">
        <f>IF(raw[[#This Row],[in]]=0,0,YEAR(raw[[#This Row],[in]]))</f>
        <v/>
      </c>
      <c r="R1155" s="1397">
        <f>INT(raw[[#This Row],[yr]]/10)*10</f>
        <v/>
      </c>
      <c r="S1155" s="1395">
        <f>IF(raw[[#This Row],[city]]="","-",IF(raw[[#This Row],[city]]&lt;&gt;_xlfn.XLOOKUP(raw[[#This Row],[home]],homes[home],homes[city],"-"),1,0))</f>
        <v/>
      </c>
      <c r="T1155" s="1398" t="inlineStr">
        <is>
          <t>.</t>
        </is>
      </c>
      <c r="U1155" s="1399">
        <f>IF(raw[[#This Row],[wb]]="w",raw[[#This Row],[stay]]+U1154,U1154)</f>
        <v/>
      </c>
      <c r="V1155" s="1400">
        <f>IF(raw[[#This Row],[out]]=0,V1154,(raw[[#This Row],[out]]-E$5))</f>
        <v/>
      </c>
      <c r="W1155" s="1401">
        <f>U1155/V1155</f>
        <v/>
      </c>
      <c r="X1155" s="1392" t="n"/>
      <c r="Y1155" s="1392" t="n"/>
      <c r="Z1155" s="1392" t="n"/>
      <c r="AA1155" s="1392" t="n"/>
      <c r="AB1155" s="1392" t="n"/>
      <c r="AC1155" s="1392" t="n"/>
      <c r="AD1155" s="1392" t="n"/>
      <c r="AE1155" s="1392" t="n"/>
      <c r="AF1155" s="1392" t="n"/>
      <c r="AG1155" s="1392" t="n"/>
      <c r="AH1155" s="1392" t="n"/>
      <c r="AI1155" s="1392" t="n"/>
      <c r="AJ1155" s="1392" t="n"/>
      <c r="AK1155" s="1392" t="n"/>
      <c r="AL1155" s="1392" t="n"/>
      <c r="AM1155" s="1392" t="n"/>
      <c r="AN1155" s="1392" t="n"/>
      <c r="AO1155" s="1392" t="n"/>
      <c r="AP1155" s="1392" t="n"/>
      <c r="AQ1155" s="1392" t="n"/>
      <c r="AR1155" s="1422" t="n"/>
      <c r="AS1155" s="1422" t="n"/>
      <c r="AT1155" s="1392" t="n"/>
      <c r="AU1155" s="1392" t="n"/>
      <c r="AV1155" s="1392" t="n"/>
      <c r="AW1155" s="1392" t="n"/>
      <c r="AX1155" s="1392" t="n"/>
      <c r="AY1155" s="1392" t="n"/>
      <c r="AZ1155" s="1392" t="n"/>
      <c r="BA1155" s="1422" t="n"/>
      <c r="BB1155" s="1422" t="n"/>
      <c r="BC1155" s="1392" t="n"/>
      <c r="BD1155" s="1392" t="n"/>
      <c r="BE1155" s="1392" t="n"/>
      <c r="BF1155" s="1392" t="n"/>
      <c r="BG1155" s="1392" t="n"/>
      <c r="BH1155" s="1392" t="n"/>
      <c r="BI1155" s="1392" t="n"/>
      <c r="BJ1155" s="1392" t="n"/>
      <c r="BK1155" s="1392" t="n"/>
      <c r="BL1155" s="1392" t="n"/>
      <c r="BM1155" s="1392" t="n"/>
      <c r="BN1155" s="1392" t="n"/>
      <c r="BO1155" s="1392" t="n"/>
      <c r="BP1155" s="1392" t="n"/>
      <c r="BQ1155" s="1392" t="n"/>
      <c r="BR1155" s="1392" t="n"/>
      <c r="BS1155" s="1392" t="n"/>
      <c r="BT1155" s="1392" t="n"/>
      <c r="BU1155" s="1392" t="n"/>
      <c r="BV1155" s="1392" t="n"/>
      <c r="BW1155" s="1392" t="n"/>
      <c r="BX1155" s="1392" t="n"/>
      <c r="BY1155" s="1392" t="n"/>
      <c r="BZ1155" s="1392" t="n"/>
      <c r="CA1155" s="1392" t="n"/>
      <c r="CB1155" s="1392" t="n"/>
      <c r="CC1155" s="1392" t="n"/>
      <c r="CD1155" s="1392" t="n"/>
      <c r="CE1155" s="1392" t="n"/>
      <c r="CF1155" s="1392" t="n"/>
      <c r="CG1155" s="1392" t="n"/>
      <c r="CH1155" s="1392" t="n"/>
      <c r="CI1155" s="1392" t="n"/>
      <c r="CJ1155" s="1392" t="n"/>
      <c r="CK1155" s="1392" t="n"/>
      <c r="CL1155" s="1392" t="n"/>
    </row>
    <row r="1156">
      <c r="A1156" s="5" t="inlineStr">
        <is>
          <t>.</t>
        </is>
      </c>
      <c r="B1156" s="5" t="inlineStr">
        <is>
          <t>.</t>
        </is>
      </c>
      <c r="C1156" s="1378">
        <f>IF(raw[[#This Row],[city]]="","-",IF(raw[[#This Row],[city]]="TODAY","-",C1155+1))</f>
        <v/>
      </c>
      <c r="D1156" s="1393" t="inlineStr">
        <is>
          <t>Athens</t>
        </is>
      </c>
      <c r="E1156" s="1394" t="n">
        <v>40066</v>
      </c>
      <c r="F1156" s="1394" t="n">
        <v>40066</v>
      </c>
      <c r="G1156" s="1393" t="inlineStr">
        <is>
          <t>-</t>
        </is>
      </c>
      <c r="H1156" s="1393" t="inlineStr">
        <is>
          <t>North Gower</t>
        </is>
      </c>
      <c r="I1156" s="1393" t="inlineStr">
        <is>
          <t>Cruise/Nina</t>
        </is>
      </c>
      <c r="J1156" s="1393" t="inlineStr">
        <is>
          <t>-</t>
        </is>
      </c>
      <c r="K1156" s="1395">
        <f>IF(raw[[#This Row],[city]]&lt;&gt;"",_xlfn.XLOOKUP($D1156,ccc[city],ccc[prov],"-"),"-")</f>
        <v/>
      </c>
      <c r="L1156" s="1395">
        <f>IF(raw[[#This Row],[city]]&lt;&gt;"",_xlfn.XLOOKUP($D1156,ccc[city],ccc[ctry],"-"),"-")</f>
        <v/>
      </c>
      <c r="M1156" s="1395">
        <f>IF(raw[[#This Row],[city]]&lt;&gt;"",_xlfn.XLOOKUP($D1156,ccc[city],ccc[cont],"-"),"-")</f>
        <v/>
      </c>
      <c r="N1156" s="1396">
        <f>IF(raw[[#This Row],[city]]="","-",IF(raw[[#This Row],[cont]]="B",raw[[#This Row],[cont]],"W"))</f>
        <v/>
      </c>
      <c r="O1156" s="1397">
        <f>IF(raw[[#This Row],[out]]=0,0,IF(raw[[#This Row],[out]]=raw[[#This Row],[in]],0.01,raw[[#This Row],[out]]-raw[[#This Row],[in]]))</f>
        <v/>
      </c>
      <c r="P1156" s="1397">
        <f>IF(raw[[#This Row],[in]]=0,0,MONTH(raw[[#This Row],[in]]))</f>
        <v/>
      </c>
      <c r="Q1156" s="1397">
        <f>IF(raw[[#This Row],[in]]=0,0,YEAR(raw[[#This Row],[in]]))</f>
        <v/>
      </c>
      <c r="R1156" s="1397">
        <f>INT(raw[[#This Row],[yr]]/10)*10</f>
        <v/>
      </c>
      <c r="S1156" s="1395">
        <f>IF(raw[[#This Row],[city]]="","-",IF(raw[[#This Row],[city]]&lt;&gt;_xlfn.XLOOKUP(raw[[#This Row],[home]],homes[home],homes[city],"-"),1,0))</f>
        <v/>
      </c>
      <c r="T1156" s="1398" t="inlineStr">
        <is>
          <t>.</t>
        </is>
      </c>
      <c r="U1156" s="1399">
        <f>IF(raw[[#This Row],[wb]]="w",raw[[#This Row],[stay]]+U1155,U1155)</f>
        <v/>
      </c>
      <c r="V1156" s="1400">
        <f>IF(raw[[#This Row],[out]]=0,V1155,(raw[[#This Row],[out]]-E$5))</f>
        <v/>
      </c>
      <c r="W1156" s="1401">
        <f>U1156/V1156</f>
        <v/>
      </c>
      <c r="X1156" s="1392" t="n"/>
      <c r="Y1156" s="1392" t="n"/>
      <c r="Z1156" s="1392" t="n"/>
      <c r="AA1156" s="1392" t="n"/>
      <c r="AB1156" s="1392" t="n"/>
      <c r="AC1156" s="1392" t="n"/>
      <c r="AD1156" s="1392" t="n"/>
      <c r="AE1156" s="1392" t="n"/>
      <c r="AF1156" s="1392" t="n"/>
      <c r="AG1156" s="1392" t="n"/>
      <c r="AH1156" s="1392" t="n"/>
      <c r="AI1156" s="1392" t="n"/>
      <c r="AJ1156" s="1392" t="n"/>
      <c r="AK1156" s="1392" t="n"/>
      <c r="AL1156" s="1392" t="n"/>
      <c r="AM1156" s="1392" t="n"/>
      <c r="AN1156" s="1392" t="n"/>
      <c r="AO1156" s="1392" t="n"/>
      <c r="AP1156" s="1392" t="n"/>
      <c r="AQ1156" s="1392" t="n"/>
      <c r="AR1156" s="1422" t="n"/>
      <c r="AS1156" s="1422" t="n"/>
      <c r="AT1156" s="1392" t="n"/>
      <c r="AU1156" s="1392" t="n"/>
      <c r="AV1156" s="1392" t="n"/>
      <c r="AW1156" s="1392" t="n"/>
      <c r="AX1156" s="1392" t="n"/>
      <c r="AY1156" s="1392" t="n"/>
      <c r="AZ1156" s="1392" t="n"/>
      <c r="BA1156" s="1422" t="n"/>
      <c r="BB1156" s="1422" t="n"/>
      <c r="BC1156" s="1392" t="n"/>
      <c r="BD1156" s="1392" t="n"/>
      <c r="BE1156" s="1392" t="n"/>
      <c r="BF1156" s="1392" t="n"/>
      <c r="BG1156" s="1392" t="n"/>
      <c r="BH1156" s="1392" t="n"/>
      <c r="BI1156" s="1392" t="n"/>
      <c r="BJ1156" s="1392" t="n"/>
      <c r="BK1156" s="1392" t="n"/>
      <c r="BL1156" s="1392" t="n"/>
      <c r="BM1156" s="1392" t="n"/>
      <c r="BN1156" s="1392" t="n"/>
      <c r="BO1156" s="1392" t="n"/>
      <c r="BP1156" s="1392" t="n"/>
      <c r="BQ1156" s="1392" t="n"/>
      <c r="BR1156" s="1392" t="n"/>
      <c r="BS1156" s="1392" t="n"/>
      <c r="BT1156" s="1392" t="n"/>
      <c r="BU1156" s="1392" t="n"/>
      <c r="BV1156" s="1392" t="n"/>
      <c r="BW1156" s="1392" t="n"/>
      <c r="BX1156" s="1392" t="n"/>
      <c r="BY1156" s="1392" t="n"/>
      <c r="BZ1156" s="1392" t="n"/>
      <c r="CA1156" s="1392" t="n"/>
      <c r="CB1156" s="1392" t="n"/>
      <c r="CC1156" s="1392" t="n"/>
      <c r="CD1156" s="1392" t="n"/>
      <c r="CE1156" s="1392" t="n"/>
      <c r="CF1156" s="1392" t="n"/>
      <c r="CG1156" s="1392" t="n"/>
      <c r="CH1156" s="1392" t="n"/>
      <c r="CI1156" s="1392" t="n"/>
      <c r="CJ1156" s="1392" t="n"/>
      <c r="CK1156" s="1392" t="n"/>
      <c r="CL1156" s="1392" t="n"/>
    </row>
    <row r="1157">
      <c r="A1157" s="5" t="inlineStr">
        <is>
          <t>.</t>
        </is>
      </c>
      <c r="B1157" s="5" t="inlineStr">
        <is>
          <t>.</t>
        </is>
      </c>
      <c r="C1157" s="1378">
        <f>IF(raw[[#This Row],[city]]="","-",IF(raw[[#This Row],[city]]="TODAY","-",C1156+1))</f>
        <v/>
      </c>
      <c r="D1157" s="1393" t="inlineStr">
        <is>
          <t>Katakolon</t>
        </is>
      </c>
      <c r="E1157" s="1394" t="n">
        <v>40067</v>
      </c>
      <c r="F1157" s="1394" t="n">
        <v>40067</v>
      </c>
      <c r="G1157" s="1393" t="inlineStr">
        <is>
          <t>-</t>
        </is>
      </c>
      <c r="H1157" s="1393" t="inlineStr">
        <is>
          <t>North Gower</t>
        </is>
      </c>
      <c r="I1157" s="1393" t="inlineStr">
        <is>
          <t>Cruise/Nina</t>
        </is>
      </c>
      <c r="J1157" s="1393" t="inlineStr">
        <is>
          <t>-</t>
        </is>
      </c>
      <c r="K1157" s="1395">
        <f>IF(raw[[#This Row],[city]]&lt;&gt;"",_xlfn.XLOOKUP($D1157,ccc[city],ccc[prov],"-"),"-")</f>
        <v/>
      </c>
      <c r="L1157" s="1395">
        <f>IF(raw[[#This Row],[city]]&lt;&gt;"",_xlfn.XLOOKUP($D1157,ccc[city],ccc[ctry],"-"),"-")</f>
        <v/>
      </c>
      <c r="M1157" s="1395">
        <f>IF(raw[[#This Row],[city]]&lt;&gt;"",_xlfn.XLOOKUP($D1157,ccc[city],ccc[cont],"-"),"-")</f>
        <v/>
      </c>
      <c r="N1157" s="1396">
        <f>IF(raw[[#This Row],[city]]="","-",IF(raw[[#This Row],[cont]]="B",raw[[#This Row],[cont]],"W"))</f>
        <v/>
      </c>
      <c r="O1157" s="1397">
        <f>IF(raw[[#This Row],[out]]=0,0,IF(raw[[#This Row],[out]]=raw[[#This Row],[in]],0.01,raw[[#This Row],[out]]-raw[[#This Row],[in]]))</f>
        <v/>
      </c>
      <c r="P1157" s="1397">
        <f>IF(raw[[#This Row],[in]]=0,0,MONTH(raw[[#This Row],[in]]))</f>
        <v/>
      </c>
      <c r="Q1157" s="1397">
        <f>IF(raw[[#This Row],[in]]=0,0,YEAR(raw[[#This Row],[in]]))</f>
        <v/>
      </c>
      <c r="R1157" s="1397">
        <f>INT(raw[[#This Row],[yr]]/10)*10</f>
        <v/>
      </c>
      <c r="S1157" s="1395">
        <f>IF(raw[[#This Row],[city]]="","-",IF(raw[[#This Row],[city]]&lt;&gt;_xlfn.XLOOKUP(raw[[#This Row],[home]],homes[home],homes[city],"-"),1,0))</f>
        <v/>
      </c>
      <c r="T1157" s="1398" t="inlineStr">
        <is>
          <t>.</t>
        </is>
      </c>
      <c r="U1157" s="1399">
        <f>IF(raw[[#This Row],[wb]]="w",raw[[#This Row],[stay]]+U1156,U1156)</f>
        <v/>
      </c>
      <c r="V1157" s="1400">
        <f>IF(raw[[#This Row],[out]]=0,V1156,(raw[[#This Row],[out]]-E$5))</f>
        <v/>
      </c>
      <c r="W1157" s="1401">
        <f>U1157/V1157</f>
        <v/>
      </c>
      <c r="X1157" s="1392" t="n"/>
      <c r="Y1157" s="1392" t="n"/>
      <c r="Z1157" s="1392" t="n"/>
      <c r="AA1157" s="1392" t="n"/>
      <c r="AB1157" s="1392" t="n"/>
      <c r="AC1157" s="1392" t="n"/>
      <c r="AD1157" s="1392" t="n"/>
      <c r="AE1157" s="1392" t="n"/>
      <c r="AF1157" s="1392" t="n"/>
      <c r="AG1157" s="1392" t="n"/>
      <c r="AH1157" s="1392" t="n"/>
      <c r="AI1157" s="1392" t="n"/>
      <c r="AJ1157" s="1392" t="n"/>
      <c r="AK1157" s="1392" t="n"/>
      <c r="AL1157" s="1392" t="n"/>
      <c r="AM1157" s="1392" t="n"/>
      <c r="AN1157" s="1392" t="n"/>
      <c r="AO1157" s="1392" t="n"/>
      <c r="AP1157" s="1392" t="n"/>
      <c r="AQ1157" s="1392" t="n"/>
      <c r="AR1157" s="1422" t="n"/>
      <c r="AS1157" s="1422" t="n"/>
      <c r="AT1157" s="1392" t="n"/>
      <c r="AU1157" s="1392" t="n"/>
      <c r="AV1157" s="1392" t="n"/>
      <c r="AW1157" s="1392" t="n"/>
      <c r="AX1157" s="1392" t="n"/>
      <c r="AY1157" s="1392" t="n"/>
      <c r="AZ1157" s="1392" t="n"/>
      <c r="BA1157" s="1422" t="n"/>
      <c r="BB1157" s="1422" t="n"/>
      <c r="BC1157" s="1392" t="n"/>
      <c r="BD1157" s="1392" t="n"/>
      <c r="BE1157" s="1392" t="n"/>
      <c r="BF1157" s="1392" t="n"/>
      <c r="BG1157" s="1392" t="n"/>
      <c r="BH1157" s="1392" t="n"/>
      <c r="BI1157" s="1392" t="n"/>
      <c r="BJ1157" s="1392" t="n"/>
      <c r="BK1157" s="1392" t="n"/>
      <c r="BL1157" s="1392" t="n"/>
      <c r="BM1157" s="1392" t="n"/>
      <c r="BN1157" s="1392" t="n"/>
      <c r="BO1157" s="1392" t="n"/>
      <c r="BP1157" s="1392" t="n"/>
      <c r="BQ1157" s="1392" t="n"/>
      <c r="BR1157" s="1392" t="n"/>
      <c r="BS1157" s="1392" t="n"/>
      <c r="BT1157" s="1392" t="n"/>
      <c r="BU1157" s="1392" t="n"/>
      <c r="BV1157" s="1392" t="n"/>
      <c r="BW1157" s="1392" t="n"/>
      <c r="BX1157" s="1392" t="n"/>
      <c r="BY1157" s="1392" t="n"/>
      <c r="BZ1157" s="1392" t="n"/>
      <c r="CA1157" s="1392" t="n"/>
      <c r="CB1157" s="1392" t="n"/>
      <c r="CC1157" s="1392" t="n"/>
      <c r="CD1157" s="1392" t="n"/>
      <c r="CE1157" s="1392" t="n"/>
      <c r="CF1157" s="1392" t="n"/>
      <c r="CG1157" s="1392" t="n"/>
      <c r="CH1157" s="1392" t="n"/>
      <c r="CI1157" s="1392" t="n"/>
      <c r="CJ1157" s="1392" t="n"/>
      <c r="CK1157" s="1392" t="n"/>
      <c r="CL1157" s="1392" t="n"/>
    </row>
    <row r="1158">
      <c r="A1158" s="5" t="inlineStr">
        <is>
          <t>.</t>
        </is>
      </c>
      <c r="B1158" s="5" t="inlineStr">
        <is>
          <t>.</t>
        </is>
      </c>
      <c r="C1158" s="1378">
        <f>IF(raw[[#This Row],[city]]="","-",IF(raw[[#This Row],[city]]="TODAY","-",C1157+1))</f>
        <v/>
      </c>
      <c r="D1158" s="1393" t="inlineStr">
        <is>
          <t>Olympia</t>
        </is>
      </c>
      <c r="E1158" s="1394" t="n">
        <v>40067</v>
      </c>
      <c r="F1158" s="1394" t="n">
        <v>40067</v>
      </c>
      <c r="G1158" s="1393" t="inlineStr">
        <is>
          <t>-</t>
        </is>
      </c>
      <c r="H1158" s="1393" t="inlineStr">
        <is>
          <t>North Gower</t>
        </is>
      </c>
      <c r="I1158" s="1393" t="inlineStr">
        <is>
          <t>Cruise/Nina</t>
        </is>
      </c>
      <c r="J1158" s="1393" t="inlineStr">
        <is>
          <t>-</t>
        </is>
      </c>
      <c r="K1158" s="1395">
        <f>IF(raw[[#This Row],[city]]&lt;&gt;"",_xlfn.XLOOKUP($D1158,ccc[city],ccc[prov],"-"),"-")</f>
        <v/>
      </c>
      <c r="L1158" s="1395">
        <f>IF(raw[[#This Row],[city]]&lt;&gt;"",_xlfn.XLOOKUP($D1158,ccc[city],ccc[ctry],"-"),"-")</f>
        <v/>
      </c>
      <c r="M1158" s="1395">
        <f>IF(raw[[#This Row],[city]]&lt;&gt;"",_xlfn.XLOOKUP($D1158,ccc[city],ccc[cont],"-"),"-")</f>
        <v/>
      </c>
      <c r="N1158" s="1396">
        <f>IF(raw[[#This Row],[city]]="","-",IF(raw[[#This Row],[cont]]="B",raw[[#This Row],[cont]],"W"))</f>
        <v/>
      </c>
      <c r="O1158" s="1397">
        <f>IF(raw[[#This Row],[out]]=0,0,IF(raw[[#This Row],[out]]=raw[[#This Row],[in]],0.01,raw[[#This Row],[out]]-raw[[#This Row],[in]]))</f>
        <v/>
      </c>
      <c r="P1158" s="1397">
        <f>IF(raw[[#This Row],[in]]=0,0,MONTH(raw[[#This Row],[in]]))</f>
        <v/>
      </c>
      <c r="Q1158" s="1397">
        <f>IF(raw[[#This Row],[in]]=0,0,YEAR(raw[[#This Row],[in]]))</f>
        <v/>
      </c>
      <c r="R1158" s="1397">
        <f>INT(raw[[#This Row],[yr]]/10)*10</f>
        <v/>
      </c>
      <c r="S1158" s="1395">
        <f>IF(raw[[#This Row],[city]]="","-",IF(raw[[#This Row],[city]]&lt;&gt;_xlfn.XLOOKUP(raw[[#This Row],[home]],homes[home],homes[city],"-"),1,0))</f>
        <v/>
      </c>
      <c r="T1158" s="1398" t="inlineStr">
        <is>
          <t>.</t>
        </is>
      </c>
      <c r="U1158" s="1399">
        <f>IF(raw[[#This Row],[wb]]="w",raw[[#This Row],[stay]]+U1157,U1157)</f>
        <v/>
      </c>
      <c r="V1158" s="1400">
        <f>IF(raw[[#This Row],[out]]=0,V1157,(raw[[#This Row],[out]]-E$5))</f>
        <v/>
      </c>
      <c r="W1158" s="1401">
        <f>U1158/V1158</f>
        <v/>
      </c>
      <c r="X1158" s="1392" t="n"/>
      <c r="Y1158" s="1392" t="n"/>
      <c r="Z1158" s="1392" t="n"/>
      <c r="AA1158" s="1392" t="n"/>
      <c r="AB1158" s="1392" t="n"/>
      <c r="AC1158" s="1392" t="n"/>
      <c r="AD1158" s="1392" t="n"/>
      <c r="AE1158" s="1392" t="n"/>
      <c r="AF1158" s="1392" t="n"/>
      <c r="AG1158" s="1392" t="n"/>
      <c r="AH1158" s="1392" t="n"/>
      <c r="AI1158" s="1392" t="n"/>
      <c r="AJ1158" s="1392" t="n"/>
      <c r="AK1158" s="1392" t="n"/>
      <c r="AL1158" s="1392" t="n"/>
      <c r="AM1158" s="1392" t="n"/>
      <c r="AN1158" s="1392" t="n"/>
      <c r="AO1158" s="1392" t="n"/>
      <c r="AP1158" s="1392" t="n"/>
      <c r="AQ1158" s="1392" t="n"/>
      <c r="AR1158" s="1422" t="n"/>
      <c r="AS1158" s="1422" t="n"/>
      <c r="AT1158" s="1392" t="n"/>
      <c r="AU1158" s="1392" t="n"/>
      <c r="AV1158" s="1392" t="n"/>
      <c r="AW1158" s="1392" t="n"/>
      <c r="AX1158" s="1392" t="n"/>
      <c r="AY1158" s="1392" t="n"/>
      <c r="AZ1158" s="1392" t="n"/>
      <c r="BA1158" s="1422" t="n"/>
      <c r="BB1158" s="1422" t="n"/>
      <c r="BC1158" s="1392" t="n"/>
      <c r="BD1158" s="1392" t="n"/>
      <c r="BE1158" s="1392" t="n"/>
      <c r="BF1158" s="1392" t="n"/>
      <c r="BG1158" s="1392" t="n"/>
      <c r="BH1158" s="1392" t="n"/>
      <c r="BI1158" s="1392" t="n"/>
      <c r="BJ1158" s="1392" t="n"/>
      <c r="BK1158" s="1392" t="n"/>
      <c r="BL1158" s="1392" t="n"/>
      <c r="BM1158" s="1392" t="n"/>
      <c r="BN1158" s="1392" t="n"/>
      <c r="BO1158" s="1392" t="n"/>
      <c r="BP1158" s="1392" t="n"/>
      <c r="BQ1158" s="1392" t="n"/>
      <c r="BR1158" s="1392" t="n"/>
      <c r="BS1158" s="1392" t="n"/>
      <c r="BT1158" s="1392" t="n"/>
      <c r="BU1158" s="1392" t="n"/>
      <c r="BV1158" s="1392" t="n"/>
      <c r="BW1158" s="1392" t="n"/>
      <c r="BX1158" s="1392" t="n"/>
      <c r="BY1158" s="1392" t="n"/>
      <c r="BZ1158" s="1392" t="n"/>
      <c r="CA1158" s="1392" t="n"/>
      <c r="CB1158" s="1392" t="n"/>
      <c r="CC1158" s="1392" t="n"/>
      <c r="CD1158" s="1392" t="n"/>
      <c r="CE1158" s="1392" t="n"/>
      <c r="CF1158" s="1392" t="n"/>
      <c r="CG1158" s="1392" t="n"/>
      <c r="CH1158" s="1392" t="n"/>
      <c r="CI1158" s="1392" t="n"/>
      <c r="CJ1158" s="1392" t="n"/>
      <c r="CK1158" s="1392" t="n"/>
      <c r="CL1158" s="1392" t="n"/>
    </row>
    <row r="1159">
      <c r="A1159" s="5" t="inlineStr">
        <is>
          <t>.</t>
        </is>
      </c>
      <c r="B1159" s="5" t="inlineStr">
        <is>
          <t>.</t>
        </is>
      </c>
      <c r="C1159" s="1378">
        <f>IF(raw[[#This Row],[city]]="","-",IF(raw[[#This Row],[city]]="TODAY","-",C1158+1))</f>
        <v/>
      </c>
      <c r="D1159" s="1393" t="inlineStr">
        <is>
          <t>Dubrovnik</t>
        </is>
      </c>
      <c r="E1159" s="1394" t="n">
        <v>40068</v>
      </c>
      <c r="F1159" s="1394" t="n">
        <v>40068</v>
      </c>
      <c r="G1159" s="1393" t="inlineStr">
        <is>
          <t>-</t>
        </is>
      </c>
      <c r="H1159" s="1393" t="inlineStr">
        <is>
          <t>North Gower</t>
        </is>
      </c>
      <c r="I1159" s="1393" t="inlineStr">
        <is>
          <t>Cruise/Nina</t>
        </is>
      </c>
      <c r="J1159" s="1393" t="inlineStr">
        <is>
          <t>-</t>
        </is>
      </c>
      <c r="K1159" s="1395">
        <f>IF(raw[[#This Row],[city]]&lt;&gt;"",_xlfn.XLOOKUP($D1159,ccc[city],ccc[prov],"-"),"-")</f>
        <v/>
      </c>
      <c r="L1159" s="1395">
        <f>IF(raw[[#This Row],[city]]&lt;&gt;"",_xlfn.XLOOKUP($D1159,ccc[city],ccc[ctry],"-"),"-")</f>
        <v/>
      </c>
      <c r="M1159" s="1395">
        <f>IF(raw[[#This Row],[city]]&lt;&gt;"",_xlfn.XLOOKUP($D1159,ccc[city],ccc[cont],"-"),"-")</f>
        <v/>
      </c>
      <c r="N1159" s="1396">
        <f>IF(raw[[#This Row],[city]]="","-",IF(raw[[#This Row],[cont]]="B",raw[[#This Row],[cont]],"W"))</f>
        <v/>
      </c>
      <c r="O1159" s="1397">
        <f>IF(raw[[#This Row],[out]]=0,0,IF(raw[[#This Row],[out]]=raw[[#This Row],[in]],0.01,raw[[#This Row],[out]]-raw[[#This Row],[in]]))</f>
        <v/>
      </c>
      <c r="P1159" s="1397">
        <f>IF(raw[[#This Row],[in]]=0,0,MONTH(raw[[#This Row],[in]]))</f>
        <v/>
      </c>
      <c r="Q1159" s="1397">
        <f>IF(raw[[#This Row],[in]]=0,0,YEAR(raw[[#This Row],[in]]))</f>
        <v/>
      </c>
      <c r="R1159" s="1397">
        <f>INT(raw[[#This Row],[yr]]/10)*10</f>
        <v/>
      </c>
      <c r="S1159" s="1395">
        <f>IF(raw[[#This Row],[city]]="","-",IF(raw[[#This Row],[city]]&lt;&gt;_xlfn.XLOOKUP(raw[[#This Row],[home]],homes[home],homes[city],"-"),1,0))</f>
        <v/>
      </c>
      <c r="T1159" s="1398" t="inlineStr">
        <is>
          <t>.</t>
        </is>
      </c>
      <c r="U1159" s="1399">
        <f>IF(raw[[#This Row],[wb]]="w",raw[[#This Row],[stay]]+U1158,U1158)</f>
        <v/>
      </c>
      <c r="V1159" s="1400">
        <f>IF(raw[[#This Row],[out]]=0,V1158,(raw[[#This Row],[out]]-E$5))</f>
        <v/>
      </c>
      <c r="W1159" s="1401">
        <f>U1159/V1159</f>
        <v/>
      </c>
      <c r="X1159" s="1392" t="n"/>
      <c r="Y1159" s="1392" t="n"/>
      <c r="Z1159" s="1392" t="n"/>
      <c r="AA1159" s="1392" t="n"/>
      <c r="AB1159" s="1392" t="n"/>
      <c r="AC1159" s="1392" t="n"/>
      <c r="AD1159" s="1392" t="n"/>
      <c r="AE1159" s="1392" t="n"/>
      <c r="AF1159" s="1392" t="n"/>
      <c r="AG1159" s="1392" t="n"/>
      <c r="AH1159" s="1392" t="n"/>
      <c r="AI1159" s="1392" t="n"/>
      <c r="AJ1159" s="1392" t="n"/>
      <c r="AK1159" s="1392" t="n"/>
      <c r="AL1159" s="1392" t="n"/>
      <c r="AM1159" s="1392" t="n"/>
      <c r="AN1159" s="1392" t="n"/>
      <c r="AO1159" s="1392" t="n"/>
      <c r="AP1159" s="1392" t="n"/>
      <c r="AQ1159" s="1392" t="n"/>
      <c r="AR1159" s="1422" t="n"/>
      <c r="AS1159" s="1422" t="n"/>
      <c r="AT1159" s="1392" t="n"/>
      <c r="AU1159" s="1392" t="n"/>
      <c r="AV1159" s="1392" t="n"/>
      <c r="AW1159" s="1392" t="n"/>
      <c r="AX1159" s="1392" t="n"/>
      <c r="AY1159" s="1392" t="n"/>
      <c r="AZ1159" s="1392" t="n"/>
      <c r="BA1159" s="1422" t="n"/>
      <c r="BB1159" s="1422" t="n"/>
      <c r="BC1159" s="1392" t="n"/>
      <c r="BD1159" s="1392" t="n"/>
      <c r="BE1159" s="1392" t="n"/>
      <c r="BF1159" s="1392" t="n"/>
      <c r="BG1159" s="1392" t="n"/>
      <c r="BH1159" s="1392" t="n"/>
      <c r="BI1159" s="1392" t="n"/>
      <c r="BJ1159" s="1392" t="n"/>
      <c r="BK1159" s="1392" t="n"/>
      <c r="BL1159" s="1392" t="n"/>
      <c r="BM1159" s="1392" t="n"/>
      <c r="BN1159" s="1392" t="n"/>
      <c r="BO1159" s="1392" t="n"/>
      <c r="BP1159" s="1392" t="n"/>
      <c r="BQ1159" s="1392" t="n"/>
      <c r="BR1159" s="1392" t="n"/>
      <c r="BS1159" s="1392" t="n"/>
      <c r="BT1159" s="1392" t="n"/>
      <c r="BU1159" s="1392" t="n"/>
      <c r="BV1159" s="1392" t="n"/>
      <c r="BW1159" s="1392" t="n"/>
      <c r="BX1159" s="1392" t="n"/>
      <c r="BY1159" s="1392" t="n"/>
      <c r="BZ1159" s="1392" t="n"/>
      <c r="CA1159" s="1392" t="n"/>
      <c r="CB1159" s="1392" t="n"/>
      <c r="CC1159" s="1392" t="n"/>
      <c r="CD1159" s="1392" t="n"/>
      <c r="CE1159" s="1392" t="n"/>
      <c r="CF1159" s="1392" t="n"/>
      <c r="CG1159" s="1392" t="n"/>
      <c r="CH1159" s="1392" t="n"/>
      <c r="CI1159" s="1392" t="n"/>
      <c r="CJ1159" s="1392" t="n"/>
      <c r="CK1159" s="1392" t="n"/>
      <c r="CL1159" s="1392" t="n"/>
    </row>
    <row r="1160">
      <c r="A1160" s="5" t="inlineStr">
        <is>
          <t>.</t>
        </is>
      </c>
      <c r="B1160" s="5" t="inlineStr">
        <is>
          <t>.</t>
        </is>
      </c>
      <c r="C1160" s="1378">
        <f>IF(raw[[#This Row],[city]]="","-",IF(raw[[#This Row],[city]]="TODAY","-",C1159+1))</f>
        <v/>
      </c>
      <c r="D1160" s="1393" t="inlineStr">
        <is>
          <t>Venice</t>
        </is>
      </c>
      <c r="E1160" s="1394" t="n">
        <v>40068</v>
      </c>
      <c r="F1160" s="1394" t="n">
        <v>40069</v>
      </c>
      <c r="G1160" s="1393" t="n">
        <v>1</v>
      </c>
      <c r="H1160" s="1393" t="inlineStr">
        <is>
          <t>North Gower</t>
        </is>
      </c>
      <c r="I1160" s="1393" t="inlineStr">
        <is>
          <t>Cruise/Nina</t>
        </is>
      </c>
      <c r="J1160" s="1393" t="inlineStr">
        <is>
          <t>-</t>
        </is>
      </c>
      <c r="K1160" s="1395">
        <f>IF(raw[[#This Row],[city]]&lt;&gt;"",_xlfn.XLOOKUP($D1160,ccc[city],ccc[prov],"-"),"-")</f>
        <v/>
      </c>
      <c r="L1160" s="1395">
        <f>IF(raw[[#This Row],[city]]&lt;&gt;"",_xlfn.XLOOKUP($D1160,ccc[city],ccc[ctry],"-"),"-")</f>
        <v/>
      </c>
      <c r="M1160" s="1395">
        <f>IF(raw[[#This Row],[city]]&lt;&gt;"",_xlfn.XLOOKUP($D1160,ccc[city],ccc[cont],"-"),"-")</f>
        <v/>
      </c>
      <c r="N1160" s="1396">
        <f>IF(raw[[#This Row],[city]]="","-",IF(raw[[#This Row],[cont]]="B",raw[[#This Row],[cont]],"W"))</f>
        <v/>
      </c>
      <c r="O1160" s="1397">
        <f>IF(raw[[#This Row],[out]]=0,0,IF(raw[[#This Row],[out]]=raw[[#This Row],[in]],0.01,raw[[#This Row],[out]]-raw[[#This Row],[in]]))</f>
        <v/>
      </c>
      <c r="P1160" s="1397">
        <f>IF(raw[[#This Row],[in]]=0,0,MONTH(raw[[#This Row],[in]]))</f>
        <v/>
      </c>
      <c r="Q1160" s="1397">
        <f>IF(raw[[#This Row],[in]]=0,0,YEAR(raw[[#This Row],[in]]))</f>
        <v/>
      </c>
      <c r="R1160" s="1397">
        <f>INT(raw[[#This Row],[yr]]/10)*10</f>
        <v/>
      </c>
      <c r="S1160" s="1395">
        <f>IF(raw[[#This Row],[city]]="","-",IF(raw[[#This Row],[city]]&lt;&gt;_xlfn.XLOOKUP(raw[[#This Row],[home]],homes[home],homes[city],"-"),1,0))</f>
        <v/>
      </c>
      <c r="T1160" s="1398" t="inlineStr">
        <is>
          <t>.</t>
        </is>
      </c>
      <c r="U1160" s="1399">
        <f>IF(raw[[#This Row],[wb]]="w",raw[[#This Row],[stay]]+U1159,U1159)</f>
        <v/>
      </c>
      <c r="V1160" s="1400">
        <f>IF(raw[[#This Row],[out]]=0,V1159,(raw[[#This Row],[out]]-E$5))</f>
        <v/>
      </c>
      <c r="W1160" s="1401">
        <f>U1160/V1160</f>
        <v/>
      </c>
      <c r="X1160" s="1392" t="n"/>
      <c r="Y1160" s="1392" t="n"/>
      <c r="Z1160" s="1392" t="n"/>
      <c r="AA1160" s="1392" t="n"/>
      <c r="AB1160" s="1392" t="n"/>
      <c r="AC1160" s="1392" t="n"/>
      <c r="AD1160" s="1392" t="n"/>
      <c r="AE1160" s="1392" t="n"/>
      <c r="AF1160" s="1392" t="n"/>
      <c r="AG1160" s="1392" t="n"/>
      <c r="AH1160" s="1392" t="n"/>
      <c r="AI1160" s="1392" t="n"/>
      <c r="AJ1160" s="1392" t="n"/>
      <c r="AK1160" s="1392" t="n"/>
      <c r="AL1160" s="1392" t="n"/>
      <c r="AM1160" s="1392" t="n"/>
      <c r="AN1160" s="1392" t="n"/>
      <c r="AO1160" s="1392" t="n"/>
      <c r="AP1160" s="1392" t="n"/>
      <c r="AQ1160" s="1392" t="n"/>
      <c r="AR1160" s="1422" t="n"/>
      <c r="AS1160" s="1422" t="n"/>
      <c r="AT1160" s="1392" t="n"/>
      <c r="AU1160" s="1392" t="n"/>
      <c r="AV1160" s="1392" t="n"/>
      <c r="AW1160" s="1392" t="n"/>
      <c r="AX1160" s="1392" t="n"/>
      <c r="AY1160" s="1392" t="n"/>
      <c r="AZ1160" s="1392" t="n"/>
      <c r="BA1160" s="1422" t="n"/>
      <c r="BB1160" s="1422" t="n"/>
      <c r="BC1160" s="1392" t="n"/>
      <c r="BD1160" s="1392" t="n"/>
      <c r="BE1160" s="1392" t="n"/>
      <c r="BF1160" s="1392" t="n"/>
      <c r="BG1160" s="1392" t="n"/>
      <c r="BH1160" s="1392" t="n"/>
      <c r="BI1160" s="1392" t="n"/>
      <c r="BJ1160" s="1392" t="n"/>
      <c r="BK1160" s="1392" t="n"/>
      <c r="BL1160" s="1392" t="n"/>
      <c r="BM1160" s="1392" t="n"/>
      <c r="BN1160" s="1392" t="n"/>
      <c r="BO1160" s="1392" t="n"/>
      <c r="BP1160" s="1392" t="n"/>
      <c r="BQ1160" s="1392" t="n"/>
      <c r="BR1160" s="1392" t="n"/>
      <c r="BS1160" s="1392" t="n"/>
      <c r="BT1160" s="1392" t="n"/>
      <c r="BU1160" s="1392" t="n"/>
      <c r="BV1160" s="1392" t="n"/>
      <c r="BW1160" s="1392" t="n"/>
      <c r="BX1160" s="1392" t="n"/>
      <c r="BY1160" s="1392" t="n"/>
      <c r="BZ1160" s="1392" t="n"/>
      <c r="CA1160" s="1392" t="n"/>
      <c r="CB1160" s="1392" t="n"/>
      <c r="CC1160" s="1392" t="n"/>
      <c r="CD1160" s="1392" t="n"/>
      <c r="CE1160" s="1392" t="n"/>
      <c r="CF1160" s="1392" t="n"/>
      <c r="CG1160" s="1392" t="n"/>
      <c r="CH1160" s="1392" t="n"/>
      <c r="CI1160" s="1392" t="n"/>
      <c r="CJ1160" s="1392" t="n"/>
      <c r="CK1160" s="1392" t="n"/>
      <c r="CL1160" s="1392" t="n"/>
    </row>
    <row r="1161">
      <c r="A1161" s="5" t="inlineStr">
        <is>
          <t>.</t>
        </is>
      </c>
      <c r="B1161" s="5" t="inlineStr">
        <is>
          <t>.</t>
        </is>
      </c>
      <c r="C1161" s="1378">
        <f>IF(raw[[#This Row],[city]]="","-",IF(raw[[#This Row],[city]]="TODAY","-",C1160+1))</f>
        <v/>
      </c>
      <c r="D1161" s="1393" t="inlineStr">
        <is>
          <t>Rome</t>
        </is>
      </c>
      <c r="E1161" s="1394" t="n">
        <v>40069</v>
      </c>
      <c r="F1161" s="1394" t="n">
        <v>40072</v>
      </c>
      <c r="G1161" s="1393" t="n">
        <v>1</v>
      </c>
      <c r="H1161" s="1393" t="inlineStr">
        <is>
          <t>North Gower</t>
        </is>
      </c>
      <c r="I1161" s="1393" t="inlineStr">
        <is>
          <t>Cruise/Nina</t>
        </is>
      </c>
      <c r="J1161" s="1393" t="inlineStr">
        <is>
          <t>-</t>
        </is>
      </c>
      <c r="K1161" s="1395">
        <f>IF(raw[[#This Row],[city]]&lt;&gt;"",_xlfn.XLOOKUP($D1161,ccc[city],ccc[prov],"-"),"-")</f>
        <v/>
      </c>
      <c r="L1161" s="1395">
        <f>IF(raw[[#This Row],[city]]&lt;&gt;"",_xlfn.XLOOKUP($D1161,ccc[city],ccc[ctry],"-"),"-")</f>
        <v/>
      </c>
      <c r="M1161" s="1395">
        <f>IF(raw[[#This Row],[city]]&lt;&gt;"",_xlfn.XLOOKUP($D1161,ccc[city],ccc[cont],"-"),"-")</f>
        <v/>
      </c>
      <c r="N1161" s="1396">
        <f>IF(raw[[#This Row],[city]]="","-",IF(raw[[#This Row],[cont]]="B",raw[[#This Row],[cont]],"W"))</f>
        <v/>
      </c>
      <c r="O1161" s="1397">
        <f>IF(raw[[#This Row],[out]]=0,0,IF(raw[[#This Row],[out]]=raw[[#This Row],[in]],0.01,raw[[#This Row],[out]]-raw[[#This Row],[in]]))</f>
        <v/>
      </c>
      <c r="P1161" s="1397">
        <f>IF(raw[[#This Row],[in]]=0,0,MONTH(raw[[#This Row],[in]]))</f>
        <v/>
      </c>
      <c r="Q1161" s="1397">
        <f>IF(raw[[#This Row],[in]]=0,0,YEAR(raw[[#This Row],[in]]))</f>
        <v/>
      </c>
      <c r="R1161" s="1397">
        <f>INT(raw[[#This Row],[yr]]/10)*10</f>
        <v/>
      </c>
      <c r="S1161" s="1395">
        <f>IF(raw[[#This Row],[city]]="","-",IF(raw[[#This Row],[city]]&lt;&gt;_xlfn.XLOOKUP(raw[[#This Row],[home]],homes[home],homes[city],"-"),1,0))</f>
        <v/>
      </c>
      <c r="T1161" s="1398" t="inlineStr">
        <is>
          <t>.</t>
        </is>
      </c>
      <c r="U1161" s="1399">
        <f>IF(raw[[#This Row],[wb]]="w",raw[[#This Row],[stay]]+U1160,U1160)</f>
        <v/>
      </c>
      <c r="V1161" s="1400">
        <f>IF(raw[[#This Row],[out]]=0,V1160,(raw[[#This Row],[out]]-E$5))</f>
        <v/>
      </c>
      <c r="W1161" s="1401">
        <f>U1161/V1161</f>
        <v/>
      </c>
      <c r="X1161" s="1392" t="n"/>
      <c r="Y1161" s="1392" t="n"/>
      <c r="Z1161" s="1392" t="n"/>
      <c r="AA1161" s="1392" t="n"/>
      <c r="AB1161" s="1392" t="n"/>
      <c r="AC1161" s="1392" t="n"/>
      <c r="AD1161" s="1392" t="n"/>
      <c r="AE1161" s="1392" t="n"/>
      <c r="AF1161" s="1392" t="n"/>
      <c r="AG1161" s="1392" t="n"/>
      <c r="AH1161" s="1392" t="n"/>
      <c r="AI1161" s="1392" t="n"/>
      <c r="AJ1161" s="1392" t="n"/>
      <c r="AK1161" s="1392" t="n"/>
      <c r="AL1161" s="1392" t="n"/>
      <c r="AM1161" s="1392" t="n"/>
      <c r="AN1161" s="1392" t="n"/>
      <c r="AO1161" s="1392" t="n"/>
      <c r="AP1161" s="1392" t="n"/>
      <c r="AQ1161" s="1392" t="n"/>
      <c r="AR1161" s="1422" t="n"/>
      <c r="AS1161" s="1422" t="n"/>
      <c r="AT1161" s="1392" t="n"/>
      <c r="AU1161" s="1392" t="n"/>
      <c r="AV1161" s="1392" t="n"/>
      <c r="AW1161" s="1392" t="n"/>
      <c r="AX1161" s="1392" t="n"/>
      <c r="AY1161" s="1392" t="n"/>
      <c r="AZ1161" s="1392" t="n"/>
      <c r="BA1161" s="1422" t="n"/>
      <c r="BB1161" s="1422" t="n"/>
      <c r="BC1161" s="1392" t="n"/>
      <c r="BD1161" s="1392" t="n"/>
      <c r="BE1161" s="1392" t="n"/>
      <c r="BF1161" s="1392" t="n"/>
      <c r="BG1161" s="1392" t="n"/>
      <c r="BH1161" s="1392" t="n"/>
      <c r="BI1161" s="1392" t="n"/>
      <c r="BJ1161" s="1392" t="n"/>
      <c r="BK1161" s="1392" t="n"/>
      <c r="BL1161" s="1392" t="n"/>
      <c r="BM1161" s="1392" t="n"/>
      <c r="BN1161" s="1392" t="n"/>
      <c r="BO1161" s="1392" t="n"/>
      <c r="BP1161" s="1392" t="n"/>
      <c r="BQ1161" s="1392" t="n"/>
      <c r="BR1161" s="1392" t="n"/>
      <c r="BS1161" s="1392" t="n"/>
      <c r="BT1161" s="1392" t="n"/>
      <c r="BU1161" s="1392" t="n"/>
      <c r="BV1161" s="1392" t="n"/>
      <c r="BW1161" s="1392" t="n"/>
      <c r="BX1161" s="1392" t="n"/>
      <c r="BY1161" s="1392" t="n"/>
      <c r="BZ1161" s="1392" t="n"/>
      <c r="CA1161" s="1392" t="n"/>
      <c r="CB1161" s="1392" t="n"/>
      <c r="CC1161" s="1392" t="n"/>
      <c r="CD1161" s="1392" t="n"/>
      <c r="CE1161" s="1392" t="n"/>
      <c r="CF1161" s="1392" t="n"/>
      <c r="CG1161" s="1392" t="n"/>
      <c r="CH1161" s="1392" t="n"/>
      <c r="CI1161" s="1392" t="n"/>
      <c r="CJ1161" s="1392" t="n"/>
      <c r="CK1161" s="1392" t="n"/>
      <c r="CL1161" s="1392" t="n"/>
    </row>
    <row r="1162">
      <c r="A1162" s="5" t="inlineStr">
        <is>
          <t>.</t>
        </is>
      </c>
      <c r="B1162" s="5" t="inlineStr">
        <is>
          <t>.</t>
        </is>
      </c>
      <c r="C1162" s="1378">
        <f>IF(raw[[#This Row],[city]]="","-",IF(raw[[#This Row],[city]]="TODAY","-",C1161+1))</f>
        <v/>
      </c>
      <c r="D1162" s="1393" t="inlineStr">
        <is>
          <t>London</t>
        </is>
      </c>
      <c r="E1162" s="1394" t="n">
        <v>40072</v>
      </c>
      <c r="F1162" s="1394" t="n">
        <v>40087</v>
      </c>
      <c r="G1162" s="1393" t="inlineStr">
        <is>
          <t>-</t>
        </is>
      </c>
      <c r="H1162" s="1393" t="inlineStr">
        <is>
          <t>North Gower</t>
        </is>
      </c>
      <c r="I1162" s="1393" t="inlineStr">
        <is>
          <t>-</t>
        </is>
      </c>
      <c r="J1162" s="1393" t="inlineStr">
        <is>
          <t>-</t>
        </is>
      </c>
      <c r="K1162" s="1395">
        <f>IF(raw[[#This Row],[city]]&lt;&gt;"",_xlfn.XLOOKUP($D1162,ccc[city],ccc[prov],"-"),"-")</f>
        <v/>
      </c>
      <c r="L1162" s="1395">
        <f>IF(raw[[#This Row],[city]]&lt;&gt;"",_xlfn.XLOOKUP($D1162,ccc[city],ccc[ctry],"-"),"-")</f>
        <v/>
      </c>
      <c r="M1162" s="1395">
        <f>IF(raw[[#This Row],[city]]&lt;&gt;"",_xlfn.XLOOKUP($D1162,ccc[city],ccc[cont],"-"),"-")</f>
        <v/>
      </c>
      <c r="N1162" s="1396">
        <f>IF(raw[[#This Row],[city]]="","-",IF(raw[[#This Row],[cont]]="B",raw[[#This Row],[cont]],"W"))</f>
        <v/>
      </c>
      <c r="O1162" s="1397">
        <f>IF(raw[[#This Row],[out]]=0,0,IF(raw[[#This Row],[out]]=raw[[#This Row],[in]],0.01,raw[[#This Row],[out]]-raw[[#This Row],[in]]))</f>
        <v/>
      </c>
      <c r="P1162" s="1397">
        <f>IF(raw[[#This Row],[in]]=0,0,MONTH(raw[[#This Row],[in]]))</f>
        <v/>
      </c>
      <c r="Q1162" s="1397">
        <f>IF(raw[[#This Row],[in]]=0,0,YEAR(raw[[#This Row],[in]]))</f>
        <v/>
      </c>
      <c r="R1162" s="1397">
        <f>INT(raw[[#This Row],[yr]]/10)*10</f>
        <v/>
      </c>
      <c r="S1162" s="1395">
        <f>IF(raw[[#This Row],[city]]="","-",IF(raw[[#This Row],[city]]&lt;&gt;_xlfn.XLOOKUP(raw[[#This Row],[home]],homes[home],homes[city],"-"),1,0))</f>
        <v/>
      </c>
      <c r="T1162" s="1398" t="inlineStr">
        <is>
          <t>.</t>
        </is>
      </c>
      <c r="U1162" s="1399">
        <f>IF(raw[[#This Row],[wb]]="w",raw[[#This Row],[stay]]+U1161,U1161)</f>
        <v/>
      </c>
      <c r="V1162" s="1400">
        <f>IF(raw[[#This Row],[out]]=0,V1161,(raw[[#This Row],[out]]-E$5))</f>
        <v/>
      </c>
      <c r="W1162" s="1401">
        <f>U1162/V1162</f>
        <v/>
      </c>
      <c r="X1162" s="1392" t="n"/>
      <c r="Y1162" s="1392" t="n"/>
      <c r="Z1162" s="1392" t="n"/>
      <c r="AA1162" s="1392" t="n"/>
      <c r="AB1162" s="1392" t="n"/>
      <c r="AC1162" s="1392" t="n"/>
      <c r="AD1162" s="1392" t="n"/>
      <c r="AE1162" s="1392" t="n"/>
      <c r="AF1162" s="1392" t="n"/>
      <c r="AG1162" s="1392" t="n"/>
      <c r="AH1162" s="1392" t="n"/>
      <c r="AI1162" s="1392" t="n"/>
      <c r="AJ1162" s="1392" t="n"/>
      <c r="AK1162" s="1392" t="n"/>
      <c r="AL1162" s="1392" t="n"/>
      <c r="AM1162" s="1392" t="n"/>
      <c r="AN1162" s="1392" t="n"/>
      <c r="AO1162" s="1392" t="n"/>
      <c r="AP1162" s="1392" t="n"/>
      <c r="AQ1162" s="1392" t="n"/>
      <c r="AR1162" s="1422" t="n"/>
      <c r="AS1162" s="1422" t="n"/>
      <c r="AT1162" s="1392" t="n"/>
      <c r="AU1162" s="1392" t="n"/>
      <c r="AV1162" s="1392" t="n"/>
      <c r="AW1162" s="1392" t="n"/>
      <c r="AX1162" s="1392" t="n"/>
      <c r="AY1162" s="1392" t="n"/>
      <c r="AZ1162" s="1392" t="n"/>
      <c r="BA1162" s="1422" t="n"/>
      <c r="BB1162" s="1422" t="n"/>
      <c r="BC1162" s="1392" t="n"/>
      <c r="BD1162" s="1392" t="n"/>
      <c r="BE1162" s="1392" t="n"/>
      <c r="BF1162" s="1392" t="n"/>
      <c r="BG1162" s="1392" t="n"/>
      <c r="BH1162" s="1392" t="n"/>
      <c r="BI1162" s="1392" t="n"/>
      <c r="BJ1162" s="1392" t="n"/>
      <c r="BK1162" s="1392" t="n"/>
      <c r="BL1162" s="1392" t="n"/>
      <c r="BM1162" s="1392" t="n"/>
      <c r="BN1162" s="1392" t="n"/>
      <c r="BO1162" s="1392" t="n"/>
      <c r="BP1162" s="1392" t="n"/>
      <c r="BQ1162" s="1392" t="n"/>
      <c r="BR1162" s="1392" t="n"/>
      <c r="BS1162" s="1392" t="n"/>
      <c r="BT1162" s="1392" t="n"/>
      <c r="BU1162" s="1392" t="n"/>
      <c r="BV1162" s="1392" t="n"/>
      <c r="BW1162" s="1392" t="n"/>
      <c r="BX1162" s="1392" t="n"/>
      <c r="BY1162" s="1392" t="n"/>
      <c r="BZ1162" s="1392" t="n"/>
      <c r="CA1162" s="1392" t="n"/>
      <c r="CB1162" s="1392" t="n"/>
      <c r="CC1162" s="1392" t="n"/>
      <c r="CD1162" s="1392" t="n"/>
      <c r="CE1162" s="1392" t="n"/>
      <c r="CF1162" s="1392" t="n"/>
      <c r="CG1162" s="1392" t="n"/>
      <c r="CH1162" s="1392" t="n"/>
      <c r="CI1162" s="1392" t="n"/>
      <c r="CJ1162" s="1392" t="n"/>
      <c r="CK1162" s="1392" t="n"/>
      <c r="CL1162" s="1392" t="n"/>
    </row>
    <row r="1163">
      <c r="A1163" s="5" t="inlineStr">
        <is>
          <t>.</t>
        </is>
      </c>
      <c r="B1163" s="5" t="inlineStr">
        <is>
          <t>.</t>
        </is>
      </c>
      <c r="C1163" s="1378">
        <f>IF(raw[[#This Row],[city]]="","-",IF(raw[[#This Row],[city]]="TODAY","-",C1162+1))</f>
        <v/>
      </c>
      <c r="D1163" s="1393" t="inlineStr">
        <is>
          <t>London</t>
        </is>
      </c>
      <c r="E1163" s="1394" t="n">
        <v>40087</v>
      </c>
      <c r="F1163" s="1394" t="n">
        <v>40096</v>
      </c>
      <c r="G1163" s="1393" t="inlineStr">
        <is>
          <t>-</t>
        </is>
      </c>
      <c r="H1163" s="1393" t="inlineStr">
        <is>
          <t>North Gower</t>
        </is>
      </c>
      <c r="I1163" s="1393" t="inlineStr">
        <is>
          <t>-</t>
        </is>
      </c>
      <c r="J1163" s="1393" t="inlineStr">
        <is>
          <t>-</t>
        </is>
      </c>
      <c r="K1163" s="1395">
        <f>IF(raw[[#This Row],[city]]&lt;&gt;"",_xlfn.XLOOKUP($D1163,ccc[city],ccc[prov],"-"),"-")</f>
        <v/>
      </c>
      <c r="L1163" s="1395">
        <f>IF(raw[[#This Row],[city]]&lt;&gt;"",_xlfn.XLOOKUP($D1163,ccc[city],ccc[ctry],"-"),"-")</f>
        <v/>
      </c>
      <c r="M1163" s="1395">
        <f>IF(raw[[#This Row],[city]]&lt;&gt;"",_xlfn.XLOOKUP($D1163,ccc[city],ccc[cont],"-"),"-")</f>
        <v/>
      </c>
      <c r="N1163" s="1396">
        <f>IF(raw[[#This Row],[city]]="","-",IF(raw[[#This Row],[cont]]="B",raw[[#This Row],[cont]],"W"))</f>
        <v/>
      </c>
      <c r="O1163" s="1397">
        <f>IF(raw[[#This Row],[out]]=0,0,IF(raw[[#This Row],[out]]=raw[[#This Row],[in]],0.01,raw[[#This Row],[out]]-raw[[#This Row],[in]]))</f>
        <v/>
      </c>
      <c r="P1163" s="1397">
        <f>IF(raw[[#This Row],[in]]=0,0,MONTH(raw[[#This Row],[in]]))</f>
        <v/>
      </c>
      <c r="Q1163" s="1397">
        <f>IF(raw[[#This Row],[in]]=0,0,YEAR(raw[[#This Row],[in]]))</f>
        <v/>
      </c>
      <c r="R1163" s="1397">
        <f>INT(raw[[#This Row],[yr]]/10)*10</f>
        <v/>
      </c>
      <c r="S1163" s="1395">
        <f>IF(raw[[#This Row],[city]]="","-",IF(raw[[#This Row],[city]]&lt;&gt;_xlfn.XLOOKUP(raw[[#This Row],[home]],homes[home],homes[city],"-"),1,0))</f>
        <v/>
      </c>
      <c r="T1163" s="1398" t="inlineStr">
        <is>
          <t>.</t>
        </is>
      </c>
      <c r="U1163" s="1399">
        <f>IF(raw[[#This Row],[wb]]="w",raw[[#This Row],[stay]]+U1162,U1162)</f>
        <v/>
      </c>
      <c r="V1163" s="1400">
        <f>IF(raw[[#This Row],[out]]=0,V1162,(raw[[#This Row],[out]]-E$5))</f>
        <v/>
      </c>
      <c r="W1163" s="1401">
        <f>U1163/V1163</f>
        <v/>
      </c>
      <c r="X1163" s="1392" t="n"/>
      <c r="Y1163" s="1392" t="n"/>
      <c r="Z1163" s="1392" t="n"/>
      <c r="AA1163" s="1392" t="n"/>
      <c r="AB1163" s="1392" t="n"/>
      <c r="AC1163" s="1392" t="n"/>
      <c r="AD1163" s="1392" t="n"/>
      <c r="AE1163" s="1392" t="n"/>
      <c r="AF1163" s="1392" t="n"/>
      <c r="AG1163" s="1392" t="n"/>
      <c r="AH1163" s="1392" t="n"/>
      <c r="AI1163" s="1392" t="n"/>
      <c r="AJ1163" s="1392" t="n"/>
      <c r="AK1163" s="1392" t="n"/>
      <c r="AL1163" s="1392" t="n"/>
      <c r="AM1163" s="1392" t="n"/>
      <c r="AN1163" s="1392" t="n"/>
      <c r="AO1163" s="1392" t="n"/>
      <c r="AP1163" s="1392" t="n"/>
      <c r="AQ1163" s="1392" t="n"/>
      <c r="AR1163" s="1422" t="n"/>
      <c r="AS1163" s="1422" t="n"/>
      <c r="AT1163" s="1392" t="n"/>
      <c r="AU1163" s="1392" t="n"/>
      <c r="AV1163" s="1392" t="n"/>
      <c r="AW1163" s="1392" t="n"/>
      <c r="AX1163" s="1392" t="n"/>
      <c r="AY1163" s="1392" t="n"/>
      <c r="AZ1163" s="1392" t="n"/>
      <c r="BA1163" s="1422" t="n"/>
      <c r="BB1163" s="1422" t="n"/>
      <c r="BC1163" s="1392" t="n"/>
      <c r="BD1163" s="1392" t="n"/>
      <c r="BE1163" s="1392" t="n"/>
      <c r="BF1163" s="1392" t="n"/>
      <c r="BG1163" s="1392" t="n"/>
      <c r="BH1163" s="1392" t="n"/>
      <c r="BI1163" s="1392" t="n"/>
      <c r="BJ1163" s="1392" t="n"/>
      <c r="BK1163" s="1392" t="n"/>
      <c r="BL1163" s="1392" t="n"/>
      <c r="BM1163" s="1392" t="n"/>
      <c r="BN1163" s="1392" t="n"/>
      <c r="BO1163" s="1392" t="n"/>
      <c r="BP1163" s="1392" t="n"/>
      <c r="BQ1163" s="1392" t="n"/>
      <c r="BR1163" s="1392" t="n"/>
      <c r="BS1163" s="1392" t="n"/>
      <c r="BT1163" s="1392" t="n"/>
      <c r="BU1163" s="1392" t="n"/>
      <c r="BV1163" s="1392" t="n"/>
      <c r="BW1163" s="1392" t="n"/>
      <c r="BX1163" s="1392" t="n"/>
      <c r="BY1163" s="1392" t="n"/>
      <c r="BZ1163" s="1392" t="n"/>
      <c r="CA1163" s="1392" t="n"/>
      <c r="CB1163" s="1392" t="n"/>
      <c r="CC1163" s="1392" t="n"/>
      <c r="CD1163" s="1392" t="n"/>
      <c r="CE1163" s="1392" t="n"/>
      <c r="CF1163" s="1392" t="n"/>
      <c r="CG1163" s="1392" t="n"/>
      <c r="CH1163" s="1392" t="n"/>
      <c r="CI1163" s="1392" t="n"/>
      <c r="CJ1163" s="1392" t="n"/>
      <c r="CK1163" s="1392" t="n"/>
      <c r="CL1163" s="1392" t="n"/>
    </row>
    <row r="1164">
      <c r="A1164" s="5" t="inlineStr">
        <is>
          <t>.</t>
        </is>
      </c>
      <c r="B1164" s="5" t="inlineStr">
        <is>
          <t>.</t>
        </is>
      </c>
      <c r="C1164" s="1378">
        <f>IF(raw[[#This Row],[city]]="","-",IF(raw[[#This Row],[city]]="TODAY","-",C1163+1))</f>
        <v/>
      </c>
      <c r="D1164" s="1393" t="inlineStr">
        <is>
          <t>Paris</t>
        </is>
      </c>
      <c r="E1164" s="1394" t="n">
        <v>40096</v>
      </c>
      <c r="F1164" s="1394" t="n">
        <v>40109</v>
      </c>
      <c r="G1164" s="1393" t="inlineStr">
        <is>
          <t>-</t>
        </is>
      </c>
      <c r="H1164" s="1393" t="inlineStr">
        <is>
          <t>Transit</t>
        </is>
      </c>
      <c r="I1164" s="1393" t="inlineStr">
        <is>
          <t>Angela/Bobigny</t>
        </is>
      </c>
      <c r="J1164" s="1393" t="inlineStr">
        <is>
          <t>-</t>
        </is>
      </c>
      <c r="K1164" s="1395">
        <f>IF(raw[[#This Row],[city]]&lt;&gt;"",_xlfn.XLOOKUP($D1164,ccc[city],ccc[prov],"-"),"-")</f>
        <v/>
      </c>
      <c r="L1164" s="1395">
        <f>IF(raw[[#This Row],[city]]&lt;&gt;"",_xlfn.XLOOKUP($D1164,ccc[city],ccc[ctry],"-"),"-")</f>
        <v/>
      </c>
      <c r="M1164" s="1395">
        <f>IF(raw[[#This Row],[city]]&lt;&gt;"",_xlfn.XLOOKUP($D1164,ccc[city],ccc[cont],"-"),"-")</f>
        <v/>
      </c>
      <c r="N1164" s="1396">
        <f>IF(raw[[#This Row],[city]]="","-",IF(raw[[#This Row],[cont]]="B",raw[[#This Row],[cont]],"W"))</f>
        <v/>
      </c>
      <c r="O1164" s="1397">
        <f>IF(raw[[#This Row],[out]]=0,0,IF(raw[[#This Row],[out]]=raw[[#This Row],[in]],0.01,raw[[#This Row],[out]]-raw[[#This Row],[in]]))</f>
        <v/>
      </c>
      <c r="P1164" s="1397">
        <f>IF(raw[[#This Row],[in]]=0,0,MONTH(raw[[#This Row],[in]]))</f>
        <v/>
      </c>
      <c r="Q1164" s="1397">
        <f>IF(raw[[#This Row],[in]]=0,0,YEAR(raw[[#This Row],[in]]))</f>
        <v/>
      </c>
      <c r="R1164" s="1397">
        <f>INT(raw[[#This Row],[yr]]/10)*10</f>
        <v/>
      </c>
      <c r="S1164" s="1395">
        <f>IF(raw[[#This Row],[city]]="","-",IF(raw[[#This Row],[city]]&lt;&gt;_xlfn.XLOOKUP(raw[[#This Row],[home]],homes[home],homes[city],"-"),1,0))</f>
        <v/>
      </c>
      <c r="T1164" s="1398" t="inlineStr">
        <is>
          <t>.</t>
        </is>
      </c>
      <c r="U1164" s="1399">
        <f>IF(raw[[#This Row],[wb]]="w",raw[[#This Row],[stay]]+U1163,U1163)</f>
        <v/>
      </c>
      <c r="V1164" s="1400">
        <f>IF(raw[[#This Row],[out]]=0,V1163,(raw[[#This Row],[out]]-E$5))</f>
        <v/>
      </c>
      <c r="W1164" s="1401">
        <f>U1164/V1164</f>
        <v/>
      </c>
      <c r="X1164" s="1392" t="n"/>
      <c r="Y1164" s="1392" t="n"/>
      <c r="Z1164" s="1392" t="n"/>
      <c r="AA1164" s="1392" t="n"/>
      <c r="AB1164" s="1392" t="n"/>
      <c r="AC1164" s="1392" t="n"/>
      <c r="AD1164" s="1392" t="n"/>
      <c r="AE1164" s="1392" t="n"/>
      <c r="AF1164" s="1392" t="n"/>
      <c r="AG1164" s="1392" t="n"/>
      <c r="AH1164" s="1392" t="n"/>
      <c r="AI1164" s="1392" t="n"/>
      <c r="AJ1164" s="1392" t="n"/>
      <c r="AK1164" s="1392" t="n"/>
      <c r="AL1164" s="1392" t="n"/>
      <c r="AM1164" s="1392" t="n"/>
      <c r="AN1164" s="1392" t="n"/>
      <c r="AO1164" s="1392" t="n"/>
      <c r="AP1164" s="1392" t="n"/>
      <c r="AQ1164" s="1392" t="n"/>
      <c r="AR1164" s="1422" t="n"/>
      <c r="AS1164" s="1422" t="n"/>
      <c r="AT1164" s="1392" t="n"/>
      <c r="AU1164" s="1392" t="n"/>
      <c r="AV1164" s="1392" t="n"/>
      <c r="AW1164" s="1392" t="n"/>
      <c r="AX1164" s="1392" t="n"/>
      <c r="AY1164" s="1392" t="n"/>
      <c r="AZ1164" s="1392" t="n"/>
      <c r="BA1164" s="1422" t="n"/>
      <c r="BB1164" s="1422" t="n"/>
      <c r="BC1164" s="1392" t="n"/>
      <c r="BD1164" s="1392" t="n"/>
      <c r="BE1164" s="1392" t="n"/>
      <c r="BF1164" s="1392" t="n"/>
      <c r="BG1164" s="1392" t="n"/>
      <c r="BH1164" s="1392" t="n"/>
      <c r="BI1164" s="1392" t="n"/>
      <c r="BJ1164" s="1392" t="n"/>
      <c r="BK1164" s="1392" t="n"/>
      <c r="BL1164" s="1392" t="n"/>
      <c r="BM1164" s="1392" t="n"/>
      <c r="BN1164" s="1392" t="n"/>
      <c r="BO1164" s="1392" t="n"/>
      <c r="BP1164" s="1392" t="n"/>
      <c r="BQ1164" s="1392" t="n"/>
      <c r="BR1164" s="1392" t="n"/>
      <c r="BS1164" s="1392" t="n"/>
      <c r="BT1164" s="1392" t="n"/>
      <c r="BU1164" s="1392" t="n"/>
      <c r="BV1164" s="1392" t="n"/>
      <c r="BW1164" s="1392" t="n"/>
      <c r="BX1164" s="1392" t="n"/>
      <c r="BY1164" s="1392" t="n"/>
      <c r="BZ1164" s="1392" t="n"/>
      <c r="CA1164" s="1392" t="n"/>
      <c r="CB1164" s="1392" t="n"/>
      <c r="CC1164" s="1392" t="n"/>
      <c r="CD1164" s="1392" t="n"/>
      <c r="CE1164" s="1392" t="n"/>
      <c r="CF1164" s="1392" t="n"/>
      <c r="CG1164" s="1392" t="n"/>
      <c r="CH1164" s="1392" t="n"/>
      <c r="CI1164" s="1392" t="n"/>
      <c r="CJ1164" s="1392" t="n"/>
      <c r="CK1164" s="1392" t="n"/>
      <c r="CL1164" s="1392" t="n"/>
    </row>
    <row r="1165">
      <c r="A1165" s="5" t="inlineStr">
        <is>
          <t>.</t>
        </is>
      </c>
      <c r="B1165" s="5" t="inlineStr">
        <is>
          <t>.</t>
        </is>
      </c>
      <c r="C1165" s="1378">
        <f>IF(raw[[#This Row],[city]]="","-",IF(raw[[#This Row],[city]]="TODAY","-",C1164+1))</f>
        <v/>
      </c>
      <c r="D1165" s="1393" t="inlineStr">
        <is>
          <t>Paris</t>
        </is>
      </c>
      <c r="E1165" s="1394" t="n">
        <v>40109</v>
      </c>
      <c r="F1165" s="1394" t="n">
        <v>40118</v>
      </c>
      <c r="G1165" s="1393" t="inlineStr">
        <is>
          <t>-</t>
        </is>
      </c>
      <c r="H1165" s="1393" t="inlineStr">
        <is>
          <t>Loing</t>
        </is>
      </c>
      <c r="I1165" s="1393" t="inlineStr">
        <is>
          <t>Angela/Bobigny</t>
        </is>
      </c>
      <c r="J1165" s="1393" t="inlineStr">
        <is>
          <t>-</t>
        </is>
      </c>
      <c r="K1165" s="1395">
        <f>IF(raw[[#This Row],[city]]&lt;&gt;"",_xlfn.XLOOKUP($D1165,ccc[city],ccc[prov],"-"),"-")</f>
        <v/>
      </c>
      <c r="L1165" s="1395">
        <f>IF(raw[[#This Row],[city]]&lt;&gt;"",_xlfn.XLOOKUP($D1165,ccc[city],ccc[ctry],"-"),"-")</f>
        <v/>
      </c>
      <c r="M1165" s="1395">
        <f>IF(raw[[#This Row],[city]]&lt;&gt;"",_xlfn.XLOOKUP($D1165,ccc[city],ccc[cont],"-"),"-")</f>
        <v/>
      </c>
      <c r="N1165" s="1396">
        <f>IF(raw[[#This Row],[city]]="","-",IF(raw[[#This Row],[cont]]="B",raw[[#This Row],[cont]],"W"))</f>
        <v/>
      </c>
      <c r="O1165" s="1397">
        <f>IF(raw[[#This Row],[out]]=0,0,IF(raw[[#This Row],[out]]=raw[[#This Row],[in]],0.01,raw[[#This Row],[out]]-raw[[#This Row],[in]]))</f>
        <v/>
      </c>
      <c r="P1165" s="1397">
        <f>IF(raw[[#This Row],[in]]=0,0,MONTH(raw[[#This Row],[in]]))</f>
        <v/>
      </c>
      <c r="Q1165" s="1397">
        <f>IF(raw[[#This Row],[in]]=0,0,YEAR(raw[[#This Row],[in]]))</f>
        <v/>
      </c>
      <c r="R1165" s="1397">
        <f>INT(raw[[#This Row],[yr]]/10)*10</f>
        <v/>
      </c>
      <c r="S1165" s="1395">
        <f>IF(raw[[#This Row],[city]]="","-",IF(raw[[#This Row],[city]]&lt;&gt;_xlfn.XLOOKUP(raw[[#This Row],[home]],homes[home],homes[city],"-"),1,0))</f>
        <v/>
      </c>
      <c r="T1165" s="1398" t="inlineStr">
        <is>
          <t>.</t>
        </is>
      </c>
      <c r="U1165" s="1399">
        <f>IF(raw[[#This Row],[wb]]="w",raw[[#This Row],[stay]]+U1164,U1164)</f>
        <v/>
      </c>
      <c r="V1165" s="1400">
        <f>IF(raw[[#This Row],[out]]=0,V1164,(raw[[#This Row],[out]]-E$5))</f>
        <v/>
      </c>
      <c r="W1165" s="1401">
        <f>U1165/V1165</f>
        <v/>
      </c>
      <c r="X1165" s="1392" t="n"/>
      <c r="Y1165" s="1392" t="n"/>
      <c r="Z1165" s="1392" t="n"/>
      <c r="AA1165" s="1392" t="n"/>
      <c r="AB1165" s="1392" t="n"/>
      <c r="AC1165" s="1392" t="n"/>
      <c r="AD1165" s="1392" t="n"/>
      <c r="AE1165" s="1392" t="n"/>
      <c r="AF1165" s="1392" t="n"/>
      <c r="AG1165" s="1392" t="n"/>
      <c r="AH1165" s="1392" t="n"/>
      <c r="AI1165" s="1392" t="n"/>
      <c r="AJ1165" s="1392" t="n"/>
      <c r="AK1165" s="1392" t="n"/>
      <c r="AL1165" s="1392" t="n"/>
      <c r="AM1165" s="1392" t="n"/>
      <c r="AN1165" s="1392" t="n"/>
      <c r="AO1165" s="1392" t="n"/>
      <c r="AP1165" s="1392" t="n"/>
      <c r="AQ1165" s="1392" t="n"/>
      <c r="AR1165" s="1422" t="n"/>
      <c r="AS1165" s="1422" t="n"/>
      <c r="AT1165" s="1392" t="n"/>
      <c r="AU1165" s="1392" t="n"/>
      <c r="AV1165" s="1392" t="n"/>
      <c r="AW1165" s="1392" t="n"/>
      <c r="AX1165" s="1392" t="n"/>
      <c r="AY1165" s="1392" t="n"/>
      <c r="AZ1165" s="1392" t="n"/>
      <c r="BA1165" s="1422" t="n"/>
      <c r="BB1165" s="1422" t="n"/>
      <c r="BC1165" s="1392" t="n"/>
      <c r="BD1165" s="1392" t="n"/>
      <c r="BE1165" s="1392" t="n"/>
      <c r="BF1165" s="1392" t="n"/>
      <c r="BG1165" s="1392" t="n"/>
      <c r="BH1165" s="1392" t="n"/>
      <c r="BI1165" s="1392" t="n"/>
      <c r="BJ1165" s="1392" t="n"/>
      <c r="BK1165" s="1392" t="n"/>
      <c r="BL1165" s="1392" t="n"/>
      <c r="BM1165" s="1392" t="n"/>
      <c r="BN1165" s="1392" t="n"/>
      <c r="BO1165" s="1392" t="n"/>
      <c r="BP1165" s="1392" t="n"/>
      <c r="BQ1165" s="1392" t="n"/>
      <c r="BR1165" s="1392" t="n"/>
      <c r="BS1165" s="1392" t="n"/>
      <c r="BT1165" s="1392" t="n"/>
      <c r="BU1165" s="1392" t="n"/>
      <c r="BV1165" s="1392" t="n"/>
      <c r="BW1165" s="1392" t="n"/>
      <c r="BX1165" s="1392" t="n"/>
      <c r="BY1165" s="1392" t="n"/>
      <c r="BZ1165" s="1392" t="n"/>
      <c r="CA1165" s="1392" t="n"/>
      <c r="CB1165" s="1392" t="n"/>
      <c r="CC1165" s="1392" t="n"/>
      <c r="CD1165" s="1392" t="n"/>
      <c r="CE1165" s="1392" t="n"/>
      <c r="CF1165" s="1392" t="n"/>
      <c r="CG1165" s="1392" t="n"/>
      <c r="CH1165" s="1392" t="n"/>
      <c r="CI1165" s="1392" t="n"/>
      <c r="CJ1165" s="1392" t="n"/>
      <c r="CK1165" s="1392" t="n"/>
      <c r="CL1165" s="1392" t="n"/>
    </row>
    <row r="1166">
      <c r="A1166" s="5" t="inlineStr">
        <is>
          <t>.</t>
        </is>
      </c>
      <c r="B1166" s="5" t="inlineStr">
        <is>
          <t>.</t>
        </is>
      </c>
      <c r="C1166" s="1378">
        <f>IF(raw[[#This Row],[city]]="","-",IF(raw[[#This Row],[city]]="TODAY","-",C1165+1))</f>
        <v/>
      </c>
      <c r="D1166" s="1393" t="inlineStr">
        <is>
          <t>Paris</t>
        </is>
      </c>
      <c r="E1166" s="1394" t="n">
        <v>40118</v>
      </c>
      <c r="F1166" s="1394" t="n">
        <v>40126</v>
      </c>
      <c r="G1166" s="1393" t="inlineStr">
        <is>
          <t>-</t>
        </is>
      </c>
      <c r="H1166" s="1393" t="inlineStr">
        <is>
          <t>Loing</t>
        </is>
      </c>
      <c r="I1166" s="1393" t="inlineStr">
        <is>
          <t>-</t>
        </is>
      </c>
      <c r="J1166" s="1393" t="inlineStr">
        <is>
          <t>-</t>
        </is>
      </c>
      <c r="K1166" s="1395">
        <f>IF(raw[[#This Row],[city]]&lt;&gt;"",_xlfn.XLOOKUP($D1166,ccc[city],ccc[prov],"-"),"-")</f>
        <v/>
      </c>
      <c r="L1166" s="1395">
        <f>IF(raw[[#This Row],[city]]&lt;&gt;"",_xlfn.XLOOKUP($D1166,ccc[city],ccc[ctry],"-"),"-")</f>
        <v/>
      </c>
      <c r="M1166" s="1395">
        <f>IF(raw[[#This Row],[city]]&lt;&gt;"",_xlfn.XLOOKUP($D1166,ccc[city],ccc[cont],"-"),"-")</f>
        <v/>
      </c>
      <c r="N1166" s="1396">
        <f>IF(raw[[#This Row],[city]]="","-",IF(raw[[#This Row],[cont]]="B",raw[[#This Row],[cont]],"W"))</f>
        <v/>
      </c>
      <c r="O1166" s="1397">
        <f>IF(raw[[#This Row],[out]]=0,0,IF(raw[[#This Row],[out]]=raw[[#This Row],[in]],0.01,raw[[#This Row],[out]]-raw[[#This Row],[in]]))</f>
        <v/>
      </c>
      <c r="P1166" s="1397">
        <f>IF(raw[[#This Row],[in]]=0,0,MONTH(raw[[#This Row],[in]]))</f>
        <v/>
      </c>
      <c r="Q1166" s="1397">
        <f>IF(raw[[#This Row],[in]]=0,0,YEAR(raw[[#This Row],[in]]))</f>
        <v/>
      </c>
      <c r="R1166" s="1397">
        <f>INT(raw[[#This Row],[yr]]/10)*10</f>
        <v/>
      </c>
      <c r="S1166" s="1395">
        <f>IF(raw[[#This Row],[city]]="","-",IF(raw[[#This Row],[city]]&lt;&gt;_xlfn.XLOOKUP(raw[[#This Row],[home]],homes[home],homes[city],"-"),1,0))</f>
        <v/>
      </c>
      <c r="T1166" s="1398" t="inlineStr">
        <is>
          <t>.</t>
        </is>
      </c>
      <c r="U1166" s="1399">
        <f>IF(raw[[#This Row],[wb]]="w",raw[[#This Row],[stay]]+U1165,U1165)</f>
        <v/>
      </c>
      <c r="V1166" s="1400">
        <f>IF(raw[[#This Row],[out]]=0,V1165,(raw[[#This Row],[out]]-E$5))</f>
        <v/>
      </c>
      <c r="W1166" s="1401">
        <f>U1166/V1166</f>
        <v/>
      </c>
      <c r="X1166" s="1392" t="n"/>
      <c r="Y1166" s="1392" t="n"/>
      <c r="Z1166" s="1392" t="n"/>
      <c r="AA1166" s="1392" t="n"/>
      <c r="AB1166" s="1392" t="n"/>
      <c r="AC1166" s="1392" t="n"/>
      <c r="AD1166" s="1392" t="n"/>
      <c r="AE1166" s="1392" t="n"/>
      <c r="AF1166" s="1392" t="n"/>
      <c r="AG1166" s="1392" t="n"/>
      <c r="AH1166" s="1392" t="n"/>
      <c r="AI1166" s="1392" t="n"/>
      <c r="AJ1166" s="1392" t="n"/>
      <c r="AK1166" s="1392" t="n"/>
      <c r="AL1166" s="1392" t="n"/>
      <c r="AM1166" s="1392" t="n"/>
      <c r="AN1166" s="1392" t="n"/>
      <c r="AO1166" s="1392" t="n"/>
      <c r="AP1166" s="1392" t="n"/>
      <c r="AQ1166" s="1392" t="n"/>
      <c r="AR1166" s="1422" t="n"/>
      <c r="AS1166" s="1422" t="n"/>
      <c r="AT1166" s="1392" t="n"/>
      <c r="AU1166" s="1392" t="n"/>
      <c r="AV1166" s="1392" t="n"/>
      <c r="AW1166" s="1392" t="n"/>
      <c r="AX1166" s="1392" t="n"/>
      <c r="AY1166" s="1392" t="n"/>
      <c r="AZ1166" s="1392" t="n"/>
      <c r="BA1166" s="1422" t="n"/>
      <c r="BB1166" s="1422" t="n"/>
      <c r="BC1166" s="1392" t="n"/>
      <c r="BD1166" s="1392" t="n"/>
      <c r="BE1166" s="1392" t="n"/>
      <c r="BF1166" s="1392" t="n"/>
      <c r="BG1166" s="1392" t="n"/>
      <c r="BH1166" s="1392" t="n"/>
      <c r="BI1166" s="1392" t="n"/>
      <c r="BJ1166" s="1392" t="n"/>
      <c r="BK1166" s="1392" t="n"/>
      <c r="BL1166" s="1392" t="n"/>
      <c r="BM1166" s="1392" t="n"/>
      <c r="BN1166" s="1392" t="n"/>
      <c r="BO1166" s="1392" t="n"/>
      <c r="BP1166" s="1392" t="n"/>
      <c r="BQ1166" s="1392" t="n"/>
      <c r="BR1166" s="1392" t="n"/>
      <c r="BS1166" s="1392" t="n"/>
      <c r="BT1166" s="1392" t="n"/>
      <c r="BU1166" s="1392" t="n"/>
      <c r="BV1166" s="1392" t="n"/>
      <c r="BW1166" s="1392" t="n"/>
      <c r="BX1166" s="1392" t="n"/>
      <c r="BY1166" s="1392" t="n"/>
      <c r="BZ1166" s="1392" t="n"/>
      <c r="CA1166" s="1392" t="n"/>
      <c r="CB1166" s="1392" t="n"/>
      <c r="CC1166" s="1392" t="n"/>
      <c r="CD1166" s="1392" t="n"/>
      <c r="CE1166" s="1392" t="n"/>
      <c r="CF1166" s="1392" t="n"/>
      <c r="CG1166" s="1392" t="n"/>
      <c r="CH1166" s="1392" t="n"/>
      <c r="CI1166" s="1392" t="n"/>
      <c r="CJ1166" s="1392" t="n"/>
      <c r="CK1166" s="1392" t="n"/>
      <c r="CL1166" s="1392" t="n"/>
    </row>
    <row r="1167">
      <c r="A1167" s="5" t="inlineStr">
        <is>
          <t>.</t>
        </is>
      </c>
      <c r="B1167" s="5" t="inlineStr">
        <is>
          <t>.</t>
        </is>
      </c>
      <c r="C1167" s="1378">
        <f>IF(raw[[#This Row],[city]]="","-",IF(raw[[#This Row],[city]]="TODAY","-",C1166+1))</f>
        <v/>
      </c>
      <c r="D1167" s="1393" t="inlineStr">
        <is>
          <t>Amsterdam</t>
        </is>
      </c>
      <c r="E1167" s="1394" t="n">
        <v>40126</v>
      </c>
      <c r="F1167" s="1394" t="n">
        <v>40130</v>
      </c>
      <c r="G1167" s="1393" t="inlineStr">
        <is>
          <t>-</t>
        </is>
      </c>
      <c r="H1167" s="1393" t="inlineStr">
        <is>
          <t>Loing</t>
        </is>
      </c>
      <c r="I1167" s="1393" t="inlineStr">
        <is>
          <t>-</t>
        </is>
      </c>
      <c r="J1167" s="1393" t="inlineStr">
        <is>
          <t>-</t>
        </is>
      </c>
      <c r="K1167" s="1395">
        <f>IF(raw[[#This Row],[city]]&lt;&gt;"",_xlfn.XLOOKUP($D1167,ccc[city],ccc[prov],"-"),"-")</f>
        <v/>
      </c>
      <c r="L1167" s="1395">
        <f>IF(raw[[#This Row],[city]]&lt;&gt;"",_xlfn.XLOOKUP($D1167,ccc[city],ccc[ctry],"-"),"-")</f>
        <v/>
      </c>
      <c r="M1167" s="1395">
        <f>IF(raw[[#This Row],[city]]&lt;&gt;"",_xlfn.XLOOKUP($D1167,ccc[city],ccc[cont],"-"),"-")</f>
        <v/>
      </c>
      <c r="N1167" s="1396">
        <f>IF(raw[[#This Row],[city]]="","-",IF(raw[[#This Row],[cont]]="B",raw[[#This Row],[cont]],"W"))</f>
        <v/>
      </c>
      <c r="O1167" s="1397">
        <f>IF(raw[[#This Row],[out]]=0,0,IF(raw[[#This Row],[out]]=raw[[#This Row],[in]],0.01,raw[[#This Row],[out]]-raw[[#This Row],[in]]))</f>
        <v/>
      </c>
      <c r="P1167" s="1397">
        <f>IF(raw[[#This Row],[in]]=0,0,MONTH(raw[[#This Row],[in]]))</f>
        <v/>
      </c>
      <c r="Q1167" s="1397">
        <f>IF(raw[[#This Row],[in]]=0,0,YEAR(raw[[#This Row],[in]]))</f>
        <v/>
      </c>
      <c r="R1167" s="1397">
        <f>INT(raw[[#This Row],[yr]]/10)*10</f>
        <v/>
      </c>
      <c r="S1167" s="1395">
        <f>IF(raw[[#This Row],[city]]="","-",IF(raw[[#This Row],[city]]&lt;&gt;_xlfn.XLOOKUP(raw[[#This Row],[home]],homes[home],homes[city],"-"),1,0))</f>
        <v/>
      </c>
      <c r="T1167" s="1398" t="inlineStr">
        <is>
          <t>.</t>
        </is>
      </c>
      <c r="U1167" s="1399">
        <f>IF(raw[[#This Row],[wb]]="w",raw[[#This Row],[stay]]+U1166,U1166)</f>
        <v/>
      </c>
      <c r="V1167" s="1400">
        <f>IF(raw[[#This Row],[out]]=0,V1166,(raw[[#This Row],[out]]-E$5))</f>
        <v/>
      </c>
      <c r="W1167" s="1401">
        <f>U1167/V1167</f>
        <v/>
      </c>
      <c r="X1167" s="1392" t="n"/>
      <c r="Y1167" s="1392" t="n"/>
      <c r="Z1167" s="1392" t="n"/>
      <c r="AA1167" s="1392" t="n"/>
      <c r="AB1167" s="1392" t="n"/>
      <c r="AC1167" s="1392" t="n"/>
      <c r="AD1167" s="1392" t="n"/>
      <c r="AE1167" s="1392" t="n"/>
      <c r="AF1167" s="1392" t="n"/>
      <c r="AG1167" s="1392" t="n"/>
      <c r="AH1167" s="1392" t="n"/>
      <c r="AI1167" s="1392" t="n"/>
      <c r="AJ1167" s="1392" t="n"/>
      <c r="AK1167" s="1392" t="n"/>
      <c r="AL1167" s="1392" t="n"/>
      <c r="AM1167" s="1392" t="n"/>
      <c r="AN1167" s="1392" t="n"/>
      <c r="AO1167" s="1392" t="n"/>
      <c r="AP1167" s="1392" t="n"/>
      <c r="AQ1167" s="1392" t="n"/>
      <c r="AR1167" s="1422" t="n"/>
      <c r="AS1167" s="1422" t="n"/>
      <c r="AT1167" s="1392" t="n"/>
      <c r="AU1167" s="1392" t="n"/>
      <c r="AV1167" s="1392" t="n"/>
      <c r="AW1167" s="1392" t="n"/>
      <c r="AX1167" s="1392" t="n"/>
      <c r="AY1167" s="1392" t="n"/>
      <c r="AZ1167" s="1392" t="n"/>
      <c r="BA1167" s="1422" t="n"/>
      <c r="BB1167" s="1422" t="n"/>
      <c r="BC1167" s="1392" t="n"/>
      <c r="BD1167" s="1392" t="n"/>
      <c r="BE1167" s="1392" t="n"/>
      <c r="BF1167" s="1392" t="n"/>
      <c r="BG1167" s="1392" t="n"/>
      <c r="BH1167" s="1392" t="n"/>
      <c r="BI1167" s="1392" t="n"/>
      <c r="BJ1167" s="1392" t="n"/>
      <c r="BK1167" s="1392" t="n"/>
      <c r="BL1167" s="1392" t="n"/>
      <c r="BM1167" s="1392" t="n"/>
      <c r="BN1167" s="1392" t="n"/>
      <c r="BO1167" s="1392" t="n"/>
      <c r="BP1167" s="1392" t="n"/>
      <c r="BQ1167" s="1392" t="n"/>
      <c r="BR1167" s="1392" t="n"/>
      <c r="BS1167" s="1392" t="n"/>
      <c r="BT1167" s="1392" t="n"/>
      <c r="BU1167" s="1392" t="n"/>
      <c r="BV1167" s="1392" t="n"/>
      <c r="BW1167" s="1392" t="n"/>
      <c r="BX1167" s="1392" t="n"/>
      <c r="BY1167" s="1392" t="n"/>
      <c r="BZ1167" s="1392" t="n"/>
      <c r="CA1167" s="1392" t="n"/>
      <c r="CB1167" s="1392" t="n"/>
      <c r="CC1167" s="1392" t="n"/>
      <c r="CD1167" s="1392" t="n"/>
      <c r="CE1167" s="1392" t="n"/>
      <c r="CF1167" s="1392" t="n"/>
      <c r="CG1167" s="1392" t="n"/>
      <c r="CH1167" s="1392" t="n"/>
      <c r="CI1167" s="1392" t="n"/>
      <c r="CJ1167" s="1392" t="n"/>
      <c r="CK1167" s="1392" t="n"/>
      <c r="CL1167" s="1392" t="n"/>
    </row>
    <row r="1168">
      <c r="A1168" s="5" t="inlineStr">
        <is>
          <t>.</t>
        </is>
      </c>
      <c r="B1168" s="5" t="inlineStr">
        <is>
          <t>.</t>
        </is>
      </c>
      <c r="C1168" s="1378">
        <f>IF(raw[[#This Row],[city]]="","-",IF(raw[[#This Row],[city]]="TODAY","-",C1167+1))</f>
        <v/>
      </c>
      <c r="D1168" s="1393" t="inlineStr">
        <is>
          <t>Bruxelas</t>
        </is>
      </c>
      <c r="E1168" s="1394" t="n">
        <v>40130</v>
      </c>
      <c r="F1168" s="1394" t="n">
        <v>40131</v>
      </c>
      <c r="G1168" s="1393" t="inlineStr">
        <is>
          <t>-</t>
        </is>
      </c>
      <c r="H1168" s="1393" t="inlineStr">
        <is>
          <t>Loing</t>
        </is>
      </c>
      <c r="I1168" s="1393" t="inlineStr">
        <is>
          <t>-</t>
        </is>
      </c>
      <c r="J1168" s="1393" t="inlineStr">
        <is>
          <t>-</t>
        </is>
      </c>
      <c r="K1168" s="1395">
        <f>IF(raw[[#This Row],[city]]&lt;&gt;"",_xlfn.XLOOKUP($D1168,ccc[city],ccc[prov],"-"),"-")</f>
        <v/>
      </c>
      <c r="L1168" s="1395">
        <f>IF(raw[[#This Row],[city]]&lt;&gt;"",_xlfn.XLOOKUP($D1168,ccc[city],ccc[ctry],"-"),"-")</f>
        <v/>
      </c>
      <c r="M1168" s="1395">
        <f>IF(raw[[#This Row],[city]]&lt;&gt;"",_xlfn.XLOOKUP($D1168,ccc[city],ccc[cont],"-"),"-")</f>
        <v/>
      </c>
      <c r="N1168" s="1396">
        <f>IF(raw[[#This Row],[city]]="","-",IF(raw[[#This Row],[cont]]="B",raw[[#This Row],[cont]],"W"))</f>
        <v/>
      </c>
      <c r="O1168" s="1397">
        <f>IF(raw[[#This Row],[out]]=0,0,IF(raw[[#This Row],[out]]=raw[[#This Row],[in]],0.01,raw[[#This Row],[out]]-raw[[#This Row],[in]]))</f>
        <v/>
      </c>
      <c r="P1168" s="1397">
        <f>IF(raw[[#This Row],[in]]=0,0,MONTH(raw[[#This Row],[in]]))</f>
        <v/>
      </c>
      <c r="Q1168" s="1397">
        <f>IF(raw[[#This Row],[in]]=0,0,YEAR(raw[[#This Row],[in]]))</f>
        <v/>
      </c>
      <c r="R1168" s="1397">
        <f>INT(raw[[#This Row],[yr]]/10)*10</f>
        <v/>
      </c>
      <c r="S1168" s="1395">
        <f>IF(raw[[#This Row],[city]]="","-",IF(raw[[#This Row],[city]]&lt;&gt;_xlfn.XLOOKUP(raw[[#This Row],[home]],homes[home],homes[city],"-"),1,0))</f>
        <v/>
      </c>
      <c r="T1168" s="1398" t="inlineStr">
        <is>
          <t>.</t>
        </is>
      </c>
      <c r="U1168" s="1399">
        <f>IF(raw[[#This Row],[wb]]="w",raw[[#This Row],[stay]]+U1167,U1167)</f>
        <v/>
      </c>
      <c r="V1168" s="1400">
        <f>IF(raw[[#This Row],[out]]=0,V1167,(raw[[#This Row],[out]]-E$5))</f>
        <v/>
      </c>
      <c r="W1168" s="1401">
        <f>U1168/V1168</f>
        <v/>
      </c>
      <c r="X1168" s="1392" t="n"/>
      <c r="Y1168" s="1392" t="n"/>
      <c r="Z1168" s="1392" t="n"/>
      <c r="AA1168" s="1392" t="n"/>
      <c r="AB1168" s="1392" t="n"/>
      <c r="AC1168" s="1392" t="n"/>
      <c r="AD1168" s="1392" t="n"/>
      <c r="AE1168" s="1392" t="n"/>
      <c r="AF1168" s="1392" t="n"/>
      <c r="AG1168" s="1392" t="n"/>
      <c r="AH1168" s="1392" t="n"/>
      <c r="AI1168" s="1392" t="n"/>
      <c r="AJ1168" s="1392" t="n"/>
      <c r="AK1168" s="1392" t="n"/>
      <c r="AL1168" s="1392" t="n"/>
      <c r="AM1168" s="1392" t="n"/>
      <c r="AN1168" s="1392" t="n"/>
      <c r="AO1168" s="1392" t="n"/>
      <c r="AP1168" s="1392" t="n"/>
      <c r="AQ1168" s="1392" t="n"/>
      <c r="AR1168" s="1422" t="n"/>
      <c r="AS1168" s="1422" t="n"/>
      <c r="AT1168" s="1392" t="n"/>
      <c r="AU1168" s="1392" t="n"/>
      <c r="AV1168" s="1392" t="n"/>
      <c r="AW1168" s="1392" t="n"/>
      <c r="AX1168" s="1392" t="n"/>
      <c r="AY1168" s="1392" t="n"/>
      <c r="AZ1168" s="1392" t="n"/>
      <c r="BA1168" s="1422" t="n"/>
      <c r="BB1168" s="1422" t="n"/>
      <c r="BC1168" s="1392" t="n"/>
      <c r="BD1168" s="1392" t="n"/>
      <c r="BE1168" s="1392" t="n"/>
      <c r="BF1168" s="1392" t="n"/>
      <c r="BG1168" s="1392" t="n"/>
      <c r="BH1168" s="1392" t="n"/>
      <c r="BI1168" s="1392" t="n"/>
      <c r="BJ1168" s="1392" t="n"/>
      <c r="BK1168" s="1392" t="n"/>
      <c r="BL1168" s="1392" t="n"/>
      <c r="BM1168" s="1392" t="n"/>
      <c r="BN1168" s="1392" t="n"/>
      <c r="BO1168" s="1392" t="n"/>
      <c r="BP1168" s="1392" t="n"/>
      <c r="BQ1168" s="1392" t="n"/>
      <c r="BR1168" s="1392" t="n"/>
      <c r="BS1168" s="1392" t="n"/>
      <c r="BT1168" s="1392" t="n"/>
      <c r="BU1168" s="1392" t="n"/>
      <c r="BV1168" s="1392" t="n"/>
      <c r="BW1168" s="1392" t="n"/>
      <c r="BX1168" s="1392" t="n"/>
      <c r="BY1168" s="1392" t="n"/>
      <c r="BZ1168" s="1392" t="n"/>
      <c r="CA1168" s="1392" t="n"/>
      <c r="CB1168" s="1392" t="n"/>
      <c r="CC1168" s="1392" t="n"/>
      <c r="CD1168" s="1392" t="n"/>
      <c r="CE1168" s="1392" t="n"/>
      <c r="CF1168" s="1392" t="n"/>
      <c r="CG1168" s="1392" t="n"/>
      <c r="CH1168" s="1392" t="n"/>
      <c r="CI1168" s="1392" t="n"/>
      <c r="CJ1168" s="1392" t="n"/>
      <c r="CK1168" s="1392" t="n"/>
      <c r="CL1168" s="1392" t="n"/>
    </row>
    <row r="1169">
      <c r="A1169" s="5" t="inlineStr">
        <is>
          <t>.</t>
        </is>
      </c>
      <c r="B1169" s="5" t="inlineStr">
        <is>
          <t>.</t>
        </is>
      </c>
      <c r="C1169" s="1378">
        <f>IF(raw[[#This Row],[city]]="","-",IF(raw[[#This Row],[city]]="TODAY","-",C1168+1))</f>
        <v/>
      </c>
      <c r="D1169" s="1393" t="inlineStr">
        <is>
          <t>Paris</t>
        </is>
      </c>
      <c r="E1169" s="1394" t="n">
        <v>40131</v>
      </c>
      <c r="F1169" s="1394" t="n">
        <v>40139</v>
      </c>
      <c r="G1169" s="1393" t="n">
        <v>1</v>
      </c>
      <c r="H1169" s="1393" t="inlineStr">
        <is>
          <t>Loing</t>
        </is>
      </c>
      <c r="I1169" s="1393" t="inlineStr">
        <is>
          <t>-</t>
        </is>
      </c>
      <c r="J1169" s="1393" t="inlineStr">
        <is>
          <t>-</t>
        </is>
      </c>
      <c r="K1169" s="1395">
        <f>IF(raw[[#This Row],[city]]&lt;&gt;"",_xlfn.XLOOKUP($D1169,ccc[city],ccc[prov],"-"),"-")</f>
        <v/>
      </c>
      <c r="L1169" s="1395">
        <f>IF(raw[[#This Row],[city]]&lt;&gt;"",_xlfn.XLOOKUP($D1169,ccc[city],ccc[ctry],"-"),"-")</f>
        <v/>
      </c>
      <c r="M1169" s="1395">
        <f>IF(raw[[#This Row],[city]]&lt;&gt;"",_xlfn.XLOOKUP($D1169,ccc[city],ccc[cont],"-"),"-")</f>
        <v/>
      </c>
      <c r="N1169" s="1396">
        <f>IF(raw[[#This Row],[city]]="","-",IF(raw[[#This Row],[cont]]="B",raw[[#This Row],[cont]],"W"))</f>
        <v/>
      </c>
      <c r="O1169" s="1397">
        <f>IF(raw[[#This Row],[out]]=0,0,IF(raw[[#This Row],[out]]=raw[[#This Row],[in]],0.01,raw[[#This Row],[out]]-raw[[#This Row],[in]]))</f>
        <v/>
      </c>
      <c r="P1169" s="1397">
        <f>IF(raw[[#This Row],[in]]=0,0,MONTH(raw[[#This Row],[in]]))</f>
        <v/>
      </c>
      <c r="Q1169" s="1397">
        <f>IF(raw[[#This Row],[in]]=0,0,YEAR(raw[[#This Row],[in]]))</f>
        <v/>
      </c>
      <c r="R1169" s="1397">
        <f>INT(raw[[#This Row],[yr]]/10)*10</f>
        <v/>
      </c>
      <c r="S1169" s="1395">
        <f>IF(raw[[#This Row],[city]]="","-",IF(raw[[#This Row],[city]]&lt;&gt;_xlfn.XLOOKUP(raw[[#This Row],[home]],homes[home],homes[city],"-"),1,0))</f>
        <v/>
      </c>
      <c r="T1169" s="1398" t="inlineStr">
        <is>
          <t>.</t>
        </is>
      </c>
      <c r="U1169" s="1399">
        <f>IF(raw[[#This Row],[wb]]="w",raw[[#This Row],[stay]]+U1168,U1168)</f>
        <v/>
      </c>
      <c r="V1169" s="1400">
        <f>IF(raw[[#This Row],[out]]=0,V1168,(raw[[#This Row],[out]]-E$5))</f>
        <v/>
      </c>
      <c r="W1169" s="1401">
        <f>U1169/V1169</f>
        <v/>
      </c>
      <c r="X1169" s="1392" t="n"/>
      <c r="Y1169" s="1392" t="n"/>
      <c r="Z1169" s="1392" t="n"/>
      <c r="AA1169" s="1392" t="n"/>
      <c r="AB1169" s="1392" t="n"/>
      <c r="AC1169" s="1392" t="n"/>
      <c r="AD1169" s="1392" t="n"/>
      <c r="AE1169" s="1392" t="n"/>
      <c r="AF1169" s="1392" t="n"/>
      <c r="AG1169" s="1392" t="n"/>
      <c r="AH1169" s="1392" t="n"/>
      <c r="AI1169" s="1392" t="n"/>
      <c r="AJ1169" s="1392" t="n"/>
      <c r="AK1169" s="1392" t="n"/>
      <c r="AL1169" s="1392" t="n"/>
      <c r="AM1169" s="1392" t="n"/>
      <c r="AN1169" s="1392" t="n"/>
      <c r="AO1169" s="1392" t="n"/>
      <c r="AP1169" s="1392" t="n"/>
      <c r="AQ1169" s="1392" t="n"/>
      <c r="AR1169" s="1422" t="n"/>
      <c r="AS1169" s="1422" t="n"/>
      <c r="AT1169" s="1392" t="n"/>
      <c r="AU1169" s="1392" t="n"/>
      <c r="AV1169" s="1392" t="n"/>
      <c r="AW1169" s="1392" t="n"/>
      <c r="AX1169" s="1392" t="n"/>
      <c r="AY1169" s="1392" t="n"/>
      <c r="AZ1169" s="1392" t="n"/>
      <c r="BA1169" s="1422" t="n"/>
      <c r="BB1169" s="1422" t="n"/>
      <c r="BC1169" s="1392" t="n"/>
      <c r="BD1169" s="1392" t="n"/>
      <c r="BE1169" s="1392" t="n"/>
      <c r="BF1169" s="1392" t="n"/>
      <c r="BG1169" s="1392" t="n"/>
      <c r="BH1169" s="1392" t="n"/>
      <c r="BI1169" s="1392" t="n"/>
      <c r="BJ1169" s="1392" t="n"/>
      <c r="BK1169" s="1392" t="n"/>
      <c r="BL1169" s="1392" t="n"/>
      <c r="BM1169" s="1392" t="n"/>
      <c r="BN1169" s="1392" t="n"/>
      <c r="BO1169" s="1392" t="n"/>
      <c r="BP1169" s="1392" t="n"/>
      <c r="BQ1169" s="1392" t="n"/>
      <c r="BR1169" s="1392" t="n"/>
      <c r="BS1169" s="1392" t="n"/>
      <c r="BT1169" s="1392" t="n"/>
      <c r="BU1169" s="1392" t="n"/>
      <c r="BV1169" s="1392" t="n"/>
      <c r="BW1169" s="1392" t="n"/>
      <c r="BX1169" s="1392" t="n"/>
      <c r="BY1169" s="1392" t="n"/>
      <c r="BZ1169" s="1392" t="n"/>
      <c r="CA1169" s="1392" t="n"/>
      <c r="CB1169" s="1392" t="n"/>
      <c r="CC1169" s="1392" t="n"/>
      <c r="CD1169" s="1392" t="n"/>
      <c r="CE1169" s="1392" t="n"/>
      <c r="CF1169" s="1392" t="n"/>
      <c r="CG1169" s="1392" t="n"/>
      <c r="CH1169" s="1392" t="n"/>
      <c r="CI1169" s="1392" t="n"/>
      <c r="CJ1169" s="1392" t="n"/>
      <c r="CK1169" s="1392" t="n"/>
      <c r="CL1169" s="1392" t="n"/>
    </row>
    <row r="1170">
      <c r="A1170" s="5" t="inlineStr">
        <is>
          <t>.</t>
        </is>
      </c>
      <c r="B1170" s="5" t="inlineStr">
        <is>
          <t>.</t>
        </is>
      </c>
      <c r="C1170" s="1378">
        <f>IF(raw[[#This Row],[city]]="","-",IF(raw[[#This Row],[city]]="TODAY","-",C1169+1))</f>
        <v/>
      </c>
      <c r="D1170" s="1393" t="inlineStr">
        <is>
          <t>Milan</t>
        </is>
      </c>
      <c r="E1170" s="1394" t="n">
        <v>40139</v>
      </c>
      <c r="F1170" s="1394" t="n">
        <v>40141</v>
      </c>
      <c r="G1170" s="1393" t="n">
        <v>1</v>
      </c>
      <c r="H1170" s="1393" t="inlineStr">
        <is>
          <t>Loing</t>
        </is>
      </c>
      <c r="I1170" s="1393" t="inlineStr">
        <is>
          <t>-</t>
        </is>
      </c>
      <c r="J1170" s="1393" t="inlineStr">
        <is>
          <t>-</t>
        </is>
      </c>
      <c r="K1170" s="1395">
        <f>IF(raw[[#This Row],[city]]&lt;&gt;"",_xlfn.XLOOKUP($D1170,ccc[city],ccc[prov],"-"),"-")</f>
        <v/>
      </c>
      <c r="L1170" s="1395">
        <f>IF(raw[[#This Row],[city]]&lt;&gt;"",_xlfn.XLOOKUP($D1170,ccc[city],ccc[ctry],"-"),"-")</f>
        <v/>
      </c>
      <c r="M1170" s="1395">
        <f>IF(raw[[#This Row],[city]]&lt;&gt;"",_xlfn.XLOOKUP($D1170,ccc[city],ccc[cont],"-"),"-")</f>
        <v/>
      </c>
      <c r="N1170" s="1396">
        <f>IF(raw[[#This Row],[city]]="","-",IF(raw[[#This Row],[cont]]="B",raw[[#This Row],[cont]],"W"))</f>
        <v/>
      </c>
      <c r="O1170" s="1397">
        <f>IF(raw[[#This Row],[out]]=0,0,IF(raw[[#This Row],[out]]=raw[[#This Row],[in]],0.01,raw[[#This Row],[out]]-raw[[#This Row],[in]]))</f>
        <v/>
      </c>
      <c r="P1170" s="1397">
        <f>IF(raw[[#This Row],[in]]=0,0,MONTH(raw[[#This Row],[in]]))</f>
        <v/>
      </c>
      <c r="Q1170" s="1397">
        <f>IF(raw[[#This Row],[in]]=0,0,YEAR(raw[[#This Row],[in]]))</f>
        <v/>
      </c>
      <c r="R1170" s="1397">
        <f>INT(raw[[#This Row],[yr]]/10)*10</f>
        <v/>
      </c>
      <c r="S1170" s="1395">
        <f>IF(raw[[#This Row],[city]]="","-",IF(raw[[#This Row],[city]]&lt;&gt;_xlfn.XLOOKUP(raw[[#This Row],[home]],homes[home],homes[city],"-"),1,0))</f>
        <v/>
      </c>
      <c r="T1170" s="1398" t="inlineStr">
        <is>
          <t>.</t>
        </is>
      </c>
      <c r="U1170" s="1399">
        <f>IF(raw[[#This Row],[wb]]="w",raw[[#This Row],[stay]]+U1169,U1169)</f>
        <v/>
      </c>
      <c r="V1170" s="1400">
        <f>IF(raw[[#This Row],[out]]=0,V1169,(raw[[#This Row],[out]]-E$5))</f>
        <v/>
      </c>
      <c r="W1170" s="1401">
        <f>U1170/V1170</f>
        <v/>
      </c>
      <c r="X1170" s="1392" t="n"/>
      <c r="Y1170" s="1392" t="n"/>
      <c r="Z1170" s="1392" t="n"/>
      <c r="AA1170" s="1392" t="n"/>
      <c r="AB1170" s="1392" t="n"/>
      <c r="AC1170" s="1392" t="n"/>
      <c r="AD1170" s="1392" t="n"/>
      <c r="AE1170" s="1392" t="n"/>
      <c r="AF1170" s="1392" t="n"/>
      <c r="AG1170" s="1392" t="n"/>
      <c r="AH1170" s="1392" t="n"/>
      <c r="AI1170" s="1392" t="n"/>
      <c r="AJ1170" s="1392" t="n"/>
      <c r="AK1170" s="1392" t="n"/>
      <c r="AL1170" s="1392" t="n"/>
      <c r="AM1170" s="1392" t="n"/>
      <c r="AN1170" s="1392" t="n"/>
      <c r="AO1170" s="1392" t="n"/>
      <c r="AP1170" s="1392" t="n"/>
      <c r="AQ1170" s="1392" t="n"/>
      <c r="AR1170" s="1422" t="n"/>
      <c r="AS1170" s="1422" t="n"/>
      <c r="AT1170" s="1392" t="n"/>
      <c r="AU1170" s="1392" t="n"/>
      <c r="AV1170" s="1392" t="n"/>
      <c r="AW1170" s="1392" t="n"/>
      <c r="AX1170" s="1392" t="n"/>
      <c r="AY1170" s="1392" t="n"/>
      <c r="AZ1170" s="1392" t="n"/>
      <c r="BA1170" s="1422" t="n"/>
      <c r="BB1170" s="1422" t="n"/>
      <c r="BC1170" s="1392" t="n"/>
      <c r="BD1170" s="1392" t="n"/>
      <c r="BE1170" s="1392" t="n"/>
      <c r="BF1170" s="1392" t="n"/>
      <c r="BG1170" s="1392" t="n"/>
      <c r="BH1170" s="1392" t="n"/>
      <c r="BI1170" s="1392" t="n"/>
      <c r="BJ1170" s="1392" t="n"/>
      <c r="BK1170" s="1392" t="n"/>
      <c r="BL1170" s="1392" t="n"/>
      <c r="BM1170" s="1392" t="n"/>
      <c r="BN1170" s="1392" t="n"/>
      <c r="BO1170" s="1392" t="n"/>
      <c r="BP1170" s="1392" t="n"/>
      <c r="BQ1170" s="1392" t="n"/>
      <c r="BR1170" s="1392" t="n"/>
      <c r="BS1170" s="1392" t="n"/>
      <c r="BT1170" s="1392" t="n"/>
      <c r="BU1170" s="1392" t="n"/>
      <c r="BV1170" s="1392" t="n"/>
      <c r="BW1170" s="1392" t="n"/>
      <c r="BX1170" s="1392" t="n"/>
      <c r="BY1170" s="1392" t="n"/>
      <c r="BZ1170" s="1392" t="n"/>
      <c r="CA1170" s="1392" t="n"/>
      <c r="CB1170" s="1392" t="n"/>
      <c r="CC1170" s="1392" t="n"/>
      <c r="CD1170" s="1392" t="n"/>
      <c r="CE1170" s="1392" t="n"/>
      <c r="CF1170" s="1392" t="n"/>
      <c r="CG1170" s="1392" t="n"/>
      <c r="CH1170" s="1392" t="n"/>
      <c r="CI1170" s="1392" t="n"/>
      <c r="CJ1170" s="1392" t="n"/>
      <c r="CK1170" s="1392" t="n"/>
      <c r="CL1170" s="1392" t="n"/>
    </row>
    <row r="1171">
      <c r="A1171" s="5" t="inlineStr">
        <is>
          <t>.</t>
        </is>
      </c>
      <c r="B1171" s="5" t="inlineStr">
        <is>
          <t>.</t>
        </is>
      </c>
      <c r="C1171" s="1378">
        <f>IF(raw[[#This Row],[city]]="","-",IF(raw[[#This Row],[city]]="TODAY","-",C1170+1))</f>
        <v/>
      </c>
      <c r="D1171" s="1393" t="inlineStr">
        <is>
          <t>Praga</t>
        </is>
      </c>
      <c r="E1171" s="1394" t="n">
        <v>40141</v>
      </c>
      <c r="F1171" s="1394" t="n">
        <v>40144</v>
      </c>
      <c r="G1171" s="1393" t="n">
        <v>1</v>
      </c>
      <c r="H1171" s="1393" t="inlineStr">
        <is>
          <t>Loing</t>
        </is>
      </c>
      <c r="I1171" s="1393" t="inlineStr">
        <is>
          <t>-</t>
        </is>
      </c>
      <c r="J1171" s="1393" t="inlineStr">
        <is>
          <t>-</t>
        </is>
      </c>
      <c r="K1171" s="1395">
        <f>IF(raw[[#This Row],[city]]&lt;&gt;"",_xlfn.XLOOKUP($D1171,ccc[city],ccc[prov],"-"),"-")</f>
        <v/>
      </c>
      <c r="L1171" s="1395">
        <f>IF(raw[[#This Row],[city]]&lt;&gt;"",_xlfn.XLOOKUP($D1171,ccc[city],ccc[ctry],"-"),"-")</f>
        <v/>
      </c>
      <c r="M1171" s="1395">
        <f>IF(raw[[#This Row],[city]]&lt;&gt;"",_xlfn.XLOOKUP($D1171,ccc[city],ccc[cont],"-"),"-")</f>
        <v/>
      </c>
      <c r="N1171" s="1396">
        <f>IF(raw[[#This Row],[city]]="","-",IF(raw[[#This Row],[cont]]="B",raw[[#This Row],[cont]],"W"))</f>
        <v/>
      </c>
      <c r="O1171" s="1397">
        <f>IF(raw[[#This Row],[out]]=0,0,IF(raw[[#This Row],[out]]=raw[[#This Row],[in]],0.01,raw[[#This Row],[out]]-raw[[#This Row],[in]]))</f>
        <v/>
      </c>
      <c r="P1171" s="1397">
        <f>IF(raw[[#This Row],[in]]=0,0,MONTH(raw[[#This Row],[in]]))</f>
        <v/>
      </c>
      <c r="Q1171" s="1397">
        <f>IF(raw[[#This Row],[in]]=0,0,YEAR(raw[[#This Row],[in]]))</f>
        <v/>
      </c>
      <c r="R1171" s="1397">
        <f>INT(raw[[#This Row],[yr]]/10)*10</f>
        <v/>
      </c>
      <c r="S1171" s="1395">
        <f>IF(raw[[#This Row],[city]]="","-",IF(raw[[#This Row],[city]]&lt;&gt;_xlfn.XLOOKUP(raw[[#This Row],[home]],homes[home],homes[city],"-"),1,0))</f>
        <v/>
      </c>
      <c r="T1171" s="1398" t="inlineStr">
        <is>
          <t>.</t>
        </is>
      </c>
      <c r="U1171" s="1399">
        <f>IF(raw[[#This Row],[wb]]="w",raw[[#This Row],[stay]]+U1170,U1170)</f>
        <v/>
      </c>
      <c r="V1171" s="1400">
        <f>IF(raw[[#This Row],[out]]=0,V1170,(raw[[#This Row],[out]]-E$5))</f>
        <v/>
      </c>
      <c r="W1171" s="1401">
        <f>U1171/V1171</f>
        <v/>
      </c>
      <c r="X1171" s="1392" t="n"/>
      <c r="Y1171" s="1392" t="n"/>
      <c r="Z1171" s="1392" t="n"/>
      <c r="AA1171" s="1392" t="n"/>
      <c r="AB1171" s="1392" t="n"/>
      <c r="AC1171" s="1392" t="n"/>
      <c r="AD1171" s="1392" t="n"/>
      <c r="AE1171" s="1392" t="n"/>
      <c r="AF1171" s="1392" t="n"/>
      <c r="AG1171" s="1392" t="n"/>
      <c r="AH1171" s="1392" t="n"/>
      <c r="AI1171" s="1392" t="n"/>
      <c r="AJ1171" s="1392" t="n"/>
      <c r="AK1171" s="1392" t="n"/>
      <c r="AL1171" s="1392" t="n"/>
      <c r="AM1171" s="1392" t="n"/>
      <c r="AN1171" s="1392" t="n"/>
      <c r="AO1171" s="1392" t="n"/>
      <c r="AP1171" s="1392" t="n"/>
      <c r="AQ1171" s="1392" t="n"/>
      <c r="AR1171" s="1422" t="n"/>
      <c r="AS1171" s="1422" t="n"/>
      <c r="AT1171" s="1392" t="n"/>
      <c r="AU1171" s="1392" t="n"/>
      <c r="AV1171" s="1392" t="n"/>
      <c r="AW1171" s="1392" t="n"/>
      <c r="AX1171" s="1392" t="n"/>
      <c r="AY1171" s="1392" t="n"/>
      <c r="AZ1171" s="1392" t="n"/>
      <c r="BA1171" s="1422" t="n"/>
      <c r="BB1171" s="1422" t="n"/>
      <c r="BC1171" s="1392" t="n"/>
      <c r="BD1171" s="1392" t="n"/>
      <c r="BE1171" s="1392" t="n"/>
      <c r="BF1171" s="1392" t="n"/>
      <c r="BG1171" s="1392" t="n"/>
      <c r="BH1171" s="1392" t="n"/>
      <c r="BI1171" s="1392" t="n"/>
      <c r="BJ1171" s="1392" t="n"/>
      <c r="BK1171" s="1392" t="n"/>
      <c r="BL1171" s="1392" t="n"/>
      <c r="BM1171" s="1392" t="n"/>
      <c r="BN1171" s="1392" t="n"/>
      <c r="BO1171" s="1392" t="n"/>
      <c r="BP1171" s="1392" t="n"/>
      <c r="BQ1171" s="1392" t="n"/>
      <c r="BR1171" s="1392" t="n"/>
      <c r="BS1171" s="1392" t="n"/>
      <c r="BT1171" s="1392" t="n"/>
      <c r="BU1171" s="1392" t="n"/>
      <c r="BV1171" s="1392" t="n"/>
      <c r="BW1171" s="1392" t="n"/>
      <c r="BX1171" s="1392" t="n"/>
      <c r="BY1171" s="1392" t="n"/>
      <c r="BZ1171" s="1392" t="n"/>
      <c r="CA1171" s="1392" t="n"/>
      <c r="CB1171" s="1392" t="n"/>
      <c r="CC1171" s="1392" t="n"/>
      <c r="CD1171" s="1392" t="n"/>
      <c r="CE1171" s="1392" t="n"/>
      <c r="CF1171" s="1392" t="n"/>
      <c r="CG1171" s="1392" t="n"/>
      <c r="CH1171" s="1392" t="n"/>
      <c r="CI1171" s="1392" t="n"/>
      <c r="CJ1171" s="1392" t="n"/>
      <c r="CK1171" s="1392" t="n"/>
      <c r="CL1171" s="1392" t="n"/>
    </row>
    <row r="1172">
      <c r="A1172" s="5" t="inlineStr">
        <is>
          <t>.</t>
        </is>
      </c>
      <c r="B1172" s="5" t="inlineStr">
        <is>
          <t>.</t>
        </is>
      </c>
      <c r="C1172" s="1378">
        <f>IF(raw[[#This Row],[city]]="","-",IF(raw[[#This Row],[city]]="TODAY","-",C1171+1))</f>
        <v/>
      </c>
      <c r="D1172" s="1393" t="inlineStr">
        <is>
          <t>Paris</t>
        </is>
      </c>
      <c r="E1172" s="1394" t="n">
        <v>40144</v>
      </c>
      <c r="F1172" s="1394" t="n">
        <v>40148</v>
      </c>
      <c r="G1172" s="1393" t="inlineStr">
        <is>
          <t>-</t>
        </is>
      </c>
      <c r="H1172" s="1393" t="inlineStr">
        <is>
          <t>Loing</t>
        </is>
      </c>
      <c r="I1172" s="1393" t="inlineStr">
        <is>
          <t>-</t>
        </is>
      </c>
      <c r="J1172" s="1393" t="inlineStr">
        <is>
          <t>-</t>
        </is>
      </c>
      <c r="K1172" s="1395">
        <f>IF(raw[[#This Row],[city]]&lt;&gt;"",_xlfn.XLOOKUP($D1172,ccc[city],ccc[prov],"-"),"-")</f>
        <v/>
      </c>
      <c r="L1172" s="1395">
        <f>IF(raw[[#This Row],[city]]&lt;&gt;"",_xlfn.XLOOKUP($D1172,ccc[city],ccc[ctry],"-"),"-")</f>
        <v/>
      </c>
      <c r="M1172" s="1395">
        <f>IF(raw[[#This Row],[city]]&lt;&gt;"",_xlfn.XLOOKUP($D1172,ccc[city],ccc[cont],"-"),"-")</f>
        <v/>
      </c>
      <c r="N1172" s="1396">
        <f>IF(raw[[#This Row],[city]]="","-",IF(raw[[#This Row],[cont]]="B",raw[[#This Row],[cont]],"W"))</f>
        <v/>
      </c>
      <c r="O1172" s="1397">
        <f>IF(raw[[#This Row],[out]]=0,0,IF(raw[[#This Row],[out]]=raw[[#This Row],[in]],0.01,raw[[#This Row],[out]]-raw[[#This Row],[in]]))</f>
        <v/>
      </c>
      <c r="P1172" s="1397">
        <f>IF(raw[[#This Row],[in]]=0,0,MONTH(raw[[#This Row],[in]]))</f>
        <v/>
      </c>
      <c r="Q1172" s="1397">
        <f>IF(raw[[#This Row],[in]]=0,0,YEAR(raw[[#This Row],[in]]))</f>
        <v/>
      </c>
      <c r="R1172" s="1397">
        <f>INT(raw[[#This Row],[yr]]/10)*10</f>
        <v/>
      </c>
      <c r="S1172" s="1395">
        <f>IF(raw[[#This Row],[city]]="","-",IF(raw[[#This Row],[city]]&lt;&gt;_xlfn.XLOOKUP(raw[[#This Row],[home]],homes[home],homes[city],"-"),1,0))</f>
        <v/>
      </c>
      <c r="T1172" s="1398" t="inlineStr">
        <is>
          <t>.</t>
        </is>
      </c>
      <c r="U1172" s="1399">
        <f>IF(raw[[#This Row],[wb]]="w",raw[[#This Row],[stay]]+U1171,U1171)</f>
        <v/>
      </c>
      <c r="V1172" s="1400">
        <f>IF(raw[[#This Row],[out]]=0,V1171,(raw[[#This Row],[out]]-E$5))</f>
        <v/>
      </c>
      <c r="W1172" s="1401">
        <f>U1172/V1172</f>
        <v/>
      </c>
      <c r="X1172" s="1392" t="n"/>
      <c r="Y1172" s="1392" t="n"/>
      <c r="Z1172" s="1392" t="n"/>
      <c r="AA1172" s="1392" t="n"/>
      <c r="AB1172" s="1392" t="n"/>
      <c r="AC1172" s="1392" t="n"/>
      <c r="AD1172" s="1392" t="n"/>
      <c r="AE1172" s="1392" t="n"/>
      <c r="AF1172" s="1392" t="n"/>
      <c r="AG1172" s="1392" t="n"/>
      <c r="AH1172" s="1392" t="n"/>
      <c r="AI1172" s="1392" t="n"/>
      <c r="AJ1172" s="1392" t="n"/>
      <c r="AK1172" s="1392" t="n"/>
      <c r="AL1172" s="1392" t="n"/>
      <c r="AM1172" s="1392" t="n"/>
      <c r="AN1172" s="1392" t="n"/>
      <c r="AO1172" s="1392" t="n"/>
      <c r="AP1172" s="1392" t="n"/>
      <c r="AQ1172" s="1392" t="n"/>
      <c r="AR1172" s="1422" t="n"/>
      <c r="AS1172" s="1422" t="n"/>
      <c r="AT1172" s="1392" t="n"/>
      <c r="AU1172" s="1392" t="n"/>
      <c r="AV1172" s="1392" t="n"/>
      <c r="AW1172" s="1392" t="n"/>
      <c r="AX1172" s="1392" t="n"/>
      <c r="AY1172" s="1392" t="n"/>
      <c r="AZ1172" s="1392" t="n"/>
      <c r="BA1172" s="1422" t="n"/>
      <c r="BB1172" s="1422" t="n"/>
      <c r="BC1172" s="1392" t="n"/>
      <c r="BD1172" s="1392" t="n"/>
      <c r="BE1172" s="1392" t="n"/>
      <c r="BF1172" s="1392" t="n"/>
      <c r="BG1172" s="1392" t="n"/>
      <c r="BH1172" s="1392" t="n"/>
      <c r="BI1172" s="1392" t="n"/>
      <c r="BJ1172" s="1392" t="n"/>
      <c r="BK1172" s="1392" t="n"/>
      <c r="BL1172" s="1392" t="n"/>
      <c r="BM1172" s="1392" t="n"/>
      <c r="BN1172" s="1392" t="n"/>
      <c r="BO1172" s="1392" t="n"/>
      <c r="BP1172" s="1392" t="n"/>
      <c r="BQ1172" s="1392" t="n"/>
      <c r="BR1172" s="1392" t="n"/>
      <c r="BS1172" s="1392" t="n"/>
      <c r="BT1172" s="1392" t="n"/>
      <c r="BU1172" s="1392" t="n"/>
      <c r="BV1172" s="1392" t="n"/>
      <c r="BW1172" s="1392" t="n"/>
      <c r="BX1172" s="1392" t="n"/>
      <c r="BY1172" s="1392" t="n"/>
      <c r="BZ1172" s="1392" t="n"/>
      <c r="CA1172" s="1392" t="n"/>
      <c r="CB1172" s="1392" t="n"/>
      <c r="CC1172" s="1392" t="n"/>
      <c r="CD1172" s="1392" t="n"/>
      <c r="CE1172" s="1392" t="n"/>
      <c r="CF1172" s="1392" t="n"/>
      <c r="CG1172" s="1392" t="n"/>
      <c r="CH1172" s="1392" t="n"/>
      <c r="CI1172" s="1392" t="n"/>
      <c r="CJ1172" s="1392" t="n"/>
      <c r="CK1172" s="1392" t="n"/>
      <c r="CL1172" s="1392" t="n"/>
    </row>
    <row r="1173">
      <c r="A1173" s="5" t="inlineStr">
        <is>
          <t>.</t>
        </is>
      </c>
      <c r="B1173" s="5" t="inlineStr">
        <is>
          <t>.</t>
        </is>
      </c>
      <c r="C1173" s="1378">
        <f>IF(raw[[#This Row],[city]]="","-",IF(raw[[#This Row],[city]]="TODAY","-",C1172+1))</f>
        <v/>
      </c>
      <c r="D1173" s="1393" t="inlineStr">
        <is>
          <t>Beauvais</t>
        </is>
      </c>
      <c r="E1173" s="1394" t="n">
        <v>40144</v>
      </c>
      <c r="F1173" s="1394" t="n">
        <v>40144</v>
      </c>
      <c r="G1173" s="1393" t="inlineStr">
        <is>
          <t>-</t>
        </is>
      </c>
      <c r="H1173" s="1393" t="inlineStr">
        <is>
          <t>Loing</t>
        </is>
      </c>
      <c r="I1173" s="1393" t="inlineStr">
        <is>
          <t>-</t>
        </is>
      </c>
      <c r="J1173" s="1393" t="inlineStr">
        <is>
          <t>-</t>
        </is>
      </c>
      <c r="K1173" s="1395">
        <f>IF(raw[[#This Row],[city]]&lt;&gt;"",_xlfn.XLOOKUP($D1173,ccc[city],ccc[prov],"-"),"-")</f>
        <v/>
      </c>
      <c r="L1173" s="1395">
        <f>IF(raw[[#This Row],[city]]&lt;&gt;"",_xlfn.XLOOKUP($D1173,ccc[city],ccc[ctry],"-"),"-")</f>
        <v/>
      </c>
      <c r="M1173" s="1395">
        <f>IF(raw[[#This Row],[city]]&lt;&gt;"",_xlfn.XLOOKUP($D1173,ccc[city],ccc[cont],"-"),"-")</f>
        <v/>
      </c>
      <c r="N1173" s="1396">
        <f>IF(raw[[#This Row],[city]]="","-",IF(raw[[#This Row],[cont]]="B",raw[[#This Row],[cont]],"W"))</f>
        <v/>
      </c>
      <c r="O1173" s="1397">
        <f>IF(raw[[#This Row],[out]]=0,0,IF(raw[[#This Row],[out]]=raw[[#This Row],[in]],0.01,raw[[#This Row],[out]]-raw[[#This Row],[in]]))</f>
        <v/>
      </c>
      <c r="P1173" s="1397">
        <f>IF(raw[[#This Row],[in]]=0,0,MONTH(raw[[#This Row],[in]]))</f>
        <v/>
      </c>
      <c r="Q1173" s="1397">
        <f>IF(raw[[#This Row],[in]]=0,0,YEAR(raw[[#This Row],[in]]))</f>
        <v/>
      </c>
      <c r="R1173" s="1397">
        <f>INT(raw[[#This Row],[yr]]/10)*10</f>
        <v/>
      </c>
      <c r="S1173" s="1395">
        <f>IF(raw[[#This Row],[city]]="","-",IF(raw[[#This Row],[city]]&lt;&gt;_xlfn.XLOOKUP(raw[[#This Row],[home]],homes[home],homes[city],"-"),1,0))</f>
        <v/>
      </c>
      <c r="T1173" s="1398" t="inlineStr">
        <is>
          <t>.</t>
        </is>
      </c>
      <c r="U1173" s="1399">
        <f>IF(raw[[#This Row],[wb]]="w",raw[[#This Row],[stay]]+U1172,U1172)</f>
        <v/>
      </c>
      <c r="V1173" s="1400">
        <f>IF(raw[[#This Row],[out]]=0,V1172,(raw[[#This Row],[out]]-E$5))</f>
        <v/>
      </c>
      <c r="W1173" s="1401">
        <f>U1173/V1173</f>
        <v/>
      </c>
      <c r="X1173" s="1392" t="n"/>
      <c r="Y1173" s="1392" t="n"/>
      <c r="Z1173" s="1392" t="n"/>
      <c r="AA1173" s="1392" t="n"/>
      <c r="AB1173" s="1392" t="n"/>
      <c r="AC1173" s="1392" t="n"/>
      <c r="AD1173" s="1392" t="n"/>
      <c r="AE1173" s="1392" t="n"/>
      <c r="AF1173" s="1392" t="n"/>
      <c r="AG1173" s="1392" t="n"/>
      <c r="AH1173" s="1392" t="n"/>
      <c r="AI1173" s="1392" t="n"/>
      <c r="AJ1173" s="1392" t="n"/>
      <c r="AK1173" s="1392" t="n"/>
      <c r="AL1173" s="1392" t="n"/>
      <c r="AM1173" s="1392" t="n"/>
      <c r="AN1173" s="1392" t="n"/>
      <c r="AO1173" s="1392" t="n"/>
      <c r="AP1173" s="1392" t="n"/>
      <c r="AQ1173" s="1392" t="n"/>
      <c r="AR1173" s="1422" t="n"/>
      <c r="AS1173" s="1422" t="n"/>
      <c r="AT1173" s="1392" t="n"/>
      <c r="AU1173" s="1392" t="n"/>
      <c r="AV1173" s="1392" t="n"/>
      <c r="AW1173" s="1392" t="n"/>
      <c r="AX1173" s="1392" t="n"/>
      <c r="AY1173" s="1392" t="n"/>
      <c r="AZ1173" s="1392" t="n"/>
      <c r="BA1173" s="1422" t="n"/>
      <c r="BB1173" s="1422" t="n"/>
      <c r="BC1173" s="1392" t="n"/>
      <c r="BD1173" s="1392" t="n"/>
      <c r="BE1173" s="1392" t="n"/>
      <c r="BF1173" s="1392" t="n"/>
      <c r="BG1173" s="1392" t="n"/>
      <c r="BH1173" s="1392" t="n"/>
      <c r="BI1173" s="1392" t="n"/>
      <c r="BJ1173" s="1392" t="n"/>
      <c r="BK1173" s="1392" t="n"/>
      <c r="BL1173" s="1392" t="n"/>
      <c r="BM1173" s="1392" t="n"/>
      <c r="BN1173" s="1392" t="n"/>
      <c r="BO1173" s="1392" t="n"/>
      <c r="BP1173" s="1392" t="n"/>
      <c r="BQ1173" s="1392" t="n"/>
      <c r="BR1173" s="1392" t="n"/>
      <c r="BS1173" s="1392" t="n"/>
      <c r="BT1173" s="1392" t="n"/>
      <c r="BU1173" s="1392" t="n"/>
      <c r="BV1173" s="1392" t="n"/>
      <c r="BW1173" s="1392" t="n"/>
      <c r="BX1173" s="1392" t="n"/>
      <c r="BY1173" s="1392" t="n"/>
      <c r="BZ1173" s="1392" t="n"/>
      <c r="CA1173" s="1392" t="n"/>
      <c r="CB1173" s="1392" t="n"/>
      <c r="CC1173" s="1392" t="n"/>
      <c r="CD1173" s="1392" t="n"/>
      <c r="CE1173" s="1392" t="n"/>
      <c r="CF1173" s="1392" t="n"/>
      <c r="CG1173" s="1392" t="n"/>
      <c r="CH1173" s="1392" t="n"/>
      <c r="CI1173" s="1392" t="n"/>
      <c r="CJ1173" s="1392" t="n"/>
      <c r="CK1173" s="1392" t="n"/>
      <c r="CL1173" s="1392" t="n"/>
    </row>
    <row r="1174">
      <c r="A1174" s="5" t="inlineStr">
        <is>
          <t>.</t>
        </is>
      </c>
      <c r="B1174" s="5" t="inlineStr">
        <is>
          <t>.</t>
        </is>
      </c>
      <c r="C1174" s="1378">
        <f>IF(raw[[#This Row],[city]]="","-",IF(raw[[#This Row],[city]]="TODAY","-",C1173+1))</f>
        <v/>
      </c>
      <c r="D1174" s="1393" t="inlineStr">
        <is>
          <t>Paris</t>
        </is>
      </c>
      <c r="E1174" s="1394" t="n">
        <v>40148</v>
      </c>
      <c r="F1174" s="1394" t="n">
        <v>40157</v>
      </c>
      <c r="G1174" s="1393" t="inlineStr">
        <is>
          <t>-</t>
        </is>
      </c>
      <c r="H1174" s="1393" t="inlineStr">
        <is>
          <t>Loing</t>
        </is>
      </c>
      <c r="I1174" s="1393" t="inlineStr">
        <is>
          <t>-</t>
        </is>
      </c>
      <c r="J1174" s="1393" t="inlineStr">
        <is>
          <t>-</t>
        </is>
      </c>
      <c r="K1174" s="1395">
        <f>IF(raw[[#This Row],[city]]&lt;&gt;"",_xlfn.XLOOKUP($D1174,ccc[city],ccc[prov],"-"),"-")</f>
        <v/>
      </c>
      <c r="L1174" s="1395">
        <f>IF(raw[[#This Row],[city]]&lt;&gt;"",_xlfn.XLOOKUP($D1174,ccc[city],ccc[ctry],"-"),"-")</f>
        <v/>
      </c>
      <c r="M1174" s="1395">
        <f>IF(raw[[#This Row],[city]]&lt;&gt;"",_xlfn.XLOOKUP($D1174,ccc[city],ccc[cont],"-"),"-")</f>
        <v/>
      </c>
      <c r="N1174" s="1396">
        <f>IF(raw[[#This Row],[city]]="","-",IF(raw[[#This Row],[cont]]="B",raw[[#This Row],[cont]],"W"))</f>
        <v/>
      </c>
      <c r="O1174" s="1397">
        <f>IF(raw[[#This Row],[out]]=0,0,IF(raw[[#This Row],[out]]=raw[[#This Row],[in]],0.01,raw[[#This Row],[out]]-raw[[#This Row],[in]]))</f>
        <v/>
      </c>
      <c r="P1174" s="1397">
        <f>IF(raw[[#This Row],[in]]=0,0,MONTH(raw[[#This Row],[in]]))</f>
        <v/>
      </c>
      <c r="Q1174" s="1397">
        <f>IF(raw[[#This Row],[in]]=0,0,YEAR(raw[[#This Row],[in]]))</f>
        <v/>
      </c>
      <c r="R1174" s="1397">
        <f>INT(raw[[#This Row],[yr]]/10)*10</f>
        <v/>
      </c>
      <c r="S1174" s="1395">
        <f>IF(raw[[#This Row],[city]]="","-",IF(raw[[#This Row],[city]]&lt;&gt;_xlfn.XLOOKUP(raw[[#This Row],[home]],homes[home],homes[city],"-"),1,0))</f>
        <v/>
      </c>
      <c r="T1174" s="1398" t="inlineStr">
        <is>
          <t>.</t>
        </is>
      </c>
      <c r="U1174" s="1399">
        <f>IF(raw[[#This Row],[wb]]="w",raw[[#This Row],[stay]]+U1173,U1173)</f>
        <v/>
      </c>
      <c r="V1174" s="1400">
        <f>IF(raw[[#This Row],[out]]=0,V1173,(raw[[#This Row],[out]]-E$5))</f>
        <v/>
      </c>
      <c r="W1174" s="1401">
        <f>U1174/V1174</f>
        <v/>
      </c>
      <c r="X1174" s="1392" t="n"/>
      <c r="Y1174" s="1392" t="n"/>
      <c r="Z1174" s="1392" t="n"/>
      <c r="AA1174" s="1392" t="n"/>
      <c r="AB1174" s="1392" t="n"/>
      <c r="AC1174" s="1392" t="n"/>
      <c r="AD1174" s="1392" t="n"/>
      <c r="AE1174" s="1392" t="n"/>
      <c r="AF1174" s="1392" t="n"/>
      <c r="AG1174" s="1392" t="n"/>
      <c r="AH1174" s="1392" t="n"/>
      <c r="AI1174" s="1392" t="n"/>
      <c r="AJ1174" s="1392" t="n"/>
      <c r="AK1174" s="1392" t="n"/>
      <c r="AL1174" s="1392" t="n"/>
      <c r="AM1174" s="1392" t="n"/>
      <c r="AN1174" s="1392" t="n"/>
      <c r="AO1174" s="1392" t="n"/>
      <c r="AP1174" s="1392" t="n"/>
      <c r="AQ1174" s="1392" t="n"/>
      <c r="AR1174" s="1422" t="n"/>
      <c r="AS1174" s="1422" t="n"/>
      <c r="AT1174" s="1392" t="n"/>
      <c r="AU1174" s="1392" t="n"/>
      <c r="AV1174" s="1392" t="n"/>
      <c r="AW1174" s="1392" t="n"/>
      <c r="AX1174" s="1392" t="n"/>
      <c r="AY1174" s="1392" t="n"/>
      <c r="AZ1174" s="1392" t="n"/>
      <c r="BA1174" s="1422" t="n"/>
      <c r="BB1174" s="1422" t="n"/>
      <c r="BC1174" s="1392" t="n"/>
      <c r="BD1174" s="1392" t="n"/>
      <c r="BE1174" s="1392" t="n"/>
      <c r="BF1174" s="1392" t="n"/>
      <c r="BG1174" s="1392" t="n"/>
      <c r="BH1174" s="1392" t="n"/>
      <c r="BI1174" s="1392" t="n"/>
      <c r="BJ1174" s="1392" t="n"/>
      <c r="BK1174" s="1392" t="n"/>
      <c r="BL1174" s="1392" t="n"/>
      <c r="BM1174" s="1392" t="n"/>
      <c r="BN1174" s="1392" t="n"/>
      <c r="BO1174" s="1392" t="n"/>
      <c r="BP1174" s="1392" t="n"/>
      <c r="BQ1174" s="1392" t="n"/>
      <c r="BR1174" s="1392" t="n"/>
      <c r="BS1174" s="1392" t="n"/>
      <c r="BT1174" s="1392" t="n"/>
      <c r="BU1174" s="1392" t="n"/>
      <c r="BV1174" s="1392" t="n"/>
      <c r="BW1174" s="1392" t="n"/>
      <c r="BX1174" s="1392" t="n"/>
      <c r="BY1174" s="1392" t="n"/>
      <c r="BZ1174" s="1392" t="n"/>
      <c r="CA1174" s="1392" t="n"/>
      <c r="CB1174" s="1392" t="n"/>
      <c r="CC1174" s="1392" t="n"/>
      <c r="CD1174" s="1392" t="n"/>
      <c r="CE1174" s="1392" t="n"/>
      <c r="CF1174" s="1392" t="n"/>
      <c r="CG1174" s="1392" t="n"/>
      <c r="CH1174" s="1392" t="n"/>
      <c r="CI1174" s="1392" t="n"/>
      <c r="CJ1174" s="1392" t="n"/>
      <c r="CK1174" s="1392" t="n"/>
      <c r="CL1174" s="1392" t="n"/>
    </row>
    <row r="1175">
      <c r="A1175" s="5" t="inlineStr">
        <is>
          <t>.</t>
        </is>
      </c>
      <c r="B1175" s="5" t="inlineStr">
        <is>
          <t>.</t>
        </is>
      </c>
      <c r="C1175" s="1378">
        <f>IF(raw[[#This Row],[city]]="","-",IF(raw[[#This Row],[city]]="TODAY","-",C1174+1))</f>
        <v/>
      </c>
      <c r="D1175" s="1393" t="inlineStr">
        <is>
          <t>London</t>
        </is>
      </c>
      <c r="E1175" s="1394" t="n">
        <v>40157</v>
      </c>
      <c r="F1175" s="1394" t="n">
        <v>40162</v>
      </c>
      <c r="G1175" s="1393" t="inlineStr">
        <is>
          <t>-</t>
        </is>
      </c>
      <c r="H1175" s="1393" t="inlineStr">
        <is>
          <t>Loing</t>
        </is>
      </c>
      <c r="I1175" s="1393" t="inlineStr">
        <is>
          <t>Ivete/Ruislip</t>
        </is>
      </c>
      <c r="J1175" s="1393" t="inlineStr">
        <is>
          <t>-</t>
        </is>
      </c>
      <c r="K1175" s="1395">
        <f>IF(raw[[#This Row],[city]]&lt;&gt;"",_xlfn.XLOOKUP($D1175,ccc[city],ccc[prov],"-"),"-")</f>
        <v/>
      </c>
      <c r="L1175" s="1395">
        <f>IF(raw[[#This Row],[city]]&lt;&gt;"",_xlfn.XLOOKUP($D1175,ccc[city],ccc[ctry],"-"),"-")</f>
        <v/>
      </c>
      <c r="M1175" s="1395">
        <f>IF(raw[[#This Row],[city]]&lt;&gt;"",_xlfn.XLOOKUP($D1175,ccc[city],ccc[cont],"-"),"-")</f>
        <v/>
      </c>
      <c r="N1175" s="1396">
        <f>IF(raw[[#This Row],[city]]="","-",IF(raw[[#This Row],[cont]]="B",raw[[#This Row],[cont]],"W"))</f>
        <v/>
      </c>
      <c r="O1175" s="1397">
        <f>IF(raw[[#This Row],[out]]=0,0,IF(raw[[#This Row],[out]]=raw[[#This Row],[in]],0.01,raw[[#This Row],[out]]-raw[[#This Row],[in]]))</f>
        <v/>
      </c>
      <c r="P1175" s="1397">
        <f>IF(raw[[#This Row],[in]]=0,0,MONTH(raw[[#This Row],[in]]))</f>
        <v/>
      </c>
      <c r="Q1175" s="1397">
        <f>IF(raw[[#This Row],[in]]=0,0,YEAR(raw[[#This Row],[in]]))</f>
        <v/>
      </c>
      <c r="R1175" s="1397">
        <f>INT(raw[[#This Row],[yr]]/10)*10</f>
        <v/>
      </c>
      <c r="S1175" s="1395">
        <f>IF(raw[[#This Row],[city]]="","-",IF(raw[[#This Row],[city]]&lt;&gt;_xlfn.XLOOKUP(raw[[#This Row],[home]],homes[home],homes[city],"-"),1,0))</f>
        <v/>
      </c>
      <c r="T1175" s="1398" t="inlineStr">
        <is>
          <t>.</t>
        </is>
      </c>
      <c r="U1175" s="1399">
        <f>IF(raw[[#This Row],[wb]]="w",raw[[#This Row],[stay]]+U1174,U1174)</f>
        <v/>
      </c>
      <c r="V1175" s="1400">
        <f>IF(raw[[#This Row],[out]]=0,V1174,(raw[[#This Row],[out]]-E$5))</f>
        <v/>
      </c>
      <c r="W1175" s="1401">
        <f>U1175/V1175</f>
        <v/>
      </c>
      <c r="X1175" s="1392" t="n"/>
      <c r="Y1175" s="1392" t="n"/>
      <c r="Z1175" s="1392" t="n"/>
      <c r="AA1175" s="1392" t="n"/>
      <c r="AB1175" s="1392" t="n"/>
      <c r="AC1175" s="1392" t="n"/>
      <c r="AD1175" s="1392" t="n"/>
      <c r="AE1175" s="1392" t="n"/>
      <c r="AF1175" s="1392" t="n"/>
      <c r="AG1175" s="1392" t="n"/>
      <c r="AH1175" s="1392" t="n"/>
      <c r="AI1175" s="1392" t="n"/>
      <c r="AJ1175" s="1392" t="n"/>
      <c r="AK1175" s="1392" t="n"/>
      <c r="AL1175" s="1392" t="n"/>
      <c r="AM1175" s="1392" t="n"/>
      <c r="AN1175" s="1392" t="n"/>
      <c r="AO1175" s="1392" t="n"/>
      <c r="AP1175" s="1392" t="n"/>
      <c r="AQ1175" s="1392" t="n"/>
      <c r="AR1175" s="1422" t="n"/>
      <c r="AS1175" s="1422" t="n"/>
      <c r="AT1175" s="1392" t="n"/>
      <c r="AU1175" s="1392" t="n"/>
      <c r="AV1175" s="1392" t="n"/>
      <c r="AW1175" s="1392" t="n"/>
      <c r="AX1175" s="1392" t="n"/>
      <c r="AY1175" s="1392" t="n"/>
      <c r="AZ1175" s="1392" t="n"/>
      <c r="BA1175" s="1422" t="n"/>
      <c r="BB1175" s="1422" t="n"/>
      <c r="BC1175" s="1392" t="n"/>
      <c r="BD1175" s="1392" t="n"/>
      <c r="BE1175" s="1392" t="n"/>
      <c r="BF1175" s="1392" t="n"/>
      <c r="BG1175" s="1392" t="n"/>
      <c r="BH1175" s="1392" t="n"/>
      <c r="BI1175" s="1392" t="n"/>
      <c r="BJ1175" s="1392" t="n"/>
      <c r="BK1175" s="1392" t="n"/>
      <c r="BL1175" s="1392" t="n"/>
      <c r="BM1175" s="1392" t="n"/>
      <c r="BN1175" s="1392" t="n"/>
      <c r="BO1175" s="1392" t="n"/>
      <c r="BP1175" s="1392" t="n"/>
      <c r="BQ1175" s="1392" t="n"/>
      <c r="BR1175" s="1392" t="n"/>
      <c r="BS1175" s="1392" t="n"/>
      <c r="BT1175" s="1392" t="n"/>
      <c r="BU1175" s="1392" t="n"/>
      <c r="BV1175" s="1392" t="n"/>
      <c r="BW1175" s="1392" t="n"/>
      <c r="BX1175" s="1392" t="n"/>
      <c r="BY1175" s="1392" t="n"/>
      <c r="BZ1175" s="1392" t="n"/>
      <c r="CA1175" s="1392" t="n"/>
      <c r="CB1175" s="1392" t="n"/>
      <c r="CC1175" s="1392" t="n"/>
      <c r="CD1175" s="1392" t="n"/>
      <c r="CE1175" s="1392" t="n"/>
      <c r="CF1175" s="1392" t="n"/>
      <c r="CG1175" s="1392" t="n"/>
      <c r="CH1175" s="1392" t="n"/>
      <c r="CI1175" s="1392" t="n"/>
      <c r="CJ1175" s="1392" t="n"/>
      <c r="CK1175" s="1392" t="n"/>
      <c r="CL1175" s="1392" t="n"/>
    </row>
    <row r="1176">
      <c r="A1176" s="5" t="inlineStr">
        <is>
          <t>.</t>
        </is>
      </c>
      <c r="B1176" s="5" t="inlineStr">
        <is>
          <t>.</t>
        </is>
      </c>
      <c r="C1176" s="1378">
        <f>IF(raw[[#This Row],[city]]="","-",IF(raw[[#This Row],[city]]="TODAY","-",C1175+1))</f>
        <v/>
      </c>
      <c r="D1176" s="1393" t="inlineStr">
        <is>
          <t>Paris</t>
        </is>
      </c>
      <c r="E1176" s="1394" t="n">
        <v>40162</v>
      </c>
      <c r="F1176" s="1394" t="n">
        <v>40179</v>
      </c>
      <c r="G1176" s="1393" t="inlineStr">
        <is>
          <t>-</t>
        </is>
      </c>
      <c r="H1176" s="1393" t="inlineStr">
        <is>
          <t>Loing</t>
        </is>
      </c>
      <c r="I1176" s="1393" t="inlineStr">
        <is>
          <t>-</t>
        </is>
      </c>
      <c r="J1176" s="1393" t="inlineStr">
        <is>
          <t>-</t>
        </is>
      </c>
      <c r="K1176" s="1395">
        <f>IF(raw[[#This Row],[city]]&lt;&gt;"",_xlfn.XLOOKUP($D1176,ccc[city],ccc[prov],"-"),"-")</f>
        <v/>
      </c>
      <c r="L1176" s="1395">
        <f>IF(raw[[#This Row],[city]]&lt;&gt;"",_xlfn.XLOOKUP($D1176,ccc[city],ccc[ctry],"-"),"-")</f>
        <v/>
      </c>
      <c r="M1176" s="1395">
        <f>IF(raw[[#This Row],[city]]&lt;&gt;"",_xlfn.XLOOKUP($D1176,ccc[city],ccc[cont],"-"),"-")</f>
        <v/>
      </c>
      <c r="N1176" s="1396">
        <f>IF(raw[[#This Row],[city]]="","-",IF(raw[[#This Row],[cont]]="B",raw[[#This Row],[cont]],"W"))</f>
        <v/>
      </c>
      <c r="O1176" s="1397">
        <f>IF(raw[[#This Row],[out]]=0,0,IF(raw[[#This Row],[out]]=raw[[#This Row],[in]],0.01,raw[[#This Row],[out]]-raw[[#This Row],[in]]))</f>
        <v/>
      </c>
      <c r="P1176" s="1397">
        <f>IF(raw[[#This Row],[in]]=0,0,MONTH(raw[[#This Row],[in]]))</f>
        <v/>
      </c>
      <c r="Q1176" s="1397">
        <f>IF(raw[[#This Row],[in]]=0,0,YEAR(raw[[#This Row],[in]]))</f>
        <v/>
      </c>
      <c r="R1176" s="1397">
        <f>INT(raw[[#This Row],[yr]]/10)*10</f>
        <v/>
      </c>
      <c r="S1176" s="1395">
        <f>IF(raw[[#This Row],[city]]="","-",IF(raw[[#This Row],[city]]&lt;&gt;_xlfn.XLOOKUP(raw[[#This Row],[home]],homes[home],homes[city],"-"),1,0))</f>
        <v/>
      </c>
      <c r="T1176" s="1398" t="inlineStr">
        <is>
          <t>.</t>
        </is>
      </c>
      <c r="U1176" s="1399">
        <f>IF(raw[[#This Row],[wb]]="w",raw[[#This Row],[stay]]+U1175,U1175)</f>
        <v/>
      </c>
      <c r="V1176" s="1400">
        <f>IF(raw[[#This Row],[out]]=0,V1175,(raw[[#This Row],[out]]-E$5))</f>
        <v/>
      </c>
      <c r="W1176" s="1401">
        <f>U1176/V1176</f>
        <v/>
      </c>
      <c r="X1176" s="1392" t="n"/>
      <c r="Y1176" s="1392" t="n"/>
      <c r="Z1176" s="1392" t="n"/>
      <c r="AA1176" s="1392" t="n"/>
      <c r="AB1176" s="1392" t="n"/>
      <c r="AC1176" s="1392" t="n"/>
      <c r="AD1176" s="1392" t="n"/>
      <c r="AE1176" s="1392" t="n"/>
      <c r="AF1176" s="1392" t="n"/>
      <c r="AG1176" s="1392" t="n"/>
      <c r="AH1176" s="1392" t="n"/>
      <c r="AI1176" s="1392" t="n"/>
      <c r="AJ1176" s="1392" t="n"/>
      <c r="AK1176" s="1392" t="n"/>
      <c r="AL1176" s="1392" t="n"/>
      <c r="AM1176" s="1392" t="n"/>
      <c r="AN1176" s="1392" t="n"/>
      <c r="AO1176" s="1392" t="n"/>
      <c r="AP1176" s="1392" t="n"/>
      <c r="AQ1176" s="1392" t="n"/>
      <c r="AR1176" s="1422" t="n"/>
      <c r="AS1176" s="1422" t="n"/>
      <c r="AT1176" s="1392" t="n"/>
      <c r="AU1176" s="1392" t="n"/>
      <c r="AV1176" s="1392" t="n"/>
      <c r="AW1176" s="1392" t="n"/>
      <c r="AX1176" s="1392" t="n"/>
      <c r="AY1176" s="1392" t="n"/>
      <c r="AZ1176" s="1392" t="n"/>
      <c r="BA1176" s="1422" t="n"/>
      <c r="BB1176" s="1422" t="n"/>
      <c r="BC1176" s="1392" t="n"/>
      <c r="BD1176" s="1392" t="n"/>
      <c r="BE1176" s="1392" t="n"/>
      <c r="BF1176" s="1392" t="n"/>
      <c r="BG1176" s="1392" t="n"/>
      <c r="BH1176" s="1392" t="n"/>
      <c r="BI1176" s="1392" t="n"/>
      <c r="BJ1176" s="1392" t="n"/>
      <c r="BK1176" s="1392" t="n"/>
      <c r="BL1176" s="1392" t="n"/>
      <c r="BM1176" s="1392" t="n"/>
      <c r="BN1176" s="1392" t="n"/>
      <c r="BO1176" s="1392" t="n"/>
      <c r="BP1176" s="1392" t="n"/>
      <c r="BQ1176" s="1392" t="n"/>
      <c r="BR1176" s="1392" t="n"/>
      <c r="BS1176" s="1392" t="n"/>
      <c r="BT1176" s="1392" t="n"/>
      <c r="BU1176" s="1392" t="n"/>
      <c r="BV1176" s="1392" t="n"/>
      <c r="BW1176" s="1392" t="n"/>
      <c r="BX1176" s="1392" t="n"/>
      <c r="BY1176" s="1392" t="n"/>
      <c r="BZ1176" s="1392" t="n"/>
      <c r="CA1176" s="1392" t="n"/>
      <c r="CB1176" s="1392" t="n"/>
      <c r="CC1176" s="1392" t="n"/>
      <c r="CD1176" s="1392" t="n"/>
      <c r="CE1176" s="1392" t="n"/>
      <c r="CF1176" s="1392" t="n"/>
      <c r="CG1176" s="1392" t="n"/>
      <c r="CH1176" s="1392" t="n"/>
      <c r="CI1176" s="1392" t="n"/>
      <c r="CJ1176" s="1392" t="n"/>
      <c r="CK1176" s="1392" t="n"/>
      <c r="CL1176" s="1392" t="n"/>
    </row>
    <row r="1177">
      <c r="A1177" s="5" t="inlineStr">
        <is>
          <t>.</t>
        </is>
      </c>
      <c r="B1177" s="5" t="inlineStr">
        <is>
          <t>.</t>
        </is>
      </c>
      <c r="C1177" s="1378">
        <f>IF(raw[[#This Row],[city]]="","-",IF(raw[[#This Row],[city]]="TODAY","-",C1176+1))</f>
        <v/>
      </c>
      <c r="D1177" s="1393" t="inlineStr">
        <is>
          <t>Paris</t>
        </is>
      </c>
      <c r="E1177" s="1394" t="n">
        <v>40179</v>
      </c>
      <c r="F1177" s="1394" t="n">
        <v>40210</v>
      </c>
      <c r="G1177" s="1393" t="inlineStr">
        <is>
          <t>-</t>
        </is>
      </c>
      <c r="H1177" s="1393" t="inlineStr">
        <is>
          <t>Loing</t>
        </is>
      </c>
      <c r="I1177" s="1393" t="inlineStr">
        <is>
          <t>-</t>
        </is>
      </c>
      <c r="J1177" s="1393" t="inlineStr">
        <is>
          <t>REV</t>
        </is>
      </c>
      <c r="K1177" s="1395">
        <f>IF(raw[[#This Row],[city]]&lt;&gt;"",_xlfn.XLOOKUP($D1177,ccc[city],ccc[prov],"-"),"-")</f>
        <v/>
      </c>
      <c r="L1177" s="1395">
        <f>IF(raw[[#This Row],[city]]&lt;&gt;"",_xlfn.XLOOKUP($D1177,ccc[city],ccc[ctry],"-"),"-")</f>
        <v/>
      </c>
      <c r="M1177" s="1395">
        <f>IF(raw[[#This Row],[city]]&lt;&gt;"",_xlfn.XLOOKUP($D1177,ccc[city],ccc[cont],"-"),"-")</f>
        <v/>
      </c>
      <c r="N1177" s="1396">
        <f>IF(raw[[#This Row],[city]]="","-",IF(raw[[#This Row],[cont]]="B",raw[[#This Row],[cont]],"W"))</f>
        <v/>
      </c>
      <c r="O1177" s="1397">
        <f>IF(raw[[#This Row],[out]]=0,0,IF(raw[[#This Row],[out]]=raw[[#This Row],[in]],0.01,raw[[#This Row],[out]]-raw[[#This Row],[in]]))</f>
        <v/>
      </c>
      <c r="P1177" s="1397">
        <f>IF(raw[[#This Row],[in]]=0,0,MONTH(raw[[#This Row],[in]]))</f>
        <v/>
      </c>
      <c r="Q1177" s="1397">
        <f>IF(raw[[#This Row],[in]]=0,0,YEAR(raw[[#This Row],[in]]))</f>
        <v/>
      </c>
      <c r="R1177" s="1397">
        <f>INT(raw[[#This Row],[yr]]/10)*10</f>
        <v/>
      </c>
      <c r="S1177" s="1395">
        <f>IF(raw[[#This Row],[city]]="","-",IF(raw[[#This Row],[city]]&lt;&gt;_xlfn.XLOOKUP(raw[[#This Row],[home]],homes[home],homes[city],"-"),1,0))</f>
        <v/>
      </c>
      <c r="T1177" s="1398" t="inlineStr">
        <is>
          <t>.</t>
        </is>
      </c>
      <c r="U1177" s="1399">
        <f>IF(raw[[#This Row],[wb]]="w",raw[[#This Row],[stay]]+U1176,U1176)</f>
        <v/>
      </c>
      <c r="V1177" s="1400">
        <f>IF(raw[[#This Row],[out]]=0,V1176,(raw[[#This Row],[out]]-E$5))</f>
        <v/>
      </c>
      <c r="W1177" s="1401">
        <f>U1177/V1177</f>
        <v/>
      </c>
      <c r="X1177" s="1392" t="n"/>
      <c r="Y1177" s="1392" t="n"/>
      <c r="Z1177" s="1392" t="n"/>
      <c r="AA1177" s="1392" t="n"/>
      <c r="AB1177" s="1392" t="n"/>
      <c r="AC1177" s="1392" t="n"/>
      <c r="AD1177" s="1392" t="n"/>
      <c r="AE1177" s="1392" t="n"/>
      <c r="AF1177" s="1392" t="n"/>
      <c r="AG1177" s="1392" t="n"/>
      <c r="AH1177" s="1392" t="n"/>
      <c r="AI1177" s="1392" t="n"/>
      <c r="AJ1177" s="1392" t="n"/>
      <c r="AK1177" s="1392" t="n"/>
      <c r="AL1177" s="1392" t="n"/>
      <c r="AM1177" s="1392" t="n"/>
      <c r="AN1177" s="1392" t="n"/>
      <c r="AO1177" s="1392" t="n"/>
      <c r="AP1177" s="1392" t="n"/>
      <c r="AQ1177" s="1392" t="n"/>
      <c r="AR1177" s="1422" t="n"/>
      <c r="AS1177" s="1422" t="n"/>
      <c r="AT1177" s="1392" t="n"/>
      <c r="AU1177" s="1392" t="n"/>
      <c r="AV1177" s="1392" t="n"/>
      <c r="AW1177" s="1392" t="n"/>
      <c r="AX1177" s="1392" t="n"/>
      <c r="AY1177" s="1392" t="n"/>
      <c r="AZ1177" s="1392" t="n"/>
      <c r="BA1177" s="1422" t="n"/>
      <c r="BB1177" s="1422" t="n"/>
      <c r="BC1177" s="1392" t="n"/>
      <c r="BD1177" s="1392" t="n"/>
      <c r="BE1177" s="1392" t="n"/>
      <c r="BF1177" s="1392" t="n"/>
      <c r="BG1177" s="1392" t="n"/>
      <c r="BH1177" s="1392" t="n"/>
      <c r="BI1177" s="1392" t="n"/>
      <c r="BJ1177" s="1392" t="n"/>
      <c r="BK1177" s="1392" t="n"/>
      <c r="BL1177" s="1392" t="n"/>
      <c r="BM1177" s="1392" t="n"/>
      <c r="BN1177" s="1392" t="n"/>
      <c r="BO1177" s="1392" t="n"/>
      <c r="BP1177" s="1392" t="n"/>
      <c r="BQ1177" s="1392" t="n"/>
      <c r="BR1177" s="1392" t="n"/>
      <c r="BS1177" s="1392" t="n"/>
      <c r="BT1177" s="1392" t="n"/>
      <c r="BU1177" s="1392" t="n"/>
      <c r="BV1177" s="1392" t="n"/>
      <c r="BW1177" s="1392" t="n"/>
      <c r="BX1177" s="1392" t="n"/>
      <c r="BY1177" s="1392" t="n"/>
      <c r="BZ1177" s="1392" t="n"/>
      <c r="CA1177" s="1392" t="n"/>
      <c r="CB1177" s="1392" t="n"/>
      <c r="CC1177" s="1392" t="n"/>
      <c r="CD1177" s="1392" t="n"/>
      <c r="CE1177" s="1392" t="n"/>
      <c r="CF1177" s="1392" t="n"/>
      <c r="CG1177" s="1392" t="n"/>
      <c r="CH1177" s="1392" t="n"/>
      <c r="CI1177" s="1392" t="n"/>
      <c r="CJ1177" s="1392" t="n"/>
      <c r="CK1177" s="1392" t="n"/>
      <c r="CL1177" s="1392" t="n"/>
    </row>
    <row r="1178">
      <c r="A1178" s="5" t="inlineStr">
        <is>
          <t>.</t>
        </is>
      </c>
      <c r="B1178" s="5" t="inlineStr">
        <is>
          <t>.</t>
        </is>
      </c>
      <c r="C1178" s="1378">
        <f>IF(raw[[#This Row],[city]]="","-",IF(raw[[#This Row],[city]]="TODAY","-",C1177+1))</f>
        <v/>
      </c>
      <c r="D1178" s="1393" t="inlineStr">
        <is>
          <t>Paris</t>
        </is>
      </c>
      <c r="E1178" s="1394" t="n">
        <v>40210</v>
      </c>
      <c r="F1178" s="1394" t="n">
        <v>40238</v>
      </c>
      <c r="G1178" s="1393" t="inlineStr">
        <is>
          <t>-</t>
        </is>
      </c>
      <c r="H1178" s="1393" t="inlineStr">
        <is>
          <t>Loing</t>
        </is>
      </c>
      <c r="I1178" s="1393" t="inlineStr">
        <is>
          <t>-</t>
        </is>
      </c>
      <c r="J1178" s="1393" t="inlineStr">
        <is>
          <t>-</t>
        </is>
      </c>
      <c r="K1178" s="1395">
        <f>IF(raw[[#This Row],[city]]&lt;&gt;"",_xlfn.XLOOKUP($D1178,ccc[city],ccc[prov],"-"),"-")</f>
        <v/>
      </c>
      <c r="L1178" s="1395">
        <f>IF(raw[[#This Row],[city]]&lt;&gt;"",_xlfn.XLOOKUP($D1178,ccc[city],ccc[ctry],"-"),"-")</f>
        <v/>
      </c>
      <c r="M1178" s="1395">
        <f>IF(raw[[#This Row],[city]]&lt;&gt;"",_xlfn.XLOOKUP($D1178,ccc[city],ccc[cont],"-"),"-")</f>
        <v/>
      </c>
      <c r="N1178" s="1396">
        <f>IF(raw[[#This Row],[city]]="","-",IF(raw[[#This Row],[cont]]="B",raw[[#This Row],[cont]],"W"))</f>
        <v/>
      </c>
      <c r="O1178" s="1397">
        <f>IF(raw[[#This Row],[out]]=0,0,IF(raw[[#This Row],[out]]=raw[[#This Row],[in]],0.01,raw[[#This Row],[out]]-raw[[#This Row],[in]]))</f>
        <v/>
      </c>
      <c r="P1178" s="1397">
        <f>IF(raw[[#This Row],[in]]=0,0,MONTH(raw[[#This Row],[in]]))</f>
        <v/>
      </c>
      <c r="Q1178" s="1397">
        <f>IF(raw[[#This Row],[in]]=0,0,YEAR(raw[[#This Row],[in]]))</f>
        <v/>
      </c>
      <c r="R1178" s="1397">
        <f>INT(raw[[#This Row],[yr]]/10)*10</f>
        <v/>
      </c>
      <c r="S1178" s="1395">
        <f>IF(raw[[#This Row],[city]]="","-",IF(raw[[#This Row],[city]]&lt;&gt;_xlfn.XLOOKUP(raw[[#This Row],[home]],homes[home],homes[city],"-"),1,0))</f>
        <v/>
      </c>
      <c r="T1178" s="1398" t="inlineStr">
        <is>
          <t>.</t>
        </is>
      </c>
      <c r="U1178" s="1399">
        <f>IF(raw[[#This Row],[wb]]="w",raw[[#This Row],[stay]]+U1177,U1177)</f>
        <v/>
      </c>
      <c r="V1178" s="1400">
        <f>IF(raw[[#This Row],[out]]=0,V1177,(raw[[#This Row],[out]]-E$5))</f>
        <v/>
      </c>
      <c r="W1178" s="1401">
        <f>U1178/V1178</f>
        <v/>
      </c>
      <c r="X1178" s="1392" t="n"/>
      <c r="Y1178" s="1392" t="n"/>
      <c r="Z1178" s="1392" t="n"/>
      <c r="AA1178" s="1392" t="n"/>
      <c r="AB1178" s="1392" t="n"/>
      <c r="AC1178" s="1392" t="n"/>
      <c r="AD1178" s="1392" t="n"/>
      <c r="AE1178" s="1392" t="n"/>
      <c r="AF1178" s="1392" t="n"/>
      <c r="AG1178" s="1392" t="n"/>
      <c r="AH1178" s="1392" t="n"/>
      <c r="AI1178" s="1392" t="n"/>
      <c r="AJ1178" s="1392" t="n"/>
      <c r="AK1178" s="1392" t="n"/>
      <c r="AL1178" s="1392" t="n"/>
      <c r="AM1178" s="1392" t="n"/>
      <c r="AN1178" s="1392" t="n"/>
      <c r="AO1178" s="1392" t="n"/>
      <c r="AP1178" s="1392" t="n"/>
      <c r="AQ1178" s="1392" t="n"/>
      <c r="AR1178" s="1422" t="n"/>
      <c r="AS1178" s="1422" t="n"/>
      <c r="AT1178" s="1392" t="n"/>
      <c r="AU1178" s="1392" t="n"/>
      <c r="AV1178" s="1392" t="n"/>
      <c r="AW1178" s="1392" t="n"/>
      <c r="AX1178" s="1392" t="n"/>
      <c r="AY1178" s="1392" t="n"/>
      <c r="AZ1178" s="1392" t="n"/>
      <c r="BA1178" s="1422" t="n"/>
      <c r="BB1178" s="1422" t="n"/>
      <c r="BC1178" s="1392" t="n"/>
      <c r="BD1178" s="1392" t="n"/>
      <c r="BE1178" s="1392" t="n"/>
      <c r="BF1178" s="1392" t="n"/>
      <c r="BG1178" s="1392" t="n"/>
      <c r="BH1178" s="1392" t="n"/>
      <c r="BI1178" s="1392" t="n"/>
      <c r="BJ1178" s="1392" t="n"/>
      <c r="BK1178" s="1392" t="n"/>
      <c r="BL1178" s="1392" t="n"/>
      <c r="BM1178" s="1392" t="n"/>
      <c r="BN1178" s="1392" t="n"/>
      <c r="BO1178" s="1392" t="n"/>
      <c r="BP1178" s="1392" t="n"/>
      <c r="BQ1178" s="1392" t="n"/>
      <c r="BR1178" s="1392" t="n"/>
      <c r="BS1178" s="1392" t="n"/>
      <c r="BT1178" s="1392" t="n"/>
      <c r="BU1178" s="1392" t="n"/>
      <c r="BV1178" s="1392" t="n"/>
      <c r="BW1178" s="1392" t="n"/>
      <c r="BX1178" s="1392" t="n"/>
      <c r="BY1178" s="1392" t="n"/>
      <c r="BZ1178" s="1392" t="n"/>
      <c r="CA1178" s="1392" t="n"/>
      <c r="CB1178" s="1392" t="n"/>
      <c r="CC1178" s="1392" t="n"/>
      <c r="CD1178" s="1392" t="n"/>
      <c r="CE1178" s="1392" t="n"/>
      <c r="CF1178" s="1392" t="n"/>
      <c r="CG1178" s="1392" t="n"/>
      <c r="CH1178" s="1392" t="n"/>
      <c r="CI1178" s="1392" t="n"/>
      <c r="CJ1178" s="1392" t="n"/>
      <c r="CK1178" s="1392" t="n"/>
      <c r="CL1178" s="1392" t="n"/>
    </row>
    <row r="1179">
      <c r="A1179" s="5" t="inlineStr">
        <is>
          <t>.</t>
        </is>
      </c>
      <c r="B1179" s="5" t="inlineStr">
        <is>
          <t>.</t>
        </is>
      </c>
      <c r="C1179" s="1378">
        <f>IF(raw[[#This Row],[city]]="","-",IF(raw[[#This Row],[city]]="TODAY","-",C1178+1))</f>
        <v/>
      </c>
      <c r="D1179" s="1393" t="inlineStr">
        <is>
          <t>Paris</t>
        </is>
      </c>
      <c r="E1179" s="1394" t="n">
        <v>40238</v>
      </c>
      <c r="F1179" s="1394" t="n">
        <v>40243</v>
      </c>
      <c r="G1179" s="1393" t="n">
        <v>1</v>
      </c>
      <c r="H1179" s="1393" t="inlineStr">
        <is>
          <t>Loing</t>
        </is>
      </c>
      <c r="I1179" s="1393" t="inlineStr">
        <is>
          <t>-</t>
        </is>
      </c>
      <c r="J1179" s="1393" t="inlineStr">
        <is>
          <t>-</t>
        </is>
      </c>
      <c r="K1179" s="1395">
        <f>IF(raw[[#This Row],[city]]&lt;&gt;"",_xlfn.XLOOKUP($D1179,ccc[city],ccc[prov],"-"),"-")</f>
        <v/>
      </c>
      <c r="L1179" s="1395">
        <f>IF(raw[[#This Row],[city]]&lt;&gt;"",_xlfn.XLOOKUP($D1179,ccc[city],ccc[ctry],"-"),"-")</f>
        <v/>
      </c>
      <c r="M1179" s="1395">
        <f>IF(raw[[#This Row],[city]]&lt;&gt;"",_xlfn.XLOOKUP($D1179,ccc[city],ccc[cont],"-"),"-")</f>
        <v/>
      </c>
      <c r="N1179" s="1396">
        <f>IF(raw[[#This Row],[city]]="","-",IF(raw[[#This Row],[cont]]="B",raw[[#This Row],[cont]],"W"))</f>
        <v/>
      </c>
      <c r="O1179" s="1397">
        <f>IF(raw[[#This Row],[out]]=0,0,IF(raw[[#This Row],[out]]=raw[[#This Row],[in]],0.01,raw[[#This Row],[out]]-raw[[#This Row],[in]]))</f>
        <v/>
      </c>
      <c r="P1179" s="1397">
        <f>IF(raw[[#This Row],[in]]=0,0,MONTH(raw[[#This Row],[in]]))</f>
        <v/>
      </c>
      <c r="Q1179" s="1397">
        <f>IF(raw[[#This Row],[in]]=0,0,YEAR(raw[[#This Row],[in]]))</f>
        <v/>
      </c>
      <c r="R1179" s="1397">
        <f>INT(raw[[#This Row],[yr]]/10)*10</f>
        <v/>
      </c>
      <c r="S1179" s="1395">
        <f>IF(raw[[#This Row],[city]]="","-",IF(raw[[#This Row],[city]]&lt;&gt;_xlfn.XLOOKUP(raw[[#This Row],[home]],homes[home],homes[city],"-"),1,0))</f>
        <v/>
      </c>
      <c r="T1179" s="1398" t="inlineStr">
        <is>
          <t>.</t>
        </is>
      </c>
      <c r="U1179" s="1399">
        <f>IF(raw[[#This Row],[wb]]="w",raw[[#This Row],[stay]]+U1178,U1178)</f>
        <v/>
      </c>
      <c r="V1179" s="1400">
        <f>IF(raw[[#This Row],[out]]=0,V1178,(raw[[#This Row],[out]]-E$5))</f>
        <v/>
      </c>
      <c r="W1179" s="1401">
        <f>U1179/V1179</f>
        <v/>
      </c>
      <c r="X1179" s="1392" t="n"/>
      <c r="Y1179" s="1392" t="n"/>
      <c r="Z1179" s="1392" t="n"/>
      <c r="AA1179" s="1392" t="n"/>
      <c r="AB1179" s="1392" t="n"/>
      <c r="AC1179" s="1392" t="n"/>
      <c r="AD1179" s="1392" t="n"/>
      <c r="AE1179" s="1392" t="n"/>
      <c r="AF1179" s="1392" t="n"/>
      <c r="AG1179" s="1392" t="n"/>
      <c r="AH1179" s="1392" t="n"/>
      <c r="AI1179" s="1392" t="n"/>
      <c r="AJ1179" s="1392" t="n"/>
      <c r="AK1179" s="1392" t="n"/>
      <c r="AL1179" s="1392" t="n"/>
      <c r="AM1179" s="1392" t="n"/>
      <c r="AN1179" s="1392" t="n"/>
      <c r="AO1179" s="1392" t="n"/>
      <c r="AP1179" s="1392" t="n"/>
      <c r="AQ1179" s="1392" t="n"/>
      <c r="AR1179" s="1422" t="n"/>
      <c r="AS1179" s="1422" t="n"/>
      <c r="AT1179" s="1392" t="n"/>
      <c r="AU1179" s="1392" t="n"/>
      <c r="AV1179" s="1392" t="n"/>
      <c r="AW1179" s="1392" t="n"/>
      <c r="AX1179" s="1392" t="n"/>
      <c r="AY1179" s="1392" t="n"/>
      <c r="AZ1179" s="1392" t="n"/>
      <c r="BA1179" s="1422" t="n"/>
      <c r="BB1179" s="1422" t="n"/>
      <c r="BC1179" s="1392" t="n"/>
      <c r="BD1179" s="1392" t="n"/>
      <c r="BE1179" s="1392" t="n"/>
      <c r="BF1179" s="1392" t="n"/>
      <c r="BG1179" s="1392" t="n"/>
      <c r="BH1179" s="1392" t="n"/>
      <c r="BI1179" s="1392" t="n"/>
      <c r="BJ1179" s="1392" t="n"/>
      <c r="BK1179" s="1392" t="n"/>
      <c r="BL1179" s="1392" t="n"/>
      <c r="BM1179" s="1392" t="n"/>
      <c r="BN1179" s="1392" t="n"/>
      <c r="BO1179" s="1392" t="n"/>
      <c r="BP1179" s="1392" t="n"/>
      <c r="BQ1179" s="1392" t="n"/>
      <c r="BR1179" s="1392" t="n"/>
      <c r="BS1179" s="1392" t="n"/>
      <c r="BT1179" s="1392" t="n"/>
      <c r="BU1179" s="1392" t="n"/>
      <c r="BV1179" s="1392" t="n"/>
      <c r="BW1179" s="1392" t="n"/>
      <c r="BX1179" s="1392" t="n"/>
      <c r="BY1179" s="1392" t="n"/>
      <c r="BZ1179" s="1392" t="n"/>
      <c r="CA1179" s="1392" t="n"/>
      <c r="CB1179" s="1392" t="n"/>
      <c r="CC1179" s="1392" t="n"/>
      <c r="CD1179" s="1392" t="n"/>
      <c r="CE1179" s="1392" t="n"/>
      <c r="CF1179" s="1392" t="n"/>
      <c r="CG1179" s="1392" t="n"/>
      <c r="CH1179" s="1392" t="n"/>
      <c r="CI1179" s="1392" t="n"/>
      <c r="CJ1179" s="1392" t="n"/>
      <c r="CK1179" s="1392" t="n"/>
      <c r="CL1179" s="1392" t="n"/>
    </row>
    <row r="1180">
      <c r="A1180" s="5" t="inlineStr">
        <is>
          <t>.</t>
        </is>
      </c>
      <c r="B1180" s="5" t="inlineStr">
        <is>
          <t>.</t>
        </is>
      </c>
      <c r="C1180" s="1378">
        <f>IF(raw[[#This Row],[city]]="","-",IF(raw[[#This Row],[city]]="TODAY","-",C1179+1))</f>
        <v/>
      </c>
      <c r="D1180" s="1393" t="inlineStr">
        <is>
          <t>Marrakech</t>
        </is>
      </c>
      <c r="E1180" s="1394" t="n">
        <v>40243</v>
      </c>
      <c r="F1180" s="1394" t="n">
        <v>40249</v>
      </c>
      <c r="G1180" s="1393" t="n">
        <v>1</v>
      </c>
      <c r="H1180" s="1393" t="inlineStr">
        <is>
          <t>Loing</t>
        </is>
      </c>
      <c r="I1180" s="1393" t="inlineStr">
        <is>
          <t>-</t>
        </is>
      </c>
      <c r="J1180" s="1393" t="inlineStr">
        <is>
          <t>-</t>
        </is>
      </c>
      <c r="K1180" s="1395">
        <f>IF(raw[[#This Row],[city]]&lt;&gt;"",_xlfn.XLOOKUP($D1180,ccc[city],ccc[prov],"-"),"-")</f>
        <v/>
      </c>
      <c r="L1180" s="1395">
        <f>IF(raw[[#This Row],[city]]&lt;&gt;"",_xlfn.XLOOKUP($D1180,ccc[city],ccc[ctry],"-"),"-")</f>
        <v/>
      </c>
      <c r="M1180" s="1395">
        <f>IF(raw[[#This Row],[city]]&lt;&gt;"",_xlfn.XLOOKUP($D1180,ccc[city],ccc[cont],"-"),"-")</f>
        <v/>
      </c>
      <c r="N1180" s="1396">
        <f>IF(raw[[#This Row],[city]]="","-",IF(raw[[#This Row],[cont]]="B",raw[[#This Row],[cont]],"W"))</f>
        <v/>
      </c>
      <c r="O1180" s="1397">
        <f>IF(raw[[#This Row],[out]]=0,0,IF(raw[[#This Row],[out]]=raw[[#This Row],[in]],0.01,raw[[#This Row],[out]]-raw[[#This Row],[in]]))</f>
        <v/>
      </c>
      <c r="P1180" s="1397">
        <f>IF(raw[[#This Row],[in]]=0,0,MONTH(raw[[#This Row],[in]]))</f>
        <v/>
      </c>
      <c r="Q1180" s="1397">
        <f>IF(raw[[#This Row],[in]]=0,0,YEAR(raw[[#This Row],[in]]))</f>
        <v/>
      </c>
      <c r="R1180" s="1397">
        <f>INT(raw[[#This Row],[yr]]/10)*10</f>
        <v/>
      </c>
      <c r="S1180" s="1395">
        <f>IF(raw[[#This Row],[city]]="","-",IF(raw[[#This Row],[city]]&lt;&gt;_xlfn.XLOOKUP(raw[[#This Row],[home]],homes[home],homes[city],"-"),1,0))</f>
        <v/>
      </c>
      <c r="T1180" s="1398" t="inlineStr">
        <is>
          <t>.</t>
        </is>
      </c>
      <c r="U1180" s="1399">
        <f>IF(raw[[#This Row],[wb]]="w",raw[[#This Row],[stay]]+U1179,U1179)</f>
        <v/>
      </c>
      <c r="V1180" s="1400">
        <f>IF(raw[[#This Row],[out]]=0,V1179,(raw[[#This Row],[out]]-E$5))</f>
        <v/>
      </c>
      <c r="W1180" s="1401">
        <f>U1180/V1180</f>
        <v/>
      </c>
      <c r="X1180" s="1392" t="n"/>
      <c r="Y1180" s="1392" t="n"/>
      <c r="Z1180" s="1392" t="n"/>
      <c r="AA1180" s="1392" t="n"/>
      <c r="AB1180" s="1392" t="n"/>
      <c r="AC1180" s="1392" t="n"/>
      <c r="AD1180" s="1392" t="n"/>
      <c r="AE1180" s="1392" t="n"/>
      <c r="AF1180" s="1392" t="n"/>
      <c r="AG1180" s="1392" t="n"/>
      <c r="AH1180" s="1392" t="n"/>
      <c r="AI1180" s="1392" t="n"/>
      <c r="AJ1180" s="1392" t="n"/>
      <c r="AK1180" s="1392" t="n"/>
      <c r="AL1180" s="1392" t="n"/>
      <c r="AM1180" s="1392" t="n"/>
      <c r="AN1180" s="1392" t="n"/>
      <c r="AO1180" s="1392" t="n"/>
      <c r="AP1180" s="1392" t="n"/>
      <c r="AQ1180" s="1392" t="n"/>
      <c r="AR1180" s="1422" t="n"/>
      <c r="AS1180" s="1422" t="n"/>
      <c r="AT1180" s="1392" t="n"/>
      <c r="AU1180" s="1392" t="n"/>
      <c r="AV1180" s="1392" t="n"/>
      <c r="AW1180" s="1392" t="n"/>
      <c r="AX1180" s="1392" t="n"/>
      <c r="AY1180" s="1392" t="n"/>
      <c r="AZ1180" s="1392" t="n"/>
      <c r="BA1180" s="1422" t="n"/>
      <c r="BB1180" s="1422" t="n"/>
      <c r="BC1180" s="1392" t="n"/>
      <c r="BD1180" s="1392" t="n"/>
      <c r="BE1180" s="1392" t="n"/>
      <c r="BF1180" s="1392" t="n"/>
      <c r="BG1180" s="1392" t="n"/>
      <c r="BH1180" s="1392" t="n"/>
      <c r="BI1180" s="1392" t="n"/>
      <c r="BJ1180" s="1392" t="n"/>
      <c r="BK1180" s="1392" t="n"/>
      <c r="BL1180" s="1392" t="n"/>
      <c r="BM1180" s="1392" t="n"/>
      <c r="BN1180" s="1392" t="n"/>
      <c r="BO1180" s="1392" t="n"/>
      <c r="BP1180" s="1392" t="n"/>
      <c r="BQ1180" s="1392" t="n"/>
      <c r="BR1180" s="1392" t="n"/>
      <c r="BS1180" s="1392" t="n"/>
      <c r="BT1180" s="1392" t="n"/>
      <c r="BU1180" s="1392" t="n"/>
      <c r="BV1180" s="1392" t="n"/>
      <c r="BW1180" s="1392" t="n"/>
      <c r="BX1180" s="1392" t="n"/>
      <c r="BY1180" s="1392" t="n"/>
      <c r="BZ1180" s="1392" t="n"/>
      <c r="CA1180" s="1392" t="n"/>
      <c r="CB1180" s="1392" t="n"/>
      <c r="CC1180" s="1392" t="n"/>
      <c r="CD1180" s="1392" t="n"/>
      <c r="CE1180" s="1392" t="n"/>
      <c r="CF1180" s="1392" t="n"/>
      <c r="CG1180" s="1392" t="n"/>
      <c r="CH1180" s="1392" t="n"/>
      <c r="CI1180" s="1392" t="n"/>
      <c r="CJ1180" s="1392" t="n"/>
      <c r="CK1180" s="1392" t="n"/>
      <c r="CL1180" s="1392" t="n"/>
    </row>
    <row r="1181">
      <c r="A1181" s="5" t="inlineStr">
        <is>
          <t>.</t>
        </is>
      </c>
      <c r="B1181" s="5" t="inlineStr">
        <is>
          <t>.</t>
        </is>
      </c>
      <c r="C1181" s="1378">
        <f>IF(raw[[#This Row],[city]]="","-",IF(raw[[#This Row],[city]]="TODAY","-",C1180+1))</f>
        <v/>
      </c>
      <c r="D1181" s="1393" t="inlineStr">
        <is>
          <t>London</t>
        </is>
      </c>
      <c r="E1181" s="1394" t="n">
        <v>40249</v>
      </c>
      <c r="F1181" s="1394" t="n">
        <v>40254</v>
      </c>
      <c r="G1181" s="1393" t="inlineStr">
        <is>
          <t>-</t>
        </is>
      </c>
      <c r="H1181" s="1393" t="inlineStr">
        <is>
          <t>Loing</t>
        </is>
      </c>
      <c r="I1181" s="1393" t="inlineStr">
        <is>
          <t>Ivete/Ruislip</t>
        </is>
      </c>
      <c r="J1181" s="1393" t="inlineStr">
        <is>
          <t>-</t>
        </is>
      </c>
      <c r="K1181" s="1395">
        <f>IF(raw[[#This Row],[city]]&lt;&gt;"",_xlfn.XLOOKUP($D1181,ccc[city],ccc[prov],"-"),"-")</f>
        <v/>
      </c>
      <c r="L1181" s="1395">
        <f>IF(raw[[#This Row],[city]]&lt;&gt;"",_xlfn.XLOOKUP($D1181,ccc[city],ccc[ctry],"-"),"-")</f>
        <v/>
      </c>
      <c r="M1181" s="1395">
        <f>IF(raw[[#This Row],[city]]&lt;&gt;"",_xlfn.XLOOKUP($D1181,ccc[city],ccc[cont],"-"),"-")</f>
        <v/>
      </c>
      <c r="N1181" s="1396">
        <f>IF(raw[[#This Row],[city]]="","-",IF(raw[[#This Row],[cont]]="B",raw[[#This Row],[cont]],"W"))</f>
        <v/>
      </c>
      <c r="O1181" s="1397">
        <f>IF(raw[[#This Row],[out]]=0,0,IF(raw[[#This Row],[out]]=raw[[#This Row],[in]],0.01,raw[[#This Row],[out]]-raw[[#This Row],[in]]))</f>
        <v/>
      </c>
      <c r="P1181" s="1397">
        <f>IF(raw[[#This Row],[in]]=0,0,MONTH(raw[[#This Row],[in]]))</f>
        <v/>
      </c>
      <c r="Q1181" s="1397">
        <f>IF(raw[[#This Row],[in]]=0,0,YEAR(raw[[#This Row],[in]]))</f>
        <v/>
      </c>
      <c r="R1181" s="1397">
        <f>INT(raw[[#This Row],[yr]]/10)*10</f>
        <v/>
      </c>
      <c r="S1181" s="1395">
        <f>IF(raw[[#This Row],[city]]="","-",IF(raw[[#This Row],[city]]&lt;&gt;_xlfn.XLOOKUP(raw[[#This Row],[home]],homes[home],homes[city],"-"),1,0))</f>
        <v/>
      </c>
      <c r="T1181" s="1398" t="inlineStr">
        <is>
          <t>.</t>
        </is>
      </c>
      <c r="U1181" s="1399">
        <f>IF(raw[[#This Row],[wb]]="w",raw[[#This Row],[stay]]+U1180,U1180)</f>
        <v/>
      </c>
      <c r="V1181" s="1400">
        <f>IF(raw[[#This Row],[out]]=0,V1180,(raw[[#This Row],[out]]-E$5))</f>
        <v/>
      </c>
      <c r="W1181" s="1401">
        <f>U1181/V1181</f>
        <v/>
      </c>
      <c r="X1181" s="1392" t="n"/>
      <c r="Y1181" s="1392" t="n"/>
      <c r="Z1181" s="1392" t="n"/>
      <c r="AA1181" s="1392" t="n"/>
      <c r="AB1181" s="1392" t="n"/>
      <c r="AC1181" s="1392" t="n"/>
      <c r="AD1181" s="1392" t="n"/>
      <c r="AE1181" s="1392" t="n"/>
      <c r="AF1181" s="1392" t="n"/>
      <c r="AG1181" s="1392" t="n"/>
      <c r="AH1181" s="1392" t="n"/>
      <c r="AI1181" s="1392" t="n"/>
      <c r="AJ1181" s="1392" t="n"/>
      <c r="AK1181" s="1392" t="n"/>
      <c r="AL1181" s="1392" t="n"/>
      <c r="AM1181" s="1392" t="n"/>
      <c r="AN1181" s="1392" t="n"/>
      <c r="AO1181" s="1392" t="n"/>
      <c r="AP1181" s="1392" t="n"/>
      <c r="AQ1181" s="1392" t="n"/>
      <c r="AR1181" s="1422" t="n"/>
      <c r="AS1181" s="1422" t="n"/>
      <c r="AT1181" s="1392" t="n"/>
      <c r="AU1181" s="1392" t="n"/>
      <c r="AV1181" s="1392" t="n"/>
      <c r="AW1181" s="1392" t="n"/>
      <c r="AX1181" s="1392" t="n"/>
      <c r="AY1181" s="1392" t="n"/>
      <c r="AZ1181" s="1392" t="n"/>
      <c r="BA1181" s="1422" t="n"/>
      <c r="BB1181" s="1422" t="n"/>
      <c r="BC1181" s="1392" t="n"/>
      <c r="BD1181" s="1392" t="n"/>
      <c r="BE1181" s="1392" t="n"/>
      <c r="BF1181" s="1392" t="n"/>
      <c r="BG1181" s="1392" t="n"/>
      <c r="BH1181" s="1392" t="n"/>
      <c r="BI1181" s="1392" t="n"/>
      <c r="BJ1181" s="1392" t="n"/>
      <c r="BK1181" s="1392" t="n"/>
      <c r="BL1181" s="1392" t="n"/>
      <c r="BM1181" s="1392" t="n"/>
      <c r="BN1181" s="1392" t="n"/>
      <c r="BO1181" s="1392" t="n"/>
      <c r="BP1181" s="1392" t="n"/>
      <c r="BQ1181" s="1392" t="n"/>
      <c r="BR1181" s="1392" t="n"/>
      <c r="BS1181" s="1392" t="n"/>
      <c r="BT1181" s="1392" t="n"/>
      <c r="BU1181" s="1392" t="n"/>
      <c r="BV1181" s="1392" t="n"/>
      <c r="BW1181" s="1392" t="n"/>
      <c r="BX1181" s="1392" t="n"/>
      <c r="BY1181" s="1392" t="n"/>
      <c r="BZ1181" s="1392" t="n"/>
      <c r="CA1181" s="1392" t="n"/>
      <c r="CB1181" s="1392" t="n"/>
      <c r="CC1181" s="1392" t="n"/>
      <c r="CD1181" s="1392" t="n"/>
      <c r="CE1181" s="1392" t="n"/>
      <c r="CF1181" s="1392" t="n"/>
      <c r="CG1181" s="1392" t="n"/>
      <c r="CH1181" s="1392" t="n"/>
      <c r="CI1181" s="1392" t="n"/>
      <c r="CJ1181" s="1392" t="n"/>
      <c r="CK1181" s="1392" t="n"/>
      <c r="CL1181" s="1392" t="n"/>
    </row>
    <row r="1182">
      <c r="A1182" s="5" t="inlineStr">
        <is>
          <t>.</t>
        </is>
      </c>
      <c r="B1182" s="5" t="inlineStr">
        <is>
          <t>.</t>
        </is>
      </c>
      <c r="C1182" s="1378">
        <f>IF(raw[[#This Row],[city]]="","-",IF(raw[[#This Row],[city]]="TODAY","-",C1181+1))</f>
        <v/>
      </c>
      <c r="D1182" s="1393" t="inlineStr">
        <is>
          <t>Bath</t>
        </is>
      </c>
      <c r="E1182" s="1394" t="n">
        <v>40254</v>
      </c>
      <c r="F1182" s="1394" t="n">
        <v>40254</v>
      </c>
      <c r="G1182" s="1393" t="inlineStr">
        <is>
          <t>-</t>
        </is>
      </c>
      <c r="H1182" s="1393" t="inlineStr">
        <is>
          <t>Loing</t>
        </is>
      </c>
      <c r="I1182" s="1393" t="inlineStr">
        <is>
          <t>Ivete/Ruislip</t>
        </is>
      </c>
      <c r="J1182" s="1393" t="inlineStr">
        <is>
          <t>-</t>
        </is>
      </c>
      <c r="K1182" s="1395">
        <f>IF(raw[[#This Row],[city]]&lt;&gt;"",_xlfn.XLOOKUP($D1182,ccc[city],ccc[prov],"-"),"-")</f>
        <v/>
      </c>
      <c r="L1182" s="1395">
        <f>IF(raw[[#This Row],[city]]&lt;&gt;"",_xlfn.XLOOKUP($D1182,ccc[city],ccc[ctry],"-"),"-")</f>
        <v/>
      </c>
      <c r="M1182" s="1395">
        <f>IF(raw[[#This Row],[city]]&lt;&gt;"",_xlfn.XLOOKUP($D1182,ccc[city],ccc[cont],"-"),"-")</f>
        <v/>
      </c>
      <c r="N1182" s="1396">
        <f>IF(raw[[#This Row],[city]]="","-",IF(raw[[#This Row],[cont]]="B",raw[[#This Row],[cont]],"W"))</f>
        <v/>
      </c>
      <c r="O1182" s="1397">
        <f>IF(raw[[#This Row],[out]]=0,0,IF(raw[[#This Row],[out]]=raw[[#This Row],[in]],0.01,raw[[#This Row],[out]]-raw[[#This Row],[in]]))</f>
        <v/>
      </c>
      <c r="P1182" s="1397">
        <f>IF(raw[[#This Row],[in]]=0,0,MONTH(raw[[#This Row],[in]]))</f>
        <v/>
      </c>
      <c r="Q1182" s="1397">
        <f>IF(raw[[#This Row],[in]]=0,0,YEAR(raw[[#This Row],[in]]))</f>
        <v/>
      </c>
      <c r="R1182" s="1397">
        <f>INT(raw[[#This Row],[yr]]/10)*10</f>
        <v/>
      </c>
      <c r="S1182" s="1395">
        <f>IF(raw[[#This Row],[city]]="","-",IF(raw[[#This Row],[city]]&lt;&gt;_xlfn.XLOOKUP(raw[[#This Row],[home]],homes[home],homes[city],"-"),1,0))</f>
        <v/>
      </c>
      <c r="T1182" s="1398" t="inlineStr">
        <is>
          <t>.</t>
        </is>
      </c>
      <c r="U1182" s="1399">
        <f>IF(raw[[#This Row],[wb]]="w",raw[[#This Row],[stay]]+U1181,U1181)</f>
        <v/>
      </c>
      <c r="V1182" s="1400">
        <f>IF(raw[[#This Row],[out]]=0,V1181,(raw[[#This Row],[out]]-E$5))</f>
        <v/>
      </c>
      <c r="W1182" s="1401">
        <f>U1182/V1182</f>
        <v/>
      </c>
      <c r="X1182" s="1392" t="n"/>
      <c r="Y1182" s="1392" t="n"/>
      <c r="Z1182" s="1392" t="n"/>
      <c r="AA1182" s="1392" t="n"/>
      <c r="AB1182" s="1392" t="n"/>
      <c r="AC1182" s="1392" t="n"/>
      <c r="AD1182" s="1392" t="n"/>
      <c r="AE1182" s="1392" t="n"/>
      <c r="AF1182" s="1392" t="n"/>
      <c r="AG1182" s="1392" t="n"/>
      <c r="AH1182" s="1392" t="n"/>
      <c r="AI1182" s="1392" t="n"/>
      <c r="AJ1182" s="1392" t="n"/>
      <c r="AK1182" s="1392" t="n"/>
      <c r="AL1182" s="1392" t="n"/>
      <c r="AM1182" s="1392" t="n"/>
      <c r="AN1182" s="1392" t="n"/>
      <c r="AO1182" s="1392" t="n"/>
      <c r="AP1182" s="1392" t="n"/>
      <c r="AQ1182" s="1392" t="n"/>
      <c r="AR1182" s="1422" t="n"/>
      <c r="AS1182" s="1422" t="n"/>
      <c r="AT1182" s="1392" t="n"/>
      <c r="AU1182" s="1392" t="n"/>
      <c r="AV1182" s="1392" t="n"/>
      <c r="AW1182" s="1392" t="n"/>
      <c r="AX1182" s="1392" t="n"/>
      <c r="AY1182" s="1392" t="n"/>
      <c r="AZ1182" s="1392" t="n"/>
      <c r="BA1182" s="1422" t="n"/>
      <c r="BB1182" s="1422" t="n"/>
      <c r="BC1182" s="1392" t="n"/>
      <c r="BD1182" s="1392" t="n"/>
      <c r="BE1182" s="1392" t="n"/>
      <c r="BF1182" s="1392" t="n"/>
      <c r="BG1182" s="1392" t="n"/>
      <c r="BH1182" s="1392" t="n"/>
      <c r="BI1182" s="1392" t="n"/>
      <c r="BJ1182" s="1392" t="n"/>
      <c r="BK1182" s="1392" t="n"/>
      <c r="BL1182" s="1392" t="n"/>
      <c r="BM1182" s="1392" t="n"/>
      <c r="BN1182" s="1392" t="n"/>
      <c r="BO1182" s="1392" t="n"/>
      <c r="BP1182" s="1392" t="n"/>
      <c r="BQ1182" s="1392" t="n"/>
      <c r="BR1182" s="1392" t="n"/>
      <c r="BS1182" s="1392" t="n"/>
      <c r="BT1182" s="1392" t="n"/>
      <c r="BU1182" s="1392" t="n"/>
      <c r="BV1182" s="1392" t="n"/>
      <c r="BW1182" s="1392" t="n"/>
      <c r="BX1182" s="1392" t="n"/>
      <c r="BY1182" s="1392" t="n"/>
      <c r="BZ1182" s="1392" t="n"/>
      <c r="CA1182" s="1392" t="n"/>
      <c r="CB1182" s="1392" t="n"/>
      <c r="CC1182" s="1392" t="n"/>
      <c r="CD1182" s="1392" t="n"/>
      <c r="CE1182" s="1392" t="n"/>
      <c r="CF1182" s="1392" t="n"/>
      <c r="CG1182" s="1392" t="n"/>
      <c r="CH1182" s="1392" t="n"/>
      <c r="CI1182" s="1392" t="n"/>
      <c r="CJ1182" s="1392" t="n"/>
      <c r="CK1182" s="1392" t="n"/>
      <c r="CL1182" s="1392" t="n"/>
    </row>
    <row r="1183">
      <c r="A1183" s="5" t="inlineStr">
        <is>
          <t>.</t>
        </is>
      </c>
      <c r="B1183" s="5" t="inlineStr">
        <is>
          <t>.</t>
        </is>
      </c>
      <c r="C1183" s="1378">
        <f>IF(raw[[#This Row],[city]]="","-",IF(raw[[#This Row],[city]]="TODAY","-",C1182+1))</f>
        <v/>
      </c>
      <c r="D1183" s="1393" t="inlineStr">
        <is>
          <t>Stonehenge</t>
        </is>
      </c>
      <c r="E1183" s="1394" t="n">
        <v>40254</v>
      </c>
      <c r="F1183" s="1394" t="n">
        <v>40254</v>
      </c>
      <c r="G1183" s="1393" t="inlineStr">
        <is>
          <t>-</t>
        </is>
      </c>
      <c r="H1183" s="1393" t="inlineStr">
        <is>
          <t>Loing</t>
        </is>
      </c>
      <c r="I1183" s="1393" t="inlineStr">
        <is>
          <t>Ivete/Ruislip</t>
        </is>
      </c>
      <c r="J1183" s="1393" t="inlineStr">
        <is>
          <t>-</t>
        </is>
      </c>
      <c r="K1183" s="1395">
        <f>IF(raw[[#This Row],[city]]&lt;&gt;"",_xlfn.XLOOKUP($D1183,ccc[city],ccc[prov],"-"),"-")</f>
        <v/>
      </c>
      <c r="L1183" s="1395">
        <f>IF(raw[[#This Row],[city]]&lt;&gt;"",_xlfn.XLOOKUP($D1183,ccc[city],ccc[ctry],"-"),"-")</f>
        <v/>
      </c>
      <c r="M1183" s="1395">
        <f>IF(raw[[#This Row],[city]]&lt;&gt;"",_xlfn.XLOOKUP($D1183,ccc[city],ccc[cont],"-"),"-")</f>
        <v/>
      </c>
      <c r="N1183" s="1396">
        <f>IF(raw[[#This Row],[city]]="","-",IF(raw[[#This Row],[cont]]="B",raw[[#This Row],[cont]],"W"))</f>
        <v/>
      </c>
      <c r="O1183" s="1397">
        <f>IF(raw[[#This Row],[out]]=0,0,IF(raw[[#This Row],[out]]=raw[[#This Row],[in]],0.01,raw[[#This Row],[out]]-raw[[#This Row],[in]]))</f>
        <v/>
      </c>
      <c r="P1183" s="1397">
        <f>IF(raw[[#This Row],[in]]=0,0,MONTH(raw[[#This Row],[in]]))</f>
        <v/>
      </c>
      <c r="Q1183" s="1397">
        <f>IF(raw[[#This Row],[in]]=0,0,YEAR(raw[[#This Row],[in]]))</f>
        <v/>
      </c>
      <c r="R1183" s="1397">
        <f>INT(raw[[#This Row],[yr]]/10)*10</f>
        <v/>
      </c>
      <c r="S1183" s="1395">
        <f>IF(raw[[#This Row],[city]]="","-",IF(raw[[#This Row],[city]]&lt;&gt;_xlfn.XLOOKUP(raw[[#This Row],[home]],homes[home],homes[city],"-"),1,0))</f>
        <v/>
      </c>
      <c r="T1183" s="1398" t="inlineStr">
        <is>
          <t>.</t>
        </is>
      </c>
      <c r="U1183" s="1399">
        <f>IF(raw[[#This Row],[wb]]="w",raw[[#This Row],[stay]]+U1182,U1182)</f>
        <v/>
      </c>
      <c r="V1183" s="1400">
        <f>IF(raw[[#This Row],[out]]=0,V1182,(raw[[#This Row],[out]]-E$5))</f>
        <v/>
      </c>
      <c r="W1183" s="1401">
        <f>U1183/V1183</f>
        <v/>
      </c>
      <c r="X1183" s="1392" t="n"/>
      <c r="Y1183" s="1392" t="n"/>
      <c r="Z1183" s="1392" t="n"/>
      <c r="AA1183" s="1392" t="n"/>
      <c r="AB1183" s="1392" t="n"/>
      <c r="AC1183" s="1392" t="n"/>
      <c r="AD1183" s="1392" t="n"/>
      <c r="AE1183" s="1392" t="n"/>
      <c r="AF1183" s="1392" t="n"/>
      <c r="AG1183" s="1392" t="n"/>
      <c r="AH1183" s="1392" t="n"/>
      <c r="AI1183" s="1392" t="n"/>
      <c r="AJ1183" s="1392" t="n"/>
      <c r="AK1183" s="1392" t="n"/>
      <c r="AL1183" s="1392" t="n"/>
      <c r="AM1183" s="1392" t="n"/>
      <c r="AN1183" s="1392" t="n"/>
      <c r="AO1183" s="1392" t="n"/>
      <c r="AP1183" s="1392" t="n"/>
      <c r="AQ1183" s="1392" t="n"/>
      <c r="AR1183" s="1422" t="n"/>
      <c r="AS1183" s="1422" t="n"/>
      <c r="AT1183" s="1392" t="n"/>
      <c r="AU1183" s="1392" t="n"/>
      <c r="AV1183" s="1392" t="n"/>
      <c r="AW1183" s="1392" t="n"/>
      <c r="AX1183" s="1392" t="n"/>
      <c r="AY1183" s="1392" t="n"/>
      <c r="AZ1183" s="1392" t="n"/>
      <c r="BA1183" s="1422" t="n"/>
      <c r="BB1183" s="1422" t="n"/>
      <c r="BC1183" s="1392" t="n"/>
      <c r="BD1183" s="1392" t="n"/>
      <c r="BE1183" s="1392" t="n"/>
      <c r="BF1183" s="1392" t="n"/>
      <c r="BG1183" s="1392" t="n"/>
      <c r="BH1183" s="1392" t="n"/>
      <c r="BI1183" s="1392" t="n"/>
      <c r="BJ1183" s="1392" t="n"/>
      <c r="BK1183" s="1392" t="n"/>
      <c r="BL1183" s="1392" t="n"/>
      <c r="BM1183" s="1392" t="n"/>
      <c r="BN1183" s="1392" t="n"/>
      <c r="BO1183" s="1392" t="n"/>
      <c r="BP1183" s="1392" t="n"/>
      <c r="BQ1183" s="1392" t="n"/>
      <c r="BR1183" s="1392" t="n"/>
      <c r="BS1183" s="1392" t="n"/>
      <c r="BT1183" s="1392" t="n"/>
      <c r="BU1183" s="1392" t="n"/>
      <c r="BV1183" s="1392" t="n"/>
      <c r="BW1183" s="1392" t="n"/>
      <c r="BX1183" s="1392" t="n"/>
      <c r="BY1183" s="1392" t="n"/>
      <c r="BZ1183" s="1392" t="n"/>
      <c r="CA1183" s="1392" t="n"/>
      <c r="CB1183" s="1392" t="n"/>
      <c r="CC1183" s="1392" t="n"/>
      <c r="CD1183" s="1392" t="n"/>
      <c r="CE1183" s="1392" t="n"/>
      <c r="CF1183" s="1392" t="n"/>
      <c r="CG1183" s="1392" t="n"/>
      <c r="CH1183" s="1392" t="n"/>
      <c r="CI1183" s="1392" t="n"/>
      <c r="CJ1183" s="1392" t="n"/>
      <c r="CK1183" s="1392" t="n"/>
      <c r="CL1183" s="1392" t="n"/>
    </row>
    <row r="1184">
      <c r="A1184" s="5" t="inlineStr">
        <is>
          <t>.</t>
        </is>
      </c>
      <c r="B1184" s="5" t="inlineStr">
        <is>
          <t>.</t>
        </is>
      </c>
      <c r="C1184" s="1378">
        <f>IF(raw[[#This Row],[city]]="","-",IF(raw[[#This Row],[city]]="TODAY","-",C1183+1))</f>
        <v/>
      </c>
      <c r="D1184" s="1393" t="inlineStr">
        <is>
          <t>London</t>
        </is>
      </c>
      <c r="E1184" s="1394" t="n">
        <v>40254</v>
      </c>
      <c r="F1184" s="1394" t="n">
        <v>40257</v>
      </c>
      <c r="G1184" s="1393" t="inlineStr">
        <is>
          <t>-</t>
        </is>
      </c>
      <c r="H1184" s="1393" t="inlineStr">
        <is>
          <t>Loing</t>
        </is>
      </c>
      <c r="I1184" s="1393" t="inlineStr">
        <is>
          <t>Ivete/Ruislip</t>
        </is>
      </c>
      <c r="J1184" s="1393" t="inlineStr">
        <is>
          <t>-</t>
        </is>
      </c>
      <c r="K1184" s="1395">
        <f>IF(raw[[#This Row],[city]]&lt;&gt;"",_xlfn.XLOOKUP($D1184,ccc[city],ccc[prov],"-"),"-")</f>
        <v/>
      </c>
      <c r="L1184" s="1395">
        <f>IF(raw[[#This Row],[city]]&lt;&gt;"",_xlfn.XLOOKUP($D1184,ccc[city],ccc[ctry],"-"),"-")</f>
        <v/>
      </c>
      <c r="M1184" s="1395">
        <f>IF(raw[[#This Row],[city]]&lt;&gt;"",_xlfn.XLOOKUP($D1184,ccc[city],ccc[cont],"-"),"-")</f>
        <v/>
      </c>
      <c r="N1184" s="1396">
        <f>IF(raw[[#This Row],[city]]="","-",IF(raw[[#This Row],[cont]]="B",raw[[#This Row],[cont]],"W"))</f>
        <v/>
      </c>
      <c r="O1184" s="1397">
        <f>IF(raw[[#This Row],[out]]=0,0,IF(raw[[#This Row],[out]]=raw[[#This Row],[in]],0.01,raw[[#This Row],[out]]-raw[[#This Row],[in]]))</f>
        <v/>
      </c>
      <c r="P1184" s="1397">
        <f>IF(raw[[#This Row],[in]]=0,0,MONTH(raw[[#This Row],[in]]))</f>
        <v/>
      </c>
      <c r="Q1184" s="1397">
        <f>IF(raw[[#This Row],[in]]=0,0,YEAR(raw[[#This Row],[in]]))</f>
        <v/>
      </c>
      <c r="R1184" s="1397">
        <f>INT(raw[[#This Row],[yr]]/10)*10</f>
        <v/>
      </c>
      <c r="S1184" s="1395">
        <f>IF(raw[[#This Row],[city]]="","-",IF(raw[[#This Row],[city]]&lt;&gt;_xlfn.XLOOKUP(raw[[#This Row],[home]],homes[home],homes[city],"-"),1,0))</f>
        <v/>
      </c>
      <c r="T1184" s="1398" t="inlineStr">
        <is>
          <t>.</t>
        </is>
      </c>
      <c r="U1184" s="1399">
        <f>IF(raw[[#This Row],[wb]]="w",raw[[#This Row],[stay]]+U1183,U1183)</f>
        <v/>
      </c>
      <c r="V1184" s="1400">
        <f>IF(raw[[#This Row],[out]]=0,V1183,(raw[[#This Row],[out]]-E$5))</f>
        <v/>
      </c>
      <c r="W1184" s="1401">
        <f>U1184/V1184</f>
        <v/>
      </c>
      <c r="X1184" s="1392" t="n"/>
      <c r="Y1184" s="1392" t="n"/>
      <c r="Z1184" s="1392" t="n"/>
      <c r="AA1184" s="1392" t="n"/>
      <c r="AB1184" s="1392" t="n"/>
      <c r="AC1184" s="1392" t="n"/>
      <c r="AD1184" s="1392" t="n"/>
      <c r="AE1184" s="1392" t="n"/>
      <c r="AF1184" s="1392" t="n"/>
      <c r="AG1184" s="1392" t="n"/>
      <c r="AH1184" s="1392" t="n"/>
      <c r="AI1184" s="1392" t="n"/>
      <c r="AJ1184" s="1392" t="n"/>
      <c r="AK1184" s="1392" t="n"/>
      <c r="AL1184" s="1392" t="n"/>
      <c r="AM1184" s="1392" t="n"/>
      <c r="AN1184" s="1392" t="n"/>
      <c r="AO1184" s="1392" t="n"/>
      <c r="AP1184" s="1392" t="n"/>
      <c r="AQ1184" s="1392" t="n"/>
      <c r="AR1184" s="1422" t="n"/>
      <c r="AS1184" s="1422" t="n"/>
      <c r="AT1184" s="1392" t="n"/>
      <c r="AU1184" s="1392" t="n"/>
      <c r="AV1184" s="1392" t="n"/>
      <c r="AW1184" s="1392" t="n"/>
      <c r="AX1184" s="1392" t="n"/>
      <c r="AY1184" s="1392" t="n"/>
      <c r="AZ1184" s="1392" t="n"/>
      <c r="BA1184" s="1422" t="n"/>
      <c r="BB1184" s="1422" t="n"/>
      <c r="BC1184" s="1392" t="n"/>
      <c r="BD1184" s="1392" t="n"/>
      <c r="BE1184" s="1392" t="n"/>
      <c r="BF1184" s="1392" t="n"/>
      <c r="BG1184" s="1392" t="n"/>
      <c r="BH1184" s="1392" t="n"/>
      <c r="BI1184" s="1392" t="n"/>
      <c r="BJ1184" s="1392" t="n"/>
      <c r="BK1184" s="1392" t="n"/>
      <c r="BL1184" s="1392" t="n"/>
      <c r="BM1184" s="1392" t="n"/>
      <c r="BN1184" s="1392" t="n"/>
      <c r="BO1184" s="1392" t="n"/>
      <c r="BP1184" s="1392" t="n"/>
      <c r="BQ1184" s="1392" t="n"/>
      <c r="BR1184" s="1392" t="n"/>
      <c r="BS1184" s="1392" t="n"/>
      <c r="BT1184" s="1392" t="n"/>
      <c r="BU1184" s="1392" t="n"/>
      <c r="BV1184" s="1392" t="n"/>
      <c r="BW1184" s="1392" t="n"/>
      <c r="BX1184" s="1392" t="n"/>
      <c r="BY1184" s="1392" t="n"/>
      <c r="BZ1184" s="1392" t="n"/>
      <c r="CA1184" s="1392" t="n"/>
      <c r="CB1184" s="1392" t="n"/>
      <c r="CC1184" s="1392" t="n"/>
      <c r="CD1184" s="1392" t="n"/>
      <c r="CE1184" s="1392" t="n"/>
      <c r="CF1184" s="1392" t="n"/>
      <c r="CG1184" s="1392" t="n"/>
      <c r="CH1184" s="1392" t="n"/>
      <c r="CI1184" s="1392" t="n"/>
      <c r="CJ1184" s="1392" t="n"/>
      <c r="CK1184" s="1392" t="n"/>
      <c r="CL1184" s="1392" t="n"/>
    </row>
    <row r="1185">
      <c r="A1185" s="5" t="inlineStr">
        <is>
          <t>.</t>
        </is>
      </c>
      <c r="B1185" s="5" t="inlineStr">
        <is>
          <t>.</t>
        </is>
      </c>
      <c r="C1185" s="1378">
        <f>IF(raw[[#This Row],[city]]="","-",IF(raw[[#This Row],[city]]="TODAY","-",C1184+1))</f>
        <v/>
      </c>
      <c r="D1185" s="1393" t="inlineStr">
        <is>
          <t>Paris</t>
        </is>
      </c>
      <c r="E1185" s="1394" t="n">
        <v>40257</v>
      </c>
      <c r="F1185" s="1394" t="n">
        <v>40269</v>
      </c>
      <c r="G1185" s="1393" t="inlineStr">
        <is>
          <t>-</t>
        </is>
      </c>
      <c r="H1185" s="1393" t="inlineStr">
        <is>
          <t>Loing</t>
        </is>
      </c>
      <c r="I1185" s="1393" t="inlineStr">
        <is>
          <t>-</t>
        </is>
      </c>
      <c r="J1185" s="1393" t="inlineStr">
        <is>
          <t>-</t>
        </is>
      </c>
      <c r="K1185" s="1395">
        <f>IF(raw[[#This Row],[city]]&lt;&gt;"",_xlfn.XLOOKUP($D1185,ccc[city],ccc[prov],"-"),"-")</f>
        <v/>
      </c>
      <c r="L1185" s="1395">
        <f>IF(raw[[#This Row],[city]]&lt;&gt;"",_xlfn.XLOOKUP($D1185,ccc[city],ccc[ctry],"-"),"-")</f>
        <v/>
      </c>
      <c r="M1185" s="1395">
        <f>IF(raw[[#This Row],[city]]&lt;&gt;"",_xlfn.XLOOKUP($D1185,ccc[city],ccc[cont],"-"),"-")</f>
        <v/>
      </c>
      <c r="N1185" s="1396">
        <f>IF(raw[[#This Row],[city]]="","-",IF(raw[[#This Row],[cont]]="B",raw[[#This Row],[cont]],"W"))</f>
        <v/>
      </c>
      <c r="O1185" s="1397">
        <f>IF(raw[[#This Row],[out]]=0,0,IF(raw[[#This Row],[out]]=raw[[#This Row],[in]],0.01,raw[[#This Row],[out]]-raw[[#This Row],[in]]))</f>
        <v/>
      </c>
      <c r="P1185" s="1397">
        <f>IF(raw[[#This Row],[in]]=0,0,MONTH(raw[[#This Row],[in]]))</f>
        <v/>
      </c>
      <c r="Q1185" s="1397">
        <f>IF(raw[[#This Row],[in]]=0,0,YEAR(raw[[#This Row],[in]]))</f>
        <v/>
      </c>
      <c r="R1185" s="1397">
        <f>INT(raw[[#This Row],[yr]]/10)*10</f>
        <v/>
      </c>
      <c r="S1185" s="1395">
        <f>IF(raw[[#This Row],[city]]="","-",IF(raw[[#This Row],[city]]&lt;&gt;_xlfn.XLOOKUP(raw[[#This Row],[home]],homes[home],homes[city],"-"),1,0))</f>
        <v/>
      </c>
      <c r="T1185" s="1398" t="inlineStr">
        <is>
          <t>.</t>
        </is>
      </c>
      <c r="U1185" s="1399">
        <f>IF(raw[[#This Row],[wb]]="w",raw[[#This Row],[stay]]+U1184,U1184)</f>
        <v/>
      </c>
      <c r="V1185" s="1400">
        <f>IF(raw[[#This Row],[out]]=0,V1184,(raw[[#This Row],[out]]-E$5))</f>
        <v/>
      </c>
      <c r="W1185" s="1401">
        <f>U1185/V1185</f>
        <v/>
      </c>
      <c r="X1185" s="1392" t="n"/>
      <c r="Y1185" s="1392" t="n"/>
      <c r="Z1185" s="1392" t="n"/>
      <c r="AA1185" s="1392" t="n"/>
      <c r="AB1185" s="1392" t="n"/>
      <c r="AC1185" s="1392" t="n"/>
      <c r="AD1185" s="1392" t="n"/>
      <c r="AE1185" s="1392" t="n"/>
      <c r="AF1185" s="1392" t="n"/>
      <c r="AG1185" s="1392" t="n"/>
      <c r="AH1185" s="1392" t="n"/>
      <c r="AI1185" s="1392" t="n"/>
      <c r="AJ1185" s="1392" t="n"/>
      <c r="AK1185" s="1392" t="n"/>
      <c r="AL1185" s="1392" t="n"/>
      <c r="AM1185" s="1392" t="n"/>
      <c r="AN1185" s="1392" t="n"/>
      <c r="AO1185" s="1392" t="n"/>
      <c r="AP1185" s="1392" t="n"/>
      <c r="AQ1185" s="1392" t="n"/>
      <c r="AR1185" s="1422" t="n"/>
      <c r="AS1185" s="1422" t="n"/>
      <c r="AT1185" s="1392" t="n"/>
      <c r="AU1185" s="1392" t="n"/>
      <c r="AV1185" s="1392" t="n"/>
      <c r="AW1185" s="1392" t="n"/>
      <c r="AX1185" s="1392" t="n"/>
      <c r="AY1185" s="1392" t="n"/>
      <c r="AZ1185" s="1392" t="n"/>
      <c r="BA1185" s="1422" t="n"/>
      <c r="BB1185" s="1422" t="n"/>
      <c r="BC1185" s="1392" t="n"/>
      <c r="BD1185" s="1392" t="n"/>
      <c r="BE1185" s="1392" t="n"/>
      <c r="BF1185" s="1392" t="n"/>
      <c r="BG1185" s="1392" t="n"/>
      <c r="BH1185" s="1392" t="n"/>
      <c r="BI1185" s="1392" t="n"/>
      <c r="BJ1185" s="1392" t="n"/>
      <c r="BK1185" s="1392" t="n"/>
      <c r="BL1185" s="1392" t="n"/>
      <c r="BM1185" s="1392" t="n"/>
      <c r="BN1185" s="1392" t="n"/>
      <c r="BO1185" s="1392" t="n"/>
      <c r="BP1185" s="1392" t="n"/>
      <c r="BQ1185" s="1392" t="n"/>
      <c r="BR1185" s="1392" t="n"/>
      <c r="BS1185" s="1392" t="n"/>
      <c r="BT1185" s="1392" t="n"/>
      <c r="BU1185" s="1392" t="n"/>
      <c r="BV1185" s="1392" t="n"/>
      <c r="BW1185" s="1392" t="n"/>
      <c r="BX1185" s="1392" t="n"/>
      <c r="BY1185" s="1392" t="n"/>
      <c r="BZ1185" s="1392" t="n"/>
      <c r="CA1185" s="1392" t="n"/>
      <c r="CB1185" s="1392" t="n"/>
      <c r="CC1185" s="1392" t="n"/>
      <c r="CD1185" s="1392" t="n"/>
      <c r="CE1185" s="1392" t="n"/>
      <c r="CF1185" s="1392" t="n"/>
      <c r="CG1185" s="1392" t="n"/>
      <c r="CH1185" s="1392" t="n"/>
      <c r="CI1185" s="1392" t="n"/>
      <c r="CJ1185" s="1392" t="n"/>
      <c r="CK1185" s="1392" t="n"/>
      <c r="CL1185" s="1392" t="n"/>
    </row>
    <row r="1186">
      <c r="A1186" s="5" t="inlineStr">
        <is>
          <t>.</t>
        </is>
      </c>
      <c r="B1186" s="5" t="inlineStr">
        <is>
          <t>.</t>
        </is>
      </c>
      <c r="C1186" s="1378">
        <f>IF(raw[[#This Row],[city]]="","-",IF(raw[[#This Row],[city]]="TODAY","-",C1185+1))</f>
        <v/>
      </c>
      <c r="D1186" s="1393" t="inlineStr">
        <is>
          <t>Paris</t>
        </is>
      </c>
      <c r="E1186" s="1394" t="n">
        <v>40269</v>
      </c>
      <c r="F1186" s="1394" t="n">
        <v>40270</v>
      </c>
      <c r="G1186" s="1393" t="n">
        <v>1</v>
      </c>
      <c r="H1186" s="1393" t="inlineStr">
        <is>
          <t>Loing</t>
        </is>
      </c>
      <c r="I1186" s="1393" t="inlineStr">
        <is>
          <t>-</t>
        </is>
      </c>
      <c r="J1186" s="1393" t="inlineStr">
        <is>
          <t>-</t>
        </is>
      </c>
      <c r="K1186" s="1395">
        <f>IF(raw[[#This Row],[city]]&lt;&gt;"",_xlfn.XLOOKUP($D1186,ccc[city],ccc[prov],"-"),"-")</f>
        <v/>
      </c>
      <c r="L1186" s="1395">
        <f>IF(raw[[#This Row],[city]]&lt;&gt;"",_xlfn.XLOOKUP($D1186,ccc[city],ccc[ctry],"-"),"-")</f>
        <v/>
      </c>
      <c r="M1186" s="1395">
        <f>IF(raw[[#This Row],[city]]&lt;&gt;"",_xlfn.XLOOKUP($D1186,ccc[city],ccc[cont],"-"),"-")</f>
        <v/>
      </c>
      <c r="N1186" s="1396">
        <f>IF(raw[[#This Row],[city]]="","-",IF(raw[[#This Row],[cont]]="B",raw[[#This Row],[cont]],"W"))</f>
        <v/>
      </c>
      <c r="O1186" s="1397">
        <f>IF(raw[[#This Row],[out]]=0,0,IF(raw[[#This Row],[out]]=raw[[#This Row],[in]],0.01,raw[[#This Row],[out]]-raw[[#This Row],[in]]))</f>
        <v/>
      </c>
      <c r="P1186" s="1397">
        <f>IF(raw[[#This Row],[in]]=0,0,MONTH(raw[[#This Row],[in]]))</f>
        <v/>
      </c>
      <c r="Q1186" s="1397">
        <f>IF(raw[[#This Row],[in]]=0,0,YEAR(raw[[#This Row],[in]]))</f>
        <v/>
      </c>
      <c r="R1186" s="1397">
        <f>INT(raw[[#This Row],[yr]]/10)*10</f>
        <v/>
      </c>
      <c r="S1186" s="1395">
        <f>IF(raw[[#This Row],[city]]="","-",IF(raw[[#This Row],[city]]&lt;&gt;_xlfn.XLOOKUP(raw[[#This Row],[home]],homes[home],homes[city],"-"),1,0))</f>
        <v/>
      </c>
      <c r="T1186" s="1398" t="inlineStr">
        <is>
          <t>.</t>
        </is>
      </c>
      <c r="U1186" s="1399">
        <f>IF(raw[[#This Row],[wb]]="w",raw[[#This Row],[stay]]+U1185,U1185)</f>
        <v/>
      </c>
      <c r="V1186" s="1400">
        <f>IF(raw[[#This Row],[out]]=0,V1185,(raw[[#This Row],[out]]-E$5))</f>
        <v/>
      </c>
      <c r="W1186" s="1401">
        <f>U1186/V1186</f>
        <v/>
      </c>
      <c r="X1186" s="1392" t="n"/>
      <c r="Y1186" s="1392" t="n"/>
      <c r="Z1186" s="1392" t="n"/>
      <c r="AA1186" s="1392" t="n"/>
      <c r="AB1186" s="1392" t="n"/>
      <c r="AC1186" s="1392" t="n"/>
      <c r="AD1186" s="1392" t="n"/>
      <c r="AE1186" s="1392" t="n"/>
      <c r="AF1186" s="1392" t="n"/>
      <c r="AG1186" s="1392" t="n"/>
      <c r="AH1186" s="1392" t="n"/>
      <c r="AI1186" s="1392" t="n"/>
      <c r="AJ1186" s="1392" t="n"/>
      <c r="AK1186" s="1392" t="n"/>
      <c r="AL1186" s="1392" t="n"/>
      <c r="AM1186" s="1392" t="n"/>
      <c r="AN1186" s="1392" t="n"/>
      <c r="AO1186" s="1392" t="n"/>
      <c r="AP1186" s="1392" t="n"/>
      <c r="AQ1186" s="1392" t="n"/>
      <c r="AR1186" s="1422" t="n"/>
      <c r="AS1186" s="1422" t="n"/>
      <c r="AT1186" s="1392" t="n"/>
      <c r="AU1186" s="1392" t="n"/>
      <c r="AV1186" s="1392" t="n"/>
      <c r="AW1186" s="1392" t="n"/>
      <c r="AX1186" s="1392" t="n"/>
      <c r="AY1186" s="1392" t="n"/>
      <c r="AZ1186" s="1392" t="n"/>
      <c r="BA1186" s="1422" t="n"/>
      <c r="BB1186" s="1422" t="n"/>
      <c r="BC1186" s="1392" t="n"/>
      <c r="BD1186" s="1392" t="n"/>
      <c r="BE1186" s="1392" t="n"/>
      <c r="BF1186" s="1392" t="n"/>
      <c r="BG1186" s="1392" t="n"/>
      <c r="BH1186" s="1392" t="n"/>
      <c r="BI1186" s="1392" t="n"/>
      <c r="BJ1186" s="1392" t="n"/>
      <c r="BK1186" s="1392" t="n"/>
      <c r="BL1186" s="1392" t="n"/>
      <c r="BM1186" s="1392" t="n"/>
      <c r="BN1186" s="1392" t="n"/>
      <c r="BO1186" s="1392" t="n"/>
      <c r="BP1186" s="1392" t="n"/>
      <c r="BQ1186" s="1392" t="n"/>
      <c r="BR1186" s="1392" t="n"/>
      <c r="BS1186" s="1392" t="n"/>
      <c r="BT1186" s="1392" t="n"/>
      <c r="BU1186" s="1392" t="n"/>
      <c r="BV1186" s="1392" t="n"/>
      <c r="BW1186" s="1392" t="n"/>
      <c r="BX1186" s="1392" t="n"/>
      <c r="BY1186" s="1392" t="n"/>
      <c r="BZ1186" s="1392" t="n"/>
      <c r="CA1186" s="1392" t="n"/>
      <c r="CB1186" s="1392" t="n"/>
      <c r="CC1186" s="1392" t="n"/>
      <c r="CD1186" s="1392" t="n"/>
      <c r="CE1186" s="1392" t="n"/>
      <c r="CF1186" s="1392" t="n"/>
      <c r="CG1186" s="1392" t="n"/>
      <c r="CH1186" s="1392" t="n"/>
      <c r="CI1186" s="1392" t="n"/>
      <c r="CJ1186" s="1392" t="n"/>
      <c r="CK1186" s="1392" t="n"/>
      <c r="CL1186" s="1392" t="n"/>
    </row>
    <row r="1187">
      <c r="A1187" s="5" t="inlineStr">
        <is>
          <t>.</t>
        </is>
      </c>
      <c r="B1187" s="5" t="inlineStr">
        <is>
          <t>.</t>
        </is>
      </c>
      <c r="C1187" s="1378">
        <f>IF(raw[[#This Row],[city]]="","-",IF(raw[[#This Row],[city]]="TODAY","-",C1186+1))</f>
        <v/>
      </c>
      <c r="D1187" s="1393" t="inlineStr">
        <is>
          <t>Zurich</t>
        </is>
      </c>
      <c r="E1187" s="1394" t="n">
        <v>40270</v>
      </c>
      <c r="F1187" s="1394" t="n">
        <v>40270</v>
      </c>
      <c r="G1187" s="1393" t="n">
        <v>0.01</v>
      </c>
      <c r="H1187" s="1393" t="inlineStr">
        <is>
          <t>Transit</t>
        </is>
      </c>
      <c r="I1187" s="1393" t="inlineStr">
        <is>
          <t>-</t>
        </is>
      </c>
      <c r="J1187" s="1393" t="inlineStr">
        <is>
          <t>-</t>
        </is>
      </c>
      <c r="K1187" s="1395">
        <f>IF(raw[[#This Row],[city]]&lt;&gt;"",_xlfn.XLOOKUP($D1187,ccc[city],ccc[prov],"-"),"-")</f>
        <v/>
      </c>
      <c r="L1187" s="1395">
        <f>IF(raw[[#This Row],[city]]&lt;&gt;"",_xlfn.XLOOKUP($D1187,ccc[city],ccc[ctry],"-"),"-")</f>
        <v/>
      </c>
      <c r="M1187" s="1395">
        <f>IF(raw[[#This Row],[city]]&lt;&gt;"",_xlfn.XLOOKUP($D1187,ccc[city],ccc[cont],"-"),"-")</f>
        <v/>
      </c>
      <c r="N1187" s="1396">
        <f>IF(raw[[#This Row],[city]]="","-",IF(raw[[#This Row],[cont]]="B",raw[[#This Row],[cont]],"W"))</f>
        <v/>
      </c>
      <c r="O1187" s="1397">
        <f>IF(raw[[#This Row],[out]]=0,0,IF(raw[[#This Row],[out]]=raw[[#This Row],[in]],0.01,raw[[#This Row],[out]]-raw[[#This Row],[in]]))</f>
        <v/>
      </c>
      <c r="P1187" s="1397">
        <f>IF(raw[[#This Row],[in]]=0,0,MONTH(raw[[#This Row],[in]]))</f>
        <v/>
      </c>
      <c r="Q1187" s="1397">
        <f>IF(raw[[#This Row],[in]]=0,0,YEAR(raw[[#This Row],[in]]))</f>
        <v/>
      </c>
      <c r="R1187" s="1397">
        <f>INT(raw[[#This Row],[yr]]/10)*10</f>
        <v/>
      </c>
      <c r="S1187" s="1395">
        <f>IF(raw[[#This Row],[city]]="","-",IF(raw[[#This Row],[city]]&lt;&gt;_xlfn.XLOOKUP(raw[[#This Row],[home]],homes[home],homes[city],"-"),1,0))</f>
        <v/>
      </c>
      <c r="T1187" s="1398" t="inlineStr">
        <is>
          <t>.</t>
        </is>
      </c>
      <c r="U1187" s="1399">
        <f>IF(raw[[#This Row],[wb]]="w",raw[[#This Row],[stay]]+U1186,U1186)</f>
        <v/>
      </c>
      <c r="V1187" s="1400">
        <f>IF(raw[[#This Row],[out]]=0,V1186,(raw[[#This Row],[out]]-E$5))</f>
        <v/>
      </c>
      <c r="W1187" s="1401">
        <f>U1187/V1187</f>
        <v/>
      </c>
      <c r="X1187" s="1392" t="n"/>
      <c r="Y1187" s="1392" t="n"/>
      <c r="Z1187" s="1392" t="n"/>
      <c r="AA1187" s="1392" t="n"/>
      <c r="AB1187" s="1392" t="n"/>
      <c r="AC1187" s="1392" t="n"/>
      <c r="AD1187" s="1392" t="n"/>
      <c r="AE1187" s="1392" t="n"/>
      <c r="AF1187" s="1392" t="n"/>
      <c r="AG1187" s="1392" t="n"/>
      <c r="AH1187" s="1392" t="n"/>
      <c r="AI1187" s="1392" t="n"/>
      <c r="AJ1187" s="1392" t="n"/>
      <c r="AK1187" s="1392" t="n"/>
      <c r="AL1187" s="1392" t="n"/>
      <c r="AM1187" s="1392" t="n"/>
      <c r="AN1187" s="1392" t="n"/>
      <c r="AO1187" s="1392" t="n"/>
      <c r="AP1187" s="1392" t="n"/>
      <c r="AQ1187" s="1392" t="n"/>
      <c r="AR1187" s="1422" t="n"/>
      <c r="AS1187" s="1422" t="n"/>
      <c r="AT1187" s="1392" t="n"/>
      <c r="AU1187" s="1392" t="n"/>
      <c r="AV1187" s="1392" t="n"/>
      <c r="AW1187" s="1392" t="n"/>
      <c r="AX1187" s="1392" t="n"/>
      <c r="AY1187" s="1392" t="n"/>
      <c r="AZ1187" s="1392" t="n"/>
      <c r="BA1187" s="1422" t="n"/>
      <c r="BB1187" s="1422" t="n"/>
      <c r="BC1187" s="1392" t="n"/>
      <c r="BD1187" s="1392" t="n"/>
      <c r="BE1187" s="1392" t="n"/>
      <c r="BF1187" s="1392" t="n"/>
      <c r="BG1187" s="1392" t="n"/>
      <c r="BH1187" s="1392" t="n"/>
      <c r="BI1187" s="1392" t="n"/>
      <c r="BJ1187" s="1392" t="n"/>
      <c r="BK1187" s="1392" t="n"/>
      <c r="BL1187" s="1392" t="n"/>
      <c r="BM1187" s="1392" t="n"/>
      <c r="BN1187" s="1392" t="n"/>
      <c r="BO1187" s="1392" t="n"/>
      <c r="BP1187" s="1392" t="n"/>
      <c r="BQ1187" s="1392" t="n"/>
      <c r="BR1187" s="1392" t="n"/>
      <c r="BS1187" s="1392" t="n"/>
      <c r="BT1187" s="1392" t="n"/>
      <c r="BU1187" s="1392" t="n"/>
      <c r="BV1187" s="1392" t="n"/>
      <c r="BW1187" s="1392" t="n"/>
      <c r="BX1187" s="1392" t="n"/>
      <c r="BY1187" s="1392" t="n"/>
      <c r="BZ1187" s="1392" t="n"/>
      <c r="CA1187" s="1392" t="n"/>
      <c r="CB1187" s="1392" t="n"/>
      <c r="CC1187" s="1392" t="n"/>
      <c r="CD1187" s="1392" t="n"/>
      <c r="CE1187" s="1392" t="n"/>
      <c r="CF1187" s="1392" t="n"/>
      <c r="CG1187" s="1392" t="n"/>
      <c r="CH1187" s="1392" t="n"/>
      <c r="CI1187" s="1392" t="n"/>
      <c r="CJ1187" s="1392" t="n"/>
      <c r="CK1187" s="1392" t="n"/>
      <c r="CL1187" s="1392" t="n"/>
    </row>
    <row r="1188">
      <c r="A1188" s="5" t="inlineStr">
        <is>
          <t>.</t>
        </is>
      </c>
      <c r="B1188" s="5" t="inlineStr">
        <is>
          <t>.</t>
        </is>
      </c>
      <c r="C1188" s="1378">
        <f>IF(raw[[#This Row],[city]]="","-",IF(raw[[#This Row],[city]]="TODAY","-",C1187+1))</f>
        <v/>
      </c>
      <c r="D1188" s="1393" t="inlineStr">
        <is>
          <t>AIR</t>
        </is>
      </c>
      <c r="E1188" s="1394" t="n">
        <v>40270</v>
      </c>
      <c r="F1188" s="1394" t="n">
        <v>40271</v>
      </c>
      <c r="G1188" s="1393" t="inlineStr">
        <is>
          <t>x</t>
        </is>
      </c>
      <c r="H1188" s="1393" t="inlineStr">
        <is>
          <t>Transit</t>
        </is>
      </c>
      <c r="I1188" s="1393" t="inlineStr">
        <is>
          <t>-</t>
        </is>
      </c>
      <c r="J1188" s="1393" t="inlineStr">
        <is>
          <t>-</t>
        </is>
      </c>
      <c r="K1188" s="1395">
        <f>IF(raw[[#This Row],[city]]&lt;&gt;"",_xlfn.XLOOKUP($D1188,ccc[city],ccc[prov],"-"),"-")</f>
        <v/>
      </c>
      <c r="L1188" s="1395">
        <f>IF(raw[[#This Row],[city]]&lt;&gt;"",_xlfn.XLOOKUP($D1188,ccc[city],ccc[ctry],"-"),"-")</f>
        <v/>
      </c>
      <c r="M1188" s="1395">
        <f>IF(raw[[#This Row],[city]]&lt;&gt;"",_xlfn.XLOOKUP($D1188,ccc[city],ccc[cont],"-"),"-")</f>
        <v/>
      </c>
      <c r="N1188" s="1396">
        <f>IF(raw[[#This Row],[city]]="","-",IF(raw[[#This Row],[cont]]="B",raw[[#This Row],[cont]],"W"))</f>
        <v/>
      </c>
      <c r="O1188" s="1397">
        <f>IF(raw[[#This Row],[out]]=0,0,IF(raw[[#This Row],[out]]=raw[[#This Row],[in]],0.01,raw[[#This Row],[out]]-raw[[#This Row],[in]]))</f>
        <v/>
      </c>
      <c r="P1188" s="1397">
        <f>IF(raw[[#This Row],[in]]=0,0,MONTH(raw[[#This Row],[in]]))</f>
        <v/>
      </c>
      <c r="Q1188" s="1397">
        <f>IF(raw[[#This Row],[in]]=0,0,YEAR(raw[[#This Row],[in]]))</f>
        <v/>
      </c>
      <c r="R1188" s="1397">
        <f>INT(raw[[#This Row],[yr]]/10)*10</f>
        <v/>
      </c>
      <c r="S1188" s="1395">
        <f>IF(raw[[#This Row],[city]]="","-",IF(raw[[#This Row],[city]]&lt;&gt;_xlfn.XLOOKUP(raw[[#This Row],[home]],homes[home],homes[city],"-"),1,0))</f>
        <v/>
      </c>
      <c r="T1188" s="1398" t="inlineStr">
        <is>
          <t>.</t>
        </is>
      </c>
      <c r="U1188" s="1399">
        <f>IF(raw[[#This Row],[wb]]="w",raw[[#This Row],[stay]]+U1187,U1187)</f>
        <v/>
      </c>
      <c r="V1188" s="1400">
        <f>IF(raw[[#This Row],[out]]=0,V1187,(raw[[#This Row],[out]]-E$5))</f>
        <v/>
      </c>
      <c r="W1188" s="1401">
        <f>U1188/V1188</f>
        <v/>
      </c>
      <c r="X1188" s="1392" t="n"/>
      <c r="Y1188" s="1392" t="n"/>
      <c r="Z1188" s="1392" t="n"/>
      <c r="AA1188" s="1392" t="n"/>
      <c r="AB1188" s="1392" t="n"/>
      <c r="AC1188" s="1392" t="n"/>
      <c r="AD1188" s="1392" t="n"/>
      <c r="AE1188" s="1392" t="n"/>
      <c r="AF1188" s="1392" t="n"/>
      <c r="AG1188" s="1392" t="n"/>
      <c r="AH1188" s="1392" t="n"/>
      <c r="AI1188" s="1392" t="n"/>
      <c r="AJ1188" s="1392" t="n"/>
      <c r="AK1188" s="1392" t="n"/>
      <c r="AL1188" s="1392" t="n"/>
      <c r="AM1188" s="1392" t="n"/>
      <c r="AN1188" s="1392" t="n"/>
      <c r="AO1188" s="1392" t="n"/>
      <c r="AP1188" s="1392" t="n"/>
      <c r="AQ1188" s="1392" t="n"/>
      <c r="AR1188" s="1422" t="n"/>
      <c r="AS1188" s="1422" t="n"/>
      <c r="AT1188" s="1392" t="n"/>
      <c r="AU1188" s="1392" t="n"/>
      <c r="AV1188" s="1392" t="n"/>
      <c r="AW1188" s="1392" t="n"/>
      <c r="AX1188" s="1392" t="n"/>
      <c r="AY1188" s="1392" t="n"/>
      <c r="AZ1188" s="1392" t="n"/>
      <c r="BA1188" s="1422" t="n"/>
      <c r="BB1188" s="1422" t="n"/>
      <c r="BC1188" s="1392" t="n"/>
      <c r="BD1188" s="1392" t="n"/>
      <c r="BE1188" s="1392" t="n"/>
      <c r="BF1188" s="1392" t="n"/>
      <c r="BG1188" s="1392" t="n"/>
      <c r="BH1188" s="1392" t="n"/>
      <c r="BI1188" s="1392" t="n"/>
      <c r="BJ1188" s="1392" t="n"/>
      <c r="BK1188" s="1392" t="n"/>
      <c r="BL1188" s="1392" t="n"/>
      <c r="BM1188" s="1392" t="n"/>
      <c r="BN1188" s="1392" t="n"/>
      <c r="BO1188" s="1392" t="n"/>
      <c r="BP1188" s="1392" t="n"/>
      <c r="BQ1188" s="1392" t="n"/>
      <c r="BR1188" s="1392" t="n"/>
      <c r="BS1188" s="1392" t="n"/>
      <c r="BT1188" s="1392" t="n"/>
      <c r="BU1188" s="1392" t="n"/>
      <c r="BV1188" s="1392" t="n"/>
      <c r="BW1188" s="1392" t="n"/>
      <c r="BX1188" s="1392" t="n"/>
      <c r="BY1188" s="1392" t="n"/>
      <c r="BZ1188" s="1392" t="n"/>
      <c r="CA1188" s="1392" t="n"/>
      <c r="CB1188" s="1392" t="n"/>
      <c r="CC1188" s="1392" t="n"/>
      <c r="CD1188" s="1392" t="n"/>
      <c r="CE1188" s="1392" t="n"/>
      <c r="CF1188" s="1392" t="n"/>
      <c r="CG1188" s="1392" t="n"/>
      <c r="CH1188" s="1392" t="n"/>
      <c r="CI1188" s="1392" t="n"/>
      <c r="CJ1188" s="1392" t="n"/>
      <c r="CK1188" s="1392" t="n"/>
      <c r="CL1188" s="1392" t="n"/>
    </row>
    <row r="1189">
      <c r="A1189" s="5" t="inlineStr">
        <is>
          <t>.</t>
        </is>
      </c>
      <c r="B1189" s="5" t="inlineStr">
        <is>
          <t>.</t>
        </is>
      </c>
      <c r="C1189" s="1378">
        <f>IF(raw[[#This Row],[city]]="","-",IF(raw[[#This Row],[city]]="TODAY","-",C1188+1))</f>
        <v/>
      </c>
      <c r="D1189" s="1393" t="inlineStr">
        <is>
          <t>SP</t>
        </is>
      </c>
      <c r="E1189" s="1394" t="n">
        <v>40271</v>
      </c>
      <c r="F1189" s="1394" t="n">
        <v>40281</v>
      </c>
      <c r="G1189" s="1393" t="n">
        <v>1</v>
      </c>
      <c r="H1189" s="1393" t="inlineStr">
        <is>
          <t>Transit</t>
        </is>
      </c>
      <c r="I1189" s="1393" t="inlineStr">
        <is>
          <t>Salto Grande</t>
        </is>
      </c>
      <c r="J1189" s="1393" t="inlineStr">
        <is>
          <t>-</t>
        </is>
      </c>
      <c r="K1189" s="1395">
        <f>IF(raw[[#This Row],[city]]&lt;&gt;"",_xlfn.XLOOKUP($D1189,ccc[city],ccc[prov],"-"),"-")</f>
        <v/>
      </c>
      <c r="L1189" s="1395">
        <f>IF(raw[[#This Row],[city]]&lt;&gt;"",_xlfn.XLOOKUP($D1189,ccc[city],ccc[ctry],"-"),"-")</f>
        <v/>
      </c>
      <c r="M1189" s="1395">
        <f>IF(raw[[#This Row],[city]]&lt;&gt;"",_xlfn.XLOOKUP($D1189,ccc[city],ccc[cont],"-"),"-")</f>
        <v/>
      </c>
      <c r="N1189" s="1396">
        <f>IF(raw[[#This Row],[city]]="","-",IF(raw[[#This Row],[cont]]="B",raw[[#This Row],[cont]],"W"))</f>
        <v/>
      </c>
      <c r="O1189" s="1397">
        <f>IF(raw[[#This Row],[out]]=0,0,IF(raw[[#This Row],[out]]=raw[[#This Row],[in]],0.01,raw[[#This Row],[out]]-raw[[#This Row],[in]]))</f>
        <v/>
      </c>
      <c r="P1189" s="1397">
        <f>IF(raw[[#This Row],[in]]=0,0,MONTH(raw[[#This Row],[in]]))</f>
        <v/>
      </c>
      <c r="Q1189" s="1397">
        <f>IF(raw[[#This Row],[in]]=0,0,YEAR(raw[[#This Row],[in]]))</f>
        <v/>
      </c>
      <c r="R1189" s="1397">
        <f>INT(raw[[#This Row],[yr]]/10)*10</f>
        <v/>
      </c>
      <c r="S1189" s="1395">
        <f>IF(raw[[#This Row],[city]]="","-",IF(raw[[#This Row],[city]]&lt;&gt;_xlfn.XLOOKUP(raw[[#This Row],[home]],homes[home],homes[city],"-"),1,0))</f>
        <v/>
      </c>
      <c r="T1189" s="1398" t="inlineStr">
        <is>
          <t>.</t>
        </is>
      </c>
      <c r="U1189" s="1399">
        <f>IF(raw[[#This Row],[wb]]="w",raw[[#This Row],[stay]]+U1188,U1188)</f>
        <v/>
      </c>
      <c r="V1189" s="1400">
        <f>IF(raw[[#This Row],[out]]=0,V1188,(raw[[#This Row],[out]]-E$5))</f>
        <v/>
      </c>
      <c r="W1189" s="1401">
        <f>U1189/V1189</f>
        <v/>
      </c>
      <c r="X1189" s="1392" t="n"/>
      <c r="Y1189" s="1392" t="n"/>
      <c r="Z1189" s="1392" t="n"/>
      <c r="AA1189" s="1392" t="n"/>
      <c r="AB1189" s="1392" t="n"/>
      <c r="AC1189" s="1392" t="n"/>
      <c r="AD1189" s="1392" t="n"/>
      <c r="AE1189" s="1392" t="n"/>
      <c r="AF1189" s="1392" t="n"/>
      <c r="AG1189" s="1392" t="n"/>
      <c r="AH1189" s="1392" t="n"/>
      <c r="AI1189" s="1392" t="n"/>
      <c r="AJ1189" s="1392" t="n"/>
      <c r="AK1189" s="1392" t="n"/>
      <c r="AL1189" s="1392" t="n"/>
      <c r="AM1189" s="1392" t="n"/>
      <c r="AN1189" s="1392" t="n"/>
      <c r="AO1189" s="1392" t="n"/>
      <c r="AP1189" s="1392" t="n"/>
      <c r="AQ1189" s="1392" t="n"/>
      <c r="AR1189" s="1422" t="n"/>
      <c r="AS1189" s="1422" t="n"/>
      <c r="AT1189" s="1392" t="n"/>
      <c r="AU1189" s="1392" t="n"/>
      <c r="AV1189" s="1392" t="n"/>
      <c r="AW1189" s="1392" t="n"/>
      <c r="AX1189" s="1392" t="n"/>
      <c r="AY1189" s="1392" t="n"/>
      <c r="AZ1189" s="1392" t="n"/>
      <c r="BA1189" s="1422" t="n"/>
      <c r="BB1189" s="1422" t="n"/>
      <c r="BC1189" s="1392" t="n"/>
      <c r="BD1189" s="1392" t="n"/>
      <c r="BE1189" s="1392" t="n"/>
      <c r="BF1189" s="1392" t="n"/>
      <c r="BG1189" s="1392" t="n"/>
      <c r="BH1189" s="1392" t="n"/>
      <c r="BI1189" s="1392" t="n"/>
      <c r="BJ1189" s="1392" t="n"/>
      <c r="BK1189" s="1392" t="n"/>
      <c r="BL1189" s="1392" t="n"/>
      <c r="BM1189" s="1392" t="n"/>
      <c r="BN1189" s="1392" t="n"/>
      <c r="BO1189" s="1392" t="n"/>
      <c r="BP1189" s="1392" t="n"/>
      <c r="BQ1189" s="1392" t="n"/>
      <c r="BR1189" s="1392" t="n"/>
      <c r="BS1189" s="1392" t="n"/>
      <c r="BT1189" s="1392" t="n"/>
      <c r="BU1189" s="1392" t="n"/>
      <c r="BV1189" s="1392" t="n"/>
      <c r="BW1189" s="1392" t="n"/>
      <c r="BX1189" s="1392" t="n"/>
      <c r="BY1189" s="1392" t="n"/>
      <c r="BZ1189" s="1392" t="n"/>
      <c r="CA1189" s="1392" t="n"/>
      <c r="CB1189" s="1392" t="n"/>
      <c r="CC1189" s="1392" t="n"/>
      <c r="CD1189" s="1392" t="n"/>
      <c r="CE1189" s="1392" t="n"/>
      <c r="CF1189" s="1392" t="n"/>
      <c r="CG1189" s="1392" t="n"/>
      <c r="CH1189" s="1392" t="n"/>
      <c r="CI1189" s="1392" t="n"/>
      <c r="CJ1189" s="1392" t="n"/>
      <c r="CK1189" s="1392" t="n"/>
      <c r="CL1189" s="1392" t="n"/>
    </row>
    <row r="1190">
      <c r="A1190" s="5" t="inlineStr">
        <is>
          <t>.</t>
        </is>
      </c>
      <c r="B1190" s="5" t="inlineStr">
        <is>
          <t>.</t>
        </is>
      </c>
      <c r="C1190" s="1378">
        <f>IF(raw[[#This Row],[city]]="","-",IF(raw[[#This Row],[city]]="TODAY","-",C1189+1))</f>
        <v/>
      </c>
      <c r="D1190" s="1393" t="inlineStr">
        <is>
          <t>Rio</t>
        </is>
      </c>
      <c r="E1190" s="1394" t="n">
        <v>40281</v>
      </c>
      <c r="F1190" s="1394" t="n">
        <v>40285</v>
      </c>
      <c r="G1190" s="1393" t="n">
        <v>1</v>
      </c>
      <c r="H1190" s="1393" t="inlineStr">
        <is>
          <t>Transit</t>
        </is>
      </c>
      <c r="I1190" s="1393" t="inlineStr">
        <is>
          <t>Monica Rio</t>
        </is>
      </c>
      <c r="J1190" s="1393" t="inlineStr">
        <is>
          <t>-</t>
        </is>
      </c>
      <c r="K1190" s="1395">
        <f>IF(raw[[#This Row],[city]]&lt;&gt;"",_xlfn.XLOOKUP($D1190,ccc[city],ccc[prov],"-"),"-")</f>
        <v/>
      </c>
      <c r="L1190" s="1395">
        <f>IF(raw[[#This Row],[city]]&lt;&gt;"",_xlfn.XLOOKUP($D1190,ccc[city],ccc[ctry],"-"),"-")</f>
        <v/>
      </c>
      <c r="M1190" s="1395">
        <f>IF(raw[[#This Row],[city]]&lt;&gt;"",_xlfn.XLOOKUP($D1190,ccc[city],ccc[cont],"-"),"-")</f>
        <v/>
      </c>
      <c r="N1190" s="1396">
        <f>IF(raw[[#This Row],[city]]="","-",IF(raw[[#This Row],[cont]]="B",raw[[#This Row],[cont]],"W"))</f>
        <v/>
      </c>
      <c r="O1190" s="1397">
        <f>IF(raw[[#This Row],[out]]=0,0,IF(raw[[#This Row],[out]]=raw[[#This Row],[in]],0.01,raw[[#This Row],[out]]-raw[[#This Row],[in]]))</f>
        <v/>
      </c>
      <c r="P1190" s="1397">
        <f>IF(raw[[#This Row],[in]]=0,0,MONTH(raw[[#This Row],[in]]))</f>
        <v/>
      </c>
      <c r="Q1190" s="1397">
        <f>IF(raw[[#This Row],[in]]=0,0,YEAR(raw[[#This Row],[in]]))</f>
        <v/>
      </c>
      <c r="R1190" s="1397">
        <f>INT(raw[[#This Row],[yr]]/10)*10</f>
        <v/>
      </c>
      <c r="S1190" s="1395">
        <f>IF(raw[[#This Row],[city]]="","-",IF(raw[[#This Row],[city]]&lt;&gt;_xlfn.XLOOKUP(raw[[#This Row],[home]],homes[home],homes[city],"-"),1,0))</f>
        <v/>
      </c>
      <c r="T1190" s="1398" t="inlineStr">
        <is>
          <t>.</t>
        </is>
      </c>
      <c r="U1190" s="1399">
        <f>IF(raw[[#This Row],[wb]]="w",raw[[#This Row],[stay]]+U1189,U1189)</f>
        <v/>
      </c>
      <c r="V1190" s="1400">
        <f>IF(raw[[#This Row],[out]]=0,V1189,(raw[[#This Row],[out]]-E$5))</f>
        <v/>
      </c>
      <c r="W1190" s="1401">
        <f>U1190/V1190</f>
        <v/>
      </c>
      <c r="X1190" s="1392" t="n"/>
      <c r="Y1190" s="1392" t="n"/>
      <c r="Z1190" s="1392" t="n"/>
      <c r="AA1190" s="1392" t="n"/>
      <c r="AB1190" s="1392" t="n"/>
      <c r="AC1190" s="1392" t="n"/>
      <c r="AD1190" s="1392" t="n"/>
      <c r="AE1190" s="1392" t="n"/>
      <c r="AF1190" s="1392" t="n"/>
      <c r="AG1190" s="1392" t="n"/>
      <c r="AH1190" s="1392" t="n"/>
      <c r="AI1190" s="1392" t="n"/>
      <c r="AJ1190" s="1392" t="n"/>
      <c r="AK1190" s="1392" t="n"/>
      <c r="AL1190" s="1392" t="n"/>
      <c r="AM1190" s="1392" t="n"/>
      <c r="AN1190" s="1392" t="n"/>
      <c r="AO1190" s="1392" t="n"/>
      <c r="AP1190" s="1392" t="n"/>
      <c r="AQ1190" s="1392" t="n"/>
      <c r="AR1190" s="1422" t="n"/>
      <c r="AS1190" s="1422" t="n"/>
      <c r="AT1190" s="1392" t="n"/>
      <c r="AU1190" s="1392" t="n"/>
      <c r="AV1190" s="1392" t="n"/>
      <c r="AW1190" s="1392" t="n"/>
      <c r="AX1190" s="1392" t="n"/>
      <c r="AY1190" s="1392" t="n"/>
      <c r="AZ1190" s="1392" t="n"/>
      <c r="BA1190" s="1422" t="n"/>
      <c r="BB1190" s="1422" t="n"/>
      <c r="BC1190" s="1392" t="n"/>
      <c r="BD1190" s="1392" t="n"/>
      <c r="BE1190" s="1392" t="n"/>
      <c r="BF1190" s="1392" t="n"/>
      <c r="BG1190" s="1392" t="n"/>
      <c r="BH1190" s="1392" t="n"/>
      <c r="BI1190" s="1392" t="n"/>
      <c r="BJ1190" s="1392" t="n"/>
      <c r="BK1190" s="1392" t="n"/>
      <c r="BL1190" s="1392" t="n"/>
      <c r="BM1190" s="1392" t="n"/>
      <c r="BN1190" s="1392" t="n"/>
      <c r="BO1190" s="1392" t="n"/>
      <c r="BP1190" s="1392" t="n"/>
      <c r="BQ1190" s="1392" t="n"/>
      <c r="BR1190" s="1392" t="n"/>
      <c r="BS1190" s="1392" t="n"/>
      <c r="BT1190" s="1392" t="n"/>
      <c r="BU1190" s="1392" t="n"/>
      <c r="BV1190" s="1392" t="n"/>
      <c r="BW1190" s="1392" t="n"/>
      <c r="BX1190" s="1392" t="n"/>
      <c r="BY1190" s="1392" t="n"/>
      <c r="BZ1190" s="1392" t="n"/>
      <c r="CA1190" s="1392" t="n"/>
      <c r="CB1190" s="1392" t="n"/>
      <c r="CC1190" s="1392" t="n"/>
      <c r="CD1190" s="1392" t="n"/>
      <c r="CE1190" s="1392" t="n"/>
      <c r="CF1190" s="1392" t="n"/>
      <c r="CG1190" s="1392" t="n"/>
      <c r="CH1190" s="1392" t="n"/>
      <c r="CI1190" s="1392" t="n"/>
      <c r="CJ1190" s="1392" t="n"/>
      <c r="CK1190" s="1392" t="n"/>
      <c r="CL1190" s="1392" t="n"/>
    </row>
    <row r="1191">
      <c r="A1191" s="5" t="inlineStr">
        <is>
          <t>.</t>
        </is>
      </c>
      <c r="B1191" s="5" t="inlineStr">
        <is>
          <t>.</t>
        </is>
      </c>
      <c r="C1191" s="1378">
        <f>IF(raw[[#This Row],[city]]="","-",IF(raw[[#This Row],[city]]="TODAY","-",C1190+1))</f>
        <v/>
      </c>
      <c r="D1191" s="1393" t="inlineStr">
        <is>
          <t>SSA</t>
        </is>
      </c>
      <c r="E1191" s="1394" t="n">
        <v>40285</v>
      </c>
      <c r="F1191" s="1394" t="n">
        <v>40299</v>
      </c>
      <c r="G1191" s="1393" t="inlineStr">
        <is>
          <t>-</t>
        </is>
      </c>
      <c r="H1191" s="1393" t="inlineStr">
        <is>
          <t>Transit</t>
        </is>
      </c>
      <c r="I1191" s="1393" t="inlineStr">
        <is>
          <t>Ondina</t>
        </is>
      </c>
      <c r="J1191" s="1393" t="inlineStr">
        <is>
          <t>-</t>
        </is>
      </c>
      <c r="K1191" s="1395">
        <f>IF(raw[[#This Row],[city]]&lt;&gt;"",_xlfn.XLOOKUP($D1191,ccc[city],ccc[prov],"-"),"-")</f>
        <v/>
      </c>
      <c r="L1191" s="1395">
        <f>IF(raw[[#This Row],[city]]&lt;&gt;"",_xlfn.XLOOKUP($D1191,ccc[city],ccc[ctry],"-"),"-")</f>
        <v/>
      </c>
      <c r="M1191" s="1395">
        <f>IF(raw[[#This Row],[city]]&lt;&gt;"",_xlfn.XLOOKUP($D1191,ccc[city],ccc[cont],"-"),"-")</f>
        <v/>
      </c>
      <c r="N1191" s="1396">
        <f>IF(raw[[#This Row],[city]]="","-",IF(raw[[#This Row],[cont]]="B",raw[[#This Row],[cont]],"W"))</f>
        <v/>
      </c>
      <c r="O1191" s="1397">
        <f>IF(raw[[#This Row],[out]]=0,0,IF(raw[[#This Row],[out]]=raw[[#This Row],[in]],0.01,raw[[#This Row],[out]]-raw[[#This Row],[in]]))</f>
        <v/>
      </c>
      <c r="P1191" s="1397">
        <f>IF(raw[[#This Row],[in]]=0,0,MONTH(raw[[#This Row],[in]]))</f>
        <v/>
      </c>
      <c r="Q1191" s="1397">
        <f>IF(raw[[#This Row],[in]]=0,0,YEAR(raw[[#This Row],[in]]))</f>
        <v/>
      </c>
      <c r="R1191" s="1397">
        <f>INT(raw[[#This Row],[yr]]/10)*10</f>
        <v/>
      </c>
      <c r="S1191" s="1395">
        <f>IF(raw[[#This Row],[city]]="","-",IF(raw[[#This Row],[city]]&lt;&gt;_xlfn.XLOOKUP(raw[[#This Row],[home]],homes[home],homes[city],"-"),1,0))</f>
        <v/>
      </c>
      <c r="T1191" s="1398" t="inlineStr">
        <is>
          <t>.</t>
        </is>
      </c>
      <c r="U1191" s="1399">
        <f>IF(raw[[#This Row],[wb]]="w",raw[[#This Row],[stay]]+U1190,U1190)</f>
        <v/>
      </c>
      <c r="V1191" s="1400">
        <f>IF(raw[[#This Row],[out]]=0,V1190,(raw[[#This Row],[out]]-E$5))</f>
        <v/>
      </c>
      <c r="W1191" s="1401">
        <f>U1191/V1191</f>
        <v/>
      </c>
      <c r="X1191" s="1392" t="n"/>
      <c r="Y1191" s="1392" t="n"/>
      <c r="Z1191" s="1392" t="n"/>
      <c r="AA1191" s="1392" t="n"/>
      <c r="AB1191" s="1392" t="n"/>
      <c r="AC1191" s="1392" t="n"/>
      <c r="AD1191" s="1392" t="n"/>
      <c r="AE1191" s="1392" t="n"/>
      <c r="AF1191" s="1392" t="n"/>
      <c r="AG1191" s="1392" t="n"/>
      <c r="AH1191" s="1392" t="n"/>
      <c r="AI1191" s="1392" t="n"/>
      <c r="AJ1191" s="1392" t="n"/>
      <c r="AK1191" s="1392" t="n"/>
      <c r="AL1191" s="1392" t="n"/>
      <c r="AM1191" s="1392" t="n"/>
      <c r="AN1191" s="1392" t="n"/>
      <c r="AO1191" s="1392" t="n"/>
      <c r="AP1191" s="1392" t="n"/>
      <c r="AQ1191" s="1392" t="n"/>
      <c r="AR1191" s="1422" t="n"/>
      <c r="AS1191" s="1422" t="n"/>
      <c r="AT1191" s="1392" t="n"/>
      <c r="AU1191" s="1392" t="n"/>
      <c r="AV1191" s="1392" t="n"/>
      <c r="AW1191" s="1392" t="n"/>
      <c r="AX1191" s="1392" t="n"/>
      <c r="AY1191" s="1392" t="n"/>
      <c r="AZ1191" s="1392" t="n"/>
      <c r="BA1191" s="1422" t="n"/>
      <c r="BB1191" s="1422" t="n"/>
      <c r="BC1191" s="1392" t="n"/>
      <c r="BD1191" s="1392" t="n"/>
      <c r="BE1191" s="1392" t="n"/>
      <c r="BF1191" s="1392" t="n"/>
      <c r="BG1191" s="1392" t="n"/>
      <c r="BH1191" s="1392" t="n"/>
      <c r="BI1191" s="1392" t="n"/>
      <c r="BJ1191" s="1392" t="n"/>
      <c r="BK1191" s="1392" t="n"/>
      <c r="BL1191" s="1392" t="n"/>
      <c r="BM1191" s="1392" t="n"/>
      <c r="BN1191" s="1392" t="n"/>
      <c r="BO1191" s="1392" t="n"/>
      <c r="BP1191" s="1392" t="n"/>
      <c r="BQ1191" s="1392" t="n"/>
      <c r="BR1191" s="1392" t="n"/>
      <c r="BS1191" s="1392" t="n"/>
      <c r="BT1191" s="1392" t="n"/>
      <c r="BU1191" s="1392" t="n"/>
      <c r="BV1191" s="1392" t="n"/>
      <c r="BW1191" s="1392" t="n"/>
      <c r="BX1191" s="1392" t="n"/>
      <c r="BY1191" s="1392" t="n"/>
      <c r="BZ1191" s="1392" t="n"/>
      <c r="CA1191" s="1392" t="n"/>
      <c r="CB1191" s="1392" t="n"/>
      <c r="CC1191" s="1392" t="n"/>
      <c r="CD1191" s="1392" t="n"/>
      <c r="CE1191" s="1392" t="n"/>
      <c r="CF1191" s="1392" t="n"/>
      <c r="CG1191" s="1392" t="n"/>
      <c r="CH1191" s="1392" t="n"/>
      <c r="CI1191" s="1392" t="n"/>
      <c r="CJ1191" s="1392" t="n"/>
      <c r="CK1191" s="1392" t="n"/>
      <c r="CL1191" s="1392" t="n"/>
    </row>
    <row r="1192">
      <c r="A1192" s="5" t="inlineStr">
        <is>
          <t>.</t>
        </is>
      </c>
      <c r="B1192" s="5" t="inlineStr">
        <is>
          <t>.</t>
        </is>
      </c>
      <c r="C1192" s="1378">
        <f>IF(raw[[#This Row],[city]]="","-",IF(raw[[#This Row],[city]]="TODAY","-",C1191+1))</f>
        <v/>
      </c>
      <c r="D1192" s="1393" t="inlineStr">
        <is>
          <t>SSA</t>
        </is>
      </c>
      <c r="E1192" s="1394" t="n">
        <v>40299</v>
      </c>
      <c r="F1192" s="1394" t="n">
        <v>40308</v>
      </c>
      <c r="G1192" s="1393" t="inlineStr">
        <is>
          <t>-</t>
        </is>
      </c>
      <c r="H1192" s="1393" t="inlineStr">
        <is>
          <t>Transit</t>
        </is>
      </c>
      <c r="I1192" s="1393" t="inlineStr">
        <is>
          <t>Ondina</t>
        </is>
      </c>
      <c r="J1192" s="1393" t="inlineStr">
        <is>
          <t>-</t>
        </is>
      </c>
      <c r="K1192" s="1395">
        <f>IF(raw[[#This Row],[city]]&lt;&gt;"",_xlfn.XLOOKUP($D1192,ccc[city],ccc[prov],"-"),"-")</f>
        <v/>
      </c>
      <c r="L1192" s="1395">
        <f>IF(raw[[#This Row],[city]]&lt;&gt;"",_xlfn.XLOOKUP($D1192,ccc[city],ccc[ctry],"-"),"-")</f>
        <v/>
      </c>
      <c r="M1192" s="1395">
        <f>IF(raw[[#This Row],[city]]&lt;&gt;"",_xlfn.XLOOKUP($D1192,ccc[city],ccc[cont],"-"),"-")</f>
        <v/>
      </c>
      <c r="N1192" s="1396">
        <f>IF(raw[[#This Row],[city]]="","-",IF(raw[[#This Row],[cont]]="B",raw[[#This Row],[cont]],"W"))</f>
        <v/>
      </c>
      <c r="O1192" s="1397">
        <f>IF(raw[[#This Row],[out]]=0,0,IF(raw[[#This Row],[out]]=raw[[#This Row],[in]],0.01,raw[[#This Row],[out]]-raw[[#This Row],[in]]))</f>
        <v/>
      </c>
      <c r="P1192" s="1397">
        <f>IF(raw[[#This Row],[in]]=0,0,MONTH(raw[[#This Row],[in]]))</f>
        <v/>
      </c>
      <c r="Q1192" s="1397">
        <f>IF(raw[[#This Row],[in]]=0,0,YEAR(raw[[#This Row],[in]]))</f>
        <v/>
      </c>
      <c r="R1192" s="1397">
        <f>INT(raw[[#This Row],[yr]]/10)*10</f>
        <v/>
      </c>
      <c r="S1192" s="1395">
        <f>IF(raw[[#This Row],[city]]="","-",IF(raw[[#This Row],[city]]&lt;&gt;_xlfn.XLOOKUP(raw[[#This Row],[home]],homes[home],homes[city],"-"),1,0))</f>
        <v/>
      </c>
      <c r="T1192" s="1398" t="inlineStr">
        <is>
          <t>.</t>
        </is>
      </c>
      <c r="U1192" s="1399">
        <f>IF(raw[[#This Row],[wb]]="w",raw[[#This Row],[stay]]+U1191,U1191)</f>
        <v/>
      </c>
      <c r="V1192" s="1400">
        <f>IF(raw[[#This Row],[out]]=0,V1191,(raw[[#This Row],[out]]-E$5))</f>
        <v/>
      </c>
      <c r="W1192" s="1401">
        <f>U1192/V1192</f>
        <v/>
      </c>
      <c r="X1192" s="1392" t="n"/>
      <c r="Y1192" s="1392" t="n"/>
      <c r="Z1192" s="1392" t="n"/>
      <c r="AA1192" s="1392" t="n"/>
      <c r="AB1192" s="1392" t="n"/>
      <c r="AC1192" s="1392" t="n"/>
      <c r="AD1192" s="1392" t="n"/>
      <c r="AE1192" s="1392" t="n"/>
      <c r="AF1192" s="1392" t="n"/>
      <c r="AG1192" s="1392" t="n"/>
      <c r="AH1192" s="1392" t="n"/>
      <c r="AI1192" s="1392" t="n"/>
      <c r="AJ1192" s="1392" t="n"/>
      <c r="AK1192" s="1392" t="n"/>
      <c r="AL1192" s="1392" t="n"/>
      <c r="AM1192" s="1392" t="n"/>
      <c r="AN1192" s="1392" t="n"/>
      <c r="AO1192" s="1392" t="n"/>
      <c r="AP1192" s="1392" t="n"/>
      <c r="AQ1192" s="1392" t="n"/>
      <c r="AR1192" s="1422" t="n"/>
      <c r="AS1192" s="1422" t="n"/>
      <c r="AT1192" s="1392" t="n"/>
      <c r="AU1192" s="1392" t="n"/>
      <c r="AV1192" s="1392" t="n"/>
      <c r="AW1192" s="1392" t="n"/>
      <c r="AX1192" s="1392" t="n"/>
      <c r="AY1192" s="1392" t="n"/>
      <c r="AZ1192" s="1392" t="n"/>
      <c r="BA1192" s="1422" t="n"/>
      <c r="BB1192" s="1422" t="n"/>
      <c r="BC1192" s="1392" t="n"/>
      <c r="BD1192" s="1392" t="n"/>
      <c r="BE1192" s="1392" t="n"/>
      <c r="BF1192" s="1392" t="n"/>
      <c r="BG1192" s="1392" t="n"/>
      <c r="BH1192" s="1392" t="n"/>
      <c r="BI1192" s="1392" t="n"/>
      <c r="BJ1192" s="1392" t="n"/>
      <c r="BK1192" s="1392" t="n"/>
      <c r="BL1192" s="1392" t="n"/>
      <c r="BM1192" s="1392" t="n"/>
      <c r="BN1192" s="1392" t="n"/>
      <c r="BO1192" s="1392" t="n"/>
      <c r="BP1192" s="1392" t="n"/>
      <c r="BQ1192" s="1392" t="n"/>
      <c r="BR1192" s="1392" t="n"/>
      <c r="BS1192" s="1392" t="n"/>
      <c r="BT1192" s="1392" t="n"/>
      <c r="BU1192" s="1392" t="n"/>
      <c r="BV1192" s="1392" t="n"/>
      <c r="BW1192" s="1392" t="n"/>
      <c r="BX1192" s="1392" t="n"/>
      <c r="BY1192" s="1392" t="n"/>
      <c r="BZ1192" s="1392" t="n"/>
      <c r="CA1192" s="1392" t="n"/>
      <c r="CB1192" s="1392" t="n"/>
      <c r="CC1192" s="1392" t="n"/>
      <c r="CD1192" s="1392" t="n"/>
      <c r="CE1192" s="1392" t="n"/>
      <c r="CF1192" s="1392" t="n"/>
      <c r="CG1192" s="1392" t="n"/>
      <c r="CH1192" s="1392" t="n"/>
      <c r="CI1192" s="1392" t="n"/>
      <c r="CJ1192" s="1392" t="n"/>
      <c r="CK1192" s="1392" t="n"/>
      <c r="CL1192" s="1392" t="n"/>
    </row>
    <row r="1193">
      <c r="A1193" s="5" t="inlineStr">
        <is>
          <t>.</t>
        </is>
      </c>
      <c r="B1193" s="5" t="inlineStr">
        <is>
          <t>.</t>
        </is>
      </c>
      <c r="C1193" s="1378">
        <f>IF(raw[[#This Row],[city]]="","-",IF(raw[[#This Row],[city]]="TODAY","-",C1192+1))</f>
        <v/>
      </c>
      <c r="D1193" s="1393" t="inlineStr">
        <is>
          <t>SSA</t>
        </is>
      </c>
      <c r="E1193" s="1394" t="n">
        <v>40308</v>
      </c>
      <c r="F1193" s="1394" t="n">
        <v>40330</v>
      </c>
      <c r="G1193" s="1393" t="inlineStr">
        <is>
          <t>-</t>
        </is>
      </c>
      <c r="H1193" s="1393" t="inlineStr">
        <is>
          <t>The Place</t>
        </is>
      </c>
      <c r="I1193" s="1393" t="inlineStr">
        <is>
          <t>-</t>
        </is>
      </c>
      <c r="J1193" s="1393" t="inlineStr">
        <is>
          <t>-</t>
        </is>
      </c>
      <c r="K1193" s="1395">
        <f>IF(raw[[#This Row],[city]]&lt;&gt;"",_xlfn.XLOOKUP($D1193,ccc[city],ccc[prov],"-"),"-")</f>
        <v/>
      </c>
      <c r="L1193" s="1395">
        <f>IF(raw[[#This Row],[city]]&lt;&gt;"",_xlfn.XLOOKUP($D1193,ccc[city],ccc[ctry],"-"),"-")</f>
        <v/>
      </c>
      <c r="M1193" s="1395">
        <f>IF(raw[[#This Row],[city]]&lt;&gt;"",_xlfn.XLOOKUP($D1193,ccc[city],ccc[cont],"-"),"-")</f>
        <v/>
      </c>
      <c r="N1193" s="1396">
        <f>IF(raw[[#This Row],[city]]="","-",IF(raw[[#This Row],[cont]]="B",raw[[#This Row],[cont]],"W"))</f>
        <v/>
      </c>
      <c r="O1193" s="1397">
        <f>IF(raw[[#This Row],[out]]=0,0,IF(raw[[#This Row],[out]]=raw[[#This Row],[in]],0.01,raw[[#This Row],[out]]-raw[[#This Row],[in]]))</f>
        <v/>
      </c>
      <c r="P1193" s="1397">
        <f>IF(raw[[#This Row],[in]]=0,0,MONTH(raw[[#This Row],[in]]))</f>
        <v/>
      </c>
      <c r="Q1193" s="1397">
        <f>IF(raw[[#This Row],[in]]=0,0,YEAR(raw[[#This Row],[in]]))</f>
        <v/>
      </c>
      <c r="R1193" s="1397">
        <f>INT(raw[[#This Row],[yr]]/10)*10</f>
        <v/>
      </c>
      <c r="S1193" s="1395">
        <f>IF(raw[[#This Row],[city]]="","-",IF(raw[[#This Row],[city]]&lt;&gt;_xlfn.XLOOKUP(raw[[#This Row],[home]],homes[home],homes[city],"-"),1,0))</f>
        <v/>
      </c>
      <c r="T1193" s="1398" t="inlineStr">
        <is>
          <t>.</t>
        </is>
      </c>
      <c r="U1193" s="1399">
        <f>IF(raw[[#This Row],[wb]]="w",raw[[#This Row],[stay]]+U1192,U1192)</f>
        <v/>
      </c>
      <c r="V1193" s="1400">
        <f>IF(raw[[#This Row],[out]]=0,V1192,(raw[[#This Row],[out]]-E$5))</f>
        <v/>
      </c>
      <c r="W1193" s="1401">
        <f>U1193/V1193</f>
        <v/>
      </c>
      <c r="X1193" s="1392" t="n"/>
      <c r="Y1193" s="1392" t="n"/>
      <c r="Z1193" s="1392" t="n"/>
      <c r="AA1193" s="1392" t="n"/>
      <c r="AB1193" s="1392" t="n"/>
      <c r="AC1193" s="1392" t="n"/>
      <c r="AD1193" s="1392" t="n"/>
      <c r="AE1193" s="1392" t="n"/>
      <c r="AF1193" s="1392" t="n"/>
      <c r="AG1193" s="1392" t="n"/>
      <c r="AH1193" s="1392" t="n"/>
      <c r="AI1193" s="1392" t="n"/>
      <c r="AJ1193" s="1392" t="n"/>
      <c r="AK1193" s="1392" t="n"/>
      <c r="AL1193" s="1392" t="n"/>
      <c r="AM1193" s="1392" t="n"/>
      <c r="AN1193" s="1392" t="n"/>
      <c r="AO1193" s="1392" t="n"/>
      <c r="AP1193" s="1392" t="n"/>
      <c r="AQ1193" s="1392" t="n"/>
      <c r="AR1193" s="1422" t="n"/>
      <c r="AS1193" s="1422" t="n"/>
      <c r="AT1193" s="1392" t="n"/>
      <c r="AU1193" s="1392" t="n"/>
      <c r="AV1193" s="1392" t="n"/>
      <c r="AW1193" s="1392" t="n"/>
      <c r="AX1193" s="1392" t="n"/>
      <c r="AY1193" s="1392" t="n"/>
      <c r="AZ1193" s="1392" t="n"/>
      <c r="BA1193" s="1422" t="n"/>
      <c r="BB1193" s="1422" t="n"/>
      <c r="BC1193" s="1392" t="n"/>
      <c r="BD1193" s="1392" t="n"/>
      <c r="BE1193" s="1392" t="n"/>
      <c r="BF1193" s="1392" t="n"/>
      <c r="BG1193" s="1392" t="n"/>
      <c r="BH1193" s="1392" t="n"/>
      <c r="BI1193" s="1392" t="n"/>
      <c r="BJ1193" s="1392" t="n"/>
      <c r="BK1193" s="1392" t="n"/>
      <c r="BL1193" s="1392" t="n"/>
      <c r="BM1193" s="1392" t="n"/>
      <c r="BN1193" s="1392" t="n"/>
      <c r="BO1193" s="1392" t="n"/>
      <c r="BP1193" s="1392" t="n"/>
      <c r="BQ1193" s="1392" t="n"/>
      <c r="BR1193" s="1392" t="n"/>
      <c r="BS1193" s="1392" t="n"/>
      <c r="BT1193" s="1392" t="n"/>
      <c r="BU1193" s="1392" t="n"/>
      <c r="BV1193" s="1392" t="n"/>
      <c r="BW1193" s="1392" t="n"/>
      <c r="BX1193" s="1392" t="n"/>
      <c r="BY1193" s="1392" t="n"/>
      <c r="BZ1193" s="1392" t="n"/>
      <c r="CA1193" s="1392" t="n"/>
      <c r="CB1193" s="1392" t="n"/>
      <c r="CC1193" s="1392" t="n"/>
      <c r="CD1193" s="1392" t="n"/>
      <c r="CE1193" s="1392" t="n"/>
      <c r="CF1193" s="1392" t="n"/>
      <c r="CG1193" s="1392" t="n"/>
      <c r="CH1193" s="1392" t="n"/>
      <c r="CI1193" s="1392" t="n"/>
      <c r="CJ1193" s="1392" t="n"/>
      <c r="CK1193" s="1392" t="n"/>
      <c r="CL1193" s="1392" t="n"/>
    </row>
    <row r="1194">
      <c r="A1194" s="5" t="inlineStr">
        <is>
          <t>.</t>
        </is>
      </c>
      <c r="B1194" s="5" t="inlineStr">
        <is>
          <t>.</t>
        </is>
      </c>
      <c r="C1194" s="1378">
        <f>IF(raw[[#This Row],[city]]="","-",IF(raw[[#This Row],[city]]="TODAY","-",C1193+1))</f>
        <v/>
      </c>
      <c r="D1194" s="1393" t="inlineStr">
        <is>
          <t>SSA</t>
        </is>
      </c>
      <c r="E1194" s="1394" t="n">
        <v>40330</v>
      </c>
      <c r="F1194" s="1394" t="n">
        <v>40339</v>
      </c>
      <c r="G1194" s="1393" t="inlineStr">
        <is>
          <t>-</t>
        </is>
      </c>
      <c r="H1194" s="1393" t="inlineStr">
        <is>
          <t>The Place</t>
        </is>
      </c>
      <c r="I1194" s="1393" t="inlineStr">
        <is>
          <t>-</t>
        </is>
      </c>
      <c r="J1194" s="1393" t="inlineStr">
        <is>
          <t>-</t>
        </is>
      </c>
      <c r="K1194" s="1395">
        <f>IF(raw[[#This Row],[city]]&lt;&gt;"",_xlfn.XLOOKUP($D1194,ccc[city],ccc[prov],"-"),"-")</f>
        <v/>
      </c>
      <c r="L1194" s="1395">
        <f>IF(raw[[#This Row],[city]]&lt;&gt;"",_xlfn.XLOOKUP($D1194,ccc[city],ccc[ctry],"-"),"-")</f>
        <v/>
      </c>
      <c r="M1194" s="1395">
        <f>IF(raw[[#This Row],[city]]&lt;&gt;"",_xlfn.XLOOKUP($D1194,ccc[city],ccc[cont],"-"),"-")</f>
        <v/>
      </c>
      <c r="N1194" s="1396">
        <f>IF(raw[[#This Row],[city]]="","-",IF(raw[[#This Row],[cont]]="B",raw[[#This Row],[cont]],"W"))</f>
        <v/>
      </c>
      <c r="O1194" s="1397">
        <f>IF(raw[[#This Row],[out]]=0,0,IF(raw[[#This Row],[out]]=raw[[#This Row],[in]],0.01,raw[[#This Row],[out]]-raw[[#This Row],[in]]))</f>
        <v/>
      </c>
      <c r="P1194" s="1397">
        <f>IF(raw[[#This Row],[in]]=0,0,MONTH(raw[[#This Row],[in]]))</f>
        <v/>
      </c>
      <c r="Q1194" s="1397">
        <f>IF(raw[[#This Row],[in]]=0,0,YEAR(raw[[#This Row],[in]]))</f>
        <v/>
      </c>
      <c r="R1194" s="1397">
        <f>INT(raw[[#This Row],[yr]]/10)*10</f>
        <v/>
      </c>
      <c r="S1194" s="1395">
        <f>IF(raw[[#This Row],[city]]="","-",IF(raw[[#This Row],[city]]&lt;&gt;_xlfn.XLOOKUP(raw[[#This Row],[home]],homes[home],homes[city],"-"),1,0))</f>
        <v/>
      </c>
      <c r="T1194" s="1398" t="inlineStr">
        <is>
          <t>.</t>
        </is>
      </c>
      <c r="U1194" s="1399">
        <f>IF(raw[[#This Row],[wb]]="w",raw[[#This Row],[stay]]+U1193,U1193)</f>
        <v/>
      </c>
      <c r="V1194" s="1400">
        <f>IF(raw[[#This Row],[out]]=0,V1193,(raw[[#This Row],[out]]-E$5))</f>
        <v/>
      </c>
      <c r="W1194" s="1401">
        <f>U1194/V1194</f>
        <v/>
      </c>
      <c r="X1194" s="1392" t="n"/>
      <c r="Y1194" s="1392" t="n"/>
      <c r="Z1194" s="1392" t="n"/>
      <c r="AA1194" s="1392" t="n"/>
      <c r="AB1194" s="1392" t="n"/>
      <c r="AC1194" s="1392" t="n"/>
      <c r="AD1194" s="1392" t="n"/>
      <c r="AE1194" s="1392" t="n"/>
      <c r="AF1194" s="1392" t="n"/>
      <c r="AG1194" s="1392" t="n"/>
      <c r="AH1194" s="1392" t="n"/>
      <c r="AI1194" s="1392" t="n"/>
      <c r="AJ1194" s="1392" t="n"/>
      <c r="AK1194" s="1392" t="n"/>
      <c r="AL1194" s="1392" t="n"/>
      <c r="AM1194" s="1392" t="n"/>
      <c r="AN1194" s="1392" t="n"/>
      <c r="AO1194" s="1392" t="n"/>
      <c r="AP1194" s="1392" t="n"/>
      <c r="AQ1194" s="1392" t="n"/>
      <c r="AR1194" s="1422" t="n"/>
      <c r="AS1194" s="1422" t="n"/>
      <c r="AT1194" s="1392" t="n"/>
      <c r="AU1194" s="1392" t="n"/>
      <c r="AV1194" s="1392" t="n"/>
      <c r="AW1194" s="1392" t="n"/>
      <c r="AX1194" s="1392" t="n"/>
      <c r="AY1194" s="1392" t="n"/>
      <c r="AZ1194" s="1392" t="n"/>
      <c r="BA1194" s="1422" t="n"/>
      <c r="BB1194" s="1422" t="n"/>
      <c r="BC1194" s="1392" t="n"/>
      <c r="BD1194" s="1392" t="n"/>
      <c r="BE1194" s="1392" t="n"/>
      <c r="BF1194" s="1392" t="n"/>
      <c r="BG1194" s="1392" t="n"/>
      <c r="BH1194" s="1392" t="n"/>
      <c r="BI1194" s="1392" t="n"/>
      <c r="BJ1194" s="1392" t="n"/>
      <c r="BK1194" s="1392" t="n"/>
      <c r="BL1194" s="1392" t="n"/>
      <c r="BM1194" s="1392" t="n"/>
      <c r="BN1194" s="1392" t="n"/>
      <c r="BO1194" s="1392" t="n"/>
      <c r="BP1194" s="1392" t="n"/>
      <c r="BQ1194" s="1392" t="n"/>
      <c r="BR1194" s="1392" t="n"/>
      <c r="BS1194" s="1392" t="n"/>
      <c r="BT1194" s="1392" t="n"/>
      <c r="BU1194" s="1392" t="n"/>
      <c r="BV1194" s="1392" t="n"/>
      <c r="BW1194" s="1392" t="n"/>
      <c r="BX1194" s="1392" t="n"/>
      <c r="BY1194" s="1392" t="n"/>
      <c r="BZ1194" s="1392" t="n"/>
      <c r="CA1194" s="1392" t="n"/>
      <c r="CB1194" s="1392" t="n"/>
      <c r="CC1194" s="1392" t="n"/>
      <c r="CD1194" s="1392" t="n"/>
      <c r="CE1194" s="1392" t="n"/>
      <c r="CF1194" s="1392" t="n"/>
      <c r="CG1194" s="1392" t="n"/>
      <c r="CH1194" s="1392" t="n"/>
      <c r="CI1194" s="1392" t="n"/>
      <c r="CJ1194" s="1392" t="n"/>
      <c r="CK1194" s="1392" t="n"/>
      <c r="CL1194" s="1392" t="n"/>
    </row>
    <row r="1195">
      <c r="A1195" s="5" t="inlineStr">
        <is>
          <t>.</t>
        </is>
      </c>
      <c r="B1195" s="5" t="inlineStr">
        <is>
          <t>.</t>
        </is>
      </c>
      <c r="C1195" s="1378">
        <f>IF(raw[[#This Row],[city]]="","-",IF(raw[[#This Row],[city]]="TODAY","-",C1194+1))</f>
        <v/>
      </c>
      <c r="D1195" s="1393" t="inlineStr">
        <is>
          <t>Praia do Forte</t>
        </is>
      </c>
      <c r="E1195" s="1394" t="n">
        <v>40339</v>
      </c>
      <c r="F1195" s="1394" t="n">
        <v>40342</v>
      </c>
      <c r="G1195" s="1393" t="inlineStr">
        <is>
          <t>-</t>
        </is>
      </c>
      <c r="H1195" s="1393" t="inlineStr">
        <is>
          <t>The Place</t>
        </is>
      </c>
      <c r="I1195" s="1393" t="inlineStr">
        <is>
          <t>Porto do Sol</t>
        </is>
      </c>
      <c r="J1195" s="1393" t="inlineStr">
        <is>
          <t>-</t>
        </is>
      </c>
      <c r="K1195" s="1395">
        <f>IF(raw[[#This Row],[city]]&lt;&gt;"",_xlfn.XLOOKUP($D1195,ccc[city],ccc[prov],"-"),"-")</f>
        <v/>
      </c>
      <c r="L1195" s="1395">
        <f>IF(raw[[#This Row],[city]]&lt;&gt;"",_xlfn.XLOOKUP($D1195,ccc[city],ccc[ctry],"-"),"-")</f>
        <v/>
      </c>
      <c r="M1195" s="1395">
        <f>IF(raw[[#This Row],[city]]&lt;&gt;"",_xlfn.XLOOKUP($D1195,ccc[city],ccc[cont],"-"),"-")</f>
        <v/>
      </c>
      <c r="N1195" s="1396">
        <f>IF(raw[[#This Row],[city]]="","-",IF(raw[[#This Row],[cont]]="B",raw[[#This Row],[cont]],"W"))</f>
        <v/>
      </c>
      <c r="O1195" s="1397">
        <f>IF(raw[[#This Row],[out]]=0,0,IF(raw[[#This Row],[out]]=raw[[#This Row],[in]],0.01,raw[[#This Row],[out]]-raw[[#This Row],[in]]))</f>
        <v/>
      </c>
      <c r="P1195" s="1397">
        <f>IF(raw[[#This Row],[in]]=0,0,MONTH(raw[[#This Row],[in]]))</f>
        <v/>
      </c>
      <c r="Q1195" s="1397">
        <f>IF(raw[[#This Row],[in]]=0,0,YEAR(raw[[#This Row],[in]]))</f>
        <v/>
      </c>
      <c r="R1195" s="1397">
        <f>INT(raw[[#This Row],[yr]]/10)*10</f>
        <v/>
      </c>
      <c r="S1195" s="1395">
        <f>IF(raw[[#This Row],[city]]="","-",IF(raw[[#This Row],[city]]&lt;&gt;_xlfn.XLOOKUP(raw[[#This Row],[home]],homes[home],homes[city],"-"),1,0))</f>
        <v/>
      </c>
      <c r="T1195" s="1398" t="inlineStr">
        <is>
          <t>.</t>
        </is>
      </c>
      <c r="U1195" s="1399">
        <f>IF(raw[[#This Row],[wb]]="w",raw[[#This Row],[stay]]+U1194,U1194)</f>
        <v/>
      </c>
      <c r="V1195" s="1400">
        <f>IF(raw[[#This Row],[out]]=0,V1194,(raw[[#This Row],[out]]-E$5))</f>
        <v/>
      </c>
      <c r="W1195" s="1401">
        <f>U1195/V1195</f>
        <v/>
      </c>
      <c r="X1195" s="1392" t="n"/>
      <c r="Y1195" s="1392" t="n"/>
      <c r="Z1195" s="1392" t="n"/>
      <c r="AA1195" s="1392" t="n"/>
      <c r="AB1195" s="1392" t="n"/>
      <c r="AC1195" s="1392" t="n"/>
      <c r="AD1195" s="1392" t="n"/>
      <c r="AE1195" s="1392" t="n"/>
      <c r="AF1195" s="1392" t="n"/>
      <c r="AG1195" s="1392" t="n"/>
      <c r="AH1195" s="1392" t="n"/>
      <c r="AI1195" s="1392" t="n"/>
      <c r="AJ1195" s="1392" t="n"/>
      <c r="AK1195" s="1392" t="n"/>
      <c r="AL1195" s="1392" t="n"/>
      <c r="AM1195" s="1392" t="n"/>
      <c r="AN1195" s="1392" t="n"/>
      <c r="AO1195" s="1392" t="n"/>
      <c r="AP1195" s="1392" t="n"/>
      <c r="AQ1195" s="1392" t="n"/>
      <c r="AR1195" s="1422" t="n"/>
      <c r="AS1195" s="1422" t="n"/>
      <c r="AT1195" s="1392" t="n"/>
      <c r="AU1195" s="1392" t="n"/>
      <c r="AV1195" s="1392" t="n"/>
      <c r="AW1195" s="1392" t="n"/>
      <c r="AX1195" s="1392" t="n"/>
      <c r="AY1195" s="1392" t="n"/>
      <c r="AZ1195" s="1392" t="n"/>
      <c r="BA1195" s="1422" t="n"/>
      <c r="BB1195" s="1422" t="n"/>
      <c r="BC1195" s="1392" t="n"/>
      <c r="BD1195" s="1392" t="n"/>
      <c r="BE1195" s="1392" t="n"/>
      <c r="BF1195" s="1392" t="n"/>
      <c r="BG1195" s="1392" t="n"/>
      <c r="BH1195" s="1392" t="n"/>
      <c r="BI1195" s="1392" t="n"/>
      <c r="BJ1195" s="1392" t="n"/>
      <c r="BK1195" s="1392" t="n"/>
      <c r="BL1195" s="1392" t="n"/>
      <c r="BM1195" s="1392" t="n"/>
      <c r="BN1195" s="1392" t="n"/>
      <c r="BO1195" s="1392" t="n"/>
      <c r="BP1195" s="1392" t="n"/>
      <c r="BQ1195" s="1392" t="n"/>
      <c r="BR1195" s="1392" t="n"/>
      <c r="BS1195" s="1392" t="n"/>
      <c r="BT1195" s="1392" t="n"/>
      <c r="BU1195" s="1392" t="n"/>
      <c r="BV1195" s="1392" t="n"/>
      <c r="BW1195" s="1392" t="n"/>
      <c r="BX1195" s="1392" t="n"/>
      <c r="BY1195" s="1392" t="n"/>
      <c r="BZ1195" s="1392" t="n"/>
      <c r="CA1195" s="1392" t="n"/>
      <c r="CB1195" s="1392" t="n"/>
      <c r="CC1195" s="1392" t="n"/>
      <c r="CD1195" s="1392" t="n"/>
      <c r="CE1195" s="1392" t="n"/>
      <c r="CF1195" s="1392" t="n"/>
      <c r="CG1195" s="1392" t="n"/>
      <c r="CH1195" s="1392" t="n"/>
      <c r="CI1195" s="1392" t="n"/>
      <c r="CJ1195" s="1392" t="n"/>
      <c r="CK1195" s="1392" t="n"/>
      <c r="CL1195" s="1392" t="n"/>
    </row>
    <row r="1196">
      <c r="A1196" s="5" t="inlineStr">
        <is>
          <t>.</t>
        </is>
      </c>
      <c r="B1196" s="5" t="inlineStr">
        <is>
          <t>.</t>
        </is>
      </c>
      <c r="C1196" s="1378">
        <f>IF(raw[[#This Row],[city]]="","-",IF(raw[[#This Row],[city]]="TODAY","-",C1195+1))</f>
        <v/>
      </c>
      <c r="D1196" s="1393" t="inlineStr">
        <is>
          <t>SSA</t>
        </is>
      </c>
      <c r="E1196" s="1394" t="n">
        <v>40342</v>
      </c>
      <c r="F1196" s="1394" t="n">
        <v>40357</v>
      </c>
      <c r="G1196" s="1393" t="n">
        <v>1</v>
      </c>
      <c r="H1196" s="1393" t="inlineStr">
        <is>
          <t>The Place</t>
        </is>
      </c>
      <c r="I1196" s="1393" t="inlineStr">
        <is>
          <t>-</t>
        </is>
      </c>
      <c r="J1196" s="1393" t="inlineStr">
        <is>
          <t>-</t>
        </is>
      </c>
      <c r="K1196" s="1395">
        <f>IF(raw[[#This Row],[city]]&lt;&gt;"",_xlfn.XLOOKUP($D1196,ccc[city],ccc[prov],"-"),"-")</f>
        <v/>
      </c>
      <c r="L1196" s="1395">
        <f>IF(raw[[#This Row],[city]]&lt;&gt;"",_xlfn.XLOOKUP($D1196,ccc[city],ccc[ctry],"-"),"-")</f>
        <v/>
      </c>
      <c r="M1196" s="1395">
        <f>IF(raw[[#This Row],[city]]&lt;&gt;"",_xlfn.XLOOKUP($D1196,ccc[city],ccc[cont],"-"),"-")</f>
        <v/>
      </c>
      <c r="N1196" s="1396">
        <f>IF(raw[[#This Row],[city]]="","-",IF(raw[[#This Row],[cont]]="B",raw[[#This Row],[cont]],"W"))</f>
        <v/>
      </c>
      <c r="O1196" s="1397">
        <f>IF(raw[[#This Row],[out]]=0,0,IF(raw[[#This Row],[out]]=raw[[#This Row],[in]],0.01,raw[[#This Row],[out]]-raw[[#This Row],[in]]))</f>
        <v/>
      </c>
      <c r="P1196" s="1397">
        <f>IF(raw[[#This Row],[in]]=0,0,MONTH(raw[[#This Row],[in]]))</f>
        <v/>
      </c>
      <c r="Q1196" s="1397">
        <f>IF(raw[[#This Row],[in]]=0,0,YEAR(raw[[#This Row],[in]]))</f>
        <v/>
      </c>
      <c r="R1196" s="1397">
        <f>INT(raw[[#This Row],[yr]]/10)*10</f>
        <v/>
      </c>
      <c r="S1196" s="1395">
        <f>IF(raw[[#This Row],[city]]="","-",IF(raw[[#This Row],[city]]&lt;&gt;_xlfn.XLOOKUP(raw[[#This Row],[home]],homes[home],homes[city],"-"),1,0))</f>
        <v/>
      </c>
      <c r="T1196" s="1398" t="inlineStr">
        <is>
          <t>.</t>
        </is>
      </c>
      <c r="U1196" s="1399">
        <f>IF(raw[[#This Row],[wb]]="w",raw[[#This Row],[stay]]+U1195,U1195)</f>
        <v/>
      </c>
      <c r="V1196" s="1400">
        <f>IF(raw[[#This Row],[out]]=0,V1195,(raw[[#This Row],[out]]-E$5))</f>
        <v/>
      </c>
      <c r="W1196" s="1401">
        <f>U1196/V1196</f>
        <v/>
      </c>
      <c r="X1196" s="1392" t="n"/>
      <c r="Y1196" s="1392" t="n"/>
      <c r="Z1196" s="1392" t="n"/>
      <c r="AA1196" s="1392" t="n"/>
      <c r="AB1196" s="1392" t="n"/>
      <c r="AC1196" s="1392" t="n"/>
      <c r="AD1196" s="1392" t="n"/>
      <c r="AE1196" s="1392" t="n"/>
      <c r="AF1196" s="1392" t="n"/>
      <c r="AG1196" s="1392" t="n"/>
      <c r="AH1196" s="1392" t="n"/>
      <c r="AI1196" s="1392" t="n"/>
      <c r="AJ1196" s="1392" t="n"/>
      <c r="AK1196" s="1392" t="n"/>
      <c r="AL1196" s="1392" t="n"/>
      <c r="AM1196" s="1392" t="n"/>
      <c r="AN1196" s="1392" t="n"/>
      <c r="AO1196" s="1392" t="n"/>
      <c r="AP1196" s="1392" t="n"/>
      <c r="AQ1196" s="1392" t="n"/>
      <c r="AR1196" s="1422" t="n"/>
      <c r="AS1196" s="1422" t="n"/>
      <c r="AT1196" s="1392" t="n"/>
      <c r="AU1196" s="1392" t="n"/>
      <c r="AV1196" s="1392" t="n"/>
      <c r="AW1196" s="1392" t="n"/>
      <c r="AX1196" s="1392" t="n"/>
      <c r="AY1196" s="1392" t="n"/>
      <c r="AZ1196" s="1392" t="n"/>
      <c r="BA1196" s="1422" t="n"/>
      <c r="BB1196" s="1422" t="n"/>
      <c r="BC1196" s="1392" t="n"/>
      <c r="BD1196" s="1392" t="n"/>
      <c r="BE1196" s="1392" t="n"/>
      <c r="BF1196" s="1392" t="n"/>
      <c r="BG1196" s="1392" t="n"/>
      <c r="BH1196" s="1392" t="n"/>
      <c r="BI1196" s="1392" t="n"/>
      <c r="BJ1196" s="1392" t="n"/>
      <c r="BK1196" s="1392" t="n"/>
      <c r="BL1196" s="1392" t="n"/>
      <c r="BM1196" s="1392" t="n"/>
      <c r="BN1196" s="1392" t="n"/>
      <c r="BO1196" s="1392" t="n"/>
      <c r="BP1196" s="1392" t="n"/>
      <c r="BQ1196" s="1392" t="n"/>
      <c r="BR1196" s="1392" t="n"/>
      <c r="BS1196" s="1392" t="n"/>
      <c r="BT1196" s="1392" t="n"/>
      <c r="BU1196" s="1392" t="n"/>
      <c r="BV1196" s="1392" t="n"/>
      <c r="BW1196" s="1392" t="n"/>
      <c r="BX1196" s="1392" t="n"/>
      <c r="BY1196" s="1392" t="n"/>
      <c r="BZ1196" s="1392" t="n"/>
      <c r="CA1196" s="1392" t="n"/>
      <c r="CB1196" s="1392" t="n"/>
      <c r="CC1196" s="1392" t="n"/>
      <c r="CD1196" s="1392" t="n"/>
      <c r="CE1196" s="1392" t="n"/>
      <c r="CF1196" s="1392" t="n"/>
      <c r="CG1196" s="1392" t="n"/>
      <c r="CH1196" s="1392" t="n"/>
      <c r="CI1196" s="1392" t="n"/>
      <c r="CJ1196" s="1392" t="n"/>
      <c r="CK1196" s="1392" t="n"/>
      <c r="CL1196" s="1392" t="n"/>
    </row>
    <row r="1197">
      <c r="A1197" s="5" t="inlineStr">
        <is>
          <t>.</t>
        </is>
      </c>
      <c r="B1197" s="5" t="inlineStr">
        <is>
          <t>.</t>
        </is>
      </c>
      <c r="C1197" s="1378">
        <f>IF(raw[[#This Row],[city]]="","-",IF(raw[[#This Row],[city]]="TODAY","-",C1196+1))</f>
        <v/>
      </c>
      <c r="D1197" s="1393" t="inlineStr">
        <is>
          <t>SP</t>
        </is>
      </c>
      <c r="E1197" s="1394" t="n">
        <v>40357</v>
      </c>
      <c r="F1197" s="1394" t="n">
        <v>40357</v>
      </c>
      <c r="G1197" s="1393" t="n">
        <v>1</v>
      </c>
      <c r="H1197" s="1393" t="inlineStr">
        <is>
          <t>The Place</t>
        </is>
      </c>
      <c r="I1197" s="1393" t="inlineStr">
        <is>
          <t>-</t>
        </is>
      </c>
      <c r="J1197" s="1393" t="inlineStr">
        <is>
          <t>-</t>
        </is>
      </c>
      <c r="K1197" s="1395">
        <f>IF(raw[[#This Row],[city]]&lt;&gt;"",_xlfn.XLOOKUP($D1197,ccc[city],ccc[prov],"-"),"-")</f>
        <v/>
      </c>
      <c r="L1197" s="1395">
        <f>IF(raw[[#This Row],[city]]&lt;&gt;"",_xlfn.XLOOKUP($D1197,ccc[city],ccc[ctry],"-"),"-")</f>
        <v/>
      </c>
      <c r="M1197" s="1395">
        <f>IF(raw[[#This Row],[city]]&lt;&gt;"",_xlfn.XLOOKUP($D1197,ccc[city],ccc[cont],"-"),"-")</f>
        <v/>
      </c>
      <c r="N1197" s="1396">
        <f>IF(raw[[#This Row],[city]]="","-",IF(raw[[#This Row],[cont]]="B",raw[[#This Row],[cont]],"W"))</f>
        <v/>
      </c>
      <c r="O1197" s="1397">
        <f>IF(raw[[#This Row],[out]]=0,0,IF(raw[[#This Row],[out]]=raw[[#This Row],[in]],0.01,raw[[#This Row],[out]]-raw[[#This Row],[in]]))</f>
        <v/>
      </c>
      <c r="P1197" s="1397">
        <f>IF(raw[[#This Row],[in]]=0,0,MONTH(raw[[#This Row],[in]]))</f>
        <v/>
      </c>
      <c r="Q1197" s="1397">
        <f>IF(raw[[#This Row],[in]]=0,0,YEAR(raw[[#This Row],[in]]))</f>
        <v/>
      </c>
      <c r="R1197" s="1397">
        <f>INT(raw[[#This Row],[yr]]/10)*10</f>
        <v/>
      </c>
      <c r="S1197" s="1395">
        <f>IF(raw[[#This Row],[city]]="","-",IF(raw[[#This Row],[city]]&lt;&gt;_xlfn.XLOOKUP(raw[[#This Row],[home]],homes[home],homes[city],"-"),1,0))</f>
        <v/>
      </c>
      <c r="T1197" s="1398" t="inlineStr">
        <is>
          <t>.</t>
        </is>
      </c>
      <c r="U1197" s="1399">
        <f>IF(raw[[#This Row],[wb]]="w",raw[[#This Row],[stay]]+U1196,U1196)</f>
        <v/>
      </c>
      <c r="V1197" s="1400">
        <f>IF(raw[[#This Row],[out]]=0,V1196,(raw[[#This Row],[out]]-E$5))</f>
        <v/>
      </c>
      <c r="W1197" s="1401">
        <f>U1197/V1197</f>
        <v/>
      </c>
      <c r="X1197" s="1392" t="n"/>
      <c r="Y1197" s="1392" t="n"/>
      <c r="Z1197" s="1392" t="n"/>
      <c r="AA1197" s="1392" t="n"/>
      <c r="AB1197" s="1392" t="n"/>
      <c r="AC1197" s="1392" t="n"/>
      <c r="AD1197" s="1392" t="n"/>
      <c r="AE1197" s="1392" t="n"/>
      <c r="AF1197" s="1392" t="n"/>
      <c r="AG1197" s="1392" t="n"/>
      <c r="AH1197" s="1392" t="n"/>
      <c r="AI1197" s="1392" t="n"/>
      <c r="AJ1197" s="1392" t="n"/>
      <c r="AK1197" s="1392" t="n"/>
      <c r="AL1197" s="1392" t="n"/>
      <c r="AM1197" s="1392" t="n"/>
      <c r="AN1197" s="1392" t="n"/>
      <c r="AO1197" s="1392" t="n"/>
      <c r="AP1197" s="1392" t="n"/>
      <c r="AQ1197" s="1392" t="n"/>
      <c r="AR1197" s="1422" t="n"/>
      <c r="AS1197" s="1422" t="n"/>
      <c r="AT1197" s="1392" t="n"/>
      <c r="AU1197" s="1392" t="n"/>
      <c r="AV1197" s="1392" t="n"/>
      <c r="AW1197" s="1392" t="n"/>
      <c r="AX1197" s="1392" t="n"/>
      <c r="AY1197" s="1392" t="n"/>
      <c r="AZ1197" s="1392" t="n"/>
      <c r="BA1197" s="1422" t="n"/>
      <c r="BB1197" s="1422" t="n"/>
      <c r="BC1197" s="1392" t="n"/>
      <c r="BD1197" s="1392" t="n"/>
      <c r="BE1197" s="1392" t="n"/>
      <c r="BF1197" s="1392" t="n"/>
      <c r="BG1197" s="1392" t="n"/>
      <c r="BH1197" s="1392" t="n"/>
      <c r="BI1197" s="1392" t="n"/>
      <c r="BJ1197" s="1392" t="n"/>
      <c r="BK1197" s="1392" t="n"/>
      <c r="BL1197" s="1392" t="n"/>
      <c r="BM1197" s="1392" t="n"/>
      <c r="BN1197" s="1392" t="n"/>
      <c r="BO1197" s="1392" t="n"/>
      <c r="BP1197" s="1392" t="n"/>
      <c r="BQ1197" s="1392" t="n"/>
      <c r="BR1197" s="1392" t="n"/>
      <c r="BS1197" s="1392" t="n"/>
      <c r="BT1197" s="1392" t="n"/>
      <c r="BU1197" s="1392" t="n"/>
      <c r="BV1197" s="1392" t="n"/>
      <c r="BW1197" s="1392" t="n"/>
      <c r="BX1197" s="1392" t="n"/>
      <c r="BY1197" s="1392" t="n"/>
      <c r="BZ1197" s="1392" t="n"/>
      <c r="CA1197" s="1392" t="n"/>
      <c r="CB1197" s="1392" t="n"/>
      <c r="CC1197" s="1392" t="n"/>
      <c r="CD1197" s="1392" t="n"/>
      <c r="CE1197" s="1392" t="n"/>
      <c r="CF1197" s="1392" t="n"/>
      <c r="CG1197" s="1392" t="n"/>
      <c r="CH1197" s="1392" t="n"/>
      <c r="CI1197" s="1392" t="n"/>
      <c r="CJ1197" s="1392" t="n"/>
      <c r="CK1197" s="1392" t="n"/>
      <c r="CL1197" s="1392" t="n"/>
    </row>
    <row r="1198">
      <c r="A1198" s="5" t="inlineStr">
        <is>
          <t>.</t>
        </is>
      </c>
      <c r="B1198" s="5" t="inlineStr">
        <is>
          <t>.</t>
        </is>
      </c>
      <c r="C1198" s="1378">
        <f>IF(raw[[#This Row],[city]]="","-",IF(raw[[#This Row],[city]]="TODAY","-",C1197+1))</f>
        <v/>
      </c>
      <c r="D1198" s="1393" t="inlineStr">
        <is>
          <t>AIR</t>
        </is>
      </c>
      <c r="E1198" s="1394" t="n">
        <v>40357</v>
      </c>
      <c r="F1198" s="1394" t="n">
        <v>40358</v>
      </c>
      <c r="G1198" s="1393" t="inlineStr">
        <is>
          <t>x</t>
        </is>
      </c>
      <c r="H1198" s="1393" t="inlineStr">
        <is>
          <t>The Place</t>
        </is>
      </c>
      <c r="I1198" s="1393" t="inlineStr">
        <is>
          <t>-</t>
        </is>
      </c>
      <c r="J1198" s="1393" t="inlineStr">
        <is>
          <t>-</t>
        </is>
      </c>
      <c r="K1198" s="1395">
        <f>IF(raw[[#This Row],[city]]&lt;&gt;"",_xlfn.XLOOKUP($D1198,ccc[city],ccc[prov],"-"),"-")</f>
        <v/>
      </c>
      <c r="L1198" s="1395">
        <f>IF(raw[[#This Row],[city]]&lt;&gt;"",_xlfn.XLOOKUP($D1198,ccc[city],ccc[ctry],"-"),"-")</f>
        <v/>
      </c>
      <c r="M1198" s="1395">
        <f>IF(raw[[#This Row],[city]]&lt;&gt;"",_xlfn.XLOOKUP($D1198,ccc[city],ccc[cont],"-"),"-")</f>
        <v/>
      </c>
      <c r="N1198" s="1396">
        <f>IF(raw[[#This Row],[city]]="","-",IF(raw[[#This Row],[cont]]="B",raw[[#This Row],[cont]],"W"))</f>
        <v/>
      </c>
      <c r="O1198" s="1397">
        <f>IF(raw[[#This Row],[out]]=0,0,IF(raw[[#This Row],[out]]=raw[[#This Row],[in]],0.01,raw[[#This Row],[out]]-raw[[#This Row],[in]]))</f>
        <v/>
      </c>
      <c r="P1198" s="1397">
        <f>IF(raw[[#This Row],[in]]=0,0,MONTH(raw[[#This Row],[in]]))</f>
        <v/>
      </c>
      <c r="Q1198" s="1397">
        <f>IF(raw[[#This Row],[in]]=0,0,YEAR(raw[[#This Row],[in]]))</f>
        <v/>
      </c>
      <c r="R1198" s="1397">
        <f>INT(raw[[#This Row],[yr]]/10)*10</f>
        <v/>
      </c>
      <c r="S1198" s="1395">
        <f>IF(raw[[#This Row],[city]]="","-",IF(raw[[#This Row],[city]]&lt;&gt;_xlfn.XLOOKUP(raw[[#This Row],[home]],homes[home],homes[city],"-"),1,0))</f>
        <v/>
      </c>
      <c r="T1198" s="1398" t="inlineStr">
        <is>
          <t>.</t>
        </is>
      </c>
      <c r="U1198" s="1399">
        <f>IF(raw[[#This Row],[wb]]="w",raw[[#This Row],[stay]]+U1197,U1197)</f>
        <v/>
      </c>
      <c r="V1198" s="1400">
        <f>IF(raw[[#This Row],[out]]=0,V1197,(raw[[#This Row],[out]]-E$5))</f>
        <v/>
      </c>
      <c r="W1198" s="1401">
        <f>U1198/V1198</f>
        <v/>
      </c>
      <c r="X1198" s="1392" t="n"/>
      <c r="Y1198" s="1392" t="n"/>
      <c r="Z1198" s="1392" t="n"/>
      <c r="AA1198" s="1392" t="n"/>
      <c r="AB1198" s="1392" t="n"/>
      <c r="AC1198" s="1392" t="n"/>
      <c r="AD1198" s="1392" t="n"/>
      <c r="AE1198" s="1392" t="n"/>
      <c r="AF1198" s="1392" t="n"/>
      <c r="AG1198" s="1392" t="n"/>
      <c r="AH1198" s="1392" t="n"/>
      <c r="AI1198" s="1392" t="n"/>
      <c r="AJ1198" s="1392" t="n"/>
      <c r="AK1198" s="1392" t="n"/>
      <c r="AL1198" s="1392" t="n"/>
      <c r="AM1198" s="1392" t="n"/>
      <c r="AN1198" s="1392" t="n"/>
      <c r="AO1198" s="1392" t="n"/>
      <c r="AP1198" s="1392" t="n"/>
      <c r="AQ1198" s="1392" t="n"/>
      <c r="AR1198" s="1422" t="n"/>
      <c r="AS1198" s="1422" t="n"/>
      <c r="AT1198" s="1392" t="n"/>
      <c r="AU1198" s="1392" t="n"/>
      <c r="AV1198" s="1392" t="n"/>
      <c r="AW1198" s="1392" t="n"/>
      <c r="AX1198" s="1392" t="n"/>
      <c r="AY1198" s="1392" t="n"/>
      <c r="AZ1198" s="1392" t="n"/>
      <c r="BA1198" s="1422" t="n"/>
      <c r="BB1198" s="1422" t="n"/>
      <c r="BC1198" s="1392" t="n"/>
      <c r="BD1198" s="1392" t="n"/>
      <c r="BE1198" s="1392" t="n"/>
      <c r="BF1198" s="1392" t="n"/>
      <c r="BG1198" s="1392" t="n"/>
      <c r="BH1198" s="1392" t="n"/>
      <c r="BI1198" s="1392" t="n"/>
      <c r="BJ1198" s="1392" t="n"/>
      <c r="BK1198" s="1392" t="n"/>
      <c r="BL1198" s="1392" t="n"/>
      <c r="BM1198" s="1392" t="n"/>
      <c r="BN1198" s="1392" t="n"/>
      <c r="BO1198" s="1392" t="n"/>
      <c r="BP1198" s="1392" t="n"/>
      <c r="BQ1198" s="1392" t="n"/>
      <c r="BR1198" s="1392" t="n"/>
      <c r="BS1198" s="1392" t="n"/>
      <c r="BT1198" s="1392" t="n"/>
      <c r="BU1198" s="1392" t="n"/>
      <c r="BV1198" s="1392" t="n"/>
      <c r="BW1198" s="1392" t="n"/>
      <c r="BX1198" s="1392" t="n"/>
      <c r="BY1198" s="1392" t="n"/>
      <c r="BZ1198" s="1392" t="n"/>
      <c r="CA1198" s="1392" t="n"/>
      <c r="CB1198" s="1392" t="n"/>
      <c r="CC1198" s="1392" t="n"/>
      <c r="CD1198" s="1392" t="n"/>
      <c r="CE1198" s="1392" t="n"/>
      <c r="CF1198" s="1392" t="n"/>
      <c r="CG1198" s="1392" t="n"/>
      <c r="CH1198" s="1392" t="n"/>
      <c r="CI1198" s="1392" t="n"/>
      <c r="CJ1198" s="1392" t="n"/>
      <c r="CK1198" s="1392" t="n"/>
      <c r="CL1198" s="1392" t="n"/>
    </row>
    <row r="1199">
      <c r="A1199" s="5" t="inlineStr">
        <is>
          <t>.</t>
        </is>
      </c>
      <c r="B1199" s="5" t="inlineStr">
        <is>
          <t>.</t>
        </is>
      </c>
      <c r="C1199" s="1378">
        <f>IF(raw[[#This Row],[city]]="","-",IF(raw[[#This Row],[city]]="TODAY","-",C1198+1))</f>
        <v/>
      </c>
      <c r="D1199" s="1393" t="inlineStr">
        <is>
          <t>Mexico City</t>
        </is>
      </c>
      <c r="E1199" s="1394" t="n">
        <v>40358</v>
      </c>
      <c r="F1199" s="1394" t="n">
        <v>40358</v>
      </c>
      <c r="G1199" s="1393" t="n">
        <v>0.01</v>
      </c>
      <c r="H1199" s="1393" t="inlineStr">
        <is>
          <t>The Place</t>
        </is>
      </c>
      <c r="I1199" s="1393" t="inlineStr">
        <is>
          <t>-</t>
        </is>
      </c>
      <c r="J1199" s="1393" t="inlineStr">
        <is>
          <t>-</t>
        </is>
      </c>
      <c r="K1199" s="1395">
        <f>IF(raw[[#This Row],[city]]&lt;&gt;"",_xlfn.XLOOKUP($D1199,ccc[city],ccc[prov],"-"),"-")</f>
        <v/>
      </c>
      <c r="L1199" s="1395">
        <f>IF(raw[[#This Row],[city]]&lt;&gt;"",_xlfn.XLOOKUP($D1199,ccc[city],ccc[ctry],"-"),"-")</f>
        <v/>
      </c>
      <c r="M1199" s="1395">
        <f>IF(raw[[#This Row],[city]]&lt;&gt;"",_xlfn.XLOOKUP($D1199,ccc[city],ccc[cont],"-"),"-")</f>
        <v/>
      </c>
      <c r="N1199" s="1396">
        <f>IF(raw[[#This Row],[city]]="","-",IF(raw[[#This Row],[cont]]="B",raw[[#This Row],[cont]],"W"))</f>
        <v/>
      </c>
      <c r="O1199" s="1397">
        <f>IF(raw[[#This Row],[out]]=0,0,IF(raw[[#This Row],[out]]=raw[[#This Row],[in]],0.01,raw[[#This Row],[out]]-raw[[#This Row],[in]]))</f>
        <v/>
      </c>
      <c r="P1199" s="1397">
        <f>IF(raw[[#This Row],[in]]=0,0,MONTH(raw[[#This Row],[in]]))</f>
        <v/>
      </c>
      <c r="Q1199" s="1397">
        <f>IF(raw[[#This Row],[in]]=0,0,YEAR(raw[[#This Row],[in]]))</f>
        <v/>
      </c>
      <c r="R1199" s="1397">
        <f>INT(raw[[#This Row],[yr]]/10)*10</f>
        <v/>
      </c>
      <c r="S1199" s="1395">
        <f>IF(raw[[#This Row],[city]]="","-",IF(raw[[#This Row],[city]]&lt;&gt;_xlfn.XLOOKUP(raw[[#This Row],[home]],homes[home],homes[city],"-"),1,0))</f>
        <v/>
      </c>
      <c r="T1199" s="1398" t="inlineStr">
        <is>
          <t>.</t>
        </is>
      </c>
      <c r="U1199" s="1399">
        <f>IF(raw[[#This Row],[wb]]="w",raw[[#This Row],[stay]]+U1198,U1198)</f>
        <v/>
      </c>
      <c r="V1199" s="1400">
        <f>IF(raw[[#This Row],[out]]=0,V1198,(raw[[#This Row],[out]]-E$5))</f>
        <v/>
      </c>
      <c r="W1199" s="1401">
        <f>U1199/V1199</f>
        <v/>
      </c>
      <c r="X1199" s="1392" t="n"/>
      <c r="Y1199" s="1392" t="n"/>
      <c r="Z1199" s="1392" t="n"/>
      <c r="AA1199" s="1392" t="n"/>
      <c r="AB1199" s="1392" t="n"/>
      <c r="AC1199" s="1392" t="n"/>
      <c r="AD1199" s="1392" t="n"/>
      <c r="AE1199" s="1392" t="n"/>
      <c r="AF1199" s="1392" t="n"/>
      <c r="AG1199" s="1392" t="n"/>
      <c r="AH1199" s="1392" t="n"/>
      <c r="AI1199" s="1392" t="n"/>
      <c r="AJ1199" s="1392" t="n"/>
      <c r="AK1199" s="1392" t="n"/>
      <c r="AL1199" s="1392" t="n"/>
      <c r="AM1199" s="1392" t="n"/>
      <c r="AN1199" s="1392" t="n"/>
      <c r="AO1199" s="1392" t="n"/>
      <c r="AP1199" s="1392" t="n"/>
      <c r="AQ1199" s="1392" t="n"/>
      <c r="AR1199" s="1422" t="n"/>
      <c r="AS1199" s="1422" t="n"/>
      <c r="AT1199" s="1392" t="n"/>
      <c r="AU1199" s="1392" t="n"/>
      <c r="AV1199" s="1392" t="n"/>
      <c r="AW1199" s="1392" t="n"/>
      <c r="AX1199" s="1392" t="n"/>
      <c r="AY1199" s="1392" t="n"/>
      <c r="AZ1199" s="1392" t="n"/>
      <c r="BA1199" s="1422" t="n"/>
      <c r="BB1199" s="1422" t="n"/>
      <c r="BC1199" s="1392" t="n"/>
      <c r="BD1199" s="1392" t="n"/>
      <c r="BE1199" s="1392" t="n"/>
      <c r="BF1199" s="1392" t="n"/>
      <c r="BG1199" s="1392" t="n"/>
      <c r="BH1199" s="1392" t="n"/>
      <c r="BI1199" s="1392" t="n"/>
      <c r="BJ1199" s="1392" t="n"/>
      <c r="BK1199" s="1392" t="n"/>
      <c r="BL1199" s="1392" t="n"/>
      <c r="BM1199" s="1392" t="n"/>
      <c r="BN1199" s="1392" t="n"/>
      <c r="BO1199" s="1392" t="n"/>
      <c r="BP1199" s="1392" t="n"/>
      <c r="BQ1199" s="1392" t="n"/>
      <c r="BR1199" s="1392" t="n"/>
      <c r="BS1199" s="1392" t="n"/>
      <c r="BT1199" s="1392" t="n"/>
      <c r="BU1199" s="1392" t="n"/>
      <c r="BV1199" s="1392" t="n"/>
      <c r="BW1199" s="1392" t="n"/>
      <c r="BX1199" s="1392" t="n"/>
      <c r="BY1199" s="1392" t="n"/>
      <c r="BZ1199" s="1392" t="n"/>
      <c r="CA1199" s="1392" t="n"/>
      <c r="CB1199" s="1392" t="n"/>
      <c r="CC1199" s="1392" t="n"/>
      <c r="CD1199" s="1392" t="n"/>
      <c r="CE1199" s="1392" t="n"/>
      <c r="CF1199" s="1392" t="n"/>
      <c r="CG1199" s="1392" t="n"/>
      <c r="CH1199" s="1392" t="n"/>
      <c r="CI1199" s="1392" t="n"/>
      <c r="CJ1199" s="1392" t="n"/>
      <c r="CK1199" s="1392" t="n"/>
      <c r="CL1199" s="1392" t="n"/>
    </row>
    <row r="1200">
      <c r="A1200" s="5" t="inlineStr">
        <is>
          <t>.</t>
        </is>
      </c>
      <c r="B1200" s="5" t="inlineStr">
        <is>
          <t>.</t>
        </is>
      </c>
      <c r="C1200" s="1378">
        <f>IF(raw[[#This Row],[city]]="","-",IF(raw[[#This Row],[city]]="TODAY","-",C1199+1))</f>
        <v/>
      </c>
      <c r="D1200" s="1393" t="inlineStr">
        <is>
          <t>Montreal</t>
        </is>
      </c>
      <c r="E1200" s="1394" t="n">
        <v>40358</v>
      </c>
      <c r="F1200" s="1394" t="n">
        <v>40360</v>
      </c>
      <c r="G1200" s="1393" t="inlineStr">
        <is>
          <t>-</t>
        </is>
      </c>
      <c r="H1200" s="1393" t="inlineStr">
        <is>
          <t>The Place</t>
        </is>
      </c>
      <c r="I1200" s="1393" t="inlineStr">
        <is>
          <t>Cele/Lincoln</t>
        </is>
      </c>
      <c r="J1200" s="1393" t="inlineStr">
        <is>
          <t>-</t>
        </is>
      </c>
      <c r="K1200" s="1395">
        <f>IF(raw[[#This Row],[city]]&lt;&gt;"",_xlfn.XLOOKUP($D1200,ccc[city],ccc[prov],"-"),"-")</f>
        <v/>
      </c>
      <c r="L1200" s="1395">
        <f>IF(raw[[#This Row],[city]]&lt;&gt;"",_xlfn.XLOOKUP($D1200,ccc[city],ccc[ctry],"-"),"-")</f>
        <v/>
      </c>
      <c r="M1200" s="1395">
        <f>IF(raw[[#This Row],[city]]&lt;&gt;"",_xlfn.XLOOKUP($D1200,ccc[city],ccc[cont],"-"),"-")</f>
        <v/>
      </c>
      <c r="N1200" s="1396">
        <f>IF(raw[[#This Row],[city]]="","-",IF(raw[[#This Row],[cont]]="B",raw[[#This Row],[cont]],"W"))</f>
        <v/>
      </c>
      <c r="O1200" s="1397">
        <f>IF(raw[[#This Row],[out]]=0,0,IF(raw[[#This Row],[out]]=raw[[#This Row],[in]],0.01,raw[[#This Row],[out]]-raw[[#This Row],[in]]))</f>
        <v/>
      </c>
      <c r="P1200" s="1397">
        <f>IF(raw[[#This Row],[in]]=0,0,MONTH(raw[[#This Row],[in]]))</f>
        <v/>
      </c>
      <c r="Q1200" s="1397">
        <f>IF(raw[[#This Row],[in]]=0,0,YEAR(raw[[#This Row],[in]]))</f>
        <v/>
      </c>
      <c r="R1200" s="1397">
        <f>INT(raw[[#This Row],[yr]]/10)*10</f>
        <v/>
      </c>
      <c r="S1200" s="1395">
        <f>IF(raw[[#This Row],[city]]="","-",IF(raw[[#This Row],[city]]&lt;&gt;_xlfn.XLOOKUP(raw[[#This Row],[home]],homes[home],homes[city],"-"),1,0))</f>
        <v/>
      </c>
      <c r="T1200" s="1398" t="inlineStr">
        <is>
          <t>.</t>
        </is>
      </c>
      <c r="U1200" s="1399">
        <f>IF(raw[[#This Row],[wb]]="w",raw[[#This Row],[stay]]+U1199,U1199)</f>
        <v/>
      </c>
      <c r="V1200" s="1400">
        <f>IF(raw[[#This Row],[out]]=0,V1199,(raw[[#This Row],[out]]-E$5))</f>
        <v/>
      </c>
      <c r="W1200" s="1401">
        <f>U1200/V1200</f>
        <v/>
      </c>
      <c r="X1200" s="1392" t="n"/>
      <c r="Y1200" s="1392" t="n"/>
      <c r="Z1200" s="1392" t="n"/>
      <c r="AA1200" s="1392" t="n"/>
      <c r="AB1200" s="1392" t="n"/>
      <c r="AC1200" s="1392" t="n"/>
      <c r="AD1200" s="1392" t="n"/>
      <c r="AE1200" s="1392" t="n"/>
      <c r="AF1200" s="1392" t="n"/>
      <c r="AG1200" s="1392" t="n"/>
      <c r="AH1200" s="1392" t="n"/>
      <c r="AI1200" s="1392" t="n"/>
      <c r="AJ1200" s="1392" t="n"/>
      <c r="AK1200" s="1392" t="n"/>
      <c r="AL1200" s="1392" t="n"/>
      <c r="AM1200" s="1392" t="n"/>
      <c r="AN1200" s="1392" t="n"/>
      <c r="AO1200" s="1392" t="n"/>
      <c r="AP1200" s="1392" t="n"/>
      <c r="AQ1200" s="1392" t="n"/>
      <c r="AR1200" s="1422" t="n"/>
      <c r="AS1200" s="1422" t="n"/>
      <c r="AT1200" s="1392" t="n"/>
      <c r="AU1200" s="1392" t="n"/>
      <c r="AV1200" s="1392" t="n"/>
      <c r="AW1200" s="1392" t="n"/>
      <c r="AX1200" s="1392" t="n"/>
      <c r="AY1200" s="1392" t="n"/>
      <c r="AZ1200" s="1392" t="n"/>
      <c r="BA1200" s="1422" t="n"/>
      <c r="BB1200" s="1422" t="n"/>
      <c r="BC1200" s="1392" t="n"/>
      <c r="BD1200" s="1392" t="n"/>
      <c r="BE1200" s="1392" t="n"/>
      <c r="BF1200" s="1392" t="n"/>
      <c r="BG1200" s="1392" t="n"/>
      <c r="BH1200" s="1392" t="n"/>
      <c r="BI1200" s="1392" t="n"/>
      <c r="BJ1200" s="1392" t="n"/>
      <c r="BK1200" s="1392" t="n"/>
      <c r="BL1200" s="1392" t="n"/>
      <c r="BM1200" s="1392" t="n"/>
      <c r="BN1200" s="1392" t="n"/>
      <c r="BO1200" s="1392" t="n"/>
      <c r="BP1200" s="1392" t="n"/>
      <c r="BQ1200" s="1392" t="n"/>
      <c r="BR1200" s="1392" t="n"/>
      <c r="BS1200" s="1392" t="n"/>
      <c r="BT1200" s="1392" t="n"/>
      <c r="BU1200" s="1392" t="n"/>
      <c r="BV1200" s="1392" t="n"/>
      <c r="BW1200" s="1392" t="n"/>
      <c r="BX1200" s="1392" t="n"/>
      <c r="BY1200" s="1392" t="n"/>
      <c r="BZ1200" s="1392" t="n"/>
      <c r="CA1200" s="1392" t="n"/>
      <c r="CB1200" s="1392" t="n"/>
      <c r="CC1200" s="1392" t="n"/>
      <c r="CD1200" s="1392" t="n"/>
      <c r="CE1200" s="1392" t="n"/>
      <c r="CF1200" s="1392" t="n"/>
      <c r="CG1200" s="1392" t="n"/>
      <c r="CH1200" s="1392" t="n"/>
      <c r="CI1200" s="1392" t="n"/>
      <c r="CJ1200" s="1392" t="n"/>
      <c r="CK1200" s="1392" t="n"/>
      <c r="CL1200" s="1392" t="n"/>
    </row>
    <row r="1201">
      <c r="A1201" s="5" t="inlineStr">
        <is>
          <t>.</t>
        </is>
      </c>
      <c r="B1201" s="5" t="inlineStr">
        <is>
          <t>.</t>
        </is>
      </c>
      <c r="C1201" s="1378">
        <f>IF(raw[[#This Row],[city]]="","-",IF(raw[[#This Row],[city]]="TODAY","-",C1200+1))</f>
        <v/>
      </c>
      <c r="D1201" s="1393" t="inlineStr">
        <is>
          <t>Montreal</t>
        </is>
      </c>
      <c r="E1201" s="1394" t="n">
        <v>40360</v>
      </c>
      <c r="F1201" s="1394" t="n">
        <v>40391</v>
      </c>
      <c r="G1201" s="1393" t="inlineStr">
        <is>
          <t>-</t>
        </is>
      </c>
      <c r="H1201" s="1393" t="inlineStr">
        <is>
          <t>The Place</t>
        </is>
      </c>
      <c r="I1201" s="1393" t="inlineStr">
        <is>
          <t>Cele/Lincoln</t>
        </is>
      </c>
      <c r="J1201" s="1393" t="inlineStr">
        <is>
          <t>-</t>
        </is>
      </c>
      <c r="K1201" s="1395">
        <f>IF(raw[[#This Row],[city]]&lt;&gt;"",_xlfn.XLOOKUP($D1201,ccc[city],ccc[prov],"-"),"-")</f>
        <v/>
      </c>
      <c r="L1201" s="1395">
        <f>IF(raw[[#This Row],[city]]&lt;&gt;"",_xlfn.XLOOKUP($D1201,ccc[city],ccc[ctry],"-"),"-")</f>
        <v/>
      </c>
      <c r="M1201" s="1395">
        <f>IF(raw[[#This Row],[city]]&lt;&gt;"",_xlfn.XLOOKUP($D1201,ccc[city],ccc[cont],"-"),"-")</f>
        <v/>
      </c>
      <c r="N1201" s="1396">
        <f>IF(raw[[#This Row],[city]]="","-",IF(raw[[#This Row],[cont]]="B",raw[[#This Row],[cont]],"W"))</f>
        <v/>
      </c>
      <c r="O1201" s="1397">
        <f>IF(raw[[#This Row],[out]]=0,0,IF(raw[[#This Row],[out]]=raw[[#This Row],[in]],0.01,raw[[#This Row],[out]]-raw[[#This Row],[in]]))</f>
        <v/>
      </c>
      <c r="P1201" s="1397">
        <f>IF(raw[[#This Row],[in]]=0,0,MONTH(raw[[#This Row],[in]]))</f>
        <v/>
      </c>
      <c r="Q1201" s="1397">
        <f>IF(raw[[#This Row],[in]]=0,0,YEAR(raw[[#This Row],[in]]))</f>
        <v/>
      </c>
      <c r="R1201" s="1397">
        <f>INT(raw[[#This Row],[yr]]/10)*10</f>
        <v/>
      </c>
      <c r="S1201" s="1395">
        <f>IF(raw[[#This Row],[city]]="","-",IF(raw[[#This Row],[city]]&lt;&gt;_xlfn.XLOOKUP(raw[[#This Row],[home]],homes[home],homes[city],"-"),1,0))</f>
        <v/>
      </c>
      <c r="T1201" s="1398" t="inlineStr">
        <is>
          <t>.</t>
        </is>
      </c>
      <c r="U1201" s="1399">
        <f>IF(raw[[#This Row],[wb]]="w",raw[[#This Row],[stay]]+U1200,U1200)</f>
        <v/>
      </c>
      <c r="V1201" s="1400">
        <f>IF(raw[[#This Row],[out]]=0,V1200,(raw[[#This Row],[out]]-E$5))</f>
        <v/>
      </c>
      <c r="W1201" s="1401">
        <f>U1201/V1201</f>
        <v/>
      </c>
      <c r="X1201" s="1392" t="n"/>
      <c r="Y1201" s="1392" t="n"/>
      <c r="Z1201" s="1392" t="n"/>
      <c r="AA1201" s="1392" t="n"/>
      <c r="AB1201" s="1392" t="n"/>
      <c r="AC1201" s="1392" t="n"/>
      <c r="AD1201" s="1392" t="n"/>
      <c r="AE1201" s="1392" t="n"/>
      <c r="AF1201" s="1392" t="n"/>
      <c r="AG1201" s="1392" t="n"/>
      <c r="AH1201" s="1392" t="n"/>
      <c r="AI1201" s="1392" t="n"/>
      <c r="AJ1201" s="1392" t="n"/>
      <c r="AK1201" s="1392" t="n"/>
      <c r="AL1201" s="1392" t="n"/>
      <c r="AM1201" s="1392" t="n"/>
      <c r="AN1201" s="1392" t="n"/>
      <c r="AO1201" s="1392" t="n"/>
      <c r="AP1201" s="1392" t="n"/>
      <c r="AQ1201" s="1392" t="n"/>
      <c r="AR1201" s="1422" t="n"/>
      <c r="AS1201" s="1422" t="n"/>
      <c r="AT1201" s="1392" t="n"/>
      <c r="AU1201" s="1392" t="n"/>
      <c r="AV1201" s="1392" t="n"/>
      <c r="AW1201" s="1392" t="n"/>
      <c r="AX1201" s="1392" t="n"/>
      <c r="AY1201" s="1392" t="n"/>
      <c r="AZ1201" s="1392" t="n"/>
      <c r="BA1201" s="1422" t="n"/>
      <c r="BB1201" s="1422" t="n"/>
      <c r="BC1201" s="1392" t="n"/>
      <c r="BD1201" s="1392" t="n"/>
      <c r="BE1201" s="1392" t="n"/>
      <c r="BF1201" s="1392" t="n"/>
      <c r="BG1201" s="1392" t="n"/>
      <c r="BH1201" s="1392" t="n"/>
      <c r="BI1201" s="1392" t="n"/>
      <c r="BJ1201" s="1392" t="n"/>
      <c r="BK1201" s="1392" t="n"/>
      <c r="BL1201" s="1392" t="n"/>
      <c r="BM1201" s="1392" t="n"/>
      <c r="BN1201" s="1392" t="n"/>
      <c r="BO1201" s="1392" t="n"/>
      <c r="BP1201" s="1392" t="n"/>
      <c r="BQ1201" s="1392" t="n"/>
      <c r="BR1201" s="1392" t="n"/>
      <c r="BS1201" s="1392" t="n"/>
      <c r="BT1201" s="1392" t="n"/>
      <c r="BU1201" s="1392" t="n"/>
      <c r="BV1201" s="1392" t="n"/>
      <c r="BW1201" s="1392" t="n"/>
      <c r="BX1201" s="1392" t="n"/>
      <c r="BY1201" s="1392" t="n"/>
      <c r="BZ1201" s="1392" t="n"/>
      <c r="CA1201" s="1392" t="n"/>
      <c r="CB1201" s="1392" t="n"/>
      <c r="CC1201" s="1392" t="n"/>
      <c r="CD1201" s="1392" t="n"/>
      <c r="CE1201" s="1392" t="n"/>
      <c r="CF1201" s="1392" t="n"/>
      <c r="CG1201" s="1392" t="n"/>
      <c r="CH1201" s="1392" t="n"/>
      <c r="CI1201" s="1392" t="n"/>
      <c r="CJ1201" s="1392" t="n"/>
      <c r="CK1201" s="1392" t="n"/>
      <c r="CL1201" s="1392" t="n"/>
    </row>
    <row r="1202">
      <c r="A1202" s="5" t="inlineStr">
        <is>
          <t>.</t>
        </is>
      </c>
      <c r="B1202" s="5" t="inlineStr">
        <is>
          <t>.</t>
        </is>
      </c>
      <c r="C1202" s="1378">
        <f>IF(raw[[#This Row],[city]]="","-",IF(raw[[#This Row],[city]]="TODAY","-",C1201+1))</f>
        <v/>
      </c>
      <c r="D1202" s="1393" t="inlineStr">
        <is>
          <t>Ottawa</t>
        </is>
      </c>
      <c r="E1202" s="1394" t="n">
        <v>40374</v>
      </c>
      <c r="F1202" s="1394" t="n">
        <v>40374</v>
      </c>
      <c r="G1202" s="1393" t="inlineStr">
        <is>
          <t>-</t>
        </is>
      </c>
      <c r="H1202" s="1393" t="inlineStr">
        <is>
          <t>The Place</t>
        </is>
      </c>
      <c r="I1202" s="1393" t="inlineStr">
        <is>
          <t>Cele/Lincoln</t>
        </is>
      </c>
      <c r="J1202" s="1393" t="inlineStr">
        <is>
          <t>-</t>
        </is>
      </c>
      <c r="K1202" s="1395">
        <f>IF(raw[[#This Row],[city]]&lt;&gt;"",_xlfn.XLOOKUP($D1202,ccc[city],ccc[prov],"-"),"-")</f>
        <v/>
      </c>
      <c r="L1202" s="1395">
        <f>IF(raw[[#This Row],[city]]&lt;&gt;"",_xlfn.XLOOKUP($D1202,ccc[city],ccc[ctry],"-"),"-")</f>
        <v/>
      </c>
      <c r="M1202" s="1395">
        <f>IF(raw[[#This Row],[city]]&lt;&gt;"",_xlfn.XLOOKUP($D1202,ccc[city],ccc[cont],"-"),"-")</f>
        <v/>
      </c>
      <c r="N1202" s="1396">
        <f>IF(raw[[#This Row],[city]]="","-",IF(raw[[#This Row],[cont]]="B",raw[[#This Row],[cont]],"W"))</f>
        <v/>
      </c>
      <c r="O1202" s="1397">
        <f>IF(raw[[#This Row],[out]]=0,0,IF(raw[[#This Row],[out]]=raw[[#This Row],[in]],0.01,raw[[#This Row],[out]]-raw[[#This Row],[in]]))</f>
        <v/>
      </c>
      <c r="P1202" s="1397">
        <f>IF(raw[[#This Row],[in]]=0,0,MONTH(raw[[#This Row],[in]]))</f>
        <v/>
      </c>
      <c r="Q1202" s="1397">
        <f>IF(raw[[#This Row],[in]]=0,0,YEAR(raw[[#This Row],[in]]))</f>
        <v/>
      </c>
      <c r="R1202" s="1397">
        <f>INT(raw[[#This Row],[yr]]/10)*10</f>
        <v/>
      </c>
      <c r="S1202" s="1395">
        <f>IF(raw[[#This Row],[city]]="","-",IF(raw[[#This Row],[city]]&lt;&gt;_xlfn.XLOOKUP(raw[[#This Row],[home]],homes[home],homes[city],"-"),1,0))</f>
        <v/>
      </c>
      <c r="T1202" s="1398" t="inlineStr">
        <is>
          <t>.</t>
        </is>
      </c>
      <c r="U1202" s="1399">
        <f>IF(raw[[#This Row],[wb]]="w",raw[[#This Row],[stay]]+U1201,U1201)</f>
        <v/>
      </c>
      <c r="V1202" s="1400">
        <f>IF(raw[[#This Row],[out]]=0,V1201,(raw[[#This Row],[out]]-E$5))</f>
        <v/>
      </c>
      <c r="W1202" s="1401">
        <f>U1202/V1202</f>
        <v/>
      </c>
      <c r="X1202" s="1392" t="n"/>
      <c r="Y1202" s="1392" t="n"/>
      <c r="Z1202" s="1392" t="n"/>
      <c r="AA1202" s="1392" t="n"/>
      <c r="AB1202" s="1392" t="n"/>
      <c r="AC1202" s="1392" t="n"/>
      <c r="AD1202" s="1392" t="n"/>
      <c r="AE1202" s="1392" t="n"/>
      <c r="AF1202" s="1392" t="n"/>
      <c r="AG1202" s="1392" t="n"/>
      <c r="AH1202" s="1392" t="n"/>
      <c r="AI1202" s="1392" t="n"/>
      <c r="AJ1202" s="1392" t="n"/>
      <c r="AK1202" s="1392" t="n"/>
      <c r="AL1202" s="1392" t="n"/>
      <c r="AM1202" s="1392" t="n"/>
      <c r="AN1202" s="1392" t="n"/>
      <c r="AO1202" s="1392" t="n"/>
      <c r="AP1202" s="1392" t="n"/>
      <c r="AQ1202" s="1392" t="n"/>
      <c r="AR1202" s="1422" t="n"/>
      <c r="AS1202" s="1422" t="n"/>
      <c r="AT1202" s="1392" t="n"/>
      <c r="AU1202" s="1392" t="n"/>
      <c r="AV1202" s="1392" t="n"/>
      <c r="AW1202" s="1392" t="n"/>
      <c r="AX1202" s="1392" t="n"/>
      <c r="AY1202" s="1392" t="n"/>
      <c r="AZ1202" s="1392" t="n"/>
      <c r="BA1202" s="1422" t="n"/>
      <c r="BB1202" s="1422" t="n"/>
      <c r="BC1202" s="1392" t="n"/>
      <c r="BD1202" s="1392" t="n"/>
      <c r="BE1202" s="1392" t="n"/>
      <c r="BF1202" s="1392" t="n"/>
      <c r="BG1202" s="1392" t="n"/>
      <c r="BH1202" s="1392" t="n"/>
      <c r="BI1202" s="1392" t="n"/>
      <c r="BJ1202" s="1392" t="n"/>
      <c r="BK1202" s="1392" t="n"/>
      <c r="BL1202" s="1392" t="n"/>
      <c r="BM1202" s="1392" t="n"/>
      <c r="BN1202" s="1392" t="n"/>
      <c r="BO1202" s="1392" t="n"/>
      <c r="BP1202" s="1392" t="n"/>
      <c r="BQ1202" s="1392" t="n"/>
      <c r="BR1202" s="1392" t="n"/>
      <c r="BS1202" s="1392" t="n"/>
      <c r="BT1202" s="1392" t="n"/>
      <c r="BU1202" s="1392" t="n"/>
      <c r="BV1202" s="1392" t="n"/>
      <c r="BW1202" s="1392" t="n"/>
      <c r="BX1202" s="1392" t="n"/>
      <c r="BY1202" s="1392" t="n"/>
      <c r="BZ1202" s="1392" t="n"/>
      <c r="CA1202" s="1392" t="n"/>
      <c r="CB1202" s="1392" t="n"/>
      <c r="CC1202" s="1392" t="n"/>
      <c r="CD1202" s="1392" t="n"/>
      <c r="CE1202" s="1392" t="n"/>
      <c r="CF1202" s="1392" t="n"/>
      <c r="CG1202" s="1392" t="n"/>
      <c r="CH1202" s="1392" t="n"/>
      <c r="CI1202" s="1392" t="n"/>
      <c r="CJ1202" s="1392" t="n"/>
      <c r="CK1202" s="1392" t="n"/>
      <c r="CL1202" s="1392" t="n"/>
    </row>
    <row r="1203">
      <c r="A1203" s="5" t="inlineStr">
        <is>
          <t>.</t>
        </is>
      </c>
      <c r="B1203" s="5" t="inlineStr">
        <is>
          <t>.</t>
        </is>
      </c>
      <c r="C1203" s="1378">
        <f>IF(raw[[#This Row],[city]]="","-",IF(raw[[#This Row],[city]]="TODAY","-",C1202+1))</f>
        <v/>
      </c>
      <c r="D1203" s="1393" t="inlineStr">
        <is>
          <t>Gatineau</t>
        </is>
      </c>
      <c r="E1203" s="1394" t="n">
        <v>40374</v>
      </c>
      <c r="F1203" s="1394" t="n">
        <v>40374</v>
      </c>
      <c r="G1203" s="1393" t="inlineStr">
        <is>
          <t>-</t>
        </is>
      </c>
      <c r="H1203" s="1393" t="inlineStr">
        <is>
          <t>The Place</t>
        </is>
      </c>
      <c r="I1203" s="1393" t="inlineStr">
        <is>
          <t>Cele/Lincoln</t>
        </is>
      </c>
      <c r="J1203" s="1393" t="inlineStr">
        <is>
          <t>-</t>
        </is>
      </c>
      <c r="K1203" s="1395">
        <f>IF(raw[[#This Row],[city]]&lt;&gt;"",_xlfn.XLOOKUP($D1203,ccc[city],ccc[prov],"-"),"-")</f>
        <v/>
      </c>
      <c r="L1203" s="1395">
        <f>IF(raw[[#This Row],[city]]&lt;&gt;"",_xlfn.XLOOKUP($D1203,ccc[city],ccc[ctry],"-"),"-")</f>
        <v/>
      </c>
      <c r="M1203" s="1395">
        <f>IF(raw[[#This Row],[city]]&lt;&gt;"",_xlfn.XLOOKUP($D1203,ccc[city],ccc[cont],"-"),"-")</f>
        <v/>
      </c>
      <c r="N1203" s="1396">
        <f>IF(raw[[#This Row],[city]]="","-",IF(raw[[#This Row],[cont]]="B",raw[[#This Row],[cont]],"W"))</f>
        <v/>
      </c>
      <c r="O1203" s="1397">
        <f>IF(raw[[#This Row],[out]]=0,0,IF(raw[[#This Row],[out]]=raw[[#This Row],[in]],0.01,raw[[#This Row],[out]]-raw[[#This Row],[in]]))</f>
        <v/>
      </c>
      <c r="P1203" s="1397">
        <f>IF(raw[[#This Row],[in]]=0,0,MONTH(raw[[#This Row],[in]]))</f>
        <v/>
      </c>
      <c r="Q1203" s="1397">
        <f>IF(raw[[#This Row],[in]]=0,0,YEAR(raw[[#This Row],[in]]))</f>
        <v/>
      </c>
      <c r="R1203" s="1397">
        <f>INT(raw[[#This Row],[yr]]/10)*10</f>
        <v/>
      </c>
      <c r="S1203" s="1395">
        <f>IF(raw[[#This Row],[city]]="","-",IF(raw[[#This Row],[city]]&lt;&gt;_xlfn.XLOOKUP(raw[[#This Row],[home]],homes[home],homes[city],"-"),1,0))</f>
        <v/>
      </c>
      <c r="T1203" s="1398" t="inlineStr">
        <is>
          <t>.</t>
        </is>
      </c>
      <c r="U1203" s="1399">
        <f>IF(raw[[#This Row],[wb]]="w",raw[[#This Row],[stay]]+U1202,U1202)</f>
        <v/>
      </c>
      <c r="V1203" s="1400">
        <f>IF(raw[[#This Row],[out]]=0,V1202,(raw[[#This Row],[out]]-E$5))</f>
        <v/>
      </c>
      <c r="W1203" s="1401">
        <f>U1203/V1203</f>
        <v/>
      </c>
      <c r="X1203" s="1392" t="n"/>
      <c r="Y1203" s="1392" t="n"/>
      <c r="Z1203" s="1392" t="n"/>
      <c r="AA1203" s="1392" t="n"/>
      <c r="AB1203" s="1392" t="n"/>
      <c r="AC1203" s="1392" t="n"/>
      <c r="AD1203" s="1392" t="n"/>
      <c r="AE1203" s="1392" t="n"/>
      <c r="AF1203" s="1392" t="n"/>
      <c r="AG1203" s="1392" t="n"/>
      <c r="AH1203" s="1392" t="n"/>
      <c r="AI1203" s="1392" t="n"/>
      <c r="AJ1203" s="1392" t="n"/>
      <c r="AK1203" s="1392" t="n"/>
      <c r="AL1203" s="1392" t="n"/>
      <c r="AM1203" s="1392" t="n"/>
      <c r="AN1203" s="1392" t="n"/>
      <c r="AO1203" s="1392" t="n"/>
      <c r="AP1203" s="1392" t="n"/>
      <c r="AQ1203" s="1392" t="n"/>
      <c r="AR1203" s="1422" t="n"/>
      <c r="AS1203" s="1422" t="n"/>
      <c r="AT1203" s="1392" t="n"/>
      <c r="AU1203" s="1392" t="n"/>
      <c r="AV1203" s="1392" t="n"/>
      <c r="AW1203" s="1392" t="n"/>
      <c r="AX1203" s="1392" t="n"/>
      <c r="AY1203" s="1392" t="n"/>
      <c r="AZ1203" s="1392" t="n"/>
      <c r="BA1203" s="1422" t="n"/>
      <c r="BB1203" s="1422" t="n"/>
      <c r="BC1203" s="1392" t="n"/>
      <c r="BD1203" s="1392" t="n"/>
      <c r="BE1203" s="1392" t="n"/>
      <c r="BF1203" s="1392" t="n"/>
      <c r="BG1203" s="1392" t="n"/>
      <c r="BH1203" s="1392" t="n"/>
      <c r="BI1203" s="1392" t="n"/>
      <c r="BJ1203" s="1392" t="n"/>
      <c r="BK1203" s="1392" t="n"/>
      <c r="BL1203" s="1392" t="n"/>
      <c r="BM1203" s="1392" t="n"/>
      <c r="BN1203" s="1392" t="n"/>
      <c r="BO1203" s="1392" t="n"/>
      <c r="BP1203" s="1392" t="n"/>
      <c r="BQ1203" s="1392" t="n"/>
      <c r="BR1203" s="1392" t="n"/>
      <c r="BS1203" s="1392" t="n"/>
      <c r="BT1203" s="1392" t="n"/>
      <c r="BU1203" s="1392" t="n"/>
      <c r="BV1203" s="1392" t="n"/>
      <c r="BW1203" s="1392" t="n"/>
      <c r="BX1203" s="1392" t="n"/>
      <c r="BY1203" s="1392" t="n"/>
      <c r="BZ1203" s="1392" t="n"/>
      <c r="CA1203" s="1392" t="n"/>
      <c r="CB1203" s="1392" t="n"/>
      <c r="CC1203" s="1392" t="n"/>
      <c r="CD1203" s="1392" t="n"/>
      <c r="CE1203" s="1392" t="n"/>
      <c r="CF1203" s="1392" t="n"/>
      <c r="CG1203" s="1392" t="n"/>
      <c r="CH1203" s="1392" t="n"/>
      <c r="CI1203" s="1392" t="n"/>
      <c r="CJ1203" s="1392" t="n"/>
      <c r="CK1203" s="1392" t="n"/>
      <c r="CL1203" s="1392" t="n"/>
    </row>
    <row r="1204">
      <c r="A1204" s="5" t="inlineStr">
        <is>
          <t>.</t>
        </is>
      </c>
      <c r="B1204" s="5" t="inlineStr">
        <is>
          <t>.</t>
        </is>
      </c>
      <c r="C1204" s="1378">
        <f>IF(raw[[#This Row],[city]]="","-",IF(raw[[#This Row],[city]]="TODAY","-",C1203+1))</f>
        <v/>
      </c>
      <c r="D1204" s="1393" t="inlineStr">
        <is>
          <t>Sherbrooke</t>
        </is>
      </c>
      <c r="E1204" s="1394" t="n">
        <v>40379</v>
      </c>
      <c r="F1204" s="1394" t="n">
        <v>40379</v>
      </c>
      <c r="G1204" s="1393" t="inlineStr">
        <is>
          <t>-</t>
        </is>
      </c>
      <c r="H1204" s="1393" t="inlineStr">
        <is>
          <t>The Place</t>
        </is>
      </c>
      <c r="I1204" s="1393" t="inlineStr">
        <is>
          <t>Cele/Lincoln</t>
        </is>
      </c>
      <c r="J1204" s="1393" t="inlineStr">
        <is>
          <t>-</t>
        </is>
      </c>
      <c r="K1204" s="1395">
        <f>IF(raw[[#This Row],[city]]&lt;&gt;"",_xlfn.XLOOKUP($D1204,ccc[city],ccc[prov],"-"),"-")</f>
        <v/>
      </c>
      <c r="L1204" s="1395">
        <f>IF(raw[[#This Row],[city]]&lt;&gt;"",_xlfn.XLOOKUP($D1204,ccc[city],ccc[ctry],"-"),"-")</f>
        <v/>
      </c>
      <c r="M1204" s="1395">
        <f>IF(raw[[#This Row],[city]]&lt;&gt;"",_xlfn.XLOOKUP($D1204,ccc[city],ccc[cont],"-"),"-")</f>
        <v/>
      </c>
      <c r="N1204" s="1396">
        <f>IF(raw[[#This Row],[city]]="","-",IF(raw[[#This Row],[cont]]="B",raw[[#This Row],[cont]],"W"))</f>
        <v/>
      </c>
      <c r="O1204" s="1397">
        <f>IF(raw[[#This Row],[out]]=0,0,IF(raw[[#This Row],[out]]=raw[[#This Row],[in]],0.01,raw[[#This Row],[out]]-raw[[#This Row],[in]]))</f>
        <v/>
      </c>
      <c r="P1204" s="1397">
        <f>IF(raw[[#This Row],[in]]=0,0,MONTH(raw[[#This Row],[in]]))</f>
        <v/>
      </c>
      <c r="Q1204" s="1397">
        <f>IF(raw[[#This Row],[in]]=0,0,YEAR(raw[[#This Row],[in]]))</f>
        <v/>
      </c>
      <c r="R1204" s="1397">
        <f>INT(raw[[#This Row],[yr]]/10)*10</f>
        <v/>
      </c>
      <c r="S1204" s="1395">
        <f>IF(raw[[#This Row],[city]]="","-",IF(raw[[#This Row],[city]]&lt;&gt;_xlfn.XLOOKUP(raw[[#This Row],[home]],homes[home],homes[city],"-"),1,0))</f>
        <v/>
      </c>
      <c r="T1204" s="1398" t="inlineStr">
        <is>
          <t>.</t>
        </is>
      </c>
      <c r="U1204" s="1399">
        <f>IF(raw[[#This Row],[wb]]="w",raw[[#This Row],[stay]]+U1203,U1203)</f>
        <v/>
      </c>
      <c r="V1204" s="1400">
        <f>IF(raw[[#This Row],[out]]=0,V1203,(raw[[#This Row],[out]]-E$5))</f>
        <v/>
      </c>
      <c r="W1204" s="1401">
        <f>U1204/V1204</f>
        <v/>
      </c>
      <c r="X1204" s="1392" t="n"/>
      <c r="Y1204" s="1392" t="n"/>
      <c r="Z1204" s="1392" t="n"/>
      <c r="AA1204" s="1392" t="n"/>
      <c r="AB1204" s="1392" t="n"/>
      <c r="AC1204" s="1392" t="n"/>
      <c r="AD1204" s="1392" t="n"/>
      <c r="AE1204" s="1392" t="n"/>
      <c r="AF1204" s="1392" t="n"/>
      <c r="AG1204" s="1392" t="n"/>
      <c r="AH1204" s="1392" t="n"/>
      <c r="AI1204" s="1392" t="n"/>
      <c r="AJ1204" s="1392" t="n"/>
      <c r="AK1204" s="1392" t="n"/>
      <c r="AL1204" s="1392" t="n"/>
      <c r="AM1204" s="1392" t="n"/>
      <c r="AN1204" s="1392" t="n"/>
      <c r="AO1204" s="1392" t="n"/>
      <c r="AP1204" s="1392" t="n"/>
      <c r="AQ1204" s="1392" t="n"/>
      <c r="AR1204" s="1422" t="n"/>
      <c r="AS1204" s="1422" t="n"/>
      <c r="AT1204" s="1392" t="n"/>
      <c r="AU1204" s="1392" t="n"/>
      <c r="AV1204" s="1392" t="n"/>
      <c r="AW1204" s="1392" t="n"/>
      <c r="AX1204" s="1392" t="n"/>
      <c r="AY1204" s="1392" t="n"/>
      <c r="AZ1204" s="1392" t="n"/>
      <c r="BA1204" s="1422" t="n"/>
      <c r="BB1204" s="1422" t="n"/>
      <c r="BC1204" s="1392" t="n"/>
      <c r="BD1204" s="1392" t="n"/>
      <c r="BE1204" s="1392" t="n"/>
      <c r="BF1204" s="1392" t="n"/>
      <c r="BG1204" s="1392" t="n"/>
      <c r="BH1204" s="1392" t="n"/>
      <c r="BI1204" s="1392" t="n"/>
      <c r="BJ1204" s="1392" t="n"/>
      <c r="BK1204" s="1392" t="n"/>
      <c r="BL1204" s="1392" t="n"/>
      <c r="BM1204" s="1392" t="n"/>
      <c r="BN1204" s="1392" t="n"/>
      <c r="BO1204" s="1392" t="n"/>
      <c r="BP1204" s="1392" t="n"/>
      <c r="BQ1204" s="1392" t="n"/>
      <c r="BR1204" s="1392" t="n"/>
      <c r="BS1204" s="1392" t="n"/>
      <c r="BT1204" s="1392" t="n"/>
      <c r="BU1204" s="1392" t="n"/>
      <c r="BV1204" s="1392" t="n"/>
      <c r="BW1204" s="1392" t="n"/>
      <c r="BX1204" s="1392" t="n"/>
      <c r="BY1204" s="1392" t="n"/>
      <c r="BZ1204" s="1392" t="n"/>
      <c r="CA1204" s="1392" t="n"/>
      <c r="CB1204" s="1392" t="n"/>
      <c r="CC1204" s="1392" t="n"/>
      <c r="CD1204" s="1392" t="n"/>
      <c r="CE1204" s="1392" t="n"/>
      <c r="CF1204" s="1392" t="n"/>
      <c r="CG1204" s="1392" t="n"/>
      <c r="CH1204" s="1392" t="n"/>
      <c r="CI1204" s="1392" t="n"/>
      <c r="CJ1204" s="1392" t="n"/>
      <c r="CK1204" s="1392" t="n"/>
      <c r="CL1204" s="1392" t="n"/>
    </row>
    <row r="1205">
      <c r="A1205" s="5" t="inlineStr">
        <is>
          <t>.</t>
        </is>
      </c>
      <c r="B1205" s="5" t="inlineStr">
        <is>
          <t>.</t>
        </is>
      </c>
      <c r="C1205" s="1378">
        <f>IF(raw[[#This Row],[city]]="","-",IF(raw[[#This Row],[city]]="TODAY","-",C1204+1))</f>
        <v/>
      </c>
      <c r="D1205" s="1393" t="inlineStr">
        <is>
          <t>Montreal</t>
        </is>
      </c>
      <c r="E1205" s="1394" t="n">
        <v>40391</v>
      </c>
      <c r="F1205" s="1394" t="n">
        <v>40395</v>
      </c>
      <c r="G1205" s="1393" t="n">
        <v>1</v>
      </c>
      <c r="H1205" s="1393" t="inlineStr">
        <is>
          <t>The Place</t>
        </is>
      </c>
      <c r="I1205" s="1393" t="inlineStr">
        <is>
          <t>Cele/Lincoln</t>
        </is>
      </c>
      <c r="J1205" s="1393" t="inlineStr">
        <is>
          <t>-</t>
        </is>
      </c>
      <c r="K1205" s="1395">
        <f>IF(raw[[#This Row],[city]]&lt;&gt;"",_xlfn.XLOOKUP($D1205,ccc[city],ccc[prov],"-"),"-")</f>
        <v/>
      </c>
      <c r="L1205" s="1395">
        <f>IF(raw[[#This Row],[city]]&lt;&gt;"",_xlfn.XLOOKUP($D1205,ccc[city],ccc[ctry],"-"),"-")</f>
        <v/>
      </c>
      <c r="M1205" s="1395">
        <f>IF(raw[[#This Row],[city]]&lt;&gt;"",_xlfn.XLOOKUP($D1205,ccc[city],ccc[cont],"-"),"-")</f>
        <v/>
      </c>
      <c r="N1205" s="1396">
        <f>IF(raw[[#This Row],[city]]="","-",IF(raw[[#This Row],[cont]]="B",raw[[#This Row],[cont]],"W"))</f>
        <v/>
      </c>
      <c r="O1205" s="1397">
        <f>IF(raw[[#This Row],[out]]=0,0,IF(raw[[#This Row],[out]]=raw[[#This Row],[in]],0.01,raw[[#This Row],[out]]-raw[[#This Row],[in]]))</f>
        <v/>
      </c>
      <c r="P1205" s="1397">
        <f>IF(raw[[#This Row],[in]]=0,0,MONTH(raw[[#This Row],[in]]))</f>
        <v/>
      </c>
      <c r="Q1205" s="1397">
        <f>IF(raw[[#This Row],[in]]=0,0,YEAR(raw[[#This Row],[in]]))</f>
        <v/>
      </c>
      <c r="R1205" s="1397">
        <f>INT(raw[[#This Row],[yr]]/10)*10</f>
        <v/>
      </c>
      <c r="S1205" s="1395">
        <f>IF(raw[[#This Row],[city]]="","-",IF(raw[[#This Row],[city]]&lt;&gt;_xlfn.XLOOKUP(raw[[#This Row],[home]],homes[home],homes[city],"-"),1,0))</f>
        <v/>
      </c>
      <c r="T1205" s="1398" t="inlineStr">
        <is>
          <t>.</t>
        </is>
      </c>
      <c r="U1205" s="1399">
        <f>IF(raw[[#This Row],[wb]]="w",raw[[#This Row],[stay]]+U1204,U1204)</f>
        <v/>
      </c>
      <c r="V1205" s="1400">
        <f>IF(raw[[#This Row],[out]]=0,V1204,(raw[[#This Row],[out]]-E$5))</f>
        <v/>
      </c>
      <c r="W1205" s="1401">
        <f>U1205/V1205</f>
        <v/>
      </c>
      <c r="X1205" s="1392" t="n"/>
      <c r="Y1205" s="1392" t="n"/>
      <c r="Z1205" s="1392" t="n"/>
      <c r="AA1205" s="1392" t="n"/>
      <c r="AB1205" s="1392" t="n"/>
      <c r="AC1205" s="1392" t="n"/>
      <c r="AD1205" s="1392" t="n"/>
      <c r="AE1205" s="1392" t="n"/>
      <c r="AF1205" s="1392" t="n"/>
      <c r="AG1205" s="1392" t="n"/>
      <c r="AH1205" s="1392" t="n"/>
      <c r="AI1205" s="1392" t="n"/>
      <c r="AJ1205" s="1392" t="n"/>
      <c r="AK1205" s="1392" t="n"/>
      <c r="AL1205" s="1392" t="n"/>
      <c r="AM1205" s="1392" t="n"/>
      <c r="AN1205" s="1392" t="n"/>
      <c r="AO1205" s="1392" t="n"/>
      <c r="AP1205" s="1392" t="n"/>
      <c r="AQ1205" s="1392" t="n"/>
      <c r="AR1205" s="1422" t="n"/>
      <c r="AS1205" s="1422" t="n"/>
      <c r="AT1205" s="1392" t="n"/>
      <c r="AU1205" s="1392" t="n"/>
      <c r="AV1205" s="1392" t="n"/>
      <c r="AW1205" s="1392" t="n"/>
      <c r="AX1205" s="1392" t="n"/>
      <c r="AY1205" s="1392" t="n"/>
      <c r="AZ1205" s="1392" t="n"/>
      <c r="BA1205" s="1422" t="n"/>
      <c r="BB1205" s="1422" t="n"/>
      <c r="BC1205" s="1392" t="n"/>
      <c r="BD1205" s="1392" t="n"/>
      <c r="BE1205" s="1392" t="n"/>
      <c r="BF1205" s="1392" t="n"/>
      <c r="BG1205" s="1392" t="n"/>
      <c r="BH1205" s="1392" t="n"/>
      <c r="BI1205" s="1392" t="n"/>
      <c r="BJ1205" s="1392" t="n"/>
      <c r="BK1205" s="1392" t="n"/>
      <c r="BL1205" s="1392" t="n"/>
      <c r="BM1205" s="1392" t="n"/>
      <c r="BN1205" s="1392" t="n"/>
      <c r="BO1205" s="1392" t="n"/>
      <c r="BP1205" s="1392" t="n"/>
      <c r="BQ1205" s="1392" t="n"/>
      <c r="BR1205" s="1392" t="n"/>
      <c r="BS1205" s="1392" t="n"/>
      <c r="BT1205" s="1392" t="n"/>
      <c r="BU1205" s="1392" t="n"/>
      <c r="BV1205" s="1392" t="n"/>
      <c r="BW1205" s="1392" t="n"/>
      <c r="BX1205" s="1392" t="n"/>
      <c r="BY1205" s="1392" t="n"/>
      <c r="BZ1205" s="1392" t="n"/>
      <c r="CA1205" s="1392" t="n"/>
      <c r="CB1205" s="1392" t="n"/>
      <c r="CC1205" s="1392" t="n"/>
      <c r="CD1205" s="1392" t="n"/>
      <c r="CE1205" s="1392" t="n"/>
      <c r="CF1205" s="1392" t="n"/>
      <c r="CG1205" s="1392" t="n"/>
      <c r="CH1205" s="1392" t="n"/>
      <c r="CI1205" s="1392" t="n"/>
      <c r="CJ1205" s="1392" t="n"/>
      <c r="CK1205" s="1392" t="n"/>
      <c r="CL1205" s="1392" t="n"/>
    </row>
    <row r="1206">
      <c r="A1206" s="5" t="inlineStr">
        <is>
          <t>.</t>
        </is>
      </c>
      <c r="B1206" s="5" t="inlineStr">
        <is>
          <t>.</t>
        </is>
      </c>
      <c r="C1206" s="1378">
        <f>IF(raw[[#This Row],[city]]="","-",IF(raw[[#This Row],[city]]="TODAY","-",C1205+1))</f>
        <v/>
      </c>
      <c r="D1206" s="1393" t="inlineStr">
        <is>
          <t>Mexico City</t>
        </is>
      </c>
      <c r="E1206" s="1394" t="n">
        <v>40395</v>
      </c>
      <c r="F1206" s="1394" t="n">
        <v>40395</v>
      </c>
      <c r="G1206" s="1393" t="n">
        <v>0.01</v>
      </c>
      <c r="H1206" s="1393" t="inlineStr">
        <is>
          <t>The Place</t>
        </is>
      </c>
      <c r="I1206" s="1393" t="inlineStr">
        <is>
          <t>-</t>
        </is>
      </c>
      <c r="J1206" s="1393" t="inlineStr">
        <is>
          <t>-</t>
        </is>
      </c>
      <c r="K1206" s="1395">
        <f>IF(raw[[#This Row],[city]]&lt;&gt;"",_xlfn.XLOOKUP($D1206,ccc[city],ccc[prov],"-"),"-")</f>
        <v/>
      </c>
      <c r="L1206" s="1395">
        <f>IF(raw[[#This Row],[city]]&lt;&gt;"",_xlfn.XLOOKUP($D1206,ccc[city],ccc[ctry],"-"),"-")</f>
        <v/>
      </c>
      <c r="M1206" s="1395">
        <f>IF(raw[[#This Row],[city]]&lt;&gt;"",_xlfn.XLOOKUP($D1206,ccc[city],ccc[cont],"-"),"-")</f>
        <v/>
      </c>
      <c r="N1206" s="1396">
        <f>IF(raw[[#This Row],[city]]="","-",IF(raw[[#This Row],[cont]]="B",raw[[#This Row],[cont]],"W"))</f>
        <v/>
      </c>
      <c r="O1206" s="1397">
        <f>IF(raw[[#This Row],[out]]=0,0,IF(raw[[#This Row],[out]]=raw[[#This Row],[in]],0.01,raw[[#This Row],[out]]-raw[[#This Row],[in]]))</f>
        <v/>
      </c>
      <c r="P1206" s="1397">
        <f>IF(raw[[#This Row],[in]]=0,0,MONTH(raw[[#This Row],[in]]))</f>
        <v/>
      </c>
      <c r="Q1206" s="1397">
        <f>IF(raw[[#This Row],[in]]=0,0,YEAR(raw[[#This Row],[in]]))</f>
        <v/>
      </c>
      <c r="R1206" s="1397">
        <f>INT(raw[[#This Row],[yr]]/10)*10</f>
        <v/>
      </c>
      <c r="S1206" s="1395">
        <f>IF(raw[[#This Row],[city]]="","-",IF(raw[[#This Row],[city]]&lt;&gt;_xlfn.XLOOKUP(raw[[#This Row],[home]],homes[home],homes[city],"-"),1,0))</f>
        <v/>
      </c>
      <c r="T1206" s="1398" t="inlineStr">
        <is>
          <t>.</t>
        </is>
      </c>
      <c r="U1206" s="1399">
        <f>IF(raw[[#This Row],[wb]]="w",raw[[#This Row],[stay]]+U1205,U1205)</f>
        <v/>
      </c>
      <c r="V1206" s="1400">
        <f>IF(raw[[#This Row],[out]]=0,V1205,(raw[[#This Row],[out]]-E$5))</f>
        <v/>
      </c>
      <c r="W1206" s="1401">
        <f>U1206/V1206</f>
        <v/>
      </c>
      <c r="X1206" s="1392" t="n"/>
      <c r="Y1206" s="1392" t="n"/>
      <c r="Z1206" s="1392" t="n"/>
      <c r="AA1206" s="1392" t="n"/>
      <c r="AB1206" s="1392" t="n"/>
      <c r="AC1206" s="1392" t="n"/>
      <c r="AD1206" s="1392" t="n"/>
      <c r="AE1206" s="1392" t="n"/>
      <c r="AF1206" s="1392" t="n"/>
      <c r="AG1206" s="1392" t="n"/>
      <c r="AH1206" s="1392" t="n"/>
      <c r="AI1206" s="1392" t="n"/>
      <c r="AJ1206" s="1392" t="n"/>
      <c r="AK1206" s="1392" t="n"/>
      <c r="AL1206" s="1392" t="n"/>
      <c r="AM1206" s="1392" t="n"/>
      <c r="AN1206" s="1392" t="n"/>
      <c r="AO1206" s="1392" t="n"/>
      <c r="AP1206" s="1392" t="n"/>
      <c r="AQ1206" s="1392" t="n"/>
      <c r="AR1206" s="1422" t="n"/>
      <c r="AS1206" s="1422" t="n"/>
      <c r="AT1206" s="1392" t="n"/>
      <c r="AU1206" s="1392" t="n"/>
      <c r="AV1206" s="1392" t="n"/>
      <c r="AW1206" s="1392" t="n"/>
      <c r="AX1206" s="1392" t="n"/>
      <c r="AY1206" s="1392" t="n"/>
      <c r="AZ1206" s="1392" t="n"/>
      <c r="BA1206" s="1422" t="n"/>
      <c r="BB1206" s="1422" t="n"/>
      <c r="BC1206" s="1392" t="n"/>
      <c r="BD1206" s="1392" t="n"/>
      <c r="BE1206" s="1392" t="n"/>
      <c r="BF1206" s="1392" t="n"/>
      <c r="BG1206" s="1392" t="n"/>
      <c r="BH1206" s="1392" t="n"/>
      <c r="BI1206" s="1392" t="n"/>
      <c r="BJ1206" s="1392" t="n"/>
      <c r="BK1206" s="1392" t="n"/>
      <c r="BL1206" s="1392" t="n"/>
      <c r="BM1206" s="1392" t="n"/>
      <c r="BN1206" s="1392" t="n"/>
      <c r="BO1206" s="1392" t="n"/>
      <c r="BP1206" s="1392" t="n"/>
      <c r="BQ1206" s="1392" t="n"/>
      <c r="BR1206" s="1392" t="n"/>
      <c r="BS1206" s="1392" t="n"/>
      <c r="BT1206" s="1392" t="n"/>
      <c r="BU1206" s="1392" t="n"/>
      <c r="BV1206" s="1392" t="n"/>
      <c r="BW1206" s="1392" t="n"/>
      <c r="BX1206" s="1392" t="n"/>
      <c r="BY1206" s="1392" t="n"/>
      <c r="BZ1206" s="1392" t="n"/>
      <c r="CA1206" s="1392" t="n"/>
      <c r="CB1206" s="1392" t="n"/>
      <c r="CC1206" s="1392" t="n"/>
      <c r="CD1206" s="1392" t="n"/>
      <c r="CE1206" s="1392" t="n"/>
      <c r="CF1206" s="1392" t="n"/>
      <c r="CG1206" s="1392" t="n"/>
      <c r="CH1206" s="1392" t="n"/>
      <c r="CI1206" s="1392" t="n"/>
      <c r="CJ1206" s="1392" t="n"/>
      <c r="CK1206" s="1392" t="n"/>
      <c r="CL1206" s="1392" t="n"/>
    </row>
    <row r="1207">
      <c r="A1207" s="5" t="inlineStr">
        <is>
          <t>.</t>
        </is>
      </c>
      <c r="B1207" s="5" t="inlineStr">
        <is>
          <t>.</t>
        </is>
      </c>
      <c r="C1207" s="1378">
        <f>IF(raw[[#This Row],[city]]="","-",IF(raw[[#This Row],[city]]="TODAY","-",C1206+1))</f>
        <v/>
      </c>
      <c r="D1207" s="1393" t="inlineStr">
        <is>
          <t>AIR</t>
        </is>
      </c>
      <c r="E1207" s="1394" t="n">
        <v>40395</v>
      </c>
      <c r="F1207" s="1394" t="n">
        <v>40396</v>
      </c>
      <c r="G1207" s="1393" t="inlineStr">
        <is>
          <t>x</t>
        </is>
      </c>
      <c r="H1207" s="1393" t="inlineStr">
        <is>
          <t>The Place</t>
        </is>
      </c>
      <c r="I1207" s="1393" t="inlineStr">
        <is>
          <t>-</t>
        </is>
      </c>
      <c r="J1207" s="1393" t="inlineStr">
        <is>
          <t>-</t>
        </is>
      </c>
      <c r="K1207" s="1395">
        <f>IF(raw[[#This Row],[city]]&lt;&gt;"",_xlfn.XLOOKUP($D1207,ccc[city],ccc[prov],"-"),"-")</f>
        <v/>
      </c>
      <c r="L1207" s="1395">
        <f>IF(raw[[#This Row],[city]]&lt;&gt;"",_xlfn.XLOOKUP($D1207,ccc[city],ccc[ctry],"-"),"-")</f>
        <v/>
      </c>
      <c r="M1207" s="1395">
        <f>IF(raw[[#This Row],[city]]&lt;&gt;"",_xlfn.XLOOKUP($D1207,ccc[city],ccc[cont],"-"),"-")</f>
        <v/>
      </c>
      <c r="N1207" s="1396">
        <f>IF(raw[[#This Row],[city]]="","-",IF(raw[[#This Row],[cont]]="B",raw[[#This Row],[cont]],"W"))</f>
        <v/>
      </c>
      <c r="O1207" s="1397">
        <f>IF(raw[[#This Row],[out]]=0,0,IF(raw[[#This Row],[out]]=raw[[#This Row],[in]],0.01,raw[[#This Row],[out]]-raw[[#This Row],[in]]))</f>
        <v/>
      </c>
      <c r="P1207" s="1397">
        <f>IF(raw[[#This Row],[in]]=0,0,MONTH(raw[[#This Row],[in]]))</f>
        <v/>
      </c>
      <c r="Q1207" s="1397">
        <f>IF(raw[[#This Row],[in]]=0,0,YEAR(raw[[#This Row],[in]]))</f>
        <v/>
      </c>
      <c r="R1207" s="1397">
        <f>INT(raw[[#This Row],[yr]]/10)*10</f>
        <v/>
      </c>
      <c r="S1207" s="1395">
        <f>IF(raw[[#This Row],[city]]="","-",IF(raw[[#This Row],[city]]&lt;&gt;_xlfn.XLOOKUP(raw[[#This Row],[home]],homes[home],homes[city],"-"),1,0))</f>
        <v/>
      </c>
      <c r="T1207" s="1398" t="inlineStr">
        <is>
          <t>.</t>
        </is>
      </c>
      <c r="U1207" s="1399">
        <f>IF(raw[[#This Row],[wb]]="w",raw[[#This Row],[stay]]+U1206,U1206)</f>
        <v/>
      </c>
      <c r="V1207" s="1400">
        <f>IF(raw[[#This Row],[out]]=0,V1206,(raw[[#This Row],[out]]-E$5))</f>
        <v/>
      </c>
      <c r="W1207" s="1401">
        <f>U1207/V1207</f>
        <v/>
      </c>
      <c r="X1207" s="1392" t="n"/>
      <c r="Y1207" s="1392" t="n"/>
      <c r="Z1207" s="1392" t="n"/>
      <c r="AA1207" s="1392" t="n"/>
      <c r="AB1207" s="1392" t="n"/>
      <c r="AC1207" s="1392" t="n"/>
      <c r="AD1207" s="1392" t="n"/>
      <c r="AE1207" s="1392" t="n"/>
      <c r="AF1207" s="1392" t="n"/>
      <c r="AG1207" s="1392" t="n"/>
      <c r="AH1207" s="1392" t="n"/>
      <c r="AI1207" s="1392" t="n"/>
      <c r="AJ1207" s="1392" t="n"/>
      <c r="AK1207" s="1392" t="n"/>
      <c r="AL1207" s="1392" t="n"/>
      <c r="AM1207" s="1392" t="n"/>
      <c r="AN1207" s="1392" t="n"/>
      <c r="AO1207" s="1392" t="n"/>
      <c r="AP1207" s="1392" t="n"/>
      <c r="AQ1207" s="1392" t="n"/>
      <c r="AR1207" s="1422" t="n"/>
      <c r="AS1207" s="1422" t="n"/>
      <c r="AT1207" s="1392" t="n"/>
      <c r="AU1207" s="1392" t="n"/>
      <c r="AV1207" s="1392" t="n"/>
      <c r="AW1207" s="1392" t="n"/>
      <c r="AX1207" s="1392" t="n"/>
      <c r="AY1207" s="1392" t="n"/>
      <c r="AZ1207" s="1392" t="n"/>
      <c r="BA1207" s="1422" t="n"/>
      <c r="BB1207" s="1422" t="n"/>
      <c r="BC1207" s="1392" t="n"/>
      <c r="BD1207" s="1392" t="n"/>
      <c r="BE1207" s="1392" t="n"/>
      <c r="BF1207" s="1392" t="n"/>
      <c r="BG1207" s="1392" t="n"/>
      <c r="BH1207" s="1392" t="n"/>
      <c r="BI1207" s="1392" t="n"/>
      <c r="BJ1207" s="1392" t="n"/>
      <c r="BK1207" s="1392" t="n"/>
      <c r="BL1207" s="1392" t="n"/>
      <c r="BM1207" s="1392" t="n"/>
      <c r="BN1207" s="1392" t="n"/>
      <c r="BO1207" s="1392" t="n"/>
      <c r="BP1207" s="1392" t="n"/>
      <c r="BQ1207" s="1392" t="n"/>
      <c r="BR1207" s="1392" t="n"/>
      <c r="BS1207" s="1392" t="n"/>
      <c r="BT1207" s="1392" t="n"/>
      <c r="BU1207" s="1392" t="n"/>
      <c r="BV1207" s="1392" t="n"/>
      <c r="BW1207" s="1392" t="n"/>
      <c r="BX1207" s="1392" t="n"/>
      <c r="BY1207" s="1392" t="n"/>
      <c r="BZ1207" s="1392" t="n"/>
      <c r="CA1207" s="1392" t="n"/>
      <c r="CB1207" s="1392" t="n"/>
      <c r="CC1207" s="1392" t="n"/>
      <c r="CD1207" s="1392" t="n"/>
      <c r="CE1207" s="1392" t="n"/>
      <c r="CF1207" s="1392" t="n"/>
      <c r="CG1207" s="1392" t="n"/>
      <c r="CH1207" s="1392" t="n"/>
      <c r="CI1207" s="1392" t="n"/>
      <c r="CJ1207" s="1392" t="n"/>
      <c r="CK1207" s="1392" t="n"/>
      <c r="CL1207" s="1392" t="n"/>
    </row>
    <row r="1208">
      <c r="A1208" s="5" t="inlineStr">
        <is>
          <t>.</t>
        </is>
      </c>
      <c r="B1208" s="5" t="inlineStr">
        <is>
          <t>.</t>
        </is>
      </c>
      <c r="C1208" s="1378">
        <f>IF(raw[[#This Row],[city]]="","-",IF(raw[[#This Row],[city]]="TODAY","-",C1207+1))</f>
        <v/>
      </c>
      <c r="D1208" s="1393" t="inlineStr">
        <is>
          <t>SP</t>
        </is>
      </c>
      <c r="E1208" s="1394" t="n">
        <v>40396</v>
      </c>
      <c r="F1208" s="1394" t="n">
        <v>40399</v>
      </c>
      <c r="G1208" s="1393" t="n">
        <v>1</v>
      </c>
      <c r="H1208" s="1393" t="inlineStr">
        <is>
          <t>The Place</t>
        </is>
      </c>
      <c r="I1208" s="1393" t="inlineStr">
        <is>
          <t>Salto Grande</t>
        </is>
      </c>
      <c r="J1208" s="1393" t="inlineStr">
        <is>
          <t>-</t>
        </is>
      </c>
      <c r="K1208" s="1395">
        <f>IF(raw[[#This Row],[city]]&lt;&gt;"",_xlfn.XLOOKUP($D1208,ccc[city],ccc[prov],"-"),"-")</f>
        <v/>
      </c>
      <c r="L1208" s="1395">
        <f>IF(raw[[#This Row],[city]]&lt;&gt;"",_xlfn.XLOOKUP($D1208,ccc[city],ccc[ctry],"-"),"-")</f>
        <v/>
      </c>
      <c r="M1208" s="1395">
        <f>IF(raw[[#This Row],[city]]&lt;&gt;"",_xlfn.XLOOKUP($D1208,ccc[city],ccc[cont],"-"),"-")</f>
        <v/>
      </c>
      <c r="N1208" s="1396">
        <f>IF(raw[[#This Row],[city]]="","-",IF(raw[[#This Row],[cont]]="B",raw[[#This Row],[cont]],"W"))</f>
        <v/>
      </c>
      <c r="O1208" s="1397">
        <f>IF(raw[[#This Row],[out]]=0,0,IF(raw[[#This Row],[out]]=raw[[#This Row],[in]],0.01,raw[[#This Row],[out]]-raw[[#This Row],[in]]))</f>
        <v/>
      </c>
      <c r="P1208" s="1397">
        <f>IF(raw[[#This Row],[in]]=0,0,MONTH(raw[[#This Row],[in]]))</f>
        <v/>
      </c>
      <c r="Q1208" s="1397">
        <f>IF(raw[[#This Row],[in]]=0,0,YEAR(raw[[#This Row],[in]]))</f>
        <v/>
      </c>
      <c r="R1208" s="1397">
        <f>INT(raw[[#This Row],[yr]]/10)*10</f>
        <v/>
      </c>
      <c r="S1208" s="1395">
        <f>IF(raw[[#This Row],[city]]="","-",IF(raw[[#This Row],[city]]&lt;&gt;_xlfn.XLOOKUP(raw[[#This Row],[home]],homes[home],homes[city],"-"),1,0))</f>
        <v/>
      </c>
      <c r="T1208" s="1398" t="inlineStr">
        <is>
          <t>.</t>
        </is>
      </c>
      <c r="U1208" s="1399">
        <f>IF(raw[[#This Row],[wb]]="w",raw[[#This Row],[stay]]+U1207,U1207)</f>
        <v/>
      </c>
      <c r="V1208" s="1400">
        <f>IF(raw[[#This Row],[out]]=0,V1207,(raw[[#This Row],[out]]-E$5))</f>
        <v/>
      </c>
      <c r="W1208" s="1401">
        <f>U1208/V1208</f>
        <v/>
      </c>
      <c r="X1208" s="1392" t="n"/>
      <c r="Y1208" s="1392" t="n"/>
      <c r="Z1208" s="1392" t="n"/>
      <c r="AA1208" s="1392" t="n"/>
      <c r="AB1208" s="1392" t="n"/>
      <c r="AC1208" s="1392" t="n"/>
      <c r="AD1208" s="1392" t="n"/>
      <c r="AE1208" s="1392" t="n"/>
      <c r="AF1208" s="1392" t="n"/>
      <c r="AG1208" s="1392" t="n"/>
      <c r="AH1208" s="1392" t="n"/>
      <c r="AI1208" s="1392" t="n"/>
      <c r="AJ1208" s="1392" t="n"/>
      <c r="AK1208" s="1392" t="n"/>
      <c r="AL1208" s="1392" t="n"/>
      <c r="AM1208" s="1392" t="n"/>
      <c r="AN1208" s="1392" t="n"/>
      <c r="AO1208" s="1392" t="n"/>
      <c r="AP1208" s="1392" t="n"/>
      <c r="AQ1208" s="1392" t="n"/>
      <c r="AR1208" s="1422" t="n"/>
      <c r="AS1208" s="1422" t="n"/>
      <c r="AT1208" s="1392" t="n"/>
      <c r="AU1208" s="1392" t="n"/>
      <c r="AV1208" s="1392" t="n"/>
      <c r="AW1208" s="1392" t="n"/>
      <c r="AX1208" s="1392" t="n"/>
      <c r="AY1208" s="1392" t="n"/>
      <c r="AZ1208" s="1392" t="n"/>
      <c r="BA1208" s="1422" t="n"/>
      <c r="BB1208" s="1422" t="n"/>
      <c r="BC1208" s="1392" t="n"/>
      <c r="BD1208" s="1392" t="n"/>
      <c r="BE1208" s="1392" t="n"/>
      <c r="BF1208" s="1392" t="n"/>
      <c r="BG1208" s="1392" t="n"/>
      <c r="BH1208" s="1392" t="n"/>
      <c r="BI1208" s="1392" t="n"/>
      <c r="BJ1208" s="1392" t="n"/>
      <c r="BK1208" s="1392" t="n"/>
      <c r="BL1208" s="1392" t="n"/>
      <c r="BM1208" s="1392" t="n"/>
      <c r="BN1208" s="1392" t="n"/>
      <c r="BO1208" s="1392" t="n"/>
      <c r="BP1208" s="1392" t="n"/>
      <c r="BQ1208" s="1392" t="n"/>
      <c r="BR1208" s="1392" t="n"/>
      <c r="BS1208" s="1392" t="n"/>
      <c r="BT1208" s="1392" t="n"/>
      <c r="BU1208" s="1392" t="n"/>
      <c r="BV1208" s="1392" t="n"/>
      <c r="BW1208" s="1392" t="n"/>
      <c r="BX1208" s="1392" t="n"/>
      <c r="BY1208" s="1392" t="n"/>
      <c r="BZ1208" s="1392" t="n"/>
      <c r="CA1208" s="1392" t="n"/>
      <c r="CB1208" s="1392" t="n"/>
      <c r="CC1208" s="1392" t="n"/>
      <c r="CD1208" s="1392" t="n"/>
      <c r="CE1208" s="1392" t="n"/>
      <c r="CF1208" s="1392" t="n"/>
      <c r="CG1208" s="1392" t="n"/>
      <c r="CH1208" s="1392" t="n"/>
      <c r="CI1208" s="1392" t="n"/>
      <c r="CJ1208" s="1392" t="n"/>
      <c r="CK1208" s="1392" t="n"/>
      <c r="CL1208" s="1392" t="n"/>
    </row>
    <row r="1209">
      <c r="A1209" s="5" t="inlineStr">
        <is>
          <t>.</t>
        </is>
      </c>
      <c r="B1209" s="5" t="inlineStr">
        <is>
          <t>.</t>
        </is>
      </c>
      <c r="C1209" s="1378">
        <f>IF(raw[[#This Row],[city]]="","-",IF(raw[[#This Row],[city]]="TODAY","-",C1208+1))</f>
        <v/>
      </c>
      <c r="D1209" s="1393" t="inlineStr">
        <is>
          <t>SSA</t>
        </is>
      </c>
      <c r="E1209" s="1394" t="n">
        <v>40399</v>
      </c>
      <c r="F1209" s="1394" t="n">
        <v>40422</v>
      </c>
      <c r="G1209" s="1393" t="inlineStr">
        <is>
          <t>-</t>
        </is>
      </c>
      <c r="H1209" s="1393" t="inlineStr">
        <is>
          <t>The Place</t>
        </is>
      </c>
      <c r="I1209" s="1393" t="inlineStr">
        <is>
          <t>-</t>
        </is>
      </c>
      <c r="J1209" s="1393" t="inlineStr">
        <is>
          <t>BDAY</t>
        </is>
      </c>
      <c r="K1209" s="1395">
        <f>IF(raw[[#This Row],[city]]&lt;&gt;"",_xlfn.XLOOKUP($D1209,ccc[city],ccc[prov],"-"),"-")</f>
        <v/>
      </c>
      <c r="L1209" s="1395">
        <f>IF(raw[[#This Row],[city]]&lt;&gt;"",_xlfn.XLOOKUP($D1209,ccc[city],ccc[ctry],"-"),"-")</f>
        <v/>
      </c>
      <c r="M1209" s="1395">
        <f>IF(raw[[#This Row],[city]]&lt;&gt;"",_xlfn.XLOOKUP($D1209,ccc[city],ccc[cont],"-"),"-")</f>
        <v/>
      </c>
      <c r="N1209" s="1396">
        <f>IF(raw[[#This Row],[city]]="","-",IF(raw[[#This Row],[cont]]="B",raw[[#This Row],[cont]],"W"))</f>
        <v/>
      </c>
      <c r="O1209" s="1397">
        <f>IF(raw[[#This Row],[out]]=0,0,IF(raw[[#This Row],[out]]=raw[[#This Row],[in]],0.01,raw[[#This Row],[out]]-raw[[#This Row],[in]]))</f>
        <v/>
      </c>
      <c r="P1209" s="1397">
        <f>IF(raw[[#This Row],[in]]=0,0,MONTH(raw[[#This Row],[in]]))</f>
        <v/>
      </c>
      <c r="Q1209" s="1397">
        <f>IF(raw[[#This Row],[in]]=0,0,YEAR(raw[[#This Row],[in]]))</f>
        <v/>
      </c>
      <c r="R1209" s="1397">
        <f>INT(raw[[#This Row],[yr]]/10)*10</f>
        <v/>
      </c>
      <c r="S1209" s="1395">
        <f>IF(raw[[#This Row],[city]]="","-",IF(raw[[#This Row],[city]]&lt;&gt;_xlfn.XLOOKUP(raw[[#This Row],[home]],homes[home],homes[city],"-"),1,0))</f>
        <v/>
      </c>
      <c r="T1209" s="1398" t="inlineStr">
        <is>
          <t>.</t>
        </is>
      </c>
      <c r="U1209" s="1399">
        <f>IF(raw[[#This Row],[wb]]="w",raw[[#This Row],[stay]]+U1208,U1208)</f>
        <v/>
      </c>
      <c r="V1209" s="1400">
        <f>IF(raw[[#This Row],[out]]=0,V1208,(raw[[#This Row],[out]]-E$5))</f>
        <v/>
      </c>
      <c r="W1209" s="1401">
        <f>U1209/V1209</f>
        <v/>
      </c>
      <c r="X1209" s="1392" t="n"/>
      <c r="Y1209" s="1392" t="n"/>
      <c r="Z1209" s="1392" t="n"/>
      <c r="AA1209" s="1392" t="n"/>
      <c r="AB1209" s="1392" t="n"/>
      <c r="AC1209" s="1392" t="n"/>
      <c r="AD1209" s="1392" t="n"/>
      <c r="AE1209" s="1392" t="n"/>
      <c r="AF1209" s="1392" t="n"/>
      <c r="AG1209" s="1392" t="n"/>
      <c r="AH1209" s="1392" t="n"/>
      <c r="AI1209" s="1392" t="n"/>
      <c r="AJ1209" s="1392" t="n"/>
      <c r="AK1209" s="1392" t="n"/>
      <c r="AL1209" s="1392" t="n"/>
      <c r="AM1209" s="1392" t="n"/>
      <c r="AN1209" s="1392" t="n"/>
      <c r="AO1209" s="1392" t="n"/>
      <c r="AP1209" s="1392" t="n"/>
      <c r="AQ1209" s="1392" t="n"/>
      <c r="AR1209" s="1422" t="n"/>
      <c r="AS1209" s="1422" t="n"/>
      <c r="AT1209" s="1392" t="n"/>
      <c r="AU1209" s="1392" t="n"/>
      <c r="AV1209" s="1392" t="n"/>
      <c r="AW1209" s="1392" t="n"/>
      <c r="AX1209" s="1392" t="n"/>
      <c r="AY1209" s="1392" t="n"/>
      <c r="AZ1209" s="1392" t="n"/>
      <c r="BA1209" s="1422" t="n"/>
      <c r="BB1209" s="1422" t="n"/>
      <c r="BC1209" s="1392" t="n"/>
      <c r="BD1209" s="1392" t="n"/>
      <c r="BE1209" s="1392" t="n"/>
      <c r="BF1209" s="1392" t="n"/>
      <c r="BG1209" s="1392" t="n"/>
      <c r="BH1209" s="1392" t="n"/>
      <c r="BI1209" s="1392" t="n"/>
      <c r="BJ1209" s="1392" t="n"/>
      <c r="BK1209" s="1392" t="n"/>
      <c r="BL1209" s="1392" t="n"/>
      <c r="BM1209" s="1392" t="n"/>
      <c r="BN1209" s="1392" t="n"/>
      <c r="BO1209" s="1392" t="n"/>
      <c r="BP1209" s="1392" t="n"/>
      <c r="BQ1209" s="1392" t="n"/>
      <c r="BR1209" s="1392" t="n"/>
      <c r="BS1209" s="1392" t="n"/>
      <c r="BT1209" s="1392" t="n"/>
      <c r="BU1209" s="1392" t="n"/>
      <c r="BV1209" s="1392" t="n"/>
      <c r="BW1209" s="1392" t="n"/>
      <c r="BX1209" s="1392" t="n"/>
      <c r="BY1209" s="1392" t="n"/>
      <c r="BZ1209" s="1392" t="n"/>
      <c r="CA1209" s="1392" t="n"/>
      <c r="CB1209" s="1392" t="n"/>
      <c r="CC1209" s="1392" t="n"/>
      <c r="CD1209" s="1392" t="n"/>
      <c r="CE1209" s="1392" t="n"/>
      <c r="CF1209" s="1392" t="n"/>
      <c r="CG1209" s="1392" t="n"/>
      <c r="CH1209" s="1392" t="n"/>
      <c r="CI1209" s="1392" t="n"/>
      <c r="CJ1209" s="1392" t="n"/>
      <c r="CK1209" s="1392" t="n"/>
      <c r="CL1209" s="1392" t="n"/>
    </row>
    <row r="1210">
      <c r="A1210" s="5" t="inlineStr">
        <is>
          <t>.</t>
        </is>
      </c>
      <c r="B1210" s="5" t="inlineStr">
        <is>
          <t>.</t>
        </is>
      </c>
      <c r="C1210" s="1378">
        <f>IF(raw[[#This Row],[city]]="","-",IF(raw[[#This Row],[city]]="TODAY","-",C1209+1))</f>
        <v/>
      </c>
      <c r="D1210" s="1393" t="inlineStr">
        <is>
          <t>SSA</t>
        </is>
      </c>
      <c r="E1210" s="1394" t="n">
        <v>40422</v>
      </c>
      <c r="F1210" s="1394" t="n">
        <v>40452</v>
      </c>
      <c r="G1210" s="1393" t="inlineStr">
        <is>
          <t>-</t>
        </is>
      </c>
      <c r="H1210" s="1393" t="inlineStr">
        <is>
          <t>The Place</t>
        </is>
      </c>
      <c r="I1210" s="1393" t="inlineStr">
        <is>
          <t>-</t>
        </is>
      </c>
      <c r="J1210" s="1393" t="inlineStr">
        <is>
          <t>-</t>
        </is>
      </c>
      <c r="K1210" s="1395">
        <f>IF(raw[[#This Row],[city]]&lt;&gt;"",_xlfn.XLOOKUP($D1210,ccc[city],ccc[prov],"-"),"-")</f>
        <v/>
      </c>
      <c r="L1210" s="1395">
        <f>IF(raw[[#This Row],[city]]&lt;&gt;"",_xlfn.XLOOKUP($D1210,ccc[city],ccc[ctry],"-"),"-")</f>
        <v/>
      </c>
      <c r="M1210" s="1395">
        <f>IF(raw[[#This Row],[city]]&lt;&gt;"",_xlfn.XLOOKUP($D1210,ccc[city],ccc[cont],"-"),"-")</f>
        <v/>
      </c>
      <c r="N1210" s="1396">
        <f>IF(raw[[#This Row],[city]]="","-",IF(raw[[#This Row],[cont]]="B",raw[[#This Row],[cont]],"W"))</f>
        <v/>
      </c>
      <c r="O1210" s="1397">
        <f>IF(raw[[#This Row],[out]]=0,0,IF(raw[[#This Row],[out]]=raw[[#This Row],[in]],0.01,raw[[#This Row],[out]]-raw[[#This Row],[in]]))</f>
        <v/>
      </c>
      <c r="P1210" s="1397">
        <f>IF(raw[[#This Row],[in]]=0,0,MONTH(raw[[#This Row],[in]]))</f>
        <v/>
      </c>
      <c r="Q1210" s="1397">
        <f>IF(raw[[#This Row],[in]]=0,0,YEAR(raw[[#This Row],[in]]))</f>
        <v/>
      </c>
      <c r="R1210" s="1397">
        <f>INT(raw[[#This Row],[yr]]/10)*10</f>
        <v/>
      </c>
      <c r="S1210" s="1395">
        <f>IF(raw[[#This Row],[city]]="","-",IF(raw[[#This Row],[city]]&lt;&gt;_xlfn.XLOOKUP(raw[[#This Row],[home]],homes[home],homes[city],"-"),1,0))</f>
        <v/>
      </c>
      <c r="T1210" s="1398" t="inlineStr">
        <is>
          <t>.</t>
        </is>
      </c>
      <c r="U1210" s="1399">
        <f>IF(raw[[#This Row],[wb]]="w",raw[[#This Row],[stay]]+U1209,U1209)</f>
        <v/>
      </c>
      <c r="V1210" s="1400">
        <f>IF(raw[[#This Row],[out]]=0,V1209,(raw[[#This Row],[out]]-E$5))</f>
        <v/>
      </c>
      <c r="W1210" s="1401">
        <f>U1210/V1210</f>
        <v/>
      </c>
      <c r="X1210" s="1392" t="n"/>
      <c r="Y1210" s="1392" t="n"/>
      <c r="Z1210" s="1392" t="n"/>
      <c r="AA1210" s="1392" t="n"/>
      <c r="AB1210" s="1392" t="n"/>
      <c r="AC1210" s="1392" t="n"/>
      <c r="AD1210" s="1392" t="n"/>
      <c r="AE1210" s="1392" t="n"/>
      <c r="AF1210" s="1392" t="n"/>
      <c r="AG1210" s="1392" t="n"/>
      <c r="AH1210" s="1392" t="n"/>
      <c r="AI1210" s="1392" t="n"/>
      <c r="AJ1210" s="1392" t="n"/>
      <c r="AK1210" s="1392" t="n"/>
      <c r="AL1210" s="1392" t="n"/>
      <c r="AM1210" s="1392" t="n"/>
      <c r="AN1210" s="1392" t="n"/>
      <c r="AO1210" s="1392" t="n"/>
      <c r="AP1210" s="1392" t="n"/>
      <c r="AQ1210" s="1392" t="n"/>
      <c r="AR1210" s="1422" t="n"/>
      <c r="AS1210" s="1422" t="n"/>
      <c r="AT1210" s="1392" t="n"/>
      <c r="AU1210" s="1392" t="n"/>
      <c r="AV1210" s="1392" t="n"/>
      <c r="AW1210" s="1392" t="n"/>
      <c r="AX1210" s="1392" t="n"/>
      <c r="AY1210" s="1392" t="n"/>
      <c r="AZ1210" s="1392" t="n"/>
      <c r="BA1210" s="1422" t="n"/>
      <c r="BB1210" s="1422" t="n"/>
      <c r="BC1210" s="1392" t="n"/>
      <c r="BD1210" s="1392" t="n"/>
      <c r="BE1210" s="1392" t="n"/>
      <c r="BF1210" s="1392" t="n"/>
      <c r="BG1210" s="1392" t="n"/>
      <c r="BH1210" s="1392" t="n"/>
      <c r="BI1210" s="1392" t="n"/>
      <c r="BJ1210" s="1392" t="n"/>
      <c r="BK1210" s="1392" t="n"/>
      <c r="BL1210" s="1392" t="n"/>
      <c r="BM1210" s="1392" t="n"/>
      <c r="BN1210" s="1392" t="n"/>
      <c r="BO1210" s="1392" t="n"/>
      <c r="BP1210" s="1392" t="n"/>
      <c r="BQ1210" s="1392" t="n"/>
      <c r="BR1210" s="1392" t="n"/>
      <c r="BS1210" s="1392" t="n"/>
      <c r="BT1210" s="1392" t="n"/>
      <c r="BU1210" s="1392" t="n"/>
      <c r="BV1210" s="1392" t="n"/>
      <c r="BW1210" s="1392" t="n"/>
      <c r="BX1210" s="1392" t="n"/>
      <c r="BY1210" s="1392" t="n"/>
      <c r="BZ1210" s="1392" t="n"/>
      <c r="CA1210" s="1392" t="n"/>
      <c r="CB1210" s="1392" t="n"/>
      <c r="CC1210" s="1392" t="n"/>
      <c r="CD1210" s="1392" t="n"/>
      <c r="CE1210" s="1392" t="n"/>
      <c r="CF1210" s="1392" t="n"/>
      <c r="CG1210" s="1392" t="n"/>
      <c r="CH1210" s="1392" t="n"/>
      <c r="CI1210" s="1392" t="n"/>
      <c r="CJ1210" s="1392" t="n"/>
      <c r="CK1210" s="1392" t="n"/>
      <c r="CL1210" s="1392" t="n"/>
    </row>
    <row r="1211">
      <c r="A1211" s="5" t="inlineStr">
        <is>
          <t>.</t>
        </is>
      </c>
      <c r="B1211" s="5" t="inlineStr">
        <is>
          <t>.</t>
        </is>
      </c>
      <c r="C1211" s="1378">
        <f>IF(raw[[#This Row],[city]]="","-",IF(raw[[#This Row],[city]]="TODAY","-",C1210+1))</f>
        <v/>
      </c>
      <c r="D1211" s="1393" t="inlineStr">
        <is>
          <t>SSA</t>
        </is>
      </c>
      <c r="E1211" s="1394" t="n">
        <v>40452</v>
      </c>
      <c r="F1211" s="1394" t="n">
        <v>40466</v>
      </c>
      <c r="G1211" s="1393" t="n">
        <v>1</v>
      </c>
      <c r="H1211" s="1393" t="inlineStr">
        <is>
          <t>The Place</t>
        </is>
      </c>
      <c r="I1211" s="1393" t="inlineStr">
        <is>
          <t>-</t>
        </is>
      </c>
      <c r="J1211" s="1393" t="inlineStr">
        <is>
          <t>-</t>
        </is>
      </c>
      <c r="K1211" s="1395">
        <f>IF(raw[[#This Row],[city]]&lt;&gt;"",_xlfn.XLOOKUP($D1211,ccc[city],ccc[prov],"-"),"-")</f>
        <v/>
      </c>
      <c r="L1211" s="1395">
        <f>IF(raw[[#This Row],[city]]&lt;&gt;"",_xlfn.XLOOKUP($D1211,ccc[city],ccc[ctry],"-"),"-")</f>
        <v/>
      </c>
      <c r="M1211" s="1395">
        <f>IF(raw[[#This Row],[city]]&lt;&gt;"",_xlfn.XLOOKUP($D1211,ccc[city],ccc[cont],"-"),"-")</f>
        <v/>
      </c>
      <c r="N1211" s="1396">
        <f>IF(raw[[#This Row],[city]]="","-",IF(raw[[#This Row],[cont]]="B",raw[[#This Row],[cont]],"W"))</f>
        <v/>
      </c>
      <c r="O1211" s="1397">
        <f>IF(raw[[#This Row],[out]]=0,0,IF(raw[[#This Row],[out]]=raw[[#This Row],[in]],0.01,raw[[#This Row],[out]]-raw[[#This Row],[in]]))</f>
        <v/>
      </c>
      <c r="P1211" s="1397">
        <f>IF(raw[[#This Row],[in]]=0,0,MONTH(raw[[#This Row],[in]]))</f>
        <v/>
      </c>
      <c r="Q1211" s="1397">
        <f>IF(raw[[#This Row],[in]]=0,0,YEAR(raw[[#This Row],[in]]))</f>
        <v/>
      </c>
      <c r="R1211" s="1397">
        <f>INT(raw[[#This Row],[yr]]/10)*10</f>
        <v/>
      </c>
      <c r="S1211" s="1395">
        <f>IF(raw[[#This Row],[city]]="","-",IF(raw[[#This Row],[city]]&lt;&gt;_xlfn.XLOOKUP(raw[[#This Row],[home]],homes[home],homes[city],"-"),1,0))</f>
        <v/>
      </c>
      <c r="T1211" s="1398" t="inlineStr">
        <is>
          <t>.</t>
        </is>
      </c>
      <c r="U1211" s="1399">
        <f>IF(raw[[#This Row],[wb]]="w",raw[[#This Row],[stay]]+U1210,U1210)</f>
        <v/>
      </c>
      <c r="V1211" s="1400">
        <f>IF(raw[[#This Row],[out]]=0,V1210,(raw[[#This Row],[out]]-E$5))</f>
        <v/>
      </c>
      <c r="W1211" s="1401">
        <f>U1211/V1211</f>
        <v/>
      </c>
      <c r="X1211" s="1392" t="n"/>
      <c r="Y1211" s="1392" t="n"/>
      <c r="Z1211" s="1392" t="n"/>
      <c r="AA1211" s="1392" t="n"/>
      <c r="AB1211" s="1392" t="n"/>
      <c r="AC1211" s="1392" t="n"/>
      <c r="AD1211" s="1392" t="n"/>
      <c r="AE1211" s="1392" t="n"/>
      <c r="AF1211" s="1392" t="n"/>
      <c r="AG1211" s="1392" t="n"/>
      <c r="AH1211" s="1392" t="n"/>
      <c r="AI1211" s="1392" t="n"/>
      <c r="AJ1211" s="1392" t="n"/>
      <c r="AK1211" s="1392" t="n"/>
      <c r="AL1211" s="1392" t="n"/>
      <c r="AM1211" s="1392" t="n"/>
      <c r="AN1211" s="1392" t="n"/>
      <c r="AO1211" s="1392" t="n"/>
      <c r="AP1211" s="1392" t="n"/>
      <c r="AQ1211" s="1392" t="n"/>
      <c r="AR1211" s="1422" t="n"/>
      <c r="AS1211" s="1422" t="n"/>
      <c r="AT1211" s="1392" t="n"/>
      <c r="AU1211" s="1392" t="n"/>
      <c r="AV1211" s="1392" t="n"/>
      <c r="AW1211" s="1392" t="n"/>
      <c r="AX1211" s="1392" t="n"/>
      <c r="AY1211" s="1392" t="n"/>
      <c r="AZ1211" s="1392" t="n"/>
      <c r="BA1211" s="1422" t="n"/>
      <c r="BB1211" s="1422" t="n"/>
      <c r="BC1211" s="1392" t="n"/>
      <c r="BD1211" s="1392" t="n"/>
      <c r="BE1211" s="1392" t="n"/>
      <c r="BF1211" s="1392" t="n"/>
      <c r="BG1211" s="1392" t="n"/>
      <c r="BH1211" s="1392" t="n"/>
      <c r="BI1211" s="1392" t="n"/>
      <c r="BJ1211" s="1392" t="n"/>
      <c r="BK1211" s="1392" t="n"/>
      <c r="BL1211" s="1392" t="n"/>
      <c r="BM1211" s="1392" t="n"/>
      <c r="BN1211" s="1392" t="n"/>
      <c r="BO1211" s="1392" t="n"/>
      <c r="BP1211" s="1392" t="n"/>
      <c r="BQ1211" s="1392" t="n"/>
      <c r="BR1211" s="1392" t="n"/>
      <c r="BS1211" s="1392" t="n"/>
      <c r="BT1211" s="1392" t="n"/>
      <c r="BU1211" s="1392" t="n"/>
      <c r="BV1211" s="1392" t="n"/>
      <c r="BW1211" s="1392" t="n"/>
      <c r="BX1211" s="1392" t="n"/>
      <c r="BY1211" s="1392" t="n"/>
      <c r="BZ1211" s="1392" t="n"/>
      <c r="CA1211" s="1392" t="n"/>
      <c r="CB1211" s="1392" t="n"/>
      <c r="CC1211" s="1392" t="n"/>
      <c r="CD1211" s="1392" t="n"/>
      <c r="CE1211" s="1392" t="n"/>
      <c r="CF1211" s="1392" t="n"/>
      <c r="CG1211" s="1392" t="n"/>
      <c r="CH1211" s="1392" t="n"/>
      <c r="CI1211" s="1392" t="n"/>
      <c r="CJ1211" s="1392" t="n"/>
      <c r="CK1211" s="1392" t="n"/>
      <c r="CL1211" s="1392" t="n"/>
    </row>
    <row r="1212">
      <c r="A1212" s="5" t="inlineStr">
        <is>
          <t>.</t>
        </is>
      </c>
      <c r="B1212" s="5" t="inlineStr">
        <is>
          <t>.</t>
        </is>
      </c>
      <c r="C1212" s="1378">
        <f>IF(raw[[#This Row],[city]]="","-",IF(raw[[#This Row],[city]]="TODAY","-",C1211+1))</f>
        <v/>
      </c>
      <c r="D1212" s="1393" t="inlineStr">
        <is>
          <t>SP</t>
        </is>
      </c>
      <c r="E1212" s="1394" t="n">
        <v>40466</v>
      </c>
      <c r="F1212" s="1394" t="n">
        <v>40478</v>
      </c>
      <c r="G1212" s="1393" t="n">
        <v>1</v>
      </c>
      <c r="H1212" s="1393" t="inlineStr">
        <is>
          <t>The Place</t>
        </is>
      </c>
      <c r="I1212" s="1393" t="inlineStr">
        <is>
          <t>Salto Grande</t>
        </is>
      </c>
      <c r="J1212" s="1393" t="inlineStr">
        <is>
          <t>-</t>
        </is>
      </c>
      <c r="K1212" s="1395">
        <f>IF(raw[[#This Row],[city]]&lt;&gt;"",_xlfn.XLOOKUP($D1212,ccc[city],ccc[prov],"-"),"-")</f>
        <v/>
      </c>
      <c r="L1212" s="1395">
        <f>IF(raw[[#This Row],[city]]&lt;&gt;"",_xlfn.XLOOKUP($D1212,ccc[city],ccc[ctry],"-"),"-")</f>
        <v/>
      </c>
      <c r="M1212" s="1395">
        <f>IF(raw[[#This Row],[city]]&lt;&gt;"",_xlfn.XLOOKUP($D1212,ccc[city],ccc[cont],"-"),"-")</f>
        <v/>
      </c>
      <c r="N1212" s="1396">
        <f>IF(raw[[#This Row],[city]]="","-",IF(raw[[#This Row],[cont]]="B",raw[[#This Row],[cont]],"W"))</f>
        <v/>
      </c>
      <c r="O1212" s="1397">
        <f>IF(raw[[#This Row],[out]]=0,0,IF(raw[[#This Row],[out]]=raw[[#This Row],[in]],0.01,raw[[#This Row],[out]]-raw[[#This Row],[in]]))</f>
        <v/>
      </c>
      <c r="P1212" s="1397">
        <f>IF(raw[[#This Row],[in]]=0,0,MONTH(raw[[#This Row],[in]]))</f>
        <v/>
      </c>
      <c r="Q1212" s="1397">
        <f>IF(raw[[#This Row],[in]]=0,0,YEAR(raw[[#This Row],[in]]))</f>
        <v/>
      </c>
      <c r="R1212" s="1397">
        <f>INT(raw[[#This Row],[yr]]/10)*10</f>
        <v/>
      </c>
      <c r="S1212" s="1395">
        <f>IF(raw[[#This Row],[city]]="","-",IF(raw[[#This Row],[city]]&lt;&gt;_xlfn.XLOOKUP(raw[[#This Row],[home]],homes[home],homes[city],"-"),1,0))</f>
        <v/>
      </c>
      <c r="T1212" s="1398" t="inlineStr">
        <is>
          <t>.</t>
        </is>
      </c>
      <c r="U1212" s="1399">
        <f>IF(raw[[#This Row],[wb]]="w",raw[[#This Row],[stay]]+U1211,U1211)</f>
        <v/>
      </c>
      <c r="V1212" s="1400">
        <f>IF(raw[[#This Row],[out]]=0,V1211,(raw[[#This Row],[out]]-E$5))</f>
        <v/>
      </c>
      <c r="W1212" s="1401">
        <f>U1212/V1212</f>
        <v/>
      </c>
      <c r="X1212" s="1392" t="n"/>
      <c r="Y1212" s="1392" t="n"/>
      <c r="Z1212" s="1392" t="n"/>
      <c r="AA1212" s="1392" t="n"/>
      <c r="AB1212" s="1392" t="n"/>
      <c r="AC1212" s="1392" t="n"/>
      <c r="AD1212" s="1392" t="n"/>
      <c r="AE1212" s="1392" t="n"/>
      <c r="AF1212" s="1392" t="n"/>
      <c r="AG1212" s="1392" t="n"/>
      <c r="AH1212" s="1392" t="n"/>
      <c r="AI1212" s="1392" t="n"/>
      <c r="AJ1212" s="1392" t="n"/>
      <c r="AK1212" s="1392" t="n"/>
      <c r="AL1212" s="1392" t="n"/>
      <c r="AM1212" s="1392" t="n"/>
      <c r="AN1212" s="1392" t="n"/>
      <c r="AO1212" s="1392" t="n"/>
      <c r="AP1212" s="1392" t="n"/>
      <c r="AQ1212" s="1392" t="n"/>
      <c r="AR1212" s="1422" t="n"/>
      <c r="AS1212" s="1422" t="n"/>
      <c r="AT1212" s="1392" t="n"/>
      <c r="AU1212" s="1392" t="n"/>
      <c r="AV1212" s="1392" t="n"/>
      <c r="AW1212" s="1392" t="n"/>
      <c r="AX1212" s="1392" t="n"/>
      <c r="AY1212" s="1392" t="n"/>
      <c r="AZ1212" s="1392" t="n"/>
      <c r="BA1212" s="1422" t="n"/>
      <c r="BB1212" s="1422" t="n"/>
      <c r="BC1212" s="1392" t="n"/>
      <c r="BD1212" s="1392" t="n"/>
      <c r="BE1212" s="1392" t="n"/>
      <c r="BF1212" s="1392" t="n"/>
      <c r="BG1212" s="1392" t="n"/>
      <c r="BH1212" s="1392" t="n"/>
      <c r="BI1212" s="1392" t="n"/>
      <c r="BJ1212" s="1392" t="n"/>
      <c r="BK1212" s="1392" t="n"/>
      <c r="BL1212" s="1392" t="n"/>
      <c r="BM1212" s="1392" t="n"/>
      <c r="BN1212" s="1392" t="n"/>
      <c r="BO1212" s="1392" t="n"/>
      <c r="BP1212" s="1392" t="n"/>
      <c r="BQ1212" s="1392" t="n"/>
      <c r="BR1212" s="1392" t="n"/>
      <c r="BS1212" s="1392" t="n"/>
      <c r="BT1212" s="1392" t="n"/>
      <c r="BU1212" s="1392" t="n"/>
      <c r="BV1212" s="1392" t="n"/>
      <c r="BW1212" s="1392" t="n"/>
      <c r="BX1212" s="1392" t="n"/>
      <c r="BY1212" s="1392" t="n"/>
      <c r="BZ1212" s="1392" t="n"/>
      <c r="CA1212" s="1392" t="n"/>
      <c r="CB1212" s="1392" t="n"/>
      <c r="CC1212" s="1392" t="n"/>
      <c r="CD1212" s="1392" t="n"/>
      <c r="CE1212" s="1392" t="n"/>
      <c r="CF1212" s="1392" t="n"/>
      <c r="CG1212" s="1392" t="n"/>
      <c r="CH1212" s="1392" t="n"/>
      <c r="CI1212" s="1392" t="n"/>
      <c r="CJ1212" s="1392" t="n"/>
      <c r="CK1212" s="1392" t="n"/>
      <c r="CL1212" s="1392" t="n"/>
    </row>
    <row r="1213">
      <c r="A1213" s="5" t="inlineStr">
        <is>
          <t>.</t>
        </is>
      </c>
      <c r="B1213" s="5" t="inlineStr">
        <is>
          <t>.</t>
        </is>
      </c>
      <c r="C1213" s="1378">
        <f>IF(raw[[#This Row],[city]]="","-",IF(raw[[#This Row],[city]]="TODAY","-",C1212+1))</f>
        <v/>
      </c>
      <c r="D1213" s="1393" t="inlineStr">
        <is>
          <t>SSA</t>
        </is>
      </c>
      <c r="E1213" s="1394" t="n">
        <v>40478</v>
      </c>
      <c r="F1213" s="1394" t="n">
        <v>40483</v>
      </c>
      <c r="G1213" s="1393" t="inlineStr">
        <is>
          <t>-</t>
        </is>
      </c>
      <c r="H1213" s="1393" t="inlineStr">
        <is>
          <t>The Place</t>
        </is>
      </c>
      <c r="I1213" s="1393" t="inlineStr">
        <is>
          <t>-</t>
        </is>
      </c>
      <c r="J1213" s="1393" t="inlineStr">
        <is>
          <t>-</t>
        </is>
      </c>
      <c r="K1213" s="1395">
        <f>IF(raw[[#This Row],[city]]&lt;&gt;"",_xlfn.XLOOKUP($D1213,ccc[city],ccc[prov],"-"),"-")</f>
        <v/>
      </c>
      <c r="L1213" s="1395">
        <f>IF(raw[[#This Row],[city]]&lt;&gt;"",_xlfn.XLOOKUP($D1213,ccc[city],ccc[ctry],"-"),"-")</f>
        <v/>
      </c>
      <c r="M1213" s="1395">
        <f>IF(raw[[#This Row],[city]]&lt;&gt;"",_xlfn.XLOOKUP($D1213,ccc[city],ccc[cont],"-"),"-")</f>
        <v/>
      </c>
      <c r="N1213" s="1396">
        <f>IF(raw[[#This Row],[city]]="","-",IF(raw[[#This Row],[cont]]="B",raw[[#This Row],[cont]],"W"))</f>
        <v/>
      </c>
      <c r="O1213" s="1397">
        <f>IF(raw[[#This Row],[out]]=0,0,IF(raw[[#This Row],[out]]=raw[[#This Row],[in]],0.01,raw[[#This Row],[out]]-raw[[#This Row],[in]]))</f>
        <v/>
      </c>
      <c r="P1213" s="1397">
        <f>IF(raw[[#This Row],[in]]=0,0,MONTH(raw[[#This Row],[in]]))</f>
        <v/>
      </c>
      <c r="Q1213" s="1397">
        <f>IF(raw[[#This Row],[in]]=0,0,YEAR(raw[[#This Row],[in]]))</f>
        <v/>
      </c>
      <c r="R1213" s="1397">
        <f>INT(raw[[#This Row],[yr]]/10)*10</f>
        <v/>
      </c>
      <c r="S1213" s="1395">
        <f>IF(raw[[#This Row],[city]]="","-",IF(raw[[#This Row],[city]]&lt;&gt;_xlfn.XLOOKUP(raw[[#This Row],[home]],homes[home],homes[city],"-"),1,0))</f>
        <v/>
      </c>
      <c r="T1213" s="1398" t="inlineStr">
        <is>
          <t>.</t>
        </is>
      </c>
      <c r="U1213" s="1399">
        <f>IF(raw[[#This Row],[wb]]="w",raw[[#This Row],[stay]]+U1212,U1212)</f>
        <v/>
      </c>
      <c r="V1213" s="1400">
        <f>IF(raw[[#This Row],[out]]=0,V1212,(raw[[#This Row],[out]]-E$5))</f>
        <v/>
      </c>
      <c r="W1213" s="1401">
        <f>U1213/V1213</f>
        <v/>
      </c>
      <c r="X1213" s="1392" t="n"/>
      <c r="Y1213" s="1392" t="n"/>
      <c r="Z1213" s="1392" t="n"/>
      <c r="AA1213" s="1392" t="n"/>
      <c r="AB1213" s="1392" t="n"/>
      <c r="AC1213" s="1392" t="n"/>
      <c r="AD1213" s="1392" t="n"/>
      <c r="AE1213" s="1392" t="n"/>
      <c r="AF1213" s="1392" t="n"/>
      <c r="AG1213" s="1392" t="n"/>
      <c r="AH1213" s="1392" t="n"/>
      <c r="AI1213" s="1392" t="n"/>
      <c r="AJ1213" s="1392" t="n"/>
      <c r="AK1213" s="1392" t="n"/>
      <c r="AL1213" s="1392" t="n"/>
      <c r="AM1213" s="1392" t="n"/>
      <c r="AN1213" s="1392" t="n"/>
      <c r="AO1213" s="1392" t="n"/>
      <c r="AP1213" s="1392" t="n"/>
      <c r="AQ1213" s="1392" t="n"/>
      <c r="AR1213" s="1422" t="n"/>
      <c r="AS1213" s="1422" t="n"/>
      <c r="AT1213" s="1392" t="n"/>
      <c r="AU1213" s="1392" t="n"/>
      <c r="AV1213" s="1392" t="n"/>
      <c r="AW1213" s="1392" t="n"/>
      <c r="AX1213" s="1392" t="n"/>
      <c r="AY1213" s="1392" t="n"/>
      <c r="AZ1213" s="1392" t="n"/>
      <c r="BA1213" s="1422" t="n"/>
      <c r="BB1213" s="1422" t="n"/>
      <c r="BC1213" s="1392" t="n"/>
      <c r="BD1213" s="1392" t="n"/>
      <c r="BE1213" s="1392" t="n"/>
      <c r="BF1213" s="1392" t="n"/>
      <c r="BG1213" s="1392" t="n"/>
      <c r="BH1213" s="1392" t="n"/>
      <c r="BI1213" s="1392" t="n"/>
      <c r="BJ1213" s="1392" t="n"/>
      <c r="BK1213" s="1392" t="n"/>
      <c r="BL1213" s="1392" t="n"/>
      <c r="BM1213" s="1392" t="n"/>
      <c r="BN1213" s="1392" t="n"/>
      <c r="BO1213" s="1392" t="n"/>
      <c r="BP1213" s="1392" t="n"/>
      <c r="BQ1213" s="1392" t="n"/>
      <c r="BR1213" s="1392" t="n"/>
      <c r="BS1213" s="1392" t="n"/>
      <c r="BT1213" s="1392" t="n"/>
      <c r="BU1213" s="1392" t="n"/>
      <c r="BV1213" s="1392" t="n"/>
      <c r="BW1213" s="1392" t="n"/>
      <c r="BX1213" s="1392" t="n"/>
      <c r="BY1213" s="1392" t="n"/>
      <c r="BZ1213" s="1392" t="n"/>
      <c r="CA1213" s="1392" t="n"/>
      <c r="CB1213" s="1392" t="n"/>
      <c r="CC1213" s="1392" t="n"/>
      <c r="CD1213" s="1392" t="n"/>
      <c r="CE1213" s="1392" t="n"/>
      <c r="CF1213" s="1392" t="n"/>
      <c r="CG1213" s="1392" t="n"/>
      <c r="CH1213" s="1392" t="n"/>
      <c r="CI1213" s="1392" t="n"/>
      <c r="CJ1213" s="1392" t="n"/>
      <c r="CK1213" s="1392" t="n"/>
      <c r="CL1213" s="1392" t="n"/>
    </row>
    <row r="1214">
      <c r="A1214" s="5" t="inlineStr">
        <is>
          <t>.</t>
        </is>
      </c>
      <c r="B1214" s="5" t="inlineStr">
        <is>
          <t>.</t>
        </is>
      </c>
      <c r="C1214" s="1378">
        <f>IF(raw[[#This Row],[city]]="","-",IF(raw[[#This Row],[city]]="TODAY","-",C1213+1))</f>
        <v/>
      </c>
      <c r="D1214" s="1393" t="inlineStr">
        <is>
          <t>SSA</t>
        </is>
      </c>
      <c r="E1214" s="1394" t="n">
        <v>40483</v>
      </c>
      <c r="F1214" s="1394" t="n">
        <v>40513</v>
      </c>
      <c r="G1214" s="1393" t="inlineStr">
        <is>
          <t>-</t>
        </is>
      </c>
      <c r="H1214" s="1393" t="inlineStr">
        <is>
          <t>The Place</t>
        </is>
      </c>
      <c r="I1214" s="1393" t="inlineStr">
        <is>
          <t>-</t>
        </is>
      </c>
      <c r="J1214" s="1393" t="inlineStr">
        <is>
          <t>-</t>
        </is>
      </c>
      <c r="K1214" s="1395">
        <f>IF(raw[[#This Row],[city]]&lt;&gt;"",_xlfn.XLOOKUP($D1214,ccc[city],ccc[prov],"-"),"-")</f>
        <v/>
      </c>
      <c r="L1214" s="1395">
        <f>IF(raw[[#This Row],[city]]&lt;&gt;"",_xlfn.XLOOKUP($D1214,ccc[city],ccc[ctry],"-"),"-")</f>
        <v/>
      </c>
      <c r="M1214" s="1395">
        <f>IF(raw[[#This Row],[city]]&lt;&gt;"",_xlfn.XLOOKUP($D1214,ccc[city],ccc[cont],"-"),"-")</f>
        <v/>
      </c>
      <c r="N1214" s="1396">
        <f>IF(raw[[#This Row],[city]]="","-",IF(raw[[#This Row],[cont]]="B",raw[[#This Row],[cont]],"W"))</f>
        <v/>
      </c>
      <c r="O1214" s="1397">
        <f>IF(raw[[#This Row],[out]]=0,0,IF(raw[[#This Row],[out]]=raw[[#This Row],[in]],0.01,raw[[#This Row],[out]]-raw[[#This Row],[in]]))</f>
        <v/>
      </c>
      <c r="P1214" s="1397">
        <f>IF(raw[[#This Row],[in]]=0,0,MONTH(raw[[#This Row],[in]]))</f>
        <v/>
      </c>
      <c r="Q1214" s="1397">
        <f>IF(raw[[#This Row],[in]]=0,0,YEAR(raw[[#This Row],[in]]))</f>
        <v/>
      </c>
      <c r="R1214" s="1397">
        <f>INT(raw[[#This Row],[yr]]/10)*10</f>
        <v/>
      </c>
      <c r="S1214" s="1395">
        <f>IF(raw[[#This Row],[city]]="","-",IF(raw[[#This Row],[city]]&lt;&gt;_xlfn.XLOOKUP(raw[[#This Row],[home]],homes[home],homes[city],"-"),1,0))</f>
        <v/>
      </c>
      <c r="T1214" s="1398" t="inlineStr">
        <is>
          <t>.</t>
        </is>
      </c>
      <c r="U1214" s="1399">
        <f>IF(raw[[#This Row],[wb]]="w",raw[[#This Row],[stay]]+U1213,U1213)</f>
        <v/>
      </c>
      <c r="V1214" s="1400">
        <f>IF(raw[[#This Row],[out]]=0,V1213,(raw[[#This Row],[out]]-E$5))</f>
        <v/>
      </c>
      <c r="W1214" s="1401">
        <f>U1214/V1214</f>
        <v/>
      </c>
      <c r="X1214" s="1392" t="n"/>
      <c r="Y1214" s="1392" t="n"/>
      <c r="Z1214" s="1392" t="n"/>
      <c r="AA1214" s="1392" t="n"/>
      <c r="AB1214" s="1392" t="n"/>
      <c r="AC1214" s="1392" t="n"/>
      <c r="AD1214" s="1392" t="n"/>
      <c r="AE1214" s="1392" t="n"/>
      <c r="AF1214" s="1392" t="n"/>
      <c r="AG1214" s="1392" t="n"/>
      <c r="AH1214" s="1392" t="n"/>
      <c r="AI1214" s="1392" t="n"/>
      <c r="AJ1214" s="1392" t="n"/>
      <c r="AK1214" s="1392" t="n"/>
      <c r="AL1214" s="1392" t="n"/>
      <c r="AM1214" s="1392" t="n"/>
      <c r="AN1214" s="1392" t="n"/>
      <c r="AO1214" s="1392" t="n"/>
      <c r="AP1214" s="1392" t="n"/>
      <c r="AQ1214" s="1392" t="n"/>
      <c r="AR1214" s="1422" t="n"/>
      <c r="AS1214" s="1422" t="n"/>
      <c r="AT1214" s="1392" t="n"/>
      <c r="AU1214" s="1392" t="n"/>
      <c r="AV1214" s="1392" t="n"/>
      <c r="AW1214" s="1392" t="n"/>
      <c r="AX1214" s="1392" t="n"/>
      <c r="AY1214" s="1392" t="n"/>
      <c r="AZ1214" s="1392" t="n"/>
      <c r="BA1214" s="1422" t="n"/>
      <c r="BB1214" s="1422" t="n"/>
      <c r="BC1214" s="1392" t="n"/>
      <c r="BD1214" s="1392" t="n"/>
      <c r="BE1214" s="1392" t="n"/>
      <c r="BF1214" s="1392" t="n"/>
      <c r="BG1214" s="1392" t="n"/>
      <c r="BH1214" s="1392" t="n"/>
      <c r="BI1214" s="1392" t="n"/>
      <c r="BJ1214" s="1392" t="n"/>
      <c r="BK1214" s="1392" t="n"/>
      <c r="BL1214" s="1392" t="n"/>
      <c r="BM1214" s="1392" t="n"/>
      <c r="BN1214" s="1392" t="n"/>
      <c r="BO1214" s="1392" t="n"/>
      <c r="BP1214" s="1392" t="n"/>
      <c r="BQ1214" s="1392" t="n"/>
      <c r="BR1214" s="1392" t="n"/>
      <c r="BS1214" s="1392" t="n"/>
      <c r="BT1214" s="1392" t="n"/>
      <c r="BU1214" s="1392" t="n"/>
      <c r="BV1214" s="1392" t="n"/>
      <c r="BW1214" s="1392" t="n"/>
      <c r="BX1214" s="1392" t="n"/>
      <c r="BY1214" s="1392" t="n"/>
      <c r="BZ1214" s="1392" t="n"/>
      <c r="CA1214" s="1392" t="n"/>
      <c r="CB1214" s="1392" t="n"/>
      <c r="CC1214" s="1392" t="n"/>
      <c r="CD1214" s="1392" t="n"/>
      <c r="CE1214" s="1392" t="n"/>
      <c r="CF1214" s="1392" t="n"/>
      <c r="CG1214" s="1392" t="n"/>
      <c r="CH1214" s="1392" t="n"/>
      <c r="CI1214" s="1392" t="n"/>
      <c r="CJ1214" s="1392" t="n"/>
      <c r="CK1214" s="1392" t="n"/>
      <c r="CL1214" s="1392" t="n"/>
    </row>
    <row r="1215">
      <c r="A1215" s="5" t="inlineStr">
        <is>
          <t>.</t>
        </is>
      </c>
      <c r="B1215" s="5" t="inlineStr">
        <is>
          <t>.</t>
        </is>
      </c>
      <c r="C1215" s="1378">
        <f>IF(raw[[#This Row],[city]]="","-",IF(raw[[#This Row],[city]]="TODAY","-",C1214+1))</f>
        <v/>
      </c>
      <c r="D1215" s="1393" t="inlineStr">
        <is>
          <t>SSA</t>
        </is>
      </c>
      <c r="E1215" s="1394" t="n">
        <v>40513</v>
      </c>
      <c r="F1215" s="1394" t="n">
        <v>40515</v>
      </c>
      <c r="G1215" s="1393" t="n">
        <v>1</v>
      </c>
      <c r="H1215" s="1393" t="inlineStr">
        <is>
          <t>The Place</t>
        </is>
      </c>
      <c r="I1215" s="1393" t="inlineStr">
        <is>
          <t>-</t>
        </is>
      </c>
      <c r="J1215" s="1393" t="inlineStr">
        <is>
          <t>-</t>
        </is>
      </c>
      <c r="K1215" s="1395">
        <f>IF(raw[[#This Row],[city]]&lt;&gt;"",_xlfn.XLOOKUP($D1215,ccc[city],ccc[prov],"-"),"-")</f>
        <v/>
      </c>
      <c r="L1215" s="1395">
        <f>IF(raw[[#This Row],[city]]&lt;&gt;"",_xlfn.XLOOKUP($D1215,ccc[city],ccc[ctry],"-"),"-")</f>
        <v/>
      </c>
      <c r="M1215" s="1395">
        <f>IF(raw[[#This Row],[city]]&lt;&gt;"",_xlfn.XLOOKUP($D1215,ccc[city],ccc[cont],"-"),"-")</f>
        <v/>
      </c>
      <c r="N1215" s="1396">
        <f>IF(raw[[#This Row],[city]]="","-",IF(raw[[#This Row],[cont]]="B",raw[[#This Row],[cont]],"W"))</f>
        <v/>
      </c>
      <c r="O1215" s="1397">
        <f>IF(raw[[#This Row],[out]]=0,0,IF(raw[[#This Row],[out]]=raw[[#This Row],[in]],0.01,raw[[#This Row],[out]]-raw[[#This Row],[in]]))</f>
        <v/>
      </c>
      <c r="P1215" s="1397">
        <f>IF(raw[[#This Row],[in]]=0,0,MONTH(raw[[#This Row],[in]]))</f>
        <v/>
      </c>
      <c r="Q1215" s="1397">
        <f>IF(raw[[#This Row],[in]]=0,0,YEAR(raw[[#This Row],[in]]))</f>
        <v/>
      </c>
      <c r="R1215" s="1397">
        <f>INT(raw[[#This Row],[yr]]/10)*10</f>
        <v/>
      </c>
      <c r="S1215" s="1395">
        <f>IF(raw[[#This Row],[city]]="","-",IF(raw[[#This Row],[city]]&lt;&gt;_xlfn.XLOOKUP(raw[[#This Row],[home]],homes[home],homes[city],"-"),1,0))</f>
        <v/>
      </c>
      <c r="T1215" s="1398" t="inlineStr">
        <is>
          <t>.</t>
        </is>
      </c>
      <c r="U1215" s="1399">
        <f>IF(raw[[#This Row],[wb]]="w",raw[[#This Row],[stay]]+U1214,U1214)</f>
        <v/>
      </c>
      <c r="V1215" s="1400">
        <f>IF(raw[[#This Row],[out]]=0,V1214,(raw[[#This Row],[out]]-E$5))</f>
        <v/>
      </c>
      <c r="W1215" s="1401">
        <f>U1215/V1215</f>
        <v/>
      </c>
      <c r="X1215" s="1392" t="n"/>
      <c r="Y1215" s="1392" t="n"/>
      <c r="Z1215" s="1392" t="n"/>
      <c r="AA1215" s="1392" t="n"/>
      <c r="AB1215" s="1392" t="n"/>
      <c r="AC1215" s="1392" t="n"/>
      <c r="AD1215" s="1392" t="n"/>
      <c r="AE1215" s="1392" t="n"/>
      <c r="AF1215" s="1392" t="n"/>
      <c r="AG1215" s="1392" t="n"/>
      <c r="AH1215" s="1392" t="n"/>
      <c r="AI1215" s="1392" t="n"/>
      <c r="AJ1215" s="1392" t="n"/>
      <c r="AK1215" s="1392" t="n"/>
      <c r="AL1215" s="1392" t="n"/>
      <c r="AM1215" s="1392" t="n"/>
      <c r="AN1215" s="1392" t="n"/>
      <c r="AO1215" s="1392" t="n"/>
      <c r="AP1215" s="1392" t="n"/>
      <c r="AQ1215" s="1392" t="n"/>
      <c r="AR1215" s="1422" t="n"/>
      <c r="AS1215" s="1422" t="n"/>
      <c r="AT1215" s="1392" t="n"/>
      <c r="AU1215" s="1392" t="n"/>
      <c r="AV1215" s="1392" t="n"/>
      <c r="AW1215" s="1392" t="n"/>
      <c r="AX1215" s="1392" t="n"/>
      <c r="AY1215" s="1392" t="n"/>
      <c r="AZ1215" s="1392" t="n"/>
      <c r="BA1215" s="1422" t="n"/>
      <c r="BB1215" s="1422" t="n"/>
      <c r="BC1215" s="1392" t="n"/>
      <c r="BD1215" s="1392" t="n"/>
      <c r="BE1215" s="1392" t="n"/>
      <c r="BF1215" s="1392" t="n"/>
      <c r="BG1215" s="1392" t="n"/>
      <c r="BH1215" s="1392" t="n"/>
      <c r="BI1215" s="1392" t="n"/>
      <c r="BJ1215" s="1392" t="n"/>
      <c r="BK1215" s="1392" t="n"/>
      <c r="BL1215" s="1392" t="n"/>
      <c r="BM1215" s="1392" t="n"/>
      <c r="BN1215" s="1392" t="n"/>
      <c r="BO1215" s="1392" t="n"/>
      <c r="BP1215" s="1392" t="n"/>
      <c r="BQ1215" s="1392" t="n"/>
      <c r="BR1215" s="1392" t="n"/>
      <c r="BS1215" s="1392" t="n"/>
      <c r="BT1215" s="1392" t="n"/>
      <c r="BU1215" s="1392" t="n"/>
      <c r="BV1215" s="1392" t="n"/>
      <c r="BW1215" s="1392" t="n"/>
      <c r="BX1215" s="1392" t="n"/>
      <c r="BY1215" s="1392" t="n"/>
      <c r="BZ1215" s="1392" t="n"/>
      <c r="CA1215" s="1392" t="n"/>
      <c r="CB1215" s="1392" t="n"/>
      <c r="CC1215" s="1392" t="n"/>
      <c r="CD1215" s="1392" t="n"/>
      <c r="CE1215" s="1392" t="n"/>
      <c r="CF1215" s="1392" t="n"/>
      <c r="CG1215" s="1392" t="n"/>
      <c r="CH1215" s="1392" t="n"/>
      <c r="CI1215" s="1392" t="n"/>
      <c r="CJ1215" s="1392" t="n"/>
      <c r="CK1215" s="1392" t="n"/>
      <c r="CL1215" s="1392" t="n"/>
    </row>
    <row r="1216">
      <c r="A1216" s="5" t="inlineStr">
        <is>
          <t>.</t>
        </is>
      </c>
      <c r="B1216" s="5" t="inlineStr">
        <is>
          <t>.</t>
        </is>
      </c>
      <c r="C1216" s="1378">
        <f>IF(raw[[#This Row],[city]]="","-",IF(raw[[#This Row],[city]]="TODAY","-",C1215+1))</f>
        <v/>
      </c>
      <c r="D1216" s="1393" t="inlineStr">
        <is>
          <t>SP</t>
        </is>
      </c>
      <c r="E1216" s="1394" t="n">
        <v>40515</v>
      </c>
      <c r="F1216" s="1394" t="n">
        <v>40515</v>
      </c>
      <c r="G1216" s="1393" t="n">
        <v>0.01</v>
      </c>
      <c r="H1216" s="1393" t="inlineStr">
        <is>
          <t>The Place</t>
        </is>
      </c>
      <c r="I1216" s="1393" t="inlineStr">
        <is>
          <t>-</t>
        </is>
      </c>
      <c r="J1216" s="1393" t="inlineStr">
        <is>
          <t>-</t>
        </is>
      </c>
      <c r="K1216" s="1395">
        <f>IF(raw[[#This Row],[city]]&lt;&gt;"",_xlfn.XLOOKUP($D1216,ccc[city],ccc[prov],"-"),"-")</f>
        <v/>
      </c>
      <c r="L1216" s="1395">
        <f>IF(raw[[#This Row],[city]]&lt;&gt;"",_xlfn.XLOOKUP($D1216,ccc[city],ccc[ctry],"-"),"-")</f>
        <v/>
      </c>
      <c r="M1216" s="1395">
        <f>IF(raw[[#This Row],[city]]&lt;&gt;"",_xlfn.XLOOKUP($D1216,ccc[city],ccc[cont],"-"),"-")</f>
        <v/>
      </c>
      <c r="N1216" s="1396">
        <f>IF(raw[[#This Row],[city]]="","-",IF(raw[[#This Row],[cont]]="B",raw[[#This Row],[cont]],"W"))</f>
        <v/>
      </c>
      <c r="O1216" s="1397">
        <f>IF(raw[[#This Row],[out]]=0,0,IF(raw[[#This Row],[out]]=raw[[#This Row],[in]],0.01,raw[[#This Row],[out]]-raw[[#This Row],[in]]))</f>
        <v/>
      </c>
      <c r="P1216" s="1397">
        <f>IF(raw[[#This Row],[in]]=0,0,MONTH(raw[[#This Row],[in]]))</f>
        <v/>
      </c>
      <c r="Q1216" s="1397">
        <f>IF(raw[[#This Row],[in]]=0,0,YEAR(raw[[#This Row],[in]]))</f>
        <v/>
      </c>
      <c r="R1216" s="1397">
        <f>INT(raw[[#This Row],[yr]]/10)*10</f>
        <v/>
      </c>
      <c r="S1216" s="1395">
        <f>IF(raw[[#This Row],[city]]="","-",IF(raw[[#This Row],[city]]&lt;&gt;_xlfn.XLOOKUP(raw[[#This Row],[home]],homes[home],homes[city],"-"),1,0))</f>
        <v/>
      </c>
      <c r="T1216" s="1398" t="inlineStr">
        <is>
          <t>.</t>
        </is>
      </c>
      <c r="U1216" s="1399">
        <f>IF(raw[[#This Row],[wb]]="w",raw[[#This Row],[stay]]+U1215,U1215)</f>
        <v/>
      </c>
      <c r="V1216" s="1400">
        <f>IF(raw[[#This Row],[out]]=0,V1215,(raw[[#This Row],[out]]-E$5))</f>
        <v/>
      </c>
      <c r="W1216" s="1401">
        <f>U1216/V1216</f>
        <v/>
      </c>
      <c r="X1216" s="1392" t="n"/>
      <c r="Y1216" s="1392" t="n"/>
      <c r="Z1216" s="1392" t="n"/>
      <c r="AA1216" s="1392" t="n"/>
      <c r="AB1216" s="1392" t="n"/>
      <c r="AC1216" s="1392" t="n"/>
      <c r="AD1216" s="1392" t="n"/>
      <c r="AE1216" s="1392" t="n"/>
      <c r="AF1216" s="1392" t="n"/>
      <c r="AG1216" s="1392" t="n"/>
      <c r="AH1216" s="1392" t="n"/>
      <c r="AI1216" s="1392" t="n"/>
      <c r="AJ1216" s="1392" t="n"/>
      <c r="AK1216" s="1392" t="n"/>
      <c r="AL1216" s="1392" t="n"/>
      <c r="AM1216" s="1392" t="n"/>
      <c r="AN1216" s="1392" t="n"/>
      <c r="AO1216" s="1392" t="n"/>
      <c r="AP1216" s="1392" t="n"/>
      <c r="AQ1216" s="1392" t="n"/>
      <c r="AR1216" s="1422" t="n"/>
      <c r="AS1216" s="1422" t="n"/>
      <c r="AT1216" s="1392" t="n"/>
      <c r="AU1216" s="1392" t="n"/>
      <c r="AV1216" s="1392" t="n"/>
      <c r="AW1216" s="1392" t="n"/>
      <c r="AX1216" s="1392" t="n"/>
      <c r="AY1216" s="1392" t="n"/>
      <c r="AZ1216" s="1392" t="n"/>
      <c r="BA1216" s="1422" t="n"/>
      <c r="BB1216" s="1422" t="n"/>
      <c r="BC1216" s="1392" t="n"/>
      <c r="BD1216" s="1392" t="n"/>
      <c r="BE1216" s="1392" t="n"/>
      <c r="BF1216" s="1392" t="n"/>
      <c r="BG1216" s="1392" t="n"/>
      <c r="BH1216" s="1392" t="n"/>
      <c r="BI1216" s="1392" t="n"/>
      <c r="BJ1216" s="1392" t="n"/>
      <c r="BK1216" s="1392" t="n"/>
      <c r="BL1216" s="1392" t="n"/>
      <c r="BM1216" s="1392" t="n"/>
      <c r="BN1216" s="1392" t="n"/>
      <c r="BO1216" s="1392" t="n"/>
      <c r="BP1216" s="1392" t="n"/>
      <c r="BQ1216" s="1392" t="n"/>
      <c r="BR1216" s="1392" t="n"/>
      <c r="BS1216" s="1392" t="n"/>
      <c r="BT1216" s="1392" t="n"/>
      <c r="BU1216" s="1392" t="n"/>
      <c r="BV1216" s="1392" t="n"/>
      <c r="BW1216" s="1392" t="n"/>
      <c r="BX1216" s="1392" t="n"/>
      <c r="BY1216" s="1392" t="n"/>
      <c r="BZ1216" s="1392" t="n"/>
      <c r="CA1216" s="1392" t="n"/>
      <c r="CB1216" s="1392" t="n"/>
      <c r="CC1216" s="1392" t="n"/>
      <c r="CD1216" s="1392" t="n"/>
      <c r="CE1216" s="1392" t="n"/>
      <c r="CF1216" s="1392" t="n"/>
      <c r="CG1216" s="1392" t="n"/>
      <c r="CH1216" s="1392" t="n"/>
      <c r="CI1216" s="1392" t="n"/>
      <c r="CJ1216" s="1392" t="n"/>
      <c r="CK1216" s="1392" t="n"/>
      <c r="CL1216" s="1392" t="n"/>
    </row>
    <row r="1217">
      <c r="A1217" s="5" t="inlineStr">
        <is>
          <t>.</t>
        </is>
      </c>
      <c r="B1217" s="5" t="inlineStr">
        <is>
          <t>.</t>
        </is>
      </c>
      <c r="C1217" s="1378">
        <f>IF(raw[[#This Row],[city]]="","-",IF(raw[[#This Row],[city]]="TODAY","-",C1216+1))</f>
        <v/>
      </c>
      <c r="D1217" s="1393" t="inlineStr">
        <is>
          <t>Buenos Aires</t>
        </is>
      </c>
      <c r="E1217" s="1394" t="n">
        <v>40515</v>
      </c>
      <c r="F1217" s="1394" t="n">
        <v>40519</v>
      </c>
      <c r="G1217" s="1393" t="inlineStr">
        <is>
          <t>-</t>
        </is>
      </c>
      <c r="H1217" s="1393" t="inlineStr">
        <is>
          <t>The Place</t>
        </is>
      </c>
      <c r="I1217" s="1393" t="inlineStr">
        <is>
          <t>-</t>
        </is>
      </c>
      <c r="J1217" s="1393" t="inlineStr">
        <is>
          <t>-</t>
        </is>
      </c>
      <c r="K1217" s="1395">
        <f>IF(raw[[#This Row],[city]]&lt;&gt;"",_xlfn.XLOOKUP($D1217,ccc[city],ccc[prov],"-"),"-")</f>
        <v/>
      </c>
      <c r="L1217" s="1395">
        <f>IF(raw[[#This Row],[city]]&lt;&gt;"",_xlfn.XLOOKUP($D1217,ccc[city],ccc[ctry],"-"),"-")</f>
        <v/>
      </c>
      <c r="M1217" s="1395">
        <f>IF(raw[[#This Row],[city]]&lt;&gt;"",_xlfn.XLOOKUP($D1217,ccc[city],ccc[cont],"-"),"-")</f>
        <v/>
      </c>
      <c r="N1217" s="1396">
        <f>IF(raw[[#This Row],[city]]="","-",IF(raw[[#This Row],[cont]]="B",raw[[#This Row],[cont]],"W"))</f>
        <v/>
      </c>
      <c r="O1217" s="1397">
        <f>IF(raw[[#This Row],[out]]=0,0,IF(raw[[#This Row],[out]]=raw[[#This Row],[in]],0.01,raw[[#This Row],[out]]-raw[[#This Row],[in]]))</f>
        <v/>
      </c>
      <c r="P1217" s="1397">
        <f>IF(raw[[#This Row],[in]]=0,0,MONTH(raw[[#This Row],[in]]))</f>
        <v/>
      </c>
      <c r="Q1217" s="1397">
        <f>IF(raw[[#This Row],[in]]=0,0,YEAR(raw[[#This Row],[in]]))</f>
        <v/>
      </c>
      <c r="R1217" s="1397">
        <f>INT(raw[[#This Row],[yr]]/10)*10</f>
        <v/>
      </c>
      <c r="S1217" s="1395">
        <f>IF(raw[[#This Row],[city]]="","-",IF(raw[[#This Row],[city]]&lt;&gt;_xlfn.XLOOKUP(raw[[#This Row],[home]],homes[home],homes[city],"-"),1,0))</f>
        <v/>
      </c>
      <c r="T1217" s="1398" t="inlineStr">
        <is>
          <t>.</t>
        </is>
      </c>
      <c r="U1217" s="1399">
        <f>IF(raw[[#This Row],[wb]]="w",raw[[#This Row],[stay]]+U1216,U1216)</f>
        <v/>
      </c>
      <c r="V1217" s="1400">
        <f>IF(raw[[#This Row],[out]]=0,V1216,(raw[[#This Row],[out]]-E$5))</f>
        <v/>
      </c>
      <c r="W1217" s="1401">
        <f>U1217/V1217</f>
        <v/>
      </c>
      <c r="X1217" s="1392" t="n"/>
      <c r="Y1217" s="1392" t="n"/>
      <c r="Z1217" s="1392" t="n"/>
      <c r="AA1217" s="1392" t="n"/>
      <c r="AB1217" s="1392" t="n"/>
      <c r="AC1217" s="1392" t="n"/>
      <c r="AD1217" s="1392" t="n"/>
      <c r="AE1217" s="1392" t="n"/>
      <c r="AF1217" s="1392" t="n"/>
      <c r="AG1217" s="1392" t="n"/>
      <c r="AH1217" s="1392" t="n"/>
      <c r="AI1217" s="1392" t="n"/>
      <c r="AJ1217" s="1392" t="n"/>
      <c r="AK1217" s="1392" t="n"/>
      <c r="AL1217" s="1392" t="n"/>
      <c r="AM1217" s="1392" t="n"/>
      <c r="AN1217" s="1392" t="n"/>
      <c r="AO1217" s="1392" t="n"/>
      <c r="AP1217" s="1392" t="n"/>
      <c r="AQ1217" s="1392" t="n"/>
      <c r="AR1217" s="1422" t="n"/>
      <c r="AS1217" s="1422" t="n"/>
      <c r="AT1217" s="1392" t="n"/>
      <c r="AU1217" s="1392" t="n"/>
      <c r="AV1217" s="1392" t="n"/>
      <c r="AW1217" s="1392" t="n"/>
      <c r="AX1217" s="1392" t="n"/>
      <c r="AY1217" s="1392" t="n"/>
      <c r="AZ1217" s="1392" t="n"/>
      <c r="BA1217" s="1422" t="n"/>
      <c r="BB1217" s="1422" t="n"/>
      <c r="BC1217" s="1392" t="n"/>
      <c r="BD1217" s="1392" t="n"/>
      <c r="BE1217" s="1392" t="n"/>
      <c r="BF1217" s="1392" t="n"/>
      <c r="BG1217" s="1392" t="n"/>
      <c r="BH1217" s="1392" t="n"/>
      <c r="BI1217" s="1392" t="n"/>
      <c r="BJ1217" s="1392" t="n"/>
      <c r="BK1217" s="1392" t="n"/>
      <c r="BL1217" s="1392" t="n"/>
      <c r="BM1217" s="1392" t="n"/>
      <c r="BN1217" s="1392" t="n"/>
      <c r="BO1217" s="1392" t="n"/>
      <c r="BP1217" s="1392" t="n"/>
      <c r="BQ1217" s="1392" t="n"/>
      <c r="BR1217" s="1392" t="n"/>
      <c r="BS1217" s="1392" t="n"/>
      <c r="BT1217" s="1392" t="n"/>
      <c r="BU1217" s="1392" t="n"/>
      <c r="BV1217" s="1392" t="n"/>
      <c r="BW1217" s="1392" t="n"/>
      <c r="BX1217" s="1392" t="n"/>
      <c r="BY1217" s="1392" t="n"/>
      <c r="BZ1217" s="1392" t="n"/>
      <c r="CA1217" s="1392" t="n"/>
      <c r="CB1217" s="1392" t="n"/>
      <c r="CC1217" s="1392" t="n"/>
      <c r="CD1217" s="1392" t="n"/>
      <c r="CE1217" s="1392" t="n"/>
      <c r="CF1217" s="1392" t="n"/>
      <c r="CG1217" s="1392" t="n"/>
      <c r="CH1217" s="1392" t="n"/>
      <c r="CI1217" s="1392" t="n"/>
      <c r="CJ1217" s="1392" t="n"/>
      <c r="CK1217" s="1392" t="n"/>
      <c r="CL1217" s="1392" t="n"/>
    </row>
    <row r="1218">
      <c r="A1218" s="5" t="inlineStr">
        <is>
          <t>.</t>
        </is>
      </c>
      <c r="B1218" s="5" t="inlineStr">
        <is>
          <t>.</t>
        </is>
      </c>
      <c r="C1218" s="1378">
        <f>IF(raw[[#This Row],[city]]="","-",IF(raw[[#This Row],[city]]="TODAY","-",C1217+1))</f>
        <v/>
      </c>
      <c r="D1218" s="1393" t="inlineStr">
        <is>
          <t>San Isidro</t>
        </is>
      </c>
      <c r="E1218" s="1394" t="n">
        <v>40517</v>
      </c>
      <c r="F1218" s="1394" t="n">
        <v>40517</v>
      </c>
      <c r="G1218" s="1393" t="inlineStr">
        <is>
          <t>-</t>
        </is>
      </c>
      <c r="H1218" s="1393" t="inlineStr">
        <is>
          <t>The Place</t>
        </is>
      </c>
      <c r="I1218" s="1393" t="inlineStr">
        <is>
          <t>-</t>
        </is>
      </c>
      <c r="J1218" s="1393" t="inlineStr">
        <is>
          <t>-</t>
        </is>
      </c>
      <c r="K1218" s="1395">
        <f>IF(raw[[#This Row],[city]]&lt;&gt;"",_xlfn.XLOOKUP($D1218,ccc[city],ccc[prov],"-"),"-")</f>
        <v/>
      </c>
      <c r="L1218" s="1395">
        <f>IF(raw[[#This Row],[city]]&lt;&gt;"",_xlfn.XLOOKUP($D1218,ccc[city],ccc[ctry],"-"),"-")</f>
        <v/>
      </c>
      <c r="M1218" s="1395">
        <f>IF(raw[[#This Row],[city]]&lt;&gt;"",_xlfn.XLOOKUP($D1218,ccc[city],ccc[cont],"-"),"-")</f>
        <v/>
      </c>
      <c r="N1218" s="1396">
        <f>IF(raw[[#This Row],[city]]="","-",IF(raw[[#This Row],[cont]]="B",raw[[#This Row],[cont]],"W"))</f>
        <v/>
      </c>
      <c r="O1218" s="1397">
        <f>IF(raw[[#This Row],[out]]=0,0,IF(raw[[#This Row],[out]]=raw[[#This Row],[in]],0.01,raw[[#This Row],[out]]-raw[[#This Row],[in]]))</f>
        <v/>
      </c>
      <c r="P1218" s="1397">
        <f>IF(raw[[#This Row],[in]]=0,0,MONTH(raw[[#This Row],[in]]))</f>
        <v/>
      </c>
      <c r="Q1218" s="1397">
        <f>IF(raw[[#This Row],[in]]=0,0,YEAR(raw[[#This Row],[in]]))</f>
        <v/>
      </c>
      <c r="R1218" s="1397">
        <f>INT(raw[[#This Row],[yr]]/10)*10</f>
        <v/>
      </c>
      <c r="S1218" s="1395">
        <f>IF(raw[[#This Row],[city]]="","-",IF(raw[[#This Row],[city]]&lt;&gt;_xlfn.XLOOKUP(raw[[#This Row],[home]],homes[home],homes[city],"-"),1,0))</f>
        <v/>
      </c>
      <c r="T1218" s="1398" t="inlineStr">
        <is>
          <t>.</t>
        </is>
      </c>
      <c r="U1218" s="1399">
        <f>IF(raw[[#This Row],[wb]]="w",raw[[#This Row],[stay]]+U1217,U1217)</f>
        <v/>
      </c>
      <c r="V1218" s="1400">
        <f>IF(raw[[#This Row],[out]]=0,V1217,(raw[[#This Row],[out]]-E$5))</f>
        <v/>
      </c>
      <c r="W1218" s="1401">
        <f>U1218/V1218</f>
        <v/>
      </c>
      <c r="X1218" s="1392" t="n"/>
      <c r="Y1218" s="1392" t="n"/>
      <c r="Z1218" s="1392" t="n"/>
      <c r="AA1218" s="1392" t="n"/>
      <c r="AB1218" s="1392" t="n"/>
      <c r="AC1218" s="1392" t="n"/>
      <c r="AD1218" s="1392" t="n"/>
      <c r="AE1218" s="1392" t="n"/>
      <c r="AF1218" s="1392" t="n"/>
      <c r="AG1218" s="1392" t="n"/>
      <c r="AH1218" s="1392" t="n"/>
      <c r="AI1218" s="1392" t="n"/>
      <c r="AJ1218" s="1392" t="n"/>
      <c r="AK1218" s="1392" t="n"/>
      <c r="AL1218" s="1392" t="n"/>
      <c r="AM1218" s="1392" t="n"/>
      <c r="AN1218" s="1392" t="n"/>
      <c r="AO1218" s="1392" t="n"/>
      <c r="AP1218" s="1392" t="n"/>
      <c r="AQ1218" s="1392" t="n"/>
      <c r="AR1218" s="1422" t="n"/>
      <c r="AS1218" s="1422" t="n"/>
      <c r="AT1218" s="1392" t="n"/>
      <c r="AU1218" s="1392" t="n"/>
      <c r="AV1218" s="1392" t="n"/>
      <c r="AW1218" s="1392" t="n"/>
      <c r="AX1218" s="1392" t="n"/>
      <c r="AY1218" s="1392" t="n"/>
      <c r="AZ1218" s="1392" t="n"/>
      <c r="BA1218" s="1422" t="n"/>
      <c r="BB1218" s="1422" t="n"/>
      <c r="BC1218" s="1392" t="n"/>
      <c r="BD1218" s="1392" t="n"/>
      <c r="BE1218" s="1392" t="n"/>
      <c r="BF1218" s="1392" t="n"/>
      <c r="BG1218" s="1392" t="n"/>
      <c r="BH1218" s="1392" t="n"/>
      <c r="BI1218" s="1392" t="n"/>
      <c r="BJ1218" s="1392" t="n"/>
      <c r="BK1218" s="1392" t="n"/>
      <c r="BL1218" s="1392" t="n"/>
      <c r="BM1218" s="1392" t="n"/>
      <c r="BN1218" s="1392" t="n"/>
      <c r="BO1218" s="1392" t="n"/>
      <c r="BP1218" s="1392" t="n"/>
      <c r="BQ1218" s="1392" t="n"/>
      <c r="BR1218" s="1392" t="n"/>
      <c r="BS1218" s="1392" t="n"/>
      <c r="BT1218" s="1392" t="n"/>
      <c r="BU1218" s="1392" t="n"/>
      <c r="BV1218" s="1392" t="n"/>
      <c r="BW1218" s="1392" t="n"/>
      <c r="BX1218" s="1392" t="n"/>
      <c r="BY1218" s="1392" t="n"/>
      <c r="BZ1218" s="1392" t="n"/>
      <c r="CA1218" s="1392" t="n"/>
      <c r="CB1218" s="1392" t="n"/>
      <c r="CC1218" s="1392" t="n"/>
      <c r="CD1218" s="1392" t="n"/>
      <c r="CE1218" s="1392" t="n"/>
      <c r="CF1218" s="1392" t="n"/>
      <c r="CG1218" s="1392" t="n"/>
      <c r="CH1218" s="1392" t="n"/>
      <c r="CI1218" s="1392" t="n"/>
      <c r="CJ1218" s="1392" t="n"/>
      <c r="CK1218" s="1392" t="n"/>
      <c r="CL1218" s="1392" t="n"/>
    </row>
    <row r="1219">
      <c r="A1219" s="5" t="inlineStr">
        <is>
          <t>.</t>
        </is>
      </c>
      <c r="B1219" s="5" t="inlineStr">
        <is>
          <t>.</t>
        </is>
      </c>
      <c r="C1219" s="1378">
        <f>IF(raw[[#This Row],[city]]="","-",IF(raw[[#This Row],[city]]="TODAY","-",C1218+1))</f>
        <v/>
      </c>
      <c r="D1219" s="1393" t="inlineStr">
        <is>
          <t>Tigre</t>
        </is>
      </c>
      <c r="E1219" s="1394" t="n">
        <v>40519</v>
      </c>
      <c r="F1219" s="1394" t="n">
        <v>40520</v>
      </c>
      <c r="G1219" s="1393" t="inlineStr">
        <is>
          <t>-</t>
        </is>
      </c>
      <c r="H1219" s="1393" t="inlineStr">
        <is>
          <t>The Place</t>
        </is>
      </c>
      <c r="I1219" s="1393" t="inlineStr">
        <is>
          <t>-</t>
        </is>
      </c>
      <c r="J1219" s="1393" t="inlineStr">
        <is>
          <t>-</t>
        </is>
      </c>
      <c r="K1219" s="1395">
        <f>IF(raw[[#This Row],[city]]&lt;&gt;"",_xlfn.XLOOKUP($D1219,ccc[city],ccc[prov],"-"),"-")</f>
        <v/>
      </c>
      <c r="L1219" s="1395">
        <f>IF(raw[[#This Row],[city]]&lt;&gt;"",_xlfn.XLOOKUP($D1219,ccc[city],ccc[ctry],"-"),"-")</f>
        <v/>
      </c>
      <c r="M1219" s="1395">
        <f>IF(raw[[#This Row],[city]]&lt;&gt;"",_xlfn.XLOOKUP($D1219,ccc[city],ccc[cont],"-"),"-")</f>
        <v/>
      </c>
      <c r="N1219" s="1396">
        <f>IF(raw[[#This Row],[city]]="","-",IF(raw[[#This Row],[cont]]="B",raw[[#This Row],[cont]],"W"))</f>
        <v/>
      </c>
      <c r="O1219" s="1397">
        <f>IF(raw[[#This Row],[out]]=0,0,IF(raw[[#This Row],[out]]=raw[[#This Row],[in]],0.01,raw[[#This Row],[out]]-raw[[#This Row],[in]]))</f>
        <v/>
      </c>
      <c r="P1219" s="1397">
        <f>IF(raw[[#This Row],[in]]=0,0,MONTH(raw[[#This Row],[in]]))</f>
        <v/>
      </c>
      <c r="Q1219" s="1397">
        <f>IF(raw[[#This Row],[in]]=0,0,YEAR(raw[[#This Row],[in]]))</f>
        <v/>
      </c>
      <c r="R1219" s="1397">
        <f>INT(raw[[#This Row],[yr]]/10)*10</f>
        <v/>
      </c>
      <c r="S1219" s="1395">
        <f>IF(raw[[#This Row],[city]]="","-",IF(raw[[#This Row],[city]]&lt;&gt;_xlfn.XLOOKUP(raw[[#This Row],[home]],homes[home],homes[city],"-"),1,0))</f>
        <v/>
      </c>
      <c r="T1219" s="1398" t="inlineStr">
        <is>
          <t>.</t>
        </is>
      </c>
      <c r="U1219" s="1399">
        <f>IF(raw[[#This Row],[wb]]="w",raw[[#This Row],[stay]]+U1218,U1218)</f>
        <v/>
      </c>
      <c r="V1219" s="1400">
        <f>IF(raw[[#This Row],[out]]=0,V1218,(raw[[#This Row],[out]]-E$5))</f>
        <v/>
      </c>
      <c r="W1219" s="1401">
        <f>U1219/V1219</f>
        <v/>
      </c>
      <c r="X1219" s="1392" t="n"/>
      <c r="Y1219" s="1392" t="n"/>
      <c r="Z1219" s="1392" t="n"/>
      <c r="AA1219" s="1392" t="n"/>
      <c r="AB1219" s="1392" t="n"/>
      <c r="AC1219" s="1392" t="n"/>
      <c r="AD1219" s="1392" t="n"/>
      <c r="AE1219" s="1392" t="n"/>
      <c r="AF1219" s="1392" t="n"/>
      <c r="AG1219" s="1392" t="n"/>
      <c r="AH1219" s="1392" t="n"/>
      <c r="AI1219" s="1392" t="n"/>
      <c r="AJ1219" s="1392" t="n"/>
      <c r="AK1219" s="1392" t="n"/>
      <c r="AL1219" s="1392" t="n"/>
      <c r="AM1219" s="1392" t="n"/>
      <c r="AN1219" s="1392" t="n"/>
      <c r="AO1219" s="1392" t="n"/>
      <c r="AP1219" s="1392" t="n"/>
      <c r="AQ1219" s="1392" t="n"/>
      <c r="AR1219" s="1422" t="n"/>
      <c r="AS1219" s="1422" t="n"/>
      <c r="AT1219" s="1392" t="n"/>
      <c r="AU1219" s="1392" t="n"/>
      <c r="AV1219" s="1392" t="n"/>
      <c r="AW1219" s="1392" t="n"/>
      <c r="AX1219" s="1392" t="n"/>
      <c r="AY1219" s="1392" t="n"/>
      <c r="AZ1219" s="1392" t="n"/>
      <c r="BA1219" s="1422" t="n"/>
      <c r="BB1219" s="1422" t="n"/>
      <c r="BC1219" s="1392" t="n"/>
      <c r="BD1219" s="1392" t="n"/>
      <c r="BE1219" s="1392" t="n"/>
      <c r="BF1219" s="1392" t="n"/>
      <c r="BG1219" s="1392" t="n"/>
      <c r="BH1219" s="1392" t="n"/>
      <c r="BI1219" s="1392" t="n"/>
      <c r="BJ1219" s="1392" t="n"/>
      <c r="BK1219" s="1392" t="n"/>
      <c r="BL1219" s="1392" t="n"/>
      <c r="BM1219" s="1392" t="n"/>
      <c r="BN1219" s="1392" t="n"/>
      <c r="BO1219" s="1392" t="n"/>
      <c r="BP1219" s="1392" t="n"/>
      <c r="BQ1219" s="1392" t="n"/>
      <c r="BR1219" s="1392" t="n"/>
      <c r="BS1219" s="1392" t="n"/>
      <c r="BT1219" s="1392" t="n"/>
      <c r="BU1219" s="1392" t="n"/>
      <c r="BV1219" s="1392" t="n"/>
      <c r="BW1219" s="1392" t="n"/>
      <c r="BX1219" s="1392" t="n"/>
      <c r="BY1219" s="1392" t="n"/>
      <c r="BZ1219" s="1392" t="n"/>
      <c r="CA1219" s="1392" t="n"/>
      <c r="CB1219" s="1392" t="n"/>
      <c r="CC1219" s="1392" t="n"/>
      <c r="CD1219" s="1392" t="n"/>
      <c r="CE1219" s="1392" t="n"/>
      <c r="CF1219" s="1392" t="n"/>
      <c r="CG1219" s="1392" t="n"/>
      <c r="CH1219" s="1392" t="n"/>
      <c r="CI1219" s="1392" t="n"/>
      <c r="CJ1219" s="1392" t="n"/>
      <c r="CK1219" s="1392" t="n"/>
      <c r="CL1219" s="1392" t="n"/>
    </row>
    <row r="1220">
      <c r="A1220" s="5" t="inlineStr">
        <is>
          <t>.</t>
        </is>
      </c>
      <c r="B1220" s="5" t="inlineStr">
        <is>
          <t>.</t>
        </is>
      </c>
      <c r="C1220" s="1378">
        <f>IF(raw[[#This Row],[city]]="","-",IF(raw[[#This Row],[city]]="TODAY","-",C1219+1))</f>
        <v/>
      </c>
      <c r="D1220" s="1393" t="inlineStr">
        <is>
          <t>Buenos Aires</t>
        </is>
      </c>
      <c r="E1220" s="1394" t="n">
        <v>40520</v>
      </c>
      <c r="F1220" s="1394" t="n">
        <v>40525</v>
      </c>
      <c r="G1220" s="1393" t="n">
        <v>1</v>
      </c>
      <c r="H1220" s="1393" t="inlineStr">
        <is>
          <t>The Place</t>
        </is>
      </c>
      <c r="I1220" s="1393" t="inlineStr">
        <is>
          <t>-</t>
        </is>
      </c>
      <c r="J1220" s="1393" t="inlineStr">
        <is>
          <t>-</t>
        </is>
      </c>
      <c r="K1220" s="1395">
        <f>IF(raw[[#This Row],[city]]&lt;&gt;"",_xlfn.XLOOKUP($D1220,ccc[city],ccc[prov],"-"),"-")</f>
        <v/>
      </c>
      <c r="L1220" s="1395">
        <f>IF(raw[[#This Row],[city]]&lt;&gt;"",_xlfn.XLOOKUP($D1220,ccc[city],ccc[ctry],"-"),"-")</f>
        <v/>
      </c>
      <c r="M1220" s="1395">
        <f>IF(raw[[#This Row],[city]]&lt;&gt;"",_xlfn.XLOOKUP($D1220,ccc[city],ccc[cont],"-"),"-")</f>
        <v/>
      </c>
      <c r="N1220" s="1396">
        <f>IF(raw[[#This Row],[city]]="","-",IF(raw[[#This Row],[cont]]="B",raw[[#This Row],[cont]],"W"))</f>
        <v/>
      </c>
      <c r="O1220" s="1397">
        <f>IF(raw[[#This Row],[out]]=0,0,IF(raw[[#This Row],[out]]=raw[[#This Row],[in]],0.01,raw[[#This Row],[out]]-raw[[#This Row],[in]]))</f>
        <v/>
      </c>
      <c r="P1220" s="1397">
        <f>IF(raw[[#This Row],[in]]=0,0,MONTH(raw[[#This Row],[in]]))</f>
        <v/>
      </c>
      <c r="Q1220" s="1397">
        <f>IF(raw[[#This Row],[in]]=0,0,YEAR(raw[[#This Row],[in]]))</f>
        <v/>
      </c>
      <c r="R1220" s="1397">
        <f>INT(raw[[#This Row],[yr]]/10)*10</f>
        <v/>
      </c>
      <c r="S1220" s="1395">
        <f>IF(raw[[#This Row],[city]]="","-",IF(raw[[#This Row],[city]]&lt;&gt;_xlfn.XLOOKUP(raw[[#This Row],[home]],homes[home],homes[city],"-"),1,0))</f>
        <v/>
      </c>
      <c r="T1220" s="1398" t="inlineStr">
        <is>
          <t>.</t>
        </is>
      </c>
      <c r="U1220" s="1399">
        <f>IF(raw[[#This Row],[wb]]="w",raw[[#This Row],[stay]]+U1219,U1219)</f>
        <v/>
      </c>
      <c r="V1220" s="1400">
        <f>IF(raw[[#This Row],[out]]=0,V1219,(raw[[#This Row],[out]]-E$5))</f>
        <v/>
      </c>
      <c r="W1220" s="1401">
        <f>U1220/V1220</f>
        <v/>
      </c>
      <c r="X1220" s="1392" t="n"/>
      <c r="Y1220" s="1392" t="n"/>
      <c r="Z1220" s="1392" t="n"/>
      <c r="AA1220" s="1392" t="n"/>
      <c r="AB1220" s="1392" t="n"/>
      <c r="AC1220" s="1392" t="n"/>
      <c r="AD1220" s="1392" t="n"/>
      <c r="AE1220" s="1392" t="n"/>
      <c r="AF1220" s="1392" t="n"/>
      <c r="AG1220" s="1392" t="n"/>
      <c r="AH1220" s="1392" t="n"/>
      <c r="AI1220" s="1392" t="n"/>
      <c r="AJ1220" s="1392" t="n"/>
      <c r="AK1220" s="1392" t="n"/>
      <c r="AL1220" s="1392" t="n"/>
      <c r="AM1220" s="1392" t="n"/>
      <c r="AN1220" s="1392" t="n"/>
      <c r="AO1220" s="1392" t="n"/>
      <c r="AP1220" s="1392" t="n"/>
      <c r="AQ1220" s="1392" t="n"/>
      <c r="AR1220" s="1422" t="n"/>
      <c r="AS1220" s="1422" t="n"/>
      <c r="AT1220" s="1392" t="n"/>
      <c r="AU1220" s="1392" t="n"/>
      <c r="AV1220" s="1392" t="n"/>
      <c r="AW1220" s="1392" t="n"/>
      <c r="AX1220" s="1392" t="n"/>
      <c r="AY1220" s="1392" t="n"/>
      <c r="AZ1220" s="1392" t="n"/>
      <c r="BA1220" s="1422" t="n"/>
      <c r="BB1220" s="1422" t="n"/>
      <c r="BC1220" s="1392" t="n"/>
      <c r="BD1220" s="1392" t="n"/>
      <c r="BE1220" s="1392" t="n"/>
      <c r="BF1220" s="1392" t="n"/>
      <c r="BG1220" s="1392" t="n"/>
      <c r="BH1220" s="1392" t="n"/>
      <c r="BI1220" s="1392" t="n"/>
      <c r="BJ1220" s="1392" t="n"/>
      <c r="BK1220" s="1392" t="n"/>
      <c r="BL1220" s="1392" t="n"/>
      <c r="BM1220" s="1392" t="n"/>
      <c r="BN1220" s="1392" t="n"/>
      <c r="BO1220" s="1392" t="n"/>
      <c r="BP1220" s="1392" t="n"/>
      <c r="BQ1220" s="1392" t="n"/>
      <c r="BR1220" s="1392" t="n"/>
      <c r="BS1220" s="1392" t="n"/>
      <c r="BT1220" s="1392" t="n"/>
      <c r="BU1220" s="1392" t="n"/>
      <c r="BV1220" s="1392" t="n"/>
      <c r="BW1220" s="1392" t="n"/>
      <c r="BX1220" s="1392" t="n"/>
      <c r="BY1220" s="1392" t="n"/>
      <c r="BZ1220" s="1392" t="n"/>
      <c r="CA1220" s="1392" t="n"/>
      <c r="CB1220" s="1392" t="n"/>
      <c r="CC1220" s="1392" t="n"/>
      <c r="CD1220" s="1392" t="n"/>
      <c r="CE1220" s="1392" t="n"/>
      <c r="CF1220" s="1392" t="n"/>
      <c r="CG1220" s="1392" t="n"/>
      <c r="CH1220" s="1392" t="n"/>
      <c r="CI1220" s="1392" t="n"/>
      <c r="CJ1220" s="1392" t="n"/>
      <c r="CK1220" s="1392" t="n"/>
      <c r="CL1220" s="1392" t="n"/>
    </row>
    <row r="1221">
      <c r="A1221" s="5" t="inlineStr">
        <is>
          <t>.</t>
        </is>
      </c>
      <c r="B1221" s="5" t="inlineStr">
        <is>
          <t>.</t>
        </is>
      </c>
      <c r="C1221" s="1378">
        <f>IF(raw[[#This Row],[city]]="","-",IF(raw[[#This Row],[city]]="TODAY","-",C1220+1))</f>
        <v/>
      </c>
      <c r="D1221" s="1393" t="inlineStr">
        <is>
          <t>SP</t>
        </is>
      </c>
      <c r="E1221" s="1394" t="n">
        <v>40525</v>
      </c>
      <c r="F1221" s="1394" t="n">
        <v>40526</v>
      </c>
      <c r="G1221" s="1393" t="n">
        <v>1</v>
      </c>
      <c r="H1221" s="1393" t="inlineStr">
        <is>
          <t>The Place</t>
        </is>
      </c>
      <c r="I1221" s="1393" t="inlineStr">
        <is>
          <t>Salto Grande</t>
        </is>
      </c>
      <c r="J1221" s="1393" t="inlineStr">
        <is>
          <t>-</t>
        </is>
      </c>
      <c r="K1221" s="1395">
        <f>IF(raw[[#This Row],[city]]&lt;&gt;"",_xlfn.XLOOKUP($D1221,ccc[city],ccc[prov],"-"),"-")</f>
        <v/>
      </c>
      <c r="L1221" s="1395">
        <f>IF(raw[[#This Row],[city]]&lt;&gt;"",_xlfn.XLOOKUP($D1221,ccc[city],ccc[ctry],"-"),"-")</f>
        <v/>
      </c>
      <c r="M1221" s="1395">
        <f>IF(raw[[#This Row],[city]]&lt;&gt;"",_xlfn.XLOOKUP($D1221,ccc[city],ccc[cont],"-"),"-")</f>
        <v/>
      </c>
      <c r="N1221" s="1396">
        <f>IF(raw[[#This Row],[city]]="","-",IF(raw[[#This Row],[cont]]="B",raw[[#This Row],[cont]],"W"))</f>
        <v/>
      </c>
      <c r="O1221" s="1397">
        <f>IF(raw[[#This Row],[out]]=0,0,IF(raw[[#This Row],[out]]=raw[[#This Row],[in]],0.01,raw[[#This Row],[out]]-raw[[#This Row],[in]]))</f>
        <v/>
      </c>
      <c r="P1221" s="1397">
        <f>IF(raw[[#This Row],[in]]=0,0,MONTH(raw[[#This Row],[in]]))</f>
        <v/>
      </c>
      <c r="Q1221" s="1397">
        <f>IF(raw[[#This Row],[in]]=0,0,YEAR(raw[[#This Row],[in]]))</f>
        <v/>
      </c>
      <c r="R1221" s="1397">
        <f>INT(raw[[#This Row],[yr]]/10)*10</f>
        <v/>
      </c>
      <c r="S1221" s="1395">
        <f>IF(raw[[#This Row],[city]]="","-",IF(raw[[#This Row],[city]]&lt;&gt;_xlfn.XLOOKUP(raw[[#This Row],[home]],homes[home],homes[city],"-"),1,0))</f>
        <v/>
      </c>
      <c r="T1221" s="1398" t="inlineStr">
        <is>
          <t>.</t>
        </is>
      </c>
      <c r="U1221" s="1399">
        <f>IF(raw[[#This Row],[wb]]="w",raw[[#This Row],[stay]]+U1220,U1220)</f>
        <v/>
      </c>
      <c r="V1221" s="1400">
        <f>IF(raw[[#This Row],[out]]=0,V1220,(raw[[#This Row],[out]]-E$5))</f>
        <v/>
      </c>
      <c r="W1221" s="1401">
        <f>U1221/V1221</f>
        <v/>
      </c>
      <c r="X1221" s="1392" t="n"/>
      <c r="Y1221" s="1392" t="n"/>
      <c r="Z1221" s="1392" t="n"/>
      <c r="AA1221" s="1392" t="n"/>
      <c r="AB1221" s="1392" t="n"/>
      <c r="AC1221" s="1392" t="n"/>
      <c r="AD1221" s="1392" t="n"/>
      <c r="AE1221" s="1392" t="n"/>
      <c r="AF1221" s="1392" t="n"/>
      <c r="AG1221" s="1392" t="n"/>
      <c r="AH1221" s="1392" t="n"/>
      <c r="AI1221" s="1392" t="n"/>
      <c r="AJ1221" s="1392" t="n"/>
      <c r="AK1221" s="1392" t="n"/>
      <c r="AL1221" s="1392" t="n"/>
      <c r="AM1221" s="1392" t="n"/>
      <c r="AN1221" s="1392" t="n"/>
      <c r="AO1221" s="1392" t="n"/>
      <c r="AP1221" s="1392" t="n"/>
      <c r="AQ1221" s="1392" t="n"/>
      <c r="AR1221" s="1422" t="n"/>
      <c r="AS1221" s="1422" t="n"/>
      <c r="AT1221" s="1392" t="n"/>
      <c r="AU1221" s="1392" t="n"/>
      <c r="AV1221" s="1392" t="n"/>
      <c r="AW1221" s="1392" t="n"/>
      <c r="AX1221" s="1392" t="n"/>
      <c r="AY1221" s="1392" t="n"/>
      <c r="AZ1221" s="1392" t="n"/>
      <c r="BA1221" s="1422" t="n"/>
      <c r="BB1221" s="1422" t="n"/>
      <c r="BC1221" s="1392" t="n"/>
      <c r="BD1221" s="1392" t="n"/>
      <c r="BE1221" s="1392" t="n"/>
      <c r="BF1221" s="1392" t="n"/>
      <c r="BG1221" s="1392" t="n"/>
      <c r="BH1221" s="1392" t="n"/>
      <c r="BI1221" s="1392" t="n"/>
      <c r="BJ1221" s="1392" t="n"/>
      <c r="BK1221" s="1392" t="n"/>
      <c r="BL1221" s="1392" t="n"/>
      <c r="BM1221" s="1392" t="n"/>
      <c r="BN1221" s="1392" t="n"/>
      <c r="BO1221" s="1392" t="n"/>
      <c r="BP1221" s="1392" t="n"/>
      <c r="BQ1221" s="1392" t="n"/>
      <c r="BR1221" s="1392" t="n"/>
      <c r="BS1221" s="1392" t="n"/>
      <c r="BT1221" s="1392" t="n"/>
      <c r="BU1221" s="1392" t="n"/>
      <c r="BV1221" s="1392" t="n"/>
      <c r="BW1221" s="1392" t="n"/>
      <c r="BX1221" s="1392" t="n"/>
      <c r="BY1221" s="1392" t="n"/>
      <c r="BZ1221" s="1392" t="n"/>
      <c r="CA1221" s="1392" t="n"/>
      <c r="CB1221" s="1392" t="n"/>
      <c r="CC1221" s="1392" t="n"/>
      <c r="CD1221" s="1392" t="n"/>
      <c r="CE1221" s="1392" t="n"/>
      <c r="CF1221" s="1392" t="n"/>
      <c r="CG1221" s="1392" t="n"/>
      <c r="CH1221" s="1392" t="n"/>
      <c r="CI1221" s="1392" t="n"/>
      <c r="CJ1221" s="1392" t="n"/>
      <c r="CK1221" s="1392" t="n"/>
      <c r="CL1221" s="1392" t="n"/>
    </row>
    <row r="1222">
      <c r="A1222" s="5" t="inlineStr">
        <is>
          <t>.</t>
        </is>
      </c>
      <c r="B1222" s="5" t="inlineStr">
        <is>
          <t>.</t>
        </is>
      </c>
      <c r="C1222" s="1378">
        <f>IF(raw[[#This Row],[city]]="","-",IF(raw[[#This Row],[city]]="TODAY","-",C1221+1))</f>
        <v/>
      </c>
      <c r="D1222" s="1393" t="inlineStr">
        <is>
          <t>SSA</t>
        </is>
      </c>
      <c r="E1222" s="1394" t="n">
        <v>40526</v>
      </c>
      <c r="F1222" s="1394" t="n">
        <v>40544</v>
      </c>
      <c r="G1222" s="1393" t="inlineStr">
        <is>
          <t>-</t>
        </is>
      </c>
      <c r="H1222" s="1393" t="inlineStr">
        <is>
          <t>The Place</t>
        </is>
      </c>
      <c r="I1222" s="1393" t="inlineStr">
        <is>
          <t>-</t>
        </is>
      </c>
      <c r="J1222" s="1393" t="inlineStr">
        <is>
          <t>-</t>
        </is>
      </c>
      <c r="K1222" s="1395">
        <f>IF(raw[[#This Row],[city]]&lt;&gt;"",_xlfn.XLOOKUP($D1222,ccc[city],ccc[prov],"-"),"-")</f>
        <v/>
      </c>
      <c r="L1222" s="1395">
        <f>IF(raw[[#This Row],[city]]&lt;&gt;"",_xlfn.XLOOKUP($D1222,ccc[city],ccc[ctry],"-"),"-")</f>
        <v/>
      </c>
      <c r="M1222" s="1395">
        <f>IF(raw[[#This Row],[city]]&lt;&gt;"",_xlfn.XLOOKUP($D1222,ccc[city],ccc[cont],"-"),"-")</f>
        <v/>
      </c>
      <c r="N1222" s="1396">
        <f>IF(raw[[#This Row],[city]]="","-",IF(raw[[#This Row],[cont]]="B",raw[[#This Row],[cont]],"W"))</f>
        <v/>
      </c>
      <c r="O1222" s="1397">
        <f>IF(raw[[#This Row],[out]]=0,0,IF(raw[[#This Row],[out]]=raw[[#This Row],[in]],0.01,raw[[#This Row],[out]]-raw[[#This Row],[in]]))</f>
        <v/>
      </c>
      <c r="P1222" s="1397">
        <f>IF(raw[[#This Row],[in]]=0,0,MONTH(raw[[#This Row],[in]]))</f>
        <v/>
      </c>
      <c r="Q1222" s="1397">
        <f>IF(raw[[#This Row],[in]]=0,0,YEAR(raw[[#This Row],[in]]))</f>
        <v/>
      </c>
      <c r="R1222" s="1397">
        <f>INT(raw[[#This Row],[yr]]/10)*10</f>
        <v/>
      </c>
      <c r="S1222" s="1395">
        <f>IF(raw[[#This Row],[city]]="","-",IF(raw[[#This Row],[city]]&lt;&gt;_xlfn.XLOOKUP(raw[[#This Row],[home]],homes[home],homes[city],"-"),1,0))</f>
        <v/>
      </c>
      <c r="T1222" s="1398" t="inlineStr">
        <is>
          <t>.</t>
        </is>
      </c>
      <c r="U1222" s="1399">
        <f>IF(raw[[#This Row],[wb]]="w",raw[[#This Row],[stay]]+U1221,U1221)</f>
        <v/>
      </c>
      <c r="V1222" s="1400">
        <f>IF(raw[[#This Row],[out]]=0,V1221,(raw[[#This Row],[out]]-E$5))</f>
        <v/>
      </c>
      <c r="W1222" s="1401">
        <f>U1222/V1222</f>
        <v/>
      </c>
      <c r="X1222" s="1392" t="n"/>
      <c r="Y1222" s="1392" t="n"/>
      <c r="Z1222" s="1392" t="n"/>
      <c r="AA1222" s="1392" t="n"/>
      <c r="AB1222" s="1392" t="n"/>
      <c r="AC1222" s="1392" t="n"/>
      <c r="AD1222" s="1392" t="n"/>
      <c r="AE1222" s="1392" t="n"/>
      <c r="AF1222" s="1392" t="n"/>
      <c r="AG1222" s="1392" t="n"/>
      <c r="AH1222" s="1392" t="n"/>
      <c r="AI1222" s="1392" t="n"/>
      <c r="AJ1222" s="1392" t="n"/>
      <c r="AK1222" s="1392" t="n"/>
      <c r="AL1222" s="1392" t="n"/>
      <c r="AM1222" s="1392" t="n"/>
      <c r="AN1222" s="1392" t="n"/>
      <c r="AO1222" s="1392" t="n"/>
      <c r="AP1222" s="1392" t="n"/>
      <c r="AQ1222" s="1392" t="n"/>
      <c r="AR1222" s="1422" t="n"/>
      <c r="AS1222" s="1422" t="n"/>
      <c r="AT1222" s="1392" t="n"/>
      <c r="AU1222" s="1392" t="n"/>
      <c r="AV1222" s="1392" t="n"/>
      <c r="AW1222" s="1392" t="n"/>
      <c r="AX1222" s="1392" t="n"/>
      <c r="AY1222" s="1392" t="n"/>
      <c r="AZ1222" s="1392" t="n"/>
      <c r="BA1222" s="1422" t="n"/>
      <c r="BB1222" s="1422" t="n"/>
      <c r="BC1222" s="1392" t="n"/>
      <c r="BD1222" s="1392" t="n"/>
      <c r="BE1222" s="1392" t="n"/>
      <c r="BF1222" s="1392" t="n"/>
      <c r="BG1222" s="1392" t="n"/>
      <c r="BH1222" s="1392" t="n"/>
      <c r="BI1222" s="1392" t="n"/>
      <c r="BJ1222" s="1392" t="n"/>
      <c r="BK1222" s="1392" t="n"/>
      <c r="BL1222" s="1392" t="n"/>
      <c r="BM1222" s="1392" t="n"/>
      <c r="BN1222" s="1392" t="n"/>
      <c r="BO1222" s="1392" t="n"/>
      <c r="BP1222" s="1392" t="n"/>
      <c r="BQ1222" s="1392" t="n"/>
      <c r="BR1222" s="1392" t="n"/>
      <c r="BS1222" s="1392" t="n"/>
      <c r="BT1222" s="1392" t="n"/>
      <c r="BU1222" s="1392" t="n"/>
      <c r="BV1222" s="1392" t="n"/>
      <c r="BW1222" s="1392" t="n"/>
      <c r="BX1222" s="1392" t="n"/>
      <c r="BY1222" s="1392" t="n"/>
      <c r="BZ1222" s="1392" t="n"/>
      <c r="CA1222" s="1392" t="n"/>
      <c r="CB1222" s="1392" t="n"/>
      <c r="CC1222" s="1392" t="n"/>
      <c r="CD1222" s="1392" t="n"/>
      <c r="CE1222" s="1392" t="n"/>
      <c r="CF1222" s="1392" t="n"/>
      <c r="CG1222" s="1392" t="n"/>
      <c r="CH1222" s="1392" t="n"/>
      <c r="CI1222" s="1392" t="n"/>
      <c r="CJ1222" s="1392" t="n"/>
      <c r="CK1222" s="1392" t="n"/>
      <c r="CL1222" s="1392" t="n"/>
    </row>
    <row r="1223">
      <c r="A1223" s="5" t="inlineStr">
        <is>
          <t>.</t>
        </is>
      </c>
      <c r="B1223" s="5" t="inlineStr">
        <is>
          <t>.</t>
        </is>
      </c>
      <c r="C1223" s="1378">
        <f>IF(raw[[#This Row],[city]]="","-",IF(raw[[#This Row],[city]]="TODAY","-",C1222+1))</f>
        <v/>
      </c>
      <c r="D1223" s="1393" t="inlineStr">
        <is>
          <t>SSA</t>
        </is>
      </c>
      <c r="E1223" s="1394" t="n">
        <v>40544</v>
      </c>
      <c r="F1223" s="1394" t="n">
        <v>40565</v>
      </c>
      <c r="G1223" s="1393" t="n">
        <v>1</v>
      </c>
      <c r="H1223" s="1393" t="inlineStr">
        <is>
          <t>The Place</t>
        </is>
      </c>
      <c r="I1223" s="1393" t="inlineStr">
        <is>
          <t>-</t>
        </is>
      </c>
      <c r="J1223" s="1393" t="inlineStr">
        <is>
          <t>REV</t>
        </is>
      </c>
      <c r="K1223" s="1395">
        <f>IF(raw[[#This Row],[city]]&lt;&gt;"",_xlfn.XLOOKUP($D1223,ccc[city],ccc[prov],"-"),"-")</f>
        <v/>
      </c>
      <c r="L1223" s="1395">
        <f>IF(raw[[#This Row],[city]]&lt;&gt;"",_xlfn.XLOOKUP($D1223,ccc[city],ccc[ctry],"-"),"-")</f>
        <v/>
      </c>
      <c r="M1223" s="1395">
        <f>IF(raw[[#This Row],[city]]&lt;&gt;"",_xlfn.XLOOKUP($D1223,ccc[city],ccc[cont],"-"),"-")</f>
        <v/>
      </c>
      <c r="N1223" s="1396">
        <f>IF(raw[[#This Row],[city]]="","-",IF(raw[[#This Row],[cont]]="B",raw[[#This Row],[cont]],"W"))</f>
        <v/>
      </c>
      <c r="O1223" s="1397">
        <f>IF(raw[[#This Row],[out]]=0,0,IF(raw[[#This Row],[out]]=raw[[#This Row],[in]],0.01,raw[[#This Row],[out]]-raw[[#This Row],[in]]))</f>
        <v/>
      </c>
      <c r="P1223" s="1397">
        <f>IF(raw[[#This Row],[in]]=0,0,MONTH(raw[[#This Row],[in]]))</f>
        <v/>
      </c>
      <c r="Q1223" s="1397">
        <f>IF(raw[[#This Row],[in]]=0,0,YEAR(raw[[#This Row],[in]]))</f>
        <v/>
      </c>
      <c r="R1223" s="1397">
        <f>INT(raw[[#This Row],[yr]]/10)*10</f>
        <v/>
      </c>
      <c r="S1223" s="1395">
        <f>IF(raw[[#This Row],[city]]="","-",IF(raw[[#This Row],[city]]&lt;&gt;_xlfn.XLOOKUP(raw[[#This Row],[home]],homes[home],homes[city],"-"),1,0))</f>
        <v/>
      </c>
      <c r="T1223" s="1398" t="inlineStr">
        <is>
          <t>.</t>
        </is>
      </c>
      <c r="U1223" s="1399">
        <f>IF(raw[[#This Row],[wb]]="w",raw[[#This Row],[stay]]+U1222,U1222)</f>
        <v/>
      </c>
      <c r="V1223" s="1400">
        <f>IF(raw[[#This Row],[out]]=0,V1222,(raw[[#This Row],[out]]-E$5))</f>
        <v/>
      </c>
      <c r="W1223" s="1401">
        <f>U1223/V1223</f>
        <v/>
      </c>
      <c r="X1223" s="1392" t="n"/>
      <c r="Y1223" s="1392" t="n"/>
      <c r="Z1223" s="1392" t="n"/>
      <c r="AA1223" s="1392" t="n"/>
      <c r="AB1223" s="1392" t="n"/>
      <c r="AC1223" s="1392" t="n"/>
      <c r="AD1223" s="1392" t="n"/>
      <c r="AE1223" s="1392" t="n"/>
      <c r="AF1223" s="1392" t="n"/>
      <c r="AG1223" s="1392" t="n"/>
      <c r="AH1223" s="1392" t="n"/>
      <c r="AI1223" s="1392" t="n"/>
      <c r="AJ1223" s="1392" t="n"/>
      <c r="AK1223" s="1392" t="n"/>
      <c r="AL1223" s="1392" t="n"/>
      <c r="AM1223" s="1392" t="n"/>
      <c r="AN1223" s="1392" t="n"/>
      <c r="AO1223" s="1392" t="n"/>
      <c r="AP1223" s="1392" t="n"/>
      <c r="AQ1223" s="1392" t="n"/>
      <c r="AR1223" s="1422" t="n"/>
      <c r="AS1223" s="1422" t="n"/>
      <c r="AT1223" s="1392" t="n"/>
      <c r="AU1223" s="1392" t="n"/>
      <c r="AV1223" s="1392" t="n"/>
      <c r="AW1223" s="1392" t="n"/>
      <c r="AX1223" s="1392" t="n"/>
      <c r="AY1223" s="1392" t="n"/>
      <c r="AZ1223" s="1392" t="n"/>
      <c r="BA1223" s="1422" t="n"/>
      <c r="BB1223" s="1422" t="n"/>
      <c r="BC1223" s="1392" t="n"/>
      <c r="BD1223" s="1392" t="n"/>
      <c r="BE1223" s="1392" t="n"/>
      <c r="BF1223" s="1392" t="n"/>
      <c r="BG1223" s="1392" t="n"/>
      <c r="BH1223" s="1392" t="n"/>
      <c r="BI1223" s="1392" t="n"/>
      <c r="BJ1223" s="1392" t="n"/>
      <c r="BK1223" s="1392" t="n"/>
      <c r="BL1223" s="1392" t="n"/>
      <c r="BM1223" s="1392" t="n"/>
      <c r="BN1223" s="1392" t="n"/>
      <c r="BO1223" s="1392" t="n"/>
      <c r="BP1223" s="1392" t="n"/>
      <c r="BQ1223" s="1392" t="n"/>
      <c r="BR1223" s="1392" t="n"/>
      <c r="BS1223" s="1392" t="n"/>
      <c r="BT1223" s="1392" t="n"/>
      <c r="BU1223" s="1392" t="n"/>
      <c r="BV1223" s="1392" t="n"/>
      <c r="BW1223" s="1392" t="n"/>
      <c r="BX1223" s="1392" t="n"/>
      <c r="BY1223" s="1392" t="n"/>
      <c r="BZ1223" s="1392" t="n"/>
      <c r="CA1223" s="1392" t="n"/>
      <c r="CB1223" s="1392" t="n"/>
      <c r="CC1223" s="1392" t="n"/>
      <c r="CD1223" s="1392" t="n"/>
      <c r="CE1223" s="1392" t="n"/>
      <c r="CF1223" s="1392" t="n"/>
      <c r="CG1223" s="1392" t="n"/>
      <c r="CH1223" s="1392" t="n"/>
      <c r="CI1223" s="1392" t="n"/>
      <c r="CJ1223" s="1392" t="n"/>
      <c r="CK1223" s="1392" t="n"/>
      <c r="CL1223" s="1392" t="n"/>
    </row>
    <row r="1224">
      <c r="A1224" s="5" t="inlineStr">
        <is>
          <t>.</t>
        </is>
      </c>
      <c r="B1224" s="5" t="inlineStr">
        <is>
          <t>.</t>
        </is>
      </c>
      <c r="C1224" s="1378">
        <f>IF(raw[[#This Row],[city]]="","-",IF(raw[[#This Row],[city]]="TODAY","-",C1223+1))</f>
        <v/>
      </c>
      <c r="D1224" s="1393" t="inlineStr">
        <is>
          <t>SP</t>
        </is>
      </c>
      <c r="E1224" s="1394" t="n">
        <v>40565</v>
      </c>
      <c r="F1224" s="1394" t="n">
        <v>40570</v>
      </c>
      <c r="G1224" s="1393" t="n">
        <v>1</v>
      </c>
      <c r="H1224" s="1393" t="inlineStr">
        <is>
          <t>The Place</t>
        </is>
      </c>
      <c r="I1224" s="1393" t="inlineStr">
        <is>
          <t>Salto Grande</t>
        </is>
      </c>
      <c r="J1224" s="1393" t="inlineStr">
        <is>
          <t>-</t>
        </is>
      </c>
      <c r="K1224" s="1395">
        <f>IF(raw[[#This Row],[city]]&lt;&gt;"",_xlfn.XLOOKUP($D1224,ccc[city],ccc[prov],"-"),"-")</f>
        <v/>
      </c>
      <c r="L1224" s="1395">
        <f>IF(raw[[#This Row],[city]]&lt;&gt;"",_xlfn.XLOOKUP($D1224,ccc[city],ccc[ctry],"-"),"-")</f>
        <v/>
      </c>
      <c r="M1224" s="1395">
        <f>IF(raw[[#This Row],[city]]&lt;&gt;"",_xlfn.XLOOKUP($D1224,ccc[city],ccc[cont],"-"),"-")</f>
        <v/>
      </c>
      <c r="N1224" s="1396">
        <f>IF(raw[[#This Row],[city]]="","-",IF(raw[[#This Row],[cont]]="B",raw[[#This Row],[cont]],"W"))</f>
        <v/>
      </c>
      <c r="O1224" s="1397">
        <f>IF(raw[[#This Row],[out]]=0,0,IF(raw[[#This Row],[out]]=raw[[#This Row],[in]],0.01,raw[[#This Row],[out]]-raw[[#This Row],[in]]))</f>
        <v/>
      </c>
      <c r="P1224" s="1397">
        <f>IF(raw[[#This Row],[in]]=0,0,MONTH(raw[[#This Row],[in]]))</f>
        <v/>
      </c>
      <c r="Q1224" s="1397">
        <f>IF(raw[[#This Row],[in]]=0,0,YEAR(raw[[#This Row],[in]]))</f>
        <v/>
      </c>
      <c r="R1224" s="1397">
        <f>INT(raw[[#This Row],[yr]]/10)*10</f>
        <v/>
      </c>
      <c r="S1224" s="1395">
        <f>IF(raw[[#This Row],[city]]="","-",IF(raw[[#This Row],[city]]&lt;&gt;_xlfn.XLOOKUP(raw[[#This Row],[home]],homes[home],homes[city],"-"),1,0))</f>
        <v/>
      </c>
      <c r="T1224" s="1398" t="inlineStr">
        <is>
          <t>.</t>
        </is>
      </c>
      <c r="U1224" s="1399">
        <f>IF(raw[[#This Row],[wb]]="w",raw[[#This Row],[stay]]+U1223,U1223)</f>
        <v/>
      </c>
      <c r="V1224" s="1400">
        <f>IF(raw[[#This Row],[out]]=0,V1223,(raw[[#This Row],[out]]-E$5))</f>
        <v/>
      </c>
      <c r="W1224" s="1401">
        <f>U1224/V1224</f>
        <v/>
      </c>
      <c r="X1224" s="1392" t="n"/>
      <c r="Y1224" s="1392" t="n"/>
      <c r="Z1224" s="1392" t="n"/>
      <c r="AA1224" s="1392" t="n"/>
      <c r="AB1224" s="1392" t="n"/>
      <c r="AC1224" s="1392" t="n"/>
      <c r="AD1224" s="1392" t="n"/>
      <c r="AE1224" s="1392" t="n"/>
      <c r="AF1224" s="1392" t="n"/>
      <c r="AG1224" s="1392" t="n"/>
      <c r="AH1224" s="1392" t="n"/>
      <c r="AI1224" s="1392" t="n"/>
      <c r="AJ1224" s="1392" t="n"/>
      <c r="AK1224" s="1392" t="n"/>
      <c r="AL1224" s="1392" t="n"/>
      <c r="AM1224" s="1392" t="n"/>
      <c r="AN1224" s="1392" t="n"/>
      <c r="AO1224" s="1392" t="n"/>
      <c r="AP1224" s="1392" t="n"/>
      <c r="AQ1224" s="1392" t="n"/>
      <c r="AR1224" s="1422" t="n"/>
      <c r="AS1224" s="1422" t="n"/>
      <c r="AT1224" s="1392" t="n"/>
      <c r="AU1224" s="1392" t="n"/>
      <c r="AV1224" s="1392" t="n"/>
      <c r="AW1224" s="1392" t="n"/>
      <c r="AX1224" s="1392" t="n"/>
      <c r="AY1224" s="1392" t="n"/>
      <c r="AZ1224" s="1392" t="n"/>
      <c r="BA1224" s="1422" t="n"/>
      <c r="BB1224" s="1422" t="n"/>
      <c r="BC1224" s="1392" t="n"/>
      <c r="BD1224" s="1392" t="n"/>
      <c r="BE1224" s="1392" t="n"/>
      <c r="BF1224" s="1392" t="n"/>
      <c r="BG1224" s="1392" t="n"/>
      <c r="BH1224" s="1392" t="n"/>
      <c r="BI1224" s="1392" t="n"/>
      <c r="BJ1224" s="1392" t="n"/>
      <c r="BK1224" s="1392" t="n"/>
      <c r="BL1224" s="1392" t="n"/>
      <c r="BM1224" s="1392" t="n"/>
      <c r="BN1224" s="1392" t="n"/>
      <c r="BO1224" s="1392" t="n"/>
      <c r="BP1224" s="1392" t="n"/>
      <c r="BQ1224" s="1392" t="n"/>
      <c r="BR1224" s="1392" t="n"/>
      <c r="BS1224" s="1392" t="n"/>
      <c r="BT1224" s="1392" t="n"/>
      <c r="BU1224" s="1392" t="n"/>
      <c r="BV1224" s="1392" t="n"/>
      <c r="BW1224" s="1392" t="n"/>
      <c r="BX1224" s="1392" t="n"/>
      <c r="BY1224" s="1392" t="n"/>
      <c r="BZ1224" s="1392" t="n"/>
      <c r="CA1224" s="1392" t="n"/>
      <c r="CB1224" s="1392" t="n"/>
      <c r="CC1224" s="1392" t="n"/>
      <c r="CD1224" s="1392" t="n"/>
      <c r="CE1224" s="1392" t="n"/>
      <c r="CF1224" s="1392" t="n"/>
      <c r="CG1224" s="1392" t="n"/>
      <c r="CH1224" s="1392" t="n"/>
      <c r="CI1224" s="1392" t="n"/>
      <c r="CJ1224" s="1392" t="n"/>
      <c r="CK1224" s="1392" t="n"/>
      <c r="CL1224" s="1392" t="n"/>
    </row>
    <row r="1225">
      <c r="A1225" s="5" t="inlineStr">
        <is>
          <t>.</t>
        </is>
      </c>
      <c r="B1225" s="5" t="inlineStr">
        <is>
          <t>.</t>
        </is>
      </c>
      <c r="C1225" s="1378">
        <f>IF(raw[[#This Row],[city]]="","-",IF(raw[[#This Row],[city]]="TODAY","-",C1224+1))</f>
        <v/>
      </c>
      <c r="D1225" s="1393" t="inlineStr">
        <is>
          <t>Rio</t>
        </is>
      </c>
      <c r="E1225" s="1394" t="n">
        <v>40570</v>
      </c>
      <c r="F1225" s="1394" t="n">
        <v>40575</v>
      </c>
      <c r="G1225" s="1393" t="inlineStr">
        <is>
          <t>-</t>
        </is>
      </c>
      <c r="H1225" s="1393" t="inlineStr">
        <is>
          <t>The Place</t>
        </is>
      </c>
      <c r="I1225" s="1393" t="inlineStr">
        <is>
          <t>Monica Rio</t>
        </is>
      </c>
      <c r="J1225" s="1393" t="inlineStr">
        <is>
          <t>-</t>
        </is>
      </c>
      <c r="K1225" s="1395">
        <f>IF(raw[[#This Row],[city]]&lt;&gt;"",_xlfn.XLOOKUP($D1225,ccc[city],ccc[prov],"-"),"-")</f>
        <v/>
      </c>
      <c r="L1225" s="1395">
        <f>IF(raw[[#This Row],[city]]&lt;&gt;"",_xlfn.XLOOKUP($D1225,ccc[city],ccc[ctry],"-"),"-")</f>
        <v/>
      </c>
      <c r="M1225" s="1395">
        <f>IF(raw[[#This Row],[city]]&lt;&gt;"",_xlfn.XLOOKUP($D1225,ccc[city],ccc[cont],"-"),"-")</f>
        <v/>
      </c>
      <c r="N1225" s="1396">
        <f>IF(raw[[#This Row],[city]]="","-",IF(raw[[#This Row],[cont]]="B",raw[[#This Row],[cont]],"W"))</f>
        <v/>
      </c>
      <c r="O1225" s="1397">
        <f>IF(raw[[#This Row],[out]]=0,0,IF(raw[[#This Row],[out]]=raw[[#This Row],[in]],0.01,raw[[#This Row],[out]]-raw[[#This Row],[in]]))</f>
        <v/>
      </c>
      <c r="P1225" s="1397">
        <f>IF(raw[[#This Row],[in]]=0,0,MONTH(raw[[#This Row],[in]]))</f>
        <v/>
      </c>
      <c r="Q1225" s="1397">
        <f>IF(raw[[#This Row],[in]]=0,0,YEAR(raw[[#This Row],[in]]))</f>
        <v/>
      </c>
      <c r="R1225" s="1397">
        <f>INT(raw[[#This Row],[yr]]/10)*10</f>
        <v/>
      </c>
      <c r="S1225" s="1395">
        <f>IF(raw[[#This Row],[city]]="","-",IF(raw[[#This Row],[city]]&lt;&gt;_xlfn.XLOOKUP(raw[[#This Row],[home]],homes[home],homes[city],"-"),1,0))</f>
        <v/>
      </c>
      <c r="T1225" s="1398" t="inlineStr">
        <is>
          <t>.</t>
        </is>
      </c>
      <c r="U1225" s="1399">
        <f>IF(raw[[#This Row],[wb]]="w",raw[[#This Row],[stay]]+U1224,U1224)</f>
        <v/>
      </c>
      <c r="V1225" s="1400">
        <f>IF(raw[[#This Row],[out]]=0,V1224,(raw[[#This Row],[out]]-E$5))</f>
        <v/>
      </c>
      <c r="W1225" s="1401">
        <f>U1225/V1225</f>
        <v/>
      </c>
      <c r="X1225" s="1392" t="n"/>
      <c r="Y1225" s="1392" t="n"/>
      <c r="Z1225" s="1392" t="n"/>
      <c r="AA1225" s="1392" t="n"/>
      <c r="AB1225" s="1392" t="n"/>
      <c r="AC1225" s="1392" t="n"/>
      <c r="AD1225" s="1392" t="n"/>
      <c r="AE1225" s="1392" t="n"/>
      <c r="AF1225" s="1392" t="n"/>
      <c r="AG1225" s="1392" t="n"/>
      <c r="AH1225" s="1392" t="n"/>
      <c r="AI1225" s="1392" t="n"/>
      <c r="AJ1225" s="1392" t="n"/>
      <c r="AK1225" s="1392" t="n"/>
      <c r="AL1225" s="1392" t="n"/>
      <c r="AM1225" s="1392" t="n"/>
      <c r="AN1225" s="1392" t="n"/>
      <c r="AO1225" s="1392" t="n"/>
      <c r="AP1225" s="1392" t="n"/>
      <c r="AQ1225" s="1392" t="n"/>
      <c r="AR1225" s="1422" t="n"/>
      <c r="AS1225" s="1422" t="n"/>
      <c r="AT1225" s="1392" t="n"/>
      <c r="AU1225" s="1392" t="n"/>
      <c r="AV1225" s="1392" t="n"/>
      <c r="AW1225" s="1392" t="n"/>
      <c r="AX1225" s="1392" t="n"/>
      <c r="AY1225" s="1392" t="n"/>
      <c r="AZ1225" s="1392" t="n"/>
      <c r="BA1225" s="1422" t="n"/>
      <c r="BB1225" s="1422" t="n"/>
      <c r="BC1225" s="1392" t="n"/>
      <c r="BD1225" s="1392" t="n"/>
      <c r="BE1225" s="1392" t="n"/>
      <c r="BF1225" s="1392" t="n"/>
      <c r="BG1225" s="1392" t="n"/>
      <c r="BH1225" s="1392" t="n"/>
      <c r="BI1225" s="1392" t="n"/>
      <c r="BJ1225" s="1392" t="n"/>
      <c r="BK1225" s="1392" t="n"/>
      <c r="BL1225" s="1392" t="n"/>
      <c r="BM1225" s="1392" t="n"/>
      <c r="BN1225" s="1392" t="n"/>
      <c r="BO1225" s="1392" t="n"/>
      <c r="BP1225" s="1392" t="n"/>
      <c r="BQ1225" s="1392" t="n"/>
      <c r="BR1225" s="1392" t="n"/>
      <c r="BS1225" s="1392" t="n"/>
      <c r="BT1225" s="1392" t="n"/>
      <c r="BU1225" s="1392" t="n"/>
      <c r="BV1225" s="1392" t="n"/>
      <c r="BW1225" s="1392" t="n"/>
      <c r="BX1225" s="1392" t="n"/>
      <c r="BY1225" s="1392" t="n"/>
      <c r="BZ1225" s="1392" t="n"/>
      <c r="CA1225" s="1392" t="n"/>
      <c r="CB1225" s="1392" t="n"/>
      <c r="CC1225" s="1392" t="n"/>
      <c r="CD1225" s="1392" t="n"/>
      <c r="CE1225" s="1392" t="n"/>
      <c r="CF1225" s="1392" t="n"/>
      <c r="CG1225" s="1392" t="n"/>
      <c r="CH1225" s="1392" t="n"/>
      <c r="CI1225" s="1392" t="n"/>
      <c r="CJ1225" s="1392" t="n"/>
      <c r="CK1225" s="1392" t="n"/>
      <c r="CL1225" s="1392" t="n"/>
    </row>
    <row r="1226">
      <c r="A1226" s="5" t="inlineStr">
        <is>
          <t>.</t>
        </is>
      </c>
      <c r="B1226" s="5" t="inlineStr">
        <is>
          <t>.</t>
        </is>
      </c>
      <c r="C1226" s="1378">
        <f>IF(raw[[#This Row],[city]]="","-",IF(raw[[#This Row],[city]]="TODAY","-",C1225+1))</f>
        <v/>
      </c>
      <c r="D1226" s="1393" t="inlineStr">
        <is>
          <t>Rio</t>
        </is>
      </c>
      <c r="E1226" s="1394" t="n">
        <v>40575</v>
      </c>
      <c r="F1226" s="1394" t="n">
        <v>40577</v>
      </c>
      <c r="G1226" s="1393" t="n">
        <v>1</v>
      </c>
      <c r="H1226" s="1393" t="inlineStr">
        <is>
          <t>The Place</t>
        </is>
      </c>
      <c r="I1226" s="1393" t="inlineStr">
        <is>
          <t>Monica Rio</t>
        </is>
      </c>
      <c r="J1226" s="1393" t="inlineStr">
        <is>
          <t>-</t>
        </is>
      </c>
      <c r="K1226" s="1395">
        <f>IF(raw[[#This Row],[city]]&lt;&gt;"",_xlfn.XLOOKUP($D1226,ccc[city],ccc[prov],"-"),"-")</f>
        <v/>
      </c>
      <c r="L1226" s="1395">
        <f>IF(raw[[#This Row],[city]]&lt;&gt;"",_xlfn.XLOOKUP($D1226,ccc[city],ccc[ctry],"-"),"-")</f>
        <v/>
      </c>
      <c r="M1226" s="1395">
        <f>IF(raw[[#This Row],[city]]&lt;&gt;"",_xlfn.XLOOKUP($D1226,ccc[city],ccc[cont],"-"),"-")</f>
        <v/>
      </c>
      <c r="N1226" s="1396">
        <f>IF(raw[[#This Row],[city]]="","-",IF(raw[[#This Row],[cont]]="B",raw[[#This Row],[cont]],"W"))</f>
        <v/>
      </c>
      <c r="O1226" s="1397">
        <f>IF(raw[[#This Row],[out]]=0,0,IF(raw[[#This Row],[out]]=raw[[#This Row],[in]],0.01,raw[[#This Row],[out]]-raw[[#This Row],[in]]))</f>
        <v/>
      </c>
      <c r="P1226" s="1397">
        <f>IF(raw[[#This Row],[in]]=0,0,MONTH(raw[[#This Row],[in]]))</f>
        <v/>
      </c>
      <c r="Q1226" s="1397">
        <f>IF(raw[[#This Row],[in]]=0,0,YEAR(raw[[#This Row],[in]]))</f>
        <v/>
      </c>
      <c r="R1226" s="1397">
        <f>INT(raw[[#This Row],[yr]]/10)*10</f>
        <v/>
      </c>
      <c r="S1226" s="1395">
        <f>IF(raw[[#This Row],[city]]="","-",IF(raw[[#This Row],[city]]&lt;&gt;_xlfn.XLOOKUP(raw[[#This Row],[home]],homes[home],homes[city],"-"),1,0))</f>
        <v/>
      </c>
      <c r="T1226" s="1398" t="inlineStr">
        <is>
          <t>.</t>
        </is>
      </c>
      <c r="U1226" s="1399">
        <f>IF(raw[[#This Row],[wb]]="w",raw[[#This Row],[stay]]+U1225,U1225)</f>
        <v/>
      </c>
      <c r="V1226" s="1400">
        <f>IF(raw[[#This Row],[out]]=0,V1225,(raw[[#This Row],[out]]-E$5))</f>
        <v/>
      </c>
      <c r="W1226" s="1401">
        <f>U1226/V1226</f>
        <v/>
      </c>
      <c r="X1226" s="1392" t="n"/>
      <c r="Y1226" s="1392" t="n"/>
      <c r="Z1226" s="1392" t="n"/>
      <c r="AA1226" s="1392" t="n"/>
      <c r="AB1226" s="1392" t="n"/>
      <c r="AC1226" s="1392" t="n"/>
      <c r="AD1226" s="1392" t="n"/>
      <c r="AE1226" s="1392" t="n"/>
      <c r="AF1226" s="1392" t="n"/>
      <c r="AG1226" s="1392" t="n"/>
      <c r="AH1226" s="1392" t="n"/>
      <c r="AI1226" s="1392" t="n"/>
      <c r="AJ1226" s="1392" t="n"/>
      <c r="AK1226" s="1392" t="n"/>
      <c r="AL1226" s="1392" t="n"/>
      <c r="AM1226" s="1392" t="n"/>
      <c r="AN1226" s="1392" t="n"/>
      <c r="AO1226" s="1392" t="n"/>
      <c r="AP1226" s="1392" t="n"/>
      <c r="AQ1226" s="1392" t="n"/>
      <c r="AR1226" s="1422" t="n"/>
      <c r="AS1226" s="1422" t="n"/>
      <c r="AT1226" s="1392" t="n"/>
      <c r="AU1226" s="1392" t="n"/>
      <c r="AV1226" s="1392" t="n"/>
      <c r="AW1226" s="1392" t="n"/>
      <c r="AX1226" s="1392" t="n"/>
      <c r="AY1226" s="1392" t="n"/>
      <c r="AZ1226" s="1392" t="n"/>
      <c r="BA1226" s="1422" t="n"/>
      <c r="BB1226" s="1422" t="n"/>
      <c r="BC1226" s="1392" t="n"/>
      <c r="BD1226" s="1392" t="n"/>
      <c r="BE1226" s="1392" t="n"/>
      <c r="BF1226" s="1392" t="n"/>
      <c r="BG1226" s="1392" t="n"/>
      <c r="BH1226" s="1392" t="n"/>
      <c r="BI1226" s="1392" t="n"/>
      <c r="BJ1226" s="1392" t="n"/>
      <c r="BK1226" s="1392" t="n"/>
      <c r="BL1226" s="1392" t="n"/>
      <c r="BM1226" s="1392" t="n"/>
      <c r="BN1226" s="1392" t="n"/>
      <c r="BO1226" s="1392" t="n"/>
      <c r="BP1226" s="1392" t="n"/>
      <c r="BQ1226" s="1392" t="n"/>
      <c r="BR1226" s="1392" t="n"/>
      <c r="BS1226" s="1392" t="n"/>
      <c r="BT1226" s="1392" t="n"/>
      <c r="BU1226" s="1392" t="n"/>
      <c r="BV1226" s="1392" t="n"/>
      <c r="BW1226" s="1392" t="n"/>
      <c r="BX1226" s="1392" t="n"/>
      <c r="BY1226" s="1392" t="n"/>
      <c r="BZ1226" s="1392" t="n"/>
      <c r="CA1226" s="1392" t="n"/>
      <c r="CB1226" s="1392" t="n"/>
      <c r="CC1226" s="1392" t="n"/>
      <c r="CD1226" s="1392" t="n"/>
      <c r="CE1226" s="1392" t="n"/>
      <c r="CF1226" s="1392" t="n"/>
      <c r="CG1226" s="1392" t="n"/>
      <c r="CH1226" s="1392" t="n"/>
      <c r="CI1226" s="1392" t="n"/>
      <c r="CJ1226" s="1392" t="n"/>
      <c r="CK1226" s="1392" t="n"/>
      <c r="CL1226" s="1392" t="n"/>
    </row>
    <row r="1227">
      <c r="A1227" s="5" t="inlineStr">
        <is>
          <t>.</t>
        </is>
      </c>
      <c r="B1227" s="5" t="inlineStr">
        <is>
          <t>.</t>
        </is>
      </c>
      <c r="C1227" s="1378">
        <f>IF(raw[[#This Row],[city]]="","-",IF(raw[[#This Row],[city]]="TODAY","-",C1226+1))</f>
        <v/>
      </c>
      <c r="D1227" s="1393" t="inlineStr">
        <is>
          <t>SSA</t>
        </is>
      </c>
      <c r="E1227" s="1394" t="n">
        <v>40577</v>
      </c>
      <c r="F1227" s="1394" t="n">
        <v>40603</v>
      </c>
      <c r="G1227" s="1393" t="inlineStr">
        <is>
          <t>-</t>
        </is>
      </c>
      <c r="H1227" s="1393" t="inlineStr">
        <is>
          <t>The Place</t>
        </is>
      </c>
      <c r="I1227" s="1393" t="inlineStr">
        <is>
          <t>-</t>
        </is>
      </c>
      <c r="J1227" s="1393" t="inlineStr">
        <is>
          <t>-</t>
        </is>
      </c>
      <c r="K1227" s="1395">
        <f>IF(raw[[#This Row],[city]]&lt;&gt;"",_xlfn.XLOOKUP($D1227,ccc[city],ccc[prov],"-"),"-")</f>
        <v/>
      </c>
      <c r="L1227" s="1395">
        <f>IF(raw[[#This Row],[city]]&lt;&gt;"",_xlfn.XLOOKUP($D1227,ccc[city],ccc[ctry],"-"),"-")</f>
        <v/>
      </c>
      <c r="M1227" s="1395">
        <f>IF(raw[[#This Row],[city]]&lt;&gt;"",_xlfn.XLOOKUP($D1227,ccc[city],ccc[cont],"-"),"-")</f>
        <v/>
      </c>
      <c r="N1227" s="1396">
        <f>IF(raw[[#This Row],[city]]="","-",IF(raw[[#This Row],[cont]]="B",raw[[#This Row],[cont]],"W"))</f>
        <v/>
      </c>
      <c r="O1227" s="1397">
        <f>IF(raw[[#This Row],[out]]=0,0,IF(raw[[#This Row],[out]]=raw[[#This Row],[in]],0.01,raw[[#This Row],[out]]-raw[[#This Row],[in]]))</f>
        <v/>
      </c>
      <c r="P1227" s="1397">
        <f>IF(raw[[#This Row],[in]]=0,0,MONTH(raw[[#This Row],[in]]))</f>
        <v/>
      </c>
      <c r="Q1227" s="1397">
        <f>IF(raw[[#This Row],[in]]=0,0,YEAR(raw[[#This Row],[in]]))</f>
        <v/>
      </c>
      <c r="R1227" s="1397">
        <f>INT(raw[[#This Row],[yr]]/10)*10</f>
        <v/>
      </c>
      <c r="S1227" s="1395">
        <f>IF(raw[[#This Row],[city]]="","-",IF(raw[[#This Row],[city]]&lt;&gt;_xlfn.XLOOKUP(raw[[#This Row],[home]],homes[home],homes[city],"-"),1,0))</f>
        <v/>
      </c>
      <c r="T1227" s="1398" t="inlineStr">
        <is>
          <t>.</t>
        </is>
      </c>
      <c r="U1227" s="1399">
        <f>IF(raw[[#This Row],[wb]]="w",raw[[#This Row],[stay]]+U1226,U1226)</f>
        <v/>
      </c>
      <c r="V1227" s="1400">
        <f>IF(raw[[#This Row],[out]]=0,V1226,(raw[[#This Row],[out]]-E$5))</f>
        <v/>
      </c>
      <c r="W1227" s="1401">
        <f>U1227/V1227</f>
        <v/>
      </c>
      <c r="X1227" s="1392" t="n"/>
      <c r="Y1227" s="1392" t="n"/>
      <c r="Z1227" s="1392" t="n"/>
      <c r="AA1227" s="1392" t="n"/>
      <c r="AB1227" s="1392" t="n"/>
      <c r="AC1227" s="1392" t="n"/>
      <c r="AD1227" s="1392" t="n"/>
      <c r="AE1227" s="1392" t="n"/>
      <c r="AF1227" s="1392" t="n"/>
      <c r="AG1227" s="1392" t="n"/>
      <c r="AH1227" s="1392" t="n"/>
      <c r="AI1227" s="1392" t="n"/>
      <c r="AJ1227" s="1392" t="n"/>
      <c r="AK1227" s="1392" t="n"/>
      <c r="AL1227" s="1392" t="n"/>
      <c r="AM1227" s="1392" t="n"/>
      <c r="AN1227" s="1392" t="n"/>
      <c r="AO1227" s="1392" t="n"/>
      <c r="AP1227" s="1392" t="n"/>
      <c r="AQ1227" s="1392" t="n"/>
      <c r="AR1227" s="1422" t="n"/>
      <c r="AS1227" s="1422" t="n"/>
      <c r="AT1227" s="1392" t="n"/>
      <c r="AU1227" s="1392" t="n"/>
      <c r="AV1227" s="1392" t="n"/>
      <c r="AW1227" s="1392" t="n"/>
      <c r="AX1227" s="1392" t="n"/>
      <c r="AY1227" s="1392" t="n"/>
      <c r="AZ1227" s="1392" t="n"/>
      <c r="BA1227" s="1422" t="n"/>
      <c r="BB1227" s="1422" t="n"/>
      <c r="BC1227" s="1392" t="n"/>
      <c r="BD1227" s="1392" t="n"/>
      <c r="BE1227" s="1392" t="n"/>
      <c r="BF1227" s="1392" t="n"/>
      <c r="BG1227" s="1392" t="n"/>
      <c r="BH1227" s="1392" t="n"/>
      <c r="BI1227" s="1392" t="n"/>
      <c r="BJ1227" s="1392" t="n"/>
      <c r="BK1227" s="1392" t="n"/>
      <c r="BL1227" s="1392" t="n"/>
      <c r="BM1227" s="1392" t="n"/>
      <c r="BN1227" s="1392" t="n"/>
      <c r="BO1227" s="1392" t="n"/>
      <c r="BP1227" s="1392" t="n"/>
      <c r="BQ1227" s="1392" t="n"/>
      <c r="BR1227" s="1392" t="n"/>
      <c r="BS1227" s="1392" t="n"/>
      <c r="BT1227" s="1392" t="n"/>
      <c r="BU1227" s="1392" t="n"/>
      <c r="BV1227" s="1392" t="n"/>
      <c r="BW1227" s="1392" t="n"/>
      <c r="BX1227" s="1392" t="n"/>
      <c r="BY1227" s="1392" t="n"/>
      <c r="BZ1227" s="1392" t="n"/>
      <c r="CA1227" s="1392" t="n"/>
      <c r="CB1227" s="1392" t="n"/>
      <c r="CC1227" s="1392" t="n"/>
      <c r="CD1227" s="1392" t="n"/>
      <c r="CE1227" s="1392" t="n"/>
      <c r="CF1227" s="1392" t="n"/>
      <c r="CG1227" s="1392" t="n"/>
      <c r="CH1227" s="1392" t="n"/>
      <c r="CI1227" s="1392" t="n"/>
      <c r="CJ1227" s="1392" t="n"/>
      <c r="CK1227" s="1392" t="n"/>
      <c r="CL1227" s="1392" t="n"/>
    </row>
    <row r="1228">
      <c r="A1228" s="5" t="inlineStr">
        <is>
          <t>.</t>
        </is>
      </c>
      <c r="B1228" s="5" t="inlineStr">
        <is>
          <t>.</t>
        </is>
      </c>
      <c r="C1228" s="1378">
        <f>IF(raw[[#This Row],[city]]="","-",IF(raw[[#This Row],[city]]="TODAY","-",C1227+1))</f>
        <v/>
      </c>
      <c r="D1228" s="1393" t="inlineStr">
        <is>
          <t>SSA</t>
        </is>
      </c>
      <c r="E1228" s="1394" t="n">
        <v>40603</v>
      </c>
      <c r="F1228" s="1394" t="n">
        <v>40634</v>
      </c>
      <c r="G1228" s="1393" t="inlineStr">
        <is>
          <t>-</t>
        </is>
      </c>
      <c r="H1228" s="1393" t="inlineStr">
        <is>
          <t>The Place</t>
        </is>
      </c>
      <c r="I1228" s="1393" t="inlineStr">
        <is>
          <t>-</t>
        </is>
      </c>
      <c r="J1228" s="1393" t="inlineStr">
        <is>
          <t>-</t>
        </is>
      </c>
      <c r="K1228" s="1395">
        <f>IF(raw[[#This Row],[city]]&lt;&gt;"",_xlfn.XLOOKUP($D1228,ccc[city],ccc[prov],"-"),"-")</f>
        <v/>
      </c>
      <c r="L1228" s="1395">
        <f>IF(raw[[#This Row],[city]]&lt;&gt;"",_xlfn.XLOOKUP($D1228,ccc[city],ccc[ctry],"-"),"-")</f>
        <v/>
      </c>
      <c r="M1228" s="1395">
        <f>IF(raw[[#This Row],[city]]&lt;&gt;"",_xlfn.XLOOKUP($D1228,ccc[city],ccc[cont],"-"),"-")</f>
        <v/>
      </c>
      <c r="N1228" s="1396">
        <f>IF(raw[[#This Row],[city]]="","-",IF(raw[[#This Row],[cont]]="B",raw[[#This Row],[cont]],"W"))</f>
        <v/>
      </c>
      <c r="O1228" s="1397">
        <f>IF(raw[[#This Row],[out]]=0,0,IF(raw[[#This Row],[out]]=raw[[#This Row],[in]],0.01,raw[[#This Row],[out]]-raw[[#This Row],[in]]))</f>
        <v/>
      </c>
      <c r="P1228" s="1397">
        <f>IF(raw[[#This Row],[in]]=0,0,MONTH(raw[[#This Row],[in]]))</f>
        <v/>
      </c>
      <c r="Q1228" s="1397">
        <f>IF(raw[[#This Row],[in]]=0,0,YEAR(raw[[#This Row],[in]]))</f>
        <v/>
      </c>
      <c r="R1228" s="1397">
        <f>INT(raw[[#This Row],[yr]]/10)*10</f>
        <v/>
      </c>
      <c r="S1228" s="1395">
        <f>IF(raw[[#This Row],[city]]="","-",IF(raw[[#This Row],[city]]&lt;&gt;_xlfn.XLOOKUP(raw[[#This Row],[home]],homes[home],homes[city],"-"),1,0))</f>
        <v/>
      </c>
      <c r="T1228" s="1398" t="inlineStr">
        <is>
          <t>.</t>
        </is>
      </c>
      <c r="U1228" s="1399">
        <f>IF(raw[[#This Row],[wb]]="w",raw[[#This Row],[stay]]+U1227,U1227)</f>
        <v/>
      </c>
      <c r="V1228" s="1400">
        <f>IF(raw[[#This Row],[out]]=0,V1227,(raw[[#This Row],[out]]-E$5))</f>
        <v/>
      </c>
      <c r="W1228" s="1401">
        <f>U1228/V1228</f>
        <v/>
      </c>
      <c r="X1228" s="1392" t="n"/>
      <c r="Y1228" s="1392" t="n"/>
      <c r="Z1228" s="1392" t="n"/>
      <c r="AA1228" s="1392" t="n"/>
      <c r="AB1228" s="1392" t="n"/>
      <c r="AC1228" s="1392" t="n"/>
      <c r="AD1228" s="1392" t="n"/>
      <c r="AE1228" s="1392" t="n"/>
      <c r="AF1228" s="1392" t="n"/>
      <c r="AG1228" s="1392" t="n"/>
      <c r="AH1228" s="1392" t="n"/>
      <c r="AI1228" s="1392" t="n"/>
      <c r="AJ1228" s="1392" t="n"/>
      <c r="AK1228" s="1392" t="n"/>
      <c r="AL1228" s="1392" t="n"/>
      <c r="AM1228" s="1392" t="n"/>
      <c r="AN1228" s="1392" t="n"/>
      <c r="AO1228" s="1392" t="n"/>
      <c r="AP1228" s="1392" t="n"/>
      <c r="AQ1228" s="1392" t="n"/>
      <c r="AR1228" s="1422" t="n"/>
      <c r="AS1228" s="1422" t="n"/>
      <c r="AT1228" s="1392" t="n"/>
      <c r="AU1228" s="1392" t="n"/>
      <c r="AV1228" s="1392" t="n"/>
      <c r="AW1228" s="1392" t="n"/>
      <c r="AX1228" s="1392" t="n"/>
      <c r="AY1228" s="1392" t="n"/>
      <c r="AZ1228" s="1392" t="n"/>
      <c r="BA1228" s="1422" t="n"/>
      <c r="BB1228" s="1422" t="n"/>
      <c r="BC1228" s="1392" t="n"/>
      <c r="BD1228" s="1392" t="n"/>
      <c r="BE1228" s="1392" t="n"/>
      <c r="BF1228" s="1392" t="n"/>
      <c r="BG1228" s="1392" t="n"/>
      <c r="BH1228" s="1392" t="n"/>
      <c r="BI1228" s="1392" t="n"/>
      <c r="BJ1228" s="1392" t="n"/>
      <c r="BK1228" s="1392" t="n"/>
      <c r="BL1228" s="1392" t="n"/>
      <c r="BM1228" s="1392" t="n"/>
      <c r="BN1228" s="1392" t="n"/>
      <c r="BO1228" s="1392" t="n"/>
      <c r="BP1228" s="1392" t="n"/>
      <c r="BQ1228" s="1392" t="n"/>
      <c r="BR1228" s="1392" t="n"/>
      <c r="BS1228" s="1392" t="n"/>
      <c r="BT1228" s="1392" t="n"/>
      <c r="BU1228" s="1392" t="n"/>
      <c r="BV1228" s="1392" t="n"/>
      <c r="BW1228" s="1392" t="n"/>
      <c r="BX1228" s="1392" t="n"/>
      <c r="BY1228" s="1392" t="n"/>
      <c r="BZ1228" s="1392" t="n"/>
      <c r="CA1228" s="1392" t="n"/>
      <c r="CB1228" s="1392" t="n"/>
      <c r="CC1228" s="1392" t="n"/>
      <c r="CD1228" s="1392" t="n"/>
      <c r="CE1228" s="1392" t="n"/>
      <c r="CF1228" s="1392" t="n"/>
      <c r="CG1228" s="1392" t="n"/>
      <c r="CH1228" s="1392" t="n"/>
      <c r="CI1228" s="1392" t="n"/>
      <c r="CJ1228" s="1392" t="n"/>
      <c r="CK1228" s="1392" t="n"/>
      <c r="CL1228" s="1392" t="n"/>
    </row>
    <row r="1229">
      <c r="A1229" s="5" t="inlineStr">
        <is>
          <t>.</t>
        </is>
      </c>
      <c r="B1229" s="5" t="inlineStr">
        <is>
          <t>.</t>
        </is>
      </c>
      <c r="C1229" s="1378">
        <f>IF(raw[[#This Row],[city]]="","-",IF(raw[[#This Row],[city]]="TODAY","-",C1228+1))</f>
        <v/>
      </c>
      <c r="D1229" s="1393" t="inlineStr">
        <is>
          <t>SSA</t>
        </is>
      </c>
      <c r="E1229" s="1394" t="n">
        <v>40634</v>
      </c>
      <c r="F1229" s="1394" t="n">
        <v>40645</v>
      </c>
      <c r="G1229" s="1393" t="n">
        <v>1</v>
      </c>
      <c r="H1229" s="1393" t="inlineStr">
        <is>
          <t>The Place</t>
        </is>
      </c>
      <c r="I1229" s="1393" t="inlineStr">
        <is>
          <t>-</t>
        </is>
      </c>
      <c r="J1229" s="1393" t="inlineStr">
        <is>
          <t>-</t>
        </is>
      </c>
      <c r="K1229" s="1395">
        <f>IF(raw[[#This Row],[city]]&lt;&gt;"",_xlfn.XLOOKUP($D1229,ccc[city],ccc[prov],"-"),"-")</f>
        <v/>
      </c>
      <c r="L1229" s="1395">
        <f>IF(raw[[#This Row],[city]]&lt;&gt;"",_xlfn.XLOOKUP($D1229,ccc[city],ccc[ctry],"-"),"-")</f>
        <v/>
      </c>
      <c r="M1229" s="1395">
        <f>IF(raw[[#This Row],[city]]&lt;&gt;"",_xlfn.XLOOKUP($D1229,ccc[city],ccc[cont],"-"),"-")</f>
        <v/>
      </c>
      <c r="N1229" s="1396">
        <f>IF(raw[[#This Row],[city]]="","-",IF(raw[[#This Row],[cont]]="B",raw[[#This Row],[cont]],"W"))</f>
        <v/>
      </c>
      <c r="O1229" s="1397">
        <f>IF(raw[[#This Row],[out]]=0,0,IF(raw[[#This Row],[out]]=raw[[#This Row],[in]],0.01,raw[[#This Row],[out]]-raw[[#This Row],[in]]))</f>
        <v/>
      </c>
      <c r="P1229" s="1397">
        <f>IF(raw[[#This Row],[in]]=0,0,MONTH(raw[[#This Row],[in]]))</f>
        <v/>
      </c>
      <c r="Q1229" s="1397">
        <f>IF(raw[[#This Row],[in]]=0,0,YEAR(raw[[#This Row],[in]]))</f>
        <v/>
      </c>
      <c r="R1229" s="1397">
        <f>INT(raw[[#This Row],[yr]]/10)*10</f>
        <v/>
      </c>
      <c r="S1229" s="1395">
        <f>IF(raw[[#This Row],[city]]="","-",IF(raw[[#This Row],[city]]&lt;&gt;_xlfn.XLOOKUP(raw[[#This Row],[home]],homes[home],homes[city],"-"),1,0))</f>
        <v/>
      </c>
      <c r="T1229" s="1398" t="inlineStr">
        <is>
          <t>.</t>
        </is>
      </c>
      <c r="U1229" s="1399">
        <f>IF(raw[[#This Row],[wb]]="w",raw[[#This Row],[stay]]+U1228,U1228)</f>
        <v/>
      </c>
      <c r="V1229" s="1400">
        <f>IF(raw[[#This Row],[out]]=0,V1228,(raw[[#This Row],[out]]-E$5))</f>
        <v/>
      </c>
      <c r="W1229" s="1401">
        <f>U1229/V1229</f>
        <v/>
      </c>
      <c r="X1229" s="1392" t="n"/>
      <c r="Y1229" s="1392" t="n"/>
      <c r="Z1229" s="1392" t="n"/>
      <c r="AA1229" s="1392" t="n"/>
      <c r="AB1229" s="1392" t="n"/>
      <c r="AC1229" s="1392" t="n"/>
      <c r="AD1229" s="1392" t="n"/>
      <c r="AE1229" s="1392" t="n"/>
      <c r="AF1229" s="1392" t="n"/>
      <c r="AG1229" s="1392" t="n"/>
      <c r="AH1229" s="1392" t="n"/>
      <c r="AI1229" s="1392" t="n"/>
      <c r="AJ1229" s="1392" t="n"/>
      <c r="AK1229" s="1392" t="n"/>
      <c r="AL1229" s="1392" t="n"/>
      <c r="AM1229" s="1392" t="n"/>
      <c r="AN1229" s="1392" t="n"/>
      <c r="AO1229" s="1392" t="n"/>
      <c r="AP1229" s="1392" t="n"/>
      <c r="AQ1229" s="1392" t="n"/>
      <c r="AR1229" s="1422" t="n"/>
      <c r="AS1229" s="1422" t="n"/>
      <c r="AT1229" s="1392" t="n"/>
      <c r="AU1229" s="1392" t="n"/>
      <c r="AV1229" s="1392" t="n"/>
      <c r="AW1229" s="1392" t="n"/>
      <c r="AX1229" s="1392" t="n"/>
      <c r="AY1229" s="1392" t="n"/>
      <c r="AZ1229" s="1392" t="n"/>
      <c r="BA1229" s="1422" t="n"/>
      <c r="BB1229" s="1422" t="n"/>
      <c r="BC1229" s="1392" t="n"/>
      <c r="BD1229" s="1392" t="n"/>
      <c r="BE1229" s="1392" t="n"/>
      <c r="BF1229" s="1392" t="n"/>
      <c r="BG1229" s="1392" t="n"/>
      <c r="BH1229" s="1392" t="n"/>
      <c r="BI1229" s="1392" t="n"/>
      <c r="BJ1229" s="1392" t="n"/>
      <c r="BK1229" s="1392" t="n"/>
      <c r="BL1229" s="1392" t="n"/>
      <c r="BM1229" s="1392" t="n"/>
      <c r="BN1229" s="1392" t="n"/>
      <c r="BO1229" s="1392" t="n"/>
      <c r="BP1229" s="1392" t="n"/>
      <c r="BQ1229" s="1392" t="n"/>
      <c r="BR1229" s="1392" t="n"/>
      <c r="BS1229" s="1392" t="n"/>
      <c r="BT1229" s="1392" t="n"/>
      <c r="BU1229" s="1392" t="n"/>
      <c r="BV1229" s="1392" t="n"/>
      <c r="BW1229" s="1392" t="n"/>
      <c r="BX1229" s="1392" t="n"/>
      <c r="BY1229" s="1392" t="n"/>
      <c r="BZ1229" s="1392" t="n"/>
      <c r="CA1229" s="1392" t="n"/>
      <c r="CB1229" s="1392" t="n"/>
      <c r="CC1229" s="1392" t="n"/>
      <c r="CD1229" s="1392" t="n"/>
      <c r="CE1229" s="1392" t="n"/>
      <c r="CF1229" s="1392" t="n"/>
      <c r="CG1229" s="1392" t="n"/>
      <c r="CH1229" s="1392" t="n"/>
      <c r="CI1229" s="1392" t="n"/>
      <c r="CJ1229" s="1392" t="n"/>
      <c r="CK1229" s="1392" t="n"/>
      <c r="CL1229" s="1392" t="n"/>
    </row>
    <row r="1230">
      <c r="A1230" s="5" t="inlineStr">
        <is>
          <t>.</t>
        </is>
      </c>
      <c r="B1230" s="5" t="inlineStr">
        <is>
          <t>.</t>
        </is>
      </c>
      <c r="C1230" s="1378">
        <f>IF(raw[[#This Row],[city]]="","-",IF(raw[[#This Row],[city]]="TODAY","-",C1229+1))</f>
        <v/>
      </c>
      <c r="D1230" s="1393" t="inlineStr">
        <is>
          <t>SP</t>
        </is>
      </c>
      <c r="E1230" s="1394" t="n">
        <v>40645</v>
      </c>
      <c r="F1230" s="1394" t="n">
        <v>40651</v>
      </c>
      <c r="G1230" s="1393" t="n">
        <v>1</v>
      </c>
      <c r="H1230" s="1393" t="inlineStr">
        <is>
          <t>The Place</t>
        </is>
      </c>
      <c r="I1230" s="1393" t="inlineStr">
        <is>
          <t>Salto Grande</t>
        </is>
      </c>
      <c r="J1230" s="1393" t="inlineStr">
        <is>
          <t>-</t>
        </is>
      </c>
      <c r="K1230" s="1395">
        <f>IF(raw[[#This Row],[city]]&lt;&gt;"",_xlfn.XLOOKUP($D1230,ccc[city],ccc[prov],"-"),"-")</f>
        <v/>
      </c>
      <c r="L1230" s="1395">
        <f>IF(raw[[#This Row],[city]]&lt;&gt;"",_xlfn.XLOOKUP($D1230,ccc[city],ccc[ctry],"-"),"-")</f>
        <v/>
      </c>
      <c r="M1230" s="1395">
        <f>IF(raw[[#This Row],[city]]&lt;&gt;"",_xlfn.XLOOKUP($D1230,ccc[city],ccc[cont],"-"),"-")</f>
        <v/>
      </c>
      <c r="N1230" s="1396">
        <f>IF(raw[[#This Row],[city]]="","-",IF(raw[[#This Row],[cont]]="B",raw[[#This Row],[cont]],"W"))</f>
        <v/>
      </c>
      <c r="O1230" s="1397">
        <f>IF(raw[[#This Row],[out]]=0,0,IF(raw[[#This Row],[out]]=raw[[#This Row],[in]],0.01,raw[[#This Row],[out]]-raw[[#This Row],[in]]))</f>
        <v/>
      </c>
      <c r="P1230" s="1397">
        <f>IF(raw[[#This Row],[in]]=0,0,MONTH(raw[[#This Row],[in]]))</f>
        <v/>
      </c>
      <c r="Q1230" s="1397">
        <f>IF(raw[[#This Row],[in]]=0,0,YEAR(raw[[#This Row],[in]]))</f>
        <v/>
      </c>
      <c r="R1230" s="1397">
        <f>INT(raw[[#This Row],[yr]]/10)*10</f>
        <v/>
      </c>
      <c r="S1230" s="1395">
        <f>IF(raw[[#This Row],[city]]="","-",IF(raw[[#This Row],[city]]&lt;&gt;_xlfn.XLOOKUP(raw[[#This Row],[home]],homes[home],homes[city],"-"),1,0))</f>
        <v/>
      </c>
      <c r="T1230" s="1398" t="inlineStr">
        <is>
          <t>.</t>
        </is>
      </c>
      <c r="U1230" s="1399">
        <f>IF(raw[[#This Row],[wb]]="w",raw[[#This Row],[stay]]+U1229,U1229)</f>
        <v/>
      </c>
      <c r="V1230" s="1400">
        <f>IF(raw[[#This Row],[out]]=0,V1229,(raw[[#This Row],[out]]-E$5))</f>
        <v/>
      </c>
      <c r="W1230" s="1401">
        <f>U1230/V1230</f>
        <v/>
      </c>
      <c r="X1230" s="1392" t="n"/>
      <c r="Y1230" s="1392" t="n"/>
      <c r="Z1230" s="1392" t="n"/>
      <c r="AA1230" s="1392" t="n"/>
      <c r="AB1230" s="1392" t="n"/>
      <c r="AC1230" s="1392" t="n"/>
      <c r="AD1230" s="1392" t="n"/>
      <c r="AE1230" s="1392" t="n"/>
      <c r="AF1230" s="1392" t="n"/>
      <c r="AG1230" s="1392" t="n"/>
      <c r="AH1230" s="1392" t="n"/>
      <c r="AI1230" s="1392" t="n"/>
      <c r="AJ1230" s="1392" t="n"/>
      <c r="AK1230" s="1392" t="n"/>
      <c r="AL1230" s="1392" t="n"/>
      <c r="AM1230" s="1392" t="n"/>
      <c r="AN1230" s="1392" t="n"/>
      <c r="AO1230" s="1392" t="n"/>
      <c r="AP1230" s="1392" t="n"/>
      <c r="AQ1230" s="1392" t="n"/>
      <c r="AR1230" s="1422" t="n"/>
      <c r="AS1230" s="1422" t="n"/>
      <c r="AT1230" s="1392" t="n"/>
      <c r="AU1230" s="1392" t="n"/>
      <c r="AV1230" s="1392" t="n"/>
      <c r="AW1230" s="1392" t="n"/>
      <c r="AX1230" s="1392" t="n"/>
      <c r="AY1230" s="1392" t="n"/>
      <c r="AZ1230" s="1392" t="n"/>
      <c r="BA1230" s="1422" t="n"/>
      <c r="BB1230" s="1422" t="n"/>
      <c r="BC1230" s="1392" t="n"/>
      <c r="BD1230" s="1392" t="n"/>
      <c r="BE1230" s="1392" t="n"/>
      <c r="BF1230" s="1392" t="n"/>
      <c r="BG1230" s="1392" t="n"/>
      <c r="BH1230" s="1392" t="n"/>
      <c r="BI1230" s="1392" t="n"/>
      <c r="BJ1230" s="1392" t="n"/>
      <c r="BK1230" s="1392" t="n"/>
      <c r="BL1230" s="1392" t="n"/>
      <c r="BM1230" s="1392" t="n"/>
      <c r="BN1230" s="1392" t="n"/>
      <c r="BO1230" s="1392" t="n"/>
      <c r="BP1230" s="1392" t="n"/>
      <c r="BQ1230" s="1392" t="n"/>
      <c r="BR1230" s="1392" t="n"/>
      <c r="BS1230" s="1392" t="n"/>
      <c r="BT1230" s="1392" t="n"/>
      <c r="BU1230" s="1392" t="n"/>
      <c r="BV1230" s="1392" t="n"/>
      <c r="BW1230" s="1392" t="n"/>
      <c r="BX1230" s="1392" t="n"/>
      <c r="BY1230" s="1392" t="n"/>
      <c r="BZ1230" s="1392" t="n"/>
      <c r="CA1230" s="1392" t="n"/>
      <c r="CB1230" s="1392" t="n"/>
      <c r="CC1230" s="1392" t="n"/>
      <c r="CD1230" s="1392" t="n"/>
      <c r="CE1230" s="1392" t="n"/>
      <c r="CF1230" s="1392" t="n"/>
      <c r="CG1230" s="1392" t="n"/>
      <c r="CH1230" s="1392" t="n"/>
      <c r="CI1230" s="1392" t="n"/>
      <c r="CJ1230" s="1392" t="n"/>
      <c r="CK1230" s="1392" t="n"/>
      <c r="CL1230" s="1392" t="n"/>
    </row>
    <row r="1231">
      <c r="A1231" s="5" t="inlineStr">
        <is>
          <t>.</t>
        </is>
      </c>
      <c r="B1231" s="5" t="inlineStr">
        <is>
          <t>.</t>
        </is>
      </c>
      <c r="C1231" s="1378">
        <f>IF(raw[[#This Row],[city]]="","-",IF(raw[[#This Row],[city]]="TODAY","-",C1230+1))</f>
        <v/>
      </c>
      <c r="D1231" s="1393" t="inlineStr">
        <is>
          <t>SSA</t>
        </is>
      </c>
      <c r="E1231" s="1394" t="n">
        <v>40651</v>
      </c>
      <c r="F1231" s="1394" t="n">
        <v>40664</v>
      </c>
      <c r="G1231" s="1393" t="inlineStr">
        <is>
          <t>-</t>
        </is>
      </c>
      <c r="H1231" s="1393" t="inlineStr">
        <is>
          <t>The Place</t>
        </is>
      </c>
      <c r="I1231" s="1393" t="inlineStr">
        <is>
          <t>-</t>
        </is>
      </c>
      <c r="J1231" s="1393" t="inlineStr">
        <is>
          <t>-</t>
        </is>
      </c>
      <c r="K1231" s="1395">
        <f>IF(raw[[#This Row],[city]]&lt;&gt;"",_xlfn.XLOOKUP($D1231,ccc[city],ccc[prov],"-"),"-")</f>
        <v/>
      </c>
      <c r="L1231" s="1395">
        <f>IF(raw[[#This Row],[city]]&lt;&gt;"",_xlfn.XLOOKUP($D1231,ccc[city],ccc[ctry],"-"),"-")</f>
        <v/>
      </c>
      <c r="M1231" s="1395">
        <f>IF(raw[[#This Row],[city]]&lt;&gt;"",_xlfn.XLOOKUP($D1231,ccc[city],ccc[cont],"-"),"-")</f>
        <v/>
      </c>
      <c r="N1231" s="1396">
        <f>IF(raw[[#This Row],[city]]="","-",IF(raw[[#This Row],[cont]]="B",raw[[#This Row],[cont]],"W"))</f>
        <v/>
      </c>
      <c r="O1231" s="1397">
        <f>IF(raw[[#This Row],[out]]=0,0,IF(raw[[#This Row],[out]]=raw[[#This Row],[in]],0.01,raw[[#This Row],[out]]-raw[[#This Row],[in]]))</f>
        <v/>
      </c>
      <c r="P1231" s="1397">
        <f>IF(raw[[#This Row],[in]]=0,0,MONTH(raw[[#This Row],[in]]))</f>
        <v/>
      </c>
      <c r="Q1231" s="1397">
        <f>IF(raw[[#This Row],[in]]=0,0,YEAR(raw[[#This Row],[in]]))</f>
        <v/>
      </c>
      <c r="R1231" s="1397">
        <f>INT(raw[[#This Row],[yr]]/10)*10</f>
        <v/>
      </c>
      <c r="S1231" s="1395">
        <f>IF(raw[[#This Row],[city]]="","-",IF(raw[[#This Row],[city]]&lt;&gt;_xlfn.XLOOKUP(raw[[#This Row],[home]],homes[home],homes[city],"-"),1,0))</f>
        <v/>
      </c>
      <c r="T1231" s="1398" t="inlineStr">
        <is>
          <t>.</t>
        </is>
      </c>
      <c r="U1231" s="1399">
        <f>IF(raw[[#This Row],[wb]]="w",raw[[#This Row],[stay]]+U1230,U1230)</f>
        <v/>
      </c>
      <c r="V1231" s="1400">
        <f>IF(raw[[#This Row],[out]]=0,V1230,(raw[[#This Row],[out]]-E$5))</f>
        <v/>
      </c>
      <c r="W1231" s="1401">
        <f>U1231/V1231</f>
        <v/>
      </c>
      <c r="X1231" s="1392" t="n"/>
      <c r="Y1231" s="1392" t="n"/>
      <c r="Z1231" s="1392" t="n"/>
      <c r="AA1231" s="1392" t="n"/>
      <c r="AB1231" s="1392" t="n"/>
      <c r="AC1231" s="1392" t="n"/>
      <c r="AD1231" s="1392" t="n"/>
      <c r="AE1231" s="1392" t="n"/>
      <c r="AF1231" s="1392" t="n"/>
      <c r="AG1231" s="1392" t="n"/>
      <c r="AH1231" s="1392" t="n"/>
      <c r="AI1231" s="1392" t="n"/>
      <c r="AJ1231" s="1392" t="n"/>
      <c r="AK1231" s="1392" t="n"/>
      <c r="AL1231" s="1392" t="n"/>
      <c r="AM1231" s="1392" t="n"/>
      <c r="AN1231" s="1392" t="n"/>
      <c r="AO1231" s="1392" t="n"/>
      <c r="AP1231" s="1392" t="n"/>
      <c r="AQ1231" s="1392" t="n"/>
      <c r="AR1231" s="1422" t="n"/>
      <c r="AS1231" s="1422" t="n"/>
      <c r="AT1231" s="1392" t="n"/>
      <c r="AU1231" s="1392" t="n"/>
      <c r="AV1231" s="1392" t="n"/>
      <c r="AW1231" s="1392" t="n"/>
      <c r="AX1231" s="1392" t="n"/>
      <c r="AY1231" s="1392" t="n"/>
      <c r="AZ1231" s="1392" t="n"/>
      <c r="BA1231" s="1422" t="n"/>
      <c r="BB1231" s="1422" t="n"/>
      <c r="BC1231" s="1392" t="n"/>
      <c r="BD1231" s="1392" t="n"/>
      <c r="BE1231" s="1392" t="n"/>
      <c r="BF1231" s="1392" t="n"/>
      <c r="BG1231" s="1392" t="n"/>
      <c r="BH1231" s="1392" t="n"/>
      <c r="BI1231" s="1392" t="n"/>
      <c r="BJ1231" s="1392" t="n"/>
      <c r="BK1231" s="1392" t="n"/>
      <c r="BL1231" s="1392" t="n"/>
      <c r="BM1231" s="1392" t="n"/>
      <c r="BN1231" s="1392" t="n"/>
      <c r="BO1231" s="1392" t="n"/>
      <c r="BP1231" s="1392" t="n"/>
      <c r="BQ1231" s="1392" t="n"/>
      <c r="BR1231" s="1392" t="n"/>
      <c r="BS1231" s="1392" t="n"/>
      <c r="BT1231" s="1392" t="n"/>
      <c r="BU1231" s="1392" t="n"/>
      <c r="BV1231" s="1392" t="n"/>
      <c r="BW1231" s="1392" t="n"/>
      <c r="BX1231" s="1392" t="n"/>
      <c r="BY1231" s="1392" t="n"/>
      <c r="BZ1231" s="1392" t="n"/>
      <c r="CA1231" s="1392" t="n"/>
      <c r="CB1231" s="1392" t="n"/>
      <c r="CC1231" s="1392" t="n"/>
      <c r="CD1231" s="1392" t="n"/>
      <c r="CE1231" s="1392" t="n"/>
      <c r="CF1231" s="1392" t="n"/>
      <c r="CG1231" s="1392" t="n"/>
      <c r="CH1231" s="1392" t="n"/>
      <c r="CI1231" s="1392" t="n"/>
      <c r="CJ1231" s="1392" t="n"/>
      <c r="CK1231" s="1392" t="n"/>
      <c r="CL1231" s="1392" t="n"/>
    </row>
    <row r="1232">
      <c r="A1232" s="5" t="inlineStr">
        <is>
          <t>.</t>
        </is>
      </c>
      <c r="B1232" s="5" t="inlineStr">
        <is>
          <t>.</t>
        </is>
      </c>
      <c r="C1232" s="1378">
        <f>IF(raw[[#This Row],[city]]="","-",IF(raw[[#This Row],[city]]="TODAY","-",C1231+1))</f>
        <v/>
      </c>
      <c r="D1232" s="1393" t="inlineStr">
        <is>
          <t>SSA</t>
        </is>
      </c>
      <c r="E1232" s="1394" t="n">
        <v>40664</v>
      </c>
      <c r="F1232" s="1394" t="n">
        <v>40672</v>
      </c>
      <c r="G1232" s="1393" t="n">
        <v>1</v>
      </c>
      <c r="H1232" s="1393" t="inlineStr">
        <is>
          <t>The Place</t>
        </is>
      </c>
      <c r="I1232" s="1393" t="inlineStr">
        <is>
          <t>-</t>
        </is>
      </c>
      <c r="J1232" s="1393" t="inlineStr">
        <is>
          <t>-</t>
        </is>
      </c>
      <c r="K1232" s="1395">
        <f>IF(raw[[#This Row],[city]]&lt;&gt;"",_xlfn.XLOOKUP($D1232,ccc[city],ccc[prov],"-"),"-")</f>
        <v/>
      </c>
      <c r="L1232" s="1395">
        <f>IF(raw[[#This Row],[city]]&lt;&gt;"",_xlfn.XLOOKUP($D1232,ccc[city],ccc[ctry],"-"),"-")</f>
        <v/>
      </c>
      <c r="M1232" s="1395">
        <f>IF(raw[[#This Row],[city]]&lt;&gt;"",_xlfn.XLOOKUP($D1232,ccc[city],ccc[cont],"-"),"-")</f>
        <v/>
      </c>
      <c r="N1232" s="1396">
        <f>IF(raw[[#This Row],[city]]="","-",IF(raw[[#This Row],[cont]]="B",raw[[#This Row],[cont]],"W"))</f>
        <v/>
      </c>
      <c r="O1232" s="1397">
        <f>IF(raw[[#This Row],[out]]=0,0,IF(raw[[#This Row],[out]]=raw[[#This Row],[in]],0.01,raw[[#This Row],[out]]-raw[[#This Row],[in]]))</f>
        <v/>
      </c>
      <c r="P1232" s="1397">
        <f>IF(raw[[#This Row],[in]]=0,0,MONTH(raw[[#This Row],[in]]))</f>
        <v/>
      </c>
      <c r="Q1232" s="1397">
        <f>IF(raw[[#This Row],[in]]=0,0,YEAR(raw[[#This Row],[in]]))</f>
        <v/>
      </c>
      <c r="R1232" s="1397">
        <f>INT(raw[[#This Row],[yr]]/10)*10</f>
        <v/>
      </c>
      <c r="S1232" s="1395">
        <f>IF(raw[[#This Row],[city]]="","-",IF(raw[[#This Row],[city]]&lt;&gt;_xlfn.XLOOKUP(raw[[#This Row],[home]],homes[home],homes[city],"-"),1,0))</f>
        <v/>
      </c>
      <c r="T1232" s="1398" t="inlineStr">
        <is>
          <t>.</t>
        </is>
      </c>
      <c r="U1232" s="1399">
        <f>IF(raw[[#This Row],[wb]]="w",raw[[#This Row],[stay]]+U1231,U1231)</f>
        <v/>
      </c>
      <c r="V1232" s="1400">
        <f>IF(raw[[#This Row],[out]]=0,V1231,(raw[[#This Row],[out]]-E$5))</f>
        <v/>
      </c>
      <c r="W1232" s="1401">
        <f>U1232/V1232</f>
        <v/>
      </c>
      <c r="X1232" s="1392" t="n"/>
      <c r="Y1232" s="1392" t="n"/>
      <c r="Z1232" s="1392" t="n"/>
      <c r="AA1232" s="1392" t="n"/>
      <c r="AB1232" s="1392" t="n"/>
      <c r="AC1232" s="1392" t="n"/>
      <c r="AD1232" s="1392" t="n"/>
      <c r="AE1232" s="1392" t="n"/>
      <c r="AF1232" s="1392" t="n"/>
      <c r="AG1232" s="1392" t="n"/>
      <c r="AH1232" s="1392" t="n"/>
      <c r="AI1232" s="1392" t="n"/>
      <c r="AJ1232" s="1392" t="n"/>
      <c r="AK1232" s="1392" t="n"/>
      <c r="AL1232" s="1392" t="n"/>
      <c r="AM1232" s="1392" t="n"/>
      <c r="AN1232" s="1392" t="n"/>
      <c r="AO1232" s="1392" t="n"/>
      <c r="AP1232" s="1392" t="n"/>
      <c r="AQ1232" s="1392" t="n"/>
      <c r="AR1232" s="1422" t="n"/>
      <c r="AS1232" s="1422" t="n"/>
      <c r="AT1232" s="1392" t="n"/>
      <c r="AU1232" s="1392" t="n"/>
      <c r="AV1232" s="1392" t="n"/>
      <c r="AW1232" s="1392" t="n"/>
      <c r="AX1232" s="1392" t="n"/>
      <c r="AY1232" s="1392" t="n"/>
      <c r="AZ1232" s="1392" t="n"/>
      <c r="BA1232" s="1422" t="n"/>
      <c r="BB1232" s="1422" t="n"/>
      <c r="BC1232" s="1392" t="n"/>
      <c r="BD1232" s="1392" t="n"/>
      <c r="BE1232" s="1392" t="n"/>
      <c r="BF1232" s="1392" t="n"/>
      <c r="BG1232" s="1392" t="n"/>
      <c r="BH1232" s="1392" t="n"/>
      <c r="BI1232" s="1392" t="n"/>
      <c r="BJ1232" s="1392" t="n"/>
      <c r="BK1232" s="1392" t="n"/>
      <c r="BL1232" s="1392" t="n"/>
      <c r="BM1232" s="1392" t="n"/>
      <c r="BN1232" s="1392" t="n"/>
      <c r="BO1232" s="1392" t="n"/>
      <c r="BP1232" s="1392" t="n"/>
      <c r="BQ1232" s="1392" t="n"/>
      <c r="BR1232" s="1392" t="n"/>
      <c r="BS1232" s="1392" t="n"/>
      <c r="BT1232" s="1392" t="n"/>
      <c r="BU1232" s="1392" t="n"/>
      <c r="BV1232" s="1392" t="n"/>
      <c r="BW1232" s="1392" t="n"/>
      <c r="BX1232" s="1392" t="n"/>
      <c r="BY1232" s="1392" t="n"/>
      <c r="BZ1232" s="1392" t="n"/>
      <c r="CA1232" s="1392" t="n"/>
      <c r="CB1232" s="1392" t="n"/>
      <c r="CC1232" s="1392" t="n"/>
      <c r="CD1232" s="1392" t="n"/>
      <c r="CE1232" s="1392" t="n"/>
      <c r="CF1232" s="1392" t="n"/>
      <c r="CG1232" s="1392" t="n"/>
      <c r="CH1232" s="1392" t="n"/>
      <c r="CI1232" s="1392" t="n"/>
      <c r="CJ1232" s="1392" t="n"/>
      <c r="CK1232" s="1392" t="n"/>
      <c r="CL1232" s="1392" t="n"/>
    </row>
    <row r="1233">
      <c r="A1233" s="5" t="inlineStr">
        <is>
          <t>.</t>
        </is>
      </c>
      <c r="B1233" s="5" t="inlineStr">
        <is>
          <t>.</t>
        </is>
      </c>
      <c r="C1233" s="1378">
        <f>IF(raw[[#This Row],[city]]="","-",IF(raw[[#This Row],[city]]="TODAY","-",C1232+1))</f>
        <v/>
      </c>
      <c r="D1233" s="1393" t="inlineStr">
        <is>
          <t>SP</t>
        </is>
      </c>
      <c r="E1233" s="1394" t="n">
        <v>40672</v>
      </c>
      <c r="F1233" s="1394" t="n">
        <v>40673</v>
      </c>
      <c r="G1233" s="1393" t="inlineStr">
        <is>
          <t>-</t>
        </is>
      </c>
      <c r="H1233" s="1393" t="inlineStr">
        <is>
          <t>The Place</t>
        </is>
      </c>
      <c r="I1233" s="1393" t="inlineStr">
        <is>
          <t>Ibis</t>
        </is>
      </c>
      <c r="J1233" s="1393" t="n"/>
      <c r="K1233" s="1395">
        <f>IF(raw[[#This Row],[city]]&lt;&gt;"",_xlfn.XLOOKUP($D1233,ccc[city],ccc[prov],"-"),"-")</f>
        <v/>
      </c>
      <c r="L1233" s="1395">
        <f>IF(raw[[#This Row],[city]]&lt;&gt;"",_xlfn.XLOOKUP($D1233,ccc[city],ccc[ctry],"-"),"-")</f>
        <v/>
      </c>
      <c r="M1233" s="1395">
        <f>IF(raw[[#This Row],[city]]&lt;&gt;"",_xlfn.XLOOKUP($D1233,ccc[city],ccc[cont],"-"),"-")</f>
        <v/>
      </c>
      <c r="N1233" s="1396">
        <f>IF(raw[[#This Row],[city]]="","-",IF(raw[[#This Row],[cont]]="B",raw[[#This Row],[cont]],"W"))</f>
        <v/>
      </c>
      <c r="O1233" s="1397">
        <f>IF(raw[[#This Row],[out]]=0,0,IF(raw[[#This Row],[out]]=raw[[#This Row],[in]],0.01,raw[[#This Row],[out]]-raw[[#This Row],[in]]))</f>
        <v/>
      </c>
      <c r="P1233" s="1397">
        <f>IF(raw[[#This Row],[in]]=0,0,MONTH(raw[[#This Row],[in]]))</f>
        <v/>
      </c>
      <c r="Q1233" s="1397">
        <f>IF(raw[[#This Row],[in]]=0,0,YEAR(raw[[#This Row],[in]]))</f>
        <v/>
      </c>
      <c r="R1233" s="1397">
        <f>INT(raw[[#This Row],[yr]]/10)*10</f>
        <v/>
      </c>
      <c r="S1233" s="1395">
        <f>IF(raw[[#This Row],[city]]="","-",IF(raw[[#This Row],[city]]&lt;&gt;_xlfn.XLOOKUP(raw[[#This Row],[home]],homes[home],homes[city],"-"),1,0))</f>
        <v/>
      </c>
      <c r="T1233" s="1398" t="inlineStr">
        <is>
          <t>.</t>
        </is>
      </c>
      <c r="U1233" s="1399">
        <f>IF(raw[[#This Row],[wb]]="w",raw[[#This Row],[stay]]+U1232,U1232)</f>
        <v/>
      </c>
      <c r="V1233" s="1400">
        <f>IF(raw[[#This Row],[out]]=0,V1232,(raw[[#This Row],[out]]-E$5))</f>
        <v/>
      </c>
      <c r="W1233" s="1401">
        <f>U1233/V1233</f>
        <v/>
      </c>
      <c r="X1233" s="1392" t="n"/>
      <c r="Y1233" s="1392" t="n"/>
      <c r="Z1233" s="1392" t="n"/>
      <c r="AA1233" s="1392" t="n"/>
      <c r="AB1233" s="1392" t="n"/>
      <c r="AC1233" s="1392" t="n"/>
      <c r="AD1233" s="1392" t="n"/>
      <c r="AE1233" s="1392" t="n"/>
      <c r="AF1233" s="1392" t="n"/>
      <c r="AG1233" s="1392" t="n"/>
      <c r="AH1233" s="1392" t="n"/>
      <c r="AI1233" s="1392" t="n"/>
      <c r="AJ1233" s="1392" t="n"/>
      <c r="AK1233" s="1392" t="n"/>
      <c r="AL1233" s="1392" t="n"/>
      <c r="AM1233" s="1392" t="n"/>
      <c r="AN1233" s="1392" t="n"/>
      <c r="AO1233" s="1392" t="n"/>
      <c r="AP1233" s="1392" t="n"/>
      <c r="AQ1233" s="1392" t="n"/>
      <c r="AR1233" s="1422" t="n"/>
      <c r="AS1233" s="1422" t="n"/>
      <c r="AT1233" s="1392" t="n"/>
      <c r="AU1233" s="1392" t="n"/>
      <c r="AV1233" s="1392" t="n"/>
      <c r="AW1233" s="1392" t="n"/>
      <c r="AX1233" s="1392" t="n"/>
      <c r="AY1233" s="1392" t="n"/>
      <c r="AZ1233" s="1392" t="n"/>
      <c r="BA1233" s="1422" t="n"/>
      <c r="BB1233" s="1422" t="n"/>
      <c r="BC1233" s="1392" t="n"/>
      <c r="BD1233" s="1392" t="n"/>
      <c r="BE1233" s="1392" t="n"/>
      <c r="BF1233" s="1392" t="n"/>
      <c r="BG1233" s="1392" t="n"/>
      <c r="BH1233" s="1392" t="n"/>
      <c r="BI1233" s="1392" t="n"/>
      <c r="BJ1233" s="1392" t="n"/>
      <c r="BK1233" s="1392" t="n"/>
      <c r="BL1233" s="1392" t="n"/>
      <c r="BM1233" s="1392" t="n"/>
      <c r="BN1233" s="1392" t="n"/>
      <c r="BO1233" s="1392" t="n"/>
      <c r="BP1233" s="1392" t="n"/>
      <c r="BQ1233" s="1392" t="n"/>
      <c r="BR1233" s="1392" t="n"/>
      <c r="BS1233" s="1392" t="n"/>
      <c r="BT1233" s="1392" t="n"/>
      <c r="BU1233" s="1392" t="n"/>
      <c r="BV1233" s="1392" t="n"/>
      <c r="BW1233" s="1392" t="n"/>
      <c r="BX1233" s="1392" t="n"/>
      <c r="BY1233" s="1392" t="n"/>
      <c r="BZ1233" s="1392" t="n"/>
      <c r="CA1233" s="1392" t="n"/>
      <c r="CB1233" s="1392" t="n"/>
      <c r="CC1233" s="1392" t="n"/>
      <c r="CD1233" s="1392" t="n"/>
      <c r="CE1233" s="1392" t="n"/>
      <c r="CF1233" s="1392" t="n"/>
      <c r="CG1233" s="1392" t="n"/>
      <c r="CH1233" s="1392" t="n"/>
      <c r="CI1233" s="1392" t="n"/>
      <c r="CJ1233" s="1392" t="n"/>
      <c r="CK1233" s="1392" t="n"/>
      <c r="CL1233" s="1392" t="n"/>
    </row>
    <row r="1234">
      <c r="A1234" s="5" t="inlineStr">
        <is>
          <t>.</t>
        </is>
      </c>
      <c r="B1234" s="5" t="inlineStr">
        <is>
          <t>.</t>
        </is>
      </c>
      <c r="C1234" s="1378">
        <f>IF(raw[[#This Row],[city]]="","-",IF(raw[[#This Row],[city]]="TODAY","-",C1233+1))</f>
        <v/>
      </c>
      <c r="D1234" s="1393" t="inlineStr">
        <is>
          <t>SP</t>
        </is>
      </c>
      <c r="E1234" s="1394" t="n">
        <v>40673</v>
      </c>
      <c r="F1234" s="1394" t="n">
        <v>40677</v>
      </c>
      <c r="G1234" s="1393" t="n">
        <v>1</v>
      </c>
      <c r="H1234" s="1393" t="inlineStr">
        <is>
          <t>The Place</t>
        </is>
      </c>
      <c r="I1234" s="1393" t="inlineStr">
        <is>
          <t>Salto Grande</t>
        </is>
      </c>
      <c r="J1234" s="1393" t="inlineStr">
        <is>
          <t>-</t>
        </is>
      </c>
      <c r="K1234" s="1395">
        <f>IF(raw[[#This Row],[city]]&lt;&gt;"",_xlfn.XLOOKUP($D1234,ccc[city],ccc[prov],"-"),"-")</f>
        <v/>
      </c>
      <c r="L1234" s="1395">
        <f>IF(raw[[#This Row],[city]]&lt;&gt;"",_xlfn.XLOOKUP($D1234,ccc[city],ccc[ctry],"-"),"-")</f>
        <v/>
      </c>
      <c r="M1234" s="1395">
        <f>IF(raw[[#This Row],[city]]&lt;&gt;"",_xlfn.XLOOKUP($D1234,ccc[city],ccc[cont],"-"),"-")</f>
        <v/>
      </c>
      <c r="N1234" s="1396">
        <f>IF(raw[[#This Row],[city]]="","-",IF(raw[[#This Row],[cont]]="B",raw[[#This Row],[cont]],"W"))</f>
        <v/>
      </c>
      <c r="O1234" s="1397">
        <f>IF(raw[[#This Row],[out]]=0,0,IF(raw[[#This Row],[out]]=raw[[#This Row],[in]],0.01,raw[[#This Row],[out]]-raw[[#This Row],[in]]))</f>
        <v/>
      </c>
      <c r="P1234" s="1397">
        <f>IF(raw[[#This Row],[in]]=0,0,MONTH(raw[[#This Row],[in]]))</f>
        <v/>
      </c>
      <c r="Q1234" s="1397">
        <f>IF(raw[[#This Row],[in]]=0,0,YEAR(raw[[#This Row],[in]]))</f>
        <v/>
      </c>
      <c r="R1234" s="1397">
        <f>INT(raw[[#This Row],[yr]]/10)*10</f>
        <v/>
      </c>
      <c r="S1234" s="1395">
        <f>IF(raw[[#This Row],[city]]="","-",IF(raw[[#This Row],[city]]&lt;&gt;_xlfn.XLOOKUP(raw[[#This Row],[home]],homes[home],homes[city],"-"),1,0))</f>
        <v/>
      </c>
      <c r="T1234" s="1398" t="inlineStr">
        <is>
          <t>.</t>
        </is>
      </c>
      <c r="U1234" s="1399">
        <f>IF(raw[[#This Row],[wb]]="w",raw[[#This Row],[stay]]+U1233,U1233)</f>
        <v/>
      </c>
      <c r="V1234" s="1400">
        <f>IF(raw[[#This Row],[out]]=0,V1233,(raw[[#This Row],[out]]-E$5))</f>
        <v/>
      </c>
      <c r="W1234" s="1401">
        <f>U1234/V1234</f>
        <v/>
      </c>
      <c r="X1234" s="1392" t="n"/>
      <c r="Y1234" s="1392" t="n"/>
      <c r="Z1234" s="1392" t="n"/>
      <c r="AA1234" s="1392" t="n"/>
      <c r="AB1234" s="1392" t="n"/>
      <c r="AC1234" s="1392" t="n"/>
      <c r="AD1234" s="1392" t="n"/>
      <c r="AE1234" s="1392" t="n"/>
      <c r="AF1234" s="1392" t="n"/>
      <c r="AG1234" s="1392" t="n"/>
      <c r="AH1234" s="1392" t="n"/>
      <c r="AI1234" s="1392" t="n"/>
      <c r="AJ1234" s="1392" t="n"/>
      <c r="AK1234" s="1392" t="n"/>
      <c r="AL1234" s="1392" t="n"/>
      <c r="AM1234" s="1392" t="n"/>
      <c r="AN1234" s="1392" t="n"/>
      <c r="AO1234" s="1392" t="n"/>
      <c r="AP1234" s="1392" t="n"/>
      <c r="AQ1234" s="1392" t="n"/>
      <c r="AR1234" s="1422" t="n"/>
      <c r="AS1234" s="1422" t="n"/>
      <c r="AT1234" s="1392" t="n"/>
      <c r="AU1234" s="1392" t="n"/>
      <c r="AV1234" s="1392" t="n"/>
      <c r="AW1234" s="1392" t="n"/>
      <c r="AX1234" s="1392" t="n"/>
      <c r="AY1234" s="1392" t="n"/>
      <c r="AZ1234" s="1392" t="n"/>
      <c r="BA1234" s="1422" t="n"/>
      <c r="BB1234" s="1422" t="n"/>
      <c r="BC1234" s="1392" t="n"/>
      <c r="BD1234" s="1392" t="n"/>
      <c r="BE1234" s="1392" t="n"/>
      <c r="BF1234" s="1392" t="n"/>
      <c r="BG1234" s="1392" t="n"/>
      <c r="BH1234" s="1392" t="n"/>
      <c r="BI1234" s="1392" t="n"/>
      <c r="BJ1234" s="1392" t="n"/>
      <c r="BK1234" s="1392" t="n"/>
      <c r="BL1234" s="1392" t="n"/>
      <c r="BM1234" s="1392" t="n"/>
      <c r="BN1234" s="1392" t="n"/>
      <c r="BO1234" s="1392" t="n"/>
      <c r="BP1234" s="1392" t="n"/>
      <c r="BQ1234" s="1392" t="n"/>
      <c r="BR1234" s="1392" t="n"/>
      <c r="BS1234" s="1392" t="n"/>
      <c r="BT1234" s="1392" t="n"/>
      <c r="BU1234" s="1392" t="n"/>
      <c r="BV1234" s="1392" t="n"/>
      <c r="BW1234" s="1392" t="n"/>
      <c r="BX1234" s="1392" t="n"/>
      <c r="BY1234" s="1392" t="n"/>
      <c r="BZ1234" s="1392" t="n"/>
      <c r="CA1234" s="1392" t="n"/>
      <c r="CB1234" s="1392" t="n"/>
      <c r="CC1234" s="1392" t="n"/>
      <c r="CD1234" s="1392" t="n"/>
      <c r="CE1234" s="1392" t="n"/>
      <c r="CF1234" s="1392" t="n"/>
      <c r="CG1234" s="1392" t="n"/>
      <c r="CH1234" s="1392" t="n"/>
      <c r="CI1234" s="1392" t="n"/>
      <c r="CJ1234" s="1392" t="n"/>
      <c r="CK1234" s="1392" t="n"/>
      <c r="CL1234" s="1392" t="n"/>
    </row>
    <row r="1235">
      <c r="A1235" s="5" t="inlineStr">
        <is>
          <t>.</t>
        </is>
      </c>
      <c r="B1235" s="5" t="inlineStr">
        <is>
          <t>.</t>
        </is>
      </c>
      <c r="C1235" s="1378">
        <f>IF(raw[[#This Row],[city]]="","-",IF(raw[[#This Row],[city]]="TODAY","-",C1234+1))</f>
        <v/>
      </c>
      <c r="D1235" s="1393" t="inlineStr">
        <is>
          <t>SSA</t>
        </is>
      </c>
      <c r="E1235" s="1394" t="n">
        <v>40677</v>
      </c>
      <c r="F1235" s="1394" t="n">
        <v>40688</v>
      </c>
      <c r="G1235" s="1393" t="n">
        <v>1</v>
      </c>
      <c r="H1235" s="1393" t="inlineStr">
        <is>
          <t>The Place</t>
        </is>
      </c>
      <c r="I1235" s="1393" t="inlineStr">
        <is>
          <t>-</t>
        </is>
      </c>
      <c r="J1235" s="1393" t="inlineStr">
        <is>
          <t>-</t>
        </is>
      </c>
      <c r="K1235" s="1395">
        <f>IF(raw[[#This Row],[city]]&lt;&gt;"",_xlfn.XLOOKUP($D1235,ccc[city],ccc[prov],"-"),"-")</f>
        <v/>
      </c>
      <c r="L1235" s="1395">
        <f>IF(raw[[#This Row],[city]]&lt;&gt;"",_xlfn.XLOOKUP($D1235,ccc[city],ccc[ctry],"-"),"-")</f>
        <v/>
      </c>
      <c r="M1235" s="1395">
        <f>IF(raw[[#This Row],[city]]&lt;&gt;"",_xlfn.XLOOKUP($D1235,ccc[city],ccc[cont],"-"),"-")</f>
        <v/>
      </c>
      <c r="N1235" s="1396">
        <f>IF(raw[[#This Row],[city]]="","-",IF(raw[[#This Row],[cont]]="B",raw[[#This Row],[cont]],"W"))</f>
        <v/>
      </c>
      <c r="O1235" s="1397">
        <f>IF(raw[[#This Row],[out]]=0,0,IF(raw[[#This Row],[out]]=raw[[#This Row],[in]],0.01,raw[[#This Row],[out]]-raw[[#This Row],[in]]))</f>
        <v/>
      </c>
      <c r="P1235" s="1397">
        <f>IF(raw[[#This Row],[in]]=0,0,MONTH(raw[[#This Row],[in]]))</f>
        <v/>
      </c>
      <c r="Q1235" s="1397">
        <f>IF(raw[[#This Row],[in]]=0,0,YEAR(raw[[#This Row],[in]]))</f>
        <v/>
      </c>
      <c r="R1235" s="1397">
        <f>INT(raw[[#This Row],[yr]]/10)*10</f>
        <v/>
      </c>
      <c r="S1235" s="1395">
        <f>IF(raw[[#This Row],[city]]="","-",IF(raw[[#This Row],[city]]&lt;&gt;_xlfn.XLOOKUP(raw[[#This Row],[home]],homes[home],homes[city],"-"),1,0))</f>
        <v/>
      </c>
      <c r="T1235" s="1398" t="inlineStr">
        <is>
          <t>.</t>
        </is>
      </c>
      <c r="U1235" s="1399">
        <f>IF(raw[[#This Row],[wb]]="w",raw[[#This Row],[stay]]+U1234,U1234)</f>
        <v/>
      </c>
      <c r="V1235" s="1400">
        <f>IF(raw[[#This Row],[out]]=0,V1234,(raw[[#This Row],[out]]-E$5))</f>
        <v/>
      </c>
      <c r="W1235" s="1401">
        <f>U1235/V1235</f>
        <v/>
      </c>
      <c r="X1235" s="1392" t="n"/>
      <c r="Y1235" s="1392" t="n"/>
      <c r="Z1235" s="1392" t="n"/>
      <c r="AA1235" s="1392" t="n"/>
      <c r="AB1235" s="1392" t="n"/>
      <c r="AC1235" s="1392" t="n"/>
      <c r="AD1235" s="1392" t="n"/>
      <c r="AE1235" s="1392" t="n"/>
      <c r="AF1235" s="1392" t="n"/>
      <c r="AG1235" s="1392" t="n"/>
      <c r="AH1235" s="1392" t="n"/>
      <c r="AI1235" s="1392" t="n"/>
      <c r="AJ1235" s="1392" t="n"/>
      <c r="AK1235" s="1392" t="n"/>
      <c r="AL1235" s="1392" t="n"/>
      <c r="AM1235" s="1392" t="n"/>
      <c r="AN1235" s="1392" t="n"/>
      <c r="AO1235" s="1392" t="n"/>
      <c r="AP1235" s="1392" t="n"/>
      <c r="AQ1235" s="1392" t="n"/>
      <c r="AR1235" s="1422" t="n"/>
      <c r="AS1235" s="1422" t="n"/>
      <c r="AT1235" s="1392" t="n"/>
      <c r="AU1235" s="1392" t="n"/>
      <c r="AV1235" s="1392" t="n"/>
      <c r="AW1235" s="1392" t="n"/>
      <c r="AX1235" s="1392" t="n"/>
      <c r="AY1235" s="1392" t="n"/>
      <c r="AZ1235" s="1392" t="n"/>
      <c r="BA1235" s="1422" t="n"/>
      <c r="BB1235" s="1422" t="n"/>
      <c r="BC1235" s="1392" t="n"/>
      <c r="BD1235" s="1392" t="n"/>
      <c r="BE1235" s="1392" t="n"/>
      <c r="BF1235" s="1392" t="n"/>
      <c r="BG1235" s="1392" t="n"/>
      <c r="BH1235" s="1392" t="n"/>
      <c r="BI1235" s="1392" t="n"/>
      <c r="BJ1235" s="1392" t="n"/>
      <c r="BK1235" s="1392" t="n"/>
      <c r="BL1235" s="1392" t="n"/>
      <c r="BM1235" s="1392" t="n"/>
      <c r="BN1235" s="1392" t="n"/>
      <c r="BO1235" s="1392" t="n"/>
      <c r="BP1235" s="1392" t="n"/>
      <c r="BQ1235" s="1392" t="n"/>
      <c r="BR1235" s="1392" t="n"/>
      <c r="BS1235" s="1392" t="n"/>
      <c r="BT1235" s="1392" t="n"/>
      <c r="BU1235" s="1392" t="n"/>
      <c r="BV1235" s="1392" t="n"/>
      <c r="BW1235" s="1392" t="n"/>
      <c r="BX1235" s="1392" t="n"/>
      <c r="BY1235" s="1392" t="n"/>
      <c r="BZ1235" s="1392" t="n"/>
      <c r="CA1235" s="1392" t="n"/>
      <c r="CB1235" s="1392" t="n"/>
      <c r="CC1235" s="1392" t="n"/>
      <c r="CD1235" s="1392" t="n"/>
      <c r="CE1235" s="1392" t="n"/>
      <c r="CF1235" s="1392" t="n"/>
      <c r="CG1235" s="1392" t="n"/>
      <c r="CH1235" s="1392" t="n"/>
      <c r="CI1235" s="1392" t="n"/>
      <c r="CJ1235" s="1392" t="n"/>
      <c r="CK1235" s="1392" t="n"/>
      <c r="CL1235" s="1392" t="n"/>
    </row>
    <row r="1236">
      <c r="A1236" s="5" t="inlineStr">
        <is>
          <t>.</t>
        </is>
      </c>
      <c r="B1236" s="5" t="inlineStr">
        <is>
          <t>.</t>
        </is>
      </c>
      <c r="C1236" s="1378">
        <f>IF(raw[[#This Row],[city]]="","-",IF(raw[[#This Row],[city]]="TODAY","-",C1235+1))</f>
        <v/>
      </c>
      <c r="D1236" s="1393" t="inlineStr">
        <is>
          <t>SP</t>
        </is>
      </c>
      <c r="E1236" s="1394" t="n">
        <v>40688</v>
      </c>
      <c r="F1236" s="1394" t="n">
        <v>40692</v>
      </c>
      <c r="G1236" s="1393" t="n">
        <v>1</v>
      </c>
      <c r="H1236" s="1393" t="inlineStr">
        <is>
          <t>The Place</t>
        </is>
      </c>
      <c r="I1236" s="1393" t="inlineStr">
        <is>
          <t>Salto Grande</t>
        </is>
      </c>
      <c r="J1236" s="1393" t="inlineStr">
        <is>
          <t>-</t>
        </is>
      </c>
      <c r="K1236" s="1395">
        <f>IF(raw[[#This Row],[city]]&lt;&gt;"",_xlfn.XLOOKUP($D1236,ccc[city],ccc[prov],"-"),"-")</f>
        <v/>
      </c>
      <c r="L1236" s="1395">
        <f>IF(raw[[#This Row],[city]]&lt;&gt;"",_xlfn.XLOOKUP($D1236,ccc[city],ccc[ctry],"-"),"-")</f>
        <v/>
      </c>
      <c r="M1236" s="1395">
        <f>IF(raw[[#This Row],[city]]&lt;&gt;"",_xlfn.XLOOKUP($D1236,ccc[city],ccc[cont],"-"),"-")</f>
        <v/>
      </c>
      <c r="N1236" s="1396">
        <f>IF(raw[[#This Row],[city]]="","-",IF(raw[[#This Row],[cont]]="B",raw[[#This Row],[cont]],"W"))</f>
        <v/>
      </c>
      <c r="O1236" s="1397">
        <f>IF(raw[[#This Row],[out]]=0,0,IF(raw[[#This Row],[out]]=raw[[#This Row],[in]],0.01,raw[[#This Row],[out]]-raw[[#This Row],[in]]))</f>
        <v/>
      </c>
      <c r="P1236" s="1397">
        <f>IF(raw[[#This Row],[in]]=0,0,MONTH(raw[[#This Row],[in]]))</f>
        <v/>
      </c>
      <c r="Q1236" s="1397">
        <f>IF(raw[[#This Row],[in]]=0,0,YEAR(raw[[#This Row],[in]]))</f>
        <v/>
      </c>
      <c r="R1236" s="1397">
        <f>INT(raw[[#This Row],[yr]]/10)*10</f>
        <v/>
      </c>
      <c r="S1236" s="1395">
        <f>IF(raw[[#This Row],[city]]="","-",IF(raw[[#This Row],[city]]&lt;&gt;_xlfn.XLOOKUP(raw[[#This Row],[home]],homes[home],homes[city],"-"),1,0))</f>
        <v/>
      </c>
      <c r="T1236" s="1398" t="inlineStr">
        <is>
          <t>.</t>
        </is>
      </c>
      <c r="U1236" s="1399">
        <f>IF(raw[[#This Row],[wb]]="w",raw[[#This Row],[stay]]+U1235,U1235)</f>
        <v/>
      </c>
      <c r="V1236" s="1400">
        <f>IF(raw[[#This Row],[out]]=0,V1235,(raw[[#This Row],[out]]-E$5))</f>
        <v/>
      </c>
      <c r="W1236" s="1401">
        <f>U1236/V1236</f>
        <v/>
      </c>
      <c r="X1236" s="1392" t="n"/>
      <c r="Y1236" s="1392" t="n"/>
      <c r="Z1236" s="1392" t="n"/>
      <c r="AA1236" s="1392" t="n"/>
      <c r="AB1236" s="1392" t="n"/>
      <c r="AC1236" s="1392" t="n"/>
      <c r="AD1236" s="1392" t="n"/>
      <c r="AE1236" s="1392" t="n"/>
      <c r="AF1236" s="1392" t="n"/>
      <c r="AG1236" s="1392" t="n"/>
      <c r="AH1236" s="1392" t="n"/>
      <c r="AI1236" s="1392" t="n"/>
      <c r="AJ1236" s="1392" t="n"/>
      <c r="AK1236" s="1392" t="n"/>
      <c r="AL1236" s="1392" t="n"/>
      <c r="AM1236" s="1392" t="n"/>
      <c r="AN1236" s="1392" t="n"/>
      <c r="AO1236" s="1392" t="n"/>
      <c r="AP1236" s="1392" t="n"/>
      <c r="AQ1236" s="1392" t="n"/>
      <c r="AR1236" s="1422" t="n"/>
      <c r="AS1236" s="1422" t="n"/>
      <c r="AT1236" s="1392" t="n"/>
      <c r="AU1236" s="1392" t="n"/>
      <c r="AV1236" s="1392" t="n"/>
      <c r="AW1236" s="1392" t="n"/>
      <c r="AX1236" s="1392" t="n"/>
      <c r="AY1236" s="1392" t="n"/>
      <c r="AZ1236" s="1392" t="n"/>
      <c r="BA1236" s="1422" t="n"/>
      <c r="BB1236" s="1422" t="n"/>
      <c r="BC1236" s="1392" t="n"/>
      <c r="BD1236" s="1392" t="n"/>
      <c r="BE1236" s="1392" t="n"/>
      <c r="BF1236" s="1392" t="n"/>
      <c r="BG1236" s="1392" t="n"/>
      <c r="BH1236" s="1392" t="n"/>
      <c r="BI1236" s="1392" t="n"/>
      <c r="BJ1236" s="1392" t="n"/>
      <c r="BK1236" s="1392" t="n"/>
      <c r="BL1236" s="1392" t="n"/>
      <c r="BM1236" s="1392" t="n"/>
      <c r="BN1236" s="1392" t="n"/>
      <c r="BO1236" s="1392" t="n"/>
      <c r="BP1236" s="1392" t="n"/>
      <c r="BQ1236" s="1392" t="n"/>
      <c r="BR1236" s="1392" t="n"/>
      <c r="BS1236" s="1392" t="n"/>
      <c r="BT1236" s="1392" t="n"/>
      <c r="BU1236" s="1392" t="n"/>
      <c r="BV1236" s="1392" t="n"/>
      <c r="BW1236" s="1392" t="n"/>
      <c r="BX1236" s="1392" t="n"/>
      <c r="BY1236" s="1392" t="n"/>
      <c r="BZ1236" s="1392" t="n"/>
      <c r="CA1236" s="1392" t="n"/>
      <c r="CB1236" s="1392" t="n"/>
      <c r="CC1236" s="1392" t="n"/>
      <c r="CD1236" s="1392" t="n"/>
      <c r="CE1236" s="1392" t="n"/>
      <c r="CF1236" s="1392" t="n"/>
      <c r="CG1236" s="1392" t="n"/>
      <c r="CH1236" s="1392" t="n"/>
      <c r="CI1236" s="1392" t="n"/>
      <c r="CJ1236" s="1392" t="n"/>
      <c r="CK1236" s="1392" t="n"/>
      <c r="CL1236" s="1392" t="n"/>
    </row>
    <row r="1237">
      <c r="A1237" s="5" t="inlineStr">
        <is>
          <t>.</t>
        </is>
      </c>
      <c r="B1237" s="5" t="inlineStr">
        <is>
          <t>.</t>
        </is>
      </c>
      <c r="C1237" s="1378">
        <f>IF(raw[[#This Row],[city]]="","-",IF(raw[[#This Row],[city]]="TODAY","-",C1236+1))</f>
        <v/>
      </c>
      <c r="D1237" s="1393" t="inlineStr">
        <is>
          <t>SSA</t>
        </is>
      </c>
      <c r="E1237" s="1394" t="n">
        <v>40692</v>
      </c>
      <c r="F1237" s="1394" t="n">
        <v>40695</v>
      </c>
      <c r="G1237" s="1393" t="inlineStr">
        <is>
          <t>-</t>
        </is>
      </c>
      <c r="H1237" s="1393" t="inlineStr">
        <is>
          <t>The Place</t>
        </is>
      </c>
      <c r="I1237" s="1393" t="inlineStr">
        <is>
          <t>-</t>
        </is>
      </c>
      <c r="J1237" s="1393" t="inlineStr">
        <is>
          <t>-</t>
        </is>
      </c>
      <c r="K1237" s="1395">
        <f>IF(raw[[#This Row],[city]]&lt;&gt;"",_xlfn.XLOOKUP($D1237,ccc[city],ccc[prov],"-"),"-")</f>
        <v/>
      </c>
      <c r="L1237" s="1395">
        <f>IF(raw[[#This Row],[city]]&lt;&gt;"",_xlfn.XLOOKUP($D1237,ccc[city],ccc[ctry],"-"),"-")</f>
        <v/>
      </c>
      <c r="M1237" s="1395">
        <f>IF(raw[[#This Row],[city]]&lt;&gt;"",_xlfn.XLOOKUP($D1237,ccc[city],ccc[cont],"-"),"-")</f>
        <v/>
      </c>
      <c r="N1237" s="1396">
        <f>IF(raw[[#This Row],[city]]="","-",IF(raw[[#This Row],[cont]]="B",raw[[#This Row],[cont]],"W"))</f>
        <v/>
      </c>
      <c r="O1237" s="1397">
        <f>IF(raw[[#This Row],[out]]=0,0,IF(raw[[#This Row],[out]]=raw[[#This Row],[in]],0.01,raw[[#This Row],[out]]-raw[[#This Row],[in]]))</f>
        <v/>
      </c>
      <c r="P1237" s="1397">
        <f>IF(raw[[#This Row],[in]]=0,0,MONTH(raw[[#This Row],[in]]))</f>
        <v/>
      </c>
      <c r="Q1237" s="1397">
        <f>IF(raw[[#This Row],[in]]=0,0,YEAR(raw[[#This Row],[in]]))</f>
        <v/>
      </c>
      <c r="R1237" s="1397">
        <f>INT(raw[[#This Row],[yr]]/10)*10</f>
        <v/>
      </c>
      <c r="S1237" s="1395">
        <f>IF(raw[[#This Row],[city]]="","-",IF(raw[[#This Row],[city]]&lt;&gt;_xlfn.XLOOKUP(raw[[#This Row],[home]],homes[home],homes[city],"-"),1,0))</f>
        <v/>
      </c>
      <c r="T1237" s="1398" t="inlineStr">
        <is>
          <t>.</t>
        </is>
      </c>
      <c r="U1237" s="1399">
        <f>IF(raw[[#This Row],[wb]]="w",raw[[#This Row],[stay]]+U1236,U1236)</f>
        <v/>
      </c>
      <c r="V1237" s="1400">
        <f>IF(raw[[#This Row],[out]]=0,V1236,(raw[[#This Row],[out]]-E$5))</f>
        <v/>
      </c>
      <c r="W1237" s="1401">
        <f>U1237/V1237</f>
        <v/>
      </c>
      <c r="X1237" s="1392" t="n"/>
      <c r="Y1237" s="1392" t="n"/>
      <c r="Z1237" s="1392" t="n"/>
      <c r="AA1237" s="1392" t="n"/>
      <c r="AB1237" s="1392" t="n"/>
      <c r="AC1237" s="1392" t="n"/>
      <c r="AD1237" s="1392" t="n"/>
      <c r="AE1237" s="1392" t="n"/>
      <c r="AF1237" s="1392" t="n"/>
      <c r="AG1237" s="1392" t="n"/>
      <c r="AH1237" s="1392" t="n"/>
      <c r="AI1237" s="1392" t="n"/>
      <c r="AJ1237" s="1392" t="n"/>
      <c r="AK1237" s="1392" t="n"/>
      <c r="AL1237" s="1392" t="n"/>
      <c r="AM1237" s="1392" t="n"/>
      <c r="AN1237" s="1392" t="n"/>
      <c r="AO1237" s="1392" t="n"/>
      <c r="AP1237" s="1392" t="n"/>
      <c r="AQ1237" s="1392" t="n"/>
      <c r="AR1237" s="1422" t="n"/>
      <c r="AS1237" s="1422" t="n"/>
      <c r="AT1237" s="1392" t="n"/>
      <c r="AU1237" s="1392" t="n"/>
      <c r="AV1237" s="1392" t="n"/>
      <c r="AW1237" s="1392" t="n"/>
      <c r="AX1237" s="1392" t="n"/>
      <c r="AY1237" s="1392" t="n"/>
      <c r="AZ1237" s="1392" t="n"/>
      <c r="BA1237" s="1422" t="n"/>
      <c r="BB1237" s="1422" t="n"/>
      <c r="BC1237" s="1392" t="n"/>
      <c r="BD1237" s="1392" t="n"/>
      <c r="BE1237" s="1392" t="n"/>
      <c r="BF1237" s="1392" t="n"/>
      <c r="BG1237" s="1392" t="n"/>
      <c r="BH1237" s="1392" t="n"/>
      <c r="BI1237" s="1392" t="n"/>
      <c r="BJ1237" s="1392" t="n"/>
      <c r="BK1237" s="1392" t="n"/>
      <c r="BL1237" s="1392" t="n"/>
      <c r="BM1237" s="1392" t="n"/>
      <c r="BN1237" s="1392" t="n"/>
      <c r="BO1237" s="1392" t="n"/>
      <c r="BP1237" s="1392" t="n"/>
      <c r="BQ1237" s="1392" t="n"/>
      <c r="BR1237" s="1392" t="n"/>
      <c r="BS1237" s="1392" t="n"/>
      <c r="BT1237" s="1392" t="n"/>
      <c r="BU1237" s="1392" t="n"/>
      <c r="BV1237" s="1392" t="n"/>
      <c r="BW1237" s="1392" t="n"/>
      <c r="BX1237" s="1392" t="n"/>
      <c r="BY1237" s="1392" t="n"/>
      <c r="BZ1237" s="1392" t="n"/>
      <c r="CA1237" s="1392" t="n"/>
      <c r="CB1237" s="1392" t="n"/>
      <c r="CC1237" s="1392" t="n"/>
      <c r="CD1237" s="1392" t="n"/>
      <c r="CE1237" s="1392" t="n"/>
      <c r="CF1237" s="1392" t="n"/>
      <c r="CG1237" s="1392" t="n"/>
      <c r="CH1237" s="1392" t="n"/>
      <c r="CI1237" s="1392" t="n"/>
      <c r="CJ1237" s="1392" t="n"/>
      <c r="CK1237" s="1392" t="n"/>
      <c r="CL1237" s="1392" t="n"/>
    </row>
    <row r="1238">
      <c r="A1238" s="5" t="inlineStr">
        <is>
          <t>.</t>
        </is>
      </c>
      <c r="B1238" s="5" t="inlineStr">
        <is>
          <t>.</t>
        </is>
      </c>
      <c r="C1238" s="1378">
        <f>IF(raw[[#This Row],[city]]="","-",IF(raw[[#This Row],[city]]="TODAY","-",C1237+1))</f>
        <v/>
      </c>
      <c r="D1238" s="1393" t="inlineStr">
        <is>
          <t>SSA</t>
        </is>
      </c>
      <c r="E1238" s="1394" t="n">
        <v>40695</v>
      </c>
      <c r="F1238" s="1394" t="n">
        <v>40699</v>
      </c>
      <c r="G1238" s="1393" t="n">
        <v>1</v>
      </c>
      <c r="H1238" s="1393" t="inlineStr">
        <is>
          <t>The Place</t>
        </is>
      </c>
      <c r="I1238" s="1393" t="inlineStr">
        <is>
          <t>-</t>
        </is>
      </c>
      <c r="J1238" s="1393" t="inlineStr">
        <is>
          <t>-</t>
        </is>
      </c>
      <c r="K1238" s="1395">
        <f>IF(raw[[#This Row],[city]]&lt;&gt;"",_xlfn.XLOOKUP($D1238,ccc[city],ccc[prov],"-"),"-")</f>
        <v/>
      </c>
      <c r="L1238" s="1395">
        <f>IF(raw[[#This Row],[city]]&lt;&gt;"",_xlfn.XLOOKUP($D1238,ccc[city],ccc[ctry],"-"),"-")</f>
        <v/>
      </c>
      <c r="M1238" s="1395">
        <f>IF(raw[[#This Row],[city]]&lt;&gt;"",_xlfn.XLOOKUP($D1238,ccc[city],ccc[cont],"-"),"-")</f>
        <v/>
      </c>
      <c r="N1238" s="1396">
        <f>IF(raw[[#This Row],[city]]="","-",IF(raw[[#This Row],[cont]]="B",raw[[#This Row],[cont]],"W"))</f>
        <v/>
      </c>
      <c r="O1238" s="1397">
        <f>IF(raw[[#This Row],[out]]=0,0,IF(raw[[#This Row],[out]]=raw[[#This Row],[in]],0.01,raw[[#This Row],[out]]-raw[[#This Row],[in]]))</f>
        <v/>
      </c>
      <c r="P1238" s="1397">
        <f>IF(raw[[#This Row],[in]]=0,0,MONTH(raw[[#This Row],[in]]))</f>
        <v/>
      </c>
      <c r="Q1238" s="1397">
        <f>IF(raw[[#This Row],[in]]=0,0,YEAR(raw[[#This Row],[in]]))</f>
        <v/>
      </c>
      <c r="R1238" s="1397">
        <f>INT(raw[[#This Row],[yr]]/10)*10</f>
        <v/>
      </c>
      <c r="S1238" s="1395">
        <f>IF(raw[[#This Row],[city]]="","-",IF(raw[[#This Row],[city]]&lt;&gt;_xlfn.XLOOKUP(raw[[#This Row],[home]],homes[home],homes[city],"-"),1,0))</f>
        <v/>
      </c>
      <c r="T1238" s="1398" t="inlineStr">
        <is>
          <t>.</t>
        </is>
      </c>
      <c r="U1238" s="1399">
        <f>IF(raw[[#This Row],[wb]]="w",raw[[#This Row],[stay]]+U1237,U1237)</f>
        <v/>
      </c>
      <c r="V1238" s="1400">
        <f>IF(raw[[#This Row],[out]]=0,V1237,(raw[[#This Row],[out]]-E$5))</f>
        <v/>
      </c>
      <c r="W1238" s="1401">
        <f>U1238/V1238</f>
        <v/>
      </c>
      <c r="X1238" s="1392" t="n"/>
      <c r="Y1238" s="1392" t="n"/>
      <c r="Z1238" s="1392" t="n"/>
      <c r="AA1238" s="1392" t="n"/>
      <c r="AB1238" s="1392" t="n"/>
      <c r="AC1238" s="1392" t="n"/>
      <c r="AD1238" s="1392" t="n"/>
      <c r="AE1238" s="1392" t="n"/>
      <c r="AF1238" s="1392" t="n"/>
      <c r="AG1238" s="1392" t="n"/>
      <c r="AH1238" s="1392" t="n"/>
      <c r="AI1238" s="1392" t="n"/>
      <c r="AJ1238" s="1392" t="n"/>
      <c r="AK1238" s="1392" t="n"/>
      <c r="AL1238" s="1392" t="n"/>
      <c r="AM1238" s="1392" t="n"/>
      <c r="AN1238" s="1392" t="n"/>
      <c r="AO1238" s="1392" t="n"/>
      <c r="AP1238" s="1392" t="n"/>
      <c r="AQ1238" s="1392" t="n"/>
      <c r="AR1238" s="1422" t="n"/>
      <c r="AS1238" s="1422" t="n"/>
      <c r="AT1238" s="1392" t="n"/>
      <c r="AU1238" s="1392" t="n"/>
      <c r="AV1238" s="1392" t="n"/>
      <c r="AW1238" s="1392" t="n"/>
      <c r="AX1238" s="1392" t="n"/>
      <c r="AY1238" s="1392" t="n"/>
      <c r="AZ1238" s="1392" t="n"/>
      <c r="BA1238" s="1422" t="n"/>
      <c r="BB1238" s="1422" t="n"/>
      <c r="BC1238" s="1392" t="n"/>
      <c r="BD1238" s="1392" t="n"/>
      <c r="BE1238" s="1392" t="n"/>
      <c r="BF1238" s="1392" t="n"/>
      <c r="BG1238" s="1392" t="n"/>
      <c r="BH1238" s="1392" t="n"/>
      <c r="BI1238" s="1392" t="n"/>
      <c r="BJ1238" s="1392" t="n"/>
      <c r="BK1238" s="1392" t="n"/>
      <c r="BL1238" s="1392" t="n"/>
      <c r="BM1238" s="1392" t="n"/>
      <c r="BN1238" s="1392" t="n"/>
      <c r="BO1238" s="1392" t="n"/>
      <c r="BP1238" s="1392" t="n"/>
      <c r="BQ1238" s="1392" t="n"/>
      <c r="BR1238" s="1392" t="n"/>
      <c r="BS1238" s="1392" t="n"/>
      <c r="BT1238" s="1392" t="n"/>
      <c r="BU1238" s="1392" t="n"/>
      <c r="BV1238" s="1392" t="n"/>
      <c r="BW1238" s="1392" t="n"/>
      <c r="BX1238" s="1392" t="n"/>
      <c r="BY1238" s="1392" t="n"/>
      <c r="BZ1238" s="1392" t="n"/>
      <c r="CA1238" s="1392" t="n"/>
      <c r="CB1238" s="1392" t="n"/>
      <c r="CC1238" s="1392" t="n"/>
      <c r="CD1238" s="1392" t="n"/>
      <c r="CE1238" s="1392" t="n"/>
      <c r="CF1238" s="1392" t="n"/>
      <c r="CG1238" s="1392" t="n"/>
      <c r="CH1238" s="1392" t="n"/>
      <c r="CI1238" s="1392" t="n"/>
      <c r="CJ1238" s="1392" t="n"/>
      <c r="CK1238" s="1392" t="n"/>
      <c r="CL1238" s="1392" t="n"/>
    </row>
    <row r="1239">
      <c r="A1239" s="5" t="inlineStr">
        <is>
          <t>.</t>
        </is>
      </c>
      <c r="B1239" s="5" t="inlineStr">
        <is>
          <t>.</t>
        </is>
      </c>
      <c r="C1239" s="1378">
        <f>IF(raw[[#This Row],[city]]="","-",IF(raw[[#This Row],[city]]="TODAY","-",C1238+1))</f>
        <v/>
      </c>
      <c r="D1239" s="1393" t="inlineStr">
        <is>
          <t>BH</t>
        </is>
      </c>
      <c r="E1239" s="1394" t="n">
        <v>40699</v>
      </c>
      <c r="F1239" s="1394" t="n">
        <v>40699</v>
      </c>
      <c r="G1239" s="1393" t="n">
        <v>0.01</v>
      </c>
      <c r="H1239" s="1393" t="inlineStr">
        <is>
          <t>Transit</t>
        </is>
      </c>
      <c r="I1239" s="1393" t="inlineStr">
        <is>
          <t>-</t>
        </is>
      </c>
      <c r="J1239" s="1393" t="inlineStr">
        <is>
          <t>-</t>
        </is>
      </c>
      <c r="K1239" s="1395">
        <f>IF(raw[[#This Row],[city]]&lt;&gt;"",_xlfn.XLOOKUP($D1239,ccc[city],ccc[prov],"-"),"-")</f>
        <v/>
      </c>
      <c r="L1239" s="1395">
        <f>IF(raw[[#This Row],[city]]&lt;&gt;"",_xlfn.XLOOKUP($D1239,ccc[city],ccc[ctry],"-"),"-")</f>
        <v/>
      </c>
      <c r="M1239" s="1395">
        <f>IF(raw[[#This Row],[city]]&lt;&gt;"",_xlfn.XLOOKUP($D1239,ccc[city],ccc[cont],"-"),"-")</f>
        <v/>
      </c>
      <c r="N1239" s="1396">
        <f>IF(raw[[#This Row],[city]]="","-",IF(raw[[#This Row],[cont]]="B",raw[[#This Row],[cont]],"W"))</f>
        <v/>
      </c>
      <c r="O1239" s="1397">
        <f>IF(raw[[#This Row],[out]]=0,0,IF(raw[[#This Row],[out]]=raw[[#This Row],[in]],0.01,raw[[#This Row],[out]]-raw[[#This Row],[in]]))</f>
        <v/>
      </c>
      <c r="P1239" s="1397">
        <f>IF(raw[[#This Row],[in]]=0,0,MONTH(raw[[#This Row],[in]]))</f>
        <v/>
      </c>
      <c r="Q1239" s="1397">
        <f>IF(raw[[#This Row],[in]]=0,0,YEAR(raw[[#This Row],[in]]))</f>
        <v/>
      </c>
      <c r="R1239" s="1397">
        <f>INT(raw[[#This Row],[yr]]/10)*10</f>
        <v/>
      </c>
      <c r="S1239" s="1395">
        <f>IF(raw[[#This Row],[city]]="","-",IF(raw[[#This Row],[city]]&lt;&gt;_xlfn.XLOOKUP(raw[[#This Row],[home]],homes[home],homes[city],"-"),1,0))</f>
        <v/>
      </c>
      <c r="T1239" s="1398" t="inlineStr">
        <is>
          <t>.</t>
        </is>
      </c>
      <c r="U1239" s="1399">
        <f>IF(raw[[#This Row],[wb]]="w",raw[[#This Row],[stay]]+U1238,U1238)</f>
        <v/>
      </c>
      <c r="V1239" s="1400">
        <f>IF(raw[[#This Row],[out]]=0,V1238,(raw[[#This Row],[out]]-E$5))</f>
        <v/>
      </c>
      <c r="W1239" s="1401">
        <f>U1239/V1239</f>
        <v/>
      </c>
      <c r="X1239" s="1392" t="n"/>
      <c r="Y1239" s="1392" t="n"/>
      <c r="Z1239" s="1392" t="n"/>
      <c r="AA1239" s="1392" t="n"/>
      <c r="AB1239" s="1392" t="n"/>
      <c r="AC1239" s="1392" t="n"/>
      <c r="AD1239" s="1392" t="n"/>
      <c r="AE1239" s="1392" t="n"/>
      <c r="AF1239" s="1392" t="n"/>
      <c r="AG1239" s="1392" t="n"/>
      <c r="AH1239" s="1392" t="n"/>
      <c r="AI1239" s="1392" t="n"/>
      <c r="AJ1239" s="1392" t="n"/>
      <c r="AK1239" s="1392" t="n"/>
      <c r="AL1239" s="1392" t="n"/>
      <c r="AM1239" s="1392" t="n"/>
      <c r="AN1239" s="1392" t="n"/>
      <c r="AO1239" s="1392" t="n"/>
      <c r="AP1239" s="1392" t="n"/>
      <c r="AQ1239" s="1392" t="n"/>
      <c r="AR1239" s="1422" t="n"/>
      <c r="AS1239" s="1422" t="n"/>
      <c r="AT1239" s="1392" t="n"/>
      <c r="AU1239" s="1392" t="n"/>
      <c r="AV1239" s="1392" t="n"/>
      <c r="AW1239" s="1392" t="n"/>
      <c r="AX1239" s="1392" t="n"/>
      <c r="AY1239" s="1392" t="n"/>
      <c r="AZ1239" s="1392" t="n"/>
      <c r="BA1239" s="1422" t="n"/>
      <c r="BB1239" s="1422" t="n"/>
      <c r="BC1239" s="1392" t="n"/>
      <c r="BD1239" s="1392" t="n"/>
      <c r="BE1239" s="1392" t="n"/>
      <c r="BF1239" s="1392" t="n"/>
      <c r="BG1239" s="1392" t="n"/>
      <c r="BH1239" s="1392" t="n"/>
      <c r="BI1239" s="1392" t="n"/>
      <c r="BJ1239" s="1392" t="n"/>
      <c r="BK1239" s="1392" t="n"/>
      <c r="BL1239" s="1392" t="n"/>
      <c r="BM1239" s="1392" t="n"/>
      <c r="BN1239" s="1392" t="n"/>
      <c r="BO1239" s="1392" t="n"/>
      <c r="BP1239" s="1392" t="n"/>
      <c r="BQ1239" s="1392" t="n"/>
      <c r="BR1239" s="1392" t="n"/>
      <c r="BS1239" s="1392" t="n"/>
      <c r="BT1239" s="1392" t="n"/>
      <c r="BU1239" s="1392" t="n"/>
      <c r="BV1239" s="1392" t="n"/>
      <c r="BW1239" s="1392" t="n"/>
      <c r="BX1239" s="1392" t="n"/>
      <c r="BY1239" s="1392" t="n"/>
      <c r="BZ1239" s="1392" t="n"/>
      <c r="CA1239" s="1392" t="n"/>
      <c r="CB1239" s="1392" t="n"/>
      <c r="CC1239" s="1392" t="n"/>
      <c r="CD1239" s="1392" t="n"/>
      <c r="CE1239" s="1392" t="n"/>
      <c r="CF1239" s="1392" t="n"/>
      <c r="CG1239" s="1392" t="n"/>
      <c r="CH1239" s="1392" t="n"/>
      <c r="CI1239" s="1392" t="n"/>
      <c r="CJ1239" s="1392" t="n"/>
      <c r="CK1239" s="1392" t="n"/>
      <c r="CL1239" s="1392" t="n"/>
    </row>
    <row r="1240">
      <c r="A1240" s="5" t="inlineStr">
        <is>
          <t>.</t>
        </is>
      </c>
      <c r="B1240" s="5" t="inlineStr">
        <is>
          <t>.</t>
        </is>
      </c>
      <c r="C1240" s="1378">
        <f>IF(raw[[#This Row],[city]]="","-",IF(raw[[#This Row],[city]]="TODAY","-",C1239+1))</f>
        <v/>
      </c>
      <c r="D1240" s="1393" t="inlineStr">
        <is>
          <t>AIR</t>
        </is>
      </c>
      <c r="E1240" s="1394" t="n">
        <v>40699</v>
      </c>
      <c r="F1240" s="1394" t="n">
        <v>40700</v>
      </c>
      <c r="G1240" s="1393" t="inlineStr">
        <is>
          <t>x</t>
        </is>
      </c>
      <c r="H1240" s="1393" t="inlineStr">
        <is>
          <t>Transit</t>
        </is>
      </c>
      <c r="I1240" s="1393" t="inlineStr">
        <is>
          <t>-</t>
        </is>
      </c>
      <c r="J1240" s="1393" t="inlineStr">
        <is>
          <t>-</t>
        </is>
      </c>
      <c r="K1240" s="1395">
        <f>IF(raw[[#This Row],[city]]&lt;&gt;"",_xlfn.XLOOKUP($D1240,ccc[city],ccc[prov],"-"),"-")</f>
        <v/>
      </c>
      <c r="L1240" s="1395">
        <f>IF(raw[[#This Row],[city]]&lt;&gt;"",_xlfn.XLOOKUP($D1240,ccc[city],ccc[ctry],"-"),"-")</f>
        <v/>
      </c>
      <c r="M1240" s="1395">
        <f>IF(raw[[#This Row],[city]]&lt;&gt;"",_xlfn.XLOOKUP($D1240,ccc[city],ccc[cont],"-"),"-")</f>
        <v/>
      </c>
      <c r="N1240" s="1396">
        <f>IF(raw[[#This Row],[city]]="","-",IF(raw[[#This Row],[cont]]="B",raw[[#This Row],[cont]],"W"))</f>
        <v/>
      </c>
      <c r="O1240" s="1397">
        <f>IF(raw[[#This Row],[out]]=0,0,IF(raw[[#This Row],[out]]=raw[[#This Row],[in]],0.01,raw[[#This Row],[out]]-raw[[#This Row],[in]]))</f>
        <v/>
      </c>
      <c r="P1240" s="1397">
        <f>IF(raw[[#This Row],[in]]=0,0,MONTH(raw[[#This Row],[in]]))</f>
        <v/>
      </c>
      <c r="Q1240" s="1397">
        <f>IF(raw[[#This Row],[in]]=0,0,YEAR(raw[[#This Row],[in]]))</f>
        <v/>
      </c>
      <c r="R1240" s="1397">
        <f>INT(raw[[#This Row],[yr]]/10)*10</f>
        <v/>
      </c>
      <c r="S1240" s="1395">
        <f>IF(raw[[#This Row],[city]]="","-",IF(raw[[#This Row],[city]]&lt;&gt;_xlfn.XLOOKUP(raw[[#This Row],[home]],homes[home],homes[city],"-"),1,0))</f>
        <v/>
      </c>
      <c r="T1240" s="1398" t="inlineStr">
        <is>
          <t>.</t>
        </is>
      </c>
      <c r="U1240" s="1399">
        <f>IF(raw[[#This Row],[wb]]="w",raw[[#This Row],[stay]]+U1239,U1239)</f>
        <v/>
      </c>
      <c r="V1240" s="1400">
        <f>IF(raw[[#This Row],[out]]=0,V1239,(raw[[#This Row],[out]]-E$5))</f>
        <v/>
      </c>
      <c r="W1240" s="1401">
        <f>U1240/V1240</f>
        <v/>
      </c>
      <c r="X1240" s="1392" t="n"/>
      <c r="Y1240" s="1392" t="n"/>
      <c r="Z1240" s="1392" t="n"/>
      <c r="AA1240" s="1392" t="n"/>
      <c r="AB1240" s="1392" t="n"/>
      <c r="AC1240" s="1392" t="n"/>
      <c r="AD1240" s="1392" t="n"/>
      <c r="AE1240" s="1392" t="n"/>
      <c r="AF1240" s="1392" t="n"/>
      <c r="AG1240" s="1392" t="n"/>
      <c r="AH1240" s="1392" t="n"/>
      <c r="AI1240" s="1392" t="n"/>
      <c r="AJ1240" s="1392" t="n"/>
      <c r="AK1240" s="1392" t="n"/>
      <c r="AL1240" s="1392" t="n"/>
      <c r="AM1240" s="1392" t="n"/>
      <c r="AN1240" s="1392" t="n"/>
      <c r="AO1240" s="1392" t="n"/>
      <c r="AP1240" s="1392" t="n"/>
      <c r="AQ1240" s="1392" t="n"/>
      <c r="AR1240" s="1422" t="n"/>
      <c r="AS1240" s="1422" t="n"/>
      <c r="AT1240" s="1392" t="n"/>
      <c r="AU1240" s="1392" t="n"/>
      <c r="AV1240" s="1392" t="n"/>
      <c r="AW1240" s="1392" t="n"/>
      <c r="AX1240" s="1392" t="n"/>
      <c r="AY1240" s="1392" t="n"/>
      <c r="AZ1240" s="1392" t="n"/>
      <c r="BA1240" s="1422" t="n"/>
      <c r="BB1240" s="1422" t="n"/>
      <c r="BC1240" s="1392" t="n"/>
      <c r="BD1240" s="1392" t="n"/>
      <c r="BE1240" s="1392" t="n"/>
      <c r="BF1240" s="1392" t="n"/>
      <c r="BG1240" s="1392" t="n"/>
      <c r="BH1240" s="1392" t="n"/>
      <c r="BI1240" s="1392" t="n"/>
      <c r="BJ1240" s="1392" t="n"/>
      <c r="BK1240" s="1392" t="n"/>
      <c r="BL1240" s="1392" t="n"/>
      <c r="BM1240" s="1392" t="n"/>
      <c r="BN1240" s="1392" t="n"/>
      <c r="BO1240" s="1392" t="n"/>
      <c r="BP1240" s="1392" t="n"/>
      <c r="BQ1240" s="1392" t="n"/>
      <c r="BR1240" s="1392" t="n"/>
      <c r="BS1240" s="1392" t="n"/>
      <c r="BT1240" s="1392" t="n"/>
      <c r="BU1240" s="1392" t="n"/>
      <c r="BV1240" s="1392" t="n"/>
      <c r="BW1240" s="1392" t="n"/>
      <c r="BX1240" s="1392" t="n"/>
      <c r="BY1240" s="1392" t="n"/>
      <c r="BZ1240" s="1392" t="n"/>
      <c r="CA1240" s="1392" t="n"/>
      <c r="CB1240" s="1392" t="n"/>
      <c r="CC1240" s="1392" t="n"/>
      <c r="CD1240" s="1392" t="n"/>
      <c r="CE1240" s="1392" t="n"/>
      <c r="CF1240" s="1392" t="n"/>
      <c r="CG1240" s="1392" t="n"/>
      <c r="CH1240" s="1392" t="n"/>
      <c r="CI1240" s="1392" t="n"/>
      <c r="CJ1240" s="1392" t="n"/>
      <c r="CK1240" s="1392" t="n"/>
      <c r="CL1240" s="1392" t="n"/>
    </row>
    <row r="1241">
      <c r="A1241" s="5" t="inlineStr">
        <is>
          <t>.</t>
        </is>
      </c>
      <c r="B1241" s="5" t="inlineStr">
        <is>
          <t>.</t>
        </is>
      </c>
      <c r="C1241" s="1378">
        <f>IF(raw[[#This Row],[city]]="","-",IF(raw[[#This Row],[city]]="TODAY","-",C1240+1))</f>
        <v/>
      </c>
      <c r="D1241" s="1393" t="inlineStr">
        <is>
          <t>Miami</t>
        </is>
      </c>
      <c r="E1241" s="1394" t="n">
        <v>40700</v>
      </c>
      <c r="F1241" s="1394" t="n">
        <v>40700</v>
      </c>
      <c r="G1241" s="1393" t="n">
        <v>0.01</v>
      </c>
      <c r="H1241" s="1393" t="inlineStr">
        <is>
          <t>Transit</t>
        </is>
      </c>
      <c r="I1241" s="1393" t="inlineStr">
        <is>
          <t>-</t>
        </is>
      </c>
      <c r="J1241" s="1393" t="inlineStr">
        <is>
          <t>-</t>
        </is>
      </c>
      <c r="K1241" s="1395">
        <f>IF(raw[[#This Row],[city]]&lt;&gt;"",_xlfn.XLOOKUP($D1241,ccc[city],ccc[prov],"-"),"-")</f>
        <v/>
      </c>
      <c r="L1241" s="1395">
        <f>IF(raw[[#This Row],[city]]&lt;&gt;"",_xlfn.XLOOKUP($D1241,ccc[city],ccc[ctry],"-"),"-")</f>
        <v/>
      </c>
      <c r="M1241" s="1395">
        <f>IF(raw[[#This Row],[city]]&lt;&gt;"",_xlfn.XLOOKUP($D1241,ccc[city],ccc[cont],"-"),"-")</f>
        <v/>
      </c>
      <c r="N1241" s="1396">
        <f>IF(raw[[#This Row],[city]]="","-",IF(raw[[#This Row],[cont]]="B",raw[[#This Row],[cont]],"W"))</f>
        <v/>
      </c>
      <c r="O1241" s="1397">
        <f>IF(raw[[#This Row],[out]]=0,0,IF(raw[[#This Row],[out]]=raw[[#This Row],[in]],0.01,raw[[#This Row],[out]]-raw[[#This Row],[in]]))</f>
        <v/>
      </c>
      <c r="P1241" s="1397">
        <f>IF(raw[[#This Row],[in]]=0,0,MONTH(raw[[#This Row],[in]]))</f>
        <v/>
      </c>
      <c r="Q1241" s="1397">
        <f>IF(raw[[#This Row],[in]]=0,0,YEAR(raw[[#This Row],[in]]))</f>
        <v/>
      </c>
      <c r="R1241" s="1397">
        <f>INT(raw[[#This Row],[yr]]/10)*10</f>
        <v/>
      </c>
      <c r="S1241" s="1395">
        <f>IF(raw[[#This Row],[city]]="","-",IF(raw[[#This Row],[city]]&lt;&gt;_xlfn.XLOOKUP(raw[[#This Row],[home]],homes[home],homes[city],"-"),1,0))</f>
        <v/>
      </c>
      <c r="T1241" s="1398" t="inlineStr">
        <is>
          <t>.</t>
        </is>
      </c>
      <c r="U1241" s="1399">
        <f>IF(raw[[#This Row],[wb]]="w",raw[[#This Row],[stay]]+U1240,U1240)</f>
        <v/>
      </c>
      <c r="V1241" s="1400">
        <f>IF(raw[[#This Row],[out]]=0,V1240,(raw[[#This Row],[out]]-E$5))</f>
        <v/>
      </c>
      <c r="W1241" s="1401">
        <f>U1241/V1241</f>
        <v/>
      </c>
      <c r="X1241" s="1392" t="n"/>
      <c r="Y1241" s="1392" t="n"/>
      <c r="Z1241" s="1392" t="n"/>
      <c r="AA1241" s="1392" t="n"/>
      <c r="AB1241" s="1392" t="n"/>
      <c r="AC1241" s="1392" t="n"/>
      <c r="AD1241" s="1392" t="n"/>
      <c r="AE1241" s="1392" t="n"/>
      <c r="AF1241" s="1392" t="n"/>
      <c r="AG1241" s="1392" t="n"/>
      <c r="AH1241" s="1392" t="n"/>
      <c r="AI1241" s="1392" t="n"/>
      <c r="AJ1241" s="1392" t="n"/>
      <c r="AK1241" s="1392" t="n"/>
      <c r="AL1241" s="1392" t="n"/>
      <c r="AM1241" s="1392" t="n"/>
      <c r="AN1241" s="1392" t="n"/>
      <c r="AO1241" s="1392" t="n"/>
      <c r="AP1241" s="1392" t="n"/>
      <c r="AQ1241" s="1392" t="n"/>
      <c r="AR1241" s="1422" t="n"/>
      <c r="AS1241" s="1422" t="n"/>
      <c r="AT1241" s="1392" t="n"/>
      <c r="AU1241" s="1392" t="n"/>
      <c r="AV1241" s="1392" t="n"/>
      <c r="AW1241" s="1392" t="n"/>
      <c r="AX1241" s="1392" t="n"/>
      <c r="AY1241" s="1392" t="n"/>
      <c r="AZ1241" s="1392" t="n"/>
      <c r="BA1241" s="1422" t="n"/>
      <c r="BB1241" s="1422" t="n"/>
      <c r="BC1241" s="1392" t="n"/>
      <c r="BD1241" s="1392" t="n"/>
      <c r="BE1241" s="1392" t="n"/>
      <c r="BF1241" s="1392" t="n"/>
      <c r="BG1241" s="1392" t="n"/>
      <c r="BH1241" s="1392" t="n"/>
      <c r="BI1241" s="1392" t="n"/>
      <c r="BJ1241" s="1392" t="n"/>
      <c r="BK1241" s="1392" t="n"/>
      <c r="BL1241" s="1392" t="n"/>
      <c r="BM1241" s="1392" t="n"/>
      <c r="BN1241" s="1392" t="n"/>
      <c r="BO1241" s="1392" t="n"/>
      <c r="BP1241" s="1392" t="n"/>
      <c r="BQ1241" s="1392" t="n"/>
      <c r="BR1241" s="1392" t="n"/>
      <c r="BS1241" s="1392" t="n"/>
      <c r="BT1241" s="1392" t="n"/>
      <c r="BU1241" s="1392" t="n"/>
      <c r="BV1241" s="1392" t="n"/>
      <c r="BW1241" s="1392" t="n"/>
      <c r="BX1241" s="1392" t="n"/>
      <c r="BY1241" s="1392" t="n"/>
      <c r="BZ1241" s="1392" t="n"/>
      <c r="CA1241" s="1392" t="n"/>
      <c r="CB1241" s="1392" t="n"/>
      <c r="CC1241" s="1392" t="n"/>
      <c r="CD1241" s="1392" t="n"/>
      <c r="CE1241" s="1392" t="n"/>
      <c r="CF1241" s="1392" t="n"/>
      <c r="CG1241" s="1392" t="n"/>
      <c r="CH1241" s="1392" t="n"/>
      <c r="CI1241" s="1392" t="n"/>
      <c r="CJ1241" s="1392" t="n"/>
      <c r="CK1241" s="1392" t="n"/>
      <c r="CL1241" s="1392" t="n"/>
    </row>
    <row r="1242">
      <c r="A1242" s="5" t="inlineStr">
        <is>
          <t>.</t>
        </is>
      </c>
      <c r="B1242" s="5" t="inlineStr">
        <is>
          <t>.</t>
        </is>
      </c>
      <c r="C1242" s="1378">
        <f>IF(raw[[#This Row],[city]]="","-",IF(raw[[#This Row],[city]]="TODAY","-",C1241+1))</f>
        <v/>
      </c>
      <c r="D1242" s="1393" t="inlineStr">
        <is>
          <t>Montreal</t>
        </is>
      </c>
      <c r="E1242" s="1394" t="n">
        <v>40700</v>
      </c>
      <c r="F1242" s="1394" t="n">
        <v>40704</v>
      </c>
      <c r="G1242" s="1393" t="inlineStr">
        <is>
          <t>-</t>
        </is>
      </c>
      <c r="H1242" s="1393" t="inlineStr">
        <is>
          <t>Transit</t>
        </is>
      </c>
      <c r="I1242" s="1393" t="inlineStr">
        <is>
          <t>Francele/Gordon</t>
        </is>
      </c>
      <c r="J1242" s="1393" t="inlineStr">
        <is>
          <t>-</t>
        </is>
      </c>
      <c r="K1242" s="1395">
        <f>IF(raw[[#This Row],[city]]&lt;&gt;"",_xlfn.XLOOKUP($D1242,ccc[city],ccc[prov],"-"),"-")</f>
        <v/>
      </c>
      <c r="L1242" s="1395">
        <f>IF(raw[[#This Row],[city]]&lt;&gt;"",_xlfn.XLOOKUP($D1242,ccc[city],ccc[ctry],"-"),"-")</f>
        <v/>
      </c>
      <c r="M1242" s="1395">
        <f>IF(raw[[#This Row],[city]]&lt;&gt;"",_xlfn.XLOOKUP($D1242,ccc[city],ccc[cont],"-"),"-")</f>
        <v/>
      </c>
      <c r="N1242" s="1396">
        <f>IF(raw[[#This Row],[city]]="","-",IF(raw[[#This Row],[cont]]="B",raw[[#This Row],[cont]],"W"))</f>
        <v/>
      </c>
      <c r="O1242" s="1397">
        <f>IF(raw[[#This Row],[out]]=0,0,IF(raw[[#This Row],[out]]=raw[[#This Row],[in]],0.01,raw[[#This Row],[out]]-raw[[#This Row],[in]]))</f>
        <v/>
      </c>
      <c r="P1242" s="1397">
        <f>IF(raw[[#This Row],[in]]=0,0,MONTH(raw[[#This Row],[in]]))</f>
        <v/>
      </c>
      <c r="Q1242" s="1397">
        <f>IF(raw[[#This Row],[in]]=0,0,YEAR(raw[[#This Row],[in]]))</f>
        <v/>
      </c>
      <c r="R1242" s="1397">
        <f>INT(raw[[#This Row],[yr]]/10)*10</f>
        <v/>
      </c>
      <c r="S1242" s="1395">
        <f>IF(raw[[#This Row],[city]]="","-",IF(raw[[#This Row],[city]]&lt;&gt;_xlfn.XLOOKUP(raw[[#This Row],[home]],homes[home],homes[city],"-"),1,0))</f>
        <v/>
      </c>
      <c r="T1242" s="1398" t="inlineStr">
        <is>
          <t>.</t>
        </is>
      </c>
      <c r="U1242" s="1399">
        <f>IF(raw[[#This Row],[wb]]="w",raw[[#This Row],[stay]]+U1241,U1241)</f>
        <v/>
      </c>
      <c r="V1242" s="1400">
        <f>IF(raw[[#This Row],[out]]=0,V1241,(raw[[#This Row],[out]]-E$5))</f>
        <v/>
      </c>
      <c r="W1242" s="1401">
        <f>U1242/V1242</f>
        <v/>
      </c>
      <c r="X1242" s="1392" t="n"/>
      <c r="Y1242" s="1392" t="n"/>
      <c r="Z1242" s="1392" t="n"/>
      <c r="AA1242" s="1392" t="n"/>
      <c r="AB1242" s="1392" t="n"/>
      <c r="AC1242" s="1392" t="n"/>
      <c r="AD1242" s="1392" t="n"/>
      <c r="AE1242" s="1392" t="n"/>
      <c r="AF1242" s="1392" t="n"/>
      <c r="AG1242" s="1392" t="n"/>
      <c r="AH1242" s="1392" t="n"/>
      <c r="AI1242" s="1392" t="n"/>
      <c r="AJ1242" s="1392" t="n"/>
      <c r="AK1242" s="1392" t="n"/>
      <c r="AL1242" s="1392" t="n"/>
      <c r="AM1242" s="1392" t="n"/>
      <c r="AN1242" s="1392" t="n"/>
      <c r="AO1242" s="1392" t="n"/>
      <c r="AP1242" s="1392" t="n"/>
      <c r="AQ1242" s="1392" t="n"/>
      <c r="AR1242" s="1422" t="n"/>
      <c r="AS1242" s="1422" t="n"/>
      <c r="AT1242" s="1392" t="n"/>
      <c r="AU1242" s="1392" t="n"/>
      <c r="AV1242" s="1392" t="n"/>
      <c r="AW1242" s="1392" t="n"/>
      <c r="AX1242" s="1392" t="n"/>
      <c r="AY1242" s="1392" t="n"/>
      <c r="AZ1242" s="1392" t="n"/>
      <c r="BA1242" s="1422" t="n"/>
      <c r="BB1242" s="1422" t="n"/>
      <c r="BC1242" s="1392" t="n"/>
      <c r="BD1242" s="1392" t="n"/>
      <c r="BE1242" s="1392" t="n"/>
      <c r="BF1242" s="1392" t="n"/>
      <c r="BG1242" s="1392" t="n"/>
      <c r="BH1242" s="1392" t="n"/>
      <c r="BI1242" s="1392" t="n"/>
      <c r="BJ1242" s="1392" t="n"/>
      <c r="BK1242" s="1392" t="n"/>
      <c r="BL1242" s="1392" t="n"/>
      <c r="BM1242" s="1392" t="n"/>
      <c r="BN1242" s="1392" t="n"/>
      <c r="BO1242" s="1392" t="n"/>
      <c r="BP1242" s="1392" t="n"/>
      <c r="BQ1242" s="1392" t="n"/>
      <c r="BR1242" s="1392" t="n"/>
      <c r="BS1242" s="1392" t="n"/>
      <c r="BT1242" s="1392" t="n"/>
      <c r="BU1242" s="1392" t="n"/>
      <c r="BV1242" s="1392" t="n"/>
      <c r="BW1242" s="1392" t="n"/>
      <c r="BX1242" s="1392" t="n"/>
      <c r="BY1242" s="1392" t="n"/>
      <c r="BZ1242" s="1392" t="n"/>
      <c r="CA1242" s="1392" t="n"/>
      <c r="CB1242" s="1392" t="n"/>
      <c r="CC1242" s="1392" t="n"/>
      <c r="CD1242" s="1392" t="n"/>
      <c r="CE1242" s="1392" t="n"/>
      <c r="CF1242" s="1392" t="n"/>
      <c r="CG1242" s="1392" t="n"/>
      <c r="CH1242" s="1392" t="n"/>
      <c r="CI1242" s="1392" t="n"/>
      <c r="CJ1242" s="1392" t="n"/>
      <c r="CK1242" s="1392" t="n"/>
      <c r="CL1242" s="1392" t="n"/>
    </row>
    <row r="1243">
      <c r="A1243" s="5" t="inlineStr">
        <is>
          <t>.</t>
        </is>
      </c>
      <c r="B1243" s="5" t="inlineStr">
        <is>
          <t>.</t>
        </is>
      </c>
      <c r="C1243" s="1378">
        <f>IF(raw[[#This Row],[city]]="","-",IF(raw[[#This Row],[city]]="TODAY","-",C1242+1))</f>
        <v/>
      </c>
      <c r="D1243" s="1393" t="inlineStr">
        <is>
          <t>Montreal</t>
        </is>
      </c>
      <c r="E1243" s="1394" t="n">
        <v>40704</v>
      </c>
      <c r="F1243" s="1394" t="n">
        <v>40725</v>
      </c>
      <c r="G1243" s="1393" t="inlineStr">
        <is>
          <t>-</t>
        </is>
      </c>
      <c r="H1243" s="1393" t="inlineStr">
        <is>
          <t>Lasalle</t>
        </is>
      </c>
      <c r="I1243" s="1393" t="inlineStr">
        <is>
          <t>-</t>
        </is>
      </c>
      <c r="J1243" s="1393" t="inlineStr">
        <is>
          <t>-</t>
        </is>
      </c>
      <c r="K1243" s="1395">
        <f>IF(raw[[#This Row],[city]]&lt;&gt;"",_xlfn.XLOOKUP($D1243,ccc[city],ccc[prov],"-"),"-")</f>
        <v/>
      </c>
      <c r="L1243" s="1395">
        <f>IF(raw[[#This Row],[city]]&lt;&gt;"",_xlfn.XLOOKUP($D1243,ccc[city],ccc[ctry],"-"),"-")</f>
        <v/>
      </c>
      <c r="M1243" s="1395">
        <f>IF(raw[[#This Row],[city]]&lt;&gt;"",_xlfn.XLOOKUP($D1243,ccc[city],ccc[cont],"-"),"-")</f>
        <v/>
      </c>
      <c r="N1243" s="1396">
        <f>IF(raw[[#This Row],[city]]="","-",IF(raw[[#This Row],[cont]]="B",raw[[#This Row],[cont]],"W"))</f>
        <v/>
      </c>
      <c r="O1243" s="1397">
        <f>IF(raw[[#This Row],[out]]=0,0,IF(raw[[#This Row],[out]]=raw[[#This Row],[in]],0.01,raw[[#This Row],[out]]-raw[[#This Row],[in]]))</f>
        <v/>
      </c>
      <c r="P1243" s="1397">
        <f>IF(raw[[#This Row],[in]]=0,0,MONTH(raw[[#This Row],[in]]))</f>
        <v/>
      </c>
      <c r="Q1243" s="1397">
        <f>IF(raw[[#This Row],[in]]=0,0,YEAR(raw[[#This Row],[in]]))</f>
        <v/>
      </c>
      <c r="R1243" s="1397">
        <f>INT(raw[[#This Row],[yr]]/10)*10</f>
        <v/>
      </c>
      <c r="S1243" s="1395">
        <f>IF(raw[[#This Row],[city]]="","-",IF(raw[[#This Row],[city]]&lt;&gt;_xlfn.XLOOKUP(raw[[#This Row],[home]],homes[home],homes[city],"-"),1,0))</f>
        <v/>
      </c>
      <c r="T1243" s="1398" t="inlineStr">
        <is>
          <t>.</t>
        </is>
      </c>
      <c r="U1243" s="1399">
        <f>IF(raw[[#This Row],[wb]]="w",raw[[#This Row],[stay]]+U1242,U1242)</f>
        <v/>
      </c>
      <c r="V1243" s="1400">
        <f>IF(raw[[#This Row],[out]]=0,V1242,(raw[[#This Row],[out]]-E$5))</f>
        <v/>
      </c>
      <c r="W1243" s="1401">
        <f>U1243/V1243</f>
        <v/>
      </c>
      <c r="X1243" s="1392" t="n"/>
      <c r="Y1243" s="1392" t="n"/>
      <c r="Z1243" s="1392" t="n"/>
      <c r="AA1243" s="1392" t="n"/>
      <c r="AB1243" s="1392" t="n"/>
      <c r="AC1243" s="1392" t="n"/>
      <c r="AD1243" s="1392" t="n"/>
      <c r="AE1243" s="1392" t="n"/>
      <c r="AF1243" s="1392" t="n"/>
      <c r="AG1243" s="1392" t="n"/>
      <c r="AH1243" s="1392" t="n"/>
      <c r="AI1243" s="1392" t="n"/>
      <c r="AJ1243" s="1392" t="n"/>
      <c r="AK1243" s="1392" t="n"/>
      <c r="AL1243" s="1392" t="n"/>
      <c r="AM1243" s="1392" t="n"/>
      <c r="AN1243" s="1392" t="n"/>
      <c r="AO1243" s="1392" t="n"/>
      <c r="AP1243" s="1392" t="n"/>
      <c r="AQ1243" s="1392" t="n"/>
      <c r="AR1243" s="1422" t="n"/>
      <c r="AS1243" s="1422" t="n"/>
      <c r="AT1243" s="1392" t="n"/>
      <c r="AU1243" s="1392" t="n"/>
      <c r="AV1243" s="1392" t="n"/>
      <c r="AW1243" s="1392" t="n"/>
      <c r="AX1243" s="1392" t="n"/>
      <c r="AY1243" s="1392" t="n"/>
      <c r="AZ1243" s="1392" t="n"/>
      <c r="BA1243" s="1422" t="n"/>
      <c r="BB1243" s="1422" t="n"/>
      <c r="BC1243" s="1392" t="n"/>
      <c r="BD1243" s="1392" t="n"/>
      <c r="BE1243" s="1392" t="n"/>
      <c r="BF1243" s="1392" t="n"/>
      <c r="BG1243" s="1392" t="n"/>
      <c r="BH1243" s="1392" t="n"/>
      <c r="BI1243" s="1392" t="n"/>
      <c r="BJ1243" s="1392" t="n"/>
      <c r="BK1243" s="1392" t="n"/>
      <c r="BL1243" s="1392" t="n"/>
      <c r="BM1243" s="1392" t="n"/>
      <c r="BN1243" s="1392" t="n"/>
      <c r="BO1243" s="1392" t="n"/>
      <c r="BP1243" s="1392" t="n"/>
      <c r="BQ1243" s="1392" t="n"/>
      <c r="BR1243" s="1392" t="n"/>
      <c r="BS1243" s="1392" t="n"/>
      <c r="BT1243" s="1392" t="n"/>
      <c r="BU1243" s="1392" t="n"/>
      <c r="BV1243" s="1392" t="n"/>
      <c r="BW1243" s="1392" t="n"/>
      <c r="BX1243" s="1392" t="n"/>
      <c r="BY1243" s="1392" t="n"/>
      <c r="BZ1243" s="1392" t="n"/>
      <c r="CA1243" s="1392" t="n"/>
      <c r="CB1243" s="1392" t="n"/>
      <c r="CC1243" s="1392" t="n"/>
      <c r="CD1243" s="1392" t="n"/>
      <c r="CE1243" s="1392" t="n"/>
      <c r="CF1243" s="1392" t="n"/>
      <c r="CG1243" s="1392" t="n"/>
      <c r="CH1243" s="1392" t="n"/>
      <c r="CI1243" s="1392" t="n"/>
      <c r="CJ1243" s="1392" t="n"/>
      <c r="CK1243" s="1392" t="n"/>
      <c r="CL1243" s="1392" t="n"/>
    </row>
    <row r="1244">
      <c r="A1244" s="5" t="inlineStr">
        <is>
          <t>.</t>
        </is>
      </c>
      <c r="B1244" s="5" t="inlineStr">
        <is>
          <t>.</t>
        </is>
      </c>
      <c r="C1244" s="1378">
        <f>IF(raw[[#This Row],[city]]="","-",IF(raw[[#This Row],[city]]="TODAY","-",C1243+1))</f>
        <v/>
      </c>
      <c r="D1244" s="1393" t="inlineStr">
        <is>
          <t>Montreal</t>
        </is>
      </c>
      <c r="E1244" s="1394" t="n">
        <v>40725</v>
      </c>
      <c r="F1244" s="1394" t="n">
        <v>40756</v>
      </c>
      <c r="G1244" s="1393" t="inlineStr">
        <is>
          <t>-</t>
        </is>
      </c>
      <c r="H1244" s="1393" t="inlineStr">
        <is>
          <t>Lasalle</t>
        </is>
      </c>
      <c r="I1244" s="1393" t="inlineStr">
        <is>
          <t>-</t>
        </is>
      </c>
      <c r="J1244" s="1393" t="inlineStr">
        <is>
          <t>-</t>
        </is>
      </c>
      <c r="K1244" s="1395">
        <f>IF(raw[[#This Row],[city]]&lt;&gt;"",_xlfn.XLOOKUP($D1244,ccc[city],ccc[prov],"-"),"-")</f>
        <v/>
      </c>
      <c r="L1244" s="1395">
        <f>IF(raw[[#This Row],[city]]&lt;&gt;"",_xlfn.XLOOKUP($D1244,ccc[city],ccc[ctry],"-"),"-")</f>
        <v/>
      </c>
      <c r="M1244" s="1395">
        <f>IF(raw[[#This Row],[city]]&lt;&gt;"",_xlfn.XLOOKUP($D1244,ccc[city],ccc[cont],"-"),"-")</f>
        <v/>
      </c>
      <c r="N1244" s="1396">
        <f>IF(raw[[#This Row],[city]]="","-",IF(raw[[#This Row],[cont]]="B",raw[[#This Row],[cont]],"W"))</f>
        <v/>
      </c>
      <c r="O1244" s="1397">
        <f>IF(raw[[#This Row],[out]]=0,0,IF(raw[[#This Row],[out]]=raw[[#This Row],[in]],0.01,raw[[#This Row],[out]]-raw[[#This Row],[in]]))</f>
        <v/>
      </c>
      <c r="P1244" s="1397">
        <f>IF(raw[[#This Row],[in]]=0,0,MONTH(raw[[#This Row],[in]]))</f>
        <v/>
      </c>
      <c r="Q1244" s="1397">
        <f>IF(raw[[#This Row],[in]]=0,0,YEAR(raw[[#This Row],[in]]))</f>
        <v/>
      </c>
      <c r="R1244" s="1397">
        <f>INT(raw[[#This Row],[yr]]/10)*10</f>
        <v/>
      </c>
      <c r="S1244" s="1395">
        <f>IF(raw[[#This Row],[city]]="","-",IF(raw[[#This Row],[city]]&lt;&gt;_xlfn.XLOOKUP(raw[[#This Row],[home]],homes[home],homes[city],"-"),1,0))</f>
        <v/>
      </c>
      <c r="T1244" s="1398" t="inlineStr">
        <is>
          <t>.</t>
        </is>
      </c>
      <c r="U1244" s="1399">
        <f>IF(raw[[#This Row],[wb]]="w",raw[[#This Row],[stay]]+U1243,U1243)</f>
        <v/>
      </c>
      <c r="V1244" s="1400">
        <f>IF(raw[[#This Row],[out]]=0,V1243,(raw[[#This Row],[out]]-E$5))</f>
        <v/>
      </c>
      <c r="W1244" s="1401">
        <f>U1244/V1244</f>
        <v/>
      </c>
      <c r="X1244" s="1392" t="n"/>
      <c r="Y1244" s="1392" t="n"/>
      <c r="Z1244" s="1392" t="n"/>
      <c r="AA1244" s="1392" t="n"/>
      <c r="AB1244" s="1392" t="n"/>
      <c r="AC1244" s="1392" t="n"/>
      <c r="AD1244" s="1392" t="n"/>
      <c r="AE1244" s="1392" t="n"/>
      <c r="AF1244" s="1392" t="n"/>
      <c r="AG1244" s="1392" t="n"/>
      <c r="AH1244" s="1392" t="n"/>
      <c r="AI1244" s="1392" t="n"/>
      <c r="AJ1244" s="1392" t="n"/>
      <c r="AK1244" s="1392" t="n"/>
      <c r="AL1244" s="1392" t="n"/>
      <c r="AM1244" s="1392" t="n"/>
      <c r="AN1244" s="1392" t="n"/>
      <c r="AO1244" s="1392" t="n"/>
      <c r="AP1244" s="1392" t="n"/>
      <c r="AQ1244" s="1392" t="n"/>
      <c r="AR1244" s="1422" t="n"/>
      <c r="AS1244" s="1422" t="n"/>
      <c r="AT1244" s="1392" t="n"/>
      <c r="AU1244" s="1392" t="n"/>
      <c r="AV1244" s="1392" t="n"/>
      <c r="AW1244" s="1392" t="n"/>
      <c r="AX1244" s="1392" t="n"/>
      <c r="AY1244" s="1392" t="n"/>
      <c r="AZ1244" s="1392" t="n"/>
      <c r="BA1244" s="1422" t="n"/>
      <c r="BB1244" s="1422" t="n"/>
      <c r="BC1244" s="1392" t="n"/>
      <c r="BD1244" s="1392" t="n"/>
      <c r="BE1244" s="1392" t="n"/>
      <c r="BF1244" s="1392" t="n"/>
      <c r="BG1244" s="1392" t="n"/>
      <c r="BH1244" s="1392" t="n"/>
      <c r="BI1244" s="1392" t="n"/>
      <c r="BJ1244" s="1392" t="n"/>
      <c r="BK1244" s="1392" t="n"/>
      <c r="BL1244" s="1392" t="n"/>
      <c r="BM1244" s="1392" t="n"/>
      <c r="BN1244" s="1392" t="n"/>
      <c r="BO1244" s="1392" t="n"/>
      <c r="BP1244" s="1392" t="n"/>
      <c r="BQ1244" s="1392" t="n"/>
      <c r="BR1244" s="1392" t="n"/>
      <c r="BS1244" s="1392" t="n"/>
      <c r="BT1244" s="1392" t="n"/>
      <c r="BU1244" s="1392" t="n"/>
      <c r="BV1244" s="1392" t="n"/>
      <c r="BW1244" s="1392" t="n"/>
      <c r="BX1244" s="1392" t="n"/>
      <c r="BY1244" s="1392" t="n"/>
      <c r="BZ1244" s="1392" t="n"/>
      <c r="CA1244" s="1392" t="n"/>
      <c r="CB1244" s="1392" t="n"/>
      <c r="CC1244" s="1392" t="n"/>
      <c r="CD1244" s="1392" t="n"/>
      <c r="CE1244" s="1392" t="n"/>
      <c r="CF1244" s="1392" t="n"/>
      <c r="CG1244" s="1392" t="n"/>
      <c r="CH1244" s="1392" t="n"/>
      <c r="CI1244" s="1392" t="n"/>
      <c r="CJ1244" s="1392" t="n"/>
      <c r="CK1244" s="1392" t="n"/>
      <c r="CL1244" s="1392" t="n"/>
    </row>
    <row r="1245">
      <c r="A1245" s="5" t="inlineStr">
        <is>
          <t>.</t>
        </is>
      </c>
      <c r="B1245" s="5" t="inlineStr">
        <is>
          <t>.</t>
        </is>
      </c>
      <c r="C1245" s="1378">
        <f>IF(raw[[#This Row],[city]]="","-",IF(raw[[#This Row],[city]]="TODAY","-",C1244+1))</f>
        <v/>
      </c>
      <c r="D1245" s="1393" t="inlineStr">
        <is>
          <t>Montreal</t>
        </is>
      </c>
      <c r="E1245" s="1394" t="n">
        <v>40756</v>
      </c>
      <c r="F1245" s="1394" t="n">
        <v>40787</v>
      </c>
      <c r="G1245" s="1393" t="inlineStr">
        <is>
          <t>-</t>
        </is>
      </c>
      <c r="H1245" s="1393" t="inlineStr">
        <is>
          <t>Lasalle</t>
        </is>
      </c>
      <c r="I1245" s="1393" t="inlineStr">
        <is>
          <t>-</t>
        </is>
      </c>
      <c r="J1245" s="1393" t="inlineStr">
        <is>
          <t>BDAY</t>
        </is>
      </c>
      <c r="K1245" s="1395">
        <f>IF(raw[[#This Row],[city]]&lt;&gt;"",_xlfn.XLOOKUP($D1245,ccc[city],ccc[prov],"-"),"-")</f>
        <v/>
      </c>
      <c r="L1245" s="1395">
        <f>IF(raw[[#This Row],[city]]&lt;&gt;"",_xlfn.XLOOKUP($D1245,ccc[city],ccc[ctry],"-"),"-")</f>
        <v/>
      </c>
      <c r="M1245" s="1395">
        <f>IF(raw[[#This Row],[city]]&lt;&gt;"",_xlfn.XLOOKUP($D1245,ccc[city],ccc[cont],"-"),"-")</f>
        <v/>
      </c>
      <c r="N1245" s="1396">
        <f>IF(raw[[#This Row],[city]]="","-",IF(raw[[#This Row],[cont]]="B",raw[[#This Row],[cont]],"W"))</f>
        <v/>
      </c>
      <c r="O1245" s="1397">
        <f>IF(raw[[#This Row],[out]]=0,0,IF(raw[[#This Row],[out]]=raw[[#This Row],[in]],0.01,raw[[#This Row],[out]]-raw[[#This Row],[in]]))</f>
        <v/>
      </c>
      <c r="P1245" s="1397">
        <f>IF(raw[[#This Row],[in]]=0,0,MONTH(raw[[#This Row],[in]]))</f>
        <v/>
      </c>
      <c r="Q1245" s="1397">
        <f>IF(raw[[#This Row],[in]]=0,0,YEAR(raw[[#This Row],[in]]))</f>
        <v/>
      </c>
      <c r="R1245" s="1397">
        <f>INT(raw[[#This Row],[yr]]/10)*10</f>
        <v/>
      </c>
      <c r="S1245" s="1395">
        <f>IF(raw[[#This Row],[city]]="","-",IF(raw[[#This Row],[city]]&lt;&gt;_xlfn.XLOOKUP(raw[[#This Row],[home]],homes[home],homes[city],"-"),1,0))</f>
        <v/>
      </c>
      <c r="T1245" s="1398" t="inlineStr">
        <is>
          <t>.</t>
        </is>
      </c>
      <c r="U1245" s="1399">
        <f>IF(raw[[#This Row],[wb]]="w",raw[[#This Row],[stay]]+U1244,U1244)</f>
        <v/>
      </c>
      <c r="V1245" s="1400">
        <f>IF(raw[[#This Row],[out]]=0,V1244,(raw[[#This Row],[out]]-E$5))</f>
        <v/>
      </c>
      <c r="W1245" s="1401">
        <f>U1245/V1245</f>
        <v/>
      </c>
      <c r="X1245" s="1392" t="n"/>
      <c r="Y1245" s="1392" t="n"/>
      <c r="Z1245" s="1392" t="n"/>
      <c r="AA1245" s="1392" t="n"/>
      <c r="AB1245" s="1392" t="n"/>
      <c r="AC1245" s="1392" t="n"/>
      <c r="AD1245" s="1392" t="n"/>
      <c r="AE1245" s="1392" t="n"/>
      <c r="AF1245" s="1392" t="n"/>
      <c r="AG1245" s="1392" t="n"/>
      <c r="AH1245" s="1392" t="n"/>
      <c r="AI1245" s="1392" t="n"/>
      <c r="AJ1245" s="1392" t="n"/>
      <c r="AK1245" s="1392" t="n"/>
      <c r="AL1245" s="1392" t="n"/>
      <c r="AM1245" s="1392" t="n"/>
      <c r="AN1245" s="1392" t="n"/>
      <c r="AO1245" s="1392" t="n"/>
      <c r="AP1245" s="1392" t="n"/>
      <c r="AQ1245" s="1392" t="n"/>
      <c r="AR1245" s="1422" t="n"/>
      <c r="AS1245" s="1422" t="n"/>
      <c r="AT1245" s="1392" t="n"/>
      <c r="AU1245" s="1392" t="n"/>
      <c r="AV1245" s="1392" t="n"/>
      <c r="AW1245" s="1392" t="n"/>
      <c r="AX1245" s="1392" t="n"/>
      <c r="AY1245" s="1392" t="n"/>
      <c r="AZ1245" s="1392" t="n"/>
      <c r="BA1245" s="1422" t="n"/>
      <c r="BB1245" s="1422" t="n"/>
      <c r="BC1245" s="1392" t="n"/>
      <c r="BD1245" s="1392" t="n"/>
      <c r="BE1245" s="1392" t="n"/>
      <c r="BF1245" s="1392" t="n"/>
      <c r="BG1245" s="1392" t="n"/>
      <c r="BH1245" s="1392" t="n"/>
      <c r="BI1245" s="1392" t="n"/>
      <c r="BJ1245" s="1392" t="n"/>
      <c r="BK1245" s="1392" t="n"/>
      <c r="BL1245" s="1392" t="n"/>
      <c r="BM1245" s="1392" t="n"/>
      <c r="BN1245" s="1392" t="n"/>
      <c r="BO1245" s="1392" t="n"/>
      <c r="BP1245" s="1392" t="n"/>
      <c r="BQ1245" s="1392" t="n"/>
      <c r="BR1245" s="1392" t="n"/>
      <c r="BS1245" s="1392" t="n"/>
      <c r="BT1245" s="1392" t="n"/>
      <c r="BU1245" s="1392" t="n"/>
      <c r="BV1245" s="1392" t="n"/>
      <c r="BW1245" s="1392" t="n"/>
      <c r="BX1245" s="1392" t="n"/>
      <c r="BY1245" s="1392" t="n"/>
      <c r="BZ1245" s="1392" t="n"/>
      <c r="CA1245" s="1392" t="n"/>
      <c r="CB1245" s="1392" t="n"/>
      <c r="CC1245" s="1392" t="n"/>
      <c r="CD1245" s="1392" t="n"/>
      <c r="CE1245" s="1392" t="n"/>
      <c r="CF1245" s="1392" t="n"/>
      <c r="CG1245" s="1392" t="n"/>
      <c r="CH1245" s="1392" t="n"/>
      <c r="CI1245" s="1392" t="n"/>
      <c r="CJ1245" s="1392" t="n"/>
      <c r="CK1245" s="1392" t="n"/>
      <c r="CL1245" s="1392" t="n"/>
    </row>
    <row r="1246">
      <c r="A1246" s="5" t="inlineStr">
        <is>
          <t>.</t>
        </is>
      </c>
      <c r="B1246" s="5" t="inlineStr">
        <is>
          <t>.</t>
        </is>
      </c>
      <c r="C1246" s="1378">
        <f>IF(raw[[#This Row],[city]]="","-",IF(raw[[#This Row],[city]]="TODAY","-",C1245+1))</f>
        <v/>
      </c>
      <c r="D1246" s="1393" t="inlineStr">
        <is>
          <t>Montreal</t>
        </is>
      </c>
      <c r="E1246" s="1394" t="n">
        <v>40787</v>
      </c>
      <c r="F1246" s="1394" t="n">
        <v>40817</v>
      </c>
      <c r="G1246" s="1393" t="inlineStr">
        <is>
          <t>-</t>
        </is>
      </c>
      <c r="H1246" s="1393" t="inlineStr">
        <is>
          <t>Lasalle</t>
        </is>
      </c>
      <c r="I1246" s="1393" t="inlineStr">
        <is>
          <t>-</t>
        </is>
      </c>
      <c r="J1246" s="1393" t="inlineStr">
        <is>
          <t>-</t>
        </is>
      </c>
      <c r="K1246" s="1395">
        <f>IF(raw[[#This Row],[city]]&lt;&gt;"",_xlfn.XLOOKUP($D1246,ccc[city],ccc[prov],"-"),"-")</f>
        <v/>
      </c>
      <c r="L1246" s="1395">
        <f>IF(raw[[#This Row],[city]]&lt;&gt;"",_xlfn.XLOOKUP($D1246,ccc[city],ccc[ctry],"-"),"-")</f>
        <v/>
      </c>
      <c r="M1246" s="1395">
        <f>IF(raw[[#This Row],[city]]&lt;&gt;"",_xlfn.XLOOKUP($D1246,ccc[city],ccc[cont],"-"),"-")</f>
        <v/>
      </c>
      <c r="N1246" s="1396">
        <f>IF(raw[[#This Row],[city]]="","-",IF(raw[[#This Row],[cont]]="B",raw[[#This Row],[cont]],"W"))</f>
        <v/>
      </c>
      <c r="O1246" s="1397">
        <f>IF(raw[[#This Row],[out]]=0,0,IF(raw[[#This Row],[out]]=raw[[#This Row],[in]],0.01,raw[[#This Row],[out]]-raw[[#This Row],[in]]))</f>
        <v/>
      </c>
      <c r="P1246" s="1397">
        <f>IF(raw[[#This Row],[in]]=0,0,MONTH(raw[[#This Row],[in]]))</f>
        <v/>
      </c>
      <c r="Q1246" s="1397">
        <f>IF(raw[[#This Row],[in]]=0,0,YEAR(raw[[#This Row],[in]]))</f>
        <v/>
      </c>
      <c r="R1246" s="1397">
        <f>INT(raw[[#This Row],[yr]]/10)*10</f>
        <v/>
      </c>
      <c r="S1246" s="1395">
        <f>IF(raw[[#This Row],[city]]="","-",IF(raw[[#This Row],[city]]&lt;&gt;_xlfn.XLOOKUP(raw[[#This Row],[home]],homes[home],homes[city],"-"),1,0))</f>
        <v/>
      </c>
      <c r="T1246" s="1398" t="inlineStr">
        <is>
          <t>.</t>
        </is>
      </c>
      <c r="U1246" s="1399">
        <f>IF(raw[[#This Row],[wb]]="w",raw[[#This Row],[stay]]+U1245,U1245)</f>
        <v/>
      </c>
      <c r="V1246" s="1400">
        <f>IF(raw[[#This Row],[out]]=0,V1245,(raw[[#This Row],[out]]-E$5))</f>
        <v/>
      </c>
      <c r="W1246" s="1401">
        <f>U1246/V1246</f>
        <v/>
      </c>
      <c r="X1246" s="1392" t="n"/>
      <c r="Y1246" s="1392" t="n"/>
      <c r="Z1246" s="1392" t="n"/>
      <c r="AA1246" s="1392" t="n"/>
      <c r="AB1246" s="1392" t="n"/>
      <c r="AC1246" s="1392" t="n"/>
      <c r="AD1246" s="1392" t="n"/>
      <c r="AE1246" s="1392" t="n"/>
      <c r="AF1246" s="1392" t="n"/>
      <c r="AG1246" s="1392" t="n"/>
      <c r="AH1246" s="1392" t="n"/>
      <c r="AI1246" s="1392" t="n"/>
      <c r="AJ1246" s="1392" t="n"/>
      <c r="AK1246" s="1392" t="n"/>
      <c r="AL1246" s="1392" t="n"/>
      <c r="AM1246" s="1392" t="n"/>
      <c r="AN1246" s="1392" t="n"/>
      <c r="AO1246" s="1392" t="n"/>
      <c r="AP1246" s="1392" t="n"/>
      <c r="AQ1246" s="1392" t="n"/>
      <c r="AR1246" s="1422" t="n"/>
      <c r="AS1246" s="1422" t="n"/>
      <c r="AT1246" s="1392" t="n"/>
      <c r="AU1246" s="1392" t="n"/>
      <c r="AV1246" s="1392" t="n"/>
      <c r="AW1246" s="1392" t="n"/>
      <c r="AX1246" s="1392" t="n"/>
      <c r="AY1246" s="1392" t="n"/>
      <c r="AZ1246" s="1392" t="n"/>
      <c r="BA1246" s="1422" t="n"/>
      <c r="BB1246" s="1422" t="n"/>
      <c r="BC1246" s="1392" t="n"/>
      <c r="BD1246" s="1392" t="n"/>
      <c r="BE1246" s="1392" t="n"/>
      <c r="BF1246" s="1392" t="n"/>
      <c r="BG1246" s="1392" t="n"/>
      <c r="BH1246" s="1392" t="n"/>
      <c r="BI1246" s="1392" t="n"/>
      <c r="BJ1246" s="1392" t="n"/>
      <c r="BK1246" s="1392" t="n"/>
      <c r="BL1246" s="1392" t="n"/>
      <c r="BM1246" s="1392" t="n"/>
      <c r="BN1246" s="1392" t="n"/>
      <c r="BO1246" s="1392" t="n"/>
      <c r="BP1246" s="1392" t="n"/>
      <c r="BQ1246" s="1392" t="n"/>
      <c r="BR1246" s="1392" t="n"/>
      <c r="BS1246" s="1392" t="n"/>
      <c r="BT1246" s="1392" t="n"/>
      <c r="BU1246" s="1392" t="n"/>
      <c r="BV1246" s="1392" t="n"/>
      <c r="BW1246" s="1392" t="n"/>
      <c r="BX1246" s="1392" t="n"/>
      <c r="BY1246" s="1392" t="n"/>
      <c r="BZ1246" s="1392" t="n"/>
      <c r="CA1246" s="1392" t="n"/>
      <c r="CB1246" s="1392" t="n"/>
      <c r="CC1246" s="1392" t="n"/>
      <c r="CD1246" s="1392" t="n"/>
      <c r="CE1246" s="1392" t="n"/>
      <c r="CF1246" s="1392" t="n"/>
      <c r="CG1246" s="1392" t="n"/>
      <c r="CH1246" s="1392" t="n"/>
      <c r="CI1246" s="1392" t="n"/>
      <c r="CJ1246" s="1392" t="n"/>
      <c r="CK1246" s="1392" t="n"/>
      <c r="CL1246" s="1392" t="n"/>
    </row>
    <row r="1247">
      <c r="A1247" s="5" t="inlineStr">
        <is>
          <t>.</t>
        </is>
      </c>
      <c r="B1247" s="5" t="inlineStr">
        <is>
          <t>.</t>
        </is>
      </c>
      <c r="C1247" s="1378">
        <f>IF(raw[[#This Row],[city]]="","-",IF(raw[[#This Row],[city]]="TODAY","-",C1246+1))</f>
        <v/>
      </c>
      <c r="D1247" s="1393" t="inlineStr">
        <is>
          <t>Montreal</t>
        </is>
      </c>
      <c r="E1247" s="1394" t="n">
        <v>40817</v>
      </c>
      <c r="F1247" s="1394" t="n">
        <v>40848</v>
      </c>
      <c r="G1247" s="1393" t="inlineStr">
        <is>
          <t>-</t>
        </is>
      </c>
      <c r="H1247" s="1393" t="inlineStr">
        <is>
          <t>Lasalle</t>
        </is>
      </c>
      <c r="I1247" s="1393" t="inlineStr">
        <is>
          <t>-</t>
        </is>
      </c>
      <c r="J1247" s="1393" t="inlineStr">
        <is>
          <t>-</t>
        </is>
      </c>
      <c r="K1247" s="1395">
        <f>IF(raw[[#This Row],[city]]&lt;&gt;"",_xlfn.XLOOKUP($D1247,ccc[city],ccc[prov],"-"),"-")</f>
        <v/>
      </c>
      <c r="L1247" s="1395">
        <f>IF(raw[[#This Row],[city]]&lt;&gt;"",_xlfn.XLOOKUP($D1247,ccc[city],ccc[ctry],"-"),"-")</f>
        <v/>
      </c>
      <c r="M1247" s="1395">
        <f>IF(raw[[#This Row],[city]]&lt;&gt;"",_xlfn.XLOOKUP($D1247,ccc[city],ccc[cont],"-"),"-")</f>
        <v/>
      </c>
      <c r="N1247" s="1396">
        <f>IF(raw[[#This Row],[city]]="","-",IF(raw[[#This Row],[cont]]="B",raw[[#This Row],[cont]],"W"))</f>
        <v/>
      </c>
      <c r="O1247" s="1397">
        <f>IF(raw[[#This Row],[out]]=0,0,IF(raw[[#This Row],[out]]=raw[[#This Row],[in]],0.01,raw[[#This Row],[out]]-raw[[#This Row],[in]]))</f>
        <v/>
      </c>
      <c r="P1247" s="1397">
        <f>IF(raw[[#This Row],[in]]=0,0,MONTH(raw[[#This Row],[in]]))</f>
        <v/>
      </c>
      <c r="Q1247" s="1397">
        <f>IF(raw[[#This Row],[in]]=0,0,YEAR(raw[[#This Row],[in]]))</f>
        <v/>
      </c>
      <c r="R1247" s="1397">
        <f>INT(raw[[#This Row],[yr]]/10)*10</f>
        <v/>
      </c>
      <c r="S1247" s="1395">
        <f>IF(raw[[#This Row],[city]]="","-",IF(raw[[#This Row],[city]]&lt;&gt;_xlfn.XLOOKUP(raw[[#This Row],[home]],homes[home],homes[city],"-"),1,0))</f>
        <v/>
      </c>
      <c r="T1247" s="1398" t="inlineStr">
        <is>
          <t>.</t>
        </is>
      </c>
      <c r="U1247" s="1399">
        <f>IF(raw[[#This Row],[wb]]="w",raw[[#This Row],[stay]]+U1246,U1246)</f>
        <v/>
      </c>
      <c r="V1247" s="1400">
        <f>IF(raw[[#This Row],[out]]=0,V1246,(raw[[#This Row],[out]]-E$5))</f>
        <v/>
      </c>
      <c r="W1247" s="1401">
        <f>U1247/V1247</f>
        <v/>
      </c>
      <c r="X1247" s="1392" t="n"/>
      <c r="Y1247" s="1392" t="n"/>
      <c r="Z1247" s="1392" t="n"/>
      <c r="AA1247" s="1392" t="n"/>
      <c r="AB1247" s="1392" t="n"/>
      <c r="AC1247" s="1392" t="n"/>
      <c r="AD1247" s="1392" t="n"/>
      <c r="AE1247" s="1392" t="n"/>
      <c r="AF1247" s="1392" t="n"/>
      <c r="AG1247" s="1392" t="n"/>
      <c r="AH1247" s="1392" t="n"/>
      <c r="AI1247" s="1392" t="n"/>
      <c r="AJ1247" s="1392" t="n"/>
      <c r="AK1247" s="1392" t="n"/>
      <c r="AL1247" s="1392" t="n"/>
      <c r="AM1247" s="1392" t="n"/>
      <c r="AN1247" s="1392" t="n"/>
      <c r="AO1247" s="1392" t="n"/>
      <c r="AP1247" s="1392" t="n"/>
      <c r="AQ1247" s="1392" t="n"/>
      <c r="AR1247" s="1422" t="n"/>
      <c r="AS1247" s="1422" t="n"/>
      <c r="AT1247" s="1392" t="n"/>
      <c r="AU1247" s="1392" t="n"/>
      <c r="AV1247" s="1392" t="n"/>
      <c r="AW1247" s="1392" t="n"/>
      <c r="AX1247" s="1392" t="n"/>
      <c r="AY1247" s="1392" t="n"/>
      <c r="AZ1247" s="1392" t="n"/>
      <c r="BA1247" s="1422" t="n"/>
      <c r="BB1247" s="1422" t="n"/>
      <c r="BC1247" s="1392" t="n"/>
      <c r="BD1247" s="1392" t="n"/>
      <c r="BE1247" s="1392" t="n"/>
      <c r="BF1247" s="1392" t="n"/>
      <c r="BG1247" s="1392" t="n"/>
      <c r="BH1247" s="1392" t="n"/>
      <c r="BI1247" s="1392" t="n"/>
      <c r="BJ1247" s="1392" t="n"/>
      <c r="BK1247" s="1392" t="n"/>
      <c r="BL1247" s="1392" t="n"/>
      <c r="BM1247" s="1392" t="n"/>
      <c r="BN1247" s="1392" t="n"/>
      <c r="BO1247" s="1392" t="n"/>
      <c r="BP1247" s="1392" t="n"/>
      <c r="BQ1247" s="1392" t="n"/>
      <c r="BR1247" s="1392" t="n"/>
      <c r="BS1247" s="1392" t="n"/>
      <c r="BT1247" s="1392" t="n"/>
      <c r="BU1247" s="1392" t="n"/>
      <c r="BV1247" s="1392" t="n"/>
      <c r="BW1247" s="1392" t="n"/>
      <c r="BX1247" s="1392" t="n"/>
      <c r="BY1247" s="1392" t="n"/>
      <c r="BZ1247" s="1392" t="n"/>
      <c r="CA1247" s="1392" t="n"/>
      <c r="CB1247" s="1392" t="n"/>
      <c r="CC1247" s="1392" t="n"/>
      <c r="CD1247" s="1392" t="n"/>
      <c r="CE1247" s="1392" t="n"/>
      <c r="CF1247" s="1392" t="n"/>
      <c r="CG1247" s="1392" t="n"/>
      <c r="CH1247" s="1392" t="n"/>
      <c r="CI1247" s="1392" t="n"/>
      <c r="CJ1247" s="1392" t="n"/>
      <c r="CK1247" s="1392" t="n"/>
      <c r="CL1247" s="1392" t="n"/>
    </row>
    <row r="1248">
      <c r="A1248" s="5" t="inlineStr">
        <is>
          <t>.</t>
        </is>
      </c>
      <c r="B1248" s="5" t="inlineStr">
        <is>
          <t>.</t>
        </is>
      </c>
      <c r="C1248" s="1378">
        <f>IF(raw[[#This Row],[city]]="","-",IF(raw[[#This Row],[city]]="TODAY","-",C1247+1))</f>
        <v/>
      </c>
      <c r="D1248" s="1393" t="inlineStr">
        <is>
          <t>Vaudreuil</t>
        </is>
      </c>
      <c r="E1248" s="1394" t="n">
        <v>40825</v>
      </c>
      <c r="F1248" s="1394" t="n">
        <v>40825</v>
      </c>
      <c r="G1248" s="1393" t="inlineStr">
        <is>
          <t>-</t>
        </is>
      </c>
      <c r="H1248" s="1393" t="inlineStr">
        <is>
          <t>Lasalle</t>
        </is>
      </c>
      <c r="I1248" s="1393" t="inlineStr">
        <is>
          <t>-</t>
        </is>
      </c>
      <c r="J1248" s="1393" t="inlineStr">
        <is>
          <t>cyrus/</t>
        </is>
      </c>
      <c r="K1248" s="1395">
        <f>IF(raw[[#This Row],[city]]&lt;&gt;"",_xlfn.XLOOKUP($D1248,ccc[city],ccc[prov],"-"),"-")</f>
        <v/>
      </c>
      <c r="L1248" s="1395">
        <f>IF(raw[[#This Row],[city]]&lt;&gt;"",_xlfn.XLOOKUP($D1248,ccc[city],ccc[ctry],"-"),"-")</f>
        <v/>
      </c>
      <c r="M1248" s="1395">
        <f>IF(raw[[#This Row],[city]]&lt;&gt;"",_xlfn.XLOOKUP($D1248,ccc[city],ccc[cont],"-"),"-")</f>
        <v/>
      </c>
      <c r="N1248" s="1396">
        <f>IF(raw[[#This Row],[city]]="","-",IF(raw[[#This Row],[cont]]="B",raw[[#This Row],[cont]],"W"))</f>
        <v/>
      </c>
      <c r="O1248" s="1397">
        <f>IF(raw[[#This Row],[out]]=0,0,IF(raw[[#This Row],[out]]=raw[[#This Row],[in]],0.01,raw[[#This Row],[out]]-raw[[#This Row],[in]]))</f>
        <v/>
      </c>
      <c r="P1248" s="1397">
        <f>IF(raw[[#This Row],[in]]=0,0,MONTH(raw[[#This Row],[in]]))</f>
        <v/>
      </c>
      <c r="Q1248" s="1397">
        <f>IF(raw[[#This Row],[in]]=0,0,YEAR(raw[[#This Row],[in]]))</f>
        <v/>
      </c>
      <c r="R1248" s="1397">
        <f>INT(raw[[#This Row],[yr]]/10)*10</f>
        <v/>
      </c>
      <c r="S1248" s="1395">
        <f>IF(raw[[#This Row],[city]]="","-",IF(raw[[#This Row],[city]]&lt;&gt;_xlfn.XLOOKUP(raw[[#This Row],[home]],homes[home],homes[city],"-"),1,0))</f>
        <v/>
      </c>
      <c r="T1248" s="1398" t="inlineStr">
        <is>
          <t>.</t>
        </is>
      </c>
      <c r="U1248" s="1399">
        <f>IF(raw[[#This Row],[wb]]="w",raw[[#This Row],[stay]]+U1247,U1247)</f>
        <v/>
      </c>
      <c r="V1248" s="1400">
        <f>IF(raw[[#This Row],[out]]=0,V1247,(raw[[#This Row],[out]]-E$5))</f>
        <v/>
      </c>
      <c r="W1248" s="1401">
        <f>U1248/V1248</f>
        <v/>
      </c>
      <c r="X1248" s="1392" t="n"/>
      <c r="Y1248" s="1392" t="n"/>
      <c r="Z1248" s="1392" t="n"/>
      <c r="AA1248" s="1392" t="n"/>
      <c r="AB1248" s="1392" t="n"/>
      <c r="AC1248" s="1392" t="n"/>
      <c r="AD1248" s="1392" t="n"/>
      <c r="AE1248" s="1392" t="n"/>
      <c r="AF1248" s="1392" t="n"/>
      <c r="AG1248" s="1392" t="n"/>
      <c r="AH1248" s="1392" t="n"/>
      <c r="AI1248" s="1392" t="n"/>
      <c r="AJ1248" s="1392" t="n"/>
      <c r="AK1248" s="1392" t="n"/>
      <c r="AL1248" s="1392" t="n"/>
      <c r="AM1248" s="1392" t="n"/>
      <c r="AN1248" s="1392" t="n"/>
      <c r="AO1248" s="1392" t="n"/>
      <c r="AP1248" s="1392" t="n"/>
      <c r="AQ1248" s="1392" t="n"/>
      <c r="AR1248" s="1422" t="n"/>
      <c r="AS1248" s="1422" t="n"/>
      <c r="AT1248" s="1392" t="n"/>
      <c r="AU1248" s="1392" t="n"/>
      <c r="AV1248" s="1392" t="n"/>
      <c r="AW1248" s="1392" t="n"/>
      <c r="AX1248" s="1392" t="n"/>
      <c r="AY1248" s="1392" t="n"/>
      <c r="AZ1248" s="1392" t="n"/>
      <c r="BA1248" s="1422" t="n"/>
      <c r="BB1248" s="1422" t="n"/>
      <c r="BC1248" s="1392" t="n"/>
      <c r="BD1248" s="1392" t="n"/>
      <c r="BE1248" s="1392" t="n"/>
      <c r="BF1248" s="1392" t="n"/>
      <c r="BG1248" s="1392" t="n"/>
      <c r="BH1248" s="1392" t="n"/>
      <c r="BI1248" s="1392" t="n"/>
      <c r="BJ1248" s="1392" t="n"/>
      <c r="BK1248" s="1392" t="n"/>
      <c r="BL1248" s="1392" t="n"/>
      <c r="BM1248" s="1392" t="n"/>
      <c r="BN1248" s="1392" t="n"/>
      <c r="BO1248" s="1392" t="n"/>
      <c r="BP1248" s="1392" t="n"/>
      <c r="BQ1248" s="1392" t="n"/>
      <c r="BR1248" s="1392" t="n"/>
      <c r="BS1248" s="1392" t="n"/>
      <c r="BT1248" s="1392" t="n"/>
      <c r="BU1248" s="1392" t="n"/>
      <c r="BV1248" s="1392" t="n"/>
      <c r="BW1248" s="1392" t="n"/>
      <c r="BX1248" s="1392" t="n"/>
      <c r="BY1248" s="1392" t="n"/>
      <c r="BZ1248" s="1392" t="n"/>
      <c r="CA1248" s="1392" t="n"/>
      <c r="CB1248" s="1392" t="n"/>
      <c r="CC1248" s="1392" t="n"/>
      <c r="CD1248" s="1392" t="n"/>
      <c r="CE1248" s="1392" t="n"/>
      <c r="CF1248" s="1392" t="n"/>
      <c r="CG1248" s="1392" t="n"/>
      <c r="CH1248" s="1392" t="n"/>
      <c r="CI1248" s="1392" t="n"/>
      <c r="CJ1248" s="1392" t="n"/>
      <c r="CK1248" s="1392" t="n"/>
      <c r="CL1248" s="1392" t="n"/>
    </row>
    <row r="1249">
      <c r="A1249" s="5" t="inlineStr">
        <is>
          <t>.</t>
        </is>
      </c>
      <c r="B1249" s="5" t="inlineStr">
        <is>
          <t>.</t>
        </is>
      </c>
      <c r="C1249" s="1378">
        <f>IF(raw[[#This Row],[city]]="","-",IF(raw[[#This Row],[city]]="TODAY","-",C1248+1))</f>
        <v/>
      </c>
      <c r="D1249" s="1393" t="inlineStr">
        <is>
          <t>Montebello</t>
        </is>
      </c>
      <c r="E1249" s="1394" t="n">
        <v>40825</v>
      </c>
      <c r="F1249" s="1394" t="n">
        <v>40825</v>
      </c>
      <c r="G1249" s="1393" t="inlineStr">
        <is>
          <t>-</t>
        </is>
      </c>
      <c r="H1249" s="1393" t="inlineStr">
        <is>
          <t>Lasalle</t>
        </is>
      </c>
      <c r="I1249" s="1393" t="inlineStr">
        <is>
          <t>-</t>
        </is>
      </c>
      <c r="J1249" s="1393" t="inlineStr">
        <is>
          <t>cyrus/</t>
        </is>
      </c>
      <c r="K1249" s="1395">
        <f>IF(raw[[#This Row],[city]]&lt;&gt;"",_xlfn.XLOOKUP($D1249,ccc[city],ccc[prov],"-"),"-")</f>
        <v/>
      </c>
      <c r="L1249" s="1395">
        <f>IF(raw[[#This Row],[city]]&lt;&gt;"",_xlfn.XLOOKUP($D1249,ccc[city],ccc[ctry],"-"),"-")</f>
        <v/>
      </c>
      <c r="M1249" s="1395">
        <f>IF(raw[[#This Row],[city]]&lt;&gt;"",_xlfn.XLOOKUP($D1249,ccc[city],ccc[cont],"-"),"-")</f>
        <v/>
      </c>
      <c r="N1249" s="1396">
        <f>IF(raw[[#This Row],[city]]="","-",IF(raw[[#This Row],[cont]]="B",raw[[#This Row],[cont]],"W"))</f>
        <v/>
      </c>
      <c r="O1249" s="1397">
        <f>IF(raw[[#This Row],[out]]=0,0,IF(raw[[#This Row],[out]]=raw[[#This Row],[in]],0.01,raw[[#This Row],[out]]-raw[[#This Row],[in]]))</f>
        <v/>
      </c>
      <c r="P1249" s="1397">
        <f>IF(raw[[#This Row],[in]]=0,0,MONTH(raw[[#This Row],[in]]))</f>
        <v/>
      </c>
      <c r="Q1249" s="1397">
        <f>IF(raw[[#This Row],[in]]=0,0,YEAR(raw[[#This Row],[in]]))</f>
        <v/>
      </c>
      <c r="R1249" s="1397">
        <f>INT(raw[[#This Row],[yr]]/10)*10</f>
        <v/>
      </c>
      <c r="S1249" s="1395">
        <f>IF(raw[[#This Row],[city]]="","-",IF(raw[[#This Row],[city]]&lt;&gt;_xlfn.XLOOKUP(raw[[#This Row],[home]],homes[home],homes[city],"-"),1,0))</f>
        <v/>
      </c>
      <c r="T1249" s="1398" t="inlineStr">
        <is>
          <t>.</t>
        </is>
      </c>
      <c r="U1249" s="1399">
        <f>IF(raw[[#This Row],[wb]]="w",raw[[#This Row],[stay]]+U1248,U1248)</f>
        <v/>
      </c>
      <c r="V1249" s="1400">
        <f>IF(raw[[#This Row],[out]]=0,V1248,(raw[[#This Row],[out]]-E$5))</f>
        <v/>
      </c>
      <c r="W1249" s="1401">
        <f>U1249/V1249</f>
        <v/>
      </c>
      <c r="X1249" s="1392" t="n"/>
      <c r="Y1249" s="1392" t="n"/>
      <c r="Z1249" s="1392" t="n"/>
      <c r="AA1249" s="1392" t="n"/>
      <c r="AB1249" s="1392" t="n"/>
      <c r="AC1249" s="1392" t="n"/>
      <c r="AD1249" s="1392" t="n"/>
      <c r="AE1249" s="1392" t="n"/>
      <c r="AF1249" s="1392" t="n"/>
      <c r="AG1249" s="1392" t="n"/>
      <c r="AH1249" s="1392" t="n"/>
      <c r="AI1249" s="1392" t="n"/>
      <c r="AJ1249" s="1392" t="n"/>
      <c r="AK1249" s="1392" t="n"/>
      <c r="AL1249" s="1392" t="n"/>
      <c r="AM1249" s="1392" t="n"/>
      <c r="AN1249" s="1392" t="n"/>
      <c r="AO1249" s="1392" t="n"/>
      <c r="AP1249" s="1392" t="n"/>
      <c r="AQ1249" s="1392" t="n"/>
      <c r="AR1249" s="1422" t="n"/>
      <c r="AS1249" s="1422" t="n"/>
      <c r="AT1249" s="1392" t="n"/>
      <c r="AU1249" s="1392" t="n"/>
      <c r="AV1249" s="1392" t="n"/>
      <c r="AW1249" s="1392" t="n"/>
      <c r="AX1249" s="1392" t="n"/>
      <c r="AY1249" s="1392" t="n"/>
      <c r="AZ1249" s="1392" t="n"/>
      <c r="BA1249" s="1422" t="n"/>
      <c r="BB1249" s="1422" t="n"/>
      <c r="BC1249" s="1392" t="n"/>
      <c r="BD1249" s="1392" t="n"/>
      <c r="BE1249" s="1392" t="n"/>
      <c r="BF1249" s="1392" t="n"/>
      <c r="BG1249" s="1392" t="n"/>
      <c r="BH1249" s="1392" t="n"/>
      <c r="BI1249" s="1392" t="n"/>
      <c r="BJ1249" s="1392" t="n"/>
      <c r="BK1249" s="1392" t="n"/>
      <c r="BL1249" s="1392" t="n"/>
      <c r="BM1249" s="1392" t="n"/>
      <c r="BN1249" s="1392" t="n"/>
      <c r="BO1249" s="1392" t="n"/>
      <c r="BP1249" s="1392" t="n"/>
      <c r="BQ1249" s="1392" t="n"/>
      <c r="BR1249" s="1392" t="n"/>
      <c r="BS1249" s="1392" t="n"/>
      <c r="BT1249" s="1392" t="n"/>
      <c r="BU1249" s="1392" t="n"/>
      <c r="BV1249" s="1392" t="n"/>
      <c r="BW1249" s="1392" t="n"/>
      <c r="BX1249" s="1392" t="n"/>
      <c r="BY1249" s="1392" t="n"/>
      <c r="BZ1249" s="1392" t="n"/>
      <c r="CA1249" s="1392" t="n"/>
      <c r="CB1249" s="1392" t="n"/>
      <c r="CC1249" s="1392" t="n"/>
      <c r="CD1249" s="1392" t="n"/>
      <c r="CE1249" s="1392" t="n"/>
      <c r="CF1249" s="1392" t="n"/>
      <c r="CG1249" s="1392" t="n"/>
      <c r="CH1249" s="1392" t="n"/>
      <c r="CI1249" s="1392" t="n"/>
      <c r="CJ1249" s="1392" t="n"/>
      <c r="CK1249" s="1392" t="n"/>
      <c r="CL1249" s="1392" t="n"/>
    </row>
    <row r="1250">
      <c r="A1250" s="5" t="inlineStr">
        <is>
          <t>.</t>
        </is>
      </c>
      <c r="B1250" s="5" t="inlineStr">
        <is>
          <t>.</t>
        </is>
      </c>
      <c r="C1250" s="1378">
        <f>IF(raw[[#This Row],[city]]="","-",IF(raw[[#This Row],[city]]="TODAY","-",C1249+1))</f>
        <v/>
      </c>
      <c r="D1250" s="1393" t="inlineStr">
        <is>
          <t>Ottawa</t>
        </is>
      </c>
      <c r="E1250" s="1394" t="n">
        <v>40846</v>
      </c>
      <c r="F1250" s="1394" t="n">
        <v>40846</v>
      </c>
      <c r="G1250" s="1393" t="inlineStr">
        <is>
          <t>-</t>
        </is>
      </c>
      <c r="H1250" s="1393" t="inlineStr">
        <is>
          <t>Lasalle</t>
        </is>
      </c>
      <c r="I1250" s="1393" t="inlineStr">
        <is>
          <t>-</t>
        </is>
      </c>
      <c r="J1250" s="1393" t="inlineStr">
        <is>
          <t>-</t>
        </is>
      </c>
      <c r="K1250" s="1395">
        <f>IF(raw[[#This Row],[city]]&lt;&gt;"",_xlfn.XLOOKUP($D1250,ccc[city],ccc[prov],"-"),"-")</f>
        <v/>
      </c>
      <c r="L1250" s="1395">
        <f>IF(raw[[#This Row],[city]]&lt;&gt;"",_xlfn.XLOOKUP($D1250,ccc[city],ccc[ctry],"-"),"-")</f>
        <v/>
      </c>
      <c r="M1250" s="1395">
        <f>IF(raw[[#This Row],[city]]&lt;&gt;"",_xlfn.XLOOKUP($D1250,ccc[city],ccc[cont],"-"),"-")</f>
        <v/>
      </c>
      <c r="N1250" s="1396">
        <f>IF(raw[[#This Row],[city]]="","-",IF(raw[[#This Row],[cont]]="B",raw[[#This Row],[cont]],"W"))</f>
        <v/>
      </c>
      <c r="O1250" s="1397">
        <f>IF(raw[[#This Row],[out]]=0,0,IF(raw[[#This Row],[out]]=raw[[#This Row],[in]],0.01,raw[[#This Row],[out]]-raw[[#This Row],[in]]))</f>
        <v/>
      </c>
      <c r="P1250" s="1397">
        <f>IF(raw[[#This Row],[in]]=0,0,MONTH(raw[[#This Row],[in]]))</f>
        <v/>
      </c>
      <c r="Q1250" s="1397">
        <f>IF(raw[[#This Row],[in]]=0,0,YEAR(raw[[#This Row],[in]]))</f>
        <v/>
      </c>
      <c r="R1250" s="1397">
        <f>INT(raw[[#This Row],[yr]]/10)*10</f>
        <v/>
      </c>
      <c r="S1250" s="1395">
        <f>IF(raw[[#This Row],[city]]="","-",IF(raw[[#This Row],[city]]&lt;&gt;_xlfn.XLOOKUP(raw[[#This Row],[home]],homes[home],homes[city],"-"),1,0))</f>
        <v/>
      </c>
      <c r="T1250" s="1398" t="inlineStr">
        <is>
          <t>.</t>
        </is>
      </c>
      <c r="U1250" s="1399">
        <f>IF(raw[[#This Row],[wb]]="w",raw[[#This Row],[stay]]+U1249,U1249)</f>
        <v/>
      </c>
      <c r="V1250" s="1400">
        <f>IF(raw[[#This Row],[out]]=0,V1249,(raw[[#This Row],[out]]-E$5))</f>
        <v/>
      </c>
      <c r="W1250" s="1401">
        <f>U1250/V1250</f>
        <v/>
      </c>
      <c r="X1250" s="1392" t="n"/>
      <c r="Y1250" s="1392" t="n"/>
      <c r="Z1250" s="1392" t="n"/>
      <c r="AA1250" s="1392" t="n"/>
      <c r="AB1250" s="1392" t="n"/>
      <c r="AC1250" s="1392" t="n"/>
      <c r="AD1250" s="1392" t="n"/>
      <c r="AE1250" s="1392" t="n"/>
      <c r="AF1250" s="1392" t="n"/>
      <c r="AG1250" s="1392" t="n"/>
      <c r="AH1250" s="1392" t="n"/>
      <c r="AI1250" s="1392" t="n"/>
      <c r="AJ1250" s="1392" t="n"/>
      <c r="AK1250" s="1392" t="n"/>
      <c r="AL1250" s="1392" t="n"/>
      <c r="AM1250" s="1392" t="n"/>
      <c r="AN1250" s="1392" t="n"/>
      <c r="AO1250" s="1392" t="n"/>
      <c r="AP1250" s="1392" t="n"/>
      <c r="AQ1250" s="1392" t="n"/>
      <c r="AR1250" s="1422" t="n"/>
      <c r="AS1250" s="1422" t="n"/>
      <c r="AT1250" s="1392" t="n"/>
      <c r="AU1250" s="1392" t="n"/>
      <c r="AV1250" s="1392" t="n"/>
      <c r="AW1250" s="1392" t="n"/>
      <c r="AX1250" s="1392" t="n"/>
      <c r="AY1250" s="1392" t="n"/>
      <c r="AZ1250" s="1392" t="n"/>
      <c r="BA1250" s="1422" t="n"/>
      <c r="BB1250" s="1422" t="n"/>
      <c r="BC1250" s="1392" t="n"/>
      <c r="BD1250" s="1392" t="n"/>
      <c r="BE1250" s="1392" t="n"/>
      <c r="BF1250" s="1392" t="n"/>
      <c r="BG1250" s="1392" t="n"/>
      <c r="BH1250" s="1392" t="n"/>
      <c r="BI1250" s="1392" t="n"/>
      <c r="BJ1250" s="1392" t="n"/>
      <c r="BK1250" s="1392" t="n"/>
      <c r="BL1250" s="1392" t="n"/>
      <c r="BM1250" s="1392" t="n"/>
      <c r="BN1250" s="1392" t="n"/>
      <c r="BO1250" s="1392" t="n"/>
      <c r="BP1250" s="1392" t="n"/>
      <c r="BQ1250" s="1392" t="n"/>
      <c r="BR1250" s="1392" t="n"/>
      <c r="BS1250" s="1392" t="n"/>
      <c r="BT1250" s="1392" t="n"/>
      <c r="BU1250" s="1392" t="n"/>
      <c r="BV1250" s="1392" t="n"/>
      <c r="BW1250" s="1392" t="n"/>
      <c r="BX1250" s="1392" t="n"/>
      <c r="BY1250" s="1392" t="n"/>
      <c r="BZ1250" s="1392" t="n"/>
      <c r="CA1250" s="1392" t="n"/>
      <c r="CB1250" s="1392" t="n"/>
      <c r="CC1250" s="1392" t="n"/>
      <c r="CD1250" s="1392" t="n"/>
      <c r="CE1250" s="1392" t="n"/>
      <c r="CF1250" s="1392" t="n"/>
      <c r="CG1250" s="1392" t="n"/>
      <c r="CH1250" s="1392" t="n"/>
      <c r="CI1250" s="1392" t="n"/>
      <c r="CJ1250" s="1392" t="n"/>
      <c r="CK1250" s="1392" t="n"/>
      <c r="CL1250" s="1392" t="n"/>
    </row>
    <row r="1251">
      <c r="A1251" s="5" t="inlineStr">
        <is>
          <t>.</t>
        </is>
      </c>
      <c r="B1251" s="5" t="inlineStr">
        <is>
          <t>.</t>
        </is>
      </c>
      <c r="C1251" s="1378">
        <f>IF(raw[[#This Row],[city]]="","-",IF(raw[[#This Row],[city]]="TODAY","-",C1250+1))</f>
        <v/>
      </c>
      <c r="D1251" s="1393" t="inlineStr">
        <is>
          <t>Montreal</t>
        </is>
      </c>
      <c r="E1251" s="1394" t="n">
        <v>40848</v>
      </c>
      <c r="F1251" s="1394" t="n">
        <v>40878</v>
      </c>
      <c r="G1251" s="1393" t="inlineStr">
        <is>
          <t>-</t>
        </is>
      </c>
      <c r="H1251" s="1393" t="inlineStr">
        <is>
          <t>Lasalle</t>
        </is>
      </c>
      <c r="I1251" s="1393" t="inlineStr">
        <is>
          <t>-</t>
        </is>
      </c>
      <c r="J1251" s="1393" t="inlineStr">
        <is>
          <t>-</t>
        </is>
      </c>
      <c r="K1251" s="1395">
        <f>IF(raw[[#This Row],[city]]&lt;&gt;"",_xlfn.XLOOKUP($D1251,ccc[city],ccc[prov],"-"),"-")</f>
        <v/>
      </c>
      <c r="L1251" s="1395">
        <f>IF(raw[[#This Row],[city]]&lt;&gt;"",_xlfn.XLOOKUP($D1251,ccc[city],ccc[ctry],"-"),"-")</f>
        <v/>
      </c>
      <c r="M1251" s="1395">
        <f>IF(raw[[#This Row],[city]]&lt;&gt;"",_xlfn.XLOOKUP($D1251,ccc[city],ccc[cont],"-"),"-")</f>
        <v/>
      </c>
      <c r="N1251" s="1396">
        <f>IF(raw[[#This Row],[city]]="","-",IF(raw[[#This Row],[cont]]="B",raw[[#This Row],[cont]],"W"))</f>
        <v/>
      </c>
      <c r="O1251" s="1397">
        <f>IF(raw[[#This Row],[out]]=0,0,IF(raw[[#This Row],[out]]=raw[[#This Row],[in]],0.01,raw[[#This Row],[out]]-raw[[#This Row],[in]]))</f>
        <v/>
      </c>
      <c r="P1251" s="1397">
        <f>IF(raw[[#This Row],[in]]=0,0,MONTH(raw[[#This Row],[in]]))</f>
        <v/>
      </c>
      <c r="Q1251" s="1397">
        <f>IF(raw[[#This Row],[in]]=0,0,YEAR(raw[[#This Row],[in]]))</f>
        <v/>
      </c>
      <c r="R1251" s="1397">
        <f>INT(raw[[#This Row],[yr]]/10)*10</f>
        <v/>
      </c>
      <c r="S1251" s="1395">
        <f>IF(raw[[#This Row],[city]]="","-",IF(raw[[#This Row],[city]]&lt;&gt;_xlfn.XLOOKUP(raw[[#This Row],[home]],homes[home],homes[city],"-"),1,0))</f>
        <v/>
      </c>
      <c r="T1251" s="1398" t="inlineStr">
        <is>
          <t>.</t>
        </is>
      </c>
      <c r="U1251" s="1399">
        <f>IF(raw[[#This Row],[wb]]="w",raw[[#This Row],[stay]]+U1250,U1250)</f>
        <v/>
      </c>
      <c r="V1251" s="1400">
        <f>IF(raw[[#This Row],[out]]=0,V1250,(raw[[#This Row],[out]]-E$5))</f>
        <v/>
      </c>
      <c r="W1251" s="1401">
        <f>U1251/V1251</f>
        <v/>
      </c>
      <c r="X1251" s="1392" t="n"/>
      <c r="Y1251" s="1392" t="n"/>
      <c r="Z1251" s="1392" t="n"/>
      <c r="AA1251" s="1392" t="n"/>
      <c r="AB1251" s="1392" t="n"/>
      <c r="AC1251" s="1392" t="n"/>
      <c r="AD1251" s="1392" t="n"/>
      <c r="AE1251" s="1392" t="n"/>
      <c r="AF1251" s="1392" t="n"/>
      <c r="AG1251" s="1392" t="n"/>
      <c r="AH1251" s="1392" t="n"/>
      <c r="AI1251" s="1392" t="n"/>
      <c r="AJ1251" s="1392" t="n"/>
      <c r="AK1251" s="1392" t="n"/>
      <c r="AL1251" s="1392" t="n"/>
      <c r="AM1251" s="1392" t="n"/>
      <c r="AN1251" s="1392" t="n"/>
      <c r="AO1251" s="1392" t="n"/>
      <c r="AP1251" s="1392" t="n"/>
      <c r="AQ1251" s="1392" t="n"/>
      <c r="AR1251" s="1422" t="n"/>
      <c r="AS1251" s="1422" t="n"/>
      <c r="AT1251" s="1392" t="n"/>
      <c r="AU1251" s="1392" t="n"/>
      <c r="AV1251" s="1392" t="n"/>
      <c r="AW1251" s="1392" t="n"/>
      <c r="AX1251" s="1392" t="n"/>
      <c r="AY1251" s="1392" t="n"/>
      <c r="AZ1251" s="1392" t="n"/>
      <c r="BA1251" s="1422" t="n"/>
      <c r="BB1251" s="1422" t="n"/>
      <c r="BC1251" s="1392" t="n"/>
      <c r="BD1251" s="1392" t="n"/>
      <c r="BE1251" s="1392" t="n"/>
      <c r="BF1251" s="1392" t="n"/>
      <c r="BG1251" s="1392" t="n"/>
      <c r="BH1251" s="1392" t="n"/>
      <c r="BI1251" s="1392" t="n"/>
      <c r="BJ1251" s="1392" t="n"/>
      <c r="BK1251" s="1392" t="n"/>
      <c r="BL1251" s="1392" t="n"/>
      <c r="BM1251" s="1392" t="n"/>
      <c r="BN1251" s="1392" t="n"/>
      <c r="BO1251" s="1392" t="n"/>
      <c r="BP1251" s="1392" t="n"/>
      <c r="BQ1251" s="1392" t="n"/>
      <c r="BR1251" s="1392" t="n"/>
      <c r="BS1251" s="1392" t="n"/>
      <c r="BT1251" s="1392" t="n"/>
      <c r="BU1251" s="1392" t="n"/>
      <c r="BV1251" s="1392" t="n"/>
      <c r="BW1251" s="1392" t="n"/>
      <c r="BX1251" s="1392" t="n"/>
      <c r="BY1251" s="1392" t="n"/>
      <c r="BZ1251" s="1392" t="n"/>
      <c r="CA1251" s="1392" t="n"/>
      <c r="CB1251" s="1392" t="n"/>
      <c r="CC1251" s="1392" t="n"/>
      <c r="CD1251" s="1392" t="n"/>
      <c r="CE1251" s="1392" t="n"/>
      <c r="CF1251" s="1392" t="n"/>
      <c r="CG1251" s="1392" t="n"/>
      <c r="CH1251" s="1392" t="n"/>
      <c r="CI1251" s="1392" t="n"/>
      <c r="CJ1251" s="1392" t="n"/>
      <c r="CK1251" s="1392" t="n"/>
      <c r="CL1251" s="1392" t="n"/>
    </row>
    <row r="1252">
      <c r="A1252" s="5" t="inlineStr">
        <is>
          <t>.</t>
        </is>
      </c>
      <c r="B1252" s="5" t="inlineStr">
        <is>
          <t>.</t>
        </is>
      </c>
      <c r="C1252" s="1378">
        <f>IF(raw[[#This Row],[city]]="","-",IF(raw[[#This Row],[city]]="TODAY","-",C1251+1))</f>
        <v/>
      </c>
      <c r="D1252" s="1393" t="inlineStr">
        <is>
          <t>Montreal</t>
        </is>
      </c>
      <c r="E1252" s="1394" t="n">
        <v>40878</v>
      </c>
      <c r="F1252" s="1394" t="n">
        <v>40909</v>
      </c>
      <c r="G1252" s="1393" t="inlineStr">
        <is>
          <t>-</t>
        </is>
      </c>
      <c r="H1252" s="1393" t="inlineStr">
        <is>
          <t>Lasalle</t>
        </is>
      </c>
      <c r="I1252" s="1393" t="inlineStr">
        <is>
          <t>-</t>
        </is>
      </c>
      <c r="J1252" s="1393" t="inlineStr">
        <is>
          <t>-</t>
        </is>
      </c>
      <c r="K1252" s="1395">
        <f>IF(raw[[#This Row],[city]]&lt;&gt;"",_xlfn.XLOOKUP($D1252,ccc[city],ccc[prov],"-"),"-")</f>
        <v/>
      </c>
      <c r="L1252" s="1395">
        <f>IF(raw[[#This Row],[city]]&lt;&gt;"",_xlfn.XLOOKUP($D1252,ccc[city],ccc[ctry],"-"),"-")</f>
        <v/>
      </c>
      <c r="M1252" s="1395">
        <f>IF(raw[[#This Row],[city]]&lt;&gt;"",_xlfn.XLOOKUP($D1252,ccc[city],ccc[cont],"-"),"-")</f>
        <v/>
      </c>
      <c r="N1252" s="1396">
        <f>IF(raw[[#This Row],[city]]="","-",IF(raw[[#This Row],[cont]]="B",raw[[#This Row],[cont]],"W"))</f>
        <v/>
      </c>
      <c r="O1252" s="1397">
        <f>IF(raw[[#This Row],[out]]=0,0,IF(raw[[#This Row],[out]]=raw[[#This Row],[in]],0.01,raw[[#This Row],[out]]-raw[[#This Row],[in]]))</f>
        <v/>
      </c>
      <c r="P1252" s="1397">
        <f>IF(raw[[#This Row],[in]]=0,0,MONTH(raw[[#This Row],[in]]))</f>
        <v/>
      </c>
      <c r="Q1252" s="1397">
        <f>IF(raw[[#This Row],[in]]=0,0,YEAR(raw[[#This Row],[in]]))</f>
        <v/>
      </c>
      <c r="R1252" s="1397">
        <f>INT(raw[[#This Row],[yr]]/10)*10</f>
        <v/>
      </c>
      <c r="S1252" s="1395">
        <f>IF(raw[[#This Row],[city]]="","-",IF(raw[[#This Row],[city]]&lt;&gt;_xlfn.XLOOKUP(raw[[#This Row],[home]],homes[home],homes[city],"-"),1,0))</f>
        <v/>
      </c>
      <c r="T1252" s="1398" t="inlineStr">
        <is>
          <t>.</t>
        </is>
      </c>
      <c r="U1252" s="1399">
        <f>IF(raw[[#This Row],[wb]]="w",raw[[#This Row],[stay]]+U1251,U1251)</f>
        <v/>
      </c>
      <c r="V1252" s="1400">
        <f>IF(raw[[#This Row],[out]]=0,V1251,(raw[[#This Row],[out]]-E$5))</f>
        <v/>
      </c>
      <c r="W1252" s="1401">
        <f>U1252/V1252</f>
        <v/>
      </c>
      <c r="X1252" s="1392" t="n"/>
      <c r="Y1252" s="1392" t="n"/>
      <c r="Z1252" s="1392" t="n"/>
      <c r="AA1252" s="1392" t="n"/>
      <c r="AB1252" s="1392" t="n"/>
      <c r="AC1252" s="1392" t="n"/>
      <c r="AD1252" s="1392" t="n"/>
      <c r="AE1252" s="1392" t="n"/>
      <c r="AF1252" s="1392" t="n"/>
      <c r="AG1252" s="1392" t="n"/>
      <c r="AH1252" s="1392" t="n"/>
      <c r="AI1252" s="1392" t="n"/>
      <c r="AJ1252" s="1392" t="n"/>
      <c r="AK1252" s="1392" t="n"/>
      <c r="AL1252" s="1392" t="n"/>
      <c r="AM1252" s="1392" t="n"/>
      <c r="AN1252" s="1392" t="n"/>
      <c r="AO1252" s="1392" t="n"/>
      <c r="AP1252" s="1392" t="n"/>
      <c r="AQ1252" s="1392" t="n"/>
      <c r="AR1252" s="1422" t="n"/>
      <c r="AS1252" s="1422" t="n"/>
      <c r="AT1252" s="1392" t="n"/>
      <c r="AU1252" s="1392" t="n"/>
      <c r="AV1252" s="1392" t="n"/>
      <c r="AW1252" s="1392" t="n"/>
      <c r="AX1252" s="1392" t="n"/>
      <c r="AY1252" s="1392" t="n"/>
      <c r="AZ1252" s="1392" t="n"/>
      <c r="BA1252" s="1422" t="n"/>
      <c r="BB1252" s="1422" t="n"/>
      <c r="BC1252" s="1392" t="n"/>
      <c r="BD1252" s="1392" t="n"/>
      <c r="BE1252" s="1392" t="n"/>
      <c r="BF1252" s="1392" t="n"/>
      <c r="BG1252" s="1392" t="n"/>
      <c r="BH1252" s="1392" t="n"/>
      <c r="BI1252" s="1392" t="n"/>
      <c r="BJ1252" s="1392" t="n"/>
      <c r="BK1252" s="1392" t="n"/>
      <c r="BL1252" s="1392" t="n"/>
      <c r="BM1252" s="1392" t="n"/>
      <c r="BN1252" s="1392" t="n"/>
      <c r="BO1252" s="1392" t="n"/>
      <c r="BP1252" s="1392" t="n"/>
      <c r="BQ1252" s="1392" t="n"/>
      <c r="BR1252" s="1392" t="n"/>
      <c r="BS1252" s="1392" t="n"/>
      <c r="BT1252" s="1392" t="n"/>
      <c r="BU1252" s="1392" t="n"/>
      <c r="BV1252" s="1392" t="n"/>
      <c r="BW1252" s="1392" t="n"/>
      <c r="BX1252" s="1392" t="n"/>
      <c r="BY1252" s="1392" t="n"/>
      <c r="BZ1252" s="1392" t="n"/>
      <c r="CA1252" s="1392" t="n"/>
      <c r="CB1252" s="1392" t="n"/>
      <c r="CC1252" s="1392" t="n"/>
      <c r="CD1252" s="1392" t="n"/>
      <c r="CE1252" s="1392" t="n"/>
      <c r="CF1252" s="1392" t="n"/>
      <c r="CG1252" s="1392" t="n"/>
      <c r="CH1252" s="1392" t="n"/>
      <c r="CI1252" s="1392" t="n"/>
      <c r="CJ1252" s="1392" t="n"/>
      <c r="CK1252" s="1392" t="n"/>
      <c r="CL1252" s="1392" t="n"/>
    </row>
    <row r="1253">
      <c r="A1253" s="5" t="inlineStr">
        <is>
          <t>.</t>
        </is>
      </c>
      <c r="B1253" s="5" t="inlineStr">
        <is>
          <t>.</t>
        </is>
      </c>
      <c r="C1253" s="1378">
        <f>IF(raw[[#This Row],[city]]="","-",IF(raw[[#This Row],[city]]="TODAY","-",C1252+1))</f>
        <v/>
      </c>
      <c r="D1253" s="1393" t="inlineStr">
        <is>
          <t>Montreal</t>
        </is>
      </c>
      <c r="E1253" s="1394" t="n">
        <v>40909</v>
      </c>
      <c r="F1253" s="1394" t="n">
        <v>40940</v>
      </c>
      <c r="G1253" s="1393" t="inlineStr">
        <is>
          <t>-</t>
        </is>
      </c>
      <c r="H1253" s="1393" t="inlineStr">
        <is>
          <t>Lasalle</t>
        </is>
      </c>
      <c r="I1253" s="1393" t="inlineStr">
        <is>
          <t>-</t>
        </is>
      </c>
      <c r="J1253" s="1393" t="inlineStr">
        <is>
          <t>REV</t>
        </is>
      </c>
      <c r="K1253" s="1395">
        <f>IF(raw[[#This Row],[city]]&lt;&gt;"",_xlfn.XLOOKUP($D1253,ccc[city],ccc[prov],"-"),"-")</f>
        <v/>
      </c>
      <c r="L1253" s="1395">
        <f>IF(raw[[#This Row],[city]]&lt;&gt;"",_xlfn.XLOOKUP($D1253,ccc[city],ccc[ctry],"-"),"-")</f>
        <v/>
      </c>
      <c r="M1253" s="1395">
        <f>IF(raw[[#This Row],[city]]&lt;&gt;"",_xlfn.XLOOKUP($D1253,ccc[city],ccc[cont],"-"),"-")</f>
        <v/>
      </c>
      <c r="N1253" s="1396">
        <f>IF(raw[[#This Row],[city]]="","-",IF(raw[[#This Row],[cont]]="B",raw[[#This Row],[cont]],"W"))</f>
        <v/>
      </c>
      <c r="O1253" s="1397">
        <f>IF(raw[[#This Row],[out]]=0,0,IF(raw[[#This Row],[out]]=raw[[#This Row],[in]],0.01,raw[[#This Row],[out]]-raw[[#This Row],[in]]))</f>
        <v/>
      </c>
      <c r="P1253" s="1397">
        <f>IF(raw[[#This Row],[in]]=0,0,MONTH(raw[[#This Row],[in]]))</f>
        <v/>
      </c>
      <c r="Q1253" s="1397">
        <f>IF(raw[[#This Row],[in]]=0,0,YEAR(raw[[#This Row],[in]]))</f>
        <v/>
      </c>
      <c r="R1253" s="1397">
        <f>INT(raw[[#This Row],[yr]]/10)*10</f>
        <v/>
      </c>
      <c r="S1253" s="1395">
        <f>IF(raw[[#This Row],[city]]="","-",IF(raw[[#This Row],[city]]&lt;&gt;_xlfn.XLOOKUP(raw[[#This Row],[home]],homes[home],homes[city],"-"),1,0))</f>
        <v/>
      </c>
      <c r="T1253" s="1398" t="inlineStr">
        <is>
          <t>.</t>
        </is>
      </c>
      <c r="U1253" s="1399">
        <f>IF(raw[[#This Row],[wb]]="w",raw[[#This Row],[stay]]+U1252,U1252)</f>
        <v/>
      </c>
      <c r="V1253" s="1400">
        <f>IF(raw[[#This Row],[out]]=0,V1252,(raw[[#This Row],[out]]-E$5))</f>
        <v/>
      </c>
      <c r="W1253" s="1401">
        <f>U1253/V1253</f>
        <v/>
      </c>
      <c r="X1253" s="1392" t="n"/>
      <c r="Y1253" s="1392" t="n"/>
      <c r="Z1253" s="1392" t="n"/>
      <c r="AA1253" s="1392" t="n"/>
      <c r="AB1253" s="1392" t="n"/>
      <c r="AC1253" s="1392" t="n"/>
      <c r="AD1253" s="1392" t="n"/>
      <c r="AE1253" s="1392" t="n"/>
      <c r="AF1253" s="1392" t="n"/>
      <c r="AG1253" s="1392" t="n"/>
      <c r="AH1253" s="1392" t="n"/>
      <c r="AI1253" s="1392" t="n"/>
      <c r="AJ1253" s="1392" t="n"/>
      <c r="AK1253" s="1392" t="n"/>
      <c r="AL1253" s="1392" t="n"/>
      <c r="AM1253" s="1392" t="n"/>
      <c r="AN1253" s="1392" t="n"/>
      <c r="AO1253" s="1392" t="n"/>
      <c r="AP1253" s="1392" t="n"/>
      <c r="AQ1253" s="1392" t="n"/>
      <c r="AR1253" s="1422" t="n"/>
      <c r="AS1253" s="1422" t="n"/>
      <c r="AT1253" s="1392" t="n"/>
      <c r="AU1253" s="1392" t="n"/>
      <c r="AV1253" s="1392" t="n"/>
      <c r="AW1253" s="1392" t="n"/>
      <c r="AX1253" s="1392" t="n"/>
      <c r="AY1253" s="1392" t="n"/>
      <c r="AZ1253" s="1392" t="n"/>
      <c r="BA1253" s="1422" t="n"/>
      <c r="BB1253" s="1422" t="n"/>
      <c r="BC1253" s="1392" t="n"/>
      <c r="BD1253" s="1392" t="n"/>
      <c r="BE1253" s="1392" t="n"/>
      <c r="BF1253" s="1392" t="n"/>
      <c r="BG1253" s="1392" t="n"/>
      <c r="BH1253" s="1392" t="n"/>
      <c r="BI1253" s="1392" t="n"/>
      <c r="BJ1253" s="1392" t="n"/>
      <c r="BK1253" s="1392" t="n"/>
      <c r="BL1253" s="1392" t="n"/>
      <c r="BM1253" s="1392" t="n"/>
      <c r="BN1253" s="1392" t="n"/>
      <c r="BO1253" s="1392" t="n"/>
      <c r="BP1253" s="1392" t="n"/>
      <c r="BQ1253" s="1392" t="n"/>
      <c r="BR1253" s="1392" t="n"/>
      <c r="BS1253" s="1392" t="n"/>
      <c r="BT1253" s="1392" t="n"/>
      <c r="BU1253" s="1392" t="n"/>
      <c r="BV1253" s="1392" t="n"/>
      <c r="BW1253" s="1392" t="n"/>
      <c r="BX1253" s="1392" t="n"/>
      <c r="BY1253" s="1392" t="n"/>
      <c r="BZ1253" s="1392" t="n"/>
      <c r="CA1253" s="1392" t="n"/>
      <c r="CB1253" s="1392" t="n"/>
      <c r="CC1253" s="1392" t="n"/>
      <c r="CD1253" s="1392" t="n"/>
      <c r="CE1253" s="1392" t="n"/>
      <c r="CF1253" s="1392" t="n"/>
      <c r="CG1253" s="1392" t="n"/>
      <c r="CH1253" s="1392" t="n"/>
      <c r="CI1253" s="1392" t="n"/>
      <c r="CJ1253" s="1392" t="n"/>
      <c r="CK1253" s="1392" t="n"/>
      <c r="CL1253" s="1392" t="n"/>
    </row>
    <row r="1254">
      <c r="A1254" s="5" t="inlineStr">
        <is>
          <t>.</t>
        </is>
      </c>
      <c r="B1254" s="5" t="inlineStr">
        <is>
          <t>.</t>
        </is>
      </c>
      <c r="C1254" s="1378">
        <f>IF(raw[[#This Row],[city]]="","-",IF(raw[[#This Row],[city]]="TODAY","-",C1253+1))</f>
        <v/>
      </c>
      <c r="D1254" s="1393" t="inlineStr">
        <is>
          <t>Saint Sauveur</t>
        </is>
      </c>
      <c r="E1254" s="1394" t="n">
        <v>40935</v>
      </c>
      <c r="F1254" s="1394" t="n">
        <v>40935</v>
      </c>
      <c r="G1254" s="1393" t="inlineStr">
        <is>
          <t>-</t>
        </is>
      </c>
      <c r="H1254" s="1393" t="inlineStr">
        <is>
          <t>Lasalle</t>
        </is>
      </c>
      <c r="I1254" s="1393" t="inlineStr">
        <is>
          <t>-</t>
        </is>
      </c>
      <c r="J1254" s="1393" t="inlineStr">
        <is>
          <t>-</t>
        </is>
      </c>
      <c r="K1254" s="1395">
        <f>IF(raw[[#This Row],[city]]&lt;&gt;"",_xlfn.XLOOKUP($D1254,ccc[city],ccc[prov],"-"),"-")</f>
        <v/>
      </c>
      <c r="L1254" s="1395">
        <f>IF(raw[[#This Row],[city]]&lt;&gt;"",_xlfn.XLOOKUP($D1254,ccc[city],ccc[ctry],"-"),"-")</f>
        <v/>
      </c>
      <c r="M1254" s="1395">
        <f>IF(raw[[#This Row],[city]]&lt;&gt;"",_xlfn.XLOOKUP($D1254,ccc[city],ccc[cont],"-"),"-")</f>
        <v/>
      </c>
      <c r="N1254" s="1396">
        <f>IF(raw[[#This Row],[city]]="","-",IF(raw[[#This Row],[cont]]="B",raw[[#This Row],[cont]],"W"))</f>
        <v/>
      </c>
      <c r="O1254" s="1397">
        <f>IF(raw[[#This Row],[out]]=0,0,IF(raw[[#This Row],[out]]=raw[[#This Row],[in]],0.01,raw[[#This Row],[out]]-raw[[#This Row],[in]]))</f>
        <v/>
      </c>
      <c r="P1254" s="1397">
        <f>IF(raw[[#This Row],[in]]=0,0,MONTH(raw[[#This Row],[in]]))</f>
        <v/>
      </c>
      <c r="Q1254" s="1397">
        <f>IF(raw[[#This Row],[in]]=0,0,YEAR(raw[[#This Row],[in]]))</f>
        <v/>
      </c>
      <c r="R1254" s="1397">
        <f>INT(raw[[#This Row],[yr]]/10)*10</f>
        <v/>
      </c>
      <c r="S1254" s="1395">
        <f>IF(raw[[#This Row],[city]]="","-",IF(raw[[#This Row],[city]]&lt;&gt;_xlfn.XLOOKUP(raw[[#This Row],[home]],homes[home],homes[city],"-"),1,0))</f>
        <v/>
      </c>
      <c r="T1254" s="1398" t="inlineStr">
        <is>
          <t>.</t>
        </is>
      </c>
      <c r="U1254" s="1399">
        <f>IF(raw[[#This Row],[wb]]="w",raw[[#This Row],[stay]]+U1253,U1253)</f>
        <v/>
      </c>
      <c r="V1254" s="1400">
        <f>IF(raw[[#This Row],[out]]=0,V1253,(raw[[#This Row],[out]]-E$5))</f>
        <v/>
      </c>
      <c r="W1254" s="1401">
        <f>U1254/V1254</f>
        <v/>
      </c>
      <c r="X1254" s="1392" t="n"/>
      <c r="Y1254" s="1392" t="n"/>
      <c r="Z1254" s="1392" t="n"/>
      <c r="AA1254" s="1392" t="n"/>
      <c r="AB1254" s="1392" t="n"/>
      <c r="AC1254" s="1392" t="n"/>
      <c r="AD1254" s="1392" t="n"/>
      <c r="AE1254" s="1392" t="n"/>
      <c r="AF1254" s="1392" t="n"/>
      <c r="AG1254" s="1392" t="n"/>
      <c r="AH1254" s="1392" t="n"/>
      <c r="AI1254" s="1392" t="n"/>
      <c r="AJ1254" s="1392" t="n"/>
      <c r="AK1254" s="1392" t="n"/>
      <c r="AL1254" s="1392" t="n"/>
      <c r="AM1254" s="1392" t="n"/>
      <c r="AN1254" s="1392" t="n"/>
      <c r="AO1254" s="1392" t="n"/>
      <c r="AP1254" s="1392" t="n"/>
      <c r="AQ1254" s="1392" t="n"/>
      <c r="AR1254" s="1422" t="n"/>
      <c r="AS1254" s="1422" t="n"/>
      <c r="AT1254" s="1392" t="n"/>
      <c r="AU1254" s="1392" t="n"/>
      <c r="AV1254" s="1392" t="n"/>
      <c r="AW1254" s="1392" t="n"/>
      <c r="AX1254" s="1392" t="n"/>
      <c r="AY1254" s="1392" t="n"/>
      <c r="AZ1254" s="1392" t="n"/>
      <c r="BA1254" s="1422" t="n"/>
      <c r="BB1254" s="1422" t="n"/>
      <c r="BC1254" s="1392" t="n"/>
      <c r="BD1254" s="1392" t="n"/>
      <c r="BE1254" s="1392" t="n"/>
      <c r="BF1254" s="1392" t="n"/>
      <c r="BG1254" s="1392" t="n"/>
      <c r="BH1254" s="1392" t="n"/>
      <c r="BI1254" s="1392" t="n"/>
      <c r="BJ1254" s="1392" t="n"/>
      <c r="BK1254" s="1392" t="n"/>
      <c r="BL1254" s="1392" t="n"/>
      <c r="BM1254" s="1392" t="n"/>
      <c r="BN1254" s="1392" t="n"/>
      <c r="BO1254" s="1392" t="n"/>
      <c r="BP1254" s="1392" t="n"/>
      <c r="BQ1254" s="1392" t="n"/>
      <c r="BR1254" s="1392" t="n"/>
      <c r="BS1254" s="1392" t="n"/>
      <c r="BT1254" s="1392" t="n"/>
      <c r="BU1254" s="1392" t="n"/>
      <c r="BV1254" s="1392" t="n"/>
      <c r="BW1254" s="1392" t="n"/>
      <c r="BX1254" s="1392" t="n"/>
      <c r="BY1254" s="1392" t="n"/>
      <c r="BZ1254" s="1392" t="n"/>
      <c r="CA1254" s="1392" t="n"/>
      <c r="CB1254" s="1392" t="n"/>
      <c r="CC1254" s="1392" t="n"/>
      <c r="CD1254" s="1392" t="n"/>
      <c r="CE1254" s="1392" t="n"/>
      <c r="CF1254" s="1392" t="n"/>
      <c r="CG1254" s="1392" t="n"/>
      <c r="CH1254" s="1392" t="n"/>
      <c r="CI1254" s="1392" t="n"/>
      <c r="CJ1254" s="1392" t="n"/>
      <c r="CK1254" s="1392" t="n"/>
      <c r="CL1254" s="1392" t="n"/>
    </row>
    <row r="1255">
      <c r="A1255" s="5" t="inlineStr">
        <is>
          <t>.</t>
        </is>
      </c>
      <c r="B1255" s="5" t="inlineStr">
        <is>
          <t>.</t>
        </is>
      </c>
      <c r="C1255" s="1378">
        <f>IF(raw[[#This Row],[city]]="","-",IF(raw[[#This Row],[city]]="TODAY","-",C1254+1))</f>
        <v/>
      </c>
      <c r="D1255" s="1393" t="inlineStr">
        <is>
          <t>Montreal</t>
        </is>
      </c>
      <c r="E1255" s="1394" t="n">
        <v>40940</v>
      </c>
      <c r="F1255" s="1394" t="n">
        <v>40954</v>
      </c>
      <c r="G1255" s="1393" t="n">
        <v>1</v>
      </c>
      <c r="H1255" s="1393" t="inlineStr">
        <is>
          <t>Lasalle</t>
        </is>
      </c>
      <c r="I1255" s="1393" t="inlineStr">
        <is>
          <t>-</t>
        </is>
      </c>
      <c r="J1255" s="1393" t="inlineStr">
        <is>
          <t>-</t>
        </is>
      </c>
      <c r="K1255" s="1395">
        <f>IF(raw[[#This Row],[city]]&lt;&gt;"",_xlfn.XLOOKUP($D1255,ccc[city],ccc[prov],"-"),"-")</f>
        <v/>
      </c>
      <c r="L1255" s="1395">
        <f>IF(raw[[#This Row],[city]]&lt;&gt;"",_xlfn.XLOOKUP($D1255,ccc[city],ccc[ctry],"-"),"-")</f>
        <v/>
      </c>
      <c r="M1255" s="1395">
        <f>IF(raw[[#This Row],[city]]&lt;&gt;"",_xlfn.XLOOKUP($D1255,ccc[city],ccc[cont],"-"),"-")</f>
        <v/>
      </c>
      <c r="N1255" s="1396">
        <f>IF(raw[[#This Row],[city]]="","-",IF(raw[[#This Row],[cont]]="B",raw[[#This Row],[cont]],"W"))</f>
        <v/>
      </c>
      <c r="O1255" s="1397">
        <f>IF(raw[[#This Row],[out]]=0,0,IF(raw[[#This Row],[out]]=raw[[#This Row],[in]],0.01,raw[[#This Row],[out]]-raw[[#This Row],[in]]))</f>
        <v/>
      </c>
      <c r="P1255" s="1397">
        <f>IF(raw[[#This Row],[in]]=0,0,MONTH(raw[[#This Row],[in]]))</f>
        <v/>
      </c>
      <c r="Q1255" s="1397">
        <f>IF(raw[[#This Row],[in]]=0,0,YEAR(raw[[#This Row],[in]]))</f>
        <v/>
      </c>
      <c r="R1255" s="1397">
        <f>INT(raw[[#This Row],[yr]]/10)*10</f>
        <v/>
      </c>
      <c r="S1255" s="1395">
        <f>IF(raw[[#This Row],[city]]="","-",IF(raw[[#This Row],[city]]&lt;&gt;_xlfn.XLOOKUP(raw[[#This Row],[home]],homes[home],homes[city],"-"),1,0))</f>
        <v/>
      </c>
      <c r="T1255" s="1398" t="inlineStr">
        <is>
          <t>.</t>
        </is>
      </c>
      <c r="U1255" s="1399">
        <f>IF(raw[[#This Row],[wb]]="w",raw[[#This Row],[stay]]+U1254,U1254)</f>
        <v/>
      </c>
      <c r="V1255" s="1400">
        <f>IF(raw[[#This Row],[out]]=0,V1254,(raw[[#This Row],[out]]-E$5))</f>
        <v/>
      </c>
      <c r="W1255" s="1401">
        <f>U1255/V1255</f>
        <v/>
      </c>
      <c r="X1255" s="1392" t="n"/>
      <c r="Y1255" s="1392" t="n"/>
      <c r="Z1255" s="1392" t="n"/>
      <c r="AA1255" s="1392" t="n"/>
      <c r="AB1255" s="1392" t="n"/>
      <c r="AC1255" s="1392" t="n"/>
      <c r="AD1255" s="1392" t="n"/>
      <c r="AE1255" s="1392" t="n"/>
      <c r="AF1255" s="1392" t="n"/>
      <c r="AG1255" s="1392" t="n"/>
      <c r="AH1255" s="1392" t="n"/>
      <c r="AI1255" s="1392" t="n"/>
      <c r="AJ1255" s="1392" t="n"/>
      <c r="AK1255" s="1392" t="n"/>
      <c r="AL1255" s="1392" t="n"/>
      <c r="AM1255" s="1392" t="n"/>
      <c r="AN1255" s="1392" t="n"/>
      <c r="AO1255" s="1392" t="n"/>
      <c r="AP1255" s="1392" t="n"/>
      <c r="AQ1255" s="1392" t="n"/>
      <c r="AR1255" s="1422" t="n"/>
      <c r="AS1255" s="1422" t="n"/>
      <c r="AT1255" s="1392" t="n"/>
      <c r="AU1255" s="1392" t="n"/>
      <c r="AV1255" s="1392" t="n"/>
      <c r="AW1255" s="1392" t="n"/>
      <c r="AX1255" s="1392" t="n"/>
      <c r="AY1255" s="1392" t="n"/>
      <c r="AZ1255" s="1392" t="n"/>
      <c r="BA1255" s="1422" t="n"/>
      <c r="BB1255" s="1422" t="n"/>
      <c r="BC1255" s="1392" t="n"/>
      <c r="BD1255" s="1392" t="n"/>
      <c r="BE1255" s="1392" t="n"/>
      <c r="BF1255" s="1392" t="n"/>
      <c r="BG1255" s="1392" t="n"/>
      <c r="BH1255" s="1392" t="n"/>
      <c r="BI1255" s="1392" t="n"/>
      <c r="BJ1255" s="1392" t="n"/>
      <c r="BK1255" s="1392" t="n"/>
      <c r="BL1255" s="1392" t="n"/>
      <c r="BM1255" s="1392" t="n"/>
      <c r="BN1255" s="1392" t="n"/>
      <c r="BO1255" s="1392" t="n"/>
      <c r="BP1255" s="1392" t="n"/>
      <c r="BQ1255" s="1392" t="n"/>
      <c r="BR1255" s="1392" t="n"/>
      <c r="BS1255" s="1392" t="n"/>
      <c r="BT1255" s="1392" t="n"/>
      <c r="BU1255" s="1392" t="n"/>
      <c r="BV1255" s="1392" t="n"/>
      <c r="BW1255" s="1392" t="n"/>
      <c r="BX1255" s="1392" t="n"/>
      <c r="BY1255" s="1392" t="n"/>
      <c r="BZ1255" s="1392" t="n"/>
      <c r="CA1255" s="1392" t="n"/>
      <c r="CB1255" s="1392" t="n"/>
      <c r="CC1255" s="1392" t="n"/>
      <c r="CD1255" s="1392" t="n"/>
      <c r="CE1255" s="1392" t="n"/>
      <c r="CF1255" s="1392" t="n"/>
      <c r="CG1255" s="1392" t="n"/>
      <c r="CH1255" s="1392" t="n"/>
      <c r="CI1255" s="1392" t="n"/>
      <c r="CJ1255" s="1392" t="n"/>
      <c r="CK1255" s="1392" t="n"/>
      <c r="CL1255" s="1392" t="n"/>
    </row>
    <row r="1256">
      <c r="A1256" s="5" t="inlineStr">
        <is>
          <t>.</t>
        </is>
      </c>
      <c r="B1256" s="5" t="inlineStr">
        <is>
          <t>.</t>
        </is>
      </c>
      <c r="C1256" s="1378">
        <f>IF(raw[[#This Row],[city]]="","-",IF(raw[[#This Row],[city]]="TODAY","-",C1255+1))</f>
        <v/>
      </c>
      <c r="D1256" s="1393" t="inlineStr">
        <is>
          <t>Orlando</t>
        </is>
      </c>
      <c r="E1256" s="1394" t="n">
        <v>40954</v>
      </c>
      <c r="F1256" s="1394" t="n">
        <v>40964</v>
      </c>
      <c r="G1256" s="1393" t="n">
        <v>1</v>
      </c>
      <c r="H1256" s="1393" t="inlineStr">
        <is>
          <t>Lasalle</t>
        </is>
      </c>
      <c r="I1256" s="1393" t="inlineStr">
        <is>
          <t>-</t>
        </is>
      </c>
      <c r="J1256" s="1393" t="inlineStr">
        <is>
          <t>-</t>
        </is>
      </c>
      <c r="K1256" s="1395">
        <f>IF(raw[[#This Row],[city]]&lt;&gt;"",_xlfn.XLOOKUP($D1256,ccc[city],ccc[prov],"-"),"-")</f>
        <v/>
      </c>
      <c r="L1256" s="1395">
        <f>IF(raw[[#This Row],[city]]&lt;&gt;"",_xlfn.XLOOKUP($D1256,ccc[city],ccc[ctry],"-"),"-")</f>
        <v/>
      </c>
      <c r="M1256" s="1395">
        <f>IF(raw[[#This Row],[city]]&lt;&gt;"",_xlfn.XLOOKUP($D1256,ccc[city],ccc[cont],"-"),"-")</f>
        <v/>
      </c>
      <c r="N1256" s="1396">
        <f>IF(raw[[#This Row],[city]]="","-",IF(raw[[#This Row],[cont]]="B",raw[[#This Row],[cont]],"W"))</f>
        <v/>
      </c>
      <c r="O1256" s="1397">
        <f>IF(raw[[#This Row],[out]]=0,0,IF(raw[[#This Row],[out]]=raw[[#This Row],[in]],0.01,raw[[#This Row],[out]]-raw[[#This Row],[in]]))</f>
        <v/>
      </c>
      <c r="P1256" s="1397">
        <f>IF(raw[[#This Row],[in]]=0,0,MONTH(raw[[#This Row],[in]]))</f>
        <v/>
      </c>
      <c r="Q1256" s="1397">
        <f>IF(raw[[#This Row],[in]]=0,0,YEAR(raw[[#This Row],[in]]))</f>
        <v/>
      </c>
      <c r="R1256" s="1397">
        <f>INT(raw[[#This Row],[yr]]/10)*10</f>
        <v/>
      </c>
      <c r="S1256" s="1395">
        <f>IF(raw[[#This Row],[city]]="","-",IF(raw[[#This Row],[city]]&lt;&gt;_xlfn.XLOOKUP(raw[[#This Row],[home]],homes[home],homes[city],"-"),1,0))</f>
        <v/>
      </c>
      <c r="T1256" s="1398" t="inlineStr">
        <is>
          <t>.</t>
        </is>
      </c>
      <c r="U1256" s="1399">
        <f>IF(raw[[#This Row],[wb]]="w",raw[[#This Row],[stay]]+U1255,U1255)</f>
        <v/>
      </c>
      <c r="V1256" s="1400">
        <f>IF(raw[[#This Row],[out]]=0,V1255,(raw[[#This Row],[out]]-E$5))</f>
        <v/>
      </c>
      <c r="W1256" s="1401">
        <f>U1256/V1256</f>
        <v/>
      </c>
      <c r="X1256" s="1392" t="n"/>
      <c r="Y1256" s="1392" t="n"/>
      <c r="Z1256" s="1392" t="n"/>
      <c r="AA1256" s="1392" t="n"/>
      <c r="AB1256" s="1392" t="n"/>
      <c r="AC1256" s="1392" t="n"/>
      <c r="AD1256" s="1392" t="n"/>
      <c r="AE1256" s="1392" t="n"/>
      <c r="AF1256" s="1392" t="n"/>
      <c r="AG1256" s="1392" t="n"/>
      <c r="AH1256" s="1392" t="n"/>
      <c r="AI1256" s="1392" t="n"/>
      <c r="AJ1256" s="1392" t="n"/>
      <c r="AK1256" s="1392" t="n"/>
      <c r="AL1256" s="1392" t="n"/>
      <c r="AM1256" s="1392" t="n"/>
      <c r="AN1256" s="1392" t="n"/>
      <c r="AO1256" s="1392" t="n"/>
      <c r="AP1256" s="1392" t="n"/>
      <c r="AQ1256" s="1392" t="n"/>
      <c r="AR1256" s="1422" t="n"/>
      <c r="AS1256" s="1422" t="n"/>
      <c r="AT1256" s="1392" t="n"/>
      <c r="AU1256" s="1392" t="n"/>
      <c r="AV1256" s="1392" t="n"/>
      <c r="AW1256" s="1392" t="n"/>
      <c r="AX1256" s="1392" t="n"/>
      <c r="AY1256" s="1392" t="n"/>
      <c r="AZ1256" s="1392" t="n"/>
      <c r="BA1256" s="1422" t="n"/>
      <c r="BB1256" s="1422" t="n"/>
      <c r="BC1256" s="1392" t="n"/>
      <c r="BD1256" s="1392" t="n"/>
      <c r="BE1256" s="1392" t="n"/>
      <c r="BF1256" s="1392" t="n"/>
      <c r="BG1256" s="1392" t="n"/>
      <c r="BH1256" s="1392" t="n"/>
      <c r="BI1256" s="1392" t="n"/>
      <c r="BJ1256" s="1392" t="n"/>
      <c r="BK1256" s="1392" t="n"/>
      <c r="BL1256" s="1392" t="n"/>
      <c r="BM1256" s="1392" t="n"/>
      <c r="BN1256" s="1392" t="n"/>
      <c r="BO1256" s="1392" t="n"/>
      <c r="BP1256" s="1392" t="n"/>
      <c r="BQ1256" s="1392" t="n"/>
      <c r="BR1256" s="1392" t="n"/>
      <c r="BS1256" s="1392" t="n"/>
      <c r="BT1256" s="1392" t="n"/>
      <c r="BU1256" s="1392" t="n"/>
      <c r="BV1256" s="1392" t="n"/>
      <c r="BW1256" s="1392" t="n"/>
      <c r="BX1256" s="1392" t="n"/>
      <c r="BY1256" s="1392" t="n"/>
      <c r="BZ1256" s="1392" t="n"/>
      <c r="CA1256" s="1392" t="n"/>
      <c r="CB1256" s="1392" t="n"/>
      <c r="CC1256" s="1392" t="n"/>
      <c r="CD1256" s="1392" t="n"/>
      <c r="CE1256" s="1392" t="n"/>
      <c r="CF1256" s="1392" t="n"/>
      <c r="CG1256" s="1392" t="n"/>
      <c r="CH1256" s="1392" t="n"/>
      <c r="CI1256" s="1392" t="n"/>
      <c r="CJ1256" s="1392" t="n"/>
      <c r="CK1256" s="1392" t="n"/>
      <c r="CL1256" s="1392" t="n"/>
    </row>
    <row r="1257">
      <c r="A1257" s="5" t="inlineStr">
        <is>
          <t>.</t>
        </is>
      </c>
      <c r="B1257" s="5" t="inlineStr">
        <is>
          <t>.</t>
        </is>
      </c>
      <c r="C1257" s="1378">
        <f>IF(raw[[#This Row],[city]]="","-",IF(raw[[#This Row],[city]]="TODAY","-",C1256+1))</f>
        <v/>
      </c>
      <c r="D1257" s="1393" t="inlineStr">
        <is>
          <t>AIR</t>
        </is>
      </c>
      <c r="E1257" s="1394" t="n">
        <v>40964</v>
      </c>
      <c r="F1257" s="1394" t="n">
        <v>40965</v>
      </c>
      <c r="G1257" s="1393" t="inlineStr">
        <is>
          <t>x</t>
        </is>
      </c>
      <c r="H1257" s="1393" t="inlineStr">
        <is>
          <t>Lasalle</t>
        </is>
      </c>
      <c r="I1257" s="1393" t="inlineStr">
        <is>
          <t>-</t>
        </is>
      </c>
      <c r="J1257" s="1393" t="inlineStr">
        <is>
          <t>-</t>
        </is>
      </c>
      <c r="K1257" s="1395">
        <f>IF(raw[[#This Row],[city]]&lt;&gt;"",_xlfn.XLOOKUP($D1257,ccc[city],ccc[prov],"-"),"-")</f>
        <v/>
      </c>
      <c r="L1257" s="1395">
        <f>IF(raw[[#This Row],[city]]&lt;&gt;"",_xlfn.XLOOKUP($D1257,ccc[city],ccc[ctry],"-"),"-")</f>
        <v/>
      </c>
      <c r="M1257" s="1395">
        <f>IF(raw[[#This Row],[city]]&lt;&gt;"",_xlfn.XLOOKUP($D1257,ccc[city],ccc[cont],"-"),"-")</f>
        <v/>
      </c>
      <c r="N1257" s="1396">
        <f>IF(raw[[#This Row],[city]]="","-",IF(raw[[#This Row],[cont]]="B",raw[[#This Row],[cont]],"W"))</f>
        <v/>
      </c>
      <c r="O1257" s="1397">
        <f>IF(raw[[#This Row],[out]]=0,0,IF(raw[[#This Row],[out]]=raw[[#This Row],[in]],0.01,raw[[#This Row],[out]]-raw[[#This Row],[in]]))</f>
        <v/>
      </c>
      <c r="P1257" s="1397">
        <f>IF(raw[[#This Row],[in]]=0,0,MONTH(raw[[#This Row],[in]]))</f>
        <v/>
      </c>
      <c r="Q1257" s="1397">
        <f>IF(raw[[#This Row],[in]]=0,0,YEAR(raw[[#This Row],[in]]))</f>
        <v/>
      </c>
      <c r="R1257" s="1397">
        <f>INT(raw[[#This Row],[yr]]/10)*10</f>
        <v/>
      </c>
      <c r="S1257" s="1395">
        <f>IF(raw[[#This Row],[city]]="","-",IF(raw[[#This Row],[city]]&lt;&gt;_xlfn.XLOOKUP(raw[[#This Row],[home]],homes[home],homes[city],"-"),1,0))</f>
        <v/>
      </c>
      <c r="T1257" s="1398" t="inlineStr">
        <is>
          <t>.</t>
        </is>
      </c>
      <c r="U1257" s="1399">
        <f>IF(raw[[#This Row],[wb]]="w",raw[[#This Row],[stay]]+U1256,U1256)</f>
        <v/>
      </c>
      <c r="V1257" s="1400">
        <f>IF(raw[[#This Row],[out]]=0,V1256,(raw[[#This Row],[out]]-E$5))</f>
        <v/>
      </c>
      <c r="W1257" s="1401">
        <f>U1257/V1257</f>
        <v/>
      </c>
      <c r="X1257" s="1392" t="n"/>
      <c r="Y1257" s="1392" t="n"/>
      <c r="Z1257" s="1392" t="n"/>
      <c r="AA1257" s="1392" t="n"/>
      <c r="AB1257" s="1392" t="n"/>
      <c r="AC1257" s="1392" t="n"/>
      <c r="AD1257" s="1392" t="n"/>
      <c r="AE1257" s="1392" t="n"/>
      <c r="AF1257" s="1392" t="n"/>
      <c r="AG1257" s="1392" t="n"/>
      <c r="AH1257" s="1392" t="n"/>
      <c r="AI1257" s="1392" t="n"/>
      <c r="AJ1257" s="1392" t="n"/>
      <c r="AK1257" s="1392" t="n"/>
      <c r="AL1257" s="1392" t="n"/>
      <c r="AM1257" s="1392" t="n"/>
      <c r="AN1257" s="1392" t="n"/>
      <c r="AO1257" s="1392" t="n"/>
      <c r="AP1257" s="1392" t="n"/>
      <c r="AQ1257" s="1392" t="n"/>
      <c r="AR1257" s="1422" t="n"/>
      <c r="AS1257" s="1422" t="n"/>
      <c r="AT1257" s="1392" t="n"/>
      <c r="AU1257" s="1392" t="n"/>
      <c r="AV1257" s="1392" t="n"/>
      <c r="AW1257" s="1392" t="n"/>
      <c r="AX1257" s="1392" t="n"/>
      <c r="AY1257" s="1392" t="n"/>
      <c r="AZ1257" s="1392" t="n"/>
      <c r="BA1257" s="1422" t="n"/>
      <c r="BB1257" s="1422" t="n"/>
      <c r="BC1257" s="1392" t="n"/>
      <c r="BD1257" s="1392" t="n"/>
      <c r="BE1257" s="1392" t="n"/>
      <c r="BF1257" s="1392" t="n"/>
      <c r="BG1257" s="1392" t="n"/>
      <c r="BH1257" s="1392" t="n"/>
      <c r="BI1257" s="1392" t="n"/>
      <c r="BJ1257" s="1392" t="n"/>
      <c r="BK1257" s="1392" t="n"/>
      <c r="BL1257" s="1392" t="n"/>
      <c r="BM1257" s="1392" t="n"/>
      <c r="BN1257" s="1392" t="n"/>
      <c r="BO1257" s="1392" t="n"/>
      <c r="BP1257" s="1392" t="n"/>
      <c r="BQ1257" s="1392" t="n"/>
      <c r="BR1257" s="1392" t="n"/>
      <c r="BS1257" s="1392" t="n"/>
      <c r="BT1257" s="1392" t="n"/>
      <c r="BU1257" s="1392" t="n"/>
      <c r="BV1257" s="1392" t="n"/>
      <c r="BW1257" s="1392" t="n"/>
      <c r="BX1257" s="1392" t="n"/>
      <c r="BY1257" s="1392" t="n"/>
      <c r="BZ1257" s="1392" t="n"/>
      <c r="CA1257" s="1392" t="n"/>
      <c r="CB1257" s="1392" t="n"/>
      <c r="CC1257" s="1392" t="n"/>
      <c r="CD1257" s="1392" t="n"/>
      <c r="CE1257" s="1392" t="n"/>
      <c r="CF1257" s="1392" t="n"/>
      <c r="CG1257" s="1392" t="n"/>
      <c r="CH1257" s="1392" t="n"/>
      <c r="CI1257" s="1392" t="n"/>
      <c r="CJ1257" s="1392" t="n"/>
      <c r="CK1257" s="1392" t="n"/>
      <c r="CL1257" s="1392" t="n"/>
    </row>
    <row r="1258">
      <c r="A1258" s="5" t="inlineStr">
        <is>
          <t>.</t>
        </is>
      </c>
      <c r="B1258" s="5" t="inlineStr">
        <is>
          <t>.</t>
        </is>
      </c>
      <c r="C1258" s="1378">
        <f>IF(raw[[#This Row],[city]]="","-",IF(raw[[#This Row],[city]]="TODAY","-",C1257+1))</f>
        <v/>
      </c>
      <c r="D1258" s="1393" t="inlineStr">
        <is>
          <t>Montreal</t>
        </is>
      </c>
      <c r="E1258" s="1394" t="n">
        <v>40965</v>
      </c>
      <c r="F1258" s="1394" t="n">
        <v>40969</v>
      </c>
      <c r="G1258" s="1393" t="inlineStr">
        <is>
          <t>-</t>
        </is>
      </c>
      <c r="H1258" s="1393" t="inlineStr">
        <is>
          <t>Lasalle</t>
        </is>
      </c>
      <c r="I1258" s="1393" t="inlineStr">
        <is>
          <t>-</t>
        </is>
      </c>
      <c r="J1258" s="1393" t="inlineStr">
        <is>
          <t>-</t>
        </is>
      </c>
      <c r="K1258" s="1395">
        <f>IF(raw[[#This Row],[city]]&lt;&gt;"",_xlfn.XLOOKUP($D1258,ccc[city],ccc[prov],"-"),"-")</f>
        <v/>
      </c>
      <c r="L1258" s="1395">
        <f>IF(raw[[#This Row],[city]]&lt;&gt;"",_xlfn.XLOOKUP($D1258,ccc[city],ccc[ctry],"-"),"-")</f>
        <v/>
      </c>
      <c r="M1258" s="1395">
        <f>IF(raw[[#This Row],[city]]&lt;&gt;"",_xlfn.XLOOKUP($D1258,ccc[city],ccc[cont],"-"),"-")</f>
        <v/>
      </c>
      <c r="N1258" s="1396">
        <f>IF(raw[[#This Row],[city]]="","-",IF(raw[[#This Row],[cont]]="B",raw[[#This Row],[cont]],"W"))</f>
        <v/>
      </c>
      <c r="O1258" s="1397">
        <f>IF(raw[[#This Row],[out]]=0,0,IF(raw[[#This Row],[out]]=raw[[#This Row],[in]],0.01,raw[[#This Row],[out]]-raw[[#This Row],[in]]))</f>
        <v/>
      </c>
      <c r="P1258" s="1397">
        <f>IF(raw[[#This Row],[in]]=0,0,MONTH(raw[[#This Row],[in]]))</f>
        <v/>
      </c>
      <c r="Q1258" s="1397">
        <f>IF(raw[[#This Row],[in]]=0,0,YEAR(raw[[#This Row],[in]]))</f>
        <v/>
      </c>
      <c r="R1258" s="1397">
        <f>INT(raw[[#This Row],[yr]]/10)*10</f>
        <v/>
      </c>
      <c r="S1258" s="1395">
        <f>IF(raw[[#This Row],[city]]="","-",IF(raw[[#This Row],[city]]&lt;&gt;_xlfn.XLOOKUP(raw[[#This Row],[home]],homes[home],homes[city],"-"),1,0))</f>
        <v/>
      </c>
      <c r="T1258" s="1398" t="inlineStr">
        <is>
          <t>.</t>
        </is>
      </c>
      <c r="U1258" s="1399">
        <f>IF(raw[[#This Row],[wb]]="w",raw[[#This Row],[stay]]+U1257,U1257)</f>
        <v/>
      </c>
      <c r="V1258" s="1400">
        <f>IF(raw[[#This Row],[out]]=0,V1257,(raw[[#This Row],[out]]-E$5))</f>
        <v/>
      </c>
      <c r="W1258" s="1401">
        <f>U1258/V1258</f>
        <v/>
      </c>
      <c r="X1258" s="1392" t="n"/>
      <c r="Y1258" s="1392" t="n"/>
      <c r="Z1258" s="1392" t="n"/>
      <c r="AA1258" s="1392" t="n"/>
      <c r="AB1258" s="1392" t="n"/>
      <c r="AC1258" s="1392" t="n"/>
      <c r="AD1258" s="1392" t="n"/>
      <c r="AE1258" s="1392" t="n"/>
      <c r="AF1258" s="1392" t="n"/>
      <c r="AG1258" s="1392" t="n"/>
      <c r="AH1258" s="1392" t="n"/>
      <c r="AI1258" s="1392" t="n"/>
      <c r="AJ1258" s="1392" t="n"/>
      <c r="AK1258" s="1392" t="n"/>
      <c r="AL1258" s="1392" t="n"/>
      <c r="AM1258" s="1392" t="n"/>
      <c r="AN1258" s="1392" t="n"/>
      <c r="AO1258" s="1392" t="n"/>
      <c r="AP1258" s="1392" t="n"/>
      <c r="AQ1258" s="1392" t="n"/>
      <c r="AR1258" s="1422" t="n"/>
      <c r="AS1258" s="1422" t="n"/>
      <c r="AT1258" s="1392" t="n"/>
      <c r="AU1258" s="1392" t="n"/>
      <c r="AV1258" s="1392" t="n"/>
      <c r="AW1258" s="1392" t="n"/>
      <c r="AX1258" s="1392" t="n"/>
      <c r="AY1258" s="1392" t="n"/>
      <c r="AZ1258" s="1392" t="n"/>
      <c r="BA1258" s="1422" t="n"/>
      <c r="BB1258" s="1422" t="n"/>
      <c r="BC1258" s="1392" t="n"/>
      <c r="BD1258" s="1392" t="n"/>
      <c r="BE1258" s="1392" t="n"/>
      <c r="BF1258" s="1392" t="n"/>
      <c r="BG1258" s="1392" t="n"/>
      <c r="BH1258" s="1392" t="n"/>
      <c r="BI1258" s="1392" t="n"/>
      <c r="BJ1258" s="1392" t="n"/>
      <c r="BK1258" s="1392" t="n"/>
      <c r="BL1258" s="1392" t="n"/>
      <c r="BM1258" s="1392" t="n"/>
      <c r="BN1258" s="1392" t="n"/>
      <c r="BO1258" s="1392" t="n"/>
      <c r="BP1258" s="1392" t="n"/>
      <c r="BQ1258" s="1392" t="n"/>
      <c r="BR1258" s="1392" t="n"/>
      <c r="BS1258" s="1392" t="n"/>
      <c r="BT1258" s="1392" t="n"/>
      <c r="BU1258" s="1392" t="n"/>
      <c r="BV1258" s="1392" t="n"/>
      <c r="BW1258" s="1392" t="n"/>
      <c r="BX1258" s="1392" t="n"/>
      <c r="BY1258" s="1392" t="n"/>
      <c r="BZ1258" s="1392" t="n"/>
      <c r="CA1258" s="1392" t="n"/>
      <c r="CB1258" s="1392" t="n"/>
      <c r="CC1258" s="1392" t="n"/>
      <c r="CD1258" s="1392" t="n"/>
      <c r="CE1258" s="1392" t="n"/>
      <c r="CF1258" s="1392" t="n"/>
      <c r="CG1258" s="1392" t="n"/>
      <c r="CH1258" s="1392" t="n"/>
      <c r="CI1258" s="1392" t="n"/>
      <c r="CJ1258" s="1392" t="n"/>
      <c r="CK1258" s="1392" t="n"/>
      <c r="CL1258" s="1392" t="n"/>
    </row>
    <row r="1259">
      <c r="A1259" s="5" t="inlineStr">
        <is>
          <t>.</t>
        </is>
      </c>
      <c r="B1259" s="5" t="inlineStr">
        <is>
          <t>.</t>
        </is>
      </c>
      <c r="C1259" s="1378">
        <f>IF(raw[[#This Row],[city]]="","-",IF(raw[[#This Row],[city]]="TODAY","-",C1258+1))</f>
        <v/>
      </c>
      <c r="D1259" s="1393" t="inlineStr">
        <is>
          <t>Montreal</t>
        </is>
      </c>
      <c r="E1259" s="1394" t="n">
        <v>40969</v>
      </c>
      <c r="F1259" s="1394" t="n">
        <v>41000</v>
      </c>
      <c r="G1259" s="1393" t="inlineStr">
        <is>
          <t>-</t>
        </is>
      </c>
      <c r="H1259" s="1393" t="inlineStr">
        <is>
          <t>Lasalle</t>
        </is>
      </c>
      <c r="I1259" s="1393" t="inlineStr">
        <is>
          <t>-</t>
        </is>
      </c>
      <c r="J1259" s="1393" t="inlineStr">
        <is>
          <t>-</t>
        </is>
      </c>
      <c r="K1259" s="1395">
        <f>IF(raw[[#This Row],[city]]&lt;&gt;"",_xlfn.XLOOKUP($D1259,ccc[city],ccc[prov],"-"),"-")</f>
        <v/>
      </c>
      <c r="L1259" s="1395">
        <f>IF(raw[[#This Row],[city]]&lt;&gt;"",_xlfn.XLOOKUP($D1259,ccc[city],ccc[ctry],"-"),"-")</f>
        <v/>
      </c>
      <c r="M1259" s="1395">
        <f>IF(raw[[#This Row],[city]]&lt;&gt;"",_xlfn.XLOOKUP($D1259,ccc[city],ccc[cont],"-"),"-")</f>
        <v/>
      </c>
      <c r="N1259" s="1396">
        <f>IF(raw[[#This Row],[city]]="","-",IF(raw[[#This Row],[cont]]="B",raw[[#This Row],[cont]],"W"))</f>
        <v/>
      </c>
      <c r="O1259" s="1397">
        <f>IF(raw[[#This Row],[out]]=0,0,IF(raw[[#This Row],[out]]=raw[[#This Row],[in]],0.01,raw[[#This Row],[out]]-raw[[#This Row],[in]]))</f>
        <v/>
      </c>
      <c r="P1259" s="1397">
        <f>IF(raw[[#This Row],[in]]=0,0,MONTH(raw[[#This Row],[in]]))</f>
        <v/>
      </c>
      <c r="Q1259" s="1397">
        <f>IF(raw[[#This Row],[in]]=0,0,YEAR(raw[[#This Row],[in]]))</f>
        <v/>
      </c>
      <c r="R1259" s="1397">
        <f>INT(raw[[#This Row],[yr]]/10)*10</f>
        <v/>
      </c>
      <c r="S1259" s="1395">
        <f>IF(raw[[#This Row],[city]]="","-",IF(raw[[#This Row],[city]]&lt;&gt;_xlfn.XLOOKUP(raw[[#This Row],[home]],homes[home],homes[city],"-"),1,0))</f>
        <v/>
      </c>
      <c r="T1259" s="1398" t="inlineStr">
        <is>
          <t>.</t>
        </is>
      </c>
      <c r="U1259" s="1399">
        <f>IF(raw[[#This Row],[wb]]="w",raw[[#This Row],[stay]]+U1258,U1258)</f>
        <v/>
      </c>
      <c r="V1259" s="1400">
        <f>IF(raw[[#This Row],[out]]=0,V1258,(raw[[#This Row],[out]]-E$5))</f>
        <v/>
      </c>
      <c r="W1259" s="1401">
        <f>U1259/V1259</f>
        <v/>
      </c>
      <c r="X1259" s="1392" t="n"/>
      <c r="Y1259" s="1392" t="n"/>
      <c r="Z1259" s="1392" t="n"/>
      <c r="AA1259" s="1392" t="n"/>
      <c r="AB1259" s="1392" t="n"/>
      <c r="AC1259" s="1392" t="n"/>
      <c r="AD1259" s="1392" t="n"/>
      <c r="AE1259" s="1392" t="n"/>
      <c r="AF1259" s="1392" t="n"/>
      <c r="AG1259" s="1392" t="n"/>
      <c r="AH1259" s="1392" t="n"/>
      <c r="AI1259" s="1392" t="n"/>
      <c r="AJ1259" s="1392" t="n"/>
      <c r="AK1259" s="1392" t="n"/>
      <c r="AL1259" s="1392" t="n"/>
      <c r="AM1259" s="1392" t="n"/>
      <c r="AN1259" s="1392" t="n"/>
      <c r="AO1259" s="1392" t="n"/>
      <c r="AP1259" s="1392" t="n"/>
      <c r="AQ1259" s="1392" t="n"/>
      <c r="AR1259" s="1422" t="n"/>
      <c r="AS1259" s="1422" t="n"/>
      <c r="AT1259" s="1392" t="n"/>
      <c r="AU1259" s="1392" t="n"/>
      <c r="AV1259" s="1392" t="n"/>
      <c r="AW1259" s="1392" t="n"/>
      <c r="AX1259" s="1392" t="n"/>
      <c r="AY1259" s="1392" t="n"/>
      <c r="AZ1259" s="1392" t="n"/>
      <c r="BA1259" s="1422" t="n"/>
      <c r="BB1259" s="1422" t="n"/>
      <c r="BC1259" s="1392" t="n"/>
      <c r="BD1259" s="1392" t="n"/>
      <c r="BE1259" s="1392" t="n"/>
      <c r="BF1259" s="1392" t="n"/>
      <c r="BG1259" s="1392" t="n"/>
      <c r="BH1259" s="1392" t="n"/>
      <c r="BI1259" s="1392" t="n"/>
      <c r="BJ1259" s="1392" t="n"/>
      <c r="BK1259" s="1392" t="n"/>
      <c r="BL1259" s="1392" t="n"/>
      <c r="BM1259" s="1392" t="n"/>
      <c r="BN1259" s="1392" t="n"/>
      <c r="BO1259" s="1392" t="n"/>
      <c r="BP1259" s="1392" t="n"/>
      <c r="BQ1259" s="1392" t="n"/>
      <c r="BR1259" s="1392" t="n"/>
      <c r="BS1259" s="1392" t="n"/>
      <c r="BT1259" s="1392" t="n"/>
      <c r="BU1259" s="1392" t="n"/>
      <c r="BV1259" s="1392" t="n"/>
      <c r="BW1259" s="1392" t="n"/>
      <c r="BX1259" s="1392" t="n"/>
      <c r="BY1259" s="1392" t="n"/>
      <c r="BZ1259" s="1392" t="n"/>
      <c r="CA1259" s="1392" t="n"/>
      <c r="CB1259" s="1392" t="n"/>
      <c r="CC1259" s="1392" t="n"/>
      <c r="CD1259" s="1392" t="n"/>
      <c r="CE1259" s="1392" t="n"/>
      <c r="CF1259" s="1392" t="n"/>
      <c r="CG1259" s="1392" t="n"/>
      <c r="CH1259" s="1392" t="n"/>
      <c r="CI1259" s="1392" t="n"/>
      <c r="CJ1259" s="1392" t="n"/>
      <c r="CK1259" s="1392" t="n"/>
      <c r="CL1259" s="1392" t="n"/>
    </row>
    <row r="1260">
      <c r="A1260" s="5" t="inlineStr">
        <is>
          <t>.</t>
        </is>
      </c>
      <c r="B1260" s="5" t="inlineStr">
        <is>
          <t>.</t>
        </is>
      </c>
      <c r="C1260" s="1378">
        <f>IF(raw[[#This Row],[city]]="","-",IF(raw[[#This Row],[city]]="TODAY","-",C1259+1))</f>
        <v/>
      </c>
      <c r="D1260" s="1393" t="inlineStr">
        <is>
          <t>Montreal</t>
        </is>
      </c>
      <c r="E1260" s="1394" t="n">
        <v>41000</v>
      </c>
      <c r="F1260" s="1394" t="n">
        <v>41030</v>
      </c>
      <c r="G1260" s="1393" t="inlineStr">
        <is>
          <t>-</t>
        </is>
      </c>
      <c r="H1260" s="1393" t="inlineStr">
        <is>
          <t>Lasalle</t>
        </is>
      </c>
      <c r="I1260" s="1393" t="inlineStr">
        <is>
          <t>-</t>
        </is>
      </c>
      <c r="J1260" s="1393" t="inlineStr">
        <is>
          <t>-</t>
        </is>
      </c>
      <c r="K1260" s="1395">
        <f>IF(raw[[#This Row],[city]]&lt;&gt;"",_xlfn.XLOOKUP($D1260,ccc[city],ccc[prov],"-"),"-")</f>
        <v/>
      </c>
      <c r="L1260" s="1395">
        <f>IF(raw[[#This Row],[city]]&lt;&gt;"",_xlfn.XLOOKUP($D1260,ccc[city],ccc[ctry],"-"),"-")</f>
        <v/>
      </c>
      <c r="M1260" s="1395">
        <f>IF(raw[[#This Row],[city]]&lt;&gt;"",_xlfn.XLOOKUP($D1260,ccc[city],ccc[cont],"-"),"-")</f>
        <v/>
      </c>
      <c r="N1260" s="1396">
        <f>IF(raw[[#This Row],[city]]="","-",IF(raw[[#This Row],[cont]]="B",raw[[#This Row],[cont]],"W"))</f>
        <v/>
      </c>
      <c r="O1260" s="1397">
        <f>IF(raw[[#This Row],[out]]=0,0,IF(raw[[#This Row],[out]]=raw[[#This Row],[in]],0.01,raw[[#This Row],[out]]-raw[[#This Row],[in]]))</f>
        <v/>
      </c>
      <c r="P1260" s="1397">
        <f>IF(raw[[#This Row],[in]]=0,0,MONTH(raw[[#This Row],[in]]))</f>
        <v/>
      </c>
      <c r="Q1260" s="1397">
        <f>IF(raw[[#This Row],[in]]=0,0,YEAR(raw[[#This Row],[in]]))</f>
        <v/>
      </c>
      <c r="R1260" s="1397">
        <f>INT(raw[[#This Row],[yr]]/10)*10</f>
        <v/>
      </c>
      <c r="S1260" s="1395">
        <f>IF(raw[[#This Row],[city]]="","-",IF(raw[[#This Row],[city]]&lt;&gt;_xlfn.XLOOKUP(raw[[#This Row],[home]],homes[home],homes[city],"-"),1,0))</f>
        <v/>
      </c>
      <c r="T1260" s="1398" t="inlineStr">
        <is>
          <t>.</t>
        </is>
      </c>
      <c r="U1260" s="1399">
        <f>IF(raw[[#This Row],[wb]]="w",raw[[#This Row],[stay]]+U1259,U1259)</f>
        <v/>
      </c>
      <c r="V1260" s="1400">
        <f>IF(raw[[#This Row],[out]]=0,V1259,(raw[[#This Row],[out]]-E$5))</f>
        <v/>
      </c>
      <c r="W1260" s="1401">
        <f>U1260/V1260</f>
        <v/>
      </c>
      <c r="X1260" s="1392" t="n"/>
      <c r="Y1260" s="1392" t="n"/>
      <c r="Z1260" s="1392" t="n"/>
      <c r="AA1260" s="1392" t="n"/>
      <c r="AB1260" s="1392" t="n"/>
      <c r="AC1260" s="1392" t="n"/>
      <c r="AD1260" s="1392" t="n"/>
      <c r="AE1260" s="1392" t="n"/>
      <c r="AF1260" s="1392" t="n"/>
      <c r="AG1260" s="1392" t="n"/>
      <c r="AH1260" s="1392" t="n"/>
      <c r="AI1260" s="1392" t="n"/>
      <c r="AJ1260" s="1392" t="n"/>
      <c r="AK1260" s="1392" t="n"/>
      <c r="AL1260" s="1392" t="n"/>
      <c r="AM1260" s="1392" t="n"/>
      <c r="AN1260" s="1392" t="n"/>
      <c r="AO1260" s="1392" t="n"/>
      <c r="AP1260" s="1392" t="n"/>
      <c r="AQ1260" s="1392" t="n"/>
      <c r="AR1260" s="1422" t="n"/>
      <c r="AS1260" s="1422" t="n"/>
      <c r="AT1260" s="1392" t="n"/>
      <c r="AU1260" s="1392" t="n"/>
      <c r="AV1260" s="1392" t="n"/>
      <c r="AW1260" s="1392" t="n"/>
      <c r="AX1260" s="1392" t="n"/>
      <c r="AY1260" s="1392" t="n"/>
      <c r="AZ1260" s="1392" t="n"/>
      <c r="BA1260" s="1422" t="n"/>
      <c r="BB1260" s="1422" t="n"/>
      <c r="BC1260" s="1392" t="n"/>
      <c r="BD1260" s="1392" t="n"/>
      <c r="BE1260" s="1392" t="n"/>
      <c r="BF1260" s="1392" t="n"/>
      <c r="BG1260" s="1392" t="n"/>
      <c r="BH1260" s="1392" t="n"/>
      <c r="BI1260" s="1392" t="n"/>
      <c r="BJ1260" s="1392" t="n"/>
      <c r="BK1260" s="1392" t="n"/>
      <c r="BL1260" s="1392" t="n"/>
      <c r="BM1260" s="1392" t="n"/>
      <c r="BN1260" s="1392" t="n"/>
      <c r="BO1260" s="1392" t="n"/>
      <c r="BP1260" s="1392" t="n"/>
      <c r="BQ1260" s="1392" t="n"/>
      <c r="BR1260" s="1392" t="n"/>
      <c r="BS1260" s="1392" t="n"/>
      <c r="BT1260" s="1392" t="n"/>
      <c r="BU1260" s="1392" t="n"/>
      <c r="BV1260" s="1392" t="n"/>
      <c r="BW1260" s="1392" t="n"/>
      <c r="BX1260" s="1392" t="n"/>
      <c r="BY1260" s="1392" t="n"/>
      <c r="BZ1260" s="1392" t="n"/>
      <c r="CA1260" s="1392" t="n"/>
      <c r="CB1260" s="1392" t="n"/>
      <c r="CC1260" s="1392" t="n"/>
      <c r="CD1260" s="1392" t="n"/>
      <c r="CE1260" s="1392" t="n"/>
      <c r="CF1260" s="1392" t="n"/>
      <c r="CG1260" s="1392" t="n"/>
      <c r="CH1260" s="1392" t="n"/>
      <c r="CI1260" s="1392" t="n"/>
      <c r="CJ1260" s="1392" t="n"/>
      <c r="CK1260" s="1392" t="n"/>
      <c r="CL1260" s="1392" t="n"/>
    </row>
    <row r="1261">
      <c r="A1261" s="5" t="inlineStr">
        <is>
          <t>.</t>
        </is>
      </c>
      <c r="B1261" s="5" t="inlineStr">
        <is>
          <t>.</t>
        </is>
      </c>
      <c r="C1261" s="1378">
        <f>IF(raw[[#This Row],[city]]="","-",IF(raw[[#This Row],[city]]="TODAY","-",C1260+1))</f>
        <v/>
      </c>
      <c r="D1261" s="1393" t="inlineStr">
        <is>
          <t>Montreal</t>
        </is>
      </c>
      <c r="E1261" s="1394" t="n">
        <v>41030</v>
      </c>
      <c r="F1261" s="1394" t="n">
        <v>41061</v>
      </c>
      <c r="G1261" s="1393" t="inlineStr">
        <is>
          <t>-</t>
        </is>
      </c>
      <c r="H1261" s="1393" t="inlineStr">
        <is>
          <t>Lasalle</t>
        </is>
      </c>
      <c r="I1261" s="1393" t="inlineStr">
        <is>
          <t>-</t>
        </is>
      </c>
      <c r="J1261" s="1393" t="inlineStr">
        <is>
          <t>-</t>
        </is>
      </c>
      <c r="K1261" s="1395">
        <f>IF(raw[[#This Row],[city]]&lt;&gt;"",_xlfn.XLOOKUP($D1261,ccc[city],ccc[prov],"-"),"-")</f>
        <v/>
      </c>
      <c r="L1261" s="1395">
        <f>IF(raw[[#This Row],[city]]&lt;&gt;"",_xlfn.XLOOKUP($D1261,ccc[city],ccc[ctry],"-"),"-")</f>
        <v/>
      </c>
      <c r="M1261" s="1395">
        <f>IF(raw[[#This Row],[city]]&lt;&gt;"",_xlfn.XLOOKUP($D1261,ccc[city],ccc[cont],"-"),"-")</f>
        <v/>
      </c>
      <c r="N1261" s="1396">
        <f>IF(raw[[#This Row],[city]]="","-",IF(raw[[#This Row],[cont]]="B",raw[[#This Row],[cont]],"W"))</f>
        <v/>
      </c>
      <c r="O1261" s="1397">
        <f>IF(raw[[#This Row],[out]]=0,0,IF(raw[[#This Row],[out]]=raw[[#This Row],[in]],0.01,raw[[#This Row],[out]]-raw[[#This Row],[in]]))</f>
        <v/>
      </c>
      <c r="P1261" s="1397">
        <f>IF(raw[[#This Row],[in]]=0,0,MONTH(raw[[#This Row],[in]]))</f>
        <v/>
      </c>
      <c r="Q1261" s="1397">
        <f>IF(raw[[#This Row],[in]]=0,0,YEAR(raw[[#This Row],[in]]))</f>
        <v/>
      </c>
      <c r="R1261" s="1397">
        <f>INT(raw[[#This Row],[yr]]/10)*10</f>
        <v/>
      </c>
      <c r="S1261" s="1395">
        <f>IF(raw[[#This Row],[city]]="","-",IF(raw[[#This Row],[city]]&lt;&gt;_xlfn.XLOOKUP(raw[[#This Row],[home]],homes[home],homes[city],"-"),1,0))</f>
        <v/>
      </c>
      <c r="T1261" s="1398" t="inlineStr">
        <is>
          <t>.</t>
        </is>
      </c>
      <c r="U1261" s="1399">
        <f>IF(raw[[#This Row],[wb]]="w",raw[[#This Row],[stay]]+U1260,U1260)</f>
        <v/>
      </c>
      <c r="V1261" s="1400">
        <f>IF(raw[[#This Row],[out]]=0,V1260,(raw[[#This Row],[out]]-E$5))</f>
        <v/>
      </c>
      <c r="W1261" s="1401">
        <f>U1261/V1261</f>
        <v/>
      </c>
      <c r="X1261" s="1392" t="n"/>
      <c r="Y1261" s="1392" t="n"/>
      <c r="Z1261" s="1392" t="n"/>
      <c r="AA1261" s="1392" t="n"/>
      <c r="AB1261" s="1392" t="n"/>
      <c r="AC1261" s="1392" t="n"/>
      <c r="AD1261" s="1392" t="n"/>
      <c r="AE1261" s="1392" t="n"/>
      <c r="AF1261" s="1392" t="n"/>
      <c r="AG1261" s="1392" t="n"/>
      <c r="AH1261" s="1392" t="n"/>
      <c r="AI1261" s="1392" t="n"/>
      <c r="AJ1261" s="1392" t="n"/>
      <c r="AK1261" s="1392" t="n"/>
      <c r="AL1261" s="1392" t="n"/>
      <c r="AM1261" s="1392" t="n"/>
      <c r="AN1261" s="1392" t="n"/>
      <c r="AO1261" s="1392" t="n"/>
      <c r="AP1261" s="1392" t="n"/>
      <c r="AQ1261" s="1392" t="n"/>
      <c r="AR1261" s="1422" t="n"/>
      <c r="AS1261" s="1422" t="n"/>
      <c r="AT1261" s="1392" t="n"/>
      <c r="AU1261" s="1392" t="n"/>
      <c r="AV1261" s="1392" t="n"/>
      <c r="AW1261" s="1392" t="n"/>
      <c r="AX1261" s="1392" t="n"/>
      <c r="AY1261" s="1392" t="n"/>
      <c r="AZ1261" s="1392" t="n"/>
      <c r="BA1261" s="1422" t="n"/>
      <c r="BB1261" s="1422" t="n"/>
      <c r="BC1261" s="1392" t="n"/>
      <c r="BD1261" s="1392" t="n"/>
      <c r="BE1261" s="1392" t="n"/>
      <c r="BF1261" s="1392" t="n"/>
      <c r="BG1261" s="1392" t="n"/>
      <c r="BH1261" s="1392" t="n"/>
      <c r="BI1261" s="1392" t="n"/>
      <c r="BJ1261" s="1392" t="n"/>
      <c r="BK1261" s="1392" t="n"/>
      <c r="BL1261" s="1392" t="n"/>
      <c r="BM1261" s="1392" t="n"/>
      <c r="BN1261" s="1392" t="n"/>
      <c r="BO1261" s="1392" t="n"/>
      <c r="BP1261" s="1392" t="n"/>
      <c r="BQ1261" s="1392" t="n"/>
      <c r="BR1261" s="1392" t="n"/>
      <c r="BS1261" s="1392" t="n"/>
      <c r="BT1261" s="1392" t="n"/>
      <c r="BU1261" s="1392" t="n"/>
      <c r="BV1261" s="1392" t="n"/>
      <c r="BW1261" s="1392" t="n"/>
      <c r="BX1261" s="1392" t="n"/>
      <c r="BY1261" s="1392" t="n"/>
      <c r="BZ1261" s="1392" t="n"/>
      <c r="CA1261" s="1392" t="n"/>
      <c r="CB1261" s="1392" t="n"/>
      <c r="CC1261" s="1392" t="n"/>
      <c r="CD1261" s="1392" t="n"/>
      <c r="CE1261" s="1392" t="n"/>
      <c r="CF1261" s="1392" t="n"/>
      <c r="CG1261" s="1392" t="n"/>
      <c r="CH1261" s="1392" t="n"/>
      <c r="CI1261" s="1392" t="n"/>
      <c r="CJ1261" s="1392" t="n"/>
      <c r="CK1261" s="1392" t="n"/>
      <c r="CL1261" s="1392" t="n"/>
    </row>
    <row r="1262">
      <c r="A1262" s="5" t="inlineStr">
        <is>
          <t>.</t>
        </is>
      </c>
      <c r="B1262" s="5" t="inlineStr">
        <is>
          <t>.</t>
        </is>
      </c>
      <c r="C1262" s="1378">
        <f>IF(raw[[#This Row],[city]]="","-",IF(raw[[#This Row],[city]]="TODAY","-",C1261+1))</f>
        <v/>
      </c>
      <c r="D1262" s="1393" t="inlineStr">
        <is>
          <t>Ottawa</t>
        </is>
      </c>
      <c r="E1262" s="1394" t="n">
        <v>41049</v>
      </c>
      <c r="F1262" s="1394" t="n">
        <v>41049</v>
      </c>
      <c r="G1262" s="1393" t="inlineStr">
        <is>
          <t>-</t>
        </is>
      </c>
      <c r="H1262" s="1393" t="inlineStr">
        <is>
          <t>Lasalle</t>
        </is>
      </c>
      <c r="I1262" s="1393" t="inlineStr">
        <is>
          <t>-</t>
        </is>
      </c>
      <c r="J1262" s="1393" t="inlineStr">
        <is>
          <t>-</t>
        </is>
      </c>
      <c r="K1262" s="1395">
        <f>IF(raw[[#This Row],[city]]&lt;&gt;"",_xlfn.XLOOKUP($D1262,ccc[city],ccc[prov],"-"),"-")</f>
        <v/>
      </c>
      <c r="L1262" s="1395">
        <f>IF(raw[[#This Row],[city]]&lt;&gt;"",_xlfn.XLOOKUP($D1262,ccc[city],ccc[ctry],"-"),"-")</f>
        <v/>
      </c>
      <c r="M1262" s="1395">
        <f>IF(raw[[#This Row],[city]]&lt;&gt;"",_xlfn.XLOOKUP($D1262,ccc[city],ccc[cont],"-"),"-")</f>
        <v/>
      </c>
      <c r="N1262" s="1396">
        <f>IF(raw[[#This Row],[city]]="","-",IF(raw[[#This Row],[cont]]="B",raw[[#This Row],[cont]],"W"))</f>
        <v/>
      </c>
      <c r="O1262" s="1397">
        <f>IF(raw[[#This Row],[out]]=0,0,IF(raw[[#This Row],[out]]=raw[[#This Row],[in]],0.01,raw[[#This Row],[out]]-raw[[#This Row],[in]]))</f>
        <v/>
      </c>
      <c r="P1262" s="1397">
        <f>IF(raw[[#This Row],[in]]=0,0,MONTH(raw[[#This Row],[in]]))</f>
        <v/>
      </c>
      <c r="Q1262" s="1397">
        <f>IF(raw[[#This Row],[in]]=0,0,YEAR(raw[[#This Row],[in]]))</f>
        <v/>
      </c>
      <c r="R1262" s="1397">
        <f>INT(raw[[#This Row],[yr]]/10)*10</f>
        <v/>
      </c>
      <c r="S1262" s="1395">
        <f>IF(raw[[#This Row],[city]]="","-",IF(raw[[#This Row],[city]]&lt;&gt;_xlfn.XLOOKUP(raw[[#This Row],[home]],homes[home],homes[city],"-"),1,0))</f>
        <v/>
      </c>
      <c r="T1262" s="1398" t="inlineStr">
        <is>
          <t>.</t>
        </is>
      </c>
      <c r="U1262" s="1399">
        <f>IF(raw[[#This Row],[wb]]="w",raw[[#This Row],[stay]]+U1261,U1261)</f>
        <v/>
      </c>
      <c r="V1262" s="1400">
        <f>IF(raw[[#This Row],[out]]=0,V1261,(raw[[#This Row],[out]]-E$5))</f>
        <v/>
      </c>
      <c r="W1262" s="1401">
        <f>U1262/V1262</f>
        <v/>
      </c>
      <c r="X1262" s="1392" t="n"/>
      <c r="Y1262" s="1392" t="n"/>
      <c r="Z1262" s="1392" t="n"/>
      <c r="AA1262" s="1392" t="n"/>
      <c r="AB1262" s="1392" t="n"/>
      <c r="AC1262" s="1392" t="n"/>
      <c r="AD1262" s="1392" t="n"/>
      <c r="AE1262" s="1392" t="n"/>
      <c r="AF1262" s="1392" t="n"/>
      <c r="AG1262" s="1392" t="n"/>
      <c r="AH1262" s="1392" t="n"/>
      <c r="AI1262" s="1392" t="n"/>
      <c r="AJ1262" s="1392" t="n"/>
      <c r="AK1262" s="1392" t="n"/>
      <c r="AL1262" s="1392" t="n"/>
      <c r="AM1262" s="1392" t="n"/>
      <c r="AN1262" s="1392" t="n"/>
      <c r="AO1262" s="1392" t="n"/>
      <c r="AP1262" s="1392" t="n"/>
      <c r="AQ1262" s="1392" t="n"/>
      <c r="AR1262" s="1422" t="n"/>
      <c r="AS1262" s="1422" t="n"/>
      <c r="AT1262" s="1392" t="n"/>
      <c r="AU1262" s="1392" t="n"/>
      <c r="AV1262" s="1392" t="n"/>
      <c r="AW1262" s="1392" t="n"/>
      <c r="AX1262" s="1392" t="n"/>
      <c r="AY1262" s="1392" t="n"/>
      <c r="AZ1262" s="1392" t="n"/>
      <c r="BA1262" s="1422" t="n"/>
      <c r="BB1262" s="1422" t="n"/>
      <c r="BC1262" s="1392" t="n"/>
      <c r="BD1262" s="1392" t="n"/>
      <c r="BE1262" s="1392" t="n"/>
      <c r="BF1262" s="1392" t="n"/>
      <c r="BG1262" s="1392" t="n"/>
      <c r="BH1262" s="1392" t="n"/>
      <c r="BI1262" s="1392" t="n"/>
      <c r="BJ1262" s="1392" t="n"/>
      <c r="BK1262" s="1392" t="n"/>
      <c r="BL1262" s="1392" t="n"/>
      <c r="BM1262" s="1392" t="n"/>
      <c r="BN1262" s="1392" t="n"/>
      <c r="BO1262" s="1392" t="n"/>
      <c r="BP1262" s="1392" t="n"/>
      <c r="BQ1262" s="1392" t="n"/>
      <c r="BR1262" s="1392" t="n"/>
      <c r="BS1262" s="1392" t="n"/>
      <c r="BT1262" s="1392" t="n"/>
      <c r="BU1262" s="1392" t="n"/>
      <c r="BV1262" s="1392" t="n"/>
      <c r="BW1262" s="1392" t="n"/>
      <c r="BX1262" s="1392" t="n"/>
      <c r="BY1262" s="1392" t="n"/>
      <c r="BZ1262" s="1392" t="n"/>
      <c r="CA1262" s="1392" t="n"/>
      <c r="CB1262" s="1392" t="n"/>
      <c r="CC1262" s="1392" t="n"/>
      <c r="CD1262" s="1392" t="n"/>
      <c r="CE1262" s="1392" t="n"/>
      <c r="CF1262" s="1392" t="n"/>
      <c r="CG1262" s="1392" t="n"/>
      <c r="CH1262" s="1392" t="n"/>
      <c r="CI1262" s="1392" t="n"/>
      <c r="CJ1262" s="1392" t="n"/>
      <c r="CK1262" s="1392" t="n"/>
      <c r="CL1262" s="1392" t="n"/>
    </row>
    <row r="1263">
      <c r="A1263" s="5" t="inlineStr">
        <is>
          <t>.</t>
        </is>
      </c>
      <c r="B1263" s="5" t="inlineStr">
        <is>
          <t>.</t>
        </is>
      </c>
      <c r="C1263" s="1378">
        <f>IF(raw[[#This Row],[city]]="","-",IF(raw[[#This Row],[city]]="TODAY","-",C1262+1))</f>
        <v/>
      </c>
      <c r="D1263" s="1393" t="inlineStr">
        <is>
          <t>Montreal</t>
        </is>
      </c>
      <c r="E1263" s="1394" t="n">
        <v>41061</v>
      </c>
      <c r="F1263" s="1394" t="n">
        <v>41091</v>
      </c>
      <c r="G1263" s="1393" t="inlineStr">
        <is>
          <t>-</t>
        </is>
      </c>
      <c r="H1263" s="1393" t="inlineStr">
        <is>
          <t>Lasalle</t>
        </is>
      </c>
      <c r="I1263" s="1393" t="inlineStr">
        <is>
          <t>-</t>
        </is>
      </c>
      <c r="J1263" s="1393" t="inlineStr">
        <is>
          <t>-</t>
        </is>
      </c>
      <c r="K1263" s="1395">
        <f>IF(raw[[#This Row],[city]]&lt;&gt;"",_xlfn.XLOOKUP($D1263,ccc[city],ccc[prov],"-"),"-")</f>
        <v/>
      </c>
      <c r="L1263" s="1395">
        <f>IF(raw[[#This Row],[city]]&lt;&gt;"",_xlfn.XLOOKUP($D1263,ccc[city],ccc[ctry],"-"),"-")</f>
        <v/>
      </c>
      <c r="M1263" s="1395">
        <f>IF(raw[[#This Row],[city]]&lt;&gt;"",_xlfn.XLOOKUP($D1263,ccc[city],ccc[cont],"-"),"-")</f>
        <v/>
      </c>
      <c r="N1263" s="1396">
        <f>IF(raw[[#This Row],[city]]="","-",IF(raw[[#This Row],[cont]]="B",raw[[#This Row],[cont]],"W"))</f>
        <v/>
      </c>
      <c r="O1263" s="1397">
        <f>IF(raw[[#This Row],[out]]=0,0,IF(raw[[#This Row],[out]]=raw[[#This Row],[in]],0.01,raw[[#This Row],[out]]-raw[[#This Row],[in]]))</f>
        <v/>
      </c>
      <c r="P1263" s="1397">
        <f>IF(raw[[#This Row],[in]]=0,0,MONTH(raw[[#This Row],[in]]))</f>
        <v/>
      </c>
      <c r="Q1263" s="1397">
        <f>IF(raw[[#This Row],[in]]=0,0,YEAR(raw[[#This Row],[in]]))</f>
        <v/>
      </c>
      <c r="R1263" s="1397">
        <f>INT(raw[[#This Row],[yr]]/10)*10</f>
        <v/>
      </c>
      <c r="S1263" s="1395">
        <f>IF(raw[[#This Row],[city]]="","-",IF(raw[[#This Row],[city]]&lt;&gt;_xlfn.XLOOKUP(raw[[#This Row],[home]],homes[home],homes[city],"-"),1,0))</f>
        <v/>
      </c>
      <c r="T1263" s="1398" t="inlineStr">
        <is>
          <t>.</t>
        </is>
      </c>
      <c r="U1263" s="1399">
        <f>IF(raw[[#This Row],[wb]]="w",raw[[#This Row],[stay]]+U1262,U1262)</f>
        <v/>
      </c>
      <c r="V1263" s="1400">
        <f>IF(raw[[#This Row],[out]]=0,V1262,(raw[[#This Row],[out]]-E$5))</f>
        <v/>
      </c>
      <c r="W1263" s="1401">
        <f>U1263/V1263</f>
        <v/>
      </c>
      <c r="X1263" s="1392" t="n"/>
      <c r="Y1263" s="1392" t="n"/>
      <c r="Z1263" s="1392" t="n"/>
      <c r="AA1263" s="1392" t="n"/>
      <c r="AB1263" s="1392" t="n"/>
      <c r="AC1263" s="1392" t="n"/>
      <c r="AD1263" s="1392" t="n"/>
      <c r="AE1263" s="1392" t="n"/>
      <c r="AF1263" s="1392" t="n"/>
      <c r="AG1263" s="1392" t="n"/>
      <c r="AH1263" s="1392" t="n"/>
      <c r="AI1263" s="1392" t="n"/>
      <c r="AJ1263" s="1392" t="n"/>
      <c r="AK1263" s="1392" t="n"/>
      <c r="AL1263" s="1392" t="n"/>
      <c r="AM1263" s="1392" t="n"/>
      <c r="AN1263" s="1392" t="n"/>
      <c r="AO1263" s="1392" t="n"/>
      <c r="AP1263" s="1392" t="n"/>
      <c r="AQ1263" s="1392" t="n"/>
      <c r="AR1263" s="1422" t="n"/>
      <c r="AS1263" s="1422" t="n"/>
      <c r="AT1263" s="1392" t="n"/>
      <c r="AU1263" s="1392" t="n"/>
      <c r="AV1263" s="1392" t="n"/>
      <c r="AW1263" s="1392" t="n"/>
      <c r="AX1263" s="1392" t="n"/>
      <c r="AY1263" s="1392" t="n"/>
      <c r="AZ1263" s="1392" t="n"/>
      <c r="BA1263" s="1422" t="n"/>
      <c r="BB1263" s="1422" t="n"/>
      <c r="BC1263" s="1392" t="n"/>
      <c r="BD1263" s="1392" t="n"/>
      <c r="BE1263" s="1392" t="n"/>
      <c r="BF1263" s="1392" t="n"/>
      <c r="BG1263" s="1392" t="n"/>
      <c r="BH1263" s="1392" t="n"/>
      <c r="BI1263" s="1392" t="n"/>
      <c r="BJ1263" s="1392" t="n"/>
      <c r="BK1263" s="1392" t="n"/>
      <c r="BL1263" s="1392" t="n"/>
      <c r="BM1263" s="1392" t="n"/>
      <c r="BN1263" s="1392" t="n"/>
      <c r="BO1263" s="1392" t="n"/>
      <c r="BP1263" s="1392" t="n"/>
      <c r="BQ1263" s="1392" t="n"/>
      <c r="BR1263" s="1392" t="n"/>
      <c r="BS1263" s="1392" t="n"/>
      <c r="BT1263" s="1392" t="n"/>
      <c r="BU1263" s="1392" t="n"/>
      <c r="BV1263" s="1392" t="n"/>
      <c r="BW1263" s="1392" t="n"/>
      <c r="BX1263" s="1392" t="n"/>
      <c r="BY1263" s="1392" t="n"/>
      <c r="BZ1263" s="1392" t="n"/>
      <c r="CA1263" s="1392" t="n"/>
      <c r="CB1263" s="1392" t="n"/>
      <c r="CC1263" s="1392" t="n"/>
      <c r="CD1263" s="1392" t="n"/>
      <c r="CE1263" s="1392" t="n"/>
      <c r="CF1263" s="1392" t="n"/>
      <c r="CG1263" s="1392" t="n"/>
      <c r="CH1263" s="1392" t="n"/>
      <c r="CI1263" s="1392" t="n"/>
      <c r="CJ1263" s="1392" t="n"/>
      <c r="CK1263" s="1392" t="n"/>
      <c r="CL1263" s="1392" t="n"/>
    </row>
    <row r="1264">
      <c r="A1264" s="5" t="inlineStr">
        <is>
          <t>.</t>
        </is>
      </c>
      <c r="B1264" s="5" t="inlineStr">
        <is>
          <t>.</t>
        </is>
      </c>
      <c r="C1264" s="1378">
        <f>IF(raw[[#This Row],[city]]="","-",IF(raw[[#This Row],[city]]="TODAY","-",C1263+1))</f>
        <v/>
      </c>
      <c r="D1264" s="1393" t="inlineStr">
        <is>
          <t>Saint Sauveur</t>
        </is>
      </c>
      <c r="E1264" s="1394" t="n">
        <v>41091</v>
      </c>
      <c r="F1264" s="1394" t="n">
        <v>41091</v>
      </c>
      <c r="G1264" s="1393" t="inlineStr">
        <is>
          <t>-</t>
        </is>
      </c>
      <c r="H1264" s="1393" t="inlineStr">
        <is>
          <t>Lasalle</t>
        </is>
      </c>
      <c r="I1264" s="1393" t="inlineStr">
        <is>
          <t>-</t>
        </is>
      </c>
      <c r="J1264" s="1393" t="inlineStr">
        <is>
          <t>-</t>
        </is>
      </c>
      <c r="K1264" s="1395">
        <f>IF(raw[[#This Row],[city]]&lt;&gt;"",_xlfn.XLOOKUP($D1264,ccc[city],ccc[prov],"-"),"-")</f>
        <v/>
      </c>
      <c r="L1264" s="1395">
        <f>IF(raw[[#This Row],[city]]&lt;&gt;"",_xlfn.XLOOKUP($D1264,ccc[city],ccc[ctry],"-"),"-")</f>
        <v/>
      </c>
      <c r="M1264" s="1395">
        <f>IF(raw[[#This Row],[city]]&lt;&gt;"",_xlfn.XLOOKUP($D1264,ccc[city],ccc[cont],"-"),"-")</f>
        <v/>
      </c>
      <c r="N1264" s="1396">
        <f>IF(raw[[#This Row],[city]]="","-",IF(raw[[#This Row],[cont]]="B",raw[[#This Row],[cont]],"W"))</f>
        <v/>
      </c>
      <c r="O1264" s="1397">
        <f>IF(raw[[#This Row],[out]]=0,0,IF(raw[[#This Row],[out]]=raw[[#This Row],[in]],0.01,raw[[#This Row],[out]]-raw[[#This Row],[in]]))</f>
        <v/>
      </c>
      <c r="P1264" s="1397">
        <f>IF(raw[[#This Row],[in]]=0,0,MONTH(raw[[#This Row],[in]]))</f>
        <v/>
      </c>
      <c r="Q1264" s="1397">
        <f>IF(raw[[#This Row],[in]]=0,0,YEAR(raw[[#This Row],[in]]))</f>
        <v/>
      </c>
      <c r="R1264" s="1397">
        <f>INT(raw[[#This Row],[yr]]/10)*10</f>
        <v/>
      </c>
      <c r="S1264" s="1395">
        <f>IF(raw[[#This Row],[city]]="","-",IF(raw[[#This Row],[city]]&lt;&gt;_xlfn.XLOOKUP(raw[[#This Row],[home]],homes[home],homes[city],"-"),1,0))</f>
        <v/>
      </c>
      <c r="T1264" s="1398" t="inlineStr">
        <is>
          <t>.</t>
        </is>
      </c>
      <c r="U1264" s="1399">
        <f>IF(raw[[#This Row],[wb]]="w",raw[[#This Row],[stay]]+U1263,U1263)</f>
        <v/>
      </c>
      <c r="V1264" s="1400">
        <f>IF(raw[[#This Row],[out]]=0,V1263,(raw[[#This Row],[out]]-E$5))</f>
        <v/>
      </c>
      <c r="W1264" s="1401">
        <f>U1264/V1264</f>
        <v/>
      </c>
      <c r="X1264" s="1392" t="n"/>
      <c r="Y1264" s="1392" t="n"/>
      <c r="Z1264" s="1392" t="n"/>
      <c r="AA1264" s="1392" t="n"/>
      <c r="AB1264" s="1392" t="n"/>
      <c r="AC1264" s="1392" t="n"/>
      <c r="AD1264" s="1392" t="n"/>
      <c r="AE1264" s="1392" t="n"/>
      <c r="AF1264" s="1392" t="n"/>
      <c r="AG1264" s="1392" t="n"/>
      <c r="AH1264" s="1392" t="n"/>
      <c r="AI1264" s="1392" t="n"/>
      <c r="AJ1264" s="1392" t="n"/>
      <c r="AK1264" s="1392" t="n"/>
      <c r="AL1264" s="1392" t="n"/>
      <c r="AM1264" s="1392" t="n"/>
      <c r="AN1264" s="1392" t="n"/>
      <c r="AO1264" s="1392" t="n"/>
      <c r="AP1264" s="1392" t="n"/>
      <c r="AQ1264" s="1392" t="n"/>
      <c r="AR1264" s="1422" t="n"/>
      <c r="AS1264" s="1422" t="n"/>
      <c r="AT1264" s="1392" t="n"/>
      <c r="AU1264" s="1392" t="n"/>
      <c r="AV1264" s="1392" t="n"/>
      <c r="AW1264" s="1392" t="n"/>
      <c r="AX1264" s="1392" t="n"/>
      <c r="AY1264" s="1392" t="n"/>
      <c r="AZ1264" s="1392" t="n"/>
      <c r="BA1264" s="1422" t="n"/>
      <c r="BB1264" s="1422" t="n"/>
      <c r="BC1264" s="1392" t="n"/>
      <c r="BD1264" s="1392" t="n"/>
      <c r="BE1264" s="1392" t="n"/>
      <c r="BF1264" s="1392" t="n"/>
      <c r="BG1264" s="1392" t="n"/>
      <c r="BH1264" s="1392" t="n"/>
      <c r="BI1264" s="1392" t="n"/>
      <c r="BJ1264" s="1392" t="n"/>
      <c r="BK1264" s="1392" t="n"/>
      <c r="BL1264" s="1392" t="n"/>
      <c r="BM1264" s="1392" t="n"/>
      <c r="BN1264" s="1392" t="n"/>
      <c r="BO1264" s="1392" t="n"/>
      <c r="BP1264" s="1392" t="n"/>
      <c r="BQ1264" s="1392" t="n"/>
      <c r="BR1264" s="1392" t="n"/>
      <c r="BS1264" s="1392" t="n"/>
      <c r="BT1264" s="1392" t="n"/>
      <c r="BU1264" s="1392" t="n"/>
      <c r="BV1264" s="1392" t="n"/>
      <c r="BW1264" s="1392" t="n"/>
      <c r="BX1264" s="1392" t="n"/>
      <c r="BY1264" s="1392" t="n"/>
      <c r="BZ1264" s="1392" t="n"/>
      <c r="CA1264" s="1392" t="n"/>
      <c r="CB1264" s="1392" t="n"/>
      <c r="CC1264" s="1392" t="n"/>
      <c r="CD1264" s="1392" t="n"/>
      <c r="CE1264" s="1392" t="n"/>
      <c r="CF1264" s="1392" t="n"/>
      <c r="CG1264" s="1392" t="n"/>
      <c r="CH1264" s="1392" t="n"/>
      <c r="CI1264" s="1392" t="n"/>
      <c r="CJ1264" s="1392" t="n"/>
      <c r="CK1264" s="1392" t="n"/>
      <c r="CL1264" s="1392" t="n"/>
    </row>
    <row r="1265">
      <c r="A1265" s="5" t="inlineStr">
        <is>
          <t>.</t>
        </is>
      </c>
      <c r="B1265" s="5" t="inlineStr">
        <is>
          <t>.</t>
        </is>
      </c>
      <c r="C1265" s="1378">
        <f>IF(raw[[#This Row],[city]]="","-",IF(raw[[#This Row],[city]]="TODAY","-",C1264+1))</f>
        <v/>
      </c>
      <c r="D1265" s="1393" t="inlineStr">
        <is>
          <t>Montreal</t>
        </is>
      </c>
      <c r="E1265" s="1394" t="n">
        <v>41091</v>
      </c>
      <c r="F1265" s="1394" t="n">
        <v>41122</v>
      </c>
      <c r="G1265" s="1393" t="inlineStr">
        <is>
          <t>-</t>
        </is>
      </c>
      <c r="H1265" s="1393" t="inlineStr">
        <is>
          <t>Lasalle</t>
        </is>
      </c>
      <c r="I1265" s="1393" t="inlineStr">
        <is>
          <t>-</t>
        </is>
      </c>
      <c r="J1265" s="1393" t="inlineStr">
        <is>
          <t>-</t>
        </is>
      </c>
      <c r="K1265" s="1395">
        <f>IF(raw[[#This Row],[city]]&lt;&gt;"",_xlfn.XLOOKUP($D1265,ccc[city],ccc[prov],"-"),"-")</f>
        <v/>
      </c>
      <c r="L1265" s="1395">
        <f>IF(raw[[#This Row],[city]]&lt;&gt;"",_xlfn.XLOOKUP($D1265,ccc[city],ccc[ctry],"-"),"-")</f>
        <v/>
      </c>
      <c r="M1265" s="1395">
        <f>IF(raw[[#This Row],[city]]&lt;&gt;"",_xlfn.XLOOKUP($D1265,ccc[city],ccc[cont],"-"),"-")</f>
        <v/>
      </c>
      <c r="N1265" s="1396">
        <f>IF(raw[[#This Row],[city]]="","-",IF(raw[[#This Row],[cont]]="B",raw[[#This Row],[cont]],"W"))</f>
        <v/>
      </c>
      <c r="O1265" s="1397">
        <f>IF(raw[[#This Row],[out]]=0,0,IF(raw[[#This Row],[out]]=raw[[#This Row],[in]],0.01,raw[[#This Row],[out]]-raw[[#This Row],[in]]))</f>
        <v/>
      </c>
      <c r="P1265" s="1397">
        <f>IF(raw[[#This Row],[in]]=0,0,MONTH(raw[[#This Row],[in]]))</f>
        <v/>
      </c>
      <c r="Q1265" s="1397">
        <f>IF(raw[[#This Row],[in]]=0,0,YEAR(raw[[#This Row],[in]]))</f>
        <v/>
      </c>
      <c r="R1265" s="1397">
        <f>INT(raw[[#This Row],[yr]]/10)*10</f>
        <v/>
      </c>
      <c r="S1265" s="1395">
        <f>IF(raw[[#This Row],[city]]="","-",IF(raw[[#This Row],[city]]&lt;&gt;_xlfn.XLOOKUP(raw[[#This Row],[home]],homes[home],homes[city],"-"),1,0))</f>
        <v/>
      </c>
      <c r="T1265" s="1398" t="inlineStr">
        <is>
          <t>.</t>
        </is>
      </c>
      <c r="U1265" s="1399">
        <f>IF(raw[[#This Row],[wb]]="w",raw[[#This Row],[stay]]+U1264,U1264)</f>
        <v/>
      </c>
      <c r="V1265" s="1400">
        <f>IF(raw[[#This Row],[out]]=0,V1264,(raw[[#This Row],[out]]-E$5))</f>
        <v/>
      </c>
      <c r="W1265" s="1401">
        <f>U1265/V1265</f>
        <v/>
      </c>
      <c r="X1265" s="1392" t="n"/>
      <c r="Y1265" s="1392" t="n"/>
      <c r="Z1265" s="1392" t="n"/>
      <c r="AA1265" s="1392" t="n"/>
      <c r="AB1265" s="1392" t="n"/>
      <c r="AC1265" s="1392" t="n"/>
      <c r="AD1265" s="1392" t="n"/>
      <c r="AE1265" s="1392" t="n"/>
      <c r="AF1265" s="1392" t="n"/>
      <c r="AG1265" s="1392" t="n"/>
      <c r="AH1265" s="1392" t="n"/>
      <c r="AI1265" s="1392" t="n"/>
      <c r="AJ1265" s="1392" t="n"/>
      <c r="AK1265" s="1392" t="n"/>
      <c r="AL1265" s="1392" t="n"/>
      <c r="AM1265" s="1392" t="n"/>
      <c r="AN1265" s="1392" t="n"/>
      <c r="AO1265" s="1392" t="n"/>
      <c r="AP1265" s="1392" t="n"/>
      <c r="AQ1265" s="1392" t="n"/>
      <c r="AR1265" s="1422" t="n"/>
      <c r="AS1265" s="1422" t="n"/>
      <c r="AT1265" s="1392" t="n"/>
      <c r="AU1265" s="1392" t="n"/>
      <c r="AV1265" s="1392" t="n"/>
      <c r="AW1265" s="1392" t="n"/>
      <c r="AX1265" s="1392" t="n"/>
      <c r="AY1265" s="1392" t="n"/>
      <c r="AZ1265" s="1392" t="n"/>
      <c r="BA1265" s="1422" t="n"/>
      <c r="BB1265" s="1422" t="n"/>
      <c r="BC1265" s="1392" t="n"/>
      <c r="BD1265" s="1392" t="n"/>
      <c r="BE1265" s="1392" t="n"/>
      <c r="BF1265" s="1392" t="n"/>
      <c r="BG1265" s="1392" t="n"/>
      <c r="BH1265" s="1392" t="n"/>
      <c r="BI1265" s="1392" t="n"/>
      <c r="BJ1265" s="1392" t="n"/>
      <c r="BK1265" s="1392" t="n"/>
      <c r="BL1265" s="1392" t="n"/>
      <c r="BM1265" s="1392" t="n"/>
      <c r="BN1265" s="1392" t="n"/>
      <c r="BO1265" s="1392" t="n"/>
      <c r="BP1265" s="1392" t="n"/>
      <c r="BQ1265" s="1392" t="n"/>
      <c r="BR1265" s="1392" t="n"/>
      <c r="BS1265" s="1392" t="n"/>
      <c r="BT1265" s="1392" t="n"/>
      <c r="BU1265" s="1392" t="n"/>
      <c r="BV1265" s="1392" t="n"/>
      <c r="BW1265" s="1392" t="n"/>
      <c r="BX1265" s="1392" t="n"/>
      <c r="BY1265" s="1392" t="n"/>
      <c r="BZ1265" s="1392" t="n"/>
      <c r="CA1265" s="1392" t="n"/>
      <c r="CB1265" s="1392" t="n"/>
      <c r="CC1265" s="1392" t="n"/>
      <c r="CD1265" s="1392" t="n"/>
      <c r="CE1265" s="1392" t="n"/>
      <c r="CF1265" s="1392" t="n"/>
      <c r="CG1265" s="1392" t="n"/>
      <c r="CH1265" s="1392" t="n"/>
      <c r="CI1265" s="1392" t="n"/>
      <c r="CJ1265" s="1392" t="n"/>
      <c r="CK1265" s="1392" t="n"/>
      <c r="CL1265" s="1392" t="n"/>
    </row>
    <row r="1266">
      <c r="A1266" s="5" t="inlineStr">
        <is>
          <t>.</t>
        </is>
      </c>
      <c r="B1266" s="5" t="inlineStr">
        <is>
          <t>.</t>
        </is>
      </c>
      <c r="C1266" s="1378">
        <f>IF(raw[[#This Row],[city]]="","-",IF(raw[[#This Row],[city]]="TODAY","-",C1265+1))</f>
        <v/>
      </c>
      <c r="D1266" s="1393" t="inlineStr">
        <is>
          <t>Bromont</t>
        </is>
      </c>
      <c r="E1266" s="1394" t="n">
        <v>41112</v>
      </c>
      <c r="F1266" s="1394" t="n">
        <v>41112</v>
      </c>
      <c r="G1266" s="1393" t="inlineStr">
        <is>
          <t>-</t>
        </is>
      </c>
      <c r="H1266" s="1393" t="inlineStr">
        <is>
          <t>Lasalle</t>
        </is>
      </c>
      <c r="I1266" s="1393" t="inlineStr">
        <is>
          <t>-</t>
        </is>
      </c>
      <c r="J1266" s="1393" t="inlineStr">
        <is>
          <t>-</t>
        </is>
      </c>
      <c r="K1266" s="1395">
        <f>IF(raw[[#This Row],[city]]&lt;&gt;"",_xlfn.XLOOKUP($D1266,ccc[city],ccc[prov],"-"),"-")</f>
        <v/>
      </c>
      <c r="L1266" s="1395">
        <f>IF(raw[[#This Row],[city]]&lt;&gt;"",_xlfn.XLOOKUP($D1266,ccc[city],ccc[ctry],"-"),"-")</f>
        <v/>
      </c>
      <c r="M1266" s="1395">
        <f>IF(raw[[#This Row],[city]]&lt;&gt;"",_xlfn.XLOOKUP($D1266,ccc[city],ccc[cont],"-"),"-")</f>
        <v/>
      </c>
      <c r="N1266" s="1396">
        <f>IF(raw[[#This Row],[city]]="","-",IF(raw[[#This Row],[cont]]="B",raw[[#This Row],[cont]],"W"))</f>
        <v/>
      </c>
      <c r="O1266" s="1397">
        <f>IF(raw[[#This Row],[out]]=0,0,IF(raw[[#This Row],[out]]=raw[[#This Row],[in]],0.01,raw[[#This Row],[out]]-raw[[#This Row],[in]]))</f>
        <v/>
      </c>
      <c r="P1266" s="1397">
        <f>IF(raw[[#This Row],[in]]=0,0,MONTH(raw[[#This Row],[in]]))</f>
        <v/>
      </c>
      <c r="Q1266" s="1397">
        <f>IF(raw[[#This Row],[in]]=0,0,YEAR(raw[[#This Row],[in]]))</f>
        <v/>
      </c>
      <c r="R1266" s="1397">
        <f>INT(raw[[#This Row],[yr]]/10)*10</f>
        <v/>
      </c>
      <c r="S1266" s="1395">
        <f>IF(raw[[#This Row],[city]]="","-",IF(raw[[#This Row],[city]]&lt;&gt;_xlfn.XLOOKUP(raw[[#This Row],[home]],homes[home],homes[city],"-"),1,0))</f>
        <v/>
      </c>
      <c r="T1266" s="1398" t="inlineStr">
        <is>
          <t>.</t>
        </is>
      </c>
      <c r="U1266" s="1399">
        <f>IF(raw[[#This Row],[wb]]="w",raw[[#This Row],[stay]]+U1265,U1265)</f>
        <v/>
      </c>
      <c r="V1266" s="1400">
        <f>IF(raw[[#This Row],[out]]=0,V1265,(raw[[#This Row],[out]]-E$5))</f>
        <v/>
      </c>
      <c r="W1266" s="1401">
        <f>U1266/V1266</f>
        <v/>
      </c>
      <c r="X1266" s="1392" t="n"/>
      <c r="Y1266" s="1392" t="n"/>
      <c r="Z1266" s="1392" t="n"/>
      <c r="AA1266" s="1392" t="n"/>
      <c r="AB1266" s="1392" t="n"/>
      <c r="AC1266" s="1392" t="n"/>
      <c r="AD1266" s="1392" t="n"/>
      <c r="AE1266" s="1392" t="n"/>
      <c r="AF1266" s="1392" t="n"/>
      <c r="AG1266" s="1392" t="n"/>
      <c r="AH1266" s="1392" t="n"/>
      <c r="AI1266" s="1392" t="n"/>
      <c r="AJ1266" s="1392" t="n"/>
      <c r="AK1266" s="1392" t="n"/>
      <c r="AL1266" s="1392" t="n"/>
      <c r="AM1266" s="1392" t="n"/>
      <c r="AN1266" s="1392" t="n"/>
      <c r="AO1266" s="1392" t="n"/>
      <c r="AP1266" s="1392" t="n"/>
      <c r="AQ1266" s="1392" t="n"/>
      <c r="AR1266" s="1422" t="n"/>
      <c r="AS1266" s="1422" t="n"/>
      <c r="AT1266" s="1392" t="n"/>
      <c r="AU1266" s="1392" t="n"/>
      <c r="AV1266" s="1392" t="n"/>
      <c r="AW1266" s="1392" t="n"/>
      <c r="AX1266" s="1392" t="n"/>
      <c r="AY1266" s="1392" t="n"/>
      <c r="AZ1266" s="1392" t="n"/>
      <c r="BA1266" s="1422" t="n"/>
      <c r="BB1266" s="1422" t="n"/>
      <c r="BC1266" s="1392" t="n"/>
      <c r="BD1266" s="1392" t="n"/>
      <c r="BE1266" s="1392" t="n"/>
      <c r="BF1266" s="1392" t="n"/>
      <c r="BG1266" s="1392" t="n"/>
      <c r="BH1266" s="1392" t="n"/>
      <c r="BI1266" s="1392" t="n"/>
      <c r="BJ1266" s="1392" t="n"/>
      <c r="BK1266" s="1392" t="n"/>
      <c r="BL1266" s="1392" t="n"/>
      <c r="BM1266" s="1392" t="n"/>
      <c r="BN1266" s="1392" t="n"/>
      <c r="BO1266" s="1392" t="n"/>
      <c r="BP1266" s="1392" t="n"/>
      <c r="BQ1266" s="1392" t="n"/>
      <c r="BR1266" s="1392" t="n"/>
      <c r="BS1266" s="1392" t="n"/>
      <c r="BT1266" s="1392" t="n"/>
      <c r="BU1266" s="1392" t="n"/>
      <c r="BV1266" s="1392" t="n"/>
      <c r="BW1266" s="1392" t="n"/>
      <c r="BX1266" s="1392" t="n"/>
      <c r="BY1266" s="1392" t="n"/>
      <c r="BZ1266" s="1392" t="n"/>
      <c r="CA1266" s="1392" t="n"/>
      <c r="CB1266" s="1392" t="n"/>
      <c r="CC1266" s="1392" t="n"/>
      <c r="CD1266" s="1392" t="n"/>
      <c r="CE1266" s="1392" t="n"/>
      <c r="CF1266" s="1392" t="n"/>
      <c r="CG1266" s="1392" t="n"/>
      <c r="CH1266" s="1392" t="n"/>
      <c r="CI1266" s="1392" t="n"/>
      <c r="CJ1266" s="1392" t="n"/>
      <c r="CK1266" s="1392" t="n"/>
      <c r="CL1266" s="1392" t="n"/>
    </row>
    <row r="1267">
      <c r="A1267" s="5" t="inlineStr">
        <is>
          <t>.</t>
        </is>
      </c>
      <c r="B1267" s="5" t="inlineStr">
        <is>
          <t>.</t>
        </is>
      </c>
      <c r="C1267" s="1378">
        <f>IF(raw[[#This Row],[city]]="","-",IF(raw[[#This Row],[city]]="TODAY","-",C1266+1))</f>
        <v/>
      </c>
      <c r="D1267" s="1393" t="inlineStr">
        <is>
          <t>Montreal</t>
        </is>
      </c>
      <c r="E1267" s="1394" t="n">
        <v>41122</v>
      </c>
      <c r="F1267" s="1394" t="n">
        <v>41153</v>
      </c>
      <c r="G1267" s="1393" t="inlineStr">
        <is>
          <t>-</t>
        </is>
      </c>
      <c r="H1267" s="1393" t="inlineStr">
        <is>
          <t>Lasalle</t>
        </is>
      </c>
      <c r="I1267" s="1393" t="inlineStr">
        <is>
          <t>-</t>
        </is>
      </c>
      <c r="J1267" s="1393" t="inlineStr">
        <is>
          <t>BDAY</t>
        </is>
      </c>
      <c r="K1267" s="1395">
        <f>IF(raw[[#This Row],[city]]&lt;&gt;"",_xlfn.XLOOKUP($D1267,ccc[city],ccc[prov],"-"),"-")</f>
        <v/>
      </c>
      <c r="L1267" s="1395">
        <f>IF(raw[[#This Row],[city]]&lt;&gt;"",_xlfn.XLOOKUP($D1267,ccc[city],ccc[ctry],"-"),"-")</f>
        <v/>
      </c>
      <c r="M1267" s="1395">
        <f>IF(raw[[#This Row],[city]]&lt;&gt;"",_xlfn.XLOOKUP($D1267,ccc[city],ccc[cont],"-"),"-")</f>
        <v/>
      </c>
      <c r="N1267" s="1396">
        <f>IF(raw[[#This Row],[city]]="","-",IF(raw[[#This Row],[cont]]="B",raw[[#This Row],[cont]],"W"))</f>
        <v/>
      </c>
      <c r="O1267" s="1397">
        <f>IF(raw[[#This Row],[out]]=0,0,IF(raw[[#This Row],[out]]=raw[[#This Row],[in]],0.01,raw[[#This Row],[out]]-raw[[#This Row],[in]]))</f>
        <v/>
      </c>
      <c r="P1267" s="1397">
        <f>IF(raw[[#This Row],[in]]=0,0,MONTH(raw[[#This Row],[in]]))</f>
        <v/>
      </c>
      <c r="Q1267" s="1397">
        <f>IF(raw[[#This Row],[in]]=0,0,YEAR(raw[[#This Row],[in]]))</f>
        <v/>
      </c>
      <c r="R1267" s="1397">
        <f>INT(raw[[#This Row],[yr]]/10)*10</f>
        <v/>
      </c>
      <c r="S1267" s="1395">
        <f>IF(raw[[#This Row],[city]]="","-",IF(raw[[#This Row],[city]]&lt;&gt;_xlfn.XLOOKUP(raw[[#This Row],[home]],homes[home],homes[city],"-"),1,0))</f>
        <v/>
      </c>
      <c r="T1267" s="1398" t="inlineStr">
        <is>
          <t>.</t>
        </is>
      </c>
      <c r="U1267" s="1399">
        <f>IF(raw[[#This Row],[wb]]="w",raw[[#This Row],[stay]]+U1266,U1266)</f>
        <v/>
      </c>
      <c r="V1267" s="1400">
        <f>IF(raw[[#This Row],[out]]=0,V1266,(raw[[#This Row],[out]]-E$5))</f>
        <v/>
      </c>
      <c r="W1267" s="1401">
        <f>U1267/V1267</f>
        <v/>
      </c>
      <c r="X1267" s="1392" t="n"/>
      <c r="Y1267" s="1392" t="n"/>
      <c r="Z1267" s="1392" t="n"/>
      <c r="AA1267" s="1392" t="n"/>
      <c r="AB1267" s="1392" t="n"/>
      <c r="AC1267" s="1392" t="n"/>
      <c r="AD1267" s="1392" t="n"/>
      <c r="AE1267" s="1392" t="n"/>
      <c r="AF1267" s="1392" t="n"/>
      <c r="AG1267" s="1392" t="n"/>
      <c r="AH1267" s="1392" t="n"/>
      <c r="AI1267" s="1392" t="n"/>
      <c r="AJ1267" s="1392" t="n"/>
      <c r="AK1267" s="1392" t="n"/>
      <c r="AL1267" s="1392" t="n"/>
      <c r="AM1267" s="1392" t="n"/>
      <c r="AN1267" s="1392" t="n"/>
      <c r="AO1267" s="1392" t="n"/>
      <c r="AP1267" s="1392" t="n"/>
      <c r="AQ1267" s="1392" t="n"/>
      <c r="AR1267" s="1422" t="n"/>
      <c r="AS1267" s="1422" t="n"/>
      <c r="AT1267" s="1392" t="n"/>
      <c r="AU1267" s="1392" t="n"/>
      <c r="AV1267" s="1392" t="n"/>
      <c r="AW1267" s="1392" t="n"/>
      <c r="AX1267" s="1392" t="n"/>
      <c r="AY1267" s="1392" t="n"/>
      <c r="AZ1267" s="1392" t="n"/>
      <c r="BA1267" s="1422" t="n"/>
      <c r="BB1267" s="1422" t="n"/>
      <c r="BC1267" s="1392" t="n"/>
      <c r="BD1267" s="1392" t="n"/>
      <c r="BE1267" s="1392" t="n"/>
      <c r="BF1267" s="1392" t="n"/>
      <c r="BG1267" s="1392" t="n"/>
      <c r="BH1267" s="1392" t="n"/>
      <c r="BI1267" s="1392" t="n"/>
      <c r="BJ1267" s="1392" t="n"/>
      <c r="BK1267" s="1392" t="n"/>
      <c r="BL1267" s="1392" t="n"/>
      <c r="BM1267" s="1392" t="n"/>
      <c r="BN1267" s="1392" t="n"/>
      <c r="BO1267" s="1392" t="n"/>
      <c r="BP1267" s="1392" t="n"/>
      <c r="BQ1267" s="1392" t="n"/>
      <c r="BR1267" s="1392" t="n"/>
      <c r="BS1267" s="1392" t="n"/>
      <c r="BT1267" s="1392" t="n"/>
      <c r="BU1267" s="1392" t="n"/>
      <c r="BV1267" s="1392" t="n"/>
      <c r="BW1267" s="1392" t="n"/>
      <c r="BX1267" s="1392" t="n"/>
      <c r="BY1267" s="1392" t="n"/>
      <c r="BZ1267" s="1392" t="n"/>
      <c r="CA1267" s="1392" t="n"/>
      <c r="CB1267" s="1392" t="n"/>
      <c r="CC1267" s="1392" t="n"/>
      <c r="CD1267" s="1392" t="n"/>
      <c r="CE1267" s="1392" t="n"/>
      <c r="CF1267" s="1392" t="n"/>
      <c r="CG1267" s="1392" t="n"/>
      <c r="CH1267" s="1392" t="n"/>
      <c r="CI1267" s="1392" t="n"/>
      <c r="CJ1267" s="1392" t="n"/>
      <c r="CK1267" s="1392" t="n"/>
      <c r="CL1267" s="1392" t="n"/>
    </row>
    <row r="1268">
      <c r="A1268" s="5" t="inlineStr">
        <is>
          <t>.</t>
        </is>
      </c>
      <c r="B1268" s="5" t="inlineStr">
        <is>
          <t>.</t>
        </is>
      </c>
      <c r="C1268" s="1378">
        <f>IF(raw[[#This Row],[city]]="","-",IF(raw[[#This Row],[city]]="TODAY","-",C1267+1))</f>
        <v/>
      </c>
      <c r="D1268" s="1393" t="inlineStr">
        <is>
          <t>Ottawa</t>
        </is>
      </c>
      <c r="E1268" s="1394" t="n">
        <v>41147</v>
      </c>
      <c r="F1268" s="1394" t="n">
        <v>41147</v>
      </c>
      <c r="G1268" s="1393" t="inlineStr">
        <is>
          <t>-</t>
        </is>
      </c>
      <c r="H1268" s="1393" t="inlineStr">
        <is>
          <t>Lasalle</t>
        </is>
      </c>
      <c r="I1268" s="1393" t="inlineStr">
        <is>
          <t>-</t>
        </is>
      </c>
      <c r="J1268" s="1393" t="inlineStr">
        <is>
          <t>-</t>
        </is>
      </c>
      <c r="K1268" s="1395">
        <f>IF(raw[[#This Row],[city]]&lt;&gt;"",_xlfn.XLOOKUP($D1268,ccc[city],ccc[prov],"-"),"-")</f>
        <v/>
      </c>
      <c r="L1268" s="1395">
        <f>IF(raw[[#This Row],[city]]&lt;&gt;"",_xlfn.XLOOKUP($D1268,ccc[city],ccc[ctry],"-"),"-")</f>
        <v/>
      </c>
      <c r="M1268" s="1395">
        <f>IF(raw[[#This Row],[city]]&lt;&gt;"",_xlfn.XLOOKUP($D1268,ccc[city],ccc[cont],"-"),"-")</f>
        <v/>
      </c>
      <c r="N1268" s="1396">
        <f>IF(raw[[#This Row],[city]]="","-",IF(raw[[#This Row],[cont]]="B",raw[[#This Row],[cont]],"W"))</f>
        <v/>
      </c>
      <c r="O1268" s="1397">
        <f>IF(raw[[#This Row],[out]]=0,0,IF(raw[[#This Row],[out]]=raw[[#This Row],[in]],0.01,raw[[#This Row],[out]]-raw[[#This Row],[in]]))</f>
        <v/>
      </c>
      <c r="P1268" s="1397">
        <f>IF(raw[[#This Row],[in]]=0,0,MONTH(raw[[#This Row],[in]]))</f>
        <v/>
      </c>
      <c r="Q1268" s="1397">
        <f>IF(raw[[#This Row],[in]]=0,0,YEAR(raw[[#This Row],[in]]))</f>
        <v/>
      </c>
      <c r="R1268" s="1397">
        <f>INT(raw[[#This Row],[yr]]/10)*10</f>
        <v/>
      </c>
      <c r="S1268" s="1395">
        <f>IF(raw[[#This Row],[city]]="","-",IF(raw[[#This Row],[city]]&lt;&gt;_xlfn.XLOOKUP(raw[[#This Row],[home]],homes[home],homes[city],"-"),1,0))</f>
        <v/>
      </c>
      <c r="T1268" s="1398" t="inlineStr">
        <is>
          <t>.</t>
        </is>
      </c>
      <c r="U1268" s="1399">
        <f>IF(raw[[#This Row],[wb]]="w",raw[[#This Row],[stay]]+U1267,U1267)</f>
        <v/>
      </c>
      <c r="V1268" s="1400">
        <f>IF(raw[[#This Row],[out]]=0,V1267,(raw[[#This Row],[out]]-E$5))</f>
        <v/>
      </c>
      <c r="W1268" s="1401">
        <f>U1268/V1268</f>
        <v/>
      </c>
      <c r="X1268" s="1392" t="n"/>
      <c r="Y1268" s="1392" t="n"/>
      <c r="Z1268" s="1392" t="n"/>
      <c r="AA1268" s="1392" t="n"/>
      <c r="AB1268" s="1392" t="n"/>
      <c r="AC1268" s="1392" t="n"/>
      <c r="AD1268" s="1392" t="n"/>
      <c r="AE1268" s="1392" t="n"/>
      <c r="AF1268" s="1392" t="n"/>
      <c r="AG1268" s="1392" t="n"/>
      <c r="AH1268" s="1392" t="n"/>
      <c r="AI1268" s="1392" t="n"/>
      <c r="AJ1268" s="1392" t="n"/>
      <c r="AK1268" s="1392" t="n"/>
      <c r="AL1268" s="1392" t="n"/>
      <c r="AM1268" s="1392" t="n"/>
      <c r="AN1268" s="1392" t="n"/>
      <c r="AO1268" s="1392" t="n"/>
      <c r="AP1268" s="1392" t="n"/>
      <c r="AQ1268" s="1392" t="n"/>
      <c r="AR1268" s="1422" t="n"/>
      <c r="AS1268" s="1422" t="n"/>
      <c r="AT1268" s="1392" t="n"/>
      <c r="AU1268" s="1392" t="n"/>
      <c r="AV1268" s="1392" t="n"/>
      <c r="AW1268" s="1392" t="n"/>
      <c r="AX1268" s="1392" t="n"/>
      <c r="AY1268" s="1392" t="n"/>
      <c r="AZ1268" s="1392" t="n"/>
      <c r="BA1268" s="1422" t="n"/>
      <c r="BB1268" s="1422" t="n"/>
      <c r="BC1268" s="1392" t="n"/>
      <c r="BD1268" s="1392" t="n"/>
      <c r="BE1268" s="1392" t="n"/>
      <c r="BF1268" s="1392" t="n"/>
      <c r="BG1268" s="1392" t="n"/>
      <c r="BH1268" s="1392" t="n"/>
      <c r="BI1268" s="1392" t="n"/>
      <c r="BJ1268" s="1392" t="n"/>
      <c r="BK1268" s="1392" t="n"/>
      <c r="BL1268" s="1392" t="n"/>
      <c r="BM1268" s="1392" t="n"/>
      <c r="BN1268" s="1392" t="n"/>
      <c r="BO1268" s="1392" t="n"/>
      <c r="BP1268" s="1392" t="n"/>
      <c r="BQ1268" s="1392" t="n"/>
      <c r="BR1268" s="1392" t="n"/>
      <c r="BS1268" s="1392" t="n"/>
      <c r="BT1268" s="1392" t="n"/>
      <c r="BU1268" s="1392" t="n"/>
      <c r="BV1268" s="1392" t="n"/>
      <c r="BW1268" s="1392" t="n"/>
      <c r="BX1268" s="1392" t="n"/>
      <c r="BY1268" s="1392" t="n"/>
      <c r="BZ1268" s="1392" t="n"/>
      <c r="CA1268" s="1392" t="n"/>
      <c r="CB1268" s="1392" t="n"/>
      <c r="CC1268" s="1392" t="n"/>
      <c r="CD1268" s="1392" t="n"/>
      <c r="CE1268" s="1392" t="n"/>
      <c r="CF1268" s="1392" t="n"/>
      <c r="CG1268" s="1392" t="n"/>
      <c r="CH1268" s="1392" t="n"/>
      <c r="CI1268" s="1392" t="n"/>
      <c r="CJ1268" s="1392" t="n"/>
      <c r="CK1268" s="1392" t="n"/>
      <c r="CL1268" s="1392" t="n"/>
    </row>
    <row r="1269">
      <c r="A1269" s="5" t="inlineStr">
        <is>
          <t>.</t>
        </is>
      </c>
      <c r="B1269" s="5" t="inlineStr">
        <is>
          <t>.</t>
        </is>
      </c>
      <c r="C1269" s="1378">
        <f>IF(raw[[#This Row],[city]]="","-",IF(raw[[#This Row],[city]]="TODAY","-",C1268+1))</f>
        <v/>
      </c>
      <c r="D1269" s="1393" t="inlineStr">
        <is>
          <t>Montreal</t>
        </is>
      </c>
      <c r="E1269" s="1394" t="n">
        <v>41153</v>
      </c>
      <c r="F1269" s="1394" t="n">
        <v>41178</v>
      </c>
      <c r="G1269" s="1393" t="n">
        <v>1</v>
      </c>
      <c r="H1269" s="1393" t="inlineStr">
        <is>
          <t>Lasalle</t>
        </is>
      </c>
      <c r="I1269" s="1393" t="inlineStr">
        <is>
          <t>-</t>
        </is>
      </c>
      <c r="J1269" s="1393" t="inlineStr">
        <is>
          <t>-</t>
        </is>
      </c>
      <c r="K1269" s="1395">
        <f>IF(raw[[#This Row],[city]]&lt;&gt;"",_xlfn.XLOOKUP($D1269,ccc[city],ccc[prov],"-"),"-")</f>
        <v/>
      </c>
      <c r="L1269" s="1395">
        <f>IF(raw[[#This Row],[city]]&lt;&gt;"",_xlfn.XLOOKUP($D1269,ccc[city],ccc[ctry],"-"),"-")</f>
        <v/>
      </c>
      <c r="M1269" s="1395">
        <f>IF(raw[[#This Row],[city]]&lt;&gt;"",_xlfn.XLOOKUP($D1269,ccc[city],ccc[cont],"-"),"-")</f>
        <v/>
      </c>
      <c r="N1269" s="1396">
        <f>IF(raw[[#This Row],[city]]="","-",IF(raw[[#This Row],[cont]]="B",raw[[#This Row],[cont]],"W"))</f>
        <v/>
      </c>
      <c r="O1269" s="1397">
        <f>IF(raw[[#This Row],[out]]=0,0,IF(raw[[#This Row],[out]]=raw[[#This Row],[in]],0.01,raw[[#This Row],[out]]-raw[[#This Row],[in]]))</f>
        <v/>
      </c>
      <c r="P1269" s="1397">
        <f>IF(raw[[#This Row],[in]]=0,0,MONTH(raw[[#This Row],[in]]))</f>
        <v/>
      </c>
      <c r="Q1269" s="1397">
        <f>IF(raw[[#This Row],[in]]=0,0,YEAR(raw[[#This Row],[in]]))</f>
        <v/>
      </c>
      <c r="R1269" s="1397">
        <f>INT(raw[[#This Row],[yr]]/10)*10</f>
        <v/>
      </c>
      <c r="S1269" s="1395">
        <f>IF(raw[[#This Row],[city]]="","-",IF(raw[[#This Row],[city]]&lt;&gt;_xlfn.XLOOKUP(raw[[#This Row],[home]],homes[home],homes[city],"-"),1,0))</f>
        <v/>
      </c>
      <c r="T1269" s="1398" t="inlineStr">
        <is>
          <t>.</t>
        </is>
      </c>
      <c r="U1269" s="1399">
        <f>IF(raw[[#This Row],[wb]]="w",raw[[#This Row],[stay]]+U1268,U1268)</f>
        <v/>
      </c>
      <c r="V1269" s="1400">
        <f>IF(raw[[#This Row],[out]]=0,V1268,(raw[[#This Row],[out]]-E$5))</f>
        <v/>
      </c>
      <c r="W1269" s="1401">
        <f>U1269/V1269</f>
        <v/>
      </c>
      <c r="X1269" s="1392" t="n"/>
      <c r="Y1269" s="1392" t="n"/>
      <c r="Z1269" s="1392" t="n"/>
      <c r="AA1269" s="1392" t="n"/>
      <c r="AB1269" s="1392" t="n"/>
      <c r="AC1269" s="1392" t="n"/>
      <c r="AD1269" s="1392" t="n"/>
      <c r="AE1269" s="1392" t="n"/>
      <c r="AF1269" s="1392" t="n"/>
      <c r="AG1269" s="1392" t="n"/>
      <c r="AH1269" s="1392" t="n"/>
      <c r="AI1269" s="1392" t="n"/>
      <c r="AJ1269" s="1392" t="n"/>
      <c r="AK1269" s="1392" t="n"/>
      <c r="AL1269" s="1392" t="n"/>
      <c r="AM1269" s="1392" t="n"/>
      <c r="AN1269" s="1392" t="n"/>
      <c r="AO1269" s="1392" t="n"/>
      <c r="AP1269" s="1392" t="n"/>
      <c r="AQ1269" s="1392" t="n"/>
      <c r="AR1269" s="1422" t="n"/>
      <c r="AS1269" s="1422" t="n"/>
      <c r="AT1269" s="1392" t="n"/>
      <c r="AU1269" s="1392" t="n"/>
      <c r="AV1269" s="1392" t="n"/>
      <c r="AW1269" s="1392" t="n"/>
      <c r="AX1269" s="1392" t="n"/>
      <c r="AY1269" s="1392" t="n"/>
      <c r="AZ1269" s="1392" t="n"/>
      <c r="BA1269" s="1422" t="n"/>
      <c r="BB1269" s="1422" t="n"/>
      <c r="BC1269" s="1392" t="n"/>
      <c r="BD1269" s="1392" t="n"/>
      <c r="BE1269" s="1392" t="n"/>
      <c r="BF1269" s="1392" t="n"/>
      <c r="BG1269" s="1392" t="n"/>
      <c r="BH1269" s="1392" t="n"/>
      <c r="BI1269" s="1392" t="n"/>
      <c r="BJ1269" s="1392" t="n"/>
      <c r="BK1269" s="1392" t="n"/>
      <c r="BL1269" s="1392" t="n"/>
      <c r="BM1269" s="1392" t="n"/>
      <c r="BN1269" s="1392" t="n"/>
      <c r="BO1269" s="1392" t="n"/>
      <c r="BP1269" s="1392" t="n"/>
      <c r="BQ1269" s="1392" t="n"/>
      <c r="BR1269" s="1392" t="n"/>
      <c r="BS1269" s="1392" t="n"/>
      <c r="BT1269" s="1392" t="n"/>
      <c r="BU1269" s="1392" t="n"/>
      <c r="BV1269" s="1392" t="n"/>
      <c r="BW1269" s="1392" t="n"/>
      <c r="BX1269" s="1392" t="n"/>
      <c r="BY1269" s="1392" t="n"/>
      <c r="BZ1269" s="1392" t="n"/>
      <c r="CA1269" s="1392" t="n"/>
      <c r="CB1269" s="1392" t="n"/>
      <c r="CC1269" s="1392" t="n"/>
      <c r="CD1269" s="1392" t="n"/>
      <c r="CE1269" s="1392" t="n"/>
      <c r="CF1269" s="1392" t="n"/>
      <c r="CG1269" s="1392" t="n"/>
      <c r="CH1269" s="1392" t="n"/>
      <c r="CI1269" s="1392" t="n"/>
      <c r="CJ1269" s="1392" t="n"/>
      <c r="CK1269" s="1392" t="n"/>
      <c r="CL1269" s="1392" t="n"/>
    </row>
    <row r="1270">
      <c r="A1270" s="5" t="inlineStr">
        <is>
          <t>.</t>
        </is>
      </c>
      <c r="B1270" s="5" t="inlineStr">
        <is>
          <t>.</t>
        </is>
      </c>
      <c r="C1270" s="1378">
        <f>IF(raw[[#This Row],[city]]="","-",IF(raw[[#This Row],[city]]="TODAY","-",C1269+1))</f>
        <v/>
      </c>
      <c r="D1270" s="1393" t="inlineStr">
        <is>
          <t>Detroit</t>
        </is>
      </c>
      <c r="E1270" s="1394" t="n">
        <v>41178</v>
      </c>
      <c r="F1270" s="1394" t="n">
        <v>41178</v>
      </c>
      <c r="G1270" s="1393" t="n">
        <v>0.01</v>
      </c>
      <c r="H1270" s="1393" t="inlineStr">
        <is>
          <t>Lasalle</t>
        </is>
      </c>
      <c r="I1270" s="1393" t="inlineStr">
        <is>
          <t>-</t>
        </is>
      </c>
      <c r="J1270" s="1393" t="inlineStr">
        <is>
          <t>-</t>
        </is>
      </c>
      <c r="K1270" s="1395">
        <f>IF(raw[[#This Row],[city]]&lt;&gt;"",_xlfn.XLOOKUP($D1270,ccc[city],ccc[prov],"-"),"-")</f>
        <v/>
      </c>
      <c r="L1270" s="1395">
        <f>IF(raw[[#This Row],[city]]&lt;&gt;"",_xlfn.XLOOKUP($D1270,ccc[city],ccc[ctry],"-"),"-")</f>
        <v/>
      </c>
      <c r="M1270" s="1395">
        <f>IF(raw[[#This Row],[city]]&lt;&gt;"",_xlfn.XLOOKUP($D1270,ccc[city],ccc[cont],"-"),"-")</f>
        <v/>
      </c>
      <c r="N1270" s="1396">
        <f>IF(raw[[#This Row],[city]]="","-",IF(raw[[#This Row],[cont]]="B",raw[[#This Row],[cont]],"W"))</f>
        <v/>
      </c>
      <c r="O1270" s="1397">
        <f>IF(raw[[#This Row],[out]]=0,0,IF(raw[[#This Row],[out]]=raw[[#This Row],[in]],0.01,raw[[#This Row],[out]]-raw[[#This Row],[in]]))</f>
        <v/>
      </c>
      <c r="P1270" s="1397">
        <f>IF(raw[[#This Row],[in]]=0,0,MONTH(raw[[#This Row],[in]]))</f>
        <v/>
      </c>
      <c r="Q1270" s="1397">
        <f>IF(raw[[#This Row],[in]]=0,0,YEAR(raw[[#This Row],[in]]))</f>
        <v/>
      </c>
      <c r="R1270" s="1397">
        <f>INT(raw[[#This Row],[yr]]/10)*10</f>
        <v/>
      </c>
      <c r="S1270" s="1395">
        <f>IF(raw[[#This Row],[city]]="","-",IF(raw[[#This Row],[city]]&lt;&gt;_xlfn.XLOOKUP(raw[[#This Row],[home]],homes[home],homes[city],"-"),1,0))</f>
        <v/>
      </c>
      <c r="T1270" s="1398" t="inlineStr">
        <is>
          <t>.</t>
        </is>
      </c>
      <c r="U1270" s="1399">
        <f>IF(raw[[#This Row],[wb]]="w",raw[[#This Row],[stay]]+U1269,U1269)</f>
        <v/>
      </c>
      <c r="V1270" s="1400">
        <f>IF(raw[[#This Row],[out]]=0,V1269,(raw[[#This Row],[out]]-E$5))</f>
        <v/>
      </c>
      <c r="W1270" s="1401">
        <f>U1270/V1270</f>
        <v/>
      </c>
      <c r="X1270" s="1392" t="n"/>
      <c r="Y1270" s="1392" t="n"/>
      <c r="Z1270" s="1392" t="n"/>
      <c r="AA1270" s="1392" t="n"/>
      <c r="AB1270" s="1392" t="n"/>
      <c r="AC1270" s="1392" t="n"/>
      <c r="AD1270" s="1392" t="n"/>
      <c r="AE1270" s="1392" t="n"/>
      <c r="AF1270" s="1392" t="n"/>
      <c r="AG1270" s="1392" t="n"/>
      <c r="AH1270" s="1392" t="n"/>
      <c r="AI1270" s="1392" t="n"/>
      <c r="AJ1270" s="1392" t="n"/>
      <c r="AK1270" s="1392" t="n"/>
      <c r="AL1270" s="1392" t="n"/>
      <c r="AM1270" s="1392" t="n"/>
      <c r="AN1270" s="1392" t="n"/>
      <c r="AO1270" s="1392" t="n"/>
      <c r="AP1270" s="1392" t="n"/>
      <c r="AQ1270" s="1392" t="n"/>
      <c r="AR1270" s="1422" t="n"/>
      <c r="AS1270" s="1422" t="n"/>
      <c r="AT1270" s="1392" t="n"/>
      <c r="AU1270" s="1392" t="n"/>
      <c r="AV1270" s="1392" t="n"/>
      <c r="AW1270" s="1392" t="n"/>
      <c r="AX1270" s="1392" t="n"/>
      <c r="AY1270" s="1392" t="n"/>
      <c r="AZ1270" s="1392" t="n"/>
      <c r="BA1270" s="1422" t="n"/>
      <c r="BB1270" s="1422" t="n"/>
      <c r="BC1270" s="1392" t="n"/>
      <c r="BD1270" s="1392" t="n"/>
      <c r="BE1270" s="1392" t="n"/>
      <c r="BF1270" s="1392" t="n"/>
      <c r="BG1270" s="1392" t="n"/>
      <c r="BH1270" s="1392" t="n"/>
      <c r="BI1270" s="1392" t="n"/>
      <c r="BJ1270" s="1392" t="n"/>
      <c r="BK1270" s="1392" t="n"/>
      <c r="BL1270" s="1392" t="n"/>
      <c r="BM1270" s="1392" t="n"/>
      <c r="BN1270" s="1392" t="n"/>
      <c r="BO1270" s="1392" t="n"/>
      <c r="BP1270" s="1392" t="n"/>
      <c r="BQ1270" s="1392" t="n"/>
      <c r="BR1270" s="1392" t="n"/>
      <c r="BS1270" s="1392" t="n"/>
      <c r="BT1270" s="1392" t="n"/>
      <c r="BU1270" s="1392" t="n"/>
      <c r="BV1270" s="1392" t="n"/>
      <c r="BW1270" s="1392" t="n"/>
      <c r="BX1270" s="1392" t="n"/>
      <c r="BY1270" s="1392" t="n"/>
      <c r="BZ1270" s="1392" t="n"/>
      <c r="CA1270" s="1392" t="n"/>
      <c r="CB1270" s="1392" t="n"/>
      <c r="CC1270" s="1392" t="n"/>
      <c r="CD1270" s="1392" t="n"/>
      <c r="CE1270" s="1392" t="n"/>
      <c r="CF1270" s="1392" t="n"/>
      <c r="CG1270" s="1392" t="n"/>
      <c r="CH1270" s="1392" t="n"/>
      <c r="CI1270" s="1392" t="n"/>
      <c r="CJ1270" s="1392" t="n"/>
      <c r="CK1270" s="1392" t="n"/>
      <c r="CL1270" s="1392" t="n"/>
    </row>
    <row r="1271">
      <c r="A1271" s="5" t="inlineStr">
        <is>
          <t>.</t>
        </is>
      </c>
      <c r="B1271" s="5" t="inlineStr">
        <is>
          <t>.</t>
        </is>
      </c>
      <c r="C1271" s="1378">
        <f>IF(raw[[#This Row],[city]]="","-",IF(raw[[#This Row],[city]]="TODAY","-",C1270+1))</f>
        <v/>
      </c>
      <c r="D1271" s="1393" t="inlineStr">
        <is>
          <t>AIR</t>
        </is>
      </c>
      <c r="E1271" s="1394" t="n">
        <v>41178</v>
      </c>
      <c r="F1271" s="1394" t="n">
        <v>41179</v>
      </c>
      <c r="G1271" s="1393" t="inlineStr">
        <is>
          <t>x</t>
        </is>
      </c>
      <c r="H1271" s="1393" t="inlineStr">
        <is>
          <t>Lasalle</t>
        </is>
      </c>
      <c r="I1271" s="1393" t="inlineStr">
        <is>
          <t>-</t>
        </is>
      </c>
      <c r="J1271" s="1393" t="inlineStr">
        <is>
          <t>-</t>
        </is>
      </c>
      <c r="K1271" s="1395">
        <f>IF(raw[[#This Row],[city]]&lt;&gt;"",_xlfn.XLOOKUP($D1271,ccc[city],ccc[prov],"-"),"-")</f>
        <v/>
      </c>
      <c r="L1271" s="1395">
        <f>IF(raw[[#This Row],[city]]&lt;&gt;"",_xlfn.XLOOKUP($D1271,ccc[city],ccc[ctry],"-"),"-")</f>
        <v/>
      </c>
      <c r="M1271" s="1395">
        <f>IF(raw[[#This Row],[city]]&lt;&gt;"",_xlfn.XLOOKUP($D1271,ccc[city],ccc[cont],"-"),"-")</f>
        <v/>
      </c>
      <c r="N1271" s="1396">
        <f>IF(raw[[#This Row],[city]]="","-",IF(raw[[#This Row],[cont]]="B",raw[[#This Row],[cont]],"W"))</f>
        <v/>
      </c>
      <c r="O1271" s="1397">
        <f>IF(raw[[#This Row],[out]]=0,0,IF(raw[[#This Row],[out]]=raw[[#This Row],[in]],0.01,raw[[#This Row],[out]]-raw[[#This Row],[in]]))</f>
        <v/>
      </c>
      <c r="P1271" s="1397">
        <f>IF(raw[[#This Row],[in]]=0,0,MONTH(raw[[#This Row],[in]]))</f>
        <v/>
      </c>
      <c r="Q1271" s="1397">
        <f>IF(raw[[#This Row],[in]]=0,0,YEAR(raw[[#This Row],[in]]))</f>
        <v/>
      </c>
      <c r="R1271" s="1397">
        <f>INT(raw[[#This Row],[yr]]/10)*10</f>
        <v/>
      </c>
      <c r="S1271" s="1395">
        <f>IF(raw[[#This Row],[city]]="","-",IF(raw[[#This Row],[city]]&lt;&gt;_xlfn.XLOOKUP(raw[[#This Row],[home]],homes[home],homes[city],"-"),1,0))</f>
        <v/>
      </c>
      <c r="T1271" s="1398" t="inlineStr">
        <is>
          <t>.</t>
        </is>
      </c>
      <c r="U1271" s="1399">
        <f>IF(raw[[#This Row],[wb]]="w",raw[[#This Row],[stay]]+U1270,U1270)</f>
        <v/>
      </c>
      <c r="V1271" s="1400">
        <f>IF(raw[[#This Row],[out]]=0,V1270,(raw[[#This Row],[out]]-E$5))</f>
        <v/>
      </c>
      <c r="W1271" s="1401">
        <f>U1271/V1271</f>
        <v/>
      </c>
      <c r="X1271" s="1392" t="n"/>
      <c r="Y1271" s="1392" t="n"/>
      <c r="Z1271" s="1392" t="n"/>
      <c r="AA1271" s="1392" t="n"/>
      <c r="AB1271" s="1392" t="n"/>
      <c r="AC1271" s="1392" t="n"/>
      <c r="AD1271" s="1392" t="n"/>
      <c r="AE1271" s="1392" t="n"/>
      <c r="AF1271" s="1392" t="n"/>
      <c r="AG1271" s="1392" t="n"/>
      <c r="AH1271" s="1392" t="n"/>
      <c r="AI1271" s="1392" t="n"/>
      <c r="AJ1271" s="1392" t="n"/>
      <c r="AK1271" s="1392" t="n"/>
      <c r="AL1271" s="1392" t="n"/>
      <c r="AM1271" s="1392" t="n"/>
      <c r="AN1271" s="1392" t="n"/>
      <c r="AO1271" s="1392" t="n"/>
      <c r="AP1271" s="1392" t="n"/>
      <c r="AQ1271" s="1392" t="n"/>
      <c r="AR1271" s="1422" t="n"/>
      <c r="AS1271" s="1422" t="n"/>
      <c r="AT1271" s="1392" t="n"/>
      <c r="AU1271" s="1392" t="n"/>
      <c r="AV1271" s="1392" t="n"/>
      <c r="AW1271" s="1392" t="n"/>
      <c r="AX1271" s="1392" t="n"/>
      <c r="AY1271" s="1392" t="n"/>
      <c r="AZ1271" s="1392" t="n"/>
      <c r="BA1271" s="1422" t="n"/>
      <c r="BB1271" s="1422" t="n"/>
      <c r="BC1271" s="1392" t="n"/>
      <c r="BD1271" s="1392" t="n"/>
      <c r="BE1271" s="1392" t="n"/>
      <c r="BF1271" s="1392" t="n"/>
      <c r="BG1271" s="1392" t="n"/>
      <c r="BH1271" s="1392" t="n"/>
      <c r="BI1271" s="1392" t="n"/>
      <c r="BJ1271" s="1392" t="n"/>
      <c r="BK1271" s="1392" t="n"/>
      <c r="BL1271" s="1392" t="n"/>
      <c r="BM1271" s="1392" t="n"/>
      <c r="BN1271" s="1392" t="n"/>
      <c r="BO1271" s="1392" t="n"/>
      <c r="BP1271" s="1392" t="n"/>
      <c r="BQ1271" s="1392" t="n"/>
      <c r="BR1271" s="1392" t="n"/>
      <c r="BS1271" s="1392" t="n"/>
      <c r="BT1271" s="1392" t="n"/>
      <c r="BU1271" s="1392" t="n"/>
      <c r="BV1271" s="1392" t="n"/>
      <c r="BW1271" s="1392" t="n"/>
      <c r="BX1271" s="1392" t="n"/>
      <c r="BY1271" s="1392" t="n"/>
      <c r="BZ1271" s="1392" t="n"/>
      <c r="CA1271" s="1392" t="n"/>
      <c r="CB1271" s="1392" t="n"/>
      <c r="CC1271" s="1392" t="n"/>
      <c r="CD1271" s="1392" t="n"/>
      <c r="CE1271" s="1392" t="n"/>
      <c r="CF1271" s="1392" t="n"/>
      <c r="CG1271" s="1392" t="n"/>
      <c r="CH1271" s="1392" t="n"/>
      <c r="CI1271" s="1392" t="n"/>
      <c r="CJ1271" s="1392" t="n"/>
      <c r="CK1271" s="1392" t="n"/>
      <c r="CL1271" s="1392" t="n"/>
    </row>
    <row r="1272">
      <c r="A1272" s="5" t="inlineStr">
        <is>
          <t>.</t>
        </is>
      </c>
      <c r="B1272" s="5" t="inlineStr">
        <is>
          <t>.</t>
        </is>
      </c>
      <c r="C1272" s="1378">
        <f>IF(raw[[#This Row],[city]]="","-",IF(raw[[#This Row],[city]]="TODAY","-",C1271+1))</f>
        <v/>
      </c>
      <c r="D1272" s="1393" t="inlineStr">
        <is>
          <t>SP</t>
        </is>
      </c>
      <c r="E1272" s="1394" t="n">
        <v>41179</v>
      </c>
      <c r="F1272" s="1394" t="n">
        <v>41179</v>
      </c>
      <c r="G1272" s="1393" t="n">
        <v>0.01</v>
      </c>
      <c r="H1272" s="1393" t="inlineStr">
        <is>
          <t>Lasalle</t>
        </is>
      </c>
      <c r="I1272" s="1393" t="inlineStr">
        <is>
          <t>-</t>
        </is>
      </c>
      <c r="J1272" s="1393" t="inlineStr">
        <is>
          <t>-</t>
        </is>
      </c>
      <c r="K1272" s="1395">
        <f>IF(raw[[#This Row],[city]]&lt;&gt;"",_xlfn.XLOOKUP($D1272,ccc[city],ccc[prov],"-"),"-")</f>
        <v/>
      </c>
      <c r="L1272" s="1395">
        <f>IF(raw[[#This Row],[city]]&lt;&gt;"",_xlfn.XLOOKUP($D1272,ccc[city],ccc[ctry],"-"),"-")</f>
        <v/>
      </c>
      <c r="M1272" s="1395">
        <f>IF(raw[[#This Row],[city]]&lt;&gt;"",_xlfn.XLOOKUP($D1272,ccc[city],ccc[cont],"-"),"-")</f>
        <v/>
      </c>
      <c r="N1272" s="1396">
        <f>IF(raw[[#This Row],[city]]="","-",IF(raw[[#This Row],[cont]]="B",raw[[#This Row],[cont]],"W"))</f>
        <v/>
      </c>
      <c r="O1272" s="1397">
        <f>IF(raw[[#This Row],[out]]=0,0,IF(raw[[#This Row],[out]]=raw[[#This Row],[in]],0.01,raw[[#This Row],[out]]-raw[[#This Row],[in]]))</f>
        <v/>
      </c>
      <c r="P1272" s="1397">
        <f>IF(raw[[#This Row],[in]]=0,0,MONTH(raw[[#This Row],[in]]))</f>
        <v/>
      </c>
      <c r="Q1272" s="1397">
        <f>IF(raw[[#This Row],[in]]=0,0,YEAR(raw[[#This Row],[in]]))</f>
        <v/>
      </c>
      <c r="R1272" s="1397">
        <f>INT(raw[[#This Row],[yr]]/10)*10</f>
        <v/>
      </c>
      <c r="S1272" s="1395">
        <f>IF(raw[[#This Row],[city]]="","-",IF(raw[[#This Row],[city]]&lt;&gt;_xlfn.XLOOKUP(raw[[#This Row],[home]],homes[home],homes[city],"-"),1,0))</f>
        <v/>
      </c>
      <c r="T1272" s="1398" t="inlineStr">
        <is>
          <t>.</t>
        </is>
      </c>
      <c r="U1272" s="1399">
        <f>IF(raw[[#This Row],[wb]]="w",raw[[#This Row],[stay]]+U1271,U1271)</f>
        <v/>
      </c>
      <c r="V1272" s="1400">
        <f>IF(raw[[#This Row],[out]]=0,V1271,(raw[[#This Row],[out]]-E$5))</f>
        <v/>
      </c>
      <c r="W1272" s="1401">
        <f>U1272/V1272</f>
        <v/>
      </c>
      <c r="X1272" s="1392" t="n"/>
      <c r="Y1272" s="1392" t="n"/>
      <c r="Z1272" s="1392" t="n"/>
      <c r="AA1272" s="1392" t="n"/>
      <c r="AB1272" s="1392" t="n"/>
      <c r="AC1272" s="1392" t="n"/>
      <c r="AD1272" s="1392" t="n"/>
      <c r="AE1272" s="1392" t="n"/>
      <c r="AF1272" s="1392" t="n"/>
      <c r="AG1272" s="1392" t="n"/>
      <c r="AH1272" s="1392" t="n"/>
      <c r="AI1272" s="1392" t="n"/>
      <c r="AJ1272" s="1392" t="n"/>
      <c r="AK1272" s="1392" t="n"/>
      <c r="AL1272" s="1392" t="n"/>
      <c r="AM1272" s="1392" t="n"/>
      <c r="AN1272" s="1392" t="n"/>
      <c r="AO1272" s="1392" t="n"/>
      <c r="AP1272" s="1392" t="n"/>
      <c r="AQ1272" s="1392" t="n"/>
      <c r="AR1272" s="1422" t="n"/>
      <c r="AS1272" s="1422" t="n"/>
      <c r="AT1272" s="1392" t="n"/>
      <c r="AU1272" s="1392" t="n"/>
      <c r="AV1272" s="1392" t="n"/>
      <c r="AW1272" s="1392" t="n"/>
      <c r="AX1272" s="1392" t="n"/>
      <c r="AY1272" s="1392" t="n"/>
      <c r="AZ1272" s="1392" t="n"/>
      <c r="BA1272" s="1422" t="n"/>
      <c r="BB1272" s="1422" t="n"/>
      <c r="BC1272" s="1392" t="n"/>
      <c r="BD1272" s="1392" t="n"/>
      <c r="BE1272" s="1392" t="n"/>
      <c r="BF1272" s="1392" t="n"/>
      <c r="BG1272" s="1392" t="n"/>
      <c r="BH1272" s="1392" t="n"/>
      <c r="BI1272" s="1392" t="n"/>
      <c r="BJ1272" s="1392" t="n"/>
      <c r="BK1272" s="1392" t="n"/>
      <c r="BL1272" s="1392" t="n"/>
      <c r="BM1272" s="1392" t="n"/>
      <c r="BN1272" s="1392" t="n"/>
      <c r="BO1272" s="1392" t="n"/>
      <c r="BP1272" s="1392" t="n"/>
      <c r="BQ1272" s="1392" t="n"/>
      <c r="BR1272" s="1392" t="n"/>
      <c r="BS1272" s="1392" t="n"/>
      <c r="BT1272" s="1392" t="n"/>
      <c r="BU1272" s="1392" t="n"/>
      <c r="BV1272" s="1392" t="n"/>
      <c r="BW1272" s="1392" t="n"/>
      <c r="BX1272" s="1392" t="n"/>
      <c r="BY1272" s="1392" t="n"/>
      <c r="BZ1272" s="1392" t="n"/>
      <c r="CA1272" s="1392" t="n"/>
      <c r="CB1272" s="1392" t="n"/>
      <c r="CC1272" s="1392" t="n"/>
      <c r="CD1272" s="1392" t="n"/>
      <c r="CE1272" s="1392" t="n"/>
      <c r="CF1272" s="1392" t="n"/>
      <c r="CG1272" s="1392" t="n"/>
      <c r="CH1272" s="1392" t="n"/>
      <c r="CI1272" s="1392" t="n"/>
      <c r="CJ1272" s="1392" t="n"/>
      <c r="CK1272" s="1392" t="n"/>
      <c r="CL1272" s="1392" t="n"/>
    </row>
    <row r="1273">
      <c r="A1273" s="5" t="inlineStr">
        <is>
          <t>.</t>
        </is>
      </c>
      <c r="B1273" s="5" t="inlineStr">
        <is>
          <t>.</t>
        </is>
      </c>
      <c r="C1273" s="1378">
        <f>IF(raw[[#This Row],[city]]="","-",IF(raw[[#This Row],[city]]="TODAY","-",C1272+1))</f>
        <v/>
      </c>
      <c r="D1273" s="1393" t="inlineStr">
        <is>
          <t>SSA</t>
        </is>
      </c>
      <c r="E1273" s="1394" t="n">
        <v>41179</v>
      </c>
      <c r="F1273" s="1394" t="n">
        <v>41180</v>
      </c>
      <c r="G1273" s="1393" t="inlineStr">
        <is>
          <t>-</t>
        </is>
      </c>
      <c r="H1273" s="1393" t="inlineStr">
        <is>
          <t>Lasalle</t>
        </is>
      </c>
      <c r="I1273" s="1393" t="inlineStr">
        <is>
          <t>Ondina</t>
        </is>
      </c>
      <c r="J1273" s="1393" t="inlineStr">
        <is>
          <t>-</t>
        </is>
      </c>
      <c r="K1273" s="1395">
        <f>IF(raw[[#This Row],[city]]&lt;&gt;"",_xlfn.XLOOKUP($D1273,ccc[city],ccc[prov],"-"),"-")</f>
        <v/>
      </c>
      <c r="L1273" s="1395">
        <f>IF(raw[[#This Row],[city]]&lt;&gt;"",_xlfn.XLOOKUP($D1273,ccc[city],ccc[ctry],"-"),"-")</f>
        <v/>
      </c>
      <c r="M1273" s="1395">
        <f>IF(raw[[#This Row],[city]]&lt;&gt;"",_xlfn.XLOOKUP($D1273,ccc[city],ccc[cont],"-"),"-")</f>
        <v/>
      </c>
      <c r="N1273" s="1396">
        <f>IF(raw[[#This Row],[city]]="","-",IF(raw[[#This Row],[cont]]="B",raw[[#This Row],[cont]],"W"))</f>
        <v/>
      </c>
      <c r="O1273" s="1397">
        <f>IF(raw[[#This Row],[out]]=0,0,IF(raw[[#This Row],[out]]=raw[[#This Row],[in]],0.01,raw[[#This Row],[out]]-raw[[#This Row],[in]]))</f>
        <v/>
      </c>
      <c r="P1273" s="1397">
        <f>IF(raw[[#This Row],[in]]=0,0,MONTH(raw[[#This Row],[in]]))</f>
        <v/>
      </c>
      <c r="Q1273" s="1397">
        <f>IF(raw[[#This Row],[in]]=0,0,YEAR(raw[[#This Row],[in]]))</f>
        <v/>
      </c>
      <c r="R1273" s="1397">
        <f>INT(raw[[#This Row],[yr]]/10)*10</f>
        <v/>
      </c>
      <c r="S1273" s="1395">
        <f>IF(raw[[#This Row],[city]]="","-",IF(raw[[#This Row],[city]]&lt;&gt;_xlfn.XLOOKUP(raw[[#This Row],[home]],homes[home],homes[city],"-"),1,0))</f>
        <v/>
      </c>
      <c r="T1273" s="1398" t="inlineStr">
        <is>
          <t>.</t>
        </is>
      </c>
      <c r="U1273" s="1399">
        <f>IF(raw[[#This Row],[wb]]="w",raw[[#This Row],[stay]]+U1272,U1272)</f>
        <v/>
      </c>
      <c r="V1273" s="1400">
        <f>IF(raw[[#This Row],[out]]=0,V1272,(raw[[#This Row],[out]]-E$5))</f>
        <v/>
      </c>
      <c r="W1273" s="1401">
        <f>U1273/V1273</f>
        <v/>
      </c>
      <c r="X1273" s="1392" t="n"/>
      <c r="Y1273" s="1392" t="n"/>
      <c r="Z1273" s="1392" t="n"/>
      <c r="AA1273" s="1392" t="n"/>
      <c r="AB1273" s="1392" t="n"/>
      <c r="AC1273" s="1392" t="n"/>
      <c r="AD1273" s="1392" t="n"/>
      <c r="AE1273" s="1392" t="n"/>
      <c r="AF1273" s="1392" t="n"/>
      <c r="AG1273" s="1392" t="n"/>
      <c r="AH1273" s="1392" t="n"/>
      <c r="AI1273" s="1392" t="n"/>
      <c r="AJ1273" s="1392" t="n"/>
      <c r="AK1273" s="1392" t="n"/>
      <c r="AL1273" s="1392" t="n"/>
      <c r="AM1273" s="1392" t="n"/>
      <c r="AN1273" s="1392" t="n"/>
      <c r="AO1273" s="1392" t="n"/>
      <c r="AP1273" s="1392" t="n"/>
      <c r="AQ1273" s="1392" t="n"/>
      <c r="AR1273" s="1422" t="n"/>
      <c r="AS1273" s="1422" t="n"/>
      <c r="AT1273" s="1392" t="n"/>
      <c r="AU1273" s="1392" t="n"/>
      <c r="AV1273" s="1392" t="n"/>
      <c r="AW1273" s="1392" t="n"/>
      <c r="AX1273" s="1392" t="n"/>
      <c r="AY1273" s="1392" t="n"/>
      <c r="AZ1273" s="1392" t="n"/>
      <c r="BA1273" s="1422" t="n"/>
      <c r="BB1273" s="1422" t="n"/>
      <c r="BC1273" s="1392" t="n"/>
      <c r="BD1273" s="1392" t="n"/>
      <c r="BE1273" s="1392" t="n"/>
      <c r="BF1273" s="1392" t="n"/>
      <c r="BG1273" s="1392" t="n"/>
      <c r="BH1273" s="1392" t="n"/>
      <c r="BI1273" s="1392" t="n"/>
      <c r="BJ1273" s="1392" t="n"/>
      <c r="BK1273" s="1392" t="n"/>
      <c r="BL1273" s="1392" t="n"/>
      <c r="BM1273" s="1392" t="n"/>
      <c r="BN1273" s="1392" t="n"/>
      <c r="BO1273" s="1392" t="n"/>
      <c r="BP1273" s="1392" t="n"/>
      <c r="BQ1273" s="1392" t="n"/>
      <c r="BR1273" s="1392" t="n"/>
      <c r="BS1273" s="1392" t="n"/>
      <c r="BT1273" s="1392" t="n"/>
      <c r="BU1273" s="1392" t="n"/>
      <c r="BV1273" s="1392" t="n"/>
      <c r="BW1273" s="1392" t="n"/>
      <c r="BX1273" s="1392" t="n"/>
      <c r="BY1273" s="1392" t="n"/>
      <c r="BZ1273" s="1392" t="n"/>
      <c r="CA1273" s="1392" t="n"/>
      <c r="CB1273" s="1392" t="n"/>
      <c r="CC1273" s="1392" t="n"/>
      <c r="CD1273" s="1392" t="n"/>
      <c r="CE1273" s="1392" t="n"/>
      <c r="CF1273" s="1392" t="n"/>
      <c r="CG1273" s="1392" t="n"/>
      <c r="CH1273" s="1392" t="n"/>
      <c r="CI1273" s="1392" t="n"/>
      <c r="CJ1273" s="1392" t="n"/>
      <c r="CK1273" s="1392" t="n"/>
      <c r="CL1273" s="1392" t="n"/>
    </row>
    <row r="1274">
      <c r="A1274" s="5" t="inlineStr">
        <is>
          <t>.</t>
        </is>
      </c>
      <c r="B1274" s="5" t="inlineStr">
        <is>
          <t>.</t>
        </is>
      </c>
      <c r="C1274" s="1378">
        <f>IF(raw[[#This Row],[city]]="","-",IF(raw[[#This Row],[city]]="TODAY","-",C1273+1))</f>
        <v/>
      </c>
      <c r="D1274" s="1393" t="inlineStr">
        <is>
          <t>Praia do Forte</t>
        </is>
      </c>
      <c r="E1274" s="1394" t="n">
        <v>41180</v>
      </c>
      <c r="F1274" s="1394" t="n">
        <v>41182</v>
      </c>
      <c r="G1274" s="1393" t="inlineStr">
        <is>
          <t>-</t>
        </is>
      </c>
      <c r="H1274" s="1393" t="inlineStr">
        <is>
          <t>Lasalle</t>
        </is>
      </c>
      <c r="I1274" s="1393" t="inlineStr">
        <is>
          <t>-</t>
        </is>
      </c>
      <c r="J1274" s="1393" t="inlineStr">
        <is>
          <t>-</t>
        </is>
      </c>
      <c r="K1274" s="1395">
        <f>IF(raw[[#This Row],[city]]&lt;&gt;"",_xlfn.XLOOKUP($D1274,ccc[city],ccc[prov],"-"),"-")</f>
        <v/>
      </c>
      <c r="L1274" s="1395">
        <f>IF(raw[[#This Row],[city]]&lt;&gt;"",_xlfn.XLOOKUP($D1274,ccc[city],ccc[ctry],"-"),"-")</f>
        <v/>
      </c>
      <c r="M1274" s="1395">
        <f>IF(raw[[#This Row],[city]]&lt;&gt;"",_xlfn.XLOOKUP($D1274,ccc[city],ccc[cont],"-"),"-")</f>
        <v/>
      </c>
      <c r="N1274" s="1396">
        <f>IF(raw[[#This Row],[city]]="","-",IF(raw[[#This Row],[cont]]="B",raw[[#This Row],[cont]],"W"))</f>
        <v/>
      </c>
      <c r="O1274" s="1397">
        <f>IF(raw[[#This Row],[out]]=0,0,IF(raw[[#This Row],[out]]=raw[[#This Row],[in]],0.01,raw[[#This Row],[out]]-raw[[#This Row],[in]]))</f>
        <v/>
      </c>
      <c r="P1274" s="1397">
        <f>IF(raw[[#This Row],[in]]=0,0,MONTH(raw[[#This Row],[in]]))</f>
        <v/>
      </c>
      <c r="Q1274" s="1397">
        <f>IF(raw[[#This Row],[in]]=0,0,YEAR(raw[[#This Row],[in]]))</f>
        <v/>
      </c>
      <c r="R1274" s="1397">
        <f>INT(raw[[#This Row],[yr]]/10)*10</f>
        <v/>
      </c>
      <c r="S1274" s="1395">
        <f>IF(raw[[#This Row],[city]]="","-",IF(raw[[#This Row],[city]]&lt;&gt;_xlfn.XLOOKUP(raw[[#This Row],[home]],homes[home],homes[city],"-"),1,0))</f>
        <v/>
      </c>
      <c r="T1274" s="1398" t="inlineStr">
        <is>
          <t>.</t>
        </is>
      </c>
      <c r="U1274" s="1399">
        <f>IF(raw[[#This Row],[wb]]="w",raw[[#This Row],[stay]]+U1273,U1273)</f>
        <v/>
      </c>
      <c r="V1274" s="1400">
        <f>IF(raw[[#This Row],[out]]=0,V1273,(raw[[#This Row],[out]]-E$5))</f>
        <v/>
      </c>
      <c r="W1274" s="1401">
        <f>U1274/V1274</f>
        <v/>
      </c>
      <c r="X1274" s="1392" t="n"/>
      <c r="Y1274" s="1392" t="n"/>
      <c r="Z1274" s="1392" t="n"/>
      <c r="AA1274" s="1392" t="n"/>
      <c r="AB1274" s="1392" t="n"/>
      <c r="AC1274" s="1392" t="n"/>
      <c r="AD1274" s="1392" t="n"/>
      <c r="AE1274" s="1392" t="n"/>
      <c r="AF1274" s="1392" t="n"/>
      <c r="AG1274" s="1392" t="n"/>
      <c r="AH1274" s="1392" t="n"/>
      <c r="AI1274" s="1392" t="n"/>
      <c r="AJ1274" s="1392" t="n"/>
      <c r="AK1274" s="1392" t="n"/>
      <c r="AL1274" s="1392" t="n"/>
      <c r="AM1274" s="1392" t="n"/>
      <c r="AN1274" s="1392" t="n"/>
      <c r="AO1274" s="1392" t="n"/>
      <c r="AP1274" s="1392" t="n"/>
      <c r="AQ1274" s="1392" t="n"/>
      <c r="AR1274" s="1422" t="n"/>
      <c r="AS1274" s="1422" t="n"/>
      <c r="AT1274" s="1392" t="n"/>
      <c r="AU1274" s="1392" t="n"/>
      <c r="AV1274" s="1392" t="n"/>
      <c r="AW1274" s="1392" t="n"/>
      <c r="AX1274" s="1392" t="n"/>
      <c r="AY1274" s="1392" t="n"/>
      <c r="AZ1274" s="1392" t="n"/>
      <c r="BA1274" s="1422" t="n"/>
      <c r="BB1274" s="1422" t="n"/>
      <c r="BC1274" s="1392" t="n"/>
      <c r="BD1274" s="1392" t="n"/>
      <c r="BE1274" s="1392" t="n"/>
      <c r="BF1274" s="1392" t="n"/>
      <c r="BG1274" s="1392" t="n"/>
      <c r="BH1274" s="1392" t="n"/>
      <c r="BI1274" s="1392" t="n"/>
      <c r="BJ1274" s="1392" t="n"/>
      <c r="BK1274" s="1392" t="n"/>
      <c r="BL1274" s="1392" t="n"/>
      <c r="BM1274" s="1392" t="n"/>
      <c r="BN1274" s="1392" t="n"/>
      <c r="BO1274" s="1392" t="n"/>
      <c r="BP1274" s="1392" t="n"/>
      <c r="BQ1274" s="1392" t="n"/>
      <c r="BR1274" s="1392" t="n"/>
      <c r="BS1274" s="1392" t="n"/>
      <c r="BT1274" s="1392" t="n"/>
      <c r="BU1274" s="1392" t="n"/>
      <c r="BV1274" s="1392" t="n"/>
      <c r="BW1274" s="1392" t="n"/>
      <c r="BX1274" s="1392" t="n"/>
      <c r="BY1274" s="1392" t="n"/>
      <c r="BZ1274" s="1392" t="n"/>
      <c r="CA1274" s="1392" t="n"/>
      <c r="CB1274" s="1392" t="n"/>
      <c r="CC1274" s="1392" t="n"/>
      <c r="CD1274" s="1392" t="n"/>
      <c r="CE1274" s="1392" t="n"/>
      <c r="CF1274" s="1392" t="n"/>
      <c r="CG1274" s="1392" t="n"/>
      <c r="CH1274" s="1392" t="n"/>
      <c r="CI1274" s="1392" t="n"/>
      <c r="CJ1274" s="1392" t="n"/>
      <c r="CK1274" s="1392" t="n"/>
      <c r="CL1274" s="1392" t="n"/>
    </row>
    <row r="1275">
      <c r="A1275" s="5" t="inlineStr">
        <is>
          <t>.</t>
        </is>
      </c>
      <c r="B1275" s="5" t="inlineStr">
        <is>
          <t>.</t>
        </is>
      </c>
      <c r="C1275" s="1378">
        <f>IF(raw[[#This Row],[city]]="","-",IF(raw[[#This Row],[city]]="TODAY","-",C1274+1))</f>
        <v/>
      </c>
      <c r="D1275" s="1393" t="inlineStr">
        <is>
          <t>SSA</t>
        </is>
      </c>
      <c r="E1275" s="1394" t="n">
        <v>41182</v>
      </c>
      <c r="F1275" s="1394" t="n">
        <v>41183</v>
      </c>
      <c r="G1275" s="1393" t="inlineStr">
        <is>
          <t>-</t>
        </is>
      </c>
      <c r="H1275" s="1393" t="inlineStr">
        <is>
          <t>Lasalle</t>
        </is>
      </c>
      <c r="I1275" s="1393" t="inlineStr">
        <is>
          <t>Ondina</t>
        </is>
      </c>
      <c r="J1275" s="1393" t="inlineStr">
        <is>
          <t>-</t>
        </is>
      </c>
      <c r="K1275" s="1395">
        <f>IF(raw[[#This Row],[city]]&lt;&gt;"",_xlfn.XLOOKUP($D1275,ccc[city],ccc[prov],"-"),"-")</f>
        <v/>
      </c>
      <c r="L1275" s="1395">
        <f>IF(raw[[#This Row],[city]]&lt;&gt;"",_xlfn.XLOOKUP($D1275,ccc[city],ccc[ctry],"-"),"-")</f>
        <v/>
      </c>
      <c r="M1275" s="1395">
        <f>IF(raw[[#This Row],[city]]&lt;&gt;"",_xlfn.XLOOKUP($D1275,ccc[city],ccc[cont],"-"),"-")</f>
        <v/>
      </c>
      <c r="N1275" s="1396">
        <f>IF(raw[[#This Row],[city]]="","-",IF(raw[[#This Row],[cont]]="B",raw[[#This Row],[cont]],"W"))</f>
        <v/>
      </c>
      <c r="O1275" s="1397">
        <f>IF(raw[[#This Row],[out]]=0,0,IF(raw[[#This Row],[out]]=raw[[#This Row],[in]],0.01,raw[[#This Row],[out]]-raw[[#This Row],[in]]))</f>
        <v/>
      </c>
      <c r="P1275" s="1397">
        <f>IF(raw[[#This Row],[in]]=0,0,MONTH(raw[[#This Row],[in]]))</f>
        <v/>
      </c>
      <c r="Q1275" s="1397">
        <f>IF(raw[[#This Row],[in]]=0,0,YEAR(raw[[#This Row],[in]]))</f>
        <v/>
      </c>
      <c r="R1275" s="1397">
        <f>INT(raw[[#This Row],[yr]]/10)*10</f>
        <v/>
      </c>
      <c r="S1275" s="1395">
        <f>IF(raw[[#This Row],[city]]="","-",IF(raw[[#This Row],[city]]&lt;&gt;_xlfn.XLOOKUP(raw[[#This Row],[home]],homes[home],homes[city],"-"),1,0))</f>
        <v/>
      </c>
      <c r="T1275" s="1398" t="inlineStr">
        <is>
          <t>.</t>
        </is>
      </c>
      <c r="U1275" s="1399">
        <f>IF(raw[[#This Row],[wb]]="w",raw[[#This Row],[stay]]+U1274,U1274)</f>
        <v/>
      </c>
      <c r="V1275" s="1400">
        <f>IF(raw[[#This Row],[out]]=0,V1274,(raw[[#This Row],[out]]-E$5))</f>
        <v/>
      </c>
      <c r="W1275" s="1401">
        <f>U1275/V1275</f>
        <v/>
      </c>
      <c r="X1275" s="1392" t="n"/>
      <c r="Y1275" s="1392" t="n"/>
      <c r="Z1275" s="1392" t="n"/>
      <c r="AA1275" s="1392" t="n"/>
      <c r="AB1275" s="1392" t="n"/>
      <c r="AC1275" s="1392" t="n"/>
      <c r="AD1275" s="1392" t="n"/>
      <c r="AE1275" s="1392" t="n"/>
      <c r="AF1275" s="1392" t="n"/>
      <c r="AG1275" s="1392" t="n"/>
      <c r="AH1275" s="1392" t="n"/>
      <c r="AI1275" s="1392" t="n"/>
      <c r="AJ1275" s="1392" t="n"/>
      <c r="AK1275" s="1392" t="n"/>
      <c r="AL1275" s="1392" t="n"/>
      <c r="AM1275" s="1392" t="n"/>
      <c r="AN1275" s="1392" t="n"/>
      <c r="AO1275" s="1392" t="n"/>
      <c r="AP1275" s="1392" t="n"/>
      <c r="AQ1275" s="1392" t="n"/>
      <c r="AR1275" s="1422" t="n"/>
      <c r="AS1275" s="1422" t="n"/>
      <c r="AT1275" s="1392" t="n"/>
      <c r="AU1275" s="1392" t="n"/>
      <c r="AV1275" s="1392" t="n"/>
      <c r="AW1275" s="1392" t="n"/>
      <c r="AX1275" s="1392" t="n"/>
      <c r="AY1275" s="1392" t="n"/>
      <c r="AZ1275" s="1392" t="n"/>
      <c r="BA1275" s="1422" t="n"/>
      <c r="BB1275" s="1422" t="n"/>
      <c r="BC1275" s="1392" t="n"/>
      <c r="BD1275" s="1392" t="n"/>
      <c r="BE1275" s="1392" t="n"/>
      <c r="BF1275" s="1392" t="n"/>
      <c r="BG1275" s="1392" t="n"/>
      <c r="BH1275" s="1392" t="n"/>
      <c r="BI1275" s="1392" t="n"/>
      <c r="BJ1275" s="1392" t="n"/>
      <c r="BK1275" s="1392" t="n"/>
      <c r="BL1275" s="1392" t="n"/>
      <c r="BM1275" s="1392" t="n"/>
      <c r="BN1275" s="1392" t="n"/>
      <c r="BO1275" s="1392" t="n"/>
      <c r="BP1275" s="1392" t="n"/>
      <c r="BQ1275" s="1392" t="n"/>
      <c r="BR1275" s="1392" t="n"/>
      <c r="BS1275" s="1392" t="n"/>
      <c r="BT1275" s="1392" t="n"/>
      <c r="BU1275" s="1392" t="n"/>
      <c r="BV1275" s="1392" t="n"/>
      <c r="BW1275" s="1392" t="n"/>
      <c r="BX1275" s="1392" t="n"/>
      <c r="BY1275" s="1392" t="n"/>
      <c r="BZ1275" s="1392" t="n"/>
      <c r="CA1275" s="1392" t="n"/>
      <c r="CB1275" s="1392" t="n"/>
      <c r="CC1275" s="1392" t="n"/>
      <c r="CD1275" s="1392" t="n"/>
      <c r="CE1275" s="1392" t="n"/>
      <c r="CF1275" s="1392" t="n"/>
      <c r="CG1275" s="1392" t="n"/>
      <c r="CH1275" s="1392" t="n"/>
      <c r="CI1275" s="1392" t="n"/>
      <c r="CJ1275" s="1392" t="n"/>
      <c r="CK1275" s="1392" t="n"/>
      <c r="CL1275" s="1392" t="n"/>
    </row>
    <row r="1276">
      <c r="A1276" s="5" t="inlineStr">
        <is>
          <t>.</t>
        </is>
      </c>
      <c r="B1276" s="5" t="inlineStr">
        <is>
          <t>.</t>
        </is>
      </c>
      <c r="C1276" s="1378">
        <f>IF(raw[[#This Row],[city]]="","-",IF(raw[[#This Row],[city]]="TODAY","-",C1275+1))</f>
        <v/>
      </c>
      <c r="D1276" s="1393" t="inlineStr">
        <is>
          <t>SSA</t>
        </is>
      </c>
      <c r="E1276" s="1394" t="n">
        <v>41183</v>
      </c>
      <c r="F1276" s="1394" t="n">
        <v>41192</v>
      </c>
      <c r="G1276" s="1393" t="n">
        <v>1</v>
      </c>
      <c r="H1276" s="1393" t="inlineStr">
        <is>
          <t>Lasalle</t>
        </is>
      </c>
      <c r="I1276" s="1393" t="inlineStr">
        <is>
          <t>Ondina</t>
        </is>
      </c>
      <c r="J1276" s="1393" t="inlineStr">
        <is>
          <t>-</t>
        </is>
      </c>
      <c r="K1276" s="1395">
        <f>IF(raw[[#This Row],[city]]&lt;&gt;"",_xlfn.XLOOKUP($D1276,ccc[city],ccc[prov],"-"),"-")</f>
        <v/>
      </c>
      <c r="L1276" s="1395">
        <f>IF(raw[[#This Row],[city]]&lt;&gt;"",_xlfn.XLOOKUP($D1276,ccc[city],ccc[ctry],"-"),"-")</f>
        <v/>
      </c>
      <c r="M1276" s="1395">
        <f>IF(raw[[#This Row],[city]]&lt;&gt;"",_xlfn.XLOOKUP($D1276,ccc[city],ccc[cont],"-"),"-")</f>
        <v/>
      </c>
      <c r="N1276" s="1396">
        <f>IF(raw[[#This Row],[city]]="","-",IF(raw[[#This Row],[cont]]="B",raw[[#This Row],[cont]],"W"))</f>
        <v/>
      </c>
      <c r="O1276" s="1397">
        <f>IF(raw[[#This Row],[out]]=0,0,IF(raw[[#This Row],[out]]=raw[[#This Row],[in]],0.01,raw[[#This Row],[out]]-raw[[#This Row],[in]]))</f>
        <v/>
      </c>
      <c r="P1276" s="1397">
        <f>IF(raw[[#This Row],[in]]=0,0,MONTH(raw[[#This Row],[in]]))</f>
        <v/>
      </c>
      <c r="Q1276" s="1397">
        <f>IF(raw[[#This Row],[in]]=0,0,YEAR(raw[[#This Row],[in]]))</f>
        <v/>
      </c>
      <c r="R1276" s="1397">
        <f>INT(raw[[#This Row],[yr]]/10)*10</f>
        <v/>
      </c>
      <c r="S1276" s="1395">
        <f>IF(raw[[#This Row],[city]]="","-",IF(raw[[#This Row],[city]]&lt;&gt;_xlfn.XLOOKUP(raw[[#This Row],[home]],homes[home],homes[city],"-"),1,0))</f>
        <v/>
      </c>
      <c r="T1276" s="1398" t="inlineStr">
        <is>
          <t>.</t>
        </is>
      </c>
      <c r="U1276" s="1399">
        <f>IF(raw[[#This Row],[wb]]="w",raw[[#This Row],[stay]]+U1275,U1275)</f>
        <v/>
      </c>
      <c r="V1276" s="1400">
        <f>IF(raw[[#This Row],[out]]=0,V1275,(raw[[#This Row],[out]]-E$5))</f>
        <v/>
      </c>
      <c r="W1276" s="1401">
        <f>U1276/V1276</f>
        <v/>
      </c>
      <c r="X1276" s="1392" t="n"/>
      <c r="Y1276" s="1392" t="n"/>
      <c r="Z1276" s="1392" t="n"/>
      <c r="AA1276" s="1392" t="n"/>
      <c r="AB1276" s="1392" t="n"/>
      <c r="AC1276" s="1392" t="n"/>
      <c r="AD1276" s="1392" t="n"/>
      <c r="AE1276" s="1392" t="n"/>
      <c r="AF1276" s="1392" t="n"/>
      <c r="AG1276" s="1392" t="n"/>
      <c r="AH1276" s="1392" t="n"/>
      <c r="AI1276" s="1392" t="n"/>
      <c r="AJ1276" s="1392" t="n"/>
      <c r="AK1276" s="1392" t="n"/>
      <c r="AL1276" s="1392" t="n"/>
      <c r="AM1276" s="1392" t="n"/>
      <c r="AN1276" s="1392" t="n"/>
      <c r="AO1276" s="1392" t="n"/>
      <c r="AP1276" s="1392" t="n"/>
      <c r="AQ1276" s="1392" t="n"/>
      <c r="AR1276" s="1422" t="n"/>
      <c r="AS1276" s="1422" t="n"/>
      <c r="AT1276" s="1392" t="n"/>
      <c r="AU1276" s="1392" t="n"/>
      <c r="AV1276" s="1392" t="n"/>
      <c r="AW1276" s="1392" t="n"/>
      <c r="AX1276" s="1392" t="n"/>
      <c r="AY1276" s="1392" t="n"/>
      <c r="AZ1276" s="1392" t="n"/>
      <c r="BA1276" s="1422" t="n"/>
      <c r="BB1276" s="1422" t="n"/>
      <c r="BC1276" s="1392" t="n"/>
      <c r="BD1276" s="1392" t="n"/>
      <c r="BE1276" s="1392" t="n"/>
      <c r="BF1276" s="1392" t="n"/>
      <c r="BG1276" s="1392" t="n"/>
      <c r="BH1276" s="1392" t="n"/>
      <c r="BI1276" s="1392" t="n"/>
      <c r="BJ1276" s="1392" t="n"/>
      <c r="BK1276" s="1392" t="n"/>
      <c r="BL1276" s="1392" t="n"/>
      <c r="BM1276" s="1392" t="n"/>
      <c r="BN1276" s="1392" t="n"/>
      <c r="BO1276" s="1392" t="n"/>
      <c r="BP1276" s="1392" t="n"/>
      <c r="BQ1276" s="1392" t="n"/>
      <c r="BR1276" s="1392" t="n"/>
      <c r="BS1276" s="1392" t="n"/>
      <c r="BT1276" s="1392" t="n"/>
      <c r="BU1276" s="1392" t="n"/>
      <c r="BV1276" s="1392" t="n"/>
      <c r="BW1276" s="1392" t="n"/>
      <c r="BX1276" s="1392" t="n"/>
      <c r="BY1276" s="1392" t="n"/>
      <c r="BZ1276" s="1392" t="n"/>
      <c r="CA1276" s="1392" t="n"/>
      <c r="CB1276" s="1392" t="n"/>
      <c r="CC1276" s="1392" t="n"/>
      <c r="CD1276" s="1392" t="n"/>
      <c r="CE1276" s="1392" t="n"/>
      <c r="CF1276" s="1392" t="n"/>
      <c r="CG1276" s="1392" t="n"/>
      <c r="CH1276" s="1392" t="n"/>
      <c r="CI1276" s="1392" t="n"/>
      <c r="CJ1276" s="1392" t="n"/>
      <c r="CK1276" s="1392" t="n"/>
      <c r="CL1276" s="1392" t="n"/>
    </row>
    <row r="1277">
      <c r="A1277" s="5" t="inlineStr">
        <is>
          <t>.</t>
        </is>
      </c>
      <c r="B1277" s="5" t="inlineStr">
        <is>
          <t>.</t>
        </is>
      </c>
      <c r="C1277" s="1378">
        <f>IF(raw[[#This Row],[city]]="","-",IF(raw[[#This Row],[city]]="TODAY","-",C1276+1))</f>
        <v/>
      </c>
      <c r="D1277" s="1393" t="inlineStr">
        <is>
          <t>SP</t>
        </is>
      </c>
      <c r="E1277" s="1394" t="n">
        <v>41192</v>
      </c>
      <c r="F1277" s="1394" t="n">
        <v>41195</v>
      </c>
      <c r="G1277" s="1393" t="n">
        <v>1</v>
      </c>
      <c r="H1277" s="1393" t="inlineStr">
        <is>
          <t>Lasalle</t>
        </is>
      </c>
      <c r="I1277" s="1393" t="inlineStr">
        <is>
          <t>Sam</t>
        </is>
      </c>
      <c r="J1277" s="1393" t="inlineStr">
        <is>
          <t>-</t>
        </is>
      </c>
      <c r="K1277" s="1395">
        <f>IF(raw[[#This Row],[city]]&lt;&gt;"",_xlfn.XLOOKUP($D1277,ccc[city],ccc[prov],"-"),"-")</f>
        <v/>
      </c>
      <c r="L1277" s="1395">
        <f>IF(raw[[#This Row],[city]]&lt;&gt;"",_xlfn.XLOOKUP($D1277,ccc[city],ccc[ctry],"-"),"-")</f>
        <v/>
      </c>
      <c r="M1277" s="1395">
        <f>IF(raw[[#This Row],[city]]&lt;&gt;"",_xlfn.XLOOKUP($D1277,ccc[city],ccc[cont],"-"),"-")</f>
        <v/>
      </c>
      <c r="N1277" s="1396">
        <f>IF(raw[[#This Row],[city]]="","-",IF(raw[[#This Row],[cont]]="B",raw[[#This Row],[cont]],"W"))</f>
        <v/>
      </c>
      <c r="O1277" s="1397">
        <f>IF(raw[[#This Row],[out]]=0,0,IF(raw[[#This Row],[out]]=raw[[#This Row],[in]],0.01,raw[[#This Row],[out]]-raw[[#This Row],[in]]))</f>
        <v/>
      </c>
      <c r="P1277" s="1397">
        <f>IF(raw[[#This Row],[in]]=0,0,MONTH(raw[[#This Row],[in]]))</f>
        <v/>
      </c>
      <c r="Q1277" s="1397">
        <f>IF(raw[[#This Row],[in]]=0,0,YEAR(raw[[#This Row],[in]]))</f>
        <v/>
      </c>
      <c r="R1277" s="1397">
        <f>INT(raw[[#This Row],[yr]]/10)*10</f>
        <v/>
      </c>
      <c r="S1277" s="1395">
        <f>IF(raw[[#This Row],[city]]="","-",IF(raw[[#This Row],[city]]&lt;&gt;_xlfn.XLOOKUP(raw[[#This Row],[home]],homes[home],homes[city],"-"),1,0))</f>
        <v/>
      </c>
      <c r="T1277" s="1398" t="inlineStr">
        <is>
          <t>.</t>
        </is>
      </c>
      <c r="U1277" s="1399">
        <f>IF(raw[[#This Row],[wb]]="w",raw[[#This Row],[stay]]+U1276,U1276)</f>
        <v/>
      </c>
      <c r="V1277" s="1400">
        <f>IF(raw[[#This Row],[out]]=0,V1276,(raw[[#This Row],[out]]-E$5))</f>
        <v/>
      </c>
      <c r="W1277" s="1401">
        <f>U1277/V1277</f>
        <v/>
      </c>
      <c r="X1277" s="1392" t="n"/>
      <c r="Y1277" s="1392" t="n"/>
      <c r="Z1277" s="1392" t="n"/>
      <c r="AA1277" s="1392" t="n"/>
      <c r="AB1277" s="1392" t="n"/>
      <c r="AC1277" s="1392" t="n"/>
      <c r="AD1277" s="1392" t="n"/>
      <c r="AE1277" s="1392" t="n"/>
      <c r="AF1277" s="1392" t="n"/>
      <c r="AG1277" s="1392" t="n"/>
      <c r="AH1277" s="1392" t="n"/>
      <c r="AI1277" s="1392" t="n"/>
      <c r="AJ1277" s="1392" t="n"/>
      <c r="AK1277" s="1392" t="n"/>
      <c r="AL1277" s="1392" t="n"/>
      <c r="AM1277" s="1392" t="n"/>
      <c r="AN1277" s="1392" t="n"/>
      <c r="AO1277" s="1392" t="n"/>
      <c r="AP1277" s="1392" t="n"/>
      <c r="AQ1277" s="1392" t="n"/>
      <c r="AR1277" s="1422" t="n"/>
      <c r="AS1277" s="1422" t="n"/>
      <c r="AT1277" s="1392" t="n"/>
      <c r="AU1277" s="1392" t="n"/>
      <c r="AV1277" s="1392" t="n"/>
      <c r="AW1277" s="1392" t="n"/>
      <c r="AX1277" s="1392" t="n"/>
      <c r="AY1277" s="1392" t="n"/>
      <c r="AZ1277" s="1392" t="n"/>
      <c r="BA1277" s="1422" t="n"/>
      <c r="BB1277" s="1422" t="n"/>
      <c r="BC1277" s="1392" t="n"/>
      <c r="BD1277" s="1392" t="n"/>
      <c r="BE1277" s="1392" t="n"/>
      <c r="BF1277" s="1392" t="n"/>
      <c r="BG1277" s="1392" t="n"/>
      <c r="BH1277" s="1392" t="n"/>
      <c r="BI1277" s="1392" t="n"/>
      <c r="BJ1277" s="1392" t="n"/>
      <c r="BK1277" s="1392" t="n"/>
      <c r="BL1277" s="1392" t="n"/>
      <c r="BM1277" s="1392" t="n"/>
      <c r="BN1277" s="1392" t="n"/>
      <c r="BO1277" s="1392" t="n"/>
      <c r="BP1277" s="1392" t="n"/>
      <c r="BQ1277" s="1392" t="n"/>
      <c r="BR1277" s="1392" t="n"/>
      <c r="BS1277" s="1392" t="n"/>
      <c r="BT1277" s="1392" t="n"/>
      <c r="BU1277" s="1392" t="n"/>
      <c r="BV1277" s="1392" t="n"/>
      <c r="BW1277" s="1392" t="n"/>
      <c r="BX1277" s="1392" t="n"/>
      <c r="BY1277" s="1392" t="n"/>
      <c r="BZ1277" s="1392" t="n"/>
      <c r="CA1277" s="1392" t="n"/>
      <c r="CB1277" s="1392" t="n"/>
      <c r="CC1277" s="1392" t="n"/>
      <c r="CD1277" s="1392" t="n"/>
      <c r="CE1277" s="1392" t="n"/>
      <c r="CF1277" s="1392" t="n"/>
      <c r="CG1277" s="1392" t="n"/>
      <c r="CH1277" s="1392" t="n"/>
      <c r="CI1277" s="1392" t="n"/>
      <c r="CJ1277" s="1392" t="n"/>
      <c r="CK1277" s="1392" t="n"/>
      <c r="CL1277" s="1392" t="n"/>
    </row>
    <row r="1278">
      <c r="A1278" s="5" t="inlineStr">
        <is>
          <t>.</t>
        </is>
      </c>
      <c r="B1278" s="5" t="inlineStr">
        <is>
          <t>.</t>
        </is>
      </c>
      <c r="C1278" s="1378">
        <f>IF(raw[[#This Row],[city]]="","-",IF(raw[[#This Row],[city]]="TODAY","-",C1277+1))</f>
        <v/>
      </c>
      <c r="D1278" s="1393" t="inlineStr">
        <is>
          <t>Rio</t>
        </is>
      </c>
      <c r="E1278" s="1394" t="n">
        <v>41195</v>
      </c>
      <c r="F1278" s="1394" t="n">
        <v>41197</v>
      </c>
      <c r="G1278" s="1393" t="n">
        <v>1</v>
      </c>
      <c r="H1278" s="1393" t="inlineStr">
        <is>
          <t>Lasalle</t>
        </is>
      </c>
      <c r="I1278" s="1393" t="inlineStr">
        <is>
          <t>Monica Rio</t>
        </is>
      </c>
      <c r="J1278" s="1393" t="inlineStr">
        <is>
          <t>-</t>
        </is>
      </c>
      <c r="K1278" s="1395">
        <f>IF(raw[[#This Row],[city]]&lt;&gt;"",_xlfn.XLOOKUP($D1278,ccc[city],ccc[prov],"-"),"-")</f>
        <v/>
      </c>
      <c r="L1278" s="1395">
        <f>IF(raw[[#This Row],[city]]&lt;&gt;"",_xlfn.XLOOKUP($D1278,ccc[city],ccc[ctry],"-"),"-")</f>
        <v/>
      </c>
      <c r="M1278" s="1395">
        <f>IF(raw[[#This Row],[city]]&lt;&gt;"",_xlfn.XLOOKUP($D1278,ccc[city],ccc[cont],"-"),"-")</f>
        <v/>
      </c>
      <c r="N1278" s="1396">
        <f>IF(raw[[#This Row],[city]]="","-",IF(raw[[#This Row],[cont]]="B",raw[[#This Row],[cont]],"W"))</f>
        <v/>
      </c>
      <c r="O1278" s="1397">
        <f>IF(raw[[#This Row],[out]]=0,0,IF(raw[[#This Row],[out]]=raw[[#This Row],[in]],0.01,raw[[#This Row],[out]]-raw[[#This Row],[in]]))</f>
        <v/>
      </c>
      <c r="P1278" s="1397">
        <f>IF(raw[[#This Row],[in]]=0,0,MONTH(raw[[#This Row],[in]]))</f>
        <v/>
      </c>
      <c r="Q1278" s="1397">
        <f>IF(raw[[#This Row],[in]]=0,0,YEAR(raw[[#This Row],[in]]))</f>
        <v/>
      </c>
      <c r="R1278" s="1397">
        <f>INT(raw[[#This Row],[yr]]/10)*10</f>
        <v/>
      </c>
      <c r="S1278" s="1395">
        <f>IF(raw[[#This Row],[city]]="","-",IF(raw[[#This Row],[city]]&lt;&gt;_xlfn.XLOOKUP(raw[[#This Row],[home]],homes[home],homes[city],"-"),1,0))</f>
        <v/>
      </c>
      <c r="T1278" s="1398" t="inlineStr">
        <is>
          <t>.</t>
        </is>
      </c>
      <c r="U1278" s="1399">
        <f>IF(raw[[#This Row],[wb]]="w",raw[[#This Row],[stay]]+U1277,U1277)</f>
        <v/>
      </c>
      <c r="V1278" s="1400">
        <f>IF(raw[[#This Row],[out]]=0,V1277,(raw[[#This Row],[out]]-E$5))</f>
        <v/>
      </c>
      <c r="W1278" s="1401">
        <f>U1278/V1278</f>
        <v/>
      </c>
      <c r="X1278" s="1392" t="n"/>
      <c r="Y1278" s="1392" t="n"/>
      <c r="Z1278" s="1392" t="n"/>
      <c r="AA1278" s="1392" t="n"/>
      <c r="AB1278" s="1392" t="n"/>
      <c r="AC1278" s="1392" t="n"/>
      <c r="AD1278" s="1392" t="n"/>
      <c r="AE1278" s="1392" t="n"/>
      <c r="AF1278" s="1392" t="n"/>
      <c r="AG1278" s="1392" t="n"/>
      <c r="AH1278" s="1392" t="n"/>
      <c r="AI1278" s="1392" t="n"/>
      <c r="AJ1278" s="1392" t="n"/>
      <c r="AK1278" s="1392" t="n"/>
      <c r="AL1278" s="1392" t="n"/>
      <c r="AM1278" s="1392" t="n"/>
      <c r="AN1278" s="1392" t="n"/>
      <c r="AO1278" s="1392" t="n"/>
      <c r="AP1278" s="1392" t="n"/>
      <c r="AQ1278" s="1392" t="n"/>
      <c r="AR1278" s="1422" t="n"/>
      <c r="AS1278" s="1422" t="n"/>
      <c r="AT1278" s="1392" t="n"/>
      <c r="AU1278" s="1392" t="n"/>
      <c r="AV1278" s="1392" t="n"/>
      <c r="AW1278" s="1392" t="n"/>
      <c r="AX1278" s="1392" t="n"/>
      <c r="AY1278" s="1392" t="n"/>
      <c r="AZ1278" s="1392" t="n"/>
      <c r="BA1278" s="1422" t="n"/>
      <c r="BB1278" s="1422" t="n"/>
      <c r="BC1278" s="1392" t="n"/>
      <c r="BD1278" s="1392" t="n"/>
      <c r="BE1278" s="1392" t="n"/>
      <c r="BF1278" s="1392" t="n"/>
      <c r="BG1278" s="1392" t="n"/>
      <c r="BH1278" s="1392" t="n"/>
      <c r="BI1278" s="1392" t="n"/>
      <c r="BJ1278" s="1392" t="n"/>
      <c r="BK1278" s="1392" t="n"/>
      <c r="BL1278" s="1392" t="n"/>
      <c r="BM1278" s="1392" t="n"/>
      <c r="BN1278" s="1392" t="n"/>
      <c r="BO1278" s="1392" t="n"/>
      <c r="BP1278" s="1392" t="n"/>
      <c r="BQ1278" s="1392" t="n"/>
      <c r="BR1278" s="1392" t="n"/>
      <c r="BS1278" s="1392" t="n"/>
      <c r="BT1278" s="1392" t="n"/>
      <c r="BU1278" s="1392" t="n"/>
      <c r="BV1278" s="1392" t="n"/>
      <c r="BW1278" s="1392" t="n"/>
      <c r="BX1278" s="1392" t="n"/>
      <c r="BY1278" s="1392" t="n"/>
      <c r="BZ1278" s="1392" t="n"/>
      <c r="CA1278" s="1392" t="n"/>
      <c r="CB1278" s="1392" t="n"/>
      <c r="CC1278" s="1392" t="n"/>
      <c r="CD1278" s="1392" t="n"/>
      <c r="CE1278" s="1392" t="n"/>
      <c r="CF1278" s="1392" t="n"/>
      <c r="CG1278" s="1392" t="n"/>
      <c r="CH1278" s="1392" t="n"/>
      <c r="CI1278" s="1392" t="n"/>
      <c r="CJ1278" s="1392" t="n"/>
      <c r="CK1278" s="1392" t="n"/>
      <c r="CL1278" s="1392" t="n"/>
    </row>
    <row r="1279">
      <c r="A1279" s="5" t="inlineStr">
        <is>
          <t>.</t>
        </is>
      </c>
      <c r="B1279" s="5" t="inlineStr">
        <is>
          <t>.</t>
        </is>
      </c>
      <c r="C1279" s="1378">
        <f>IF(raw[[#This Row],[city]]="","-",IF(raw[[#This Row],[city]]="TODAY","-",C1278+1))</f>
        <v/>
      </c>
      <c r="D1279" s="1393" t="inlineStr">
        <is>
          <t>SP</t>
        </is>
      </c>
      <c r="E1279" s="1394" t="n">
        <v>41197</v>
      </c>
      <c r="F1279" s="1394" t="n">
        <v>41198</v>
      </c>
      <c r="G1279" s="1393" t="n">
        <v>1</v>
      </c>
      <c r="H1279" s="1393" t="inlineStr">
        <is>
          <t>Lasalle</t>
        </is>
      </c>
      <c r="I1279" s="1393" t="inlineStr">
        <is>
          <t>Sam/Arnaldo</t>
        </is>
      </c>
      <c r="J1279" s="1393" t="inlineStr">
        <is>
          <t>-</t>
        </is>
      </c>
      <c r="K1279" s="1395">
        <f>IF(raw[[#This Row],[city]]&lt;&gt;"",_xlfn.XLOOKUP($D1279,ccc[city],ccc[prov],"-"),"-")</f>
        <v/>
      </c>
      <c r="L1279" s="1395">
        <f>IF(raw[[#This Row],[city]]&lt;&gt;"",_xlfn.XLOOKUP($D1279,ccc[city],ccc[ctry],"-"),"-")</f>
        <v/>
      </c>
      <c r="M1279" s="1395">
        <f>IF(raw[[#This Row],[city]]&lt;&gt;"",_xlfn.XLOOKUP($D1279,ccc[city],ccc[cont],"-"),"-")</f>
        <v/>
      </c>
      <c r="N1279" s="1396">
        <f>IF(raw[[#This Row],[city]]="","-",IF(raw[[#This Row],[cont]]="B",raw[[#This Row],[cont]],"W"))</f>
        <v/>
      </c>
      <c r="O1279" s="1397">
        <f>IF(raw[[#This Row],[out]]=0,0,IF(raw[[#This Row],[out]]=raw[[#This Row],[in]],0.01,raw[[#This Row],[out]]-raw[[#This Row],[in]]))</f>
        <v/>
      </c>
      <c r="P1279" s="1397">
        <f>IF(raw[[#This Row],[in]]=0,0,MONTH(raw[[#This Row],[in]]))</f>
        <v/>
      </c>
      <c r="Q1279" s="1397">
        <f>IF(raw[[#This Row],[in]]=0,0,YEAR(raw[[#This Row],[in]]))</f>
        <v/>
      </c>
      <c r="R1279" s="1397">
        <f>INT(raw[[#This Row],[yr]]/10)*10</f>
        <v/>
      </c>
      <c r="S1279" s="1395">
        <f>IF(raw[[#This Row],[city]]="","-",IF(raw[[#This Row],[city]]&lt;&gt;_xlfn.XLOOKUP(raw[[#This Row],[home]],homes[home],homes[city],"-"),1,0))</f>
        <v/>
      </c>
      <c r="T1279" s="1398" t="inlineStr">
        <is>
          <t>.</t>
        </is>
      </c>
      <c r="U1279" s="1399">
        <f>IF(raw[[#This Row],[wb]]="w",raw[[#This Row],[stay]]+U1278,U1278)</f>
        <v/>
      </c>
      <c r="V1279" s="1400">
        <f>IF(raw[[#This Row],[out]]=0,V1278,(raw[[#This Row],[out]]-E$5))</f>
        <v/>
      </c>
      <c r="W1279" s="1401">
        <f>U1279/V1279</f>
        <v/>
      </c>
      <c r="X1279" s="1392" t="n"/>
      <c r="Y1279" s="1392" t="n"/>
      <c r="Z1279" s="1392" t="n"/>
      <c r="AA1279" s="1392" t="n"/>
      <c r="AB1279" s="1392" t="n"/>
      <c r="AC1279" s="1392" t="n"/>
      <c r="AD1279" s="1392" t="n"/>
      <c r="AE1279" s="1392" t="n"/>
      <c r="AF1279" s="1392" t="n"/>
      <c r="AG1279" s="1392" t="n"/>
      <c r="AH1279" s="1392" t="n"/>
      <c r="AI1279" s="1392" t="n"/>
      <c r="AJ1279" s="1392" t="n"/>
      <c r="AK1279" s="1392" t="n"/>
      <c r="AL1279" s="1392" t="n"/>
      <c r="AM1279" s="1392" t="n"/>
      <c r="AN1279" s="1392" t="n"/>
      <c r="AO1279" s="1392" t="n"/>
      <c r="AP1279" s="1392" t="n"/>
      <c r="AQ1279" s="1392" t="n"/>
      <c r="AR1279" s="1422" t="n"/>
      <c r="AS1279" s="1422" t="n"/>
      <c r="AT1279" s="1392" t="n"/>
      <c r="AU1279" s="1392" t="n"/>
      <c r="AV1279" s="1392" t="n"/>
      <c r="AW1279" s="1392" t="n"/>
      <c r="AX1279" s="1392" t="n"/>
      <c r="AY1279" s="1392" t="n"/>
      <c r="AZ1279" s="1392" t="n"/>
      <c r="BA1279" s="1422" t="n"/>
      <c r="BB1279" s="1422" t="n"/>
      <c r="BC1279" s="1392" t="n"/>
      <c r="BD1279" s="1392" t="n"/>
      <c r="BE1279" s="1392" t="n"/>
      <c r="BF1279" s="1392" t="n"/>
      <c r="BG1279" s="1392" t="n"/>
      <c r="BH1279" s="1392" t="n"/>
      <c r="BI1279" s="1392" t="n"/>
      <c r="BJ1279" s="1392" t="n"/>
      <c r="BK1279" s="1392" t="n"/>
      <c r="BL1279" s="1392" t="n"/>
      <c r="BM1279" s="1392" t="n"/>
      <c r="BN1279" s="1392" t="n"/>
      <c r="BO1279" s="1392" t="n"/>
      <c r="BP1279" s="1392" t="n"/>
      <c r="BQ1279" s="1392" t="n"/>
      <c r="BR1279" s="1392" t="n"/>
      <c r="BS1279" s="1392" t="n"/>
      <c r="BT1279" s="1392" t="n"/>
      <c r="BU1279" s="1392" t="n"/>
      <c r="BV1279" s="1392" t="n"/>
      <c r="BW1279" s="1392" t="n"/>
      <c r="BX1279" s="1392" t="n"/>
      <c r="BY1279" s="1392" t="n"/>
      <c r="BZ1279" s="1392" t="n"/>
      <c r="CA1279" s="1392" t="n"/>
      <c r="CB1279" s="1392" t="n"/>
      <c r="CC1279" s="1392" t="n"/>
      <c r="CD1279" s="1392" t="n"/>
      <c r="CE1279" s="1392" t="n"/>
      <c r="CF1279" s="1392" t="n"/>
      <c r="CG1279" s="1392" t="n"/>
      <c r="CH1279" s="1392" t="n"/>
      <c r="CI1279" s="1392" t="n"/>
      <c r="CJ1279" s="1392" t="n"/>
      <c r="CK1279" s="1392" t="n"/>
      <c r="CL1279" s="1392" t="n"/>
    </row>
    <row r="1280">
      <c r="A1280" s="5" t="inlineStr">
        <is>
          <t>.</t>
        </is>
      </c>
      <c r="B1280" s="5" t="inlineStr">
        <is>
          <t>.</t>
        </is>
      </c>
      <c r="C1280" s="1378">
        <f>IF(raw[[#This Row],[city]]="","-",IF(raw[[#This Row],[city]]="TODAY","-",C1279+1))</f>
        <v/>
      </c>
      <c r="D1280" s="1393" t="inlineStr">
        <is>
          <t>SSA</t>
        </is>
      </c>
      <c r="E1280" s="1394" t="n">
        <v>41198</v>
      </c>
      <c r="F1280" s="1394" t="n">
        <v>41203</v>
      </c>
      <c r="G1280" s="1393" t="n">
        <v>1</v>
      </c>
      <c r="H1280" s="1393" t="inlineStr">
        <is>
          <t>Lasalle</t>
        </is>
      </c>
      <c r="I1280" s="1393" t="inlineStr">
        <is>
          <t>Ondina</t>
        </is>
      </c>
      <c r="J1280" s="1393" t="inlineStr">
        <is>
          <t>-</t>
        </is>
      </c>
      <c r="K1280" s="1395">
        <f>IF(raw[[#This Row],[city]]&lt;&gt;"",_xlfn.XLOOKUP($D1280,ccc[city],ccc[prov],"-"),"-")</f>
        <v/>
      </c>
      <c r="L1280" s="1395">
        <f>IF(raw[[#This Row],[city]]&lt;&gt;"",_xlfn.XLOOKUP($D1280,ccc[city],ccc[ctry],"-"),"-")</f>
        <v/>
      </c>
      <c r="M1280" s="1395">
        <f>IF(raw[[#This Row],[city]]&lt;&gt;"",_xlfn.XLOOKUP($D1280,ccc[city],ccc[cont],"-"),"-")</f>
        <v/>
      </c>
      <c r="N1280" s="1396">
        <f>IF(raw[[#This Row],[city]]="","-",IF(raw[[#This Row],[cont]]="B",raw[[#This Row],[cont]],"W"))</f>
        <v/>
      </c>
      <c r="O1280" s="1397">
        <f>IF(raw[[#This Row],[out]]=0,0,IF(raw[[#This Row],[out]]=raw[[#This Row],[in]],0.01,raw[[#This Row],[out]]-raw[[#This Row],[in]]))</f>
        <v/>
      </c>
      <c r="P1280" s="1397">
        <f>IF(raw[[#This Row],[in]]=0,0,MONTH(raw[[#This Row],[in]]))</f>
        <v/>
      </c>
      <c r="Q1280" s="1397">
        <f>IF(raw[[#This Row],[in]]=0,0,YEAR(raw[[#This Row],[in]]))</f>
        <v/>
      </c>
      <c r="R1280" s="1397">
        <f>INT(raw[[#This Row],[yr]]/10)*10</f>
        <v/>
      </c>
      <c r="S1280" s="1395">
        <f>IF(raw[[#This Row],[city]]="","-",IF(raw[[#This Row],[city]]&lt;&gt;_xlfn.XLOOKUP(raw[[#This Row],[home]],homes[home],homes[city],"-"),1,0))</f>
        <v/>
      </c>
      <c r="T1280" s="1398" t="inlineStr">
        <is>
          <t>.</t>
        </is>
      </c>
      <c r="U1280" s="1399">
        <f>IF(raw[[#This Row],[wb]]="w",raw[[#This Row],[stay]]+U1279,U1279)</f>
        <v/>
      </c>
      <c r="V1280" s="1400">
        <f>IF(raw[[#This Row],[out]]=0,V1279,(raw[[#This Row],[out]]-E$5))</f>
        <v/>
      </c>
      <c r="W1280" s="1401">
        <f>U1280/V1280</f>
        <v/>
      </c>
      <c r="X1280" s="1392" t="n"/>
      <c r="Y1280" s="1392" t="n"/>
      <c r="Z1280" s="1392" t="n"/>
      <c r="AA1280" s="1392" t="n"/>
      <c r="AB1280" s="1392" t="n"/>
      <c r="AC1280" s="1392" t="n"/>
      <c r="AD1280" s="1392" t="n"/>
      <c r="AE1280" s="1392" t="n"/>
      <c r="AF1280" s="1392" t="n"/>
      <c r="AG1280" s="1392" t="n"/>
      <c r="AH1280" s="1392" t="n"/>
      <c r="AI1280" s="1392" t="n"/>
      <c r="AJ1280" s="1392" t="n"/>
      <c r="AK1280" s="1392" t="n"/>
      <c r="AL1280" s="1392" t="n"/>
      <c r="AM1280" s="1392" t="n"/>
      <c r="AN1280" s="1392" t="n"/>
      <c r="AO1280" s="1392" t="n"/>
      <c r="AP1280" s="1392" t="n"/>
      <c r="AQ1280" s="1392" t="n"/>
      <c r="AR1280" s="1422" t="n"/>
      <c r="AS1280" s="1422" t="n"/>
      <c r="AT1280" s="1392" t="n"/>
      <c r="AU1280" s="1392" t="n"/>
      <c r="AV1280" s="1392" t="n"/>
      <c r="AW1280" s="1392" t="n"/>
      <c r="AX1280" s="1392" t="n"/>
      <c r="AY1280" s="1392" t="n"/>
      <c r="AZ1280" s="1392" t="n"/>
      <c r="BA1280" s="1422" t="n"/>
      <c r="BB1280" s="1422" t="n"/>
      <c r="BC1280" s="1392" t="n"/>
      <c r="BD1280" s="1392" t="n"/>
      <c r="BE1280" s="1392" t="n"/>
      <c r="BF1280" s="1392" t="n"/>
      <c r="BG1280" s="1392" t="n"/>
      <c r="BH1280" s="1392" t="n"/>
      <c r="BI1280" s="1392" t="n"/>
      <c r="BJ1280" s="1392" t="n"/>
      <c r="BK1280" s="1392" t="n"/>
      <c r="BL1280" s="1392" t="n"/>
      <c r="BM1280" s="1392" t="n"/>
      <c r="BN1280" s="1392" t="n"/>
      <c r="BO1280" s="1392" t="n"/>
      <c r="BP1280" s="1392" t="n"/>
      <c r="BQ1280" s="1392" t="n"/>
      <c r="BR1280" s="1392" t="n"/>
      <c r="BS1280" s="1392" t="n"/>
      <c r="BT1280" s="1392" t="n"/>
      <c r="BU1280" s="1392" t="n"/>
      <c r="BV1280" s="1392" t="n"/>
      <c r="BW1280" s="1392" t="n"/>
      <c r="BX1280" s="1392" t="n"/>
      <c r="BY1280" s="1392" t="n"/>
      <c r="BZ1280" s="1392" t="n"/>
      <c r="CA1280" s="1392" t="n"/>
      <c r="CB1280" s="1392" t="n"/>
      <c r="CC1280" s="1392" t="n"/>
      <c r="CD1280" s="1392" t="n"/>
      <c r="CE1280" s="1392" t="n"/>
      <c r="CF1280" s="1392" t="n"/>
      <c r="CG1280" s="1392" t="n"/>
      <c r="CH1280" s="1392" t="n"/>
      <c r="CI1280" s="1392" t="n"/>
      <c r="CJ1280" s="1392" t="n"/>
      <c r="CK1280" s="1392" t="n"/>
      <c r="CL1280" s="1392" t="n"/>
    </row>
    <row r="1281">
      <c r="A1281" s="5" t="inlineStr">
        <is>
          <t>.</t>
        </is>
      </c>
      <c r="B1281" s="5" t="inlineStr">
        <is>
          <t>.</t>
        </is>
      </c>
      <c r="C1281" s="1378">
        <f>IF(raw[[#This Row],[city]]="","-",IF(raw[[#This Row],[city]]="TODAY","-",C1280+1))</f>
        <v/>
      </c>
      <c r="D1281" s="1393" t="inlineStr">
        <is>
          <t>SP</t>
        </is>
      </c>
      <c r="E1281" s="1394" t="n">
        <v>41203</v>
      </c>
      <c r="F1281" s="1394" t="n">
        <v>41203</v>
      </c>
      <c r="G1281" s="1393" t="n">
        <v>0.01</v>
      </c>
      <c r="H1281" s="1393" t="inlineStr">
        <is>
          <t>Lasalle</t>
        </is>
      </c>
      <c r="I1281" s="1393" t="inlineStr">
        <is>
          <t>-</t>
        </is>
      </c>
      <c r="J1281" s="1393" t="inlineStr">
        <is>
          <t>-</t>
        </is>
      </c>
      <c r="K1281" s="1395">
        <f>IF(raw[[#This Row],[city]]&lt;&gt;"",_xlfn.XLOOKUP($D1281,ccc[city],ccc[prov],"-"),"-")</f>
        <v/>
      </c>
      <c r="L1281" s="1395">
        <f>IF(raw[[#This Row],[city]]&lt;&gt;"",_xlfn.XLOOKUP($D1281,ccc[city],ccc[ctry],"-"),"-")</f>
        <v/>
      </c>
      <c r="M1281" s="1395">
        <f>IF(raw[[#This Row],[city]]&lt;&gt;"",_xlfn.XLOOKUP($D1281,ccc[city],ccc[cont],"-"),"-")</f>
        <v/>
      </c>
      <c r="N1281" s="1396">
        <f>IF(raw[[#This Row],[city]]="","-",IF(raw[[#This Row],[cont]]="B",raw[[#This Row],[cont]],"W"))</f>
        <v/>
      </c>
      <c r="O1281" s="1397">
        <f>IF(raw[[#This Row],[out]]=0,0,IF(raw[[#This Row],[out]]=raw[[#This Row],[in]],0.01,raw[[#This Row],[out]]-raw[[#This Row],[in]]))</f>
        <v/>
      </c>
      <c r="P1281" s="1397">
        <f>IF(raw[[#This Row],[in]]=0,0,MONTH(raw[[#This Row],[in]]))</f>
        <v/>
      </c>
      <c r="Q1281" s="1397">
        <f>IF(raw[[#This Row],[in]]=0,0,YEAR(raw[[#This Row],[in]]))</f>
        <v/>
      </c>
      <c r="R1281" s="1397">
        <f>INT(raw[[#This Row],[yr]]/10)*10</f>
        <v/>
      </c>
      <c r="S1281" s="1395">
        <f>IF(raw[[#This Row],[city]]="","-",IF(raw[[#This Row],[city]]&lt;&gt;_xlfn.XLOOKUP(raw[[#This Row],[home]],homes[home],homes[city],"-"),1,0))</f>
        <v/>
      </c>
      <c r="T1281" s="1398" t="inlineStr">
        <is>
          <t>.</t>
        </is>
      </c>
      <c r="U1281" s="1399">
        <f>IF(raw[[#This Row],[wb]]="w",raw[[#This Row],[stay]]+U1280,U1280)</f>
        <v/>
      </c>
      <c r="V1281" s="1400">
        <f>IF(raw[[#This Row],[out]]=0,V1280,(raw[[#This Row],[out]]-E$5))</f>
        <v/>
      </c>
      <c r="W1281" s="1401">
        <f>U1281/V1281</f>
        <v/>
      </c>
      <c r="X1281" s="1392" t="n"/>
      <c r="Y1281" s="1392" t="n"/>
      <c r="Z1281" s="1392" t="n"/>
      <c r="AA1281" s="1392" t="n"/>
      <c r="AB1281" s="1392" t="n"/>
      <c r="AC1281" s="1392" t="n"/>
      <c r="AD1281" s="1392" t="n"/>
      <c r="AE1281" s="1392" t="n"/>
      <c r="AF1281" s="1392" t="n"/>
      <c r="AG1281" s="1392" t="n"/>
      <c r="AH1281" s="1392" t="n"/>
      <c r="AI1281" s="1392" t="n"/>
      <c r="AJ1281" s="1392" t="n"/>
      <c r="AK1281" s="1392" t="n"/>
      <c r="AL1281" s="1392" t="n"/>
      <c r="AM1281" s="1392" t="n"/>
      <c r="AN1281" s="1392" t="n"/>
      <c r="AO1281" s="1392" t="n"/>
      <c r="AP1281" s="1392" t="n"/>
      <c r="AQ1281" s="1392" t="n"/>
      <c r="AR1281" s="1422" t="n"/>
      <c r="AS1281" s="1422" t="n"/>
      <c r="AT1281" s="1392" t="n"/>
      <c r="AU1281" s="1392" t="n"/>
      <c r="AV1281" s="1392" t="n"/>
      <c r="AW1281" s="1392" t="n"/>
      <c r="AX1281" s="1392" t="n"/>
      <c r="AY1281" s="1392" t="n"/>
      <c r="AZ1281" s="1392" t="n"/>
      <c r="BA1281" s="1422" t="n"/>
      <c r="BB1281" s="1422" t="n"/>
      <c r="BC1281" s="1392" t="n"/>
      <c r="BD1281" s="1392" t="n"/>
      <c r="BE1281" s="1392" t="n"/>
      <c r="BF1281" s="1392" t="n"/>
      <c r="BG1281" s="1392" t="n"/>
      <c r="BH1281" s="1392" t="n"/>
      <c r="BI1281" s="1392" t="n"/>
      <c r="BJ1281" s="1392" t="n"/>
      <c r="BK1281" s="1392" t="n"/>
      <c r="BL1281" s="1392" t="n"/>
      <c r="BM1281" s="1392" t="n"/>
      <c r="BN1281" s="1392" t="n"/>
      <c r="BO1281" s="1392" t="n"/>
      <c r="BP1281" s="1392" t="n"/>
      <c r="BQ1281" s="1392" t="n"/>
      <c r="BR1281" s="1392" t="n"/>
      <c r="BS1281" s="1392" t="n"/>
      <c r="BT1281" s="1392" t="n"/>
      <c r="BU1281" s="1392" t="n"/>
      <c r="BV1281" s="1392" t="n"/>
      <c r="BW1281" s="1392" t="n"/>
      <c r="BX1281" s="1392" t="n"/>
      <c r="BY1281" s="1392" t="n"/>
      <c r="BZ1281" s="1392" t="n"/>
      <c r="CA1281" s="1392" t="n"/>
      <c r="CB1281" s="1392" t="n"/>
      <c r="CC1281" s="1392" t="n"/>
      <c r="CD1281" s="1392" t="n"/>
      <c r="CE1281" s="1392" t="n"/>
      <c r="CF1281" s="1392" t="n"/>
      <c r="CG1281" s="1392" t="n"/>
      <c r="CH1281" s="1392" t="n"/>
      <c r="CI1281" s="1392" t="n"/>
      <c r="CJ1281" s="1392" t="n"/>
      <c r="CK1281" s="1392" t="n"/>
      <c r="CL1281" s="1392" t="n"/>
    </row>
    <row r="1282">
      <c r="A1282" s="5" t="inlineStr">
        <is>
          <t>.</t>
        </is>
      </c>
      <c r="B1282" s="5" t="inlineStr">
        <is>
          <t>.</t>
        </is>
      </c>
      <c r="C1282" s="1378">
        <f>IF(raw[[#This Row],[city]]="","-",IF(raw[[#This Row],[city]]="TODAY","-",C1281+1))</f>
        <v/>
      </c>
      <c r="D1282" s="1393" t="inlineStr">
        <is>
          <t>AIR</t>
        </is>
      </c>
      <c r="E1282" s="1394" t="n">
        <v>41203</v>
      </c>
      <c r="F1282" s="1394" t="n">
        <v>41204</v>
      </c>
      <c r="G1282" s="1393" t="inlineStr">
        <is>
          <t>x</t>
        </is>
      </c>
      <c r="H1282" s="1393" t="inlineStr">
        <is>
          <t>Lasalle</t>
        </is>
      </c>
      <c r="I1282" s="1393" t="inlineStr">
        <is>
          <t>-</t>
        </is>
      </c>
      <c r="J1282" s="1393" t="inlineStr">
        <is>
          <t>-</t>
        </is>
      </c>
      <c r="K1282" s="1395">
        <f>IF(raw[[#This Row],[city]]&lt;&gt;"",_xlfn.XLOOKUP($D1282,ccc[city],ccc[prov],"-"),"-")</f>
        <v/>
      </c>
      <c r="L1282" s="1395">
        <f>IF(raw[[#This Row],[city]]&lt;&gt;"",_xlfn.XLOOKUP($D1282,ccc[city],ccc[ctry],"-"),"-")</f>
        <v/>
      </c>
      <c r="M1282" s="1395">
        <f>IF(raw[[#This Row],[city]]&lt;&gt;"",_xlfn.XLOOKUP($D1282,ccc[city],ccc[cont],"-"),"-")</f>
        <v/>
      </c>
      <c r="N1282" s="1396">
        <f>IF(raw[[#This Row],[city]]="","-",IF(raw[[#This Row],[cont]]="B",raw[[#This Row],[cont]],"W"))</f>
        <v/>
      </c>
      <c r="O1282" s="1397">
        <f>IF(raw[[#This Row],[out]]=0,0,IF(raw[[#This Row],[out]]=raw[[#This Row],[in]],0.01,raw[[#This Row],[out]]-raw[[#This Row],[in]]))</f>
        <v/>
      </c>
      <c r="P1282" s="1397">
        <f>IF(raw[[#This Row],[in]]=0,0,MONTH(raw[[#This Row],[in]]))</f>
        <v/>
      </c>
      <c r="Q1282" s="1397">
        <f>IF(raw[[#This Row],[in]]=0,0,YEAR(raw[[#This Row],[in]]))</f>
        <v/>
      </c>
      <c r="R1282" s="1397">
        <f>INT(raw[[#This Row],[yr]]/10)*10</f>
        <v/>
      </c>
      <c r="S1282" s="1395">
        <f>IF(raw[[#This Row],[city]]="","-",IF(raw[[#This Row],[city]]&lt;&gt;_xlfn.XLOOKUP(raw[[#This Row],[home]],homes[home],homes[city],"-"),1,0))</f>
        <v/>
      </c>
      <c r="T1282" s="1398" t="inlineStr">
        <is>
          <t>.</t>
        </is>
      </c>
      <c r="U1282" s="1399">
        <f>IF(raw[[#This Row],[wb]]="w",raw[[#This Row],[stay]]+U1281,U1281)</f>
        <v/>
      </c>
      <c r="V1282" s="1400">
        <f>IF(raw[[#This Row],[out]]=0,V1281,(raw[[#This Row],[out]]-E$5))</f>
        <v/>
      </c>
      <c r="W1282" s="1401">
        <f>U1282/V1282</f>
        <v/>
      </c>
      <c r="X1282" s="1392" t="n"/>
      <c r="Y1282" s="1392" t="n"/>
      <c r="Z1282" s="1392" t="n"/>
      <c r="AA1282" s="1392" t="n"/>
      <c r="AB1282" s="1392" t="n"/>
      <c r="AC1282" s="1392" t="n"/>
      <c r="AD1282" s="1392" t="n"/>
      <c r="AE1282" s="1392" t="n"/>
      <c r="AF1282" s="1392" t="n"/>
      <c r="AG1282" s="1392" t="n"/>
      <c r="AH1282" s="1392" t="n"/>
      <c r="AI1282" s="1392" t="n"/>
      <c r="AJ1282" s="1392" t="n"/>
      <c r="AK1282" s="1392" t="n"/>
      <c r="AL1282" s="1392" t="n"/>
      <c r="AM1282" s="1392" t="n"/>
      <c r="AN1282" s="1392" t="n"/>
      <c r="AO1282" s="1392" t="n"/>
      <c r="AP1282" s="1392" t="n"/>
      <c r="AQ1282" s="1392" t="n"/>
      <c r="AR1282" s="1422" t="n"/>
      <c r="AS1282" s="1422" t="n"/>
      <c r="AT1282" s="1392" t="n"/>
      <c r="AU1282" s="1392" t="n"/>
      <c r="AV1282" s="1392" t="n"/>
      <c r="AW1282" s="1392" t="n"/>
      <c r="AX1282" s="1392" t="n"/>
      <c r="AY1282" s="1392" t="n"/>
      <c r="AZ1282" s="1392" t="n"/>
      <c r="BA1282" s="1422" t="n"/>
      <c r="BB1282" s="1422" t="n"/>
      <c r="BC1282" s="1392" t="n"/>
      <c r="BD1282" s="1392" t="n"/>
      <c r="BE1282" s="1392" t="n"/>
      <c r="BF1282" s="1392" t="n"/>
      <c r="BG1282" s="1392" t="n"/>
      <c r="BH1282" s="1392" t="n"/>
      <c r="BI1282" s="1392" t="n"/>
      <c r="BJ1282" s="1392" t="n"/>
      <c r="BK1282" s="1392" t="n"/>
      <c r="BL1282" s="1392" t="n"/>
      <c r="BM1282" s="1392" t="n"/>
      <c r="BN1282" s="1392" t="n"/>
      <c r="BO1282" s="1392" t="n"/>
      <c r="BP1282" s="1392" t="n"/>
      <c r="BQ1282" s="1392" t="n"/>
      <c r="BR1282" s="1392" t="n"/>
      <c r="BS1282" s="1392" t="n"/>
      <c r="BT1282" s="1392" t="n"/>
      <c r="BU1282" s="1392" t="n"/>
      <c r="BV1282" s="1392" t="n"/>
      <c r="BW1282" s="1392" t="n"/>
      <c r="BX1282" s="1392" t="n"/>
      <c r="BY1282" s="1392" t="n"/>
      <c r="BZ1282" s="1392" t="n"/>
      <c r="CA1282" s="1392" t="n"/>
      <c r="CB1282" s="1392" t="n"/>
      <c r="CC1282" s="1392" t="n"/>
      <c r="CD1282" s="1392" t="n"/>
      <c r="CE1282" s="1392" t="n"/>
      <c r="CF1282" s="1392" t="n"/>
      <c r="CG1282" s="1392" t="n"/>
      <c r="CH1282" s="1392" t="n"/>
      <c r="CI1282" s="1392" t="n"/>
      <c r="CJ1282" s="1392" t="n"/>
      <c r="CK1282" s="1392" t="n"/>
      <c r="CL1282" s="1392" t="n"/>
    </row>
    <row r="1283">
      <c r="A1283" s="5" t="inlineStr">
        <is>
          <t>.</t>
        </is>
      </c>
      <c r="B1283" s="5" t="inlineStr">
        <is>
          <t>.</t>
        </is>
      </c>
      <c r="C1283" s="1378">
        <f>IF(raw[[#This Row],[city]]="","-",IF(raw[[#This Row],[city]]="TODAY","-",C1282+1))</f>
        <v/>
      </c>
      <c r="D1283" s="1393" t="inlineStr">
        <is>
          <t>Detroit</t>
        </is>
      </c>
      <c r="E1283" s="1394" t="n">
        <v>41204</v>
      </c>
      <c r="F1283" s="1394" t="n">
        <v>41204</v>
      </c>
      <c r="G1283" s="1393" t="n">
        <v>0.01</v>
      </c>
      <c r="H1283" s="1393" t="inlineStr">
        <is>
          <t>Lasalle</t>
        </is>
      </c>
      <c r="I1283" s="1393" t="inlineStr">
        <is>
          <t>-</t>
        </is>
      </c>
      <c r="J1283" s="1393" t="inlineStr">
        <is>
          <t>-</t>
        </is>
      </c>
      <c r="K1283" s="1395">
        <f>IF(raw[[#This Row],[city]]&lt;&gt;"",_xlfn.XLOOKUP($D1283,ccc[city],ccc[prov],"-"),"-")</f>
        <v/>
      </c>
      <c r="L1283" s="1395">
        <f>IF(raw[[#This Row],[city]]&lt;&gt;"",_xlfn.XLOOKUP($D1283,ccc[city],ccc[ctry],"-"),"-")</f>
        <v/>
      </c>
      <c r="M1283" s="1395">
        <f>IF(raw[[#This Row],[city]]&lt;&gt;"",_xlfn.XLOOKUP($D1283,ccc[city],ccc[cont],"-"),"-")</f>
        <v/>
      </c>
      <c r="N1283" s="1396">
        <f>IF(raw[[#This Row],[city]]="","-",IF(raw[[#This Row],[cont]]="B",raw[[#This Row],[cont]],"W"))</f>
        <v/>
      </c>
      <c r="O1283" s="1397">
        <f>IF(raw[[#This Row],[out]]=0,0,IF(raw[[#This Row],[out]]=raw[[#This Row],[in]],0.01,raw[[#This Row],[out]]-raw[[#This Row],[in]]))</f>
        <v/>
      </c>
      <c r="P1283" s="1397">
        <f>IF(raw[[#This Row],[in]]=0,0,MONTH(raw[[#This Row],[in]]))</f>
        <v/>
      </c>
      <c r="Q1283" s="1397">
        <f>IF(raw[[#This Row],[in]]=0,0,YEAR(raw[[#This Row],[in]]))</f>
        <v/>
      </c>
      <c r="R1283" s="1397">
        <f>INT(raw[[#This Row],[yr]]/10)*10</f>
        <v/>
      </c>
      <c r="S1283" s="1395">
        <f>IF(raw[[#This Row],[city]]="","-",IF(raw[[#This Row],[city]]&lt;&gt;_xlfn.XLOOKUP(raw[[#This Row],[home]],homes[home],homes[city],"-"),1,0))</f>
        <v/>
      </c>
      <c r="T1283" s="1398" t="inlineStr">
        <is>
          <t>.</t>
        </is>
      </c>
      <c r="U1283" s="1399">
        <f>IF(raw[[#This Row],[wb]]="w",raw[[#This Row],[stay]]+U1282,U1282)</f>
        <v/>
      </c>
      <c r="V1283" s="1400">
        <f>IF(raw[[#This Row],[out]]=0,V1282,(raw[[#This Row],[out]]-E$5))</f>
        <v/>
      </c>
      <c r="W1283" s="1401">
        <f>U1283/V1283</f>
        <v/>
      </c>
      <c r="X1283" s="1392" t="n"/>
      <c r="Y1283" s="1392" t="n"/>
      <c r="Z1283" s="1392" t="n"/>
      <c r="AA1283" s="1392" t="n"/>
      <c r="AB1283" s="1392" t="n"/>
      <c r="AC1283" s="1392" t="n"/>
      <c r="AD1283" s="1392" t="n"/>
      <c r="AE1283" s="1392" t="n"/>
      <c r="AF1283" s="1392" t="n"/>
      <c r="AG1283" s="1392" t="n"/>
      <c r="AH1283" s="1392" t="n"/>
      <c r="AI1283" s="1392" t="n"/>
      <c r="AJ1283" s="1392" t="n"/>
      <c r="AK1283" s="1392" t="n"/>
      <c r="AL1283" s="1392" t="n"/>
      <c r="AM1283" s="1392" t="n"/>
      <c r="AN1283" s="1392" t="n"/>
      <c r="AO1283" s="1392" t="n"/>
      <c r="AP1283" s="1392" t="n"/>
      <c r="AQ1283" s="1392" t="n"/>
      <c r="AR1283" s="1422" t="n"/>
      <c r="AS1283" s="1422" t="n"/>
      <c r="AT1283" s="1392" t="n"/>
      <c r="AU1283" s="1392" t="n"/>
      <c r="AV1283" s="1392" t="n"/>
      <c r="AW1283" s="1392" t="n"/>
      <c r="AX1283" s="1392" t="n"/>
      <c r="AY1283" s="1392" t="n"/>
      <c r="AZ1283" s="1392" t="n"/>
      <c r="BA1283" s="1422" t="n"/>
      <c r="BB1283" s="1422" t="n"/>
      <c r="BC1283" s="1392" t="n"/>
      <c r="BD1283" s="1392" t="n"/>
      <c r="BE1283" s="1392" t="n"/>
      <c r="BF1283" s="1392" t="n"/>
      <c r="BG1283" s="1392" t="n"/>
      <c r="BH1283" s="1392" t="n"/>
      <c r="BI1283" s="1392" t="n"/>
      <c r="BJ1283" s="1392" t="n"/>
      <c r="BK1283" s="1392" t="n"/>
      <c r="BL1283" s="1392" t="n"/>
      <c r="BM1283" s="1392" t="n"/>
      <c r="BN1283" s="1392" t="n"/>
      <c r="BO1283" s="1392" t="n"/>
      <c r="BP1283" s="1392" t="n"/>
      <c r="BQ1283" s="1392" t="n"/>
      <c r="BR1283" s="1392" t="n"/>
      <c r="BS1283" s="1392" t="n"/>
      <c r="BT1283" s="1392" t="n"/>
      <c r="BU1283" s="1392" t="n"/>
      <c r="BV1283" s="1392" t="n"/>
      <c r="BW1283" s="1392" t="n"/>
      <c r="BX1283" s="1392" t="n"/>
      <c r="BY1283" s="1392" t="n"/>
      <c r="BZ1283" s="1392" t="n"/>
      <c r="CA1283" s="1392" t="n"/>
      <c r="CB1283" s="1392" t="n"/>
      <c r="CC1283" s="1392" t="n"/>
      <c r="CD1283" s="1392" t="n"/>
      <c r="CE1283" s="1392" t="n"/>
      <c r="CF1283" s="1392" t="n"/>
      <c r="CG1283" s="1392" t="n"/>
      <c r="CH1283" s="1392" t="n"/>
      <c r="CI1283" s="1392" t="n"/>
      <c r="CJ1283" s="1392" t="n"/>
      <c r="CK1283" s="1392" t="n"/>
      <c r="CL1283" s="1392" t="n"/>
    </row>
    <row r="1284">
      <c r="A1284" s="5" t="inlineStr">
        <is>
          <t>.</t>
        </is>
      </c>
      <c r="B1284" s="5" t="inlineStr">
        <is>
          <t>.</t>
        </is>
      </c>
      <c r="C1284" s="1378">
        <f>IF(raw[[#This Row],[city]]="","-",IF(raw[[#This Row],[city]]="TODAY","-",C1283+1))</f>
        <v/>
      </c>
      <c r="D1284" s="1393" t="inlineStr">
        <is>
          <t>Montreal</t>
        </is>
      </c>
      <c r="E1284" s="1394" t="n">
        <v>41204</v>
      </c>
      <c r="F1284" s="1394" t="n">
        <v>41214</v>
      </c>
      <c r="G1284" s="1393" t="inlineStr">
        <is>
          <t>-</t>
        </is>
      </c>
      <c r="H1284" s="1393" t="inlineStr">
        <is>
          <t>Lasalle</t>
        </is>
      </c>
      <c r="I1284" s="1393" t="inlineStr">
        <is>
          <t>-</t>
        </is>
      </c>
      <c r="J1284" s="1393" t="inlineStr">
        <is>
          <t>-</t>
        </is>
      </c>
      <c r="K1284" s="1395">
        <f>IF(raw[[#This Row],[city]]&lt;&gt;"",_xlfn.XLOOKUP($D1284,ccc[city],ccc[prov],"-"),"-")</f>
        <v/>
      </c>
      <c r="L1284" s="1395">
        <f>IF(raw[[#This Row],[city]]&lt;&gt;"",_xlfn.XLOOKUP($D1284,ccc[city],ccc[ctry],"-"),"-")</f>
        <v/>
      </c>
      <c r="M1284" s="1395">
        <f>IF(raw[[#This Row],[city]]&lt;&gt;"",_xlfn.XLOOKUP($D1284,ccc[city],ccc[cont],"-"),"-")</f>
        <v/>
      </c>
      <c r="N1284" s="1396">
        <f>IF(raw[[#This Row],[city]]="","-",IF(raw[[#This Row],[cont]]="B",raw[[#This Row],[cont]],"W"))</f>
        <v/>
      </c>
      <c r="O1284" s="1397">
        <f>IF(raw[[#This Row],[out]]=0,0,IF(raw[[#This Row],[out]]=raw[[#This Row],[in]],0.01,raw[[#This Row],[out]]-raw[[#This Row],[in]]))</f>
        <v/>
      </c>
      <c r="P1284" s="1397">
        <f>IF(raw[[#This Row],[in]]=0,0,MONTH(raw[[#This Row],[in]]))</f>
        <v/>
      </c>
      <c r="Q1284" s="1397">
        <f>IF(raw[[#This Row],[in]]=0,0,YEAR(raw[[#This Row],[in]]))</f>
        <v/>
      </c>
      <c r="R1284" s="1397">
        <f>INT(raw[[#This Row],[yr]]/10)*10</f>
        <v/>
      </c>
      <c r="S1284" s="1395">
        <f>IF(raw[[#This Row],[city]]="","-",IF(raw[[#This Row],[city]]&lt;&gt;_xlfn.XLOOKUP(raw[[#This Row],[home]],homes[home],homes[city],"-"),1,0))</f>
        <v/>
      </c>
      <c r="T1284" s="1398" t="inlineStr">
        <is>
          <t>.</t>
        </is>
      </c>
      <c r="U1284" s="1399">
        <f>IF(raw[[#This Row],[wb]]="w",raw[[#This Row],[stay]]+U1283,U1283)</f>
        <v/>
      </c>
      <c r="V1284" s="1400">
        <f>IF(raw[[#This Row],[out]]=0,V1283,(raw[[#This Row],[out]]-E$5))</f>
        <v/>
      </c>
      <c r="W1284" s="1401">
        <f>U1284/V1284</f>
        <v/>
      </c>
      <c r="X1284" s="1392" t="n"/>
      <c r="Y1284" s="1392" t="n"/>
      <c r="Z1284" s="1392" t="n"/>
      <c r="AA1284" s="1392" t="n"/>
      <c r="AB1284" s="1392" t="n"/>
      <c r="AC1284" s="1392" t="n"/>
      <c r="AD1284" s="1392" t="n"/>
      <c r="AE1284" s="1392" t="n"/>
      <c r="AF1284" s="1392" t="n"/>
      <c r="AG1284" s="1392" t="n"/>
      <c r="AH1284" s="1392" t="n"/>
      <c r="AI1284" s="1392" t="n"/>
      <c r="AJ1284" s="1392" t="n"/>
      <c r="AK1284" s="1392" t="n"/>
      <c r="AL1284" s="1392" t="n"/>
      <c r="AM1284" s="1392" t="n"/>
      <c r="AN1284" s="1392" t="n"/>
      <c r="AO1284" s="1392" t="n"/>
      <c r="AP1284" s="1392" t="n"/>
      <c r="AQ1284" s="1392" t="n"/>
      <c r="AR1284" s="1422" t="n"/>
      <c r="AS1284" s="1422" t="n"/>
      <c r="AT1284" s="1392" t="n"/>
      <c r="AU1284" s="1392" t="n"/>
      <c r="AV1284" s="1392" t="n"/>
      <c r="AW1284" s="1392" t="n"/>
      <c r="AX1284" s="1392" t="n"/>
      <c r="AY1284" s="1392" t="n"/>
      <c r="AZ1284" s="1392" t="n"/>
      <c r="BA1284" s="1422" t="n"/>
      <c r="BB1284" s="1422" t="n"/>
      <c r="BC1284" s="1392" t="n"/>
      <c r="BD1284" s="1392" t="n"/>
      <c r="BE1284" s="1392" t="n"/>
      <c r="BF1284" s="1392" t="n"/>
      <c r="BG1284" s="1392" t="n"/>
      <c r="BH1284" s="1392" t="n"/>
      <c r="BI1284" s="1392" t="n"/>
      <c r="BJ1284" s="1392" t="n"/>
      <c r="BK1284" s="1392" t="n"/>
      <c r="BL1284" s="1392" t="n"/>
      <c r="BM1284" s="1392" t="n"/>
      <c r="BN1284" s="1392" t="n"/>
      <c r="BO1284" s="1392" t="n"/>
      <c r="BP1284" s="1392" t="n"/>
      <c r="BQ1284" s="1392" t="n"/>
      <c r="BR1284" s="1392" t="n"/>
      <c r="BS1284" s="1392" t="n"/>
      <c r="BT1284" s="1392" t="n"/>
      <c r="BU1284" s="1392" t="n"/>
      <c r="BV1284" s="1392" t="n"/>
      <c r="BW1284" s="1392" t="n"/>
      <c r="BX1284" s="1392" t="n"/>
      <c r="BY1284" s="1392" t="n"/>
      <c r="BZ1284" s="1392" t="n"/>
      <c r="CA1284" s="1392" t="n"/>
      <c r="CB1284" s="1392" t="n"/>
      <c r="CC1284" s="1392" t="n"/>
      <c r="CD1284" s="1392" t="n"/>
      <c r="CE1284" s="1392" t="n"/>
      <c r="CF1284" s="1392" t="n"/>
      <c r="CG1284" s="1392" t="n"/>
      <c r="CH1284" s="1392" t="n"/>
      <c r="CI1284" s="1392" t="n"/>
      <c r="CJ1284" s="1392" t="n"/>
      <c r="CK1284" s="1392" t="n"/>
      <c r="CL1284" s="1392" t="n"/>
    </row>
    <row r="1285">
      <c r="A1285" s="5" t="inlineStr">
        <is>
          <t>.</t>
        </is>
      </c>
      <c r="B1285" s="5" t="inlineStr">
        <is>
          <t>.</t>
        </is>
      </c>
      <c r="C1285" s="1378">
        <f>IF(raw[[#This Row],[city]]="","-",IF(raw[[#This Row],[city]]="TODAY","-",C1284+1))</f>
        <v/>
      </c>
      <c r="D1285" s="1393" t="inlineStr">
        <is>
          <t>Montreal</t>
        </is>
      </c>
      <c r="E1285" s="1394" t="n">
        <v>41214</v>
      </c>
      <c r="F1285" s="1394" t="n">
        <v>41244</v>
      </c>
      <c r="G1285" s="1393" t="inlineStr">
        <is>
          <t>-</t>
        </is>
      </c>
      <c r="H1285" s="1393" t="inlineStr">
        <is>
          <t>Lasalle</t>
        </is>
      </c>
      <c r="I1285" s="1393" t="inlineStr">
        <is>
          <t>-</t>
        </is>
      </c>
      <c r="J1285" s="1393" t="inlineStr">
        <is>
          <t>-</t>
        </is>
      </c>
      <c r="K1285" s="1395">
        <f>IF(raw[[#This Row],[city]]&lt;&gt;"",_xlfn.XLOOKUP($D1285,ccc[city],ccc[prov],"-"),"-")</f>
        <v/>
      </c>
      <c r="L1285" s="1395">
        <f>IF(raw[[#This Row],[city]]&lt;&gt;"",_xlfn.XLOOKUP($D1285,ccc[city],ccc[ctry],"-"),"-")</f>
        <v/>
      </c>
      <c r="M1285" s="1395">
        <f>IF(raw[[#This Row],[city]]&lt;&gt;"",_xlfn.XLOOKUP($D1285,ccc[city],ccc[cont],"-"),"-")</f>
        <v/>
      </c>
      <c r="N1285" s="1396">
        <f>IF(raw[[#This Row],[city]]="","-",IF(raw[[#This Row],[cont]]="B",raw[[#This Row],[cont]],"W"))</f>
        <v/>
      </c>
      <c r="O1285" s="1397">
        <f>IF(raw[[#This Row],[out]]=0,0,IF(raw[[#This Row],[out]]=raw[[#This Row],[in]],0.01,raw[[#This Row],[out]]-raw[[#This Row],[in]]))</f>
        <v/>
      </c>
      <c r="P1285" s="1397">
        <f>IF(raw[[#This Row],[in]]=0,0,MONTH(raw[[#This Row],[in]]))</f>
        <v/>
      </c>
      <c r="Q1285" s="1397">
        <f>IF(raw[[#This Row],[in]]=0,0,YEAR(raw[[#This Row],[in]]))</f>
        <v/>
      </c>
      <c r="R1285" s="1397">
        <f>INT(raw[[#This Row],[yr]]/10)*10</f>
        <v/>
      </c>
      <c r="S1285" s="1395">
        <f>IF(raw[[#This Row],[city]]="","-",IF(raw[[#This Row],[city]]&lt;&gt;_xlfn.XLOOKUP(raw[[#This Row],[home]],homes[home],homes[city],"-"),1,0))</f>
        <v/>
      </c>
      <c r="T1285" s="1398" t="inlineStr">
        <is>
          <t>.</t>
        </is>
      </c>
      <c r="U1285" s="1399">
        <f>IF(raw[[#This Row],[wb]]="w",raw[[#This Row],[stay]]+U1284,U1284)</f>
        <v/>
      </c>
      <c r="V1285" s="1400">
        <f>IF(raw[[#This Row],[out]]=0,V1284,(raw[[#This Row],[out]]-E$5))</f>
        <v/>
      </c>
      <c r="W1285" s="1401">
        <f>U1285/V1285</f>
        <v/>
      </c>
      <c r="X1285" s="1392" t="n"/>
      <c r="Y1285" s="1392" t="n"/>
      <c r="Z1285" s="1392" t="n"/>
      <c r="AA1285" s="1392" t="n"/>
      <c r="AB1285" s="1392" t="n"/>
      <c r="AC1285" s="1392" t="n"/>
      <c r="AD1285" s="1392" t="n"/>
      <c r="AE1285" s="1392" t="n"/>
      <c r="AF1285" s="1392" t="n"/>
      <c r="AG1285" s="1392" t="n"/>
      <c r="AH1285" s="1392" t="n"/>
      <c r="AI1285" s="1392" t="n"/>
      <c r="AJ1285" s="1392" t="n"/>
      <c r="AK1285" s="1392" t="n"/>
      <c r="AL1285" s="1392" t="n"/>
      <c r="AM1285" s="1392" t="n"/>
      <c r="AN1285" s="1392" t="n"/>
      <c r="AO1285" s="1392" t="n"/>
      <c r="AP1285" s="1392" t="n"/>
      <c r="AQ1285" s="1392" t="n"/>
      <c r="AR1285" s="1422" t="n"/>
      <c r="AS1285" s="1422" t="n"/>
      <c r="AT1285" s="1392" t="n"/>
      <c r="AU1285" s="1392" t="n"/>
      <c r="AV1285" s="1392" t="n"/>
      <c r="AW1285" s="1392" t="n"/>
      <c r="AX1285" s="1392" t="n"/>
      <c r="AY1285" s="1392" t="n"/>
      <c r="AZ1285" s="1392" t="n"/>
      <c r="BA1285" s="1422" t="n"/>
      <c r="BB1285" s="1422" t="n"/>
      <c r="BC1285" s="1392" t="n"/>
      <c r="BD1285" s="1392" t="n"/>
      <c r="BE1285" s="1392" t="n"/>
      <c r="BF1285" s="1392" t="n"/>
      <c r="BG1285" s="1392" t="n"/>
      <c r="BH1285" s="1392" t="n"/>
      <c r="BI1285" s="1392" t="n"/>
      <c r="BJ1285" s="1392" t="n"/>
      <c r="BK1285" s="1392" t="n"/>
      <c r="BL1285" s="1392" t="n"/>
      <c r="BM1285" s="1392" t="n"/>
      <c r="BN1285" s="1392" t="n"/>
      <c r="BO1285" s="1392" t="n"/>
      <c r="BP1285" s="1392" t="n"/>
      <c r="BQ1285" s="1392" t="n"/>
      <c r="BR1285" s="1392" t="n"/>
      <c r="BS1285" s="1392" t="n"/>
      <c r="BT1285" s="1392" t="n"/>
      <c r="BU1285" s="1392" t="n"/>
      <c r="BV1285" s="1392" t="n"/>
      <c r="BW1285" s="1392" t="n"/>
      <c r="BX1285" s="1392" t="n"/>
      <c r="BY1285" s="1392" t="n"/>
      <c r="BZ1285" s="1392" t="n"/>
      <c r="CA1285" s="1392" t="n"/>
      <c r="CB1285" s="1392" t="n"/>
      <c r="CC1285" s="1392" t="n"/>
      <c r="CD1285" s="1392" t="n"/>
      <c r="CE1285" s="1392" t="n"/>
      <c r="CF1285" s="1392" t="n"/>
      <c r="CG1285" s="1392" t="n"/>
      <c r="CH1285" s="1392" t="n"/>
      <c r="CI1285" s="1392" t="n"/>
      <c r="CJ1285" s="1392" t="n"/>
      <c r="CK1285" s="1392" t="n"/>
      <c r="CL1285" s="1392" t="n"/>
    </row>
    <row r="1286">
      <c r="A1286" s="5" t="inlineStr">
        <is>
          <t>.</t>
        </is>
      </c>
      <c r="B1286" s="5" t="inlineStr">
        <is>
          <t>.</t>
        </is>
      </c>
      <c r="C1286" s="1378">
        <f>IF(raw[[#This Row],[city]]="","-",IF(raw[[#This Row],[city]]="TODAY","-",C1285+1))</f>
        <v/>
      </c>
      <c r="D1286" s="1393" t="inlineStr">
        <is>
          <t>Montreal</t>
        </is>
      </c>
      <c r="E1286" s="1394" t="n">
        <v>41244</v>
      </c>
      <c r="F1286" s="1394" t="n">
        <v>41265</v>
      </c>
      <c r="G1286" s="1393" t="inlineStr">
        <is>
          <t>-</t>
        </is>
      </c>
      <c r="H1286" s="1393" t="inlineStr">
        <is>
          <t>Lasalle</t>
        </is>
      </c>
      <c r="I1286" s="1393" t="inlineStr">
        <is>
          <t>-</t>
        </is>
      </c>
      <c r="J1286" s="1393" t="inlineStr">
        <is>
          <t>-</t>
        </is>
      </c>
      <c r="K1286" s="1395">
        <f>IF(raw[[#This Row],[city]]&lt;&gt;"",_xlfn.XLOOKUP($D1286,ccc[city],ccc[prov],"-"),"-")</f>
        <v/>
      </c>
      <c r="L1286" s="1395">
        <f>IF(raw[[#This Row],[city]]&lt;&gt;"",_xlfn.XLOOKUP($D1286,ccc[city],ccc[ctry],"-"),"-")</f>
        <v/>
      </c>
      <c r="M1286" s="1395">
        <f>IF(raw[[#This Row],[city]]&lt;&gt;"",_xlfn.XLOOKUP($D1286,ccc[city],ccc[cont],"-"),"-")</f>
        <v/>
      </c>
      <c r="N1286" s="1396">
        <f>IF(raw[[#This Row],[city]]="","-",IF(raw[[#This Row],[cont]]="B",raw[[#This Row],[cont]],"W"))</f>
        <v/>
      </c>
      <c r="O1286" s="1397">
        <f>IF(raw[[#This Row],[out]]=0,0,IF(raw[[#This Row],[out]]=raw[[#This Row],[in]],0.01,raw[[#This Row],[out]]-raw[[#This Row],[in]]))</f>
        <v/>
      </c>
      <c r="P1286" s="1397">
        <f>IF(raw[[#This Row],[in]]=0,0,MONTH(raw[[#This Row],[in]]))</f>
        <v/>
      </c>
      <c r="Q1286" s="1397">
        <f>IF(raw[[#This Row],[in]]=0,0,YEAR(raw[[#This Row],[in]]))</f>
        <v/>
      </c>
      <c r="R1286" s="1397">
        <f>INT(raw[[#This Row],[yr]]/10)*10</f>
        <v/>
      </c>
      <c r="S1286" s="1395">
        <f>IF(raw[[#This Row],[city]]="","-",IF(raw[[#This Row],[city]]&lt;&gt;_xlfn.XLOOKUP(raw[[#This Row],[home]],homes[home],homes[city],"-"),1,0))</f>
        <v/>
      </c>
      <c r="T1286" s="1398" t="inlineStr">
        <is>
          <t>.</t>
        </is>
      </c>
      <c r="U1286" s="1399">
        <f>IF(raw[[#This Row],[wb]]="w",raw[[#This Row],[stay]]+U1285,U1285)</f>
        <v/>
      </c>
      <c r="V1286" s="1400">
        <f>IF(raw[[#This Row],[out]]=0,V1285,(raw[[#This Row],[out]]-E$5))</f>
        <v/>
      </c>
      <c r="W1286" s="1401">
        <f>U1286/V1286</f>
        <v/>
      </c>
      <c r="X1286" s="1392" t="n"/>
      <c r="Y1286" s="1392" t="n"/>
      <c r="Z1286" s="1392" t="n"/>
      <c r="AA1286" s="1392" t="n"/>
      <c r="AB1286" s="1392" t="n"/>
      <c r="AC1286" s="1392" t="n"/>
      <c r="AD1286" s="1392" t="n"/>
      <c r="AE1286" s="1392" t="n"/>
      <c r="AF1286" s="1392" t="n"/>
      <c r="AG1286" s="1392" t="n"/>
      <c r="AH1286" s="1392" t="n"/>
      <c r="AI1286" s="1392" t="n"/>
      <c r="AJ1286" s="1392" t="n"/>
      <c r="AK1286" s="1392" t="n"/>
      <c r="AL1286" s="1392" t="n"/>
      <c r="AM1286" s="1392" t="n"/>
      <c r="AN1286" s="1392" t="n"/>
      <c r="AO1286" s="1392" t="n"/>
      <c r="AP1286" s="1392" t="n"/>
      <c r="AQ1286" s="1392" t="n"/>
      <c r="AR1286" s="1422" t="n"/>
      <c r="AS1286" s="1422" t="n"/>
      <c r="AT1286" s="1392" t="n"/>
      <c r="AU1286" s="1392" t="n"/>
      <c r="AV1286" s="1392" t="n"/>
      <c r="AW1286" s="1392" t="n"/>
      <c r="AX1286" s="1392" t="n"/>
      <c r="AY1286" s="1392" t="n"/>
      <c r="AZ1286" s="1392" t="n"/>
      <c r="BA1286" s="1422" t="n"/>
      <c r="BB1286" s="1422" t="n"/>
      <c r="BC1286" s="1392" t="n"/>
      <c r="BD1286" s="1392" t="n"/>
      <c r="BE1286" s="1392" t="n"/>
      <c r="BF1286" s="1392" t="n"/>
      <c r="BG1286" s="1392" t="n"/>
      <c r="BH1286" s="1392" t="n"/>
      <c r="BI1286" s="1392" t="n"/>
      <c r="BJ1286" s="1392" t="n"/>
      <c r="BK1286" s="1392" t="n"/>
      <c r="BL1286" s="1392" t="n"/>
      <c r="BM1286" s="1392" t="n"/>
      <c r="BN1286" s="1392" t="n"/>
      <c r="BO1286" s="1392" t="n"/>
      <c r="BP1286" s="1392" t="n"/>
      <c r="BQ1286" s="1392" t="n"/>
      <c r="BR1286" s="1392" t="n"/>
      <c r="BS1286" s="1392" t="n"/>
      <c r="BT1286" s="1392" t="n"/>
      <c r="BU1286" s="1392" t="n"/>
      <c r="BV1286" s="1392" t="n"/>
      <c r="BW1286" s="1392" t="n"/>
      <c r="BX1286" s="1392" t="n"/>
      <c r="BY1286" s="1392" t="n"/>
      <c r="BZ1286" s="1392" t="n"/>
      <c r="CA1286" s="1392" t="n"/>
      <c r="CB1286" s="1392" t="n"/>
      <c r="CC1286" s="1392" t="n"/>
      <c r="CD1286" s="1392" t="n"/>
      <c r="CE1286" s="1392" t="n"/>
      <c r="CF1286" s="1392" t="n"/>
      <c r="CG1286" s="1392" t="n"/>
      <c r="CH1286" s="1392" t="n"/>
      <c r="CI1286" s="1392" t="n"/>
      <c r="CJ1286" s="1392" t="n"/>
      <c r="CK1286" s="1392" t="n"/>
      <c r="CL1286" s="1392" t="n"/>
    </row>
    <row r="1287">
      <c r="A1287" s="5" t="inlineStr">
        <is>
          <t>.</t>
        </is>
      </c>
      <c r="B1287" s="5" t="inlineStr">
        <is>
          <t>.</t>
        </is>
      </c>
      <c r="C1287" s="1378">
        <f>IF(raw[[#This Row],[city]]="","-",IF(raw[[#This Row],[city]]="TODAY","-",C1286+1))</f>
        <v/>
      </c>
      <c r="D1287" s="1393" t="inlineStr">
        <is>
          <t>BORDER USA</t>
        </is>
      </c>
      <c r="E1287" s="1394" t="n">
        <v>41265</v>
      </c>
      <c r="F1287" s="1394" t="n">
        <v>41265</v>
      </c>
      <c r="G1287" s="1393" t="inlineStr">
        <is>
          <t>-</t>
        </is>
      </c>
      <c r="H1287" s="1393" t="inlineStr">
        <is>
          <t>Lasalle</t>
        </is>
      </c>
      <c r="I1287" s="1393" t="inlineStr">
        <is>
          <t>-</t>
        </is>
      </c>
      <c r="J1287" s="1393" t="inlineStr">
        <is>
          <t>-</t>
        </is>
      </c>
      <c r="K1287" s="1395">
        <f>IF(raw[[#This Row],[city]]&lt;&gt;"",_xlfn.XLOOKUP($D1287,ccc[city],ccc[prov],"-"),"-")</f>
        <v/>
      </c>
      <c r="L1287" s="1395">
        <f>IF(raw[[#This Row],[city]]&lt;&gt;"",_xlfn.XLOOKUP($D1287,ccc[city],ccc[ctry],"-"),"-")</f>
        <v/>
      </c>
      <c r="M1287" s="1395">
        <f>IF(raw[[#This Row],[city]]&lt;&gt;"",_xlfn.XLOOKUP($D1287,ccc[city],ccc[cont],"-"),"-")</f>
        <v/>
      </c>
      <c r="N1287" s="1396">
        <f>IF(raw[[#This Row],[city]]="","-",IF(raw[[#This Row],[cont]]="B",raw[[#This Row],[cont]],"W"))</f>
        <v/>
      </c>
      <c r="O1287" s="1397">
        <f>IF(raw[[#This Row],[out]]=0,0,IF(raw[[#This Row],[out]]=raw[[#This Row],[in]],0.01,raw[[#This Row],[out]]-raw[[#This Row],[in]]))</f>
        <v/>
      </c>
      <c r="P1287" s="1397">
        <f>IF(raw[[#This Row],[in]]=0,0,MONTH(raw[[#This Row],[in]]))</f>
        <v/>
      </c>
      <c r="Q1287" s="1397">
        <f>IF(raw[[#This Row],[in]]=0,0,YEAR(raw[[#This Row],[in]]))</f>
        <v/>
      </c>
      <c r="R1287" s="1397">
        <f>INT(raw[[#This Row],[yr]]/10)*10</f>
        <v/>
      </c>
      <c r="S1287" s="1395">
        <f>IF(raw[[#This Row],[city]]="","-",IF(raw[[#This Row],[city]]&lt;&gt;_xlfn.XLOOKUP(raw[[#This Row],[home]],homes[home],homes[city],"-"),1,0))</f>
        <v/>
      </c>
      <c r="T1287" s="1398" t="inlineStr">
        <is>
          <t>.</t>
        </is>
      </c>
      <c r="U1287" s="1399">
        <f>IF(raw[[#This Row],[wb]]="w",raw[[#This Row],[stay]]+U1286,U1286)</f>
        <v/>
      </c>
      <c r="V1287" s="1400">
        <f>IF(raw[[#This Row],[out]]=0,V1286,(raw[[#This Row],[out]]-E$5))</f>
        <v/>
      </c>
      <c r="W1287" s="1401">
        <f>U1287/V1287</f>
        <v/>
      </c>
      <c r="X1287" s="1392" t="n"/>
      <c r="Y1287" s="1392" t="n"/>
      <c r="Z1287" s="1392" t="n"/>
      <c r="AA1287" s="1392" t="n"/>
      <c r="AB1287" s="1392" t="n"/>
      <c r="AC1287" s="1392" t="n"/>
      <c r="AD1287" s="1392" t="n"/>
      <c r="AE1287" s="1392" t="n"/>
      <c r="AF1287" s="1392" t="n"/>
      <c r="AG1287" s="1392" t="n"/>
      <c r="AH1287" s="1392" t="n"/>
      <c r="AI1287" s="1392" t="n"/>
      <c r="AJ1287" s="1392" t="n"/>
      <c r="AK1287" s="1392" t="n"/>
      <c r="AL1287" s="1392" t="n"/>
      <c r="AM1287" s="1392" t="n"/>
      <c r="AN1287" s="1392" t="n"/>
      <c r="AO1287" s="1392" t="n"/>
      <c r="AP1287" s="1392" t="n"/>
      <c r="AQ1287" s="1392" t="n"/>
      <c r="AR1287" s="1422" t="n"/>
      <c r="AS1287" s="1422" t="n"/>
      <c r="AT1287" s="1392" t="n"/>
      <c r="AU1287" s="1392" t="n"/>
      <c r="AV1287" s="1392" t="n"/>
      <c r="AW1287" s="1392" t="n"/>
      <c r="AX1287" s="1392" t="n"/>
      <c r="AY1287" s="1392" t="n"/>
      <c r="AZ1287" s="1392" t="n"/>
      <c r="BA1287" s="1422" t="n"/>
      <c r="BB1287" s="1422" t="n"/>
      <c r="BC1287" s="1392" t="n"/>
      <c r="BD1287" s="1392" t="n"/>
      <c r="BE1287" s="1392" t="n"/>
      <c r="BF1287" s="1392" t="n"/>
      <c r="BG1287" s="1392" t="n"/>
      <c r="BH1287" s="1392" t="n"/>
      <c r="BI1287" s="1392" t="n"/>
      <c r="BJ1287" s="1392" t="n"/>
      <c r="BK1287" s="1392" t="n"/>
      <c r="BL1287" s="1392" t="n"/>
      <c r="BM1287" s="1392" t="n"/>
      <c r="BN1287" s="1392" t="n"/>
      <c r="BO1287" s="1392" t="n"/>
      <c r="BP1287" s="1392" t="n"/>
      <c r="BQ1287" s="1392" t="n"/>
      <c r="BR1287" s="1392" t="n"/>
      <c r="BS1287" s="1392" t="n"/>
      <c r="BT1287" s="1392" t="n"/>
      <c r="BU1287" s="1392" t="n"/>
      <c r="BV1287" s="1392" t="n"/>
      <c r="BW1287" s="1392" t="n"/>
      <c r="BX1287" s="1392" t="n"/>
      <c r="BY1287" s="1392" t="n"/>
      <c r="BZ1287" s="1392" t="n"/>
      <c r="CA1287" s="1392" t="n"/>
      <c r="CB1287" s="1392" t="n"/>
      <c r="CC1287" s="1392" t="n"/>
      <c r="CD1287" s="1392" t="n"/>
      <c r="CE1287" s="1392" t="n"/>
      <c r="CF1287" s="1392" t="n"/>
      <c r="CG1287" s="1392" t="n"/>
      <c r="CH1287" s="1392" t="n"/>
      <c r="CI1287" s="1392" t="n"/>
      <c r="CJ1287" s="1392" t="n"/>
      <c r="CK1287" s="1392" t="n"/>
      <c r="CL1287" s="1392" t="n"/>
    </row>
    <row r="1288">
      <c r="A1288" s="5" t="inlineStr">
        <is>
          <t>.</t>
        </is>
      </c>
      <c r="B1288" s="5" t="inlineStr">
        <is>
          <t>.</t>
        </is>
      </c>
      <c r="C1288" s="1378">
        <f>IF(raw[[#This Row],[city]]="","-",IF(raw[[#This Row],[city]]="TODAY","-",C1287+1))</f>
        <v/>
      </c>
      <c r="D1288" s="1393" t="inlineStr">
        <is>
          <t>BORDER CAN</t>
        </is>
      </c>
      <c r="E1288" s="1394" t="n">
        <v>41265</v>
      </c>
      <c r="F1288" s="1394" t="n">
        <v>41265</v>
      </c>
      <c r="G1288" s="1393" t="inlineStr">
        <is>
          <t>-</t>
        </is>
      </c>
      <c r="H1288" s="1393" t="inlineStr">
        <is>
          <t>Lasalle</t>
        </is>
      </c>
      <c r="I1288" s="1393" t="inlineStr">
        <is>
          <t>-</t>
        </is>
      </c>
      <c r="J1288" s="1393" t="inlineStr">
        <is>
          <t>-</t>
        </is>
      </c>
      <c r="K1288" s="1395">
        <f>IF(raw[[#This Row],[city]]&lt;&gt;"",_xlfn.XLOOKUP($D1288,ccc[city],ccc[prov],"-"),"-")</f>
        <v/>
      </c>
      <c r="L1288" s="1395">
        <f>IF(raw[[#This Row],[city]]&lt;&gt;"",_xlfn.XLOOKUP($D1288,ccc[city],ccc[ctry],"-"),"-")</f>
        <v/>
      </c>
      <c r="M1288" s="1395">
        <f>IF(raw[[#This Row],[city]]&lt;&gt;"",_xlfn.XLOOKUP($D1288,ccc[city],ccc[cont],"-"),"-")</f>
        <v/>
      </c>
      <c r="N1288" s="1396">
        <f>IF(raw[[#This Row],[city]]="","-",IF(raw[[#This Row],[cont]]="B",raw[[#This Row],[cont]],"W"))</f>
        <v/>
      </c>
      <c r="O1288" s="1397">
        <f>IF(raw[[#This Row],[out]]=0,0,IF(raw[[#This Row],[out]]=raw[[#This Row],[in]],0.01,raw[[#This Row],[out]]-raw[[#This Row],[in]]))</f>
        <v/>
      </c>
      <c r="P1288" s="1397">
        <f>IF(raw[[#This Row],[in]]=0,0,MONTH(raw[[#This Row],[in]]))</f>
        <v/>
      </c>
      <c r="Q1288" s="1397">
        <f>IF(raw[[#This Row],[in]]=0,0,YEAR(raw[[#This Row],[in]]))</f>
        <v/>
      </c>
      <c r="R1288" s="1397">
        <f>INT(raw[[#This Row],[yr]]/10)*10</f>
        <v/>
      </c>
      <c r="S1288" s="1395">
        <f>IF(raw[[#This Row],[city]]="","-",IF(raw[[#This Row],[city]]&lt;&gt;_xlfn.XLOOKUP(raw[[#This Row],[home]],homes[home],homes[city],"-"),1,0))</f>
        <v/>
      </c>
      <c r="T1288" s="1398" t="inlineStr">
        <is>
          <t>.</t>
        </is>
      </c>
      <c r="U1288" s="1399">
        <f>IF(raw[[#This Row],[wb]]="w",raw[[#This Row],[stay]]+U1287,U1287)</f>
        <v/>
      </c>
      <c r="V1288" s="1400">
        <f>IF(raw[[#This Row],[out]]=0,V1287,(raw[[#This Row],[out]]-E$5))</f>
        <v/>
      </c>
      <c r="W1288" s="1401">
        <f>U1288/V1288</f>
        <v/>
      </c>
      <c r="X1288" s="1392" t="n"/>
      <c r="Y1288" s="1392" t="n"/>
      <c r="Z1288" s="1392" t="n"/>
      <c r="AA1288" s="1392" t="n"/>
      <c r="AB1288" s="1392" t="n"/>
      <c r="AC1288" s="1392" t="n"/>
      <c r="AD1288" s="1392" t="n"/>
      <c r="AE1288" s="1392" t="n"/>
      <c r="AF1288" s="1392" t="n"/>
      <c r="AG1288" s="1392" t="n"/>
      <c r="AH1288" s="1392" t="n"/>
      <c r="AI1288" s="1392" t="n"/>
      <c r="AJ1288" s="1392" t="n"/>
      <c r="AK1288" s="1392" t="n"/>
      <c r="AL1288" s="1392" t="n"/>
      <c r="AM1288" s="1392" t="n"/>
      <c r="AN1288" s="1392" t="n"/>
      <c r="AO1288" s="1392" t="n"/>
      <c r="AP1288" s="1392" t="n"/>
      <c r="AQ1288" s="1392" t="n"/>
      <c r="AR1288" s="1422" t="n"/>
      <c r="AS1288" s="1422" t="n"/>
      <c r="AT1288" s="1392" t="n"/>
      <c r="AU1288" s="1392" t="n"/>
      <c r="AV1288" s="1392" t="n"/>
      <c r="AW1288" s="1392" t="n"/>
      <c r="AX1288" s="1392" t="n"/>
      <c r="AY1288" s="1392" t="n"/>
      <c r="AZ1288" s="1392" t="n"/>
      <c r="BA1288" s="1422" t="n"/>
      <c r="BB1288" s="1422" t="n"/>
      <c r="BC1288" s="1392" t="n"/>
      <c r="BD1288" s="1392" t="n"/>
      <c r="BE1288" s="1392" t="n"/>
      <c r="BF1288" s="1392" t="n"/>
      <c r="BG1288" s="1392" t="n"/>
      <c r="BH1288" s="1392" t="n"/>
      <c r="BI1288" s="1392" t="n"/>
      <c r="BJ1288" s="1392" t="n"/>
      <c r="BK1288" s="1392" t="n"/>
      <c r="BL1288" s="1392" t="n"/>
      <c r="BM1288" s="1392" t="n"/>
      <c r="BN1288" s="1392" t="n"/>
      <c r="BO1288" s="1392" t="n"/>
      <c r="BP1288" s="1392" t="n"/>
      <c r="BQ1288" s="1392" t="n"/>
      <c r="BR1288" s="1392" t="n"/>
      <c r="BS1288" s="1392" t="n"/>
      <c r="BT1288" s="1392" t="n"/>
      <c r="BU1288" s="1392" t="n"/>
      <c r="BV1288" s="1392" t="n"/>
      <c r="BW1288" s="1392" t="n"/>
      <c r="BX1288" s="1392" t="n"/>
      <c r="BY1288" s="1392" t="n"/>
      <c r="BZ1288" s="1392" t="n"/>
      <c r="CA1288" s="1392" t="n"/>
      <c r="CB1288" s="1392" t="n"/>
      <c r="CC1288" s="1392" t="n"/>
      <c r="CD1288" s="1392" t="n"/>
      <c r="CE1288" s="1392" t="n"/>
      <c r="CF1288" s="1392" t="n"/>
      <c r="CG1288" s="1392" t="n"/>
      <c r="CH1288" s="1392" t="n"/>
      <c r="CI1288" s="1392" t="n"/>
      <c r="CJ1288" s="1392" t="n"/>
      <c r="CK1288" s="1392" t="n"/>
      <c r="CL1288" s="1392" t="n"/>
    </row>
    <row r="1289">
      <c r="A1289" s="5" t="inlineStr">
        <is>
          <t>.</t>
        </is>
      </c>
      <c r="B1289" s="5" t="inlineStr">
        <is>
          <t>.</t>
        </is>
      </c>
      <c r="C1289" s="1378">
        <f>IF(raw[[#This Row],[city]]="","-",IF(raw[[#This Row],[city]]="TODAY","-",C1288+1))</f>
        <v/>
      </c>
      <c r="D1289" s="1393" t="inlineStr">
        <is>
          <t>NYC</t>
        </is>
      </c>
      <c r="E1289" s="1394" t="n">
        <v>41265</v>
      </c>
      <c r="F1289" s="1394" t="n">
        <v>41270</v>
      </c>
      <c r="G1289" s="1393" t="inlineStr">
        <is>
          <t>-</t>
        </is>
      </c>
      <c r="H1289" s="1393" t="inlineStr">
        <is>
          <t>Lasalle</t>
        </is>
      </c>
      <c r="I1289" s="1393" t="inlineStr">
        <is>
          <t>-</t>
        </is>
      </c>
      <c r="J1289" s="1393" t="inlineStr">
        <is>
          <t>-</t>
        </is>
      </c>
      <c r="K1289" s="1395">
        <f>IF(raw[[#This Row],[city]]&lt;&gt;"",_xlfn.XLOOKUP($D1289,ccc[city],ccc[prov],"-"),"-")</f>
        <v/>
      </c>
      <c r="L1289" s="1395">
        <f>IF(raw[[#This Row],[city]]&lt;&gt;"",_xlfn.XLOOKUP($D1289,ccc[city],ccc[ctry],"-"),"-")</f>
        <v/>
      </c>
      <c r="M1289" s="1395">
        <f>IF(raw[[#This Row],[city]]&lt;&gt;"",_xlfn.XLOOKUP($D1289,ccc[city],ccc[cont],"-"),"-")</f>
        <v/>
      </c>
      <c r="N1289" s="1396">
        <f>IF(raw[[#This Row],[city]]="","-",IF(raw[[#This Row],[cont]]="B",raw[[#This Row],[cont]],"W"))</f>
        <v/>
      </c>
      <c r="O1289" s="1397">
        <f>IF(raw[[#This Row],[out]]=0,0,IF(raw[[#This Row],[out]]=raw[[#This Row],[in]],0.01,raw[[#This Row],[out]]-raw[[#This Row],[in]]))</f>
        <v/>
      </c>
      <c r="P1289" s="1397">
        <f>IF(raw[[#This Row],[in]]=0,0,MONTH(raw[[#This Row],[in]]))</f>
        <v/>
      </c>
      <c r="Q1289" s="1397">
        <f>IF(raw[[#This Row],[in]]=0,0,YEAR(raw[[#This Row],[in]]))</f>
        <v/>
      </c>
      <c r="R1289" s="1397">
        <f>INT(raw[[#This Row],[yr]]/10)*10</f>
        <v/>
      </c>
      <c r="S1289" s="1395">
        <f>IF(raw[[#This Row],[city]]="","-",IF(raw[[#This Row],[city]]&lt;&gt;_xlfn.XLOOKUP(raw[[#This Row],[home]],homes[home],homes[city],"-"),1,0))</f>
        <v/>
      </c>
      <c r="T1289" s="1398" t="inlineStr">
        <is>
          <t>.</t>
        </is>
      </c>
      <c r="U1289" s="1399">
        <f>IF(raw[[#This Row],[wb]]="w",raw[[#This Row],[stay]]+U1288,U1288)</f>
        <v/>
      </c>
      <c r="V1289" s="1400">
        <f>IF(raw[[#This Row],[out]]=0,V1288,(raw[[#This Row],[out]]-E$5))</f>
        <v/>
      </c>
      <c r="W1289" s="1401">
        <f>U1289/V1289</f>
        <v/>
      </c>
      <c r="X1289" s="1392" t="n"/>
      <c r="Y1289" s="1392" t="n"/>
      <c r="Z1289" s="1392" t="n"/>
      <c r="AA1289" s="1392" t="n"/>
      <c r="AB1289" s="1392" t="n"/>
      <c r="AC1289" s="1392" t="n"/>
      <c r="AD1289" s="1392" t="n"/>
      <c r="AE1289" s="1392" t="n"/>
      <c r="AF1289" s="1392" t="n"/>
      <c r="AG1289" s="1392" t="n"/>
      <c r="AH1289" s="1392" t="n"/>
      <c r="AI1289" s="1392" t="n"/>
      <c r="AJ1289" s="1392" t="n"/>
      <c r="AK1289" s="1392" t="n"/>
      <c r="AL1289" s="1392" t="n"/>
      <c r="AM1289" s="1392" t="n"/>
      <c r="AN1289" s="1392" t="n"/>
      <c r="AO1289" s="1392" t="n"/>
      <c r="AP1289" s="1392" t="n"/>
      <c r="AQ1289" s="1392" t="n"/>
      <c r="AR1289" s="1422" t="n"/>
      <c r="AS1289" s="1422" t="n"/>
      <c r="AT1289" s="1392" t="n"/>
      <c r="AU1289" s="1392" t="n"/>
      <c r="AV1289" s="1392" t="n"/>
      <c r="AW1289" s="1392" t="n"/>
      <c r="AX1289" s="1392" t="n"/>
      <c r="AY1289" s="1392" t="n"/>
      <c r="AZ1289" s="1392" t="n"/>
      <c r="BA1289" s="1422" t="n"/>
      <c r="BB1289" s="1422" t="n"/>
      <c r="BC1289" s="1392" t="n"/>
      <c r="BD1289" s="1392" t="n"/>
      <c r="BE1289" s="1392" t="n"/>
      <c r="BF1289" s="1392" t="n"/>
      <c r="BG1289" s="1392" t="n"/>
      <c r="BH1289" s="1392" t="n"/>
      <c r="BI1289" s="1392" t="n"/>
      <c r="BJ1289" s="1392" t="n"/>
      <c r="BK1289" s="1392" t="n"/>
      <c r="BL1289" s="1392" t="n"/>
      <c r="BM1289" s="1392" t="n"/>
      <c r="BN1289" s="1392" t="n"/>
      <c r="BO1289" s="1392" t="n"/>
      <c r="BP1289" s="1392" t="n"/>
      <c r="BQ1289" s="1392" t="n"/>
      <c r="BR1289" s="1392" t="n"/>
      <c r="BS1289" s="1392" t="n"/>
      <c r="BT1289" s="1392" t="n"/>
      <c r="BU1289" s="1392" t="n"/>
      <c r="BV1289" s="1392" t="n"/>
      <c r="BW1289" s="1392" t="n"/>
      <c r="BX1289" s="1392" t="n"/>
      <c r="BY1289" s="1392" t="n"/>
      <c r="BZ1289" s="1392" t="n"/>
      <c r="CA1289" s="1392" t="n"/>
      <c r="CB1289" s="1392" t="n"/>
      <c r="CC1289" s="1392" t="n"/>
      <c r="CD1289" s="1392" t="n"/>
      <c r="CE1289" s="1392" t="n"/>
      <c r="CF1289" s="1392" t="n"/>
      <c r="CG1289" s="1392" t="n"/>
      <c r="CH1289" s="1392" t="n"/>
      <c r="CI1289" s="1392" t="n"/>
      <c r="CJ1289" s="1392" t="n"/>
      <c r="CK1289" s="1392" t="n"/>
      <c r="CL1289" s="1392" t="n"/>
    </row>
    <row r="1290">
      <c r="A1290" s="5" t="inlineStr">
        <is>
          <t>.</t>
        </is>
      </c>
      <c r="B1290" s="5" t="inlineStr">
        <is>
          <t>.</t>
        </is>
      </c>
      <c r="C1290" s="1378">
        <f>IF(raw[[#This Row],[city]]="","-",IF(raw[[#This Row],[city]]="TODAY","-",C1289+1))</f>
        <v/>
      </c>
      <c r="D1290" s="1393" t="inlineStr">
        <is>
          <t>Montreal</t>
        </is>
      </c>
      <c r="E1290" s="1394" t="n">
        <v>41270</v>
      </c>
      <c r="F1290" s="1394" t="n">
        <v>41275</v>
      </c>
      <c r="G1290" s="1393" t="inlineStr">
        <is>
          <t>-</t>
        </is>
      </c>
      <c r="H1290" s="1393" t="inlineStr">
        <is>
          <t>Lasalle</t>
        </is>
      </c>
      <c r="I1290" s="1393" t="inlineStr">
        <is>
          <t>-</t>
        </is>
      </c>
      <c r="J1290" s="1393" t="inlineStr">
        <is>
          <t>-</t>
        </is>
      </c>
      <c r="K1290" s="1395">
        <f>IF(raw[[#This Row],[city]]&lt;&gt;"",_xlfn.XLOOKUP($D1290,ccc[city],ccc[prov],"-"),"-")</f>
        <v/>
      </c>
      <c r="L1290" s="1395">
        <f>IF(raw[[#This Row],[city]]&lt;&gt;"",_xlfn.XLOOKUP($D1290,ccc[city],ccc[ctry],"-"),"-")</f>
        <v/>
      </c>
      <c r="M1290" s="1395">
        <f>IF(raw[[#This Row],[city]]&lt;&gt;"",_xlfn.XLOOKUP($D1290,ccc[city],ccc[cont],"-"),"-")</f>
        <v/>
      </c>
      <c r="N1290" s="1396">
        <f>IF(raw[[#This Row],[city]]="","-",IF(raw[[#This Row],[cont]]="B",raw[[#This Row],[cont]],"W"))</f>
        <v/>
      </c>
      <c r="O1290" s="1397">
        <f>IF(raw[[#This Row],[out]]=0,0,IF(raw[[#This Row],[out]]=raw[[#This Row],[in]],0.01,raw[[#This Row],[out]]-raw[[#This Row],[in]]))</f>
        <v/>
      </c>
      <c r="P1290" s="1397">
        <f>IF(raw[[#This Row],[in]]=0,0,MONTH(raw[[#This Row],[in]]))</f>
        <v/>
      </c>
      <c r="Q1290" s="1397">
        <f>IF(raw[[#This Row],[in]]=0,0,YEAR(raw[[#This Row],[in]]))</f>
        <v/>
      </c>
      <c r="R1290" s="1397">
        <f>INT(raw[[#This Row],[yr]]/10)*10</f>
        <v/>
      </c>
      <c r="S1290" s="1395">
        <f>IF(raw[[#This Row],[city]]="","-",IF(raw[[#This Row],[city]]&lt;&gt;_xlfn.XLOOKUP(raw[[#This Row],[home]],homes[home],homes[city],"-"),1,0))</f>
        <v/>
      </c>
      <c r="T1290" s="1398" t="inlineStr">
        <is>
          <t>.</t>
        </is>
      </c>
      <c r="U1290" s="1399">
        <f>IF(raw[[#This Row],[wb]]="w",raw[[#This Row],[stay]]+U1289,U1289)</f>
        <v/>
      </c>
      <c r="V1290" s="1400">
        <f>IF(raw[[#This Row],[out]]=0,V1289,(raw[[#This Row],[out]]-E$5))</f>
        <v/>
      </c>
      <c r="W1290" s="1401">
        <f>U1290/V1290</f>
        <v/>
      </c>
      <c r="X1290" s="1392" t="n"/>
      <c r="Y1290" s="1392" t="n"/>
      <c r="Z1290" s="1392" t="n"/>
      <c r="AA1290" s="1392" t="n"/>
      <c r="AB1290" s="1392" t="n"/>
      <c r="AC1290" s="1392" t="n"/>
      <c r="AD1290" s="1392" t="n"/>
      <c r="AE1290" s="1392" t="n"/>
      <c r="AF1290" s="1392" t="n"/>
      <c r="AG1290" s="1392" t="n"/>
      <c r="AH1290" s="1392" t="n"/>
      <c r="AI1290" s="1392" t="n"/>
      <c r="AJ1290" s="1392" t="n"/>
      <c r="AK1290" s="1392" t="n"/>
      <c r="AL1290" s="1392" t="n"/>
      <c r="AM1290" s="1392" t="n"/>
      <c r="AN1290" s="1392" t="n"/>
      <c r="AO1290" s="1392" t="n"/>
      <c r="AP1290" s="1392" t="n"/>
      <c r="AQ1290" s="1392" t="n"/>
      <c r="AR1290" s="1422" t="n"/>
      <c r="AS1290" s="1422" t="n"/>
      <c r="AT1290" s="1392" t="n"/>
      <c r="AU1290" s="1392" t="n"/>
      <c r="AV1290" s="1392" t="n"/>
      <c r="AW1290" s="1392" t="n"/>
      <c r="AX1290" s="1392" t="n"/>
      <c r="AY1290" s="1392" t="n"/>
      <c r="AZ1290" s="1392" t="n"/>
      <c r="BA1290" s="1422" t="n"/>
      <c r="BB1290" s="1422" t="n"/>
      <c r="BC1290" s="1392" t="n"/>
      <c r="BD1290" s="1392" t="n"/>
      <c r="BE1290" s="1392" t="n"/>
      <c r="BF1290" s="1392" t="n"/>
      <c r="BG1290" s="1392" t="n"/>
      <c r="BH1290" s="1392" t="n"/>
      <c r="BI1290" s="1392" t="n"/>
      <c r="BJ1290" s="1392" t="n"/>
      <c r="BK1290" s="1392" t="n"/>
      <c r="BL1290" s="1392" t="n"/>
      <c r="BM1290" s="1392" t="n"/>
      <c r="BN1290" s="1392" t="n"/>
      <c r="BO1290" s="1392" t="n"/>
      <c r="BP1290" s="1392" t="n"/>
      <c r="BQ1290" s="1392" t="n"/>
      <c r="BR1290" s="1392" t="n"/>
      <c r="BS1290" s="1392" t="n"/>
      <c r="BT1290" s="1392" t="n"/>
      <c r="BU1290" s="1392" t="n"/>
      <c r="BV1290" s="1392" t="n"/>
      <c r="BW1290" s="1392" t="n"/>
      <c r="BX1290" s="1392" t="n"/>
      <c r="BY1290" s="1392" t="n"/>
      <c r="BZ1290" s="1392" t="n"/>
      <c r="CA1290" s="1392" t="n"/>
      <c r="CB1290" s="1392" t="n"/>
      <c r="CC1290" s="1392" t="n"/>
      <c r="CD1290" s="1392" t="n"/>
      <c r="CE1290" s="1392" t="n"/>
      <c r="CF1290" s="1392" t="n"/>
      <c r="CG1290" s="1392" t="n"/>
      <c r="CH1290" s="1392" t="n"/>
      <c r="CI1290" s="1392" t="n"/>
      <c r="CJ1290" s="1392" t="n"/>
      <c r="CK1290" s="1392" t="n"/>
      <c r="CL1290" s="1392" t="n"/>
    </row>
    <row r="1291">
      <c r="A1291" s="5" t="inlineStr">
        <is>
          <t>.</t>
        </is>
      </c>
      <c r="B1291" s="5" t="inlineStr">
        <is>
          <t>.</t>
        </is>
      </c>
      <c r="C1291" s="1378">
        <f>IF(raw[[#This Row],[city]]="","-",IF(raw[[#This Row],[city]]="TODAY","-",C1290+1))</f>
        <v/>
      </c>
      <c r="D1291" s="1393" t="inlineStr">
        <is>
          <t>Montreal</t>
        </is>
      </c>
      <c r="E1291" s="1394" t="n">
        <v>41275</v>
      </c>
      <c r="F1291" s="1394" t="n">
        <v>41282</v>
      </c>
      <c r="G1291" s="1393" t="n">
        <v>1</v>
      </c>
      <c r="H1291" s="1393" t="inlineStr">
        <is>
          <t>Lasalle</t>
        </is>
      </c>
      <c r="I1291" s="1393" t="inlineStr">
        <is>
          <t>-</t>
        </is>
      </c>
      <c r="J1291" s="1393" t="inlineStr">
        <is>
          <t>REV</t>
        </is>
      </c>
      <c r="K1291" s="1395">
        <f>IF(raw[[#This Row],[city]]&lt;&gt;"",_xlfn.XLOOKUP($D1291,ccc[city],ccc[prov],"-"),"-")</f>
        <v/>
      </c>
      <c r="L1291" s="1395">
        <f>IF(raw[[#This Row],[city]]&lt;&gt;"",_xlfn.XLOOKUP($D1291,ccc[city],ccc[ctry],"-"),"-")</f>
        <v/>
      </c>
      <c r="M1291" s="1395">
        <f>IF(raw[[#This Row],[city]]&lt;&gt;"",_xlfn.XLOOKUP($D1291,ccc[city],ccc[cont],"-"),"-")</f>
        <v/>
      </c>
      <c r="N1291" s="1396">
        <f>IF(raw[[#This Row],[city]]="","-",IF(raw[[#This Row],[cont]]="B",raw[[#This Row],[cont]],"W"))</f>
        <v/>
      </c>
      <c r="O1291" s="1397">
        <f>IF(raw[[#This Row],[out]]=0,0,IF(raw[[#This Row],[out]]=raw[[#This Row],[in]],0.01,raw[[#This Row],[out]]-raw[[#This Row],[in]]))</f>
        <v/>
      </c>
      <c r="P1291" s="1397">
        <f>IF(raw[[#This Row],[in]]=0,0,MONTH(raw[[#This Row],[in]]))</f>
        <v/>
      </c>
      <c r="Q1291" s="1397">
        <f>IF(raw[[#This Row],[in]]=0,0,YEAR(raw[[#This Row],[in]]))</f>
        <v/>
      </c>
      <c r="R1291" s="1397">
        <f>INT(raw[[#This Row],[yr]]/10)*10</f>
        <v/>
      </c>
      <c r="S1291" s="1395">
        <f>IF(raw[[#This Row],[city]]="","-",IF(raw[[#This Row],[city]]&lt;&gt;_xlfn.XLOOKUP(raw[[#This Row],[home]],homes[home],homes[city],"-"),1,0))</f>
        <v/>
      </c>
      <c r="T1291" s="1398" t="inlineStr">
        <is>
          <t>.</t>
        </is>
      </c>
      <c r="U1291" s="1399">
        <f>IF(raw[[#This Row],[wb]]="w",raw[[#This Row],[stay]]+U1290,U1290)</f>
        <v/>
      </c>
      <c r="V1291" s="1400">
        <f>IF(raw[[#This Row],[out]]=0,V1290,(raw[[#This Row],[out]]-E$5))</f>
        <v/>
      </c>
      <c r="W1291" s="1401">
        <f>U1291/V1291</f>
        <v/>
      </c>
      <c r="X1291" s="1392" t="n"/>
      <c r="Y1291" s="1392" t="n"/>
      <c r="Z1291" s="1392" t="n"/>
      <c r="AA1291" s="1392" t="n"/>
      <c r="AB1291" s="1392" t="n"/>
      <c r="AC1291" s="1392" t="n"/>
      <c r="AD1291" s="1392" t="n"/>
      <c r="AE1291" s="1392" t="n"/>
      <c r="AF1291" s="1392" t="n"/>
      <c r="AG1291" s="1392" t="n"/>
      <c r="AH1291" s="1392" t="n"/>
      <c r="AI1291" s="1392" t="n"/>
      <c r="AJ1291" s="1392" t="n"/>
      <c r="AK1291" s="1392" t="n"/>
      <c r="AL1291" s="1392" t="n"/>
      <c r="AM1291" s="1392" t="n"/>
      <c r="AN1291" s="1392" t="n"/>
      <c r="AO1291" s="1392" t="n"/>
      <c r="AP1291" s="1392" t="n"/>
      <c r="AQ1291" s="1392" t="n"/>
      <c r="AR1291" s="1422" t="n"/>
      <c r="AS1291" s="1422" t="n"/>
      <c r="AT1291" s="1392" t="n"/>
      <c r="AU1291" s="1392" t="n"/>
      <c r="AV1291" s="1392" t="n"/>
      <c r="AW1291" s="1392" t="n"/>
      <c r="AX1291" s="1392" t="n"/>
      <c r="AY1291" s="1392" t="n"/>
      <c r="AZ1291" s="1392" t="n"/>
      <c r="BA1291" s="1422" t="n"/>
      <c r="BB1291" s="1422" t="n"/>
      <c r="BC1291" s="1392" t="n"/>
      <c r="BD1291" s="1392" t="n"/>
      <c r="BE1291" s="1392" t="n"/>
      <c r="BF1291" s="1392" t="n"/>
      <c r="BG1291" s="1392" t="n"/>
      <c r="BH1291" s="1392" t="n"/>
      <c r="BI1291" s="1392" t="n"/>
      <c r="BJ1291" s="1392" t="n"/>
      <c r="BK1291" s="1392" t="n"/>
      <c r="BL1291" s="1392" t="n"/>
      <c r="BM1291" s="1392" t="n"/>
      <c r="BN1291" s="1392" t="n"/>
      <c r="BO1291" s="1392" t="n"/>
      <c r="BP1291" s="1392" t="n"/>
      <c r="BQ1291" s="1392" t="n"/>
      <c r="BR1291" s="1392" t="n"/>
      <c r="BS1291" s="1392" t="n"/>
      <c r="BT1291" s="1392" t="n"/>
      <c r="BU1291" s="1392" t="n"/>
      <c r="BV1291" s="1392" t="n"/>
      <c r="BW1291" s="1392" t="n"/>
      <c r="BX1291" s="1392" t="n"/>
      <c r="BY1291" s="1392" t="n"/>
      <c r="BZ1291" s="1392" t="n"/>
      <c r="CA1291" s="1392" t="n"/>
      <c r="CB1291" s="1392" t="n"/>
      <c r="CC1291" s="1392" t="n"/>
      <c r="CD1291" s="1392" t="n"/>
      <c r="CE1291" s="1392" t="n"/>
      <c r="CF1291" s="1392" t="n"/>
      <c r="CG1291" s="1392" t="n"/>
      <c r="CH1291" s="1392" t="n"/>
      <c r="CI1291" s="1392" t="n"/>
      <c r="CJ1291" s="1392" t="n"/>
      <c r="CK1291" s="1392" t="n"/>
      <c r="CL1291" s="1392" t="n"/>
    </row>
    <row r="1292">
      <c r="A1292" s="5" t="inlineStr">
        <is>
          <t>.</t>
        </is>
      </c>
      <c r="B1292" s="5" t="inlineStr">
        <is>
          <t>.</t>
        </is>
      </c>
      <c r="C1292" s="1378">
        <f>IF(raw[[#This Row],[city]]="","-",IF(raw[[#This Row],[city]]="TODAY","-",C1291+1))</f>
        <v/>
      </c>
      <c r="D1292" s="1393" t="inlineStr">
        <is>
          <t>Miami</t>
        </is>
      </c>
      <c r="E1292" s="1394" t="n">
        <v>41282</v>
      </c>
      <c r="F1292" s="1394" t="n">
        <v>41282</v>
      </c>
      <c r="G1292" s="1393" t="n">
        <v>0.01</v>
      </c>
      <c r="H1292" s="1393" t="inlineStr">
        <is>
          <t>Lasalle</t>
        </is>
      </c>
      <c r="I1292" s="1393" t="inlineStr">
        <is>
          <t>-</t>
        </is>
      </c>
      <c r="J1292" s="1393" t="inlineStr">
        <is>
          <t>-</t>
        </is>
      </c>
      <c r="K1292" s="1395">
        <f>IF(raw[[#This Row],[city]]&lt;&gt;"",_xlfn.XLOOKUP($D1292,ccc[city],ccc[prov],"-"),"-")</f>
        <v/>
      </c>
      <c r="L1292" s="1395">
        <f>IF(raw[[#This Row],[city]]&lt;&gt;"",_xlfn.XLOOKUP($D1292,ccc[city],ccc[ctry],"-"),"-")</f>
        <v/>
      </c>
      <c r="M1292" s="1395">
        <f>IF(raw[[#This Row],[city]]&lt;&gt;"",_xlfn.XLOOKUP($D1292,ccc[city],ccc[cont],"-"),"-")</f>
        <v/>
      </c>
      <c r="N1292" s="1396">
        <f>IF(raw[[#This Row],[city]]="","-",IF(raw[[#This Row],[cont]]="B",raw[[#This Row],[cont]],"W"))</f>
        <v/>
      </c>
      <c r="O1292" s="1397">
        <f>IF(raw[[#This Row],[out]]=0,0,IF(raw[[#This Row],[out]]=raw[[#This Row],[in]],0.01,raw[[#This Row],[out]]-raw[[#This Row],[in]]))</f>
        <v/>
      </c>
      <c r="P1292" s="1397">
        <f>IF(raw[[#This Row],[in]]=0,0,MONTH(raw[[#This Row],[in]]))</f>
        <v/>
      </c>
      <c r="Q1292" s="1397">
        <f>IF(raw[[#This Row],[in]]=0,0,YEAR(raw[[#This Row],[in]]))</f>
        <v/>
      </c>
      <c r="R1292" s="1397">
        <f>INT(raw[[#This Row],[yr]]/10)*10</f>
        <v/>
      </c>
      <c r="S1292" s="1395">
        <f>IF(raw[[#This Row],[city]]="","-",IF(raw[[#This Row],[city]]&lt;&gt;_xlfn.XLOOKUP(raw[[#This Row],[home]],homes[home],homes[city],"-"),1,0))</f>
        <v/>
      </c>
      <c r="T1292" s="1398" t="inlineStr">
        <is>
          <t>.</t>
        </is>
      </c>
      <c r="U1292" s="1399">
        <f>IF(raw[[#This Row],[wb]]="w",raw[[#This Row],[stay]]+U1291,U1291)</f>
        <v/>
      </c>
      <c r="V1292" s="1400">
        <f>IF(raw[[#This Row],[out]]=0,V1291,(raw[[#This Row],[out]]-E$5))</f>
        <v/>
      </c>
      <c r="W1292" s="1401">
        <f>U1292/V1292</f>
        <v/>
      </c>
      <c r="X1292" s="1392" t="n"/>
      <c r="Y1292" s="1392" t="n"/>
      <c r="Z1292" s="1392" t="n"/>
      <c r="AA1292" s="1392" t="n"/>
      <c r="AB1292" s="1392" t="n"/>
      <c r="AC1292" s="1392" t="n"/>
      <c r="AD1292" s="1392" t="n"/>
      <c r="AE1292" s="1392" t="n"/>
      <c r="AF1292" s="1392" t="n"/>
      <c r="AG1292" s="1392" t="n"/>
      <c r="AH1292" s="1392" t="n"/>
      <c r="AI1292" s="1392" t="n"/>
      <c r="AJ1292" s="1392" t="n"/>
      <c r="AK1292" s="1392" t="n"/>
      <c r="AL1292" s="1392" t="n"/>
      <c r="AM1292" s="1392" t="n"/>
      <c r="AN1292" s="1392" t="n"/>
      <c r="AO1292" s="1392" t="n"/>
      <c r="AP1292" s="1392" t="n"/>
      <c r="AQ1292" s="1392" t="n"/>
      <c r="AR1292" s="1422" t="n"/>
      <c r="AS1292" s="1422" t="n"/>
      <c r="AT1292" s="1392" t="n"/>
      <c r="AU1292" s="1392" t="n"/>
      <c r="AV1292" s="1392" t="n"/>
      <c r="AW1292" s="1392" t="n"/>
      <c r="AX1292" s="1392" t="n"/>
      <c r="AY1292" s="1392" t="n"/>
      <c r="AZ1292" s="1392" t="n"/>
      <c r="BA1292" s="1422" t="n"/>
      <c r="BB1292" s="1422" t="n"/>
      <c r="BC1292" s="1392" t="n"/>
      <c r="BD1292" s="1392" t="n"/>
      <c r="BE1292" s="1392" t="n"/>
      <c r="BF1292" s="1392" t="n"/>
      <c r="BG1292" s="1392" t="n"/>
      <c r="BH1292" s="1392" t="n"/>
      <c r="BI1292" s="1392" t="n"/>
      <c r="BJ1292" s="1392" t="n"/>
      <c r="BK1292" s="1392" t="n"/>
      <c r="BL1292" s="1392" t="n"/>
      <c r="BM1292" s="1392" t="n"/>
      <c r="BN1292" s="1392" t="n"/>
      <c r="BO1292" s="1392" t="n"/>
      <c r="BP1292" s="1392" t="n"/>
      <c r="BQ1292" s="1392" t="n"/>
      <c r="BR1292" s="1392" t="n"/>
      <c r="BS1292" s="1392" t="n"/>
      <c r="BT1292" s="1392" t="n"/>
      <c r="BU1292" s="1392" t="n"/>
      <c r="BV1292" s="1392" t="n"/>
      <c r="BW1292" s="1392" t="n"/>
      <c r="BX1292" s="1392" t="n"/>
      <c r="BY1292" s="1392" t="n"/>
      <c r="BZ1292" s="1392" t="n"/>
      <c r="CA1292" s="1392" t="n"/>
      <c r="CB1292" s="1392" t="n"/>
      <c r="CC1292" s="1392" t="n"/>
      <c r="CD1292" s="1392" t="n"/>
      <c r="CE1292" s="1392" t="n"/>
      <c r="CF1292" s="1392" t="n"/>
      <c r="CG1292" s="1392" t="n"/>
      <c r="CH1292" s="1392" t="n"/>
      <c r="CI1292" s="1392" t="n"/>
      <c r="CJ1292" s="1392" t="n"/>
      <c r="CK1292" s="1392" t="n"/>
      <c r="CL1292" s="1392" t="n"/>
    </row>
    <row r="1293">
      <c r="A1293" s="5" t="inlineStr">
        <is>
          <t>.</t>
        </is>
      </c>
      <c r="B1293" s="5" t="inlineStr">
        <is>
          <t>.</t>
        </is>
      </c>
      <c r="C1293" s="1378">
        <f>IF(raw[[#This Row],[city]]="","-",IF(raw[[#This Row],[city]]="TODAY","-",C1292+1))</f>
        <v/>
      </c>
      <c r="D1293" s="1393" t="inlineStr">
        <is>
          <t>AIR</t>
        </is>
      </c>
      <c r="E1293" s="1394" t="n">
        <v>41282</v>
      </c>
      <c r="F1293" s="1394" t="n">
        <v>41283</v>
      </c>
      <c r="G1293" s="1393" t="inlineStr">
        <is>
          <t>x</t>
        </is>
      </c>
      <c r="H1293" s="1393" t="inlineStr">
        <is>
          <t>Lasalle</t>
        </is>
      </c>
      <c r="I1293" s="1393" t="inlineStr">
        <is>
          <t>-</t>
        </is>
      </c>
      <c r="J1293" s="1393" t="inlineStr">
        <is>
          <t>-</t>
        </is>
      </c>
      <c r="K1293" s="1395">
        <f>IF(raw[[#This Row],[city]]&lt;&gt;"",_xlfn.XLOOKUP($D1293,ccc[city],ccc[prov],"-"),"-")</f>
        <v/>
      </c>
      <c r="L1293" s="1395">
        <f>IF(raw[[#This Row],[city]]&lt;&gt;"",_xlfn.XLOOKUP($D1293,ccc[city],ccc[ctry],"-"),"-")</f>
        <v/>
      </c>
      <c r="M1293" s="1395">
        <f>IF(raw[[#This Row],[city]]&lt;&gt;"",_xlfn.XLOOKUP($D1293,ccc[city],ccc[cont],"-"),"-")</f>
        <v/>
      </c>
      <c r="N1293" s="1396">
        <f>IF(raw[[#This Row],[city]]="","-",IF(raw[[#This Row],[cont]]="B",raw[[#This Row],[cont]],"W"))</f>
        <v/>
      </c>
      <c r="O1293" s="1397">
        <f>IF(raw[[#This Row],[out]]=0,0,IF(raw[[#This Row],[out]]=raw[[#This Row],[in]],0.01,raw[[#This Row],[out]]-raw[[#This Row],[in]]))</f>
        <v/>
      </c>
      <c r="P1293" s="1397">
        <f>IF(raw[[#This Row],[in]]=0,0,MONTH(raw[[#This Row],[in]]))</f>
        <v/>
      </c>
      <c r="Q1293" s="1397">
        <f>IF(raw[[#This Row],[in]]=0,0,YEAR(raw[[#This Row],[in]]))</f>
        <v/>
      </c>
      <c r="R1293" s="1397">
        <f>INT(raw[[#This Row],[yr]]/10)*10</f>
        <v/>
      </c>
      <c r="S1293" s="1395">
        <f>IF(raw[[#This Row],[city]]="","-",IF(raw[[#This Row],[city]]&lt;&gt;_xlfn.XLOOKUP(raw[[#This Row],[home]],homes[home],homes[city],"-"),1,0))</f>
        <v/>
      </c>
      <c r="T1293" s="1398" t="inlineStr">
        <is>
          <t>.</t>
        </is>
      </c>
      <c r="U1293" s="1399">
        <f>IF(raw[[#This Row],[wb]]="w",raw[[#This Row],[stay]]+U1292,U1292)</f>
        <v/>
      </c>
      <c r="V1293" s="1400">
        <f>IF(raw[[#This Row],[out]]=0,V1292,(raw[[#This Row],[out]]-E$5))</f>
        <v/>
      </c>
      <c r="W1293" s="1401">
        <f>U1293/V1293</f>
        <v/>
      </c>
      <c r="X1293" s="1392" t="n"/>
      <c r="Y1293" s="1392" t="n"/>
      <c r="Z1293" s="1392" t="n"/>
      <c r="AA1293" s="1392" t="n"/>
      <c r="AB1293" s="1392" t="n"/>
      <c r="AC1293" s="1392" t="n"/>
      <c r="AD1293" s="1392" t="n"/>
      <c r="AE1293" s="1392" t="n"/>
      <c r="AF1293" s="1392" t="n"/>
      <c r="AG1293" s="1392" t="n"/>
      <c r="AH1293" s="1392" t="n"/>
      <c r="AI1293" s="1392" t="n"/>
      <c r="AJ1293" s="1392" t="n"/>
      <c r="AK1293" s="1392" t="n"/>
      <c r="AL1293" s="1392" t="n"/>
      <c r="AM1293" s="1392" t="n"/>
      <c r="AN1293" s="1392" t="n"/>
      <c r="AO1293" s="1392" t="n"/>
      <c r="AP1293" s="1392" t="n"/>
      <c r="AQ1293" s="1392" t="n"/>
      <c r="AR1293" s="1422" t="n"/>
      <c r="AS1293" s="1422" t="n"/>
      <c r="AT1293" s="1392" t="n"/>
      <c r="AU1293" s="1392" t="n"/>
      <c r="AV1293" s="1392" t="n"/>
      <c r="AW1293" s="1392" t="n"/>
      <c r="AX1293" s="1392" t="n"/>
      <c r="AY1293" s="1392" t="n"/>
      <c r="AZ1293" s="1392" t="n"/>
      <c r="BA1293" s="1422" t="n"/>
      <c r="BB1293" s="1422" t="n"/>
      <c r="BC1293" s="1392" t="n"/>
      <c r="BD1293" s="1392" t="n"/>
      <c r="BE1293" s="1392" t="n"/>
      <c r="BF1293" s="1392" t="n"/>
      <c r="BG1293" s="1392" t="n"/>
      <c r="BH1293" s="1392" t="n"/>
      <c r="BI1293" s="1392" t="n"/>
      <c r="BJ1293" s="1392" t="n"/>
      <c r="BK1293" s="1392" t="n"/>
      <c r="BL1293" s="1392" t="n"/>
      <c r="BM1293" s="1392" t="n"/>
      <c r="BN1293" s="1392" t="n"/>
      <c r="BO1293" s="1392" t="n"/>
      <c r="BP1293" s="1392" t="n"/>
      <c r="BQ1293" s="1392" t="n"/>
      <c r="BR1293" s="1392" t="n"/>
      <c r="BS1293" s="1392" t="n"/>
      <c r="BT1293" s="1392" t="n"/>
      <c r="BU1293" s="1392" t="n"/>
      <c r="BV1293" s="1392" t="n"/>
      <c r="BW1293" s="1392" t="n"/>
      <c r="BX1293" s="1392" t="n"/>
      <c r="BY1293" s="1392" t="n"/>
      <c r="BZ1293" s="1392" t="n"/>
      <c r="CA1293" s="1392" t="n"/>
      <c r="CB1293" s="1392" t="n"/>
      <c r="CC1293" s="1392" t="n"/>
      <c r="CD1293" s="1392" t="n"/>
      <c r="CE1293" s="1392" t="n"/>
      <c r="CF1293" s="1392" t="n"/>
      <c r="CG1293" s="1392" t="n"/>
      <c r="CH1293" s="1392" t="n"/>
      <c r="CI1293" s="1392" t="n"/>
      <c r="CJ1293" s="1392" t="n"/>
      <c r="CK1293" s="1392" t="n"/>
      <c r="CL1293" s="1392" t="n"/>
    </row>
    <row r="1294">
      <c r="A1294" s="5" t="inlineStr">
        <is>
          <t>.</t>
        </is>
      </c>
      <c r="B1294" s="5" t="inlineStr">
        <is>
          <t>.</t>
        </is>
      </c>
      <c r="C1294" s="1378">
        <f>IF(raw[[#This Row],[city]]="","-",IF(raw[[#This Row],[city]]="TODAY","-",C1293+1))</f>
        <v/>
      </c>
      <c r="D1294" s="1393" t="inlineStr">
        <is>
          <t>Rio</t>
        </is>
      </c>
      <c r="E1294" s="1394" t="n">
        <v>41283</v>
      </c>
      <c r="F1294" s="1394" t="n">
        <v>41285</v>
      </c>
      <c r="G1294" s="1393" t="n">
        <v>1</v>
      </c>
      <c r="H1294" s="1393" t="inlineStr">
        <is>
          <t>Lasalle</t>
        </is>
      </c>
      <c r="I1294" s="1393" t="inlineStr">
        <is>
          <t>Tatá/Venancio</t>
        </is>
      </c>
      <c r="J1294" s="1393" t="inlineStr">
        <is>
          <t>-</t>
        </is>
      </c>
      <c r="K1294" s="1395">
        <f>IF(raw[[#This Row],[city]]&lt;&gt;"",_xlfn.XLOOKUP($D1294,ccc[city],ccc[prov],"-"),"-")</f>
        <v/>
      </c>
      <c r="L1294" s="1395">
        <f>IF(raw[[#This Row],[city]]&lt;&gt;"",_xlfn.XLOOKUP($D1294,ccc[city],ccc[ctry],"-"),"-")</f>
        <v/>
      </c>
      <c r="M1294" s="1395">
        <f>IF(raw[[#This Row],[city]]&lt;&gt;"",_xlfn.XLOOKUP($D1294,ccc[city],ccc[cont],"-"),"-")</f>
        <v/>
      </c>
      <c r="N1294" s="1396">
        <f>IF(raw[[#This Row],[city]]="","-",IF(raw[[#This Row],[cont]]="B",raw[[#This Row],[cont]],"W"))</f>
        <v/>
      </c>
      <c r="O1294" s="1397">
        <f>IF(raw[[#This Row],[out]]=0,0,IF(raw[[#This Row],[out]]=raw[[#This Row],[in]],0.01,raw[[#This Row],[out]]-raw[[#This Row],[in]]))</f>
        <v/>
      </c>
      <c r="P1294" s="1397">
        <f>IF(raw[[#This Row],[in]]=0,0,MONTH(raw[[#This Row],[in]]))</f>
        <v/>
      </c>
      <c r="Q1294" s="1397">
        <f>IF(raw[[#This Row],[in]]=0,0,YEAR(raw[[#This Row],[in]]))</f>
        <v/>
      </c>
      <c r="R1294" s="1397">
        <f>INT(raw[[#This Row],[yr]]/10)*10</f>
        <v/>
      </c>
      <c r="S1294" s="1395">
        <f>IF(raw[[#This Row],[city]]="","-",IF(raw[[#This Row],[city]]&lt;&gt;_xlfn.XLOOKUP(raw[[#This Row],[home]],homes[home],homes[city],"-"),1,0))</f>
        <v/>
      </c>
      <c r="T1294" s="1398" t="inlineStr">
        <is>
          <t>.</t>
        </is>
      </c>
      <c r="U1294" s="1399">
        <f>IF(raw[[#This Row],[wb]]="w",raw[[#This Row],[stay]]+U1293,U1293)</f>
        <v/>
      </c>
      <c r="V1294" s="1400">
        <f>IF(raw[[#This Row],[out]]=0,V1293,(raw[[#This Row],[out]]-E$5))</f>
        <v/>
      </c>
      <c r="W1294" s="1401">
        <f>U1294/V1294</f>
        <v/>
      </c>
      <c r="X1294" s="1392" t="n"/>
      <c r="Y1294" s="1392" t="n"/>
      <c r="Z1294" s="1392" t="n"/>
      <c r="AA1294" s="1392" t="n"/>
      <c r="AB1294" s="1392" t="n"/>
      <c r="AC1294" s="1392" t="n"/>
      <c r="AD1294" s="1392" t="n"/>
      <c r="AE1294" s="1392" t="n"/>
      <c r="AF1294" s="1392" t="n"/>
      <c r="AG1294" s="1392" t="n"/>
      <c r="AH1294" s="1392" t="n"/>
      <c r="AI1294" s="1392" t="n"/>
      <c r="AJ1294" s="1392" t="n"/>
      <c r="AK1294" s="1392" t="n"/>
      <c r="AL1294" s="1392" t="n"/>
      <c r="AM1294" s="1392" t="n"/>
      <c r="AN1294" s="1392" t="n"/>
      <c r="AO1294" s="1392" t="n"/>
      <c r="AP1294" s="1392" t="n"/>
      <c r="AQ1294" s="1392" t="n"/>
      <c r="AR1294" s="1422" t="n"/>
      <c r="AS1294" s="1422" t="n"/>
      <c r="AT1294" s="1392" t="n"/>
      <c r="AU1294" s="1392" t="n"/>
      <c r="AV1294" s="1392" t="n"/>
      <c r="AW1294" s="1392" t="n"/>
      <c r="AX1294" s="1392" t="n"/>
      <c r="AY1294" s="1392" t="n"/>
      <c r="AZ1294" s="1392" t="n"/>
      <c r="BA1294" s="1422" t="n"/>
      <c r="BB1294" s="1422" t="n"/>
      <c r="BC1294" s="1392" t="n"/>
      <c r="BD1294" s="1392" t="n"/>
      <c r="BE1294" s="1392" t="n"/>
      <c r="BF1294" s="1392" t="n"/>
      <c r="BG1294" s="1392" t="n"/>
      <c r="BH1294" s="1392" t="n"/>
      <c r="BI1294" s="1392" t="n"/>
      <c r="BJ1294" s="1392" t="n"/>
      <c r="BK1294" s="1392" t="n"/>
      <c r="BL1294" s="1392" t="n"/>
      <c r="BM1294" s="1392" t="n"/>
      <c r="BN1294" s="1392" t="n"/>
      <c r="BO1294" s="1392" t="n"/>
      <c r="BP1294" s="1392" t="n"/>
      <c r="BQ1294" s="1392" t="n"/>
      <c r="BR1294" s="1392" t="n"/>
      <c r="BS1294" s="1392" t="n"/>
      <c r="BT1294" s="1392" t="n"/>
      <c r="BU1294" s="1392" t="n"/>
      <c r="BV1294" s="1392" t="n"/>
      <c r="BW1294" s="1392" t="n"/>
      <c r="BX1294" s="1392" t="n"/>
      <c r="BY1294" s="1392" t="n"/>
      <c r="BZ1294" s="1392" t="n"/>
      <c r="CA1294" s="1392" t="n"/>
      <c r="CB1294" s="1392" t="n"/>
      <c r="CC1294" s="1392" t="n"/>
      <c r="CD1294" s="1392" t="n"/>
      <c r="CE1294" s="1392" t="n"/>
      <c r="CF1294" s="1392" t="n"/>
      <c r="CG1294" s="1392" t="n"/>
      <c r="CH1294" s="1392" t="n"/>
      <c r="CI1294" s="1392" t="n"/>
      <c r="CJ1294" s="1392" t="n"/>
      <c r="CK1294" s="1392" t="n"/>
      <c r="CL1294" s="1392" t="n"/>
    </row>
    <row r="1295">
      <c r="A1295" s="5" t="inlineStr">
        <is>
          <t>.</t>
        </is>
      </c>
      <c r="B1295" s="5" t="inlineStr">
        <is>
          <t>.</t>
        </is>
      </c>
      <c r="C1295" s="1378">
        <f>IF(raw[[#This Row],[city]]="","-",IF(raw[[#This Row],[city]]="TODAY","-",C1294+1))</f>
        <v/>
      </c>
      <c r="D1295" s="1393" t="inlineStr">
        <is>
          <t>SSA</t>
        </is>
      </c>
      <c r="E1295" s="1394" t="n">
        <v>41285</v>
      </c>
      <c r="F1295" s="1394" t="n">
        <v>41300</v>
      </c>
      <c r="G1295" s="1393" t="n">
        <v>1</v>
      </c>
      <c r="H1295" s="1393" t="inlineStr">
        <is>
          <t>Lasalle</t>
        </is>
      </c>
      <c r="I1295" s="1393" t="inlineStr">
        <is>
          <t>Ondina</t>
        </is>
      </c>
      <c r="J1295" s="1393" t="inlineStr">
        <is>
          <t>-</t>
        </is>
      </c>
      <c r="K1295" s="1395">
        <f>IF(raw[[#This Row],[city]]&lt;&gt;"",_xlfn.XLOOKUP($D1295,ccc[city],ccc[prov],"-"),"-")</f>
        <v/>
      </c>
      <c r="L1295" s="1395">
        <f>IF(raw[[#This Row],[city]]&lt;&gt;"",_xlfn.XLOOKUP($D1295,ccc[city],ccc[ctry],"-"),"-")</f>
        <v/>
      </c>
      <c r="M1295" s="1395">
        <f>IF(raw[[#This Row],[city]]&lt;&gt;"",_xlfn.XLOOKUP($D1295,ccc[city],ccc[cont],"-"),"-")</f>
        <v/>
      </c>
      <c r="N1295" s="1396">
        <f>IF(raw[[#This Row],[city]]="","-",IF(raw[[#This Row],[cont]]="B",raw[[#This Row],[cont]],"W"))</f>
        <v/>
      </c>
      <c r="O1295" s="1397">
        <f>IF(raw[[#This Row],[out]]=0,0,IF(raw[[#This Row],[out]]=raw[[#This Row],[in]],0.01,raw[[#This Row],[out]]-raw[[#This Row],[in]]))</f>
        <v/>
      </c>
      <c r="P1295" s="1397">
        <f>IF(raw[[#This Row],[in]]=0,0,MONTH(raw[[#This Row],[in]]))</f>
        <v/>
      </c>
      <c r="Q1295" s="1397">
        <f>IF(raw[[#This Row],[in]]=0,0,YEAR(raw[[#This Row],[in]]))</f>
        <v/>
      </c>
      <c r="R1295" s="1397">
        <f>INT(raw[[#This Row],[yr]]/10)*10</f>
        <v/>
      </c>
      <c r="S1295" s="1395">
        <f>IF(raw[[#This Row],[city]]="","-",IF(raw[[#This Row],[city]]&lt;&gt;_xlfn.XLOOKUP(raw[[#This Row],[home]],homes[home],homes[city],"-"),1,0))</f>
        <v/>
      </c>
      <c r="T1295" s="1398" t="inlineStr">
        <is>
          <t>.</t>
        </is>
      </c>
      <c r="U1295" s="1399">
        <f>IF(raw[[#This Row],[wb]]="w",raw[[#This Row],[stay]]+U1294,U1294)</f>
        <v/>
      </c>
      <c r="V1295" s="1400">
        <f>IF(raw[[#This Row],[out]]=0,V1294,(raw[[#This Row],[out]]-E$5))</f>
        <v/>
      </c>
      <c r="W1295" s="1401">
        <f>U1295/V1295</f>
        <v/>
      </c>
      <c r="X1295" s="1392" t="n"/>
      <c r="Y1295" s="1392" t="n"/>
      <c r="Z1295" s="1392" t="n"/>
      <c r="AA1295" s="1392" t="n"/>
      <c r="AB1295" s="1392" t="n"/>
      <c r="AC1295" s="1392" t="n"/>
      <c r="AD1295" s="1392" t="n"/>
      <c r="AE1295" s="1392" t="n"/>
      <c r="AF1295" s="1392" t="n"/>
      <c r="AG1295" s="1392" t="n"/>
      <c r="AH1295" s="1392" t="n"/>
      <c r="AI1295" s="1392" t="n"/>
      <c r="AJ1295" s="1392" t="n"/>
      <c r="AK1295" s="1392" t="n"/>
      <c r="AL1295" s="1392" t="n"/>
      <c r="AM1295" s="1392" t="n"/>
      <c r="AN1295" s="1392" t="n"/>
      <c r="AO1295" s="1392" t="n"/>
      <c r="AP1295" s="1392" t="n"/>
      <c r="AQ1295" s="1392" t="n"/>
      <c r="AR1295" s="1422" t="n"/>
      <c r="AS1295" s="1422" t="n"/>
      <c r="AT1295" s="1392" t="n"/>
      <c r="AU1295" s="1392" t="n"/>
      <c r="AV1295" s="1392" t="n"/>
      <c r="AW1295" s="1392" t="n"/>
      <c r="AX1295" s="1392" t="n"/>
      <c r="AY1295" s="1392" t="n"/>
      <c r="AZ1295" s="1392" t="n"/>
      <c r="BA1295" s="1422" t="n"/>
      <c r="BB1295" s="1422" t="n"/>
      <c r="BC1295" s="1392" t="n"/>
      <c r="BD1295" s="1392" t="n"/>
      <c r="BE1295" s="1392" t="n"/>
      <c r="BF1295" s="1392" t="n"/>
      <c r="BG1295" s="1392" t="n"/>
      <c r="BH1295" s="1392" t="n"/>
      <c r="BI1295" s="1392" t="n"/>
      <c r="BJ1295" s="1392" t="n"/>
      <c r="BK1295" s="1392" t="n"/>
      <c r="BL1295" s="1392" t="n"/>
      <c r="BM1295" s="1392" t="n"/>
      <c r="BN1295" s="1392" t="n"/>
      <c r="BO1295" s="1392" t="n"/>
      <c r="BP1295" s="1392" t="n"/>
      <c r="BQ1295" s="1392" t="n"/>
      <c r="BR1295" s="1392" t="n"/>
      <c r="BS1295" s="1392" t="n"/>
      <c r="BT1295" s="1392" t="n"/>
      <c r="BU1295" s="1392" t="n"/>
      <c r="BV1295" s="1392" t="n"/>
      <c r="BW1295" s="1392" t="n"/>
      <c r="BX1295" s="1392" t="n"/>
      <c r="BY1295" s="1392" t="n"/>
      <c r="BZ1295" s="1392" t="n"/>
      <c r="CA1295" s="1392" t="n"/>
      <c r="CB1295" s="1392" t="n"/>
      <c r="CC1295" s="1392" t="n"/>
      <c r="CD1295" s="1392" t="n"/>
      <c r="CE1295" s="1392" t="n"/>
      <c r="CF1295" s="1392" t="n"/>
      <c r="CG1295" s="1392" t="n"/>
      <c r="CH1295" s="1392" t="n"/>
      <c r="CI1295" s="1392" t="n"/>
      <c r="CJ1295" s="1392" t="n"/>
      <c r="CK1295" s="1392" t="n"/>
      <c r="CL1295" s="1392" t="n"/>
    </row>
    <row r="1296">
      <c r="A1296" s="5" t="inlineStr">
        <is>
          <t>.</t>
        </is>
      </c>
      <c r="B1296" s="5" t="inlineStr">
        <is>
          <t>.</t>
        </is>
      </c>
      <c r="C1296" s="1378">
        <f>IF(raw[[#This Row],[city]]="","-",IF(raw[[#This Row],[city]]="TODAY","-",C1295+1))</f>
        <v/>
      </c>
      <c r="D1296" s="1393" t="inlineStr">
        <is>
          <t>Rio</t>
        </is>
      </c>
      <c r="E1296" s="1394" t="n">
        <v>41300</v>
      </c>
      <c r="F1296" s="1394" t="n">
        <v>41301</v>
      </c>
      <c r="G1296" s="1393" t="n">
        <v>1</v>
      </c>
      <c r="H1296" s="1393" t="inlineStr">
        <is>
          <t>Lasalle</t>
        </is>
      </c>
      <c r="I1296" s="1393" t="inlineStr">
        <is>
          <t>Tatá/Venancio</t>
        </is>
      </c>
      <c r="J1296" s="1393" t="inlineStr">
        <is>
          <t>-</t>
        </is>
      </c>
      <c r="K1296" s="1395">
        <f>IF(raw[[#This Row],[city]]&lt;&gt;"",_xlfn.XLOOKUP($D1296,ccc[city],ccc[prov],"-"),"-")</f>
        <v/>
      </c>
      <c r="L1296" s="1395">
        <f>IF(raw[[#This Row],[city]]&lt;&gt;"",_xlfn.XLOOKUP($D1296,ccc[city],ccc[ctry],"-"),"-")</f>
        <v/>
      </c>
      <c r="M1296" s="1395">
        <f>IF(raw[[#This Row],[city]]&lt;&gt;"",_xlfn.XLOOKUP($D1296,ccc[city],ccc[cont],"-"),"-")</f>
        <v/>
      </c>
      <c r="N1296" s="1396">
        <f>IF(raw[[#This Row],[city]]="","-",IF(raw[[#This Row],[cont]]="B",raw[[#This Row],[cont]],"W"))</f>
        <v/>
      </c>
      <c r="O1296" s="1397">
        <f>IF(raw[[#This Row],[out]]=0,0,IF(raw[[#This Row],[out]]=raw[[#This Row],[in]],0.01,raw[[#This Row],[out]]-raw[[#This Row],[in]]))</f>
        <v/>
      </c>
      <c r="P1296" s="1397">
        <f>IF(raw[[#This Row],[in]]=0,0,MONTH(raw[[#This Row],[in]]))</f>
        <v/>
      </c>
      <c r="Q1296" s="1397">
        <f>IF(raw[[#This Row],[in]]=0,0,YEAR(raw[[#This Row],[in]]))</f>
        <v/>
      </c>
      <c r="R1296" s="1397">
        <f>INT(raw[[#This Row],[yr]]/10)*10</f>
        <v/>
      </c>
      <c r="S1296" s="1395">
        <f>IF(raw[[#This Row],[city]]="","-",IF(raw[[#This Row],[city]]&lt;&gt;_xlfn.XLOOKUP(raw[[#This Row],[home]],homes[home],homes[city],"-"),1,0))</f>
        <v/>
      </c>
      <c r="T1296" s="1398" t="inlineStr">
        <is>
          <t>.</t>
        </is>
      </c>
      <c r="U1296" s="1399">
        <f>IF(raw[[#This Row],[wb]]="w",raw[[#This Row],[stay]]+U1295,U1295)</f>
        <v/>
      </c>
      <c r="V1296" s="1400">
        <f>IF(raw[[#This Row],[out]]=0,V1295,(raw[[#This Row],[out]]-E$5))</f>
        <v/>
      </c>
      <c r="W1296" s="1401">
        <f>U1296/V1296</f>
        <v/>
      </c>
      <c r="X1296" s="1392" t="n"/>
      <c r="Y1296" s="1392" t="n"/>
      <c r="Z1296" s="1392" t="n"/>
      <c r="AA1296" s="1392" t="n"/>
      <c r="AB1296" s="1392" t="n"/>
      <c r="AC1296" s="1392" t="n"/>
      <c r="AD1296" s="1392" t="n"/>
      <c r="AE1296" s="1392" t="n"/>
      <c r="AF1296" s="1392" t="n"/>
      <c r="AG1296" s="1392" t="n"/>
      <c r="AH1296" s="1392" t="n"/>
      <c r="AI1296" s="1392" t="n"/>
      <c r="AJ1296" s="1392" t="n"/>
      <c r="AK1296" s="1392" t="n"/>
      <c r="AL1296" s="1392" t="n"/>
      <c r="AM1296" s="1392" t="n"/>
      <c r="AN1296" s="1392" t="n"/>
      <c r="AO1296" s="1392" t="n"/>
      <c r="AP1296" s="1392" t="n"/>
      <c r="AQ1296" s="1392" t="n"/>
      <c r="AR1296" s="1422" t="n"/>
      <c r="AS1296" s="1422" t="n"/>
      <c r="AT1296" s="1392" t="n"/>
      <c r="AU1296" s="1392" t="n"/>
      <c r="AV1296" s="1392" t="n"/>
      <c r="AW1296" s="1392" t="n"/>
      <c r="AX1296" s="1392" t="n"/>
      <c r="AY1296" s="1392" t="n"/>
      <c r="AZ1296" s="1392" t="n"/>
      <c r="BA1296" s="1422" t="n"/>
      <c r="BB1296" s="1422" t="n"/>
      <c r="BC1296" s="1392" t="n"/>
      <c r="BD1296" s="1392" t="n"/>
      <c r="BE1296" s="1392" t="n"/>
      <c r="BF1296" s="1392" t="n"/>
      <c r="BG1296" s="1392" t="n"/>
      <c r="BH1296" s="1392" t="n"/>
      <c r="BI1296" s="1392" t="n"/>
      <c r="BJ1296" s="1392" t="n"/>
      <c r="BK1296" s="1392" t="n"/>
      <c r="BL1296" s="1392" t="n"/>
      <c r="BM1296" s="1392" t="n"/>
      <c r="BN1296" s="1392" t="n"/>
      <c r="BO1296" s="1392" t="n"/>
      <c r="BP1296" s="1392" t="n"/>
      <c r="BQ1296" s="1392" t="n"/>
      <c r="BR1296" s="1392" t="n"/>
      <c r="BS1296" s="1392" t="n"/>
      <c r="BT1296" s="1392" t="n"/>
      <c r="BU1296" s="1392" t="n"/>
      <c r="BV1296" s="1392" t="n"/>
      <c r="BW1296" s="1392" t="n"/>
      <c r="BX1296" s="1392" t="n"/>
      <c r="BY1296" s="1392" t="n"/>
      <c r="BZ1296" s="1392" t="n"/>
      <c r="CA1296" s="1392" t="n"/>
      <c r="CB1296" s="1392" t="n"/>
      <c r="CC1296" s="1392" t="n"/>
      <c r="CD1296" s="1392" t="n"/>
      <c r="CE1296" s="1392" t="n"/>
      <c r="CF1296" s="1392" t="n"/>
      <c r="CG1296" s="1392" t="n"/>
      <c r="CH1296" s="1392" t="n"/>
      <c r="CI1296" s="1392" t="n"/>
      <c r="CJ1296" s="1392" t="n"/>
      <c r="CK1296" s="1392" t="n"/>
      <c r="CL1296" s="1392" t="n"/>
    </row>
    <row r="1297">
      <c r="A1297" s="5" t="inlineStr">
        <is>
          <t>.</t>
        </is>
      </c>
      <c r="B1297" s="5" t="inlineStr">
        <is>
          <t>.</t>
        </is>
      </c>
      <c r="C1297" s="1378">
        <f>IF(raw[[#This Row],[city]]="","-",IF(raw[[#This Row],[city]]="TODAY","-",C1296+1))</f>
        <v/>
      </c>
      <c r="D1297" s="1393" t="inlineStr">
        <is>
          <t>AIR</t>
        </is>
      </c>
      <c r="E1297" s="1394" t="n">
        <v>41301</v>
      </c>
      <c r="F1297" s="1394" t="n">
        <v>41302</v>
      </c>
      <c r="G1297" s="1393" t="inlineStr">
        <is>
          <t>x</t>
        </is>
      </c>
      <c r="H1297" s="1393" t="inlineStr">
        <is>
          <t>Lasalle</t>
        </is>
      </c>
      <c r="I1297" s="1393" t="inlineStr">
        <is>
          <t>-</t>
        </is>
      </c>
      <c r="J1297" s="1393" t="inlineStr">
        <is>
          <t>-</t>
        </is>
      </c>
      <c r="K1297" s="1395">
        <f>IF(raw[[#This Row],[city]]&lt;&gt;"",_xlfn.XLOOKUP($D1297,ccc[city],ccc[prov],"-"),"-")</f>
        <v/>
      </c>
      <c r="L1297" s="1395">
        <f>IF(raw[[#This Row],[city]]&lt;&gt;"",_xlfn.XLOOKUP($D1297,ccc[city],ccc[ctry],"-"),"-")</f>
        <v/>
      </c>
      <c r="M1297" s="1395">
        <f>IF(raw[[#This Row],[city]]&lt;&gt;"",_xlfn.XLOOKUP($D1297,ccc[city],ccc[cont],"-"),"-")</f>
        <v/>
      </c>
      <c r="N1297" s="1396">
        <f>IF(raw[[#This Row],[city]]="","-",IF(raw[[#This Row],[cont]]="B",raw[[#This Row],[cont]],"W"))</f>
        <v/>
      </c>
      <c r="O1297" s="1397">
        <f>IF(raw[[#This Row],[out]]=0,0,IF(raw[[#This Row],[out]]=raw[[#This Row],[in]],0.01,raw[[#This Row],[out]]-raw[[#This Row],[in]]))</f>
        <v/>
      </c>
      <c r="P1297" s="1397">
        <f>IF(raw[[#This Row],[in]]=0,0,MONTH(raw[[#This Row],[in]]))</f>
        <v/>
      </c>
      <c r="Q1297" s="1397">
        <f>IF(raw[[#This Row],[in]]=0,0,YEAR(raw[[#This Row],[in]]))</f>
        <v/>
      </c>
      <c r="R1297" s="1397">
        <f>INT(raw[[#This Row],[yr]]/10)*10</f>
        <v/>
      </c>
      <c r="S1297" s="1395">
        <f>IF(raw[[#This Row],[city]]="","-",IF(raw[[#This Row],[city]]&lt;&gt;_xlfn.XLOOKUP(raw[[#This Row],[home]],homes[home],homes[city],"-"),1,0))</f>
        <v/>
      </c>
      <c r="T1297" s="1398" t="inlineStr">
        <is>
          <t>.</t>
        </is>
      </c>
      <c r="U1297" s="1399">
        <f>IF(raw[[#This Row],[wb]]="w",raw[[#This Row],[stay]]+U1296,U1296)</f>
        <v/>
      </c>
      <c r="V1297" s="1400">
        <f>IF(raw[[#This Row],[out]]=0,V1296,(raw[[#This Row],[out]]-E$5))</f>
        <v/>
      </c>
      <c r="W1297" s="1401">
        <f>U1297/V1297</f>
        <v/>
      </c>
      <c r="X1297" s="1392" t="n"/>
      <c r="Y1297" s="1392" t="n"/>
      <c r="Z1297" s="1392" t="n"/>
      <c r="AA1297" s="1392" t="n"/>
      <c r="AB1297" s="1392" t="n"/>
      <c r="AC1297" s="1392" t="n"/>
      <c r="AD1297" s="1392" t="n"/>
      <c r="AE1297" s="1392" t="n"/>
      <c r="AF1297" s="1392" t="n"/>
      <c r="AG1297" s="1392" t="n"/>
      <c r="AH1297" s="1392" t="n"/>
      <c r="AI1297" s="1392" t="n"/>
      <c r="AJ1297" s="1392" t="n"/>
      <c r="AK1297" s="1392" t="n"/>
      <c r="AL1297" s="1392" t="n"/>
      <c r="AM1297" s="1392" t="n"/>
      <c r="AN1297" s="1392" t="n"/>
      <c r="AO1297" s="1392" t="n"/>
      <c r="AP1297" s="1392" t="n"/>
      <c r="AQ1297" s="1392" t="n"/>
      <c r="AR1297" s="1422" t="n"/>
      <c r="AS1297" s="1422" t="n"/>
      <c r="AT1297" s="1392" t="n"/>
      <c r="AU1297" s="1392" t="n"/>
      <c r="AV1297" s="1392" t="n"/>
      <c r="AW1297" s="1392" t="n"/>
      <c r="AX1297" s="1392" t="n"/>
      <c r="AY1297" s="1392" t="n"/>
      <c r="AZ1297" s="1392" t="n"/>
      <c r="BA1297" s="1422" t="n"/>
      <c r="BB1297" s="1422" t="n"/>
      <c r="BC1297" s="1392" t="n"/>
      <c r="BD1297" s="1392" t="n"/>
      <c r="BE1297" s="1392" t="n"/>
      <c r="BF1297" s="1392" t="n"/>
      <c r="BG1297" s="1392" t="n"/>
      <c r="BH1297" s="1392" t="n"/>
      <c r="BI1297" s="1392" t="n"/>
      <c r="BJ1297" s="1392" t="n"/>
      <c r="BK1297" s="1392" t="n"/>
      <c r="BL1297" s="1392" t="n"/>
      <c r="BM1297" s="1392" t="n"/>
      <c r="BN1297" s="1392" t="n"/>
      <c r="BO1297" s="1392" t="n"/>
      <c r="BP1297" s="1392" t="n"/>
      <c r="BQ1297" s="1392" t="n"/>
      <c r="BR1297" s="1392" t="n"/>
      <c r="BS1297" s="1392" t="n"/>
      <c r="BT1297" s="1392" t="n"/>
      <c r="BU1297" s="1392" t="n"/>
      <c r="BV1297" s="1392" t="n"/>
      <c r="BW1297" s="1392" t="n"/>
      <c r="BX1297" s="1392" t="n"/>
      <c r="BY1297" s="1392" t="n"/>
      <c r="BZ1297" s="1392" t="n"/>
      <c r="CA1297" s="1392" t="n"/>
      <c r="CB1297" s="1392" t="n"/>
      <c r="CC1297" s="1392" t="n"/>
      <c r="CD1297" s="1392" t="n"/>
      <c r="CE1297" s="1392" t="n"/>
      <c r="CF1297" s="1392" t="n"/>
      <c r="CG1297" s="1392" t="n"/>
      <c r="CH1297" s="1392" t="n"/>
      <c r="CI1297" s="1392" t="n"/>
      <c r="CJ1297" s="1392" t="n"/>
      <c r="CK1297" s="1392" t="n"/>
      <c r="CL1297" s="1392" t="n"/>
    </row>
    <row r="1298">
      <c r="A1298" s="5" t="inlineStr">
        <is>
          <t>.</t>
        </is>
      </c>
      <c r="B1298" s="5" t="inlineStr">
        <is>
          <t>.</t>
        </is>
      </c>
      <c r="C1298" s="1378">
        <f>IF(raw[[#This Row],[city]]="","-",IF(raw[[#This Row],[city]]="TODAY","-",C1297+1))</f>
        <v/>
      </c>
      <c r="D1298" s="1393" t="inlineStr">
        <is>
          <t>Miami</t>
        </is>
      </c>
      <c r="E1298" s="1394" t="n">
        <v>41302</v>
      </c>
      <c r="F1298" s="1394" t="n">
        <v>41302</v>
      </c>
      <c r="G1298" s="1393" t="n">
        <v>0.01</v>
      </c>
      <c r="H1298" s="1393" t="inlineStr">
        <is>
          <t>Lasalle</t>
        </is>
      </c>
      <c r="I1298" s="1393" t="inlineStr">
        <is>
          <t>-</t>
        </is>
      </c>
      <c r="J1298" s="1393" t="inlineStr">
        <is>
          <t>-</t>
        </is>
      </c>
      <c r="K1298" s="1395">
        <f>IF(raw[[#This Row],[city]]&lt;&gt;"",_xlfn.XLOOKUP($D1298,ccc[city],ccc[prov],"-"),"-")</f>
        <v/>
      </c>
      <c r="L1298" s="1395">
        <f>IF(raw[[#This Row],[city]]&lt;&gt;"",_xlfn.XLOOKUP($D1298,ccc[city],ccc[ctry],"-"),"-")</f>
        <v/>
      </c>
      <c r="M1298" s="1395">
        <f>IF(raw[[#This Row],[city]]&lt;&gt;"",_xlfn.XLOOKUP($D1298,ccc[city],ccc[cont],"-"),"-")</f>
        <v/>
      </c>
      <c r="N1298" s="1396">
        <f>IF(raw[[#This Row],[city]]="","-",IF(raw[[#This Row],[cont]]="B",raw[[#This Row],[cont]],"W"))</f>
        <v/>
      </c>
      <c r="O1298" s="1397">
        <f>IF(raw[[#This Row],[out]]=0,0,IF(raw[[#This Row],[out]]=raw[[#This Row],[in]],0.01,raw[[#This Row],[out]]-raw[[#This Row],[in]]))</f>
        <v/>
      </c>
      <c r="P1298" s="1397">
        <f>IF(raw[[#This Row],[in]]=0,0,MONTH(raw[[#This Row],[in]]))</f>
        <v/>
      </c>
      <c r="Q1298" s="1397">
        <f>IF(raw[[#This Row],[in]]=0,0,YEAR(raw[[#This Row],[in]]))</f>
        <v/>
      </c>
      <c r="R1298" s="1397">
        <f>INT(raw[[#This Row],[yr]]/10)*10</f>
        <v/>
      </c>
      <c r="S1298" s="1395">
        <f>IF(raw[[#This Row],[city]]="","-",IF(raw[[#This Row],[city]]&lt;&gt;_xlfn.XLOOKUP(raw[[#This Row],[home]],homes[home],homes[city],"-"),1,0))</f>
        <v/>
      </c>
      <c r="T1298" s="1398" t="inlineStr">
        <is>
          <t>.</t>
        </is>
      </c>
      <c r="U1298" s="1399">
        <f>IF(raw[[#This Row],[wb]]="w",raw[[#This Row],[stay]]+U1297,U1297)</f>
        <v/>
      </c>
      <c r="V1298" s="1400">
        <f>IF(raw[[#This Row],[out]]=0,V1297,(raw[[#This Row],[out]]-E$5))</f>
        <v/>
      </c>
      <c r="W1298" s="1401">
        <f>U1298/V1298</f>
        <v/>
      </c>
      <c r="X1298" s="1392" t="n"/>
      <c r="Y1298" s="1392" t="n"/>
      <c r="Z1298" s="1392" t="n"/>
      <c r="AA1298" s="1392" t="n"/>
      <c r="AB1298" s="1392" t="n"/>
      <c r="AC1298" s="1392" t="n"/>
      <c r="AD1298" s="1392" t="n"/>
      <c r="AE1298" s="1392" t="n"/>
      <c r="AF1298" s="1392" t="n"/>
      <c r="AG1298" s="1392" t="n"/>
      <c r="AH1298" s="1392" t="n"/>
      <c r="AI1298" s="1392" t="n"/>
      <c r="AJ1298" s="1392" t="n"/>
      <c r="AK1298" s="1392" t="n"/>
      <c r="AL1298" s="1392" t="n"/>
      <c r="AM1298" s="1392" t="n"/>
      <c r="AN1298" s="1392" t="n"/>
      <c r="AO1298" s="1392" t="n"/>
      <c r="AP1298" s="1392" t="n"/>
      <c r="AQ1298" s="1392" t="n"/>
      <c r="AR1298" s="1422" t="n"/>
      <c r="AS1298" s="1422" t="n"/>
      <c r="AT1298" s="1392" t="n"/>
      <c r="AU1298" s="1392" t="n"/>
      <c r="AV1298" s="1392" t="n"/>
      <c r="AW1298" s="1392" t="n"/>
      <c r="AX1298" s="1392" t="n"/>
      <c r="AY1298" s="1392" t="n"/>
      <c r="AZ1298" s="1392" t="n"/>
      <c r="BA1298" s="1422" t="n"/>
      <c r="BB1298" s="1422" t="n"/>
      <c r="BC1298" s="1392" t="n"/>
      <c r="BD1298" s="1392" t="n"/>
      <c r="BE1298" s="1392" t="n"/>
      <c r="BF1298" s="1392" t="n"/>
      <c r="BG1298" s="1392" t="n"/>
      <c r="BH1298" s="1392" t="n"/>
      <c r="BI1298" s="1392" t="n"/>
      <c r="BJ1298" s="1392" t="n"/>
      <c r="BK1298" s="1392" t="n"/>
      <c r="BL1298" s="1392" t="n"/>
      <c r="BM1298" s="1392" t="n"/>
      <c r="BN1298" s="1392" t="n"/>
      <c r="BO1298" s="1392" t="n"/>
      <c r="BP1298" s="1392" t="n"/>
      <c r="BQ1298" s="1392" t="n"/>
      <c r="BR1298" s="1392" t="n"/>
      <c r="BS1298" s="1392" t="n"/>
      <c r="BT1298" s="1392" t="n"/>
      <c r="BU1298" s="1392" t="n"/>
      <c r="BV1298" s="1392" t="n"/>
      <c r="BW1298" s="1392" t="n"/>
      <c r="BX1298" s="1392" t="n"/>
      <c r="BY1298" s="1392" t="n"/>
      <c r="BZ1298" s="1392" t="n"/>
      <c r="CA1298" s="1392" t="n"/>
      <c r="CB1298" s="1392" t="n"/>
      <c r="CC1298" s="1392" t="n"/>
      <c r="CD1298" s="1392" t="n"/>
      <c r="CE1298" s="1392" t="n"/>
      <c r="CF1298" s="1392" t="n"/>
      <c r="CG1298" s="1392" t="n"/>
      <c r="CH1298" s="1392" t="n"/>
      <c r="CI1298" s="1392" t="n"/>
      <c r="CJ1298" s="1392" t="n"/>
      <c r="CK1298" s="1392" t="n"/>
      <c r="CL1298" s="1392" t="n"/>
    </row>
    <row r="1299">
      <c r="A1299" s="5" t="inlineStr">
        <is>
          <t>.</t>
        </is>
      </c>
      <c r="B1299" s="5" t="inlineStr">
        <is>
          <t>.</t>
        </is>
      </c>
      <c r="C1299" s="1378">
        <f>IF(raw[[#This Row],[city]]="","-",IF(raw[[#This Row],[city]]="TODAY","-",C1298+1))</f>
        <v/>
      </c>
      <c r="D1299" s="1393" t="inlineStr">
        <is>
          <t>Montreal</t>
        </is>
      </c>
      <c r="E1299" s="1394" t="n">
        <v>41302</v>
      </c>
      <c r="F1299" s="1394" t="n">
        <v>41306</v>
      </c>
      <c r="G1299" s="1393" t="inlineStr">
        <is>
          <t>-</t>
        </is>
      </c>
      <c r="H1299" s="1393" t="inlineStr">
        <is>
          <t>Lasalle</t>
        </is>
      </c>
      <c r="I1299" s="1393" t="inlineStr">
        <is>
          <t>-</t>
        </is>
      </c>
      <c r="J1299" s="1393" t="inlineStr">
        <is>
          <t>-</t>
        </is>
      </c>
      <c r="K1299" s="1395">
        <f>IF(raw[[#This Row],[city]]&lt;&gt;"",_xlfn.XLOOKUP($D1299,ccc[city],ccc[prov],"-"),"-")</f>
        <v/>
      </c>
      <c r="L1299" s="1395">
        <f>IF(raw[[#This Row],[city]]&lt;&gt;"",_xlfn.XLOOKUP($D1299,ccc[city],ccc[ctry],"-"),"-")</f>
        <v/>
      </c>
      <c r="M1299" s="1395">
        <f>IF(raw[[#This Row],[city]]&lt;&gt;"",_xlfn.XLOOKUP($D1299,ccc[city],ccc[cont],"-"),"-")</f>
        <v/>
      </c>
      <c r="N1299" s="1396">
        <f>IF(raw[[#This Row],[city]]="","-",IF(raw[[#This Row],[cont]]="B",raw[[#This Row],[cont]],"W"))</f>
        <v/>
      </c>
      <c r="O1299" s="1397">
        <f>IF(raw[[#This Row],[out]]=0,0,IF(raw[[#This Row],[out]]=raw[[#This Row],[in]],0.01,raw[[#This Row],[out]]-raw[[#This Row],[in]]))</f>
        <v/>
      </c>
      <c r="P1299" s="1397">
        <f>IF(raw[[#This Row],[in]]=0,0,MONTH(raw[[#This Row],[in]]))</f>
        <v/>
      </c>
      <c r="Q1299" s="1397">
        <f>IF(raw[[#This Row],[in]]=0,0,YEAR(raw[[#This Row],[in]]))</f>
        <v/>
      </c>
      <c r="R1299" s="1397">
        <f>INT(raw[[#This Row],[yr]]/10)*10</f>
        <v/>
      </c>
      <c r="S1299" s="1395">
        <f>IF(raw[[#This Row],[city]]="","-",IF(raw[[#This Row],[city]]&lt;&gt;_xlfn.XLOOKUP(raw[[#This Row],[home]],homes[home],homes[city],"-"),1,0))</f>
        <v/>
      </c>
      <c r="T1299" s="1398" t="inlineStr">
        <is>
          <t>.</t>
        </is>
      </c>
      <c r="U1299" s="1399">
        <f>IF(raw[[#This Row],[wb]]="w",raw[[#This Row],[stay]]+U1298,U1298)</f>
        <v/>
      </c>
      <c r="V1299" s="1400">
        <f>IF(raw[[#This Row],[out]]=0,V1298,(raw[[#This Row],[out]]-E$5))</f>
        <v/>
      </c>
      <c r="W1299" s="1401">
        <f>U1299/V1299</f>
        <v/>
      </c>
      <c r="X1299" s="1392" t="n"/>
      <c r="Y1299" s="1392" t="n"/>
      <c r="Z1299" s="1392" t="n"/>
      <c r="AA1299" s="1392" t="n"/>
      <c r="AB1299" s="1392" t="n"/>
      <c r="AC1299" s="1392" t="n"/>
      <c r="AD1299" s="1392" t="n"/>
      <c r="AE1299" s="1392" t="n"/>
      <c r="AF1299" s="1392" t="n"/>
      <c r="AG1299" s="1392" t="n"/>
      <c r="AH1299" s="1392" t="n"/>
      <c r="AI1299" s="1392" t="n"/>
      <c r="AJ1299" s="1392" t="n"/>
      <c r="AK1299" s="1392" t="n"/>
      <c r="AL1299" s="1392" t="n"/>
      <c r="AM1299" s="1392" t="n"/>
      <c r="AN1299" s="1392" t="n"/>
      <c r="AO1299" s="1392" t="n"/>
      <c r="AP1299" s="1392" t="n"/>
      <c r="AQ1299" s="1392" t="n"/>
      <c r="AR1299" s="1422" t="n"/>
      <c r="AS1299" s="1422" t="n"/>
      <c r="AT1299" s="1392" t="n"/>
      <c r="AU1299" s="1392" t="n"/>
      <c r="AV1299" s="1392" t="n"/>
      <c r="AW1299" s="1392" t="n"/>
      <c r="AX1299" s="1392" t="n"/>
      <c r="AY1299" s="1392" t="n"/>
      <c r="AZ1299" s="1392" t="n"/>
      <c r="BA1299" s="1422" t="n"/>
      <c r="BB1299" s="1422" t="n"/>
      <c r="BC1299" s="1392" t="n"/>
      <c r="BD1299" s="1392" t="n"/>
      <c r="BE1299" s="1392" t="n"/>
      <c r="BF1299" s="1392" t="n"/>
      <c r="BG1299" s="1392" t="n"/>
      <c r="BH1299" s="1392" t="n"/>
      <c r="BI1299" s="1392" t="n"/>
      <c r="BJ1299" s="1392" t="n"/>
      <c r="BK1299" s="1392" t="n"/>
      <c r="BL1299" s="1392" t="n"/>
      <c r="BM1299" s="1392" t="n"/>
      <c r="BN1299" s="1392" t="n"/>
      <c r="BO1299" s="1392" t="n"/>
      <c r="BP1299" s="1392" t="n"/>
      <c r="BQ1299" s="1392" t="n"/>
      <c r="BR1299" s="1392" t="n"/>
      <c r="BS1299" s="1392" t="n"/>
      <c r="BT1299" s="1392" t="n"/>
      <c r="BU1299" s="1392" t="n"/>
      <c r="BV1299" s="1392" t="n"/>
      <c r="BW1299" s="1392" t="n"/>
      <c r="BX1299" s="1392" t="n"/>
      <c r="BY1299" s="1392" t="n"/>
      <c r="BZ1299" s="1392" t="n"/>
      <c r="CA1299" s="1392" t="n"/>
      <c r="CB1299" s="1392" t="n"/>
      <c r="CC1299" s="1392" t="n"/>
      <c r="CD1299" s="1392" t="n"/>
      <c r="CE1299" s="1392" t="n"/>
      <c r="CF1299" s="1392" t="n"/>
      <c r="CG1299" s="1392" t="n"/>
      <c r="CH1299" s="1392" t="n"/>
      <c r="CI1299" s="1392" t="n"/>
      <c r="CJ1299" s="1392" t="n"/>
      <c r="CK1299" s="1392" t="n"/>
      <c r="CL1299" s="1392" t="n"/>
    </row>
    <row r="1300">
      <c r="A1300" s="5" t="inlineStr">
        <is>
          <t>.</t>
        </is>
      </c>
      <c r="B1300" s="5" t="inlineStr">
        <is>
          <t>.</t>
        </is>
      </c>
      <c r="C1300" s="1378">
        <f>IF(raw[[#This Row],[city]]="","-",IF(raw[[#This Row],[city]]="TODAY","-",C1299+1))</f>
        <v/>
      </c>
      <c r="D1300" s="1393" t="inlineStr">
        <is>
          <t>Montreal</t>
        </is>
      </c>
      <c r="E1300" s="1394" t="n">
        <v>41306</v>
      </c>
      <c r="F1300" s="1394" t="n">
        <v>41334</v>
      </c>
      <c r="G1300" s="1393" t="inlineStr">
        <is>
          <t>-</t>
        </is>
      </c>
      <c r="H1300" s="1393" t="inlineStr">
        <is>
          <t>Lasalle</t>
        </is>
      </c>
      <c r="I1300" s="1393" t="inlineStr">
        <is>
          <t>-</t>
        </is>
      </c>
      <c r="J1300" s="1393" t="inlineStr">
        <is>
          <t>-</t>
        </is>
      </c>
      <c r="K1300" s="1395">
        <f>IF(raw[[#This Row],[city]]&lt;&gt;"",_xlfn.XLOOKUP($D1300,ccc[city],ccc[prov],"-"),"-")</f>
        <v/>
      </c>
      <c r="L1300" s="1395">
        <f>IF(raw[[#This Row],[city]]&lt;&gt;"",_xlfn.XLOOKUP($D1300,ccc[city],ccc[ctry],"-"),"-")</f>
        <v/>
      </c>
      <c r="M1300" s="1395">
        <f>IF(raw[[#This Row],[city]]&lt;&gt;"",_xlfn.XLOOKUP($D1300,ccc[city],ccc[cont],"-"),"-")</f>
        <v/>
      </c>
      <c r="N1300" s="1396">
        <f>IF(raw[[#This Row],[city]]="","-",IF(raw[[#This Row],[cont]]="B",raw[[#This Row],[cont]],"W"))</f>
        <v/>
      </c>
      <c r="O1300" s="1397">
        <f>IF(raw[[#This Row],[out]]=0,0,IF(raw[[#This Row],[out]]=raw[[#This Row],[in]],0.01,raw[[#This Row],[out]]-raw[[#This Row],[in]]))</f>
        <v/>
      </c>
      <c r="P1300" s="1397">
        <f>IF(raw[[#This Row],[in]]=0,0,MONTH(raw[[#This Row],[in]]))</f>
        <v/>
      </c>
      <c r="Q1300" s="1397">
        <f>IF(raw[[#This Row],[in]]=0,0,YEAR(raw[[#This Row],[in]]))</f>
        <v/>
      </c>
      <c r="R1300" s="1397">
        <f>INT(raw[[#This Row],[yr]]/10)*10</f>
        <v/>
      </c>
      <c r="S1300" s="1395">
        <f>IF(raw[[#This Row],[city]]="","-",IF(raw[[#This Row],[city]]&lt;&gt;_xlfn.XLOOKUP(raw[[#This Row],[home]],homes[home],homes[city],"-"),1,0))</f>
        <v/>
      </c>
      <c r="T1300" s="1398" t="inlineStr">
        <is>
          <t>.</t>
        </is>
      </c>
      <c r="U1300" s="1399">
        <f>IF(raw[[#This Row],[wb]]="w",raw[[#This Row],[stay]]+U1299,U1299)</f>
        <v/>
      </c>
      <c r="V1300" s="1400">
        <f>IF(raw[[#This Row],[out]]=0,V1299,(raw[[#This Row],[out]]-E$5))</f>
        <v/>
      </c>
      <c r="W1300" s="1401">
        <f>U1300/V1300</f>
        <v/>
      </c>
      <c r="X1300" s="1392" t="n"/>
      <c r="Y1300" s="1392" t="n"/>
      <c r="Z1300" s="1392" t="n"/>
      <c r="AA1300" s="1392" t="n"/>
      <c r="AB1300" s="1392" t="n"/>
      <c r="AC1300" s="1392" t="n"/>
      <c r="AD1300" s="1392" t="n"/>
      <c r="AE1300" s="1392" t="n"/>
      <c r="AF1300" s="1392" t="n"/>
      <c r="AG1300" s="1392" t="n"/>
      <c r="AH1300" s="1392" t="n"/>
      <c r="AI1300" s="1392" t="n"/>
      <c r="AJ1300" s="1392" t="n"/>
      <c r="AK1300" s="1392" t="n"/>
      <c r="AL1300" s="1392" t="n"/>
      <c r="AM1300" s="1392" t="n"/>
      <c r="AN1300" s="1392" t="n"/>
      <c r="AO1300" s="1392" t="n"/>
      <c r="AP1300" s="1392" t="n"/>
      <c r="AQ1300" s="1392" t="n"/>
      <c r="AR1300" s="1422" t="n"/>
      <c r="AS1300" s="1422" t="n"/>
      <c r="AT1300" s="1392" t="n"/>
      <c r="AU1300" s="1392" t="n"/>
      <c r="AV1300" s="1392" t="n"/>
      <c r="AW1300" s="1392" t="n"/>
      <c r="AX1300" s="1392" t="n"/>
      <c r="AY1300" s="1392" t="n"/>
      <c r="AZ1300" s="1392" t="n"/>
      <c r="BA1300" s="1422" t="n"/>
      <c r="BB1300" s="1422" t="n"/>
      <c r="BC1300" s="1392" t="n"/>
      <c r="BD1300" s="1392" t="n"/>
      <c r="BE1300" s="1392" t="n"/>
      <c r="BF1300" s="1392" t="n"/>
      <c r="BG1300" s="1392" t="n"/>
      <c r="BH1300" s="1392" t="n"/>
      <c r="BI1300" s="1392" t="n"/>
      <c r="BJ1300" s="1392" t="n"/>
      <c r="BK1300" s="1392" t="n"/>
      <c r="BL1300" s="1392" t="n"/>
      <c r="BM1300" s="1392" t="n"/>
      <c r="BN1300" s="1392" t="n"/>
      <c r="BO1300" s="1392" t="n"/>
      <c r="BP1300" s="1392" t="n"/>
      <c r="BQ1300" s="1392" t="n"/>
      <c r="BR1300" s="1392" t="n"/>
      <c r="BS1300" s="1392" t="n"/>
      <c r="BT1300" s="1392" t="n"/>
      <c r="BU1300" s="1392" t="n"/>
      <c r="BV1300" s="1392" t="n"/>
      <c r="BW1300" s="1392" t="n"/>
      <c r="BX1300" s="1392" t="n"/>
      <c r="BY1300" s="1392" t="n"/>
      <c r="BZ1300" s="1392" t="n"/>
      <c r="CA1300" s="1392" t="n"/>
      <c r="CB1300" s="1392" t="n"/>
      <c r="CC1300" s="1392" t="n"/>
      <c r="CD1300" s="1392" t="n"/>
      <c r="CE1300" s="1392" t="n"/>
      <c r="CF1300" s="1392" t="n"/>
      <c r="CG1300" s="1392" t="n"/>
      <c r="CH1300" s="1392" t="n"/>
      <c r="CI1300" s="1392" t="n"/>
      <c r="CJ1300" s="1392" t="n"/>
      <c r="CK1300" s="1392" t="n"/>
      <c r="CL1300" s="1392" t="n"/>
    </row>
    <row r="1301">
      <c r="A1301" s="5" t="inlineStr">
        <is>
          <t>.</t>
        </is>
      </c>
      <c r="B1301" s="5" t="inlineStr">
        <is>
          <t>.</t>
        </is>
      </c>
      <c r="C1301" s="1378">
        <f>IF(raw[[#This Row],[city]]="","-",IF(raw[[#This Row],[city]]="TODAY","-",C1300+1))</f>
        <v/>
      </c>
      <c r="D1301" s="1393" t="inlineStr">
        <is>
          <t>Montreal</t>
        </is>
      </c>
      <c r="E1301" s="1394" t="n">
        <v>41334</v>
      </c>
      <c r="F1301" s="1394" t="n">
        <v>41365</v>
      </c>
      <c r="G1301" s="1393" t="inlineStr">
        <is>
          <t>-</t>
        </is>
      </c>
      <c r="H1301" s="1393" t="inlineStr">
        <is>
          <t>Lasalle</t>
        </is>
      </c>
      <c r="I1301" s="1393" t="inlineStr">
        <is>
          <t>-</t>
        </is>
      </c>
      <c r="J1301" s="1393" t="inlineStr">
        <is>
          <t>-</t>
        </is>
      </c>
      <c r="K1301" s="1395">
        <f>IF(raw[[#This Row],[city]]&lt;&gt;"",_xlfn.XLOOKUP($D1301,ccc[city],ccc[prov],"-"),"-")</f>
        <v/>
      </c>
      <c r="L1301" s="1395">
        <f>IF(raw[[#This Row],[city]]&lt;&gt;"",_xlfn.XLOOKUP($D1301,ccc[city],ccc[ctry],"-"),"-")</f>
        <v/>
      </c>
      <c r="M1301" s="1395">
        <f>IF(raw[[#This Row],[city]]&lt;&gt;"",_xlfn.XLOOKUP($D1301,ccc[city],ccc[cont],"-"),"-")</f>
        <v/>
      </c>
      <c r="N1301" s="1396">
        <f>IF(raw[[#This Row],[city]]="","-",IF(raw[[#This Row],[cont]]="B",raw[[#This Row],[cont]],"W"))</f>
        <v/>
      </c>
      <c r="O1301" s="1397">
        <f>IF(raw[[#This Row],[out]]=0,0,IF(raw[[#This Row],[out]]=raw[[#This Row],[in]],0.01,raw[[#This Row],[out]]-raw[[#This Row],[in]]))</f>
        <v/>
      </c>
      <c r="P1301" s="1397">
        <f>IF(raw[[#This Row],[in]]=0,0,MONTH(raw[[#This Row],[in]]))</f>
        <v/>
      </c>
      <c r="Q1301" s="1397">
        <f>IF(raw[[#This Row],[in]]=0,0,YEAR(raw[[#This Row],[in]]))</f>
        <v/>
      </c>
      <c r="R1301" s="1397">
        <f>INT(raw[[#This Row],[yr]]/10)*10</f>
        <v/>
      </c>
      <c r="S1301" s="1395">
        <f>IF(raw[[#This Row],[city]]="","-",IF(raw[[#This Row],[city]]&lt;&gt;_xlfn.XLOOKUP(raw[[#This Row],[home]],homes[home],homes[city],"-"),1,0))</f>
        <v/>
      </c>
      <c r="T1301" s="1398" t="inlineStr">
        <is>
          <t>.</t>
        </is>
      </c>
      <c r="U1301" s="1399">
        <f>IF(raw[[#This Row],[wb]]="w",raw[[#This Row],[stay]]+U1300,U1300)</f>
        <v/>
      </c>
      <c r="V1301" s="1400">
        <f>IF(raw[[#This Row],[out]]=0,V1300,(raw[[#This Row],[out]]-E$5))</f>
        <v/>
      </c>
      <c r="W1301" s="1401">
        <f>U1301/V1301</f>
        <v/>
      </c>
      <c r="X1301" s="1392" t="n"/>
      <c r="Y1301" s="1392" t="n"/>
      <c r="Z1301" s="1392" t="n"/>
      <c r="AA1301" s="1392" t="n"/>
      <c r="AB1301" s="1392" t="n"/>
      <c r="AC1301" s="1392" t="n"/>
      <c r="AD1301" s="1392" t="n"/>
      <c r="AE1301" s="1392" t="n"/>
      <c r="AF1301" s="1392" t="n"/>
      <c r="AG1301" s="1392" t="n"/>
      <c r="AH1301" s="1392" t="n"/>
      <c r="AI1301" s="1392" t="n"/>
      <c r="AJ1301" s="1392" t="n"/>
      <c r="AK1301" s="1392" t="n"/>
      <c r="AL1301" s="1392" t="n"/>
      <c r="AM1301" s="1392" t="n"/>
      <c r="AN1301" s="1392" t="n"/>
      <c r="AO1301" s="1392" t="n"/>
      <c r="AP1301" s="1392" t="n"/>
      <c r="AQ1301" s="1392" t="n"/>
      <c r="AR1301" s="1422" t="n"/>
      <c r="AS1301" s="1422" t="n"/>
      <c r="AT1301" s="1392" t="n"/>
      <c r="AU1301" s="1392" t="n"/>
      <c r="AV1301" s="1392" t="n"/>
      <c r="AW1301" s="1392" t="n"/>
      <c r="AX1301" s="1392" t="n"/>
      <c r="AY1301" s="1392" t="n"/>
      <c r="AZ1301" s="1392" t="n"/>
      <c r="BA1301" s="1422" t="n"/>
      <c r="BB1301" s="1422" t="n"/>
      <c r="BC1301" s="1392" t="n"/>
      <c r="BD1301" s="1392" t="n"/>
      <c r="BE1301" s="1392" t="n"/>
      <c r="BF1301" s="1392" t="n"/>
      <c r="BG1301" s="1392" t="n"/>
      <c r="BH1301" s="1392" t="n"/>
      <c r="BI1301" s="1392" t="n"/>
      <c r="BJ1301" s="1392" t="n"/>
      <c r="BK1301" s="1392" t="n"/>
      <c r="BL1301" s="1392" t="n"/>
      <c r="BM1301" s="1392" t="n"/>
      <c r="BN1301" s="1392" t="n"/>
      <c r="BO1301" s="1392" t="n"/>
      <c r="BP1301" s="1392" t="n"/>
      <c r="BQ1301" s="1392" t="n"/>
      <c r="BR1301" s="1392" t="n"/>
      <c r="BS1301" s="1392" t="n"/>
      <c r="BT1301" s="1392" t="n"/>
      <c r="BU1301" s="1392" t="n"/>
      <c r="BV1301" s="1392" t="n"/>
      <c r="BW1301" s="1392" t="n"/>
      <c r="BX1301" s="1392" t="n"/>
      <c r="BY1301" s="1392" t="n"/>
      <c r="BZ1301" s="1392" t="n"/>
      <c r="CA1301" s="1392" t="n"/>
      <c r="CB1301" s="1392" t="n"/>
      <c r="CC1301" s="1392" t="n"/>
      <c r="CD1301" s="1392" t="n"/>
      <c r="CE1301" s="1392" t="n"/>
      <c r="CF1301" s="1392" t="n"/>
      <c r="CG1301" s="1392" t="n"/>
      <c r="CH1301" s="1392" t="n"/>
      <c r="CI1301" s="1392" t="n"/>
      <c r="CJ1301" s="1392" t="n"/>
      <c r="CK1301" s="1392" t="n"/>
      <c r="CL1301" s="1392" t="n"/>
    </row>
    <row r="1302">
      <c r="A1302" s="5" t="inlineStr">
        <is>
          <t>.</t>
        </is>
      </c>
      <c r="B1302" s="5" t="inlineStr">
        <is>
          <t>.</t>
        </is>
      </c>
      <c r="C1302" s="1378">
        <f>IF(raw[[#This Row],[city]]="","-",IF(raw[[#This Row],[city]]="TODAY","-",C1301+1))</f>
        <v/>
      </c>
      <c r="D1302" s="1393" t="inlineStr">
        <is>
          <t>Montreal</t>
        </is>
      </c>
      <c r="E1302" s="1394" t="n">
        <v>41365</v>
      </c>
      <c r="F1302" s="1394" t="n">
        <v>41374</v>
      </c>
      <c r="G1302" s="1393" t="inlineStr">
        <is>
          <t>-</t>
        </is>
      </c>
      <c r="H1302" s="1393" t="inlineStr">
        <is>
          <t>Lasalle</t>
        </is>
      </c>
      <c r="I1302" s="1393" t="inlineStr">
        <is>
          <t>-</t>
        </is>
      </c>
      <c r="J1302" s="1393" t="inlineStr">
        <is>
          <t>-</t>
        </is>
      </c>
      <c r="K1302" s="1395">
        <f>IF(raw[[#This Row],[city]]&lt;&gt;"",_xlfn.XLOOKUP($D1302,ccc[city],ccc[prov],"-"),"-")</f>
        <v/>
      </c>
      <c r="L1302" s="1395">
        <f>IF(raw[[#This Row],[city]]&lt;&gt;"",_xlfn.XLOOKUP($D1302,ccc[city],ccc[ctry],"-"),"-")</f>
        <v/>
      </c>
      <c r="M1302" s="1395">
        <f>IF(raw[[#This Row],[city]]&lt;&gt;"",_xlfn.XLOOKUP($D1302,ccc[city],ccc[cont],"-"),"-")</f>
        <v/>
      </c>
      <c r="N1302" s="1396">
        <f>IF(raw[[#This Row],[city]]="","-",IF(raw[[#This Row],[cont]]="B",raw[[#This Row],[cont]],"W"))</f>
        <v/>
      </c>
      <c r="O1302" s="1397">
        <f>IF(raw[[#This Row],[out]]=0,0,IF(raw[[#This Row],[out]]=raw[[#This Row],[in]],0.01,raw[[#This Row],[out]]-raw[[#This Row],[in]]))</f>
        <v/>
      </c>
      <c r="P1302" s="1397">
        <f>IF(raw[[#This Row],[in]]=0,0,MONTH(raw[[#This Row],[in]]))</f>
        <v/>
      </c>
      <c r="Q1302" s="1397">
        <f>IF(raw[[#This Row],[in]]=0,0,YEAR(raw[[#This Row],[in]]))</f>
        <v/>
      </c>
      <c r="R1302" s="1397">
        <f>INT(raw[[#This Row],[yr]]/10)*10</f>
        <v/>
      </c>
      <c r="S1302" s="1395">
        <f>IF(raw[[#This Row],[city]]="","-",IF(raw[[#This Row],[city]]&lt;&gt;_xlfn.XLOOKUP(raw[[#This Row],[home]],homes[home],homes[city],"-"),1,0))</f>
        <v/>
      </c>
      <c r="T1302" s="1398" t="inlineStr">
        <is>
          <t>.</t>
        </is>
      </c>
      <c r="U1302" s="1399">
        <f>IF(raw[[#This Row],[wb]]="w",raw[[#This Row],[stay]]+U1301,U1301)</f>
        <v/>
      </c>
      <c r="V1302" s="1400">
        <f>IF(raw[[#This Row],[out]]=0,V1301,(raw[[#This Row],[out]]-E$5))</f>
        <v/>
      </c>
      <c r="W1302" s="1401">
        <f>U1302/V1302</f>
        <v/>
      </c>
      <c r="X1302" s="1392" t="n"/>
      <c r="Y1302" s="1392" t="n"/>
      <c r="Z1302" s="1392" t="n"/>
      <c r="AA1302" s="1392" t="n"/>
      <c r="AB1302" s="1392" t="n"/>
      <c r="AC1302" s="1392" t="n"/>
      <c r="AD1302" s="1392" t="n"/>
      <c r="AE1302" s="1392" t="n"/>
      <c r="AF1302" s="1392" t="n"/>
      <c r="AG1302" s="1392" t="n"/>
      <c r="AH1302" s="1392" t="n"/>
      <c r="AI1302" s="1392" t="n"/>
      <c r="AJ1302" s="1392" t="n"/>
      <c r="AK1302" s="1392" t="n"/>
      <c r="AL1302" s="1392" t="n"/>
      <c r="AM1302" s="1392" t="n"/>
      <c r="AN1302" s="1392" t="n"/>
      <c r="AO1302" s="1392" t="n"/>
      <c r="AP1302" s="1392" t="n"/>
      <c r="AQ1302" s="1392" t="n"/>
      <c r="AR1302" s="1422" t="n"/>
      <c r="AS1302" s="1422" t="n"/>
      <c r="AT1302" s="1392" t="n"/>
      <c r="AU1302" s="1392" t="n"/>
      <c r="AV1302" s="1392" t="n"/>
      <c r="AW1302" s="1392" t="n"/>
      <c r="AX1302" s="1392" t="n"/>
      <c r="AY1302" s="1392" t="n"/>
      <c r="AZ1302" s="1392" t="n"/>
      <c r="BA1302" s="1422" t="n"/>
      <c r="BB1302" s="1422" t="n"/>
      <c r="BC1302" s="1392" t="n"/>
      <c r="BD1302" s="1392" t="n"/>
      <c r="BE1302" s="1392" t="n"/>
      <c r="BF1302" s="1392" t="n"/>
      <c r="BG1302" s="1392" t="n"/>
      <c r="BH1302" s="1392" t="n"/>
      <c r="BI1302" s="1392" t="n"/>
      <c r="BJ1302" s="1392" t="n"/>
      <c r="BK1302" s="1392" t="n"/>
      <c r="BL1302" s="1392" t="n"/>
      <c r="BM1302" s="1392" t="n"/>
      <c r="BN1302" s="1392" t="n"/>
      <c r="BO1302" s="1392" t="n"/>
      <c r="BP1302" s="1392" t="n"/>
      <c r="BQ1302" s="1392" t="n"/>
      <c r="BR1302" s="1392" t="n"/>
      <c r="BS1302" s="1392" t="n"/>
      <c r="BT1302" s="1392" t="n"/>
      <c r="BU1302" s="1392" t="n"/>
      <c r="BV1302" s="1392" t="n"/>
      <c r="BW1302" s="1392" t="n"/>
      <c r="BX1302" s="1392" t="n"/>
      <c r="BY1302" s="1392" t="n"/>
      <c r="BZ1302" s="1392" t="n"/>
      <c r="CA1302" s="1392" t="n"/>
      <c r="CB1302" s="1392" t="n"/>
      <c r="CC1302" s="1392" t="n"/>
      <c r="CD1302" s="1392" t="n"/>
      <c r="CE1302" s="1392" t="n"/>
      <c r="CF1302" s="1392" t="n"/>
      <c r="CG1302" s="1392" t="n"/>
      <c r="CH1302" s="1392" t="n"/>
      <c r="CI1302" s="1392" t="n"/>
      <c r="CJ1302" s="1392" t="n"/>
      <c r="CK1302" s="1392" t="n"/>
      <c r="CL1302" s="1392" t="n"/>
    </row>
    <row r="1303">
      <c r="A1303" s="5" t="inlineStr">
        <is>
          <t>.</t>
        </is>
      </c>
      <c r="B1303" s="5" t="inlineStr">
        <is>
          <t>.</t>
        </is>
      </c>
      <c r="C1303" s="1378">
        <f>IF(raw[[#This Row],[city]]="","-",IF(raw[[#This Row],[city]]="TODAY","-",C1302+1))</f>
        <v/>
      </c>
      <c r="D1303" s="1393" t="inlineStr">
        <is>
          <t>Montreal</t>
        </is>
      </c>
      <c r="E1303" s="1394" t="n">
        <v>41374</v>
      </c>
      <c r="F1303" s="1394" t="n">
        <v>41378</v>
      </c>
      <c r="G1303" s="1393" t="inlineStr">
        <is>
          <t>-</t>
        </is>
      </c>
      <c r="H1303" s="1393" t="inlineStr">
        <is>
          <t>Lasalle</t>
        </is>
      </c>
      <c r="I1303" s="1393" t="inlineStr">
        <is>
          <t>Royal Victoria</t>
        </is>
      </c>
      <c r="J1303" s="1393" t="inlineStr">
        <is>
          <t>-</t>
        </is>
      </c>
      <c r="K1303" s="1395">
        <f>IF(raw[[#This Row],[city]]&lt;&gt;"",_xlfn.XLOOKUP($D1303,ccc[city],ccc[prov],"-"),"-")</f>
        <v/>
      </c>
      <c r="L1303" s="1395">
        <f>IF(raw[[#This Row],[city]]&lt;&gt;"",_xlfn.XLOOKUP($D1303,ccc[city],ccc[ctry],"-"),"-")</f>
        <v/>
      </c>
      <c r="M1303" s="1395">
        <f>IF(raw[[#This Row],[city]]&lt;&gt;"",_xlfn.XLOOKUP($D1303,ccc[city],ccc[cont],"-"),"-")</f>
        <v/>
      </c>
      <c r="N1303" s="1396">
        <f>IF(raw[[#This Row],[city]]="","-",IF(raw[[#This Row],[cont]]="B",raw[[#This Row],[cont]],"W"))</f>
        <v/>
      </c>
      <c r="O1303" s="1397">
        <f>IF(raw[[#This Row],[out]]=0,0,IF(raw[[#This Row],[out]]=raw[[#This Row],[in]],0.01,raw[[#This Row],[out]]-raw[[#This Row],[in]]))</f>
        <v/>
      </c>
      <c r="P1303" s="1397">
        <f>IF(raw[[#This Row],[in]]=0,0,MONTH(raw[[#This Row],[in]]))</f>
        <v/>
      </c>
      <c r="Q1303" s="1397">
        <f>IF(raw[[#This Row],[in]]=0,0,YEAR(raw[[#This Row],[in]]))</f>
        <v/>
      </c>
      <c r="R1303" s="1397">
        <f>INT(raw[[#This Row],[yr]]/10)*10</f>
        <v/>
      </c>
      <c r="S1303" s="1395">
        <f>IF(raw[[#This Row],[city]]="","-",IF(raw[[#This Row],[city]]&lt;&gt;_xlfn.XLOOKUP(raw[[#This Row],[home]],homes[home],homes[city],"-"),1,0))</f>
        <v/>
      </c>
      <c r="T1303" s="1398" t="inlineStr">
        <is>
          <t>.</t>
        </is>
      </c>
      <c r="U1303" s="1399">
        <f>IF(raw[[#This Row],[wb]]="w",raw[[#This Row],[stay]]+U1302,U1302)</f>
        <v/>
      </c>
      <c r="V1303" s="1400">
        <f>IF(raw[[#This Row],[out]]=0,V1302,(raw[[#This Row],[out]]-E$5))</f>
        <v/>
      </c>
      <c r="W1303" s="1401">
        <f>U1303/V1303</f>
        <v/>
      </c>
      <c r="X1303" s="1392" t="n"/>
      <c r="Y1303" s="1392" t="n"/>
      <c r="Z1303" s="1392" t="n"/>
      <c r="AA1303" s="1392" t="n"/>
      <c r="AB1303" s="1392" t="n"/>
      <c r="AC1303" s="1392" t="n"/>
      <c r="AD1303" s="1392" t="n"/>
      <c r="AE1303" s="1392" t="n"/>
      <c r="AF1303" s="1392" t="n"/>
      <c r="AG1303" s="1392" t="n"/>
      <c r="AH1303" s="1392" t="n"/>
      <c r="AI1303" s="1392" t="n"/>
      <c r="AJ1303" s="1392" t="n"/>
      <c r="AK1303" s="1392" t="n"/>
      <c r="AL1303" s="1392" t="n"/>
      <c r="AM1303" s="1392" t="n"/>
      <c r="AN1303" s="1392" t="n"/>
      <c r="AO1303" s="1392" t="n"/>
      <c r="AP1303" s="1392" t="n"/>
      <c r="AQ1303" s="1392" t="n"/>
      <c r="AR1303" s="1422" t="n"/>
      <c r="AS1303" s="1422" t="n"/>
      <c r="AT1303" s="1392" t="n"/>
      <c r="AU1303" s="1392" t="n"/>
      <c r="AV1303" s="1392" t="n"/>
      <c r="AW1303" s="1392" t="n"/>
      <c r="AX1303" s="1392" t="n"/>
      <c r="AY1303" s="1392" t="n"/>
      <c r="AZ1303" s="1392" t="n"/>
      <c r="BA1303" s="1422" t="n"/>
      <c r="BB1303" s="1422" t="n"/>
      <c r="BC1303" s="1392" t="n"/>
      <c r="BD1303" s="1392" t="n"/>
      <c r="BE1303" s="1392" t="n"/>
      <c r="BF1303" s="1392" t="n"/>
      <c r="BG1303" s="1392" t="n"/>
      <c r="BH1303" s="1392" t="n"/>
      <c r="BI1303" s="1392" t="n"/>
      <c r="BJ1303" s="1392" t="n"/>
      <c r="BK1303" s="1392" t="n"/>
      <c r="BL1303" s="1392" t="n"/>
      <c r="BM1303" s="1392" t="n"/>
      <c r="BN1303" s="1392" t="n"/>
      <c r="BO1303" s="1392" t="n"/>
      <c r="BP1303" s="1392" t="n"/>
      <c r="BQ1303" s="1392" t="n"/>
      <c r="BR1303" s="1392" t="n"/>
      <c r="BS1303" s="1392" t="n"/>
      <c r="BT1303" s="1392" t="n"/>
      <c r="BU1303" s="1392" t="n"/>
      <c r="BV1303" s="1392" t="n"/>
      <c r="BW1303" s="1392" t="n"/>
      <c r="BX1303" s="1392" t="n"/>
      <c r="BY1303" s="1392" t="n"/>
      <c r="BZ1303" s="1392" t="n"/>
      <c r="CA1303" s="1392" t="n"/>
      <c r="CB1303" s="1392" t="n"/>
      <c r="CC1303" s="1392" t="n"/>
      <c r="CD1303" s="1392" t="n"/>
      <c r="CE1303" s="1392" t="n"/>
      <c r="CF1303" s="1392" t="n"/>
      <c r="CG1303" s="1392" t="n"/>
      <c r="CH1303" s="1392" t="n"/>
      <c r="CI1303" s="1392" t="n"/>
      <c r="CJ1303" s="1392" t="n"/>
      <c r="CK1303" s="1392" t="n"/>
      <c r="CL1303" s="1392" t="n"/>
    </row>
    <row r="1304">
      <c r="A1304" s="5" t="inlineStr">
        <is>
          <t>.</t>
        </is>
      </c>
      <c r="B1304" s="5" t="inlineStr">
        <is>
          <t>.</t>
        </is>
      </c>
      <c r="C1304" s="1378">
        <f>IF(raw[[#This Row],[city]]="","-",IF(raw[[#This Row],[city]]="TODAY","-",C1303+1))</f>
        <v/>
      </c>
      <c r="D1304" s="1393" t="inlineStr">
        <is>
          <t>Montreal</t>
        </is>
      </c>
      <c r="E1304" s="1394" t="n">
        <v>41378</v>
      </c>
      <c r="F1304" s="1394" t="n">
        <v>41395</v>
      </c>
      <c r="G1304" s="1393" t="inlineStr">
        <is>
          <t>-</t>
        </is>
      </c>
      <c r="H1304" s="1393" t="inlineStr">
        <is>
          <t>Lasalle</t>
        </is>
      </c>
      <c r="I1304" s="1393" t="inlineStr">
        <is>
          <t>-</t>
        </is>
      </c>
      <c r="J1304" s="1393" t="inlineStr">
        <is>
          <t>-</t>
        </is>
      </c>
      <c r="K1304" s="1395">
        <f>IF(raw[[#This Row],[city]]&lt;&gt;"",_xlfn.XLOOKUP($D1304,ccc[city],ccc[prov],"-"),"-")</f>
        <v/>
      </c>
      <c r="L1304" s="1395">
        <f>IF(raw[[#This Row],[city]]&lt;&gt;"",_xlfn.XLOOKUP($D1304,ccc[city],ccc[ctry],"-"),"-")</f>
        <v/>
      </c>
      <c r="M1304" s="1395">
        <f>IF(raw[[#This Row],[city]]&lt;&gt;"",_xlfn.XLOOKUP($D1304,ccc[city],ccc[cont],"-"),"-")</f>
        <v/>
      </c>
      <c r="N1304" s="1396">
        <f>IF(raw[[#This Row],[city]]="","-",IF(raw[[#This Row],[cont]]="B",raw[[#This Row],[cont]],"W"))</f>
        <v/>
      </c>
      <c r="O1304" s="1397">
        <f>IF(raw[[#This Row],[out]]=0,0,IF(raw[[#This Row],[out]]=raw[[#This Row],[in]],0.01,raw[[#This Row],[out]]-raw[[#This Row],[in]]))</f>
        <v/>
      </c>
      <c r="P1304" s="1397">
        <f>IF(raw[[#This Row],[in]]=0,0,MONTH(raw[[#This Row],[in]]))</f>
        <v/>
      </c>
      <c r="Q1304" s="1397">
        <f>IF(raw[[#This Row],[in]]=0,0,YEAR(raw[[#This Row],[in]]))</f>
        <v/>
      </c>
      <c r="R1304" s="1397">
        <f>INT(raw[[#This Row],[yr]]/10)*10</f>
        <v/>
      </c>
      <c r="S1304" s="1395">
        <f>IF(raw[[#This Row],[city]]="","-",IF(raw[[#This Row],[city]]&lt;&gt;_xlfn.XLOOKUP(raw[[#This Row],[home]],homes[home],homes[city],"-"),1,0))</f>
        <v/>
      </c>
      <c r="T1304" s="1398" t="inlineStr">
        <is>
          <t>.</t>
        </is>
      </c>
      <c r="U1304" s="1399">
        <f>IF(raw[[#This Row],[wb]]="w",raw[[#This Row],[stay]]+U1303,U1303)</f>
        <v/>
      </c>
      <c r="V1304" s="1400">
        <f>IF(raw[[#This Row],[out]]=0,V1303,(raw[[#This Row],[out]]-E$5))</f>
        <v/>
      </c>
      <c r="W1304" s="1401">
        <f>U1304/V1304</f>
        <v/>
      </c>
      <c r="X1304" s="1392" t="n"/>
      <c r="Y1304" s="1392" t="n"/>
      <c r="Z1304" s="1392" t="n"/>
      <c r="AA1304" s="1392" t="n"/>
      <c r="AB1304" s="1392" t="n"/>
      <c r="AC1304" s="1392" t="n"/>
      <c r="AD1304" s="1392" t="n"/>
      <c r="AE1304" s="1392" t="n"/>
      <c r="AF1304" s="1392" t="n"/>
      <c r="AG1304" s="1392" t="n"/>
      <c r="AH1304" s="1392" t="n"/>
      <c r="AI1304" s="1392" t="n"/>
      <c r="AJ1304" s="1392" t="n"/>
      <c r="AK1304" s="1392" t="n"/>
      <c r="AL1304" s="1392" t="n"/>
      <c r="AM1304" s="1392" t="n"/>
      <c r="AN1304" s="1392" t="n"/>
      <c r="AO1304" s="1392" t="n"/>
      <c r="AP1304" s="1392" t="n"/>
      <c r="AQ1304" s="1392" t="n"/>
      <c r="AR1304" s="1422" t="n"/>
      <c r="AS1304" s="1422" t="n"/>
      <c r="AT1304" s="1392" t="n"/>
      <c r="AU1304" s="1392" t="n"/>
      <c r="AV1304" s="1392" t="n"/>
      <c r="AW1304" s="1392" t="n"/>
      <c r="AX1304" s="1392" t="n"/>
      <c r="AY1304" s="1392" t="n"/>
      <c r="AZ1304" s="1392" t="n"/>
      <c r="BA1304" s="1422" t="n"/>
      <c r="BB1304" s="1422" t="n"/>
      <c r="BC1304" s="1392" t="n"/>
      <c r="BD1304" s="1392" t="n"/>
      <c r="BE1304" s="1392" t="n"/>
      <c r="BF1304" s="1392" t="n"/>
      <c r="BG1304" s="1392" t="n"/>
      <c r="BH1304" s="1392" t="n"/>
      <c r="BI1304" s="1392" t="n"/>
      <c r="BJ1304" s="1392" t="n"/>
      <c r="BK1304" s="1392" t="n"/>
      <c r="BL1304" s="1392" t="n"/>
      <c r="BM1304" s="1392" t="n"/>
      <c r="BN1304" s="1392" t="n"/>
      <c r="BO1304" s="1392" t="n"/>
      <c r="BP1304" s="1392" t="n"/>
      <c r="BQ1304" s="1392" t="n"/>
      <c r="BR1304" s="1392" t="n"/>
      <c r="BS1304" s="1392" t="n"/>
      <c r="BT1304" s="1392" t="n"/>
      <c r="BU1304" s="1392" t="n"/>
      <c r="BV1304" s="1392" t="n"/>
      <c r="BW1304" s="1392" t="n"/>
      <c r="BX1304" s="1392" t="n"/>
      <c r="BY1304" s="1392" t="n"/>
      <c r="BZ1304" s="1392" t="n"/>
      <c r="CA1304" s="1392" t="n"/>
      <c r="CB1304" s="1392" t="n"/>
      <c r="CC1304" s="1392" t="n"/>
      <c r="CD1304" s="1392" t="n"/>
      <c r="CE1304" s="1392" t="n"/>
      <c r="CF1304" s="1392" t="n"/>
      <c r="CG1304" s="1392" t="n"/>
      <c r="CH1304" s="1392" t="n"/>
      <c r="CI1304" s="1392" t="n"/>
      <c r="CJ1304" s="1392" t="n"/>
      <c r="CK1304" s="1392" t="n"/>
      <c r="CL1304" s="1392" t="n"/>
    </row>
    <row r="1305">
      <c r="A1305" s="5" t="inlineStr">
        <is>
          <t>.</t>
        </is>
      </c>
      <c r="B1305" s="5" t="inlineStr">
        <is>
          <t>.</t>
        </is>
      </c>
      <c r="C1305" s="1378">
        <f>IF(raw[[#This Row],[city]]="","-",IF(raw[[#This Row],[city]]="TODAY","-",C1304+1))</f>
        <v/>
      </c>
      <c r="D1305" s="1393" t="inlineStr">
        <is>
          <t>Montreal</t>
        </is>
      </c>
      <c r="E1305" s="1394" t="n">
        <v>41395</v>
      </c>
      <c r="F1305" s="1394" t="n">
        <v>41426</v>
      </c>
      <c r="G1305" s="1393" t="inlineStr">
        <is>
          <t>-</t>
        </is>
      </c>
      <c r="H1305" s="1393" t="inlineStr">
        <is>
          <t>Lasalle</t>
        </is>
      </c>
      <c r="I1305" s="1393" t="inlineStr">
        <is>
          <t>-</t>
        </is>
      </c>
      <c r="J1305" s="1393" t="inlineStr">
        <is>
          <t>-</t>
        </is>
      </c>
      <c r="K1305" s="1395">
        <f>IF(raw[[#This Row],[city]]&lt;&gt;"",_xlfn.XLOOKUP($D1305,ccc[city],ccc[prov],"-"),"-")</f>
        <v/>
      </c>
      <c r="L1305" s="1395">
        <f>IF(raw[[#This Row],[city]]&lt;&gt;"",_xlfn.XLOOKUP($D1305,ccc[city],ccc[ctry],"-"),"-")</f>
        <v/>
      </c>
      <c r="M1305" s="1395">
        <f>IF(raw[[#This Row],[city]]&lt;&gt;"",_xlfn.XLOOKUP($D1305,ccc[city],ccc[cont],"-"),"-")</f>
        <v/>
      </c>
      <c r="N1305" s="1396">
        <f>IF(raw[[#This Row],[city]]="","-",IF(raw[[#This Row],[cont]]="B",raw[[#This Row],[cont]],"W"))</f>
        <v/>
      </c>
      <c r="O1305" s="1397">
        <f>IF(raw[[#This Row],[out]]=0,0,IF(raw[[#This Row],[out]]=raw[[#This Row],[in]],0.01,raw[[#This Row],[out]]-raw[[#This Row],[in]]))</f>
        <v/>
      </c>
      <c r="P1305" s="1397">
        <f>IF(raw[[#This Row],[in]]=0,0,MONTH(raw[[#This Row],[in]]))</f>
        <v/>
      </c>
      <c r="Q1305" s="1397">
        <f>IF(raw[[#This Row],[in]]=0,0,YEAR(raw[[#This Row],[in]]))</f>
        <v/>
      </c>
      <c r="R1305" s="1397">
        <f>INT(raw[[#This Row],[yr]]/10)*10</f>
        <v/>
      </c>
      <c r="S1305" s="1395">
        <f>IF(raw[[#This Row],[city]]="","-",IF(raw[[#This Row],[city]]&lt;&gt;_xlfn.XLOOKUP(raw[[#This Row],[home]],homes[home],homes[city],"-"),1,0))</f>
        <v/>
      </c>
      <c r="T1305" s="1398" t="inlineStr">
        <is>
          <t>.</t>
        </is>
      </c>
      <c r="U1305" s="1399">
        <f>IF(raw[[#This Row],[wb]]="w",raw[[#This Row],[stay]]+U1304,U1304)</f>
        <v/>
      </c>
      <c r="V1305" s="1400">
        <f>IF(raw[[#This Row],[out]]=0,V1304,(raw[[#This Row],[out]]-E$5))</f>
        <v/>
      </c>
      <c r="W1305" s="1401">
        <f>U1305/V1305</f>
        <v/>
      </c>
      <c r="X1305" s="1392" t="n"/>
      <c r="Y1305" s="1392" t="n"/>
      <c r="Z1305" s="1392" t="n"/>
      <c r="AA1305" s="1392" t="n"/>
      <c r="AB1305" s="1392" t="n"/>
      <c r="AC1305" s="1392" t="n"/>
      <c r="AD1305" s="1392" t="n"/>
      <c r="AE1305" s="1392" t="n"/>
      <c r="AF1305" s="1392" t="n"/>
      <c r="AG1305" s="1392" t="n"/>
      <c r="AH1305" s="1392" t="n"/>
      <c r="AI1305" s="1392" t="n"/>
      <c r="AJ1305" s="1392" t="n"/>
      <c r="AK1305" s="1392" t="n"/>
      <c r="AL1305" s="1392" t="n"/>
      <c r="AM1305" s="1392" t="n"/>
      <c r="AN1305" s="1392" t="n"/>
      <c r="AO1305" s="1392" t="n"/>
      <c r="AP1305" s="1392" t="n"/>
      <c r="AQ1305" s="1392" t="n"/>
      <c r="AR1305" s="1422" t="n"/>
      <c r="AS1305" s="1422" t="n"/>
      <c r="AT1305" s="1392" t="n"/>
      <c r="AU1305" s="1392" t="n"/>
      <c r="AV1305" s="1392" t="n"/>
      <c r="AW1305" s="1392" t="n"/>
      <c r="AX1305" s="1392" t="n"/>
      <c r="AY1305" s="1392" t="n"/>
      <c r="AZ1305" s="1392" t="n"/>
      <c r="BA1305" s="1422" t="n"/>
      <c r="BB1305" s="1422" t="n"/>
      <c r="BC1305" s="1392" t="n"/>
      <c r="BD1305" s="1392" t="n"/>
      <c r="BE1305" s="1392" t="n"/>
      <c r="BF1305" s="1392" t="n"/>
      <c r="BG1305" s="1392" t="n"/>
      <c r="BH1305" s="1392" t="n"/>
      <c r="BI1305" s="1392" t="n"/>
      <c r="BJ1305" s="1392" t="n"/>
      <c r="BK1305" s="1392" t="n"/>
      <c r="BL1305" s="1392" t="n"/>
      <c r="BM1305" s="1392" t="n"/>
      <c r="BN1305" s="1392" t="n"/>
      <c r="BO1305" s="1392" t="n"/>
      <c r="BP1305" s="1392" t="n"/>
      <c r="BQ1305" s="1392" t="n"/>
      <c r="BR1305" s="1392" t="n"/>
      <c r="BS1305" s="1392" t="n"/>
      <c r="BT1305" s="1392" t="n"/>
      <c r="BU1305" s="1392" t="n"/>
      <c r="BV1305" s="1392" t="n"/>
      <c r="BW1305" s="1392" t="n"/>
      <c r="BX1305" s="1392" t="n"/>
      <c r="BY1305" s="1392" t="n"/>
      <c r="BZ1305" s="1392" t="n"/>
      <c r="CA1305" s="1392" t="n"/>
      <c r="CB1305" s="1392" t="n"/>
      <c r="CC1305" s="1392" t="n"/>
      <c r="CD1305" s="1392" t="n"/>
      <c r="CE1305" s="1392" t="n"/>
      <c r="CF1305" s="1392" t="n"/>
      <c r="CG1305" s="1392" t="n"/>
      <c r="CH1305" s="1392" t="n"/>
      <c r="CI1305" s="1392" t="n"/>
      <c r="CJ1305" s="1392" t="n"/>
      <c r="CK1305" s="1392" t="n"/>
      <c r="CL1305" s="1392" t="n"/>
    </row>
    <row r="1306">
      <c r="A1306" s="5" t="inlineStr">
        <is>
          <t>.</t>
        </is>
      </c>
      <c r="B1306" s="5" t="inlineStr">
        <is>
          <t>.</t>
        </is>
      </c>
      <c r="C1306" s="1378">
        <f>IF(raw[[#This Row],[city]]="","-",IF(raw[[#This Row],[city]]="TODAY","-",C1305+1))</f>
        <v/>
      </c>
      <c r="D1306" s="1393" t="inlineStr">
        <is>
          <t>Montreal</t>
        </is>
      </c>
      <c r="E1306" s="1394" t="n">
        <v>41426</v>
      </c>
      <c r="F1306" s="1394" t="n">
        <v>41453</v>
      </c>
      <c r="G1306" s="1393" t="inlineStr">
        <is>
          <t>-</t>
        </is>
      </c>
      <c r="H1306" s="1393" t="inlineStr">
        <is>
          <t>Lasalle</t>
        </is>
      </c>
      <c r="I1306" s="1393" t="inlineStr">
        <is>
          <t>-</t>
        </is>
      </c>
      <c r="J1306" s="1393" t="inlineStr">
        <is>
          <t>-</t>
        </is>
      </c>
      <c r="K1306" s="1395">
        <f>IF(raw[[#This Row],[city]]&lt;&gt;"",_xlfn.XLOOKUP($D1306,ccc[city],ccc[prov],"-"),"-")</f>
        <v/>
      </c>
      <c r="L1306" s="1395">
        <f>IF(raw[[#This Row],[city]]&lt;&gt;"",_xlfn.XLOOKUP($D1306,ccc[city],ccc[ctry],"-"),"-")</f>
        <v/>
      </c>
      <c r="M1306" s="1395">
        <f>IF(raw[[#This Row],[city]]&lt;&gt;"",_xlfn.XLOOKUP($D1306,ccc[city],ccc[cont],"-"),"-")</f>
        <v/>
      </c>
      <c r="N1306" s="1396">
        <f>IF(raw[[#This Row],[city]]="","-",IF(raw[[#This Row],[cont]]="B",raw[[#This Row],[cont]],"W"))</f>
        <v/>
      </c>
      <c r="O1306" s="1397">
        <f>IF(raw[[#This Row],[out]]=0,0,IF(raw[[#This Row],[out]]=raw[[#This Row],[in]],0.01,raw[[#This Row],[out]]-raw[[#This Row],[in]]))</f>
        <v/>
      </c>
      <c r="P1306" s="1397">
        <f>IF(raw[[#This Row],[in]]=0,0,MONTH(raw[[#This Row],[in]]))</f>
        <v/>
      </c>
      <c r="Q1306" s="1397">
        <f>IF(raw[[#This Row],[in]]=0,0,YEAR(raw[[#This Row],[in]]))</f>
        <v/>
      </c>
      <c r="R1306" s="1397">
        <f>INT(raw[[#This Row],[yr]]/10)*10</f>
        <v/>
      </c>
      <c r="S1306" s="1395">
        <f>IF(raw[[#This Row],[city]]="","-",IF(raw[[#This Row],[city]]&lt;&gt;_xlfn.XLOOKUP(raw[[#This Row],[home]],homes[home],homes[city],"-"),1,0))</f>
        <v/>
      </c>
      <c r="T1306" s="1398" t="inlineStr">
        <is>
          <t>.</t>
        </is>
      </c>
      <c r="U1306" s="1399">
        <f>IF(raw[[#This Row],[wb]]="w",raw[[#This Row],[stay]]+U1305,U1305)</f>
        <v/>
      </c>
      <c r="V1306" s="1400">
        <f>IF(raw[[#This Row],[out]]=0,V1305,(raw[[#This Row],[out]]-E$5))</f>
        <v/>
      </c>
      <c r="W1306" s="1401">
        <f>U1306/V1306</f>
        <v/>
      </c>
      <c r="X1306" s="1392" t="n"/>
      <c r="Y1306" s="1392" t="n"/>
      <c r="Z1306" s="1392" t="n"/>
      <c r="AA1306" s="1392" t="n"/>
      <c r="AB1306" s="1392" t="n"/>
      <c r="AC1306" s="1392" t="n"/>
      <c r="AD1306" s="1392" t="n"/>
      <c r="AE1306" s="1392" t="n"/>
      <c r="AF1306" s="1392" t="n"/>
      <c r="AG1306" s="1392" t="n"/>
      <c r="AH1306" s="1392" t="n"/>
      <c r="AI1306" s="1392" t="n"/>
      <c r="AJ1306" s="1392" t="n"/>
      <c r="AK1306" s="1392" t="n"/>
      <c r="AL1306" s="1392" t="n"/>
      <c r="AM1306" s="1392" t="n"/>
      <c r="AN1306" s="1392" t="n"/>
      <c r="AO1306" s="1392" t="n"/>
      <c r="AP1306" s="1392" t="n"/>
      <c r="AQ1306" s="1392" t="n"/>
      <c r="AR1306" s="1422" t="n"/>
      <c r="AS1306" s="1422" t="n"/>
      <c r="AT1306" s="1392" t="n"/>
      <c r="AU1306" s="1392" t="n"/>
      <c r="AV1306" s="1392" t="n"/>
      <c r="AW1306" s="1392" t="n"/>
      <c r="AX1306" s="1392" t="n"/>
      <c r="AY1306" s="1392" t="n"/>
      <c r="AZ1306" s="1392" t="n"/>
      <c r="BA1306" s="1422" t="n"/>
      <c r="BB1306" s="1422" t="n"/>
      <c r="BC1306" s="1392" t="n"/>
      <c r="BD1306" s="1392" t="n"/>
      <c r="BE1306" s="1392" t="n"/>
      <c r="BF1306" s="1392" t="n"/>
      <c r="BG1306" s="1392" t="n"/>
      <c r="BH1306" s="1392" t="n"/>
      <c r="BI1306" s="1392" t="n"/>
      <c r="BJ1306" s="1392" t="n"/>
      <c r="BK1306" s="1392" t="n"/>
      <c r="BL1306" s="1392" t="n"/>
      <c r="BM1306" s="1392" t="n"/>
      <c r="BN1306" s="1392" t="n"/>
      <c r="BO1306" s="1392" t="n"/>
      <c r="BP1306" s="1392" t="n"/>
      <c r="BQ1306" s="1392" t="n"/>
      <c r="BR1306" s="1392" t="n"/>
      <c r="BS1306" s="1392" t="n"/>
      <c r="BT1306" s="1392" t="n"/>
      <c r="BU1306" s="1392" t="n"/>
      <c r="BV1306" s="1392" t="n"/>
      <c r="BW1306" s="1392" t="n"/>
      <c r="BX1306" s="1392" t="n"/>
      <c r="BY1306" s="1392" t="n"/>
      <c r="BZ1306" s="1392" t="n"/>
      <c r="CA1306" s="1392" t="n"/>
      <c r="CB1306" s="1392" t="n"/>
      <c r="CC1306" s="1392" t="n"/>
      <c r="CD1306" s="1392" t="n"/>
      <c r="CE1306" s="1392" t="n"/>
      <c r="CF1306" s="1392" t="n"/>
      <c r="CG1306" s="1392" t="n"/>
      <c r="CH1306" s="1392" t="n"/>
      <c r="CI1306" s="1392" t="n"/>
      <c r="CJ1306" s="1392" t="n"/>
      <c r="CK1306" s="1392" t="n"/>
      <c r="CL1306" s="1392" t="n"/>
    </row>
    <row r="1307">
      <c r="A1307" s="5" t="inlineStr">
        <is>
          <t>.</t>
        </is>
      </c>
      <c r="B1307" s="5" t="inlineStr">
        <is>
          <t>.</t>
        </is>
      </c>
      <c r="C1307" s="1378">
        <f>IF(raw[[#This Row],[city]]="","-",IF(raw[[#This Row],[city]]="TODAY","-",C1306+1))</f>
        <v/>
      </c>
      <c r="D1307" s="1393" t="inlineStr">
        <is>
          <t>Montreal</t>
        </is>
      </c>
      <c r="E1307" s="1394" t="n">
        <v>41453</v>
      </c>
      <c r="F1307" s="1394" t="n">
        <v>41456</v>
      </c>
      <c r="G1307" s="1393" t="inlineStr">
        <is>
          <t>-</t>
        </is>
      </c>
      <c r="H1307" s="1393" t="inlineStr">
        <is>
          <t>Beatty</t>
        </is>
      </c>
      <c r="I1307" s="1393" t="inlineStr">
        <is>
          <t>-</t>
        </is>
      </c>
      <c r="J1307" s="1393" t="inlineStr">
        <is>
          <t>-</t>
        </is>
      </c>
      <c r="K1307" s="1395">
        <f>IF(raw[[#This Row],[city]]&lt;&gt;"",_xlfn.XLOOKUP($D1307,ccc[city],ccc[prov],"-"),"-")</f>
        <v/>
      </c>
      <c r="L1307" s="1395">
        <f>IF(raw[[#This Row],[city]]&lt;&gt;"",_xlfn.XLOOKUP($D1307,ccc[city],ccc[ctry],"-"),"-")</f>
        <v/>
      </c>
      <c r="M1307" s="1395">
        <f>IF(raw[[#This Row],[city]]&lt;&gt;"",_xlfn.XLOOKUP($D1307,ccc[city],ccc[cont],"-"),"-")</f>
        <v/>
      </c>
      <c r="N1307" s="1396">
        <f>IF(raw[[#This Row],[city]]="","-",IF(raw[[#This Row],[cont]]="B",raw[[#This Row],[cont]],"W"))</f>
        <v/>
      </c>
      <c r="O1307" s="1397">
        <f>IF(raw[[#This Row],[out]]=0,0,IF(raw[[#This Row],[out]]=raw[[#This Row],[in]],0.01,raw[[#This Row],[out]]-raw[[#This Row],[in]]))</f>
        <v/>
      </c>
      <c r="P1307" s="1397">
        <f>IF(raw[[#This Row],[in]]=0,0,MONTH(raw[[#This Row],[in]]))</f>
        <v/>
      </c>
      <c r="Q1307" s="1397">
        <f>IF(raw[[#This Row],[in]]=0,0,YEAR(raw[[#This Row],[in]]))</f>
        <v/>
      </c>
      <c r="R1307" s="1397">
        <f>INT(raw[[#This Row],[yr]]/10)*10</f>
        <v/>
      </c>
      <c r="S1307" s="1395">
        <f>IF(raw[[#This Row],[city]]="","-",IF(raw[[#This Row],[city]]&lt;&gt;_xlfn.XLOOKUP(raw[[#This Row],[home]],homes[home],homes[city],"-"),1,0))</f>
        <v/>
      </c>
      <c r="T1307" s="1398" t="inlineStr">
        <is>
          <t>.</t>
        </is>
      </c>
      <c r="U1307" s="1399">
        <f>IF(raw[[#This Row],[wb]]="w",raw[[#This Row],[stay]]+U1306,U1306)</f>
        <v/>
      </c>
      <c r="V1307" s="1400">
        <f>IF(raw[[#This Row],[out]]=0,V1306,(raw[[#This Row],[out]]-E$5))</f>
        <v/>
      </c>
      <c r="W1307" s="1401">
        <f>U1307/V1307</f>
        <v/>
      </c>
      <c r="X1307" s="1392" t="n"/>
      <c r="Y1307" s="1392" t="n"/>
      <c r="Z1307" s="1392" t="n"/>
      <c r="AA1307" s="1392" t="n"/>
      <c r="AB1307" s="1392" t="n"/>
      <c r="AC1307" s="1392" t="n"/>
      <c r="AD1307" s="1392" t="n"/>
      <c r="AE1307" s="1392" t="n"/>
      <c r="AF1307" s="1392" t="n"/>
      <c r="AG1307" s="1392" t="n"/>
      <c r="AH1307" s="1392" t="n"/>
      <c r="AI1307" s="1392" t="n"/>
      <c r="AJ1307" s="1392" t="n"/>
      <c r="AK1307" s="1392" t="n"/>
      <c r="AL1307" s="1392" t="n"/>
      <c r="AM1307" s="1392" t="n"/>
      <c r="AN1307" s="1392" t="n"/>
      <c r="AO1307" s="1392" t="n"/>
      <c r="AP1307" s="1392" t="n"/>
      <c r="AQ1307" s="1392" t="n"/>
      <c r="AR1307" s="1422" t="n"/>
      <c r="AS1307" s="1422" t="n"/>
      <c r="AT1307" s="1392" t="n"/>
      <c r="AU1307" s="1392" t="n"/>
      <c r="AV1307" s="1392" t="n"/>
      <c r="AW1307" s="1392" t="n"/>
      <c r="AX1307" s="1392" t="n"/>
      <c r="AY1307" s="1392" t="n"/>
      <c r="AZ1307" s="1392" t="n"/>
      <c r="BA1307" s="1422" t="n"/>
      <c r="BB1307" s="1422" t="n"/>
      <c r="BC1307" s="1392" t="n"/>
      <c r="BD1307" s="1392" t="n"/>
      <c r="BE1307" s="1392" t="n"/>
      <c r="BF1307" s="1392" t="n"/>
      <c r="BG1307" s="1392" t="n"/>
      <c r="BH1307" s="1392" t="n"/>
      <c r="BI1307" s="1392" t="n"/>
      <c r="BJ1307" s="1392" t="n"/>
      <c r="BK1307" s="1392" t="n"/>
      <c r="BL1307" s="1392" t="n"/>
      <c r="BM1307" s="1392" t="n"/>
      <c r="BN1307" s="1392" t="n"/>
      <c r="BO1307" s="1392" t="n"/>
      <c r="BP1307" s="1392" t="n"/>
      <c r="BQ1307" s="1392" t="n"/>
      <c r="BR1307" s="1392" t="n"/>
      <c r="BS1307" s="1392" t="n"/>
      <c r="BT1307" s="1392" t="n"/>
      <c r="BU1307" s="1392" t="n"/>
      <c r="BV1307" s="1392" t="n"/>
      <c r="BW1307" s="1392" t="n"/>
      <c r="BX1307" s="1392" t="n"/>
      <c r="BY1307" s="1392" t="n"/>
      <c r="BZ1307" s="1392" t="n"/>
      <c r="CA1307" s="1392" t="n"/>
      <c r="CB1307" s="1392" t="n"/>
      <c r="CC1307" s="1392" t="n"/>
      <c r="CD1307" s="1392" t="n"/>
      <c r="CE1307" s="1392" t="n"/>
      <c r="CF1307" s="1392" t="n"/>
      <c r="CG1307" s="1392" t="n"/>
      <c r="CH1307" s="1392" t="n"/>
      <c r="CI1307" s="1392" t="n"/>
      <c r="CJ1307" s="1392" t="n"/>
      <c r="CK1307" s="1392" t="n"/>
      <c r="CL1307" s="1392" t="n"/>
    </row>
    <row r="1308">
      <c r="A1308" s="5" t="inlineStr">
        <is>
          <t>.</t>
        </is>
      </c>
      <c r="B1308" s="5" t="inlineStr">
        <is>
          <t>.</t>
        </is>
      </c>
      <c r="C1308" s="1378">
        <f>IF(raw[[#This Row],[city]]="","-",IF(raw[[#This Row],[city]]="TODAY","-",C1307+1))</f>
        <v/>
      </c>
      <c r="D1308" s="1393" t="inlineStr">
        <is>
          <t>Montreal</t>
        </is>
      </c>
      <c r="E1308" s="1394" t="n">
        <v>41456</v>
      </c>
      <c r="F1308" s="1394" t="n">
        <v>41477</v>
      </c>
      <c r="G1308" s="1393" t="inlineStr">
        <is>
          <t>-</t>
        </is>
      </c>
      <c r="H1308" s="1393" t="inlineStr">
        <is>
          <t>Beatty</t>
        </is>
      </c>
      <c r="I1308" s="1393" t="inlineStr">
        <is>
          <t>-</t>
        </is>
      </c>
      <c r="J1308" s="1393" t="inlineStr">
        <is>
          <t>-</t>
        </is>
      </c>
      <c r="K1308" s="1395">
        <f>IF(raw[[#This Row],[city]]&lt;&gt;"",_xlfn.XLOOKUP($D1308,ccc[city],ccc[prov],"-"),"-")</f>
        <v/>
      </c>
      <c r="L1308" s="1395">
        <f>IF(raw[[#This Row],[city]]&lt;&gt;"",_xlfn.XLOOKUP($D1308,ccc[city],ccc[ctry],"-"),"-")</f>
        <v/>
      </c>
      <c r="M1308" s="1395">
        <f>IF(raw[[#This Row],[city]]&lt;&gt;"",_xlfn.XLOOKUP($D1308,ccc[city],ccc[cont],"-"),"-")</f>
        <v/>
      </c>
      <c r="N1308" s="1396">
        <f>IF(raw[[#This Row],[city]]="","-",IF(raw[[#This Row],[cont]]="B",raw[[#This Row],[cont]],"W"))</f>
        <v/>
      </c>
      <c r="O1308" s="1397">
        <f>IF(raw[[#This Row],[out]]=0,0,IF(raw[[#This Row],[out]]=raw[[#This Row],[in]],0.01,raw[[#This Row],[out]]-raw[[#This Row],[in]]))</f>
        <v/>
      </c>
      <c r="P1308" s="1397">
        <f>IF(raw[[#This Row],[in]]=0,0,MONTH(raw[[#This Row],[in]]))</f>
        <v/>
      </c>
      <c r="Q1308" s="1397">
        <f>IF(raw[[#This Row],[in]]=0,0,YEAR(raw[[#This Row],[in]]))</f>
        <v/>
      </c>
      <c r="R1308" s="1397">
        <f>INT(raw[[#This Row],[yr]]/10)*10</f>
        <v/>
      </c>
      <c r="S1308" s="1395">
        <f>IF(raw[[#This Row],[city]]="","-",IF(raw[[#This Row],[city]]&lt;&gt;_xlfn.XLOOKUP(raw[[#This Row],[home]],homes[home],homes[city],"-"),1,0))</f>
        <v/>
      </c>
      <c r="T1308" s="1398" t="inlineStr">
        <is>
          <t>.</t>
        </is>
      </c>
      <c r="U1308" s="1399">
        <f>IF(raw[[#This Row],[wb]]="w",raw[[#This Row],[stay]]+U1307,U1307)</f>
        <v/>
      </c>
      <c r="V1308" s="1400">
        <f>IF(raw[[#This Row],[out]]=0,V1307,(raw[[#This Row],[out]]-E$5))</f>
        <v/>
      </c>
      <c r="W1308" s="1401">
        <f>U1308/V1308</f>
        <v/>
      </c>
      <c r="X1308" s="1392" t="n"/>
      <c r="Y1308" s="1392" t="n"/>
      <c r="Z1308" s="1392" t="n"/>
      <c r="AA1308" s="1392" t="n"/>
      <c r="AB1308" s="1392" t="n"/>
      <c r="AC1308" s="1392" t="n"/>
      <c r="AD1308" s="1392" t="n"/>
      <c r="AE1308" s="1392" t="n"/>
      <c r="AF1308" s="1392" t="n"/>
      <c r="AG1308" s="1392" t="n"/>
      <c r="AH1308" s="1392" t="n"/>
      <c r="AI1308" s="1392" t="n"/>
      <c r="AJ1308" s="1392" t="n"/>
      <c r="AK1308" s="1392" t="n"/>
      <c r="AL1308" s="1392" t="n"/>
      <c r="AM1308" s="1392" t="n"/>
      <c r="AN1308" s="1392" t="n"/>
      <c r="AO1308" s="1392" t="n"/>
      <c r="AP1308" s="1392" t="n"/>
      <c r="AQ1308" s="1392" t="n"/>
      <c r="AR1308" s="1422" t="n"/>
      <c r="AS1308" s="1422" t="n"/>
      <c r="AT1308" s="1392" t="n"/>
      <c r="AU1308" s="1392" t="n"/>
      <c r="AV1308" s="1392" t="n"/>
      <c r="AW1308" s="1392" t="n"/>
      <c r="AX1308" s="1392" t="n"/>
      <c r="AY1308" s="1392" t="n"/>
      <c r="AZ1308" s="1392" t="n"/>
      <c r="BA1308" s="1422" t="n"/>
      <c r="BB1308" s="1422" t="n"/>
      <c r="BC1308" s="1392" t="n"/>
      <c r="BD1308" s="1392" t="n"/>
      <c r="BE1308" s="1392" t="n"/>
      <c r="BF1308" s="1392" t="n"/>
      <c r="BG1308" s="1392" t="n"/>
      <c r="BH1308" s="1392" t="n"/>
      <c r="BI1308" s="1392" t="n"/>
      <c r="BJ1308" s="1392" t="n"/>
      <c r="BK1308" s="1392" t="n"/>
      <c r="BL1308" s="1392" t="n"/>
      <c r="BM1308" s="1392" t="n"/>
      <c r="BN1308" s="1392" t="n"/>
      <c r="BO1308" s="1392" t="n"/>
      <c r="BP1308" s="1392" t="n"/>
      <c r="BQ1308" s="1392" t="n"/>
      <c r="BR1308" s="1392" t="n"/>
      <c r="BS1308" s="1392" t="n"/>
      <c r="BT1308" s="1392" t="n"/>
      <c r="BU1308" s="1392" t="n"/>
      <c r="BV1308" s="1392" t="n"/>
      <c r="BW1308" s="1392" t="n"/>
      <c r="BX1308" s="1392" t="n"/>
      <c r="BY1308" s="1392" t="n"/>
      <c r="BZ1308" s="1392" t="n"/>
      <c r="CA1308" s="1392" t="n"/>
      <c r="CB1308" s="1392" t="n"/>
      <c r="CC1308" s="1392" t="n"/>
      <c r="CD1308" s="1392" t="n"/>
      <c r="CE1308" s="1392" t="n"/>
      <c r="CF1308" s="1392" t="n"/>
      <c r="CG1308" s="1392" t="n"/>
      <c r="CH1308" s="1392" t="n"/>
      <c r="CI1308" s="1392" t="n"/>
      <c r="CJ1308" s="1392" t="n"/>
      <c r="CK1308" s="1392" t="n"/>
      <c r="CL1308" s="1392" t="n"/>
    </row>
    <row r="1309">
      <c r="A1309" s="5" t="inlineStr">
        <is>
          <t>.</t>
        </is>
      </c>
      <c r="B1309" s="5" t="inlineStr">
        <is>
          <t>.</t>
        </is>
      </c>
      <c r="C1309" s="1378">
        <f>IF(raw[[#This Row],[city]]="","-",IF(raw[[#This Row],[city]]="TODAY","-",C1308+1))</f>
        <v/>
      </c>
      <c r="D1309" s="1393" t="inlineStr">
        <is>
          <t>Quebec City</t>
        </is>
      </c>
      <c r="E1309" s="1394" t="n">
        <v>41477</v>
      </c>
      <c r="F1309" s="1394" t="n">
        <v>41478</v>
      </c>
      <c r="G1309" s="1393" t="inlineStr">
        <is>
          <t>-</t>
        </is>
      </c>
      <c r="H1309" s="1393" t="inlineStr">
        <is>
          <t>Beatty</t>
        </is>
      </c>
      <c r="I1309" s="1393" t="inlineStr">
        <is>
          <t>-</t>
        </is>
      </c>
      <c r="J1309" s="1393" t="inlineStr">
        <is>
          <t>-</t>
        </is>
      </c>
      <c r="K1309" s="1395">
        <f>IF(raw[[#This Row],[city]]&lt;&gt;"",_xlfn.XLOOKUP($D1309,ccc[city],ccc[prov],"-"),"-")</f>
        <v/>
      </c>
      <c r="L1309" s="1395">
        <f>IF(raw[[#This Row],[city]]&lt;&gt;"",_xlfn.XLOOKUP($D1309,ccc[city],ccc[ctry],"-"),"-")</f>
        <v/>
      </c>
      <c r="M1309" s="1395">
        <f>IF(raw[[#This Row],[city]]&lt;&gt;"",_xlfn.XLOOKUP($D1309,ccc[city],ccc[cont],"-"),"-")</f>
        <v/>
      </c>
      <c r="N1309" s="1396">
        <f>IF(raw[[#This Row],[city]]="","-",IF(raw[[#This Row],[cont]]="B",raw[[#This Row],[cont]],"W"))</f>
        <v/>
      </c>
      <c r="O1309" s="1397">
        <f>IF(raw[[#This Row],[out]]=0,0,IF(raw[[#This Row],[out]]=raw[[#This Row],[in]],0.01,raw[[#This Row],[out]]-raw[[#This Row],[in]]))</f>
        <v/>
      </c>
      <c r="P1309" s="1397">
        <f>IF(raw[[#This Row],[in]]=0,0,MONTH(raw[[#This Row],[in]]))</f>
        <v/>
      </c>
      <c r="Q1309" s="1397">
        <f>IF(raw[[#This Row],[in]]=0,0,YEAR(raw[[#This Row],[in]]))</f>
        <v/>
      </c>
      <c r="R1309" s="1397">
        <f>INT(raw[[#This Row],[yr]]/10)*10</f>
        <v/>
      </c>
      <c r="S1309" s="1395">
        <f>IF(raw[[#This Row],[city]]="","-",IF(raw[[#This Row],[city]]&lt;&gt;_xlfn.XLOOKUP(raw[[#This Row],[home]],homes[home],homes[city],"-"),1,0))</f>
        <v/>
      </c>
      <c r="T1309" s="1398" t="inlineStr">
        <is>
          <t>.</t>
        </is>
      </c>
      <c r="U1309" s="1399">
        <f>IF(raw[[#This Row],[wb]]="w",raw[[#This Row],[stay]]+U1308,U1308)</f>
        <v/>
      </c>
      <c r="V1309" s="1400">
        <f>IF(raw[[#This Row],[out]]=0,V1308,(raw[[#This Row],[out]]-E$5))</f>
        <v/>
      </c>
      <c r="W1309" s="1401">
        <f>U1309/V1309</f>
        <v/>
      </c>
      <c r="X1309" s="1392" t="n"/>
      <c r="Y1309" s="1392" t="n"/>
      <c r="Z1309" s="1392" t="n"/>
      <c r="AA1309" s="1392" t="n"/>
      <c r="AB1309" s="1392" t="n"/>
      <c r="AC1309" s="1392" t="n"/>
      <c r="AD1309" s="1392" t="n"/>
      <c r="AE1309" s="1392" t="n"/>
      <c r="AF1309" s="1392" t="n"/>
      <c r="AG1309" s="1392" t="n"/>
      <c r="AH1309" s="1392" t="n"/>
      <c r="AI1309" s="1392" t="n"/>
      <c r="AJ1309" s="1392" t="n"/>
      <c r="AK1309" s="1392" t="n"/>
      <c r="AL1309" s="1392" t="n"/>
      <c r="AM1309" s="1392" t="n"/>
      <c r="AN1309" s="1392" t="n"/>
      <c r="AO1309" s="1392" t="n"/>
      <c r="AP1309" s="1392" t="n"/>
      <c r="AQ1309" s="1392" t="n"/>
      <c r="AR1309" s="1422" t="n"/>
      <c r="AS1309" s="1422" t="n"/>
      <c r="AT1309" s="1392" t="n"/>
      <c r="AU1309" s="1392" t="n"/>
      <c r="AV1309" s="1392" t="n"/>
      <c r="AW1309" s="1392" t="n"/>
      <c r="AX1309" s="1392" t="n"/>
      <c r="AY1309" s="1392" t="n"/>
      <c r="AZ1309" s="1392" t="n"/>
      <c r="BA1309" s="1422" t="n"/>
      <c r="BB1309" s="1422" t="n"/>
      <c r="BC1309" s="1392" t="n"/>
      <c r="BD1309" s="1392" t="n"/>
      <c r="BE1309" s="1392" t="n"/>
      <c r="BF1309" s="1392" t="n"/>
      <c r="BG1309" s="1392" t="n"/>
      <c r="BH1309" s="1392" t="n"/>
      <c r="BI1309" s="1392" t="n"/>
      <c r="BJ1309" s="1392" t="n"/>
      <c r="BK1309" s="1392" t="n"/>
      <c r="BL1309" s="1392" t="n"/>
      <c r="BM1309" s="1392" t="n"/>
      <c r="BN1309" s="1392" t="n"/>
      <c r="BO1309" s="1392" t="n"/>
      <c r="BP1309" s="1392" t="n"/>
      <c r="BQ1309" s="1392" t="n"/>
      <c r="BR1309" s="1392" t="n"/>
      <c r="BS1309" s="1392" t="n"/>
      <c r="BT1309" s="1392" t="n"/>
      <c r="BU1309" s="1392" t="n"/>
      <c r="BV1309" s="1392" t="n"/>
      <c r="BW1309" s="1392" t="n"/>
      <c r="BX1309" s="1392" t="n"/>
      <c r="BY1309" s="1392" t="n"/>
      <c r="BZ1309" s="1392" t="n"/>
      <c r="CA1309" s="1392" t="n"/>
      <c r="CB1309" s="1392" t="n"/>
      <c r="CC1309" s="1392" t="n"/>
      <c r="CD1309" s="1392" t="n"/>
      <c r="CE1309" s="1392" t="n"/>
      <c r="CF1309" s="1392" t="n"/>
      <c r="CG1309" s="1392" t="n"/>
      <c r="CH1309" s="1392" t="n"/>
      <c r="CI1309" s="1392" t="n"/>
      <c r="CJ1309" s="1392" t="n"/>
      <c r="CK1309" s="1392" t="n"/>
      <c r="CL1309" s="1392" t="n"/>
    </row>
    <row r="1310">
      <c r="A1310" s="5" t="inlineStr">
        <is>
          <t>.</t>
        </is>
      </c>
      <c r="B1310" s="5" t="inlineStr">
        <is>
          <t>.</t>
        </is>
      </c>
      <c r="C1310" s="1378">
        <f>IF(raw[[#This Row],[city]]="","-",IF(raw[[#This Row],[city]]="TODAY","-",C1309+1))</f>
        <v/>
      </c>
      <c r="D1310" s="1393" t="inlineStr">
        <is>
          <t>Montreal</t>
        </is>
      </c>
      <c r="E1310" s="1394" t="n">
        <v>41478</v>
      </c>
      <c r="F1310" s="1394" t="n">
        <v>41487</v>
      </c>
      <c r="G1310" s="1393" t="inlineStr">
        <is>
          <t>-</t>
        </is>
      </c>
      <c r="H1310" s="1393" t="inlineStr">
        <is>
          <t>Beatty</t>
        </is>
      </c>
      <c r="I1310" s="1393" t="inlineStr">
        <is>
          <t>-</t>
        </is>
      </c>
      <c r="J1310" s="1393" t="inlineStr">
        <is>
          <t>-</t>
        </is>
      </c>
      <c r="K1310" s="1395">
        <f>IF(raw[[#This Row],[city]]&lt;&gt;"",_xlfn.XLOOKUP($D1310,ccc[city],ccc[prov],"-"),"-")</f>
        <v/>
      </c>
      <c r="L1310" s="1395">
        <f>IF(raw[[#This Row],[city]]&lt;&gt;"",_xlfn.XLOOKUP($D1310,ccc[city],ccc[ctry],"-"),"-")</f>
        <v/>
      </c>
      <c r="M1310" s="1395">
        <f>IF(raw[[#This Row],[city]]&lt;&gt;"",_xlfn.XLOOKUP($D1310,ccc[city],ccc[cont],"-"),"-")</f>
        <v/>
      </c>
      <c r="N1310" s="1396">
        <f>IF(raw[[#This Row],[city]]="","-",IF(raw[[#This Row],[cont]]="B",raw[[#This Row],[cont]],"W"))</f>
        <v/>
      </c>
      <c r="O1310" s="1397">
        <f>IF(raw[[#This Row],[out]]=0,0,IF(raw[[#This Row],[out]]=raw[[#This Row],[in]],0.01,raw[[#This Row],[out]]-raw[[#This Row],[in]]))</f>
        <v/>
      </c>
      <c r="P1310" s="1397">
        <f>IF(raw[[#This Row],[in]]=0,0,MONTH(raw[[#This Row],[in]]))</f>
        <v/>
      </c>
      <c r="Q1310" s="1397">
        <f>IF(raw[[#This Row],[in]]=0,0,YEAR(raw[[#This Row],[in]]))</f>
        <v/>
      </c>
      <c r="R1310" s="1397">
        <f>INT(raw[[#This Row],[yr]]/10)*10</f>
        <v/>
      </c>
      <c r="S1310" s="1395">
        <f>IF(raw[[#This Row],[city]]="","-",IF(raw[[#This Row],[city]]&lt;&gt;_xlfn.XLOOKUP(raw[[#This Row],[home]],homes[home],homes[city],"-"),1,0))</f>
        <v/>
      </c>
      <c r="T1310" s="1398" t="inlineStr">
        <is>
          <t>.</t>
        </is>
      </c>
      <c r="U1310" s="1399">
        <f>IF(raw[[#This Row],[wb]]="w",raw[[#This Row],[stay]]+U1309,U1309)</f>
        <v/>
      </c>
      <c r="V1310" s="1400">
        <f>IF(raw[[#This Row],[out]]=0,V1309,(raw[[#This Row],[out]]-E$5))</f>
        <v/>
      </c>
      <c r="W1310" s="1401">
        <f>U1310/V1310</f>
        <v/>
      </c>
      <c r="X1310" s="1392" t="n"/>
      <c r="Y1310" s="1392" t="n"/>
      <c r="Z1310" s="1392" t="n"/>
      <c r="AA1310" s="1392" t="n"/>
      <c r="AB1310" s="1392" t="n"/>
      <c r="AC1310" s="1392" t="n"/>
      <c r="AD1310" s="1392" t="n"/>
      <c r="AE1310" s="1392" t="n"/>
      <c r="AF1310" s="1392" t="n"/>
      <c r="AG1310" s="1392" t="n"/>
      <c r="AH1310" s="1392" t="n"/>
      <c r="AI1310" s="1392" t="n"/>
      <c r="AJ1310" s="1392" t="n"/>
      <c r="AK1310" s="1392" t="n"/>
      <c r="AL1310" s="1392" t="n"/>
      <c r="AM1310" s="1392" t="n"/>
      <c r="AN1310" s="1392" t="n"/>
      <c r="AO1310" s="1392" t="n"/>
      <c r="AP1310" s="1392" t="n"/>
      <c r="AQ1310" s="1392" t="n"/>
      <c r="AR1310" s="1422" t="n"/>
      <c r="AS1310" s="1422" t="n"/>
      <c r="AT1310" s="1392" t="n"/>
      <c r="AU1310" s="1392" t="n"/>
      <c r="AV1310" s="1392" t="n"/>
      <c r="AW1310" s="1392" t="n"/>
      <c r="AX1310" s="1392" t="n"/>
      <c r="AY1310" s="1392" t="n"/>
      <c r="AZ1310" s="1392" t="n"/>
      <c r="BA1310" s="1422" t="n"/>
      <c r="BB1310" s="1422" t="n"/>
      <c r="BC1310" s="1392" t="n"/>
      <c r="BD1310" s="1392" t="n"/>
      <c r="BE1310" s="1392" t="n"/>
      <c r="BF1310" s="1392" t="n"/>
      <c r="BG1310" s="1392" t="n"/>
      <c r="BH1310" s="1392" t="n"/>
      <c r="BI1310" s="1392" t="n"/>
      <c r="BJ1310" s="1392" t="n"/>
      <c r="BK1310" s="1392" t="n"/>
      <c r="BL1310" s="1392" t="n"/>
      <c r="BM1310" s="1392" t="n"/>
      <c r="BN1310" s="1392" t="n"/>
      <c r="BO1310" s="1392" t="n"/>
      <c r="BP1310" s="1392" t="n"/>
      <c r="BQ1310" s="1392" t="n"/>
      <c r="BR1310" s="1392" t="n"/>
      <c r="BS1310" s="1392" t="n"/>
      <c r="BT1310" s="1392" t="n"/>
      <c r="BU1310" s="1392" t="n"/>
      <c r="BV1310" s="1392" t="n"/>
      <c r="BW1310" s="1392" t="n"/>
      <c r="BX1310" s="1392" t="n"/>
      <c r="BY1310" s="1392" t="n"/>
      <c r="BZ1310" s="1392" t="n"/>
      <c r="CA1310" s="1392" t="n"/>
      <c r="CB1310" s="1392" t="n"/>
      <c r="CC1310" s="1392" t="n"/>
      <c r="CD1310" s="1392" t="n"/>
      <c r="CE1310" s="1392" t="n"/>
      <c r="CF1310" s="1392" t="n"/>
      <c r="CG1310" s="1392" t="n"/>
      <c r="CH1310" s="1392" t="n"/>
      <c r="CI1310" s="1392" t="n"/>
      <c r="CJ1310" s="1392" t="n"/>
      <c r="CK1310" s="1392" t="n"/>
      <c r="CL1310" s="1392" t="n"/>
    </row>
    <row r="1311">
      <c r="A1311" s="5" t="inlineStr">
        <is>
          <t>.</t>
        </is>
      </c>
      <c r="B1311" s="5" t="inlineStr">
        <is>
          <t>.</t>
        </is>
      </c>
      <c r="C1311" s="1378">
        <f>IF(raw[[#This Row],[city]]="","-",IF(raw[[#This Row],[city]]="TODAY","-",C1310+1))</f>
        <v/>
      </c>
      <c r="D1311" s="1393" t="inlineStr">
        <is>
          <t>Montreal</t>
        </is>
      </c>
      <c r="E1311" s="1394" t="n">
        <v>41487</v>
      </c>
      <c r="F1311" s="1394" t="n">
        <v>41517</v>
      </c>
      <c r="G1311" s="1393" t="inlineStr">
        <is>
          <t>-</t>
        </is>
      </c>
      <c r="H1311" s="1393" t="inlineStr">
        <is>
          <t>Beatty</t>
        </is>
      </c>
      <c r="I1311" s="1393" t="inlineStr">
        <is>
          <t>-</t>
        </is>
      </c>
      <c r="J1311" s="1393" t="inlineStr">
        <is>
          <t>BDAY</t>
        </is>
      </c>
      <c r="K1311" s="1395">
        <f>IF(raw[[#This Row],[city]]&lt;&gt;"",_xlfn.XLOOKUP($D1311,ccc[city],ccc[prov],"-"),"-")</f>
        <v/>
      </c>
      <c r="L1311" s="1395">
        <f>IF(raw[[#This Row],[city]]&lt;&gt;"",_xlfn.XLOOKUP($D1311,ccc[city],ccc[ctry],"-"),"-")</f>
        <v/>
      </c>
      <c r="M1311" s="1395">
        <f>IF(raw[[#This Row],[city]]&lt;&gt;"",_xlfn.XLOOKUP($D1311,ccc[city],ccc[cont],"-"),"-")</f>
        <v/>
      </c>
      <c r="N1311" s="1396">
        <f>IF(raw[[#This Row],[city]]="","-",IF(raw[[#This Row],[cont]]="B",raw[[#This Row],[cont]],"W"))</f>
        <v/>
      </c>
      <c r="O1311" s="1397">
        <f>IF(raw[[#This Row],[out]]=0,0,IF(raw[[#This Row],[out]]=raw[[#This Row],[in]],0.01,raw[[#This Row],[out]]-raw[[#This Row],[in]]))</f>
        <v/>
      </c>
      <c r="P1311" s="1397">
        <f>IF(raw[[#This Row],[in]]=0,0,MONTH(raw[[#This Row],[in]]))</f>
        <v/>
      </c>
      <c r="Q1311" s="1397">
        <f>IF(raw[[#This Row],[in]]=0,0,YEAR(raw[[#This Row],[in]]))</f>
        <v/>
      </c>
      <c r="R1311" s="1397">
        <f>INT(raw[[#This Row],[yr]]/10)*10</f>
        <v/>
      </c>
      <c r="S1311" s="1395">
        <f>IF(raw[[#This Row],[city]]="","-",IF(raw[[#This Row],[city]]&lt;&gt;_xlfn.XLOOKUP(raw[[#This Row],[home]],homes[home],homes[city],"-"),1,0))</f>
        <v/>
      </c>
      <c r="T1311" s="1398" t="inlineStr">
        <is>
          <t>.</t>
        </is>
      </c>
      <c r="U1311" s="1399">
        <f>IF(raw[[#This Row],[wb]]="w",raw[[#This Row],[stay]]+U1310,U1310)</f>
        <v/>
      </c>
      <c r="V1311" s="1400">
        <f>IF(raw[[#This Row],[out]]=0,V1310,(raw[[#This Row],[out]]-E$5))</f>
        <v/>
      </c>
      <c r="W1311" s="1401">
        <f>U1311/V1311</f>
        <v/>
      </c>
      <c r="X1311" s="1392" t="n"/>
      <c r="Y1311" s="1392" t="n"/>
      <c r="Z1311" s="1392" t="n"/>
      <c r="AA1311" s="1392" t="n"/>
      <c r="AB1311" s="1392" t="n"/>
      <c r="AC1311" s="1392" t="n"/>
      <c r="AD1311" s="1392" t="n"/>
      <c r="AE1311" s="1392" t="n"/>
      <c r="AF1311" s="1392" t="n"/>
      <c r="AG1311" s="1392" t="n"/>
      <c r="AH1311" s="1392" t="n"/>
      <c r="AI1311" s="1392" t="n"/>
      <c r="AJ1311" s="1392" t="n"/>
      <c r="AK1311" s="1392" t="n"/>
      <c r="AL1311" s="1392" t="n"/>
      <c r="AM1311" s="1392" t="n"/>
      <c r="AN1311" s="1392" t="n"/>
      <c r="AO1311" s="1392" t="n"/>
      <c r="AP1311" s="1392" t="n"/>
      <c r="AQ1311" s="1392" t="n"/>
      <c r="AR1311" s="1422" t="n"/>
      <c r="AS1311" s="1422" t="n"/>
      <c r="AT1311" s="1392" t="n"/>
      <c r="AU1311" s="1392" t="n"/>
      <c r="AV1311" s="1392" t="n"/>
      <c r="AW1311" s="1392" t="n"/>
      <c r="AX1311" s="1392" t="n"/>
      <c r="AY1311" s="1392" t="n"/>
      <c r="AZ1311" s="1392" t="n"/>
      <c r="BA1311" s="1422" t="n"/>
      <c r="BB1311" s="1422" t="n"/>
      <c r="BC1311" s="1392" t="n"/>
      <c r="BD1311" s="1392" t="n"/>
      <c r="BE1311" s="1392" t="n"/>
      <c r="BF1311" s="1392" t="n"/>
      <c r="BG1311" s="1392" t="n"/>
      <c r="BH1311" s="1392" t="n"/>
      <c r="BI1311" s="1392" t="n"/>
      <c r="BJ1311" s="1392" t="n"/>
      <c r="BK1311" s="1392" t="n"/>
      <c r="BL1311" s="1392" t="n"/>
      <c r="BM1311" s="1392" t="n"/>
      <c r="BN1311" s="1392" t="n"/>
      <c r="BO1311" s="1392" t="n"/>
      <c r="BP1311" s="1392" t="n"/>
      <c r="BQ1311" s="1392" t="n"/>
      <c r="BR1311" s="1392" t="n"/>
      <c r="BS1311" s="1392" t="n"/>
      <c r="BT1311" s="1392" t="n"/>
      <c r="BU1311" s="1392" t="n"/>
      <c r="BV1311" s="1392" t="n"/>
      <c r="BW1311" s="1392" t="n"/>
      <c r="BX1311" s="1392" t="n"/>
      <c r="BY1311" s="1392" t="n"/>
      <c r="BZ1311" s="1392" t="n"/>
      <c r="CA1311" s="1392" t="n"/>
      <c r="CB1311" s="1392" t="n"/>
      <c r="CC1311" s="1392" t="n"/>
      <c r="CD1311" s="1392" t="n"/>
      <c r="CE1311" s="1392" t="n"/>
      <c r="CF1311" s="1392" t="n"/>
      <c r="CG1311" s="1392" t="n"/>
      <c r="CH1311" s="1392" t="n"/>
      <c r="CI1311" s="1392" t="n"/>
      <c r="CJ1311" s="1392" t="n"/>
      <c r="CK1311" s="1392" t="n"/>
      <c r="CL1311" s="1392" t="n"/>
    </row>
    <row r="1312">
      <c r="A1312" s="5" t="inlineStr">
        <is>
          <t>.</t>
        </is>
      </c>
      <c r="B1312" s="5" t="inlineStr">
        <is>
          <t>.</t>
        </is>
      </c>
      <c r="C1312" s="1378">
        <f>IF(raw[[#This Row],[city]]="","-",IF(raw[[#This Row],[city]]="TODAY","-",C1311+1))</f>
        <v/>
      </c>
      <c r="D1312" s="1393" t="inlineStr">
        <is>
          <t>Portneuf</t>
        </is>
      </c>
      <c r="E1312" s="1394" t="n">
        <v>41517</v>
      </c>
      <c r="F1312" s="1394" t="n">
        <v>41518</v>
      </c>
      <c r="G1312" s="1393" t="inlineStr">
        <is>
          <t>-</t>
        </is>
      </c>
      <c r="H1312" s="1393" t="inlineStr">
        <is>
          <t>Beatty</t>
        </is>
      </c>
      <c r="I1312" s="1393" t="inlineStr">
        <is>
          <t>-</t>
        </is>
      </c>
      <c r="J1312" s="1393" t="inlineStr">
        <is>
          <t>-</t>
        </is>
      </c>
      <c r="K1312" s="1395">
        <f>IF(raw[[#This Row],[city]]&lt;&gt;"",_xlfn.XLOOKUP($D1312,ccc[city],ccc[prov],"-"),"-")</f>
        <v/>
      </c>
      <c r="L1312" s="1395">
        <f>IF(raw[[#This Row],[city]]&lt;&gt;"",_xlfn.XLOOKUP($D1312,ccc[city],ccc[ctry],"-"),"-")</f>
        <v/>
      </c>
      <c r="M1312" s="1395">
        <f>IF(raw[[#This Row],[city]]&lt;&gt;"",_xlfn.XLOOKUP($D1312,ccc[city],ccc[cont],"-"),"-")</f>
        <v/>
      </c>
      <c r="N1312" s="1396">
        <f>IF(raw[[#This Row],[city]]="","-",IF(raw[[#This Row],[cont]]="B",raw[[#This Row],[cont]],"W"))</f>
        <v/>
      </c>
      <c r="O1312" s="1397">
        <f>IF(raw[[#This Row],[out]]=0,0,IF(raw[[#This Row],[out]]=raw[[#This Row],[in]],0.01,raw[[#This Row],[out]]-raw[[#This Row],[in]]))</f>
        <v/>
      </c>
      <c r="P1312" s="1397">
        <f>IF(raw[[#This Row],[in]]=0,0,MONTH(raw[[#This Row],[in]]))</f>
        <v/>
      </c>
      <c r="Q1312" s="1397">
        <f>IF(raw[[#This Row],[in]]=0,0,YEAR(raw[[#This Row],[in]]))</f>
        <v/>
      </c>
      <c r="R1312" s="1397">
        <f>INT(raw[[#This Row],[yr]]/10)*10</f>
        <v/>
      </c>
      <c r="S1312" s="1395">
        <f>IF(raw[[#This Row],[city]]="","-",IF(raw[[#This Row],[city]]&lt;&gt;_xlfn.XLOOKUP(raw[[#This Row],[home]],homes[home],homes[city],"-"),1,0))</f>
        <v/>
      </c>
      <c r="T1312" s="1398" t="inlineStr">
        <is>
          <t>.</t>
        </is>
      </c>
      <c r="U1312" s="1399">
        <f>IF(raw[[#This Row],[wb]]="w",raw[[#This Row],[stay]]+U1311,U1311)</f>
        <v/>
      </c>
      <c r="V1312" s="1400">
        <f>IF(raw[[#This Row],[out]]=0,V1311,(raw[[#This Row],[out]]-E$5))</f>
        <v/>
      </c>
      <c r="W1312" s="1401">
        <f>U1312/V1312</f>
        <v/>
      </c>
      <c r="X1312" s="1392" t="n"/>
      <c r="Y1312" s="1392" t="n"/>
      <c r="Z1312" s="1392" t="n"/>
      <c r="AA1312" s="1392" t="n"/>
      <c r="AB1312" s="1392" t="n"/>
      <c r="AC1312" s="1392" t="n"/>
      <c r="AD1312" s="1392" t="n"/>
      <c r="AE1312" s="1392" t="n"/>
      <c r="AF1312" s="1392" t="n"/>
      <c r="AG1312" s="1392" t="n"/>
      <c r="AH1312" s="1392" t="n"/>
      <c r="AI1312" s="1392" t="n"/>
      <c r="AJ1312" s="1392" t="n"/>
      <c r="AK1312" s="1392" t="n"/>
      <c r="AL1312" s="1392" t="n"/>
      <c r="AM1312" s="1392" t="n"/>
      <c r="AN1312" s="1392" t="n"/>
      <c r="AO1312" s="1392" t="n"/>
      <c r="AP1312" s="1392" t="n"/>
      <c r="AQ1312" s="1392" t="n"/>
      <c r="AR1312" s="1422" t="n"/>
      <c r="AS1312" s="1422" t="n"/>
      <c r="AT1312" s="1392" t="n"/>
      <c r="AU1312" s="1392" t="n"/>
      <c r="AV1312" s="1392" t="n"/>
      <c r="AW1312" s="1392" t="n"/>
      <c r="AX1312" s="1392" t="n"/>
      <c r="AY1312" s="1392" t="n"/>
      <c r="AZ1312" s="1392" t="n"/>
      <c r="BA1312" s="1422" t="n"/>
      <c r="BB1312" s="1422" t="n"/>
      <c r="BC1312" s="1392" t="n"/>
      <c r="BD1312" s="1392" t="n"/>
      <c r="BE1312" s="1392" t="n"/>
      <c r="BF1312" s="1392" t="n"/>
      <c r="BG1312" s="1392" t="n"/>
      <c r="BH1312" s="1392" t="n"/>
      <c r="BI1312" s="1392" t="n"/>
      <c r="BJ1312" s="1392" t="n"/>
      <c r="BK1312" s="1392" t="n"/>
      <c r="BL1312" s="1392" t="n"/>
      <c r="BM1312" s="1392" t="n"/>
      <c r="BN1312" s="1392" t="n"/>
      <c r="BO1312" s="1392" t="n"/>
      <c r="BP1312" s="1392" t="n"/>
      <c r="BQ1312" s="1392" t="n"/>
      <c r="BR1312" s="1392" t="n"/>
      <c r="BS1312" s="1392" t="n"/>
      <c r="BT1312" s="1392" t="n"/>
      <c r="BU1312" s="1392" t="n"/>
      <c r="BV1312" s="1392" t="n"/>
      <c r="BW1312" s="1392" t="n"/>
      <c r="BX1312" s="1392" t="n"/>
      <c r="BY1312" s="1392" t="n"/>
      <c r="BZ1312" s="1392" t="n"/>
      <c r="CA1312" s="1392" t="n"/>
      <c r="CB1312" s="1392" t="n"/>
      <c r="CC1312" s="1392" t="n"/>
      <c r="CD1312" s="1392" t="n"/>
      <c r="CE1312" s="1392" t="n"/>
      <c r="CF1312" s="1392" t="n"/>
      <c r="CG1312" s="1392" t="n"/>
      <c r="CH1312" s="1392" t="n"/>
      <c r="CI1312" s="1392" t="n"/>
      <c r="CJ1312" s="1392" t="n"/>
      <c r="CK1312" s="1392" t="n"/>
      <c r="CL1312" s="1392" t="n"/>
    </row>
    <row r="1313">
      <c r="A1313" s="5" t="inlineStr">
        <is>
          <t>.</t>
        </is>
      </c>
      <c r="B1313" s="5" t="inlineStr">
        <is>
          <t>.</t>
        </is>
      </c>
      <c r="C1313" s="1378">
        <f>IF(raw[[#This Row],[city]]="","-",IF(raw[[#This Row],[city]]="TODAY","-",C1312+1))</f>
        <v/>
      </c>
      <c r="D1313" s="1393" t="inlineStr">
        <is>
          <t>Montreal</t>
        </is>
      </c>
      <c r="E1313" s="1394" t="n">
        <v>41518</v>
      </c>
      <c r="F1313" s="1394" t="n">
        <v>41542</v>
      </c>
      <c r="G1313" s="1393" t="inlineStr">
        <is>
          <t>-</t>
        </is>
      </c>
      <c r="H1313" s="1393" t="inlineStr">
        <is>
          <t>Beatty</t>
        </is>
      </c>
      <c r="I1313" s="1393" t="inlineStr">
        <is>
          <t>-</t>
        </is>
      </c>
      <c r="J1313" s="1393" t="inlineStr">
        <is>
          <t>-</t>
        </is>
      </c>
      <c r="K1313" s="1395">
        <f>IF(raw[[#This Row],[city]]&lt;&gt;"",_xlfn.XLOOKUP($D1313,ccc[city],ccc[prov],"-"),"-")</f>
        <v/>
      </c>
      <c r="L1313" s="1395">
        <f>IF(raw[[#This Row],[city]]&lt;&gt;"",_xlfn.XLOOKUP($D1313,ccc[city],ccc[ctry],"-"),"-")</f>
        <v/>
      </c>
      <c r="M1313" s="1395">
        <f>IF(raw[[#This Row],[city]]&lt;&gt;"",_xlfn.XLOOKUP($D1313,ccc[city],ccc[cont],"-"),"-")</f>
        <v/>
      </c>
      <c r="N1313" s="1396">
        <f>IF(raw[[#This Row],[city]]="","-",IF(raw[[#This Row],[cont]]="B",raw[[#This Row],[cont]],"W"))</f>
        <v/>
      </c>
      <c r="O1313" s="1397">
        <f>IF(raw[[#This Row],[out]]=0,0,IF(raw[[#This Row],[out]]=raw[[#This Row],[in]],0.01,raw[[#This Row],[out]]-raw[[#This Row],[in]]))</f>
        <v/>
      </c>
      <c r="P1313" s="1397">
        <f>IF(raw[[#This Row],[in]]=0,0,MONTH(raw[[#This Row],[in]]))</f>
        <v/>
      </c>
      <c r="Q1313" s="1397">
        <f>IF(raw[[#This Row],[in]]=0,0,YEAR(raw[[#This Row],[in]]))</f>
        <v/>
      </c>
      <c r="R1313" s="1397">
        <f>INT(raw[[#This Row],[yr]]/10)*10</f>
        <v/>
      </c>
      <c r="S1313" s="1395">
        <f>IF(raw[[#This Row],[city]]="","-",IF(raw[[#This Row],[city]]&lt;&gt;_xlfn.XLOOKUP(raw[[#This Row],[home]],homes[home],homes[city],"-"),1,0))</f>
        <v/>
      </c>
      <c r="T1313" s="1398" t="inlineStr">
        <is>
          <t>.</t>
        </is>
      </c>
      <c r="U1313" s="1399">
        <f>IF(raw[[#This Row],[wb]]="w",raw[[#This Row],[stay]]+U1312,U1312)</f>
        <v/>
      </c>
      <c r="V1313" s="1400">
        <f>IF(raw[[#This Row],[out]]=0,V1312,(raw[[#This Row],[out]]-E$5))</f>
        <v/>
      </c>
      <c r="W1313" s="1401">
        <f>U1313/V1313</f>
        <v/>
      </c>
      <c r="X1313" s="1392" t="n"/>
      <c r="Y1313" s="1392" t="n"/>
      <c r="Z1313" s="1392" t="n"/>
      <c r="AA1313" s="1392" t="n"/>
      <c r="AB1313" s="1392" t="n"/>
      <c r="AC1313" s="1392" t="n"/>
      <c r="AD1313" s="1392" t="n"/>
      <c r="AE1313" s="1392" t="n"/>
      <c r="AF1313" s="1392" t="n"/>
      <c r="AG1313" s="1392" t="n"/>
      <c r="AH1313" s="1392" t="n"/>
      <c r="AI1313" s="1392" t="n"/>
      <c r="AJ1313" s="1392" t="n"/>
      <c r="AK1313" s="1392" t="n"/>
      <c r="AL1313" s="1392" t="n"/>
      <c r="AM1313" s="1392" t="n"/>
      <c r="AN1313" s="1392" t="n"/>
      <c r="AO1313" s="1392" t="n"/>
      <c r="AP1313" s="1392" t="n"/>
      <c r="AQ1313" s="1392" t="n"/>
      <c r="AR1313" s="1422" t="n"/>
      <c r="AS1313" s="1422" t="n"/>
      <c r="AT1313" s="1392" t="n"/>
      <c r="AU1313" s="1392" t="n"/>
      <c r="AV1313" s="1392" t="n"/>
      <c r="AW1313" s="1392" t="n"/>
      <c r="AX1313" s="1392" t="n"/>
      <c r="AY1313" s="1392" t="n"/>
      <c r="AZ1313" s="1392" t="n"/>
      <c r="BA1313" s="1422" t="n"/>
      <c r="BB1313" s="1422" t="n"/>
      <c r="BC1313" s="1392" t="n"/>
      <c r="BD1313" s="1392" t="n"/>
      <c r="BE1313" s="1392" t="n"/>
      <c r="BF1313" s="1392" t="n"/>
      <c r="BG1313" s="1392" t="n"/>
      <c r="BH1313" s="1392" t="n"/>
      <c r="BI1313" s="1392" t="n"/>
      <c r="BJ1313" s="1392" t="n"/>
      <c r="BK1313" s="1392" t="n"/>
      <c r="BL1313" s="1392" t="n"/>
      <c r="BM1313" s="1392" t="n"/>
      <c r="BN1313" s="1392" t="n"/>
      <c r="BO1313" s="1392" t="n"/>
      <c r="BP1313" s="1392" t="n"/>
      <c r="BQ1313" s="1392" t="n"/>
      <c r="BR1313" s="1392" t="n"/>
      <c r="BS1313" s="1392" t="n"/>
      <c r="BT1313" s="1392" t="n"/>
      <c r="BU1313" s="1392" t="n"/>
      <c r="BV1313" s="1392" t="n"/>
      <c r="BW1313" s="1392" t="n"/>
      <c r="BX1313" s="1392" t="n"/>
      <c r="BY1313" s="1392" t="n"/>
      <c r="BZ1313" s="1392" t="n"/>
      <c r="CA1313" s="1392" t="n"/>
      <c r="CB1313" s="1392" t="n"/>
      <c r="CC1313" s="1392" t="n"/>
      <c r="CD1313" s="1392" t="n"/>
      <c r="CE1313" s="1392" t="n"/>
      <c r="CF1313" s="1392" t="n"/>
      <c r="CG1313" s="1392" t="n"/>
      <c r="CH1313" s="1392" t="n"/>
      <c r="CI1313" s="1392" t="n"/>
      <c r="CJ1313" s="1392" t="n"/>
      <c r="CK1313" s="1392" t="n"/>
      <c r="CL1313" s="1392" t="n"/>
    </row>
    <row r="1314">
      <c r="A1314" s="5" t="inlineStr">
        <is>
          <t>.</t>
        </is>
      </c>
      <c r="B1314" s="5" t="inlineStr">
        <is>
          <t>.</t>
        </is>
      </c>
      <c r="C1314" s="1378">
        <f>IF(raw[[#This Row],[city]]="","-",IF(raw[[#This Row],[city]]="TODAY","-",C1313+1))</f>
        <v/>
      </c>
      <c r="D1314" s="1393" t="inlineStr">
        <is>
          <t>Plattsburgh</t>
        </is>
      </c>
      <c r="E1314" s="1394" t="n">
        <v>41542</v>
      </c>
      <c r="F1314" s="1394" t="n">
        <v>41544</v>
      </c>
      <c r="G1314" s="1393" t="inlineStr">
        <is>
          <t>-</t>
        </is>
      </c>
      <c r="H1314" s="1393" t="inlineStr">
        <is>
          <t>Beatty</t>
        </is>
      </c>
      <c r="I1314" s="1393" t="inlineStr">
        <is>
          <t>-</t>
        </is>
      </c>
      <c r="J1314" s="1393" t="inlineStr">
        <is>
          <t>-</t>
        </is>
      </c>
      <c r="K1314" s="1395">
        <f>IF(raw[[#This Row],[city]]&lt;&gt;"",_xlfn.XLOOKUP($D1314,ccc[city],ccc[prov],"-"),"-")</f>
        <v/>
      </c>
      <c r="L1314" s="1395">
        <f>IF(raw[[#This Row],[city]]&lt;&gt;"",_xlfn.XLOOKUP($D1314,ccc[city],ccc[ctry],"-"),"-")</f>
        <v/>
      </c>
      <c r="M1314" s="1395">
        <f>IF(raw[[#This Row],[city]]&lt;&gt;"",_xlfn.XLOOKUP($D1314,ccc[city],ccc[cont],"-"),"-")</f>
        <v/>
      </c>
      <c r="N1314" s="1396">
        <f>IF(raw[[#This Row],[city]]="","-",IF(raw[[#This Row],[cont]]="B",raw[[#This Row],[cont]],"W"))</f>
        <v/>
      </c>
      <c r="O1314" s="1397">
        <f>IF(raw[[#This Row],[out]]=0,0,IF(raw[[#This Row],[out]]=raw[[#This Row],[in]],0.01,raw[[#This Row],[out]]-raw[[#This Row],[in]]))</f>
        <v/>
      </c>
      <c r="P1314" s="1397">
        <f>IF(raw[[#This Row],[in]]=0,0,MONTH(raw[[#This Row],[in]]))</f>
        <v/>
      </c>
      <c r="Q1314" s="1397">
        <f>IF(raw[[#This Row],[in]]=0,0,YEAR(raw[[#This Row],[in]]))</f>
        <v/>
      </c>
      <c r="R1314" s="1397">
        <f>INT(raw[[#This Row],[yr]]/10)*10</f>
        <v/>
      </c>
      <c r="S1314" s="1395">
        <f>IF(raw[[#This Row],[city]]="","-",IF(raw[[#This Row],[city]]&lt;&gt;_xlfn.XLOOKUP(raw[[#This Row],[home]],homes[home],homes[city],"-"),1,0))</f>
        <v/>
      </c>
      <c r="T1314" s="1398" t="inlineStr">
        <is>
          <t>.</t>
        </is>
      </c>
      <c r="U1314" s="1399">
        <f>IF(raw[[#This Row],[wb]]="w",raw[[#This Row],[stay]]+U1313,U1313)</f>
        <v/>
      </c>
      <c r="V1314" s="1400">
        <f>IF(raw[[#This Row],[out]]=0,V1313,(raw[[#This Row],[out]]-E$5))</f>
        <v/>
      </c>
      <c r="W1314" s="1401">
        <f>U1314/V1314</f>
        <v/>
      </c>
      <c r="X1314" s="1392" t="n"/>
      <c r="Y1314" s="1392" t="n"/>
      <c r="Z1314" s="1392" t="n"/>
      <c r="AA1314" s="1392" t="n"/>
      <c r="AB1314" s="1392" t="n"/>
      <c r="AC1314" s="1392" t="n"/>
      <c r="AD1314" s="1392" t="n"/>
      <c r="AE1314" s="1392" t="n"/>
      <c r="AF1314" s="1392" t="n"/>
      <c r="AG1314" s="1392" t="n"/>
      <c r="AH1314" s="1392" t="n"/>
      <c r="AI1314" s="1392" t="n"/>
      <c r="AJ1314" s="1392" t="n"/>
      <c r="AK1314" s="1392" t="n"/>
      <c r="AL1314" s="1392" t="n"/>
      <c r="AM1314" s="1392" t="n"/>
      <c r="AN1314" s="1392" t="n"/>
      <c r="AO1314" s="1392" t="n"/>
      <c r="AP1314" s="1392" t="n"/>
      <c r="AQ1314" s="1392" t="n"/>
      <c r="AR1314" s="1422" t="n"/>
      <c r="AS1314" s="1422" t="n"/>
      <c r="AT1314" s="1392" t="n"/>
      <c r="AU1314" s="1392" t="n"/>
      <c r="AV1314" s="1392" t="n"/>
      <c r="AW1314" s="1392" t="n"/>
      <c r="AX1314" s="1392" t="n"/>
      <c r="AY1314" s="1392" t="n"/>
      <c r="AZ1314" s="1392" t="n"/>
      <c r="BA1314" s="1422" t="n"/>
      <c r="BB1314" s="1422" t="n"/>
      <c r="BC1314" s="1392" t="n"/>
      <c r="BD1314" s="1392" t="n"/>
      <c r="BE1314" s="1392" t="n"/>
      <c r="BF1314" s="1392" t="n"/>
      <c r="BG1314" s="1392" t="n"/>
      <c r="BH1314" s="1392" t="n"/>
      <c r="BI1314" s="1392" t="n"/>
      <c r="BJ1314" s="1392" t="n"/>
      <c r="BK1314" s="1392" t="n"/>
      <c r="BL1314" s="1392" t="n"/>
      <c r="BM1314" s="1392" t="n"/>
      <c r="BN1314" s="1392" t="n"/>
      <c r="BO1314" s="1392" t="n"/>
      <c r="BP1314" s="1392" t="n"/>
      <c r="BQ1314" s="1392" t="n"/>
      <c r="BR1314" s="1392" t="n"/>
      <c r="BS1314" s="1392" t="n"/>
      <c r="BT1314" s="1392" t="n"/>
      <c r="BU1314" s="1392" t="n"/>
      <c r="BV1314" s="1392" t="n"/>
      <c r="BW1314" s="1392" t="n"/>
      <c r="BX1314" s="1392" t="n"/>
      <c r="BY1314" s="1392" t="n"/>
      <c r="BZ1314" s="1392" t="n"/>
      <c r="CA1314" s="1392" t="n"/>
      <c r="CB1314" s="1392" t="n"/>
      <c r="CC1314" s="1392" t="n"/>
      <c r="CD1314" s="1392" t="n"/>
      <c r="CE1314" s="1392" t="n"/>
      <c r="CF1314" s="1392" t="n"/>
      <c r="CG1314" s="1392" t="n"/>
      <c r="CH1314" s="1392" t="n"/>
      <c r="CI1314" s="1392" t="n"/>
      <c r="CJ1314" s="1392" t="n"/>
      <c r="CK1314" s="1392" t="n"/>
      <c r="CL1314" s="1392" t="n"/>
    </row>
    <row r="1315">
      <c r="A1315" s="5" t="inlineStr">
        <is>
          <t>.</t>
        </is>
      </c>
      <c r="B1315" s="5" t="inlineStr">
        <is>
          <t>.</t>
        </is>
      </c>
      <c r="C1315" s="1378">
        <f>IF(raw[[#This Row],[city]]="","-",IF(raw[[#This Row],[city]]="TODAY","-",C1314+1))</f>
        <v/>
      </c>
      <c r="D1315" s="1393" t="inlineStr">
        <is>
          <t>Montreal</t>
        </is>
      </c>
      <c r="E1315" s="1394" t="n">
        <v>41544</v>
      </c>
      <c r="F1315" s="1394" t="n">
        <v>41548</v>
      </c>
      <c r="G1315" s="1393" t="inlineStr">
        <is>
          <t>-</t>
        </is>
      </c>
      <c r="H1315" s="1393" t="inlineStr">
        <is>
          <t>Beatty</t>
        </is>
      </c>
      <c r="I1315" s="1393" t="inlineStr">
        <is>
          <t>-</t>
        </is>
      </c>
      <c r="J1315" s="1393" t="inlineStr">
        <is>
          <t>-</t>
        </is>
      </c>
      <c r="K1315" s="1395">
        <f>IF(raw[[#This Row],[city]]&lt;&gt;"",_xlfn.XLOOKUP($D1315,ccc[city],ccc[prov],"-"),"-")</f>
        <v/>
      </c>
      <c r="L1315" s="1395">
        <f>IF(raw[[#This Row],[city]]&lt;&gt;"",_xlfn.XLOOKUP($D1315,ccc[city],ccc[ctry],"-"),"-")</f>
        <v/>
      </c>
      <c r="M1315" s="1395">
        <f>IF(raw[[#This Row],[city]]&lt;&gt;"",_xlfn.XLOOKUP($D1315,ccc[city],ccc[cont],"-"),"-")</f>
        <v/>
      </c>
      <c r="N1315" s="1396">
        <f>IF(raw[[#This Row],[city]]="","-",IF(raw[[#This Row],[cont]]="B",raw[[#This Row],[cont]],"W"))</f>
        <v/>
      </c>
      <c r="O1315" s="1397">
        <f>IF(raw[[#This Row],[out]]=0,0,IF(raw[[#This Row],[out]]=raw[[#This Row],[in]],0.01,raw[[#This Row],[out]]-raw[[#This Row],[in]]))</f>
        <v/>
      </c>
      <c r="P1315" s="1397">
        <f>IF(raw[[#This Row],[in]]=0,0,MONTH(raw[[#This Row],[in]]))</f>
        <v/>
      </c>
      <c r="Q1315" s="1397">
        <f>IF(raw[[#This Row],[in]]=0,0,YEAR(raw[[#This Row],[in]]))</f>
        <v/>
      </c>
      <c r="R1315" s="1397">
        <f>INT(raw[[#This Row],[yr]]/10)*10</f>
        <v/>
      </c>
      <c r="S1315" s="1395">
        <f>IF(raw[[#This Row],[city]]="","-",IF(raw[[#This Row],[city]]&lt;&gt;_xlfn.XLOOKUP(raw[[#This Row],[home]],homes[home],homes[city],"-"),1,0))</f>
        <v/>
      </c>
      <c r="T1315" s="1398" t="inlineStr">
        <is>
          <t>.</t>
        </is>
      </c>
      <c r="U1315" s="1399">
        <f>IF(raw[[#This Row],[wb]]="w",raw[[#This Row],[stay]]+U1314,U1314)</f>
        <v/>
      </c>
      <c r="V1315" s="1400">
        <f>IF(raw[[#This Row],[out]]=0,V1314,(raw[[#This Row],[out]]-E$5))</f>
        <v/>
      </c>
      <c r="W1315" s="1401">
        <f>U1315/V1315</f>
        <v/>
      </c>
      <c r="X1315" s="1392" t="n"/>
      <c r="Y1315" s="1392" t="n"/>
      <c r="Z1315" s="1392" t="n"/>
      <c r="AA1315" s="1392" t="n"/>
      <c r="AB1315" s="1392" t="n"/>
      <c r="AC1315" s="1392" t="n"/>
      <c r="AD1315" s="1392" t="n"/>
      <c r="AE1315" s="1392" t="n"/>
      <c r="AF1315" s="1392" t="n"/>
      <c r="AG1315" s="1392" t="n"/>
      <c r="AH1315" s="1392" t="n"/>
      <c r="AI1315" s="1392" t="n"/>
      <c r="AJ1315" s="1392" t="n"/>
      <c r="AK1315" s="1392" t="n"/>
      <c r="AL1315" s="1392" t="n"/>
      <c r="AM1315" s="1392" t="n"/>
      <c r="AN1315" s="1392" t="n"/>
      <c r="AO1315" s="1392" t="n"/>
      <c r="AP1315" s="1392" t="n"/>
      <c r="AQ1315" s="1392" t="n"/>
      <c r="AR1315" s="1422" t="n"/>
      <c r="AS1315" s="1422" t="n"/>
      <c r="AT1315" s="1392" t="n"/>
      <c r="AU1315" s="1392" t="n"/>
      <c r="AV1315" s="1392" t="n"/>
      <c r="AW1315" s="1392" t="n"/>
      <c r="AX1315" s="1392" t="n"/>
      <c r="AY1315" s="1392" t="n"/>
      <c r="AZ1315" s="1392" t="n"/>
      <c r="BA1315" s="1422" t="n"/>
      <c r="BB1315" s="1422" t="n"/>
      <c r="BC1315" s="1392" t="n"/>
      <c r="BD1315" s="1392" t="n"/>
      <c r="BE1315" s="1392" t="n"/>
      <c r="BF1315" s="1392" t="n"/>
      <c r="BG1315" s="1392" t="n"/>
      <c r="BH1315" s="1392" t="n"/>
      <c r="BI1315" s="1392" t="n"/>
      <c r="BJ1315" s="1392" t="n"/>
      <c r="BK1315" s="1392" t="n"/>
      <c r="BL1315" s="1392" t="n"/>
      <c r="BM1315" s="1392" t="n"/>
      <c r="BN1315" s="1392" t="n"/>
      <c r="BO1315" s="1392" t="n"/>
      <c r="BP1315" s="1392" t="n"/>
      <c r="BQ1315" s="1392" t="n"/>
      <c r="BR1315" s="1392" t="n"/>
      <c r="BS1315" s="1392" t="n"/>
      <c r="BT1315" s="1392" t="n"/>
      <c r="BU1315" s="1392" t="n"/>
      <c r="BV1315" s="1392" t="n"/>
      <c r="BW1315" s="1392" t="n"/>
      <c r="BX1315" s="1392" t="n"/>
      <c r="BY1315" s="1392" t="n"/>
      <c r="BZ1315" s="1392" t="n"/>
      <c r="CA1315" s="1392" t="n"/>
      <c r="CB1315" s="1392" t="n"/>
      <c r="CC1315" s="1392" t="n"/>
      <c r="CD1315" s="1392" t="n"/>
      <c r="CE1315" s="1392" t="n"/>
      <c r="CF1315" s="1392" t="n"/>
      <c r="CG1315" s="1392" t="n"/>
      <c r="CH1315" s="1392" t="n"/>
      <c r="CI1315" s="1392" t="n"/>
      <c r="CJ1315" s="1392" t="n"/>
      <c r="CK1315" s="1392" t="n"/>
      <c r="CL1315" s="1392" t="n"/>
    </row>
    <row r="1316">
      <c r="A1316" s="5" t="inlineStr">
        <is>
          <t>.</t>
        </is>
      </c>
      <c r="B1316" s="5" t="inlineStr">
        <is>
          <t>.</t>
        </is>
      </c>
      <c r="C1316" s="1378">
        <f>IF(raw[[#This Row],[city]]="","-",IF(raw[[#This Row],[city]]="TODAY","-",C1315+1))</f>
        <v/>
      </c>
      <c r="D1316" s="1393" t="inlineStr">
        <is>
          <t>Montreal</t>
        </is>
      </c>
      <c r="E1316" s="1394" t="n">
        <v>41548</v>
      </c>
      <c r="F1316" s="1394" t="n">
        <v>41579</v>
      </c>
      <c r="G1316" s="1393" t="inlineStr">
        <is>
          <t>-</t>
        </is>
      </c>
      <c r="H1316" s="1393" t="inlineStr">
        <is>
          <t>Beatty</t>
        </is>
      </c>
      <c r="I1316" s="1393" t="inlineStr">
        <is>
          <t>-</t>
        </is>
      </c>
      <c r="J1316" s="1393" t="inlineStr">
        <is>
          <t>-</t>
        </is>
      </c>
      <c r="K1316" s="1395">
        <f>IF(raw[[#This Row],[city]]&lt;&gt;"",_xlfn.XLOOKUP($D1316,ccc[city],ccc[prov],"-"),"-")</f>
        <v/>
      </c>
      <c r="L1316" s="1395">
        <f>IF(raw[[#This Row],[city]]&lt;&gt;"",_xlfn.XLOOKUP($D1316,ccc[city],ccc[ctry],"-"),"-")</f>
        <v/>
      </c>
      <c r="M1316" s="1395">
        <f>IF(raw[[#This Row],[city]]&lt;&gt;"",_xlfn.XLOOKUP($D1316,ccc[city],ccc[cont],"-"),"-")</f>
        <v/>
      </c>
      <c r="N1316" s="1396">
        <f>IF(raw[[#This Row],[city]]="","-",IF(raw[[#This Row],[cont]]="B",raw[[#This Row],[cont]],"W"))</f>
        <v/>
      </c>
      <c r="O1316" s="1397">
        <f>IF(raw[[#This Row],[out]]=0,0,IF(raw[[#This Row],[out]]=raw[[#This Row],[in]],0.01,raw[[#This Row],[out]]-raw[[#This Row],[in]]))</f>
        <v/>
      </c>
      <c r="P1316" s="1397">
        <f>IF(raw[[#This Row],[in]]=0,0,MONTH(raw[[#This Row],[in]]))</f>
        <v/>
      </c>
      <c r="Q1316" s="1397">
        <f>IF(raw[[#This Row],[in]]=0,0,YEAR(raw[[#This Row],[in]]))</f>
        <v/>
      </c>
      <c r="R1316" s="1397">
        <f>INT(raw[[#This Row],[yr]]/10)*10</f>
        <v/>
      </c>
      <c r="S1316" s="1395">
        <f>IF(raw[[#This Row],[city]]="","-",IF(raw[[#This Row],[city]]&lt;&gt;_xlfn.XLOOKUP(raw[[#This Row],[home]],homes[home],homes[city],"-"),1,0))</f>
        <v/>
      </c>
      <c r="T1316" s="1398" t="inlineStr">
        <is>
          <t>.</t>
        </is>
      </c>
      <c r="U1316" s="1399">
        <f>IF(raw[[#This Row],[wb]]="w",raw[[#This Row],[stay]]+U1315,U1315)</f>
        <v/>
      </c>
      <c r="V1316" s="1400">
        <f>IF(raw[[#This Row],[out]]=0,V1315,(raw[[#This Row],[out]]-E$5))</f>
        <v/>
      </c>
      <c r="W1316" s="1401">
        <f>U1316/V1316</f>
        <v/>
      </c>
      <c r="X1316" s="1392" t="n"/>
      <c r="Y1316" s="1392" t="n"/>
      <c r="Z1316" s="1392" t="n"/>
      <c r="AA1316" s="1392" t="n"/>
      <c r="AB1316" s="1392" t="n"/>
      <c r="AC1316" s="1392" t="n"/>
      <c r="AD1316" s="1392" t="n"/>
      <c r="AE1316" s="1392" t="n"/>
      <c r="AF1316" s="1392" t="n"/>
      <c r="AG1316" s="1392" t="n"/>
      <c r="AH1316" s="1392" t="n"/>
      <c r="AI1316" s="1392" t="n"/>
      <c r="AJ1316" s="1392" t="n"/>
      <c r="AK1316" s="1392" t="n"/>
      <c r="AL1316" s="1392" t="n"/>
      <c r="AM1316" s="1392" t="n"/>
      <c r="AN1316" s="1392" t="n"/>
      <c r="AO1316" s="1392" t="n"/>
      <c r="AP1316" s="1392" t="n"/>
      <c r="AQ1316" s="1392" t="n"/>
      <c r="AR1316" s="1422" t="n"/>
      <c r="AS1316" s="1422" t="n"/>
      <c r="AT1316" s="1392" t="n"/>
      <c r="AU1316" s="1392" t="n"/>
      <c r="AV1316" s="1392" t="n"/>
      <c r="AW1316" s="1392" t="n"/>
      <c r="AX1316" s="1392" t="n"/>
      <c r="AY1316" s="1392" t="n"/>
      <c r="AZ1316" s="1392" t="n"/>
      <c r="BA1316" s="1422" t="n"/>
      <c r="BB1316" s="1422" t="n"/>
      <c r="BC1316" s="1392" t="n"/>
      <c r="BD1316" s="1392" t="n"/>
      <c r="BE1316" s="1392" t="n"/>
      <c r="BF1316" s="1392" t="n"/>
      <c r="BG1316" s="1392" t="n"/>
      <c r="BH1316" s="1392" t="n"/>
      <c r="BI1316" s="1392" t="n"/>
      <c r="BJ1316" s="1392" t="n"/>
      <c r="BK1316" s="1392" t="n"/>
      <c r="BL1316" s="1392" t="n"/>
      <c r="BM1316" s="1392" t="n"/>
      <c r="BN1316" s="1392" t="n"/>
      <c r="BO1316" s="1392" t="n"/>
      <c r="BP1316" s="1392" t="n"/>
      <c r="BQ1316" s="1392" t="n"/>
      <c r="BR1316" s="1392" t="n"/>
      <c r="BS1316" s="1392" t="n"/>
      <c r="BT1316" s="1392" t="n"/>
      <c r="BU1316" s="1392" t="n"/>
      <c r="BV1316" s="1392" t="n"/>
      <c r="BW1316" s="1392" t="n"/>
      <c r="BX1316" s="1392" t="n"/>
      <c r="BY1316" s="1392" t="n"/>
      <c r="BZ1316" s="1392" t="n"/>
      <c r="CA1316" s="1392" t="n"/>
      <c r="CB1316" s="1392" t="n"/>
      <c r="CC1316" s="1392" t="n"/>
      <c r="CD1316" s="1392" t="n"/>
      <c r="CE1316" s="1392" t="n"/>
      <c r="CF1316" s="1392" t="n"/>
      <c r="CG1316" s="1392" t="n"/>
      <c r="CH1316" s="1392" t="n"/>
      <c r="CI1316" s="1392" t="n"/>
      <c r="CJ1316" s="1392" t="n"/>
      <c r="CK1316" s="1392" t="n"/>
      <c r="CL1316" s="1392" t="n"/>
    </row>
    <row r="1317">
      <c r="A1317" s="5" t="inlineStr">
        <is>
          <t>.</t>
        </is>
      </c>
      <c r="B1317" s="5" t="inlineStr">
        <is>
          <t>.</t>
        </is>
      </c>
      <c r="C1317" s="1378">
        <f>IF(raw[[#This Row],[city]]="","-",IF(raw[[#This Row],[city]]="TODAY","-",C1316+1))</f>
        <v/>
      </c>
      <c r="D1317" s="1393" t="inlineStr">
        <is>
          <t>Montreal</t>
        </is>
      </c>
      <c r="E1317" s="1394" t="n">
        <v>41579</v>
      </c>
      <c r="F1317" s="1394" t="n">
        <v>41609</v>
      </c>
      <c r="G1317" s="1393" t="inlineStr">
        <is>
          <t>-</t>
        </is>
      </c>
      <c r="H1317" s="1393" t="inlineStr">
        <is>
          <t>Beatty</t>
        </is>
      </c>
      <c r="I1317" s="1393" t="inlineStr">
        <is>
          <t>-</t>
        </is>
      </c>
      <c r="J1317" s="1393" t="inlineStr">
        <is>
          <t>-</t>
        </is>
      </c>
      <c r="K1317" s="1395">
        <f>IF(raw[[#This Row],[city]]&lt;&gt;"",_xlfn.XLOOKUP($D1317,ccc[city],ccc[prov],"-"),"-")</f>
        <v/>
      </c>
      <c r="L1317" s="1395">
        <f>IF(raw[[#This Row],[city]]&lt;&gt;"",_xlfn.XLOOKUP($D1317,ccc[city],ccc[ctry],"-"),"-")</f>
        <v/>
      </c>
      <c r="M1317" s="1395">
        <f>IF(raw[[#This Row],[city]]&lt;&gt;"",_xlfn.XLOOKUP($D1317,ccc[city],ccc[cont],"-"),"-")</f>
        <v/>
      </c>
      <c r="N1317" s="1396">
        <f>IF(raw[[#This Row],[city]]="","-",IF(raw[[#This Row],[cont]]="B",raw[[#This Row],[cont]],"W"))</f>
        <v/>
      </c>
      <c r="O1317" s="1397">
        <f>IF(raw[[#This Row],[out]]=0,0,IF(raw[[#This Row],[out]]=raw[[#This Row],[in]],0.01,raw[[#This Row],[out]]-raw[[#This Row],[in]]))</f>
        <v/>
      </c>
      <c r="P1317" s="1397">
        <f>IF(raw[[#This Row],[in]]=0,0,MONTH(raw[[#This Row],[in]]))</f>
        <v/>
      </c>
      <c r="Q1317" s="1397">
        <f>IF(raw[[#This Row],[in]]=0,0,YEAR(raw[[#This Row],[in]]))</f>
        <v/>
      </c>
      <c r="R1317" s="1397">
        <f>INT(raw[[#This Row],[yr]]/10)*10</f>
        <v/>
      </c>
      <c r="S1317" s="1395">
        <f>IF(raw[[#This Row],[city]]="","-",IF(raw[[#This Row],[city]]&lt;&gt;_xlfn.XLOOKUP(raw[[#This Row],[home]],homes[home],homes[city],"-"),1,0))</f>
        <v/>
      </c>
      <c r="T1317" s="1398" t="inlineStr">
        <is>
          <t>.</t>
        </is>
      </c>
      <c r="U1317" s="1399">
        <f>IF(raw[[#This Row],[wb]]="w",raw[[#This Row],[stay]]+U1316,U1316)</f>
        <v/>
      </c>
      <c r="V1317" s="1400">
        <f>IF(raw[[#This Row],[out]]=0,V1316,(raw[[#This Row],[out]]-E$5))</f>
        <v/>
      </c>
      <c r="W1317" s="1401">
        <f>U1317/V1317</f>
        <v/>
      </c>
      <c r="X1317" s="1392" t="n"/>
      <c r="Y1317" s="1392" t="n"/>
      <c r="Z1317" s="1392" t="n"/>
      <c r="AA1317" s="1392" t="n"/>
      <c r="AB1317" s="1392" t="n"/>
      <c r="AC1317" s="1392" t="n"/>
      <c r="AD1317" s="1392" t="n"/>
      <c r="AE1317" s="1392" t="n"/>
      <c r="AF1317" s="1392" t="n"/>
      <c r="AG1317" s="1392" t="n"/>
      <c r="AH1317" s="1392" t="n"/>
      <c r="AI1317" s="1392" t="n"/>
      <c r="AJ1317" s="1392" t="n"/>
      <c r="AK1317" s="1392" t="n"/>
      <c r="AL1317" s="1392" t="n"/>
      <c r="AM1317" s="1392" t="n"/>
      <c r="AN1317" s="1392" t="n"/>
      <c r="AO1317" s="1392" t="n"/>
      <c r="AP1317" s="1392" t="n"/>
      <c r="AQ1317" s="1392" t="n"/>
      <c r="AR1317" s="1422" t="n"/>
      <c r="AS1317" s="1422" t="n"/>
      <c r="AT1317" s="1392" t="n"/>
      <c r="AU1317" s="1392" t="n"/>
      <c r="AV1317" s="1392" t="n"/>
      <c r="AW1317" s="1392" t="n"/>
      <c r="AX1317" s="1392" t="n"/>
      <c r="AY1317" s="1392" t="n"/>
      <c r="AZ1317" s="1392" t="n"/>
      <c r="BA1317" s="1422" t="n"/>
      <c r="BB1317" s="1422" t="n"/>
      <c r="BC1317" s="1392" t="n"/>
      <c r="BD1317" s="1392" t="n"/>
      <c r="BE1317" s="1392" t="n"/>
      <c r="BF1317" s="1392" t="n"/>
      <c r="BG1317" s="1392" t="n"/>
      <c r="BH1317" s="1392" t="n"/>
      <c r="BI1317" s="1392" t="n"/>
      <c r="BJ1317" s="1392" t="n"/>
      <c r="BK1317" s="1392" t="n"/>
      <c r="BL1317" s="1392" t="n"/>
      <c r="BM1317" s="1392" t="n"/>
      <c r="BN1317" s="1392" t="n"/>
      <c r="BO1317" s="1392" t="n"/>
      <c r="BP1317" s="1392" t="n"/>
      <c r="BQ1317" s="1392" t="n"/>
      <c r="BR1317" s="1392" t="n"/>
      <c r="BS1317" s="1392" t="n"/>
      <c r="BT1317" s="1392" t="n"/>
      <c r="BU1317" s="1392" t="n"/>
      <c r="BV1317" s="1392" t="n"/>
      <c r="BW1317" s="1392" t="n"/>
      <c r="BX1317" s="1392" t="n"/>
      <c r="BY1317" s="1392" t="n"/>
      <c r="BZ1317" s="1392" t="n"/>
      <c r="CA1317" s="1392" t="n"/>
      <c r="CB1317" s="1392" t="n"/>
      <c r="CC1317" s="1392" t="n"/>
      <c r="CD1317" s="1392" t="n"/>
      <c r="CE1317" s="1392" t="n"/>
      <c r="CF1317" s="1392" t="n"/>
      <c r="CG1317" s="1392" t="n"/>
      <c r="CH1317" s="1392" t="n"/>
      <c r="CI1317" s="1392" t="n"/>
      <c r="CJ1317" s="1392" t="n"/>
      <c r="CK1317" s="1392" t="n"/>
      <c r="CL1317" s="1392" t="n"/>
    </row>
    <row r="1318">
      <c r="A1318" s="5" t="inlineStr">
        <is>
          <t>.</t>
        </is>
      </c>
      <c r="B1318" s="5" t="inlineStr">
        <is>
          <t>.</t>
        </is>
      </c>
      <c r="C1318" s="1378">
        <f>IF(raw[[#This Row],[city]]="","-",IF(raw[[#This Row],[city]]="TODAY","-",C1317+1))</f>
        <v/>
      </c>
      <c r="D1318" s="1393" t="inlineStr">
        <is>
          <t>Montreal</t>
        </is>
      </c>
      <c r="E1318" s="1394" t="n">
        <v>41609</v>
      </c>
      <c r="F1318" s="1394" t="n">
        <v>41614</v>
      </c>
      <c r="G1318" s="1393" t="inlineStr">
        <is>
          <t>-</t>
        </is>
      </c>
      <c r="H1318" s="1393" t="inlineStr">
        <is>
          <t>Beatty</t>
        </is>
      </c>
      <c r="I1318" s="1393" t="inlineStr">
        <is>
          <t>-</t>
        </is>
      </c>
      <c r="J1318" s="1393" t="inlineStr">
        <is>
          <t>-</t>
        </is>
      </c>
      <c r="K1318" s="1395">
        <f>IF(raw[[#This Row],[city]]&lt;&gt;"",_xlfn.XLOOKUP($D1318,ccc[city],ccc[prov],"-"),"-")</f>
        <v/>
      </c>
      <c r="L1318" s="1395">
        <f>IF(raw[[#This Row],[city]]&lt;&gt;"",_xlfn.XLOOKUP($D1318,ccc[city],ccc[ctry],"-"),"-")</f>
        <v/>
      </c>
      <c r="M1318" s="1395">
        <f>IF(raw[[#This Row],[city]]&lt;&gt;"",_xlfn.XLOOKUP($D1318,ccc[city],ccc[cont],"-"),"-")</f>
        <v/>
      </c>
      <c r="N1318" s="1396">
        <f>IF(raw[[#This Row],[city]]="","-",IF(raw[[#This Row],[cont]]="B",raw[[#This Row],[cont]],"W"))</f>
        <v/>
      </c>
      <c r="O1318" s="1397">
        <f>IF(raw[[#This Row],[out]]=0,0,IF(raw[[#This Row],[out]]=raw[[#This Row],[in]],0.01,raw[[#This Row],[out]]-raw[[#This Row],[in]]))</f>
        <v/>
      </c>
      <c r="P1318" s="1397">
        <f>IF(raw[[#This Row],[in]]=0,0,MONTH(raw[[#This Row],[in]]))</f>
        <v/>
      </c>
      <c r="Q1318" s="1397">
        <f>IF(raw[[#This Row],[in]]=0,0,YEAR(raw[[#This Row],[in]]))</f>
        <v/>
      </c>
      <c r="R1318" s="1397">
        <f>INT(raw[[#This Row],[yr]]/10)*10</f>
        <v/>
      </c>
      <c r="S1318" s="1395">
        <f>IF(raw[[#This Row],[city]]="","-",IF(raw[[#This Row],[city]]&lt;&gt;_xlfn.XLOOKUP(raw[[#This Row],[home]],homes[home],homes[city],"-"),1,0))</f>
        <v/>
      </c>
      <c r="T1318" s="1398" t="inlineStr">
        <is>
          <t>.</t>
        </is>
      </c>
      <c r="U1318" s="1399">
        <f>IF(raw[[#This Row],[wb]]="w",raw[[#This Row],[stay]]+U1317,U1317)</f>
        <v/>
      </c>
      <c r="V1318" s="1400">
        <f>IF(raw[[#This Row],[out]]=0,V1317,(raw[[#This Row],[out]]-E$5))</f>
        <v/>
      </c>
      <c r="W1318" s="1401">
        <f>U1318/V1318</f>
        <v/>
      </c>
      <c r="X1318" s="1392" t="n"/>
      <c r="Y1318" s="1392" t="n"/>
      <c r="Z1318" s="1392" t="n"/>
      <c r="AA1318" s="1392" t="n"/>
      <c r="AB1318" s="1392" t="n"/>
      <c r="AC1318" s="1392" t="n"/>
      <c r="AD1318" s="1392" t="n"/>
      <c r="AE1318" s="1392" t="n"/>
      <c r="AF1318" s="1392" t="n"/>
      <c r="AG1318" s="1392" t="n"/>
      <c r="AH1318" s="1392" t="n"/>
      <c r="AI1318" s="1392" t="n"/>
      <c r="AJ1318" s="1392" t="n"/>
      <c r="AK1318" s="1392" t="n"/>
      <c r="AL1318" s="1392" t="n"/>
      <c r="AM1318" s="1392" t="n"/>
      <c r="AN1318" s="1392" t="n"/>
      <c r="AO1318" s="1392" t="n"/>
      <c r="AP1318" s="1392" t="n"/>
      <c r="AQ1318" s="1392" t="n"/>
      <c r="AR1318" s="1422" t="n"/>
      <c r="AS1318" s="1422" t="n"/>
      <c r="AT1318" s="1392" t="n"/>
      <c r="AU1318" s="1392" t="n"/>
      <c r="AV1318" s="1392" t="n"/>
      <c r="AW1318" s="1392" t="n"/>
      <c r="AX1318" s="1392" t="n"/>
      <c r="AY1318" s="1392" t="n"/>
      <c r="AZ1318" s="1392" t="n"/>
      <c r="BA1318" s="1422" t="n"/>
      <c r="BB1318" s="1422" t="n"/>
      <c r="BC1318" s="1392" t="n"/>
      <c r="BD1318" s="1392" t="n"/>
      <c r="BE1318" s="1392" t="n"/>
      <c r="BF1318" s="1392" t="n"/>
      <c r="BG1318" s="1392" t="n"/>
      <c r="BH1318" s="1392" t="n"/>
      <c r="BI1318" s="1392" t="n"/>
      <c r="BJ1318" s="1392" t="n"/>
      <c r="BK1318" s="1392" t="n"/>
      <c r="BL1318" s="1392" t="n"/>
      <c r="BM1318" s="1392" t="n"/>
      <c r="BN1318" s="1392" t="n"/>
      <c r="BO1318" s="1392" t="n"/>
      <c r="BP1318" s="1392" t="n"/>
      <c r="BQ1318" s="1392" t="n"/>
      <c r="BR1318" s="1392" t="n"/>
      <c r="BS1318" s="1392" t="n"/>
      <c r="BT1318" s="1392" t="n"/>
      <c r="BU1318" s="1392" t="n"/>
      <c r="BV1318" s="1392" t="n"/>
      <c r="BW1318" s="1392" t="n"/>
      <c r="BX1318" s="1392" t="n"/>
      <c r="BY1318" s="1392" t="n"/>
      <c r="BZ1318" s="1392" t="n"/>
      <c r="CA1318" s="1392" t="n"/>
      <c r="CB1318" s="1392" t="n"/>
      <c r="CC1318" s="1392" t="n"/>
      <c r="CD1318" s="1392" t="n"/>
      <c r="CE1318" s="1392" t="n"/>
      <c r="CF1318" s="1392" t="n"/>
      <c r="CG1318" s="1392" t="n"/>
      <c r="CH1318" s="1392" t="n"/>
      <c r="CI1318" s="1392" t="n"/>
      <c r="CJ1318" s="1392" t="n"/>
      <c r="CK1318" s="1392" t="n"/>
      <c r="CL1318" s="1392" t="n"/>
    </row>
    <row r="1319">
      <c r="A1319" s="5" t="inlineStr">
        <is>
          <t>.</t>
        </is>
      </c>
      <c r="B1319" s="5" t="inlineStr">
        <is>
          <t>.</t>
        </is>
      </c>
      <c r="C1319" s="1378">
        <f>IF(raw[[#This Row],[city]]="","-",IF(raw[[#This Row],[city]]="TODAY","-",C1318+1))</f>
        <v/>
      </c>
      <c r="D1319" s="1393" t="inlineStr">
        <is>
          <t>Burlington</t>
        </is>
      </c>
      <c r="E1319" s="1394" t="n">
        <v>41614</v>
      </c>
      <c r="F1319" s="1394" t="n">
        <v>41616</v>
      </c>
      <c r="G1319" s="1393" t="inlineStr">
        <is>
          <t>-</t>
        </is>
      </c>
      <c r="H1319" s="1393" t="inlineStr">
        <is>
          <t>Beatty</t>
        </is>
      </c>
      <c r="I1319" s="1393" t="inlineStr">
        <is>
          <t>-</t>
        </is>
      </c>
      <c r="J1319" s="1393" t="inlineStr">
        <is>
          <t>-</t>
        </is>
      </c>
      <c r="K1319" s="1395">
        <f>IF(raw[[#This Row],[city]]&lt;&gt;"",_xlfn.XLOOKUP($D1319,ccc[city],ccc[prov],"-"),"-")</f>
        <v/>
      </c>
      <c r="L1319" s="1395">
        <f>IF(raw[[#This Row],[city]]&lt;&gt;"",_xlfn.XLOOKUP($D1319,ccc[city],ccc[ctry],"-"),"-")</f>
        <v/>
      </c>
      <c r="M1319" s="1395">
        <f>IF(raw[[#This Row],[city]]&lt;&gt;"",_xlfn.XLOOKUP($D1319,ccc[city],ccc[cont],"-"),"-")</f>
        <v/>
      </c>
      <c r="N1319" s="1396">
        <f>IF(raw[[#This Row],[city]]="","-",IF(raw[[#This Row],[cont]]="B",raw[[#This Row],[cont]],"W"))</f>
        <v/>
      </c>
      <c r="O1319" s="1397">
        <f>IF(raw[[#This Row],[out]]=0,0,IF(raw[[#This Row],[out]]=raw[[#This Row],[in]],0.01,raw[[#This Row],[out]]-raw[[#This Row],[in]]))</f>
        <v/>
      </c>
      <c r="P1319" s="1397">
        <f>IF(raw[[#This Row],[in]]=0,0,MONTH(raw[[#This Row],[in]]))</f>
        <v/>
      </c>
      <c r="Q1319" s="1397">
        <f>IF(raw[[#This Row],[in]]=0,0,YEAR(raw[[#This Row],[in]]))</f>
        <v/>
      </c>
      <c r="R1319" s="1397">
        <f>INT(raw[[#This Row],[yr]]/10)*10</f>
        <v/>
      </c>
      <c r="S1319" s="1395">
        <f>IF(raw[[#This Row],[city]]="","-",IF(raw[[#This Row],[city]]&lt;&gt;_xlfn.XLOOKUP(raw[[#This Row],[home]],homes[home],homes[city],"-"),1,0))</f>
        <v/>
      </c>
      <c r="T1319" s="1398" t="inlineStr">
        <is>
          <t>.</t>
        </is>
      </c>
      <c r="U1319" s="1399">
        <f>IF(raw[[#This Row],[wb]]="w",raw[[#This Row],[stay]]+U1318,U1318)</f>
        <v/>
      </c>
      <c r="V1319" s="1400">
        <f>IF(raw[[#This Row],[out]]=0,V1318,(raw[[#This Row],[out]]-E$5))</f>
        <v/>
      </c>
      <c r="W1319" s="1401">
        <f>U1319/V1319</f>
        <v/>
      </c>
      <c r="X1319" s="1392" t="n"/>
      <c r="Y1319" s="1392" t="n"/>
      <c r="Z1319" s="1392" t="n"/>
      <c r="AA1319" s="1392" t="n"/>
      <c r="AB1319" s="1392" t="n"/>
      <c r="AC1319" s="1392" t="n"/>
      <c r="AD1319" s="1392" t="n"/>
      <c r="AE1319" s="1392" t="n"/>
      <c r="AF1319" s="1392" t="n"/>
      <c r="AG1319" s="1392" t="n"/>
      <c r="AH1319" s="1392" t="n"/>
      <c r="AI1319" s="1392" t="n"/>
      <c r="AJ1319" s="1392" t="n"/>
      <c r="AK1319" s="1392" t="n"/>
      <c r="AL1319" s="1392" t="n"/>
      <c r="AM1319" s="1392" t="n"/>
      <c r="AN1319" s="1392" t="n"/>
      <c r="AO1319" s="1392" t="n"/>
      <c r="AP1319" s="1392" t="n"/>
      <c r="AQ1319" s="1392" t="n"/>
      <c r="AR1319" s="1422" t="n"/>
      <c r="AS1319" s="1422" t="n"/>
      <c r="AT1319" s="1392" t="n"/>
      <c r="AU1319" s="1392" t="n"/>
      <c r="AV1319" s="1392" t="n"/>
      <c r="AW1319" s="1392" t="n"/>
      <c r="AX1319" s="1392" t="n"/>
      <c r="AY1319" s="1392" t="n"/>
      <c r="AZ1319" s="1392" t="n"/>
      <c r="BA1319" s="1422" t="n"/>
      <c r="BB1319" s="1422" t="n"/>
      <c r="BC1319" s="1392" t="n"/>
      <c r="BD1319" s="1392" t="n"/>
      <c r="BE1319" s="1392" t="n"/>
      <c r="BF1319" s="1392" t="n"/>
      <c r="BG1319" s="1392" t="n"/>
      <c r="BH1319" s="1392" t="n"/>
      <c r="BI1319" s="1392" t="n"/>
      <c r="BJ1319" s="1392" t="n"/>
      <c r="BK1319" s="1392" t="n"/>
      <c r="BL1319" s="1392" t="n"/>
      <c r="BM1319" s="1392" t="n"/>
      <c r="BN1319" s="1392" t="n"/>
      <c r="BO1319" s="1392" t="n"/>
      <c r="BP1319" s="1392" t="n"/>
      <c r="BQ1319" s="1392" t="n"/>
      <c r="BR1319" s="1392" t="n"/>
      <c r="BS1319" s="1392" t="n"/>
      <c r="BT1319" s="1392" t="n"/>
      <c r="BU1319" s="1392" t="n"/>
      <c r="BV1319" s="1392" t="n"/>
      <c r="BW1319" s="1392" t="n"/>
      <c r="BX1319" s="1392" t="n"/>
      <c r="BY1319" s="1392" t="n"/>
      <c r="BZ1319" s="1392" t="n"/>
      <c r="CA1319" s="1392" t="n"/>
      <c r="CB1319" s="1392" t="n"/>
      <c r="CC1319" s="1392" t="n"/>
      <c r="CD1319" s="1392" t="n"/>
      <c r="CE1319" s="1392" t="n"/>
      <c r="CF1319" s="1392" t="n"/>
      <c r="CG1319" s="1392" t="n"/>
      <c r="CH1319" s="1392" t="n"/>
      <c r="CI1319" s="1392" t="n"/>
      <c r="CJ1319" s="1392" t="n"/>
      <c r="CK1319" s="1392" t="n"/>
      <c r="CL1319" s="1392" t="n"/>
    </row>
    <row r="1320">
      <c r="A1320" s="5" t="inlineStr">
        <is>
          <t>.</t>
        </is>
      </c>
      <c r="B1320" s="5" t="inlineStr">
        <is>
          <t>.</t>
        </is>
      </c>
      <c r="C1320" s="1378">
        <f>IF(raw[[#This Row],[city]]="","-",IF(raw[[#This Row],[city]]="TODAY","-",C1319+1))</f>
        <v/>
      </c>
      <c r="D1320" s="1393" t="inlineStr">
        <is>
          <t>Montreal</t>
        </is>
      </c>
      <c r="E1320" s="1394" t="n">
        <v>41616</v>
      </c>
      <c r="F1320" s="1394" t="n">
        <v>41623</v>
      </c>
      <c r="G1320" s="1393" t="n">
        <v>1</v>
      </c>
      <c r="H1320" s="1393" t="inlineStr">
        <is>
          <t>Beatty</t>
        </is>
      </c>
      <c r="I1320" s="1393" t="inlineStr">
        <is>
          <t>-</t>
        </is>
      </c>
      <c r="J1320" s="1393" t="inlineStr">
        <is>
          <t>-</t>
        </is>
      </c>
      <c r="K1320" s="1395">
        <f>IF(raw[[#This Row],[city]]&lt;&gt;"",_xlfn.XLOOKUP($D1320,ccc[city],ccc[prov],"-"),"-")</f>
        <v/>
      </c>
      <c r="L1320" s="1395">
        <f>IF(raw[[#This Row],[city]]&lt;&gt;"",_xlfn.XLOOKUP($D1320,ccc[city],ccc[ctry],"-"),"-")</f>
        <v/>
      </c>
      <c r="M1320" s="1395">
        <f>IF(raw[[#This Row],[city]]&lt;&gt;"",_xlfn.XLOOKUP($D1320,ccc[city],ccc[cont],"-"),"-")</f>
        <v/>
      </c>
      <c r="N1320" s="1396">
        <f>IF(raw[[#This Row],[city]]="","-",IF(raw[[#This Row],[cont]]="B",raw[[#This Row],[cont]],"W"))</f>
        <v/>
      </c>
      <c r="O1320" s="1397">
        <f>IF(raw[[#This Row],[out]]=0,0,IF(raw[[#This Row],[out]]=raw[[#This Row],[in]],0.01,raw[[#This Row],[out]]-raw[[#This Row],[in]]))</f>
        <v/>
      </c>
      <c r="P1320" s="1397">
        <f>IF(raw[[#This Row],[in]]=0,0,MONTH(raw[[#This Row],[in]]))</f>
        <v/>
      </c>
      <c r="Q1320" s="1397">
        <f>IF(raw[[#This Row],[in]]=0,0,YEAR(raw[[#This Row],[in]]))</f>
        <v/>
      </c>
      <c r="R1320" s="1397">
        <f>INT(raw[[#This Row],[yr]]/10)*10</f>
        <v/>
      </c>
      <c r="S1320" s="1395">
        <f>IF(raw[[#This Row],[city]]="","-",IF(raw[[#This Row],[city]]&lt;&gt;_xlfn.XLOOKUP(raw[[#This Row],[home]],homes[home],homes[city],"-"),1,0))</f>
        <v/>
      </c>
      <c r="T1320" s="1398" t="inlineStr">
        <is>
          <t>.</t>
        </is>
      </c>
      <c r="U1320" s="1399">
        <f>IF(raw[[#This Row],[wb]]="w",raw[[#This Row],[stay]]+U1319,U1319)</f>
        <v/>
      </c>
      <c r="V1320" s="1400">
        <f>IF(raw[[#This Row],[out]]=0,V1319,(raw[[#This Row],[out]]-E$5))</f>
        <v/>
      </c>
      <c r="W1320" s="1401">
        <f>U1320/V1320</f>
        <v/>
      </c>
      <c r="X1320" s="1392" t="n"/>
      <c r="Y1320" s="1392" t="n"/>
      <c r="Z1320" s="1392" t="n"/>
      <c r="AA1320" s="1392" t="n"/>
      <c r="AB1320" s="1392" t="n"/>
      <c r="AC1320" s="1392" t="n"/>
      <c r="AD1320" s="1392" t="n"/>
      <c r="AE1320" s="1392" t="n"/>
      <c r="AF1320" s="1392" t="n"/>
      <c r="AG1320" s="1392" t="n"/>
      <c r="AH1320" s="1392" t="n"/>
      <c r="AI1320" s="1392" t="n"/>
      <c r="AJ1320" s="1392" t="n"/>
      <c r="AK1320" s="1392" t="n"/>
      <c r="AL1320" s="1392" t="n"/>
      <c r="AM1320" s="1392" t="n"/>
      <c r="AN1320" s="1392" t="n"/>
      <c r="AO1320" s="1392" t="n"/>
      <c r="AP1320" s="1392" t="n"/>
      <c r="AQ1320" s="1392" t="n"/>
      <c r="AR1320" s="1422" t="n"/>
      <c r="AS1320" s="1422" t="n"/>
      <c r="AT1320" s="1392" t="n"/>
      <c r="AU1320" s="1392" t="n"/>
      <c r="AV1320" s="1392" t="n"/>
      <c r="AW1320" s="1392" t="n"/>
      <c r="AX1320" s="1392" t="n"/>
      <c r="AY1320" s="1392" t="n"/>
      <c r="AZ1320" s="1392" t="n"/>
      <c r="BA1320" s="1422" t="n"/>
      <c r="BB1320" s="1422" t="n"/>
      <c r="BC1320" s="1392" t="n"/>
      <c r="BD1320" s="1392" t="n"/>
      <c r="BE1320" s="1392" t="n"/>
      <c r="BF1320" s="1392" t="n"/>
      <c r="BG1320" s="1392" t="n"/>
      <c r="BH1320" s="1392" t="n"/>
      <c r="BI1320" s="1392" t="n"/>
      <c r="BJ1320" s="1392" t="n"/>
      <c r="BK1320" s="1392" t="n"/>
      <c r="BL1320" s="1392" t="n"/>
      <c r="BM1320" s="1392" t="n"/>
      <c r="BN1320" s="1392" t="n"/>
      <c r="BO1320" s="1392" t="n"/>
      <c r="BP1320" s="1392" t="n"/>
      <c r="BQ1320" s="1392" t="n"/>
      <c r="BR1320" s="1392" t="n"/>
      <c r="BS1320" s="1392" t="n"/>
      <c r="BT1320" s="1392" t="n"/>
      <c r="BU1320" s="1392" t="n"/>
      <c r="BV1320" s="1392" t="n"/>
      <c r="BW1320" s="1392" t="n"/>
      <c r="BX1320" s="1392" t="n"/>
      <c r="BY1320" s="1392" t="n"/>
      <c r="BZ1320" s="1392" t="n"/>
      <c r="CA1320" s="1392" t="n"/>
      <c r="CB1320" s="1392" t="n"/>
      <c r="CC1320" s="1392" t="n"/>
      <c r="CD1320" s="1392" t="n"/>
      <c r="CE1320" s="1392" t="n"/>
      <c r="CF1320" s="1392" t="n"/>
      <c r="CG1320" s="1392" t="n"/>
      <c r="CH1320" s="1392" t="n"/>
      <c r="CI1320" s="1392" t="n"/>
      <c r="CJ1320" s="1392" t="n"/>
      <c r="CK1320" s="1392" t="n"/>
      <c r="CL1320" s="1392" t="n"/>
    </row>
    <row r="1321">
      <c r="A1321" s="5" t="inlineStr">
        <is>
          <t>.</t>
        </is>
      </c>
      <c r="B1321" s="5" t="inlineStr">
        <is>
          <t>.</t>
        </is>
      </c>
      <c r="C1321" s="1378">
        <f>IF(raw[[#This Row],[city]]="","-",IF(raw[[#This Row],[city]]="TODAY","-",C1320+1))</f>
        <v/>
      </c>
      <c r="D1321" s="1393" t="inlineStr">
        <is>
          <t>Miami</t>
        </is>
      </c>
      <c r="E1321" s="1394" t="n">
        <v>41623</v>
      </c>
      <c r="F1321" s="1394" t="n">
        <v>41623</v>
      </c>
      <c r="G1321" s="1393" t="n">
        <v>0.01</v>
      </c>
      <c r="H1321" s="1393" t="inlineStr">
        <is>
          <t>Beatty</t>
        </is>
      </c>
      <c r="I1321" s="1393" t="inlineStr">
        <is>
          <t>-</t>
        </is>
      </c>
      <c r="J1321" s="1393" t="inlineStr">
        <is>
          <t>-</t>
        </is>
      </c>
      <c r="K1321" s="1395">
        <f>IF(raw[[#This Row],[city]]&lt;&gt;"",_xlfn.XLOOKUP($D1321,ccc[city],ccc[prov],"-"),"-")</f>
        <v/>
      </c>
      <c r="L1321" s="1395">
        <f>IF(raw[[#This Row],[city]]&lt;&gt;"",_xlfn.XLOOKUP($D1321,ccc[city],ccc[ctry],"-"),"-")</f>
        <v/>
      </c>
      <c r="M1321" s="1395">
        <f>IF(raw[[#This Row],[city]]&lt;&gt;"",_xlfn.XLOOKUP($D1321,ccc[city],ccc[cont],"-"),"-")</f>
        <v/>
      </c>
      <c r="N1321" s="1396">
        <f>IF(raw[[#This Row],[city]]="","-",IF(raw[[#This Row],[cont]]="B",raw[[#This Row],[cont]],"W"))</f>
        <v/>
      </c>
      <c r="O1321" s="1397">
        <f>IF(raw[[#This Row],[out]]=0,0,IF(raw[[#This Row],[out]]=raw[[#This Row],[in]],0.01,raw[[#This Row],[out]]-raw[[#This Row],[in]]))</f>
        <v/>
      </c>
      <c r="P1321" s="1397">
        <f>IF(raw[[#This Row],[in]]=0,0,MONTH(raw[[#This Row],[in]]))</f>
        <v/>
      </c>
      <c r="Q1321" s="1397">
        <f>IF(raw[[#This Row],[in]]=0,0,YEAR(raw[[#This Row],[in]]))</f>
        <v/>
      </c>
      <c r="R1321" s="1397">
        <f>INT(raw[[#This Row],[yr]]/10)*10</f>
        <v/>
      </c>
      <c r="S1321" s="1395">
        <f>IF(raw[[#This Row],[city]]="","-",IF(raw[[#This Row],[city]]&lt;&gt;_xlfn.XLOOKUP(raw[[#This Row],[home]],homes[home],homes[city],"-"),1,0))</f>
        <v/>
      </c>
      <c r="T1321" s="1398" t="inlineStr">
        <is>
          <t>.</t>
        </is>
      </c>
      <c r="U1321" s="1399">
        <f>IF(raw[[#This Row],[wb]]="w",raw[[#This Row],[stay]]+U1320,U1320)</f>
        <v/>
      </c>
      <c r="V1321" s="1400">
        <f>IF(raw[[#This Row],[out]]=0,V1320,(raw[[#This Row],[out]]-E$5))</f>
        <v/>
      </c>
      <c r="W1321" s="1401">
        <f>U1321/V1321</f>
        <v/>
      </c>
      <c r="X1321" s="1392" t="n"/>
      <c r="Y1321" s="1392" t="n"/>
      <c r="Z1321" s="1392" t="n"/>
      <c r="AA1321" s="1392" t="n"/>
      <c r="AB1321" s="1392" t="n"/>
      <c r="AC1321" s="1392" t="n"/>
      <c r="AD1321" s="1392" t="n"/>
      <c r="AE1321" s="1392" t="n"/>
      <c r="AF1321" s="1392" t="n"/>
      <c r="AG1321" s="1392" t="n"/>
      <c r="AH1321" s="1392" t="n"/>
      <c r="AI1321" s="1392" t="n"/>
      <c r="AJ1321" s="1392" t="n"/>
      <c r="AK1321" s="1392" t="n"/>
      <c r="AL1321" s="1392" t="n"/>
      <c r="AM1321" s="1392" t="n"/>
      <c r="AN1321" s="1392" t="n"/>
      <c r="AO1321" s="1392" t="n"/>
      <c r="AP1321" s="1392" t="n"/>
      <c r="AQ1321" s="1392" t="n"/>
      <c r="AR1321" s="1422" t="n"/>
      <c r="AS1321" s="1422" t="n"/>
      <c r="AT1321" s="1392" t="n"/>
      <c r="AU1321" s="1392" t="n"/>
      <c r="AV1321" s="1392" t="n"/>
      <c r="AW1321" s="1392" t="n"/>
      <c r="AX1321" s="1392" t="n"/>
      <c r="AY1321" s="1392" t="n"/>
      <c r="AZ1321" s="1392" t="n"/>
      <c r="BA1321" s="1422" t="n"/>
      <c r="BB1321" s="1422" t="n"/>
      <c r="BC1321" s="1392" t="n"/>
      <c r="BD1321" s="1392" t="n"/>
      <c r="BE1321" s="1392" t="n"/>
      <c r="BF1321" s="1392" t="n"/>
      <c r="BG1321" s="1392" t="n"/>
      <c r="BH1321" s="1392" t="n"/>
      <c r="BI1321" s="1392" t="n"/>
      <c r="BJ1321" s="1392" t="n"/>
      <c r="BK1321" s="1392" t="n"/>
      <c r="BL1321" s="1392" t="n"/>
      <c r="BM1321" s="1392" t="n"/>
      <c r="BN1321" s="1392" t="n"/>
      <c r="BO1321" s="1392" t="n"/>
      <c r="BP1321" s="1392" t="n"/>
      <c r="BQ1321" s="1392" t="n"/>
      <c r="BR1321" s="1392" t="n"/>
      <c r="BS1321" s="1392" t="n"/>
      <c r="BT1321" s="1392" t="n"/>
      <c r="BU1321" s="1392" t="n"/>
      <c r="BV1321" s="1392" t="n"/>
      <c r="BW1321" s="1392" t="n"/>
      <c r="BX1321" s="1392" t="n"/>
      <c r="BY1321" s="1392" t="n"/>
      <c r="BZ1321" s="1392" t="n"/>
      <c r="CA1321" s="1392" t="n"/>
      <c r="CB1321" s="1392" t="n"/>
      <c r="CC1321" s="1392" t="n"/>
      <c r="CD1321" s="1392" t="n"/>
      <c r="CE1321" s="1392" t="n"/>
      <c r="CF1321" s="1392" t="n"/>
      <c r="CG1321" s="1392" t="n"/>
      <c r="CH1321" s="1392" t="n"/>
      <c r="CI1321" s="1392" t="n"/>
      <c r="CJ1321" s="1392" t="n"/>
      <c r="CK1321" s="1392" t="n"/>
      <c r="CL1321" s="1392" t="n"/>
    </row>
    <row r="1322">
      <c r="A1322" s="5" t="inlineStr">
        <is>
          <t>.</t>
        </is>
      </c>
      <c r="B1322" s="5" t="inlineStr">
        <is>
          <t>.</t>
        </is>
      </c>
      <c r="C1322" s="1378">
        <f>IF(raw[[#This Row],[city]]="","-",IF(raw[[#This Row],[city]]="TODAY","-",C1321+1))</f>
        <v/>
      </c>
      <c r="D1322" s="1393" t="inlineStr">
        <is>
          <t>AIR</t>
        </is>
      </c>
      <c r="E1322" s="1394" t="n">
        <v>41623</v>
      </c>
      <c r="F1322" s="1394" t="n">
        <v>41624</v>
      </c>
      <c r="G1322" s="1393" t="inlineStr">
        <is>
          <t>x</t>
        </is>
      </c>
      <c r="H1322" s="1393" t="inlineStr">
        <is>
          <t>Beatty</t>
        </is>
      </c>
      <c r="I1322" s="1393" t="inlineStr">
        <is>
          <t>-</t>
        </is>
      </c>
      <c r="J1322" s="1393" t="inlineStr">
        <is>
          <t>-</t>
        </is>
      </c>
      <c r="K1322" s="1395">
        <f>IF(raw[[#This Row],[city]]&lt;&gt;"",_xlfn.XLOOKUP($D1322,ccc[city],ccc[prov],"-"),"-")</f>
        <v/>
      </c>
      <c r="L1322" s="1395">
        <f>IF(raw[[#This Row],[city]]&lt;&gt;"",_xlfn.XLOOKUP($D1322,ccc[city],ccc[ctry],"-"),"-")</f>
        <v/>
      </c>
      <c r="M1322" s="1395">
        <f>IF(raw[[#This Row],[city]]&lt;&gt;"",_xlfn.XLOOKUP($D1322,ccc[city],ccc[cont],"-"),"-")</f>
        <v/>
      </c>
      <c r="N1322" s="1396">
        <f>IF(raw[[#This Row],[city]]="","-",IF(raw[[#This Row],[cont]]="B",raw[[#This Row],[cont]],"W"))</f>
        <v/>
      </c>
      <c r="O1322" s="1397">
        <f>IF(raw[[#This Row],[out]]=0,0,IF(raw[[#This Row],[out]]=raw[[#This Row],[in]],0.01,raw[[#This Row],[out]]-raw[[#This Row],[in]]))</f>
        <v/>
      </c>
      <c r="P1322" s="1397">
        <f>IF(raw[[#This Row],[in]]=0,0,MONTH(raw[[#This Row],[in]]))</f>
        <v/>
      </c>
      <c r="Q1322" s="1397">
        <f>IF(raw[[#This Row],[in]]=0,0,YEAR(raw[[#This Row],[in]]))</f>
        <v/>
      </c>
      <c r="R1322" s="1397">
        <f>INT(raw[[#This Row],[yr]]/10)*10</f>
        <v/>
      </c>
      <c r="S1322" s="1395">
        <f>IF(raw[[#This Row],[city]]="","-",IF(raw[[#This Row],[city]]&lt;&gt;_xlfn.XLOOKUP(raw[[#This Row],[home]],homes[home],homes[city],"-"),1,0))</f>
        <v/>
      </c>
      <c r="T1322" s="1398" t="inlineStr">
        <is>
          <t>.</t>
        </is>
      </c>
      <c r="U1322" s="1399">
        <f>IF(raw[[#This Row],[wb]]="w",raw[[#This Row],[stay]]+U1321,U1321)</f>
        <v/>
      </c>
      <c r="V1322" s="1400">
        <f>IF(raw[[#This Row],[out]]=0,V1321,(raw[[#This Row],[out]]-E$5))</f>
        <v/>
      </c>
      <c r="W1322" s="1401">
        <f>U1322/V1322</f>
        <v/>
      </c>
      <c r="X1322" s="1392" t="n"/>
      <c r="Y1322" s="1392" t="n"/>
      <c r="Z1322" s="1392" t="n"/>
      <c r="AA1322" s="1392" t="n"/>
      <c r="AB1322" s="1392" t="n"/>
      <c r="AC1322" s="1392" t="n"/>
      <c r="AD1322" s="1392" t="n"/>
      <c r="AE1322" s="1392" t="n"/>
      <c r="AF1322" s="1392" t="n"/>
      <c r="AG1322" s="1392" t="n"/>
      <c r="AH1322" s="1392" t="n"/>
      <c r="AI1322" s="1392" t="n"/>
      <c r="AJ1322" s="1392" t="n"/>
      <c r="AK1322" s="1392" t="n"/>
      <c r="AL1322" s="1392" t="n"/>
      <c r="AM1322" s="1392" t="n"/>
      <c r="AN1322" s="1392" t="n"/>
      <c r="AO1322" s="1392" t="n"/>
      <c r="AP1322" s="1392" t="n"/>
      <c r="AQ1322" s="1392" t="n"/>
      <c r="AR1322" s="1422" t="n"/>
      <c r="AS1322" s="1422" t="n"/>
      <c r="AT1322" s="1392" t="n"/>
      <c r="AU1322" s="1392" t="n"/>
      <c r="AV1322" s="1392" t="n"/>
      <c r="AW1322" s="1392" t="n"/>
      <c r="AX1322" s="1392" t="n"/>
      <c r="AY1322" s="1392" t="n"/>
      <c r="AZ1322" s="1392" t="n"/>
      <c r="BA1322" s="1422" t="n"/>
      <c r="BB1322" s="1422" t="n"/>
      <c r="BC1322" s="1392" t="n"/>
      <c r="BD1322" s="1392" t="n"/>
      <c r="BE1322" s="1392" t="n"/>
      <c r="BF1322" s="1392" t="n"/>
      <c r="BG1322" s="1392" t="n"/>
      <c r="BH1322" s="1392" t="n"/>
      <c r="BI1322" s="1392" t="n"/>
      <c r="BJ1322" s="1392" t="n"/>
      <c r="BK1322" s="1392" t="n"/>
      <c r="BL1322" s="1392" t="n"/>
      <c r="BM1322" s="1392" t="n"/>
      <c r="BN1322" s="1392" t="n"/>
      <c r="BO1322" s="1392" t="n"/>
      <c r="BP1322" s="1392" t="n"/>
      <c r="BQ1322" s="1392" t="n"/>
      <c r="BR1322" s="1392" t="n"/>
      <c r="BS1322" s="1392" t="n"/>
      <c r="BT1322" s="1392" t="n"/>
      <c r="BU1322" s="1392" t="n"/>
      <c r="BV1322" s="1392" t="n"/>
      <c r="BW1322" s="1392" t="n"/>
      <c r="BX1322" s="1392" t="n"/>
      <c r="BY1322" s="1392" t="n"/>
      <c r="BZ1322" s="1392" t="n"/>
      <c r="CA1322" s="1392" t="n"/>
      <c r="CB1322" s="1392" t="n"/>
      <c r="CC1322" s="1392" t="n"/>
      <c r="CD1322" s="1392" t="n"/>
      <c r="CE1322" s="1392" t="n"/>
      <c r="CF1322" s="1392" t="n"/>
      <c r="CG1322" s="1392" t="n"/>
      <c r="CH1322" s="1392" t="n"/>
      <c r="CI1322" s="1392" t="n"/>
      <c r="CJ1322" s="1392" t="n"/>
      <c r="CK1322" s="1392" t="n"/>
      <c r="CL1322" s="1392" t="n"/>
    </row>
    <row r="1323">
      <c r="A1323" s="5" t="inlineStr">
        <is>
          <t>.</t>
        </is>
      </c>
      <c r="B1323" s="5" t="inlineStr">
        <is>
          <t>.</t>
        </is>
      </c>
      <c r="C1323" s="1378">
        <f>IF(raw[[#This Row],[city]]="","-",IF(raw[[#This Row],[city]]="TODAY","-",C1322+1))</f>
        <v/>
      </c>
      <c r="D1323" s="1393" t="inlineStr">
        <is>
          <t>SSA</t>
        </is>
      </c>
      <c r="E1323" s="1394" t="n">
        <v>41624</v>
      </c>
      <c r="F1323" s="1394" t="n">
        <v>41634</v>
      </c>
      <c r="G1323" s="1393" t="inlineStr">
        <is>
          <t>-</t>
        </is>
      </c>
      <c r="H1323" s="1393" t="inlineStr">
        <is>
          <t>Beatty</t>
        </is>
      </c>
      <c r="I1323" s="1393" t="inlineStr">
        <is>
          <t>Ondina</t>
        </is>
      </c>
      <c r="J1323" s="1393" t="inlineStr">
        <is>
          <t>-</t>
        </is>
      </c>
      <c r="K1323" s="1395">
        <f>IF(raw[[#This Row],[city]]&lt;&gt;"",_xlfn.XLOOKUP($D1323,ccc[city],ccc[prov],"-"),"-")</f>
        <v/>
      </c>
      <c r="L1323" s="1395">
        <f>IF(raw[[#This Row],[city]]&lt;&gt;"",_xlfn.XLOOKUP($D1323,ccc[city],ccc[ctry],"-"),"-")</f>
        <v/>
      </c>
      <c r="M1323" s="1395">
        <f>IF(raw[[#This Row],[city]]&lt;&gt;"",_xlfn.XLOOKUP($D1323,ccc[city],ccc[cont],"-"),"-")</f>
        <v/>
      </c>
      <c r="N1323" s="1396">
        <f>IF(raw[[#This Row],[city]]="","-",IF(raw[[#This Row],[cont]]="B",raw[[#This Row],[cont]],"W"))</f>
        <v/>
      </c>
      <c r="O1323" s="1397">
        <f>IF(raw[[#This Row],[out]]=0,0,IF(raw[[#This Row],[out]]=raw[[#This Row],[in]],0.01,raw[[#This Row],[out]]-raw[[#This Row],[in]]))</f>
        <v/>
      </c>
      <c r="P1323" s="1397">
        <f>IF(raw[[#This Row],[in]]=0,0,MONTH(raw[[#This Row],[in]]))</f>
        <v/>
      </c>
      <c r="Q1323" s="1397">
        <f>IF(raw[[#This Row],[in]]=0,0,YEAR(raw[[#This Row],[in]]))</f>
        <v/>
      </c>
      <c r="R1323" s="1397">
        <f>INT(raw[[#This Row],[yr]]/10)*10</f>
        <v/>
      </c>
      <c r="S1323" s="1395">
        <f>IF(raw[[#This Row],[city]]="","-",IF(raw[[#This Row],[city]]&lt;&gt;_xlfn.XLOOKUP(raw[[#This Row],[home]],homes[home],homes[city],"-"),1,0))</f>
        <v/>
      </c>
      <c r="T1323" s="1398" t="inlineStr">
        <is>
          <t>.</t>
        </is>
      </c>
      <c r="U1323" s="1399">
        <f>IF(raw[[#This Row],[wb]]="w",raw[[#This Row],[stay]]+U1322,U1322)</f>
        <v/>
      </c>
      <c r="V1323" s="1400">
        <f>IF(raw[[#This Row],[out]]=0,V1322,(raw[[#This Row],[out]]-E$5))</f>
        <v/>
      </c>
      <c r="W1323" s="1401">
        <f>U1323/V1323</f>
        <v/>
      </c>
      <c r="X1323" s="1392" t="n"/>
      <c r="Y1323" s="1392" t="n"/>
      <c r="Z1323" s="1392" t="n"/>
      <c r="AA1323" s="1392" t="n"/>
      <c r="AB1323" s="1392" t="n"/>
      <c r="AC1323" s="1392" t="n"/>
      <c r="AD1323" s="1392" t="n"/>
      <c r="AE1323" s="1392" t="n"/>
      <c r="AF1323" s="1392" t="n"/>
      <c r="AG1323" s="1392" t="n"/>
      <c r="AH1323" s="1392" t="n"/>
      <c r="AI1323" s="1392" t="n"/>
      <c r="AJ1323" s="1392" t="n"/>
      <c r="AK1323" s="1392" t="n"/>
      <c r="AL1323" s="1392" t="n"/>
      <c r="AM1323" s="1392" t="n"/>
      <c r="AN1323" s="1392" t="n"/>
      <c r="AO1323" s="1392" t="n"/>
      <c r="AP1323" s="1392" t="n"/>
      <c r="AQ1323" s="1392" t="n"/>
      <c r="AR1323" s="1422" t="n"/>
      <c r="AS1323" s="1422" t="n"/>
      <c r="AT1323" s="1392" t="n"/>
      <c r="AU1323" s="1392" t="n"/>
      <c r="AV1323" s="1392" t="n"/>
      <c r="AW1323" s="1392" t="n"/>
      <c r="AX1323" s="1392" t="n"/>
      <c r="AY1323" s="1392" t="n"/>
      <c r="AZ1323" s="1392" t="n"/>
      <c r="BA1323" s="1422" t="n"/>
      <c r="BB1323" s="1422" t="n"/>
      <c r="BC1323" s="1392" t="n"/>
      <c r="BD1323" s="1392" t="n"/>
      <c r="BE1323" s="1392" t="n"/>
      <c r="BF1323" s="1392" t="n"/>
      <c r="BG1323" s="1392" t="n"/>
      <c r="BH1323" s="1392" t="n"/>
      <c r="BI1323" s="1392" t="n"/>
      <c r="BJ1323" s="1392" t="n"/>
      <c r="BK1323" s="1392" t="n"/>
      <c r="BL1323" s="1392" t="n"/>
      <c r="BM1323" s="1392" t="n"/>
      <c r="BN1323" s="1392" t="n"/>
      <c r="BO1323" s="1392" t="n"/>
      <c r="BP1323" s="1392" t="n"/>
      <c r="BQ1323" s="1392" t="n"/>
      <c r="BR1323" s="1392" t="n"/>
      <c r="BS1323" s="1392" t="n"/>
      <c r="BT1323" s="1392" t="n"/>
      <c r="BU1323" s="1392" t="n"/>
      <c r="BV1323" s="1392" t="n"/>
      <c r="BW1323" s="1392" t="n"/>
      <c r="BX1323" s="1392" t="n"/>
      <c r="BY1323" s="1392" t="n"/>
      <c r="BZ1323" s="1392" t="n"/>
      <c r="CA1323" s="1392" t="n"/>
      <c r="CB1323" s="1392" t="n"/>
      <c r="CC1323" s="1392" t="n"/>
      <c r="CD1323" s="1392" t="n"/>
      <c r="CE1323" s="1392" t="n"/>
      <c r="CF1323" s="1392" t="n"/>
      <c r="CG1323" s="1392" t="n"/>
      <c r="CH1323" s="1392" t="n"/>
      <c r="CI1323" s="1392" t="n"/>
      <c r="CJ1323" s="1392" t="n"/>
      <c r="CK1323" s="1392" t="n"/>
      <c r="CL1323" s="1392" t="n"/>
    </row>
    <row r="1324">
      <c r="A1324" s="5" t="inlineStr">
        <is>
          <t>.</t>
        </is>
      </c>
      <c r="B1324" s="5" t="inlineStr">
        <is>
          <t>.</t>
        </is>
      </c>
      <c r="C1324" s="1378">
        <f>IF(raw[[#This Row],[city]]="","-",IF(raw[[#This Row],[city]]="TODAY","-",C1323+1))</f>
        <v/>
      </c>
      <c r="D1324" s="1393" t="inlineStr">
        <is>
          <t>Praia do Forte</t>
        </is>
      </c>
      <c r="E1324" s="1394" t="n">
        <v>41634</v>
      </c>
      <c r="F1324" s="1394" t="n">
        <v>41637</v>
      </c>
      <c r="G1324" s="1393" t="inlineStr">
        <is>
          <t>-</t>
        </is>
      </c>
      <c r="H1324" s="1393" t="inlineStr">
        <is>
          <t>Beatty</t>
        </is>
      </c>
      <c r="I1324" s="1393" t="inlineStr">
        <is>
          <t>-</t>
        </is>
      </c>
      <c r="J1324" s="1393" t="inlineStr">
        <is>
          <t>-</t>
        </is>
      </c>
      <c r="K1324" s="1395">
        <f>IF(raw[[#This Row],[city]]&lt;&gt;"",_xlfn.XLOOKUP($D1324,ccc[city],ccc[prov],"-"),"-")</f>
        <v/>
      </c>
      <c r="L1324" s="1395">
        <f>IF(raw[[#This Row],[city]]&lt;&gt;"",_xlfn.XLOOKUP($D1324,ccc[city],ccc[ctry],"-"),"-")</f>
        <v/>
      </c>
      <c r="M1324" s="1395">
        <f>IF(raw[[#This Row],[city]]&lt;&gt;"",_xlfn.XLOOKUP($D1324,ccc[city],ccc[cont],"-"),"-")</f>
        <v/>
      </c>
      <c r="N1324" s="1396">
        <f>IF(raw[[#This Row],[city]]="","-",IF(raw[[#This Row],[cont]]="B",raw[[#This Row],[cont]],"W"))</f>
        <v/>
      </c>
      <c r="O1324" s="1397">
        <f>IF(raw[[#This Row],[out]]=0,0,IF(raw[[#This Row],[out]]=raw[[#This Row],[in]],0.01,raw[[#This Row],[out]]-raw[[#This Row],[in]]))</f>
        <v/>
      </c>
      <c r="P1324" s="1397">
        <f>IF(raw[[#This Row],[in]]=0,0,MONTH(raw[[#This Row],[in]]))</f>
        <v/>
      </c>
      <c r="Q1324" s="1397">
        <f>IF(raw[[#This Row],[in]]=0,0,YEAR(raw[[#This Row],[in]]))</f>
        <v/>
      </c>
      <c r="R1324" s="1397">
        <f>INT(raw[[#This Row],[yr]]/10)*10</f>
        <v/>
      </c>
      <c r="S1324" s="1395">
        <f>IF(raw[[#This Row],[city]]="","-",IF(raw[[#This Row],[city]]&lt;&gt;_xlfn.XLOOKUP(raw[[#This Row],[home]],homes[home],homes[city],"-"),1,0))</f>
        <v/>
      </c>
      <c r="T1324" s="1398" t="inlineStr">
        <is>
          <t>.</t>
        </is>
      </c>
      <c r="U1324" s="1399">
        <f>IF(raw[[#This Row],[wb]]="w",raw[[#This Row],[stay]]+U1323,U1323)</f>
        <v/>
      </c>
      <c r="V1324" s="1400">
        <f>IF(raw[[#This Row],[out]]=0,V1323,(raw[[#This Row],[out]]-E$5))</f>
        <v/>
      </c>
      <c r="W1324" s="1401">
        <f>U1324/V1324</f>
        <v/>
      </c>
      <c r="X1324" s="1392" t="n"/>
      <c r="Y1324" s="1392" t="n"/>
      <c r="Z1324" s="1392" t="n"/>
      <c r="AA1324" s="1392" t="n"/>
      <c r="AB1324" s="1392" t="n"/>
      <c r="AC1324" s="1392" t="n"/>
      <c r="AD1324" s="1392" t="n"/>
      <c r="AE1324" s="1392" t="n"/>
      <c r="AF1324" s="1392" t="n"/>
      <c r="AG1324" s="1392" t="n"/>
      <c r="AH1324" s="1392" t="n"/>
      <c r="AI1324" s="1392" t="n"/>
      <c r="AJ1324" s="1392" t="n"/>
      <c r="AK1324" s="1392" t="n"/>
      <c r="AL1324" s="1392" t="n"/>
      <c r="AM1324" s="1392" t="n"/>
      <c r="AN1324" s="1392" t="n"/>
      <c r="AO1324" s="1392" t="n"/>
      <c r="AP1324" s="1392" t="n"/>
      <c r="AQ1324" s="1392" t="n"/>
      <c r="AR1324" s="1422" t="n"/>
      <c r="AS1324" s="1422" t="n"/>
      <c r="AT1324" s="1392" t="n"/>
      <c r="AU1324" s="1392" t="n"/>
      <c r="AV1324" s="1392" t="n"/>
      <c r="AW1324" s="1392" t="n"/>
      <c r="AX1324" s="1392" t="n"/>
      <c r="AY1324" s="1392" t="n"/>
      <c r="AZ1324" s="1392" t="n"/>
      <c r="BA1324" s="1422" t="n"/>
      <c r="BB1324" s="1422" t="n"/>
      <c r="BC1324" s="1392" t="n"/>
      <c r="BD1324" s="1392" t="n"/>
      <c r="BE1324" s="1392" t="n"/>
      <c r="BF1324" s="1392" t="n"/>
      <c r="BG1324" s="1392" t="n"/>
      <c r="BH1324" s="1392" t="n"/>
      <c r="BI1324" s="1392" t="n"/>
      <c r="BJ1324" s="1392" t="n"/>
      <c r="BK1324" s="1392" t="n"/>
      <c r="BL1324" s="1392" t="n"/>
      <c r="BM1324" s="1392" t="n"/>
      <c r="BN1324" s="1392" t="n"/>
      <c r="BO1324" s="1392" t="n"/>
      <c r="BP1324" s="1392" t="n"/>
      <c r="BQ1324" s="1392" t="n"/>
      <c r="BR1324" s="1392" t="n"/>
      <c r="BS1324" s="1392" t="n"/>
      <c r="BT1324" s="1392" t="n"/>
      <c r="BU1324" s="1392" t="n"/>
      <c r="BV1324" s="1392" t="n"/>
      <c r="BW1324" s="1392" t="n"/>
      <c r="BX1324" s="1392" t="n"/>
      <c r="BY1324" s="1392" t="n"/>
      <c r="BZ1324" s="1392" t="n"/>
      <c r="CA1324" s="1392" t="n"/>
      <c r="CB1324" s="1392" t="n"/>
      <c r="CC1324" s="1392" t="n"/>
      <c r="CD1324" s="1392" t="n"/>
      <c r="CE1324" s="1392" t="n"/>
      <c r="CF1324" s="1392" t="n"/>
      <c r="CG1324" s="1392" t="n"/>
      <c r="CH1324" s="1392" t="n"/>
      <c r="CI1324" s="1392" t="n"/>
      <c r="CJ1324" s="1392" t="n"/>
      <c r="CK1324" s="1392" t="n"/>
      <c r="CL1324" s="1392" t="n"/>
    </row>
    <row r="1325">
      <c r="A1325" s="5" t="inlineStr">
        <is>
          <t>.</t>
        </is>
      </c>
      <c r="B1325" s="5" t="inlineStr">
        <is>
          <t>.</t>
        </is>
      </c>
      <c r="C1325" s="1378">
        <f>IF(raw[[#This Row],[city]]="","-",IF(raw[[#This Row],[city]]="TODAY","-",C1324+1))</f>
        <v/>
      </c>
      <c r="D1325" s="1393" t="inlineStr">
        <is>
          <t>SSA</t>
        </is>
      </c>
      <c r="E1325" s="1394" t="n">
        <v>41637</v>
      </c>
      <c r="F1325" s="1394" t="n">
        <v>41640</v>
      </c>
      <c r="G1325" s="1393" t="inlineStr">
        <is>
          <t>-</t>
        </is>
      </c>
      <c r="H1325" s="1393" t="inlineStr">
        <is>
          <t>Beatty</t>
        </is>
      </c>
      <c r="I1325" s="1393" t="inlineStr">
        <is>
          <t>Ondina</t>
        </is>
      </c>
      <c r="J1325" s="1393" t="inlineStr">
        <is>
          <t>-</t>
        </is>
      </c>
      <c r="K1325" s="1395">
        <f>IF(raw[[#This Row],[city]]&lt;&gt;"",_xlfn.XLOOKUP($D1325,ccc[city],ccc[prov],"-"),"-")</f>
        <v/>
      </c>
      <c r="L1325" s="1395">
        <f>IF(raw[[#This Row],[city]]&lt;&gt;"",_xlfn.XLOOKUP($D1325,ccc[city],ccc[ctry],"-"),"-")</f>
        <v/>
      </c>
      <c r="M1325" s="1395">
        <f>IF(raw[[#This Row],[city]]&lt;&gt;"",_xlfn.XLOOKUP($D1325,ccc[city],ccc[cont],"-"),"-")</f>
        <v/>
      </c>
      <c r="N1325" s="1396">
        <f>IF(raw[[#This Row],[city]]="","-",IF(raw[[#This Row],[cont]]="B",raw[[#This Row],[cont]],"W"))</f>
        <v/>
      </c>
      <c r="O1325" s="1397">
        <f>IF(raw[[#This Row],[out]]=0,0,IF(raw[[#This Row],[out]]=raw[[#This Row],[in]],0.01,raw[[#This Row],[out]]-raw[[#This Row],[in]]))</f>
        <v/>
      </c>
      <c r="P1325" s="1397">
        <f>IF(raw[[#This Row],[in]]=0,0,MONTH(raw[[#This Row],[in]]))</f>
        <v/>
      </c>
      <c r="Q1325" s="1397">
        <f>IF(raw[[#This Row],[in]]=0,0,YEAR(raw[[#This Row],[in]]))</f>
        <v/>
      </c>
      <c r="R1325" s="1397">
        <f>INT(raw[[#This Row],[yr]]/10)*10</f>
        <v/>
      </c>
      <c r="S1325" s="1395">
        <f>IF(raw[[#This Row],[city]]="","-",IF(raw[[#This Row],[city]]&lt;&gt;_xlfn.XLOOKUP(raw[[#This Row],[home]],homes[home],homes[city],"-"),1,0))</f>
        <v/>
      </c>
      <c r="T1325" s="1398" t="inlineStr">
        <is>
          <t>.</t>
        </is>
      </c>
      <c r="U1325" s="1399">
        <f>IF(raw[[#This Row],[wb]]="w",raw[[#This Row],[stay]]+U1324,U1324)</f>
        <v/>
      </c>
      <c r="V1325" s="1400">
        <f>IF(raw[[#This Row],[out]]=0,V1324,(raw[[#This Row],[out]]-E$5))</f>
        <v/>
      </c>
      <c r="W1325" s="1401">
        <f>U1325/V1325</f>
        <v/>
      </c>
      <c r="X1325" s="1392" t="n"/>
      <c r="Y1325" s="1392" t="n"/>
      <c r="Z1325" s="1392" t="n"/>
      <c r="AA1325" s="1392" t="n"/>
      <c r="AB1325" s="1392" t="n"/>
      <c r="AC1325" s="1392" t="n"/>
      <c r="AD1325" s="1392" t="n"/>
      <c r="AE1325" s="1392" t="n"/>
      <c r="AF1325" s="1392" t="n"/>
      <c r="AG1325" s="1392" t="n"/>
      <c r="AH1325" s="1392" t="n"/>
      <c r="AI1325" s="1392" t="n"/>
      <c r="AJ1325" s="1392" t="n"/>
      <c r="AK1325" s="1392" t="n"/>
      <c r="AL1325" s="1392" t="n"/>
      <c r="AM1325" s="1392" t="n"/>
      <c r="AN1325" s="1392" t="n"/>
      <c r="AO1325" s="1392" t="n"/>
      <c r="AP1325" s="1392" t="n"/>
      <c r="AQ1325" s="1392" t="n"/>
      <c r="AR1325" s="1422" t="n"/>
      <c r="AS1325" s="1422" t="n"/>
      <c r="AT1325" s="1392" t="n"/>
      <c r="AU1325" s="1392" t="n"/>
      <c r="AV1325" s="1392" t="n"/>
      <c r="AW1325" s="1392" t="n"/>
      <c r="AX1325" s="1392" t="n"/>
      <c r="AY1325" s="1392" t="n"/>
      <c r="AZ1325" s="1392" t="n"/>
      <c r="BA1325" s="1422" t="n"/>
      <c r="BB1325" s="1422" t="n"/>
      <c r="BC1325" s="1392" t="n"/>
      <c r="BD1325" s="1392" t="n"/>
      <c r="BE1325" s="1392" t="n"/>
      <c r="BF1325" s="1392" t="n"/>
      <c r="BG1325" s="1392" t="n"/>
      <c r="BH1325" s="1392" t="n"/>
      <c r="BI1325" s="1392" t="n"/>
      <c r="BJ1325" s="1392" t="n"/>
      <c r="BK1325" s="1392" t="n"/>
      <c r="BL1325" s="1392" t="n"/>
      <c r="BM1325" s="1392" t="n"/>
      <c r="BN1325" s="1392" t="n"/>
      <c r="BO1325" s="1392" t="n"/>
      <c r="BP1325" s="1392" t="n"/>
      <c r="BQ1325" s="1392" t="n"/>
      <c r="BR1325" s="1392" t="n"/>
      <c r="BS1325" s="1392" t="n"/>
      <c r="BT1325" s="1392" t="n"/>
      <c r="BU1325" s="1392" t="n"/>
      <c r="BV1325" s="1392" t="n"/>
      <c r="BW1325" s="1392" t="n"/>
      <c r="BX1325" s="1392" t="n"/>
      <c r="BY1325" s="1392" t="n"/>
      <c r="BZ1325" s="1392" t="n"/>
      <c r="CA1325" s="1392" t="n"/>
      <c r="CB1325" s="1392" t="n"/>
      <c r="CC1325" s="1392" t="n"/>
      <c r="CD1325" s="1392" t="n"/>
      <c r="CE1325" s="1392" t="n"/>
      <c r="CF1325" s="1392" t="n"/>
      <c r="CG1325" s="1392" t="n"/>
      <c r="CH1325" s="1392" t="n"/>
      <c r="CI1325" s="1392" t="n"/>
      <c r="CJ1325" s="1392" t="n"/>
      <c r="CK1325" s="1392" t="n"/>
      <c r="CL1325" s="1392" t="n"/>
    </row>
    <row r="1326">
      <c r="A1326" s="5" t="inlineStr">
        <is>
          <t>.</t>
        </is>
      </c>
      <c r="B1326" s="5" t="inlineStr">
        <is>
          <t>.</t>
        </is>
      </c>
      <c r="C1326" s="1378">
        <f>IF(raw[[#This Row],[city]]="","-",IF(raw[[#This Row],[city]]="TODAY","-",C1325+1))</f>
        <v/>
      </c>
      <c r="D1326" s="1393" t="inlineStr">
        <is>
          <t>SSA</t>
        </is>
      </c>
      <c r="E1326" s="1394" t="n">
        <v>41640</v>
      </c>
      <c r="F1326" s="1394" t="n">
        <v>41645</v>
      </c>
      <c r="G1326" s="1393" t="n">
        <v>1</v>
      </c>
      <c r="H1326" s="1393" t="inlineStr">
        <is>
          <t>Beatty</t>
        </is>
      </c>
      <c r="I1326" s="1393" t="inlineStr">
        <is>
          <t>Ondina</t>
        </is>
      </c>
      <c r="J1326" s="1393" t="inlineStr">
        <is>
          <t>REV</t>
        </is>
      </c>
      <c r="K1326" s="1395">
        <f>IF(raw[[#This Row],[city]]&lt;&gt;"",_xlfn.XLOOKUP($D1326,ccc[city],ccc[prov],"-"),"-")</f>
        <v/>
      </c>
      <c r="L1326" s="1395">
        <f>IF(raw[[#This Row],[city]]&lt;&gt;"",_xlfn.XLOOKUP($D1326,ccc[city],ccc[ctry],"-"),"-")</f>
        <v/>
      </c>
      <c r="M1326" s="1395">
        <f>IF(raw[[#This Row],[city]]&lt;&gt;"",_xlfn.XLOOKUP($D1326,ccc[city],ccc[cont],"-"),"-")</f>
        <v/>
      </c>
      <c r="N1326" s="1396">
        <f>IF(raw[[#This Row],[city]]="","-",IF(raw[[#This Row],[cont]]="B",raw[[#This Row],[cont]],"W"))</f>
        <v/>
      </c>
      <c r="O1326" s="1397">
        <f>IF(raw[[#This Row],[out]]=0,0,IF(raw[[#This Row],[out]]=raw[[#This Row],[in]],0.01,raw[[#This Row],[out]]-raw[[#This Row],[in]]))</f>
        <v/>
      </c>
      <c r="P1326" s="1397">
        <f>IF(raw[[#This Row],[in]]=0,0,MONTH(raw[[#This Row],[in]]))</f>
        <v/>
      </c>
      <c r="Q1326" s="1397">
        <f>IF(raw[[#This Row],[in]]=0,0,YEAR(raw[[#This Row],[in]]))</f>
        <v/>
      </c>
      <c r="R1326" s="1397">
        <f>INT(raw[[#This Row],[yr]]/10)*10</f>
        <v/>
      </c>
      <c r="S1326" s="1395">
        <f>IF(raw[[#This Row],[city]]="","-",IF(raw[[#This Row],[city]]&lt;&gt;_xlfn.XLOOKUP(raw[[#This Row],[home]],homes[home],homes[city],"-"),1,0))</f>
        <v/>
      </c>
      <c r="T1326" s="1398" t="inlineStr">
        <is>
          <t>.</t>
        </is>
      </c>
      <c r="U1326" s="1399">
        <f>IF(raw[[#This Row],[wb]]="w",raw[[#This Row],[stay]]+U1325,U1325)</f>
        <v/>
      </c>
      <c r="V1326" s="1400">
        <f>IF(raw[[#This Row],[out]]=0,V1325,(raw[[#This Row],[out]]-E$5))</f>
        <v/>
      </c>
      <c r="W1326" s="1401">
        <f>U1326/V1326</f>
        <v/>
      </c>
      <c r="X1326" s="1392" t="n"/>
      <c r="Y1326" s="1392" t="n"/>
      <c r="Z1326" s="1392" t="n"/>
      <c r="AA1326" s="1392" t="n"/>
      <c r="AB1326" s="1392" t="n"/>
      <c r="AC1326" s="1392" t="n"/>
      <c r="AD1326" s="1392" t="n"/>
      <c r="AE1326" s="1392" t="n"/>
      <c r="AF1326" s="1392" t="n"/>
      <c r="AG1326" s="1392" t="n"/>
      <c r="AH1326" s="1392" t="n"/>
      <c r="AI1326" s="1392" t="n"/>
      <c r="AJ1326" s="1392" t="n"/>
      <c r="AK1326" s="1392" t="n"/>
      <c r="AL1326" s="1392" t="n"/>
      <c r="AM1326" s="1392" t="n"/>
      <c r="AN1326" s="1392" t="n"/>
      <c r="AO1326" s="1392" t="n"/>
      <c r="AP1326" s="1392" t="n"/>
      <c r="AQ1326" s="1392" t="n"/>
      <c r="AR1326" s="1422" t="n"/>
      <c r="AS1326" s="1422" t="n"/>
      <c r="AT1326" s="1392" t="n"/>
      <c r="AU1326" s="1392" t="n"/>
      <c r="AV1326" s="1392" t="n"/>
      <c r="AW1326" s="1392" t="n"/>
      <c r="AX1326" s="1392" t="n"/>
      <c r="AY1326" s="1392" t="n"/>
      <c r="AZ1326" s="1392" t="n"/>
      <c r="BA1326" s="1422" t="n"/>
      <c r="BB1326" s="1422" t="n"/>
      <c r="BC1326" s="1392" t="n"/>
      <c r="BD1326" s="1392" t="n"/>
      <c r="BE1326" s="1392" t="n"/>
      <c r="BF1326" s="1392" t="n"/>
      <c r="BG1326" s="1392" t="n"/>
      <c r="BH1326" s="1392" t="n"/>
      <c r="BI1326" s="1392" t="n"/>
      <c r="BJ1326" s="1392" t="n"/>
      <c r="BK1326" s="1392" t="n"/>
      <c r="BL1326" s="1392" t="n"/>
      <c r="BM1326" s="1392" t="n"/>
      <c r="BN1326" s="1392" t="n"/>
      <c r="BO1326" s="1392" t="n"/>
      <c r="BP1326" s="1392" t="n"/>
      <c r="BQ1326" s="1392" t="n"/>
      <c r="BR1326" s="1392" t="n"/>
      <c r="BS1326" s="1392" t="n"/>
      <c r="BT1326" s="1392" t="n"/>
      <c r="BU1326" s="1392" t="n"/>
      <c r="BV1326" s="1392" t="n"/>
      <c r="BW1326" s="1392" t="n"/>
      <c r="BX1326" s="1392" t="n"/>
      <c r="BY1326" s="1392" t="n"/>
      <c r="BZ1326" s="1392" t="n"/>
      <c r="CA1326" s="1392" t="n"/>
      <c r="CB1326" s="1392" t="n"/>
      <c r="CC1326" s="1392" t="n"/>
      <c r="CD1326" s="1392" t="n"/>
      <c r="CE1326" s="1392" t="n"/>
      <c r="CF1326" s="1392" t="n"/>
      <c r="CG1326" s="1392" t="n"/>
      <c r="CH1326" s="1392" t="n"/>
      <c r="CI1326" s="1392" t="n"/>
      <c r="CJ1326" s="1392" t="n"/>
      <c r="CK1326" s="1392" t="n"/>
      <c r="CL1326" s="1392" t="n"/>
    </row>
    <row r="1327">
      <c r="A1327" s="5" t="inlineStr">
        <is>
          <t>.</t>
        </is>
      </c>
      <c r="B1327" s="5" t="inlineStr">
        <is>
          <t>.</t>
        </is>
      </c>
      <c r="C1327" s="1378">
        <f>IF(raw[[#This Row],[city]]="","-",IF(raw[[#This Row],[city]]="TODAY","-",C1326+1))</f>
        <v/>
      </c>
      <c r="D1327" s="1393" t="inlineStr">
        <is>
          <t>SP</t>
        </is>
      </c>
      <c r="E1327" s="1394" t="n">
        <v>41645</v>
      </c>
      <c r="F1327" s="1394" t="n">
        <v>41648</v>
      </c>
      <c r="G1327" s="1393" t="n">
        <v>1</v>
      </c>
      <c r="H1327" s="1393" t="inlineStr">
        <is>
          <t>Beatty</t>
        </is>
      </c>
      <c r="I1327" s="1393" t="inlineStr">
        <is>
          <t>Sam</t>
        </is>
      </c>
      <c r="J1327" s="1393" t="inlineStr">
        <is>
          <t>-</t>
        </is>
      </c>
      <c r="K1327" s="1395">
        <f>IF(raw[[#This Row],[city]]&lt;&gt;"",_xlfn.XLOOKUP($D1327,ccc[city],ccc[prov],"-"),"-")</f>
        <v/>
      </c>
      <c r="L1327" s="1395">
        <f>IF(raw[[#This Row],[city]]&lt;&gt;"",_xlfn.XLOOKUP($D1327,ccc[city],ccc[ctry],"-"),"-")</f>
        <v/>
      </c>
      <c r="M1327" s="1395">
        <f>IF(raw[[#This Row],[city]]&lt;&gt;"",_xlfn.XLOOKUP($D1327,ccc[city],ccc[cont],"-"),"-")</f>
        <v/>
      </c>
      <c r="N1327" s="1396">
        <f>IF(raw[[#This Row],[city]]="","-",IF(raw[[#This Row],[cont]]="B",raw[[#This Row],[cont]],"W"))</f>
        <v/>
      </c>
      <c r="O1327" s="1397">
        <f>IF(raw[[#This Row],[out]]=0,0,IF(raw[[#This Row],[out]]=raw[[#This Row],[in]],0.01,raw[[#This Row],[out]]-raw[[#This Row],[in]]))</f>
        <v/>
      </c>
      <c r="P1327" s="1397">
        <f>IF(raw[[#This Row],[in]]=0,0,MONTH(raw[[#This Row],[in]]))</f>
        <v/>
      </c>
      <c r="Q1327" s="1397">
        <f>IF(raw[[#This Row],[in]]=0,0,YEAR(raw[[#This Row],[in]]))</f>
        <v/>
      </c>
      <c r="R1327" s="1397">
        <f>INT(raw[[#This Row],[yr]]/10)*10</f>
        <v/>
      </c>
      <c r="S1327" s="1395">
        <f>IF(raw[[#This Row],[city]]="","-",IF(raw[[#This Row],[city]]&lt;&gt;_xlfn.XLOOKUP(raw[[#This Row],[home]],homes[home],homes[city],"-"),1,0))</f>
        <v/>
      </c>
      <c r="T1327" s="1398" t="inlineStr">
        <is>
          <t>.</t>
        </is>
      </c>
      <c r="U1327" s="1399">
        <f>IF(raw[[#This Row],[wb]]="w",raw[[#This Row],[stay]]+U1326,U1326)</f>
        <v/>
      </c>
      <c r="V1327" s="1400">
        <f>IF(raw[[#This Row],[out]]=0,V1326,(raw[[#This Row],[out]]-E$5))</f>
        <v/>
      </c>
      <c r="W1327" s="1401">
        <f>U1327/V1327</f>
        <v/>
      </c>
      <c r="X1327" s="1392" t="n"/>
      <c r="Y1327" s="1392" t="n"/>
      <c r="Z1327" s="1392" t="n"/>
      <c r="AA1327" s="1392" t="n"/>
      <c r="AB1327" s="1392" t="n"/>
      <c r="AC1327" s="1392" t="n"/>
      <c r="AD1327" s="1392" t="n"/>
      <c r="AE1327" s="1392" t="n"/>
      <c r="AF1327" s="1392" t="n"/>
      <c r="AG1327" s="1392" t="n"/>
      <c r="AH1327" s="1392" t="n"/>
      <c r="AI1327" s="1392" t="n"/>
      <c r="AJ1327" s="1392" t="n"/>
      <c r="AK1327" s="1392" t="n"/>
      <c r="AL1327" s="1392" t="n"/>
      <c r="AM1327" s="1392" t="n"/>
      <c r="AN1327" s="1392" t="n"/>
      <c r="AO1327" s="1392" t="n"/>
      <c r="AP1327" s="1392" t="n"/>
      <c r="AQ1327" s="1392" t="n"/>
      <c r="AR1327" s="1422" t="n"/>
      <c r="AS1327" s="1422" t="n"/>
      <c r="AT1327" s="1392" t="n"/>
      <c r="AU1327" s="1392" t="n"/>
      <c r="AV1327" s="1392" t="n"/>
      <c r="AW1327" s="1392" t="n"/>
      <c r="AX1327" s="1392" t="n"/>
      <c r="AY1327" s="1392" t="n"/>
      <c r="AZ1327" s="1392" t="n"/>
      <c r="BA1327" s="1422" t="n"/>
      <c r="BB1327" s="1422" t="n"/>
      <c r="BC1327" s="1392" t="n"/>
      <c r="BD1327" s="1392" t="n"/>
      <c r="BE1327" s="1392" t="n"/>
      <c r="BF1327" s="1392" t="n"/>
      <c r="BG1327" s="1392" t="n"/>
      <c r="BH1327" s="1392" t="n"/>
      <c r="BI1327" s="1392" t="n"/>
      <c r="BJ1327" s="1392" t="n"/>
      <c r="BK1327" s="1392" t="n"/>
      <c r="BL1327" s="1392" t="n"/>
      <c r="BM1327" s="1392" t="n"/>
      <c r="BN1327" s="1392" t="n"/>
      <c r="BO1327" s="1392" t="n"/>
      <c r="BP1327" s="1392" t="n"/>
      <c r="BQ1327" s="1392" t="n"/>
      <c r="BR1327" s="1392" t="n"/>
      <c r="BS1327" s="1392" t="n"/>
      <c r="BT1327" s="1392" t="n"/>
      <c r="BU1327" s="1392" t="n"/>
      <c r="BV1327" s="1392" t="n"/>
      <c r="BW1327" s="1392" t="n"/>
      <c r="BX1327" s="1392" t="n"/>
      <c r="BY1327" s="1392" t="n"/>
      <c r="BZ1327" s="1392" t="n"/>
      <c r="CA1327" s="1392" t="n"/>
      <c r="CB1327" s="1392" t="n"/>
      <c r="CC1327" s="1392" t="n"/>
      <c r="CD1327" s="1392" t="n"/>
      <c r="CE1327" s="1392" t="n"/>
      <c r="CF1327" s="1392" t="n"/>
      <c r="CG1327" s="1392" t="n"/>
      <c r="CH1327" s="1392" t="n"/>
      <c r="CI1327" s="1392" t="n"/>
      <c r="CJ1327" s="1392" t="n"/>
      <c r="CK1327" s="1392" t="n"/>
      <c r="CL1327" s="1392" t="n"/>
    </row>
    <row r="1328">
      <c r="A1328" s="5" t="inlineStr">
        <is>
          <t>.</t>
        </is>
      </c>
      <c r="B1328" s="5" t="inlineStr">
        <is>
          <t>.</t>
        </is>
      </c>
      <c r="C1328" s="1378">
        <f>IF(raw[[#This Row],[city]]="","-",IF(raw[[#This Row],[city]]="TODAY","-",C1327+1))</f>
        <v/>
      </c>
      <c r="D1328" s="1393" t="inlineStr">
        <is>
          <t>Rio</t>
        </is>
      </c>
      <c r="E1328" s="1394" t="n">
        <v>41648</v>
      </c>
      <c r="F1328" s="1394" t="n">
        <v>41652</v>
      </c>
      <c r="G1328" s="1393" t="n">
        <v>1</v>
      </c>
      <c r="H1328" s="1393" t="inlineStr">
        <is>
          <t>Beatty</t>
        </is>
      </c>
      <c r="I1328" s="1393" t="inlineStr">
        <is>
          <t>Tatá/Venancio</t>
        </is>
      </c>
      <c r="J1328" s="1393" t="inlineStr">
        <is>
          <t>-</t>
        </is>
      </c>
      <c r="K1328" s="1395">
        <f>IF(raw[[#This Row],[city]]&lt;&gt;"",_xlfn.XLOOKUP($D1328,ccc[city],ccc[prov],"-"),"-")</f>
        <v/>
      </c>
      <c r="L1328" s="1395">
        <f>IF(raw[[#This Row],[city]]&lt;&gt;"",_xlfn.XLOOKUP($D1328,ccc[city],ccc[ctry],"-"),"-")</f>
        <v/>
      </c>
      <c r="M1328" s="1395">
        <f>IF(raw[[#This Row],[city]]&lt;&gt;"",_xlfn.XLOOKUP($D1328,ccc[city],ccc[cont],"-"),"-")</f>
        <v/>
      </c>
      <c r="N1328" s="1396">
        <f>IF(raw[[#This Row],[city]]="","-",IF(raw[[#This Row],[cont]]="B",raw[[#This Row],[cont]],"W"))</f>
        <v/>
      </c>
      <c r="O1328" s="1397">
        <f>IF(raw[[#This Row],[out]]=0,0,IF(raw[[#This Row],[out]]=raw[[#This Row],[in]],0.01,raw[[#This Row],[out]]-raw[[#This Row],[in]]))</f>
        <v/>
      </c>
      <c r="P1328" s="1397">
        <f>IF(raw[[#This Row],[in]]=0,0,MONTH(raw[[#This Row],[in]]))</f>
        <v/>
      </c>
      <c r="Q1328" s="1397">
        <f>IF(raw[[#This Row],[in]]=0,0,YEAR(raw[[#This Row],[in]]))</f>
        <v/>
      </c>
      <c r="R1328" s="1397">
        <f>INT(raw[[#This Row],[yr]]/10)*10</f>
        <v/>
      </c>
      <c r="S1328" s="1395">
        <f>IF(raw[[#This Row],[city]]="","-",IF(raw[[#This Row],[city]]&lt;&gt;_xlfn.XLOOKUP(raw[[#This Row],[home]],homes[home],homes[city],"-"),1,0))</f>
        <v/>
      </c>
      <c r="T1328" s="1398" t="inlineStr">
        <is>
          <t>.</t>
        </is>
      </c>
      <c r="U1328" s="1399">
        <f>IF(raw[[#This Row],[wb]]="w",raw[[#This Row],[stay]]+U1327,U1327)</f>
        <v/>
      </c>
      <c r="V1328" s="1400">
        <f>IF(raw[[#This Row],[out]]=0,V1327,(raw[[#This Row],[out]]-E$5))</f>
        <v/>
      </c>
      <c r="W1328" s="1401">
        <f>U1328/V1328</f>
        <v/>
      </c>
      <c r="X1328" s="1392" t="n"/>
      <c r="Y1328" s="1392" t="n"/>
      <c r="Z1328" s="1392" t="n"/>
      <c r="AA1328" s="1392" t="n"/>
      <c r="AB1328" s="1392" t="n"/>
      <c r="AC1328" s="1392" t="n"/>
      <c r="AD1328" s="1392" t="n"/>
      <c r="AE1328" s="1392" t="n"/>
      <c r="AF1328" s="1392" t="n"/>
      <c r="AG1328" s="1392" t="n"/>
      <c r="AH1328" s="1392" t="n"/>
      <c r="AI1328" s="1392" t="n"/>
      <c r="AJ1328" s="1392" t="n"/>
      <c r="AK1328" s="1392" t="n"/>
      <c r="AL1328" s="1392" t="n"/>
      <c r="AM1328" s="1392" t="n"/>
      <c r="AN1328" s="1392" t="n"/>
      <c r="AO1328" s="1392" t="n"/>
      <c r="AP1328" s="1392" t="n"/>
      <c r="AQ1328" s="1392" t="n"/>
      <c r="AR1328" s="1422" t="n"/>
      <c r="AS1328" s="1422" t="n"/>
      <c r="AT1328" s="1392" t="n"/>
      <c r="AU1328" s="1392" t="n"/>
      <c r="AV1328" s="1392" t="n"/>
      <c r="AW1328" s="1392" t="n"/>
      <c r="AX1328" s="1392" t="n"/>
      <c r="AY1328" s="1392" t="n"/>
      <c r="AZ1328" s="1392" t="n"/>
      <c r="BA1328" s="1422" t="n"/>
      <c r="BB1328" s="1422" t="n"/>
      <c r="BC1328" s="1392" t="n"/>
      <c r="BD1328" s="1392" t="n"/>
      <c r="BE1328" s="1392" t="n"/>
      <c r="BF1328" s="1392" t="n"/>
      <c r="BG1328" s="1392" t="n"/>
      <c r="BH1328" s="1392" t="n"/>
      <c r="BI1328" s="1392" t="n"/>
      <c r="BJ1328" s="1392" t="n"/>
      <c r="BK1328" s="1392" t="n"/>
      <c r="BL1328" s="1392" t="n"/>
      <c r="BM1328" s="1392" t="n"/>
      <c r="BN1328" s="1392" t="n"/>
      <c r="BO1328" s="1392" t="n"/>
      <c r="BP1328" s="1392" t="n"/>
      <c r="BQ1328" s="1392" t="n"/>
      <c r="BR1328" s="1392" t="n"/>
      <c r="BS1328" s="1392" t="n"/>
      <c r="BT1328" s="1392" t="n"/>
      <c r="BU1328" s="1392" t="n"/>
      <c r="BV1328" s="1392" t="n"/>
      <c r="BW1328" s="1392" t="n"/>
      <c r="BX1328" s="1392" t="n"/>
      <c r="BY1328" s="1392" t="n"/>
      <c r="BZ1328" s="1392" t="n"/>
      <c r="CA1328" s="1392" t="n"/>
      <c r="CB1328" s="1392" t="n"/>
      <c r="CC1328" s="1392" t="n"/>
      <c r="CD1328" s="1392" t="n"/>
      <c r="CE1328" s="1392" t="n"/>
      <c r="CF1328" s="1392" t="n"/>
      <c r="CG1328" s="1392" t="n"/>
      <c r="CH1328" s="1392" t="n"/>
      <c r="CI1328" s="1392" t="n"/>
      <c r="CJ1328" s="1392" t="n"/>
      <c r="CK1328" s="1392" t="n"/>
      <c r="CL1328" s="1392" t="n"/>
    </row>
    <row r="1329">
      <c r="A1329" s="5" t="inlineStr">
        <is>
          <t>.</t>
        </is>
      </c>
      <c r="B1329" s="5" t="inlineStr">
        <is>
          <t>.</t>
        </is>
      </c>
      <c r="C1329" s="1378">
        <f>IF(raw[[#This Row],[city]]="","-",IF(raw[[#This Row],[city]]="TODAY","-",C1328+1))</f>
        <v/>
      </c>
      <c r="D1329" s="1393" t="inlineStr">
        <is>
          <t>SSA</t>
        </is>
      </c>
      <c r="E1329" s="1394" t="n">
        <v>41652</v>
      </c>
      <c r="F1329" s="1394" t="n">
        <v>41657</v>
      </c>
      <c r="G1329" s="1393" t="n">
        <v>1</v>
      </c>
      <c r="H1329" s="1393" t="inlineStr">
        <is>
          <t>Beatty</t>
        </is>
      </c>
      <c r="I1329" s="1393" t="inlineStr">
        <is>
          <t>Ondina</t>
        </is>
      </c>
      <c r="J1329" s="1393" t="inlineStr">
        <is>
          <t>-</t>
        </is>
      </c>
      <c r="K1329" s="1395">
        <f>IF(raw[[#This Row],[city]]&lt;&gt;"",_xlfn.XLOOKUP($D1329,ccc[city],ccc[prov],"-"),"-")</f>
        <v/>
      </c>
      <c r="L1329" s="1395">
        <f>IF(raw[[#This Row],[city]]&lt;&gt;"",_xlfn.XLOOKUP($D1329,ccc[city],ccc[ctry],"-"),"-")</f>
        <v/>
      </c>
      <c r="M1329" s="1395">
        <f>IF(raw[[#This Row],[city]]&lt;&gt;"",_xlfn.XLOOKUP($D1329,ccc[city],ccc[cont],"-"),"-")</f>
        <v/>
      </c>
      <c r="N1329" s="1396">
        <f>IF(raw[[#This Row],[city]]="","-",IF(raw[[#This Row],[cont]]="B",raw[[#This Row],[cont]],"W"))</f>
        <v/>
      </c>
      <c r="O1329" s="1397">
        <f>IF(raw[[#This Row],[out]]=0,0,IF(raw[[#This Row],[out]]=raw[[#This Row],[in]],0.01,raw[[#This Row],[out]]-raw[[#This Row],[in]]))</f>
        <v/>
      </c>
      <c r="P1329" s="1397">
        <f>IF(raw[[#This Row],[in]]=0,0,MONTH(raw[[#This Row],[in]]))</f>
        <v/>
      </c>
      <c r="Q1329" s="1397">
        <f>IF(raw[[#This Row],[in]]=0,0,YEAR(raw[[#This Row],[in]]))</f>
        <v/>
      </c>
      <c r="R1329" s="1397">
        <f>INT(raw[[#This Row],[yr]]/10)*10</f>
        <v/>
      </c>
      <c r="S1329" s="1395">
        <f>IF(raw[[#This Row],[city]]="","-",IF(raw[[#This Row],[city]]&lt;&gt;_xlfn.XLOOKUP(raw[[#This Row],[home]],homes[home],homes[city],"-"),1,0))</f>
        <v/>
      </c>
      <c r="T1329" s="1398" t="inlineStr">
        <is>
          <t>.</t>
        </is>
      </c>
      <c r="U1329" s="1399">
        <f>IF(raw[[#This Row],[wb]]="w",raw[[#This Row],[stay]]+U1328,U1328)</f>
        <v/>
      </c>
      <c r="V1329" s="1400">
        <f>IF(raw[[#This Row],[out]]=0,V1328,(raw[[#This Row],[out]]-E$5))</f>
        <v/>
      </c>
      <c r="W1329" s="1401">
        <f>U1329/V1329</f>
        <v/>
      </c>
      <c r="X1329" s="1392" t="n"/>
      <c r="Y1329" s="1392" t="n"/>
      <c r="Z1329" s="1392" t="n"/>
      <c r="AA1329" s="1392" t="n"/>
      <c r="AB1329" s="1392" t="n"/>
      <c r="AC1329" s="1392" t="n"/>
      <c r="AD1329" s="1392" t="n"/>
      <c r="AE1329" s="1392" t="n"/>
      <c r="AF1329" s="1392" t="n"/>
      <c r="AG1329" s="1392" t="n"/>
      <c r="AH1329" s="1392" t="n"/>
      <c r="AI1329" s="1392" t="n"/>
      <c r="AJ1329" s="1392" t="n"/>
      <c r="AK1329" s="1392" t="n"/>
      <c r="AL1329" s="1392" t="n"/>
      <c r="AM1329" s="1392" t="n"/>
      <c r="AN1329" s="1392" t="n"/>
      <c r="AO1329" s="1392" t="n"/>
      <c r="AP1329" s="1392" t="n"/>
      <c r="AQ1329" s="1392" t="n"/>
      <c r="AR1329" s="1422" t="n"/>
      <c r="AS1329" s="1422" t="n"/>
      <c r="AT1329" s="1392" t="n"/>
      <c r="AU1329" s="1392" t="n"/>
      <c r="AV1329" s="1392" t="n"/>
      <c r="AW1329" s="1392" t="n"/>
      <c r="AX1329" s="1392" t="n"/>
      <c r="AY1329" s="1392" t="n"/>
      <c r="AZ1329" s="1392" t="n"/>
      <c r="BA1329" s="1422" t="n"/>
      <c r="BB1329" s="1422" t="n"/>
      <c r="BC1329" s="1392" t="n"/>
      <c r="BD1329" s="1392" t="n"/>
      <c r="BE1329" s="1392" t="n"/>
      <c r="BF1329" s="1392" t="n"/>
      <c r="BG1329" s="1392" t="n"/>
      <c r="BH1329" s="1392" t="n"/>
      <c r="BI1329" s="1392" t="n"/>
      <c r="BJ1329" s="1392" t="n"/>
      <c r="BK1329" s="1392" t="n"/>
      <c r="BL1329" s="1392" t="n"/>
      <c r="BM1329" s="1392" t="n"/>
      <c r="BN1329" s="1392" t="n"/>
      <c r="BO1329" s="1392" t="n"/>
      <c r="BP1329" s="1392" t="n"/>
      <c r="BQ1329" s="1392" t="n"/>
      <c r="BR1329" s="1392" t="n"/>
      <c r="BS1329" s="1392" t="n"/>
      <c r="BT1329" s="1392" t="n"/>
      <c r="BU1329" s="1392" t="n"/>
      <c r="BV1329" s="1392" t="n"/>
      <c r="BW1329" s="1392" t="n"/>
      <c r="BX1329" s="1392" t="n"/>
      <c r="BY1329" s="1392" t="n"/>
      <c r="BZ1329" s="1392" t="n"/>
      <c r="CA1329" s="1392" t="n"/>
      <c r="CB1329" s="1392" t="n"/>
      <c r="CC1329" s="1392" t="n"/>
      <c r="CD1329" s="1392" t="n"/>
      <c r="CE1329" s="1392" t="n"/>
      <c r="CF1329" s="1392" t="n"/>
      <c r="CG1329" s="1392" t="n"/>
      <c r="CH1329" s="1392" t="n"/>
      <c r="CI1329" s="1392" t="n"/>
      <c r="CJ1329" s="1392" t="n"/>
      <c r="CK1329" s="1392" t="n"/>
      <c r="CL1329" s="1392" t="n"/>
    </row>
    <row r="1330">
      <c r="A1330" s="5" t="inlineStr">
        <is>
          <t>.</t>
        </is>
      </c>
      <c r="B1330" s="5" t="inlineStr">
        <is>
          <t>.</t>
        </is>
      </c>
      <c r="C1330" s="1378">
        <f>IF(raw[[#This Row],[city]]="","-",IF(raw[[#This Row],[city]]="TODAY","-",C1329+1))</f>
        <v/>
      </c>
      <c r="D1330" s="1393" t="inlineStr">
        <is>
          <t>Miami</t>
        </is>
      </c>
      <c r="E1330" s="1394" t="n">
        <v>41657</v>
      </c>
      <c r="F1330" s="1394" t="n">
        <v>41657</v>
      </c>
      <c r="G1330" s="1393" t="n">
        <v>0.01</v>
      </c>
      <c r="H1330" s="1393" t="inlineStr">
        <is>
          <t>Beatty</t>
        </is>
      </c>
      <c r="I1330" s="1393" t="inlineStr">
        <is>
          <t>-</t>
        </is>
      </c>
      <c r="J1330" s="1393" t="inlineStr">
        <is>
          <t>-</t>
        </is>
      </c>
      <c r="K1330" s="1395">
        <f>IF(raw[[#This Row],[city]]&lt;&gt;"",_xlfn.XLOOKUP($D1330,ccc[city],ccc[prov],"-"),"-")</f>
        <v/>
      </c>
      <c r="L1330" s="1395">
        <f>IF(raw[[#This Row],[city]]&lt;&gt;"",_xlfn.XLOOKUP($D1330,ccc[city],ccc[ctry],"-"),"-")</f>
        <v/>
      </c>
      <c r="M1330" s="1395">
        <f>IF(raw[[#This Row],[city]]&lt;&gt;"",_xlfn.XLOOKUP($D1330,ccc[city],ccc[cont],"-"),"-")</f>
        <v/>
      </c>
      <c r="N1330" s="1396">
        <f>IF(raw[[#This Row],[city]]="","-",IF(raw[[#This Row],[cont]]="B",raw[[#This Row],[cont]],"W"))</f>
        <v/>
      </c>
      <c r="O1330" s="1397">
        <f>IF(raw[[#This Row],[out]]=0,0,IF(raw[[#This Row],[out]]=raw[[#This Row],[in]],0.01,raw[[#This Row],[out]]-raw[[#This Row],[in]]))</f>
        <v/>
      </c>
      <c r="P1330" s="1397">
        <f>IF(raw[[#This Row],[in]]=0,0,MONTH(raw[[#This Row],[in]]))</f>
        <v/>
      </c>
      <c r="Q1330" s="1397">
        <f>IF(raw[[#This Row],[in]]=0,0,YEAR(raw[[#This Row],[in]]))</f>
        <v/>
      </c>
      <c r="R1330" s="1397">
        <f>INT(raw[[#This Row],[yr]]/10)*10</f>
        <v/>
      </c>
      <c r="S1330" s="1395">
        <f>IF(raw[[#This Row],[city]]="","-",IF(raw[[#This Row],[city]]&lt;&gt;_xlfn.XLOOKUP(raw[[#This Row],[home]],homes[home],homes[city],"-"),1,0))</f>
        <v/>
      </c>
      <c r="T1330" s="1398" t="inlineStr">
        <is>
          <t>.</t>
        </is>
      </c>
      <c r="U1330" s="1399">
        <f>IF(raw[[#This Row],[wb]]="w",raw[[#This Row],[stay]]+U1329,U1329)</f>
        <v/>
      </c>
      <c r="V1330" s="1400">
        <f>IF(raw[[#This Row],[out]]=0,V1329,(raw[[#This Row],[out]]-E$5))</f>
        <v/>
      </c>
      <c r="W1330" s="1401">
        <f>U1330/V1330</f>
        <v/>
      </c>
      <c r="X1330" s="1392" t="n"/>
      <c r="Y1330" s="1392" t="n"/>
      <c r="Z1330" s="1392" t="n"/>
      <c r="AA1330" s="1392" t="n"/>
      <c r="AB1330" s="1392" t="n"/>
      <c r="AC1330" s="1392" t="n"/>
      <c r="AD1330" s="1392" t="n"/>
      <c r="AE1330" s="1392" t="n"/>
      <c r="AF1330" s="1392" t="n"/>
      <c r="AG1330" s="1392" t="n"/>
      <c r="AH1330" s="1392" t="n"/>
      <c r="AI1330" s="1392" t="n"/>
      <c r="AJ1330" s="1392" t="n"/>
      <c r="AK1330" s="1392" t="n"/>
      <c r="AL1330" s="1392" t="n"/>
      <c r="AM1330" s="1392" t="n"/>
      <c r="AN1330" s="1392" t="n"/>
      <c r="AO1330" s="1392" t="n"/>
      <c r="AP1330" s="1392" t="n"/>
      <c r="AQ1330" s="1392" t="n"/>
      <c r="AR1330" s="1422" t="n"/>
      <c r="AS1330" s="1422" t="n"/>
      <c r="AT1330" s="1392" t="n"/>
      <c r="AU1330" s="1392" t="n"/>
      <c r="AV1330" s="1392" t="n"/>
      <c r="AW1330" s="1392" t="n"/>
      <c r="AX1330" s="1392" t="n"/>
      <c r="AY1330" s="1392" t="n"/>
      <c r="AZ1330" s="1392" t="n"/>
      <c r="BA1330" s="1422" t="n"/>
      <c r="BB1330" s="1422" t="n"/>
      <c r="BC1330" s="1392" t="n"/>
      <c r="BD1330" s="1392" t="n"/>
      <c r="BE1330" s="1392" t="n"/>
      <c r="BF1330" s="1392" t="n"/>
      <c r="BG1330" s="1392" t="n"/>
      <c r="BH1330" s="1392" t="n"/>
      <c r="BI1330" s="1392" t="n"/>
      <c r="BJ1330" s="1392" t="n"/>
      <c r="BK1330" s="1392" t="n"/>
      <c r="BL1330" s="1392" t="n"/>
      <c r="BM1330" s="1392" t="n"/>
      <c r="BN1330" s="1392" t="n"/>
      <c r="BO1330" s="1392" t="n"/>
      <c r="BP1330" s="1392" t="n"/>
      <c r="BQ1330" s="1392" t="n"/>
      <c r="BR1330" s="1392" t="n"/>
      <c r="BS1330" s="1392" t="n"/>
      <c r="BT1330" s="1392" t="n"/>
      <c r="BU1330" s="1392" t="n"/>
      <c r="BV1330" s="1392" t="n"/>
      <c r="BW1330" s="1392" t="n"/>
      <c r="BX1330" s="1392" t="n"/>
      <c r="BY1330" s="1392" t="n"/>
      <c r="BZ1330" s="1392" t="n"/>
      <c r="CA1330" s="1392" t="n"/>
      <c r="CB1330" s="1392" t="n"/>
      <c r="CC1330" s="1392" t="n"/>
      <c r="CD1330" s="1392" t="n"/>
      <c r="CE1330" s="1392" t="n"/>
      <c r="CF1330" s="1392" t="n"/>
      <c r="CG1330" s="1392" t="n"/>
      <c r="CH1330" s="1392" t="n"/>
      <c r="CI1330" s="1392" t="n"/>
      <c r="CJ1330" s="1392" t="n"/>
      <c r="CK1330" s="1392" t="n"/>
      <c r="CL1330" s="1392" t="n"/>
    </row>
    <row r="1331">
      <c r="A1331" s="5" t="inlineStr">
        <is>
          <t>.</t>
        </is>
      </c>
      <c r="B1331" s="5" t="inlineStr">
        <is>
          <t>.</t>
        </is>
      </c>
      <c r="C1331" s="1378">
        <f>IF(raw[[#This Row],[city]]="","-",IF(raw[[#This Row],[city]]="TODAY","-",C1330+1))</f>
        <v/>
      </c>
      <c r="D1331" s="1393" t="inlineStr">
        <is>
          <t>Montreal</t>
        </is>
      </c>
      <c r="E1331" s="1394" t="n">
        <v>41657</v>
      </c>
      <c r="F1331" s="1394" t="n">
        <v>41671</v>
      </c>
      <c r="G1331" s="1393" t="inlineStr">
        <is>
          <t>-</t>
        </is>
      </c>
      <c r="H1331" s="1393" t="inlineStr">
        <is>
          <t>Beatty</t>
        </is>
      </c>
      <c r="I1331" s="1393" t="inlineStr">
        <is>
          <t>-</t>
        </is>
      </c>
      <c r="J1331" s="1393" t="inlineStr">
        <is>
          <t>-</t>
        </is>
      </c>
      <c r="K1331" s="1395">
        <f>IF(raw[[#This Row],[city]]&lt;&gt;"",_xlfn.XLOOKUP($D1331,ccc[city],ccc[prov],"-"),"-")</f>
        <v/>
      </c>
      <c r="L1331" s="1395">
        <f>IF(raw[[#This Row],[city]]&lt;&gt;"",_xlfn.XLOOKUP($D1331,ccc[city],ccc[ctry],"-"),"-")</f>
        <v/>
      </c>
      <c r="M1331" s="1395">
        <f>IF(raw[[#This Row],[city]]&lt;&gt;"",_xlfn.XLOOKUP($D1331,ccc[city],ccc[cont],"-"),"-")</f>
        <v/>
      </c>
      <c r="N1331" s="1396">
        <f>IF(raw[[#This Row],[city]]="","-",IF(raw[[#This Row],[cont]]="B",raw[[#This Row],[cont]],"W"))</f>
        <v/>
      </c>
      <c r="O1331" s="1397">
        <f>IF(raw[[#This Row],[out]]=0,0,IF(raw[[#This Row],[out]]=raw[[#This Row],[in]],0.01,raw[[#This Row],[out]]-raw[[#This Row],[in]]))</f>
        <v/>
      </c>
      <c r="P1331" s="1397">
        <f>IF(raw[[#This Row],[in]]=0,0,MONTH(raw[[#This Row],[in]]))</f>
        <v/>
      </c>
      <c r="Q1331" s="1397">
        <f>IF(raw[[#This Row],[in]]=0,0,YEAR(raw[[#This Row],[in]]))</f>
        <v/>
      </c>
      <c r="R1331" s="1397">
        <f>INT(raw[[#This Row],[yr]]/10)*10</f>
        <v/>
      </c>
      <c r="S1331" s="1395">
        <f>IF(raw[[#This Row],[city]]="","-",IF(raw[[#This Row],[city]]&lt;&gt;_xlfn.XLOOKUP(raw[[#This Row],[home]],homes[home],homes[city],"-"),1,0))</f>
        <v/>
      </c>
      <c r="T1331" s="1398" t="inlineStr">
        <is>
          <t>.</t>
        </is>
      </c>
      <c r="U1331" s="1399">
        <f>IF(raw[[#This Row],[wb]]="w",raw[[#This Row],[stay]]+U1330,U1330)</f>
        <v/>
      </c>
      <c r="V1331" s="1400">
        <f>IF(raw[[#This Row],[out]]=0,V1330,(raw[[#This Row],[out]]-E$5))</f>
        <v/>
      </c>
      <c r="W1331" s="1401">
        <f>U1331/V1331</f>
        <v/>
      </c>
      <c r="X1331" s="1392" t="n"/>
      <c r="Y1331" s="1392" t="n"/>
      <c r="Z1331" s="1392" t="n"/>
      <c r="AA1331" s="1392" t="n"/>
      <c r="AB1331" s="1392" t="n"/>
      <c r="AC1331" s="1392" t="n"/>
      <c r="AD1331" s="1392" t="n"/>
      <c r="AE1331" s="1392" t="n"/>
      <c r="AF1331" s="1392" t="n"/>
      <c r="AG1331" s="1392" t="n"/>
      <c r="AH1331" s="1392" t="n"/>
      <c r="AI1331" s="1392" t="n"/>
      <c r="AJ1331" s="1392" t="n"/>
      <c r="AK1331" s="1392" t="n"/>
      <c r="AL1331" s="1392" t="n"/>
      <c r="AM1331" s="1392" t="n"/>
      <c r="AN1331" s="1392" t="n"/>
      <c r="AO1331" s="1392" t="n"/>
      <c r="AP1331" s="1392" t="n"/>
      <c r="AQ1331" s="1392" t="n"/>
      <c r="AR1331" s="1422" t="n"/>
      <c r="AS1331" s="1422" t="n"/>
      <c r="AT1331" s="1392" t="n"/>
      <c r="AU1331" s="1392" t="n"/>
      <c r="AV1331" s="1392" t="n"/>
      <c r="AW1331" s="1392" t="n"/>
      <c r="AX1331" s="1392" t="n"/>
      <c r="AY1331" s="1392" t="n"/>
      <c r="AZ1331" s="1392" t="n"/>
      <c r="BA1331" s="1422" t="n"/>
      <c r="BB1331" s="1422" t="n"/>
      <c r="BC1331" s="1392" t="n"/>
      <c r="BD1331" s="1392" t="n"/>
      <c r="BE1331" s="1392" t="n"/>
      <c r="BF1331" s="1392" t="n"/>
      <c r="BG1331" s="1392" t="n"/>
      <c r="BH1331" s="1392" t="n"/>
      <c r="BI1331" s="1392" t="n"/>
      <c r="BJ1331" s="1392" t="n"/>
      <c r="BK1331" s="1392" t="n"/>
      <c r="BL1331" s="1392" t="n"/>
      <c r="BM1331" s="1392" t="n"/>
      <c r="BN1331" s="1392" t="n"/>
      <c r="BO1331" s="1392" t="n"/>
      <c r="BP1331" s="1392" t="n"/>
      <c r="BQ1331" s="1392" t="n"/>
      <c r="BR1331" s="1392" t="n"/>
      <c r="BS1331" s="1392" t="n"/>
      <c r="BT1331" s="1392" t="n"/>
      <c r="BU1331" s="1392" t="n"/>
      <c r="BV1331" s="1392" t="n"/>
      <c r="BW1331" s="1392" t="n"/>
      <c r="BX1331" s="1392" t="n"/>
      <c r="BY1331" s="1392" t="n"/>
      <c r="BZ1331" s="1392" t="n"/>
      <c r="CA1331" s="1392" t="n"/>
      <c r="CB1331" s="1392" t="n"/>
      <c r="CC1331" s="1392" t="n"/>
      <c r="CD1331" s="1392" t="n"/>
      <c r="CE1331" s="1392" t="n"/>
      <c r="CF1331" s="1392" t="n"/>
      <c r="CG1331" s="1392" t="n"/>
      <c r="CH1331" s="1392" t="n"/>
      <c r="CI1331" s="1392" t="n"/>
      <c r="CJ1331" s="1392" t="n"/>
      <c r="CK1331" s="1392" t="n"/>
      <c r="CL1331" s="1392" t="n"/>
    </row>
    <row r="1332">
      <c r="A1332" s="5" t="inlineStr">
        <is>
          <t>.</t>
        </is>
      </c>
      <c r="B1332" s="5" t="inlineStr">
        <is>
          <t>.</t>
        </is>
      </c>
      <c r="C1332" s="1378">
        <f>IF(raw[[#This Row],[city]]="","-",IF(raw[[#This Row],[city]]="TODAY","-",C1331+1))</f>
        <v/>
      </c>
      <c r="D1332" s="1393" t="inlineStr">
        <is>
          <t>Montreal</t>
        </is>
      </c>
      <c r="E1332" s="1394" t="n">
        <v>41671</v>
      </c>
      <c r="F1332" s="1394" t="n">
        <v>41697</v>
      </c>
      <c r="G1332" s="1393" t="inlineStr">
        <is>
          <t>-</t>
        </is>
      </c>
      <c r="H1332" s="1393" t="inlineStr">
        <is>
          <t>Beatty</t>
        </is>
      </c>
      <c r="I1332" s="1393" t="inlineStr">
        <is>
          <t>-</t>
        </is>
      </c>
      <c r="J1332" s="1393" t="inlineStr">
        <is>
          <t>-</t>
        </is>
      </c>
      <c r="K1332" s="1395">
        <f>IF(raw[[#This Row],[city]]&lt;&gt;"",_xlfn.XLOOKUP($D1332,ccc[city],ccc[prov],"-"),"-")</f>
        <v/>
      </c>
      <c r="L1332" s="1395">
        <f>IF(raw[[#This Row],[city]]&lt;&gt;"",_xlfn.XLOOKUP($D1332,ccc[city],ccc[ctry],"-"),"-")</f>
        <v/>
      </c>
      <c r="M1332" s="1395">
        <f>IF(raw[[#This Row],[city]]&lt;&gt;"",_xlfn.XLOOKUP($D1332,ccc[city],ccc[cont],"-"),"-")</f>
        <v/>
      </c>
      <c r="N1332" s="1396">
        <f>IF(raw[[#This Row],[city]]="","-",IF(raw[[#This Row],[cont]]="B",raw[[#This Row],[cont]],"W"))</f>
        <v/>
      </c>
      <c r="O1332" s="1397">
        <f>IF(raw[[#This Row],[out]]=0,0,IF(raw[[#This Row],[out]]=raw[[#This Row],[in]],0.01,raw[[#This Row],[out]]-raw[[#This Row],[in]]))</f>
        <v/>
      </c>
      <c r="P1332" s="1397">
        <f>IF(raw[[#This Row],[in]]=0,0,MONTH(raw[[#This Row],[in]]))</f>
        <v/>
      </c>
      <c r="Q1332" s="1397">
        <f>IF(raw[[#This Row],[in]]=0,0,YEAR(raw[[#This Row],[in]]))</f>
        <v/>
      </c>
      <c r="R1332" s="1397">
        <f>INT(raw[[#This Row],[yr]]/10)*10</f>
        <v/>
      </c>
      <c r="S1332" s="1395">
        <f>IF(raw[[#This Row],[city]]="","-",IF(raw[[#This Row],[city]]&lt;&gt;_xlfn.XLOOKUP(raw[[#This Row],[home]],homes[home],homes[city],"-"),1,0))</f>
        <v/>
      </c>
      <c r="T1332" s="1398" t="inlineStr">
        <is>
          <t>.</t>
        </is>
      </c>
      <c r="U1332" s="1399">
        <f>IF(raw[[#This Row],[wb]]="w",raw[[#This Row],[stay]]+U1331,U1331)</f>
        <v/>
      </c>
      <c r="V1332" s="1400">
        <f>IF(raw[[#This Row],[out]]=0,V1331,(raw[[#This Row],[out]]-E$5))</f>
        <v/>
      </c>
      <c r="W1332" s="1401">
        <f>U1332/V1332</f>
        <v/>
      </c>
      <c r="X1332" s="1392" t="n"/>
      <c r="Y1332" s="1392" t="n"/>
      <c r="Z1332" s="1392" t="n"/>
      <c r="AA1332" s="1392" t="n"/>
      <c r="AB1332" s="1392" t="n"/>
      <c r="AC1332" s="1392" t="n"/>
      <c r="AD1332" s="1392" t="n"/>
      <c r="AE1332" s="1392" t="n"/>
      <c r="AF1332" s="1392" t="n"/>
      <c r="AG1332" s="1392" t="n"/>
      <c r="AH1332" s="1392" t="n"/>
      <c r="AI1332" s="1392" t="n"/>
      <c r="AJ1332" s="1392" t="n"/>
      <c r="AK1332" s="1392" t="n"/>
      <c r="AL1332" s="1392" t="n"/>
      <c r="AM1332" s="1392" t="n"/>
      <c r="AN1332" s="1392" t="n"/>
      <c r="AO1332" s="1392" t="n"/>
      <c r="AP1332" s="1392" t="n"/>
      <c r="AQ1332" s="1392" t="n"/>
      <c r="AR1332" s="1422" t="n"/>
      <c r="AS1332" s="1422" t="n"/>
      <c r="AT1332" s="1392" t="n"/>
      <c r="AU1332" s="1392" t="n"/>
      <c r="AV1332" s="1392" t="n"/>
      <c r="AW1332" s="1392" t="n"/>
      <c r="AX1332" s="1392" t="n"/>
      <c r="AY1332" s="1392" t="n"/>
      <c r="AZ1332" s="1392" t="n"/>
      <c r="BA1332" s="1422" t="n"/>
      <c r="BB1332" s="1422" t="n"/>
      <c r="BC1332" s="1392" t="n"/>
      <c r="BD1332" s="1392" t="n"/>
      <c r="BE1332" s="1392" t="n"/>
      <c r="BF1332" s="1392" t="n"/>
      <c r="BG1332" s="1392" t="n"/>
      <c r="BH1332" s="1392" t="n"/>
      <c r="BI1332" s="1392" t="n"/>
      <c r="BJ1332" s="1392" t="n"/>
      <c r="BK1332" s="1392" t="n"/>
      <c r="BL1332" s="1392" t="n"/>
      <c r="BM1332" s="1392" t="n"/>
      <c r="BN1332" s="1392" t="n"/>
      <c r="BO1332" s="1392" t="n"/>
      <c r="BP1332" s="1392" t="n"/>
      <c r="BQ1332" s="1392" t="n"/>
      <c r="BR1332" s="1392" t="n"/>
      <c r="BS1332" s="1392" t="n"/>
      <c r="BT1332" s="1392" t="n"/>
      <c r="BU1332" s="1392" t="n"/>
      <c r="BV1332" s="1392" t="n"/>
      <c r="BW1332" s="1392" t="n"/>
      <c r="BX1332" s="1392" t="n"/>
      <c r="BY1332" s="1392" t="n"/>
      <c r="BZ1332" s="1392" t="n"/>
      <c r="CA1332" s="1392" t="n"/>
      <c r="CB1332" s="1392" t="n"/>
      <c r="CC1332" s="1392" t="n"/>
      <c r="CD1332" s="1392" t="n"/>
      <c r="CE1332" s="1392" t="n"/>
      <c r="CF1332" s="1392" t="n"/>
      <c r="CG1332" s="1392" t="n"/>
      <c r="CH1332" s="1392" t="n"/>
      <c r="CI1332" s="1392" t="n"/>
      <c r="CJ1332" s="1392" t="n"/>
      <c r="CK1332" s="1392" t="n"/>
      <c r="CL1332" s="1392" t="n"/>
    </row>
    <row r="1333">
      <c r="A1333" s="5" t="inlineStr">
        <is>
          <t>.</t>
        </is>
      </c>
      <c r="B1333" s="5" t="inlineStr">
        <is>
          <t>.</t>
        </is>
      </c>
      <c r="C1333" s="1378">
        <f>IF(raw[[#This Row],[city]]="","-",IF(raw[[#This Row],[city]]="TODAY","-",C1332+1))</f>
        <v/>
      </c>
      <c r="D1333" s="1393" t="inlineStr">
        <is>
          <t>Mont-Tremblant</t>
        </is>
      </c>
      <c r="E1333" s="1394" t="n">
        <v>41697</v>
      </c>
      <c r="F1333" s="1394" t="n">
        <v>41699</v>
      </c>
      <c r="G1333" s="1393" t="inlineStr">
        <is>
          <t>-</t>
        </is>
      </c>
      <c r="H1333" s="1393" t="inlineStr">
        <is>
          <t>Beatty</t>
        </is>
      </c>
      <c r="I1333" s="1393" t="inlineStr">
        <is>
          <t>-</t>
        </is>
      </c>
      <c r="J1333" s="1393" t="inlineStr">
        <is>
          <t>-</t>
        </is>
      </c>
      <c r="K1333" s="1395">
        <f>IF(raw[[#This Row],[city]]&lt;&gt;"",_xlfn.XLOOKUP($D1333,ccc[city],ccc[prov],"-"),"-")</f>
        <v/>
      </c>
      <c r="L1333" s="1395">
        <f>IF(raw[[#This Row],[city]]&lt;&gt;"",_xlfn.XLOOKUP($D1333,ccc[city],ccc[ctry],"-"),"-")</f>
        <v/>
      </c>
      <c r="M1333" s="1395">
        <f>IF(raw[[#This Row],[city]]&lt;&gt;"",_xlfn.XLOOKUP($D1333,ccc[city],ccc[cont],"-"),"-")</f>
        <v/>
      </c>
      <c r="N1333" s="1396">
        <f>IF(raw[[#This Row],[city]]="","-",IF(raw[[#This Row],[cont]]="B",raw[[#This Row],[cont]],"W"))</f>
        <v/>
      </c>
      <c r="O1333" s="1397">
        <f>IF(raw[[#This Row],[out]]=0,0,IF(raw[[#This Row],[out]]=raw[[#This Row],[in]],0.01,raw[[#This Row],[out]]-raw[[#This Row],[in]]))</f>
        <v/>
      </c>
      <c r="P1333" s="1397">
        <f>IF(raw[[#This Row],[in]]=0,0,MONTH(raw[[#This Row],[in]]))</f>
        <v/>
      </c>
      <c r="Q1333" s="1397">
        <f>IF(raw[[#This Row],[in]]=0,0,YEAR(raw[[#This Row],[in]]))</f>
        <v/>
      </c>
      <c r="R1333" s="1397">
        <f>INT(raw[[#This Row],[yr]]/10)*10</f>
        <v/>
      </c>
      <c r="S1333" s="1395">
        <f>IF(raw[[#This Row],[city]]="","-",IF(raw[[#This Row],[city]]&lt;&gt;_xlfn.XLOOKUP(raw[[#This Row],[home]],homes[home],homes[city],"-"),1,0))</f>
        <v/>
      </c>
      <c r="T1333" s="1398" t="inlineStr">
        <is>
          <t>.</t>
        </is>
      </c>
      <c r="U1333" s="1399">
        <f>IF(raw[[#This Row],[wb]]="w",raw[[#This Row],[stay]]+U1332,U1332)</f>
        <v/>
      </c>
      <c r="V1333" s="1400">
        <f>IF(raw[[#This Row],[out]]=0,V1332,(raw[[#This Row],[out]]-E$5))</f>
        <v/>
      </c>
      <c r="W1333" s="1401">
        <f>U1333/V1333</f>
        <v/>
      </c>
      <c r="X1333" s="1392" t="n"/>
      <c r="Y1333" s="1392" t="n"/>
      <c r="Z1333" s="1392" t="n"/>
      <c r="AA1333" s="1392" t="n"/>
      <c r="AB1333" s="1392" t="n"/>
      <c r="AC1333" s="1392" t="n"/>
      <c r="AD1333" s="1392" t="n"/>
      <c r="AE1333" s="1392" t="n"/>
      <c r="AF1333" s="1392" t="n"/>
      <c r="AG1333" s="1392" t="n"/>
      <c r="AH1333" s="1392" t="n"/>
      <c r="AI1333" s="1392" t="n"/>
      <c r="AJ1333" s="1392" t="n"/>
      <c r="AK1333" s="1392" t="n"/>
      <c r="AL1333" s="1392" t="n"/>
      <c r="AM1333" s="1392" t="n"/>
      <c r="AN1333" s="1392" t="n"/>
      <c r="AO1333" s="1392" t="n"/>
      <c r="AP1333" s="1392" t="n"/>
      <c r="AQ1333" s="1392" t="n"/>
      <c r="AR1333" s="1422" t="n"/>
      <c r="AS1333" s="1422" t="n"/>
      <c r="AT1333" s="1392" t="n"/>
      <c r="AU1333" s="1392" t="n"/>
      <c r="AV1333" s="1392" t="n"/>
      <c r="AW1333" s="1392" t="n"/>
      <c r="AX1333" s="1392" t="n"/>
      <c r="AY1333" s="1392" t="n"/>
      <c r="AZ1333" s="1392" t="n"/>
      <c r="BA1333" s="1422" t="n"/>
      <c r="BB1333" s="1422" t="n"/>
      <c r="BC1333" s="1392" t="n"/>
      <c r="BD1333" s="1392" t="n"/>
      <c r="BE1333" s="1392" t="n"/>
      <c r="BF1333" s="1392" t="n"/>
      <c r="BG1333" s="1392" t="n"/>
      <c r="BH1333" s="1392" t="n"/>
      <c r="BI1333" s="1392" t="n"/>
      <c r="BJ1333" s="1392" t="n"/>
      <c r="BK1333" s="1392" t="n"/>
      <c r="BL1333" s="1392" t="n"/>
      <c r="BM1333" s="1392" t="n"/>
      <c r="BN1333" s="1392" t="n"/>
      <c r="BO1333" s="1392" t="n"/>
      <c r="BP1333" s="1392" t="n"/>
      <c r="BQ1333" s="1392" t="n"/>
      <c r="BR1333" s="1392" t="n"/>
      <c r="BS1333" s="1392" t="n"/>
      <c r="BT1333" s="1392" t="n"/>
      <c r="BU1333" s="1392" t="n"/>
      <c r="BV1333" s="1392" t="n"/>
      <c r="BW1333" s="1392" t="n"/>
      <c r="BX1333" s="1392" t="n"/>
      <c r="BY1333" s="1392" t="n"/>
      <c r="BZ1333" s="1392" t="n"/>
      <c r="CA1333" s="1392" t="n"/>
      <c r="CB1333" s="1392" t="n"/>
      <c r="CC1333" s="1392" t="n"/>
      <c r="CD1333" s="1392" t="n"/>
      <c r="CE1333" s="1392" t="n"/>
      <c r="CF1333" s="1392" t="n"/>
      <c r="CG1333" s="1392" t="n"/>
      <c r="CH1333" s="1392" t="n"/>
      <c r="CI1333" s="1392" t="n"/>
      <c r="CJ1333" s="1392" t="n"/>
      <c r="CK1333" s="1392" t="n"/>
      <c r="CL1333" s="1392" t="n"/>
    </row>
    <row r="1334">
      <c r="A1334" s="5" t="inlineStr">
        <is>
          <t>.</t>
        </is>
      </c>
      <c r="B1334" s="5" t="inlineStr">
        <is>
          <t>.</t>
        </is>
      </c>
      <c r="C1334" s="1378">
        <f>IF(raw[[#This Row],[city]]="","-",IF(raw[[#This Row],[city]]="TODAY","-",C1333+1))</f>
        <v/>
      </c>
      <c r="D1334" s="1393" t="inlineStr">
        <is>
          <t>Mont-Tremblant</t>
        </is>
      </c>
      <c r="E1334" s="1394" t="n">
        <v>41699</v>
      </c>
      <c r="F1334" s="1394" t="n">
        <v>41700</v>
      </c>
      <c r="G1334" s="1393" t="inlineStr">
        <is>
          <t>-</t>
        </is>
      </c>
      <c r="H1334" s="1393" t="inlineStr">
        <is>
          <t>Beatty</t>
        </is>
      </c>
      <c r="I1334" s="1393" t="inlineStr">
        <is>
          <t>-</t>
        </is>
      </c>
      <c r="J1334" s="1393" t="inlineStr">
        <is>
          <t>-</t>
        </is>
      </c>
      <c r="K1334" s="1395">
        <f>IF(raw[[#This Row],[city]]&lt;&gt;"",_xlfn.XLOOKUP($D1334,ccc[city],ccc[prov],"-"),"-")</f>
        <v/>
      </c>
      <c r="L1334" s="1395">
        <f>IF(raw[[#This Row],[city]]&lt;&gt;"",_xlfn.XLOOKUP($D1334,ccc[city],ccc[ctry],"-"),"-")</f>
        <v/>
      </c>
      <c r="M1334" s="1395">
        <f>IF(raw[[#This Row],[city]]&lt;&gt;"",_xlfn.XLOOKUP($D1334,ccc[city],ccc[cont],"-"),"-")</f>
        <v/>
      </c>
      <c r="N1334" s="1396">
        <f>IF(raw[[#This Row],[city]]="","-",IF(raw[[#This Row],[cont]]="B",raw[[#This Row],[cont]],"W"))</f>
        <v/>
      </c>
      <c r="O1334" s="1397">
        <f>IF(raw[[#This Row],[out]]=0,0,IF(raw[[#This Row],[out]]=raw[[#This Row],[in]],0.01,raw[[#This Row],[out]]-raw[[#This Row],[in]]))</f>
        <v/>
      </c>
      <c r="P1334" s="1397">
        <f>IF(raw[[#This Row],[in]]=0,0,MONTH(raw[[#This Row],[in]]))</f>
        <v/>
      </c>
      <c r="Q1334" s="1397">
        <f>IF(raw[[#This Row],[in]]=0,0,YEAR(raw[[#This Row],[in]]))</f>
        <v/>
      </c>
      <c r="R1334" s="1397">
        <f>INT(raw[[#This Row],[yr]]/10)*10</f>
        <v/>
      </c>
      <c r="S1334" s="1395">
        <f>IF(raw[[#This Row],[city]]="","-",IF(raw[[#This Row],[city]]&lt;&gt;_xlfn.XLOOKUP(raw[[#This Row],[home]],homes[home],homes[city],"-"),1,0))</f>
        <v/>
      </c>
      <c r="T1334" s="1398" t="inlineStr">
        <is>
          <t>.</t>
        </is>
      </c>
      <c r="U1334" s="1399">
        <f>IF(raw[[#This Row],[wb]]="w",raw[[#This Row],[stay]]+U1333,U1333)</f>
        <v/>
      </c>
      <c r="V1334" s="1400">
        <f>IF(raw[[#This Row],[out]]=0,V1333,(raw[[#This Row],[out]]-E$5))</f>
        <v/>
      </c>
      <c r="W1334" s="1401">
        <f>U1334/V1334</f>
        <v/>
      </c>
      <c r="X1334" s="1392" t="n"/>
      <c r="Y1334" s="1392" t="n"/>
      <c r="Z1334" s="1392" t="n"/>
      <c r="AA1334" s="1392" t="n"/>
      <c r="AB1334" s="1392" t="n"/>
      <c r="AC1334" s="1392" t="n"/>
      <c r="AD1334" s="1392" t="n"/>
      <c r="AE1334" s="1392" t="n"/>
      <c r="AF1334" s="1392" t="n"/>
      <c r="AG1334" s="1392" t="n"/>
      <c r="AH1334" s="1392" t="n"/>
      <c r="AI1334" s="1392" t="n"/>
      <c r="AJ1334" s="1392" t="n"/>
      <c r="AK1334" s="1392" t="n"/>
      <c r="AL1334" s="1392" t="n"/>
      <c r="AM1334" s="1392" t="n"/>
      <c r="AN1334" s="1392" t="n"/>
      <c r="AO1334" s="1392" t="n"/>
      <c r="AP1334" s="1392" t="n"/>
      <c r="AQ1334" s="1392" t="n"/>
      <c r="AR1334" s="1422" t="n"/>
      <c r="AS1334" s="1422" t="n"/>
      <c r="AT1334" s="1392" t="n"/>
      <c r="AU1334" s="1392" t="n"/>
      <c r="AV1334" s="1392" t="n"/>
      <c r="AW1334" s="1392" t="n"/>
      <c r="AX1334" s="1392" t="n"/>
      <c r="AY1334" s="1392" t="n"/>
      <c r="AZ1334" s="1392" t="n"/>
      <c r="BA1334" s="1422" t="n"/>
      <c r="BB1334" s="1422" t="n"/>
      <c r="BC1334" s="1392" t="n"/>
      <c r="BD1334" s="1392" t="n"/>
      <c r="BE1334" s="1392" t="n"/>
      <c r="BF1334" s="1392" t="n"/>
      <c r="BG1334" s="1392" t="n"/>
      <c r="BH1334" s="1392" t="n"/>
      <c r="BI1334" s="1392" t="n"/>
      <c r="BJ1334" s="1392" t="n"/>
      <c r="BK1334" s="1392" t="n"/>
      <c r="BL1334" s="1392" t="n"/>
      <c r="BM1334" s="1392" t="n"/>
      <c r="BN1334" s="1392" t="n"/>
      <c r="BO1334" s="1392" t="n"/>
      <c r="BP1334" s="1392" t="n"/>
      <c r="BQ1334" s="1392" t="n"/>
      <c r="BR1334" s="1392" t="n"/>
      <c r="BS1334" s="1392" t="n"/>
      <c r="BT1334" s="1392" t="n"/>
      <c r="BU1334" s="1392" t="n"/>
      <c r="BV1334" s="1392" t="n"/>
      <c r="BW1334" s="1392" t="n"/>
      <c r="BX1334" s="1392" t="n"/>
      <c r="BY1334" s="1392" t="n"/>
      <c r="BZ1334" s="1392" t="n"/>
      <c r="CA1334" s="1392" t="n"/>
      <c r="CB1334" s="1392" t="n"/>
      <c r="CC1334" s="1392" t="n"/>
      <c r="CD1334" s="1392" t="n"/>
      <c r="CE1334" s="1392" t="n"/>
      <c r="CF1334" s="1392" t="n"/>
      <c r="CG1334" s="1392" t="n"/>
      <c r="CH1334" s="1392" t="n"/>
      <c r="CI1334" s="1392" t="n"/>
      <c r="CJ1334" s="1392" t="n"/>
      <c r="CK1334" s="1392" t="n"/>
      <c r="CL1334" s="1392" t="n"/>
    </row>
    <row r="1335">
      <c r="A1335" s="5" t="inlineStr">
        <is>
          <t>.</t>
        </is>
      </c>
      <c r="B1335" s="5" t="inlineStr">
        <is>
          <t>.</t>
        </is>
      </c>
      <c r="C1335" s="1378">
        <f>IF(raw[[#This Row],[city]]="","-",IF(raw[[#This Row],[city]]="TODAY","-",C1334+1))</f>
        <v/>
      </c>
      <c r="D1335" s="1393" t="inlineStr">
        <is>
          <t>La Belle</t>
        </is>
      </c>
      <c r="E1335" s="1394" t="n">
        <v>41697</v>
      </c>
      <c r="F1335" s="1394" t="n">
        <v>41697</v>
      </c>
      <c r="G1335" s="1393" t="inlineStr">
        <is>
          <t>-</t>
        </is>
      </c>
      <c r="H1335" s="1393" t="inlineStr">
        <is>
          <t>Beatty</t>
        </is>
      </c>
      <c r="I1335" s="1393" t="n"/>
      <c r="J1335" s="1393" t="inlineStr">
        <is>
          <t>-</t>
        </is>
      </c>
      <c r="K1335" s="1395">
        <f>IF(raw[[#This Row],[city]]&lt;&gt;"",_xlfn.XLOOKUP($D1335,ccc[city],ccc[prov],"-"),"-")</f>
        <v/>
      </c>
      <c r="L1335" s="1395">
        <f>IF(raw[[#This Row],[city]]&lt;&gt;"",_xlfn.XLOOKUP($D1335,ccc[city],ccc[ctry],"-"),"-")</f>
        <v/>
      </c>
      <c r="M1335" s="1395">
        <f>IF(raw[[#This Row],[city]]&lt;&gt;"",_xlfn.XLOOKUP($D1335,ccc[city],ccc[cont],"-"),"-")</f>
        <v/>
      </c>
      <c r="N1335" s="1396">
        <f>IF(raw[[#This Row],[city]]="","-",IF(raw[[#This Row],[cont]]="B",raw[[#This Row],[cont]],"W"))</f>
        <v/>
      </c>
      <c r="O1335" s="1397">
        <f>IF(raw[[#This Row],[out]]=0,0,IF(raw[[#This Row],[out]]=raw[[#This Row],[in]],0.01,raw[[#This Row],[out]]-raw[[#This Row],[in]]))</f>
        <v/>
      </c>
      <c r="P1335" s="1397">
        <f>IF(raw[[#This Row],[in]]=0,0,MONTH(raw[[#This Row],[in]]))</f>
        <v/>
      </c>
      <c r="Q1335" s="1397">
        <f>IF(raw[[#This Row],[in]]=0,0,YEAR(raw[[#This Row],[in]]))</f>
        <v/>
      </c>
      <c r="R1335" s="1397">
        <f>INT(raw[[#This Row],[yr]]/10)*10</f>
        <v/>
      </c>
      <c r="S1335" s="1395">
        <f>IF(raw[[#This Row],[city]]="","-",IF(raw[[#This Row],[city]]&lt;&gt;_xlfn.XLOOKUP(raw[[#This Row],[home]],homes[home],homes[city],"-"),1,0))</f>
        <v/>
      </c>
      <c r="T1335" s="1398" t="inlineStr">
        <is>
          <t>.</t>
        </is>
      </c>
      <c r="U1335" s="1399">
        <f>IF(raw[[#This Row],[wb]]="w",raw[[#This Row],[stay]]+U1334,U1334)</f>
        <v/>
      </c>
      <c r="V1335" s="1400">
        <f>IF(raw[[#This Row],[out]]=0,V1334,(raw[[#This Row],[out]]-E$5))</f>
        <v/>
      </c>
      <c r="W1335" s="1401">
        <f>U1335/V1335</f>
        <v/>
      </c>
      <c r="X1335" s="1392" t="n"/>
      <c r="Y1335" s="1392" t="n"/>
      <c r="Z1335" s="1392" t="n"/>
      <c r="AA1335" s="1392" t="n"/>
      <c r="AB1335" s="1392" t="n"/>
      <c r="AC1335" s="1392" t="n"/>
      <c r="AD1335" s="1392" t="n"/>
      <c r="AE1335" s="1392" t="n"/>
      <c r="AF1335" s="1392" t="n"/>
      <c r="AG1335" s="1392" t="n"/>
      <c r="AH1335" s="1392" t="n"/>
      <c r="AI1335" s="1392" t="n"/>
      <c r="AJ1335" s="1392" t="n"/>
      <c r="AK1335" s="1392" t="n"/>
      <c r="AL1335" s="1392" t="n"/>
      <c r="AM1335" s="1392" t="n"/>
      <c r="AN1335" s="1392" t="n"/>
      <c r="AO1335" s="1392" t="n"/>
      <c r="AP1335" s="1392" t="n"/>
      <c r="AQ1335" s="1392" t="n"/>
      <c r="AR1335" s="1422" t="n"/>
      <c r="AS1335" s="1422" t="n"/>
      <c r="AT1335" s="1392" t="n"/>
      <c r="AU1335" s="1392" t="n"/>
      <c r="AV1335" s="1392" t="n"/>
      <c r="AW1335" s="1392" t="n"/>
      <c r="AX1335" s="1392" t="n"/>
      <c r="AY1335" s="1392" t="n"/>
      <c r="AZ1335" s="1392" t="n"/>
      <c r="BA1335" s="1422" t="n"/>
      <c r="BB1335" s="1422" t="n"/>
      <c r="BC1335" s="1392" t="n"/>
      <c r="BD1335" s="1392" t="n"/>
      <c r="BE1335" s="1392" t="n"/>
      <c r="BF1335" s="1392" t="n"/>
      <c r="BG1335" s="1392" t="n"/>
      <c r="BH1335" s="1392" t="n"/>
      <c r="BI1335" s="1392" t="n"/>
      <c r="BJ1335" s="1392" t="n"/>
      <c r="BK1335" s="1392" t="n"/>
      <c r="BL1335" s="1392" t="n"/>
      <c r="BM1335" s="1392" t="n"/>
      <c r="BN1335" s="1392" t="n"/>
      <c r="BO1335" s="1392" t="n"/>
      <c r="BP1335" s="1392" t="n"/>
      <c r="BQ1335" s="1392" t="n"/>
      <c r="BR1335" s="1392" t="n"/>
      <c r="BS1335" s="1392" t="n"/>
      <c r="BT1335" s="1392" t="n"/>
      <c r="BU1335" s="1392" t="n"/>
      <c r="BV1335" s="1392" t="n"/>
      <c r="BW1335" s="1392" t="n"/>
      <c r="BX1335" s="1392" t="n"/>
      <c r="BY1335" s="1392" t="n"/>
      <c r="BZ1335" s="1392" t="n"/>
      <c r="CA1335" s="1392" t="n"/>
      <c r="CB1335" s="1392" t="n"/>
      <c r="CC1335" s="1392" t="n"/>
      <c r="CD1335" s="1392" t="n"/>
      <c r="CE1335" s="1392" t="n"/>
      <c r="CF1335" s="1392" t="n"/>
      <c r="CG1335" s="1392" t="n"/>
      <c r="CH1335" s="1392" t="n"/>
      <c r="CI1335" s="1392" t="n"/>
      <c r="CJ1335" s="1392" t="n"/>
      <c r="CK1335" s="1392" t="n"/>
      <c r="CL1335" s="1392" t="n"/>
    </row>
    <row r="1336">
      <c r="A1336" s="5" t="inlineStr">
        <is>
          <t>.</t>
        </is>
      </c>
      <c r="B1336" s="5" t="inlineStr">
        <is>
          <t>.</t>
        </is>
      </c>
      <c r="C1336" s="1378">
        <f>IF(raw[[#This Row],[city]]="","-",IF(raw[[#This Row],[city]]="TODAY","-",C1335+1))</f>
        <v/>
      </c>
      <c r="D1336" s="1393" t="inlineStr">
        <is>
          <t>Montreal</t>
        </is>
      </c>
      <c r="E1336" s="1394" t="n">
        <v>41700</v>
      </c>
      <c r="F1336" s="1394" t="n">
        <v>41730</v>
      </c>
      <c r="G1336" s="1393" t="inlineStr">
        <is>
          <t>-</t>
        </is>
      </c>
      <c r="H1336" s="1393" t="inlineStr">
        <is>
          <t>Beatty</t>
        </is>
      </c>
      <c r="I1336" s="1393" t="inlineStr">
        <is>
          <t>-</t>
        </is>
      </c>
      <c r="J1336" s="1393" t="inlineStr">
        <is>
          <t>-</t>
        </is>
      </c>
      <c r="K1336" s="1395">
        <f>IF(raw[[#This Row],[city]]&lt;&gt;"",_xlfn.XLOOKUP($D1336,ccc[city],ccc[prov],"-"),"-")</f>
        <v/>
      </c>
      <c r="L1336" s="1395">
        <f>IF(raw[[#This Row],[city]]&lt;&gt;"",_xlfn.XLOOKUP($D1336,ccc[city],ccc[ctry],"-"),"-")</f>
        <v/>
      </c>
      <c r="M1336" s="1395">
        <f>IF(raw[[#This Row],[city]]&lt;&gt;"",_xlfn.XLOOKUP($D1336,ccc[city],ccc[cont],"-"),"-")</f>
        <v/>
      </c>
      <c r="N1336" s="1396">
        <f>IF(raw[[#This Row],[city]]="","-",IF(raw[[#This Row],[cont]]="B",raw[[#This Row],[cont]],"W"))</f>
        <v/>
      </c>
      <c r="O1336" s="1397">
        <f>IF(raw[[#This Row],[out]]=0,0,IF(raw[[#This Row],[out]]=raw[[#This Row],[in]],0.01,raw[[#This Row],[out]]-raw[[#This Row],[in]]))</f>
        <v/>
      </c>
      <c r="P1336" s="1397">
        <f>IF(raw[[#This Row],[in]]=0,0,MONTH(raw[[#This Row],[in]]))</f>
        <v/>
      </c>
      <c r="Q1336" s="1397">
        <f>IF(raw[[#This Row],[in]]=0,0,YEAR(raw[[#This Row],[in]]))</f>
        <v/>
      </c>
      <c r="R1336" s="1397">
        <f>INT(raw[[#This Row],[yr]]/10)*10</f>
        <v/>
      </c>
      <c r="S1336" s="1395">
        <f>IF(raw[[#This Row],[city]]="","-",IF(raw[[#This Row],[city]]&lt;&gt;_xlfn.XLOOKUP(raw[[#This Row],[home]],homes[home],homes[city],"-"),1,0))</f>
        <v/>
      </c>
      <c r="T1336" s="1398" t="inlineStr">
        <is>
          <t>.</t>
        </is>
      </c>
      <c r="U1336" s="1399">
        <f>IF(raw[[#This Row],[wb]]="w",raw[[#This Row],[stay]]+U1335,U1335)</f>
        <v/>
      </c>
      <c r="V1336" s="1400">
        <f>IF(raw[[#This Row],[out]]=0,V1335,(raw[[#This Row],[out]]-E$5))</f>
        <v/>
      </c>
      <c r="W1336" s="1401">
        <f>U1336/V1336</f>
        <v/>
      </c>
      <c r="X1336" s="1392" t="n"/>
      <c r="Y1336" s="1392" t="n"/>
      <c r="Z1336" s="1392" t="n"/>
      <c r="AA1336" s="1392" t="n"/>
      <c r="AB1336" s="1392" t="n"/>
      <c r="AC1336" s="1392" t="n"/>
      <c r="AD1336" s="1392" t="n"/>
      <c r="AE1336" s="1392" t="n"/>
      <c r="AF1336" s="1392" t="n"/>
      <c r="AG1336" s="1392" t="n"/>
      <c r="AH1336" s="1392" t="n"/>
      <c r="AI1336" s="1392" t="n"/>
      <c r="AJ1336" s="1392" t="n"/>
      <c r="AK1336" s="1392" t="n"/>
      <c r="AL1336" s="1392" t="n"/>
      <c r="AM1336" s="1392" t="n"/>
      <c r="AN1336" s="1392" t="n"/>
      <c r="AO1336" s="1392" t="n"/>
      <c r="AP1336" s="1392" t="n"/>
      <c r="AQ1336" s="1392" t="n"/>
      <c r="AR1336" s="1422" t="n"/>
      <c r="AS1336" s="1422" t="n"/>
      <c r="AT1336" s="1392" t="n"/>
      <c r="AU1336" s="1392" t="n"/>
      <c r="AV1336" s="1392" t="n"/>
      <c r="AW1336" s="1392" t="n"/>
      <c r="AX1336" s="1392" t="n"/>
      <c r="AY1336" s="1392" t="n"/>
      <c r="AZ1336" s="1392" t="n"/>
      <c r="BA1336" s="1422" t="n"/>
      <c r="BB1336" s="1422" t="n"/>
      <c r="BC1336" s="1392" t="n"/>
      <c r="BD1336" s="1392" t="n"/>
      <c r="BE1336" s="1392" t="n"/>
      <c r="BF1336" s="1392" t="n"/>
      <c r="BG1336" s="1392" t="n"/>
      <c r="BH1336" s="1392" t="n"/>
      <c r="BI1336" s="1392" t="n"/>
      <c r="BJ1336" s="1392" t="n"/>
      <c r="BK1336" s="1392" t="n"/>
      <c r="BL1336" s="1392" t="n"/>
      <c r="BM1336" s="1392" t="n"/>
      <c r="BN1336" s="1392" t="n"/>
      <c r="BO1336" s="1392" t="n"/>
      <c r="BP1336" s="1392" t="n"/>
      <c r="BQ1336" s="1392" t="n"/>
      <c r="BR1336" s="1392" t="n"/>
      <c r="BS1336" s="1392" t="n"/>
      <c r="BT1336" s="1392" t="n"/>
      <c r="BU1336" s="1392" t="n"/>
      <c r="BV1336" s="1392" t="n"/>
      <c r="BW1336" s="1392" t="n"/>
      <c r="BX1336" s="1392" t="n"/>
      <c r="BY1336" s="1392" t="n"/>
      <c r="BZ1336" s="1392" t="n"/>
      <c r="CA1336" s="1392" t="n"/>
      <c r="CB1336" s="1392" t="n"/>
      <c r="CC1336" s="1392" t="n"/>
      <c r="CD1336" s="1392" t="n"/>
      <c r="CE1336" s="1392" t="n"/>
      <c r="CF1336" s="1392" t="n"/>
      <c r="CG1336" s="1392" t="n"/>
      <c r="CH1336" s="1392" t="n"/>
      <c r="CI1336" s="1392" t="n"/>
      <c r="CJ1336" s="1392" t="n"/>
      <c r="CK1336" s="1392" t="n"/>
      <c r="CL1336" s="1392" t="n"/>
    </row>
    <row r="1337">
      <c r="A1337" s="5" t="inlineStr">
        <is>
          <t>.</t>
        </is>
      </c>
      <c r="B1337" s="5" t="inlineStr">
        <is>
          <t>.</t>
        </is>
      </c>
      <c r="C1337" s="1378">
        <f>IF(raw[[#This Row],[city]]="","-",IF(raw[[#This Row],[city]]="TODAY","-",C1336+1))</f>
        <v/>
      </c>
      <c r="D1337" s="1393" t="inlineStr">
        <is>
          <t>Montreal</t>
        </is>
      </c>
      <c r="E1337" s="1394" t="n">
        <v>41730</v>
      </c>
      <c r="F1337" s="1394" t="n">
        <v>41760</v>
      </c>
      <c r="G1337" s="1393" t="inlineStr">
        <is>
          <t>-</t>
        </is>
      </c>
      <c r="H1337" s="1393" t="inlineStr">
        <is>
          <t>Beatty</t>
        </is>
      </c>
      <c r="I1337" s="1393" t="inlineStr">
        <is>
          <t>-</t>
        </is>
      </c>
      <c r="J1337" s="1393" t="inlineStr">
        <is>
          <t>-</t>
        </is>
      </c>
      <c r="K1337" s="1395">
        <f>IF(raw[[#This Row],[city]]&lt;&gt;"",_xlfn.XLOOKUP($D1337,ccc[city],ccc[prov],"-"),"-")</f>
        <v/>
      </c>
      <c r="L1337" s="1395">
        <f>IF(raw[[#This Row],[city]]&lt;&gt;"",_xlfn.XLOOKUP($D1337,ccc[city],ccc[ctry],"-"),"-")</f>
        <v/>
      </c>
      <c r="M1337" s="1395">
        <f>IF(raw[[#This Row],[city]]&lt;&gt;"",_xlfn.XLOOKUP($D1337,ccc[city],ccc[cont],"-"),"-")</f>
        <v/>
      </c>
      <c r="N1337" s="1396">
        <f>IF(raw[[#This Row],[city]]="","-",IF(raw[[#This Row],[cont]]="B",raw[[#This Row],[cont]],"W"))</f>
        <v/>
      </c>
      <c r="O1337" s="1397">
        <f>IF(raw[[#This Row],[out]]=0,0,IF(raw[[#This Row],[out]]=raw[[#This Row],[in]],0.01,raw[[#This Row],[out]]-raw[[#This Row],[in]]))</f>
        <v/>
      </c>
      <c r="P1337" s="1397">
        <f>IF(raw[[#This Row],[in]]=0,0,MONTH(raw[[#This Row],[in]]))</f>
        <v/>
      </c>
      <c r="Q1337" s="1397">
        <f>IF(raw[[#This Row],[in]]=0,0,YEAR(raw[[#This Row],[in]]))</f>
        <v/>
      </c>
      <c r="R1337" s="1397">
        <f>INT(raw[[#This Row],[yr]]/10)*10</f>
        <v/>
      </c>
      <c r="S1337" s="1395">
        <f>IF(raw[[#This Row],[city]]="","-",IF(raw[[#This Row],[city]]&lt;&gt;_xlfn.XLOOKUP(raw[[#This Row],[home]],homes[home],homes[city],"-"),1,0))</f>
        <v/>
      </c>
      <c r="T1337" s="1398" t="inlineStr">
        <is>
          <t>.</t>
        </is>
      </c>
      <c r="U1337" s="1399">
        <f>IF(raw[[#This Row],[wb]]="w",raw[[#This Row],[stay]]+U1336,U1336)</f>
        <v/>
      </c>
      <c r="V1337" s="1400">
        <f>IF(raw[[#This Row],[out]]=0,V1336,(raw[[#This Row],[out]]-E$5))</f>
        <v/>
      </c>
      <c r="W1337" s="1401">
        <f>U1337/V1337</f>
        <v/>
      </c>
      <c r="X1337" s="1392" t="n"/>
      <c r="Y1337" s="1392" t="n"/>
      <c r="Z1337" s="1392" t="n"/>
      <c r="AA1337" s="1392" t="n"/>
      <c r="AB1337" s="1392" t="n"/>
      <c r="AC1337" s="1392" t="n"/>
      <c r="AD1337" s="1392" t="n"/>
      <c r="AE1337" s="1392" t="n"/>
      <c r="AF1337" s="1392" t="n"/>
      <c r="AG1337" s="1392" t="n"/>
      <c r="AH1337" s="1392" t="n"/>
      <c r="AI1337" s="1392" t="n"/>
      <c r="AJ1337" s="1392" t="n"/>
      <c r="AK1337" s="1392" t="n"/>
      <c r="AL1337" s="1392" t="n"/>
      <c r="AM1337" s="1392" t="n"/>
      <c r="AN1337" s="1392" t="n"/>
      <c r="AO1337" s="1392" t="n"/>
      <c r="AP1337" s="1392" t="n"/>
      <c r="AQ1337" s="1392" t="n"/>
      <c r="AR1337" s="1422" t="n"/>
      <c r="AS1337" s="1422" t="n"/>
      <c r="AT1337" s="1392" t="n"/>
      <c r="AU1337" s="1392" t="n"/>
      <c r="AV1337" s="1392" t="n"/>
      <c r="AW1337" s="1392" t="n"/>
      <c r="AX1337" s="1392" t="n"/>
      <c r="AY1337" s="1392" t="n"/>
      <c r="AZ1337" s="1392" t="n"/>
      <c r="BA1337" s="1422" t="n"/>
      <c r="BB1337" s="1422" t="n"/>
      <c r="BC1337" s="1392" t="n"/>
      <c r="BD1337" s="1392" t="n"/>
      <c r="BE1337" s="1392" t="n"/>
      <c r="BF1337" s="1392" t="n"/>
      <c r="BG1337" s="1392" t="n"/>
      <c r="BH1337" s="1392" t="n"/>
      <c r="BI1337" s="1392" t="n"/>
      <c r="BJ1337" s="1392" t="n"/>
      <c r="BK1337" s="1392" t="n"/>
      <c r="BL1337" s="1392" t="n"/>
      <c r="BM1337" s="1392" t="n"/>
      <c r="BN1337" s="1392" t="n"/>
      <c r="BO1337" s="1392" t="n"/>
      <c r="BP1337" s="1392" t="n"/>
      <c r="BQ1337" s="1392" t="n"/>
      <c r="BR1337" s="1392" t="n"/>
      <c r="BS1337" s="1392" t="n"/>
      <c r="BT1337" s="1392" t="n"/>
      <c r="BU1337" s="1392" t="n"/>
      <c r="BV1337" s="1392" t="n"/>
      <c r="BW1337" s="1392" t="n"/>
      <c r="BX1337" s="1392" t="n"/>
      <c r="BY1337" s="1392" t="n"/>
      <c r="BZ1337" s="1392" t="n"/>
      <c r="CA1337" s="1392" t="n"/>
      <c r="CB1337" s="1392" t="n"/>
      <c r="CC1337" s="1392" t="n"/>
      <c r="CD1337" s="1392" t="n"/>
      <c r="CE1337" s="1392" t="n"/>
      <c r="CF1337" s="1392" t="n"/>
      <c r="CG1337" s="1392" t="n"/>
      <c r="CH1337" s="1392" t="n"/>
      <c r="CI1337" s="1392" t="n"/>
      <c r="CJ1337" s="1392" t="n"/>
      <c r="CK1337" s="1392" t="n"/>
      <c r="CL1337" s="1392" t="n"/>
    </row>
    <row r="1338">
      <c r="A1338" s="5" t="inlineStr">
        <is>
          <t>.</t>
        </is>
      </c>
      <c r="B1338" s="5" t="inlineStr">
        <is>
          <t>.</t>
        </is>
      </c>
      <c r="C1338" s="1378">
        <f>IF(raw[[#This Row],[city]]="","-",IF(raw[[#This Row],[city]]="TODAY","-",C1337+1))</f>
        <v/>
      </c>
      <c r="D1338" s="1393" t="inlineStr">
        <is>
          <t>Montreal</t>
        </is>
      </c>
      <c r="E1338" s="1394" t="n">
        <v>41760</v>
      </c>
      <c r="F1338" s="1394" t="n">
        <v>41791</v>
      </c>
      <c r="G1338" s="1393" t="inlineStr">
        <is>
          <t>-</t>
        </is>
      </c>
      <c r="H1338" s="1393" t="inlineStr">
        <is>
          <t>Beatty</t>
        </is>
      </c>
      <c r="I1338" s="1393" t="inlineStr">
        <is>
          <t>-</t>
        </is>
      </c>
      <c r="J1338" s="1393" t="inlineStr">
        <is>
          <t>-</t>
        </is>
      </c>
      <c r="K1338" s="1395">
        <f>IF(raw[[#This Row],[city]]&lt;&gt;"",_xlfn.XLOOKUP($D1338,ccc[city],ccc[prov],"-"),"-")</f>
        <v/>
      </c>
      <c r="L1338" s="1395">
        <f>IF(raw[[#This Row],[city]]&lt;&gt;"",_xlfn.XLOOKUP($D1338,ccc[city],ccc[ctry],"-"),"-")</f>
        <v/>
      </c>
      <c r="M1338" s="1395">
        <f>IF(raw[[#This Row],[city]]&lt;&gt;"",_xlfn.XLOOKUP($D1338,ccc[city],ccc[cont],"-"),"-")</f>
        <v/>
      </c>
      <c r="N1338" s="1396">
        <f>IF(raw[[#This Row],[city]]="","-",IF(raw[[#This Row],[cont]]="B",raw[[#This Row],[cont]],"W"))</f>
        <v/>
      </c>
      <c r="O1338" s="1397">
        <f>IF(raw[[#This Row],[out]]=0,0,IF(raw[[#This Row],[out]]=raw[[#This Row],[in]],0.01,raw[[#This Row],[out]]-raw[[#This Row],[in]]))</f>
        <v/>
      </c>
      <c r="P1338" s="1397">
        <f>IF(raw[[#This Row],[in]]=0,0,MONTH(raw[[#This Row],[in]]))</f>
        <v/>
      </c>
      <c r="Q1338" s="1397">
        <f>IF(raw[[#This Row],[in]]=0,0,YEAR(raw[[#This Row],[in]]))</f>
        <v/>
      </c>
      <c r="R1338" s="1397">
        <f>INT(raw[[#This Row],[yr]]/10)*10</f>
        <v/>
      </c>
      <c r="S1338" s="1395">
        <f>IF(raw[[#This Row],[city]]="","-",IF(raw[[#This Row],[city]]&lt;&gt;_xlfn.XLOOKUP(raw[[#This Row],[home]],homes[home],homes[city],"-"),1,0))</f>
        <v/>
      </c>
      <c r="T1338" s="1398" t="inlineStr">
        <is>
          <t>.</t>
        </is>
      </c>
      <c r="U1338" s="1399">
        <f>IF(raw[[#This Row],[wb]]="w",raw[[#This Row],[stay]]+U1337,U1337)</f>
        <v/>
      </c>
      <c r="V1338" s="1400">
        <f>IF(raw[[#This Row],[out]]=0,V1337,(raw[[#This Row],[out]]-E$5))</f>
        <v/>
      </c>
      <c r="W1338" s="1401">
        <f>U1338/V1338</f>
        <v/>
      </c>
      <c r="X1338" s="1392" t="n"/>
      <c r="Y1338" s="1392" t="n"/>
      <c r="Z1338" s="1392" t="n"/>
      <c r="AA1338" s="1392" t="n"/>
      <c r="AB1338" s="1392" t="n"/>
      <c r="AC1338" s="1392" t="n"/>
      <c r="AD1338" s="1392" t="n"/>
      <c r="AE1338" s="1392" t="n"/>
      <c r="AF1338" s="1392" t="n"/>
      <c r="AG1338" s="1392" t="n"/>
      <c r="AH1338" s="1392" t="n"/>
      <c r="AI1338" s="1392" t="n"/>
      <c r="AJ1338" s="1392" t="n"/>
      <c r="AK1338" s="1392" t="n"/>
      <c r="AL1338" s="1392" t="n"/>
      <c r="AM1338" s="1392" t="n"/>
      <c r="AN1338" s="1392" t="n"/>
      <c r="AO1338" s="1392" t="n"/>
      <c r="AP1338" s="1392" t="n"/>
      <c r="AQ1338" s="1392" t="n"/>
      <c r="AR1338" s="1422" t="n"/>
      <c r="AS1338" s="1422" t="n"/>
      <c r="AT1338" s="1392" t="n"/>
      <c r="AU1338" s="1392" t="n"/>
      <c r="AV1338" s="1392" t="n"/>
      <c r="AW1338" s="1392" t="n"/>
      <c r="AX1338" s="1392" t="n"/>
      <c r="AY1338" s="1392" t="n"/>
      <c r="AZ1338" s="1392" t="n"/>
      <c r="BA1338" s="1422" t="n"/>
      <c r="BB1338" s="1422" t="n"/>
      <c r="BC1338" s="1392" t="n"/>
      <c r="BD1338" s="1392" t="n"/>
      <c r="BE1338" s="1392" t="n"/>
      <c r="BF1338" s="1392" t="n"/>
      <c r="BG1338" s="1392" t="n"/>
      <c r="BH1338" s="1392" t="n"/>
      <c r="BI1338" s="1392" t="n"/>
      <c r="BJ1338" s="1392" t="n"/>
      <c r="BK1338" s="1392" t="n"/>
      <c r="BL1338" s="1392" t="n"/>
      <c r="BM1338" s="1392" t="n"/>
      <c r="BN1338" s="1392" t="n"/>
      <c r="BO1338" s="1392" t="n"/>
      <c r="BP1338" s="1392" t="n"/>
      <c r="BQ1338" s="1392" t="n"/>
      <c r="BR1338" s="1392" t="n"/>
      <c r="BS1338" s="1392" t="n"/>
      <c r="BT1338" s="1392" t="n"/>
      <c r="BU1338" s="1392" t="n"/>
      <c r="BV1338" s="1392" t="n"/>
      <c r="BW1338" s="1392" t="n"/>
      <c r="BX1338" s="1392" t="n"/>
      <c r="BY1338" s="1392" t="n"/>
      <c r="BZ1338" s="1392" t="n"/>
      <c r="CA1338" s="1392" t="n"/>
      <c r="CB1338" s="1392" t="n"/>
      <c r="CC1338" s="1392" t="n"/>
      <c r="CD1338" s="1392" t="n"/>
      <c r="CE1338" s="1392" t="n"/>
      <c r="CF1338" s="1392" t="n"/>
      <c r="CG1338" s="1392" t="n"/>
      <c r="CH1338" s="1392" t="n"/>
      <c r="CI1338" s="1392" t="n"/>
      <c r="CJ1338" s="1392" t="n"/>
      <c r="CK1338" s="1392" t="n"/>
      <c r="CL1338" s="1392" t="n"/>
    </row>
    <row r="1339">
      <c r="A1339" s="5" t="inlineStr">
        <is>
          <t>.</t>
        </is>
      </c>
      <c r="B1339" s="5" t="inlineStr">
        <is>
          <t>.</t>
        </is>
      </c>
      <c r="C1339" s="1378">
        <f>IF(raw[[#This Row],[city]]="","-",IF(raw[[#This Row],[city]]="TODAY","-",C1338+1))</f>
        <v/>
      </c>
      <c r="D1339" s="1393" t="inlineStr">
        <is>
          <t>Montreal</t>
        </is>
      </c>
      <c r="E1339" s="1394" t="n">
        <v>41791</v>
      </c>
      <c r="F1339" s="1394" t="n">
        <v>41821</v>
      </c>
      <c r="G1339" s="1393" t="inlineStr">
        <is>
          <t>-</t>
        </is>
      </c>
      <c r="H1339" s="1393" t="inlineStr">
        <is>
          <t>Beatty</t>
        </is>
      </c>
      <c r="I1339" s="1393" t="inlineStr">
        <is>
          <t>-</t>
        </is>
      </c>
      <c r="J1339" s="1393" t="inlineStr">
        <is>
          <t>-</t>
        </is>
      </c>
      <c r="K1339" s="1395">
        <f>IF(raw[[#This Row],[city]]&lt;&gt;"",_xlfn.XLOOKUP($D1339,ccc[city],ccc[prov],"-"),"-")</f>
        <v/>
      </c>
      <c r="L1339" s="1395">
        <f>IF(raw[[#This Row],[city]]&lt;&gt;"",_xlfn.XLOOKUP($D1339,ccc[city],ccc[ctry],"-"),"-")</f>
        <v/>
      </c>
      <c r="M1339" s="1395">
        <f>IF(raw[[#This Row],[city]]&lt;&gt;"",_xlfn.XLOOKUP($D1339,ccc[city],ccc[cont],"-"),"-")</f>
        <v/>
      </c>
      <c r="N1339" s="1396">
        <f>IF(raw[[#This Row],[city]]="","-",IF(raw[[#This Row],[cont]]="B",raw[[#This Row],[cont]],"W"))</f>
        <v/>
      </c>
      <c r="O1339" s="1397">
        <f>IF(raw[[#This Row],[out]]=0,0,IF(raw[[#This Row],[out]]=raw[[#This Row],[in]],0.01,raw[[#This Row],[out]]-raw[[#This Row],[in]]))</f>
        <v/>
      </c>
      <c r="P1339" s="1397">
        <f>IF(raw[[#This Row],[in]]=0,0,MONTH(raw[[#This Row],[in]]))</f>
        <v/>
      </c>
      <c r="Q1339" s="1397">
        <f>IF(raw[[#This Row],[in]]=0,0,YEAR(raw[[#This Row],[in]]))</f>
        <v/>
      </c>
      <c r="R1339" s="1397">
        <f>INT(raw[[#This Row],[yr]]/10)*10</f>
        <v/>
      </c>
      <c r="S1339" s="1395">
        <f>IF(raw[[#This Row],[city]]="","-",IF(raw[[#This Row],[city]]&lt;&gt;_xlfn.XLOOKUP(raw[[#This Row],[home]],homes[home],homes[city],"-"),1,0))</f>
        <v/>
      </c>
      <c r="T1339" s="1398" t="inlineStr">
        <is>
          <t>.</t>
        </is>
      </c>
      <c r="U1339" s="1399">
        <f>IF(raw[[#This Row],[wb]]="w",raw[[#This Row],[stay]]+U1338,U1338)</f>
        <v/>
      </c>
      <c r="V1339" s="1400">
        <f>IF(raw[[#This Row],[out]]=0,V1338,(raw[[#This Row],[out]]-E$5))</f>
        <v/>
      </c>
      <c r="W1339" s="1401">
        <f>U1339/V1339</f>
        <v/>
      </c>
      <c r="X1339" s="1392" t="n"/>
      <c r="Y1339" s="1392" t="n"/>
      <c r="Z1339" s="1392" t="n"/>
      <c r="AA1339" s="1392" t="n"/>
      <c r="AB1339" s="1392" t="n"/>
      <c r="AC1339" s="1392" t="n"/>
      <c r="AD1339" s="1392" t="n"/>
      <c r="AE1339" s="1392" t="n"/>
      <c r="AF1339" s="1392" t="n"/>
      <c r="AG1339" s="1392" t="n"/>
      <c r="AH1339" s="1392" t="n"/>
      <c r="AI1339" s="1392" t="n"/>
      <c r="AJ1339" s="1392" t="n"/>
      <c r="AK1339" s="1392" t="n"/>
      <c r="AL1339" s="1392" t="n"/>
      <c r="AM1339" s="1392" t="n"/>
      <c r="AN1339" s="1392" t="n"/>
      <c r="AO1339" s="1392" t="n"/>
      <c r="AP1339" s="1392" t="n"/>
      <c r="AQ1339" s="1392" t="n"/>
      <c r="AR1339" s="1422" t="n"/>
      <c r="AS1339" s="1422" t="n"/>
      <c r="AT1339" s="1392" t="n"/>
      <c r="AU1339" s="1392" t="n"/>
      <c r="AV1339" s="1392" t="n"/>
      <c r="AW1339" s="1392" t="n"/>
      <c r="AX1339" s="1392" t="n"/>
      <c r="AY1339" s="1392" t="n"/>
      <c r="AZ1339" s="1392" t="n"/>
      <c r="BA1339" s="1422" t="n"/>
      <c r="BB1339" s="1422" t="n"/>
      <c r="BC1339" s="1392" t="n"/>
      <c r="BD1339" s="1392" t="n"/>
      <c r="BE1339" s="1392" t="n"/>
      <c r="BF1339" s="1392" t="n"/>
      <c r="BG1339" s="1392" t="n"/>
      <c r="BH1339" s="1392" t="n"/>
      <c r="BI1339" s="1392" t="n"/>
      <c r="BJ1339" s="1392" t="n"/>
      <c r="BK1339" s="1392" t="n"/>
      <c r="BL1339" s="1392" t="n"/>
      <c r="BM1339" s="1392" t="n"/>
      <c r="BN1339" s="1392" t="n"/>
      <c r="BO1339" s="1392" t="n"/>
      <c r="BP1339" s="1392" t="n"/>
      <c r="BQ1339" s="1392" t="n"/>
      <c r="BR1339" s="1392" t="n"/>
      <c r="BS1339" s="1392" t="n"/>
      <c r="BT1339" s="1392" t="n"/>
      <c r="BU1339" s="1392" t="n"/>
      <c r="BV1339" s="1392" t="n"/>
      <c r="BW1339" s="1392" t="n"/>
      <c r="BX1339" s="1392" t="n"/>
      <c r="BY1339" s="1392" t="n"/>
      <c r="BZ1339" s="1392" t="n"/>
      <c r="CA1339" s="1392" t="n"/>
      <c r="CB1339" s="1392" t="n"/>
      <c r="CC1339" s="1392" t="n"/>
      <c r="CD1339" s="1392" t="n"/>
      <c r="CE1339" s="1392" t="n"/>
      <c r="CF1339" s="1392" t="n"/>
      <c r="CG1339" s="1392" t="n"/>
      <c r="CH1339" s="1392" t="n"/>
      <c r="CI1339" s="1392" t="n"/>
      <c r="CJ1339" s="1392" t="n"/>
      <c r="CK1339" s="1392" t="n"/>
      <c r="CL1339" s="1392" t="n"/>
    </row>
    <row r="1340">
      <c r="A1340" s="5" t="inlineStr">
        <is>
          <t>.</t>
        </is>
      </c>
      <c r="B1340" s="5" t="inlineStr">
        <is>
          <t>.</t>
        </is>
      </c>
      <c r="C1340" s="1378">
        <f>IF(raw[[#This Row],[city]]="","-",IF(raw[[#This Row],[city]]="TODAY","-",C1339+1))</f>
        <v/>
      </c>
      <c r="D1340" s="1393" t="inlineStr">
        <is>
          <t>Montreal</t>
        </is>
      </c>
      <c r="E1340" s="1394" t="n">
        <v>41821</v>
      </c>
      <c r="F1340" s="1394" t="n">
        <v>41852</v>
      </c>
      <c r="G1340" s="1393" t="inlineStr">
        <is>
          <t>-</t>
        </is>
      </c>
      <c r="H1340" s="1393" t="inlineStr">
        <is>
          <t>Beatty</t>
        </is>
      </c>
      <c r="I1340" s="1393" t="inlineStr">
        <is>
          <t>-</t>
        </is>
      </c>
      <c r="J1340" s="1393" t="inlineStr">
        <is>
          <t>-</t>
        </is>
      </c>
      <c r="K1340" s="1395">
        <f>IF(raw[[#This Row],[city]]&lt;&gt;"",_xlfn.XLOOKUP($D1340,ccc[city],ccc[prov],"-"),"-")</f>
        <v/>
      </c>
      <c r="L1340" s="1395">
        <f>IF(raw[[#This Row],[city]]&lt;&gt;"",_xlfn.XLOOKUP($D1340,ccc[city],ccc[ctry],"-"),"-")</f>
        <v/>
      </c>
      <c r="M1340" s="1395">
        <f>IF(raw[[#This Row],[city]]&lt;&gt;"",_xlfn.XLOOKUP($D1340,ccc[city],ccc[cont],"-"),"-")</f>
        <v/>
      </c>
      <c r="N1340" s="1396">
        <f>IF(raw[[#This Row],[city]]="","-",IF(raw[[#This Row],[cont]]="B",raw[[#This Row],[cont]],"W"))</f>
        <v/>
      </c>
      <c r="O1340" s="1397">
        <f>IF(raw[[#This Row],[out]]=0,0,IF(raw[[#This Row],[out]]=raw[[#This Row],[in]],0.01,raw[[#This Row],[out]]-raw[[#This Row],[in]]))</f>
        <v/>
      </c>
      <c r="P1340" s="1397">
        <f>IF(raw[[#This Row],[in]]=0,0,MONTH(raw[[#This Row],[in]]))</f>
        <v/>
      </c>
      <c r="Q1340" s="1397">
        <f>IF(raw[[#This Row],[in]]=0,0,YEAR(raw[[#This Row],[in]]))</f>
        <v/>
      </c>
      <c r="R1340" s="1397">
        <f>INT(raw[[#This Row],[yr]]/10)*10</f>
        <v/>
      </c>
      <c r="S1340" s="1395">
        <f>IF(raw[[#This Row],[city]]="","-",IF(raw[[#This Row],[city]]&lt;&gt;_xlfn.XLOOKUP(raw[[#This Row],[home]],homes[home],homes[city],"-"),1,0))</f>
        <v/>
      </c>
      <c r="T1340" s="1398" t="inlineStr">
        <is>
          <t>.</t>
        </is>
      </c>
      <c r="U1340" s="1399">
        <f>IF(raw[[#This Row],[wb]]="w",raw[[#This Row],[stay]]+U1339,U1339)</f>
        <v/>
      </c>
      <c r="V1340" s="1400">
        <f>IF(raw[[#This Row],[out]]=0,V1339,(raw[[#This Row],[out]]-E$5))</f>
        <v/>
      </c>
      <c r="W1340" s="1401">
        <f>U1340/V1340</f>
        <v/>
      </c>
      <c r="X1340" s="1392" t="n"/>
      <c r="Y1340" s="1392" t="n"/>
      <c r="Z1340" s="1392" t="n"/>
      <c r="AA1340" s="1392" t="n"/>
      <c r="AB1340" s="1392" t="n"/>
      <c r="AC1340" s="1392" t="n"/>
      <c r="AD1340" s="1392" t="n"/>
      <c r="AE1340" s="1392" t="n"/>
      <c r="AF1340" s="1392" t="n"/>
      <c r="AG1340" s="1392" t="n"/>
      <c r="AH1340" s="1392" t="n"/>
      <c r="AI1340" s="1392" t="n"/>
      <c r="AJ1340" s="1392" t="n"/>
      <c r="AK1340" s="1392" t="n"/>
      <c r="AL1340" s="1392" t="n"/>
      <c r="AM1340" s="1392" t="n"/>
      <c r="AN1340" s="1392" t="n"/>
      <c r="AO1340" s="1392" t="n"/>
      <c r="AP1340" s="1392" t="n"/>
      <c r="AQ1340" s="1392" t="n"/>
      <c r="AR1340" s="1422" t="n"/>
      <c r="AS1340" s="1422" t="n"/>
      <c r="AT1340" s="1392" t="n"/>
      <c r="AU1340" s="1392" t="n"/>
      <c r="AV1340" s="1392" t="n"/>
      <c r="AW1340" s="1392" t="n"/>
      <c r="AX1340" s="1392" t="n"/>
      <c r="AY1340" s="1392" t="n"/>
      <c r="AZ1340" s="1392" t="n"/>
      <c r="BA1340" s="1422" t="n"/>
      <c r="BB1340" s="1422" t="n"/>
      <c r="BC1340" s="1392" t="n"/>
      <c r="BD1340" s="1392" t="n"/>
      <c r="BE1340" s="1392" t="n"/>
      <c r="BF1340" s="1392" t="n"/>
      <c r="BG1340" s="1392" t="n"/>
      <c r="BH1340" s="1392" t="n"/>
      <c r="BI1340" s="1392" t="n"/>
      <c r="BJ1340" s="1392" t="n"/>
      <c r="BK1340" s="1392" t="n"/>
      <c r="BL1340" s="1392" t="n"/>
      <c r="BM1340" s="1392" t="n"/>
      <c r="BN1340" s="1392" t="n"/>
      <c r="BO1340" s="1392" t="n"/>
      <c r="BP1340" s="1392" t="n"/>
      <c r="BQ1340" s="1392" t="n"/>
      <c r="BR1340" s="1392" t="n"/>
      <c r="BS1340" s="1392" t="n"/>
      <c r="BT1340" s="1392" t="n"/>
      <c r="BU1340" s="1392" t="n"/>
      <c r="BV1340" s="1392" t="n"/>
      <c r="BW1340" s="1392" t="n"/>
      <c r="BX1340" s="1392" t="n"/>
      <c r="BY1340" s="1392" t="n"/>
      <c r="BZ1340" s="1392" t="n"/>
      <c r="CA1340" s="1392" t="n"/>
      <c r="CB1340" s="1392" t="n"/>
      <c r="CC1340" s="1392" t="n"/>
      <c r="CD1340" s="1392" t="n"/>
      <c r="CE1340" s="1392" t="n"/>
      <c r="CF1340" s="1392" t="n"/>
      <c r="CG1340" s="1392" t="n"/>
      <c r="CH1340" s="1392" t="n"/>
      <c r="CI1340" s="1392" t="n"/>
      <c r="CJ1340" s="1392" t="n"/>
      <c r="CK1340" s="1392" t="n"/>
      <c r="CL1340" s="1392" t="n"/>
    </row>
    <row r="1341">
      <c r="A1341" s="5" t="inlineStr">
        <is>
          <t>.</t>
        </is>
      </c>
      <c r="B1341" s="5" t="inlineStr">
        <is>
          <t>.</t>
        </is>
      </c>
      <c r="C1341" s="1378">
        <f>IF(raw[[#This Row],[city]]="","-",IF(raw[[#This Row],[city]]="TODAY","-",C1340+1))</f>
        <v/>
      </c>
      <c r="D1341" s="1393" t="inlineStr">
        <is>
          <t>Montreal</t>
        </is>
      </c>
      <c r="E1341" s="1394" t="n">
        <v>41852</v>
      </c>
      <c r="F1341" s="1394" t="n">
        <v>41856</v>
      </c>
      <c r="G1341" s="1393" t="n">
        <v>1</v>
      </c>
      <c r="H1341" s="1393" t="inlineStr">
        <is>
          <t>Beatty</t>
        </is>
      </c>
      <c r="I1341" s="1393" t="inlineStr">
        <is>
          <t>-</t>
        </is>
      </c>
      <c r="J1341" s="1393" t="inlineStr">
        <is>
          <t>-</t>
        </is>
      </c>
      <c r="K1341" s="1395">
        <f>IF(raw[[#This Row],[city]]&lt;&gt;"",_xlfn.XLOOKUP($D1341,ccc[city],ccc[prov],"-"),"-")</f>
        <v/>
      </c>
      <c r="L1341" s="1395">
        <f>IF(raw[[#This Row],[city]]&lt;&gt;"",_xlfn.XLOOKUP($D1341,ccc[city],ccc[ctry],"-"),"-")</f>
        <v/>
      </c>
      <c r="M1341" s="1395">
        <f>IF(raw[[#This Row],[city]]&lt;&gt;"",_xlfn.XLOOKUP($D1341,ccc[city],ccc[cont],"-"),"-")</f>
        <v/>
      </c>
      <c r="N1341" s="1396">
        <f>IF(raw[[#This Row],[city]]="","-",IF(raw[[#This Row],[cont]]="B",raw[[#This Row],[cont]],"W"))</f>
        <v/>
      </c>
      <c r="O1341" s="1397">
        <f>IF(raw[[#This Row],[out]]=0,0,IF(raw[[#This Row],[out]]=raw[[#This Row],[in]],0.01,raw[[#This Row],[out]]-raw[[#This Row],[in]]))</f>
        <v/>
      </c>
      <c r="P1341" s="1397">
        <f>IF(raw[[#This Row],[in]]=0,0,MONTH(raw[[#This Row],[in]]))</f>
        <v/>
      </c>
      <c r="Q1341" s="1397">
        <f>IF(raw[[#This Row],[in]]=0,0,YEAR(raw[[#This Row],[in]]))</f>
        <v/>
      </c>
      <c r="R1341" s="1397">
        <f>INT(raw[[#This Row],[yr]]/10)*10</f>
        <v/>
      </c>
      <c r="S1341" s="1395">
        <f>IF(raw[[#This Row],[city]]="","-",IF(raw[[#This Row],[city]]&lt;&gt;_xlfn.XLOOKUP(raw[[#This Row],[home]],homes[home],homes[city],"-"),1,0))</f>
        <v/>
      </c>
      <c r="T1341" s="1398" t="inlineStr">
        <is>
          <t>.</t>
        </is>
      </c>
      <c r="U1341" s="1399">
        <f>IF(raw[[#This Row],[wb]]="w",raw[[#This Row],[stay]]+U1340,U1340)</f>
        <v/>
      </c>
      <c r="V1341" s="1400">
        <f>IF(raw[[#This Row],[out]]=0,V1340,(raw[[#This Row],[out]]-E$5))</f>
        <v/>
      </c>
      <c r="W1341" s="1401">
        <f>U1341/V1341</f>
        <v/>
      </c>
      <c r="X1341" s="1392" t="n"/>
      <c r="Y1341" s="1392" t="n"/>
      <c r="Z1341" s="1392" t="n"/>
      <c r="AA1341" s="1392" t="n"/>
      <c r="AB1341" s="1392" t="n"/>
      <c r="AC1341" s="1392" t="n"/>
      <c r="AD1341" s="1392" t="n"/>
      <c r="AE1341" s="1392" t="n"/>
      <c r="AF1341" s="1392" t="n"/>
      <c r="AG1341" s="1392" t="n"/>
      <c r="AH1341" s="1392" t="n"/>
      <c r="AI1341" s="1392" t="n"/>
      <c r="AJ1341" s="1392" t="n"/>
      <c r="AK1341" s="1392" t="n"/>
      <c r="AL1341" s="1392" t="n"/>
      <c r="AM1341" s="1392" t="n"/>
      <c r="AN1341" s="1392" t="n"/>
      <c r="AO1341" s="1392" t="n"/>
      <c r="AP1341" s="1392" t="n"/>
      <c r="AQ1341" s="1392" t="n"/>
      <c r="AR1341" s="1422" t="n"/>
      <c r="AS1341" s="1422" t="n"/>
      <c r="AT1341" s="1392" t="n"/>
      <c r="AU1341" s="1392" t="n"/>
      <c r="AV1341" s="1392" t="n"/>
      <c r="AW1341" s="1392" t="n"/>
      <c r="AX1341" s="1392" t="n"/>
      <c r="AY1341" s="1392" t="n"/>
      <c r="AZ1341" s="1392" t="n"/>
      <c r="BA1341" s="1422" t="n"/>
      <c r="BB1341" s="1422" t="n"/>
      <c r="BC1341" s="1392" t="n"/>
      <c r="BD1341" s="1392" t="n"/>
      <c r="BE1341" s="1392" t="n"/>
      <c r="BF1341" s="1392" t="n"/>
      <c r="BG1341" s="1392" t="n"/>
      <c r="BH1341" s="1392" t="n"/>
      <c r="BI1341" s="1392" t="n"/>
      <c r="BJ1341" s="1392" t="n"/>
      <c r="BK1341" s="1392" t="n"/>
      <c r="BL1341" s="1392" t="n"/>
      <c r="BM1341" s="1392" t="n"/>
      <c r="BN1341" s="1392" t="n"/>
      <c r="BO1341" s="1392" t="n"/>
      <c r="BP1341" s="1392" t="n"/>
      <c r="BQ1341" s="1392" t="n"/>
      <c r="BR1341" s="1392" t="n"/>
      <c r="BS1341" s="1392" t="n"/>
      <c r="BT1341" s="1392" t="n"/>
      <c r="BU1341" s="1392" t="n"/>
      <c r="BV1341" s="1392" t="n"/>
      <c r="BW1341" s="1392" t="n"/>
      <c r="BX1341" s="1392" t="n"/>
      <c r="BY1341" s="1392" t="n"/>
      <c r="BZ1341" s="1392" t="n"/>
      <c r="CA1341" s="1392" t="n"/>
      <c r="CB1341" s="1392" t="n"/>
      <c r="CC1341" s="1392" t="n"/>
      <c r="CD1341" s="1392" t="n"/>
      <c r="CE1341" s="1392" t="n"/>
      <c r="CF1341" s="1392" t="n"/>
      <c r="CG1341" s="1392" t="n"/>
      <c r="CH1341" s="1392" t="n"/>
      <c r="CI1341" s="1392" t="n"/>
      <c r="CJ1341" s="1392" t="n"/>
      <c r="CK1341" s="1392" t="n"/>
      <c r="CL1341" s="1392" t="n"/>
    </row>
    <row r="1342">
      <c r="A1342" s="5" t="inlineStr">
        <is>
          <t>.</t>
        </is>
      </c>
      <c r="B1342" s="5" t="inlineStr">
        <is>
          <t>.</t>
        </is>
      </c>
      <c r="C1342" s="1378">
        <f>IF(raw[[#This Row],[city]]="","-",IF(raw[[#This Row],[city]]="TODAY","-",C1341+1))</f>
        <v/>
      </c>
      <c r="D1342" s="1393" t="inlineStr">
        <is>
          <t>Toronto</t>
        </is>
      </c>
      <c r="E1342" s="1394" t="n">
        <v>41856</v>
      </c>
      <c r="F1342" s="1394" t="n">
        <v>41858</v>
      </c>
      <c r="G1342" s="1393" t="n">
        <v>1</v>
      </c>
      <c r="H1342" s="1393" t="inlineStr">
        <is>
          <t>Beatty</t>
        </is>
      </c>
      <c r="I1342" s="1393" t="inlineStr">
        <is>
          <t>-</t>
        </is>
      </c>
      <c r="J1342" s="1393" t="inlineStr">
        <is>
          <t>-</t>
        </is>
      </c>
      <c r="K1342" s="1395">
        <f>IF(raw[[#This Row],[city]]&lt;&gt;"",_xlfn.XLOOKUP($D1342,ccc[city],ccc[prov],"-"),"-")</f>
        <v/>
      </c>
      <c r="L1342" s="1395">
        <f>IF(raw[[#This Row],[city]]&lt;&gt;"",_xlfn.XLOOKUP($D1342,ccc[city],ccc[ctry],"-"),"-")</f>
        <v/>
      </c>
      <c r="M1342" s="1395">
        <f>IF(raw[[#This Row],[city]]&lt;&gt;"",_xlfn.XLOOKUP($D1342,ccc[city],ccc[cont],"-"),"-")</f>
        <v/>
      </c>
      <c r="N1342" s="1396">
        <f>IF(raw[[#This Row],[city]]="","-",IF(raw[[#This Row],[cont]]="B",raw[[#This Row],[cont]],"W"))</f>
        <v/>
      </c>
      <c r="O1342" s="1397">
        <f>IF(raw[[#This Row],[out]]=0,0,IF(raw[[#This Row],[out]]=raw[[#This Row],[in]],0.01,raw[[#This Row],[out]]-raw[[#This Row],[in]]))</f>
        <v/>
      </c>
      <c r="P1342" s="1397">
        <f>IF(raw[[#This Row],[in]]=0,0,MONTH(raw[[#This Row],[in]]))</f>
        <v/>
      </c>
      <c r="Q1342" s="1397">
        <f>IF(raw[[#This Row],[in]]=0,0,YEAR(raw[[#This Row],[in]]))</f>
        <v/>
      </c>
      <c r="R1342" s="1397">
        <f>INT(raw[[#This Row],[yr]]/10)*10</f>
        <v/>
      </c>
      <c r="S1342" s="1395">
        <f>IF(raw[[#This Row],[city]]="","-",IF(raw[[#This Row],[city]]&lt;&gt;_xlfn.XLOOKUP(raw[[#This Row],[home]],homes[home],homes[city],"-"),1,0))</f>
        <v/>
      </c>
      <c r="T1342" s="1398" t="inlineStr">
        <is>
          <t>.</t>
        </is>
      </c>
      <c r="U1342" s="1399">
        <f>IF(raw[[#This Row],[wb]]="w",raw[[#This Row],[stay]]+U1341,U1341)</f>
        <v/>
      </c>
      <c r="V1342" s="1400">
        <f>IF(raw[[#This Row],[out]]=0,V1341,(raw[[#This Row],[out]]-E$5))</f>
        <v/>
      </c>
      <c r="W1342" s="1401">
        <f>U1342/V1342</f>
        <v/>
      </c>
      <c r="X1342" s="1392" t="n"/>
      <c r="Y1342" s="1392" t="n"/>
      <c r="Z1342" s="1392" t="n"/>
      <c r="AA1342" s="1392" t="n"/>
      <c r="AB1342" s="1392" t="n"/>
      <c r="AC1342" s="1392" t="n"/>
      <c r="AD1342" s="1392" t="n"/>
      <c r="AE1342" s="1392" t="n"/>
      <c r="AF1342" s="1392" t="n"/>
      <c r="AG1342" s="1392" t="n"/>
      <c r="AH1342" s="1392" t="n"/>
      <c r="AI1342" s="1392" t="n"/>
      <c r="AJ1342" s="1392" t="n"/>
      <c r="AK1342" s="1392" t="n"/>
      <c r="AL1342" s="1392" t="n"/>
      <c r="AM1342" s="1392" t="n"/>
      <c r="AN1342" s="1392" t="n"/>
      <c r="AO1342" s="1392" t="n"/>
      <c r="AP1342" s="1392" t="n"/>
      <c r="AQ1342" s="1392" t="n"/>
      <c r="AR1342" s="1422" t="n"/>
      <c r="AS1342" s="1422" t="n"/>
      <c r="AT1342" s="1392" t="n"/>
      <c r="AU1342" s="1392" t="n"/>
      <c r="AV1342" s="1392" t="n"/>
      <c r="AW1342" s="1392" t="n"/>
      <c r="AX1342" s="1392" t="n"/>
      <c r="AY1342" s="1392" t="n"/>
      <c r="AZ1342" s="1392" t="n"/>
      <c r="BA1342" s="1422" t="n"/>
      <c r="BB1342" s="1422" t="n"/>
      <c r="BC1342" s="1392" t="n"/>
      <c r="BD1342" s="1392" t="n"/>
      <c r="BE1342" s="1392" t="n"/>
      <c r="BF1342" s="1392" t="n"/>
      <c r="BG1342" s="1392" t="n"/>
      <c r="BH1342" s="1392" t="n"/>
      <c r="BI1342" s="1392" t="n"/>
      <c r="BJ1342" s="1392" t="n"/>
      <c r="BK1342" s="1392" t="n"/>
      <c r="BL1342" s="1392" t="n"/>
      <c r="BM1342" s="1392" t="n"/>
      <c r="BN1342" s="1392" t="n"/>
      <c r="BO1342" s="1392" t="n"/>
      <c r="BP1342" s="1392" t="n"/>
      <c r="BQ1342" s="1392" t="n"/>
      <c r="BR1342" s="1392" t="n"/>
      <c r="BS1342" s="1392" t="n"/>
      <c r="BT1342" s="1392" t="n"/>
      <c r="BU1342" s="1392" t="n"/>
      <c r="BV1342" s="1392" t="n"/>
      <c r="BW1342" s="1392" t="n"/>
      <c r="BX1342" s="1392" t="n"/>
      <c r="BY1342" s="1392" t="n"/>
      <c r="BZ1342" s="1392" t="n"/>
      <c r="CA1342" s="1392" t="n"/>
      <c r="CB1342" s="1392" t="n"/>
      <c r="CC1342" s="1392" t="n"/>
      <c r="CD1342" s="1392" t="n"/>
      <c r="CE1342" s="1392" t="n"/>
      <c r="CF1342" s="1392" t="n"/>
      <c r="CG1342" s="1392" t="n"/>
      <c r="CH1342" s="1392" t="n"/>
      <c r="CI1342" s="1392" t="n"/>
      <c r="CJ1342" s="1392" t="n"/>
      <c r="CK1342" s="1392" t="n"/>
      <c r="CL1342" s="1392" t="n"/>
    </row>
    <row r="1343">
      <c r="A1343" s="5" t="inlineStr">
        <is>
          <t>.</t>
        </is>
      </c>
      <c r="B1343" s="5" t="inlineStr">
        <is>
          <t>.</t>
        </is>
      </c>
      <c r="C1343" s="1378">
        <f>IF(raw[[#This Row],[city]]="","-",IF(raw[[#This Row],[city]]="TODAY","-",C1342+1))</f>
        <v/>
      </c>
      <c r="D1343" s="1393" t="inlineStr">
        <is>
          <t>Montreal</t>
        </is>
      </c>
      <c r="E1343" s="1394" t="n">
        <v>41858</v>
      </c>
      <c r="F1343" s="1394" t="n">
        <v>41883</v>
      </c>
      <c r="G1343" s="1393" t="inlineStr">
        <is>
          <t>-</t>
        </is>
      </c>
      <c r="H1343" s="1393" t="inlineStr">
        <is>
          <t>Beatty</t>
        </is>
      </c>
      <c r="I1343" s="1393" t="inlineStr">
        <is>
          <t>-</t>
        </is>
      </c>
      <c r="J1343" s="1393" t="inlineStr">
        <is>
          <t>BDAY</t>
        </is>
      </c>
      <c r="K1343" s="1395">
        <f>IF(raw[[#This Row],[city]]&lt;&gt;"",_xlfn.XLOOKUP($D1343,ccc[city],ccc[prov],"-"),"-")</f>
        <v/>
      </c>
      <c r="L1343" s="1395">
        <f>IF(raw[[#This Row],[city]]&lt;&gt;"",_xlfn.XLOOKUP($D1343,ccc[city],ccc[ctry],"-"),"-")</f>
        <v/>
      </c>
      <c r="M1343" s="1395">
        <f>IF(raw[[#This Row],[city]]&lt;&gt;"",_xlfn.XLOOKUP($D1343,ccc[city],ccc[cont],"-"),"-")</f>
        <v/>
      </c>
      <c r="N1343" s="1396">
        <f>IF(raw[[#This Row],[city]]="","-",IF(raw[[#This Row],[cont]]="B",raw[[#This Row],[cont]],"W"))</f>
        <v/>
      </c>
      <c r="O1343" s="1397">
        <f>IF(raw[[#This Row],[out]]=0,0,IF(raw[[#This Row],[out]]=raw[[#This Row],[in]],0.01,raw[[#This Row],[out]]-raw[[#This Row],[in]]))</f>
        <v/>
      </c>
      <c r="P1343" s="1397">
        <f>IF(raw[[#This Row],[in]]=0,0,MONTH(raw[[#This Row],[in]]))</f>
        <v/>
      </c>
      <c r="Q1343" s="1397">
        <f>IF(raw[[#This Row],[in]]=0,0,YEAR(raw[[#This Row],[in]]))</f>
        <v/>
      </c>
      <c r="R1343" s="1397">
        <f>INT(raw[[#This Row],[yr]]/10)*10</f>
        <v/>
      </c>
      <c r="S1343" s="1395">
        <f>IF(raw[[#This Row],[city]]="","-",IF(raw[[#This Row],[city]]&lt;&gt;_xlfn.XLOOKUP(raw[[#This Row],[home]],homes[home],homes[city],"-"),1,0))</f>
        <v/>
      </c>
      <c r="T1343" s="1398" t="inlineStr">
        <is>
          <t>.</t>
        </is>
      </c>
      <c r="U1343" s="1399">
        <f>IF(raw[[#This Row],[wb]]="w",raw[[#This Row],[stay]]+U1342,U1342)</f>
        <v/>
      </c>
      <c r="V1343" s="1400">
        <f>IF(raw[[#This Row],[out]]=0,V1342,(raw[[#This Row],[out]]-E$5))</f>
        <v/>
      </c>
      <c r="W1343" s="1401">
        <f>U1343/V1343</f>
        <v/>
      </c>
      <c r="X1343" s="1392" t="n"/>
      <c r="Y1343" s="1392" t="n"/>
      <c r="Z1343" s="1392" t="n"/>
      <c r="AA1343" s="1392" t="n"/>
      <c r="AB1343" s="1392" t="n"/>
      <c r="AC1343" s="1392" t="n"/>
      <c r="AD1343" s="1392" t="n"/>
      <c r="AE1343" s="1392" t="n"/>
      <c r="AF1343" s="1392" t="n"/>
      <c r="AG1343" s="1392" t="n"/>
      <c r="AH1343" s="1392" t="n"/>
      <c r="AI1343" s="1392" t="n"/>
      <c r="AJ1343" s="1392" t="n"/>
      <c r="AK1343" s="1392" t="n"/>
      <c r="AL1343" s="1392" t="n"/>
      <c r="AM1343" s="1392" t="n"/>
      <c r="AN1343" s="1392" t="n"/>
      <c r="AO1343" s="1392" t="n"/>
      <c r="AP1343" s="1392" t="n"/>
      <c r="AQ1343" s="1392" t="n"/>
      <c r="AR1343" s="1422" t="n"/>
      <c r="AS1343" s="1422" t="n"/>
      <c r="AT1343" s="1392" t="n"/>
      <c r="AU1343" s="1392" t="n"/>
      <c r="AV1343" s="1392" t="n"/>
      <c r="AW1343" s="1392" t="n"/>
      <c r="AX1343" s="1392" t="n"/>
      <c r="AY1343" s="1392" t="n"/>
      <c r="AZ1343" s="1392" t="n"/>
      <c r="BA1343" s="1422" t="n"/>
      <c r="BB1343" s="1422" t="n"/>
      <c r="BC1343" s="1392" t="n"/>
      <c r="BD1343" s="1392" t="n"/>
      <c r="BE1343" s="1392" t="n"/>
      <c r="BF1343" s="1392" t="n"/>
      <c r="BG1343" s="1392" t="n"/>
      <c r="BH1343" s="1392" t="n"/>
      <c r="BI1343" s="1392" t="n"/>
      <c r="BJ1343" s="1392" t="n"/>
      <c r="BK1343" s="1392" t="n"/>
      <c r="BL1343" s="1392" t="n"/>
      <c r="BM1343" s="1392" t="n"/>
      <c r="BN1343" s="1392" t="n"/>
      <c r="BO1343" s="1392" t="n"/>
      <c r="BP1343" s="1392" t="n"/>
      <c r="BQ1343" s="1392" t="n"/>
      <c r="BR1343" s="1392" t="n"/>
      <c r="BS1343" s="1392" t="n"/>
      <c r="BT1343" s="1392" t="n"/>
      <c r="BU1343" s="1392" t="n"/>
      <c r="BV1343" s="1392" t="n"/>
      <c r="BW1343" s="1392" t="n"/>
      <c r="BX1343" s="1392" t="n"/>
      <c r="BY1343" s="1392" t="n"/>
      <c r="BZ1343" s="1392" t="n"/>
      <c r="CA1343" s="1392" t="n"/>
      <c r="CB1343" s="1392" t="n"/>
      <c r="CC1343" s="1392" t="n"/>
      <c r="CD1343" s="1392" t="n"/>
      <c r="CE1343" s="1392" t="n"/>
      <c r="CF1343" s="1392" t="n"/>
      <c r="CG1343" s="1392" t="n"/>
      <c r="CH1343" s="1392" t="n"/>
      <c r="CI1343" s="1392" t="n"/>
      <c r="CJ1343" s="1392" t="n"/>
      <c r="CK1343" s="1392" t="n"/>
      <c r="CL1343" s="1392" t="n"/>
    </row>
    <row r="1344">
      <c r="A1344" s="5" t="inlineStr">
        <is>
          <t>.</t>
        </is>
      </c>
      <c r="B1344" s="5" t="inlineStr">
        <is>
          <t>.</t>
        </is>
      </c>
      <c r="C1344" s="1378">
        <f>IF(raw[[#This Row],[city]]="","-",IF(raw[[#This Row],[city]]="TODAY","-",C1343+1))</f>
        <v/>
      </c>
      <c r="D1344" s="1393" t="inlineStr">
        <is>
          <t>Trois-Rivieres</t>
        </is>
      </c>
      <c r="E1344" s="1394" t="n">
        <v>41874</v>
      </c>
      <c r="F1344" s="1394" t="n">
        <v>41874</v>
      </c>
      <c r="G1344" s="1393" t="inlineStr">
        <is>
          <t>-</t>
        </is>
      </c>
      <c r="H1344" s="1393" t="inlineStr">
        <is>
          <t>Beatty</t>
        </is>
      </c>
      <c r="I1344" s="1393" t="inlineStr">
        <is>
          <t>-</t>
        </is>
      </c>
      <c r="J1344" s="1393" t="inlineStr">
        <is>
          <t>19 times/</t>
        </is>
      </c>
      <c r="K1344" s="1395">
        <f>IF(raw[[#This Row],[city]]&lt;&gt;"",_xlfn.XLOOKUP($D1344,ccc[city],ccc[prov],"-"),"-")</f>
        <v/>
      </c>
      <c r="L1344" s="1395">
        <f>IF(raw[[#This Row],[city]]&lt;&gt;"",_xlfn.XLOOKUP($D1344,ccc[city],ccc[ctry],"-"),"-")</f>
        <v/>
      </c>
      <c r="M1344" s="1395">
        <f>IF(raw[[#This Row],[city]]&lt;&gt;"",_xlfn.XLOOKUP($D1344,ccc[city],ccc[cont],"-"),"-")</f>
        <v/>
      </c>
      <c r="N1344" s="1396">
        <f>IF(raw[[#This Row],[city]]="","-",IF(raw[[#This Row],[cont]]="B",raw[[#This Row],[cont]],"W"))</f>
        <v/>
      </c>
      <c r="O1344" s="1397">
        <f>IF(raw[[#This Row],[out]]=0,0,IF(raw[[#This Row],[out]]=raw[[#This Row],[in]],0.01,raw[[#This Row],[out]]-raw[[#This Row],[in]]))</f>
        <v/>
      </c>
      <c r="P1344" s="1397">
        <f>IF(raw[[#This Row],[in]]=0,0,MONTH(raw[[#This Row],[in]]))</f>
        <v/>
      </c>
      <c r="Q1344" s="1397">
        <f>IF(raw[[#This Row],[in]]=0,0,YEAR(raw[[#This Row],[in]]))</f>
        <v/>
      </c>
      <c r="R1344" s="1397">
        <f>INT(raw[[#This Row],[yr]]/10)*10</f>
        <v/>
      </c>
      <c r="S1344" s="1395">
        <f>IF(raw[[#This Row],[city]]="","-",IF(raw[[#This Row],[city]]&lt;&gt;_xlfn.XLOOKUP(raw[[#This Row],[home]],homes[home],homes[city],"-"),1,0))</f>
        <v/>
      </c>
      <c r="T1344" s="1398" t="inlineStr">
        <is>
          <t>.</t>
        </is>
      </c>
      <c r="U1344" s="1399">
        <f>IF(raw[[#This Row],[wb]]="w",raw[[#This Row],[stay]]+U1343,U1343)</f>
        <v/>
      </c>
      <c r="V1344" s="1400">
        <f>IF(raw[[#This Row],[out]]=0,V1343,(raw[[#This Row],[out]]-E$5))</f>
        <v/>
      </c>
      <c r="W1344" s="1401">
        <f>U1344/V1344</f>
        <v/>
      </c>
      <c r="X1344" s="1392" t="n"/>
      <c r="Y1344" s="1392" t="n"/>
      <c r="Z1344" s="1392" t="n"/>
      <c r="AA1344" s="1392" t="n"/>
      <c r="AB1344" s="1392" t="n"/>
      <c r="AC1344" s="1392" t="n"/>
      <c r="AD1344" s="1392" t="n"/>
      <c r="AE1344" s="1392" t="n"/>
      <c r="AF1344" s="1392" t="n"/>
      <c r="AG1344" s="1392" t="n"/>
      <c r="AH1344" s="1392" t="n"/>
      <c r="AI1344" s="1392" t="n"/>
      <c r="AJ1344" s="1392" t="n"/>
      <c r="AK1344" s="1392" t="n"/>
      <c r="AL1344" s="1392" t="n"/>
      <c r="AM1344" s="1392" t="n"/>
      <c r="AN1344" s="1392" t="n"/>
      <c r="AO1344" s="1392" t="n"/>
      <c r="AP1344" s="1392" t="n"/>
      <c r="AQ1344" s="1392" t="n"/>
      <c r="AR1344" s="1422" t="n"/>
      <c r="AS1344" s="1422" t="n"/>
      <c r="AT1344" s="1392" t="n"/>
      <c r="AU1344" s="1392" t="n"/>
      <c r="AV1344" s="1392" t="n"/>
      <c r="AW1344" s="1392" t="n"/>
      <c r="AX1344" s="1392" t="n"/>
      <c r="AY1344" s="1392" t="n"/>
      <c r="AZ1344" s="1392" t="n"/>
      <c r="BA1344" s="1422" t="n"/>
      <c r="BB1344" s="1422" t="n"/>
      <c r="BC1344" s="1392" t="n"/>
      <c r="BD1344" s="1392" t="n"/>
      <c r="BE1344" s="1392" t="n"/>
      <c r="BF1344" s="1392" t="n"/>
      <c r="BG1344" s="1392" t="n"/>
      <c r="BH1344" s="1392" t="n"/>
      <c r="BI1344" s="1392" t="n"/>
      <c r="BJ1344" s="1392" t="n"/>
      <c r="BK1344" s="1392" t="n"/>
      <c r="BL1344" s="1392" t="n"/>
      <c r="BM1344" s="1392" t="n"/>
      <c r="BN1344" s="1392" t="n"/>
      <c r="BO1344" s="1392" t="n"/>
      <c r="BP1344" s="1392" t="n"/>
      <c r="BQ1344" s="1392" t="n"/>
      <c r="BR1344" s="1392" t="n"/>
      <c r="BS1344" s="1392" t="n"/>
      <c r="BT1344" s="1392" t="n"/>
      <c r="BU1344" s="1392" t="n"/>
      <c r="BV1344" s="1392" t="n"/>
      <c r="BW1344" s="1392" t="n"/>
      <c r="BX1344" s="1392" t="n"/>
      <c r="BY1344" s="1392" t="n"/>
      <c r="BZ1344" s="1392" t="n"/>
      <c r="CA1344" s="1392" t="n"/>
      <c r="CB1344" s="1392" t="n"/>
      <c r="CC1344" s="1392" t="n"/>
      <c r="CD1344" s="1392" t="n"/>
      <c r="CE1344" s="1392" t="n"/>
      <c r="CF1344" s="1392" t="n"/>
      <c r="CG1344" s="1392" t="n"/>
      <c r="CH1344" s="1392" t="n"/>
      <c r="CI1344" s="1392" t="n"/>
      <c r="CJ1344" s="1392" t="n"/>
      <c r="CK1344" s="1392" t="n"/>
      <c r="CL1344" s="1392" t="n"/>
    </row>
    <row r="1345">
      <c r="A1345" s="5" t="inlineStr">
        <is>
          <t>.</t>
        </is>
      </c>
      <c r="B1345" s="5" t="inlineStr">
        <is>
          <t>.</t>
        </is>
      </c>
      <c r="C1345" s="1378">
        <f>IF(raw[[#This Row],[city]]="","-",IF(raw[[#This Row],[city]]="TODAY","-",C1344+1))</f>
        <v/>
      </c>
      <c r="D1345" s="1393" t="inlineStr">
        <is>
          <t>Montreal</t>
        </is>
      </c>
      <c r="E1345" s="1394" t="n">
        <v>41883</v>
      </c>
      <c r="F1345" s="1394" t="n">
        <v>41913</v>
      </c>
      <c r="G1345" s="1393" t="n">
        <v>1</v>
      </c>
      <c r="H1345" s="1393" t="inlineStr">
        <is>
          <t>Beatty</t>
        </is>
      </c>
      <c r="I1345" s="1393" t="inlineStr">
        <is>
          <t>-</t>
        </is>
      </c>
      <c r="J1345" s="1393" t="inlineStr">
        <is>
          <t>-</t>
        </is>
      </c>
      <c r="K1345" s="1395">
        <f>IF(raw[[#This Row],[city]]&lt;&gt;"",_xlfn.XLOOKUP($D1345,ccc[city],ccc[prov],"-"),"-")</f>
        <v/>
      </c>
      <c r="L1345" s="1395">
        <f>IF(raw[[#This Row],[city]]&lt;&gt;"",_xlfn.XLOOKUP($D1345,ccc[city],ccc[ctry],"-"),"-")</f>
        <v/>
      </c>
      <c r="M1345" s="1395">
        <f>IF(raw[[#This Row],[city]]&lt;&gt;"",_xlfn.XLOOKUP($D1345,ccc[city],ccc[cont],"-"),"-")</f>
        <v/>
      </c>
      <c r="N1345" s="1396">
        <f>IF(raw[[#This Row],[city]]="","-",IF(raw[[#This Row],[cont]]="B",raw[[#This Row],[cont]],"W"))</f>
        <v/>
      </c>
      <c r="O1345" s="1397">
        <f>IF(raw[[#This Row],[out]]=0,0,IF(raw[[#This Row],[out]]=raw[[#This Row],[in]],0.01,raw[[#This Row],[out]]-raw[[#This Row],[in]]))</f>
        <v/>
      </c>
      <c r="P1345" s="1397">
        <f>IF(raw[[#This Row],[in]]=0,0,MONTH(raw[[#This Row],[in]]))</f>
        <v/>
      </c>
      <c r="Q1345" s="1397">
        <f>IF(raw[[#This Row],[in]]=0,0,YEAR(raw[[#This Row],[in]]))</f>
        <v/>
      </c>
      <c r="R1345" s="1397">
        <f>INT(raw[[#This Row],[yr]]/10)*10</f>
        <v/>
      </c>
      <c r="S1345" s="1395">
        <f>IF(raw[[#This Row],[city]]="","-",IF(raw[[#This Row],[city]]&lt;&gt;_xlfn.XLOOKUP(raw[[#This Row],[home]],homes[home],homes[city],"-"),1,0))</f>
        <v/>
      </c>
      <c r="T1345" s="1398" t="inlineStr">
        <is>
          <t>.</t>
        </is>
      </c>
      <c r="U1345" s="1399">
        <f>IF(raw[[#This Row],[wb]]="w",raw[[#This Row],[stay]]+U1344,U1344)</f>
        <v/>
      </c>
      <c r="V1345" s="1400">
        <f>IF(raw[[#This Row],[out]]=0,V1344,(raw[[#This Row],[out]]-E$5))</f>
        <v/>
      </c>
      <c r="W1345" s="1401">
        <f>U1345/V1345</f>
        <v/>
      </c>
      <c r="X1345" s="1392" t="n"/>
      <c r="Y1345" s="1392" t="n"/>
      <c r="Z1345" s="1392" t="n"/>
      <c r="AA1345" s="1392" t="n"/>
      <c r="AB1345" s="1392" t="n"/>
      <c r="AC1345" s="1392" t="n"/>
      <c r="AD1345" s="1392" t="n"/>
      <c r="AE1345" s="1392" t="n"/>
      <c r="AF1345" s="1392" t="n"/>
      <c r="AG1345" s="1392" t="n"/>
      <c r="AH1345" s="1392" t="n"/>
      <c r="AI1345" s="1392" t="n"/>
      <c r="AJ1345" s="1392" t="n"/>
      <c r="AK1345" s="1392" t="n"/>
      <c r="AL1345" s="1392" t="n"/>
      <c r="AM1345" s="1392" t="n"/>
      <c r="AN1345" s="1392" t="n"/>
      <c r="AO1345" s="1392" t="n"/>
      <c r="AP1345" s="1392" t="n"/>
      <c r="AQ1345" s="1392" t="n"/>
      <c r="AR1345" s="1422" t="n"/>
      <c r="AS1345" s="1422" t="n"/>
      <c r="AT1345" s="1392" t="n"/>
      <c r="AU1345" s="1392" t="n"/>
      <c r="AV1345" s="1392" t="n"/>
      <c r="AW1345" s="1392" t="n"/>
      <c r="AX1345" s="1392" t="n"/>
      <c r="AY1345" s="1392" t="n"/>
      <c r="AZ1345" s="1392" t="n"/>
      <c r="BA1345" s="1422" t="n"/>
      <c r="BB1345" s="1422" t="n"/>
      <c r="BC1345" s="1392" t="n"/>
      <c r="BD1345" s="1392" t="n"/>
      <c r="BE1345" s="1392" t="n"/>
      <c r="BF1345" s="1392" t="n"/>
      <c r="BG1345" s="1392" t="n"/>
      <c r="BH1345" s="1392" t="n"/>
      <c r="BI1345" s="1392" t="n"/>
      <c r="BJ1345" s="1392" t="n"/>
      <c r="BK1345" s="1392" t="n"/>
      <c r="BL1345" s="1392" t="n"/>
      <c r="BM1345" s="1392" t="n"/>
      <c r="BN1345" s="1392" t="n"/>
      <c r="BO1345" s="1392" t="n"/>
      <c r="BP1345" s="1392" t="n"/>
      <c r="BQ1345" s="1392" t="n"/>
      <c r="BR1345" s="1392" t="n"/>
      <c r="BS1345" s="1392" t="n"/>
      <c r="BT1345" s="1392" t="n"/>
      <c r="BU1345" s="1392" t="n"/>
      <c r="BV1345" s="1392" t="n"/>
      <c r="BW1345" s="1392" t="n"/>
      <c r="BX1345" s="1392" t="n"/>
      <c r="BY1345" s="1392" t="n"/>
      <c r="BZ1345" s="1392" t="n"/>
      <c r="CA1345" s="1392" t="n"/>
      <c r="CB1345" s="1392" t="n"/>
      <c r="CC1345" s="1392" t="n"/>
      <c r="CD1345" s="1392" t="n"/>
      <c r="CE1345" s="1392" t="n"/>
      <c r="CF1345" s="1392" t="n"/>
      <c r="CG1345" s="1392" t="n"/>
      <c r="CH1345" s="1392" t="n"/>
      <c r="CI1345" s="1392" t="n"/>
      <c r="CJ1345" s="1392" t="n"/>
      <c r="CK1345" s="1392" t="n"/>
      <c r="CL1345" s="1392" t="n"/>
    </row>
    <row r="1346">
      <c r="A1346" s="5" t="inlineStr">
        <is>
          <t>.</t>
        </is>
      </c>
      <c r="B1346" s="5" t="inlineStr">
        <is>
          <t>.</t>
        </is>
      </c>
      <c r="C1346" s="1378">
        <f>IF(raw[[#This Row],[city]]="","-",IF(raw[[#This Row],[city]]="TODAY","-",C1345+1))</f>
        <v/>
      </c>
      <c r="D1346" s="1393" t="inlineStr">
        <is>
          <t>NYC</t>
        </is>
      </c>
      <c r="E1346" s="1394" t="n">
        <v>41913</v>
      </c>
      <c r="F1346" s="1394" t="n">
        <v>41913</v>
      </c>
      <c r="G1346" s="1393" t="n">
        <v>0.01</v>
      </c>
      <c r="H1346" s="1393" t="inlineStr">
        <is>
          <t>Beatty</t>
        </is>
      </c>
      <c r="I1346" s="1393" t="inlineStr">
        <is>
          <t>-</t>
        </is>
      </c>
      <c r="J1346" s="1393" t="inlineStr">
        <is>
          <t>-</t>
        </is>
      </c>
      <c r="K1346" s="1395">
        <f>IF(raw[[#This Row],[city]]&lt;&gt;"",_xlfn.XLOOKUP($D1346,ccc[city],ccc[prov],"-"),"-")</f>
        <v/>
      </c>
      <c r="L1346" s="1395">
        <f>IF(raw[[#This Row],[city]]&lt;&gt;"",_xlfn.XLOOKUP($D1346,ccc[city],ccc[ctry],"-"),"-")</f>
        <v/>
      </c>
      <c r="M1346" s="1395">
        <f>IF(raw[[#This Row],[city]]&lt;&gt;"",_xlfn.XLOOKUP($D1346,ccc[city],ccc[cont],"-"),"-")</f>
        <v/>
      </c>
      <c r="N1346" s="1396">
        <f>IF(raw[[#This Row],[city]]="","-",IF(raw[[#This Row],[cont]]="B",raw[[#This Row],[cont]],"W"))</f>
        <v/>
      </c>
      <c r="O1346" s="1397">
        <f>IF(raw[[#This Row],[out]]=0,0,IF(raw[[#This Row],[out]]=raw[[#This Row],[in]],0.01,raw[[#This Row],[out]]-raw[[#This Row],[in]]))</f>
        <v/>
      </c>
      <c r="P1346" s="1397">
        <f>IF(raw[[#This Row],[in]]=0,0,MONTH(raw[[#This Row],[in]]))</f>
        <v/>
      </c>
      <c r="Q1346" s="1397">
        <f>IF(raw[[#This Row],[in]]=0,0,YEAR(raw[[#This Row],[in]]))</f>
        <v/>
      </c>
      <c r="R1346" s="1397">
        <f>INT(raw[[#This Row],[yr]]/10)*10</f>
        <v/>
      </c>
      <c r="S1346" s="1395">
        <f>IF(raw[[#This Row],[city]]="","-",IF(raw[[#This Row],[city]]&lt;&gt;_xlfn.XLOOKUP(raw[[#This Row],[home]],homes[home],homes[city],"-"),1,0))</f>
        <v/>
      </c>
      <c r="T1346" s="1398" t="inlineStr">
        <is>
          <t>.</t>
        </is>
      </c>
      <c r="U1346" s="1399">
        <f>IF(raw[[#This Row],[wb]]="w",raw[[#This Row],[stay]]+U1345,U1345)</f>
        <v/>
      </c>
      <c r="V1346" s="1400">
        <f>IF(raw[[#This Row],[out]]=0,V1345,(raw[[#This Row],[out]]-E$5))</f>
        <v/>
      </c>
      <c r="W1346" s="1401">
        <f>U1346/V1346</f>
        <v/>
      </c>
      <c r="X1346" s="1392" t="n"/>
      <c r="Y1346" s="1392" t="n"/>
      <c r="Z1346" s="1392" t="n"/>
      <c r="AA1346" s="1392" t="n"/>
      <c r="AB1346" s="1392" t="n"/>
      <c r="AC1346" s="1392" t="n"/>
      <c r="AD1346" s="1392" t="n"/>
      <c r="AE1346" s="1392" t="n"/>
      <c r="AF1346" s="1392" t="n"/>
      <c r="AG1346" s="1392" t="n"/>
      <c r="AH1346" s="1392" t="n"/>
      <c r="AI1346" s="1392" t="n"/>
      <c r="AJ1346" s="1392" t="n"/>
      <c r="AK1346" s="1392" t="n"/>
      <c r="AL1346" s="1392" t="n"/>
      <c r="AM1346" s="1392" t="n"/>
      <c r="AN1346" s="1392" t="n"/>
      <c r="AO1346" s="1392" t="n"/>
      <c r="AP1346" s="1392" t="n"/>
      <c r="AQ1346" s="1392" t="n"/>
      <c r="AR1346" s="1422" t="n"/>
      <c r="AS1346" s="1422" t="n"/>
      <c r="AT1346" s="1392" t="n"/>
      <c r="AU1346" s="1392" t="n"/>
      <c r="AV1346" s="1392" t="n"/>
      <c r="AW1346" s="1392" t="n"/>
      <c r="AX1346" s="1392" t="n"/>
      <c r="AY1346" s="1392" t="n"/>
      <c r="AZ1346" s="1392" t="n"/>
      <c r="BA1346" s="1422" t="n"/>
      <c r="BB1346" s="1422" t="n"/>
      <c r="BC1346" s="1392" t="n"/>
      <c r="BD1346" s="1392" t="n"/>
      <c r="BE1346" s="1392" t="n"/>
      <c r="BF1346" s="1392" t="n"/>
      <c r="BG1346" s="1392" t="n"/>
      <c r="BH1346" s="1392" t="n"/>
      <c r="BI1346" s="1392" t="n"/>
      <c r="BJ1346" s="1392" t="n"/>
      <c r="BK1346" s="1392" t="n"/>
      <c r="BL1346" s="1392" t="n"/>
      <c r="BM1346" s="1392" t="n"/>
      <c r="BN1346" s="1392" t="n"/>
      <c r="BO1346" s="1392" t="n"/>
      <c r="BP1346" s="1392" t="n"/>
      <c r="BQ1346" s="1392" t="n"/>
      <c r="BR1346" s="1392" t="n"/>
      <c r="BS1346" s="1392" t="n"/>
      <c r="BT1346" s="1392" t="n"/>
      <c r="BU1346" s="1392" t="n"/>
      <c r="BV1346" s="1392" t="n"/>
      <c r="BW1346" s="1392" t="n"/>
      <c r="BX1346" s="1392" t="n"/>
      <c r="BY1346" s="1392" t="n"/>
      <c r="BZ1346" s="1392" t="n"/>
      <c r="CA1346" s="1392" t="n"/>
      <c r="CB1346" s="1392" t="n"/>
      <c r="CC1346" s="1392" t="n"/>
      <c r="CD1346" s="1392" t="n"/>
      <c r="CE1346" s="1392" t="n"/>
      <c r="CF1346" s="1392" t="n"/>
      <c r="CG1346" s="1392" t="n"/>
      <c r="CH1346" s="1392" t="n"/>
      <c r="CI1346" s="1392" t="n"/>
      <c r="CJ1346" s="1392" t="n"/>
      <c r="CK1346" s="1392" t="n"/>
      <c r="CL1346" s="1392" t="n"/>
    </row>
    <row r="1347">
      <c r="A1347" s="5" t="inlineStr">
        <is>
          <t>.</t>
        </is>
      </c>
      <c r="B1347" s="5" t="inlineStr">
        <is>
          <t>.</t>
        </is>
      </c>
      <c r="C1347" s="1378">
        <f>IF(raw[[#This Row],[city]]="","-",IF(raw[[#This Row],[city]]="TODAY","-",C1346+1))</f>
        <v/>
      </c>
      <c r="D1347" s="1393" t="inlineStr">
        <is>
          <t>Orlando</t>
        </is>
      </c>
      <c r="E1347" s="1394" t="n">
        <v>41913</v>
      </c>
      <c r="F1347" s="1394" t="n">
        <v>41924</v>
      </c>
      <c r="G1347" s="1393" t="inlineStr">
        <is>
          <t>-</t>
        </is>
      </c>
      <c r="H1347" s="1393" t="inlineStr">
        <is>
          <t>Beatty</t>
        </is>
      </c>
      <c r="I1347" s="1393" t="inlineStr">
        <is>
          <t>-</t>
        </is>
      </c>
      <c r="J1347" s="1393" t="inlineStr">
        <is>
          <t>-</t>
        </is>
      </c>
      <c r="K1347" s="1395">
        <f>IF(raw[[#This Row],[city]]&lt;&gt;"",_xlfn.XLOOKUP($D1347,ccc[city],ccc[prov],"-"),"-")</f>
        <v/>
      </c>
      <c r="L1347" s="1395">
        <f>IF(raw[[#This Row],[city]]&lt;&gt;"",_xlfn.XLOOKUP($D1347,ccc[city],ccc[ctry],"-"),"-")</f>
        <v/>
      </c>
      <c r="M1347" s="1395">
        <f>IF(raw[[#This Row],[city]]&lt;&gt;"",_xlfn.XLOOKUP($D1347,ccc[city],ccc[cont],"-"),"-")</f>
        <v/>
      </c>
      <c r="N1347" s="1396">
        <f>IF(raw[[#This Row],[city]]="","-",IF(raw[[#This Row],[cont]]="B",raw[[#This Row],[cont]],"W"))</f>
        <v/>
      </c>
      <c r="O1347" s="1397">
        <f>IF(raw[[#This Row],[out]]=0,0,IF(raw[[#This Row],[out]]=raw[[#This Row],[in]],0.01,raw[[#This Row],[out]]-raw[[#This Row],[in]]))</f>
        <v/>
      </c>
      <c r="P1347" s="1397">
        <f>IF(raw[[#This Row],[in]]=0,0,MONTH(raw[[#This Row],[in]]))</f>
        <v/>
      </c>
      <c r="Q1347" s="1397">
        <f>IF(raw[[#This Row],[in]]=0,0,YEAR(raw[[#This Row],[in]]))</f>
        <v/>
      </c>
      <c r="R1347" s="1397">
        <f>INT(raw[[#This Row],[yr]]/10)*10</f>
        <v/>
      </c>
      <c r="S1347" s="1395">
        <f>IF(raw[[#This Row],[city]]="","-",IF(raw[[#This Row],[city]]&lt;&gt;_xlfn.XLOOKUP(raw[[#This Row],[home]],homes[home],homes[city],"-"),1,0))</f>
        <v/>
      </c>
      <c r="T1347" s="1398" t="inlineStr">
        <is>
          <t>.</t>
        </is>
      </c>
      <c r="U1347" s="1399">
        <f>IF(raw[[#This Row],[wb]]="w",raw[[#This Row],[stay]]+U1346,U1346)</f>
        <v/>
      </c>
      <c r="V1347" s="1400">
        <f>IF(raw[[#This Row],[out]]=0,V1346,(raw[[#This Row],[out]]-E$5))</f>
        <v/>
      </c>
      <c r="W1347" s="1401">
        <f>U1347/V1347</f>
        <v/>
      </c>
      <c r="X1347" s="1392" t="n"/>
      <c r="Y1347" s="1392" t="n"/>
      <c r="Z1347" s="1392" t="n"/>
      <c r="AA1347" s="1392" t="n"/>
      <c r="AB1347" s="1392" t="n"/>
      <c r="AC1347" s="1392" t="n"/>
      <c r="AD1347" s="1392" t="n"/>
      <c r="AE1347" s="1392" t="n"/>
      <c r="AF1347" s="1392" t="n"/>
      <c r="AG1347" s="1392" t="n"/>
      <c r="AH1347" s="1392" t="n"/>
      <c r="AI1347" s="1392" t="n"/>
      <c r="AJ1347" s="1392" t="n"/>
      <c r="AK1347" s="1392" t="n"/>
      <c r="AL1347" s="1392" t="n"/>
      <c r="AM1347" s="1392" t="n"/>
      <c r="AN1347" s="1392" t="n"/>
      <c r="AO1347" s="1392" t="n"/>
      <c r="AP1347" s="1392" t="n"/>
      <c r="AQ1347" s="1392" t="n"/>
      <c r="AR1347" s="1422" t="n"/>
      <c r="AS1347" s="1422" t="n"/>
      <c r="AT1347" s="1392" t="n"/>
      <c r="AU1347" s="1392" t="n"/>
      <c r="AV1347" s="1392" t="n"/>
      <c r="AW1347" s="1392" t="n"/>
      <c r="AX1347" s="1392" t="n"/>
      <c r="AY1347" s="1392" t="n"/>
      <c r="AZ1347" s="1392" t="n"/>
      <c r="BA1347" s="1422" t="n"/>
      <c r="BB1347" s="1422" t="n"/>
      <c r="BC1347" s="1392" t="n"/>
      <c r="BD1347" s="1392" t="n"/>
      <c r="BE1347" s="1392" t="n"/>
      <c r="BF1347" s="1392" t="n"/>
      <c r="BG1347" s="1392" t="n"/>
      <c r="BH1347" s="1392" t="n"/>
      <c r="BI1347" s="1392" t="n"/>
      <c r="BJ1347" s="1392" t="n"/>
      <c r="BK1347" s="1392" t="n"/>
      <c r="BL1347" s="1392" t="n"/>
      <c r="BM1347" s="1392" t="n"/>
      <c r="BN1347" s="1392" t="n"/>
      <c r="BO1347" s="1392" t="n"/>
      <c r="BP1347" s="1392" t="n"/>
      <c r="BQ1347" s="1392" t="n"/>
      <c r="BR1347" s="1392" t="n"/>
      <c r="BS1347" s="1392" t="n"/>
      <c r="BT1347" s="1392" t="n"/>
      <c r="BU1347" s="1392" t="n"/>
      <c r="BV1347" s="1392" t="n"/>
      <c r="BW1347" s="1392" t="n"/>
      <c r="BX1347" s="1392" t="n"/>
      <c r="BY1347" s="1392" t="n"/>
      <c r="BZ1347" s="1392" t="n"/>
      <c r="CA1347" s="1392" t="n"/>
      <c r="CB1347" s="1392" t="n"/>
      <c r="CC1347" s="1392" t="n"/>
      <c r="CD1347" s="1392" t="n"/>
      <c r="CE1347" s="1392" t="n"/>
      <c r="CF1347" s="1392" t="n"/>
      <c r="CG1347" s="1392" t="n"/>
      <c r="CH1347" s="1392" t="n"/>
      <c r="CI1347" s="1392" t="n"/>
      <c r="CJ1347" s="1392" t="n"/>
      <c r="CK1347" s="1392" t="n"/>
      <c r="CL1347" s="1392" t="n"/>
    </row>
    <row r="1348">
      <c r="A1348" s="5" t="inlineStr">
        <is>
          <t>.</t>
        </is>
      </c>
      <c r="B1348" s="5" t="inlineStr">
        <is>
          <t>.</t>
        </is>
      </c>
      <c r="C1348" s="1378">
        <f>IF(raw[[#This Row],[city]]="","-",IF(raw[[#This Row],[city]]="TODAY","-",C1347+1))</f>
        <v/>
      </c>
      <c r="D1348" s="1393" t="inlineStr">
        <is>
          <t>Kissimee</t>
        </is>
      </c>
      <c r="E1348" s="1394" t="n">
        <v>41913</v>
      </c>
      <c r="F1348" s="1394" t="n">
        <v>41913</v>
      </c>
      <c r="G1348" s="1393" t="inlineStr">
        <is>
          <t>-</t>
        </is>
      </c>
      <c r="H1348" s="1393" t="inlineStr">
        <is>
          <t>Beatty</t>
        </is>
      </c>
      <c r="I1348" s="1393" t="inlineStr">
        <is>
          <t>-</t>
        </is>
      </c>
      <c r="J1348" s="1393" t="inlineStr">
        <is>
          <t>-</t>
        </is>
      </c>
      <c r="K1348" s="1395">
        <f>IF(raw[[#This Row],[city]]&lt;&gt;"",_xlfn.XLOOKUP($D1348,ccc[city],ccc[prov],"-"),"-")</f>
        <v/>
      </c>
      <c r="L1348" s="1395">
        <f>IF(raw[[#This Row],[city]]&lt;&gt;"",_xlfn.XLOOKUP($D1348,ccc[city],ccc[ctry],"-"),"-")</f>
        <v/>
      </c>
      <c r="M1348" s="1395">
        <f>IF(raw[[#This Row],[city]]&lt;&gt;"",_xlfn.XLOOKUP($D1348,ccc[city],ccc[cont],"-"),"-")</f>
        <v/>
      </c>
      <c r="N1348" s="1396">
        <f>IF(raw[[#This Row],[city]]="","-",IF(raw[[#This Row],[cont]]="B",raw[[#This Row],[cont]],"W"))</f>
        <v/>
      </c>
      <c r="O1348" s="1397">
        <f>IF(raw[[#This Row],[out]]=0,0,IF(raw[[#This Row],[out]]=raw[[#This Row],[in]],0.01,raw[[#This Row],[out]]-raw[[#This Row],[in]]))</f>
        <v/>
      </c>
      <c r="P1348" s="1397">
        <f>IF(raw[[#This Row],[in]]=0,0,MONTH(raw[[#This Row],[in]]))</f>
        <v/>
      </c>
      <c r="Q1348" s="1397">
        <f>IF(raw[[#This Row],[in]]=0,0,YEAR(raw[[#This Row],[in]]))</f>
        <v/>
      </c>
      <c r="R1348" s="1397">
        <f>INT(raw[[#This Row],[yr]]/10)*10</f>
        <v/>
      </c>
      <c r="S1348" s="1395">
        <f>IF(raw[[#This Row],[city]]="","-",IF(raw[[#This Row],[city]]&lt;&gt;_xlfn.XLOOKUP(raw[[#This Row],[home]],homes[home],homes[city],"-"),1,0))</f>
        <v/>
      </c>
      <c r="T1348" s="1398" t="inlineStr">
        <is>
          <t>.</t>
        </is>
      </c>
      <c r="U1348" s="1399">
        <f>IF(raw[[#This Row],[wb]]="w",raw[[#This Row],[stay]]+U1347,U1347)</f>
        <v/>
      </c>
      <c r="V1348" s="1400">
        <f>IF(raw[[#This Row],[out]]=0,V1347,(raw[[#This Row],[out]]-E$5))</f>
        <v/>
      </c>
      <c r="W1348" s="1401">
        <f>U1348/V1348</f>
        <v/>
      </c>
      <c r="X1348" s="1392" t="n"/>
      <c r="Y1348" s="1392" t="n"/>
      <c r="Z1348" s="1392" t="n"/>
      <c r="AA1348" s="1392" t="n"/>
      <c r="AB1348" s="1392" t="n"/>
      <c r="AC1348" s="1392" t="n"/>
      <c r="AD1348" s="1392" t="n"/>
      <c r="AE1348" s="1392" t="n"/>
      <c r="AF1348" s="1392" t="n"/>
      <c r="AG1348" s="1392" t="n"/>
      <c r="AH1348" s="1392" t="n"/>
      <c r="AI1348" s="1392" t="n"/>
      <c r="AJ1348" s="1392" t="n"/>
      <c r="AK1348" s="1392" t="n"/>
      <c r="AL1348" s="1392" t="n"/>
      <c r="AM1348" s="1392" t="n"/>
      <c r="AN1348" s="1392" t="n"/>
      <c r="AO1348" s="1392" t="n"/>
      <c r="AP1348" s="1392" t="n"/>
      <c r="AQ1348" s="1392" t="n"/>
      <c r="AR1348" s="1422" t="n"/>
      <c r="AS1348" s="1422" t="n"/>
      <c r="AT1348" s="1392" t="n"/>
      <c r="AU1348" s="1392" t="n"/>
      <c r="AV1348" s="1392" t="n"/>
      <c r="AW1348" s="1392" t="n"/>
      <c r="AX1348" s="1392" t="n"/>
      <c r="AY1348" s="1392" t="n"/>
      <c r="AZ1348" s="1392" t="n"/>
      <c r="BA1348" s="1422" t="n"/>
      <c r="BB1348" s="1422" t="n"/>
      <c r="BC1348" s="1392" t="n"/>
      <c r="BD1348" s="1392" t="n"/>
      <c r="BE1348" s="1392" t="n"/>
      <c r="BF1348" s="1392" t="n"/>
      <c r="BG1348" s="1392" t="n"/>
      <c r="BH1348" s="1392" t="n"/>
      <c r="BI1348" s="1392" t="n"/>
      <c r="BJ1348" s="1392" t="n"/>
      <c r="BK1348" s="1392" t="n"/>
      <c r="BL1348" s="1392" t="n"/>
      <c r="BM1348" s="1392" t="n"/>
      <c r="BN1348" s="1392" t="n"/>
      <c r="BO1348" s="1392" t="n"/>
      <c r="BP1348" s="1392" t="n"/>
      <c r="BQ1348" s="1392" t="n"/>
      <c r="BR1348" s="1392" t="n"/>
      <c r="BS1348" s="1392" t="n"/>
      <c r="BT1348" s="1392" t="n"/>
      <c r="BU1348" s="1392" t="n"/>
      <c r="BV1348" s="1392" t="n"/>
      <c r="BW1348" s="1392" t="n"/>
      <c r="BX1348" s="1392" t="n"/>
      <c r="BY1348" s="1392" t="n"/>
      <c r="BZ1348" s="1392" t="n"/>
      <c r="CA1348" s="1392" t="n"/>
      <c r="CB1348" s="1392" t="n"/>
      <c r="CC1348" s="1392" t="n"/>
      <c r="CD1348" s="1392" t="n"/>
      <c r="CE1348" s="1392" t="n"/>
      <c r="CF1348" s="1392" t="n"/>
      <c r="CG1348" s="1392" t="n"/>
      <c r="CH1348" s="1392" t="n"/>
      <c r="CI1348" s="1392" t="n"/>
      <c r="CJ1348" s="1392" t="n"/>
      <c r="CK1348" s="1392" t="n"/>
      <c r="CL1348" s="1392" t="n"/>
    </row>
    <row r="1349">
      <c r="A1349" s="5" t="inlineStr">
        <is>
          <t>.</t>
        </is>
      </c>
      <c r="B1349" s="5" t="inlineStr">
        <is>
          <t>.</t>
        </is>
      </c>
      <c r="C1349" s="1378">
        <f>IF(raw[[#This Row],[city]]="","-",IF(raw[[#This Row],[city]]="TODAY","-",C1348+1))</f>
        <v/>
      </c>
      <c r="D1349" s="1393" t="inlineStr">
        <is>
          <t>Orlando</t>
        </is>
      </c>
      <c r="E1349" s="1394" t="n">
        <v>41913</v>
      </c>
      <c r="F1349" s="1394" t="n">
        <v>41913</v>
      </c>
      <c r="G1349" s="1393" t="n">
        <v>1</v>
      </c>
      <c r="H1349" s="1393" t="inlineStr">
        <is>
          <t>Beatty</t>
        </is>
      </c>
      <c r="I1349" s="1393" t="inlineStr">
        <is>
          <t>-</t>
        </is>
      </c>
      <c r="J1349" s="1393" t="inlineStr">
        <is>
          <t>-</t>
        </is>
      </c>
      <c r="K1349" s="1395">
        <f>IF(raw[[#This Row],[city]]&lt;&gt;"",_xlfn.XLOOKUP($D1349,ccc[city],ccc[prov],"-"),"-")</f>
        <v/>
      </c>
      <c r="L1349" s="1395">
        <f>IF(raw[[#This Row],[city]]&lt;&gt;"",_xlfn.XLOOKUP($D1349,ccc[city],ccc[ctry],"-"),"-")</f>
        <v/>
      </c>
      <c r="M1349" s="1395">
        <f>IF(raw[[#This Row],[city]]&lt;&gt;"",_xlfn.XLOOKUP($D1349,ccc[city],ccc[cont],"-"),"-")</f>
        <v/>
      </c>
      <c r="N1349" s="1396">
        <f>IF(raw[[#This Row],[city]]="","-",IF(raw[[#This Row],[cont]]="B",raw[[#This Row],[cont]],"W"))</f>
        <v/>
      </c>
      <c r="O1349" s="1397">
        <f>IF(raw[[#This Row],[out]]=0,0,IF(raw[[#This Row],[out]]=raw[[#This Row],[in]],0.01,raw[[#This Row],[out]]-raw[[#This Row],[in]]))</f>
        <v/>
      </c>
      <c r="P1349" s="1397">
        <f>IF(raw[[#This Row],[in]]=0,0,MONTH(raw[[#This Row],[in]]))</f>
        <v/>
      </c>
      <c r="Q1349" s="1397">
        <f>IF(raw[[#This Row],[in]]=0,0,YEAR(raw[[#This Row],[in]]))</f>
        <v/>
      </c>
      <c r="R1349" s="1397">
        <f>INT(raw[[#This Row],[yr]]/10)*10</f>
        <v/>
      </c>
      <c r="S1349" s="1395">
        <f>IF(raw[[#This Row],[city]]="","-",IF(raw[[#This Row],[city]]&lt;&gt;_xlfn.XLOOKUP(raw[[#This Row],[home]],homes[home],homes[city],"-"),1,0))</f>
        <v/>
      </c>
      <c r="T1349" s="1398" t="inlineStr">
        <is>
          <t>.</t>
        </is>
      </c>
      <c r="U1349" s="1399">
        <f>IF(raw[[#This Row],[wb]]="w",raw[[#This Row],[stay]]+U1348,U1348)</f>
        <v/>
      </c>
      <c r="V1349" s="1400">
        <f>IF(raw[[#This Row],[out]]=0,V1348,(raw[[#This Row],[out]]-E$5))</f>
        <v/>
      </c>
      <c r="W1349" s="1401">
        <f>U1349/V1349</f>
        <v/>
      </c>
      <c r="X1349" s="1392" t="n"/>
      <c r="Y1349" s="1392" t="n"/>
      <c r="Z1349" s="1392" t="n"/>
      <c r="AA1349" s="1392" t="n"/>
      <c r="AB1349" s="1392" t="n"/>
      <c r="AC1349" s="1392" t="n"/>
      <c r="AD1349" s="1392" t="n"/>
      <c r="AE1349" s="1392" t="n"/>
      <c r="AF1349" s="1392" t="n"/>
      <c r="AG1349" s="1392" t="n"/>
      <c r="AH1349" s="1392" t="n"/>
      <c r="AI1349" s="1392" t="n"/>
      <c r="AJ1349" s="1392" t="n"/>
      <c r="AK1349" s="1392" t="n"/>
      <c r="AL1349" s="1392" t="n"/>
      <c r="AM1349" s="1392" t="n"/>
      <c r="AN1349" s="1392" t="n"/>
      <c r="AO1349" s="1392" t="n"/>
      <c r="AP1349" s="1392" t="n"/>
      <c r="AQ1349" s="1392" t="n"/>
      <c r="AR1349" s="1422" t="n"/>
      <c r="AS1349" s="1422" t="n"/>
      <c r="AT1349" s="1392" t="n"/>
      <c r="AU1349" s="1392" t="n"/>
      <c r="AV1349" s="1392" t="n"/>
      <c r="AW1349" s="1392" t="n"/>
      <c r="AX1349" s="1392" t="n"/>
      <c r="AY1349" s="1392" t="n"/>
      <c r="AZ1349" s="1392" t="n"/>
      <c r="BA1349" s="1422" t="n"/>
      <c r="BB1349" s="1422" t="n"/>
      <c r="BC1349" s="1392" t="n"/>
      <c r="BD1349" s="1392" t="n"/>
      <c r="BE1349" s="1392" t="n"/>
      <c r="BF1349" s="1392" t="n"/>
      <c r="BG1349" s="1392" t="n"/>
      <c r="BH1349" s="1392" t="n"/>
      <c r="BI1349" s="1392" t="n"/>
      <c r="BJ1349" s="1392" t="n"/>
      <c r="BK1349" s="1392" t="n"/>
      <c r="BL1349" s="1392" t="n"/>
      <c r="BM1349" s="1392" t="n"/>
      <c r="BN1349" s="1392" t="n"/>
      <c r="BO1349" s="1392" t="n"/>
      <c r="BP1349" s="1392" t="n"/>
      <c r="BQ1349" s="1392" t="n"/>
      <c r="BR1349" s="1392" t="n"/>
      <c r="BS1349" s="1392" t="n"/>
      <c r="BT1349" s="1392" t="n"/>
      <c r="BU1349" s="1392" t="n"/>
      <c r="BV1349" s="1392" t="n"/>
      <c r="BW1349" s="1392" t="n"/>
      <c r="BX1349" s="1392" t="n"/>
      <c r="BY1349" s="1392" t="n"/>
      <c r="BZ1349" s="1392" t="n"/>
      <c r="CA1349" s="1392" t="n"/>
      <c r="CB1349" s="1392" t="n"/>
      <c r="CC1349" s="1392" t="n"/>
      <c r="CD1349" s="1392" t="n"/>
      <c r="CE1349" s="1392" t="n"/>
      <c r="CF1349" s="1392" t="n"/>
      <c r="CG1349" s="1392" t="n"/>
      <c r="CH1349" s="1392" t="n"/>
      <c r="CI1349" s="1392" t="n"/>
      <c r="CJ1349" s="1392" t="n"/>
      <c r="CK1349" s="1392" t="n"/>
      <c r="CL1349" s="1392" t="n"/>
    </row>
    <row r="1350">
      <c r="A1350" s="5" t="inlineStr">
        <is>
          <t>.</t>
        </is>
      </c>
      <c r="B1350" s="5" t="inlineStr">
        <is>
          <t>.</t>
        </is>
      </c>
      <c r="C1350" s="1378">
        <f>IF(raw[[#This Row],[city]]="","-",IF(raw[[#This Row],[city]]="TODAY","-",C1349+1))</f>
        <v/>
      </c>
      <c r="D1350" s="1393" t="inlineStr">
        <is>
          <t>NYC</t>
        </is>
      </c>
      <c r="E1350" s="1394" t="n">
        <v>41924</v>
      </c>
      <c r="F1350" s="1394" t="n">
        <v>41924</v>
      </c>
      <c r="G1350" s="1393" t="n">
        <v>0.01</v>
      </c>
      <c r="H1350" s="1393" t="inlineStr">
        <is>
          <t>Beatty</t>
        </is>
      </c>
      <c r="I1350" s="1393" t="inlineStr">
        <is>
          <t>-</t>
        </is>
      </c>
      <c r="J1350" s="1393" t="inlineStr">
        <is>
          <t>-</t>
        </is>
      </c>
      <c r="K1350" s="1395">
        <f>IF(raw[[#This Row],[city]]&lt;&gt;"",_xlfn.XLOOKUP($D1350,ccc[city],ccc[prov],"-"),"-")</f>
        <v/>
      </c>
      <c r="L1350" s="1395">
        <f>IF(raw[[#This Row],[city]]&lt;&gt;"",_xlfn.XLOOKUP($D1350,ccc[city],ccc[ctry],"-"),"-")</f>
        <v/>
      </c>
      <c r="M1350" s="1395">
        <f>IF(raw[[#This Row],[city]]&lt;&gt;"",_xlfn.XLOOKUP($D1350,ccc[city],ccc[cont],"-"),"-")</f>
        <v/>
      </c>
      <c r="N1350" s="1396">
        <f>IF(raw[[#This Row],[city]]="","-",IF(raw[[#This Row],[cont]]="B",raw[[#This Row],[cont]],"W"))</f>
        <v/>
      </c>
      <c r="O1350" s="1397">
        <f>IF(raw[[#This Row],[out]]=0,0,IF(raw[[#This Row],[out]]=raw[[#This Row],[in]],0.01,raw[[#This Row],[out]]-raw[[#This Row],[in]]))</f>
        <v/>
      </c>
      <c r="P1350" s="1397">
        <f>IF(raw[[#This Row],[in]]=0,0,MONTH(raw[[#This Row],[in]]))</f>
        <v/>
      </c>
      <c r="Q1350" s="1397">
        <f>IF(raw[[#This Row],[in]]=0,0,YEAR(raw[[#This Row],[in]]))</f>
        <v/>
      </c>
      <c r="R1350" s="1397">
        <f>INT(raw[[#This Row],[yr]]/10)*10</f>
        <v/>
      </c>
      <c r="S1350" s="1395">
        <f>IF(raw[[#This Row],[city]]="","-",IF(raw[[#This Row],[city]]&lt;&gt;_xlfn.XLOOKUP(raw[[#This Row],[home]],homes[home],homes[city],"-"),1,0))</f>
        <v/>
      </c>
      <c r="T1350" s="1398" t="inlineStr">
        <is>
          <t>.</t>
        </is>
      </c>
      <c r="U1350" s="1399">
        <f>IF(raw[[#This Row],[wb]]="w",raw[[#This Row],[stay]]+U1349,U1349)</f>
        <v/>
      </c>
      <c r="V1350" s="1400">
        <f>IF(raw[[#This Row],[out]]=0,V1349,(raw[[#This Row],[out]]-E$5))</f>
        <v/>
      </c>
      <c r="W1350" s="1401">
        <f>U1350/V1350</f>
        <v/>
      </c>
      <c r="X1350" s="1392" t="n"/>
      <c r="Y1350" s="1392" t="n"/>
      <c r="Z1350" s="1392" t="n"/>
      <c r="AA1350" s="1392" t="n"/>
      <c r="AB1350" s="1392" t="n"/>
      <c r="AC1350" s="1392" t="n"/>
      <c r="AD1350" s="1392" t="n"/>
      <c r="AE1350" s="1392" t="n"/>
      <c r="AF1350" s="1392" t="n"/>
      <c r="AG1350" s="1392" t="n"/>
      <c r="AH1350" s="1392" t="n"/>
      <c r="AI1350" s="1392" t="n"/>
      <c r="AJ1350" s="1392" t="n"/>
      <c r="AK1350" s="1392" t="n"/>
      <c r="AL1350" s="1392" t="n"/>
      <c r="AM1350" s="1392" t="n"/>
      <c r="AN1350" s="1392" t="n"/>
      <c r="AO1350" s="1392" t="n"/>
      <c r="AP1350" s="1392" t="n"/>
      <c r="AQ1350" s="1392" t="n"/>
      <c r="AR1350" s="1422" t="n"/>
      <c r="AS1350" s="1422" t="n"/>
      <c r="AT1350" s="1392" t="n"/>
      <c r="AU1350" s="1392" t="n"/>
      <c r="AV1350" s="1392" t="n"/>
      <c r="AW1350" s="1392" t="n"/>
      <c r="AX1350" s="1392" t="n"/>
      <c r="AY1350" s="1392" t="n"/>
      <c r="AZ1350" s="1392" t="n"/>
      <c r="BA1350" s="1422" t="n"/>
      <c r="BB1350" s="1422" t="n"/>
      <c r="BC1350" s="1392" t="n"/>
      <c r="BD1350" s="1392" t="n"/>
      <c r="BE1350" s="1392" t="n"/>
      <c r="BF1350" s="1392" t="n"/>
      <c r="BG1350" s="1392" t="n"/>
      <c r="BH1350" s="1392" t="n"/>
      <c r="BI1350" s="1392" t="n"/>
      <c r="BJ1350" s="1392" t="n"/>
      <c r="BK1350" s="1392" t="n"/>
      <c r="BL1350" s="1392" t="n"/>
      <c r="BM1350" s="1392" t="n"/>
      <c r="BN1350" s="1392" t="n"/>
      <c r="BO1350" s="1392" t="n"/>
      <c r="BP1350" s="1392" t="n"/>
      <c r="BQ1350" s="1392" t="n"/>
      <c r="BR1350" s="1392" t="n"/>
      <c r="BS1350" s="1392" t="n"/>
      <c r="BT1350" s="1392" t="n"/>
      <c r="BU1350" s="1392" t="n"/>
      <c r="BV1350" s="1392" t="n"/>
      <c r="BW1350" s="1392" t="n"/>
      <c r="BX1350" s="1392" t="n"/>
      <c r="BY1350" s="1392" t="n"/>
      <c r="BZ1350" s="1392" t="n"/>
      <c r="CA1350" s="1392" t="n"/>
      <c r="CB1350" s="1392" t="n"/>
      <c r="CC1350" s="1392" t="n"/>
      <c r="CD1350" s="1392" t="n"/>
      <c r="CE1350" s="1392" t="n"/>
      <c r="CF1350" s="1392" t="n"/>
      <c r="CG1350" s="1392" t="n"/>
      <c r="CH1350" s="1392" t="n"/>
      <c r="CI1350" s="1392" t="n"/>
      <c r="CJ1350" s="1392" t="n"/>
      <c r="CK1350" s="1392" t="n"/>
      <c r="CL1350" s="1392" t="n"/>
    </row>
    <row r="1351">
      <c r="A1351" s="5" t="inlineStr">
        <is>
          <t>.</t>
        </is>
      </c>
      <c r="B1351" s="5" t="inlineStr">
        <is>
          <t>.</t>
        </is>
      </c>
      <c r="C1351" s="1378">
        <f>IF(raw[[#This Row],[city]]="","-",IF(raw[[#This Row],[city]]="TODAY","-",C1350+1))</f>
        <v/>
      </c>
      <c r="D1351" s="1393" t="inlineStr">
        <is>
          <t>Montreal</t>
        </is>
      </c>
      <c r="E1351" s="1394" t="n">
        <v>41924</v>
      </c>
      <c r="F1351" s="1394" t="n">
        <v>41944</v>
      </c>
      <c r="G1351" s="1393" t="inlineStr">
        <is>
          <t>-</t>
        </is>
      </c>
      <c r="H1351" s="1393" t="inlineStr">
        <is>
          <t>Beatty</t>
        </is>
      </c>
      <c r="I1351" s="1393" t="inlineStr">
        <is>
          <t>-</t>
        </is>
      </c>
      <c r="J1351" s="1393" t="inlineStr">
        <is>
          <t>-</t>
        </is>
      </c>
      <c r="K1351" s="1395">
        <f>IF(raw[[#This Row],[city]]&lt;&gt;"",_xlfn.XLOOKUP($D1351,ccc[city],ccc[prov],"-"),"-")</f>
        <v/>
      </c>
      <c r="L1351" s="1395">
        <f>IF(raw[[#This Row],[city]]&lt;&gt;"",_xlfn.XLOOKUP($D1351,ccc[city],ccc[ctry],"-"),"-")</f>
        <v/>
      </c>
      <c r="M1351" s="1395">
        <f>IF(raw[[#This Row],[city]]&lt;&gt;"",_xlfn.XLOOKUP($D1351,ccc[city],ccc[cont],"-"),"-")</f>
        <v/>
      </c>
      <c r="N1351" s="1396">
        <f>IF(raw[[#This Row],[city]]="","-",IF(raw[[#This Row],[cont]]="B",raw[[#This Row],[cont]],"W"))</f>
        <v/>
      </c>
      <c r="O1351" s="1397">
        <f>IF(raw[[#This Row],[out]]=0,0,IF(raw[[#This Row],[out]]=raw[[#This Row],[in]],0.01,raw[[#This Row],[out]]-raw[[#This Row],[in]]))</f>
        <v/>
      </c>
      <c r="P1351" s="1397">
        <f>IF(raw[[#This Row],[in]]=0,0,MONTH(raw[[#This Row],[in]]))</f>
        <v/>
      </c>
      <c r="Q1351" s="1397">
        <f>IF(raw[[#This Row],[in]]=0,0,YEAR(raw[[#This Row],[in]]))</f>
        <v/>
      </c>
      <c r="R1351" s="1397">
        <f>INT(raw[[#This Row],[yr]]/10)*10</f>
        <v/>
      </c>
      <c r="S1351" s="1395">
        <f>IF(raw[[#This Row],[city]]="","-",IF(raw[[#This Row],[city]]&lt;&gt;_xlfn.XLOOKUP(raw[[#This Row],[home]],homes[home],homes[city],"-"),1,0))</f>
        <v/>
      </c>
      <c r="T1351" s="1398" t="inlineStr">
        <is>
          <t>.</t>
        </is>
      </c>
      <c r="U1351" s="1399">
        <f>IF(raw[[#This Row],[wb]]="w",raw[[#This Row],[stay]]+U1350,U1350)</f>
        <v/>
      </c>
      <c r="V1351" s="1400">
        <f>IF(raw[[#This Row],[out]]=0,V1350,(raw[[#This Row],[out]]-E$5))</f>
        <v/>
      </c>
      <c r="W1351" s="1401">
        <f>U1351/V1351</f>
        <v/>
      </c>
      <c r="X1351" s="1392" t="n"/>
      <c r="Y1351" s="1392" t="n"/>
      <c r="Z1351" s="1392" t="n"/>
      <c r="AA1351" s="1392" t="n"/>
      <c r="AB1351" s="1392" t="n"/>
      <c r="AC1351" s="1392" t="n"/>
      <c r="AD1351" s="1392" t="n"/>
      <c r="AE1351" s="1392" t="n"/>
      <c r="AF1351" s="1392" t="n"/>
      <c r="AG1351" s="1392" t="n"/>
      <c r="AH1351" s="1392" t="n"/>
      <c r="AI1351" s="1392" t="n"/>
      <c r="AJ1351" s="1392" t="n"/>
      <c r="AK1351" s="1392" t="n"/>
      <c r="AL1351" s="1392" t="n"/>
      <c r="AM1351" s="1392" t="n"/>
      <c r="AN1351" s="1392" t="n"/>
      <c r="AO1351" s="1392" t="n"/>
      <c r="AP1351" s="1392" t="n"/>
      <c r="AQ1351" s="1392" t="n"/>
      <c r="AR1351" s="1422" t="n"/>
      <c r="AS1351" s="1422" t="n"/>
      <c r="AT1351" s="1392" t="n"/>
      <c r="AU1351" s="1392" t="n"/>
      <c r="AV1351" s="1392" t="n"/>
      <c r="AW1351" s="1392" t="n"/>
      <c r="AX1351" s="1392" t="n"/>
      <c r="AY1351" s="1392" t="n"/>
      <c r="AZ1351" s="1392" t="n"/>
      <c r="BA1351" s="1422" t="n"/>
      <c r="BB1351" s="1422" t="n"/>
      <c r="BC1351" s="1392" t="n"/>
      <c r="BD1351" s="1392" t="n"/>
      <c r="BE1351" s="1392" t="n"/>
      <c r="BF1351" s="1392" t="n"/>
      <c r="BG1351" s="1392" t="n"/>
      <c r="BH1351" s="1392" t="n"/>
      <c r="BI1351" s="1392" t="n"/>
      <c r="BJ1351" s="1392" t="n"/>
      <c r="BK1351" s="1392" t="n"/>
      <c r="BL1351" s="1392" t="n"/>
      <c r="BM1351" s="1392" t="n"/>
      <c r="BN1351" s="1392" t="n"/>
      <c r="BO1351" s="1392" t="n"/>
      <c r="BP1351" s="1392" t="n"/>
      <c r="BQ1351" s="1392" t="n"/>
      <c r="BR1351" s="1392" t="n"/>
      <c r="BS1351" s="1392" t="n"/>
      <c r="BT1351" s="1392" t="n"/>
      <c r="BU1351" s="1392" t="n"/>
      <c r="BV1351" s="1392" t="n"/>
      <c r="BW1351" s="1392" t="n"/>
      <c r="BX1351" s="1392" t="n"/>
      <c r="BY1351" s="1392" t="n"/>
      <c r="BZ1351" s="1392" t="n"/>
      <c r="CA1351" s="1392" t="n"/>
      <c r="CB1351" s="1392" t="n"/>
      <c r="CC1351" s="1392" t="n"/>
      <c r="CD1351" s="1392" t="n"/>
      <c r="CE1351" s="1392" t="n"/>
      <c r="CF1351" s="1392" t="n"/>
      <c r="CG1351" s="1392" t="n"/>
      <c r="CH1351" s="1392" t="n"/>
      <c r="CI1351" s="1392" t="n"/>
      <c r="CJ1351" s="1392" t="n"/>
      <c r="CK1351" s="1392" t="n"/>
      <c r="CL1351" s="1392" t="n"/>
    </row>
    <row r="1352">
      <c r="A1352" s="5" t="inlineStr">
        <is>
          <t>.</t>
        </is>
      </c>
      <c r="B1352" s="5" t="inlineStr">
        <is>
          <t>.</t>
        </is>
      </c>
      <c r="C1352" s="1378">
        <f>IF(raw[[#This Row],[city]]="","-",IF(raw[[#This Row],[city]]="TODAY","-",C1351+1))</f>
        <v/>
      </c>
      <c r="D1352" s="1393" t="inlineStr">
        <is>
          <t>Montreal</t>
        </is>
      </c>
      <c r="E1352" s="1394" t="n">
        <v>41944</v>
      </c>
      <c r="F1352" s="1394" t="n">
        <v>41974</v>
      </c>
      <c r="G1352" s="1393" t="inlineStr">
        <is>
          <t>-</t>
        </is>
      </c>
      <c r="H1352" s="1393" t="inlineStr">
        <is>
          <t>Beatty</t>
        </is>
      </c>
      <c r="I1352" s="1393" t="inlineStr">
        <is>
          <t>-</t>
        </is>
      </c>
      <c r="J1352" s="1393" t="inlineStr">
        <is>
          <t>-</t>
        </is>
      </c>
      <c r="K1352" s="1395">
        <f>IF(raw[[#This Row],[city]]&lt;&gt;"",_xlfn.XLOOKUP($D1352,ccc[city],ccc[prov],"-"),"-")</f>
        <v/>
      </c>
      <c r="L1352" s="1395">
        <f>IF(raw[[#This Row],[city]]&lt;&gt;"",_xlfn.XLOOKUP($D1352,ccc[city],ccc[ctry],"-"),"-")</f>
        <v/>
      </c>
      <c r="M1352" s="1395">
        <f>IF(raw[[#This Row],[city]]&lt;&gt;"",_xlfn.XLOOKUP($D1352,ccc[city],ccc[cont],"-"),"-")</f>
        <v/>
      </c>
      <c r="N1352" s="1396">
        <f>IF(raw[[#This Row],[city]]="","-",IF(raw[[#This Row],[cont]]="B",raw[[#This Row],[cont]],"W"))</f>
        <v/>
      </c>
      <c r="O1352" s="1397">
        <f>IF(raw[[#This Row],[out]]=0,0,IF(raw[[#This Row],[out]]=raw[[#This Row],[in]],0.01,raw[[#This Row],[out]]-raw[[#This Row],[in]]))</f>
        <v/>
      </c>
      <c r="P1352" s="1397">
        <f>IF(raw[[#This Row],[in]]=0,0,MONTH(raw[[#This Row],[in]]))</f>
        <v/>
      </c>
      <c r="Q1352" s="1397">
        <f>IF(raw[[#This Row],[in]]=0,0,YEAR(raw[[#This Row],[in]]))</f>
        <v/>
      </c>
      <c r="R1352" s="1397">
        <f>INT(raw[[#This Row],[yr]]/10)*10</f>
        <v/>
      </c>
      <c r="S1352" s="1395">
        <f>IF(raw[[#This Row],[city]]="","-",IF(raw[[#This Row],[city]]&lt;&gt;_xlfn.XLOOKUP(raw[[#This Row],[home]],homes[home],homes[city],"-"),1,0))</f>
        <v/>
      </c>
      <c r="T1352" s="1398" t="inlineStr">
        <is>
          <t>.</t>
        </is>
      </c>
      <c r="U1352" s="1399">
        <f>IF(raw[[#This Row],[wb]]="w",raw[[#This Row],[stay]]+U1351,U1351)</f>
        <v/>
      </c>
      <c r="V1352" s="1400">
        <f>IF(raw[[#This Row],[out]]=0,V1351,(raw[[#This Row],[out]]-E$5))</f>
        <v/>
      </c>
      <c r="W1352" s="1401">
        <f>U1352/V1352</f>
        <v/>
      </c>
      <c r="X1352" s="1392" t="n"/>
      <c r="Y1352" s="1392" t="n"/>
      <c r="Z1352" s="1392" t="n"/>
      <c r="AA1352" s="1392" t="n"/>
      <c r="AB1352" s="1392" t="n"/>
      <c r="AC1352" s="1392" t="n"/>
      <c r="AD1352" s="1392" t="n"/>
      <c r="AE1352" s="1392" t="n"/>
      <c r="AF1352" s="1392" t="n"/>
      <c r="AG1352" s="1392" t="n"/>
      <c r="AH1352" s="1392" t="n"/>
      <c r="AI1352" s="1392" t="n"/>
      <c r="AJ1352" s="1392" t="n"/>
      <c r="AK1352" s="1392" t="n"/>
      <c r="AL1352" s="1392" t="n"/>
      <c r="AM1352" s="1392" t="n"/>
      <c r="AN1352" s="1392" t="n"/>
      <c r="AO1352" s="1392" t="n"/>
      <c r="AP1352" s="1392" t="n"/>
      <c r="AQ1352" s="1392" t="n"/>
      <c r="AR1352" s="1422" t="n"/>
      <c r="AS1352" s="1422" t="n"/>
      <c r="AT1352" s="1392" t="n"/>
      <c r="AU1352" s="1392" t="n"/>
      <c r="AV1352" s="1392" t="n"/>
      <c r="AW1352" s="1392" t="n"/>
      <c r="AX1352" s="1392" t="n"/>
      <c r="AY1352" s="1392" t="n"/>
      <c r="AZ1352" s="1392" t="n"/>
      <c r="BA1352" s="1422" t="n"/>
      <c r="BB1352" s="1422" t="n"/>
      <c r="BC1352" s="1392" t="n"/>
      <c r="BD1352" s="1392" t="n"/>
      <c r="BE1352" s="1392" t="n"/>
      <c r="BF1352" s="1392" t="n"/>
      <c r="BG1352" s="1392" t="n"/>
      <c r="BH1352" s="1392" t="n"/>
      <c r="BI1352" s="1392" t="n"/>
      <c r="BJ1352" s="1392" t="n"/>
      <c r="BK1352" s="1392" t="n"/>
      <c r="BL1352" s="1392" t="n"/>
      <c r="BM1352" s="1392" t="n"/>
      <c r="BN1352" s="1392" t="n"/>
      <c r="BO1352" s="1392" t="n"/>
      <c r="BP1352" s="1392" t="n"/>
      <c r="BQ1352" s="1392" t="n"/>
      <c r="BR1352" s="1392" t="n"/>
      <c r="BS1352" s="1392" t="n"/>
      <c r="BT1352" s="1392" t="n"/>
      <c r="BU1352" s="1392" t="n"/>
      <c r="BV1352" s="1392" t="n"/>
      <c r="BW1352" s="1392" t="n"/>
      <c r="BX1352" s="1392" t="n"/>
      <c r="BY1352" s="1392" t="n"/>
      <c r="BZ1352" s="1392" t="n"/>
      <c r="CA1352" s="1392" t="n"/>
      <c r="CB1352" s="1392" t="n"/>
      <c r="CC1352" s="1392" t="n"/>
      <c r="CD1352" s="1392" t="n"/>
      <c r="CE1352" s="1392" t="n"/>
      <c r="CF1352" s="1392" t="n"/>
      <c r="CG1352" s="1392" t="n"/>
      <c r="CH1352" s="1392" t="n"/>
      <c r="CI1352" s="1392" t="n"/>
      <c r="CJ1352" s="1392" t="n"/>
      <c r="CK1352" s="1392" t="n"/>
      <c r="CL1352" s="1392" t="n"/>
    </row>
    <row r="1353">
      <c r="A1353" s="5" t="inlineStr">
        <is>
          <t>.</t>
        </is>
      </c>
      <c r="B1353" s="5" t="inlineStr">
        <is>
          <t>.</t>
        </is>
      </c>
      <c r="C1353" s="1378">
        <f>IF(raw[[#This Row],[city]]="","-",IF(raw[[#This Row],[city]]="TODAY","-",C1352+1))</f>
        <v/>
      </c>
      <c r="D1353" s="1393" t="inlineStr">
        <is>
          <t>Montreal</t>
        </is>
      </c>
      <c r="E1353" s="1394" t="n">
        <v>41974</v>
      </c>
      <c r="F1353" s="1394" t="n">
        <v>42005</v>
      </c>
      <c r="G1353" s="1393" t="inlineStr">
        <is>
          <t>-</t>
        </is>
      </c>
      <c r="H1353" s="1393" t="inlineStr">
        <is>
          <t>Beatty</t>
        </is>
      </c>
      <c r="I1353" s="1393" t="inlineStr">
        <is>
          <t>-</t>
        </is>
      </c>
      <c r="J1353" s="1393" t="inlineStr">
        <is>
          <t>-</t>
        </is>
      </c>
      <c r="K1353" s="1395">
        <f>IF(raw[[#This Row],[city]]&lt;&gt;"",_xlfn.XLOOKUP($D1353,ccc[city],ccc[prov],"-"),"-")</f>
        <v/>
      </c>
      <c r="L1353" s="1395">
        <f>IF(raw[[#This Row],[city]]&lt;&gt;"",_xlfn.XLOOKUP($D1353,ccc[city],ccc[ctry],"-"),"-")</f>
        <v/>
      </c>
      <c r="M1353" s="1395">
        <f>IF(raw[[#This Row],[city]]&lt;&gt;"",_xlfn.XLOOKUP($D1353,ccc[city],ccc[cont],"-"),"-")</f>
        <v/>
      </c>
      <c r="N1353" s="1396">
        <f>IF(raw[[#This Row],[city]]="","-",IF(raw[[#This Row],[cont]]="B",raw[[#This Row],[cont]],"W"))</f>
        <v/>
      </c>
      <c r="O1353" s="1397">
        <f>IF(raw[[#This Row],[out]]=0,0,IF(raw[[#This Row],[out]]=raw[[#This Row],[in]],0.01,raw[[#This Row],[out]]-raw[[#This Row],[in]]))</f>
        <v/>
      </c>
      <c r="P1353" s="1397">
        <f>IF(raw[[#This Row],[in]]=0,0,MONTH(raw[[#This Row],[in]]))</f>
        <v/>
      </c>
      <c r="Q1353" s="1397">
        <f>IF(raw[[#This Row],[in]]=0,0,YEAR(raw[[#This Row],[in]]))</f>
        <v/>
      </c>
      <c r="R1353" s="1397">
        <f>INT(raw[[#This Row],[yr]]/10)*10</f>
        <v/>
      </c>
      <c r="S1353" s="1395">
        <f>IF(raw[[#This Row],[city]]="","-",IF(raw[[#This Row],[city]]&lt;&gt;_xlfn.XLOOKUP(raw[[#This Row],[home]],homes[home],homes[city],"-"),1,0))</f>
        <v/>
      </c>
      <c r="T1353" s="1398" t="inlineStr">
        <is>
          <t>.</t>
        </is>
      </c>
      <c r="U1353" s="1399">
        <f>IF(raw[[#This Row],[wb]]="w",raw[[#This Row],[stay]]+U1352,U1352)</f>
        <v/>
      </c>
      <c r="V1353" s="1400">
        <f>IF(raw[[#This Row],[out]]=0,V1352,(raw[[#This Row],[out]]-E$5))</f>
        <v/>
      </c>
      <c r="W1353" s="1401">
        <f>U1353/V1353</f>
        <v/>
      </c>
      <c r="X1353" s="1392" t="n"/>
      <c r="Y1353" s="1392" t="n"/>
      <c r="Z1353" s="1392" t="n"/>
      <c r="AA1353" s="1392" t="n"/>
      <c r="AB1353" s="1392" t="n"/>
      <c r="AC1353" s="1392" t="n"/>
      <c r="AD1353" s="1392" t="n"/>
      <c r="AE1353" s="1392" t="n"/>
      <c r="AF1353" s="1392" t="n"/>
      <c r="AG1353" s="1392" t="n"/>
      <c r="AH1353" s="1392" t="n"/>
      <c r="AI1353" s="1392" t="n"/>
      <c r="AJ1353" s="1392" t="n"/>
      <c r="AK1353" s="1392" t="n"/>
      <c r="AL1353" s="1392" t="n"/>
      <c r="AM1353" s="1392" t="n"/>
      <c r="AN1353" s="1392" t="n"/>
      <c r="AO1353" s="1392" t="n"/>
      <c r="AP1353" s="1392" t="n"/>
      <c r="AQ1353" s="1392" t="n"/>
      <c r="AR1353" s="1422" t="n"/>
      <c r="AS1353" s="1422" t="n"/>
      <c r="AT1353" s="1392" t="n"/>
      <c r="AU1353" s="1392" t="n"/>
      <c r="AV1353" s="1392" t="n"/>
      <c r="AW1353" s="1392" t="n"/>
      <c r="AX1353" s="1392" t="n"/>
      <c r="AY1353" s="1392" t="n"/>
      <c r="AZ1353" s="1392" t="n"/>
      <c r="BA1353" s="1422" t="n"/>
      <c r="BB1353" s="1422" t="n"/>
      <c r="BC1353" s="1392" t="n"/>
      <c r="BD1353" s="1392" t="n"/>
      <c r="BE1353" s="1392" t="n"/>
      <c r="BF1353" s="1392" t="n"/>
      <c r="BG1353" s="1392" t="n"/>
      <c r="BH1353" s="1392" t="n"/>
      <c r="BI1353" s="1392" t="n"/>
      <c r="BJ1353" s="1392" t="n"/>
      <c r="BK1353" s="1392" t="n"/>
      <c r="BL1353" s="1392" t="n"/>
      <c r="BM1353" s="1392" t="n"/>
      <c r="BN1353" s="1392" t="n"/>
      <c r="BO1353" s="1392" t="n"/>
      <c r="BP1353" s="1392" t="n"/>
      <c r="BQ1353" s="1392" t="n"/>
      <c r="BR1353" s="1392" t="n"/>
      <c r="BS1353" s="1392" t="n"/>
      <c r="BT1353" s="1392" t="n"/>
      <c r="BU1353" s="1392" t="n"/>
      <c r="BV1353" s="1392" t="n"/>
      <c r="BW1353" s="1392" t="n"/>
      <c r="BX1353" s="1392" t="n"/>
      <c r="BY1353" s="1392" t="n"/>
      <c r="BZ1353" s="1392" t="n"/>
      <c r="CA1353" s="1392" t="n"/>
      <c r="CB1353" s="1392" t="n"/>
      <c r="CC1353" s="1392" t="n"/>
      <c r="CD1353" s="1392" t="n"/>
      <c r="CE1353" s="1392" t="n"/>
      <c r="CF1353" s="1392" t="n"/>
      <c r="CG1353" s="1392" t="n"/>
      <c r="CH1353" s="1392" t="n"/>
      <c r="CI1353" s="1392" t="n"/>
      <c r="CJ1353" s="1392" t="n"/>
      <c r="CK1353" s="1392" t="n"/>
      <c r="CL1353" s="1392" t="n"/>
    </row>
    <row r="1354">
      <c r="A1354" s="5" t="inlineStr">
        <is>
          <t>.</t>
        </is>
      </c>
      <c r="B1354" s="5" t="inlineStr">
        <is>
          <t>.</t>
        </is>
      </c>
      <c r="C1354" s="1378">
        <f>IF(raw[[#This Row],[city]]="","-",IF(raw[[#This Row],[city]]="TODAY","-",C1353+1))</f>
        <v/>
      </c>
      <c r="D1354" s="1393" t="inlineStr">
        <is>
          <t>Montreal</t>
        </is>
      </c>
      <c r="E1354" s="1394" t="n">
        <v>42005</v>
      </c>
      <c r="F1354" s="1394" t="n">
        <v>42015</v>
      </c>
      <c r="G1354" s="1393" t="n">
        <v>1</v>
      </c>
      <c r="H1354" s="1393" t="inlineStr">
        <is>
          <t>Beatty</t>
        </is>
      </c>
      <c r="I1354" s="1393" t="inlineStr">
        <is>
          <t>-</t>
        </is>
      </c>
      <c r="J1354" s="1393" t="inlineStr">
        <is>
          <t>REV</t>
        </is>
      </c>
      <c r="K1354" s="1395">
        <f>IF(raw[[#This Row],[city]]&lt;&gt;"",_xlfn.XLOOKUP($D1354,ccc[city],ccc[prov],"-"),"-")</f>
        <v/>
      </c>
      <c r="L1354" s="1395">
        <f>IF(raw[[#This Row],[city]]&lt;&gt;"",_xlfn.XLOOKUP($D1354,ccc[city],ccc[ctry],"-"),"-")</f>
        <v/>
      </c>
      <c r="M1354" s="1395">
        <f>IF(raw[[#This Row],[city]]&lt;&gt;"",_xlfn.XLOOKUP($D1354,ccc[city],ccc[cont],"-"),"-")</f>
        <v/>
      </c>
      <c r="N1354" s="1396">
        <f>IF(raw[[#This Row],[city]]="","-",IF(raw[[#This Row],[cont]]="B",raw[[#This Row],[cont]],"W"))</f>
        <v/>
      </c>
      <c r="O1354" s="1397">
        <f>IF(raw[[#This Row],[out]]=0,0,IF(raw[[#This Row],[out]]=raw[[#This Row],[in]],0.01,raw[[#This Row],[out]]-raw[[#This Row],[in]]))</f>
        <v/>
      </c>
      <c r="P1354" s="1397">
        <f>IF(raw[[#This Row],[in]]=0,0,MONTH(raw[[#This Row],[in]]))</f>
        <v/>
      </c>
      <c r="Q1354" s="1397">
        <f>IF(raw[[#This Row],[in]]=0,0,YEAR(raw[[#This Row],[in]]))</f>
        <v/>
      </c>
      <c r="R1354" s="1397">
        <f>INT(raw[[#This Row],[yr]]/10)*10</f>
        <v/>
      </c>
      <c r="S1354" s="1395">
        <f>IF(raw[[#This Row],[city]]="","-",IF(raw[[#This Row],[city]]&lt;&gt;_xlfn.XLOOKUP(raw[[#This Row],[home]],homes[home],homes[city],"-"),1,0))</f>
        <v/>
      </c>
      <c r="T1354" s="1398" t="inlineStr">
        <is>
          <t>.</t>
        </is>
      </c>
      <c r="U1354" s="1399">
        <f>IF(raw[[#This Row],[wb]]="w",raw[[#This Row],[stay]]+U1353,U1353)</f>
        <v/>
      </c>
      <c r="V1354" s="1400">
        <f>IF(raw[[#This Row],[out]]=0,V1353,(raw[[#This Row],[out]]-E$5))</f>
        <v/>
      </c>
      <c r="W1354" s="1401">
        <f>U1354/V1354</f>
        <v/>
      </c>
      <c r="X1354" s="1392" t="n"/>
      <c r="Y1354" s="1392" t="n"/>
      <c r="Z1354" s="1392" t="n"/>
      <c r="AA1354" s="1392" t="n"/>
      <c r="AB1354" s="1392" t="n"/>
      <c r="AC1354" s="1392" t="n"/>
      <c r="AD1354" s="1392" t="n"/>
      <c r="AE1354" s="1392" t="n"/>
      <c r="AF1354" s="1392" t="n"/>
      <c r="AG1354" s="1392" t="n"/>
      <c r="AH1354" s="1392" t="n"/>
      <c r="AI1354" s="1392" t="n"/>
      <c r="AJ1354" s="1392" t="n"/>
      <c r="AK1354" s="1392" t="n"/>
      <c r="AL1354" s="1392" t="n"/>
      <c r="AM1354" s="1392" t="n"/>
      <c r="AN1354" s="1392" t="n"/>
      <c r="AO1354" s="1392" t="n"/>
      <c r="AP1354" s="1392" t="n"/>
      <c r="AQ1354" s="1392" t="n"/>
      <c r="AR1354" s="1422" t="n"/>
      <c r="AS1354" s="1422" t="n"/>
      <c r="AT1354" s="1392" t="n"/>
      <c r="AU1354" s="1392" t="n"/>
      <c r="AV1354" s="1392" t="n"/>
      <c r="AW1354" s="1392" t="n"/>
      <c r="AX1354" s="1392" t="n"/>
      <c r="AY1354" s="1392" t="n"/>
      <c r="AZ1354" s="1392" t="n"/>
      <c r="BA1354" s="1422" t="n"/>
      <c r="BB1354" s="1422" t="n"/>
      <c r="BC1354" s="1392" t="n"/>
      <c r="BD1354" s="1392" t="n"/>
      <c r="BE1354" s="1392" t="n"/>
      <c r="BF1354" s="1392" t="n"/>
      <c r="BG1354" s="1392" t="n"/>
      <c r="BH1354" s="1392" t="n"/>
      <c r="BI1354" s="1392" t="n"/>
      <c r="BJ1354" s="1392" t="n"/>
      <c r="BK1354" s="1392" t="n"/>
      <c r="BL1354" s="1392" t="n"/>
      <c r="BM1354" s="1392" t="n"/>
      <c r="BN1354" s="1392" t="n"/>
      <c r="BO1354" s="1392" t="n"/>
      <c r="BP1354" s="1392" t="n"/>
      <c r="BQ1354" s="1392" t="n"/>
      <c r="BR1354" s="1392" t="n"/>
      <c r="BS1354" s="1392" t="n"/>
      <c r="BT1354" s="1392" t="n"/>
      <c r="BU1354" s="1392" t="n"/>
      <c r="BV1354" s="1392" t="n"/>
      <c r="BW1354" s="1392" t="n"/>
      <c r="BX1354" s="1392" t="n"/>
      <c r="BY1354" s="1392" t="n"/>
      <c r="BZ1354" s="1392" t="n"/>
      <c r="CA1354" s="1392" t="n"/>
      <c r="CB1354" s="1392" t="n"/>
      <c r="CC1354" s="1392" t="n"/>
      <c r="CD1354" s="1392" t="n"/>
      <c r="CE1354" s="1392" t="n"/>
      <c r="CF1354" s="1392" t="n"/>
      <c r="CG1354" s="1392" t="n"/>
      <c r="CH1354" s="1392" t="n"/>
      <c r="CI1354" s="1392" t="n"/>
      <c r="CJ1354" s="1392" t="n"/>
      <c r="CK1354" s="1392" t="n"/>
      <c r="CL1354" s="1392" t="n"/>
    </row>
    <row r="1355">
      <c r="A1355" s="5" t="inlineStr">
        <is>
          <t>.</t>
        </is>
      </c>
      <c r="B1355" s="5" t="inlineStr">
        <is>
          <t>.</t>
        </is>
      </c>
      <c r="C1355" s="1378">
        <f>IF(raw[[#This Row],[city]]="","-",IF(raw[[#This Row],[city]]="TODAY","-",C1354+1))</f>
        <v/>
      </c>
      <c r="D1355" s="1393" t="inlineStr">
        <is>
          <t>Miami</t>
        </is>
      </c>
      <c r="E1355" s="1394" t="n">
        <v>42015</v>
      </c>
      <c r="F1355" s="1394" t="n">
        <v>42015</v>
      </c>
      <c r="G1355" s="1393" t="n">
        <v>0.01</v>
      </c>
      <c r="H1355" s="1393" t="inlineStr">
        <is>
          <t>Beatty</t>
        </is>
      </c>
      <c r="I1355" s="1393" t="inlineStr">
        <is>
          <t>-</t>
        </is>
      </c>
      <c r="J1355" s="1393" t="inlineStr">
        <is>
          <t>-</t>
        </is>
      </c>
      <c r="K1355" s="1395">
        <f>IF(raw[[#This Row],[city]]&lt;&gt;"",_xlfn.XLOOKUP($D1355,ccc[city],ccc[prov],"-"),"-")</f>
        <v/>
      </c>
      <c r="L1355" s="1395">
        <f>IF(raw[[#This Row],[city]]&lt;&gt;"",_xlfn.XLOOKUP($D1355,ccc[city],ccc[ctry],"-"),"-")</f>
        <v/>
      </c>
      <c r="M1355" s="1395">
        <f>IF(raw[[#This Row],[city]]&lt;&gt;"",_xlfn.XLOOKUP($D1355,ccc[city],ccc[cont],"-"),"-")</f>
        <v/>
      </c>
      <c r="N1355" s="1396">
        <f>IF(raw[[#This Row],[city]]="","-",IF(raw[[#This Row],[cont]]="B",raw[[#This Row],[cont]],"W"))</f>
        <v/>
      </c>
      <c r="O1355" s="1397">
        <f>IF(raw[[#This Row],[out]]=0,0,IF(raw[[#This Row],[out]]=raw[[#This Row],[in]],0.01,raw[[#This Row],[out]]-raw[[#This Row],[in]]))</f>
        <v/>
      </c>
      <c r="P1355" s="1397">
        <f>IF(raw[[#This Row],[in]]=0,0,MONTH(raw[[#This Row],[in]]))</f>
        <v/>
      </c>
      <c r="Q1355" s="1397">
        <f>IF(raw[[#This Row],[in]]=0,0,YEAR(raw[[#This Row],[in]]))</f>
        <v/>
      </c>
      <c r="R1355" s="1397">
        <f>INT(raw[[#This Row],[yr]]/10)*10</f>
        <v/>
      </c>
      <c r="S1355" s="1395">
        <f>IF(raw[[#This Row],[city]]="","-",IF(raw[[#This Row],[city]]&lt;&gt;_xlfn.XLOOKUP(raw[[#This Row],[home]],homes[home],homes[city],"-"),1,0))</f>
        <v/>
      </c>
      <c r="T1355" s="1398" t="inlineStr">
        <is>
          <t>.</t>
        </is>
      </c>
      <c r="U1355" s="1399">
        <f>IF(raw[[#This Row],[wb]]="w",raw[[#This Row],[stay]]+U1354,U1354)</f>
        <v/>
      </c>
      <c r="V1355" s="1400">
        <f>IF(raw[[#This Row],[out]]=0,V1354,(raw[[#This Row],[out]]-E$5))</f>
        <v/>
      </c>
      <c r="W1355" s="1401">
        <f>U1355/V1355</f>
        <v/>
      </c>
      <c r="X1355" s="1392" t="n"/>
      <c r="Y1355" s="1392" t="n"/>
      <c r="Z1355" s="1392" t="n"/>
      <c r="AA1355" s="1392" t="n"/>
      <c r="AB1355" s="1392" t="n"/>
      <c r="AC1355" s="1392" t="n"/>
      <c r="AD1355" s="1392" t="n"/>
      <c r="AE1355" s="1392" t="n"/>
      <c r="AF1355" s="1392" t="n"/>
      <c r="AG1355" s="1392" t="n"/>
      <c r="AH1355" s="1392" t="n"/>
      <c r="AI1355" s="1392" t="n"/>
      <c r="AJ1355" s="1392" t="n"/>
      <c r="AK1355" s="1392" t="n"/>
      <c r="AL1355" s="1392" t="n"/>
      <c r="AM1355" s="1392" t="n"/>
      <c r="AN1355" s="1392" t="n"/>
      <c r="AO1355" s="1392" t="n"/>
      <c r="AP1355" s="1392" t="n"/>
      <c r="AQ1355" s="1392" t="n"/>
      <c r="AR1355" s="1422" t="n"/>
      <c r="AS1355" s="1422" t="n"/>
      <c r="AT1355" s="1392" t="n"/>
      <c r="AU1355" s="1392" t="n"/>
      <c r="AV1355" s="1392" t="n"/>
      <c r="AW1355" s="1392" t="n"/>
      <c r="AX1355" s="1392" t="n"/>
      <c r="AY1355" s="1392" t="n"/>
      <c r="AZ1355" s="1392" t="n"/>
      <c r="BA1355" s="1422" t="n"/>
      <c r="BB1355" s="1422" t="n"/>
      <c r="BC1355" s="1392" t="n"/>
      <c r="BD1355" s="1392" t="n"/>
      <c r="BE1355" s="1392" t="n"/>
      <c r="BF1355" s="1392" t="n"/>
      <c r="BG1355" s="1392" t="n"/>
      <c r="BH1355" s="1392" t="n"/>
      <c r="BI1355" s="1392" t="n"/>
      <c r="BJ1355" s="1392" t="n"/>
      <c r="BK1355" s="1392" t="n"/>
      <c r="BL1355" s="1392" t="n"/>
      <c r="BM1355" s="1392" t="n"/>
      <c r="BN1355" s="1392" t="n"/>
      <c r="BO1355" s="1392" t="n"/>
      <c r="BP1355" s="1392" t="n"/>
      <c r="BQ1355" s="1392" t="n"/>
      <c r="BR1355" s="1392" t="n"/>
      <c r="BS1355" s="1392" t="n"/>
      <c r="BT1355" s="1392" t="n"/>
      <c r="BU1355" s="1392" t="n"/>
      <c r="BV1355" s="1392" t="n"/>
      <c r="BW1355" s="1392" t="n"/>
      <c r="BX1355" s="1392" t="n"/>
      <c r="BY1355" s="1392" t="n"/>
      <c r="BZ1355" s="1392" t="n"/>
      <c r="CA1355" s="1392" t="n"/>
      <c r="CB1355" s="1392" t="n"/>
      <c r="CC1355" s="1392" t="n"/>
      <c r="CD1355" s="1392" t="n"/>
      <c r="CE1355" s="1392" t="n"/>
      <c r="CF1355" s="1392" t="n"/>
      <c r="CG1355" s="1392" t="n"/>
      <c r="CH1355" s="1392" t="n"/>
      <c r="CI1355" s="1392" t="n"/>
      <c r="CJ1355" s="1392" t="n"/>
      <c r="CK1355" s="1392" t="n"/>
      <c r="CL1355" s="1392" t="n"/>
    </row>
    <row r="1356">
      <c r="A1356" s="5" t="inlineStr">
        <is>
          <t>.</t>
        </is>
      </c>
      <c r="B1356" s="5" t="inlineStr">
        <is>
          <t>.</t>
        </is>
      </c>
      <c r="C1356" s="1378">
        <f>IF(raw[[#This Row],[city]]="","-",IF(raw[[#This Row],[city]]="TODAY","-",C1355+1))</f>
        <v/>
      </c>
      <c r="D1356" s="1393" t="inlineStr">
        <is>
          <t>AIR</t>
        </is>
      </c>
      <c r="E1356" s="1394" t="n">
        <v>42015</v>
      </c>
      <c r="F1356" s="1394" t="n">
        <v>42016</v>
      </c>
      <c r="G1356" s="1393" t="inlineStr">
        <is>
          <t>x</t>
        </is>
      </c>
      <c r="H1356" s="1393" t="inlineStr">
        <is>
          <t>Beatty</t>
        </is>
      </c>
      <c r="I1356" s="1393" t="inlineStr">
        <is>
          <t>-</t>
        </is>
      </c>
      <c r="J1356" s="1393" t="inlineStr">
        <is>
          <t>-</t>
        </is>
      </c>
      <c r="K1356" s="1395">
        <f>IF(raw[[#This Row],[city]]&lt;&gt;"",_xlfn.XLOOKUP($D1356,ccc[city],ccc[prov],"-"),"-")</f>
        <v/>
      </c>
      <c r="L1356" s="1395">
        <f>IF(raw[[#This Row],[city]]&lt;&gt;"",_xlfn.XLOOKUP($D1356,ccc[city],ccc[ctry],"-"),"-")</f>
        <v/>
      </c>
      <c r="M1356" s="1395">
        <f>IF(raw[[#This Row],[city]]&lt;&gt;"",_xlfn.XLOOKUP($D1356,ccc[city],ccc[cont],"-"),"-")</f>
        <v/>
      </c>
      <c r="N1356" s="1396">
        <f>IF(raw[[#This Row],[city]]="","-",IF(raw[[#This Row],[cont]]="B",raw[[#This Row],[cont]],"W"))</f>
        <v/>
      </c>
      <c r="O1356" s="1397">
        <f>IF(raw[[#This Row],[out]]=0,0,IF(raw[[#This Row],[out]]=raw[[#This Row],[in]],0.01,raw[[#This Row],[out]]-raw[[#This Row],[in]]))</f>
        <v/>
      </c>
      <c r="P1356" s="1397">
        <f>IF(raw[[#This Row],[in]]=0,0,MONTH(raw[[#This Row],[in]]))</f>
        <v/>
      </c>
      <c r="Q1356" s="1397">
        <f>IF(raw[[#This Row],[in]]=0,0,YEAR(raw[[#This Row],[in]]))</f>
        <v/>
      </c>
      <c r="R1356" s="1397">
        <f>INT(raw[[#This Row],[yr]]/10)*10</f>
        <v/>
      </c>
      <c r="S1356" s="1395">
        <f>IF(raw[[#This Row],[city]]="","-",IF(raw[[#This Row],[city]]&lt;&gt;_xlfn.XLOOKUP(raw[[#This Row],[home]],homes[home],homes[city],"-"),1,0))</f>
        <v/>
      </c>
      <c r="T1356" s="1398" t="inlineStr">
        <is>
          <t>.</t>
        </is>
      </c>
      <c r="U1356" s="1399">
        <f>IF(raw[[#This Row],[wb]]="w",raw[[#This Row],[stay]]+U1355,U1355)</f>
        <v/>
      </c>
      <c r="V1356" s="1400">
        <f>IF(raw[[#This Row],[out]]=0,V1355,(raw[[#This Row],[out]]-E$5))</f>
        <v/>
      </c>
      <c r="W1356" s="1401">
        <f>U1356/V1356</f>
        <v/>
      </c>
      <c r="X1356" s="1392" t="n"/>
      <c r="Y1356" s="1392" t="n"/>
      <c r="Z1356" s="1392" t="n"/>
      <c r="AA1356" s="1392" t="n"/>
      <c r="AB1356" s="1392" t="n"/>
      <c r="AC1356" s="1392" t="n"/>
      <c r="AD1356" s="1392" t="n"/>
      <c r="AE1356" s="1392" t="n"/>
      <c r="AF1356" s="1392" t="n"/>
      <c r="AG1356" s="1392" t="n"/>
      <c r="AH1356" s="1392" t="n"/>
      <c r="AI1356" s="1392" t="n"/>
      <c r="AJ1356" s="1392" t="n"/>
      <c r="AK1356" s="1392" t="n"/>
      <c r="AL1356" s="1392" t="n"/>
      <c r="AM1356" s="1392" t="n"/>
      <c r="AN1356" s="1392" t="n"/>
      <c r="AO1356" s="1392" t="n"/>
      <c r="AP1356" s="1392" t="n"/>
      <c r="AQ1356" s="1392" t="n"/>
      <c r="AR1356" s="1422" t="n"/>
      <c r="AS1356" s="1422" t="n"/>
      <c r="AT1356" s="1392" t="n"/>
      <c r="AU1356" s="1392" t="n"/>
      <c r="AV1356" s="1392" t="n"/>
      <c r="AW1356" s="1392" t="n"/>
      <c r="AX1356" s="1392" t="n"/>
      <c r="AY1356" s="1392" t="n"/>
      <c r="AZ1356" s="1392" t="n"/>
      <c r="BA1356" s="1422" t="n"/>
      <c r="BB1356" s="1422" t="n"/>
      <c r="BC1356" s="1392" t="n"/>
      <c r="BD1356" s="1392" t="n"/>
      <c r="BE1356" s="1392" t="n"/>
      <c r="BF1356" s="1392" t="n"/>
      <c r="BG1356" s="1392" t="n"/>
      <c r="BH1356" s="1392" t="n"/>
      <c r="BI1356" s="1392" t="n"/>
      <c r="BJ1356" s="1392" t="n"/>
      <c r="BK1356" s="1392" t="n"/>
      <c r="BL1356" s="1392" t="n"/>
      <c r="BM1356" s="1392" t="n"/>
      <c r="BN1356" s="1392" t="n"/>
      <c r="BO1356" s="1392" t="n"/>
      <c r="BP1356" s="1392" t="n"/>
      <c r="BQ1356" s="1392" t="n"/>
      <c r="BR1356" s="1392" t="n"/>
      <c r="BS1356" s="1392" t="n"/>
      <c r="BT1356" s="1392" t="n"/>
      <c r="BU1356" s="1392" t="n"/>
      <c r="BV1356" s="1392" t="n"/>
      <c r="BW1356" s="1392" t="n"/>
      <c r="BX1356" s="1392" t="n"/>
      <c r="BY1356" s="1392" t="n"/>
      <c r="BZ1356" s="1392" t="n"/>
      <c r="CA1356" s="1392" t="n"/>
      <c r="CB1356" s="1392" t="n"/>
      <c r="CC1356" s="1392" t="n"/>
      <c r="CD1356" s="1392" t="n"/>
      <c r="CE1356" s="1392" t="n"/>
      <c r="CF1356" s="1392" t="n"/>
      <c r="CG1356" s="1392" t="n"/>
      <c r="CH1356" s="1392" t="n"/>
      <c r="CI1356" s="1392" t="n"/>
      <c r="CJ1356" s="1392" t="n"/>
      <c r="CK1356" s="1392" t="n"/>
      <c r="CL1356" s="1392" t="n"/>
    </row>
    <row r="1357">
      <c r="A1357" s="5" t="inlineStr">
        <is>
          <t>.</t>
        </is>
      </c>
      <c r="B1357" s="5" t="inlineStr">
        <is>
          <t>.</t>
        </is>
      </c>
      <c r="C1357" s="1378">
        <f>IF(raw[[#This Row],[city]]="","-",IF(raw[[#This Row],[city]]="TODAY","-",C1356+1))</f>
        <v/>
      </c>
      <c r="D1357" s="1393" t="inlineStr">
        <is>
          <t>SSA</t>
        </is>
      </c>
      <c r="E1357" s="1394" t="n">
        <v>42016</v>
      </c>
      <c r="F1357" s="1394" t="n">
        <v>42025</v>
      </c>
      <c r="G1357" s="1393" t="inlineStr">
        <is>
          <t>-</t>
        </is>
      </c>
      <c r="H1357" s="1393" t="inlineStr">
        <is>
          <t>Beatty</t>
        </is>
      </c>
      <c r="I1357" s="1393" t="inlineStr">
        <is>
          <t>Ondina</t>
        </is>
      </c>
      <c r="J1357" s="1393" t="inlineStr">
        <is>
          <t>-</t>
        </is>
      </c>
      <c r="K1357" s="1395">
        <f>IF(raw[[#This Row],[city]]&lt;&gt;"",_xlfn.XLOOKUP($D1357,ccc[city],ccc[prov],"-"),"-")</f>
        <v/>
      </c>
      <c r="L1357" s="1395">
        <f>IF(raw[[#This Row],[city]]&lt;&gt;"",_xlfn.XLOOKUP($D1357,ccc[city],ccc[ctry],"-"),"-")</f>
        <v/>
      </c>
      <c r="M1357" s="1395">
        <f>IF(raw[[#This Row],[city]]&lt;&gt;"",_xlfn.XLOOKUP($D1357,ccc[city],ccc[cont],"-"),"-")</f>
        <v/>
      </c>
      <c r="N1357" s="1396">
        <f>IF(raw[[#This Row],[city]]="","-",IF(raw[[#This Row],[cont]]="B",raw[[#This Row],[cont]],"W"))</f>
        <v/>
      </c>
      <c r="O1357" s="1397">
        <f>IF(raw[[#This Row],[out]]=0,0,IF(raw[[#This Row],[out]]=raw[[#This Row],[in]],0.01,raw[[#This Row],[out]]-raw[[#This Row],[in]]))</f>
        <v/>
      </c>
      <c r="P1357" s="1397">
        <f>IF(raw[[#This Row],[in]]=0,0,MONTH(raw[[#This Row],[in]]))</f>
        <v/>
      </c>
      <c r="Q1357" s="1397">
        <f>IF(raw[[#This Row],[in]]=0,0,YEAR(raw[[#This Row],[in]]))</f>
        <v/>
      </c>
      <c r="R1357" s="1397">
        <f>INT(raw[[#This Row],[yr]]/10)*10</f>
        <v/>
      </c>
      <c r="S1357" s="1395">
        <f>IF(raw[[#This Row],[city]]="","-",IF(raw[[#This Row],[city]]&lt;&gt;_xlfn.XLOOKUP(raw[[#This Row],[home]],homes[home],homes[city],"-"),1,0))</f>
        <v/>
      </c>
      <c r="T1357" s="1398" t="inlineStr">
        <is>
          <t>.</t>
        </is>
      </c>
      <c r="U1357" s="1399">
        <f>IF(raw[[#This Row],[wb]]="w",raw[[#This Row],[stay]]+U1356,U1356)</f>
        <v/>
      </c>
      <c r="V1357" s="1400">
        <f>IF(raw[[#This Row],[out]]=0,V1356,(raw[[#This Row],[out]]-E$5))</f>
        <v/>
      </c>
      <c r="W1357" s="1401">
        <f>U1357/V1357</f>
        <v/>
      </c>
      <c r="X1357" s="1392" t="n"/>
      <c r="Y1357" s="1392" t="n"/>
      <c r="Z1357" s="1392" t="n"/>
      <c r="AA1357" s="1392" t="n"/>
      <c r="AB1357" s="1392" t="n"/>
      <c r="AC1357" s="1392" t="n"/>
      <c r="AD1357" s="1392" t="n"/>
      <c r="AE1357" s="1392" t="n"/>
      <c r="AF1357" s="1392" t="n"/>
      <c r="AG1357" s="1392" t="n"/>
      <c r="AH1357" s="1392" t="n"/>
      <c r="AI1357" s="1392" t="n"/>
      <c r="AJ1357" s="1392" t="n"/>
      <c r="AK1357" s="1392" t="n"/>
      <c r="AL1357" s="1392" t="n"/>
      <c r="AM1357" s="1392" t="n"/>
      <c r="AN1357" s="1392" t="n"/>
      <c r="AO1357" s="1392" t="n"/>
      <c r="AP1357" s="1392" t="n"/>
      <c r="AQ1357" s="1392" t="n"/>
      <c r="AR1357" s="1422" t="n"/>
      <c r="AS1357" s="1422" t="n"/>
      <c r="AT1357" s="1392" t="n"/>
      <c r="AU1357" s="1392" t="n"/>
      <c r="AV1357" s="1392" t="n"/>
      <c r="AW1357" s="1392" t="n"/>
      <c r="AX1357" s="1392" t="n"/>
      <c r="AY1357" s="1392" t="n"/>
      <c r="AZ1357" s="1392" t="n"/>
      <c r="BA1357" s="1422" t="n"/>
      <c r="BB1357" s="1422" t="n"/>
      <c r="BC1357" s="1392" t="n"/>
      <c r="BD1357" s="1392" t="n"/>
      <c r="BE1357" s="1392" t="n"/>
      <c r="BF1357" s="1392" t="n"/>
      <c r="BG1357" s="1392" t="n"/>
      <c r="BH1357" s="1392" t="n"/>
      <c r="BI1357" s="1392" t="n"/>
      <c r="BJ1357" s="1392" t="n"/>
      <c r="BK1357" s="1392" t="n"/>
      <c r="BL1357" s="1392" t="n"/>
      <c r="BM1357" s="1392" t="n"/>
      <c r="BN1357" s="1392" t="n"/>
      <c r="BO1357" s="1392" t="n"/>
      <c r="BP1357" s="1392" t="n"/>
      <c r="BQ1357" s="1392" t="n"/>
      <c r="BR1357" s="1392" t="n"/>
      <c r="BS1357" s="1392" t="n"/>
      <c r="BT1357" s="1392" t="n"/>
      <c r="BU1357" s="1392" t="n"/>
      <c r="BV1357" s="1392" t="n"/>
      <c r="BW1357" s="1392" t="n"/>
      <c r="BX1357" s="1392" t="n"/>
      <c r="BY1357" s="1392" t="n"/>
      <c r="BZ1357" s="1392" t="n"/>
      <c r="CA1357" s="1392" t="n"/>
      <c r="CB1357" s="1392" t="n"/>
      <c r="CC1357" s="1392" t="n"/>
      <c r="CD1357" s="1392" t="n"/>
      <c r="CE1357" s="1392" t="n"/>
      <c r="CF1357" s="1392" t="n"/>
      <c r="CG1357" s="1392" t="n"/>
      <c r="CH1357" s="1392" t="n"/>
      <c r="CI1357" s="1392" t="n"/>
      <c r="CJ1357" s="1392" t="n"/>
      <c r="CK1357" s="1392" t="n"/>
      <c r="CL1357" s="1392" t="n"/>
    </row>
    <row r="1358">
      <c r="A1358" s="5" t="inlineStr">
        <is>
          <t>.</t>
        </is>
      </c>
      <c r="B1358" s="5" t="inlineStr">
        <is>
          <t>.</t>
        </is>
      </c>
      <c r="C1358" s="1378">
        <f>IF(raw[[#This Row],[city]]="","-",IF(raw[[#This Row],[city]]="TODAY","-",C1357+1))</f>
        <v/>
      </c>
      <c r="D1358" s="1393" t="inlineStr">
        <is>
          <t>Guarajuba</t>
        </is>
      </c>
      <c r="E1358" s="1394" t="n">
        <v>42022</v>
      </c>
      <c r="F1358" s="1394" t="n">
        <v>42022</v>
      </c>
      <c r="G1358" s="1393" t="inlineStr">
        <is>
          <t>-</t>
        </is>
      </c>
      <c r="H1358" s="1393" t="inlineStr">
        <is>
          <t>Beatty</t>
        </is>
      </c>
      <c r="I1358" s="1393" t="inlineStr">
        <is>
          <t>-</t>
        </is>
      </c>
      <c r="J1358" s="1393" t="inlineStr">
        <is>
          <t>-</t>
        </is>
      </c>
      <c r="K1358" s="1395">
        <f>IF(raw[[#This Row],[city]]&lt;&gt;"",_xlfn.XLOOKUP($D1358,ccc[city],ccc[prov],"-"),"-")</f>
        <v/>
      </c>
      <c r="L1358" s="1395">
        <f>IF(raw[[#This Row],[city]]&lt;&gt;"",_xlfn.XLOOKUP($D1358,ccc[city],ccc[ctry],"-"),"-")</f>
        <v/>
      </c>
      <c r="M1358" s="1395">
        <f>IF(raw[[#This Row],[city]]&lt;&gt;"",_xlfn.XLOOKUP($D1358,ccc[city],ccc[cont],"-"),"-")</f>
        <v/>
      </c>
      <c r="N1358" s="1396">
        <f>IF(raw[[#This Row],[city]]="","-",IF(raw[[#This Row],[cont]]="B",raw[[#This Row],[cont]],"W"))</f>
        <v/>
      </c>
      <c r="O1358" s="1397">
        <f>IF(raw[[#This Row],[out]]=0,0,IF(raw[[#This Row],[out]]=raw[[#This Row],[in]],0.01,raw[[#This Row],[out]]-raw[[#This Row],[in]]))</f>
        <v/>
      </c>
      <c r="P1358" s="1397">
        <f>IF(raw[[#This Row],[in]]=0,0,MONTH(raw[[#This Row],[in]]))</f>
        <v/>
      </c>
      <c r="Q1358" s="1397">
        <f>IF(raw[[#This Row],[in]]=0,0,YEAR(raw[[#This Row],[in]]))</f>
        <v/>
      </c>
      <c r="R1358" s="1397">
        <f>INT(raw[[#This Row],[yr]]/10)*10</f>
        <v/>
      </c>
      <c r="S1358" s="1395">
        <f>IF(raw[[#This Row],[city]]="","-",IF(raw[[#This Row],[city]]&lt;&gt;_xlfn.XLOOKUP(raw[[#This Row],[home]],homes[home],homes[city],"-"),1,0))</f>
        <v/>
      </c>
      <c r="T1358" s="1398" t="inlineStr">
        <is>
          <t>.</t>
        </is>
      </c>
      <c r="U1358" s="1399">
        <f>IF(raw[[#This Row],[wb]]="w",raw[[#This Row],[stay]]+U1357,U1357)</f>
        <v/>
      </c>
      <c r="V1358" s="1400">
        <f>IF(raw[[#This Row],[out]]=0,V1357,(raw[[#This Row],[out]]-E$5))</f>
        <v/>
      </c>
      <c r="W1358" s="1401">
        <f>U1358/V1358</f>
        <v/>
      </c>
      <c r="X1358" s="1392" t="n"/>
      <c r="Y1358" s="1392" t="n"/>
      <c r="Z1358" s="1392" t="n"/>
      <c r="AA1358" s="1392" t="n"/>
      <c r="AB1358" s="1392" t="n"/>
      <c r="AC1358" s="1392" t="n"/>
      <c r="AD1358" s="1392" t="n"/>
      <c r="AE1358" s="1392" t="n"/>
      <c r="AF1358" s="1392" t="n"/>
      <c r="AG1358" s="1392" t="n"/>
      <c r="AH1358" s="1392" t="n"/>
      <c r="AI1358" s="1392" t="n"/>
      <c r="AJ1358" s="1392" t="n"/>
      <c r="AK1358" s="1392" t="n"/>
      <c r="AL1358" s="1392" t="n"/>
      <c r="AM1358" s="1392" t="n"/>
      <c r="AN1358" s="1392" t="n"/>
      <c r="AO1358" s="1392" t="n"/>
      <c r="AP1358" s="1392" t="n"/>
      <c r="AQ1358" s="1392" t="n"/>
      <c r="AR1358" s="1422" t="n"/>
      <c r="AS1358" s="1422" t="n"/>
      <c r="AT1358" s="1392" t="n"/>
      <c r="AU1358" s="1392" t="n"/>
      <c r="AV1358" s="1392" t="n"/>
      <c r="AW1358" s="1392" t="n"/>
      <c r="AX1358" s="1392" t="n"/>
      <c r="AY1358" s="1392" t="n"/>
      <c r="AZ1358" s="1392" t="n"/>
      <c r="BA1358" s="1422" t="n"/>
      <c r="BB1358" s="1422" t="n"/>
      <c r="BC1358" s="1392" t="n"/>
      <c r="BD1358" s="1392" t="n"/>
      <c r="BE1358" s="1392" t="n"/>
      <c r="BF1358" s="1392" t="n"/>
      <c r="BG1358" s="1392" t="n"/>
      <c r="BH1358" s="1392" t="n"/>
      <c r="BI1358" s="1392" t="n"/>
      <c r="BJ1358" s="1392" t="n"/>
      <c r="BK1358" s="1392" t="n"/>
      <c r="BL1358" s="1392" t="n"/>
      <c r="BM1358" s="1392" t="n"/>
      <c r="BN1358" s="1392" t="n"/>
      <c r="BO1358" s="1392" t="n"/>
      <c r="BP1358" s="1392" t="n"/>
      <c r="BQ1358" s="1392" t="n"/>
      <c r="BR1358" s="1392" t="n"/>
      <c r="BS1358" s="1392" t="n"/>
      <c r="BT1358" s="1392" t="n"/>
      <c r="BU1358" s="1392" t="n"/>
      <c r="BV1358" s="1392" t="n"/>
      <c r="BW1358" s="1392" t="n"/>
      <c r="BX1358" s="1392" t="n"/>
      <c r="BY1358" s="1392" t="n"/>
      <c r="BZ1358" s="1392" t="n"/>
      <c r="CA1358" s="1392" t="n"/>
      <c r="CB1358" s="1392" t="n"/>
      <c r="CC1358" s="1392" t="n"/>
      <c r="CD1358" s="1392" t="n"/>
      <c r="CE1358" s="1392" t="n"/>
      <c r="CF1358" s="1392" t="n"/>
      <c r="CG1358" s="1392" t="n"/>
      <c r="CH1358" s="1392" t="n"/>
      <c r="CI1358" s="1392" t="n"/>
      <c r="CJ1358" s="1392" t="n"/>
      <c r="CK1358" s="1392" t="n"/>
      <c r="CL1358" s="1392" t="n"/>
    </row>
    <row r="1359">
      <c r="A1359" s="5" t="inlineStr">
        <is>
          <t>.</t>
        </is>
      </c>
      <c r="B1359" s="5" t="inlineStr">
        <is>
          <t>.</t>
        </is>
      </c>
      <c r="C1359" s="1378">
        <f>IF(raw[[#This Row],[city]]="","-",IF(raw[[#This Row],[city]]="TODAY","-",C1358+1))</f>
        <v/>
      </c>
      <c r="D1359" s="1393" t="inlineStr">
        <is>
          <t>SSA</t>
        </is>
      </c>
      <c r="E1359" s="1394" t="n">
        <v>42025</v>
      </c>
      <c r="F1359" s="1394" t="n">
        <v>42025</v>
      </c>
      <c r="G1359" s="1393" t="n">
        <v>1</v>
      </c>
      <c r="H1359" s="1393" t="inlineStr">
        <is>
          <t>Beatty</t>
        </is>
      </c>
      <c r="I1359" s="1393" t="inlineStr">
        <is>
          <t>Ondina</t>
        </is>
      </c>
      <c r="J1359" s="1393" t="inlineStr">
        <is>
          <t>-</t>
        </is>
      </c>
      <c r="K1359" s="1395">
        <f>IF(raw[[#This Row],[city]]&lt;&gt;"",_xlfn.XLOOKUP($D1359,ccc[city],ccc[prov],"-"),"-")</f>
        <v/>
      </c>
      <c r="L1359" s="1395">
        <f>IF(raw[[#This Row],[city]]&lt;&gt;"",_xlfn.XLOOKUP($D1359,ccc[city],ccc[ctry],"-"),"-")</f>
        <v/>
      </c>
      <c r="M1359" s="1395">
        <f>IF(raw[[#This Row],[city]]&lt;&gt;"",_xlfn.XLOOKUP($D1359,ccc[city],ccc[cont],"-"),"-")</f>
        <v/>
      </c>
      <c r="N1359" s="1396">
        <f>IF(raw[[#This Row],[city]]="","-",IF(raw[[#This Row],[cont]]="B",raw[[#This Row],[cont]],"W"))</f>
        <v/>
      </c>
      <c r="O1359" s="1397">
        <f>IF(raw[[#This Row],[out]]=0,0,IF(raw[[#This Row],[out]]=raw[[#This Row],[in]],0.01,raw[[#This Row],[out]]-raw[[#This Row],[in]]))</f>
        <v/>
      </c>
      <c r="P1359" s="1397">
        <f>IF(raw[[#This Row],[in]]=0,0,MONTH(raw[[#This Row],[in]]))</f>
        <v/>
      </c>
      <c r="Q1359" s="1397">
        <f>IF(raw[[#This Row],[in]]=0,0,YEAR(raw[[#This Row],[in]]))</f>
        <v/>
      </c>
      <c r="R1359" s="1397">
        <f>INT(raw[[#This Row],[yr]]/10)*10</f>
        <v/>
      </c>
      <c r="S1359" s="1395">
        <f>IF(raw[[#This Row],[city]]="","-",IF(raw[[#This Row],[city]]&lt;&gt;_xlfn.XLOOKUP(raw[[#This Row],[home]],homes[home],homes[city],"-"),1,0))</f>
        <v/>
      </c>
      <c r="T1359" s="1398" t="inlineStr">
        <is>
          <t>.</t>
        </is>
      </c>
      <c r="U1359" s="1399">
        <f>IF(raw[[#This Row],[wb]]="w",raw[[#This Row],[stay]]+U1358,U1358)</f>
        <v/>
      </c>
      <c r="V1359" s="1400">
        <f>IF(raw[[#This Row],[out]]=0,V1358,(raw[[#This Row],[out]]-E$5))</f>
        <v/>
      </c>
      <c r="W1359" s="1401">
        <f>U1359/V1359</f>
        <v/>
      </c>
      <c r="X1359" s="1392" t="n"/>
      <c r="Y1359" s="1392" t="n"/>
      <c r="Z1359" s="1392" t="n"/>
      <c r="AA1359" s="1392" t="n"/>
      <c r="AB1359" s="1392" t="n"/>
      <c r="AC1359" s="1392" t="n"/>
      <c r="AD1359" s="1392" t="n"/>
      <c r="AE1359" s="1392" t="n"/>
      <c r="AF1359" s="1392" t="n"/>
      <c r="AG1359" s="1392" t="n"/>
      <c r="AH1359" s="1392" t="n"/>
      <c r="AI1359" s="1392" t="n"/>
      <c r="AJ1359" s="1392" t="n"/>
      <c r="AK1359" s="1392" t="n"/>
      <c r="AL1359" s="1392" t="n"/>
      <c r="AM1359" s="1392" t="n"/>
      <c r="AN1359" s="1392" t="n"/>
      <c r="AO1359" s="1392" t="n"/>
      <c r="AP1359" s="1392" t="n"/>
      <c r="AQ1359" s="1392" t="n"/>
      <c r="AR1359" s="1422" t="n"/>
      <c r="AS1359" s="1422" t="n"/>
      <c r="AT1359" s="1392" t="n"/>
      <c r="AU1359" s="1392" t="n"/>
      <c r="AV1359" s="1392" t="n"/>
      <c r="AW1359" s="1392" t="n"/>
      <c r="AX1359" s="1392" t="n"/>
      <c r="AY1359" s="1392" t="n"/>
      <c r="AZ1359" s="1392" t="n"/>
      <c r="BA1359" s="1422" t="n"/>
      <c r="BB1359" s="1422" t="n"/>
      <c r="BC1359" s="1392" t="n"/>
      <c r="BD1359" s="1392" t="n"/>
      <c r="BE1359" s="1392" t="n"/>
      <c r="BF1359" s="1392" t="n"/>
      <c r="BG1359" s="1392" t="n"/>
      <c r="BH1359" s="1392" t="n"/>
      <c r="BI1359" s="1392" t="n"/>
      <c r="BJ1359" s="1392" t="n"/>
      <c r="BK1359" s="1392" t="n"/>
      <c r="BL1359" s="1392" t="n"/>
      <c r="BM1359" s="1392" t="n"/>
      <c r="BN1359" s="1392" t="n"/>
      <c r="BO1359" s="1392" t="n"/>
      <c r="BP1359" s="1392" t="n"/>
      <c r="BQ1359" s="1392" t="n"/>
      <c r="BR1359" s="1392" t="n"/>
      <c r="BS1359" s="1392" t="n"/>
      <c r="BT1359" s="1392" t="n"/>
      <c r="BU1359" s="1392" t="n"/>
      <c r="BV1359" s="1392" t="n"/>
      <c r="BW1359" s="1392" t="n"/>
      <c r="BX1359" s="1392" t="n"/>
      <c r="BY1359" s="1392" t="n"/>
      <c r="BZ1359" s="1392" t="n"/>
      <c r="CA1359" s="1392" t="n"/>
      <c r="CB1359" s="1392" t="n"/>
      <c r="CC1359" s="1392" t="n"/>
      <c r="CD1359" s="1392" t="n"/>
      <c r="CE1359" s="1392" t="n"/>
      <c r="CF1359" s="1392" t="n"/>
      <c r="CG1359" s="1392" t="n"/>
      <c r="CH1359" s="1392" t="n"/>
      <c r="CI1359" s="1392" t="n"/>
      <c r="CJ1359" s="1392" t="n"/>
      <c r="CK1359" s="1392" t="n"/>
      <c r="CL1359" s="1392" t="n"/>
    </row>
    <row r="1360">
      <c r="A1360" s="5" t="inlineStr">
        <is>
          <t>.</t>
        </is>
      </c>
      <c r="B1360" s="5" t="inlineStr">
        <is>
          <t>.</t>
        </is>
      </c>
      <c r="C1360" s="1378">
        <f>IF(raw[[#This Row],[city]]="","-",IF(raw[[#This Row],[city]]="TODAY","-",C1359+1))</f>
        <v/>
      </c>
      <c r="D1360" s="1393" t="inlineStr">
        <is>
          <t>Rio</t>
        </is>
      </c>
      <c r="E1360" s="1394" t="n">
        <v>42025</v>
      </c>
      <c r="F1360" s="1394" t="n">
        <v>42035</v>
      </c>
      <c r="G1360" s="1393" t="n">
        <v>1</v>
      </c>
      <c r="H1360" s="1393" t="inlineStr">
        <is>
          <t>Beatty</t>
        </is>
      </c>
      <c r="I1360" s="1393" t="inlineStr">
        <is>
          <t>Tatá/Venancio</t>
        </is>
      </c>
      <c r="J1360" s="1393" t="inlineStr">
        <is>
          <t>-</t>
        </is>
      </c>
      <c r="K1360" s="1395">
        <f>IF(raw[[#This Row],[city]]&lt;&gt;"",_xlfn.XLOOKUP($D1360,ccc[city],ccc[prov],"-"),"-")</f>
        <v/>
      </c>
      <c r="L1360" s="1395">
        <f>IF(raw[[#This Row],[city]]&lt;&gt;"",_xlfn.XLOOKUP($D1360,ccc[city],ccc[ctry],"-"),"-")</f>
        <v/>
      </c>
      <c r="M1360" s="1395">
        <f>IF(raw[[#This Row],[city]]&lt;&gt;"",_xlfn.XLOOKUP($D1360,ccc[city],ccc[cont],"-"),"-")</f>
        <v/>
      </c>
      <c r="N1360" s="1396">
        <f>IF(raw[[#This Row],[city]]="","-",IF(raw[[#This Row],[cont]]="B",raw[[#This Row],[cont]],"W"))</f>
        <v/>
      </c>
      <c r="O1360" s="1397">
        <f>IF(raw[[#This Row],[out]]=0,0,IF(raw[[#This Row],[out]]=raw[[#This Row],[in]],0.01,raw[[#This Row],[out]]-raw[[#This Row],[in]]))</f>
        <v/>
      </c>
      <c r="P1360" s="1397">
        <f>IF(raw[[#This Row],[in]]=0,0,MONTH(raw[[#This Row],[in]]))</f>
        <v/>
      </c>
      <c r="Q1360" s="1397">
        <f>IF(raw[[#This Row],[in]]=0,0,YEAR(raw[[#This Row],[in]]))</f>
        <v/>
      </c>
      <c r="R1360" s="1397">
        <f>INT(raw[[#This Row],[yr]]/10)*10</f>
        <v/>
      </c>
      <c r="S1360" s="1395">
        <f>IF(raw[[#This Row],[city]]="","-",IF(raw[[#This Row],[city]]&lt;&gt;_xlfn.XLOOKUP(raw[[#This Row],[home]],homes[home],homes[city],"-"),1,0))</f>
        <v/>
      </c>
      <c r="T1360" s="1398" t="inlineStr">
        <is>
          <t>.</t>
        </is>
      </c>
      <c r="U1360" s="1399">
        <f>IF(raw[[#This Row],[wb]]="w",raw[[#This Row],[stay]]+U1359,U1359)</f>
        <v/>
      </c>
      <c r="V1360" s="1400">
        <f>IF(raw[[#This Row],[out]]=0,V1359,(raw[[#This Row],[out]]-E$5))</f>
        <v/>
      </c>
      <c r="W1360" s="1401">
        <f>U1360/V1360</f>
        <v/>
      </c>
      <c r="X1360" s="1392" t="n"/>
      <c r="Y1360" s="1392" t="n"/>
      <c r="Z1360" s="1392" t="n"/>
      <c r="AA1360" s="1392" t="n"/>
      <c r="AB1360" s="1392" t="n"/>
      <c r="AC1360" s="1392" t="n"/>
      <c r="AD1360" s="1392" t="n"/>
      <c r="AE1360" s="1392" t="n"/>
      <c r="AF1360" s="1392" t="n"/>
      <c r="AG1360" s="1392" t="n"/>
      <c r="AH1360" s="1392" t="n"/>
      <c r="AI1360" s="1392" t="n"/>
      <c r="AJ1360" s="1392" t="n"/>
      <c r="AK1360" s="1392" t="n"/>
      <c r="AL1360" s="1392" t="n"/>
      <c r="AM1360" s="1392" t="n"/>
      <c r="AN1360" s="1392" t="n"/>
      <c r="AO1360" s="1392" t="n"/>
      <c r="AP1360" s="1392" t="n"/>
      <c r="AQ1360" s="1392" t="n"/>
      <c r="AR1360" s="1422" t="n"/>
      <c r="AS1360" s="1422" t="n"/>
      <c r="AT1360" s="1392" t="n"/>
      <c r="AU1360" s="1392" t="n"/>
      <c r="AV1360" s="1392" t="n"/>
      <c r="AW1360" s="1392" t="n"/>
      <c r="AX1360" s="1392" t="n"/>
      <c r="AY1360" s="1392" t="n"/>
      <c r="AZ1360" s="1392" t="n"/>
      <c r="BA1360" s="1422" t="n"/>
      <c r="BB1360" s="1422" t="n"/>
      <c r="BC1360" s="1392" t="n"/>
      <c r="BD1360" s="1392" t="n"/>
      <c r="BE1360" s="1392" t="n"/>
      <c r="BF1360" s="1392" t="n"/>
      <c r="BG1360" s="1392" t="n"/>
      <c r="BH1360" s="1392" t="n"/>
      <c r="BI1360" s="1392" t="n"/>
      <c r="BJ1360" s="1392" t="n"/>
      <c r="BK1360" s="1392" t="n"/>
      <c r="BL1360" s="1392" t="n"/>
      <c r="BM1360" s="1392" t="n"/>
      <c r="BN1360" s="1392" t="n"/>
      <c r="BO1360" s="1392" t="n"/>
      <c r="BP1360" s="1392" t="n"/>
      <c r="BQ1360" s="1392" t="n"/>
      <c r="BR1360" s="1392" t="n"/>
      <c r="BS1360" s="1392" t="n"/>
      <c r="BT1360" s="1392" t="n"/>
      <c r="BU1360" s="1392" t="n"/>
      <c r="BV1360" s="1392" t="n"/>
      <c r="BW1360" s="1392" t="n"/>
      <c r="BX1360" s="1392" t="n"/>
      <c r="BY1360" s="1392" t="n"/>
      <c r="BZ1360" s="1392" t="n"/>
      <c r="CA1360" s="1392" t="n"/>
      <c r="CB1360" s="1392" t="n"/>
      <c r="CC1360" s="1392" t="n"/>
      <c r="CD1360" s="1392" t="n"/>
      <c r="CE1360" s="1392" t="n"/>
      <c r="CF1360" s="1392" t="n"/>
      <c r="CG1360" s="1392" t="n"/>
      <c r="CH1360" s="1392" t="n"/>
      <c r="CI1360" s="1392" t="n"/>
      <c r="CJ1360" s="1392" t="n"/>
      <c r="CK1360" s="1392" t="n"/>
      <c r="CL1360" s="1392" t="n"/>
    </row>
    <row r="1361">
      <c r="A1361" s="5" t="inlineStr">
        <is>
          <t>.</t>
        </is>
      </c>
      <c r="B1361" s="5" t="inlineStr">
        <is>
          <t>.</t>
        </is>
      </c>
      <c r="C1361" s="1378">
        <f>IF(raw[[#This Row],[city]]="","-",IF(raw[[#This Row],[city]]="TODAY","-",C1360+1))</f>
        <v/>
      </c>
      <c r="D1361" s="1393" t="inlineStr">
        <is>
          <t>SSA</t>
        </is>
      </c>
      <c r="E1361" s="1394" t="n">
        <v>42035</v>
      </c>
      <c r="F1361" s="1394" t="n">
        <v>42036</v>
      </c>
      <c r="G1361" s="1393" t="inlineStr">
        <is>
          <t>-</t>
        </is>
      </c>
      <c r="H1361" s="1393" t="inlineStr">
        <is>
          <t>Beatty</t>
        </is>
      </c>
      <c r="I1361" s="1393" t="inlineStr">
        <is>
          <t>Ondina</t>
        </is>
      </c>
      <c r="J1361" s="1393" t="inlineStr">
        <is>
          <t>-</t>
        </is>
      </c>
      <c r="K1361" s="1395">
        <f>IF(raw[[#This Row],[city]]&lt;&gt;"",_xlfn.XLOOKUP($D1361,ccc[city],ccc[prov],"-"),"-")</f>
        <v/>
      </c>
      <c r="L1361" s="1395">
        <f>IF(raw[[#This Row],[city]]&lt;&gt;"",_xlfn.XLOOKUP($D1361,ccc[city],ccc[ctry],"-"),"-")</f>
        <v/>
      </c>
      <c r="M1361" s="1395">
        <f>IF(raw[[#This Row],[city]]&lt;&gt;"",_xlfn.XLOOKUP($D1361,ccc[city],ccc[cont],"-"),"-")</f>
        <v/>
      </c>
      <c r="N1361" s="1396">
        <f>IF(raw[[#This Row],[city]]="","-",IF(raw[[#This Row],[cont]]="B",raw[[#This Row],[cont]],"W"))</f>
        <v/>
      </c>
      <c r="O1361" s="1397">
        <f>IF(raw[[#This Row],[out]]=0,0,IF(raw[[#This Row],[out]]=raw[[#This Row],[in]],0.01,raw[[#This Row],[out]]-raw[[#This Row],[in]]))</f>
        <v/>
      </c>
      <c r="P1361" s="1397">
        <f>IF(raw[[#This Row],[in]]=0,0,MONTH(raw[[#This Row],[in]]))</f>
        <v/>
      </c>
      <c r="Q1361" s="1397">
        <f>IF(raw[[#This Row],[in]]=0,0,YEAR(raw[[#This Row],[in]]))</f>
        <v/>
      </c>
      <c r="R1361" s="1397">
        <f>INT(raw[[#This Row],[yr]]/10)*10</f>
        <v/>
      </c>
      <c r="S1361" s="1395">
        <f>IF(raw[[#This Row],[city]]="","-",IF(raw[[#This Row],[city]]&lt;&gt;_xlfn.XLOOKUP(raw[[#This Row],[home]],homes[home],homes[city],"-"),1,0))</f>
        <v/>
      </c>
      <c r="T1361" s="1398" t="inlineStr">
        <is>
          <t>.</t>
        </is>
      </c>
      <c r="U1361" s="1399">
        <f>IF(raw[[#This Row],[wb]]="w",raw[[#This Row],[stay]]+U1360,U1360)</f>
        <v/>
      </c>
      <c r="V1361" s="1400">
        <f>IF(raw[[#This Row],[out]]=0,V1360,(raw[[#This Row],[out]]-E$5))</f>
        <v/>
      </c>
      <c r="W1361" s="1401">
        <f>U1361/V1361</f>
        <v/>
      </c>
      <c r="X1361" s="1392" t="n"/>
      <c r="Y1361" s="1392" t="n"/>
      <c r="Z1361" s="1392" t="n"/>
      <c r="AA1361" s="1392" t="n"/>
      <c r="AB1361" s="1392" t="n"/>
      <c r="AC1361" s="1392" t="n"/>
      <c r="AD1361" s="1392" t="n"/>
      <c r="AE1361" s="1392" t="n"/>
      <c r="AF1361" s="1392" t="n"/>
      <c r="AG1361" s="1392" t="n"/>
      <c r="AH1361" s="1392" t="n"/>
      <c r="AI1361" s="1392" t="n"/>
      <c r="AJ1361" s="1392" t="n"/>
      <c r="AK1361" s="1392" t="n"/>
      <c r="AL1361" s="1392" t="n"/>
      <c r="AM1361" s="1392" t="n"/>
      <c r="AN1361" s="1392" t="n"/>
      <c r="AO1361" s="1392" t="n"/>
      <c r="AP1361" s="1392" t="n"/>
      <c r="AQ1361" s="1392" t="n"/>
      <c r="AR1361" s="1422" t="n"/>
      <c r="AS1361" s="1422" t="n"/>
      <c r="AT1361" s="1392" t="n"/>
      <c r="AU1361" s="1392" t="n"/>
      <c r="AV1361" s="1392" t="n"/>
      <c r="AW1361" s="1392" t="n"/>
      <c r="AX1361" s="1392" t="n"/>
      <c r="AY1361" s="1392" t="n"/>
      <c r="AZ1361" s="1392" t="n"/>
      <c r="BA1361" s="1422" t="n"/>
      <c r="BB1361" s="1422" t="n"/>
      <c r="BC1361" s="1392" t="n"/>
      <c r="BD1361" s="1392" t="n"/>
      <c r="BE1361" s="1392" t="n"/>
      <c r="BF1361" s="1392" t="n"/>
      <c r="BG1361" s="1392" t="n"/>
      <c r="BH1361" s="1392" t="n"/>
      <c r="BI1361" s="1392" t="n"/>
      <c r="BJ1361" s="1392" t="n"/>
      <c r="BK1361" s="1392" t="n"/>
      <c r="BL1361" s="1392" t="n"/>
      <c r="BM1361" s="1392" t="n"/>
      <c r="BN1361" s="1392" t="n"/>
      <c r="BO1361" s="1392" t="n"/>
      <c r="BP1361" s="1392" t="n"/>
      <c r="BQ1361" s="1392" t="n"/>
      <c r="BR1361" s="1392" t="n"/>
      <c r="BS1361" s="1392" t="n"/>
      <c r="BT1361" s="1392" t="n"/>
      <c r="BU1361" s="1392" t="n"/>
      <c r="BV1361" s="1392" t="n"/>
      <c r="BW1361" s="1392" t="n"/>
      <c r="BX1361" s="1392" t="n"/>
      <c r="BY1361" s="1392" t="n"/>
      <c r="BZ1361" s="1392" t="n"/>
      <c r="CA1361" s="1392" t="n"/>
      <c r="CB1361" s="1392" t="n"/>
      <c r="CC1361" s="1392" t="n"/>
      <c r="CD1361" s="1392" t="n"/>
      <c r="CE1361" s="1392" t="n"/>
      <c r="CF1361" s="1392" t="n"/>
      <c r="CG1361" s="1392" t="n"/>
      <c r="CH1361" s="1392" t="n"/>
      <c r="CI1361" s="1392" t="n"/>
      <c r="CJ1361" s="1392" t="n"/>
      <c r="CK1361" s="1392" t="n"/>
      <c r="CL1361" s="1392" t="n"/>
    </row>
    <row r="1362">
      <c r="A1362" s="5" t="inlineStr">
        <is>
          <t>.</t>
        </is>
      </c>
      <c r="B1362" s="5" t="inlineStr">
        <is>
          <t>.</t>
        </is>
      </c>
      <c r="C1362" s="1378">
        <f>IF(raw[[#This Row],[city]]="","-",IF(raw[[#This Row],[city]]="TODAY","-",C1361+1))</f>
        <v/>
      </c>
      <c r="D1362" s="1393" t="inlineStr">
        <is>
          <t>SSA</t>
        </is>
      </c>
      <c r="E1362" s="1394" t="n">
        <v>42036</v>
      </c>
      <c r="F1362" s="1394" t="n">
        <v>42049</v>
      </c>
      <c r="G1362" s="1393" t="inlineStr">
        <is>
          <t>-</t>
        </is>
      </c>
      <c r="H1362" s="1393" t="inlineStr">
        <is>
          <t>Beatty</t>
        </is>
      </c>
      <c r="I1362" s="1393" t="inlineStr">
        <is>
          <t>Ondina</t>
        </is>
      </c>
      <c r="J1362" s="1393" t="inlineStr">
        <is>
          <t>-</t>
        </is>
      </c>
      <c r="K1362" s="1395">
        <f>IF(raw[[#This Row],[city]]&lt;&gt;"",_xlfn.XLOOKUP($D1362,ccc[city],ccc[prov],"-"),"-")</f>
        <v/>
      </c>
      <c r="L1362" s="1395">
        <f>IF(raw[[#This Row],[city]]&lt;&gt;"",_xlfn.XLOOKUP($D1362,ccc[city],ccc[ctry],"-"),"-")</f>
        <v/>
      </c>
      <c r="M1362" s="1395">
        <f>IF(raw[[#This Row],[city]]&lt;&gt;"",_xlfn.XLOOKUP($D1362,ccc[city],ccc[cont],"-"),"-")</f>
        <v/>
      </c>
      <c r="N1362" s="1396">
        <f>IF(raw[[#This Row],[city]]="","-",IF(raw[[#This Row],[cont]]="B",raw[[#This Row],[cont]],"W"))</f>
        <v/>
      </c>
      <c r="O1362" s="1397">
        <f>IF(raw[[#This Row],[out]]=0,0,IF(raw[[#This Row],[out]]=raw[[#This Row],[in]],0.01,raw[[#This Row],[out]]-raw[[#This Row],[in]]))</f>
        <v/>
      </c>
      <c r="P1362" s="1397">
        <f>IF(raw[[#This Row],[in]]=0,0,MONTH(raw[[#This Row],[in]]))</f>
        <v/>
      </c>
      <c r="Q1362" s="1397">
        <f>IF(raw[[#This Row],[in]]=0,0,YEAR(raw[[#This Row],[in]]))</f>
        <v/>
      </c>
      <c r="R1362" s="1397">
        <f>INT(raw[[#This Row],[yr]]/10)*10</f>
        <v/>
      </c>
      <c r="S1362" s="1395">
        <f>IF(raw[[#This Row],[city]]="","-",IF(raw[[#This Row],[city]]&lt;&gt;_xlfn.XLOOKUP(raw[[#This Row],[home]],homes[home],homes[city],"-"),1,0))</f>
        <v/>
      </c>
      <c r="T1362" s="1398" t="inlineStr">
        <is>
          <t>.</t>
        </is>
      </c>
      <c r="U1362" s="1399">
        <f>IF(raw[[#This Row],[wb]]="w",raw[[#This Row],[stay]]+U1361,U1361)</f>
        <v/>
      </c>
      <c r="V1362" s="1400">
        <f>IF(raw[[#This Row],[out]]=0,V1361,(raw[[#This Row],[out]]-E$5))</f>
        <v/>
      </c>
      <c r="W1362" s="1401">
        <f>U1362/V1362</f>
        <v/>
      </c>
      <c r="X1362" s="1392" t="n"/>
      <c r="Y1362" s="1392" t="n"/>
      <c r="Z1362" s="1392" t="n"/>
      <c r="AA1362" s="1392" t="n"/>
      <c r="AB1362" s="1392" t="n"/>
      <c r="AC1362" s="1392" t="n"/>
      <c r="AD1362" s="1392" t="n"/>
      <c r="AE1362" s="1392" t="n"/>
      <c r="AF1362" s="1392" t="n"/>
      <c r="AG1362" s="1392" t="n"/>
      <c r="AH1362" s="1392" t="n"/>
      <c r="AI1362" s="1392" t="n"/>
      <c r="AJ1362" s="1392" t="n"/>
      <c r="AK1362" s="1392" t="n"/>
      <c r="AL1362" s="1392" t="n"/>
      <c r="AM1362" s="1392" t="n"/>
      <c r="AN1362" s="1392" t="n"/>
      <c r="AO1362" s="1392" t="n"/>
      <c r="AP1362" s="1392" t="n"/>
      <c r="AQ1362" s="1392" t="n"/>
      <c r="AR1362" s="1422" t="n"/>
      <c r="AS1362" s="1422" t="n"/>
      <c r="AT1362" s="1392" t="n"/>
      <c r="AU1362" s="1392" t="n"/>
      <c r="AV1362" s="1392" t="n"/>
      <c r="AW1362" s="1392" t="n"/>
      <c r="AX1362" s="1392" t="n"/>
      <c r="AY1362" s="1392" t="n"/>
      <c r="AZ1362" s="1392" t="n"/>
      <c r="BA1362" s="1422" t="n"/>
      <c r="BB1362" s="1422" t="n"/>
      <c r="BC1362" s="1392" t="n"/>
      <c r="BD1362" s="1392" t="n"/>
      <c r="BE1362" s="1392" t="n"/>
      <c r="BF1362" s="1392" t="n"/>
      <c r="BG1362" s="1392" t="n"/>
      <c r="BH1362" s="1392" t="n"/>
      <c r="BI1362" s="1392" t="n"/>
      <c r="BJ1362" s="1392" t="n"/>
      <c r="BK1362" s="1392" t="n"/>
      <c r="BL1362" s="1392" t="n"/>
      <c r="BM1362" s="1392" t="n"/>
      <c r="BN1362" s="1392" t="n"/>
      <c r="BO1362" s="1392" t="n"/>
      <c r="BP1362" s="1392" t="n"/>
      <c r="BQ1362" s="1392" t="n"/>
      <c r="BR1362" s="1392" t="n"/>
      <c r="BS1362" s="1392" t="n"/>
      <c r="BT1362" s="1392" t="n"/>
      <c r="BU1362" s="1392" t="n"/>
      <c r="BV1362" s="1392" t="n"/>
      <c r="BW1362" s="1392" t="n"/>
      <c r="BX1362" s="1392" t="n"/>
      <c r="BY1362" s="1392" t="n"/>
      <c r="BZ1362" s="1392" t="n"/>
      <c r="CA1362" s="1392" t="n"/>
      <c r="CB1362" s="1392" t="n"/>
      <c r="CC1362" s="1392" t="n"/>
      <c r="CD1362" s="1392" t="n"/>
      <c r="CE1362" s="1392" t="n"/>
      <c r="CF1362" s="1392" t="n"/>
      <c r="CG1362" s="1392" t="n"/>
      <c r="CH1362" s="1392" t="n"/>
      <c r="CI1362" s="1392" t="n"/>
      <c r="CJ1362" s="1392" t="n"/>
      <c r="CK1362" s="1392" t="n"/>
      <c r="CL1362" s="1392" t="n"/>
    </row>
    <row r="1363">
      <c r="A1363" s="5" t="inlineStr">
        <is>
          <t>.</t>
        </is>
      </c>
      <c r="B1363" s="5" t="inlineStr">
        <is>
          <t>.</t>
        </is>
      </c>
      <c r="C1363" s="1378">
        <f>IF(raw[[#This Row],[city]]="","-",IF(raw[[#This Row],[city]]="TODAY","-",C1362+1))</f>
        <v/>
      </c>
      <c r="D1363" s="1393" t="inlineStr">
        <is>
          <t>Aracaju</t>
        </is>
      </c>
      <c r="E1363" s="1394" t="n">
        <v>42049</v>
      </c>
      <c r="F1363" s="1394" t="n">
        <v>42055</v>
      </c>
      <c r="G1363" s="1393" t="inlineStr">
        <is>
          <t>-</t>
        </is>
      </c>
      <c r="H1363" s="1393" t="inlineStr">
        <is>
          <t>Beatty</t>
        </is>
      </c>
      <c r="I1363" s="1393" t="inlineStr">
        <is>
          <t>-</t>
        </is>
      </c>
      <c r="J1363" s="1393" t="inlineStr">
        <is>
          <t>-</t>
        </is>
      </c>
      <c r="K1363" s="1395">
        <f>IF(raw[[#This Row],[city]]&lt;&gt;"",_xlfn.XLOOKUP($D1363,ccc[city],ccc[prov],"-"),"-")</f>
        <v/>
      </c>
      <c r="L1363" s="1395">
        <f>IF(raw[[#This Row],[city]]&lt;&gt;"",_xlfn.XLOOKUP($D1363,ccc[city],ccc[ctry],"-"),"-")</f>
        <v/>
      </c>
      <c r="M1363" s="1395">
        <f>IF(raw[[#This Row],[city]]&lt;&gt;"",_xlfn.XLOOKUP($D1363,ccc[city],ccc[cont],"-"),"-")</f>
        <v/>
      </c>
      <c r="N1363" s="1396">
        <f>IF(raw[[#This Row],[city]]="","-",IF(raw[[#This Row],[cont]]="B",raw[[#This Row],[cont]],"W"))</f>
        <v/>
      </c>
      <c r="O1363" s="1397">
        <f>IF(raw[[#This Row],[out]]=0,0,IF(raw[[#This Row],[out]]=raw[[#This Row],[in]],0.01,raw[[#This Row],[out]]-raw[[#This Row],[in]]))</f>
        <v/>
      </c>
      <c r="P1363" s="1397">
        <f>IF(raw[[#This Row],[in]]=0,0,MONTH(raw[[#This Row],[in]]))</f>
        <v/>
      </c>
      <c r="Q1363" s="1397">
        <f>IF(raw[[#This Row],[in]]=0,0,YEAR(raw[[#This Row],[in]]))</f>
        <v/>
      </c>
      <c r="R1363" s="1397">
        <f>INT(raw[[#This Row],[yr]]/10)*10</f>
        <v/>
      </c>
      <c r="S1363" s="1395">
        <f>IF(raw[[#This Row],[city]]="","-",IF(raw[[#This Row],[city]]&lt;&gt;_xlfn.XLOOKUP(raw[[#This Row],[home]],homes[home],homes[city],"-"),1,0))</f>
        <v/>
      </c>
      <c r="T1363" s="1398" t="inlineStr">
        <is>
          <t>.</t>
        </is>
      </c>
      <c r="U1363" s="1399">
        <f>IF(raw[[#This Row],[wb]]="w",raw[[#This Row],[stay]]+U1362,U1362)</f>
        <v/>
      </c>
      <c r="V1363" s="1400">
        <f>IF(raw[[#This Row],[out]]=0,V1362,(raw[[#This Row],[out]]-E$5))</f>
        <v/>
      </c>
      <c r="W1363" s="1401">
        <f>U1363/V1363</f>
        <v/>
      </c>
      <c r="X1363" s="1392" t="n"/>
      <c r="Y1363" s="1392" t="n"/>
      <c r="Z1363" s="1392" t="n"/>
      <c r="AA1363" s="1392" t="n"/>
      <c r="AB1363" s="1392" t="n"/>
      <c r="AC1363" s="1392" t="n"/>
      <c r="AD1363" s="1392" t="n"/>
      <c r="AE1363" s="1392" t="n"/>
      <c r="AF1363" s="1392" t="n"/>
      <c r="AG1363" s="1392" t="n"/>
      <c r="AH1363" s="1392" t="n"/>
      <c r="AI1363" s="1392" t="n"/>
      <c r="AJ1363" s="1392" t="n"/>
      <c r="AK1363" s="1392" t="n"/>
      <c r="AL1363" s="1392" t="n"/>
      <c r="AM1363" s="1392" t="n"/>
      <c r="AN1363" s="1392" t="n"/>
      <c r="AO1363" s="1392" t="n"/>
      <c r="AP1363" s="1392" t="n"/>
      <c r="AQ1363" s="1392" t="n"/>
      <c r="AR1363" s="1422" t="n"/>
      <c r="AS1363" s="1422" t="n"/>
      <c r="AT1363" s="1392" t="n"/>
      <c r="AU1363" s="1392" t="n"/>
      <c r="AV1363" s="1392" t="n"/>
      <c r="AW1363" s="1392" t="n"/>
      <c r="AX1363" s="1392" t="n"/>
      <c r="AY1363" s="1392" t="n"/>
      <c r="AZ1363" s="1392" t="n"/>
      <c r="BA1363" s="1422" t="n"/>
      <c r="BB1363" s="1422" t="n"/>
      <c r="BC1363" s="1392" t="n"/>
      <c r="BD1363" s="1392" t="n"/>
      <c r="BE1363" s="1392" t="n"/>
      <c r="BF1363" s="1392" t="n"/>
      <c r="BG1363" s="1392" t="n"/>
      <c r="BH1363" s="1392" t="n"/>
      <c r="BI1363" s="1392" t="n"/>
      <c r="BJ1363" s="1392" t="n"/>
      <c r="BK1363" s="1392" t="n"/>
      <c r="BL1363" s="1392" t="n"/>
      <c r="BM1363" s="1392" t="n"/>
      <c r="BN1363" s="1392" t="n"/>
      <c r="BO1363" s="1392" t="n"/>
      <c r="BP1363" s="1392" t="n"/>
      <c r="BQ1363" s="1392" t="n"/>
      <c r="BR1363" s="1392" t="n"/>
      <c r="BS1363" s="1392" t="n"/>
      <c r="BT1363" s="1392" t="n"/>
      <c r="BU1363" s="1392" t="n"/>
      <c r="BV1363" s="1392" t="n"/>
      <c r="BW1363" s="1392" t="n"/>
      <c r="BX1363" s="1392" t="n"/>
      <c r="BY1363" s="1392" t="n"/>
      <c r="BZ1363" s="1392" t="n"/>
      <c r="CA1363" s="1392" t="n"/>
      <c r="CB1363" s="1392" t="n"/>
      <c r="CC1363" s="1392" t="n"/>
      <c r="CD1363" s="1392" t="n"/>
      <c r="CE1363" s="1392" t="n"/>
      <c r="CF1363" s="1392" t="n"/>
      <c r="CG1363" s="1392" t="n"/>
      <c r="CH1363" s="1392" t="n"/>
      <c r="CI1363" s="1392" t="n"/>
      <c r="CJ1363" s="1392" t="n"/>
      <c r="CK1363" s="1392" t="n"/>
      <c r="CL1363" s="1392" t="n"/>
    </row>
    <row r="1364">
      <c r="A1364" s="5" t="inlineStr">
        <is>
          <t>.</t>
        </is>
      </c>
      <c r="B1364" s="5" t="inlineStr">
        <is>
          <t>.</t>
        </is>
      </c>
      <c r="C1364" s="1378">
        <f>IF(raw[[#This Row],[city]]="","-",IF(raw[[#This Row],[city]]="TODAY","-",C1363+1))</f>
        <v/>
      </c>
      <c r="D1364" s="1393" t="inlineStr">
        <is>
          <t>SSA</t>
        </is>
      </c>
      <c r="E1364" s="1394" t="n">
        <v>42055</v>
      </c>
      <c r="F1364" s="1394" t="n">
        <v>42064</v>
      </c>
      <c r="G1364" s="1393" t="inlineStr">
        <is>
          <t>-</t>
        </is>
      </c>
      <c r="H1364" s="1393" t="inlineStr">
        <is>
          <t>Beatty</t>
        </is>
      </c>
      <c r="I1364" s="1393" t="inlineStr">
        <is>
          <t>Ondina</t>
        </is>
      </c>
      <c r="J1364" s="1393" t="inlineStr">
        <is>
          <t>-</t>
        </is>
      </c>
      <c r="K1364" s="1395">
        <f>IF(raw[[#This Row],[city]]&lt;&gt;"",_xlfn.XLOOKUP($D1364,ccc[city],ccc[prov],"-"),"-")</f>
        <v/>
      </c>
      <c r="L1364" s="1395">
        <f>IF(raw[[#This Row],[city]]&lt;&gt;"",_xlfn.XLOOKUP($D1364,ccc[city],ccc[ctry],"-"),"-")</f>
        <v/>
      </c>
      <c r="M1364" s="1395">
        <f>IF(raw[[#This Row],[city]]&lt;&gt;"",_xlfn.XLOOKUP($D1364,ccc[city],ccc[cont],"-"),"-")</f>
        <v/>
      </c>
      <c r="N1364" s="1396">
        <f>IF(raw[[#This Row],[city]]="","-",IF(raw[[#This Row],[cont]]="B",raw[[#This Row],[cont]],"W"))</f>
        <v/>
      </c>
      <c r="O1364" s="1397">
        <f>IF(raw[[#This Row],[out]]=0,0,IF(raw[[#This Row],[out]]=raw[[#This Row],[in]],0.01,raw[[#This Row],[out]]-raw[[#This Row],[in]]))</f>
        <v/>
      </c>
      <c r="P1364" s="1397">
        <f>IF(raw[[#This Row],[in]]=0,0,MONTH(raw[[#This Row],[in]]))</f>
        <v/>
      </c>
      <c r="Q1364" s="1397">
        <f>IF(raw[[#This Row],[in]]=0,0,YEAR(raw[[#This Row],[in]]))</f>
        <v/>
      </c>
      <c r="R1364" s="1397">
        <f>INT(raw[[#This Row],[yr]]/10)*10</f>
        <v/>
      </c>
      <c r="S1364" s="1395">
        <f>IF(raw[[#This Row],[city]]="","-",IF(raw[[#This Row],[city]]&lt;&gt;_xlfn.XLOOKUP(raw[[#This Row],[home]],homes[home],homes[city],"-"),1,0))</f>
        <v/>
      </c>
      <c r="T1364" s="1398" t="inlineStr">
        <is>
          <t>.</t>
        </is>
      </c>
      <c r="U1364" s="1399">
        <f>IF(raw[[#This Row],[wb]]="w",raw[[#This Row],[stay]]+U1363,U1363)</f>
        <v/>
      </c>
      <c r="V1364" s="1400">
        <f>IF(raw[[#This Row],[out]]=0,V1363,(raw[[#This Row],[out]]-E$5))</f>
        <v/>
      </c>
      <c r="W1364" s="1401">
        <f>U1364/V1364</f>
        <v/>
      </c>
      <c r="X1364" s="1392" t="n"/>
      <c r="Y1364" s="1392" t="n"/>
      <c r="Z1364" s="1392" t="n"/>
      <c r="AA1364" s="1392" t="n"/>
      <c r="AB1364" s="1392" t="n"/>
      <c r="AC1364" s="1392" t="n"/>
      <c r="AD1364" s="1392" t="n"/>
      <c r="AE1364" s="1392" t="n"/>
      <c r="AF1364" s="1392" t="n"/>
      <c r="AG1364" s="1392" t="n"/>
      <c r="AH1364" s="1392" t="n"/>
      <c r="AI1364" s="1392" t="n"/>
      <c r="AJ1364" s="1392" t="n"/>
      <c r="AK1364" s="1392" t="n"/>
      <c r="AL1364" s="1392" t="n"/>
      <c r="AM1364" s="1392" t="n"/>
      <c r="AN1364" s="1392" t="n"/>
      <c r="AO1364" s="1392" t="n"/>
      <c r="AP1364" s="1392" t="n"/>
      <c r="AQ1364" s="1392" t="n"/>
      <c r="AR1364" s="1422" t="n"/>
      <c r="AS1364" s="1422" t="n"/>
      <c r="AT1364" s="1392" t="n"/>
      <c r="AU1364" s="1392" t="n"/>
      <c r="AV1364" s="1392" t="n"/>
      <c r="AW1364" s="1392" t="n"/>
      <c r="AX1364" s="1392" t="n"/>
      <c r="AY1364" s="1392" t="n"/>
      <c r="AZ1364" s="1392" t="n"/>
      <c r="BA1364" s="1422" t="n"/>
      <c r="BB1364" s="1422" t="n"/>
      <c r="BC1364" s="1392" t="n"/>
      <c r="BD1364" s="1392" t="n"/>
      <c r="BE1364" s="1392" t="n"/>
      <c r="BF1364" s="1392" t="n"/>
      <c r="BG1364" s="1392" t="n"/>
      <c r="BH1364" s="1392" t="n"/>
      <c r="BI1364" s="1392" t="n"/>
      <c r="BJ1364" s="1392" t="n"/>
      <c r="BK1364" s="1392" t="n"/>
      <c r="BL1364" s="1392" t="n"/>
      <c r="BM1364" s="1392" t="n"/>
      <c r="BN1364" s="1392" t="n"/>
      <c r="BO1364" s="1392" t="n"/>
      <c r="BP1364" s="1392" t="n"/>
      <c r="BQ1364" s="1392" t="n"/>
      <c r="BR1364" s="1392" t="n"/>
      <c r="BS1364" s="1392" t="n"/>
      <c r="BT1364" s="1392" t="n"/>
      <c r="BU1364" s="1392" t="n"/>
      <c r="BV1364" s="1392" t="n"/>
      <c r="BW1364" s="1392" t="n"/>
      <c r="BX1364" s="1392" t="n"/>
      <c r="BY1364" s="1392" t="n"/>
      <c r="BZ1364" s="1392" t="n"/>
      <c r="CA1364" s="1392" t="n"/>
      <c r="CB1364" s="1392" t="n"/>
      <c r="CC1364" s="1392" t="n"/>
      <c r="CD1364" s="1392" t="n"/>
      <c r="CE1364" s="1392" t="n"/>
      <c r="CF1364" s="1392" t="n"/>
      <c r="CG1364" s="1392" t="n"/>
      <c r="CH1364" s="1392" t="n"/>
      <c r="CI1364" s="1392" t="n"/>
      <c r="CJ1364" s="1392" t="n"/>
      <c r="CK1364" s="1392" t="n"/>
      <c r="CL1364" s="1392" t="n"/>
    </row>
    <row r="1365">
      <c r="A1365" s="5" t="inlineStr">
        <is>
          <t>.</t>
        </is>
      </c>
      <c r="B1365" s="5" t="inlineStr">
        <is>
          <t>.</t>
        </is>
      </c>
      <c r="C1365" s="1378">
        <f>IF(raw[[#This Row],[city]]="","-",IF(raw[[#This Row],[city]]="TODAY","-",C1364+1))</f>
        <v/>
      </c>
      <c r="D1365" s="1393" t="inlineStr">
        <is>
          <t>SSA</t>
        </is>
      </c>
      <c r="E1365" s="1394" t="n">
        <v>42064</v>
      </c>
      <c r="F1365" s="1394" t="n">
        <v>42088</v>
      </c>
      <c r="G1365" s="1393" t="n">
        <v>1</v>
      </c>
      <c r="H1365" s="1393" t="inlineStr">
        <is>
          <t>Beatty</t>
        </is>
      </c>
      <c r="I1365" s="1393" t="inlineStr">
        <is>
          <t>Ondina</t>
        </is>
      </c>
      <c r="J1365" s="1393" t="inlineStr">
        <is>
          <t>-</t>
        </is>
      </c>
      <c r="K1365" s="1395">
        <f>IF(raw[[#This Row],[city]]&lt;&gt;"",_xlfn.XLOOKUP($D1365,ccc[city],ccc[prov],"-"),"-")</f>
        <v/>
      </c>
      <c r="L1365" s="1395">
        <f>IF(raw[[#This Row],[city]]&lt;&gt;"",_xlfn.XLOOKUP($D1365,ccc[city],ccc[ctry],"-"),"-")</f>
        <v/>
      </c>
      <c r="M1365" s="1395">
        <f>IF(raw[[#This Row],[city]]&lt;&gt;"",_xlfn.XLOOKUP($D1365,ccc[city],ccc[cont],"-"),"-")</f>
        <v/>
      </c>
      <c r="N1365" s="1396">
        <f>IF(raw[[#This Row],[city]]="","-",IF(raw[[#This Row],[cont]]="B",raw[[#This Row],[cont]],"W"))</f>
        <v/>
      </c>
      <c r="O1365" s="1397">
        <f>IF(raw[[#This Row],[out]]=0,0,IF(raw[[#This Row],[out]]=raw[[#This Row],[in]],0.01,raw[[#This Row],[out]]-raw[[#This Row],[in]]))</f>
        <v/>
      </c>
      <c r="P1365" s="1397">
        <f>IF(raw[[#This Row],[in]]=0,0,MONTH(raw[[#This Row],[in]]))</f>
        <v/>
      </c>
      <c r="Q1365" s="1397">
        <f>IF(raw[[#This Row],[in]]=0,0,YEAR(raw[[#This Row],[in]]))</f>
        <v/>
      </c>
      <c r="R1365" s="1397">
        <f>INT(raw[[#This Row],[yr]]/10)*10</f>
        <v/>
      </c>
      <c r="S1365" s="1395">
        <f>IF(raw[[#This Row],[city]]="","-",IF(raw[[#This Row],[city]]&lt;&gt;_xlfn.XLOOKUP(raw[[#This Row],[home]],homes[home],homes[city],"-"),1,0))</f>
        <v/>
      </c>
      <c r="T1365" s="1398" t="inlineStr">
        <is>
          <t>.</t>
        </is>
      </c>
      <c r="U1365" s="1399">
        <f>IF(raw[[#This Row],[wb]]="w",raw[[#This Row],[stay]]+U1364,U1364)</f>
        <v/>
      </c>
      <c r="V1365" s="1400">
        <f>IF(raw[[#This Row],[out]]=0,V1364,(raw[[#This Row],[out]]-E$5))</f>
        <v/>
      </c>
      <c r="W1365" s="1401">
        <f>U1365/V1365</f>
        <v/>
      </c>
      <c r="X1365" s="1392" t="n"/>
      <c r="Y1365" s="1392" t="n"/>
      <c r="Z1365" s="1392" t="n"/>
      <c r="AA1365" s="1392" t="n"/>
      <c r="AB1365" s="1392" t="n"/>
      <c r="AC1365" s="1392" t="n"/>
      <c r="AD1365" s="1392" t="n"/>
      <c r="AE1365" s="1392" t="n"/>
      <c r="AF1365" s="1392" t="n"/>
      <c r="AG1365" s="1392" t="n"/>
      <c r="AH1365" s="1392" t="n"/>
      <c r="AI1365" s="1392" t="n"/>
      <c r="AJ1365" s="1392" t="n"/>
      <c r="AK1365" s="1392" t="n"/>
      <c r="AL1365" s="1392" t="n"/>
      <c r="AM1365" s="1392" t="n"/>
      <c r="AN1365" s="1392" t="n"/>
      <c r="AO1365" s="1392" t="n"/>
      <c r="AP1365" s="1392" t="n"/>
      <c r="AQ1365" s="1392" t="n"/>
      <c r="AR1365" s="1422" t="n"/>
      <c r="AS1365" s="1422" t="n"/>
      <c r="AT1365" s="1392" t="n"/>
      <c r="AU1365" s="1392" t="n"/>
      <c r="AV1365" s="1392" t="n"/>
      <c r="AW1365" s="1392" t="n"/>
      <c r="AX1365" s="1392" t="n"/>
      <c r="AY1365" s="1392" t="n"/>
      <c r="AZ1365" s="1392" t="n"/>
      <c r="BA1365" s="1422" t="n"/>
      <c r="BB1365" s="1422" t="n"/>
      <c r="BC1365" s="1392" t="n"/>
      <c r="BD1365" s="1392" t="n"/>
      <c r="BE1365" s="1392" t="n"/>
      <c r="BF1365" s="1392" t="n"/>
      <c r="BG1365" s="1392" t="n"/>
      <c r="BH1365" s="1392" t="n"/>
      <c r="BI1365" s="1392" t="n"/>
      <c r="BJ1365" s="1392" t="n"/>
      <c r="BK1365" s="1392" t="n"/>
      <c r="BL1365" s="1392" t="n"/>
      <c r="BM1365" s="1392" t="n"/>
      <c r="BN1365" s="1392" t="n"/>
      <c r="BO1365" s="1392" t="n"/>
      <c r="BP1365" s="1392" t="n"/>
      <c r="BQ1365" s="1392" t="n"/>
      <c r="BR1365" s="1392" t="n"/>
      <c r="BS1365" s="1392" t="n"/>
      <c r="BT1365" s="1392" t="n"/>
      <c r="BU1365" s="1392" t="n"/>
      <c r="BV1365" s="1392" t="n"/>
      <c r="BW1365" s="1392" t="n"/>
      <c r="BX1365" s="1392" t="n"/>
      <c r="BY1365" s="1392" t="n"/>
      <c r="BZ1365" s="1392" t="n"/>
      <c r="CA1365" s="1392" t="n"/>
      <c r="CB1365" s="1392" t="n"/>
      <c r="CC1365" s="1392" t="n"/>
      <c r="CD1365" s="1392" t="n"/>
      <c r="CE1365" s="1392" t="n"/>
      <c r="CF1365" s="1392" t="n"/>
      <c r="CG1365" s="1392" t="n"/>
      <c r="CH1365" s="1392" t="n"/>
      <c r="CI1365" s="1392" t="n"/>
      <c r="CJ1365" s="1392" t="n"/>
      <c r="CK1365" s="1392" t="n"/>
      <c r="CL1365" s="1392" t="n"/>
    </row>
    <row r="1366">
      <c r="A1366" s="5" t="inlineStr">
        <is>
          <t>.</t>
        </is>
      </c>
      <c r="B1366" s="5" t="inlineStr">
        <is>
          <t>.</t>
        </is>
      </c>
      <c r="C1366" s="1378">
        <f>IF(raw[[#This Row],[city]]="","-",IF(raw[[#This Row],[city]]="TODAY","-",C1365+1))</f>
        <v/>
      </c>
      <c r="D1366" s="1393" t="inlineStr">
        <is>
          <t>SP</t>
        </is>
      </c>
      <c r="E1366" s="1394" t="n">
        <v>42088</v>
      </c>
      <c r="F1366" s="1394" t="n">
        <v>42091</v>
      </c>
      <c r="G1366" s="1393" t="n">
        <v>1</v>
      </c>
      <c r="H1366" s="1393" t="inlineStr">
        <is>
          <t>Beatty</t>
        </is>
      </c>
      <c r="I1366" s="1393" t="inlineStr">
        <is>
          <t>Sam</t>
        </is>
      </c>
      <c r="J1366" s="1393" t="inlineStr">
        <is>
          <t>-</t>
        </is>
      </c>
      <c r="K1366" s="1395">
        <f>IF(raw[[#This Row],[city]]&lt;&gt;"",_xlfn.XLOOKUP($D1366,ccc[city],ccc[prov],"-"),"-")</f>
        <v/>
      </c>
      <c r="L1366" s="1395">
        <f>IF(raw[[#This Row],[city]]&lt;&gt;"",_xlfn.XLOOKUP($D1366,ccc[city],ccc[ctry],"-"),"-")</f>
        <v/>
      </c>
      <c r="M1366" s="1395">
        <f>IF(raw[[#This Row],[city]]&lt;&gt;"",_xlfn.XLOOKUP($D1366,ccc[city],ccc[cont],"-"),"-")</f>
        <v/>
      </c>
      <c r="N1366" s="1396">
        <f>IF(raw[[#This Row],[city]]="","-",IF(raw[[#This Row],[cont]]="B",raw[[#This Row],[cont]],"W"))</f>
        <v/>
      </c>
      <c r="O1366" s="1397">
        <f>IF(raw[[#This Row],[out]]=0,0,IF(raw[[#This Row],[out]]=raw[[#This Row],[in]],0.01,raw[[#This Row],[out]]-raw[[#This Row],[in]]))</f>
        <v/>
      </c>
      <c r="P1366" s="1397">
        <f>IF(raw[[#This Row],[in]]=0,0,MONTH(raw[[#This Row],[in]]))</f>
        <v/>
      </c>
      <c r="Q1366" s="1397">
        <f>IF(raw[[#This Row],[in]]=0,0,YEAR(raw[[#This Row],[in]]))</f>
        <v/>
      </c>
      <c r="R1366" s="1397">
        <f>INT(raw[[#This Row],[yr]]/10)*10</f>
        <v/>
      </c>
      <c r="S1366" s="1395">
        <f>IF(raw[[#This Row],[city]]="","-",IF(raw[[#This Row],[city]]&lt;&gt;_xlfn.XLOOKUP(raw[[#This Row],[home]],homes[home],homes[city],"-"),1,0))</f>
        <v/>
      </c>
      <c r="T1366" s="1398" t="inlineStr">
        <is>
          <t>.</t>
        </is>
      </c>
      <c r="U1366" s="1399">
        <f>IF(raw[[#This Row],[wb]]="w",raw[[#This Row],[stay]]+U1365,U1365)</f>
        <v/>
      </c>
      <c r="V1366" s="1400">
        <f>IF(raw[[#This Row],[out]]=0,V1365,(raw[[#This Row],[out]]-E$5))</f>
        <v/>
      </c>
      <c r="W1366" s="1401">
        <f>U1366/V1366</f>
        <v/>
      </c>
      <c r="X1366" s="1392" t="n"/>
      <c r="Y1366" s="1392" t="n"/>
      <c r="Z1366" s="1392" t="n"/>
      <c r="AA1366" s="1392" t="n"/>
      <c r="AB1366" s="1392" t="n"/>
      <c r="AC1366" s="1392" t="n"/>
      <c r="AD1366" s="1392" t="n"/>
      <c r="AE1366" s="1392" t="n"/>
      <c r="AF1366" s="1392" t="n"/>
      <c r="AG1366" s="1392" t="n"/>
      <c r="AH1366" s="1392" t="n"/>
      <c r="AI1366" s="1392" t="n"/>
      <c r="AJ1366" s="1392" t="n"/>
      <c r="AK1366" s="1392" t="n"/>
      <c r="AL1366" s="1392" t="n"/>
      <c r="AM1366" s="1392" t="n"/>
      <c r="AN1366" s="1392" t="n"/>
      <c r="AO1366" s="1392" t="n"/>
      <c r="AP1366" s="1392" t="n"/>
      <c r="AQ1366" s="1392" t="n"/>
      <c r="AR1366" s="1422" t="n"/>
      <c r="AS1366" s="1422" t="n"/>
      <c r="AT1366" s="1392" t="n"/>
      <c r="AU1366" s="1392" t="n"/>
      <c r="AV1366" s="1392" t="n"/>
      <c r="AW1366" s="1392" t="n"/>
      <c r="AX1366" s="1392" t="n"/>
      <c r="AY1366" s="1392" t="n"/>
      <c r="AZ1366" s="1392" t="n"/>
      <c r="BA1366" s="1422" t="n"/>
      <c r="BB1366" s="1422" t="n"/>
      <c r="BC1366" s="1392" t="n"/>
      <c r="BD1366" s="1392" t="n"/>
      <c r="BE1366" s="1392" t="n"/>
      <c r="BF1366" s="1392" t="n"/>
      <c r="BG1366" s="1392" t="n"/>
      <c r="BH1366" s="1392" t="n"/>
      <c r="BI1366" s="1392" t="n"/>
      <c r="BJ1366" s="1392" t="n"/>
      <c r="BK1366" s="1392" t="n"/>
      <c r="BL1366" s="1392" t="n"/>
      <c r="BM1366" s="1392" t="n"/>
      <c r="BN1366" s="1392" t="n"/>
      <c r="BO1366" s="1392" t="n"/>
      <c r="BP1366" s="1392" t="n"/>
      <c r="BQ1366" s="1392" t="n"/>
      <c r="BR1366" s="1392" t="n"/>
      <c r="BS1366" s="1392" t="n"/>
      <c r="BT1366" s="1392" t="n"/>
      <c r="BU1366" s="1392" t="n"/>
      <c r="BV1366" s="1392" t="n"/>
      <c r="BW1366" s="1392" t="n"/>
      <c r="BX1366" s="1392" t="n"/>
      <c r="BY1366" s="1392" t="n"/>
      <c r="BZ1366" s="1392" t="n"/>
      <c r="CA1366" s="1392" t="n"/>
      <c r="CB1366" s="1392" t="n"/>
      <c r="CC1366" s="1392" t="n"/>
      <c r="CD1366" s="1392" t="n"/>
      <c r="CE1366" s="1392" t="n"/>
      <c r="CF1366" s="1392" t="n"/>
      <c r="CG1366" s="1392" t="n"/>
      <c r="CH1366" s="1392" t="n"/>
      <c r="CI1366" s="1392" t="n"/>
      <c r="CJ1366" s="1392" t="n"/>
      <c r="CK1366" s="1392" t="n"/>
      <c r="CL1366" s="1392" t="n"/>
    </row>
    <row r="1367">
      <c r="A1367" s="5" t="inlineStr">
        <is>
          <t>.</t>
        </is>
      </c>
      <c r="B1367" s="5" t="inlineStr">
        <is>
          <t>.</t>
        </is>
      </c>
      <c r="C1367" s="1378">
        <f>IF(raw[[#This Row],[city]]="","-",IF(raw[[#This Row],[city]]="TODAY","-",C1366+1))</f>
        <v/>
      </c>
      <c r="D1367" s="1393" t="inlineStr">
        <is>
          <t>Rio</t>
        </is>
      </c>
      <c r="E1367" s="1394" t="n">
        <v>42091</v>
      </c>
      <c r="F1367" s="1394" t="n">
        <v>42095</v>
      </c>
      <c r="G1367" s="1393" t="inlineStr">
        <is>
          <t>-</t>
        </is>
      </c>
      <c r="H1367" s="1393" t="inlineStr">
        <is>
          <t>Beatty</t>
        </is>
      </c>
      <c r="I1367" s="1393" t="inlineStr">
        <is>
          <t>Tatá/Venancio</t>
        </is>
      </c>
      <c r="J1367" s="1393" t="inlineStr">
        <is>
          <t>-</t>
        </is>
      </c>
      <c r="K1367" s="1395">
        <f>IF(raw[[#This Row],[city]]&lt;&gt;"",_xlfn.XLOOKUP($D1367,ccc[city],ccc[prov],"-"),"-")</f>
        <v/>
      </c>
      <c r="L1367" s="1395">
        <f>IF(raw[[#This Row],[city]]&lt;&gt;"",_xlfn.XLOOKUP($D1367,ccc[city],ccc[ctry],"-"),"-")</f>
        <v/>
      </c>
      <c r="M1367" s="1395">
        <f>IF(raw[[#This Row],[city]]&lt;&gt;"",_xlfn.XLOOKUP($D1367,ccc[city],ccc[cont],"-"),"-")</f>
        <v/>
      </c>
      <c r="N1367" s="1396">
        <f>IF(raw[[#This Row],[city]]="","-",IF(raw[[#This Row],[cont]]="B",raw[[#This Row],[cont]],"W"))</f>
        <v/>
      </c>
      <c r="O1367" s="1397">
        <f>IF(raw[[#This Row],[out]]=0,0,IF(raw[[#This Row],[out]]=raw[[#This Row],[in]],0.01,raw[[#This Row],[out]]-raw[[#This Row],[in]]))</f>
        <v/>
      </c>
      <c r="P1367" s="1397">
        <f>IF(raw[[#This Row],[in]]=0,0,MONTH(raw[[#This Row],[in]]))</f>
        <v/>
      </c>
      <c r="Q1367" s="1397">
        <f>IF(raw[[#This Row],[in]]=0,0,YEAR(raw[[#This Row],[in]]))</f>
        <v/>
      </c>
      <c r="R1367" s="1397">
        <f>INT(raw[[#This Row],[yr]]/10)*10</f>
        <v/>
      </c>
      <c r="S1367" s="1395">
        <f>IF(raw[[#This Row],[city]]="","-",IF(raw[[#This Row],[city]]&lt;&gt;_xlfn.XLOOKUP(raw[[#This Row],[home]],homes[home],homes[city],"-"),1,0))</f>
        <v/>
      </c>
      <c r="T1367" s="1398" t="inlineStr">
        <is>
          <t>.</t>
        </is>
      </c>
      <c r="U1367" s="1399">
        <f>IF(raw[[#This Row],[wb]]="w",raw[[#This Row],[stay]]+U1366,U1366)</f>
        <v/>
      </c>
      <c r="V1367" s="1400">
        <f>IF(raw[[#This Row],[out]]=0,V1366,(raw[[#This Row],[out]]-E$5))</f>
        <v/>
      </c>
      <c r="W1367" s="1401">
        <f>U1367/V1367</f>
        <v/>
      </c>
      <c r="X1367" s="1392" t="n"/>
      <c r="Y1367" s="1392" t="n"/>
      <c r="Z1367" s="1392" t="n"/>
      <c r="AA1367" s="1392" t="n"/>
      <c r="AB1367" s="1392" t="n"/>
      <c r="AC1367" s="1392" t="n"/>
      <c r="AD1367" s="1392" t="n"/>
      <c r="AE1367" s="1392" t="n"/>
      <c r="AF1367" s="1392" t="n"/>
      <c r="AG1367" s="1392" t="n"/>
      <c r="AH1367" s="1392" t="n"/>
      <c r="AI1367" s="1392" t="n"/>
      <c r="AJ1367" s="1392" t="n"/>
      <c r="AK1367" s="1392" t="n"/>
      <c r="AL1367" s="1392" t="n"/>
      <c r="AM1367" s="1392" t="n"/>
      <c r="AN1367" s="1392" t="n"/>
      <c r="AO1367" s="1392" t="n"/>
      <c r="AP1367" s="1392" t="n"/>
      <c r="AQ1367" s="1392" t="n"/>
      <c r="AR1367" s="1422" t="n"/>
      <c r="AS1367" s="1422" t="n"/>
      <c r="AT1367" s="1392" t="n"/>
      <c r="AU1367" s="1392" t="n"/>
      <c r="AV1367" s="1392" t="n"/>
      <c r="AW1367" s="1392" t="n"/>
      <c r="AX1367" s="1392" t="n"/>
      <c r="AY1367" s="1392" t="n"/>
      <c r="AZ1367" s="1392" t="n"/>
      <c r="BA1367" s="1422" t="n"/>
      <c r="BB1367" s="1422" t="n"/>
      <c r="BC1367" s="1392" t="n"/>
      <c r="BD1367" s="1392" t="n"/>
      <c r="BE1367" s="1392" t="n"/>
      <c r="BF1367" s="1392" t="n"/>
      <c r="BG1367" s="1392" t="n"/>
      <c r="BH1367" s="1392" t="n"/>
      <c r="BI1367" s="1392" t="n"/>
      <c r="BJ1367" s="1392" t="n"/>
      <c r="BK1367" s="1392" t="n"/>
      <c r="BL1367" s="1392" t="n"/>
      <c r="BM1367" s="1392" t="n"/>
      <c r="BN1367" s="1392" t="n"/>
      <c r="BO1367" s="1392" t="n"/>
      <c r="BP1367" s="1392" t="n"/>
      <c r="BQ1367" s="1392" t="n"/>
      <c r="BR1367" s="1392" t="n"/>
      <c r="BS1367" s="1392" t="n"/>
      <c r="BT1367" s="1392" t="n"/>
      <c r="BU1367" s="1392" t="n"/>
      <c r="BV1367" s="1392" t="n"/>
      <c r="BW1367" s="1392" t="n"/>
      <c r="BX1367" s="1392" t="n"/>
      <c r="BY1367" s="1392" t="n"/>
      <c r="BZ1367" s="1392" t="n"/>
      <c r="CA1367" s="1392" t="n"/>
      <c r="CB1367" s="1392" t="n"/>
      <c r="CC1367" s="1392" t="n"/>
      <c r="CD1367" s="1392" t="n"/>
      <c r="CE1367" s="1392" t="n"/>
      <c r="CF1367" s="1392" t="n"/>
      <c r="CG1367" s="1392" t="n"/>
      <c r="CH1367" s="1392" t="n"/>
      <c r="CI1367" s="1392" t="n"/>
      <c r="CJ1367" s="1392" t="n"/>
      <c r="CK1367" s="1392" t="n"/>
      <c r="CL1367" s="1392" t="n"/>
    </row>
    <row r="1368">
      <c r="A1368" s="5" t="inlineStr">
        <is>
          <t>.</t>
        </is>
      </c>
      <c r="B1368" s="5" t="inlineStr">
        <is>
          <t>.</t>
        </is>
      </c>
      <c r="C1368" s="1378">
        <f>IF(raw[[#This Row],[city]]="","-",IF(raw[[#This Row],[city]]="TODAY","-",C1367+1))</f>
        <v/>
      </c>
      <c r="D1368" s="1393" t="inlineStr">
        <is>
          <t>Rio</t>
        </is>
      </c>
      <c r="E1368" s="1394" t="n">
        <v>42095</v>
      </c>
      <c r="F1368" s="1394" t="n">
        <v>42100</v>
      </c>
      <c r="G1368" s="1393" t="n">
        <v>1</v>
      </c>
      <c r="H1368" s="1393" t="inlineStr">
        <is>
          <t>Beatty</t>
        </is>
      </c>
      <c r="I1368" s="1393" t="inlineStr">
        <is>
          <t>Tatá/Venancio</t>
        </is>
      </c>
      <c r="J1368" s="1393" t="inlineStr">
        <is>
          <t>-</t>
        </is>
      </c>
      <c r="K1368" s="1395">
        <f>IF(raw[[#This Row],[city]]&lt;&gt;"",_xlfn.XLOOKUP($D1368,ccc[city],ccc[prov],"-"),"-")</f>
        <v/>
      </c>
      <c r="L1368" s="1395">
        <f>IF(raw[[#This Row],[city]]&lt;&gt;"",_xlfn.XLOOKUP($D1368,ccc[city],ccc[ctry],"-"),"-")</f>
        <v/>
      </c>
      <c r="M1368" s="1395">
        <f>IF(raw[[#This Row],[city]]&lt;&gt;"",_xlfn.XLOOKUP($D1368,ccc[city],ccc[cont],"-"),"-")</f>
        <v/>
      </c>
      <c r="N1368" s="1396">
        <f>IF(raw[[#This Row],[city]]="","-",IF(raw[[#This Row],[cont]]="B",raw[[#This Row],[cont]],"W"))</f>
        <v/>
      </c>
      <c r="O1368" s="1397">
        <f>IF(raw[[#This Row],[out]]=0,0,IF(raw[[#This Row],[out]]=raw[[#This Row],[in]],0.01,raw[[#This Row],[out]]-raw[[#This Row],[in]]))</f>
        <v/>
      </c>
      <c r="P1368" s="1397">
        <f>IF(raw[[#This Row],[in]]=0,0,MONTH(raw[[#This Row],[in]]))</f>
        <v/>
      </c>
      <c r="Q1368" s="1397">
        <f>IF(raw[[#This Row],[in]]=0,0,YEAR(raw[[#This Row],[in]]))</f>
        <v/>
      </c>
      <c r="R1368" s="1397">
        <f>INT(raw[[#This Row],[yr]]/10)*10</f>
        <v/>
      </c>
      <c r="S1368" s="1395">
        <f>IF(raw[[#This Row],[city]]="","-",IF(raw[[#This Row],[city]]&lt;&gt;_xlfn.XLOOKUP(raw[[#This Row],[home]],homes[home],homes[city],"-"),1,0))</f>
        <v/>
      </c>
      <c r="T1368" s="1398" t="inlineStr">
        <is>
          <t>.</t>
        </is>
      </c>
      <c r="U1368" s="1399">
        <f>IF(raw[[#This Row],[wb]]="w",raw[[#This Row],[stay]]+U1367,U1367)</f>
        <v/>
      </c>
      <c r="V1368" s="1400">
        <f>IF(raw[[#This Row],[out]]=0,V1367,(raw[[#This Row],[out]]-E$5))</f>
        <v/>
      </c>
      <c r="W1368" s="1401">
        <f>U1368/V1368</f>
        <v/>
      </c>
      <c r="X1368" s="1392" t="n"/>
      <c r="Y1368" s="1392" t="n"/>
      <c r="Z1368" s="1392" t="n"/>
      <c r="AA1368" s="1392" t="n"/>
      <c r="AB1368" s="1392" t="n"/>
      <c r="AC1368" s="1392" t="n"/>
      <c r="AD1368" s="1392" t="n"/>
      <c r="AE1368" s="1392" t="n"/>
      <c r="AF1368" s="1392" t="n"/>
      <c r="AG1368" s="1392" t="n"/>
      <c r="AH1368" s="1392" t="n"/>
      <c r="AI1368" s="1392" t="n"/>
      <c r="AJ1368" s="1392" t="n"/>
      <c r="AK1368" s="1392" t="n"/>
      <c r="AL1368" s="1392" t="n"/>
      <c r="AM1368" s="1392" t="n"/>
      <c r="AN1368" s="1392" t="n"/>
      <c r="AO1368" s="1392" t="n"/>
      <c r="AP1368" s="1392" t="n"/>
      <c r="AQ1368" s="1392" t="n"/>
      <c r="AR1368" s="1422" t="n"/>
      <c r="AS1368" s="1422" t="n"/>
      <c r="AT1368" s="1392" t="n"/>
      <c r="AU1368" s="1392" t="n"/>
      <c r="AV1368" s="1392" t="n"/>
      <c r="AW1368" s="1392" t="n"/>
      <c r="AX1368" s="1392" t="n"/>
      <c r="AY1368" s="1392" t="n"/>
      <c r="AZ1368" s="1392" t="n"/>
      <c r="BA1368" s="1422" t="n"/>
      <c r="BB1368" s="1422" t="n"/>
      <c r="BC1368" s="1392" t="n"/>
      <c r="BD1368" s="1392" t="n"/>
      <c r="BE1368" s="1392" t="n"/>
      <c r="BF1368" s="1392" t="n"/>
      <c r="BG1368" s="1392" t="n"/>
      <c r="BH1368" s="1392" t="n"/>
      <c r="BI1368" s="1392" t="n"/>
      <c r="BJ1368" s="1392" t="n"/>
      <c r="BK1368" s="1392" t="n"/>
      <c r="BL1368" s="1392" t="n"/>
      <c r="BM1368" s="1392" t="n"/>
      <c r="BN1368" s="1392" t="n"/>
      <c r="BO1368" s="1392" t="n"/>
      <c r="BP1368" s="1392" t="n"/>
      <c r="BQ1368" s="1392" t="n"/>
      <c r="BR1368" s="1392" t="n"/>
      <c r="BS1368" s="1392" t="n"/>
      <c r="BT1368" s="1392" t="n"/>
      <c r="BU1368" s="1392" t="n"/>
      <c r="BV1368" s="1392" t="n"/>
      <c r="BW1368" s="1392" t="n"/>
      <c r="BX1368" s="1392" t="n"/>
      <c r="BY1368" s="1392" t="n"/>
      <c r="BZ1368" s="1392" t="n"/>
      <c r="CA1368" s="1392" t="n"/>
      <c r="CB1368" s="1392" t="n"/>
      <c r="CC1368" s="1392" t="n"/>
      <c r="CD1368" s="1392" t="n"/>
      <c r="CE1368" s="1392" t="n"/>
      <c r="CF1368" s="1392" t="n"/>
      <c r="CG1368" s="1392" t="n"/>
      <c r="CH1368" s="1392" t="n"/>
      <c r="CI1368" s="1392" t="n"/>
      <c r="CJ1368" s="1392" t="n"/>
      <c r="CK1368" s="1392" t="n"/>
      <c r="CL1368" s="1392" t="n"/>
    </row>
    <row r="1369">
      <c r="A1369" s="5" t="inlineStr">
        <is>
          <t>.</t>
        </is>
      </c>
      <c r="B1369" s="5" t="inlineStr">
        <is>
          <t>.</t>
        </is>
      </c>
      <c r="C1369" s="1378">
        <f>IF(raw[[#This Row],[city]]="","-",IF(raw[[#This Row],[city]]="TODAY","-",C1368+1))</f>
        <v/>
      </c>
      <c r="D1369" s="1393" t="inlineStr">
        <is>
          <t>SSA</t>
        </is>
      </c>
      <c r="E1369" s="1394" t="n">
        <v>42100</v>
      </c>
      <c r="F1369" s="1394" t="n">
        <v>42115</v>
      </c>
      <c r="G1369" s="1393" t="n">
        <v>1</v>
      </c>
      <c r="H1369" s="1393" t="inlineStr">
        <is>
          <t>Beatty</t>
        </is>
      </c>
      <c r="I1369" s="1393" t="inlineStr">
        <is>
          <t>Ondina</t>
        </is>
      </c>
      <c r="J1369" s="1393" t="inlineStr">
        <is>
          <t>-</t>
        </is>
      </c>
      <c r="K1369" s="1395">
        <f>IF(raw[[#This Row],[city]]&lt;&gt;"",_xlfn.XLOOKUP($D1369,ccc[city],ccc[prov],"-"),"-")</f>
        <v/>
      </c>
      <c r="L1369" s="1395">
        <f>IF(raw[[#This Row],[city]]&lt;&gt;"",_xlfn.XLOOKUP($D1369,ccc[city],ccc[ctry],"-"),"-")</f>
        <v/>
      </c>
      <c r="M1369" s="1395">
        <f>IF(raw[[#This Row],[city]]&lt;&gt;"",_xlfn.XLOOKUP($D1369,ccc[city],ccc[cont],"-"),"-")</f>
        <v/>
      </c>
      <c r="N1369" s="1396">
        <f>IF(raw[[#This Row],[city]]="","-",IF(raw[[#This Row],[cont]]="B",raw[[#This Row],[cont]],"W"))</f>
        <v/>
      </c>
      <c r="O1369" s="1397">
        <f>IF(raw[[#This Row],[out]]=0,0,IF(raw[[#This Row],[out]]=raw[[#This Row],[in]],0.01,raw[[#This Row],[out]]-raw[[#This Row],[in]]))</f>
        <v/>
      </c>
      <c r="P1369" s="1397">
        <f>IF(raw[[#This Row],[in]]=0,0,MONTH(raw[[#This Row],[in]]))</f>
        <v/>
      </c>
      <c r="Q1369" s="1397">
        <f>IF(raw[[#This Row],[in]]=0,0,YEAR(raw[[#This Row],[in]]))</f>
        <v/>
      </c>
      <c r="R1369" s="1397">
        <f>INT(raw[[#This Row],[yr]]/10)*10</f>
        <v/>
      </c>
      <c r="S1369" s="1395">
        <f>IF(raw[[#This Row],[city]]="","-",IF(raw[[#This Row],[city]]&lt;&gt;_xlfn.XLOOKUP(raw[[#This Row],[home]],homes[home],homes[city],"-"),1,0))</f>
        <v/>
      </c>
      <c r="T1369" s="1398" t="inlineStr">
        <is>
          <t>.</t>
        </is>
      </c>
      <c r="U1369" s="1399">
        <f>IF(raw[[#This Row],[wb]]="w",raw[[#This Row],[stay]]+U1368,U1368)</f>
        <v/>
      </c>
      <c r="V1369" s="1400">
        <f>IF(raw[[#This Row],[out]]=0,V1368,(raw[[#This Row],[out]]-E$5))</f>
        <v/>
      </c>
      <c r="W1369" s="1401">
        <f>U1369/V1369</f>
        <v/>
      </c>
      <c r="X1369" s="1392" t="n"/>
      <c r="Y1369" s="1392" t="n"/>
      <c r="Z1369" s="1392" t="n"/>
      <c r="AA1369" s="1392" t="n"/>
      <c r="AB1369" s="1392" t="n"/>
      <c r="AC1369" s="1392" t="n"/>
      <c r="AD1369" s="1392" t="n"/>
      <c r="AE1369" s="1392" t="n"/>
      <c r="AF1369" s="1392" t="n"/>
      <c r="AG1369" s="1392" t="n"/>
      <c r="AH1369" s="1392" t="n"/>
      <c r="AI1369" s="1392" t="n"/>
      <c r="AJ1369" s="1392" t="n"/>
      <c r="AK1369" s="1392" t="n"/>
      <c r="AL1369" s="1392" t="n"/>
      <c r="AM1369" s="1392" t="n"/>
      <c r="AN1369" s="1392" t="n"/>
      <c r="AO1369" s="1392" t="n"/>
      <c r="AP1369" s="1392" t="n"/>
      <c r="AQ1369" s="1392" t="n"/>
      <c r="AR1369" s="1422" t="n"/>
      <c r="AS1369" s="1422" t="n"/>
      <c r="AT1369" s="1392" t="n"/>
      <c r="AU1369" s="1392" t="n"/>
      <c r="AV1369" s="1392" t="n"/>
      <c r="AW1369" s="1392" t="n"/>
      <c r="AX1369" s="1392" t="n"/>
      <c r="AY1369" s="1392" t="n"/>
      <c r="AZ1369" s="1392" t="n"/>
      <c r="BA1369" s="1422" t="n"/>
      <c r="BB1369" s="1422" t="n"/>
      <c r="BC1369" s="1392" t="n"/>
      <c r="BD1369" s="1392" t="n"/>
      <c r="BE1369" s="1392" t="n"/>
      <c r="BF1369" s="1392" t="n"/>
      <c r="BG1369" s="1392" t="n"/>
      <c r="BH1369" s="1392" t="n"/>
      <c r="BI1369" s="1392" t="n"/>
      <c r="BJ1369" s="1392" t="n"/>
      <c r="BK1369" s="1392" t="n"/>
      <c r="BL1369" s="1392" t="n"/>
      <c r="BM1369" s="1392" t="n"/>
      <c r="BN1369" s="1392" t="n"/>
      <c r="BO1369" s="1392" t="n"/>
      <c r="BP1369" s="1392" t="n"/>
      <c r="BQ1369" s="1392" t="n"/>
      <c r="BR1369" s="1392" t="n"/>
      <c r="BS1369" s="1392" t="n"/>
      <c r="BT1369" s="1392" t="n"/>
      <c r="BU1369" s="1392" t="n"/>
      <c r="BV1369" s="1392" t="n"/>
      <c r="BW1369" s="1392" t="n"/>
      <c r="BX1369" s="1392" t="n"/>
      <c r="BY1369" s="1392" t="n"/>
      <c r="BZ1369" s="1392" t="n"/>
      <c r="CA1369" s="1392" t="n"/>
      <c r="CB1369" s="1392" t="n"/>
      <c r="CC1369" s="1392" t="n"/>
      <c r="CD1369" s="1392" t="n"/>
      <c r="CE1369" s="1392" t="n"/>
      <c r="CF1369" s="1392" t="n"/>
      <c r="CG1369" s="1392" t="n"/>
      <c r="CH1369" s="1392" t="n"/>
      <c r="CI1369" s="1392" t="n"/>
      <c r="CJ1369" s="1392" t="n"/>
      <c r="CK1369" s="1392" t="n"/>
      <c r="CL1369" s="1392" t="n"/>
    </row>
    <row r="1370">
      <c r="A1370" s="5" t="inlineStr">
        <is>
          <t>.</t>
        </is>
      </c>
      <c r="B1370" s="5" t="inlineStr">
        <is>
          <t>.</t>
        </is>
      </c>
      <c r="C1370" s="1378">
        <f>IF(raw[[#This Row],[city]]="","-",IF(raw[[#This Row],[city]]="TODAY","-",C1369+1))</f>
        <v/>
      </c>
      <c r="D1370" s="1393" t="inlineStr">
        <is>
          <t>AIR</t>
        </is>
      </c>
      <c r="E1370" s="1394" t="n">
        <v>42115</v>
      </c>
      <c r="F1370" s="1394" t="n">
        <v>42116</v>
      </c>
      <c r="G1370" s="1393" t="inlineStr">
        <is>
          <t>x</t>
        </is>
      </c>
      <c r="H1370" s="1393" t="inlineStr">
        <is>
          <t>Beatty</t>
        </is>
      </c>
      <c r="I1370" s="1393" t="inlineStr">
        <is>
          <t>-</t>
        </is>
      </c>
      <c r="J1370" s="1393" t="inlineStr">
        <is>
          <t>-</t>
        </is>
      </c>
      <c r="K1370" s="1395">
        <f>IF(raw[[#This Row],[city]]&lt;&gt;"",_xlfn.XLOOKUP($D1370,ccc[city],ccc[prov],"-"),"-")</f>
        <v/>
      </c>
      <c r="L1370" s="1395">
        <f>IF(raw[[#This Row],[city]]&lt;&gt;"",_xlfn.XLOOKUP($D1370,ccc[city],ccc[ctry],"-"),"-")</f>
        <v/>
      </c>
      <c r="M1370" s="1395">
        <f>IF(raw[[#This Row],[city]]&lt;&gt;"",_xlfn.XLOOKUP($D1370,ccc[city],ccc[cont],"-"),"-")</f>
        <v/>
      </c>
      <c r="N1370" s="1396">
        <f>IF(raw[[#This Row],[city]]="","-",IF(raw[[#This Row],[cont]]="B",raw[[#This Row],[cont]],"W"))</f>
        <v/>
      </c>
      <c r="O1370" s="1397">
        <f>IF(raw[[#This Row],[out]]=0,0,IF(raw[[#This Row],[out]]=raw[[#This Row],[in]],0.01,raw[[#This Row],[out]]-raw[[#This Row],[in]]))</f>
        <v/>
      </c>
      <c r="P1370" s="1397">
        <f>IF(raw[[#This Row],[in]]=0,0,MONTH(raw[[#This Row],[in]]))</f>
        <v/>
      </c>
      <c r="Q1370" s="1397">
        <f>IF(raw[[#This Row],[in]]=0,0,YEAR(raw[[#This Row],[in]]))</f>
        <v/>
      </c>
      <c r="R1370" s="1397">
        <f>INT(raw[[#This Row],[yr]]/10)*10</f>
        <v/>
      </c>
      <c r="S1370" s="1395">
        <f>IF(raw[[#This Row],[city]]="","-",IF(raw[[#This Row],[city]]&lt;&gt;_xlfn.XLOOKUP(raw[[#This Row],[home]],homes[home],homes[city],"-"),1,0))</f>
        <v/>
      </c>
      <c r="T1370" s="1398" t="inlineStr">
        <is>
          <t>.</t>
        </is>
      </c>
      <c r="U1370" s="1399">
        <f>IF(raw[[#This Row],[wb]]="w",raw[[#This Row],[stay]]+U1369,U1369)</f>
        <v/>
      </c>
      <c r="V1370" s="1400">
        <f>IF(raw[[#This Row],[out]]=0,V1369,(raw[[#This Row],[out]]-E$5))</f>
        <v/>
      </c>
      <c r="W1370" s="1401">
        <f>U1370/V1370</f>
        <v/>
      </c>
      <c r="X1370" s="1392" t="n"/>
      <c r="Y1370" s="1392" t="n"/>
      <c r="Z1370" s="1392" t="n"/>
      <c r="AA1370" s="1392" t="n"/>
      <c r="AB1370" s="1392" t="n"/>
      <c r="AC1370" s="1392" t="n"/>
      <c r="AD1370" s="1392" t="n"/>
      <c r="AE1370" s="1392" t="n"/>
      <c r="AF1370" s="1392" t="n"/>
      <c r="AG1370" s="1392" t="n"/>
      <c r="AH1370" s="1392" t="n"/>
      <c r="AI1370" s="1392" t="n"/>
      <c r="AJ1370" s="1392" t="n"/>
      <c r="AK1370" s="1392" t="n"/>
      <c r="AL1370" s="1392" t="n"/>
      <c r="AM1370" s="1392" t="n"/>
      <c r="AN1370" s="1392" t="n"/>
      <c r="AO1370" s="1392" t="n"/>
      <c r="AP1370" s="1392" t="n"/>
      <c r="AQ1370" s="1392" t="n"/>
      <c r="AR1370" s="1422" t="n"/>
      <c r="AS1370" s="1422" t="n"/>
      <c r="AT1370" s="1392" t="n"/>
      <c r="AU1370" s="1392" t="n"/>
      <c r="AV1370" s="1392" t="n"/>
      <c r="AW1370" s="1392" t="n"/>
      <c r="AX1370" s="1392" t="n"/>
      <c r="AY1370" s="1392" t="n"/>
      <c r="AZ1370" s="1392" t="n"/>
      <c r="BA1370" s="1422" t="n"/>
      <c r="BB1370" s="1422" t="n"/>
      <c r="BC1370" s="1392" t="n"/>
      <c r="BD1370" s="1392" t="n"/>
      <c r="BE1370" s="1392" t="n"/>
      <c r="BF1370" s="1392" t="n"/>
      <c r="BG1370" s="1392" t="n"/>
      <c r="BH1370" s="1392" t="n"/>
      <c r="BI1370" s="1392" t="n"/>
      <c r="BJ1370" s="1392" t="n"/>
      <c r="BK1370" s="1392" t="n"/>
      <c r="BL1370" s="1392" t="n"/>
      <c r="BM1370" s="1392" t="n"/>
      <c r="BN1370" s="1392" t="n"/>
      <c r="BO1370" s="1392" t="n"/>
      <c r="BP1370" s="1392" t="n"/>
      <c r="BQ1370" s="1392" t="n"/>
      <c r="BR1370" s="1392" t="n"/>
      <c r="BS1370" s="1392" t="n"/>
      <c r="BT1370" s="1392" t="n"/>
      <c r="BU1370" s="1392" t="n"/>
      <c r="BV1370" s="1392" t="n"/>
      <c r="BW1370" s="1392" t="n"/>
      <c r="BX1370" s="1392" t="n"/>
      <c r="BY1370" s="1392" t="n"/>
      <c r="BZ1370" s="1392" t="n"/>
      <c r="CA1370" s="1392" t="n"/>
      <c r="CB1370" s="1392" t="n"/>
      <c r="CC1370" s="1392" t="n"/>
      <c r="CD1370" s="1392" t="n"/>
      <c r="CE1370" s="1392" t="n"/>
      <c r="CF1370" s="1392" t="n"/>
      <c r="CG1370" s="1392" t="n"/>
      <c r="CH1370" s="1392" t="n"/>
      <c r="CI1370" s="1392" t="n"/>
      <c r="CJ1370" s="1392" t="n"/>
      <c r="CK1370" s="1392" t="n"/>
      <c r="CL1370" s="1392" t="n"/>
    </row>
    <row r="1371">
      <c r="A1371" s="5" t="inlineStr">
        <is>
          <t>.</t>
        </is>
      </c>
      <c r="B1371" s="5" t="inlineStr">
        <is>
          <t>.</t>
        </is>
      </c>
      <c r="C1371" s="1378">
        <f>IF(raw[[#This Row],[city]]="","-",IF(raw[[#This Row],[city]]="TODAY","-",C1370+1))</f>
        <v/>
      </c>
      <c r="D1371" s="1393" t="inlineStr">
        <is>
          <t>Miami</t>
        </is>
      </c>
      <c r="E1371" s="1394" t="n">
        <v>42116</v>
      </c>
      <c r="F1371" s="1394" t="n">
        <v>42116</v>
      </c>
      <c r="G1371" s="1393" t="n">
        <v>0.01</v>
      </c>
      <c r="H1371" s="1393" t="inlineStr">
        <is>
          <t>Beatty</t>
        </is>
      </c>
      <c r="I1371" s="1393" t="inlineStr">
        <is>
          <t>-</t>
        </is>
      </c>
      <c r="J1371" s="1393" t="inlineStr">
        <is>
          <t>-</t>
        </is>
      </c>
      <c r="K1371" s="1395">
        <f>IF(raw[[#This Row],[city]]&lt;&gt;"",_xlfn.XLOOKUP($D1371,ccc[city],ccc[prov],"-"),"-")</f>
        <v/>
      </c>
      <c r="L1371" s="1395">
        <f>IF(raw[[#This Row],[city]]&lt;&gt;"",_xlfn.XLOOKUP($D1371,ccc[city],ccc[ctry],"-"),"-")</f>
        <v/>
      </c>
      <c r="M1371" s="1395">
        <f>IF(raw[[#This Row],[city]]&lt;&gt;"",_xlfn.XLOOKUP($D1371,ccc[city],ccc[cont],"-"),"-")</f>
        <v/>
      </c>
      <c r="N1371" s="1396">
        <f>IF(raw[[#This Row],[city]]="","-",IF(raw[[#This Row],[cont]]="B",raw[[#This Row],[cont]],"W"))</f>
        <v/>
      </c>
      <c r="O1371" s="1397">
        <f>IF(raw[[#This Row],[out]]=0,0,IF(raw[[#This Row],[out]]=raw[[#This Row],[in]],0.01,raw[[#This Row],[out]]-raw[[#This Row],[in]]))</f>
        <v/>
      </c>
      <c r="P1371" s="1397">
        <f>IF(raw[[#This Row],[in]]=0,0,MONTH(raw[[#This Row],[in]]))</f>
        <v/>
      </c>
      <c r="Q1371" s="1397">
        <f>IF(raw[[#This Row],[in]]=0,0,YEAR(raw[[#This Row],[in]]))</f>
        <v/>
      </c>
      <c r="R1371" s="1397">
        <f>INT(raw[[#This Row],[yr]]/10)*10</f>
        <v/>
      </c>
      <c r="S1371" s="1395">
        <f>IF(raw[[#This Row],[city]]="","-",IF(raw[[#This Row],[city]]&lt;&gt;_xlfn.XLOOKUP(raw[[#This Row],[home]],homes[home],homes[city],"-"),1,0))</f>
        <v/>
      </c>
      <c r="T1371" s="1398" t="inlineStr">
        <is>
          <t>.</t>
        </is>
      </c>
      <c r="U1371" s="1399">
        <f>IF(raw[[#This Row],[wb]]="w",raw[[#This Row],[stay]]+U1370,U1370)</f>
        <v/>
      </c>
      <c r="V1371" s="1400">
        <f>IF(raw[[#This Row],[out]]=0,V1370,(raw[[#This Row],[out]]-E$5))</f>
        <v/>
      </c>
      <c r="W1371" s="1401">
        <f>U1371/V1371</f>
        <v/>
      </c>
      <c r="X1371" s="1392" t="n"/>
      <c r="Y1371" s="1392" t="n"/>
      <c r="Z1371" s="1392" t="n"/>
      <c r="AA1371" s="1392" t="n"/>
      <c r="AB1371" s="1392" t="n"/>
      <c r="AC1371" s="1392" t="n"/>
      <c r="AD1371" s="1392" t="n"/>
      <c r="AE1371" s="1392" t="n"/>
      <c r="AF1371" s="1392" t="n"/>
      <c r="AG1371" s="1392" t="n"/>
      <c r="AH1371" s="1392" t="n"/>
      <c r="AI1371" s="1392" t="n"/>
      <c r="AJ1371" s="1392" t="n"/>
      <c r="AK1371" s="1392" t="n"/>
      <c r="AL1371" s="1392" t="n"/>
      <c r="AM1371" s="1392" t="n"/>
      <c r="AN1371" s="1392" t="n"/>
      <c r="AO1371" s="1392" t="n"/>
      <c r="AP1371" s="1392" t="n"/>
      <c r="AQ1371" s="1392" t="n"/>
      <c r="AR1371" s="1422" t="n"/>
      <c r="AS1371" s="1422" t="n"/>
      <c r="AT1371" s="1392" t="n"/>
      <c r="AU1371" s="1392" t="n"/>
      <c r="AV1371" s="1392" t="n"/>
      <c r="AW1371" s="1392" t="n"/>
      <c r="AX1371" s="1392" t="n"/>
      <c r="AY1371" s="1392" t="n"/>
      <c r="AZ1371" s="1392" t="n"/>
      <c r="BA1371" s="1422" t="n"/>
      <c r="BB1371" s="1422" t="n"/>
      <c r="BC1371" s="1392" t="n"/>
      <c r="BD1371" s="1392" t="n"/>
      <c r="BE1371" s="1392" t="n"/>
      <c r="BF1371" s="1392" t="n"/>
      <c r="BG1371" s="1392" t="n"/>
      <c r="BH1371" s="1392" t="n"/>
      <c r="BI1371" s="1392" t="n"/>
      <c r="BJ1371" s="1392" t="n"/>
      <c r="BK1371" s="1392" t="n"/>
      <c r="BL1371" s="1392" t="n"/>
      <c r="BM1371" s="1392" t="n"/>
      <c r="BN1371" s="1392" t="n"/>
      <c r="BO1371" s="1392" t="n"/>
      <c r="BP1371" s="1392" t="n"/>
      <c r="BQ1371" s="1392" t="n"/>
      <c r="BR1371" s="1392" t="n"/>
      <c r="BS1371" s="1392" t="n"/>
      <c r="BT1371" s="1392" t="n"/>
      <c r="BU1371" s="1392" t="n"/>
      <c r="BV1371" s="1392" t="n"/>
      <c r="BW1371" s="1392" t="n"/>
      <c r="BX1371" s="1392" t="n"/>
      <c r="BY1371" s="1392" t="n"/>
      <c r="BZ1371" s="1392" t="n"/>
      <c r="CA1371" s="1392" t="n"/>
      <c r="CB1371" s="1392" t="n"/>
      <c r="CC1371" s="1392" t="n"/>
      <c r="CD1371" s="1392" t="n"/>
      <c r="CE1371" s="1392" t="n"/>
      <c r="CF1371" s="1392" t="n"/>
      <c r="CG1371" s="1392" t="n"/>
      <c r="CH1371" s="1392" t="n"/>
      <c r="CI1371" s="1392" t="n"/>
      <c r="CJ1371" s="1392" t="n"/>
      <c r="CK1371" s="1392" t="n"/>
      <c r="CL1371" s="1392" t="n"/>
    </row>
    <row r="1372">
      <c r="A1372" s="5" t="inlineStr">
        <is>
          <t>.</t>
        </is>
      </c>
      <c r="B1372" s="5" t="inlineStr">
        <is>
          <t>.</t>
        </is>
      </c>
      <c r="C1372" s="1378">
        <f>IF(raw[[#This Row],[city]]="","-",IF(raw[[#This Row],[city]]="TODAY","-",C1371+1))</f>
        <v/>
      </c>
      <c r="D1372" s="1393" t="inlineStr">
        <is>
          <t>Montreal</t>
        </is>
      </c>
      <c r="E1372" s="1394" t="n">
        <v>42116</v>
      </c>
      <c r="F1372" s="1394" t="n">
        <v>42125</v>
      </c>
      <c r="G1372" s="1393" t="inlineStr">
        <is>
          <t>-</t>
        </is>
      </c>
      <c r="H1372" s="1393" t="inlineStr">
        <is>
          <t>Beatty</t>
        </is>
      </c>
      <c r="I1372" s="1393" t="inlineStr">
        <is>
          <t>-</t>
        </is>
      </c>
      <c r="J1372" s="1393" t="inlineStr">
        <is>
          <t>-</t>
        </is>
      </c>
      <c r="K1372" s="1395">
        <f>IF(raw[[#This Row],[city]]&lt;&gt;"",_xlfn.XLOOKUP($D1372,ccc[city],ccc[prov],"-"),"-")</f>
        <v/>
      </c>
      <c r="L1372" s="1395">
        <f>IF(raw[[#This Row],[city]]&lt;&gt;"",_xlfn.XLOOKUP($D1372,ccc[city],ccc[ctry],"-"),"-")</f>
        <v/>
      </c>
      <c r="M1372" s="1395">
        <f>IF(raw[[#This Row],[city]]&lt;&gt;"",_xlfn.XLOOKUP($D1372,ccc[city],ccc[cont],"-"),"-")</f>
        <v/>
      </c>
      <c r="N1372" s="1396">
        <f>IF(raw[[#This Row],[city]]="","-",IF(raw[[#This Row],[cont]]="B",raw[[#This Row],[cont]],"W"))</f>
        <v/>
      </c>
      <c r="O1372" s="1397">
        <f>IF(raw[[#This Row],[out]]=0,0,IF(raw[[#This Row],[out]]=raw[[#This Row],[in]],0.01,raw[[#This Row],[out]]-raw[[#This Row],[in]]))</f>
        <v/>
      </c>
      <c r="P1372" s="1397">
        <f>IF(raw[[#This Row],[in]]=0,0,MONTH(raw[[#This Row],[in]]))</f>
        <v/>
      </c>
      <c r="Q1372" s="1397">
        <f>IF(raw[[#This Row],[in]]=0,0,YEAR(raw[[#This Row],[in]]))</f>
        <v/>
      </c>
      <c r="R1372" s="1397">
        <f>INT(raw[[#This Row],[yr]]/10)*10</f>
        <v/>
      </c>
      <c r="S1372" s="1395">
        <f>IF(raw[[#This Row],[city]]="","-",IF(raw[[#This Row],[city]]&lt;&gt;_xlfn.XLOOKUP(raw[[#This Row],[home]],homes[home],homes[city],"-"),1,0))</f>
        <v/>
      </c>
      <c r="T1372" s="1398" t="inlineStr">
        <is>
          <t>.</t>
        </is>
      </c>
      <c r="U1372" s="1399">
        <f>IF(raw[[#This Row],[wb]]="w",raw[[#This Row],[stay]]+U1371,U1371)</f>
        <v/>
      </c>
      <c r="V1372" s="1400">
        <f>IF(raw[[#This Row],[out]]=0,V1371,(raw[[#This Row],[out]]-E$5))</f>
        <v/>
      </c>
      <c r="W1372" s="1401">
        <f>U1372/V1372</f>
        <v/>
      </c>
      <c r="X1372" s="1392" t="n"/>
      <c r="Y1372" s="1392" t="n"/>
      <c r="Z1372" s="1392" t="n"/>
      <c r="AA1372" s="1392" t="n"/>
      <c r="AB1372" s="1392" t="n"/>
      <c r="AC1372" s="1392" t="n"/>
      <c r="AD1372" s="1392" t="n"/>
      <c r="AE1372" s="1392" t="n"/>
      <c r="AF1372" s="1392" t="n"/>
      <c r="AG1372" s="1392" t="n"/>
      <c r="AH1372" s="1392" t="n"/>
      <c r="AI1372" s="1392" t="n"/>
      <c r="AJ1372" s="1392" t="n"/>
      <c r="AK1372" s="1392" t="n"/>
      <c r="AL1372" s="1392" t="n"/>
      <c r="AM1372" s="1392" t="n"/>
      <c r="AN1372" s="1392" t="n"/>
      <c r="AO1372" s="1392" t="n"/>
      <c r="AP1372" s="1392" t="n"/>
      <c r="AQ1372" s="1392" t="n"/>
      <c r="AR1372" s="1422" t="n"/>
      <c r="AS1372" s="1422" t="n"/>
      <c r="AT1372" s="1392" t="n"/>
      <c r="AU1372" s="1392" t="n"/>
      <c r="AV1372" s="1392" t="n"/>
      <c r="AW1372" s="1392" t="n"/>
      <c r="AX1372" s="1392" t="n"/>
      <c r="AY1372" s="1392" t="n"/>
      <c r="AZ1372" s="1392" t="n"/>
      <c r="BA1372" s="1422" t="n"/>
      <c r="BB1372" s="1422" t="n"/>
      <c r="BC1372" s="1392" t="n"/>
      <c r="BD1372" s="1392" t="n"/>
      <c r="BE1372" s="1392" t="n"/>
      <c r="BF1372" s="1392" t="n"/>
      <c r="BG1372" s="1392" t="n"/>
      <c r="BH1372" s="1392" t="n"/>
      <c r="BI1372" s="1392" t="n"/>
      <c r="BJ1372" s="1392" t="n"/>
      <c r="BK1372" s="1392" t="n"/>
      <c r="BL1372" s="1392" t="n"/>
      <c r="BM1372" s="1392" t="n"/>
      <c r="BN1372" s="1392" t="n"/>
      <c r="BO1372" s="1392" t="n"/>
      <c r="BP1372" s="1392" t="n"/>
      <c r="BQ1372" s="1392" t="n"/>
      <c r="BR1372" s="1392" t="n"/>
      <c r="BS1372" s="1392" t="n"/>
      <c r="BT1372" s="1392" t="n"/>
      <c r="BU1372" s="1392" t="n"/>
      <c r="BV1372" s="1392" t="n"/>
      <c r="BW1372" s="1392" t="n"/>
      <c r="BX1372" s="1392" t="n"/>
      <c r="BY1372" s="1392" t="n"/>
      <c r="BZ1372" s="1392" t="n"/>
      <c r="CA1372" s="1392" t="n"/>
      <c r="CB1372" s="1392" t="n"/>
      <c r="CC1372" s="1392" t="n"/>
      <c r="CD1372" s="1392" t="n"/>
      <c r="CE1372" s="1392" t="n"/>
      <c r="CF1372" s="1392" t="n"/>
      <c r="CG1372" s="1392" t="n"/>
      <c r="CH1372" s="1392" t="n"/>
      <c r="CI1372" s="1392" t="n"/>
      <c r="CJ1372" s="1392" t="n"/>
      <c r="CK1372" s="1392" t="n"/>
      <c r="CL1372" s="1392" t="n"/>
    </row>
    <row r="1373">
      <c r="A1373" s="5" t="inlineStr">
        <is>
          <t>.</t>
        </is>
      </c>
      <c r="B1373" s="5" t="inlineStr">
        <is>
          <t>.</t>
        </is>
      </c>
      <c r="C1373" s="1378">
        <f>IF(raw[[#This Row],[city]]="","-",IF(raw[[#This Row],[city]]="TODAY","-",C1372+1))</f>
        <v/>
      </c>
      <c r="D1373" s="1393" t="inlineStr">
        <is>
          <t>Montreal</t>
        </is>
      </c>
      <c r="E1373" s="1394" t="n">
        <v>42125</v>
      </c>
      <c r="F1373" s="1394" t="n">
        <v>42149</v>
      </c>
      <c r="G1373" s="1393" t="inlineStr">
        <is>
          <t>-</t>
        </is>
      </c>
      <c r="H1373" s="1393" t="inlineStr">
        <is>
          <t>Beatty</t>
        </is>
      </c>
      <c r="I1373" s="1393" t="inlineStr">
        <is>
          <t>-</t>
        </is>
      </c>
      <c r="J1373" s="1393" t="inlineStr">
        <is>
          <t>-</t>
        </is>
      </c>
      <c r="K1373" s="1395">
        <f>IF(raw[[#This Row],[city]]&lt;&gt;"",_xlfn.XLOOKUP($D1373,ccc[city],ccc[prov],"-"),"-")</f>
        <v/>
      </c>
      <c r="L1373" s="1395">
        <f>IF(raw[[#This Row],[city]]&lt;&gt;"",_xlfn.XLOOKUP($D1373,ccc[city],ccc[ctry],"-"),"-")</f>
        <v/>
      </c>
      <c r="M1373" s="1395">
        <f>IF(raw[[#This Row],[city]]&lt;&gt;"",_xlfn.XLOOKUP($D1373,ccc[city],ccc[cont],"-"),"-")</f>
        <v/>
      </c>
      <c r="N1373" s="1396">
        <f>IF(raw[[#This Row],[city]]="","-",IF(raw[[#This Row],[cont]]="B",raw[[#This Row],[cont]],"W"))</f>
        <v/>
      </c>
      <c r="O1373" s="1397">
        <f>IF(raw[[#This Row],[out]]=0,0,IF(raw[[#This Row],[out]]=raw[[#This Row],[in]],0.01,raw[[#This Row],[out]]-raw[[#This Row],[in]]))</f>
        <v/>
      </c>
      <c r="P1373" s="1397">
        <f>IF(raw[[#This Row],[in]]=0,0,MONTH(raw[[#This Row],[in]]))</f>
        <v/>
      </c>
      <c r="Q1373" s="1397">
        <f>IF(raw[[#This Row],[in]]=0,0,YEAR(raw[[#This Row],[in]]))</f>
        <v/>
      </c>
      <c r="R1373" s="1397">
        <f>INT(raw[[#This Row],[yr]]/10)*10</f>
        <v/>
      </c>
      <c r="S1373" s="1395">
        <f>IF(raw[[#This Row],[city]]="","-",IF(raw[[#This Row],[city]]&lt;&gt;_xlfn.XLOOKUP(raw[[#This Row],[home]],homes[home],homes[city],"-"),1,0))</f>
        <v/>
      </c>
      <c r="T1373" s="1398" t="inlineStr">
        <is>
          <t>.</t>
        </is>
      </c>
      <c r="U1373" s="1399">
        <f>IF(raw[[#This Row],[wb]]="w",raw[[#This Row],[stay]]+U1372,U1372)</f>
        <v/>
      </c>
      <c r="V1373" s="1400">
        <f>IF(raw[[#This Row],[out]]=0,V1372,(raw[[#This Row],[out]]-E$5))</f>
        <v/>
      </c>
      <c r="W1373" s="1401">
        <f>U1373/V1373</f>
        <v/>
      </c>
      <c r="X1373" s="1392" t="n"/>
      <c r="Y1373" s="1392" t="n"/>
      <c r="Z1373" s="1392" t="n"/>
      <c r="AA1373" s="1392" t="n"/>
      <c r="AB1373" s="1392" t="n"/>
      <c r="AC1373" s="1392" t="n"/>
      <c r="AD1373" s="1392" t="n"/>
      <c r="AE1373" s="1392" t="n"/>
      <c r="AF1373" s="1392" t="n"/>
      <c r="AG1373" s="1392" t="n"/>
      <c r="AH1373" s="1392" t="n"/>
      <c r="AI1373" s="1392" t="n"/>
      <c r="AJ1373" s="1392" t="n"/>
      <c r="AK1373" s="1392" t="n"/>
      <c r="AL1373" s="1392" t="n"/>
      <c r="AM1373" s="1392" t="n"/>
      <c r="AN1373" s="1392" t="n"/>
      <c r="AO1373" s="1392" t="n"/>
      <c r="AP1373" s="1392" t="n"/>
      <c r="AQ1373" s="1392" t="n"/>
      <c r="AR1373" s="1422" t="n"/>
      <c r="AS1373" s="1422" t="n"/>
      <c r="AT1373" s="1392" t="n"/>
      <c r="AU1373" s="1392" t="n"/>
      <c r="AV1373" s="1392" t="n"/>
      <c r="AW1373" s="1392" t="n"/>
      <c r="AX1373" s="1392" t="n"/>
      <c r="AY1373" s="1392" t="n"/>
      <c r="AZ1373" s="1392" t="n"/>
      <c r="BA1373" s="1422" t="n"/>
      <c r="BB1373" s="1422" t="n"/>
      <c r="BC1373" s="1392" t="n"/>
      <c r="BD1373" s="1392" t="n"/>
      <c r="BE1373" s="1392" t="n"/>
      <c r="BF1373" s="1392" t="n"/>
      <c r="BG1373" s="1392" t="n"/>
      <c r="BH1373" s="1392" t="n"/>
      <c r="BI1373" s="1392" t="n"/>
      <c r="BJ1373" s="1392" t="n"/>
      <c r="BK1373" s="1392" t="n"/>
      <c r="BL1373" s="1392" t="n"/>
      <c r="BM1373" s="1392" t="n"/>
      <c r="BN1373" s="1392" t="n"/>
      <c r="BO1373" s="1392" t="n"/>
      <c r="BP1373" s="1392" t="n"/>
      <c r="BQ1373" s="1392" t="n"/>
      <c r="BR1373" s="1392" t="n"/>
      <c r="BS1373" s="1392" t="n"/>
      <c r="BT1373" s="1392" t="n"/>
      <c r="BU1373" s="1392" t="n"/>
      <c r="BV1373" s="1392" t="n"/>
      <c r="BW1373" s="1392" t="n"/>
      <c r="BX1373" s="1392" t="n"/>
      <c r="BY1373" s="1392" t="n"/>
      <c r="BZ1373" s="1392" t="n"/>
      <c r="CA1373" s="1392" t="n"/>
      <c r="CB1373" s="1392" t="n"/>
      <c r="CC1373" s="1392" t="n"/>
      <c r="CD1373" s="1392" t="n"/>
      <c r="CE1373" s="1392" t="n"/>
      <c r="CF1373" s="1392" t="n"/>
      <c r="CG1373" s="1392" t="n"/>
      <c r="CH1373" s="1392" t="n"/>
      <c r="CI1373" s="1392" t="n"/>
      <c r="CJ1373" s="1392" t="n"/>
      <c r="CK1373" s="1392" t="n"/>
      <c r="CL1373" s="1392" t="n"/>
    </row>
    <row r="1374">
      <c r="A1374" s="5" t="inlineStr">
        <is>
          <t>.</t>
        </is>
      </c>
      <c r="B1374" s="5" t="inlineStr">
        <is>
          <t>.</t>
        </is>
      </c>
      <c r="C1374" s="1378">
        <f>IF(raw[[#This Row],[city]]="","-",IF(raw[[#This Row],[city]]="TODAY","-",C1373+1))</f>
        <v/>
      </c>
      <c r="D1374" s="1393" t="inlineStr">
        <is>
          <t>Queensbury</t>
        </is>
      </c>
      <c r="E1374" s="1394" t="n">
        <v>42149</v>
      </c>
      <c r="F1374" s="1394" t="n">
        <v>42151</v>
      </c>
      <c r="G1374" s="1393" t="inlineStr">
        <is>
          <t>-</t>
        </is>
      </c>
      <c r="H1374" s="1393" t="inlineStr">
        <is>
          <t>Beatty</t>
        </is>
      </c>
      <c r="I1374" s="1393" t="inlineStr">
        <is>
          <t>-</t>
        </is>
      </c>
      <c r="J1374" s="1393" t="inlineStr">
        <is>
          <t>-</t>
        </is>
      </c>
      <c r="K1374" s="1395">
        <f>IF(raw[[#This Row],[city]]&lt;&gt;"",_xlfn.XLOOKUP($D1374,ccc[city],ccc[prov],"-"),"-")</f>
        <v/>
      </c>
      <c r="L1374" s="1395">
        <f>IF(raw[[#This Row],[city]]&lt;&gt;"",_xlfn.XLOOKUP($D1374,ccc[city],ccc[ctry],"-"),"-")</f>
        <v/>
      </c>
      <c r="M1374" s="1395">
        <f>IF(raw[[#This Row],[city]]&lt;&gt;"",_xlfn.XLOOKUP($D1374,ccc[city],ccc[cont],"-"),"-")</f>
        <v/>
      </c>
      <c r="N1374" s="1396">
        <f>IF(raw[[#This Row],[city]]="","-",IF(raw[[#This Row],[cont]]="B",raw[[#This Row],[cont]],"W"))</f>
        <v/>
      </c>
      <c r="O1374" s="1397">
        <f>IF(raw[[#This Row],[out]]=0,0,IF(raw[[#This Row],[out]]=raw[[#This Row],[in]],0.01,raw[[#This Row],[out]]-raw[[#This Row],[in]]))</f>
        <v/>
      </c>
      <c r="P1374" s="1397">
        <f>IF(raw[[#This Row],[in]]=0,0,MONTH(raw[[#This Row],[in]]))</f>
        <v/>
      </c>
      <c r="Q1374" s="1397">
        <f>IF(raw[[#This Row],[in]]=0,0,YEAR(raw[[#This Row],[in]]))</f>
        <v/>
      </c>
      <c r="R1374" s="1397">
        <f>INT(raw[[#This Row],[yr]]/10)*10</f>
        <v/>
      </c>
      <c r="S1374" s="1395">
        <f>IF(raw[[#This Row],[city]]="","-",IF(raw[[#This Row],[city]]&lt;&gt;_xlfn.XLOOKUP(raw[[#This Row],[home]],homes[home],homes[city],"-"),1,0))</f>
        <v/>
      </c>
      <c r="T1374" s="1398" t="inlineStr">
        <is>
          <t>.</t>
        </is>
      </c>
      <c r="U1374" s="1399">
        <f>IF(raw[[#This Row],[wb]]="w",raw[[#This Row],[stay]]+U1373,U1373)</f>
        <v/>
      </c>
      <c r="V1374" s="1400">
        <f>IF(raw[[#This Row],[out]]=0,V1373,(raw[[#This Row],[out]]-E$5))</f>
        <v/>
      </c>
      <c r="W1374" s="1401">
        <f>U1374/V1374</f>
        <v/>
      </c>
      <c r="X1374" s="1392" t="n"/>
      <c r="Y1374" s="1392" t="n"/>
      <c r="Z1374" s="1392" t="n"/>
      <c r="AA1374" s="1392" t="n"/>
      <c r="AB1374" s="1392" t="n"/>
      <c r="AC1374" s="1392" t="n"/>
      <c r="AD1374" s="1392" t="n"/>
      <c r="AE1374" s="1392" t="n"/>
      <c r="AF1374" s="1392" t="n"/>
      <c r="AG1374" s="1392" t="n"/>
      <c r="AH1374" s="1392" t="n"/>
      <c r="AI1374" s="1392" t="n"/>
      <c r="AJ1374" s="1392" t="n"/>
      <c r="AK1374" s="1392" t="n"/>
      <c r="AL1374" s="1392" t="n"/>
      <c r="AM1374" s="1392" t="n"/>
      <c r="AN1374" s="1392" t="n"/>
      <c r="AO1374" s="1392" t="n"/>
      <c r="AP1374" s="1392" t="n"/>
      <c r="AQ1374" s="1392" t="n"/>
      <c r="AR1374" s="1422" t="n"/>
      <c r="AS1374" s="1422" t="n"/>
      <c r="AT1374" s="1392" t="n"/>
      <c r="AU1374" s="1392" t="n"/>
      <c r="AV1374" s="1392" t="n"/>
      <c r="AW1374" s="1392" t="n"/>
      <c r="AX1374" s="1392" t="n"/>
      <c r="AY1374" s="1392" t="n"/>
      <c r="AZ1374" s="1392" t="n"/>
      <c r="BA1374" s="1422" t="n"/>
      <c r="BB1374" s="1422" t="n"/>
      <c r="BC1374" s="1392" t="n"/>
      <c r="BD1374" s="1392" t="n"/>
      <c r="BE1374" s="1392" t="n"/>
      <c r="BF1374" s="1392" t="n"/>
      <c r="BG1374" s="1392" t="n"/>
      <c r="BH1374" s="1392" t="n"/>
      <c r="BI1374" s="1392" t="n"/>
      <c r="BJ1374" s="1392" t="n"/>
      <c r="BK1374" s="1392" t="n"/>
      <c r="BL1374" s="1392" t="n"/>
      <c r="BM1374" s="1392" t="n"/>
      <c r="BN1374" s="1392" t="n"/>
      <c r="BO1374" s="1392" t="n"/>
      <c r="BP1374" s="1392" t="n"/>
      <c r="BQ1374" s="1392" t="n"/>
      <c r="BR1374" s="1392" t="n"/>
      <c r="BS1374" s="1392" t="n"/>
      <c r="BT1374" s="1392" t="n"/>
      <c r="BU1374" s="1392" t="n"/>
      <c r="BV1374" s="1392" t="n"/>
      <c r="BW1374" s="1392" t="n"/>
      <c r="BX1374" s="1392" t="n"/>
      <c r="BY1374" s="1392" t="n"/>
      <c r="BZ1374" s="1392" t="n"/>
      <c r="CA1374" s="1392" t="n"/>
      <c r="CB1374" s="1392" t="n"/>
      <c r="CC1374" s="1392" t="n"/>
      <c r="CD1374" s="1392" t="n"/>
      <c r="CE1374" s="1392" t="n"/>
      <c r="CF1374" s="1392" t="n"/>
      <c r="CG1374" s="1392" t="n"/>
      <c r="CH1374" s="1392" t="n"/>
      <c r="CI1374" s="1392" t="n"/>
      <c r="CJ1374" s="1392" t="n"/>
      <c r="CK1374" s="1392" t="n"/>
      <c r="CL1374" s="1392" t="n"/>
    </row>
    <row r="1375">
      <c r="A1375" s="5" t="inlineStr">
        <is>
          <t>.</t>
        </is>
      </c>
      <c r="B1375" s="5" t="inlineStr">
        <is>
          <t>.</t>
        </is>
      </c>
      <c r="C1375" s="1378">
        <f>IF(raw[[#This Row],[city]]="","-",IF(raw[[#This Row],[city]]="TODAY","-",C1374+1))</f>
        <v/>
      </c>
      <c r="D1375" s="1393" t="inlineStr">
        <is>
          <t>Montreal</t>
        </is>
      </c>
      <c r="E1375" s="1394" t="n">
        <v>42151</v>
      </c>
      <c r="F1375" s="1394" t="n">
        <v>42156</v>
      </c>
      <c r="G1375" s="1393" t="inlineStr">
        <is>
          <t>-</t>
        </is>
      </c>
      <c r="H1375" s="1393" t="inlineStr">
        <is>
          <t>Beatty</t>
        </is>
      </c>
      <c r="I1375" s="1393" t="inlineStr">
        <is>
          <t>-</t>
        </is>
      </c>
      <c r="J1375" s="1393" t="inlineStr">
        <is>
          <t>-</t>
        </is>
      </c>
      <c r="K1375" s="1395">
        <f>IF(raw[[#This Row],[city]]&lt;&gt;"",_xlfn.XLOOKUP($D1375,ccc[city],ccc[prov],"-"),"-")</f>
        <v/>
      </c>
      <c r="L1375" s="1395">
        <f>IF(raw[[#This Row],[city]]&lt;&gt;"",_xlfn.XLOOKUP($D1375,ccc[city],ccc[ctry],"-"),"-")</f>
        <v/>
      </c>
      <c r="M1375" s="1395">
        <f>IF(raw[[#This Row],[city]]&lt;&gt;"",_xlfn.XLOOKUP($D1375,ccc[city],ccc[cont],"-"),"-")</f>
        <v/>
      </c>
      <c r="N1375" s="1396">
        <f>IF(raw[[#This Row],[city]]="","-",IF(raw[[#This Row],[cont]]="B",raw[[#This Row],[cont]],"W"))</f>
        <v/>
      </c>
      <c r="O1375" s="1397">
        <f>IF(raw[[#This Row],[out]]=0,0,IF(raw[[#This Row],[out]]=raw[[#This Row],[in]],0.01,raw[[#This Row],[out]]-raw[[#This Row],[in]]))</f>
        <v/>
      </c>
      <c r="P1375" s="1397">
        <f>IF(raw[[#This Row],[in]]=0,0,MONTH(raw[[#This Row],[in]]))</f>
        <v/>
      </c>
      <c r="Q1375" s="1397">
        <f>IF(raw[[#This Row],[in]]=0,0,YEAR(raw[[#This Row],[in]]))</f>
        <v/>
      </c>
      <c r="R1375" s="1397">
        <f>INT(raw[[#This Row],[yr]]/10)*10</f>
        <v/>
      </c>
      <c r="S1375" s="1395">
        <f>IF(raw[[#This Row],[city]]="","-",IF(raw[[#This Row],[city]]&lt;&gt;_xlfn.XLOOKUP(raw[[#This Row],[home]],homes[home],homes[city],"-"),1,0))</f>
        <v/>
      </c>
      <c r="T1375" s="1398" t="inlineStr">
        <is>
          <t>.</t>
        </is>
      </c>
      <c r="U1375" s="1399">
        <f>IF(raw[[#This Row],[wb]]="w",raw[[#This Row],[stay]]+U1374,U1374)</f>
        <v/>
      </c>
      <c r="V1375" s="1400">
        <f>IF(raw[[#This Row],[out]]=0,V1374,(raw[[#This Row],[out]]-E$5))</f>
        <v/>
      </c>
      <c r="W1375" s="1401">
        <f>U1375/V1375</f>
        <v/>
      </c>
      <c r="X1375" s="1392" t="n"/>
      <c r="Y1375" s="1392" t="n"/>
      <c r="Z1375" s="1392" t="n"/>
      <c r="AA1375" s="1392" t="n"/>
      <c r="AB1375" s="1392" t="n"/>
      <c r="AC1375" s="1392" t="n"/>
      <c r="AD1375" s="1392" t="n"/>
      <c r="AE1375" s="1392" t="n"/>
      <c r="AF1375" s="1392" t="n"/>
      <c r="AG1375" s="1392" t="n"/>
      <c r="AH1375" s="1392" t="n"/>
      <c r="AI1375" s="1392" t="n"/>
      <c r="AJ1375" s="1392" t="n"/>
      <c r="AK1375" s="1392" t="n"/>
      <c r="AL1375" s="1392" t="n"/>
      <c r="AM1375" s="1392" t="n"/>
      <c r="AN1375" s="1392" t="n"/>
      <c r="AO1375" s="1392" t="n"/>
      <c r="AP1375" s="1392" t="n"/>
      <c r="AQ1375" s="1392" t="n"/>
      <c r="AR1375" s="1422" t="n"/>
      <c r="AS1375" s="1422" t="n"/>
      <c r="AT1375" s="1392" t="n"/>
      <c r="AU1375" s="1392" t="n"/>
      <c r="AV1375" s="1392" t="n"/>
      <c r="AW1375" s="1392" t="n"/>
      <c r="AX1375" s="1392" t="n"/>
      <c r="AY1375" s="1392" t="n"/>
      <c r="AZ1375" s="1392" t="n"/>
      <c r="BA1375" s="1422" t="n"/>
      <c r="BB1375" s="1422" t="n"/>
      <c r="BC1375" s="1392" t="n"/>
      <c r="BD1375" s="1392" t="n"/>
      <c r="BE1375" s="1392" t="n"/>
      <c r="BF1375" s="1392" t="n"/>
      <c r="BG1375" s="1392" t="n"/>
      <c r="BH1375" s="1392" t="n"/>
      <c r="BI1375" s="1392" t="n"/>
      <c r="BJ1375" s="1392" t="n"/>
      <c r="BK1375" s="1392" t="n"/>
      <c r="BL1375" s="1392" t="n"/>
      <c r="BM1375" s="1392" t="n"/>
      <c r="BN1375" s="1392" t="n"/>
      <c r="BO1375" s="1392" t="n"/>
      <c r="BP1375" s="1392" t="n"/>
      <c r="BQ1375" s="1392" t="n"/>
      <c r="BR1375" s="1392" t="n"/>
      <c r="BS1375" s="1392" t="n"/>
      <c r="BT1375" s="1392" t="n"/>
      <c r="BU1375" s="1392" t="n"/>
      <c r="BV1375" s="1392" t="n"/>
      <c r="BW1375" s="1392" t="n"/>
      <c r="BX1375" s="1392" t="n"/>
      <c r="BY1375" s="1392" t="n"/>
      <c r="BZ1375" s="1392" t="n"/>
      <c r="CA1375" s="1392" t="n"/>
      <c r="CB1375" s="1392" t="n"/>
      <c r="CC1375" s="1392" t="n"/>
      <c r="CD1375" s="1392" t="n"/>
      <c r="CE1375" s="1392" t="n"/>
      <c r="CF1375" s="1392" t="n"/>
      <c r="CG1375" s="1392" t="n"/>
      <c r="CH1375" s="1392" t="n"/>
      <c r="CI1375" s="1392" t="n"/>
      <c r="CJ1375" s="1392" t="n"/>
      <c r="CK1375" s="1392" t="n"/>
      <c r="CL1375" s="1392" t="n"/>
    </row>
    <row r="1376">
      <c r="A1376" s="5" t="inlineStr">
        <is>
          <t>.</t>
        </is>
      </c>
      <c r="B1376" s="5" t="inlineStr">
        <is>
          <t>.</t>
        </is>
      </c>
      <c r="C1376" s="1378">
        <f>IF(raw[[#This Row],[city]]="","-",IF(raw[[#This Row],[city]]="TODAY","-",C1375+1))</f>
        <v/>
      </c>
      <c r="D1376" s="1393" t="inlineStr">
        <is>
          <t>Montreal</t>
        </is>
      </c>
      <c r="E1376" s="1394" t="n">
        <v>42156</v>
      </c>
      <c r="F1376" s="1394" t="n">
        <v>42186</v>
      </c>
      <c r="G1376" s="1393" t="inlineStr">
        <is>
          <t>-</t>
        </is>
      </c>
      <c r="H1376" s="1393" t="inlineStr">
        <is>
          <t>Beatty</t>
        </is>
      </c>
      <c r="I1376" s="1393" t="inlineStr">
        <is>
          <t>-</t>
        </is>
      </c>
      <c r="J1376" s="1393" t="inlineStr">
        <is>
          <t>-</t>
        </is>
      </c>
      <c r="K1376" s="1395">
        <f>IF(raw[[#This Row],[city]]&lt;&gt;"",_xlfn.XLOOKUP($D1376,ccc[city],ccc[prov],"-"),"-")</f>
        <v/>
      </c>
      <c r="L1376" s="1395">
        <f>IF(raw[[#This Row],[city]]&lt;&gt;"",_xlfn.XLOOKUP($D1376,ccc[city],ccc[ctry],"-"),"-")</f>
        <v/>
      </c>
      <c r="M1376" s="1395">
        <f>IF(raw[[#This Row],[city]]&lt;&gt;"",_xlfn.XLOOKUP($D1376,ccc[city],ccc[cont],"-"),"-")</f>
        <v/>
      </c>
      <c r="N1376" s="1396">
        <f>IF(raw[[#This Row],[city]]="","-",IF(raw[[#This Row],[cont]]="B",raw[[#This Row],[cont]],"W"))</f>
        <v/>
      </c>
      <c r="O1376" s="1397">
        <f>IF(raw[[#This Row],[out]]=0,0,IF(raw[[#This Row],[out]]=raw[[#This Row],[in]],0.01,raw[[#This Row],[out]]-raw[[#This Row],[in]]))</f>
        <v/>
      </c>
      <c r="P1376" s="1397">
        <f>IF(raw[[#This Row],[in]]=0,0,MONTH(raw[[#This Row],[in]]))</f>
        <v/>
      </c>
      <c r="Q1376" s="1397">
        <f>IF(raw[[#This Row],[in]]=0,0,YEAR(raw[[#This Row],[in]]))</f>
        <v/>
      </c>
      <c r="R1376" s="1397">
        <f>INT(raw[[#This Row],[yr]]/10)*10</f>
        <v/>
      </c>
      <c r="S1376" s="1395">
        <f>IF(raw[[#This Row],[city]]="","-",IF(raw[[#This Row],[city]]&lt;&gt;_xlfn.XLOOKUP(raw[[#This Row],[home]],homes[home],homes[city],"-"),1,0))</f>
        <v/>
      </c>
      <c r="T1376" s="1398" t="inlineStr">
        <is>
          <t>.</t>
        </is>
      </c>
      <c r="U1376" s="1399">
        <f>IF(raw[[#This Row],[wb]]="w",raw[[#This Row],[stay]]+U1375,U1375)</f>
        <v/>
      </c>
      <c r="V1376" s="1400">
        <f>IF(raw[[#This Row],[out]]=0,V1375,(raw[[#This Row],[out]]-E$5))</f>
        <v/>
      </c>
      <c r="W1376" s="1401">
        <f>U1376/V1376</f>
        <v/>
      </c>
      <c r="X1376" s="1392" t="n"/>
      <c r="Y1376" s="1392" t="n"/>
      <c r="Z1376" s="1392" t="n"/>
      <c r="AA1376" s="1392" t="n"/>
      <c r="AB1376" s="1392" t="n"/>
      <c r="AC1376" s="1392" t="n"/>
      <c r="AD1376" s="1392" t="n"/>
      <c r="AE1376" s="1392" t="n"/>
      <c r="AF1376" s="1392" t="n"/>
      <c r="AG1376" s="1392" t="n"/>
      <c r="AH1376" s="1392" t="n"/>
      <c r="AI1376" s="1392" t="n"/>
      <c r="AJ1376" s="1392" t="n"/>
      <c r="AK1376" s="1392" t="n"/>
      <c r="AL1376" s="1392" t="n"/>
      <c r="AM1376" s="1392" t="n"/>
      <c r="AN1376" s="1392" t="n"/>
      <c r="AO1376" s="1392" t="n"/>
      <c r="AP1376" s="1392" t="n"/>
      <c r="AQ1376" s="1392" t="n"/>
      <c r="AR1376" s="1422" t="n"/>
      <c r="AS1376" s="1422" t="n"/>
      <c r="AT1376" s="1392" t="n"/>
      <c r="AU1376" s="1392" t="n"/>
      <c r="AV1376" s="1392" t="n"/>
      <c r="AW1376" s="1392" t="n"/>
      <c r="AX1376" s="1392" t="n"/>
      <c r="AY1376" s="1392" t="n"/>
      <c r="AZ1376" s="1392" t="n"/>
      <c r="BA1376" s="1422" t="n"/>
      <c r="BB1376" s="1422" t="n"/>
      <c r="BC1376" s="1392" t="n"/>
      <c r="BD1376" s="1392" t="n"/>
      <c r="BE1376" s="1392" t="n"/>
      <c r="BF1376" s="1392" t="n"/>
      <c r="BG1376" s="1392" t="n"/>
      <c r="BH1376" s="1392" t="n"/>
      <c r="BI1376" s="1392" t="n"/>
      <c r="BJ1376" s="1392" t="n"/>
      <c r="BK1376" s="1392" t="n"/>
      <c r="BL1376" s="1392" t="n"/>
      <c r="BM1376" s="1392" t="n"/>
      <c r="BN1376" s="1392" t="n"/>
      <c r="BO1376" s="1392" t="n"/>
      <c r="BP1376" s="1392" t="n"/>
      <c r="BQ1376" s="1392" t="n"/>
      <c r="BR1376" s="1392" t="n"/>
      <c r="BS1376" s="1392" t="n"/>
      <c r="BT1376" s="1392" t="n"/>
      <c r="BU1376" s="1392" t="n"/>
      <c r="BV1376" s="1392" t="n"/>
      <c r="BW1376" s="1392" t="n"/>
      <c r="BX1376" s="1392" t="n"/>
      <c r="BY1376" s="1392" t="n"/>
      <c r="BZ1376" s="1392" t="n"/>
      <c r="CA1376" s="1392" t="n"/>
      <c r="CB1376" s="1392" t="n"/>
      <c r="CC1376" s="1392" t="n"/>
      <c r="CD1376" s="1392" t="n"/>
      <c r="CE1376" s="1392" t="n"/>
      <c r="CF1376" s="1392" t="n"/>
      <c r="CG1376" s="1392" t="n"/>
      <c r="CH1376" s="1392" t="n"/>
      <c r="CI1376" s="1392" t="n"/>
      <c r="CJ1376" s="1392" t="n"/>
      <c r="CK1376" s="1392" t="n"/>
      <c r="CL1376" s="1392" t="n"/>
    </row>
    <row r="1377">
      <c r="A1377" s="5" t="inlineStr">
        <is>
          <t>.</t>
        </is>
      </c>
      <c r="B1377" s="5" t="inlineStr">
        <is>
          <t>.</t>
        </is>
      </c>
      <c r="C1377" s="1378">
        <f>IF(raw[[#This Row],[city]]="","-",IF(raw[[#This Row],[city]]="TODAY","-",C1376+1))</f>
        <v/>
      </c>
      <c r="D1377" s="1393" t="inlineStr">
        <is>
          <t>Montreal</t>
        </is>
      </c>
      <c r="E1377" s="1394" t="n">
        <v>42186</v>
      </c>
      <c r="F1377" s="1394" t="n">
        <v>42217</v>
      </c>
      <c r="G1377" s="1393" t="inlineStr">
        <is>
          <t>-</t>
        </is>
      </c>
      <c r="H1377" s="1393" t="inlineStr">
        <is>
          <t>Beatty</t>
        </is>
      </c>
      <c r="I1377" s="1393" t="inlineStr">
        <is>
          <t>-</t>
        </is>
      </c>
      <c r="J1377" s="1393" t="inlineStr">
        <is>
          <t>-</t>
        </is>
      </c>
      <c r="K1377" s="1395">
        <f>IF(raw[[#This Row],[city]]&lt;&gt;"",_xlfn.XLOOKUP($D1377,ccc[city],ccc[prov],"-"),"-")</f>
        <v/>
      </c>
      <c r="L1377" s="1395">
        <f>IF(raw[[#This Row],[city]]&lt;&gt;"",_xlfn.XLOOKUP($D1377,ccc[city],ccc[ctry],"-"),"-")</f>
        <v/>
      </c>
      <c r="M1377" s="1395">
        <f>IF(raw[[#This Row],[city]]&lt;&gt;"",_xlfn.XLOOKUP($D1377,ccc[city],ccc[cont],"-"),"-")</f>
        <v/>
      </c>
      <c r="N1377" s="1396">
        <f>IF(raw[[#This Row],[city]]="","-",IF(raw[[#This Row],[cont]]="B",raw[[#This Row],[cont]],"W"))</f>
        <v/>
      </c>
      <c r="O1377" s="1397">
        <f>IF(raw[[#This Row],[out]]=0,0,IF(raw[[#This Row],[out]]=raw[[#This Row],[in]],0.01,raw[[#This Row],[out]]-raw[[#This Row],[in]]))</f>
        <v/>
      </c>
      <c r="P1377" s="1397">
        <f>IF(raw[[#This Row],[in]]=0,0,MONTH(raw[[#This Row],[in]]))</f>
        <v/>
      </c>
      <c r="Q1377" s="1397">
        <f>IF(raw[[#This Row],[in]]=0,0,YEAR(raw[[#This Row],[in]]))</f>
        <v/>
      </c>
      <c r="R1377" s="1397">
        <f>INT(raw[[#This Row],[yr]]/10)*10</f>
        <v/>
      </c>
      <c r="S1377" s="1395">
        <f>IF(raw[[#This Row],[city]]="","-",IF(raw[[#This Row],[city]]&lt;&gt;_xlfn.XLOOKUP(raw[[#This Row],[home]],homes[home],homes[city],"-"),1,0))</f>
        <v/>
      </c>
      <c r="T1377" s="1398" t="inlineStr">
        <is>
          <t>.</t>
        </is>
      </c>
      <c r="U1377" s="1399">
        <f>IF(raw[[#This Row],[wb]]="w",raw[[#This Row],[stay]]+U1376,U1376)</f>
        <v/>
      </c>
      <c r="V1377" s="1400">
        <f>IF(raw[[#This Row],[out]]=0,V1376,(raw[[#This Row],[out]]-E$5))</f>
        <v/>
      </c>
      <c r="W1377" s="1401">
        <f>U1377/V1377</f>
        <v/>
      </c>
      <c r="X1377" s="1392" t="n"/>
      <c r="Y1377" s="1392" t="n"/>
      <c r="Z1377" s="1392" t="n"/>
      <c r="AA1377" s="1392" t="n"/>
      <c r="AB1377" s="1392" t="n"/>
      <c r="AC1377" s="1392" t="n"/>
      <c r="AD1377" s="1392" t="n"/>
      <c r="AE1377" s="1392" t="n"/>
      <c r="AF1377" s="1392" t="n"/>
      <c r="AG1377" s="1392" t="n"/>
      <c r="AH1377" s="1392" t="n"/>
      <c r="AI1377" s="1392" t="n"/>
      <c r="AJ1377" s="1392" t="n"/>
      <c r="AK1377" s="1392" t="n"/>
      <c r="AL1377" s="1392" t="n"/>
      <c r="AM1377" s="1392" t="n"/>
      <c r="AN1377" s="1392" t="n"/>
      <c r="AO1377" s="1392" t="n"/>
      <c r="AP1377" s="1392" t="n"/>
      <c r="AQ1377" s="1392" t="n"/>
      <c r="AR1377" s="1422" t="n"/>
      <c r="AS1377" s="1422" t="n"/>
      <c r="AT1377" s="1392" t="n"/>
      <c r="AU1377" s="1392" t="n"/>
      <c r="AV1377" s="1392" t="n"/>
      <c r="AW1377" s="1392" t="n"/>
      <c r="AX1377" s="1392" t="n"/>
      <c r="AY1377" s="1392" t="n"/>
      <c r="AZ1377" s="1392" t="n"/>
      <c r="BA1377" s="1422" t="n"/>
      <c r="BB1377" s="1422" t="n"/>
      <c r="BC1377" s="1392" t="n"/>
      <c r="BD1377" s="1392" t="n"/>
      <c r="BE1377" s="1392" t="n"/>
      <c r="BF1377" s="1392" t="n"/>
      <c r="BG1377" s="1392" t="n"/>
      <c r="BH1377" s="1392" t="n"/>
      <c r="BI1377" s="1392" t="n"/>
      <c r="BJ1377" s="1392" t="n"/>
      <c r="BK1377" s="1392" t="n"/>
      <c r="BL1377" s="1392" t="n"/>
      <c r="BM1377" s="1392" t="n"/>
      <c r="BN1377" s="1392" t="n"/>
      <c r="BO1377" s="1392" t="n"/>
      <c r="BP1377" s="1392" t="n"/>
      <c r="BQ1377" s="1392" t="n"/>
      <c r="BR1377" s="1392" t="n"/>
      <c r="BS1377" s="1392" t="n"/>
      <c r="BT1377" s="1392" t="n"/>
      <c r="BU1377" s="1392" t="n"/>
      <c r="BV1377" s="1392" t="n"/>
      <c r="BW1377" s="1392" t="n"/>
      <c r="BX1377" s="1392" t="n"/>
      <c r="BY1377" s="1392" t="n"/>
      <c r="BZ1377" s="1392" t="n"/>
      <c r="CA1377" s="1392" t="n"/>
      <c r="CB1377" s="1392" t="n"/>
      <c r="CC1377" s="1392" t="n"/>
      <c r="CD1377" s="1392" t="n"/>
      <c r="CE1377" s="1392" t="n"/>
      <c r="CF1377" s="1392" t="n"/>
      <c r="CG1377" s="1392" t="n"/>
      <c r="CH1377" s="1392" t="n"/>
      <c r="CI1377" s="1392" t="n"/>
      <c r="CJ1377" s="1392" t="n"/>
      <c r="CK1377" s="1392" t="n"/>
      <c r="CL1377" s="1392" t="n"/>
    </row>
    <row r="1378">
      <c r="A1378" s="5" t="inlineStr">
        <is>
          <t>.</t>
        </is>
      </c>
      <c r="B1378" s="5" t="inlineStr">
        <is>
          <t>.</t>
        </is>
      </c>
      <c r="C1378" s="1378">
        <f>IF(raw[[#This Row],[city]]="","-",IF(raw[[#This Row],[city]]="TODAY","-",C1377+1))</f>
        <v/>
      </c>
      <c r="D1378" s="1393" t="inlineStr">
        <is>
          <t>Montreal</t>
        </is>
      </c>
      <c r="E1378" s="1394" t="n">
        <v>42217</v>
      </c>
      <c r="F1378" s="1394" t="n">
        <v>42248</v>
      </c>
      <c r="G1378" s="1393" t="inlineStr">
        <is>
          <t>-</t>
        </is>
      </c>
      <c r="H1378" s="1393" t="inlineStr">
        <is>
          <t>Beatty</t>
        </is>
      </c>
      <c r="I1378" s="1393" t="inlineStr">
        <is>
          <t>-</t>
        </is>
      </c>
      <c r="J1378" s="1393" t="inlineStr">
        <is>
          <t>BDAY</t>
        </is>
      </c>
      <c r="K1378" s="1395">
        <f>IF(raw[[#This Row],[city]]&lt;&gt;"",_xlfn.XLOOKUP($D1378,ccc[city],ccc[prov],"-"),"-")</f>
        <v/>
      </c>
      <c r="L1378" s="1395">
        <f>IF(raw[[#This Row],[city]]&lt;&gt;"",_xlfn.XLOOKUP($D1378,ccc[city],ccc[ctry],"-"),"-")</f>
        <v/>
      </c>
      <c r="M1378" s="1395">
        <f>IF(raw[[#This Row],[city]]&lt;&gt;"",_xlfn.XLOOKUP($D1378,ccc[city],ccc[cont],"-"),"-")</f>
        <v/>
      </c>
      <c r="N1378" s="1396">
        <f>IF(raw[[#This Row],[city]]="","-",IF(raw[[#This Row],[cont]]="B",raw[[#This Row],[cont]],"W"))</f>
        <v/>
      </c>
      <c r="O1378" s="1397">
        <f>IF(raw[[#This Row],[out]]=0,0,IF(raw[[#This Row],[out]]=raw[[#This Row],[in]],0.01,raw[[#This Row],[out]]-raw[[#This Row],[in]]))</f>
        <v/>
      </c>
      <c r="P1378" s="1397">
        <f>IF(raw[[#This Row],[in]]=0,0,MONTH(raw[[#This Row],[in]]))</f>
        <v/>
      </c>
      <c r="Q1378" s="1397">
        <f>IF(raw[[#This Row],[in]]=0,0,YEAR(raw[[#This Row],[in]]))</f>
        <v/>
      </c>
      <c r="R1378" s="1397">
        <f>INT(raw[[#This Row],[yr]]/10)*10</f>
        <v/>
      </c>
      <c r="S1378" s="1395">
        <f>IF(raw[[#This Row],[city]]="","-",IF(raw[[#This Row],[city]]&lt;&gt;_xlfn.XLOOKUP(raw[[#This Row],[home]],homes[home],homes[city],"-"),1,0))</f>
        <v/>
      </c>
      <c r="T1378" s="1398" t="inlineStr">
        <is>
          <t>.</t>
        </is>
      </c>
      <c r="U1378" s="1399">
        <f>IF(raw[[#This Row],[wb]]="w",raw[[#This Row],[stay]]+U1377,U1377)</f>
        <v/>
      </c>
      <c r="V1378" s="1400">
        <f>IF(raw[[#This Row],[out]]=0,V1377,(raw[[#This Row],[out]]-E$5))</f>
        <v/>
      </c>
      <c r="W1378" s="1401">
        <f>U1378/V1378</f>
        <v/>
      </c>
      <c r="X1378" s="1392" t="n"/>
      <c r="Y1378" s="1392" t="n"/>
      <c r="Z1378" s="1392" t="n"/>
      <c r="AA1378" s="1392" t="n"/>
      <c r="AB1378" s="1392" t="n"/>
      <c r="AC1378" s="1392" t="n"/>
      <c r="AD1378" s="1392" t="n"/>
      <c r="AE1378" s="1392" t="n"/>
      <c r="AF1378" s="1392" t="n"/>
      <c r="AG1378" s="1392" t="n"/>
      <c r="AH1378" s="1392" t="n"/>
      <c r="AI1378" s="1392" t="n"/>
      <c r="AJ1378" s="1392" t="n"/>
      <c r="AK1378" s="1392" t="n"/>
      <c r="AL1378" s="1392" t="n"/>
      <c r="AM1378" s="1392" t="n"/>
      <c r="AN1378" s="1392" t="n"/>
      <c r="AO1378" s="1392" t="n"/>
      <c r="AP1378" s="1392" t="n"/>
      <c r="AQ1378" s="1392" t="n"/>
      <c r="AR1378" s="1422" t="n"/>
      <c r="AS1378" s="1422" t="n"/>
      <c r="AT1378" s="1392" t="n"/>
      <c r="AU1378" s="1392" t="n"/>
      <c r="AV1378" s="1392" t="n"/>
      <c r="AW1378" s="1392" t="n"/>
      <c r="AX1378" s="1392" t="n"/>
      <c r="AY1378" s="1392" t="n"/>
      <c r="AZ1378" s="1392" t="n"/>
      <c r="BA1378" s="1422" t="n"/>
      <c r="BB1378" s="1422" t="n"/>
      <c r="BC1378" s="1392" t="n"/>
      <c r="BD1378" s="1392" t="n"/>
      <c r="BE1378" s="1392" t="n"/>
      <c r="BF1378" s="1392" t="n"/>
      <c r="BG1378" s="1392" t="n"/>
      <c r="BH1378" s="1392" t="n"/>
      <c r="BI1378" s="1392" t="n"/>
      <c r="BJ1378" s="1392" t="n"/>
      <c r="BK1378" s="1392" t="n"/>
      <c r="BL1378" s="1392" t="n"/>
      <c r="BM1378" s="1392" t="n"/>
      <c r="BN1378" s="1392" t="n"/>
      <c r="BO1378" s="1392" t="n"/>
      <c r="BP1378" s="1392" t="n"/>
      <c r="BQ1378" s="1392" t="n"/>
      <c r="BR1378" s="1392" t="n"/>
      <c r="BS1378" s="1392" t="n"/>
      <c r="BT1378" s="1392" t="n"/>
      <c r="BU1378" s="1392" t="n"/>
      <c r="BV1378" s="1392" t="n"/>
      <c r="BW1378" s="1392" t="n"/>
      <c r="BX1378" s="1392" t="n"/>
      <c r="BY1378" s="1392" t="n"/>
      <c r="BZ1378" s="1392" t="n"/>
      <c r="CA1378" s="1392" t="n"/>
      <c r="CB1378" s="1392" t="n"/>
      <c r="CC1378" s="1392" t="n"/>
      <c r="CD1378" s="1392" t="n"/>
      <c r="CE1378" s="1392" t="n"/>
      <c r="CF1378" s="1392" t="n"/>
      <c r="CG1378" s="1392" t="n"/>
      <c r="CH1378" s="1392" t="n"/>
      <c r="CI1378" s="1392" t="n"/>
      <c r="CJ1378" s="1392" t="n"/>
      <c r="CK1378" s="1392" t="n"/>
      <c r="CL1378" s="1392" t="n"/>
    </row>
    <row r="1379">
      <c r="A1379" s="5" t="inlineStr">
        <is>
          <t>.</t>
        </is>
      </c>
      <c r="B1379" s="5" t="inlineStr">
        <is>
          <t>.</t>
        </is>
      </c>
      <c r="C1379" s="1378">
        <f>IF(raw[[#This Row],[city]]="","-",IF(raw[[#This Row],[city]]="TODAY","-",C1378+1))</f>
        <v/>
      </c>
      <c r="D1379" s="1393" t="inlineStr">
        <is>
          <t>Bromont</t>
        </is>
      </c>
      <c r="E1379" s="1394" t="n">
        <v>42232</v>
      </c>
      <c r="F1379" s="1394" t="n">
        <v>42232</v>
      </c>
      <c r="G1379" s="1393" t="inlineStr">
        <is>
          <t>-</t>
        </is>
      </c>
      <c r="H1379" s="1393" t="inlineStr">
        <is>
          <t>Beatty</t>
        </is>
      </c>
      <c r="I1379" s="1393" t="inlineStr">
        <is>
          <t>-</t>
        </is>
      </c>
      <c r="J1379" s="1393" t="inlineStr">
        <is>
          <t>-</t>
        </is>
      </c>
      <c r="K1379" s="1395">
        <f>IF(raw[[#This Row],[city]]&lt;&gt;"",_xlfn.XLOOKUP($D1379,ccc[city],ccc[prov],"-"),"-")</f>
        <v/>
      </c>
      <c r="L1379" s="1395">
        <f>IF(raw[[#This Row],[city]]&lt;&gt;"",_xlfn.XLOOKUP($D1379,ccc[city],ccc[ctry],"-"),"-")</f>
        <v/>
      </c>
      <c r="M1379" s="1395">
        <f>IF(raw[[#This Row],[city]]&lt;&gt;"",_xlfn.XLOOKUP($D1379,ccc[city],ccc[cont],"-"),"-")</f>
        <v/>
      </c>
      <c r="N1379" s="1396">
        <f>IF(raw[[#This Row],[city]]="","-",IF(raw[[#This Row],[cont]]="B",raw[[#This Row],[cont]],"W"))</f>
        <v/>
      </c>
      <c r="O1379" s="1397">
        <f>IF(raw[[#This Row],[out]]=0,0,IF(raw[[#This Row],[out]]=raw[[#This Row],[in]],0.01,raw[[#This Row],[out]]-raw[[#This Row],[in]]))</f>
        <v/>
      </c>
      <c r="P1379" s="1397">
        <f>IF(raw[[#This Row],[in]]=0,0,MONTH(raw[[#This Row],[in]]))</f>
        <v/>
      </c>
      <c r="Q1379" s="1397">
        <f>IF(raw[[#This Row],[in]]=0,0,YEAR(raw[[#This Row],[in]]))</f>
        <v/>
      </c>
      <c r="R1379" s="1397">
        <f>INT(raw[[#This Row],[yr]]/10)*10</f>
        <v/>
      </c>
      <c r="S1379" s="1395">
        <f>IF(raw[[#This Row],[city]]="","-",IF(raw[[#This Row],[city]]&lt;&gt;_xlfn.XLOOKUP(raw[[#This Row],[home]],homes[home],homes[city],"-"),1,0))</f>
        <v/>
      </c>
      <c r="T1379" s="1398" t="inlineStr">
        <is>
          <t>.</t>
        </is>
      </c>
      <c r="U1379" s="1399">
        <f>IF(raw[[#This Row],[wb]]="w",raw[[#This Row],[stay]]+U1378,U1378)</f>
        <v/>
      </c>
      <c r="V1379" s="1400">
        <f>IF(raw[[#This Row],[out]]=0,V1378,(raw[[#This Row],[out]]-E$5))</f>
        <v/>
      </c>
      <c r="W1379" s="1401">
        <f>U1379/V1379</f>
        <v/>
      </c>
      <c r="X1379" s="1392" t="n"/>
      <c r="Y1379" s="1392" t="n"/>
      <c r="Z1379" s="1392" t="n"/>
      <c r="AA1379" s="1392" t="n"/>
      <c r="AB1379" s="1392" t="n"/>
      <c r="AC1379" s="1392" t="n"/>
      <c r="AD1379" s="1392" t="n"/>
      <c r="AE1379" s="1392" t="n"/>
      <c r="AF1379" s="1392" t="n"/>
      <c r="AG1379" s="1392" t="n"/>
      <c r="AH1379" s="1392" t="n"/>
      <c r="AI1379" s="1392" t="n"/>
      <c r="AJ1379" s="1392" t="n"/>
      <c r="AK1379" s="1392" t="n"/>
      <c r="AL1379" s="1392" t="n"/>
      <c r="AM1379" s="1392" t="n"/>
      <c r="AN1379" s="1392" t="n"/>
      <c r="AO1379" s="1392" t="n"/>
      <c r="AP1379" s="1392" t="n"/>
      <c r="AQ1379" s="1392" t="n"/>
      <c r="AR1379" s="1422" t="n"/>
      <c r="AS1379" s="1422" t="n"/>
      <c r="AT1379" s="1392" t="n"/>
      <c r="AU1379" s="1392" t="n"/>
      <c r="AV1379" s="1392" t="n"/>
      <c r="AW1379" s="1392" t="n"/>
      <c r="AX1379" s="1392" t="n"/>
      <c r="AY1379" s="1392" t="n"/>
      <c r="AZ1379" s="1392" t="n"/>
      <c r="BA1379" s="1422" t="n"/>
      <c r="BB1379" s="1422" t="n"/>
      <c r="BC1379" s="1392" t="n"/>
      <c r="BD1379" s="1392" t="n"/>
      <c r="BE1379" s="1392" t="n"/>
      <c r="BF1379" s="1392" t="n"/>
      <c r="BG1379" s="1392" t="n"/>
      <c r="BH1379" s="1392" t="n"/>
      <c r="BI1379" s="1392" t="n"/>
      <c r="BJ1379" s="1392" t="n"/>
      <c r="BK1379" s="1392" t="n"/>
      <c r="BL1379" s="1392" t="n"/>
      <c r="BM1379" s="1392" t="n"/>
      <c r="BN1379" s="1392" t="n"/>
      <c r="BO1379" s="1392" t="n"/>
      <c r="BP1379" s="1392" t="n"/>
      <c r="BQ1379" s="1392" t="n"/>
      <c r="BR1379" s="1392" t="n"/>
      <c r="BS1379" s="1392" t="n"/>
      <c r="BT1379" s="1392" t="n"/>
      <c r="BU1379" s="1392" t="n"/>
      <c r="BV1379" s="1392" t="n"/>
      <c r="BW1379" s="1392" t="n"/>
      <c r="BX1379" s="1392" t="n"/>
      <c r="BY1379" s="1392" t="n"/>
      <c r="BZ1379" s="1392" t="n"/>
      <c r="CA1379" s="1392" t="n"/>
      <c r="CB1379" s="1392" t="n"/>
      <c r="CC1379" s="1392" t="n"/>
      <c r="CD1379" s="1392" t="n"/>
      <c r="CE1379" s="1392" t="n"/>
      <c r="CF1379" s="1392" t="n"/>
      <c r="CG1379" s="1392" t="n"/>
      <c r="CH1379" s="1392" t="n"/>
      <c r="CI1379" s="1392" t="n"/>
      <c r="CJ1379" s="1392" t="n"/>
      <c r="CK1379" s="1392" t="n"/>
      <c r="CL1379" s="1392" t="n"/>
    </row>
    <row r="1380">
      <c r="A1380" s="5" t="inlineStr">
        <is>
          <t>.</t>
        </is>
      </c>
      <c r="B1380" s="5" t="inlineStr">
        <is>
          <t>.</t>
        </is>
      </c>
      <c r="C1380" s="1378">
        <f>IF(raw[[#This Row],[city]]="","-",IF(raw[[#This Row],[city]]="TODAY","-",C1379+1))</f>
        <v/>
      </c>
      <c r="D1380" s="1393" t="inlineStr">
        <is>
          <t>Montreal</t>
        </is>
      </c>
      <c r="E1380" s="1394" t="n">
        <v>42248</v>
      </c>
      <c r="F1380" s="1394" t="n">
        <v>42278</v>
      </c>
      <c r="G1380" s="1393" t="inlineStr">
        <is>
          <t>-</t>
        </is>
      </c>
      <c r="H1380" s="1393" t="inlineStr">
        <is>
          <t>Beatty</t>
        </is>
      </c>
      <c r="I1380" s="1393" t="inlineStr">
        <is>
          <t>-</t>
        </is>
      </c>
      <c r="J1380" s="1393" t="inlineStr">
        <is>
          <t>-</t>
        </is>
      </c>
      <c r="K1380" s="1395">
        <f>IF(raw[[#This Row],[city]]&lt;&gt;"",_xlfn.XLOOKUP($D1380,ccc[city],ccc[prov],"-"),"-")</f>
        <v/>
      </c>
      <c r="L1380" s="1395">
        <f>IF(raw[[#This Row],[city]]&lt;&gt;"",_xlfn.XLOOKUP($D1380,ccc[city],ccc[ctry],"-"),"-")</f>
        <v/>
      </c>
      <c r="M1380" s="1395">
        <f>IF(raw[[#This Row],[city]]&lt;&gt;"",_xlfn.XLOOKUP($D1380,ccc[city],ccc[cont],"-"),"-")</f>
        <v/>
      </c>
      <c r="N1380" s="1396">
        <f>IF(raw[[#This Row],[city]]="","-",IF(raw[[#This Row],[cont]]="B",raw[[#This Row],[cont]],"W"))</f>
        <v/>
      </c>
      <c r="O1380" s="1397">
        <f>IF(raw[[#This Row],[out]]=0,0,IF(raw[[#This Row],[out]]=raw[[#This Row],[in]],0.01,raw[[#This Row],[out]]-raw[[#This Row],[in]]))</f>
        <v/>
      </c>
      <c r="P1380" s="1397">
        <f>IF(raw[[#This Row],[in]]=0,0,MONTH(raw[[#This Row],[in]]))</f>
        <v/>
      </c>
      <c r="Q1380" s="1397">
        <f>IF(raw[[#This Row],[in]]=0,0,YEAR(raw[[#This Row],[in]]))</f>
        <v/>
      </c>
      <c r="R1380" s="1397">
        <f>INT(raw[[#This Row],[yr]]/10)*10</f>
        <v/>
      </c>
      <c r="S1380" s="1395">
        <f>IF(raw[[#This Row],[city]]="","-",IF(raw[[#This Row],[city]]&lt;&gt;_xlfn.XLOOKUP(raw[[#This Row],[home]],homes[home],homes[city],"-"),1,0))</f>
        <v/>
      </c>
      <c r="T1380" s="1398" t="inlineStr">
        <is>
          <t>.</t>
        </is>
      </c>
      <c r="U1380" s="1399">
        <f>IF(raw[[#This Row],[wb]]="w",raw[[#This Row],[stay]]+U1379,U1379)</f>
        <v/>
      </c>
      <c r="V1380" s="1400">
        <f>IF(raw[[#This Row],[out]]=0,V1379,(raw[[#This Row],[out]]-E$5))</f>
        <v/>
      </c>
      <c r="W1380" s="1401">
        <f>U1380/V1380</f>
        <v/>
      </c>
      <c r="X1380" s="1392" t="n"/>
      <c r="Y1380" s="1392" t="n"/>
      <c r="Z1380" s="1392" t="n"/>
      <c r="AA1380" s="1392" t="n"/>
      <c r="AB1380" s="1392" t="n"/>
      <c r="AC1380" s="1392" t="n"/>
      <c r="AD1380" s="1392" t="n"/>
      <c r="AE1380" s="1392" t="n"/>
      <c r="AF1380" s="1392" t="n"/>
      <c r="AG1380" s="1392" t="n"/>
      <c r="AH1380" s="1392" t="n"/>
      <c r="AI1380" s="1392" t="n"/>
      <c r="AJ1380" s="1392" t="n"/>
      <c r="AK1380" s="1392" t="n"/>
      <c r="AL1380" s="1392" t="n"/>
      <c r="AM1380" s="1392" t="n"/>
      <c r="AN1380" s="1392" t="n"/>
      <c r="AO1380" s="1392" t="n"/>
      <c r="AP1380" s="1392" t="n"/>
      <c r="AQ1380" s="1392" t="n"/>
      <c r="AR1380" s="1422" t="n"/>
      <c r="AS1380" s="1422" t="n"/>
      <c r="AT1380" s="1392" t="n"/>
      <c r="AU1380" s="1392" t="n"/>
      <c r="AV1380" s="1392" t="n"/>
      <c r="AW1380" s="1392" t="n"/>
      <c r="AX1380" s="1392" t="n"/>
      <c r="AY1380" s="1392" t="n"/>
      <c r="AZ1380" s="1392" t="n"/>
      <c r="BA1380" s="1422" t="n"/>
      <c r="BB1380" s="1422" t="n"/>
      <c r="BC1380" s="1392" t="n"/>
      <c r="BD1380" s="1392" t="n"/>
      <c r="BE1380" s="1392" t="n"/>
      <c r="BF1380" s="1392" t="n"/>
      <c r="BG1380" s="1392" t="n"/>
      <c r="BH1380" s="1392" t="n"/>
      <c r="BI1380" s="1392" t="n"/>
      <c r="BJ1380" s="1392" t="n"/>
      <c r="BK1380" s="1392" t="n"/>
      <c r="BL1380" s="1392" t="n"/>
      <c r="BM1380" s="1392" t="n"/>
      <c r="BN1380" s="1392" t="n"/>
      <c r="BO1380" s="1392" t="n"/>
      <c r="BP1380" s="1392" t="n"/>
      <c r="BQ1380" s="1392" t="n"/>
      <c r="BR1380" s="1392" t="n"/>
      <c r="BS1380" s="1392" t="n"/>
      <c r="BT1380" s="1392" t="n"/>
      <c r="BU1380" s="1392" t="n"/>
      <c r="BV1380" s="1392" t="n"/>
      <c r="BW1380" s="1392" t="n"/>
      <c r="BX1380" s="1392" t="n"/>
      <c r="BY1380" s="1392" t="n"/>
      <c r="BZ1380" s="1392" t="n"/>
      <c r="CA1380" s="1392" t="n"/>
      <c r="CB1380" s="1392" t="n"/>
      <c r="CC1380" s="1392" t="n"/>
      <c r="CD1380" s="1392" t="n"/>
      <c r="CE1380" s="1392" t="n"/>
      <c r="CF1380" s="1392" t="n"/>
      <c r="CG1380" s="1392" t="n"/>
      <c r="CH1380" s="1392" t="n"/>
      <c r="CI1380" s="1392" t="n"/>
      <c r="CJ1380" s="1392" t="n"/>
      <c r="CK1380" s="1392" t="n"/>
      <c r="CL1380" s="1392" t="n"/>
    </row>
    <row r="1381">
      <c r="A1381" s="5" t="inlineStr">
        <is>
          <t>.</t>
        </is>
      </c>
      <c r="B1381" s="5" t="inlineStr">
        <is>
          <t>.</t>
        </is>
      </c>
      <c r="C1381" s="1378">
        <f>IF(raw[[#This Row],[city]]="","-",IF(raw[[#This Row],[city]]="TODAY","-",C1380+1))</f>
        <v/>
      </c>
      <c r="D1381" s="1393" t="inlineStr">
        <is>
          <t>Montreal</t>
        </is>
      </c>
      <c r="E1381" s="1394" t="n">
        <v>42278</v>
      </c>
      <c r="F1381" s="1394" t="n">
        <v>42309</v>
      </c>
      <c r="G1381" s="1393" t="inlineStr">
        <is>
          <t>-</t>
        </is>
      </c>
      <c r="H1381" s="1393" t="inlineStr">
        <is>
          <t>Beatty</t>
        </is>
      </c>
      <c r="I1381" s="1393" t="inlineStr">
        <is>
          <t>-</t>
        </is>
      </c>
      <c r="J1381" s="1393" t="inlineStr">
        <is>
          <t>-</t>
        </is>
      </c>
      <c r="K1381" s="1395">
        <f>IF(raw[[#This Row],[city]]&lt;&gt;"",_xlfn.XLOOKUP($D1381,ccc[city],ccc[prov],"-"),"-")</f>
        <v/>
      </c>
      <c r="L1381" s="1395">
        <f>IF(raw[[#This Row],[city]]&lt;&gt;"",_xlfn.XLOOKUP($D1381,ccc[city],ccc[ctry],"-"),"-")</f>
        <v/>
      </c>
      <c r="M1381" s="1395">
        <f>IF(raw[[#This Row],[city]]&lt;&gt;"",_xlfn.XLOOKUP($D1381,ccc[city],ccc[cont],"-"),"-")</f>
        <v/>
      </c>
      <c r="N1381" s="1396">
        <f>IF(raw[[#This Row],[city]]="","-",IF(raw[[#This Row],[cont]]="B",raw[[#This Row],[cont]],"W"))</f>
        <v/>
      </c>
      <c r="O1381" s="1397">
        <f>IF(raw[[#This Row],[out]]=0,0,IF(raw[[#This Row],[out]]=raw[[#This Row],[in]],0.01,raw[[#This Row],[out]]-raw[[#This Row],[in]]))</f>
        <v/>
      </c>
      <c r="P1381" s="1397">
        <f>IF(raw[[#This Row],[in]]=0,0,MONTH(raw[[#This Row],[in]]))</f>
        <v/>
      </c>
      <c r="Q1381" s="1397">
        <f>IF(raw[[#This Row],[in]]=0,0,YEAR(raw[[#This Row],[in]]))</f>
        <v/>
      </c>
      <c r="R1381" s="1397">
        <f>INT(raw[[#This Row],[yr]]/10)*10</f>
        <v/>
      </c>
      <c r="S1381" s="1395">
        <f>IF(raw[[#This Row],[city]]="","-",IF(raw[[#This Row],[city]]&lt;&gt;_xlfn.XLOOKUP(raw[[#This Row],[home]],homes[home],homes[city],"-"),1,0))</f>
        <v/>
      </c>
      <c r="T1381" s="1398" t="inlineStr">
        <is>
          <t>.</t>
        </is>
      </c>
      <c r="U1381" s="1399">
        <f>IF(raw[[#This Row],[wb]]="w",raw[[#This Row],[stay]]+U1380,U1380)</f>
        <v/>
      </c>
      <c r="V1381" s="1400">
        <f>IF(raw[[#This Row],[out]]=0,V1380,(raw[[#This Row],[out]]-E$5))</f>
        <v/>
      </c>
      <c r="W1381" s="1401">
        <f>U1381/V1381</f>
        <v/>
      </c>
      <c r="X1381" s="1392" t="n"/>
      <c r="Y1381" s="1392" t="n"/>
      <c r="Z1381" s="1392" t="n"/>
      <c r="AA1381" s="1392" t="n"/>
      <c r="AB1381" s="1392" t="n"/>
      <c r="AC1381" s="1392" t="n"/>
      <c r="AD1381" s="1392" t="n"/>
      <c r="AE1381" s="1392" t="n"/>
      <c r="AF1381" s="1392" t="n"/>
      <c r="AG1381" s="1392" t="n"/>
      <c r="AH1381" s="1392" t="n"/>
      <c r="AI1381" s="1392" t="n"/>
      <c r="AJ1381" s="1392" t="n"/>
      <c r="AK1381" s="1392" t="n"/>
      <c r="AL1381" s="1392" t="n"/>
      <c r="AM1381" s="1392" t="n"/>
      <c r="AN1381" s="1392" t="n"/>
      <c r="AO1381" s="1392" t="n"/>
      <c r="AP1381" s="1392" t="n"/>
      <c r="AQ1381" s="1392" t="n"/>
      <c r="AR1381" s="1422" t="n"/>
      <c r="AS1381" s="1422" t="n"/>
      <c r="AT1381" s="1392" t="n"/>
      <c r="AU1381" s="1392" t="n"/>
      <c r="AV1381" s="1392" t="n"/>
      <c r="AW1381" s="1392" t="n"/>
      <c r="AX1381" s="1392" t="n"/>
      <c r="AY1381" s="1392" t="n"/>
      <c r="AZ1381" s="1392" t="n"/>
      <c r="BA1381" s="1422" t="n"/>
      <c r="BB1381" s="1422" t="n"/>
      <c r="BC1381" s="1392" t="n"/>
      <c r="BD1381" s="1392" t="n"/>
      <c r="BE1381" s="1392" t="n"/>
      <c r="BF1381" s="1392" t="n"/>
      <c r="BG1381" s="1392" t="n"/>
      <c r="BH1381" s="1392" t="n"/>
      <c r="BI1381" s="1392" t="n"/>
      <c r="BJ1381" s="1392" t="n"/>
      <c r="BK1381" s="1392" t="n"/>
      <c r="BL1381" s="1392" t="n"/>
      <c r="BM1381" s="1392" t="n"/>
      <c r="BN1381" s="1392" t="n"/>
      <c r="BO1381" s="1392" t="n"/>
      <c r="BP1381" s="1392" t="n"/>
      <c r="BQ1381" s="1392" t="n"/>
      <c r="BR1381" s="1392" t="n"/>
      <c r="BS1381" s="1392" t="n"/>
      <c r="BT1381" s="1392" t="n"/>
      <c r="BU1381" s="1392" t="n"/>
      <c r="BV1381" s="1392" t="n"/>
      <c r="BW1381" s="1392" t="n"/>
      <c r="BX1381" s="1392" t="n"/>
      <c r="BY1381" s="1392" t="n"/>
      <c r="BZ1381" s="1392" t="n"/>
      <c r="CA1381" s="1392" t="n"/>
      <c r="CB1381" s="1392" t="n"/>
      <c r="CC1381" s="1392" t="n"/>
      <c r="CD1381" s="1392" t="n"/>
      <c r="CE1381" s="1392" t="n"/>
      <c r="CF1381" s="1392" t="n"/>
      <c r="CG1381" s="1392" t="n"/>
      <c r="CH1381" s="1392" t="n"/>
      <c r="CI1381" s="1392" t="n"/>
      <c r="CJ1381" s="1392" t="n"/>
      <c r="CK1381" s="1392" t="n"/>
      <c r="CL1381" s="1392" t="n"/>
    </row>
    <row r="1382">
      <c r="A1382" s="5" t="inlineStr">
        <is>
          <t>.</t>
        </is>
      </c>
      <c r="B1382" s="5" t="inlineStr">
        <is>
          <t>.</t>
        </is>
      </c>
      <c r="C1382" s="1378">
        <f>IF(raw[[#This Row],[city]]="","-",IF(raw[[#This Row],[city]]="TODAY","-",C1381+1))</f>
        <v/>
      </c>
      <c r="D1382" s="1393" t="inlineStr">
        <is>
          <t>Montreal</t>
        </is>
      </c>
      <c r="E1382" s="1394" t="n">
        <v>42309</v>
      </c>
      <c r="F1382" s="1394" t="n">
        <v>42328</v>
      </c>
      <c r="G1382" s="1393" t="inlineStr">
        <is>
          <t>-</t>
        </is>
      </c>
      <c r="H1382" s="1393" t="inlineStr">
        <is>
          <t>Beatty</t>
        </is>
      </c>
      <c r="I1382" s="1393" t="inlineStr">
        <is>
          <t>-</t>
        </is>
      </c>
      <c r="J1382" s="1393" t="inlineStr">
        <is>
          <t>-</t>
        </is>
      </c>
      <c r="K1382" s="1395">
        <f>IF(raw[[#This Row],[city]]&lt;&gt;"",_xlfn.XLOOKUP($D1382,ccc[city],ccc[prov],"-"),"-")</f>
        <v/>
      </c>
      <c r="L1382" s="1395">
        <f>IF(raw[[#This Row],[city]]&lt;&gt;"",_xlfn.XLOOKUP($D1382,ccc[city],ccc[ctry],"-"),"-")</f>
        <v/>
      </c>
      <c r="M1382" s="1395">
        <f>IF(raw[[#This Row],[city]]&lt;&gt;"",_xlfn.XLOOKUP($D1382,ccc[city],ccc[cont],"-"),"-")</f>
        <v/>
      </c>
      <c r="N1382" s="1396">
        <f>IF(raw[[#This Row],[city]]="","-",IF(raw[[#This Row],[cont]]="B",raw[[#This Row],[cont]],"W"))</f>
        <v/>
      </c>
      <c r="O1382" s="1397">
        <f>IF(raw[[#This Row],[out]]=0,0,IF(raw[[#This Row],[out]]=raw[[#This Row],[in]],0.01,raw[[#This Row],[out]]-raw[[#This Row],[in]]))</f>
        <v/>
      </c>
      <c r="P1382" s="1397">
        <f>IF(raw[[#This Row],[in]]=0,0,MONTH(raw[[#This Row],[in]]))</f>
        <v/>
      </c>
      <c r="Q1382" s="1397">
        <f>IF(raw[[#This Row],[in]]=0,0,YEAR(raw[[#This Row],[in]]))</f>
        <v/>
      </c>
      <c r="R1382" s="1397">
        <f>INT(raw[[#This Row],[yr]]/10)*10</f>
        <v/>
      </c>
      <c r="S1382" s="1395">
        <f>IF(raw[[#This Row],[city]]="","-",IF(raw[[#This Row],[city]]&lt;&gt;_xlfn.XLOOKUP(raw[[#This Row],[home]],homes[home],homes[city],"-"),1,0))</f>
        <v/>
      </c>
      <c r="T1382" s="1398" t="inlineStr">
        <is>
          <t>.</t>
        </is>
      </c>
      <c r="U1382" s="1399">
        <f>IF(raw[[#This Row],[wb]]="w",raw[[#This Row],[stay]]+U1381,U1381)</f>
        <v/>
      </c>
      <c r="V1382" s="1400">
        <f>IF(raw[[#This Row],[out]]=0,V1381,(raw[[#This Row],[out]]-E$5))</f>
        <v/>
      </c>
      <c r="W1382" s="1401">
        <f>U1382/V1382</f>
        <v/>
      </c>
      <c r="X1382" s="1392" t="n"/>
      <c r="Y1382" s="1392" t="n"/>
      <c r="Z1382" s="1392" t="n"/>
      <c r="AA1382" s="1392" t="n"/>
      <c r="AB1382" s="1392" t="n"/>
      <c r="AC1382" s="1392" t="n"/>
      <c r="AD1382" s="1392" t="n"/>
      <c r="AE1382" s="1392" t="n"/>
      <c r="AF1382" s="1392" t="n"/>
      <c r="AG1382" s="1392" t="n"/>
      <c r="AH1382" s="1392" t="n"/>
      <c r="AI1382" s="1392" t="n"/>
      <c r="AJ1382" s="1392" t="n"/>
      <c r="AK1382" s="1392" t="n"/>
      <c r="AL1382" s="1392" t="n"/>
      <c r="AM1382" s="1392" t="n"/>
      <c r="AN1382" s="1392" t="n"/>
      <c r="AO1382" s="1392" t="n"/>
      <c r="AP1382" s="1392" t="n"/>
      <c r="AQ1382" s="1392" t="n"/>
      <c r="AR1382" s="1422" t="n"/>
      <c r="AS1382" s="1422" t="n"/>
      <c r="AT1382" s="1392" t="n"/>
      <c r="AU1382" s="1392" t="n"/>
      <c r="AV1382" s="1392" t="n"/>
      <c r="AW1382" s="1392" t="n"/>
      <c r="AX1382" s="1392" t="n"/>
      <c r="AY1382" s="1392" t="n"/>
      <c r="AZ1382" s="1392" t="n"/>
      <c r="BA1382" s="1422" t="n"/>
      <c r="BB1382" s="1422" t="n"/>
      <c r="BC1382" s="1392" t="n"/>
      <c r="BD1382" s="1392" t="n"/>
      <c r="BE1382" s="1392" t="n"/>
      <c r="BF1382" s="1392" t="n"/>
      <c r="BG1382" s="1392" t="n"/>
      <c r="BH1382" s="1392" t="n"/>
      <c r="BI1382" s="1392" t="n"/>
      <c r="BJ1382" s="1392" t="n"/>
      <c r="BK1382" s="1392" t="n"/>
      <c r="BL1382" s="1392" t="n"/>
      <c r="BM1382" s="1392" t="n"/>
      <c r="BN1382" s="1392" t="n"/>
      <c r="BO1382" s="1392" t="n"/>
      <c r="BP1382" s="1392" t="n"/>
      <c r="BQ1382" s="1392" t="n"/>
      <c r="BR1382" s="1392" t="n"/>
      <c r="BS1382" s="1392" t="n"/>
      <c r="BT1382" s="1392" t="n"/>
      <c r="BU1382" s="1392" t="n"/>
      <c r="BV1382" s="1392" t="n"/>
      <c r="BW1382" s="1392" t="n"/>
      <c r="BX1382" s="1392" t="n"/>
      <c r="BY1382" s="1392" t="n"/>
      <c r="BZ1382" s="1392" t="n"/>
      <c r="CA1382" s="1392" t="n"/>
      <c r="CB1382" s="1392" t="n"/>
      <c r="CC1382" s="1392" t="n"/>
      <c r="CD1382" s="1392" t="n"/>
      <c r="CE1382" s="1392" t="n"/>
      <c r="CF1382" s="1392" t="n"/>
      <c r="CG1382" s="1392" t="n"/>
      <c r="CH1382" s="1392" t="n"/>
      <c r="CI1382" s="1392" t="n"/>
      <c r="CJ1382" s="1392" t="n"/>
      <c r="CK1382" s="1392" t="n"/>
      <c r="CL1382" s="1392" t="n"/>
    </row>
    <row r="1383">
      <c r="A1383" s="5" t="inlineStr">
        <is>
          <t>.</t>
        </is>
      </c>
      <c r="B1383" s="5" t="inlineStr">
        <is>
          <t>.</t>
        </is>
      </c>
      <c r="C1383" s="1378">
        <f>IF(raw[[#This Row],[city]]="","-",IF(raw[[#This Row],[city]]="TODAY","-",C1382+1))</f>
        <v/>
      </c>
      <c r="D1383" s="1393" t="inlineStr">
        <is>
          <t>Bromont</t>
        </is>
      </c>
      <c r="E1383" s="1394" t="n">
        <v>42316</v>
      </c>
      <c r="F1383" s="1394" t="n">
        <v>42316</v>
      </c>
      <c r="G1383" s="1393" t="inlineStr">
        <is>
          <t>-</t>
        </is>
      </c>
      <c r="H1383" s="1393" t="inlineStr">
        <is>
          <t>Beatty</t>
        </is>
      </c>
      <c r="I1383" s="1393" t="inlineStr">
        <is>
          <t>-</t>
        </is>
      </c>
      <c r="J1383" s="1393" t="inlineStr">
        <is>
          <t>-</t>
        </is>
      </c>
      <c r="K1383" s="1395">
        <f>IF(raw[[#This Row],[city]]&lt;&gt;"",_xlfn.XLOOKUP($D1383,ccc[city],ccc[prov],"-"),"-")</f>
        <v/>
      </c>
      <c r="L1383" s="1395">
        <f>IF(raw[[#This Row],[city]]&lt;&gt;"",_xlfn.XLOOKUP($D1383,ccc[city],ccc[ctry],"-"),"-")</f>
        <v/>
      </c>
      <c r="M1383" s="1395">
        <f>IF(raw[[#This Row],[city]]&lt;&gt;"",_xlfn.XLOOKUP($D1383,ccc[city],ccc[cont],"-"),"-")</f>
        <v/>
      </c>
      <c r="N1383" s="1396">
        <f>IF(raw[[#This Row],[city]]="","-",IF(raw[[#This Row],[cont]]="B",raw[[#This Row],[cont]],"W"))</f>
        <v/>
      </c>
      <c r="O1383" s="1397">
        <f>IF(raw[[#This Row],[out]]=0,0,IF(raw[[#This Row],[out]]=raw[[#This Row],[in]],0.01,raw[[#This Row],[out]]-raw[[#This Row],[in]]))</f>
        <v/>
      </c>
      <c r="P1383" s="1397">
        <f>IF(raw[[#This Row],[in]]=0,0,MONTH(raw[[#This Row],[in]]))</f>
        <v/>
      </c>
      <c r="Q1383" s="1397">
        <f>IF(raw[[#This Row],[in]]=0,0,YEAR(raw[[#This Row],[in]]))</f>
        <v/>
      </c>
      <c r="R1383" s="1397">
        <f>INT(raw[[#This Row],[yr]]/10)*10</f>
        <v/>
      </c>
      <c r="S1383" s="1395">
        <f>IF(raw[[#This Row],[city]]="","-",IF(raw[[#This Row],[city]]&lt;&gt;_xlfn.XLOOKUP(raw[[#This Row],[home]],homes[home],homes[city],"-"),1,0))</f>
        <v/>
      </c>
      <c r="T1383" s="1398" t="inlineStr">
        <is>
          <t>.</t>
        </is>
      </c>
      <c r="U1383" s="1399">
        <f>IF(raw[[#This Row],[wb]]="w",raw[[#This Row],[stay]]+U1382,U1382)</f>
        <v/>
      </c>
      <c r="V1383" s="1400">
        <f>IF(raw[[#This Row],[out]]=0,V1382,(raw[[#This Row],[out]]-E$5))</f>
        <v/>
      </c>
      <c r="W1383" s="1401">
        <f>U1383/V1383</f>
        <v/>
      </c>
      <c r="X1383" s="1392" t="n"/>
      <c r="Y1383" s="1392" t="n"/>
      <c r="Z1383" s="1392" t="n"/>
      <c r="AA1383" s="1392" t="n"/>
      <c r="AB1383" s="1392" t="n"/>
      <c r="AC1383" s="1392" t="n"/>
      <c r="AD1383" s="1392" t="n"/>
      <c r="AE1383" s="1392" t="n"/>
      <c r="AF1383" s="1392" t="n"/>
      <c r="AG1383" s="1392" t="n"/>
      <c r="AH1383" s="1392" t="n"/>
      <c r="AI1383" s="1392" t="n"/>
      <c r="AJ1383" s="1392" t="n"/>
      <c r="AK1383" s="1392" t="n"/>
      <c r="AL1383" s="1392" t="n"/>
      <c r="AM1383" s="1392" t="n"/>
      <c r="AN1383" s="1392" t="n"/>
      <c r="AO1383" s="1392" t="n"/>
      <c r="AP1383" s="1392" t="n"/>
      <c r="AQ1383" s="1392" t="n"/>
      <c r="AR1383" s="1422" t="n"/>
      <c r="AS1383" s="1422" t="n"/>
      <c r="AT1383" s="1392" t="n"/>
      <c r="AU1383" s="1392" t="n"/>
      <c r="AV1383" s="1392" t="n"/>
      <c r="AW1383" s="1392" t="n"/>
      <c r="AX1383" s="1392" t="n"/>
      <c r="AY1383" s="1392" t="n"/>
      <c r="AZ1383" s="1392" t="n"/>
      <c r="BA1383" s="1422" t="n"/>
      <c r="BB1383" s="1422" t="n"/>
      <c r="BC1383" s="1392" t="n"/>
      <c r="BD1383" s="1392" t="n"/>
      <c r="BE1383" s="1392" t="n"/>
      <c r="BF1383" s="1392" t="n"/>
      <c r="BG1383" s="1392" t="n"/>
      <c r="BH1383" s="1392" t="n"/>
      <c r="BI1383" s="1392" t="n"/>
      <c r="BJ1383" s="1392" t="n"/>
      <c r="BK1383" s="1392" t="n"/>
      <c r="BL1383" s="1392" t="n"/>
      <c r="BM1383" s="1392" t="n"/>
      <c r="BN1383" s="1392" t="n"/>
      <c r="BO1383" s="1392" t="n"/>
      <c r="BP1383" s="1392" t="n"/>
      <c r="BQ1383" s="1392" t="n"/>
      <c r="BR1383" s="1392" t="n"/>
      <c r="BS1383" s="1392" t="n"/>
      <c r="BT1383" s="1392" t="n"/>
      <c r="BU1383" s="1392" t="n"/>
      <c r="BV1383" s="1392" t="n"/>
      <c r="BW1383" s="1392" t="n"/>
      <c r="BX1383" s="1392" t="n"/>
      <c r="BY1383" s="1392" t="n"/>
      <c r="BZ1383" s="1392" t="n"/>
      <c r="CA1383" s="1392" t="n"/>
      <c r="CB1383" s="1392" t="n"/>
      <c r="CC1383" s="1392" t="n"/>
      <c r="CD1383" s="1392" t="n"/>
      <c r="CE1383" s="1392" t="n"/>
      <c r="CF1383" s="1392" t="n"/>
      <c r="CG1383" s="1392" t="n"/>
      <c r="CH1383" s="1392" t="n"/>
      <c r="CI1383" s="1392" t="n"/>
      <c r="CJ1383" s="1392" t="n"/>
      <c r="CK1383" s="1392" t="n"/>
      <c r="CL1383" s="1392" t="n"/>
    </row>
    <row r="1384">
      <c r="A1384" s="5" t="inlineStr">
        <is>
          <t>.</t>
        </is>
      </c>
      <c r="B1384" s="5" t="inlineStr">
        <is>
          <t>.</t>
        </is>
      </c>
      <c r="C1384" s="1378">
        <f>IF(raw[[#This Row],[city]]="","-",IF(raw[[#This Row],[city]]="TODAY","-",C1383+1))</f>
        <v/>
      </c>
      <c r="D1384" s="1393" t="inlineStr">
        <is>
          <t>Trois-Rivieres</t>
        </is>
      </c>
      <c r="E1384" s="1394" t="n">
        <v>42327</v>
      </c>
      <c r="F1384" s="1394" t="n">
        <v>42327</v>
      </c>
      <c r="G1384" s="1393" t="inlineStr">
        <is>
          <t>-</t>
        </is>
      </c>
      <c r="H1384" s="1393" t="inlineStr">
        <is>
          <t>Beatty</t>
        </is>
      </c>
      <c r="I1384" s="1393" t="n"/>
      <c r="J1384" s="1393" t="inlineStr">
        <is>
          <t>-</t>
        </is>
      </c>
      <c r="K1384" s="1395">
        <f>IF(raw[[#This Row],[city]]&lt;&gt;"",_xlfn.XLOOKUP($D1384,ccc[city],ccc[prov],"-"),"-")</f>
        <v/>
      </c>
      <c r="L1384" s="1395">
        <f>IF(raw[[#This Row],[city]]&lt;&gt;"",_xlfn.XLOOKUP($D1384,ccc[city],ccc[ctry],"-"),"-")</f>
        <v/>
      </c>
      <c r="M1384" s="1395">
        <f>IF(raw[[#This Row],[city]]&lt;&gt;"",_xlfn.XLOOKUP($D1384,ccc[city],ccc[cont],"-"),"-")</f>
        <v/>
      </c>
      <c r="N1384" s="1396">
        <f>IF(raw[[#This Row],[city]]="","-",IF(raw[[#This Row],[cont]]="B",raw[[#This Row],[cont]],"W"))</f>
        <v/>
      </c>
      <c r="O1384" s="1397">
        <f>IF(raw[[#This Row],[out]]=0,0,IF(raw[[#This Row],[out]]=raw[[#This Row],[in]],0.01,raw[[#This Row],[out]]-raw[[#This Row],[in]]))</f>
        <v/>
      </c>
      <c r="P1384" s="1397">
        <f>IF(raw[[#This Row],[in]]=0,0,MONTH(raw[[#This Row],[in]]))</f>
        <v/>
      </c>
      <c r="Q1384" s="1397">
        <f>IF(raw[[#This Row],[in]]=0,0,YEAR(raw[[#This Row],[in]]))</f>
        <v/>
      </c>
      <c r="R1384" s="1397">
        <f>INT(raw[[#This Row],[yr]]/10)*10</f>
        <v/>
      </c>
      <c r="S1384" s="1395">
        <f>IF(raw[[#This Row],[city]]="","-",IF(raw[[#This Row],[city]]&lt;&gt;_xlfn.XLOOKUP(raw[[#This Row],[home]],homes[home],homes[city],"-"),1,0))</f>
        <v/>
      </c>
      <c r="T1384" s="1398" t="inlineStr">
        <is>
          <t>.</t>
        </is>
      </c>
      <c r="U1384" s="1399">
        <f>IF(raw[[#This Row],[wb]]="w",raw[[#This Row],[stay]]+U1383,U1383)</f>
        <v/>
      </c>
      <c r="V1384" s="1400">
        <f>IF(raw[[#This Row],[out]]=0,V1383,(raw[[#This Row],[out]]-E$5))</f>
        <v/>
      </c>
      <c r="W1384" s="1401">
        <f>U1384/V1384</f>
        <v/>
      </c>
      <c r="X1384" s="1392" t="n"/>
      <c r="Y1384" s="1392" t="n"/>
      <c r="Z1384" s="1392" t="n"/>
      <c r="AA1384" s="1392" t="n"/>
      <c r="AB1384" s="1392" t="n"/>
      <c r="AC1384" s="1392" t="n"/>
      <c r="AD1384" s="1392" t="n"/>
      <c r="AE1384" s="1392" t="n"/>
      <c r="AF1384" s="1392" t="n"/>
      <c r="AG1384" s="1392" t="n"/>
      <c r="AH1384" s="1392" t="n"/>
      <c r="AI1384" s="1392" t="n"/>
      <c r="AJ1384" s="1392" t="n"/>
      <c r="AK1384" s="1392" t="n"/>
      <c r="AL1384" s="1392" t="n"/>
      <c r="AM1384" s="1392" t="n"/>
      <c r="AN1384" s="1392" t="n"/>
      <c r="AO1384" s="1392" t="n"/>
      <c r="AP1384" s="1392" t="n"/>
      <c r="AQ1384" s="1392" t="n"/>
      <c r="AR1384" s="1422" t="n"/>
      <c r="AS1384" s="1422" t="n"/>
      <c r="AT1384" s="1392" t="n"/>
      <c r="AU1384" s="1392" t="n"/>
      <c r="AV1384" s="1392" t="n"/>
      <c r="AW1384" s="1392" t="n"/>
      <c r="AX1384" s="1392" t="n"/>
      <c r="AY1384" s="1392" t="n"/>
      <c r="AZ1384" s="1392" t="n"/>
      <c r="BA1384" s="1422" t="n"/>
      <c r="BB1384" s="1422" t="n"/>
      <c r="BC1384" s="1392" t="n"/>
      <c r="BD1384" s="1392" t="n"/>
      <c r="BE1384" s="1392" t="n"/>
      <c r="BF1384" s="1392" t="n"/>
      <c r="BG1384" s="1392" t="n"/>
      <c r="BH1384" s="1392" t="n"/>
      <c r="BI1384" s="1392" t="n"/>
      <c r="BJ1384" s="1392" t="n"/>
      <c r="BK1384" s="1392" t="n"/>
      <c r="BL1384" s="1392" t="n"/>
      <c r="BM1384" s="1392" t="n"/>
      <c r="BN1384" s="1392" t="n"/>
      <c r="BO1384" s="1392" t="n"/>
      <c r="BP1384" s="1392" t="n"/>
      <c r="BQ1384" s="1392" t="n"/>
      <c r="BR1384" s="1392" t="n"/>
      <c r="BS1384" s="1392" t="n"/>
      <c r="BT1384" s="1392" t="n"/>
      <c r="BU1384" s="1392" t="n"/>
      <c r="BV1384" s="1392" t="n"/>
      <c r="BW1384" s="1392" t="n"/>
      <c r="BX1384" s="1392" t="n"/>
      <c r="BY1384" s="1392" t="n"/>
      <c r="BZ1384" s="1392" t="n"/>
      <c r="CA1384" s="1392" t="n"/>
      <c r="CB1384" s="1392" t="n"/>
      <c r="CC1384" s="1392" t="n"/>
      <c r="CD1384" s="1392" t="n"/>
      <c r="CE1384" s="1392" t="n"/>
      <c r="CF1384" s="1392" t="n"/>
      <c r="CG1384" s="1392" t="n"/>
      <c r="CH1384" s="1392" t="n"/>
      <c r="CI1384" s="1392" t="n"/>
      <c r="CJ1384" s="1392" t="n"/>
      <c r="CK1384" s="1392" t="n"/>
      <c r="CL1384" s="1392" t="n"/>
    </row>
    <row r="1385">
      <c r="A1385" s="5" t="inlineStr">
        <is>
          <t>.</t>
        </is>
      </c>
      <c r="B1385" s="5" t="inlineStr">
        <is>
          <t>.</t>
        </is>
      </c>
      <c r="C1385" s="1378">
        <f>IF(raw[[#This Row],[city]]="","-",IF(raw[[#This Row],[city]]="TODAY","-",C1384+1))</f>
        <v/>
      </c>
      <c r="D1385" s="1393" t="inlineStr">
        <is>
          <t>Montreal</t>
        </is>
      </c>
      <c r="E1385" s="1394" t="n">
        <v>42328</v>
      </c>
      <c r="F1385" s="1394" t="n">
        <v>42328</v>
      </c>
      <c r="G1385" s="1393" t="n">
        <v>1</v>
      </c>
      <c r="H1385" s="1393" t="inlineStr">
        <is>
          <t>Beatty</t>
        </is>
      </c>
      <c r="I1385" s="1393" t="inlineStr">
        <is>
          <t>-</t>
        </is>
      </c>
      <c r="J1385" s="1393" t="inlineStr">
        <is>
          <t>-</t>
        </is>
      </c>
      <c r="K1385" s="1395">
        <f>IF(raw[[#This Row],[city]]&lt;&gt;"",_xlfn.XLOOKUP($D1385,ccc[city],ccc[prov],"-"),"-")</f>
        <v/>
      </c>
      <c r="L1385" s="1395">
        <f>IF(raw[[#This Row],[city]]&lt;&gt;"",_xlfn.XLOOKUP($D1385,ccc[city],ccc[ctry],"-"),"-")</f>
        <v/>
      </c>
      <c r="M1385" s="1395">
        <f>IF(raw[[#This Row],[city]]&lt;&gt;"",_xlfn.XLOOKUP($D1385,ccc[city],ccc[cont],"-"),"-")</f>
        <v/>
      </c>
      <c r="N1385" s="1396">
        <f>IF(raw[[#This Row],[city]]="","-",IF(raw[[#This Row],[cont]]="B",raw[[#This Row],[cont]],"W"))</f>
        <v/>
      </c>
      <c r="O1385" s="1397">
        <f>IF(raw[[#This Row],[out]]=0,0,IF(raw[[#This Row],[out]]=raw[[#This Row],[in]],0.01,raw[[#This Row],[out]]-raw[[#This Row],[in]]))</f>
        <v/>
      </c>
      <c r="P1385" s="1397">
        <f>IF(raw[[#This Row],[in]]=0,0,MONTH(raw[[#This Row],[in]]))</f>
        <v/>
      </c>
      <c r="Q1385" s="1397">
        <f>IF(raw[[#This Row],[in]]=0,0,YEAR(raw[[#This Row],[in]]))</f>
        <v/>
      </c>
      <c r="R1385" s="1397">
        <f>INT(raw[[#This Row],[yr]]/10)*10</f>
        <v/>
      </c>
      <c r="S1385" s="1395">
        <f>IF(raw[[#This Row],[city]]="","-",IF(raw[[#This Row],[city]]&lt;&gt;_xlfn.XLOOKUP(raw[[#This Row],[home]],homes[home],homes[city],"-"),1,0))</f>
        <v/>
      </c>
      <c r="T1385" s="1398" t="inlineStr">
        <is>
          <t>.</t>
        </is>
      </c>
      <c r="U1385" s="1399">
        <f>IF(raw[[#This Row],[wb]]="w",raw[[#This Row],[stay]]+U1384,U1384)</f>
        <v/>
      </c>
      <c r="V1385" s="1400">
        <f>IF(raw[[#This Row],[out]]=0,V1384,(raw[[#This Row],[out]]-E$5))</f>
        <v/>
      </c>
      <c r="W1385" s="1401">
        <f>U1385/V1385</f>
        <v/>
      </c>
      <c r="X1385" s="1392" t="n"/>
      <c r="Y1385" s="1392" t="n"/>
      <c r="Z1385" s="1392" t="n"/>
      <c r="AA1385" s="1392" t="n"/>
      <c r="AB1385" s="1392" t="n"/>
      <c r="AC1385" s="1392" t="n"/>
      <c r="AD1385" s="1392" t="n"/>
      <c r="AE1385" s="1392" t="n"/>
      <c r="AF1385" s="1392" t="n"/>
      <c r="AG1385" s="1392" t="n"/>
      <c r="AH1385" s="1392" t="n"/>
      <c r="AI1385" s="1392" t="n"/>
      <c r="AJ1385" s="1392" t="n"/>
      <c r="AK1385" s="1392" t="n"/>
      <c r="AL1385" s="1392" t="n"/>
      <c r="AM1385" s="1392" t="n"/>
      <c r="AN1385" s="1392" t="n"/>
      <c r="AO1385" s="1392" t="n"/>
      <c r="AP1385" s="1392" t="n"/>
      <c r="AQ1385" s="1392" t="n"/>
      <c r="AR1385" s="1422" t="n"/>
      <c r="AS1385" s="1422" t="n"/>
      <c r="AT1385" s="1392" t="n"/>
      <c r="AU1385" s="1392" t="n"/>
      <c r="AV1385" s="1392" t="n"/>
      <c r="AW1385" s="1392" t="n"/>
      <c r="AX1385" s="1392" t="n"/>
      <c r="AY1385" s="1392" t="n"/>
      <c r="AZ1385" s="1392" t="n"/>
      <c r="BA1385" s="1422" t="n"/>
      <c r="BB1385" s="1422" t="n"/>
      <c r="BC1385" s="1392" t="n"/>
      <c r="BD1385" s="1392" t="n"/>
      <c r="BE1385" s="1392" t="n"/>
      <c r="BF1385" s="1392" t="n"/>
      <c r="BG1385" s="1392" t="n"/>
      <c r="BH1385" s="1392" t="n"/>
      <c r="BI1385" s="1392" t="n"/>
      <c r="BJ1385" s="1392" t="n"/>
      <c r="BK1385" s="1392" t="n"/>
      <c r="BL1385" s="1392" t="n"/>
      <c r="BM1385" s="1392" t="n"/>
      <c r="BN1385" s="1392" t="n"/>
      <c r="BO1385" s="1392" t="n"/>
      <c r="BP1385" s="1392" t="n"/>
      <c r="BQ1385" s="1392" t="n"/>
      <c r="BR1385" s="1392" t="n"/>
      <c r="BS1385" s="1392" t="n"/>
      <c r="BT1385" s="1392" t="n"/>
      <c r="BU1385" s="1392" t="n"/>
      <c r="BV1385" s="1392" t="n"/>
      <c r="BW1385" s="1392" t="n"/>
      <c r="BX1385" s="1392" t="n"/>
      <c r="BY1385" s="1392" t="n"/>
      <c r="BZ1385" s="1392" t="n"/>
      <c r="CA1385" s="1392" t="n"/>
      <c r="CB1385" s="1392" t="n"/>
      <c r="CC1385" s="1392" t="n"/>
      <c r="CD1385" s="1392" t="n"/>
      <c r="CE1385" s="1392" t="n"/>
      <c r="CF1385" s="1392" t="n"/>
      <c r="CG1385" s="1392" t="n"/>
      <c r="CH1385" s="1392" t="n"/>
      <c r="CI1385" s="1392" t="n"/>
      <c r="CJ1385" s="1392" t="n"/>
      <c r="CK1385" s="1392" t="n"/>
      <c r="CL1385" s="1392" t="n"/>
    </row>
    <row r="1386">
      <c r="A1386" s="5" t="inlineStr">
        <is>
          <t>.</t>
        </is>
      </c>
      <c r="B1386" s="5" t="inlineStr">
        <is>
          <t>.</t>
        </is>
      </c>
      <c r="C1386" s="1378">
        <f>IF(raw[[#This Row],[city]]="","-",IF(raw[[#This Row],[city]]="TODAY","-",C1385+1))</f>
        <v/>
      </c>
      <c r="D1386" s="1393" t="inlineStr">
        <is>
          <t>Halifax</t>
        </is>
      </c>
      <c r="E1386" s="1394" t="n">
        <v>42328</v>
      </c>
      <c r="F1386" s="1394" t="n">
        <v>42329</v>
      </c>
      <c r="G1386" s="1393" t="n">
        <v>1</v>
      </c>
      <c r="H1386" s="1393" t="inlineStr">
        <is>
          <t>Beatty</t>
        </is>
      </c>
      <c r="I1386" s="1393" t="inlineStr">
        <is>
          <t>-</t>
        </is>
      </c>
      <c r="J1386" s="1393" t="inlineStr">
        <is>
          <t>-</t>
        </is>
      </c>
      <c r="K1386" s="1395">
        <f>IF(raw[[#This Row],[city]]&lt;&gt;"",_xlfn.XLOOKUP($D1386,ccc[city],ccc[prov],"-"),"-")</f>
        <v/>
      </c>
      <c r="L1386" s="1395">
        <f>IF(raw[[#This Row],[city]]&lt;&gt;"",_xlfn.XLOOKUP($D1386,ccc[city],ccc[ctry],"-"),"-")</f>
        <v/>
      </c>
      <c r="M1386" s="1395">
        <f>IF(raw[[#This Row],[city]]&lt;&gt;"",_xlfn.XLOOKUP($D1386,ccc[city],ccc[cont],"-"),"-")</f>
        <v/>
      </c>
      <c r="N1386" s="1396">
        <f>IF(raw[[#This Row],[city]]="","-",IF(raw[[#This Row],[cont]]="B",raw[[#This Row],[cont]],"W"))</f>
        <v/>
      </c>
      <c r="O1386" s="1397">
        <f>IF(raw[[#This Row],[out]]=0,0,IF(raw[[#This Row],[out]]=raw[[#This Row],[in]],0.01,raw[[#This Row],[out]]-raw[[#This Row],[in]]))</f>
        <v/>
      </c>
      <c r="P1386" s="1397">
        <f>IF(raw[[#This Row],[in]]=0,0,MONTH(raw[[#This Row],[in]]))</f>
        <v/>
      </c>
      <c r="Q1386" s="1397">
        <f>IF(raw[[#This Row],[in]]=0,0,YEAR(raw[[#This Row],[in]]))</f>
        <v/>
      </c>
      <c r="R1386" s="1397">
        <f>INT(raw[[#This Row],[yr]]/10)*10</f>
        <v/>
      </c>
      <c r="S1386" s="1395">
        <f>IF(raw[[#This Row],[city]]="","-",IF(raw[[#This Row],[city]]&lt;&gt;_xlfn.XLOOKUP(raw[[#This Row],[home]],homes[home],homes[city],"-"),1,0))</f>
        <v/>
      </c>
      <c r="T1386" s="1398" t="inlineStr">
        <is>
          <t>.</t>
        </is>
      </c>
      <c r="U1386" s="1399">
        <f>IF(raw[[#This Row],[wb]]="w",raw[[#This Row],[stay]]+U1385,U1385)</f>
        <v/>
      </c>
      <c r="V1386" s="1400">
        <f>IF(raw[[#This Row],[out]]=0,V1385,(raw[[#This Row],[out]]-E$5))</f>
        <v/>
      </c>
      <c r="W1386" s="1401">
        <f>U1386/V1386</f>
        <v/>
      </c>
      <c r="X1386" s="1392" t="n"/>
      <c r="Y1386" s="1392" t="n"/>
      <c r="Z1386" s="1392" t="n"/>
      <c r="AA1386" s="1392" t="n"/>
      <c r="AB1386" s="1392" t="n"/>
      <c r="AC1386" s="1392" t="n"/>
      <c r="AD1386" s="1392" t="n"/>
      <c r="AE1386" s="1392" t="n"/>
      <c r="AF1386" s="1392" t="n"/>
      <c r="AG1386" s="1392" t="n"/>
      <c r="AH1386" s="1392" t="n"/>
      <c r="AI1386" s="1392" t="n"/>
      <c r="AJ1386" s="1392" t="n"/>
      <c r="AK1386" s="1392" t="n"/>
      <c r="AL1386" s="1392" t="n"/>
      <c r="AM1386" s="1392" t="n"/>
      <c r="AN1386" s="1392" t="n"/>
      <c r="AO1386" s="1392" t="n"/>
      <c r="AP1386" s="1392" t="n"/>
      <c r="AQ1386" s="1392" t="n"/>
      <c r="AR1386" s="1422" t="n"/>
      <c r="AS1386" s="1422" t="n"/>
      <c r="AT1386" s="1392" t="n"/>
      <c r="AU1386" s="1392" t="n"/>
      <c r="AV1386" s="1392" t="n"/>
      <c r="AW1386" s="1392" t="n"/>
      <c r="AX1386" s="1392" t="n"/>
      <c r="AY1386" s="1392" t="n"/>
      <c r="AZ1386" s="1392" t="n"/>
      <c r="BA1386" s="1422" t="n"/>
      <c r="BB1386" s="1422" t="n"/>
      <c r="BC1386" s="1392" t="n"/>
      <c r="BD1386" s="1392" t="n"/>
      <c r="BE1386" s="1392" t="n"/>
      <c r="BF1386" s="1392" t="n"/>
      <c r="BG1386" s="1392" t="n"/>
      <c r="BH1386" s="1392" t="n"/>
      <c r="BI1386" s="1392" t="n"/>
      <c r="BJ1386" s="1392" t="n"/>
      <c r="BK1386" s="1392" t="n"/>
      <c r="BL1386" s="1392" t="n"/>
      <c r="BM1386" s="1392" t="n"/>
      <c r="BN1386" s="1392" t="n"/>
      <c r="BO1386" s="1392" t="n"/>
      <c r="BP1386" s="1392" t="n"/>
      <c r="BQ1386" s="1392" t="n"/>
      <c r="BR1386" s="1392" t="n"/>
      <c r="BS1386" s="1392" t="n"/>
      <c r="BT1386" s="1392" t="n"/>
      <c r="BU1386" s="1392" t="n"/>
      <c r="BV1386" s="1392" t="n"/>
      <c r="BW1386" s="1392" t="n"/>
      <c r="BX1386" s="1392" t="n"/>
      <c r="BY1386" s="1392" t="n"/>
      <c r="BZ1386" s="1392" t="n"/>
      <c r="CA1386" s="1392" t="n"/>
      <c r="CB1386" s="1392" t="n"/>
      <c r="CC1386" s="1392" t="n"/>
      <c r="CD1386" s="1392" t="n"/>
      <c r="CE1386" s="1392" t="n"/>
      <c r="CF1386" s="1392" t="n"/>
      <c r="CG1386" s="1392" t="n"/>
      <c r="CH1386" s="1392" t="n"/>
      <c r="CI1386" s="1392" t="n"/>
      <c r="CJ1386" s="1392" t="n"/>
      <c r="CK1386" s="1392" t="n"/>
      <c r="CL1386" s="1392" t="n"/>
    </row>
    <row r="1387">
      <c r="A1387" s="5" t="inlineStr">
        <is>
          <t>.</t>
        </is>
      </c>
      <c r="B1387" s="5" t="inlineStr">
        <is>
          <t>.</t>
        </is>
      </c>
      <c r="C1387" s="1378">
        <f>IF(raw[[#This Row],[city]]="","-",IF(raw[[#This Row],[city]]="TODAY","-",C1386+1))</f>
        <v/>
      </c>
      <c r="D1387" s="1393" t="inlineStr">
        <is>
          <t>Montreal</t>
        </is>
      </c>
      <c r="E1387" s="1394" t="n">
        <v>42329</v>
      </c>
      <c r="F1387" s="1394" t="n">
        <v>42339</v>
      </c>
      <c r="G1387" s="1393" t="inlineStr">
        <is>
          <t>-</t>
        </is>
      </c>
      <c r="H1387" s="1393" t="inlineStr">
        <is>
          <t>Beatty</t>
        </is>
      </c>
      <c r="I1387" s="1393" t="inlineStr">
        <is>
          <t>-</t>
        </is>
      </c>
      <c r="J1387" s="1393" t="inlineStr">
        <is>
          <t>-</t>
        </is>
      </c>
      <c r="K1387" s="1395">
        <f>IF(raw[[#This Row],[city]]&lt;&gt;"",_xlfn.XLOOKUP($D1387,ccc[city],ccc[prov],"-"),"-")</f>
        <v/>
      </c>
      <c r="L1387" s="1395">
        <f>IF(raw[[#This Row],[city]]&lt;&gt;"",_xlfn.XLOOKUP($D1387,ccc[city],ccc[ctry],"-"),"-")</f>
        <v/>
      </c>
      <c r="M1387" s="1395">
        <f>IF(raw[[#This Row],[city]]&lt;&gt;"",_xlfn.XLOOKUP($D1387,ccc[city],ccc[cont],"-"),"-")</f>
        <v/>
      </c>
      <c r="N1387" s="1396">
        <f>IF(raw[[#This Row],[city]]="","-",IF(raw[[#This Row],[cont]]="B",raw[[#This Row],[cont]],"W"))</f>
        <v/>
      </c>
      <c r="O1387" s="1397">
        <f>IF(raw[[#This Row],[out]]=0,0,IF(raw[[#This Row],[out]]=raw[[#This Row],[in]],0.01,raw[[#This Row],[out]]-raw[[#This Row],[in]]))</f>
        <v/>
      </c>
      <c r="P1387" s="1397">
        <f>IF(raw[[#This Row],[in]]=0,0,MONTH(raw[[#This Row],[in]]))</f>
        <v/>
      </c>
      <c r="Q1387" s="1397">
        <f>IF(raw[[#This Row],[in]]=0,0,YEAR(raw[[#This Row],[in]]))</f>
        <v/>
      </c>
      <c r="R1387" s="1397">
        <f>INT(raw[[#This Row],[yr]]/10)*10</f>
        <v/>
      </c>
      <c r="S1387" s="1395">
        <f>IF(raw[[#This Row],[city]]="","-",IF(raw[[#This Row],[city]]&lt;&gt;_xlfn.XLOOKUP(raw[[#This Row],[home]],homes[home],homes[city],"-"),1,0))</f>
        <v/>
      </c>
      <c r="T1387" s="1398" t="inlineStr">
        <is>
          <t>.</t>
        </is>
      </c>
      <c r="U1387" s="1399">
        <f>IF(raw[[#This Row],[wb]]="w",raw[[#This Row],[stay]]+U1386,U1386)</f>
        <v/>
      </c>
      <c r="V1387" s="1400">
        <f>IF(raw[[#This Row],[out]]=0,V1386,(raw[[#This Row],[out]]-E$5))</f>
        <v/>
      </c>
      <c r="W1387" s="1401">
        <f>U1387/V1387</f>
        <v/>
      </c>
      <c r="X1387" s="1392" t="n"/>
      <c r="Y1387" s="1392" t="n"/>
      <c r="Z1387" s="1392" t="n"/>
      <c r="AA1387" s="1392" t="n"/>
      <c r="AB1387" s="1392" t="n"/>
      <c r="AC1387" s="1392" t="n"/>
      <c r="AD1387" s="1392" t="n"/>
      <c r="AE1387" s="1392" t="n"/>
      <c r="AF1387" s="1392" t="n"/>
      <c r="AG1387" s="1392" t="n"/>
      <c r="AH1387" s="1392" t="n"/>
      <c r="AI1387" s="1392" t="n"/>
      <c r="AJ1387" s="1392" t="n"/>
      <c r="AK1387" s="1392" t="n"/>
      <c r="AL1387" s="1392" t="n"/>
      <c r="AM1387" s="1392" t="n"/>
      <c r="AN1387" s="1392" t="n"/>
      <c r="AO1387" s="1392" t="n"/>
      <c r="AP1387" s="1392" t="n"/>
      <c r="AQ1387" s="1392" t="n"/>
      <c r="AR1387" s="1422" t="n"/>
      <c r="AS1387" s="1422" t="n"/>
      <c r="AT1387" s="1392" t="n"/>
      <c r="AU1387" s="1392" t="n"/>
      <c r="AV1387" s="1392" t="n"/>
      <c r="AW1387" s="1392" t="n"/>
      <c r="AX1387" s="1392" t="n"/>
      <c r="AY1387" s="1392" t="n"/>
      <c r="AZ1387" s="1392" t="n"/>
      <c r="BA1387" s="1422" t="n"/>
      <c r="BB1387" s="1422" t="n"/>
      <c r="BC1387" s="1392" t="n"/>
      <c r="BD1387" s="1392" t="n"/>
      <c r="BE1387" s="1392" t="n"/>
      <c r="BF1387" s="1392" t="n"/>
      <c r="BG1387" s="1392" t="n"/>
      <c r="BH1387" s="1392" t="n"/>
      <c r="BI1387" s="1392" t="n"/>
      <c r="BJ1387" s="1392" t="n"/>
      <c r="BK1387" s="1392" t="n"/>
      <c r="BL1387" s="1392" t="n"/>
      <c r="BM1387" s="1392" t="n"/>
      <c r="BN1387" s="1392" t="n"/>
      <c r="BO1387" s="1392" t="n"/>
      <c r="BP1387" s="1392" t="n"/>
      <c r="BQ1387" s="1392" t="n"/>
      <c r="BR1387" s="1392" t="n"/>
      <c r="BS1387" s="1392" t="n"/>
      <c r="BT1387" s="1392" t="n"/>
      <c r="BU1387" s="1392" t="n"/>
      <c r="BV1387" s="1392" t="n"/>
      <c r="BW1387" s="1392" t="n"/>
      <c r="BX1387" s="1392" t="n"/>
      <c r="BY1387" s="1392" t="n"/>
      <c r="BZ1387" s="1392" t="n"/>
      <c r="CA1387" s="1392" t="n"/>
      <c r="CB1387" s="1392" t="n"/>
      <c r="CC1387" s="1392" t="n"/>
      <c r="CD1387" s="1392" t="n"/>
      <c r="CE1387" s="1392" t="n"/>
      <c r="CF1387" s="1392" t="n"/>
      <c r="CG1387" s="1392" t="n"/>
      <c r="CH1387" s="1392" t="n"/>
      <c r="CI1387" s="1392" t="n"/>
      <c r="CJ1387" s="1392" t="n"/>
      <c r="CK1387" s="1392" t="n"/>
      <c r="CL1387" s="1392" t="n"/>
    </row>
    <row r="1388">
      <c r="A1388" s="5" t="inlineStr">
        <is>
          <t>.</t>
        </is>
      </c>
      <c r="B1388" s="5" t="inlineStr">
        <is>
          <t>.</t>
        </is>
      </c>
      <c r="C1388" s="1378">
        <f>IF(raw[[#This Row],[city]]="","-",IF(raw[[#This Row],[city]]="TODAY","-",C1387+1))</f>
        <v/>
      </c>
      <c r="D1388" s="1393" t="inlineStr">
        <is>
          <t>Montreal</t>
        </is>
      </c>
      <c r="E1388" s="1394" t="n">
        <v>42339</v>
      </c>
      <c r="F1388" s="1394" t="n">
        <v>42370</v>
      </c>
      <c r="G1388" s="1393" t="inlineStr">
        <is>
          <t>-</t>
        </is>
      </c>
      <c r="H1388" s="1393" t="inlineStr">
        <is>
          <t>Beatty</t>
        </is>
      </c>
      <c r="I1388" s="1393" t="inlineStr">
        <is>
          <t>-</t>
        </is>
      </c>
      <c r="J1388" s="1393" t="inlineStr">
        <is>
          <t>-</t>
        </is>
      </c>
      <c r="K1388" s="1395">
        <f>IF(raw[[#This Row],[city]]&lt;&gt;"",_xlfn.XLOOKUP($D1388,ccc[city],ccc[prov],"-"),"-")</f>
        <v/>
      </c>
      <c r="L1388" s="1395">
        <f>IF(raw[[#This Row],[city]]&lt;&gt;"",_xlfn.XLOOKUP($D1388,ccc[city],ccc[ctry],"-"),"-")</f>
        <v/>
      </c>
      <c r="M1388" s="1395">
        <f>IF(raw[[#This Row],[city]]&lt;&gt;"",_xlfn.XLOOKUP($D1388,ccc[city],ccc[cont],"-"),"-")</f>
        <v/>
      </c>
      <c r="N1388" s="1396">
        <f>IF(raw[[#This Row],[city]]="","-",IF(raw[[#This Row],[cont]]="B",raw[[#This Row],[cont]],"W"))</f>
        <v/>
      </c>
      <c r="O1388" s="1397">
        <f>IF(raw[[#This Row],[out]]=0,0,IF(raw[[#This Row],[out]]=raw[[#This Row],[in]],0.01,raw[[#This Row],[out]]-raw[[#This Row],[in]]))</f>
        <v/>
      </c>
      <c r="P1388" s="1397">
        <f>IF(raw[[#This Row],[in]]=0,0,MONTH(raw[[#This Row],[in]]))</f>
        <v/>
      </c>
      <c r="Q1388" s="1397">
        <f>IF(raw[[#This Row],[in]]=0,0,YEAR(raw[[#This Row],[in]]))</f>
        <v/>
      </c>
      <c r="R1388" s="1397">
        <f>INT(raw[[#This Row],[yr]]/10)*10</f>
        <v/>
      </c>
      <c r="S1388" s="1395">
        <f>IF(raw[[#This Row],[city]]="","-",IF(raw[[#This Row],[city]]&lt;&gt;_xlfn.XLOOKUP(raw[[#This Row],[home]],homes[home],homes[city],"-"),1,0))</f>
        <v/>
      </c>
      <c r="T1388" s="1398" t="inlineStr">
        <is>
          <t>.</t>
        </is>
      </c>
      <c r="U1388" s="1399">
        <f>IF(raw[[#This Row],[wb]]="w",raw[[#This Row],[stay]]+U1387,U1387)</f>
        <v/>
      </c>
      <c r="V1388" s="1400">
        <f>IF(raw[[#This Row],[out]]=0,V1387,(raw[[#This Row],[out]]-E$5))</f>
        <v/>
      </c>
      <c r="W1388" s="1401">
        <f>U1388/V1388</f>
        <v/>
      </c>
      <c r="X1388" s="1392" t="n"/>
      <c r="Y1388" s="1392" t="n"/>
      <c r="Z1388" s="1392" t="n"/>
      <c r="AA1388" s="1392" t="n"/>
      <c r="AB1388" s="1392" t="n"/>
      <c r="AC1388" s="1392" t="n"/>
      <c r="AD1388" s="1392" t="n"/>
      <c r="AE1388" s="1392" t="n"/>
      <c r="AF1388" s="1392" t="n"/>
      <c r="AG1388" s="1392" t="n"/>
      <c r="AH1388" s="1392" t="n"/>
      <c r="AI1388" s="1392" t="n"/>
      <c r="AJ1388" s="1392" t="n"/>
      <c r="AK1388" s="1392" t="n"/>
      <c r="AL1388" s="1392" t="n"/>
      <c r="AM1388" s="1392" t="n"/>
      <c r="AN1388" s="1392" t="n"/>
      <c r="AO1388" s="1392" t="n"/>
      <c r="AP1388" s="1392" t="n"/>
      <c r="AQ1388" s="1392" t="n"/>
      <c r="AR1388" s="1422" t="n"/>
      <c r="AS1388" s="1422" t="n"/>
      <c r="AT1388" s="1392" t="n"/>
      <c r="AU1388" s="1392" t="n"/>
      <c r="AV1388" s="1392" t="n"/>
      <c r="AW1388" s="1392" t="n"/>
      <c r="AX1388" s="1392" t="n"/>
      <c r="AY1388" s="1392" t="n"/>
      <c r="AZ1388" s="1392" t="n"/>
      <c r="BA1388" s="1422" t="n"/>
      <c r="BB1388" s="1422" t="n"/>
      <c r="BC1388" s="1392" t="n"/>
      <c r="BD1388" s="1392" t="n"/>
      <c r="BE1388" s="1392" t="n"/>
      <c r="BF1388" s="1392" t="n"/>
      <c r="BG1388" s="1392" t="n"/>
      <c r="BH1388" s="1392" t="n"/>
      <c r="BI1388" s="1392" t="n"/>
      <c r="BJ1388" s="1392" t="n"/>
      <c r="BK1388" s="1392" t="n"/>
      <c r="BL1388" s="1392" t="n"/>
      <c r="BM1388" s="1392" t="n"/>
      <c r="BN1388" s="1392" t="n"/>
      <c r="BO1388" s="1392" t="n"/>
      <c r="BP1388" s="1392" t="n"/>
      <c r="BQ1388" s="1392" t="n"/>
      <c r="BR1388" s="1392" t="n"/>
      <c r="BS1388" s="1392" t="n"/>
      <c r="BT1388" s="1392" t="n"/>
      <c r="BU1388" s="1392" t="n"/>
      <c r="BV1388" s="1392" t="n"/>
      <c r="BW1388" s="1392" t="n"/>
      <c r="BX1388" s="1392" t="n"/>
      <c r="BY1388" s="1392" t="n"/>
      <c r="BZ1388" s="1392" t="n"/>
      <c r="CA1388" s="1392" t="n"/>
      <c r="CB1388" s="1392" t="n"/>
      <c r="CC1388" s="1392" t="n"/>
      <c r="CD1388" s="1392" t="n"/>
      <c r="CE1388" s="1392" t="n"/>
      <c r="CF1388" s="1392" t="n"/>
      <c r="CG1388" s="1392" t="n"/>
      <c r="CH1388" s="1392" t="n"/>
      <c r="CI1388" s="1392" t="n"/>
      <c r="CJ1388" s="1392" t="n"/>
      <c r="CK1388" s="1392" t="n"/>
      <c r="CL1388" s="1392" t="n"/>
    </row>
    <row r="1389">
      <c r="A1389" s="5" t="inlineStr">
        <is>
          <t>.</t>
        </is>
      </c>
      <c r="B1389" s="5" t="inlineStr">
        <is>
          <t>.</t>
        </is>
      </c>
      <c r="C1389" s="1378">
        <f>IF(raw[[#This Row],[city]]="","-",IF(raw[[#This Row],[city]]="TODAY","-",C1388+1))</f>
        <v/>
      </c>
      <c r="D1389" s="1393" t="inlineStr">
        <is>
          <t>Montreal</t>
        </is>
      </c>
      <c r="E1389" s="1394" t="n">
        <v>42370</v>
      </c>
      <c r="F1389" s="1394" t="n">
        <v>42375</v>
      </c>
      <c r="G1389" s="1393" t="n">
        <v>1</v>
      </c>
      <c r="H1389" s="1393" t="inlineStr">
        <is>
          <t>Beatty</t>
        </is>
      </c>
      <c r="I1389" s="1393" t="inlineStr">
        <is>
          <t>-</t>
        </is>
      </c>
      <c r="J1389" s="1393" t="inlineStr">
        <is>
          <t>REV</t>
        </is>
      </c>
      <c r="K1389" s="1395">
        <f>IF(raw[[#This Row],[city]]&lt;&gt;"",_xlfn.XLOOKUP($D1389,ccc[city],ccc[prov],"-"),"-")</f>
        <v/>
      </c>
      <c r="L1389" s="1395">
        <f>IF(raw[[#This Row],[city]]&lt;&gt;"",_xlfn.XLOOKUP($D1389,ccc[city],ccc[ctry],"-"),"-")</f>
        <v/>
      </c>
      <c r="M1389" s="1395">
        <f>IF(raw[[#This Row],[city]]&lt;&gt;"",_xlfn.XLOOKUP($D1389,ccc[city],ccc[cont],"-"),"-")</f>
        <v/>
      </c>
      <c r="N1389" s="1396">
        <f>IF(raw[[#This Row],[city]]="","-",IF(raw[[#This Row],[cont]]="B",raw[[#This Row],[cont]],"W"))</f>
        <v/>
      </c>
      <c r="O1389" s="1397">
        <f>IF(raw[[#This Row],[out]]=0,0,IF(raw[[#This Row],[out]]=raw[[#This Row],[in]],0.01,raw[[#This Row],[out]]-raw[[#This Row],[in]]))</f>
        <v/>
      </c>
      <c r="P1389" s="1397">
        <f>IF(raw[[#This Row],[in]]=0,0,MONTH(raw[[#This Row],[in]]))</f>
        <v/>
      </c>
      <c r="Q1389" s="1397">
        <f>IF(raw[[#This Row],[in]]=0,0,YEAR(raw[[#This Row],[in]]))</f>
        <v/>
      </c>
      <c r="R1389" s="1397">
        <f>INT(raw[[#This Row],[yr]]/10)*10</f>
        <v/>
      </c>
      <c r="S1389" s="1395">
        <f>IF(raw[[#This Row],[city]]="","-",IF(raw[[#This Row],[city]]&lt;&gt;_xlfn.XLOOKUP(raw[[#This Row],[home]],homes[home],homes[city],"-"),1,0))</f>
        <v/>
      </c>
      <c r="T1389" s="1398" t="inlineStr">
        <is>
          <t>.</t>
        </is>
      </c>
      <c r="U1389" s="1399">
        <f>IF(raw[[#This Row],[wb]]="w",raw[[#This Row],[stay]]+U1388,U1388)</f>
        <v/>
      </c>
      <c r="V1389" s="1400">
        <f>IF(raw[[#This Row],[out]]=0,V1388,(raw[[#This Row],[out]]-E$5))</f>
        <v/>
      </c>
      <c r="W1389" s="1401">
        <f>U1389/V1389</f>
        <v/>
      </c>
      <c r="X1389" s="1392" t="n"/>
      <c r="Y1389" s="1392" t="n"/>
      <c r="Z1389" s="1392" t="n"/>
      <c r="AA1389" s="1392" t="n"/>
      <c r="AB1389" s="1392" t="n"/>
      <c r="AC1389" s="1392" t="n"/>
      <c r="AD1389" s="1392" t="n"/>
      <c r="AE1389" s="1392" t="n"/>
      <c r="AF1389" s="1392" t="n"/>
      <c r="AG1389" s="1392" t="n"/>
      <c r="AH1389" s="1392" t="n"/>
      <c r="AI1389" s="1392" t="n"/>
      <c r="AJ1389" s="1392" t="n"/>
      <c r="AK1389" s="1392" t="n"/>
      <c r="AL1389" s="1392" t="n"/>
      <c r="AM1389" s="1392" t="n"/>
      <c r="AN1389" s="1392" t="n"/>
      <c r="AO1389" s="1392" t="n"/>
      <c r="AP1389" s="1392" t="n"/>
      <c r="AQ1389" s="1392" t="n"/>
      <c r="AR1389" s="1422" t="n"/>
      <c r="AS1389" s="1422" t="n"/>
      <c r="AT1389" s="1392" t="n"/>
      <c r="AU1389" s="1392" t="n"/>
      <c r="AV1389" s="1392" t="n"/>
      <c r="AW1389" s="1392" t="n"/>
      <c r="AX1389" s="1392" t="n"/>
      <c r="AY1389" s="1392" t="n"/>
      <c r="AZ1389" s="1392" t="n"/>
      <c r="BA1389" s="1422" t="n"/>
      <c r="BB1389" s="1422" t="n"/>
      <c r="BC1389" s="1392" t="n"/>
      <c r="BD1389" s="1392" t="n"/>
      <c r="BE1389" s="1392" t="n"/>
      <c r="BF1389" s="1392" t="n"/>
      <c r="BG1389" s="1392" t="n"/>
      <c r="BH1389" s="1392" t="n"/>
      <c r="BI1389" s="1392" t="n"/>
      <c r="BJ1389" s="1392" t="n"/>
      <c r="BK1389" s="1392" t="n"/>
      <c r="BL1389" s="1392" t="n"/>
      <c r="BM1389" s="1392" t="n"/>
      <c r="BN1389" s="1392" t="n"/>
      <c r="BO1389" s="1392" t="n"/>
      <c r="BP1389" s="1392" t="n"/>
      <c r="BQ1389" s="1392" t="n"/>
      <c r="BR1389" s="1392" t="n"/>
      <c r="BS1389" s="1392" t="n"/>
      <c r="BT1389" s="1392" t="n"/>
      <c r="BU1389" s="1392" t="n"/>
      <c r="BV1389" s="1392" t="n"/>
      <c r="BW1389" s="1392" t="n"/>
      <c r="BX1389" s="1392" t="n"/>
      <c r="BY1389" s="1392" t="n"/>
      <c r="BZ1389" s="1392" t="n"/>
      <c r="CA1389" s="1392" t="n"/>
      <c r="CB1389" s="1392" t="n"/>
      <c r="CC1389" s="1392" t="n"/>
      <c r="CD1389" s="1392" t="n"/>
      <c r="CE1389" s="1392" t="n"/>
      <c r="CF1389" s="1392" t="n"/>
      <c r="CG1389" s="1392" t="n"/>
      <c r="CH1389" s="1392" t="n"/>
      <c r="CI1389" s="1392" t="n"/>
      <c r="CJ1389" s="1392" t="n"/>
      <c r="CK1389" s="1392" t="n"/>
      <c r="CL1389" s="1392" t="n"/>
    </row>
    <row r="1390">
      <c r="A1390" s="5" t="inlineStr">
        <is>
          <t>.</t>
        </is>
      </c>
      <c r="B1390" s="5" t="inlineStr">
        <is>
          <t>.</t>
        </is>
      </c>
      <c r="C1390" s="1378">
        <f>IF(raw[[#This Row],[city]]="","-",IF(raw[[#This Row],[city]]="TODAY","-",C1389+1))</f>
        <v/>
      </c>
      <c r="D1390" s="1393" t="inlineStr">
        <is>
          <t>NYC</t>
        </is>
      </c>
      <c r="E1390" s="1394" t="n">
        <v>42375</v>
      </c>
      <c r="F1390" s="1394" t="n">
        <v>42375</v>
      </c>
      <c r="G1390" s="1393" t="n">
        <v>0.01</v>
      </c>
      <c r="H1390" s="1393" t="inlineStr">
        <is>
          <t>Beatty</t>
        </is>
      </c>
      <c r="I1390" s="1393" t="inlineStr">
        <is>
          <t>-</t>
        </is>
      </c>
      <c r="J1390" s="1393" t="inlineStr">
        <is>
          <t>-</t>
        </is>
      </c>
      <c r="K1390" s="1395">
        <f>IF(raw[[#This Row],[city]]&lt;&gt;"",_xlfn.XLOOKUP($D1390,ccc[city],ccc[prov],"-"),"-")</f>
        <v/>
      </c>
      <c r="L1390" s="1395">
        <f>IF(raw[[#This Row],[city]]&lt;&gt;"",_xlfn.XLOOKUP($D1390,ccc[city],ccc[ctry],"-"),"-")</f>
        <v/>
      </c>
      <c r="M1390" s="1395">
        <f>IF(raw[[#This Row],[city]]&lt;&gt;"",_xlfn.XLOOKUP($D1390,ccc[city],ccc[cont],"-"),"-")</f>
        <v/>
      </c>
      <c r="N1390" s="1396">
        <f>IF(raw[[#This Row],[city]]="","-",IF(raw[[#This Row],[cont]]="B",raw[[#This Row],[cont]],"W"))</f>
        <v/>
      </c>
      <c r="O1390" s="1397">
        <f>IF(raw[[#This Row],[out]]=0,0,IF(raw[[#This Row],[out]]=raw[[#This Row],[in]],0.01,raw[[#This Row],[out]]-raw[[#This Row],[in]]))</f>
        <v/>
      </c>
      <c r="P1390" s="1397">
        <f>IF(raw[[#This Row],[in]]=0,0,MONTH(raw[[#This Row],[in]]))</f>
        <v/>
      </c>
      <c r="Q1390" s="1397">
        <f>IF(raw[[#This Row],[in]]=0,0,YEAR(raw[[#This Row],[in]]))</f>
        <v/>
      </c>
      <c r="R1390" s="1397">
        <f>INT(raw[[#This Row],[yr]]/10)*10</f>
        <v/>
      </c>
      <c r="S1390" s="1395">
        <f>IF(raw[[#This Row],[city]]="","-",IF(raw[[#This Row],[city]]&lt;&gt;_xlfn.XLOOKUP(raw[[#This Row],[home]],homes[home],homes[city],"-"),1,0))</f>
        <v/>
      </c>
      <c r="T1390" s="1398" t="inlineStr">
        <is>
          <t>.</t>
        </is>
      </c>
      <c r="U1390" s="1399">
        <f>IF(raw[[#This Row],[wb]]="w",raw[[#This Row],[stay]]+U1389,U1389)</f>
        <v/>
      </c>
      <c r="V1390" s="1400">
        <f>IF(raw[[#This Row],[out]]=0,V1389,(raw[[#This Row],[out]]-E$5))</f>
        <v/>
      </c>
      <c r="W1390" s="1401">
        <f>U1390/V1390</f>
        <v/>
      </c>
      <c r="X1390" s="1392" t="n"/>
      <c r="Y1390" s="1392" t="n"/>
      <c r="Z1390" s="1392" t="n"/>
      <c r="AA1390" s="1392" t="n"/>
      <c r="AB1390" s="1392" t="n"/>
      <c r="AC1390" s="1392" t="n"/>
      <c r="AD1390" s="1392" t="n"/>
      <c r="AE1390" s="1392" t="n"/>
      <c r="AF1390" s="1392" t="n"/>
      <c r="AG1390" s="1392" t="n"/>
      <c r="AH1390" s="1392" t="n"/>
      <c r="AI1390" s="1392" t="n"/>
      <c r="AJ1390" s="1392" t="n"/>
      <c r="AK1390" s="1392" t="n"/>
      <c r="AL1390" s="1392" t="n"/>
      <c r="AM1390" s="1392" t="n"/>
      <c r="AN1390" s="1392" t="n"/>
      <c r="AO1390" s="1392" t="n"/>
      <c r="AP1390" s="1392" t="n"/>
      <c r="AQ1390" s="1392" t="n"/>
      <c r="AR1390" s="1422" t="n"/>
      <c r="AS1390" s="1422" t="n"/>
      <c r="AT1390" s="1392" t="n"/>
      <c r="AU1390" s="1392" t="n"/>
      <c r="AV1390" s="1392" t="n"/>
      <c r="AW1390" s="1392" t="n"/>
      <c r="AX1390" s="1392" t="n"/>
      <c r="AY1390" s="1392" t="n"/>
      <c r="AZ1390" s="1392" t="n"/>
      <c r="BA1390" s="1422" t="n"/>
      <c r="BB1390" s="1422" t="n"/>
      <c r="BC1390" s="1392" t="n"/>
      <c r="BD1390" s="1392" t="n"/>
      <c r="BE1390" s="1392" t="n"/>
      <c r="BF1390" s="1392" t="n"/>
      <c r="BG1390" s="1392" t="n"/>
      <c r="BH1390" s="1392" t="n"/>
      <c r="BI1390" s="1392" t="n"/>
      <c r="BJ1390" s="1392" t="n"/>
      <c r="BK1390" s="1392" t="n"/>
      <c r="BL1390" s="1392" t="n"/>
      <c r="BM1390" s="1392" t="n"/>
      <c r="BN1390" s="1392" t="n"/>
      <c r="BO1390" s="1392" t="n"/>
      <c r="BP1390" s="1392" t="n"/>
      <c r="BQ1390" s="1392" t="n"/>
      <c r="BR1390" s="1392" t="n"/>
      <c r="BS1390" s="1392" t="n"/>
      <c r="BT1390" s="1392" t="n"/>
      <c r="BU1390" s="1392" t="n"/>
      <c r="BV1390" s="1392" t="n"/>
      <c r="BW1390" s="1392" t="n"/>
      <c r="BX1390" s="1392" t="n"/>
      <c r="BY1390" s="1392" t="n"/>
      <c r="BZ1390" s="1392" t="n"/>
      <c r="CA1390" s="1392" t="n"/>
      <c r="CB1390" s="1392" t="n"/>
      <c r="CC1390" s="1392" t="n"/>
      <c r="CD1390" s="1392" t="n"/>
      <c r="CE1390" s="1392" t="n"/>
      <c r="CF1390" s="1392" t="n"/>
      <c r="CG1390" s="1392" t="n"/>
      <c r="CH1390" s="1392" t="n"/>
      <c r="CI1390" s="1392" t="n"/>
      <c r="CJ1390" s="1392" t="n"/>
      <c r="CK1390" s="1392" t="n"/>
      <c r="CL1390" s="1392" t="n"/>
    </row>
    <row r="1391">
      <c r="A1391" s="5" t="inlineStr">
        <is>
          <t>.</t>
        </is>
      </c>
      <c r="B1391" s="5" t="inlineStr">
        <is>
          <t>.</t>
        </is>
      </c>
      <c r="C1391" s="1378">
        <f>IF(raw[[#This Row],[city]]="","-",IF(raw[[#This Row],[city]]="TODAY","-",C1390+1))</f>
        <v/>
      </c>
      <c r="D1391" s="1393" t="inlineStr">
        <is>
          <t>Orlando</t>
        </is>
      </c>
      <c r="E1391" s="1394" t="n">
        <v>42375</v>
      </c>
      <c r="F1391" s="1394" t="n">
        <v>42388</v>
      </c>
      <c r="G1391" s="1393" t="inlineStr">
        <is>
          <t>-</t>
        </is>
      </c>
      <c r="H1391" s="1393" t="inlineStr">
        <is>
          <t>Beatty</t>
        </is>
      </c>
      <c r="I1391" s="1393" t="inlineStr">
        <is>
          <t>-</t>
        </is>
      </c>
      <c r="J1391" s="1393" t="inlineStr">
        <is>
          <t>-</t>
        </is>
      </c>
      <c r="K1391" s="1395">
        <f>IF(raw[[#This Row],[city]]&lt;&gt;"",_xlfn.XLOOKUP($D1391,ccc[city],ccc[prov],"-"),"-")</f>
        <v/>
      </c>
      <c r="L1391" s="1395">
        <f>IF(raw[[#This Row],[city]]&lt;&gt;"",_xlfn.XLOOKUP($D1391,ccc[city],ccc[ctry],"-"),"-")</f>
        <v/>
      </c>
      <c r="M1391" s="1395">
        <f>IF(raw[[#This Row],[city]]&lt;&gt;"",_xlfn.XLOOKUP($D1391,ccc[city],ccc[cont],"-"),"-")</f>
        <v/>
      </c>
      <c r="N1391" s="1396">
        <f>IF(raw[[#This Row],[city]]="","-",IF(raw[[#This Row],[cont]]="B",raw[[#This Row],[cont]],"W"))</f>
        <v/>
      </c>
      <c r="O1391" s="1397">
        <f>IF(raw[[#This Row],[out]]=0,0,IF(raw[[#This Row],[out]]=raw[[#This Row],[in]],0.01,raw[[#This Row],[out]]-raw[[#This Row],[in]]))</f>
        <v/>
      </c>
      <c r="P1391" s="1397">
        <f>IF(raw[[#This Row],[in]]=0,0,MONTH(raw[[#This Row],[in]]))</f>
        <v/>
      </c>
      <c r="Q1391" s="1397">
        <f>IF(raw[[#This Row],[in]]=0,0,YEAR(raw[[#This Row],[in]]))</f>
        <v/>
      </c>
      <c r="R1391" s="1397">
        <f>INT(raw[[#This Row],[yr]]/10)*10</f>
        <v/>
      </c>
      <c r="S1391" s="1395">
        <f>IF(raw[[#This Row],[city]]="","-",IF(raw[[#This Row],[city]]&lt;&gt;_xlfn.XLOOKUP(raw[[#This Row],[home]],homes[home],homes[city],"-"),1,0))</f>
        <v/>
      </c>
      <c r="T1391" s="1398" t="inlineStr">
        <is>
          <t>.</t>
        </is>
      </c>
      <c r="U1391" s="1399">
        <f>IF(raw[[#This Row],[wb]]="w",raw[[#This Row],[stay]]+U1390,U1390)</f>
        <v/>
      </c>
      <c r="V1391" s="1400">
        <f>IF(raw[[#This Row],[out]]=0,V1390,(raw[[#This Row],[out]]-E$5))</f>
        <v/>
      </c>
      <c r="W1391" s="1401">
        <f>U1391/V1391</f>
        <v/>
      </c>
      <c r="X1391" s="1392" t="n"/>
      <c r="Y1391" s="1392" t="n"/>
      <c r="Z1391" s="1392" t="n"/>
      <c r="AA1391" s="1392" t="n"/>
      <c r="AB1391" s="1392" t="n"/>
      <c r="AC1391" s="1392" t="n"/>
      <c r="AD1391" s="1392" t="n"/>
      <c r="AE1391" s="1392" t="n"/>
      <c r="AF1391" s="1392" t="n"/>
      <c r="AG1391" s="1392" t="n"/>
      <c r="AH1391" s="1392" t="n"/>
      <c r="AI1391" s="1392" t="n"/>
      <c r="AJ1391" s="1392" t="n"/>
      <c r="AK1391" s="1392" t="n"/>
      <c r="AL1391" s="1392" t="n"/>
      <c r="AM1391" s="1392" t="n"/>
      <c r="AN1391" s="1392" t="n"/>
      <c r="AO1391" s="1392" t="n"/>
      <c r="AP1391" s="1392" t="n"/>
      <c r="AQ1391" s="1392" t="n"/>
      <c r="AR1391" s="1422" t="n"/>
      <c r="AS1391" s="1422" t="n"/>
      <c r="AT1391" s="1392" t="n"/>
      <c r="AU1391" s="1392" t="n"/>
      <c r="AV1391" s="1392" t="n"/>
      <c r="AW1391" s="1392" t="n"/>
      <c r="AX1391" s="1392" t="n"/>
      <c r="AY1391" s="1392" t="n"/>
      <c r="AZ1391" s="1392" t="n"/>
      <c r="BA1391" s="1422" t="n"/>
      <c r="BB1391" s="1422" t="n"/>
      <c r="BC1391" s="1392" t="n"/>
      <c r="BD1391" s="1392" t="n"/>
      <c r="BE1391" s="1392" t="n"/>
      <c r="BF1391" s="1392" t="n"/>
      <c r="BG1391" s="1392" t="n"/>
      <c r="BH1391" s="1392" t="n"/>
      <c r="BI1391" s="1392" t="n"/>
      <c r="BJ1391" s="1392" t="n"/>
      <c r="BK1391" s="1392" t="n"/>
      <c r="BL1391" s="1392" t="n"/>
      <c r="BM1391" s="1392" t="n"/>
      <c r="BN1391" s="1392" t="n"/>
      <c r="BO1391" s="1392" t="n"/>
      <c r="BP1391" s="1392" t="n"/>
      <c r="BQ1391" s="1392" t="n"/>
      <c r="BR1391" s="1392" t="n"/>
      <c r="BS1391" s="1392" t="n"/>
      <c r="BT1391" s="1392" t="n"/>
      <c r="BU1391" s="1392" t="n"/>
      <c r="BV1391" s="1392" t="n"/>
      <c r="BW1391" s="1392" t="n"/>
      <c r="BX1391" s="1392" t="n"/>
      <c r="BY1391" s="1392" t="n"/>
      <c r="BZ1391" s="1392" t="n"/>
      <c r="CA1391" s="1392" t="n"/>
      <c r="CB1391" s="1392" t="n"/>
      <c r="CC1391" s="1392" t="n"/>
      <c r="CD1391" s="1392" t="n"/>
      <c r="CE1391" s="1392" t="n"/>
      <c r="CF1391" s="1392" t="n"/>
      <c r="CG1391" s="1392" t="n"/>
      <c r="CH1391" s="1392" t="n"/>
      <c r="CI1391" s="1392" t="n"/>
      <c r="CJ1391" s="1392" t="n"/>
      <c r="CK1391" s="1392" t="n"/>
      <c r="CL1391" s="1392" t="n"/>
    </row>
    <row r="1392">
      <c r="A1392" s="5" t="inlineStr">
        <is>
          <t>.</t>
        </is>
      </c>
      <c r="B1392" s="5" t="inlineStr">
        <is>
          <t>.</t>
        </is>
      </c>
      <c r="C1392" s="1378">
        <f>IF(raw[[#This Row],[city]]="","-",IF(raw[[#This Row],[city]]="TODAY","-",C1391+1))</f>
        <v/>
      </c>
      <c r="D1392" s="1393" t="inlineStr">
        <is>
          <t>Kissimee</t>
        </is>
      </c>
      <c r="E1392" s="1394" t="n">
        <v>42375</v>
      </c>
      <c r="F1392" s="1394" t="n">
        <v>42375</v>
      </c>
      <c r="G1392" s="1393" t="inlineStr">
        <is>
          <t>-</t>
        </is>
      </c>
      <c r="H1392" s="1393" t="inlineStr">
        <is>
          <t>Beatty</t>
        </is>
      </c>
      <c r="I1392" s="1393" t="inlineStr">
        <is>
          <t>-</t>
        </is>
      </c>
      <c r="J1392" s="1393" t="inlineStr">
        <is>
          <t>-</t>
        </is>
      </c>
      <c r="K1392" s="1395">
        <f>IF(raw[[#This Row],[city]]&lt;&gt;"",_xlfn.XLOOKUP($D1392,ccc[city],ccc[prov],"-"),"-")</f>
        <v/>
      </c>
      <c r="L1392" s="1395">
        <f>IF(raw[[#This Row],[city]]&lt;&gt;"",_xlfn.XLOOKUP($D1392,ccc[city],ccc[ctry],"-"),"-")</f>
        <v/>
      </c>
      <c r="M1392" s="1395">
        <f>IF(raw[[#This Row],[city]]&lt;&gt;"",_xlfn.XLOOKUP($D1392,ccc[city],ccc[cont],"-"),"-")</f>
        <v/>
      </c>
      <c r="N1392" s="1396">
        <f>IF(raw[[#This Row],[city]]="","-",IF(raw[[#This Row],[cont]]="B",raw[[#This Row],[cont]],"W"))</f>
        <v/>
      </c>
      <c r="O1392" s="1397">
        <f>IF(raw[[#This Row],[out]]=0,0,IF(raw[[#This Row],[out]]=raw[[#This Row],[in]],0.01,raw[[#This Row],[out]]-raw[[#This Row],[in]]))</f>
        <v/>
      </c>
      <c r="P1392" s="1397">
        <f>IF(raw[[#This Row],[in]]=0,0,MONTH(raw[[#This Row],[in]]))</f>
        <v/>
      </c>
      <c r="Q1392" s="1397">
        <f>IF(raw[[#This Row],[in]]=0,0,YEAR(raw[[#This Row],[in]]))</f>
        <v/>
      </c>
      <c r="R1392" s="1397">
        <f>INT(raw[[#This Row],[yr]]/10)*10</f>
        <v/>
      </c>
      <c r="S1392" s="1395">
        <f>IF(raw[[#This Row],[city]]="","-",IF(raw[[#This Row],[city]]&lt;&gt;_xlfn.XLOOKUP(raw[[#This Row],[home]],homes[home],homes[city],"-"),1,0))</f>
        <v/>
      </c>
      <c r="T1392" s="1398" t="inlineStr">
        <is>
          <t>.</t>
        </is>
      </c>
      <c r="U1392" s="1399">
        <f>IF(raw[[#This Row],[wb]]="w",raw[[#This Row],[stay]]+U1391,U1391)</f>
        <v/>
      </c>
      <c r="V1392" s="1400">
        <f>IF(raw[[#This Row],[out]]=0,V1391,(raw[[#This Row],[out]]-E$5))</f>
        <v/>
      </c>
      <c r="W1392" s="1401">
        <f>U1392/V1392</f>
        <v/>
      </c>
      <c r="X1392" s="1392" t="n"/>
      <c r="Y1392" s="1392" t="n"/>
      <c r="Z1392" s="1392" t="n"/>
      <c r="AA1392" s="1392" t="n"/>
      <c r="AB1392" s="1392" t="n"/>
      <c r="AC1392" s="1392" t="n"/>
      <c r="AD1392" s="1392" t="n"/>
      <c r="AE1392" s="1392" t="n"/>
      <c r="AF1392" s="1392" t="n"/>
      <c r="AG1392" s="1392" t="n"/>
      <c r="AH1392" s="1392" t="n"/>
      <c r="AI1392" s="1392" t="n"/>
      <c r="AJ1392" s="1392" t="n"/>
      <c r="AK1392" s="1392" t="n"/>
      <c r="AL1392" s="1392" t="n"/>
      <c r="AM1392" s="1392" t="n"/>
      <c r="AN1392" s="1392" t="n"/>
      <c r="AO1392" s="1392" t="n"/>
      <c r="AP1392" s="1392" t="n"/>
      <c r="AQ1392" s="1392" t="n"/>
      <c r="AR1392" s="1422" t="n"/>
      <c r="AS1392" s="1422" t="n"/>
      <c r="AT1392" s="1392" t="n"/>
      <c r="AU1392" s="1392" t="n"/>
      <c r="AV1392" s="1392" t="n"/>
      <c r="AW1392" s="1392" t="n"/>
      <c r="AX1392" s="1392" t="n"/>
      <c r="AY1392" s="1392" t="n"/>
      <c r="AZ1392" s="1392" t="n"/>
      <c r="BA1392" s="1422" t="n"/>
      <c r="BB1392" s="1422" t="n"/>
      <c r="BC1392" s="1392" t="n"/>
      <c r="BD1392" s="1392" t="n"/>
      <c r="BE1392" s="1392" t="n"/>
      <c r="BF1392" s="1392" t="n"/>
      <c r="BG1392" s="1392" t="n"/>
      <c r="BH1392" s="1392" t="n"/>
      <c r="BI1392" s="1392" t="n"/>
      <c r="BJ1392" s="1392" t="n"/>
      <c r="BK1392" s="1392" t="n"/>
      <c r="BL1392" s="1392" t="n"/>
      <c r="BM1392" s="1392" t="n"/>
      <c r="BN1392" s="1392" t="n"/>
      <c r="BO1392" s="1392" t="n"/>
      <c r="BP1392" s="1392" t="n"/>
      <c r="BQ1392" s="1392" t="n"/>
      <c r="BR1392" s="1392" t="n"/>
      <c r="BS1392" s="1392" t="n"/>
      <c r="BT1392" s="1392" t="n"/>
      <c r="BU1392" s="1392" t="n"/>
      <c r="BV1392" s="1392" t="n"/>
      <c r="BW1392" s="1392" t="n"/>
      <c r="BX1392" s="1392" t="n"/>
      <c r="BY1392" s="1392" t="n"/>
      <c r="BZ1392" s="1392" t="n"/>
      <c r="CA1392" s="1392" t="n"/>
      <c r="CB1392" s="1392" t="n"/>
      <c r="CC1392" s="1392" t="n"/>
      <c r="CD1392" s="1392" t="n"/>
      <c r="CE1392" s="1392" t="n"/>
      <c r="CF1392" s="1392" t="n"/>
      <c r="CG1392" s="1392" t="n"/>
      <c r="CH1392" s="1392" t="n"/>
      <c r="CI1392" s="1392" t="n"/>
      <c r="CJ1392" s="1392" t="n"/>
      <c r="CK1392" s="1392" t="n"/>
      <c r="CL1392" s="1392" t="n"/>
    </row>
    <row r="1393">
      <c r="A1393" s="5" t="inlineStr">
        <is>
          <t>.</t>
        </is>
      </c>
      <c r="B1393" s="5" t="inlineStr">
        <is>
          <t>.</t>
        </is>
      </c>
      <c r="C1393" s="1378">
        <f>IF(raw[[#This Row],[city]]="","-",IF(raw[[#This Row],[city]]="TODAY","-",C1392+1))</f>
        <v/>
      </c>
      <c r="D1393" s="1393" t="inlineStr">
        <is>
          <t>Tampa</t>
        </is>
      </c>
      <c r="E1393" s="1394" t="n">
        <v>42385</v>
      </c>
      <c r="F1393" s="1394" t="n">
        <v>42385</v>
      </c>
      <c r="G1393" s="1393" t="inlineStr">
        <is>
          <t>-</t>
        </is>
      </c>
      <c r="H1393" s="1393" t="inlineStr">
        <is>
          <t>Beatty</t>
        </is>
      </c>
      <c r="I1393" s="1393" t="inlineStr">
        <is>
          <t>-</t>
        </is>
      </c>
      <c r="J1393" s="1393" t="inlineStr">
        <is>
          <t>-</t>
        </is>
      </c>
      <c r="K1393" s="1395">
        <f>IF(raw[[#This Row],[city]]&lt;&gt;"",_xlfn.XLOOKUP($D1393,ccc[city],ccc[prov],"-"),"-")</f>
        <v/>
      </c>
      <c r="L1393" s="1395">
        <f>IF(raw[[#This Row],[city]]&lt;&gt;"",_xlfn.XLOOKUP($D1393,ccc[city],ccc[ctry],"-"),"-")</f>
        <v/>
      </c>
      <c r="M1393" s="1395">
        <f>IF(raw[[#This Row],[city]]&lt;&gt;"",_xlfn.XLOOKUP($D1393,ccc[city],ccc[cont],"-"),"-")</f>
        <v/>
      </c>
      <c r="N1393" s="1396">
        <f>IF(raw[[#This Row],[city]]="","-",IF(raw[[#This Row],[cont]]="B",raw[[#This Row],[cont]],"W"))</f>
        <v/>
      </c>
      <c r="O1393" s="1397">
        <f>IF(raw[[#This Row],[out]]=0,0,IF(raw[[#This Row],[out]]=raw[[#This Row],[in]],0.01,raw[[#This Row],[out]]-raw[[#This Row],[in]]))</f>
        <v/>
      </c>
      <c r="P1393" s="1397">
        <f>IF(raw[[#This Row],[in]]=0,0,MONTH(raw[[#This Row],[in]]))</f>
        <v/>
      </c>
      <c r="Q1393" s="1397">
        <f>IF(raw[[#This Row],[in]]=0,0,YEAR(raw[[#This Row],[in]]))</f>
        <v/>
      </c>
      <c r="R1393" s="1397">
        <f>INT(raw[[#This Row],[yr]]/10)*10</f>
        <v/>
      </c>
      <c r="S1393" s="1395">
        <f>IF(raw[[#This Row],[city]]="","-",IF(raw[[#This Row],[city]]&lt;&gt;_xlfn.XLOOKUP(raw[[#This Row],[home]],homes[home],homes[city],"-"),1,0))</f>
        <v/>
      </c>
      <c r="T1393" s="1398" t="inlineStr">
        <is>
          <t>.</t>
        </is>
      </c>
      <c r="U1393" s="1399">
        <f>IF(raw[[#This Row],[wb]]="w",raw[[#This Row],[stay]]+U1392,U1392)</f>
        <v/>
      </c>
      <c r="V1393" s="1400">
        <f>IF(raw[[#This Row],[out]]=0,V1392,(raw[[#This Row],[out]]-E$5))</f>
        <v/>
      </c>
      <c r="W1393" s="1401">
        <f>U1393/V1393</f>
        <v/>
      </c>
      <c r="X1393" s="1392" t="n"/>
      <c r="Y1393" s="1392" t="n"/>
      <c r="Z1393" s="1392" t="n"/>
      <c r="AA1393" s="1392" t="n"/>
      <c r="AB1393" s="1392" t="n"/>
      <c r="AC1393" s="1392" t="n"/>
      <c r="AD1393" s="1392" t="n"/>
      <c r="AE1393" s="1392" t="n"/>
      <c r="AF1393" s="1392" t="n"/>
      <c r="AG1393" s="1392" t="n"/>
      <c r="AH1393" s="1392" t="n"/>
      <c r="AI1393" s="1392" t="n"/>
      <c r="AJ1393" s="1392" t="n"/>
      <c r="AK1393" s="1392" t="n"/>
      <c r="AL1393" s="1392" t="n"/>
      <c r="AM1393" s="1392" t="n"/>
      <c r="AN1393" s="1392" t="n"/>
      <c r="AO1393" s="1392" t="n"/>
      <c r="AP1393" s="1392" t="n"/>
      <c r="AQ1393" s="1392" t="n"/>
      <c r="AR1393" s="1422" t="n"/>
      <c r="AS1393" s="1422" t="n"/>
      <c r="AT1393" s="1392" t="n"/>
      <c r="AU1393" s="1392" t="n"/>
      <c r="AV1393" s="1392" t="n"/>
      <c r="AW1393" s="1392" t="n"/>
      <c r="AX1393" s="1392" t="n"/>
      <c r="AY1393" s="1392" t="n"/>
      <c r="AZ1393" s="1392" t="n"/>
      <c r="BA1393" s="1422" t="n"/>
      <c r="BB1393" s="1422" t="n"/>
      <c r="BC1393" s="1392" t="n"/>
      <c r="BD1393" s="1392" t="n"/>
      <c r="BE1393" s="1392" t="n"/>
      <c r="BF1393" s="1392" t="n"/>
      <c r="BG1393" s="1392" t="n"/>
      <c r="BH1393" s="1392" t="n"/>
      <c r="BI1393" s="1392" t="n"/>
      <c r="BJ1393" s="1392" t="n"/>
      <c r="BK1393" s="1392" t="n"/>
      <c r="BL1393" s="1392" t="n"/>
      <c r="BM1393" s="1392" t="n"/>
      <c r="BN1393" s="1392" t="n"/>
      <c r="BO1393" s="1392" t="n"/>
      <c r="BP1393" s="1392" t="n"/>
      <c r="BQ1393" s="1392" t="n"/>
      <c r="BR1393" s="1392" t="n"/>
      <c r="BS1393" s="1392" t="n"/>
      <c r="BT1393" s="1392" t="n"/>
      <c r="BU1393" s="1392" t="n"/>
      <c r="BV1393" s="1392" t="n"/>
      <c r="BW1393" s="1392" t="n"/>
      <c r="BX1393" s="1392" t="n"/>
      <c r="BY1393" s="1392" t="n"/>
      <c r="BZ1393" s="1392" t="n"/>
      <c r="CA1393" s="1392" t="n"/>
      <c r="CB1393" s="1392" t="n"/>
      <c r="CC1393" s="1392" t="n"/>
      <c r="CD1393" s="1392" t="n"/>
      <c r="CE1393" s="1392" t="n"/>
      <c r="CF1393" s="1392" t="n"/>
      <c r="CG1393" s="1392" t="n"/>
      <c r="CH1393" s="1392" t="n"/>
      <c r="CI1393" s="1392" t="n"/>
      <c r="CJ1393" s="1392" t="n"/>
      <c r="CK1393" s="1392" t="n"/>
      <c r="CL1393" s="1392" t="n"/>
    </row>
    <row r="1394">
      <c r="A1394" s="5" t="inlineStr">
        <is>
          <t>.</t>
        </is>
      </c>
      <c r="B1394" s="5" t="inlineStr">
        <is>
          <t>.</t>
        </is>
      </c>
      <c r="C1394" s="1378">
        <f>IF(raw[[#This Row],[city]]="","-",IF(raw[[#This Row],[city]]="TODAY","-",C1393+1))</f>
        <v/>
      </c>
      <c r="D1394" s="1393" t="inlineStr">
        <is>
          <t>Orlando</t>
        </is>
      </c>
      <c r="E1394" s="1394" t="n">
        <v>42388</v>
      </c>
      <c r="F1394" s="1394" t="n">
        <v>42388</v>
      </c>
      <c r="G1394" s="1393" t="n">
        <v>1</v>
      </c>
      <c r="H1394" s="1393" t="inlineStr">
        <is>
          <t>Beatty</t>
        </is>
      </c>
      <c r="I1394" s="1393" t="inlineStr">
        <is>
          <t>-</t>
        </is>
      </c>
      <c r="J1394" s="1393" t="inlineStr">
        <is>
          <t>-</t>
        </is>
      </c>
      <c r="K1394" s="1395">
        <f>IF(raw[[#This Row],[city]]&lt;&gt;"",_xlfn.XLOOKUP($D1394,ccc[city],ccc[prov],"-"),"-")</f>
        <v/>
      </c>
      <c r="L1394" s="1395">
        <f>IF(raw[[#This Row],[city]]&lt;&gt;"",_xlfn.XLOOKUP($D1394,ccc[city],ccc[ctry],"-"),"-")</f>
        <v/>
      </c>
      <c r="M1394" s="1395">
        <f>IF(raw[[#This Row],[city]]&lt;&gt;"",_xlfn.XLOOKUP($D1394,ccc[city],ccc[cont],"-"),"-")</f>
        <v/>
      </c>
      <c r="N1394" s="1396">
        <f>IF(raw[[#This Row],[city]]="","-",IF(raw[[#This Row],[cont]]="B",raw[[#This Row],[cont]],"W"))</f>
        <v/>
      </c>
      <c r="O1394" s="1397">
        <f>IF(raw[[#This Row],[out]]=0,0,IF(raw[[#This Row],[out]]=raw[[#This Row],[in]],0.01,raw[[#This Row],[out]]-raw[[#This Row],[in]]))</f>
        <v/>
      </c>
      <c r="P1394" s="1397">
        <f>IF(raw[[#This Row],[in]]=0,0,MONTH(raw[[#This Row],[in]]))</f>
        <v/>
      </c>
      <c r="Q1394" s="1397">
        <f>IF(raw[[#This Row],[in]]=0,0,YEAR(raw[[#This Row],[in]]))</f>
        <v/>
      </c>
      <c r="R1394" s="1397">
        <f>INT(raw[[#This Row],[yr]]/10)*10</f>
        <v/>
      </c>
      <c r="S1394" s="1395">
        <f>IF(raw[[#This Row],[city]]="","-",IF(raw[[#This Row],[city]]&lt;&gt;_xlfn.XLOOKUP(raw[[#This Row],[home]],homes[home],homes[city],"-"),1,0))</f>
        <v/>
      </c>
      <c r="T1394" s="1398" t="inlineStr">
        <is>
          <t>.</t>
        </is>
      </c>
      <c r="U1394" s="1399">
        <f>IF(raw[[#This Row],[wb]]="w",raw[[#This Row],[stay]]+U1393,U1393)</f>
        <v/>
      </c>
      <c r="V1394" s="1400">
        <f>IF(raw[[#This Row],[out]]=0,V1393,(raw[[#This Row],[out]]-E$5))</f>
        <v/>
      </c>
      <c r="W1394" s="1401">
        <f>U1394/V1394</f>
        <v/>
      </c>
      <c r="X1394" s="1392" t="n"/>
      <c r="Y1394" s="1392" t="n"/>
      <c r="Z1394" s="1392" t="n"/>
      <c r="AA1394" s="1392" t="n"/>
      <c r="AB1394" s="1392" t="n"/>
      <c r="AC1394" s="1392" t="n"/>
      <c r="AD1394" s="1392" t="n"/>
      <c r="AE1394" s="1392" t="n"/>
      <c r="AF1394" s="1392" t="n"/>
      <c r="AG1394" s="1392" t="n"/>
      <c r="AH1394" s="1392" t="n"/>
      <c r="AI1394" s="1392" t="n"/>
      <c r="AJ1394" s="1392" t="n"/>
      <c r="AK1394" s="1392" t="n"/>
      <c r="AL1394" s="1392" t="n"/>
      <c r="AM1394" s="1392" t="n"/>
      <c r="AN1394" s="1392" t="n"/>
      <c r="AO1394" s="1392" t="n"/>
      <c r="AP1394" s="1392" t="n"/>
      <c r="AQ1394" s="1392" t="n"/>
      <c r="AR1394" s="1422" t="n"/>
      <c r="AS1394" s="1422" t="n"/>
      <c r="AT1394" s="1392" t="n"/>
      <c r="AU1394" s="1392" t="n"/>
      <c r="AV1394" s="1392" t="n"/>
      <c r="AW1394" s="1392" t="n"/>
      <c r="AX1394" s="1392" t="n"/>
      <c r="AY1394" s="1392" t="n"/>
      <c r="AZ1394" s="1392" t="n"/>
      <c r="BA1394" s="1422" t="n"/>
      <c r="BB1394" s="1422" t="n"/>
      <c r="BC1394" s="1392" t="n"/>
      <c r="BD1394" s="1392" t="n"/>
      <c r="BE1394" s="1392" t="n"/>
      <c r="BF1394" s="1392" t="n"/>
      <c r="BG1394" s="1392" t="n"/>
      <c r="BH1394" s="1392" t="n"/>
      <c r="BI1394" s="1392" t="n"/>
      <c r="BJ1394" s="1392" t="n"/>
      <c r="BK1394" s="1392" t="n"/>
      <c r="BL1394" s="1392" t="n"/>
      <c r="BM1394" s="1392" t="n"/>
      <c r="BN1394" s="1392" t="n"/>
      <c r="BO1394" s="1392" t="n"/>
      <c r="BP1394" s="1392" t="n"/>
      <c r="BQ1394" s="1392" t="n"/>
      <c r="BR1394" s="1392" t="n"/>
      <c r="BS1394" s="1392" t="n"/>
      <c r="BT1394" s="1392" t="n"/>
      <c r="BU1394" s="1392" t="n"/>
      <c r="BV1394" s="1392" t="n"/>
      <c r="BW1394" s="1392" t="n"/>
      <c r="BX1394" s="1392" t="n"/>
      <c r="BY1394" s="1392" t="n"/>
      <c r="BZ1394" s="1392" t="n"/>
      <c r="CA1394" s="1392" t="n"/>
      <c r="CB1394" s="1392" t="n"/>
      <c r="CC1394" s="1392" t="n"/>
      <c r="CD1394" s="1392" t="n"/>
      <c r="CE1394" s="1392" t="n"/>
      <c r="CF1394" s="1392" t="n"/>
      <c r="CG1394" s="1392" t="n"/>
      <c r="CH1394" s="1392" t="n"/>
      <c r="CI1394" s="1392" t="n"/>
      <c r="CJ1394" s="1392" t="n"/>
      <c r="CK1394" s="1392" t="n"/>
      <c r="CL1394" s="1392" t="n"/>
    </row>
    <row r="1395">
      <c r="A1395" s="5" t="inlineStr">
        <is>
          <t>.</t>
        </is>
      </c>
      <c r="B1395" s="5" t="inlineStr">
        <is>
          <t>.</t>
        </is>
      </c>
      <c r="C1395" s="1378">
        <f>IF(raw[[#This Row],[city]]="","-",IF(raw[[#This Row],[city]]="TODAY","-",C1394+1))</f>
        <v/>
      </c>
      <c r="D1395" s="1393" t="inlineStr">
        <is>
          <t>Detroit</t>
        </is>
      </c>
      <c r="E1395" s="1394" t="n">
        <v>42388</v>
      </c>
      <c r="F1395" s="1394" t="n">
        <v>42388</v>
      </c>
      <c r="G1395" s="1393" t="n">
        <v>0.01</v>
      </c>
      <c r="H1395" s="1393" t="inlineStr">
        <is>
          <t>Beatty</t>
        </is>
      </c>
      <c r="I1395" s="1393" t="inlineStr">
        <is>
          <t>-</t>
        </is>
      </c>
      <c r="J1395" s="1393" t="inlineStr">
        <is>
          <t>-</t>
        </is>
      </c>
      <c r="K1395" s="1395">
        <f>IF(raw[[#This Row],[city]]&lt;&gt;"",_xlfn.XLOOKUP($D1395,ccc[city],ccc[prov],"-"),"-")</f>
        <v/>
      </c>
      <c r="L1395" s="1395">
        <f>IF(raw[[#This Row],[city]]&lt;&gt;"",_xlfn.XLOOKUP($D1395,ccc[city],ccc[ctry],"-"),"-")</f>
        <v/>
      </c>
      <c r="M1395" s="1395">
        <f>IF(raw[[#This Row],[city]]&lt;&gt;"",_xlfn.XLOOKUP($D1395,ccc[city],ccc[cont],"-"),"-")</f>
        <v/>
      </c>
      <c r="N1395" s="1396">
        <f>IF(raw[[#This Row],[city]]="","-",IF(raw[[#This Row],[cont]]="B",raw[[#This Row],[cont]],"W"))</f>
        <v/>
      </c>
      <c r="O1395" s="1397">
        <f>IF(raw[[#This Row],[out]]=0,0,IF(raw[[#This Row],[out]]=raw[[#This Row],[in]],0.01,raw[[#This Row],[out]]-raw[[#This Row],[in]]))</f>
        <v/>
      </c>
      <c r="P1395" s="1397">
        <f>IF(raw[[#This Row],[in]]=0,0,MONTH(raw[[#This Row],[in]]))</f>
        <v/>
      </c>
      <c r="Q1395" s="1397">
        <f>IF(raw[[#This Row],[in]]=0,0,YEAR(raw[[#This Row],[in]]))</f>
        <v/>
      </c>
      <c r="R1395" s="1397">
        <f>INT(raw[[#This Row],[yr]]/10)*10</f>
        <v/>
      </c>
      <c r="S1395" s="1395">
        <f>IF(raw[[#This Row],[city]]="","-",IF(raw[[#This Row],[city]]&lt;&gt;_xlfn.XLOOKUP(raw[[#This Row],[home]],homes[home],homes[city],"-"),1,0))</f>
        <v/>
      </c>
      <c r="T1395" s="1398" t="inlineStr">
        <is>
          <t>.</t>
        </is>
      </c>
      <c r="U1395" s="1399">
        <f>IF(raw[[#This Row],[wb]]="w",raw[[#This Row],[stay]]+U1394,U1394)</f>
        <v/>
      </c>
      <c r="V1395" s="1400">
        <f>IF(raw[[#This Row],[out]]=0,V1394,(raw[[#This Row],[out]]-E$5))</f>
        <v/>
      </c>
      <c r="W1395" s="1401">
        <f>U1395/V1395</f>
        <v/>
      </c>
      <c r="X1395" s="1392" t="n"/>
      <c r="Y1395" s="1392" t="n"/>
      <c r="Z1395" s="1392" t="n"/>
      <c r="AA1395" s="1392" t="n"/>
      <c r="AB1395" s="1392" t="n"/>
      <c r="AC1395" s="1392" t="n"/>
      <c r="AD1395" s="1392" t="n"/>
      <c r="AE1395" s="1392" t="n"/>
      <c r="AF1395" s="1392" t="n"/>
      <c r="AG1395" s="1392" t="n"/>
      <c r="AH1395" s="1392" t="n"/>
      <c r="AI1395" s="1392" t="n"/>
      <c r="AJ1395" s="1392" t="n"/>
      <c r="AK1395" s="1392" t="n"/>
      <c r="AL1395" s="1392" t="n"/>
      <c r="AM1395" s="1392" t="n"/>
      <c r="AN1395" s="1392" t="n"/>
      <c r="AO1395" s="1392" t="n"/>
      <c r="AP1395" s="1392" t="n"/>
      <c r="AQ1395" s="1392" t="n"/>
      <c r="AR1395" s="1422" t="n"/>
      <c r="AS1395" s="1422" t="n"/>
      <c r="AT1395" s="1392" t="n"/>
      <c r="AU1395" s="1392" t="n"/>
      <c r="AV1395" s="1392" t="n"/>
      <c r="AW1395" s="1392" t="n"/>
      <c r="AX1395" s="1392" t="n"/>
      <c r="AY1395" s="1392" t="n"/>
      <c r="AZ1395" s="1392" t="n"/>
      <c r="BA1395" s="1422" t="n"/>
      <c r="BB1395" s="1422" t="n"/>
      <c r="BC1395" s="1392" t="n"/>
      <c r="BD1395" s="1392" t="n"/>
      <c r="BE1395" s="1392" t="n"/>
      <c r="BF1395" s="1392" t="n"/>
      <c r="BG1395" s="1392" t="n"/>
      <c r="BH1395" s="1392" t="n"/>
      <c r="BI1395" s="1392" t="n"/>
      <c r="BJ1395" s="1392" t="n"/>
      <c r="BK1395" s="1392" t="n"/>
      <c r="BL1395" s="1392" t="n"/>
      <c r="BM1395" s="1392" t="n"/>
      <c r="BN1395" s="1392" t="n"/>
      <c r="BO1395" s="1392" t="n"/>
      <c r="BP1395" s="1392" t="n"/>
      <c r="BQ1395" s="1392" t="n"/>
      <c r="BR1395" s="1392" t="n"/>
      <c r="BS1395" s="1392" t="n"/>
      <c r="BT1395" s="1392" t="n"/>
      <c r="BU1395" s="1392" t="n"/>
      <c r="BV1395" s="1392" t="n"/>
      <c r="BW1395" s="1392" t="n"/>
      <c r="BX1395" s="1392" t="n"/>
      <c r="BY1395" s="1392" t="n"/>
      <c r="BZ1395" s="1392" t="n"/>
      <c r="CA1395" s="1392" t="n"/>
      <c r="CB1395" s="1392" t="n"/>
      <c r="CC1395" s="1392" t="n"/>
      <c r="CD1395" s="1392" t="n"/>
      <c r="CE1395" s="1392" t="n"/>
      <c r="CF1395" s="1392" t="n"/>
      <c r="CG1395" s="1392" t="n"/>
      <c r="CH1395" s="1392" t="n"/>
      <c r="CI1395" s="1392" t="n"/>
      <c r="CJ1395" s="1392" t="n"/>
      <c r="CK1395" s="1392" t="n"/>
      <c r="CL1395" s="1392" t="n"/>
    </row>
    <row r="1396">
      <c r="A1396" s="5" t="inlineStr">
        <is>
          <t>.</t>
        </is>
      </c>
      <c r="B1396" s="5" t="inlineStr">
        <is>
          <t>.</t>
        </is>
      </c>
      <c r="C1396" s="1378">
        <f>IF(raw[[#This Row],[city]]="","-",IF(raw[[#This Row],[city]]="TODAY","-",C1395+1))</f>
        <v/>
      </c>
      <c r="D1396" s="1393" t="inlineStr">
        <is>
          <t>Montreal</t>
        </is>
      </c>
      <c r="E1396" s="1394" t="n">
        <v>42388</v>
      </c>
      <c r="F1396" s="1394" t="n">
        <v>42401</v>
      </c>
      <c r="G1396" s="1393" t="inlineStr">
        <is>
          <t>-</t>
        </is>
      </c>
      <c r="H1396" s="1393" t="inlineStr">
        <is>
          <t>Beatty</t>
        </is>
      </c>
      <c r="I1396" s="1393" t="inlineStr">
        <is>
          <t>-</t>
        </is>
      </c>
      <c r="J1396" s="1393" t="inlineStr">
        <is>
          <t>-</t>
        </is>
      </c>
      <c r="K1396" s="1395">
        <f>IF(raw[[#This Row],[city]]&lt;&gt;"",_xlfn.XLOOKUP($D1396,ccc[city],ccc[prov],"-"),"-")</f>
        <v/>
      </c>
      <c r="L1396" s="1395">
        <f>IF(raw[[#This Row],[city]]&lt;&gt;"",_xlfn.XLOOKUP($D1396,ccc[city],ccc[ctry],"-"),"-")</f>
        <v/>
      </c>
      <c r="M1396" s="1395">
        <f>IF(raw[[#This Row],[city]]&lt;&gt;"",_xlfn.XLOOKUP($D1396,ccc[city],ccc[cont],"-"),"-")</f>
        <v/>
      </c>
      <c r="N1396" s="1396">
        <f>IF(raw[[#This Row],[city]]="","-",IF(raw[[#This Row],[cont]]="B",raw[[#This Row],[cont]],"W"))</f>
        <v/>
      </c>
      <c r="O1396" s="1397">
        <f>IF(raw[[#This Row],[out]]=0,0,IF(raw[[#This Row],[out]]=raw[[#This Row],[in]],0.01,raw[[#This Row],[out]]-raw[[#This Row],[in]]))</f>
        <v/>
      </c>
      <c r="P1396" s="1397">
        <f>IF(raw[[#This Row],[in]]=0,0,MONTH(raw[[#This Row],[in]]))</f>
        <v/>
      </c>
      <c r="Q1396" s="1397">
        <f>IF(raw[[#This Row],[in]]=0,0,YEAR(raw[[#This Row],[in]]))</f>
        <v/>
      </c>
      <c r="R1396" s="1397">
        <f>INT(raw[[#This Row],[yr]]/10)*10</f>
        <v/>
      </c>
      <c r="S1396" s="1395">
        <f>IF(raw[[#This Row],[city]]="","-",IF(raw[[#This Row],[city]]&lt;&gt;_xlfn.XLOOKUP(raw[[#This Row],[home]],homes[home],homes[city],"-"),1,0))</f>
        <v/>
      </c>
      <c r="T1396" s="1398" t="inlineStr">
        <is>
          <t>.</t>
        </is>
      </c>
      <c r="U1396" s="1399">
        <f>IF(raw[[#This Row],[wb]]="w",raw[[#This Row],[stay]]+U1395,U1395)</f>
        <v/>
      </c>
      <c r="V1396" s="1400">
        <f>IF(raw[[#This Row],[out]]=0,V1395,(raw[[#This Row],[out]]-E$5))</f>
        <v/>
      </c>
      <c r="W1396" s="1401">
        <f>U1396/V1396</f>
        <v/>
      </c>
      <c r="X1396" s="1392" t="n"/>
      <c r="Y1396" s="1392" t="n"/>
      <c r="Z1396" s="1392" t="n"/>
      <c r="AA1396" s="1392" t="n"/>
      <c r="AB1396" s="1392" t="n"/>
      <c r="AC1396" s="1392" t="n"/>
      <c r="AD1396" s="1392" t="n"/>
      <c r="AE1396" s="1392" t="n"/>
      <c r="AF1396" s="1392" t="n"/>
      <c r="AG1396" s="1392" t="n"/>
      <c r="AH1396" s="1392" t="n"/>
      <c r="AI1396" s="1392" t="n"/>
      <c r="AJ1396" s="1392" t="n"/>
      <c r="AK1396" s="1392" t="n"/>
      <c r="AL1396" s="1392" t="n"/>
      <c r="AM1396" s="1392" t="n"/>
      <c r="AN1396" s="1392" t="n"/>
      <c r="AO1396" s="1392" t="n"/>
      <c r="AP1396" s="1392" t="n"/>
      <c r="AQ1396" s="1392" t="n"/>
      <c r="AR1396" s="1422" t="n"/>
      <c r="AS1396" s="1422" t="n"/>
      <c r="AT1396" s="1392" t="n"/>
      <c r="AU1396" s="1392" t="n"/>
      <c r="AV1396" s="1392" t="n"/>
      <c r="AW1396" s="1392" t="n"/>
      <c r="AX1396" s="1392" t="n"/>
      <c r="AY1396" s="1392" t="n"/>
      <c r="AZ1396" s="1392" t="n"/>
      <c r="BA1396" s="1422" t="n"/>
      <c r="BB1396" s="1422" t="n"/>
      <c r="BC1396" s="1392" t="n"/>
      <c r="BD1396" s="1392" t="n"/>
      <c r="BE1396" s="1392" t="n"/>
      <c r="BF1396" s="1392" t="n"/>
      <c r="BG1396" s="1392" t="n"/>
      <c r="BH1396" s="1392" t="n"/>
      <c r="BI1396" s="1392" t="n"/>
      <c r="BJ1396" s="1392" t="n"/>
      <c r="BK1396" s="1392" t="n"/>
      <c r="BL1396" s="1392" t="n"/>
      <c r="BM1396" s="1392" t="n"/>
      <c r="BN1396" s="1392" t="n"/>
      <c r="BO1396" s="1392" t="n"/>
      <c r="BP1396" s="1392" t="n"/>
      <c r="BQ1396" s="1392" t="n"/>
      <c r="BR1396" s="1392" t="n"/>
      <c r="BS1396" s="1392" t="n"/>
      <c r="BT1396" s="1392" t="n"/>
      <c r="BU1396" s="1392" t="n"/>
      <c r="BV1396" s="1392" t="n"/>
      <c r="BW1396" s="1392" t="n"/>
      <c r="BX1396" s="1392" t="n"/>
      <c r="BY1396" s="1392" t="n"/>
      <c r="BZ1396" s="1392" t="n"/>
      <c r="CA1396" s="1392" t="n"/>
      <c r="CB1396" s="1392" t="n"/>
      <c r="CC1396" s="1392" t="n"/>
      <c r="CD1396" s="1392" t="n"/>
      <c r="CE1396" s="1392" t="n"/>
      <c r="CF1396" s="1392" t="n"/>
      <c r="CG1396" s="1392" t="n"/>
      <c r="CH1396" s="1392" t="n"/>
      <c r="CI1396" s="1392" t="n"/>
      <c r="CJ1396" s="1392" t="n"/>
      <c r="CK1396" s="1392" t="n"/>
      <c r="CL1396" s="1392" t="n"/>
    </row>
    <row r="1397">
      <c r="A1397" s="5" t="inlineStr">
        <is>
          <t>.</t>
        </is>
      </c>
      <c r="B1397" s="5" t="inlineStr">
        <is>
          <t>.</t>
        </is>
      </c>
      <c r="C1397" s="1378">
        <f>IF(raw[[#This Row],[city]]="","-",IF(raw[[#This Row],[city]]="TODAY","-",C1396+1))</f>
        <v/>
      </c>
      <c r="D1397" s="1393" t="inlineStr">
        <is>
          <t>Trois-Rivieres</t>
        </is>
      </c>
      <c r="E1397" s="1394" t="n">
        <v>42390</v>
      </c>
      <c r="F1397" s="1394" t="n">
        <v>42390</v>
      </c>
      <c r="G1397" s="1393" t="inlineStr">
        <is>
          <t>-</t>
        </is>
      </c>
      <c r="H1397" s="1393" t="inlineStr">
        <is>
          <t>Beatty</t>
        </is>
      </c>
      <c r="I1397" s="1393" t="inlineStr">
        <is>
          <t>-</t>
        </is>
      </c>
      <c r="J1397" s="1393" t="inlineStr">
        <is>
          <t>30 times/</t>
        </is>
      </c>
      <c r="K1397" s="1395">
        <f>IF(raw[[#This Row],[city]]&lt;&gt;"",_xlfn.XLOOKUP($D1397,ccc[city],ccc[prov],"-"),"-")</f>
        <v/>
      </c>
      <c r="L1397" s="1395">
        <f>IF(raw[[#This Row],[city]]&lt;&gt;"",_xlfn.XLOOKUP($D1397,ccc[city],ccc[ctry],"-"),"-")</f>
        <v/>
      </c>
      <c r="M1397" s="1395">
        <f>IF(raw[[#This Row],[city]]&lt;&gt;"",_xlfn.XLOOKUP($D1397,ccc[city],ccc[cont],"-"),"-")</f>
        <v/>
      </c>
      <c r="N1397" s="1396">
        <f>IF(raw[[#This Row],[city]]="","-",IF(raw[[#This Row],[cont]]="B",raw[[#This Row],[cont]],"W"))</f>
        <v/>
      </c>
      <c r="O1397" s="1397">
        <f>IF(raw[[#This Row],[out]]=0,0,IF(raw[[#This Row],[out]]=raw[[#This Row],[in]],0.01,raw[[#This Row],[out]]-raw[[#This Row],[in]]))</f>
        <v/>
      </c>
      <c r="P1397" s="1397">
        <f>IF(raw[[#This Row],[in]]=0,0,MONTH(raw[[#This Row],[in]]))</f>
        <v/>
      </c>
      <c r="Q1397" s="1397">
        <f>IF(raw[[#This Row],[in]]=0,0,YEAR(raw[[#This Row],[in]]))</f>
        <v/>
      </c>
      <c r="R1397" s="1397">
        <f>INT(raw[[#This Row],[yr]]/10)*10</f>
        <v/>
      </c>
      <c r="S1397" s="1395">
        <f>IF(raw[[#This Row],[city]]="","-",IF(raw[[#This Row],[city]]&lt;&gt;_xlfn.XLOOKUP(raw[[#This Row],[home]],homes[home],homes[city],"-"),1,0))</f>
        <v/>
      </c>
      <c r="T1397" s="1398" t="inlineStr">
        <is>
          <t>.</t>
        </is>
      </c>
      <c r="U1397" s="1399">
        <f>IF(raw[[#This Row],[wb]]="w",raw[[#This Row],[stay]]+U1396,U1396)</f>
        <v/>
      </c>
      <c r="V1397" s="1400">
        <f>IF(raw[[#This Row],[out]]=0,V1396,(raw[[#This Row],[out]]-E$5))</f>
        <v/>
      </c>
      <c r="W1397" s="1401">
        <f>U1397/V1397</f>
        <v/>
      </c>
      <c r="X1397" s="1392" t="n"/>
      <c r="Y1397" s="1392" t="n"/>
      <c r="Z1397" s="1392" t="n"/>
      <c r="AA1397" s="1392" t="n"/>
      <c r="AB1397" s="1392" t="n"/>
      <c r="AC1397" s="1392" t="n"/>
      <c r="AD1397" s="1392" t="n"/>
      <c r="AE1397" s="1392" t="n"/>
      <c r="AF1397" s="1392" t="n"/>
      <c r="AG1397" s="1392" t="n"/>
      <c r="AH1397" s="1392" t="n"/>
      <c r="AI1397" s="1392" t="n"/>
      <c r="AJ1397" s="1392" t="n"/>
      <c r="AK1397" s="1392" t="n"/>
      <c r="AL1397" s="1392" t="n"/>
      <c r="AM1397" s="1392" t="n"/>
      <c r="AN1397" s="1392" t="n"/>
      <c r="AO1397" s="1392" t="n"/>
      <c r="AP1397" s="1392" t="n"/>
      <c r="AQ1397" s="1392" t="n"/>
      <c r="AR1397" s="1422" t="n"/>
      <c r="AS1397" s="1422" t="n"/>
      <c r="AT1397" s="1392" t="n"/>
      <c r="AU1397" s="1392" t="n"/>
      <c r="AV1397" s="1392" t="n"/>
      <c r="AW1397" s="1392" t="n"/>
      <c r="AX1397" s="1392" t="n"/>
      <c r="AY1397" s="1392" t="n"/>
      <c r="AZ1397" s="1392" t="n"/>
      <c r="BA1397" s="1422" t="n"/>
      <c r="BB1397" s="1422" t="n"/>
      <c r="BC1397" s="1392" t="n"/>
      <c r="BD1397" s="1392" t="n"/>
      <c r="BE1397" s="1392" t="n"/>
      <c r="BF1397" s="1392" t="n"/>
      <c r="BG1397" s="1392" t="n"/>
      <c r="BH1397" s="1392" t="n"/>
      <c r="BI1397" s="1392" t="n"/>
      <c r="BJ1397" s="1392" t="n"/>
      <c r="BK1397" s="1392" t="n"/>
      <c r="BL1397" s="1392" t="n"/>
      <c r="BM1397" s="1392" t="n"/>
      <c r="BN1397" s="1392" t="n"/>
      <c r="BO1397" s="1392" t="n"/>
      <c r="BP1397" s="1392" t="n"/>
      <c r="BQ1397" s="1392" t="n"/>
      <c r="BR1397" s="1392" t="n"/>
      <c r="BS1397" s="1392" t="n"/>
      <c r="BT1397" s="1392" t="n"/>
      <c r="BU1397" s="1392" t="n"/>
      <c r="BV1397" s="1392" t="n"/>
      <c r="BW1397" s="1392" t="n"/>
      <c r="BX1397" s="1392" t="n"/>
      <c r="BY1397" s="1392" t="n"/>
      <c r="BZ1397" s="1392" t="n"/>
      <c r="CA1397" s="1392" t="n"/>
      <c r="CB1397" s="1392" t="n"/>
      <c r="CC1397" s="1392" t="n"/>
      <c r="CD1397" s="1392" t="n"/>
      <c r="CE1397" s="1392" t="n"/>
      <c r="CF1397" s="1392" t="n"/>
      <c r="CG1397" s="1392" t="n"/>
      <c r="CH1397" s="1392" t="n"/>
      <c r="CI1397" s="1392" t="n"/>
      <c r="CJ1397" s="1392" t="n"/>
      <c r="CK1397" s="1392" t="n"/>
      <c r="CL1397" s="1392" t="n"/>
    </row>
    <row r="1398">
      <c r="A1398" s="5" t="inlineStr">
        <is>
          <t>.</t>
        </is>
      </c>
      <c r="B1398" s="5" t="inlineStr">
        <is>
          <t>.</t>
        </is>
      </c>
      <c r="C1398" s="1378">
        <f>IF(raw[[#This Row],[city]]="","-",IF(raw[[#This Row],[city]]="TODAY","-",C1397+1))</f>
        <v/>
      </c>
      <c r="D1398" s="1393" t="inlineStr">
        <is>
          <t>Montreal</t>
        </is>
      </c>
      <c r="E1398" s="1394" t="n">
        <v>42401</v>
      </c>
      <c r="F1398" s="1394" t="n">
        <v>42430</v>
      </c>
      <c r="G1398" s="1393" t="inlineStr">
        <is>
          <t>-</t>
        </is>
      </c>
      <c r="H1398" s="1393" t="inlineStr">
        <is>
          <t>Beatty</t>
        </is>
      </c>
      <c r="I1398" s="1393" t="inlineStr">
        <is>
          <t>-</t>
        </is>
      </c>
      <c r="J1398" s="1393" t="inlineStr">
        <is>
          <t>-</t>
        </is>
      </c>
      <c r="K1398" s="1395">
        <f>IF(raw[[#This Row],[city]]&lt;&gt;"",_xlfn.XLOOKUP($D1398,ccc[city],ccc[prov],"-"),"-")</f>
        <v/>
      </c>
      <c r="L1398" s="1395">
        <f>IF(raw[[#This Row],[city]]&lt;&gt;"",_xlfn.XLOOKUP($D1398,ccc[city],ccc[ctry],"-"),"-")</f>
        <v/>
      </c>
      <c r="M1398" s="1395">
        <f>IF(raw[[#This Row],[city]]&lt;&gt;"",_xlfn.XLOOKUP($D1398,ccc[city],ccc[cont],"-"),"-")</f>
        <v/>
      </c>
      <c r="N1398" s="1396">
        <f>IF(raw[[#This Row],[city]]="","-",IF(raw[[#This Row],[cont]]="B",raw[[#This Row],[cont]],"W"))</f>
        <v/>
      </c>
      <c r="O1398" s="1397">
        <f>IF(raw[[#This Row],[out]]=0,0,IF(raw[[#This Row],[out]]=raw[[#This Row],[in]],0.01,raw[[#This Row],[out]]-raw[[#This Row],[in]]))</f>
        <v/>
      </c>
      <c r="P1398" s="1397">
        <f>IF(raw[[#This Row],[in]]=0,0,MONTH(raw[[#This Row],[in]]))</f>
        <v/>
      </c>
      <c r="Q1398" s="1397">
        <f>IF(raw[[#This Row],[in]]=0,0,YEAR(raw[[#This Row],[in]]))</f>
        <v/>
      </c>
      <c r="R1398" s="1397">
        <f>INT(raw[[#This Row],[yr]]/10)*10</f>
        <v/>
      </c>
      <c r="S1398" s="1395">
        <f>IF(raw[[#This Row],[city]]="","-",IF(raw[[#This Row],[city]]&lt;&gt;_xlfn.XLOOKUP(raw[[#This Row],[home]],homes[home],homes[city],"-"),1,0))</f>
        <v/>
      </c>
      <c r="T1398" s="1398" t="inlineStr">
        <is>
          <t>.</t>
        </is>
      </c>
      <c r="U1398" s="1399">
        <f>IF(raw[[#This Row],[wb]]="w",raw[[#This Row],[stay]]+U1397,U1397)</f>
        <v/>
      </c>
      <c r="V1398" s="1400">
        <f>IF(raw[[#This Row],[out]]=0,V1397,(raw[[#This Row],[out]]-E$5))</f>
        <v/>
      </c>
      <c r="W1398" s="1401">
        <f>U1398/V1398</f>
        <v/>
      </c>
      <c r="X1398" s="1392" t="n"/>
      <c r="Y1398" s="1392" t="n"/>
      <c r="Z1398" s="1392" t="n"/>
      <c r="AA1398" s="1392" t="n"/>
      <c r="AB1398" s="1392" t="n"/>
      <c r="AC1398" s="1392" t="n"/>
      <c r="AD1398" s="1392" t="n"/>
      <c r="AE1398" s="1392" t="n"/>
      <c r="AF1398" s="1392" t="n"/>
      <c r="AG1398" s="1392" t="n"/>
      <c r="AH1398" s="1392" t="n"/>
      <c r="AI1398" s="1392" t="n"/>
      <c r="AJ1398" s="1392" t="n"/>
      <c r="AK1398" s="1392" t="n"/>
      <c r="AL1398" s="1392" t="n"/>
      <c r="AM1398" s="1392" t="n"/>
      <c r="AN1398" s="1392" t="n"/>
      <c r="AO1398" s="1392" t="n"/>
      <c r="AP1398" s="1392" t="n"/>
      <c r="AQ1398" s="1392" t="n"/>
      <c r="AR1398" s="1422" t="n"/>
      <c r="AS1398" s="1422" t="n"/>
      <c r="AT1398" s="1392" t="n"/>
      <c r="AU1398" s="1392" t="n"/>
      <c r="AV1398" s="1392" t="n"/>
      <c r="AW1398" s="1392" t="n"/>
      <c r="AX1398" s="1392" t="n"/>
      <c r="AY1398" s="1392" t="n"/>
      <c r="AZ1398" s="1392" t="n"/>
      <c r="BA1398" s="1422" t="n"/>
      <c r="BB1398" s="1422" t="n"/>
      <c r="BC1398" s="1392" t="n"/>
      <c r="BD1398" s="1392" t="n"/>
      <c r="BE1398" s="1392" t="n"/>
      <c r="BF1398" s="1392" t="n"/>
      <c r="BG1398" s="1392" t="n"/>
      <c r="BH1398" s="1392" t="n"/>
      <c r="BI1398" s="1392" t="n"/>
      <c r="BJ1398" s="1392" t="n"/>
      <c r="BK1398" s="1392" t="n"/>
      <c r="BL1398" s="1392" t="n"/>
      <c r="BM1398" s="1392" t="n"/>
      <c r="BN1398" s="1392" t="n"/>
      <c r="BO1398" s="1392" t="n"/>
      <c r="BP1398" s="1392" t="n"/>
      <c r="BQ1398" s="1392" t="n"/>
      <c r="BR1398" s="1392" t="n"/>
      <c r="BS1398" s="1392" t="n"/>
      <c r="BT1398" s="1392" t="n"/>
      <c r="BU1398" s="1392" t="n"/>
      <c r="BV1398" s="1392" t="n"/>
      <c r="BW1398" s="1392" t="n"/>
      <c r="BX1398" s="1392" t="n"/>
      <c r="BY1398" s="1392" t="n"/>
      <c r="BZ1398" s="1392" t="n"/>
      <c r="CA1398" s="1392" t="n"/>
      <c r="CB1398" s="1392" t="n"/>
      <c r="CC1398" s="1392" t="n"/>
      <c r="CD1398" s="1392" t="n"/>
      <c r="CE1398" s="1392" t="n"/>
      <c r="CF1398" s="1392" t="n"/>
      <c r="CG1398" s="1392" t="n"/>
      <c r="CH1398" s="1392" t="n"/>
      <c r="CI1398" s="1392" t="n"/>
      <c r="CJ1398" s="1392" t="n"/>
      <c r="CK1398" s="1392" t="n"/>
      <c r="CL1398" s="1392" t="n"/>
    </row>
    <row r="1399">
      <c r="A1399" s="5" t="inlineStr">
        <is>
          <t>.</t>
        </is>
      </c>
      <c r="B1399" s="5" t="inlineStr">
        <is>
          <t>.</t>
        </is>
      </c>
      <c r="C1399" s="1378">
        <f>IF(raw[[#This Row],[city]]="","-",IF(raw[[#This Row],[city]]="TODAY","-",C1398+1))</f>
        <v/>
      </c>
      <c r="D1399" s="1393" t="inlineStr">
        <is>
          <t>Montreal</t>
        </is>
      </c>
      <c r="E1399" s="1394" t="n">
        <v>42430</v>
      </c>
      <c r="F1399" s="1394" t="n">
        <v>42461</v>
      </c>
      <c r="G1399" s="1393" t="inlineStr">
        <is>
          <t>-</t>
        </is>
      </c>
      <c r="H1399" s="1393" t="inlineStr">
        <is>
          <t>Beatty</t>
        </is>
      </c>
      <c r="I1399" s="1393" t="inlineStr">
        <is>
          <t>-</t>
        </is>
      </c>
      <c r="J1399" s="1393" t="inlineStr">
        <is>
          <t>-</t>
        </is>
      </c>
      <c r="K1399" s="1395">
        <f>IF(raw[[#This Row],[city]]&lt;&gt;"",_xlfn.XLOOKUP($D1399,ccc[city],ccc[prov],"-"),"-")</f>
        <v/>
      </c>
      <c r="L1399" s="1395">
        <f>IF(raw[[#This Row],[city]]&lt;&gt;"",_xlfn.XLOOKUP($D1399,ccc[city],ccc[ctry],"-"),"-")</f>
        <v/>
      </c>
      <c r="M1399" s="1395">
        <f>IF(raw[[#This Row],[city]]&lt;&gt;"",_xlfn.XLOOKUP($D1399,ccc[city],ccc[cont],"-"),"-")</f>
        <v/>
      </c>
      <c r="N1399" s="1396">
        <f>IF(raw[[#This Row],[city]]="","-",IF(raw[[#This Row],[cont]]="B",raw[[#This Row],[cont]],"W"))</f>
        <v/>
      </c>
      <c r="O1399" s="1397">
        <f>IF(raw[[#This Row],[out]]=0,0,IF(raw[[#This Row],[out]]=raw[[#This Row],[in]],0.01,raw[[#This Row],[out]]-raw[[#This Row],[in]]))</f>
        <v/>
      </c>
      <c r="P1399" s="1397">
        <f>IF(raw[[#This Row],[in]]=0,0,MONTH(raw[[#This Row],[in]]))</f>
        <v/>
      </c>
      <c r="Q1399" s="1397">
        <f>IF(raw[[#This Row],[in]]=0,0,YEAR(raw[[#This Row],[in]]))</f>
        <v/>
      </c>
      <c r="R1399" s="1397">
        <f>INT(raw[[#This Row],[yr]]/10)*10</f>
        <v/>
      </c>
      <c r="S1399" s="1395">
        <f>IF(raw[[#This Row],[city]]="","-",IF(raw[[#This Row],[city]]&lt;&gt;_xlfn.XLOOKUP(raw[[#This Row],[home]],homes[home],homes[city],"-"),1,0))</f>
        <v/>
      </c>
      <c r="T1399" s="1398" t="inlineStr">
        <is>
          <t>.</t>
        </is>
      </c>
      <c r="U1399" s="1399">
        <f>IF(raw[[#This Row],[wb]]="w",raw[[#This Row],[stay]]+U1398,U1398)</f>
        <v/>
      </c>
      <c r="V1399" s="1400">
        <f>IF(raw[[#This Row],[out]]=0,V1398,(raw[[#This Row],[out]]-E$5))</f>
        <v/>
      </c>
      <c r="W1399" s="1401">
        <f>U1399/V1399</f>
        <v/>
      </c>
      <c r="X1399" s="1392" t="n"/>
      <c r="Y1399" s="1392" t="n"/>
      <c r="Z1399" s="1392" t="n"/>
      <c r="AA1399" s="1392" t="n"/>
      <c r="AB1399" s="1392" t="n"/>
      <c r="AC1399" s="1392" t="n"/>
      <c r="AD1399" s="1392" t="n"/>
      <c r="AE1399" s="1392" t="n"/>
      <c r="AF1399" s="1392" t="n"/>
      <c r="AG1399" s="1392" t="n"/>
      <c r="AH1399" s="1392" t="n"/>
      <c r="AI1399" s="1392" t="n"/>
      <c r="AJ1399" s="1392" t="n"/>
      <c r="AK1399" s="1392" t="n"/>
      <c r="AL1399" s="1392" t="n"/>
      <c r="AM1399" s="1392" t="n"/>
      <c r="AN1399" s="1392" t="n"/>
      <c r="AO1399" s="1392" t="n"/>
      <c r="AP1399" s="1392" t="n"/>
      <c r="AQ1399" s="1392" t="n"/>
      <c r="AR1399" s="1422" t="n"/>
      <c r="AS1399" s="1422" t="n"/>
      <c r="AT1399" s="1392" t="n"/>
      <c r="AU1399" s="1392" t="n"/>
      <c r="AV1399" s="1392" t="n"/>
      <c r="AW1399" s="1392" t="n"/>
      <c r="AX1399" s="1392" t="n"/>
      <c r="AY1399" s="1392" t="n"/>
      <c r="AZ1399" s="1392" t="n"/>
      <c r="BA1399" s="1422" t="n"/>
      <c r="BB1399" s="1422" t="n"/>
      <c r="BC1399" s="1392" t="n"/>
      <c r="BD1399" s="1392" t="n"/>
      <c r="BE1399" s="1392" t="n"/>
      <c r="BF1399" s="1392" t="n"/>
      <c r="BG1399" s="1392" t="n"/>
      <c r="BH1399" s="1392" t="n"/>
      <c r="BI1399" s="1392" t="n"/>
      <c r="BJ1399" s="1392" t="n"/>
      <c r="BK1399" s="1392" t="n"/>
      <c r="BL1399" s="1392" t="n"/>
      <c r="BM1399" s="1392" t="n"/>
      <c r="BN1399" s="1392" t="n"/>
      <c r="BO1399" s="1392" t="n"/>
      <c r="BP1399" s="1392" t="n"/>
      <c r="BQ1399" s="1392" t="n"/>
      <c r="BR1399" s="1392" t="n"/>
      <c r="BS1399" s="1392" t="n"/>
      <c r="BT1399" s="1392" t="n"/>
      <c r="BU1399" s="1392" t="n"/>
      <c r="BV1399" s="1392" t="n"/>
      <c r="BW1399" s="1392" t="n"/>
      <c r="BX1399" s="1392" t="n"/>
      <c r="BY1399" s="1392" t="n"/>
      <c r="BZ1399" s="1392" t="n"/>
      <c r="CA1399" s="1392" t="n"/>
      <c r="CB1399" s="1392" t="n"/>
      <c r="CC1399" s="1392" t="n"/>
      <c r="CD1399" s="1392" t="n"/>
      <c r="CE1399" s="1392" t="n"/>
      <c r="CF1399" s="1392" t="n"/>
      <c r="CG1399" s="1392" t="n"/>
      <c r="CH1399" s="1392" t="n"/>
      <c r="CI1399" s="1392" t="n"/>
      <c r="CJ1399" s="1392" t="n"/>
      <c r="CK1399" s="1392" t="n"/>
      <c r="CL1399" s="1392" t="n"/>
    </row>
    <row r="1400">
      <c r="A1400" s="5" t="inlineStr">
        <is>
          <t>.</t>
        </is>
      </c>
      <c r="B1400" s="5" t="inlineStr">
        <is>
          <t>.</t>
        </is>
      </c>
      <c r="C1400" s="1378">
        <f>IF(raw[[#This Row],[city]]="","-",IF(raw[[#This Row],[city]]="TODAY","-",C1399+1))</f>
        <v/>
      </c>
      <c r="D1400" s="1393" t="inlineStr">
        <is>
          <t>Montreal</t>
        </is>
      </c>
      <c r="E1400" s="1394" t="n">
        <v>42461</v>
      </c>
      <c r="F1400" s="1394" t="n">
        <v>42491</v>
      </c>
      <c r="G1400" s="1393" t="inlineStr">
        <is>
          <t>-</t>
        </is>
      </c>
      <c r="H1400" s="1393" t="inlineStr">
        <is>
          <t>Beatty</t>
        </is>
      </c>
      <c r="I1400" s="1393" t="inlineStr">
        <is>
          <t>-</t>
        </is>
      </c>
      <c r="J1400" s="1393" t="inlineStr">
        <is>
          <t>-</t>
        </is>
      </c>
      <c r="K1400" s="1395">
        <f>IF(raw[[#This Row],[city]]&lt;&gt;"",_xlfn.XLOOKUP($D1400,ccc[city],ccc[prov],"-"),"-")</f>
        <v/>
      </c>
      <c r="L1400" s="1395">
        <f>IF(raw[[#This Row],[city]]&lt;&gt;"",_xlfn.XLOOKUP($D1400,ccc[city],ccc[ctry],"-"),"-")</f>
        <v/>
      </c>
      <c r="M1400" s="1395">
        <f>IF(raw[[#This Row],[city]]&lt;&gt;"",_xlfn.XLOOKUP($D1400,ccc[city],ccc[cont],"-"),"-")</f>
        <v/>
      </c>
      <c r="N1400" s="1396">
        <f>IF(raw[[#This Row],[city]]="","-",IF(raw[[#This Row],[cont]]="B",raw[[#This Row],[cont]],"W"))</f>
        <v/>
      </c>
      <c r="O1400" s="1397">
        <f>IF(raw[[#This Row],[out]]=0,0,IF(raw[[#This Row],[out]]=raw[[#This Row],[in]],0.01,raw[[#This Row],[out]]-raw[[#This Row],[in]]))</f>
        <v/>
      </c>
      <c r="P1400" s="1397">
        <f>IF(raw[[#This Row],[in]]=0,0,MONTH(raw[[#This Row],[in]]))</f>
        <v/>
      </c>
      <c r="Q1400" s="1397">
        <f>IF(raw[[#This Row],[in]]=0,0,YEAR(raw[[#This Row],[in]]))</f>
        <v/>
      </c>
      <c r="R1400" s="1397">
        <f>INT(raw[[#This Row],[yr]]/10)*10</f>
        <v/>
      </c>
      <c r="S1400" s="1395">
        <f>IF(raw[[#This Row],[city]]="","-",IF(raw[[#This Row],[city]]&lt;&gt;_xlfn.XLOOKUP(raw[[#This Row],[home]],homes[home],homes[city],"-"),1,0))</f>
        <v/>
      </c>
      <c r="T1400" s="1398" t="inlineStr">
        <is>
          <t>.</t>
        </is>
      </c>
      <c r="U1400" s="1399">
        <f>IF(raw[[#This Row],[wb]]="w",raw[[#This Row],[stay]]+U1399,U1399)</f>
        <v/>
      </c>
      <c r="V1400" s="1400">
        <f>IF(raw[[#This Row],[out]]=0,V1399,(raw[[#This Row],[out]]-E$5))</f>
        <v/>
      </c>
      <c r="W1400" s="1401">
        <f>U1400/V1400</f>
        <v/>
      </c>
      <c r="X1400" s="1392" t="n"/>
      <c r="Y1400" s="1392" t="n"/>
      <c r="Z1400" s="1392" t="n"/>
      <c r="AA1400" s="1392" t="n"/>
      <c r="AB1400" s="1392" t="n"/>
      <c r="AC1400" s="1392" t="n"/>
      <c r="AD1400" s="1392" t="n"/>
      <c r="AE1400" s="1392" t="n"/>
      <c r="AF1400" s="1392" t="n"/>
      <c r="AG1400" s="1392" t="n"/>
      <c r="AH1400" s="1392" t="n"/>
      <c r="AI1400" s="1392" t="n"/>
      <c r="AJ1400" s="1392" t="n"/>
      <c r="AK1400" s="1392" t="n"/>
      <c r="AL1400" s="1392" t="n"/>
      <c r="AM1400" s="1392" t="n"/>
      <c r="AN1400" s="1392" t="n"/>
      <c r="AO1400" s="1392" t="n"/>
      <c r="AP1400" s="1392" t="n"/>
      <c r="AQ1400" s="1392" t="n"/>
      <c r="AR1400" s="1422" t="n"/>
      <c r="AS1400" s="1422" t="n"/>
      <c r="AT1400" s="1392" t="n"/>
      <c r="AU1400" s="1392" t="n"/>
      <c r="AV1400" s="1392" t="n"/>
      <c r="AW1400" s="1392" t="n"/>
      <c r="AX1400" s="1392" t="n"/>
      <c r="AY1400" s="1392" t="n"/>
      <c r="AZ1400" s="1392" t="n"/>
      <c r="BA1400" s="1422" t="n"/>
      <c r="BB1400" s="1422" t="n"/>
      <c r="BC1400" s="1392" t="n"/>
      <c r="BD1400" s="1392" t="n"/>
      <c r="BE1400" s="1392" t="n"/>
      <c r="BF1400" s="1392" t="n"/>
      <c r="BG1400" s="1392" t="n"/>
      <c r="BH1400" s="1392" t="n"/>
      <c r="BI1400" s="1392" t="n"/>
      <c r="BJ1400" s="1392" t="n"/>
      <c r="BK1400" s="1392" t="n"/>
      <c r="BL1400" s="1392" t="n"/>
      <c r="BM1400" s="1392" t="n"/>
      <c r="BN1400" s="1392" t="n"/>
      <c r="BO1400" s="1392" t="n"/>
      <c r="BP1400" s="1392" t="n"/>
      <c r="BQ1400" s="1392" t="n"/>
      <c r="BR1400" s="1392" t="n"/>
      <c r="BS1400" s="1392" t="n"/>
      <c r="BT1400" s="1392" t="n"/>
      <c r="BU1400" s="1392" t="n"/>
      <c r="BV1400" s="1392" t="n"/>
      <c r="BW1400" s="1392" t="n"/>
      <c r="BX1400" s="1392" t="n"/>
      <c r="BY1400" s="1392" t="n"/>
      <c r="BZ1400" s="1392" t="n"/>
      <c r="CA1400" s="1392" t="n"/>
      <c r="CB1400" s="1392" t="n"/>
      <c r="CC1400" s="1392" t="n"/>
      <c r="CD1400" s="1392" t="n"/>
      <c r="CE1400" s="1392" t="n"/>
      <c r="CF1400" s="1392" t="n"/>
      <c r="CG1400" s="1392" t="n"/>
      <c r="CH1400" s="1392" t="n"/>
      <c r="CI1400" s="1392" t="n"/>
      <c r="CJ1400" s="1392" t="n"/>
      <c r="CK1400" s="1392" t="n"/>
      <c r="CL1400" s="1392" t="n"/>
    </row>
    <row r="1401">
      <c r="A1401" s="5" t="inlineStr">
        <is>
          <t>.</t>
        </is>
      </c>
      <c r="B1401" s="5" t="inlineStr">
        <is>
          <t>.</t>
        </is>
      </c>
      <c r="C1401" s="1378">
        <f>IF(raw[[#This Row],[city]]="","-",IF(raw[[#This Row],[city]]="TODAY","-",C1400+1))</f>
        <v/>
      </c>
      <c r="D1401" s="1393" t="inlineStr">
        <is>
          <t>Montreal</t>
        </is>
      </c>
      <c r="E1401" s="1394" t="n">
        <v>42491</v>
      </c>
      <c r="F1401" s="1394" t="n">
        <v>42507</v>
      </c>
      <c r="G1401" s="1393" t="n">
        <v>1</v>
      </c>
      <c r="H1401" s="1393" t="inlineStr">
        <is>
          <t>Beatty</t>
        </is>
      </c>
      <c r="I1401" s="1393" t="inlineStr">
        <is>
          <t>-</t>
        </is>
      </c>
      <c r="J1401" s="1393" t="inlineStr">
        <is>
          <t>-</t>
        </is>
      </c>
      <c r="K1401" s="1395">
        <f>IF(raw[[#This Row],[city]]&lt;&gt;"",_xlfn.XLOOKUP($D1401,ccc[city],ccc[prov],"-"),"-")</f>
        <v/>
      </c>
      <c r="L1401" s="1395">
        <f>IF(raw[[#This Row],[city]]&lt;&gt;"",_xlfn.XLOOKUP($D1401,ccc[city],ccc[ctry],"-"),"-")</f>
        <v/>
      </c>
      <c r="M1401" s="1395">
        <f>IF(raw[[#This Row],[city]]&lt;&gt;"",_xlfn.XLOOKUP($D1401,ccc[city],ccc[cont],"-"),"-")</f>
        <v/>
      </c>
      <c r="N1401" s="1396">
        <f>IF(raw[[#This Row],[city]]="","-",IF(raw[[#This Row],[cont]]="B",raw[[#This Row],[cont]],"W"))</f>
        <v/>
      </c>
      <c r="O1401" s="1397">
        <f>IF(raw[[#This Row],[out]]=0,0,IF(raw[[#This Row],[out]]=raw[[#This Row],[in]],0.01,raw[[#This Row],[out]]-raw[[#This Row],[in]]))</f>
        <v/>
      </c>
      <c r="P1401" s="1397">
        <f>IF(raw[[#This Row],[in]]=0,0,MONTH(raw[[#This Row],[in]]))</f>
        <v/>
      </c>
      <c r="Q1401" s="1397">
        <f>IF(raw[[#This Row],[in]]=0,0,YEAR(raw[[#This Row],[in]]))</f>
        <v/>
      </c>
      <c r="R1401" s="1397">
        <f>INT(raw[[#This Row],[yr]]/10)*10</f>
        <v/>
      </c>
      <c r="S1401" s="1395">
        <f>IF(raw[[#This Row],[city]]="","-",IF(raw[[#This Row],[city]]&lt;&gt;_xlfn.XLOOKUP(raw[[#This Row],[home]],homes[home],homes[city],"-"),1,0))</f>
        <v/>
      </c>
      <c r="T1401" s="1398" t="inlineStr">
        <is>
          <t>.</t>
        </is>
      </c>
      <c r="U1401" s="1399">
        <f>IF(raw[[#This Row],[wb]]="w",raw[[#This Row],[stay]]+U1400,U1400)</f>
        <v/>
      </c>
      <c r="V1401" s="1400">
        <f>IF(raw[[#This Row],[out]]=0,V1400,(raw[[#This Row],[out]]-E$5))</f>
        <v/>
      </c>
      <c r="W1401" s="1401">
        <f>U1401/V1401</f>
        <v/>
      </c>
      <c r="X1401" s="1392" t="n"/>
      <c r="Y1401" s="1392" t="n"/>
      <c r="Z1401" s="1392" t="n"/>
      <c r="AA1401" s="1392" t="n"/>
      <c r="AB1401" s="1392" t="n"/>
      <c r="AC1401" s="1392" t="n"/>
      <c r="AD1401" s="1392" t="n"/>
      <c r="AE1401" s="1392" t="n"/>
      <c r="AF1401" s="1392" t="n"/>
      <c r="AG1401" s="1392" t="n"/>
      <c r="AH1401" s="1392" t="n"/>
      <c r="AI1401" s="1392" t="n"/>
      <c r="AJ1401" s="1392" t="n"/>
      <c r="AK1401" s="1392" t="n"/>
      <c r="AL1401" s="1392" t="n"/>
      <c r="AM1401" s="1392" t="n"/>
      <c r="AN1401" s="1392" t="n"/>
      <c r="AO1401" s="1392" t="n"/>
      <c r="AP1401" s="1392" t="n"/>
      <c r="AQ1401" s="1392" t="n"/>
      <c r="AR1401" s="1422" t="n"/>
      <c r="AS1401" s="1422" t="n"/>
      <c r="AT1401" s="1392" t="n"/>
      <c r="AU1401" s="1392" t="n"/>
      <c r="AV1401" s="1392" t="n"/>
      <c r="AW1401" s="1392" t="n"/>
      <c r="AX1401" s="1392" t="n"/>
      <c r="AY1401" s="1392" t="n"/>
      <c r="AZ1401" s="1392" t="n"/>
      <c r="BA1401" s="1422" t="n"/>
      <c r="BB1401" s="1422" t="n"/>
      <c r="BC1401" s="1392" t="n"/>
      <c r="BD1401" s="1392" t="n"/>
      <c r="BE1401" s="1392" t="n"/>
      <c r="BF1401" s="1392" t="n"/>
      <c r="BG1401" s="1392" t="n"/>
      <c r="BH1401" s="1392" t="n"/>
      <c r="BI1401" s="1392" t="n"/>
      <c r="BJ1401" s="1392" t="n"/>
      <c r="BK1401" s="1392" t="n"/>
      <c r="BL1401" s="1392" t="n"/>
      <c r="BM1401" s="1392" t="n"/>
      <c r="BN1401" s="1392" t="n"/>
      <c r="BO1401" s="1392" t="n"/>
      <c r="BP1401" s="1392" t="n"/>
      <c r="BQ1401" s="1392" t="n"/>
      <c r="BR1401" s="1392" t="n"/>
      <c r="BS1401" s="1392" t="n"/>
      <c r="BT1401" s="1392" t="n"/>
      <c r="BU1401" s="1392" t="n"/>
      <c r="BV1401" s="1392" t="n"/>
      <c r="BW1401" s="1392" t="n"/>
      <c r="BX1401" s="1392" t="n"/>
      <c r="BY1401" s="1392" t="n"/>
      <c r="BZ1401" s="1392" t="n"/>
      <c r="CA1401" s="1392" t="n"/>
      <c r="CB1401" s="1392" t="n"/>
      <c r="CC1401" s="1392" t="n"/>
      <c r="CD1401" s="1392" t="n"/>
      <c r="CE1401" s="1392" t="n"/>
      <c r="CF1401" s="1392" t="n"/>
      <c r="CG1401" s="1392" t="n"/>
      <c r="CH1401" s="1392" t="n"/>
      <c r="CI1401" s="1392" t="n"/>
      <c r="CJ1401" s="1392" t="n"/>
      <c r="CK1401" s="1392" t="n"/>
      <c r="CL1401" s="1392" t="n"/>
    </row>
    <row r="1402">
      <c r="A1402" s="5" t="inlineStr">
        <is>
          <t>.</t>
        </is>
      </c>
      <c r="B1402" s="5" t="inlineStr">
        <is>
          <t>.</t>
        </is>
      </c>
      <c r="C1402" s="1378">
        <f>IF(raw[[#This Row],[city]]="","-",IF(raw[[#This Row],[city]]="TODAY","-",C1401+1))</f>
        <v/>
      </c>
      <c r="D1402" s="1393" t="inlineStr">
        <is>
          <t>Vancouver</t>
        </is>
      </c>
      <c r="E1402" s="1394" t="n">
        <v>42507</v>
      </c>
      <c r="F1402" s="1394" t="n">
        <v>42507</v>
      </c>
      <c r="G1402" s="1393" t="n">
        <v>0.01</v>
      </c>
      <c r="H1402" s="1393" t="inlineStr">
        <is>
          <t>Beatty</t>
        </is>
      </c>
      <c r="I1402" s="1393" t="inlineStr">
        <is>
          <t>-</t>
        </is>
      </c>
      <c r="J1402" s="1393" t="inlineStr">
        <is>
          <t>-</t>
        </is>
      </c>
      <c r="K1402" s="1395">
        <f>IF(raw[[#This Row],[city]]&lt;&gt;"",_xlfn.XLOOKUP($D1402,ccc[city],ccc[prov],"-"),"-")</f>
        <v/>
      </c>
      <c r="L1402" s="1395">
        <f>IF(raw[[#This Row],[city]]&lt;&gt;"",_xlfn.XLOOKUP($D1402,ccc[city],ccc[ctry],"-"),"-")</f>
        <v/>
      </c>
      <c r="M1402" s="1395">
        <f>IF(raw[[#This Row],[city]]&lt;&gt;"",_xlfn.XLOOKUP($D1402,ccc[city],ccc[cont],"-"),"-")</f>
        <v/>
      </c>
      <c r="N1402" s="1396">
        <f>IF(raw[[#This Row],[city]]="","-",IF(raw[[#This Row],[cont]]="B",raw[[#This Row],[cont]],"W"))</f>
        <v/>
      </c>
      <c r="O1402" s="1397">
        <f>IF(raw[[#This Row],[out]]=0,0,IF(raw[[#This Row],[out]]=raw[[#This Row],[in]],0.01,raw[[#This Row],[out]]-raw[[#This Row],[in]]))</f>
        <v/>
      </c>
      <c r="P1402" s="1397">
        <f>IF(raw[[#This Row],[in]]=0,0,MONTH(raw[[#This Row],[in]]))</f>
        <v/>
      </c>
      <c r="Q1402" s="1397">
        <f>IF(raw[[#This Row],[in]]=0,0,YEAR(raw[[#This Row],[in]]))</f>
        <v/>
      </c>
      <c r="R1402" s="1397">
        <f>INT(raw[[#This Row],[yr]]/10)*10</f>
        <v/>
      </c>
      <c r="S1402" s="1395">
        <f>IF(raw[[#This Row],[city]]="","-",IF(raw[[#This Row],[city]]&lt;&gt;_xlfn.XLOOKUP(raw[[#This Row],[home]],homes[home],homes[city],"-"),1,0))</f>
        <v/>
      </c>
      <c r="T1402" s="1398" t="inlineStr">
        <is>
          <t>.</t>
        </is>
      </c>
      <c r="U1402" s="1399">
        <f>IF(raw[[#This Row],[wb]]="w",raw[[#This Row],[stay]]+U1401,U1401)</f>
        <v/>
      </c>
      <c r="V1402" s="1400">
        <f>IF(raw[[#This Row],[out]]=0,V1401,(raw[[#This Row],[out]]-E$5))</f>
        <v/>
      </c>
      <c r="W1402" s="1401">
        <f>U1402/V1402</f>
        <v/>
      </c>
      <c r="X1402" s="1392" t="n"/>
      <c r="Y1402" s="1392" t="n"/>
      <c r="Z1402" s="1392" t="n"/>
      <c r="AA1402" s="1392" t="n"/>
      <c r="AB1402" s="1392" t="n"/>
      <c r="AC1402" s="1392" t="n"/>
      <c r="AD1402" s="1392" t="n"/>
      <c r="AE1402" s="1392" t="n"/>
      <c r="AF1402" s="1392" t="n"/>
      <c r="AG1402" s="1392" t="n"/>
      <c r="AH1402" s="1392" t="n"/>
      <c r="AI1402" s="1392" t="n"/>
      <c r="AJ1402" s="1392" t="n"/>
      <c r="AK1402" s="1392" t="n"/>
      <c r="AL1402" s="1392" t="n"/>
      <c r="AM1402" s="1392" t="n"/>
      <c r="AN1402" s="1392" t="n"/>
      <c r="AO1402" s="1392" t="n"/>
      <c r="AP1402" s="1392" t="n"/>
      <c r="AQ1402" s="1392" t="n"/>
      <c r="AR1402" s="1422" t="n"/>
      <c r="AS1402" s="1422" t="n"/>
      <c r="AT1402" s="1392" t="n"/>
      <c r="AU1402" s="1392" t="n"/>
      <c r="AV1402" s="1392" t="n"/>
      <c r="AW1402" s="1392" t="n"/>
      <c r="AX1402" s="1392" t="n"/>
      <c r="AY1402" s="1392" t="n"/>
      <c r="AZ1402" s="1392" t="n"/>
      <c r="BA1402" s="1422" t="n"/>
      <c r="BB1402" s="1422" t="n"/>
      <c r="BC1402" s="1392" t="n"/>
      <c r="BD1402" s="1392" t="n"/>
      <c r="BE1402" s="1392" t="n"/>
      <c r="BF1402" s="1392" t="n"/>
      <c r="BG1402" s="1392" t="n"/>
      <c r="BH1402" s="1392" t="n"/>
      <c r="BI1402" s="1392" t="n"/>
      <c r="BJ1402" s="1392" t="n"/>
      <c r="BK1402" s="1392" t="n"/>
      <c r="BL1402" s="1392" t="n"/>
      <c r="BM1402" s="1392" t="n"/>
      <c r="BN1402" s="1392" t="n"/>
      <c r="BO1402" s="1392" t="n"/>
      <c r="BP1402" s="1392" t="n"/>
      <c r="BQ1402" s="1392" t="n"/>
      <c r="BR1402" s="1392" t="n"/>
      <c r="BS1402" s="1392" t="n"/>
      <c r="BT1402" s="1392" t="n"/>
      <c r="BU1402" s="1392" t="n"/>
      <c r="BV1402" s="1392" t="n"/>
      <c r="BW1402" s="1392" t="n"/>
      <c r="BX1402" s="1392" t="n"/>
      <c r="BY1402" s="1392" t="n"/>
      <c r="BZ1402" s="1392" t="n"/>
      <c r="CA1402" s="1392" t="n"/>
      <c r="CB1402" s="1392" t="n"/>
      <c r="CC1402" s="1392" t="n"/>
      <c r="CD1402" s="1392" t="n"/>
      <c r="CE1402" s="1392" t="n"/>
      <c r="CF1402" s="1392" t="n"/>
      <c r="CG1402" s="1392" t="n"/>
      <c r="CH1402" s="1392" t="n"/>
      <c r="CI1402" s="1392" t="n"/>
      <c r="CJ1402" s="1392" t="n"/>
      <c r="CK1402" s="1392" t="n"/>
      <c r="CL1402" s="1392" t="n"/>
    </row>
    <row r="1403">
      <c r="A1403" s="5" t="inlineStr">
        <is>
          <t>.</t>
        </is>
      </c>
      <c r="B1403" s="5" t="inlineStr">
        <is>
          <t>.</t>
        </is>
      </c>
      <c r="C1403" s="1378">
        <f>IF(raw[[#This Row],[city]]="","-",IF(raw[[#This Row],[city]]="TODAY","-",C1402+1))</f>
        <v/>
      </c>
      <c r="D1403" s="1393" t="inlineStr">
        <is>
          <t>AIR</t>
        </is>
      </c>
      <c r="E1403" s="1394" t="n">
        <v>42507</v>
      </c>
      <c r="F1403" s="1394" t="n">
        <v>42508</v>
      </c>
      <c r="G1403" s="1393" t="inlineStr">
        <is>
          <t>x</t>
        </is>
      </c>
      <c r="H1403" s="1393" t="inlineStr">
        <is>
          <t>Beatty</t>
        </is>
      </c>
      <c r="I1403" s="1393" t="inlineStr">
        <is>
          <t>-</t>
        </is>
      </c>
      <c r="J1403" s="1393" t="inlineStr">
        <is>
          <t>-</t>
        </is>
      </c>
      <c r="K1403" s="1395">
        <f>IF(raw[[#This Row],[city]]&lt;&gt;"",_xlfn.XLOOKUP($D1403,ccc[city],ccc[prov],"-"),"-")</f>
        <v/>
      </c>
      <c r="L1403" s="1395">
        <f>IF(raw[[#This Row],[city]]&lt;&gt;"",_xlfn.XLOOKUP($D1403,ccc[city],ccc[ctry],"-"),"-")</f>
        <v/>
      </c>
      <c r="M1403" s="1395">
        <f>IF(raw[[#This Row],[city]]&lt;&gt;"",_xlfn.XLOOKUP($D1403,ccc[city],ccc[cont],"-"),"-")</f>
        <v/>
      </c>
      <c r="N1403" s="1396">
        <f>IF(raw[[#This Row],[city]]="","-",IF(raw[[#This Row],[cont]]="B",raw[[#This Row],[cont]],"W"))</f>
        <v/>
      </c>
      <c r="O1403" s="1397">
        <f>IF(raw[[#This Row],[out]]=0,0,IF(raw[[#This Row],[out]]=raw[[#This Row],[in]],0.01,raw[[#This Row],[out]]-raw[[#This Row],[in]]))</f>
        <v/>
      </c>
      <c r="P1403" s="1397">
        <f>IF(raw[[#This Row],[in]]=0,0,MONTH(raw[[#This Row],[in]]))</f>
        <v/>
      </c>
      <c r="Q1403" s="1397">
        <f>IF(raw[[#This Row],[in]]=0,0,YEAR(raw[[#This Row],[in]]))</f>
        <v/>
      </c>
      <c r="R1403" s="1397">
        <f>INT(raw[[#This Row],[yr]]/10)*10</f>
        <v/>
      </c>
      <c r="S1403" s="1395">
        <f>IF(raw[[#This Row],[city]]="","-",IF(raw[[#This Row],[city]]&lt;&gt;_xlfn.XLOOKUP(raw[[#This Row],[home]],homes[home],homes[city],"-"),1,0))</f>
        <v/>
      </c>
      <c r="T1403" s="1398" t="inlineStr">
        <is>
          <t>.</t>
        </is>
      </c>
      <c r="U1403" s="1399">
        <f>IF(raw[[#This Row],[wb]]="w",raw[[#This Row],[stay]]+U1402,U1402)</f>
        <v/>
      </c>
      <c r="V1403" s="1400">
        <f>IF(raw[[#This Row],[out]]=0,V1402,(raw[[#This Row],[out]]-E$5))</f>
        <v/>
      </c>
      <c r="W1403" s="1401">
        <f>U1403/V1403</f>
        <v/>
      </c>
      <c r="X1403" s="1392" t="n"/>
      <c r="Y1403" s="1392" t="n"/>
      <c r="Z1403" s="1392" t="n"/>
      <c r="AA1403" s="1392" t="n"/>
      <c r="AB1403" s="1392" t="n"/>
      <c r="AC1403" s="1392" t="n"/>
      <c r="AD1403" s="1392" t="n"/>
      <c r="AE1403" s="1392" t="n"/>
      <c r="AF1403" s="1392" t="n"/>
      <c r="AG1403" s="1392" t="n"/>
      <c r="AH1403" s="1392" t="n"/>
      <c r="AI1403" s="1392" t="n"/>
      <c r="AJ1403" s="1392" t="n"/>
      <c r="AK1403" s="1392" t="n"/>
      <c r="AL1403" s="1392" t="n"/>
      <c r="AM1403" s="1392" t="n"/>
      <c r="AN1403" s="1392" t="n"/>
      <c r="AO1403" s="1392" t="n"/>
      <c r="AP1403" s="1392" t="n"/>
      <c r="AQ1403" s="1392" t="n"/>
      <c r="AR1403" s="1422" t="n"/>
      <c r="AS1403" s="1422" t="n"/>
      <c r="AT1403" s="1392" t="n"/>
      <c r="AU1403" s="1392" t="n"/>
      <c r="AV1403" s="1392" t="n"/>
      <c r="AW1403" s="1392" t="n"/>
      <c r="AX1403" s="1392" t="n"/>
      <c r="AY1403" s="1392" t="n"/>
      <c r="AZ1403" s="1392" t="n"/>
      <c r="BA1403" s="1422" t="n"/>
      <c r="BB1403" s="1422" t="n"/>
      <c r="BC1403" s="1392" t="n"/>
      <c r="BD1403" s="1392" t="n"/>
      <c r="BE1403" s="1392" t="n"/>
      <c r="BF1403" s="1392" t="n"/>
      <c r="BG1403" s="1392" t="n"/>
      <c r="BH1403" s="1392" t="n"/>
      <c r="BI1403" s="1392" t="n"/>
      <c r="BJ1403" s="1392" t="n"/>
      <c r="BK1403" s="1392" t="n"/>
      <c r="BL1403" s="1392" t="n"/>
      <c r="BM1403" s="1392" t="n"/>
      <c r="BN1403" s="1392" t="n"/>
      <c r="BO1403" s="1392" t="n"/>
      <c r="BP1403" s="1392" t="n"/>
      <c r="BQ1403" s="1392" t="n"/>
      <c r="BR1403" s="1392" t="n"/>
      <c r="BS1403" s="1392" t="n"/>
      <c r="BT1403" s="1392" t="n"/>
      <c r="BU1403" s="1392" t="n"/>
      <c r="BV1403" s="1392" t="n"/>
      <c r="BW1403" s="1392" t="n"/>
      <c r="BX1403" s="1392" t="n"/>
      <c r="BY1403" s="1392" t="n"/>
      <c r="BZ1403" s="1392" t="n"/>
      <c r="CA1403" s="1392" t="n"/>
      <c r="CB1403" s="1392" t="n"/>
      <c r="CC1403" s="1392" t="n"/>
      <c r="CD1403" s="1392" t="n"/>
      <c r="CE1403" s="1392" t="n"/>
      <c r="CF1403" s="1392" t="n"/>
      <c r="CG1403" s="1392" t="n"/>
      <c r="CH1403" s="1392" t="n"/>
      <c r="CI1403" s="1392" t="n"/>
      <c r="CJ1403" s="1392" t="n"/>
      <c r="CK1403" s="1392" t="n"/>
      <c r="CL1403" s="1392" t="n"/>
    </row>
    <row r="1404">
      <c r="A1404" s="5" t="inlineStr">
        <is>
          <t>.</t>
        </is>
      </c>
      <c r="B1404" s="5" t="inlineStr">
        <is>
          <t>.</t>
        </is>
      </c>
      <c r="C1404" s="1378">
        <f>IF(raw[[#This Row],[city]]="","-",IF(raw[[#This Row],[city]]="TODAY","-",C1403+1))</f>
        <v/>
      </c>
      <c r="D1404" s="1425" t="inlineStr">
        <is>
          <t>Beijing</t>
        </is>
      </c>
      <c r="E1404" s="1426" t="n">
        <v>42508</v>
      </c>
      <c r="F1404" s="1426" t="n">
        <v>42514</v>
      </c>
      <c r="G1404" s="1425" t="n">
        <v>1</v>
      </c>
      <c r="H1404" s="1393" t="inlineStr">
        <is>
          <t>Beatty</t>
        </is>
      </c>
      <c r="I1404" s="1393" t="inlineStr">
        <is>
          <t>-</t>
        </is>
      </c>
      <c r="J1404" s="1393" t="inlineStr">
        <is>
          <t>-</t>
        </is>
      </c>
      <c r="K1404" s="1395">
        <f>IF(raw[[#This Row],[city]]&lt;&gt;"",_xlfn.XLOOKUP($D1404,ccc[city],ccc[prov],"-"),"-")</f>
        <v/>
      </c>
      <c r="L1404" s="1395">
        <f>IF(raw[[#This Row],[city]]&lt;&gt;"",_xlfn.XLOOKUP($D1404,ccc[city],ccc[ctry],"-"),"-")</f>
        <v/>
      </c>
      <c r="M1404" s="1395">
        <f>IF(raw[[#This Row],[city]]&lt;&gt;"",_xlfn.XLOOKUP($D1404,ccc[city],ccc[cont],"-"),"-")</f>
        <v/>
      </c>
      <c r="N1404" s="1396">
        <f>IF(raw[[#This Row],[city]]="","-",IF(raw[[#This Row],[cont]]="B",raw[[#This Row],[cont]],"W"))</f>
        <v/>
      </c>
      <c r="O1404" s="1397">
        <f>IF(raw[[#This Row],[out]]=0,0,IF(raw[[#This Row],[out]]=raw[[#This Row],[in]],0.01,raw[[#This Row],[out]]-raw[[#This Row],[in]]))</f>
        <v/>
      </c>
      <c r="P1404" s="1397">
        <f>IF(raw[[#This Row],[in]]=0,0,MONTH(raw[[#This Row],[in]]))</f>
        <v/>
      </c>
      <c r="Q1404" s="1397">
        <f>IF(raw[[#This Row],[in]]=0,0,YEAR(raw[[#This Row],[in]]))</f>
        <v/>
      </c>
      <c r="R1404" s="1397">
        <f>INT(raw[[#This Row],[yr]]/10)*10</f>
        <v/>
      </c>
      <c r="S1404" s="1395">
        <f>IF(raw[[#This Row],[city]]="","-",IF(raw[[#This Row],[city]]&lt;&gt;_xlfn.XLOOKUP(raw[[#This Row],[home]],homes[home],homes[city],"-"),1,0))</f>
        <v/>
      </c>
      <c r="T1404" s="1398" t="inlineStr">
        <is>
          <t>.</t>
        </is>
      </c>
      <c r="U1404" s="1399">
        <f>IF(raw[[#This Row],[wb]]="w",raw[[#This Row],[stay]]+U1403,U1403)</f>
        <v/>
      </c>
      <c r="V1404" s="1400">
        <f>IF(raw[[#This Row],[out]]=0,V1403,(raw[[#This Row],[out]]-E$5))</f>
        <v/>
      </c>
      <c r="W1404" s="1401">
        <f>U1404/V1404</f>
        <v/>
      </c>
      <c r="X1404" s="1392" t="n"/>
      <c r="Y1404" s="1392" t="n"/>
      <c r="Z1404" s="1392" t="n"/>
      <c r="AA1404" s="1392" t="n"/>
      <c r="AB1404" s="1392" t="n"/>
      <c r="AC1404" s="1392" t="n"/>
      <c r="AD1404" s="1392" t="n"/>
      <c r="AE1404" s="1392" t="n"/>
      <c r="AF1404" s="1392" t="n"/>
      <c r="AG1404" s="1392" t="n"/>
      <c r="AH1404" s="1392" t="n"/>
      <c r="AI1404" s="1392" t="n"/>
      <c r="AJ1404" s="1392" t="n"/>
      <c r="AK1404" s="1392" t="n"/>
      <c r="AL1404" s="1392" t="n"/>
      <c r="AM1404" s="1392" t="n"/>
      <c r="AN1404" s="1392" t="n"/>
      <c r="AO1404" s="1392" t="n"/>
      <c r="AP1404" s="1392" t="n"/>
      <c r="AQ1404" s="1392" t="n"/>
      <c r="AR1404" s="1422" t="n"/>
      <c r="AS1404" s="1422" t="n"/>
      <c r="AT1404" s="1392" t="n"/>
      <c r="AU1404" s="1392" t="n"/>
      <c r="AV1404" s="1392" t="n"/>
      <c r="AW1404" s="1392" t="n"/>
      <c r="AX1404" s="1392" t="n"/>
      <c r="AY1404" s="1392" t="n"/>
      <c r="AZ1404" s="1392" t="n"/>
      <c r="BA1404" s="1422" t="n"/>
      <c r="BB1404" s="1422" t="n"/>
      <c r="BC1404" s="1392" t="n"/>
      <c r="BD1404" s="1392" t="n"/>
      <c r="BE1404" s="1392" t="n"/>
      <c r="BF1404" s="1392" t="n"/>
      <c r="BG1404" s="1392" t="n"/>
      <c r="BH1404" s="1392" t="n"/>
      <c r="BI1404" s="1392" t="n"/>
      <c r="BJ1404" s="1392" t="n"/>
      <c r="BK1404" s="1392" t="n"/>
      <c r="BL1404" s="1392" t="n"/>
      <c r="BM1404" s="1392" t="n"/>
      <c r="BN1404" s="1392" t="n"/>
      <c r="BO1404" s="1392" t="n"/>
      <c r="BP1404" s="1392" t="n"/>
      <c r="BQ1404" s="1392" t="n"/>
      <c r="BR1404" s="1392" t="n"/>
      <c r="BS1404" s="1392" t="n"/>
      <c r="BT1404" s="1392" t="n"/>
      <c r="BU1404" s="1392" t="n"/>
      <c r="BV1404" s="1392" t="n"/>
      <c r="BW1404" s="1392" t="n"/>
      <c r="BX1404" s="1392" t="n"/>
      <c r="BY1404" s="1392" t="n"/>
      <c r="BZ1404" s="1392" t="n"/>
      <c r="CA1404" s="1392" t="n"/>
      <c r="CB1404" s="1392" t="n"/>
      <c r="CC1404" s="1392" t="n"/>
      <c r="CD1404" s="1392" t="n"/>
      <c r="CE1404" s="1392" t="n"/>
      <c r="CF1404" s="1392" t="n"/>
      <c r="CG1404" s="1392" t="n"/>
      <c r="CH1404" s="1392" t="n"/>
      <c r="CI1404" s="1392" t="n"/>
      <c r="CJ1404" s="1392" t="n"/>
      <c r="CK1404" s="1392" t="n"/>
      <c r="CL1404" s="1392" t="n"/>
    </row>
    <row r="1405">
      <c r="A1405" s="5" t="inlineStr">
        <is>
          <t>.</t>
        </is>
      </c>
      <c r="B1405" s="5" t="inlineStr">
        <is>
          <t>.</t>
        </is>
      </c>
      <c r="C1405" s="1378">
        <f>IF(raw[[#This Row],[city]]="","-",IF(raw[[#This Row],[city]]="TODAY","-",C1404+1))</f>
        <v/>
      </c>
      <c r="D1405" s="1425" t="inlineStr">
        <is>
          <t>Xi'An</t>
        </is>
      </c>
      <c r="E1405" s="1426" t="n">
        <v>42514</v>
      </c>
      <c r="F1405" s="1426" t="n">
        <v>42516</v>
      </c>
      <c r="G1405" s="1425" t="n">
        <v>1</v>
      </c>
      <c r="H1405" s="1393" t="inlineStr">
        <is>
          <t>Beatty</t>
        </is>
      </c>
      <c r="I1405" s="1393" t="inlineStr">
        <is>
          <t>-</t>
        </is>
      </c>
      <c r="J1405" s="1393" t="inlineStr">
        <is>
          <t>-</t>
        </is>
      </c>
      <c r="K1405" s="1395">
        <f>IF(raw[[#This Row],[city]]&lt;&gt;"",_xlfn.XLOOKUP($D1405,ccc[city],ccc[prov],"-"),"-")</f>
        <v/>
      </c>
      <c r="L1405" s="1395">
        <f>IF(raw[[#This Row],[city]]&lt;&gt;"",_xlfn.XLOOKUP($D1405,ccc[city],ccc[ctry],"-"),"-")</f>
        <v/>
      </c>
      <c r="M1405" s="1395">
        <f>IF(raw[[#This Row],[city]]&lt;&gt;"",_xlfn.XLOOKUP($D1405,ccc[city],ccc[cont],"-"),"-")</f>
        <v/>
      </c>
      <c r="N1405" s="1396">
        <f>IF(raw[[#This Row],[city]]="","-",IF(raw[[#This Row],[cont]]="B",raw[[#This Row],[cont]],"W"))</f>
        <v/>
      </c>
      <c r="O1405" s="1397">
        <f>IF(raw[[#This Row],[out]]=0,0,IF(raw[[#This Row],[out]]=raw[[#This Row],[in]],0.01,raw[[#This Row],[out]]-raw[[#This Row],[in]]))</f>
        <v/>
      </c>
      <c r="P1405" s="1397">
        <f>IF(raw[[#This Row],[in]]=0,0,MONTH(raw[[#This Row],[in]]))</f>
        <v/>
      </c>
      <c r="Q1405" s="1397">
        <f>IF(raw[[#This Row],[in]]=0,0,YEAR(raw[[#This Row],[in]]))</f>
        <v/>
      </c>
      <c r="R1405" s="1397">
        <f>INT(raw[[#This Row],[yr]]/10)*10</f>
        <v/>
      </c>
      <c r="S1405" s="1395">
        <f>IF(raw[[#This Row],[city]]="","-",IF(raw[[#This Row],[city]]&lt;&gt;_xlfn.XLOOKUP(raw[[#This Row],[home]],homes[home],homes[city],"-"),1,0))</f>
        <v/>
      </c>
      <c r="T1405" s="1398" t="inlineStr">
        <is>
          <t>.</t>
        </is>
      </c>
      <c r="U1405" s="1399">
        <f>IF(raw[[#This Row],[wb]]="w",raw[[#This Row],[stay]]+U1404,U1404)</f>
        <v/>
      </c>
      <c r="V1405" s="1400">
        <f>IF(raw[[#This Row],[out]]=0,V1404,(raw[[#This Row],[out]]-E$5))</f>
        <v/>
      </c>
      <c r="W1405" s="1401">
        <f>U1405/V1405</f>
        <v/>
      </c>
      <c r="X1405" s="1392" t="n"/>
      <c r="Y1405" s="1392" t="n"/>
      <c r="Z1405" s="1392" t="n"/>
      <c r="AA1405" s="1392" t="n"/>
      <c r="AB1405" s="1392" t="n"/>
      <c r="AC1405" s="1392" t="n"/>
      <c r="AD1405" s="1392" t="n"/>
      <c r="AE1405" s="1392" t="n"/>
      <c r="AF1405" s="1392" t="n"/>
      <c r="AG1405" s="1392" t="n"/>
      <c r="AH1405" s="1392" t="n"/>
      <c r="AI1405" s="1392" t="n"/>
      <c r="AJ1405" s="1392" t="n"/>
      <c r="AK1405" s="1392" t="n"/>
      <c r="AL1405" s="1392" t="n"/>
      <c r="AM1405" s="1392" t="n"/>
      <c r="AN1405" s="1392" t="n"/>
      <c r="AO1405" s="1392" t="n"/>
      <c r="AP1405" s="1392" t="n"/>
      <c r="AQ1405" s="1392" t="n"/>
      <c r="AR1405" s="1422" t="n"/>
      <c r="AS1405" s="1422" t="n"/>
      <c r="AT1405" s="1392" t="n"/>
      <c r="AU1405" s="1392" t="n"/>
      <c r="AV1405" s="1392" t="n"/>
      <c r="AW1405" s="1392" t="n"/>
      <c r="AX1405" s="1392" t="n"/>
      <c r="AY1405" s="1392" t="n"/>
      <c r="AZ1405" s="1392" t="n"/>
      <c r="BA1405" s="1422" t="n"/>
      <c r="BB1405" s="1422" t="n"/>
      <c r="BC1405" s="1392" t="n"/>
      <c r="BD1405" s="1392" t="n"/>
      <c r="BE1405" s="1392" t="n"/>
      <c r="BF1405" s="1392" t="n"/>
      <c r="BG1405" s="1392" t="n"/>
      <c r="BH1405" s="1392" t="n"/>
      <c r="BI1405" s="1392" t="n"/>
      <c r="BJ1405" s="1392" t="n"/>
      <c r="BK1405" s="1392" t="n"/>
      <c r="BL1405" s="1392" t="n"/>
      <c r="BM1405" s="1392" t="n"/>
      <c r="BN1405" s="1392" t="n"/>
      <c r="BO1405" s="1392" t="n"/>
      <c r="BP1405" s="1392" t="n"/>
      <c r="BQ1405" s="1392" t="n"/>
      <c r="BR1405" s="1392" t="n"/>
      <c r="BS1405" s="1392" t="n"/>
      <c r="BT1405" s="1392" t="n"/>
      <c r="BU1405" s="1392" t="n"/>
      <c r="BV1405" s="1392" t="n"/>
      <c r="BW1405" s="1392" t="n"/>
      <c r="BX1405" s="1392" t="n"/>
      <c r="BY1405" s="1392" t="n"/>
      <c r="BZ1405" s="1392" t="n"/>
      <c r="CA1405" s="1392" t="n"/>
      <c r="CB1405" s="1392" t="n"/>
      <c r="CC1405" s="1392" t="n"/>
      <c r="CD1405" s="1392" t="n"/>
      <c r="CE1405" s="1392" t="n"/>
      <c r="CF1405" s="1392" t="n"/>
      <c r="CG1405" s="1392" t="n"/>
      <c r="CH1405" s="1392" t="n"/>
      <c r="CI1405" s="1392" t="n"/>
      <c r="CJ1405" s="1392" t="n"/>
      <c r="CK1405" s="1392" t="n"/>
      <c r="CL1405" s="1392" t="n"/>
    </row>
    <row r="1406">
      <c r="A1406" s="5" t="inlineStr">
        <is>
          <t>.</t>
        </is>
      </c>
      <c r="B1406" s="5" t="inlineStr">
        <is>
          <t>.</t>
        </is>
      </c>
      <c r="C1406" s="1378">
        <f>IF(raw[[#This Row],[city]]="","-",IF(raw[[#This Row],[city]]="TODAY","-",C1405+1))</f>
        <v/>
      </c>
      <c r="D1406" s="1425" t="inlineStr">
        <is>
          <t>Beijing</t>
        </is>
      </c>
      <c r="E1406" s="1426" t="n">
        <v>42516</v>
      </c>
      <c r="F1406" s="1426" t="n">
        <v>42516</v>
      </c>
      <c r="G1406" s="1425" t="n">
        <v>1</v>
      </c>
      <c r="H1406" s="1393" t="inlineStr">
        <is>
          <t>Beatty</t>
        </is>
      </c>
      <c r="I1406" s="1393" t="inlineStr">
        <is>
          <t>-</t>
        </is>
      </c>
      <c r="J1406" s="1393" t="inlineStr">
        <is>
          <t>-</t>
        </is>
      </c>
      <c r="K1406" s="1395">
        <f>IF(raw[[#This Row],[city]]&lt;&gt;"",_xlfn.XLOOKUP($D1406,ccc[city],ccc[prov],"-"),"-")</f>
        <v/>
      </c>
      <c r="L1406" s="1395">
        <f>IF(raw[[#This Row],[city]]&lt;&gt;"",_xlfn.XLOOKUP($D1406,ccc[city],ccc[ctry],"-"),"-")</f>
        <v/>
      </c>
      <c r="M1406" s="1395">
        <f>IF(raw[[#This Row],[city]]&lt;&gt;"",_xlfn.XLOOKUP($D1406,ccc[city],ccc[cont],"-"),"-")</f>
        <v/>
      </c>
      <c r="N1406" s="1396">
        <f>IF(raw[[#This Row],[city]]="","-",IF(raw[[#This Row],[cont]]="B",raw[[#This Row],[cont]],"W"))</f>
        <v/>
      </c>
      <c r="O1406" s="1397">
        <f>IF(raw[[#This Row],[out]]=0,0,IF(raw[[#This Row],[out]]=raw[[#This Row],[in]],0.01,raw[[#This Row],[out]]-raw[[#This Row],[in]]))</f>
        <v/>
      </c>
      <c r="P1406" s="1397">
        <f>IF(raw[[#This Row],[in]]=0,0,MONTH(raw[[#This Row],[in]]))</f>
        <v/>
      </c>
      <c r="Q1406" s="1397">
        <f>IF(raw[[#This Row],[in]]=0,0,YEAR(raw[[#This Row],[in]]))</f>
        <v/>
      </c>
      <c r="R1406" s="1397">
        <f>INT(raw[[#This Row],[yr]]/10)*10</f>
        <v/>
      </c>
      <c r="S1406" s="1395">
        <f>IF(raw[[#This Row],[city]]="","-",IF(raw[[#This Row],[city]]&lt;&gt;_xlfn.XLOOKUP(raw[[#This Row],[home]],homes[home],homes[city],"-"),1,0))</f>
        <v/>
      </c>
      <c r="T1406" s="1398" t="inlineStr">
        <is>
          <t>.</t>
        </is>
      </c>
      <c r="U1406" s="1399">
        <f>IF(raw[[#This Row],[wb]]="w",raw[[#This Row],[stay]]+U1405,U1405)</f>
        <v/>
      </c>
      <c r="V1406" s="1400">
        <f>IF(raw[[#This Row],[out]]=0,V1405,(raw[[#This Row],[out]]-E$5))</f>
        <v/>
      </c>
      <c r="W1406" s="1401">
        <f>U1406/V1406</f>
        <v/>
      </c>
      <c r="X1406" s="1392" t="n"/>
      <c r="Y1406" s="1392" t="n"/>
      <c r="Z1406" s="1392" t="n"/>
      <c r="AA1406" s="1392" t="n"/>
      <c r="AB1406" s="1392" t="n"/>
      <c r="AC1406" s="1392" t="n"/>
      <c r="AD1406" s="1392" t="n"/>
      <c r="AE1406" s="1392" t="n"/>
      <c r="AF1406" s="1392" t="n"/>
      <c r="AG1406" s="1392" t="n"/>
      <c r="AH1406" s="1392" t="n"/>
      <c r="AI1406" s="1392" t="n"/>
      <c r="AJ1406" s="1392" t="n"/>
      <c r="AK1406" s="1392" t="n"/>
      <c r="AL1406" s="1392" t="n"/>
      <c r="AM1406" s="1392" t="n"/>
      <c r="AN1406" s="1392" t="n"/>
      <c r="AO1406" s="1392" t="n"/>
      <c r="AP1406" s="1392" t="n"/>
      <c r="AQ1406" s="1392" t="n"/>
      <c r="AR1406" s="1422" t="n"/>
      <c r="AS1406" s="1422" t="n"/>
      <c r="AT1406" s="1392" t="n"/>
      <c r="AU1406" s="1392" t="n"/>
      <c r="AV1406" s="1392" t="n"/>
      <c r="AW1406" s="1392" t="n"/>
      <c r="AX1406" s="1392" t="n"/>
      <c r="AY1406" s="1392" t="n"/>
      <c r="AZ1406" s="1392" t="n"/>
      <c r="BA1406" s="1422" t="n"/>
      <c r="BB1406" s="1422" t="n"/>
      <c r="BC1406" s="1392" t="n"/>
      <c r="BD1406" s="1392" t="n"/>
      <c r="BE1406" s="1392" t="n"/>
      <c r="BF1406" s="1392" t="n"/>
      <c r="BG1406" s="1392" t="n"/>
      <c r="BH1406" s="1392" t="n"/>
      <c r="BI1406" s="1392" t="n"/>
      <c r="BJ1406" s="1392" t="n"/>
      <c r="BK1406" s="1392" t="n"/>
      <c r="BL1406" s="1392" t="n"/>
      <c r="BM1406" s="1392" t="n"/>
      <c r="BN1406" s="1392" t="n"/>
      <c r="BO1406" s="1392" t="n"/>
      <c r="BP1406" s="1392" t="n"/>
      <c r="BQ1406" s="1392" t="n"/>
      <c r="BR1406" s="1392" t="n"/>
      <c r="BS1406" s="1392" t="n"/>
      <c r="BT1406" s="1392" t="n"/>
      <c r="BU1406" s="1392" t="n"/>
      <c r="BV1406" s="1392" t="n"/>
      <c r="BW1406" s="1392" t="n"/>
      <c r="BX1406" s="1392" t="n"/>
      <c r="BY1406" s="1392" t="n"/>
      <c r="BZ1406" s="1392" t="n"/>
      <c r="CA1406" s="1392" t="n"/>
      <c r="CB1406" s="1392" t="n"/>
      <c r="CC1406" s="1392" t="n"/>
      <c r="CD1406" s="1392" t="n"/>
      <c r="CE1406" s="1392" t="n"/>
      <c r="CF1406" s="1392" t="n"/>
      <c r="CG1406" s="1392" t="n"/>
      <c r="CH1406" s="1392" t="n"/>
      <c r="CI1406" s="1392" t="n"/>
      <c r="CJ1406" s="1392" t="n"/>
      <c r="CK1406" s="1392" t="n"/>
      <c r="CL1406" s="1392" t="n"/>
    </row>
    <row r="1407">
      <c r="A1407" s="5" t="inlineStr">
        <is>
          <t>.</t>
        </is>
      </c>
      <c r="B1407" s="5" t="inlineStr">
        <is>
          <t>.</t>
        </is>
      </c>
      <c r="C1407" s="1378">
        <f>IF(raw[[#This Row],[city]]="","-",IF(raw[[#This Row],[city]]="TODAY","-",C1406+1))</f>
        <v/>
      </c>
      <c r="D1407" s="1393" t="inlineStr">
        <is>
          <t>Toronto</t>
        </is>
      </c>
      <c r="E1407" s="1394" t="n">
        <v>42516</v>
      </c>
      <c r="F1407" s="1394" t="n">
        <v>42516</v>
      </c>
      <c r="G1407" s="1393" t="n">
        <v>0.01</v>
      </c>
      <c r="H1407" s="1393" t="inlineStr">
        <is>
          <t>Beatty</t>
        </is>
      </c>
      <c r="I1407" s="1393" t="inlineStr">
        <is>
          <t>-</t>
        </is>
      </c>
      <c r="J1407" s="1393" t="inlineStr">
        <is>
          <t>-</t>
        </is>
      </c>
      <c r="K1407" s="1395">
        <f>IF(raw[[#This Row],[city]]&lt;&gt;"",_xlfn.XLOOKUP($D1407,ccc[city],ccc[prov],"-"),"-")</f>
        <v/>
      </c>
      <c r="L1407" s="1395">
        <f>IF(raw[[#This Row],[city]]&lt;&gt;"",_xlfn.XLOOKUP($D1407,ccc[city],ccc[ctry],"-"),"-")</f>
        <v/>
      </c>
      <c r="M1407" s="1395">
        <f>IF(raw[[#This Row],[city]]&lt;&gt;"",_xlfn.XLOOKUP($D1407,ccc[city],ccc[cont],"-"),"-")</f>
        <v/>
      </c>
      <c r="N1407" s="1396">
        <f>IF(raw[[#This Row],[city]]="","-",IF(raw[[#This Row],[cont]]="B",raw[[#This Row],[cont]],"W"))</f>
        <v/>
      </c>
      <c r="O1407" s="1397">
        <f>IF(raw[[#This Row],[out]]=0,0,IF(raw[[#This Row],[out]]=raw[[#This Row],[in]],0.01,raw[[#This Row],[out]]-raw[[#This Row],[in]]))</f>
        <v/>
      </c>
      <c r="P1407" s="1397">
        <f>IF(raw[[#This Row],[in]]=0,0,MONTH(raw[[#This Row],[in]]))</f>
        <v/>
      </c>
      <c r="Q1407" s="1397">
        <f>IF(raw[[#This Row],[in]]=0,0,YEAR(raw[[#This Row],[in]]))</f>
        <v/>
      </c>
      <c r="R1407" s="1397">
        <f>INT(raw[[#This Row],[yr]]/10)*10</f>
        <v/>
      </c>
      <c r="S1407" s="1395">
        <f>IF(raw[[#This Row],[city]]="","-",IF(raw[[#This Row],[city]]&lt;&gt;_xlfn.XLOOKUP(raw[[#This Row],[home]],homes[home],homes[city],"-"),1,0))</f>
        <v/>
      </c>
      <c r="T1407" s="1398" t="inlineStr">
        <is>
          <t>.</t>
        </is>
      </c>
      <c r="U1407" s="1399">
        <f>IF(raw[[#This Row],[wb]]="w",raw[[#This Row],[stay]]+U1406,U1406)</f>
        <v/>
      </c>
      <c r="V1407" s="1400">
        <f>IF(raw[[#This Row],[out]]=0,V1406,(raw[[#This Row],[out]]-E$5))</f>
        <v/>
      </c>
      <c r="W1407" s="1401">
        <f>U1407/V1407</f>
        <v/>
      </c>
      <c r="X1407" s="1392" t="n"/>
      <c r="Y1407" s="1392" t="n"/>
      <c r="Z1407" s="1392" t="n"/>
      <c r="AA1407" s="1392" t="n"/>
      <c r="AB1407" s="1392" t="n"/>
      <c r="AC1407" s="1392" t="n"/>
      <c r="AD1407" s="1392" t="n"/>
      <c r="AE1407" s="1392" t="n"/>
      <c r="AF1407" s="1392" t="n"/>
      <c r="AG1407" s="1392" t="n"/>
      <c r="AH1407" s="1392" t="n"/>
      <c r="AI1407" s="1392" t="n"/>
      <c r="AJ1407" s="1392" t="n"/>
      <c r="AK1407" s="1392" t="n"/>
      <c r="AL1407" s="1392" t="n"/>
      <c r="AM1407" s="1392" t="n"/>
      <c r="AN1407" s="1392" t="n"/>
      <c r="AO1407" s="1392" t="n"/>
      <c r="AP1407" s="1392" t="n"/>
      <c r="AQ1407" s="1392" t="n"/>
      <c r="AR1407" s="1422" t="n"/>
      <c r="AS1407" s="1422" t="n"/>
      <c r="AT1407" s="1392" t="n"/>
      <c r="AU1407" s="1392" t="n"/>
      <c r="AV1407" s="1392" t="n"/>
      <c r="AW1407" s="1392" t="n"/>
      <c r="AX1407" s="1392" t="n"/>
      <c r="AY1407" s="1392" t="n"/>
      <c r="AZ1407" s="1392" t="n"/>
      <c r="BA1407" s="1422" t="n"/>
      <c r="BB1407" s="1422" t="n"/>
      <c r="BC1407" s="1392" t="n"/>
      <c r="BD1407" s="1392" t="n"/>
      <c r="BE1407" s="1392" t="n"/>
      <c r="BF1407" s="1392" t="n"/>
      <c r="BG1407" s="1392" t="n"/>
      <c r="BH1407" s="1392" t="n"/>
      <c r="BI1407" s="1392" t="n"/>
      <c r="BJ1407" s="1392" t="n"/>
      <c r="BK1407" s="1392" t="n"/>
      <c r="BL1407" s="1392" t="n"/>
      <c r="BM1407" s="1392" t="n"/>
      <c r="BN1407" s="1392" t="n"/>
      <c r="BO1407" s="1392" t="n"/>
      <c r="BP1407" s="1392" t="n"/>
      <c r="BQ1407" s="1392" t="n"/>
      <c r="BR1407" s="1392" t="n"/>
      <c r="BS1407" s="1392" t="n"/>
      <c r="BT1407" s="1392" t="n"/>
      <c r="BU1407" s="1392" t="n"/>
      <c r="BV1407" s="1392" t="n"/>
      <c r="BW1407" s="1392" t="n"/>
      <c r="BX1407" s="1392" t="n"/>
      <c r="BY1407" s="1392" t="n"/>
      <c r="BZ1407" s="1392" t="n"/>
      <c r="CA1407" s="1392" t="n"/>
      <c r="CB1407" s="1392" t="n"/>
      <c r="CC1407" s="1392" t="n"/>
      <c r="CD1407" s="1392" t="n"/>
      <c r="CE1407" s="1392" t="n"/>
      <c r="CF1407" s="1392" t="n"/>
      <c r="CG1407" s="1392" t="n"/>
      <c r="CH1407" s="1392" t="n"/>
      <c r="CI1407" s="1392" t="n"/>
      <c r="CJ1407" s="1392" t="n"/>
      <c r="CK1407" s="1392" t="n"/>
      <c r="CL1407" s="1392" t="n"/>
    </row>
    <row r="1408">
      <c r="A1408" s="5" t="inlineStr">
        <is>
          <t>.</t>
        </is>
      </c>
      <c r="B1408" s="5" t="inlineStr">
        <is>
          <t>.</t>
        </is>
      </c>
      <c r="C1408" s="1378">
        <f>IF(raw[[#This Row],[city]]="","-",IF(raw[[#This Row],[city]]="TODAY","-",C1407+1))</f>
        <v/>
      </c>
      <c r="D1408" s="1393" t="inlineStr">
        <is>
          <t>Montreal</t>
        </is>
      </c>
      <c r="E1408" s="1394" t="n">
        <v>42516</v>
      </c>
      <c r="F1408" s="1394" t="n">
        <v>42522</v>
      </c>
      <c r="G1408" s="1393" t="inlineStr">
        <is>
          <t>-</t>
        </is>
      </c>
      <c r="H1408" s="1393" t="inlineStr">
        <is>
          <t>Beatty</t>
        </is>
      </c>
      <c r="I1408" s="1393" t="inlineStr">
        <is>
          <t>-</t>
        </is>
      </c>
      <c r="J1408" s="1393" t="inlineStr">
        <is>
          <t>-</t>
        </is>
      </c>
      <c r="K1408" s="1395">
        <f>IF(raw[[#This Row],[city]]&lt;&gt;"",_xlfn.XLOOKUP($D1408,ccc[city],ccc[prov],"-"),"-")</f>
        <v/>
      </c>
      <c r="L1408" s="1395">
        <f>IF(raw[[#This Row],[city]]&lt;&gt;"",_xlfn.XLOOKUP($D1408,ccc[city],ccc[ctry],"-"),"-")</f>
        <v/>
      </c>
      <c r="M1408" s="1395">
        <f>IF(raw[[#This Row],[city]]&lt;&gt;"",_xlfn.XLOOKUP($D1408,ccc[city],ccc[cont],"-"),"-")</f>
        <v/>
      </c>
      <c r="N1408" s="1396">
        <f>IF(raw[[#This Row],[city]]="","-",IF(raw[[#This Row],[cont]]="B",raw[[#This Row],[cont]],"W"))</f>
        <v/>
      </c>
      <c r="O1408" s="1397">
        <f>IF(raw[[#This Row],[out]]=0,0,IF(raw[[#This Row],[out]]=raw[[#This Row],[in]],0.01,raw[[#This Row],[out]]-raw[[#This Row],[in]]))</f>
        <v/>
      </c>
      <c r="P1408" s="1397">
        <f>IF(raw[[#This Row],[in]]=0,0,MONTH(raw[[#This Row],[in]]))</f>
        <v/>
      </c>
      <c r="Q1408" s="1397">
        <f>IF(raw[[#This Row],[in]]=0,0,YEAR(raw[[#This Row],[in]]))</f>
        <v/>
      </c>
      <c r="R1408" s="1397">
        <f>INT(raw[[#This Row],[yr]]/10)*10</f>
        <v/>
      </c>
      <c r="S1408" s="1395">
        <f>IF(raw[[#This Row],[city]]="","-",IF(raw[[#This Row],[city]]&lt;&gt;_xlfn.XLOOKUP(raw[[#This Row],[home]],homes[home],homes[city],"-"),1,0))</f>
        <v/>
      </c>
      <c r="T1408" s="1398" t="inlineStr">
        <is>
          <t>.</t>
        </is>
      </c>
      <c r="U1408" s="1399">
        <f>IF(raw[[#This Row],[wb]]="w",raw[[#This Row],[stay]]+U1407,U1407)</f>
        <v/>
      </c>
      <c r="V1408" s="1400">
        <f>IF(raw[[#This Row],[out]]=0,V1407,(raw[[#This Row],[out]]-E$5))</f>
        <v/>
      </c>
      <c r="W1408" s="1401">
        <f>U1408/V1408</f>
        <v/>
      </c>
      <c r="X1408" s="1392" t="n"/>
      <c r="Y1408" s="1392" t="n"/>
      <c r="Z1408" s="1392" t="n"/>
      <c r="AA1408" s="1392" t="n"/>
      <c r="AB1408" s="1392" t="n"/>
      <c r="AC1408" s="1392" t="n"/>
      <c r="AD1408" s="1392" t="n"/>
      <c r="AE1408" s="1392" t="n"/>
      <c r="AF1408" s="1392" t="n"/>
      <c r="AG1408" s="1392" t="n"/>
      <c r="AH1408" s="1392" t="n"/>
      <c r="AI1408" s="1392" t="n"/>
      <c r="AJ1408" s="1392" t="n"/>
      <c r="AK1408" s="1392" t="n"/>
      <c r="AL1408" s="1392" t="n"/>
      <c r="AM1408" s="1392" t="n"/>
      <c r="AN1408" s="1392" t="n"/>
      <c r="AO1408" s="1392" t="n"/>
      <c r="AP1408" s="1392" t="n"/>
      <c r="AQ1408" s="1392" t="n"/>
      <c r="AR1408" s="1422" t="n"/>
      <c r="AS1408" s="1422" t="n"/>
      <c r="AT1408" s="1392" t="n"/>
      <c r="AU1408" s="1392" t="n"/>
      <c r="AV1408" s="1392" t="n"/>
      <c r="AW1408" s="1392" t="n"/>
      <c r="AX1408" s="1392" t="n"/>
      <c r="AY1408" s="1392" t="n"/>
      <c r="AZ1408" s="1392" t="n"/>
      <c r="BA1408" s="1422" t="n"/>
      <c r="BB1408" s="1422" t="n"/>
      <c r="BC1408" s="1392" t="n"/>
      <c r="BD1408" s="1392" t="n"/>
      <c r="BE1408" s="1392" t="n"/>
      <c r="BF1408" s="1392" t="n"/>
      <c r="BG1408" s="1392" t="n"/>
      <c r="BH1408" s="1392" t="n"/>
      <c r="BI1408" s="1392" t="n"/>
      <c r="BJ1408" s="1392" t="n"/>
      <c r="BK1408" s="1392" t="n"/>
      <c r="BL1408" s="1392" t="n"/>
      <c r="BM1408" s="1392" t="n"/>
      <c r="BN1408" s="1392" t="n"/>
      <c r="BO1408" s="1392" t="n"/>
      <c r="BP1408" s="1392" t="n"/>
      <c r="BQ1408" s="1392" t="n"/>
      <c r="BR1408" s="1392" t="n"/>
      <c r="BS1408" s="1392" t="n"/>
      <c r="BT1408" s="1392" t="n"/>
      <c r="BU1408" s="1392" t="n"/>
      <c r="BV1408" s="1392" t="n"/>
      <c r="BW1408" s="1392" t="n"/>
      <c r="BX1408" s="1392" t="n"/>
      <c r="BY1408" s="1392" t="n"/>
      <c r="BZ1408" s="1392" t="n"/>
      <c r="CA1408" s="1392" t="n"/>
      <c r="CB1408" s="1392" t="n"/>
      <c r="CC1408" s="1392" t="n"/>
      <c r="CD1408" s="1392" t="n"/>
      <c r="CE1408" s="1392" t="n"/>
      <c r="CF1408" s="1392" t="n"/>
      <c r="CG1408" s="1392" t="n"/>
      <c r="CH1408" s="1392" t="n"/>
      <c r="CI1408" s="1392" t="n"/>
      <c r="CJ1408" s="1392" t="n"/>
      <c r="CK1408" s="1392" t="n"/>
      <c r="CL1408" s="1392" t="n"/>
    </row>
    <row r="1409">
      <c r="A1409" s="5" t="inlineStr">
        <is>
          <t>.</t>
        </is>
      </c>
      <c r="B1409" s="5" t="inlineStr">
        <is>
          <t>.</t>
        </is>
      </c>
      <c r="C1409" s="1378">
        <f>IF(raw[[#This Row],[city]]="","-",IF(raw[[#This Row],[city]]="TODAY","-",C1408+1))</f>
        <v/>
      </c>
      <c r="D1409" s="1393" t="inlineStr">
        <is>
          <t>Montreal</t>
        </is>
      </c>
      <c r="E1409" s="1394" t="n">
        <v>42522</v>
      </c>
      <c r="F1409" s="1394" t="n">
        <v>42547</v>
      </c>
      <c r="G1409" s="1393" t="inlineStr">
        <is>
          <t>-</t>
        </is>
      </c>
      <c r="H1409" s="1393" t="inlineStr">
        <is>
          <t>Beatty</t>
        </is>
      </c>
      <c r="I1409" s="1393" t="inlineStr">
        <is>
          <t>-</t>
        </is>
      </c>
      <c r="J1409" s="1393" t="inlineStr">
        <is>
          <t>-</t>
        </is>
      </c>
      <c r="K1409" s="1395">
        <f>IF(raw[[#This Row],[city]]&lt;&gt;"",_xlfn.XLOOKUP($D1409,ccc[city],ccc[prov],"-"),"-")</f>
        <v/>
      </c>
      <c r="L1409" s="1395">
        <f>IF(raw[[#This Row],[city]]&lt;&gt;"",_xlfn.XLOOKUP($D1409,ccc[city],ccc[ctry],"-"),"-")</f>
        <v/>
      </c>
      <c r="M1409" s="1395">
        <f>IF(raw[[#This Row],[city]]&lt;&gt;"",_xlfn.XLOOKUP($D1409,ccc[city],ccc[cont],"-"),"-")</f>
        <v/>
      </c>
      <c r="N1409" s="1396">
        <f>IF(raw[[#This Row],[city]]="","-",IF(raw[[#This Row],[cont]]="B",raw[[#This Row],[cont]],"W"))</f>
        <v/>
      </c>
      <c r="O1409" s="1397">
        <f>IF(raw[[#This Row],[out]]=0,0,IF(raw[[#This Row],[out]]=raw[[#This Row],[in]],0.01,raw[[#This Row],[out]]-raw[[#This Row],[in]]))</f>
        <v/>
      </c>
      <c r="P1409" s="1397">
        <f>IF(raw[[#This Row],[in]]=0,0,MONTH(raw[[#This Row],[in]]))</f>
        <v/>
      </c>
      <c r="Q1409" s="1397">
        <f>IF(raw[[#This Row],[in]]=0,0,YEAR(raw[[#This Row],[in]]))</f>
        <v/>
      </c>
      <c r="R1409" s="1397">
        <f>INT(raw[[#This Row],[yr]]/10)*10</f>
        <v/>
      </c>
      <c r="S1409" s="1395">
        <f>IF(raw[[#This Row],[city]]="","-",IF(raw[[#This Row],[city]]&lt;&gt;_xlfn.XLOOKUP(raw[[#This Row],[home]],homes[home],homes[city],"-"),1,0))</f>
        <v/>
      </c>
      <c r="T1409" s="1398" t="inlineStr">
        <is>
          <t>.</t>
        </is>
      </c>
      <c r="U1409" s="1399">
        <f>IF(raw[[#This Row],[wb]]="w",raw[[#This Row],[stay]]+U1408,U1408)</f>
        <v/>
      </c>
      <c r="V1409" s="1400">
        <f>IF(raw[[#This Row],[out]]=0,V1408,(raw[[#This Row],[out]]-E$5))</f>
        <v/>
      </c>
      <c r="W1409" s="1401">
        <f>U1409/V1409</f>
        <v/>
      </c>
      <c r="X1409" s="1392" t="n"/>
      <c r="Y1409" s="1392" t="n"/>
      <c r="Z1409" s="1392" t="n"/>
      <c r="AA1409" s="1392" t="n"/>
      <c r="AB1409" s="1392" t="n"/>
      <c r="AC1409" s="1392" t="n"/>
      <c r="AD1409" s="1392" t="n"/>
      <c r="AE1409" s="1392" t="n"/>
      <c r="AF1409" s="1392" t="n"/>
      <c r="AG1409" s="1392" t="n"/>
      <c r="AH1409" s="1392" t="n"/>
      <c r="AI1409" s="1392" t="n"/>
      <c r="AJ1409" s="1392" t="n"/>
      <c r="AK1409" s="1392" t="n"/>
      <c r="AL1409" s="1392" t="n"/>
      <c r="AM1409" s="1392" t="n"/>
      <c r="AN1409" s="1392" t="n"/>
      <c r="AO1409" s="1392" t="n"/>
      <c r="AP1409" s="1392" t="n"/>
      <c r="AQ1409" s="1392" t="n"/>
      <c r="AR1409" s="1422" t="n"/>
      <c r="AS1409" s="1422" t="n"/>
      <c r="AT1409" s="1392" t="n"/>
      <c r="AU1409" s="1392" t="n"/>
      <c r="AV1409" s="1392" t="n"/>
      <c r="AW1409" s="1392" t="n"/>
      <c r="AX1409" s="1392" t="n"/>
      <c r="AY1409" s="1392" t="n"/>
      <c r="AZ1409" s="1392" t="n"/>
      <c r="BA1409" s="1422" t="n"/>
      <c r="BB1409" s="1422" t="n"/>
      <c r="BC1409" s="1392" t="n"/>
      <c r="BD1409" s="1392" t="n"/>
      <c r="BE1409" s="1392" t="n"/>
      <c r="BF1409" s="1392" t="n"/>
      <c r="BG1409" s="1392" t="n"/>
      <c r="BH1409" s="1392" t="n"/>
      <c r="BI1409" s="1392" t="n"/>
      <c r="BJ1409" s="1392" t="n"/>
      <c r="BK1409" s="1392" t="n"/>
      <c r="BL1409" s="1392" t="n"/>
      <c r="BM1409" s="1392" t="n"/>
      <c r="BN1409" s="1392" t="n"/>
      <c r="BO1409" s="1392" t="n"/>
      <c r="BP1409" s="1392" t="n"/>
      <c r="BQ1409" s="1392" t="n"/>
      <c r="BR1409" s="1392" t="n"/>
      <c r="BS1409" s="1392" t="n"/>
      <c r="BT1409" s="1392" t="n"/>
      <c r="BU1409" s="1392" t="n"/>
      <c r="BV1409" s="1392" t="n"/>
      <c r="BW1409" s="1392" t="n"/>
      <c r="BX1409" s="1392" t="n"/>
      <c r="BY1409" s="1392" t="n"/>
      <c r="BZ1409" s="1392" t="n"/>
      <c r="CA1409" s="1392" t="n"/>
      <c r="CB1409" s="1392" t="n"/>
      <c r="CC1409" s="1392" t="n"/>
      <c r="CD1409" s="1392" t="n"/>
      <c r="CE1409" s="1392" t="n"/>
      <c r="CF1409" s="1392" t="n"/>
      <c r="CG1409" s="1392" t="n"/>
      <c r="CH1409" s="1392" t="n"/>
      <c r="CI1409" s="1392" t="n"/>
      <c r="CJ1409" s="1392" t="n"/>
      <c r="CK1409" s="1392" t="n"/>
      <c r="CL1409" s="1392" t="n"/>
    </row>
    <row r="1410">
      <c r="A1410" s="5" t="inlineStr">
        <is>
          <t>.</t>
        </is>
      </c>
      <c r="B1410" s="5" t="inlineStr">
        <is>
          <t>.</t>
        </is>
      </c>
      <c r="C1410" s="1378">
        <f>IF(raw[[#This Row],[city]]="","-",IF(raw[[#This Row],[city]]="TODAY","-",C1409+1))</f>
        <v/>
      </c>
      <c r="D1410" s="1393" t="inlineStr">
        <is>
          <t>Montreal</t>
        </is>
      </c>
      <c r="E1410" s="1394" t="n">
        <v>42547</v>
      </c>
      <c r="F1410" s="1394" t="n">
        <v>42552</v>
      </c>
      <c r="G1410" s="1393" t="inlineStr">
        <is>
          <t>-</t>
        </is>
      </c>
      <c r="H1410" s="1393" t="inlineStr">
        <is>
          <t>Nadeau</t>
        </is>
      </c>
      <c r="I1410" s="1393" t="inlineStr">
        <is>
          <t>-</t>
        </is>
      </c>
      <c r="J1410" s="1393" t="inlineStr">
        <is>
          <t>-</t>
        </is>
      </c>
      <c r="K1410" s="1395">
        <f>IF(raw[[#This Row],[city]]&lt;&gt;"",_xlfn.XLOOKUP($D1410,ccc[city],ccc[prov],"-"),"-")</f>
        <v/>
      </c>
      <c r="L1410" s="1395">
        <f>IF(raw[[#This Row],[city]]&lt;&gt;"",_xlfn.XLOOKUP($D1410,ccc[city],ccc[ctry],"-"),"-")</f>
        <v/>
      </c>
      <c r="M1410" s="1395">
        <f>IF(raw[[#This Row],[city]]&lt;&gt;"",_xlfn.XLOOKUP($D1410,ccc[city],ccc[cont],"-"),"-")</f>
        <v/>
      </c>
      <c r="N1410" s="1396">
        <f>IF(raw[[#This Row],[city]]="","-",IF(raw[[#This Row],[cont]]="B",raw[[#This Row],[cont]],"W"))</f>
        <v/>
      </c>
      <c r="O1410" s="1397">
        <f>IF(raw[[#This Row],[out]]=0,0,IF(raw[[#This Row],[out]]=raw[[#This Row],[in]],0.01,raw[[#This Row],[out]]-raw[[#This Row],[in]]))</f>
        <v/>
      </c>
      <c r="P1410" s="1397">
        <f>IF(raw[[#This Row],[in]]=0,0,MONTH(raw[[#This Row],[in]]))</f>
        <v/>
      </c>
      <c r="Q1410" s="1397">
        <f>IF(raw[[#This Row],[in]]=0,0,YEAR(raw[[#This Row],[in]]))</f>
        <v/>
      </c>
      <c r="R1410" s="1397">
        <f>INT(raw[[#This Row],[yr]]/10)*10</f>
        <v/>
      </c>
      <c r="S1410" s="1395">
        <f>IF(raw[[#This Row],[city]]="","-",IF(raw[[#This Row],[city]]&lt;&gt;_xlfn.XLOOKUP(raw[[#This Row],[home]],homes[home],homes[city],"-"),1,0))</f>
        <v/>
      </c>
      <c r="T1410" s="1398" t="inlineStr">
        <is>
          <t>.</t>
        </is>
      </c>
      <c r="U1410" s="1399">
        <f>IF(raw[[#This Row],[wb]]="w",raw[[#This Row],[stay]]+U1409,U1409)</f>
        <v/>
      </c>
      <c r="V1410" s="1400">
        <f>IF(raw[[#This Row],[out]]=0,V1409,(raw[[#This Row],[out]]-E$5))</f>
        <v/>
      </c>
      <c r="W1410" s="1401">
        <f>U1410/V1410</f>
        <v/>
      </c>
      <c r="X1410" s="1392" t="n"/>
      <c r="Y1410" s="1392" t="n"/>
      <c r="Z1410" s="1392" t="n"/>
      <c r="AA1410" s="1392" t="n"/>
      <c r="AB1410" s="1392" t="n"/>
      <c r="AC1410" s="1392" t="n"/>
      <c r="AD1410" s="1392" t="n"/>
      <c r="AE1410" s="1392" t="n"/>
      <c r="AF1410" s="1392" t="n"/>
      <c r="AG1410" s="1392" t="n"/>
      <c r="AH1410" s="1392" t="n"/>
      <c r="AI1410" s="1392" t="n"/>
      <c r="AJ1410" s="1392" t="n"/>
      <c r="AK1410" s="1392" t="n"/>
      <c r="AL1410" s="1392" t="n"/>
      <c r="AM1410" s="1392" t="n"/>
      <c r="AN1410" s="1392" t="n"/>
      <c r="AO1410" s="1392" t="n"/>
      <c r="AP1410" s="1392" t="n"/>
      <c r="AQ1410" s="1392" t="n"/>
      <c r="AR1410" s="1422" t="n"/>
      <c r="AS1410" s="1422" t="n"/>
      <c r="AT1410" s="1392" t="n"/>
      <c r="AU1410" s="1392" t="n"/>
      <c r="AV1410" s="1392" t="n"/>
      <c r="AW1410" s="1392" t="n"/>
      <c r="AX1410" s="1392" t="n"/>
      <c r="AY1410" s="1392" t="n"/>
      <c r="AZ1410" s="1392" t="n"/>
      <c r="BA1410" s="1422" t="n"/>
      <c r="BB1410" s="1422" t="n"/>
      <c r="BC1410" s="1392" t="n"/>
      <c r="BD1410" s="1392" t="n"/>
      <c r="BE1410" s="1392" t="n"/>
      <c r="BF1410" s="1392" t="n"/>
      <c r="BG1410" s="1392" t="n"/>
      <c r="BH1410" s="1392" t="n"/>
      <c r="BI1410" s="1392" t="n"/>
      <c r="BJ1410" s="1392" t="n"/>
      <c r="BK1410" s="1392" t="n"/>
      <c r="BL1410" s="1392" t="n"/>
      <c r="BM1410" s="1392" t="n"/>
      <c r="BN1410" s="1392" t="n"/>
      <c r="BO1410" s="1392" t="n"/>
      <c r="BP1410" s="1392" t="n"/>
      <c r="BQ1410" s="1392" t="n"/>
      <c r="BR1410" s="1392" t="n"/>
      <c r="BS1410" s="1392" t="n"/>
      <c r="BT1410" s="1392" t="n"/>
      <c r="BU1410" s="1392" t="n"/>
      <c r="BV1410" s="1392" t="n"/>
      <c r="BW1410" s="1392" t="n"/>
      <c r="BX1410" s="1392" t="n"/>
      <c r="BY1410" s="1392" t="n"/>
      <c r="BZ1410" s="1392" t="n"/>
      <c r="CA1410" s="1392" t="n"/>
      <c r="CB1410" s="1392" t="n"/>
      <c r="CC1410" s="1392" t="n"/>
      <c r="CD1410" s="1392" t="n"/>
      <c r="CE1410" s="1392" t="n"/>
      <c r="CF1410" s="1392" t="n"/>
      <c r="CG1410" s="1392" t="n"/>
      <c r="CH1410" s="1392" t="n"/>
      <c r="CI1410" s="1392" t="n"/>
      <c r="CJ1410" s="1392" t="n"/>
      <c r="CK1410" s="1392" t="n"/>
      <c r="CL1410" s="1392" t="n"/>
    </row>
    <row r="1411">
      <c r="A1411" s="5" t="inlineStr">
        <is>
          <t>.</t>
        </is>
      </c>
      <c r="B1411" s="5" t="inlineStr">
        <is>
          <t>.</t>
        </is>
      </c>
      <c r="C1411" s="1378">
        <f>IF(raw[[#This Row],[city]]="","-",IF(raw[[#This Row],[city]]="TODAY","-",C1410+1))</f>
        <v/>
      </c>
      <c r="D1411" s="1393" t="inlineStr">
        <is>
          <t>Montreal</t>
        </is>
      </c>
      <c r="E1411" s="1394" t="n">
        <v>42552</v>
      </c>
      <c r="F1411" s="1394" t="n">
        <v>42583</v>
      </c>
      <c r="G1411" s="1393" t="inlineStr">
        <is>
          <t>-</t>
        </is>
      </c>
      <c r="H1411" s="1393" t="inlineStr">
        <is>
          <t>Nadeau</t>
        </is>
      </c>
      <c r="I1411" s="1393" t="inlineStr">
        <is>
          <t>-</t>
        </is>
      </c>
      <c r="J1411" s="1393" t="inlineStr">
        <is>
          <t>-</t>
        </is>
      </c>
      <c r="K1411" s="1395">
        <f>IF(raw[[#This Row],[city]]&lt;&gt;"",_xlfn.XLOOKUP($D1411,ccc[city],ccc[prov],"-"),"-")</f>
        <v/>
      </c>
      <c r="L1411" s="1395">
        <f>IF(raw[[#This Row],[city]]&lt;&gt;"",_xlfn.XLOOKUP($D1411,ccc[city],ccc[ctry],"-"),"-")</f>
        <v/>
      </c>
      <c r="M1411" s="1395">
        <f>IF(raw[[#This Row],[city]]&lt;&gt;"",_xlfn.XLOOKUP($D1411,ccc[city],ccc[cont],"-"),"-")</f>
        <v/>
      </c>
      <c r="N1411" s="1396">
        <f>IF(raw[[#This Row],[city]]="","-",IF(raw[[#This Row],[cont]]="B",raw[[#This Row],[cont]],"W"))</f>
        <v/>
      </c>
      <c r="O1411" s="1397">
        <f>IF(raw[[#This Row],[out]]=0,0,IF(raw[[#This Row],[out]]=raw[[#This Row],[in]],0.01,raw[[#This Row],[out]]-raw[[#This Row],[in]]))</f>
        <v/>
      </c>
      <c r="P1411" s="1397">
        <f>IF(raw[[#This Row],[in]]=0,0,MONTH(raw[[#This Row],[in]]))</f>
        <v/>
      </c>
      <c r="Q1411" s="1397">
        <f>IF(raw[[#This Row],[in]]=0,0,YEAR(raw[[#This Row],[in]]))</f>
        <v/>
      </c>
      <c r="R1411" s="1397">
        <f>INT(raw[[#This Row],[yr]]/10)*10</f>
        <v/>
      </c>
      <c r="S1411" s="1395">
        <f>IF(raw[[#This Row],[city]]="","-",IF(raw[[#This Row],[city]]&lt;&gt;_xlfn.XLOOKUP(raw[[#This Row],[home]],homes[home],homes[city],"-"),1,0))</f>
        <v/>
      </c>
      <c r="T1411" s="1398" t="inlineStr">
        <is>
          <t>.</t>
        </is>
      </c>
      <c r="U1411" s="1399">
        <f>IF(raw[[#This Row],[wb]]="w",raw[[#This Row],[stay]]+U1410,U1410)</f>
        <v/>
      </c>
      <c r="V1411" s="1400">
        <f>IF(raw[[#This Row],[out]]=0,V1410,(raw[[#This Row],[out]]-E$5))</f>
        <v/>
      </c>
      <c r="W1411" s="1401">
        <f>U1411/V1411</f>
        <v/>
      </c>
      <c r="X1411" s="1392" t="n"/>
      <c r="Y1411" s="1392" t="n"/>
      <c r="Z1411" s="1392" t="n"/>
      <c r="AA1411" s="1392" t="n"/>
      <c r="AB1411" s="1392" t="n"/>
      <c r="AC1411" s="1392" t="n"/>
      <c r="AD1411" s="1392" t="n"/>
      <c r="AE1411" s="1392" t="n"/>
      <c r="AF1411" s="1392" t="n"/>
      <c r="AG1411" s="1392" t="n"/>
      <c r="AH1411" s="1392" t="n"/>
      <c r="AI1411" s="1392" t="n"/>
      <c r="AJ1411" s="1392" t="n"/>
      <c r="AK1411" s="1392" t="n"/>
      <c r="AL1411" s="1392" t="n"/>
      <c r="AM1411" s="1392" t="n"/>
      <c r="AN1411" s="1392" t="n"/>
      <c r="AO1411" s="1392" t="n"/>
      <c r="AP1411" s="1392" t="n"/>
      <c r="AQ1411" s="1392" t="n"/>
      <c r="AR1411" s="1422" t="n"/>
      <c r="AS1411" s="1422" t="n"/>
      <c r="AT1411" s="1392" t="n"/>
      <c r="AU1411" s="1392" t="n"/>
      <c r="AV1411" s="1392" t="n"/>
      <c r="AW1411" s="1392" t="n"/>
      <c r="AX1411" s="1392" t="n"/>
      <c r="AY1411" s="1392" t="n"/>
      <c r="AZ1411" s="1392" t="n"/>
      <c r="BA1411" s="1422" t="n"/>
      <c r="BB1411" s="1422" t="n"/>
      <c r="BC1411" s="1392" t="n"/>
      <c r="BD1411" s="1392" t="n"/>
      <c r="BE1411" s="1392" t="n"/>
      <c r="BF1411" s="1392" t="n"/>
      <c r="BG1411" s="1392" t="n"/>
      <c r="BH1411" s="1392" t="n"/>
      <c r="BI1411" s="1392" t="n"/>
      <c r="BJ1411" s="1392" t="n"/>
      <c r="BK1411" s="1392" t="n"/>
      <c r="BL1411" s="1392" t="n"/>
      <c r="BM1411" s="1392" t="n"/>
      <c r="BN1411" s="1392" t="n"/>
      <c r="BO1411" s="1392" t="n"/>
      <c r="BP1411" s="1392" t="n"/>
      <c r="BQ1411" s="1392" t="n"/>
      <c r="BR1411" s="1392" t="n"/>
      <c r="BS1411" s="1392" t="n"/>
      <c r="BT1411" s="1392" t="n"/>
      <c r="BU1411" s="1392" t="n"/>
      <c r="BV1411" s="1392" t="n"/>
      <c r="BW1411" s="1392" t="n"/>
      <c r="BX1411" s="1392" t="n"/>
      <c r="BY1411" s="1392" t="n"/>
      <c r="BZ1411" s="1392" t="n"/>
      <c r="CA1411" s="1392" t="n"/>
      <c r="CB1411" s="1392" t="n"/>
      <c r="CC1411" s="1392" t="n"/>
      <c r="CD1411" s="1392" t="n"/>
      <c r="CE1411" s="1392" t="n"/>
      <c r="CF1411" s="1392" t="n"/>
      <c r="CG1411" s="1392" t="n"/>
      <c r="CH1411" s="1392" t="n"/>
      <c r="CI1411" s="1392" t="n"/>
      <c r="CJ1411" s="1392" t="n"/>
      <c r="CK1411" s="1392" t="n"/>
      <c r="CL1411" s="1392" t="n"/>
    </row>
    <row r="1412">
      <c r="A1412" s="5" t="inlineStr">
        <is>
          <t>.</t>
        </is>
      </c>
      <c r="B1412" s="5" t="inlineStr">
        <is>
          <t>.</t>
        </is>
      </c>
      <c r="C1412" s="1378">
        <f>IF(raw[[#This Row],[city]]="","-",IF(raw[[#This Row],[city]]="TODAY","-",C1411+1))</f>
        <v/>
      </c>
      <c r="D1412" s="1393" t="inlineStr">
        <is>
          <t>Ottawa</t>
        </is>
      </c>
      <c r="E1412" s="1394" t="n">
        <v>42581</v>
      </c>
      <c r="F1412" s="1394" t="n">
        <v>42581</v>
      </c>
      <c r="G1412" s="1393" t="inlineStr">
        <is>
          <t>-</t>
        </is>
      </c>
      <c r="H1412" s="1393" t="inlineStr">
        <is>
          <t>Nadeau</t>
        </is>
      </c>
      <c r="I1412" s="1393" t="inlineStr">
        <is>
          <t>-</t>
        </is>
      </c>
      <c r="J1412" s="1393" t="inlineStr">
        <is>
          <t>-</t>
        </is>
      </c>
      <c r="K1412" s="1395">
        <f>IF(raw[[#This Row],[city]]&lt;&gt;"",_xlfn.XLOOKUP($D1412,ccc[city],ccc[prov],"-"),"-")</f>
        <v/>
      </c>
      <c r="L1412" s="1395">
        <f>IF(raw[[#This Row],[city]]&lt;&gt;"",_xlfn.XLOOKUP($D1412,ccc[city],ccc[ctry],"-"),"-")</f>
        <v/>
      </c>
      <c r="M1412" s="1395">
        <f>IF(raw[[#This Row],[city]]&lt;&gt;"",_xlfn.XLOOKUP($D1412,ccc[city],ccc[cont],"-"),"-")</f>
        <v/>
      </c>
      <c r="N1412" s="1396">
        <f>IF(raw[[#This Row],[city]]="","-",IF(raw[[#This Row],[cont]]="B",raw[[#This Row],[cont]],"W"))</f>
        <v/>
      </c>
      <c r="O1412" s="1397">
        <f>IF(raw[[#This Row],[out]]=0,0,IF(raw[[#This Row],[out]]=raw[[#This Row],[in]],0.01,raw[[#This Row],[out]]-raw[[#This Row],[in]]))</f>
        <v/>
      </c>
      <c r="P1412" s="1397">
        <f>IF(raw[[#This Row],[in]]=0,0,MONTH(raw[[#This Row],[in]]))</f>
        <v/>
      </c>
      <c r="Q1412" s="1397">
        <f>IF(raw[[#This Row],[in]]=0,0,YEAR(raw[[#This Row],[in]]))</f>
        <v/>
      </c>
      <c r="R1412" s="1397">
        <f>INT(raw[[#This Row],[yr]]/10)*10</f>
        <v/>
      </c>
      <c r="S1412" s="1395">
        <f>IF(raw[[#This Row],[city]]="","-",IF(raw[[#This Row],[city]]&lt;&gt;_xlfn.XLOOKUP(raw[[#This Row],[home]],homes[home],homes[city],"-"),1,0))</f>
        <v/>
      </c>
      <c r="T1412" s="1398" t="inlineStr">
        <is>
          <t>.</t>
        </is>
      </c>
      <c r="U1412" s="1399">
        <f>IF(raw[[#This Row],[wb]]="w",raw[[#This Row],[stay]]+U1411,U1411)</f>
        <v/>
      </c>
      <c r="V1412" s="1400">
        <f>IF(raw[[#This Row],[out]]=0,V1411,(raw[[#This Row],[out]]-E$5))</f>
        <v/>
      </c>
      <c r="W1412" s="1401">
        <f>U1412/V1412</f>
        <v/>
      </c>
      <c r="X1412" s="1392" t="n"/>
      <c r="Y1412" s="1392" t="n"/>
      <c r="Z1412" s="1392" t="n"/>
      <c r="AA1412" s="1392" t="n"/>
      <c r="AB1412" s="1392" t="n"/>
      <c r="AC1412" s="1392" t="n"/>
      <c r="AD1412" s="1392" t="n"/>
      <c r="AE1412" s="1392" t="n"/>
      <c r="AF1412" s="1392" t="n"/>
      <c r="AG1412" s="1392" t="n"/>
      <c r="AH1412" s="1392" t="n"/>
      <c r="AI1412" s="1392" t="n"/>
      <c r="AJ1412" s="1392" t="n"/>
      <c r="AK1412" s="1392" t="n"/>
      <c r="AL1412" s="1392" t="n"/>
      <c r="AM1412" s="1392" t="n"/>
      <c r="AN1412" s="1392" t="n"/>
      <c r="AO1412" s="1392" t="n"/>
      <c r="AP1412" s="1392" t="n"/>
      <c r="AQ1412" s="1392" t="n"/>
      <c r="AR1412" s="1422" t="n"/>
      <c r="AS1412" s="1422" t="n"/>
      <c r="AT1412" s="1392" t="n"/>
      <c r="AU1412" s="1392" t="n"/>
      <c r="AV1412" s="1392" t="n"/>
      <c r="AW1412" s="1392" t="n"/>
      <c r="AX1412" s="1392" t="n"/>
      <c r="AY1412" s="1392" t="n"/>
      <c r="AZ1412" s="1392" t="n"/>
      <c r="BA1412" s="1422" t="n"/>
      <c r="BB1412" s="1422" t="n"/>
      <c r="BC1412" s="1392" t="n"/>
      <c r="BD1412" s="1392" t="n"/>
      <c r="BE1412" s="1392" t="n"/>
      <c r="BF1412" s="1392" t="n"/>
      <c r="BG1412" s="1392" t="n"/>
      <c r="BH1412" s="1392" t="n"/>
      <c r="BI1412" s="1392" t="n"/>
      <c r="BJ1412" s="1392" t="n"/>
      <c r="BK1412" s="1392" t="n"/>
      <c r="BL1412" s="1392" t="n"/>
      <c r="BM1412" s="1392" t="n"/>
      <c r="BN1412" s="1392" t="n"/>
      <c r="BO1412" s="1392" t="n"/>
      <c r="BP1412" s="1392" t="n"/>
      <c r="BQ1412" s="1392" t="n"/>
      <c r="BR1412" s="1392" t="n"/>
      <c r="BS1412" s="1392" t="n"/>
      <c r="BT1412" s="1392" t="n"/>
      <c r="BU1412" s="1392" t="n"/>
      <c r="BV1412" s="1392" t="n"/>
      <c r="BW1412" s="1392" t="n"/>
      <c r="BX1412" s="1392" t="n"/>
      <c r="BY1412" s="1392" t="n"/>
      <c r="BZ1412" s="1392" t="n"/>
      <c r="CA1412" s="1392" t="n"/>
      <c r="CB1412" s="1392" t="n"/>
      <c r="CC1412" s="1392" t="n"/>
      <c r="CD1412" s="1392" t="n"/>
      <c r="CE1412" s="1392" t="n"/>
      <c r="CF1412" s="1392" t="n"/>
      <c r="CG1412" s="1392" t="n"/>
      <c r="CH1412" s="1392" t="n"/>
      <c r="CI1412" s="1392" t="n"/>
      <c r="CJ1412" s="1392" t="n"/>
      <c r="CK1412" s="1392" t="n"/>
      <c r="CL1412" s="1392" t="n"/>
    </row>
    <row r="1413">
      <c r="A1413" s="5" t="inlineStr">
        <is>
          <t>.</t>
        </is>
      </c>
      <c r="B1413" s="5" t="inlineStr">
        <is>
          <t>.</t>
        </is>
      </c>
      <c r="C1413" s="1378">
        <f>IF(raw[[#This Row],[city]]="","-",IF(raw[[#This Row],[city]]="TODAY","-",C1412+1))</f>
        <v/>
      </c>
      <c r="D1413" s="1393" t="inlineStr">
        <is>
          <t>Montreal</t>
        </is>
      </c>
      <c r="E1413" s="1394" t="n">
        <v>42583</v>
      </c>
      <c r="F1413" s="1394" t="n">
        <v>42614</v>
      </c>
      <c r="G1413" s="1393" t="inlineStr">
        <is>
          <t>-</t>
        </is>
      </c>
      <c r="H1413" s="1393" t="inlineStr">
        <is>
          <t>Nadeau</t>
        </is>
      </c>
      <c r="I1413" s="1393" t="inlineStr">
        <is>
          <t>-</t>
        </is>
      </c>
      <c r="J1413" s="1393" t="inlineStr">
        <is>
          <t>BDAY</t>
        </is>
      </c>
      <c r="K1413" s="1395">
        <f>IF(raw[[#This Row],[city]]&lt;&gt;"",_xlfn.XLOOKUP($D1413,ccc[city],ccc[prov],"-"),"-")</f>
        <v/>
      </c>
      <c r="L1413" s="1395">
        <f>IF(raw[[#This Row],[city]]&lt;&gt;"",_xlfn.XLOOKUP($D1413,ccc[city],ccc[ctry],"-"),"-")</f>
        <v/>
      </c>
      <c r="M1413" s="1395">
        <f>IF(raw[[#This Row],[city]]&lt;&gt;"",_xlfn.XLOOKUP($D1413,ccc[city],ccc[cont],"-"),"-")</f>
        <v/>
      </c>
      <c r="N1413" s="1396">
        <f>IF(raw[[#This Row],[city]]="","-",IF(raw[[#This Row],[cont]]="B",raw[[#This Row],[cont]],"W"))</f>
        <v/>
      </c>
      <c r="O1413" s="1397">
        <f>IF(raw[[#This Row],[out]]=0,0,IF(raw[[#This Row],[out]]=raw[[#This Row],[in]],0.01,raw[[#This Row],[out]]-raw[[#This Row],[in]]))</f>
        <v/>
      </c>
      <c r="P1413" s="1397">
        <f>IF(raw[[#This Row],[in]]=0,0,MONTH(raw[[#This Row],[in]]))</f>
        <v/>
      </c>
      <c r="Q1413" s="1397">
        <f>IF(raw[[#This Row],[in]]=0,0,YEAR(raw[[#This Row],[in]]))</f>
        <v/>
      </c>
      <c r="R1413" s="1397">
        <f>INT(raw[[#This Row],[yr]]/10)*10</f>
        <v/>
      </c>
      <c r="S1413" s="1395">
        <f>IF(raw[[#This Row],[city]]="","-",IF(raw[[#This Row],[city]]&lt;&gt;_xlfn.XLOOKUP(raw[[#This Row],[home]],homes[home],homes[city],"-"),1,0))</f>
        <v/>
      </c>
      <c r="T1413" s="1398" t="inlineStr">
        <is>
          <t>.</t>
        </is>
      </c>
      <c r="U1413" s="1399">
        <f>IF(raw[[#This Row],[wb]]="w",raw[[#This Row],[stay]]+U1412,U1412)</f>
        <v/>
      </c>
      <c r="V1413" s="1400">
        <f>IF(raw[[#This Row],[out]]=0,V1412,(raw[[#This Row],[out]]-E$5))</f>
        <v/>
      </c>
      <c r="W1413" s="1401">
        <f>U1413/V1413</f>
        <v/>
      </c>
      <c r="X1413" s="1392" t="n"/>
      <c r="Y1413" s="1392" t="n"/>
      <c r="Z1413" s="1392" t="n"/>
      <c r="AA1413" s="1392" t="n"/>
      <c r="AB1413" s="1392" t="n"/>
      <c r="AC1413" s="1392" t="n"/>
      <c r="AD1413" s="1392" t="n"/>
      <c r="AE1413" s="1392" t="n"/>
      <c r="AF1413" s="1392" t="n"/>
      <c r="AG1413" s="1392" t="n"/>
      <c r="AH1413" s="1392" t="n"/>
      <c r="AI1413" s="1392" t="n"/>
      <c r="AJ1413" s="1392" t="n"/>
      <c r="AK1413" s="1392" t="n"/>
      <c r="AL1413" s="1392" t="n"/>
      <c r="AM1413" s="1392" t="n"/>
      <c r="AN1413" s="1392" t="n"/>
      <c r="AO1413" s="1392" t="n"/>
      <c r="AP1413" s="1392" t="n"/>
      <c r="AQ1413" s="1392" t="n"/>
      <c r="AR1413" s="1422" t="n"/>
      <c r="AS1413" s="1422" t="n"/>
      <c r="AT1413" s="1392" t="n"/>
      <c r="AU1413" s="1392" t="n"/>
      <c r="AV1413" s="1392" t="n"/>
      <c r="AW1413" s="1392" t="n"/>
      <c r="AX1413" s="1392" t="n"/>
      <c r="AY1413" s="1392" t="n"/>
      <c r="AZ1413" s="1392" t="n"/>
      <c r="BA1413" s="1422" t="n"/>
      <c r="BB1413" s="1422" t="n"/>
      <c r="BC1413" s="1392" t="n"/>
      <c r="BD1413" s="1392" t="n"/>
      <c r="BE1413" s="1392" t="n"/>
      <c r="BF1413" s="1392" t="n"/>
      <c r="BG1413" s="1392" t="n"/>
      <c r="BH1413" s="1392" t="n"/>
      <c r="BI1413" s="1392" t="n"/>
      <c r="BJ1413" s="1392" t="n"/>
      <c r="BK1413" s="1392" t="n"/>
      <c r="BL1413" s="1392" t="n"/>
      <c r="BM1413" s="1392" t="n"/>
      <c r="BN1413" s="1392" t="n"/>
      <c r="BO1413" s="1392" t="n"/>
      <c r="BP1413" s="1392" t="n"/>
      <c r="BQ1413" s="1392" t="n"/>
      <c r="BR1413" s="1392" t="n"/>
      <c r="BS1413" s="1392" t="n"/>
      <c r="BT1413" s="1392" t="n"/>
      <c r="BU1413" s="1392" t="n"/>
      <c r="BV1413" s="1392" t="n"/>
      <c r="BW1413" s="1392" t="n"/>
      <c r="BX1413" s="1392" t="n"/>
      <c r="BY1413" s="1392" t="n"/>
      <c r="BZ1413" s="1392" t="n"/>
      <c r="CA1413" s="1392" t="n"/>
      <c r="CB1413" s="1392" t="n"/>
      <c r="CC1413" s="1392" t="n"/>
      <c r="CD1413" s="1392" t="n"/>
      <c r="CE1413" s="1392" t="n"/>
      <c r="CF1413" s="1392" t="n"/>
      <c r="CG1413" s="1392" t="n"/>
      <c r="CH1413" s="1392" t="n"/>
      <c r="CI1413" s="1392" t="n"/>
      <c r="CJ1413" s="1392" t="n"/>
      <c r="CK1413" s="1392" t="n"/>
      <c r="CL1413" s="1392" t="n"/>
    </row>
    <row r="1414">
      <c r="A1414" s="5" t="inlineStr">
        <is>
          <t>.</t>
        </is>
      </c>
      <c r="B1414" s="5" t="inlineStr">
        <is>
          <t>.</t>
        </is>
      </c>
      <c r="C1414" s="1378">
        <f>IF(raw[[#This Row],[city]]="","-",IF(raw[[#This Row],[city]]="TODAY","-",C1413+1))</f>
        <v/>
      </c>
      <c r="D1414" s="1393" t="inlineStr">
        <is>
          <t>Montreal</t>
        </is>
      </c>
      <c r="E1414" s="1394" t="n">
        <v>42614</v>
      </c>
      <c r="F1414" s="1394" t="n">
        <v>42644</v>
      </c>
      <c r="G1414" s="1393" t="inlineStr">
        <is>
          <t>-</t>
        </is>
      </c>
      <c r="H1414" s="1393" t="inlineStr">
        <is>
          <t>Nadeau</t>
        </is>
      </c>
      <c r="I1414" s="1393" t="inlineStr">
        <is>
          <t>-</t>
        </is>
      </c>
      <c r="J1414" s="1393" t="inlineStr">
        <is>
          <t>-</t>
        </is>
      </c>
      <c r="K1414" s="1395">
        <f>IF(raw[[#This Row],[city]]&lt;&gt;"",_xlfn.XLOOKUP($D1414,ccc[city],ccc[prov],"-"),"-")</f>
        <v/>
      </c>
      <c r="L1414" s="1395">
        <f>IF(raw[[#This Row],[city]]&lt;&gt;"",_xlfn.XLOOKUP($D1414,ccc[city],ccc[ctry],"-"),"-")</f>
        <v/>
      </c>
      <c r="M1414" s="1395">
        <f>IF(raw[[#This Row],[city]]&lt;&gt;"",_xlfn.XLOOKUP($D1414,ccc[city],ccc[cont],"-"),"-")</f>
        <v/>
      </c>
      <c r="N1414" s="1396">
        <f>IF(raw[[#This Row],[city]]="","-",IF(raw[[#This Row],[cont]]="B",raw[[#This Row],[cont]],"W"))</f>
        <v/>
      </c>
      <c r="O1414" s="1397">
        <f>IF(raw[[#This Row],[out]]=0,0,IF(raw[[#This Row],[out]]=raw[[#This Row],[in]],0.01,raw[[#This Row],[out]]-raw[[#This Row],[in]]))</f>
        <v/>
      </c>
      <c r="P1414" s="1397">
        <f>IF(raw[[#This Row],[in]]=0,0,MONTH(raw[[#This Row],[in]]))</f>
        <v/>
      </c>
      <c r="Q1414" s="1397">
        <f>IF(raw[[#This Row],[in]]=0,0,YEAR(raw[[#This Row],[in]]))</f>
        <v/>
      </c>
      <c r="R1414" s="1397">
        <f>INT(raw[[#This Row],[yr]]/10)*10</f>
        <v/>
      </c>
      <c r="S1414" s="1395">
        <f>IF(raw[[#This Row],[city]]="","-",IF(raw[[#This Row],[city]]&lt;&gt;_xlfn.XLOOKUP(raw[[#This Row],[home]],homes[home],homes[city],"-"),1,0))</f>
        <v/>
      </c>
      <c r="T1414" s="1398" t="inlineStr">
        <is>
          <t>.</t>
        </is>
      </c>
      <c r="U1414" s="1399">
        <f>IF(raw[[#This Row],[wb]]="w",raw[[#This Row],[stay]]+U1413,U1413)</f>
        <v/>
      </c>
      <c r="V1414" s="1400">
        <f>IF(raw[[#This Row],[out]]=0,V1413,(raw[[#This Row],[out]]-E$5))</f>
        <v/>
      </c>
      <c r="W1414" s="1401">
        <f>U1414/V1414</f>
        <v/>
      </c>
      <c r="X1414" s="1392" t="n"/>
      <c r="Y1414" s="1392" t="n"/>
      <c r="Z1414" s="1392" t="n"/>
      <c r="AA1414" s="1392" t="n"/>
      <c r="AB1414" s="1392" t="n"/>
      <c r="AC1414" s="1392" t="n"/>
      <c r="AD1414" s="1392" t="n"/>
      <c r="AE1414" s="1392" t="n"/>
      <c r="AF1414" s="1392" t="n"/>
      <c r="AG1414" s="1392" t="n"/>
      <c r="AH1414" s="1392" t="n"/>
      <c r="AI1414" s="1392" t="n"/>
      <c r="AJ1414" s="1392" t="n"/>
      <c r="AK1414" s="1392" t="n"/>
      <c r="AL1414" s="1392" t="n"/>
      <c r="AM1414" s="1392" t="n"/>
      <c r="AN1414" s="1392" t="n"/>
      <c r="AO1414" s="1392" t="n"/>
      <c r="AP1414" s="1392" t="n"/>
      <c r="AQ1414" s="1392" t="n"/>
      <c r="AR1414" s="1422" t="n"/>
      <c r="AS1414" s="1422" t="n"/>
      <c r="AT1414" s="1392" t="n"/>
      <c r="AU1414" s="1392" t="n"/>
      <c r="AV1414" s="1392" t="n"/>
      <c r="AW1414" s="1392" t="n"/>
      <c r="AX1414" s="1392" t="n"/>
      <c r="AY1414" s="1392" t="n"/>
      <c r="AZ1414" s="1392" t="n"/>
      <c r="BA1414" s="1422" t="n"/>
      <c r="BB1414" s="1422" t="n"/>
      <c r="BC1414" s="1392" t="n"/>
      <c r="BD1414" s="1392" t="n"/>
      <c r="BE1414" s="1392" t="n"/>
      <c r="BF1414" s="1392" t="n"/>
      <c r="BG1414" s="1392" t="n"/>
      <c r="BH1414" s="1392" t="n"/>
      <c r="BI1414" s="1392" t="n"/>
      <c r="BJ1414" s="1392" t="n"/>
      <c r="BK1414" s="1392" t="n"/>
      <c r="BL1414" s="1392" t="n"/>
      <c r="BM1414" s="1392" t="n"/>
      <c r="BN1414" s="1392" t="n"/>
      <c r="BO1414" s="1392" t="n"/>
      <c r="BP1414" s="1392" t="n"/>
      <c r="BQ1414" s="1392" t="n"/>
      <c r="BR1414" s="1392" t="n"/>
      <c r="BS1414" s="1392" t="n"/>
      <c r="BT1414" s="1392" t="n"/>
      <c r="BU1414" s="1392" t="n"/>
      <c r="BV1414" s="1392" t="n"/>
      <c r="BW1414" s="1392" t="n"/>
      <c r="BX1414" s="1392" t="n"/>
      <c r="BY1414" s="1392" t="n"/>
      <c r="BZ1414" s="1392" t="n"/>
      <c r="CA1414" s="1392" t="n"/>
      <c r="CB1414" s="1392" t="n"/>
      <c r="CC1414" s="1392" t="n"/>
      <c r="CD1414" s="1392" t="n"/>
      <c r="CE1414" s="1392" t="n"/>
      <c r="CF1414" s="1392" t="n"/>
      <c r="CG1414" s="1392" t="n"/>
      <c r="CH1414" s="1392" t="n"/>
      <c r="CI1414" s="1392" t="n"/>
      <c r="CJ1414" s="1392" t="n"/>
      <c r="CK1414" s="1392" t="n"/>
      <c r="CL1414" s="1392" t="n"/>
    </row>
    <row r="1415">
      <c r="A1415" s="5" t="inlineStr">
        <is>
          <t>.</t>
        </is>
      </c>
      <c r="B1415" s="5" t="inlineStr">
        <is>
          <t>.</t>
        </is>
      </c>
      <c r="C1415" s="1378">
        <f>IF(raw[[#This Row],[city]]="","-",IF(raw[[#This Row],[city]]="TODAY","-",C1414+1))</f>
        <v/>
      </c>
      <c r="D1415" s="1393" t="inlineStr">
        <is>
          <t>Montreal</t>
        </is>
      </c>
      <c r="E1415" s="1394" t="n">
        <v>42644</v>
      </c>
      <c r="F1415" s="1394" t="n">
        <v>42675</v>
      </c>
      <c r="G1415" s="1393" t="inlineStr">
        <is>
          <t>-</t>
        </is>
      </c>
      <c r="H1415" s="1393" t="inlineStr">
        <is>
          <t>Nadeau</t>
        </is>
      </c>
      <c r="I1415" s="1393" t="inlineStr">
        <is>
          <t>-</t>
        </is>
      </c>
      <c r="J1415" s="1393" t="inlineStr">
        <is>
          <t>-</t>
        </is>
      </c>
      <c r="K1415" s="1395">
        <f>IF(raw[[#This Row],[city]]&lt;&gt;"",_xlfn.XLOOKUP($D1415,ccc[city],ccc[prov],"-"),"-")</f>
        <v/>
      </c>
      <c r="L1415" s="1395">
        <f>IF(raw[[#This Row],[city]]&lt;&gt;"",_xlfn.XLOOKUP($D1415,ccc[city],ccc[ctry],"-"),"-")</f>
        <v/>
      </c>
      <c r="M1415" s="1395">
        <f>IF(raw[[#This Row],[city]]&lt;&gt;"",_xlfn.XLOOKUP($D1415,ccc[city],ccc[cont],"-"),"-")</f>
        <v/>
      </c>
      <c r="N1415" s="1396">
        <f>IF(raw[[#This Row],[city]]="","-",IF(raw[[#This Row],[cont]]="B",raw[[#This Row],[cont]],"W"))</f>
        <v/>
      </c>
      <c r="O1415" s="1397">
        <f>IF(raw[[#This Row],[out]]=0,0,IF(raw[[#This Row],[out]]=raw[[#This Row],[in]],0.01,raw[[#This Row],[out]]-raw[[#This Row],[in]]))</f>
        <v/>
      </c>
      <c r="P1415" s="1397">
        <f>IF(raw[[#This Row],[in]]=0,0,MONTH(raw[[#This Row],[in]]))</f>
        <v/>
      </c>
      <c r="Q1415" s="1397">
        <f>IF(raw[[#This Row],[in]]=0,0,YEAR(raw[[#This Row],[in]]))</f>
        <v/>
      </c>
      <c r="R1415" s="1397">
        <f>INT(raw[[#This Row],[yr]]/10)*10</f>
        <v/>
      </c>
      <c r="S1415" s="1395">
        <f>IF(raw[[#This Row],[city]]="","-",IF(raw[[#This Row],[city]]&lt;&gt;_xlfn.XLOOKUP(raw[[#This Row],[home]],homes[home],homes[city],"-"),1,0))</f>
        <v/>
      </c>
      <c r="T1415" s="1398" t="inlineStr">
        <is>
          <t>.</t>
        </is>
      </c>
      <c r="U1415" s="1399">
        <f>IF(raw[[#This Row],[wb]]="w",raw[[#This Row],[stay]]+U1414,U1414)</f>
        <v/>
      </c>
      <c r="V1415" s="1400">
        <f>IF(raw[[#This Row],[out]]=0,V1414,(raw[[#This Row],[out]]-E$5))</f>
        <v/>
      </c>
      <c r="W1415" s="1401">
        <f>U1415/V1415</f>
        <v/>
      </c>
      <c r="X1415" s="1392" t="n"/>
      <c r="Y1415" s="1392" t="n"/>
      <c r="Z1415" s="1392" t="n"/>
      <c r="AA1415" s="1392" t="n"/>
      <c r="AB1415" s="1392" t="n"/>
      <c r="AC1415" s="1392" t="n"/>
      <c r="AD1415" s="1392" t="n"/>
      <c r="AE1415" s="1392" t="n"/>
      <c r="AF1415" s="1392" t="n"/>
      <c r="AG1415" s="1392" t="n"/>
      <c r="AH1415" s="1392" t="n"/>
      <c r="AI1415" s="1392" t="n"/>
      <c r="AJ1415" s="1392" t="n"/>
      <c r="AK1415" s="1392" t="n"/>
      <c r="AL1415" s="1392" t="n"/>
      <c r="AM1415" s="1392" t="n"/>
      <c r="AN1415" s="1392" t="n"/>
      <c r="AO1415" s="1392" t="n"/>
      <c r="AP1415" s="1392" t="n"/>
      <c r="AQ1415" s="1392" t="n"/>
      <c r="AR1415" s="1422" t="n"/>
      <c r="AS1415" s="1422" t="n"/>
      <c r="AT1415" s="1392" t="n"/>
      <c r="AU1415" s="1392" t="n"/>
      <c r="AV1415" s="1392" t="n"/>
      <c r="AW1415" s="1392" t="n"/>
      <c r="AX1415" s="1392" t="n"/>
      <c r="AY1415" s="1392" t="n"/>
      <c r="AZ1415" s="1392" t="n"/>
      <c r="BA1415" s="1422" t="n"/>
      <c r="BB1415" s="1422" t="n"/>
      <c r="BC1415" s="1392" t="n"/>
      <c r="BD1415" s="1392" t="n"/>
      <c r="BE1415" s="1392" t="n"/>
      <c r="BF1415" s="1392" t="n"/>
      <c r="BG1415" s="1392" t="n"/>
      <c r="BH1415" s="1392" t="n"/>
      <c r="BI1415" s="1392" t="n"/>
      <c r="BJ1415" s="1392" t="n"/>
      <c r="BK1415" s="1392" t="n"/>
      <c r="BL1415" s="1392" t="n"/>
      <c r="BM1415" s="1392" t="n"/>
      <c r="BN1415" s="1392" t="n"/>
      <c r="BO1415" s="1392" t="n"/>
      <c r="BP1415" s="1392" t="n"/>
      <c r="BQ1415" s="1392" t="n"/>
      <c r="BR1415" s="1392" t="n"/>
      <c r="BS1415" s="1392" t="n"/>
      <c r="BT1415" s="1392" t="n"/>
      <c r="BU1415" s="1392" t="n"/>
      <c r="BV1415" s="1392" t="n"/>
      <c r="BW1415" s="1392" t="n"/>
      <c r="BX1415" s="1392" t="n"/>
      <c r="BY1415" s="1392" t="n"/>
      <c r="BZ1415" s="1392" t="n"/>
      <c r="CA1415" s="1392" t="n"/>
      <c r="CB1415" s="1392" t="n"/>
      <c r="CC1415" s="1392" t="n"/>
      <c r="CD1415" s="1392" t="n"/>
      <c r="CE1415" s="1392" t="n"/>
      <c r="CF1415" s="1392" t="n"/>
      <c r="CG1415" s="1392" t="n"/>
      <c r="CH1415" s="1392" t="n"/>
      <c r="CI1415" s="1392" t="n"/>
      <c r="CJ1415" s="1392" t="n"/>
      <c r="CK1415" s="1392" t="n"/>
      <c r="CL1415" s="1392" t="n"/>
    </row>
    <row r="1416">
      <c r="A1416" s="5" t="inlineStr">
        <is>
          <t>.</t>
        </is>
      </c>
      <c r="B1416" s="5" t="inlineStr">
        <is>
          <t>.</t>
        </is>
      </c>
      <c r="C1416" s="1378">
        <f>IF(raw[[#This Row],[city]]="","-",IF(raw[[#This Row],[city]]="TODAY","-",C1415+1))</f>
        <v/>
      </c>
      <c r="D1416" s="1393" t="inlineStr">
        <is>
          <t>Montreal</t>
        </is>
      </c>
      <c r="E1416" s="1394" t="n">
        <v>42675</v>
      </c>
      <c r="F1416" s="1394" t="n">
        <v>42705</v>
      </c>
      <c r="G1416" s="1393" t="inlineStr">
        <is>
          <t>-</t>
        </is>
      </c>
      <c r="H1416" s="1393" t="inlineStr">
        <is>
          <t>Nadeau</t>
        </is>
      </c>
      <c r="I1416" s="1393" t="inlineStr">
        <is>
          <t>-</t>
        </is>
      </c>
      <c r="J1416" s="1393" t="inlineStr">
        <is>
          <t>-</t>
        </is>
      </c>
      <c r="K1416" s="1395">
        <f>IF(raw[[#This Row],[city]]&lt;&gt;"",_xlfn.XLOOKUP($D1416,ccc[city],ccc[prov],"-"),"-")</f>
        <v/>
      </c>
      <c r="L1416" s="1395">
        <f>IF(raw[[#This Row],[city]]&lt;&gt;"",_xlfn.XLOOKUP($D1416,ccc[city],ccc[ctry],"-"),"-")</f>
        <v/>
      </c>
      <c r="M1416" s="1395">
        <f>IF(raw[[#This Row],[city]]&lt;&gt;"",_xlfn.XLOOKUP($D1416,ccc[city],ccc[cont],"-"),"-")</f>
        <v/>
      </c>
      <c r="N1416" s="1396">
        <f>IF(raw[[#This Row],[city]]="","-",IF(raw[[#This Row],[cont]]="B",raw[[#This Row],[cont]],"W"))</f>
        <v/>
      </c>
      <c r="O1416" s="1397">
        <f>IF(raw[[#This Row],[out]]=0,0,IF(raw[[#This Row],[out]]=raw[[#This Row],[in]],0.01,raw[[#This Row],[out]]-raw[[#This Row],[in]]))</f>
        <v/>
      </c>
      <c r="P1416" s="1397">
        <f>IF(raw[[#This Row],[in]]=0,0,MONTH(raw[[#This Row],[in]]))</f>
        <v/>
      </c>
      <c r="Q1416" s="1397">
        <f>IF(raw[[#This Row],[in]]=0,0,YEAR(raw[[#This Row],[in]]))</f>
        <v/>
      </c>
      <c r="R1416" s="1397">
        <f>INT(raw[[#This Row],[yr]]/10)*10</f>
        <v/>
      </c>
      <c r="S1416" s="1395">
        <f>IF(raw[[#This Row],[city]]="","-",IF(raw[[#This Row],[city]]&lt;&gt;_xlfn.XLOOKUP(raw[[#This Row],[home]],homes[home],homes[city],"-"),1,0))</f>
        <v/>
      </c>
      <c r="T1416" s="1398" t="inlineStr">
        <is>
          <t>.</t>
        </is>
      </c>
      <c r="U1416" s="1399">
        <f>IF(raw[[#This Row],[wb]]="w",raw[[#This Row],[stay]]+U1415,U1415)</f>
        <v/>
      </c>
      <c r="V1416" s="1400">
        <f>IF(raw[[#This Row],[out]]=0,V1415,(raw[[#This Row],[out]]-E$5))</f>
        <v/>
      </c>
      <c r="W1416" s="1401">
        <f>U1416/V1416</f>
        <v/>
      </c>
      <c r="X1416" s="1392" t="n"/>
      <c r="Y1416" s="1392" t="n"/>
      <c r="Z1416" s="1392" t="n"/>
      <c r="AA1416" s="1392" t="n"/>
      <c r="AB1416" s="1392" t="n"/>
      <c r="AC1416" s="1392" t="n"/>
      <c r="AD1416" s="1392" t="n"/>
      <c r="AE1416" s="1392" t="n"/>
      <c r="AF1416" s="1392" t="n"/>
      <c r="AG1416" s="1392" t="n"/>
      <c r="AH1416" s="1392" t="n"/>
      <c r="AI1416" s="1392" t="n"/>
      <c r="AJ1416" s="1392" t="n"/>
      <c r="AK1416" s="1392" t="n"/>
      <c r="AL1416" s="1392" t="n"/>
      <c r="AM1416" s="1392" t="n"/>
      <c r="AN1416" s="1392" t="n"/>
      <c r="AO1416" s="1392" t="n"/>
      <c r="AP1416" s="1392" t="n"/>
      <c r="AQ1416" s="1392" t="n"/>
      <c r="AR1416" s="1422" t="n"/>
      <c r="AS1416" s="1422" t="n"/>
      <c r="AT1416" s="1392" t="n"/>
      <c r="AU1416" s="1392" t="n"/>
      <c r="AV1416" s="1392" t="n"/>
      <c r="AW1416" s="1392" t="n"/>
      <c r="AX1416" s="1392" t="n"/>
      <c r="AY1416" s="1392" t="n"/>
      <c r="AZ1416" s="1392" t="n"/>
      <c r="BA1416" s="1422" t="n"/>
      <c r="BB1416" s="1422" t="n"/>
      <c r="BC1416" s="1392" t="n"/>
      <c r="BD1416" s="1392" t="n"/>
      <c r="BE1416" s="1392" t="n"/>
      <c r="BF1416" s="1392" t="n"/>
      <c r="BG1416" s="1392" t="n"/>
      <c r="BH1416" s="1392" t="n"/>
      <c r="BI1416" s="1392" t="n"/>
      <c r="BJ1416" s="1392" t="n"/>
      <c r="BK1416" s="1392" t="n"/>
      <c r="BL1416" s="1392" t="n"/>
      <c r="BM1416" s="1392" t="n"/>
      <c r="BN1416" s="1392" t="n"/>
      <c r="BO1416" s="1392" t="n"/>
      <c r="BP1416" s="1392" t="n"/>
      <c r="BQ1416" s="1392" t="n"/>
      <c r="BR1416" s="1392" t="n"/>
      <c r="BS1416" s="1392" t="n"/>
      <c r="BT1416" s="1392" t="n"/>
      <c r="BU1416" s="1392" t="n"/>
      <c r="BV1416" s="1392" t="n"/>
      <c r="BW1416" s="1392" t="n"/>
      <c r="BX1416" s="1392" t="n"/>
      <c r="BY1416" s="1392" t="n"/>
      <c r="BZ1416" s="1392" t="n"/>
      <c r="CA1416" s="1392" t="n"/>
      <c r="CB1416" s="1392" t="n"/>
      <c r="CC1416" s="1392" t="n"/>
      <c r="CD1416" s="1392" t="n"/>
      <c r="CE1416" s="1392" t="n"/>
      <c r="CF1416" s="1392" t="n"/>
      <c r="CG1416" s="1392" t="n"/>
      <c r="CH1416" s="1392" t="n"/>
      <c r="CI1416" s="1392" t="n"/>
      <c r="CJ1416" s="1392" t="n"/>
      <c r="CK1416" s="1392" t="n"/>
      <c r="CL1416" s="1392" t="n"/>
    </row>
    <row r="1417">
      <c r="A1417" s="5" t="inlineStr">
        <is>
          <t>.</t>
        </is>
      </c>
      <c r="B1417" s="5" t="inlineStr">
        <is>
          <t>.</t>
        </is>
      </c>
      <c r="C1417" s="1378">
        <f>IF(raw[[#This Row],[city]]="","-",IF(raw[[#This Row],[city]]="TODAY","-",C1416+1))</f>
        <v/>
      </c>
      <c r="D1417" s="1393" t="inlineStr">
        <is>
          <t>Trois-Rivieres</t>
        </is>
      </c>
      <c r="E1417" s="1394" t="n">
        <v>42689</v>
      </c>
      <c r="F1417" s="1394" t="n">
        <v>42689</v>
      </c>
      <c r="G1417" s="1393" t="inlineStr">
        <is>
          <t>-</t>
        </is>
      </c>
      <c r="H1417" s="1393" t="inlineStr">
        <is>
          <t>Nadeau</t>
        </is>
      </c>
      <c r="I1417" s="1393" t="inlineStr">
        <is>
          <t>-</t>
        </is>
      </c>
      <c r="J1417" s="1393" t="inlineStr">
        <is>
          <t>1 time/</t>
        </is>
      </c>
      <c r="K1417" s="1395">
        <f>IF(raw[[#This Row],[city]]&lt;&gt;"",_xlfn.XLOOKUP($D1417,ccc[city],ccc[prov],"-"),"-")</f>
        <v/>
      </c>
      <c r="L1417" s="1395">
        <f>IF(raw[[#This Row],[city]]&lt;&gt;"",_xlfn.XLOOKUP($D1417,ccc[city],ccc[ctry],"-"),"-")</f>
        <v/>
      </c>
      <c r="M1417" s="1395">
        <f>IF(raw[[#This Row],[city]]&lt;&gt;"",_xlfn.XLOOKUP($D1417,ccc[city],ccc[cont],"-"),"-")</f>
        <v/>
      </c>
      <c r="N1417" s="1396">
        <f>IF(raw[[#This Row],[city]]="","-",IF(raw[[#This Row],[cont]]="B",raw[[#This Row],[cont]],"W"))</f>
        <v/>
      </c>
      <c r="O1417" s="1397">
        <f>IF(raw[[#This Row],[out]]=0,0,IF(raw[[#This Row],[out]]=raw[[#This Row],[in]],0.01,raw[[#This Row],[out]]-raw[[#This Row],[in]]))</f>
        <v/>
      </c>
      <c r="P1417" s="1397">
        <f>IF(raw[[#This Row],[in]]=0,0,MONTH(raw[[#This Row],[in]]))</f>
        <v/>
      </c>
      <c r="Q1417" s="1397">
        <f>IF(raw[[#This Row],[in]]=0,0,YEAR(raw[[#This Row],[in]]))</f>
        <v/>
      </c>
      <c r="R1417" s="1397">
        <f>INT(raw[[#This Row],[yr]]/10)*10</f>
        <v/>
      </c>
      <c r="S1417" s="1395">
        <f>IF(raw[[#This Row],[city]]="","-",IF(raw[[#This Row],[city]]&lt;&gt;_xlfn.XLOOKUP(raw[[#This Row],[home]],homes[home],homes[city],"-"),1,0))</f>
        <v/>
      </c>
      <c r="T1417" s="1398" t="inlineStr">
        <is>
          <t>.</t>
        </is>
      </c>
      <c r="U1417" s="1399">
        <f>IF(raw[[#This Row],[wb]]="w",raw[[#This Row],[stay]]+U1416,U1416)</f>
        <v/>
      </c>
      <c r="V1417" s="1400">
        <f>IF(raw[[#This Row],[out]]=0,V1416,(raw[[#This Row],[out]]-E$5))</f>
        <v/>
      </c>
      <c r="W1417" s="1401">
        <f>U1417/V1417</f>
        <v/>
      </c>
      <c r="X1417" s="1392" t="n"/>
      <c r="Y1417" s="1392" t="n"/>
      <c r="Z1417" s="1392" t="n"/>
      <c r="AA1417" s="1392" t="n"/>
      <c r="AB1417" s="1392" t="n"/>
      <c r="AC1417" s="1392" t="n"/>
      <c r="AD1417" s="1392" t="n"/>
      <c r="AE1417" s="1392" t="n"/>
      <c r="AF1417" s="1392" t="n"/>
      <c r="AG1417" s="1392" t="n"/>
      <c r="AH1417" s="1392" t="n"/>
      <c r="AI1417" s="1392" t="n"/>
      <c r="AJ1417" s="1392" t="n"/>
      <c r="AK1417" s="1392" t="n"/>
      <c r="AL1417" s="1392" t="n"/>
      <c r="AM1417" s="1392" t="n"/>
      <c r="AN1417" s="1392" t="n"/>
      <c r="AO1417" s="1392" t="n"/>
      <c r="AP1417" s="1392" t="n"/>
      <c r="AQ1417" s="1392" t="n"/>
      <c r="AR1417" s="1422" t="n"/>
      <c r="AS1417" s="1422" t="n"/>
      <c r="AT1417" s="1392" t="n"/>
      <c r="AU1417" s="1392" t="n"/>
      <c r="AV1417" s="1392" t="n"/>
      <c r="AW1417" s="1392" t="n"/>
      <c r="AX1417" s="1392" t="n"/>
      <c r="AY1417" s="1392" t="n"/>
      <c r="AZ1417" s="1392" t="n"/>
      <c r="BA1417" s="1422" t="n"/>
      <c r="BB1417" s="1422" t="n"/>
      <c r="BC1417" s="1392" t="n"/>
      <c r="BD1417" s="1392" t="n"/>
      <c r="BE1417" s="1392" t="n"/>
      <c r="BF1417" s="1392" t="n"/>
      <c r="BG1417" s="1392" t="n"/>
      <c r="BH1417" s="1392" t="n"/>
      <c r="BI1417" s="1392" t="n"/>
      <c r="BJ1417" s="1392" t="n"/>
      <c r="BK1417" s="1392" t="n"/>
      <c r="BL1417" s="1392" t="n"/>
      <c r="BM1417" s="1392" t="n"/>
      <c r="BN1417" s="1392" t="n"/>
      <c r="BO1417" s="1392" t="n"/>
      <c r="BP1417" s="1392" t="n"/>
      <c r="BQ1417" s="1392" t="n"/>
      <c r="BR1417" s="1392" t="n"/>
      <c r="BS1417" s="1392" t="n"/>
      <c r="BT1417" s="1392" t="n"/>
      <c r="BU1417" s="1392" t="n"/>
      <c r="BV1417" s="1392" t="n"/>
      <c r="BW1417" s="1392" t="n"/>
      <c r="BX1417" s="1392" t="n"/>
      <c r="BY1417" s="1392" t="n"/>
      <c r="BZ1417" s="1392" t="n"/>
      <c r="CA1417" s="1392" t="n"/>
      <c r="CB1417" s="1392" t="n"/>
      <c r="CC1417" s="1392" t="n"/>
      <c r="CD1417" s="1392" t="n"/>
      <c r="CE1417" s="1392" t="n"/>
      <c r="CF1417" s="1392" t="n"/>
      <c r="CG1417" s="1392" t="n"/>
      <c r="CH1417" s="1392" t="n"/>
      <c r="CI1417" s="1392" t="n"/>
      <c r="CJ1417" s="1392" t="n"/>
      <c r="CK1417" s="1392" t="n"/>
      <c r="CL1417" s="1392" t="n"/>
    </row>
    <row r="1418">
      <c r="A1418" s="5" t="inlineStr">
        <is>
          <t>.</t>
        </is>
      </c>
      <c r="B1418" s="5" t="inlineStr">
        <is>
          <t>.</t>
        </is>
      </c>
      <c r="C1418" s="1378">
        <f>IF(raw[[#This Row],[city]]="","-",IF(raw[[#This Row],[city]]="TODAY","-",C1417+1))</f>
        <v/>
      </c>
      <c r="D1418" s="1393" t="inlineStr">
        <is>
          <t>Montreal</t>
        </is>
      </c>
      <c r="E1418" s="1394" t="n">
        <v>42705</v>
      </c>
      <c r="F1418" s="1394" t="n">
        <v>42733</v>
      </c>
      <c r="G1418" s="1393" t="inlineStr">
        <is>
          <t>-</t>
        </is>
      </c>
      <c r="H1418" s="1393" t="inlineStr">
        <is>
          <t>Nadeau</t>
        </is>
      </c>
      <c r="I1418" s="1393" t="inlineStr">
        <is>
          <t>-</t>
        </is>
      </c>
      <c r="J1418" s="1393" t="inlineStr">
        <is>
          <t>-</t>
        </is>
      </c>
      <c r="K1418" s="1395">
        <f>IF(raw[[#This Row],[city]]&lt;&gt;"",_xlfn.XLOOKUP($D1418,ccc[city],ccc[prov],"-"),"-")</f>
        <v/>
      </c>
      <c r="L1418" s="1395">
        <f>IF(raw[[#This Row],[city]]&lt;&gt;"",_xlfn.XLOOKUP($D1418,ccc[city],ccc[ctry],"-"),"-")</f>
        <v/>
      </c>
      <c r="M1418" s="1395">
        <f>IF(raw[[#This Row],[city]]&lt;&gt;"",_xlfn.XLOOKUP($D1418,ccc[city],ccc[cont],"-"),"-")</f>
        <v/>
      </c>
      <c r="N1418" s="1396">
        <f>IF(raw[[#This Row],[city]]="","-",IF(raw[[#This Row],[cont]]="B",raw[[#This Row],[cont]],"W"))</f>
        <v/>
      </c>
      <c r="O1418" s="1397">
        <f>IF(raw[[#This Row],[out]]=0,0,IF(raw[[#This Row],[out]]=raw[[#This Row],[in]],0.01,raw[[#This Row],[out]]-raw[[#This Row],[in]]))</f>
        <v/>
      </c>
      <c r="P1418" s="1397">
        <f>IF(raw[[#This Row],[in]]=0,0,MONTH(raw[[#This Row],[in]]))</f>
        <v/>
      </c>
      <c r="Q1418" s="1397">
        <f>IF(raw[[#This Row],[in]]=0,0,YEAR(raw[[#This Row],[in]]))</f>
        <v/>
      </c>
      <c r="R1418" s="1397">
        <f>INT(raw[[#This Row],[yr]]/10)*10</f>
        <v/>
      </c>
      <c r="S1418" s="1395">
        <f>IF(raw[[#This Row],[city]]="","-",IF(raw[[#This Row],[city]]&lt;&gt;_xlfn.XLOOKUP(raw[[#This Row],[home]],homes[home],homes[city],"-"),1,0))</f>
        <v/>
      </c>
      <c r="T1418" s="1398" t="inlineStr">
        <is>
          <t>.</t>
        </is>
      </c>
      <c r="U1418" s="1399">
        <f>IF(raw[[#This Row],[wb]]="w",raw[[#This Row],[stay]]+U1417,U1417)</f>
        <v/>
      </c>
      <c r="V1418" s="1400">
        <f>IF(raw[[#This Row],[out]]=0,V1417,(raw[[#This Row],[out]]-E$5))</f>
        <v/>
      </c>
      <c r="W1418" s="1401">
        <f>U1418/V1418</f>
        <v/>
      </c>
      <c r="X1418" s="1392" t="n"/>
      <c r="Y1418" s="1392" t="n"/>
      <c r="Z1418" s="1392" t="n"/>
      <c r="AA1418" s="1392" t="n"/>
      <c r="AB1418" s="1392" t="n"/>
      <c r="AC1418" s="1392" t="n"/>
      <c r="AD1418" s="1392" t="n"/>
      <c r="AE1418" s="1392" t="n"/>
      <c r="AF1418" s="1392" t="n"/>
      <c r="AG1418" s="1392" t="n"/>
      <c r="AH1418" s="1392" t="n"/>
      <c r="AI1418" s="1392" t="n"/>
      <c r="AJ1418" s="1392" t="n"/>
      <c r="AK1418" s="1392" t="n"/>
      <c r="AL1418" s="1392" t="n"/>
      <c r="AM1418" s="1392" t="n"/>
      <c r="AN1418" s="1392" t="n"/>
      <c r="AO1418" s="1392" t="n"/>
      <c r="AP1418" s="1392" t="n"/>
      <c r="AQ1418" s="1392" t="n"/>
      <c r="AR1418" s="1422" t="n"/>
      <c r="AS1418" s="1422" t="n"/>
      <c r="AT1418" s="1392" t="n"/>
      <c r="AU1418" s="1392" t="n"/>
      <c r="AV1418" s="1392" t="n"/>
      <c r="AW1418" s="1392" t="n"/>
      <c r="AX1418" s="1392" t="n"/>
      <c r="AY1418" s="1392" t="n"/>
      <c r="AZ1418" s="1392" t="n"/>
      <c r="BA1418" s="1422" t="n"/>
      <c r="BB1418" s="1422" t="n"/>
      <c r="BC1418" s="1392" t="n"/>
      <c r="BD1418" s="1392" t="n"/>
      <c r="BE1418" s="1392" t="n"/>
      <c r="BF1418" s="1392" t="n"/>
      <c r="BG1418" s="1392" t="n"/>
      <c r="BH1418" s="1392" t="n"/>
      <c r="BI1418" s="1392" t="n"/>
      <c r="BJ1418" s="1392" t="n"/>
      <c r="BK1418" s="1392" t="n"/>
      <c r="BL1418" s="1392" t="n"/>
      <c r="BM1418" s="1392" t="n"/>
      <c r="BN1418" s="1392" t="n"/>
      <c r="BO1418" s="1392" t="n"/>
      <c r="BP1418" s="1392" t="n"/>
      <c r="BQ1418" s="1392" t="n"/>
      <c r="BR1418" s="1392" t="n"/>
      <c r="BS1418" s="1392" t="n"/>
      <c r="BT1418" s="1392" t="n"/>
      <c r="BU1418" s="1392" t="n"/>
      <c r="BV1418" s="1392" t="n"/>
      <c r="BW1418" s="1392" t="n"/>
      <c r="BX1418" s="1392" t="n"/>
      <c r="BY1418" s="1392" t="n"/>
      <c r="BZ1418" s="1392" t="n"/>
      <c r="CA1418" s="1392" t="n"/>
      <c r="CB1418" s="1392" t="n"/>
      <c r="CC1418" s="1392" t="n"/>
      <c r="CD1418" s="1392" t="n"/>
      <c r="CE1418" s="1392" t="n"/>
      <c r="CF1418" s="1392" t="n"/>
      <c r="CG1418" s="1392" t="n"/>
      <c r="CH1418" s="1392" t="n"/>
      <c r="CI1418" s="1392" t="n"/>
      <c r="CJ1418" s="1392" t="n"/>
      <c r="CK1418" s="1392" t="n"/>
      <c r="CL1418" s="1392" t="n"/>
    </row>
    <row r="1419">
      <c r="A1419" s="5" t="inlineStr">
        <is>
          <t>.</t>
        </is>
      </c>
      <c r="B1419" s="5" t="inlineStr">
        <is>
          <t>.</t>
        </is>
      </c>
      <c r="C1419" s="1378">
        <f>IF(raw[[#This Row],[city]]="","-",IF(raw[[#This Row],[city]]="TODAY","-",C1418+1))</f>
        <v/>
      </c>
      <c r="D1419" s="1393" t="inlineStr">
        <is>
          <t>Mont-Tremblant</t>
        </is>
      </c>
      <c r="E1419" s="1394" t="n">
        <v>42733</v>
      </c>
      <c r="F1419" s="1394" t="n">
        <v>42736</v>
      </c>
      <c r="G1419" s="1393" t="inlineStr">
        <is>
          <t>-</t>
        </is>
      </c>
      <c r="H1419" s="1393" t="inlineStr">
        <is>
          <t>Nadeau</t>
        </is>
      </c>
      <c r="I1419" s="1393" t="inlineStr">
        <is>
          <t>-</t>
        </is>
      </c>
      <c r="J1419" s="1393" t="inlineStr">
        <is>
          <t>-</t>
        </is>
      </c>
      <c r="K1419" s="1395">
        <f>IF(raw[[#This Row],[city]]&lt;&gt;"",_xlfn.XLOOKUP($D1419,ccc[city],ccc[prov],"-"),"-")</f>
        <v/>
      </c>
      <c r="L1419" s="1395">
        <f>IF(raw[[#This Row],[city]]&lt;&gt;"",_xlfn.XLOOKUP($D1419,ccc[city],ccc[ctry],"-"),"-")</f>
        <v/>
      </c>
      <c r="M1419" s="1395">
        <f>IF(raw[[#This Row],[city]]&lt;&gt;"",_xlfn.XLOOKUP($D1419,ccc[city],ccc[cont],"-"),"-")</f>
        <v/>
      </c>
      <c r="N1419" s="1396">
        <f>IF(raw[[#This Row],[city]]="","-",IF(raw[[#This Row],[cont]]="B",raw[[#This Row],[cont]],"W"))</f>
        <v/>
      </c>
      <c r="O1419" s="1397">
        <f>IF(raw[[#This Row],[out]]=0,0,IF(raw[[#This Row],[out]]=raw[[#This Row],[in]],0.01,raw[[#This Row],[out]]-raw[[#This Row],[in]]))</f>
        <v/>
      </c>
      <c r="P1419" s="1397">
        <f>IF(raw[[#This Row],[in]]=0,0,MONTH(raw[[#This Row],[in]]))</f>
        <v/>
      </c>
      <c r="Q1419" s="1397">
        <f>IF(raw[[#This Row],[in]]=0,0,YEAR(raw[[#This Row],[in]]))</f>
        <v/>
      </c>
      <c r="R1419" s="1397">
        <f>INT(raw[[#This Row],[yr]]/10)*10</f>
        <v/>
      </c>
      <c r="S1419" s="1395">
        <f>IF(raw[[#This Row],[city]]="","-",IF(raw[[#This Row],[city]]&lt;&gt;_xlfn.XLOOKUP(raw[[#This Row],[home]],homes[home],homes[city],"-"),1,0))</f>
        <v/>
      </c>
      <c r="T1419" s="1398" t="inlineStr">
        <is>
          <t>.</t>
        </is>
      </c>
      <c r="U1419" s="1399">
        <f>IF(raw[[#This Row],[wb]]="w",raw[[#This Row],[stay]]+U1418,U1418)</f>
        <v/>
      </c>
      <c r="V1419" s="1400">
        <f>IF(raw[[#This Row],[out]]=0,V1418,(raw[[#This Row],[out]]-E$5))</f>
        <v/>
      </c>
      <c r="W1419" s="1401">
        <f>U1419/V1419</f>
        <v/>
      </c>
      <c r="X1419" s="1392" t="n"/>
      <c r="Y1419" s="1392" t="n"/>
      <c r="Z1419" s="1392" t="n"/>
      <c r="AA1419" s="1392" t="n"/>
      <c r="AB1419" s="1392" t="n"/>
      <c r="AC1419" s="1392" t="n"/>
      <c r="AD1419" s="1392" t="n"/>
      <c r="AE1419" s="1392" t="n"/>
      <c r="AF1419" s="1392" t="n"/>
      <c r="AG1419" s="1392" t="n"/>
      <c r="AH1419" s="1392" t="n"/>
      <c r="AI1419" s="1392" t="n"/>
      <c r="AJ1419" s="1392" t="n"/>
      <c r="AK1419" s="1392" t="n"/>
      <c r="AL1419" s="1392" t="n"/>
      <c r="AM1419" s="1392" t="n"/>
      <c r="AN1419" s="1392" t="n"/>
      <c r="AO1419" s="1392" t="n"/>
      <c r="AP1419" s="1392" t="n"/>
      <c r="AQ1419" s="1392" t="n"/>
      <c r="AR1419" s="1422" t="n"/>
      <c r="AS1419" s="1422" t="n"/>
      <c r="AT1419" s="1392" t="n"/>
      <c r="AU1419" s="1392" t="n"/>
      <c r="AV1419" s="1392" t="n"/>
      <c r="AW1419" s="1392" t="n"/>
      <c r="AX1419" s="1392" t="n"/>
      <c r="AY1419" s="1392" t="n"/>
      <c r="AZ1419" s="1392" t="n"/>
      <c r="BA1419" s="1422" t="n"/>
      <c r="BB1419" s="1422" t="n"/>
      <c r="BC1419" s="1392" t="n"/>
      <c r="BD1419" s="1392" t="n"/>
      <c r="BE1419" s="1392" t="n"/>
      <c r="BF1419" s="1392" t="n"/>
      <c r="BG1419" s="1392" t="n"/>
      <c r="BH1419" s="1392" t="n"/>
      <c r="BI1419" s="1392" t="n"/>
      <c r="BJ1419" s="1392" t="n"/>
      <c r="BK1419" s="1392" t="n"/>
      <c r="BL1419" s="1392" t="n"/>
      <c r="BM1419" s="1392" t="n"/>
      <c r="BN1419" s="1392" t="n"/>
      <c r="BO1419" s="1392" t="n"/>
      <c r="BP1419" s="1392" t="n"/>
      <c r="BQ1419" s="1392" t="n"/>
      <c r="BR1419" s="1392" t="n"/>
      <c r="BS1419" s="1392" t="n"/>
      <c r="BT1419" s="1392" t="n"/>
      <c r="BU1419" s="1392" t="n"/>
      <c r="BV1419" s="1392" t="n"/>
      <c r="BW1419" s="1392" t="n"/>
      <c r="BX1419" s="1392" t="n"/>
      <c r="BY1419" s="1392" t="n"/>
      <c r="BZ1419" s="1392" t="n"/>
      <c r="CA1419" s="1392" t="n"/>
      <c r="CB1419" s="1392" t="n"/>
      <c r="CC1419" s="1392" t="n"/>
      <c r="CD1419" s="1392" t="n"/>
      <c r="CE1419" s="1392" t="n"/>
      <c r="CF1419" s="1392" t="n"/>
      <c r="CG1419" s="1392" t="n"/>
      <c r="CH1419" s="1392" t="n"/>
      <c r="CI1419" s="1392" t="n"/>
      <c r="CJ1419" s="1392" t="n"/>
      <c r="CK1419" s="1392" t="n"/>
      <c r="CL1419" s="1392" t="n"/>
    </row>
    <row r="1420">
      <c r="A1420" s="5" t="inlineStr">
        <is>
          <t>.</t>
        </is>
      </c>
      <c r="B1420" s="5" t="inlineStr">
        <is>
          <t>.</t>
        </is>
      </c>
      <c r="C1420" s="1378">
        <f>IF(raw[[#This Row],[city]]="","-",IF(raw[[#This Row],[city]]="TODAY","-",C1419+1))</f>
        <v/>
      </c>
      <c r="D1420" s="1393" t="inlineStr">
        <is>
          <t>Mont-Tremblant</t>
        </is>
      </c>
      <c r="E1420" s="1394" t="n">
        <v>42736</v>
      </c>
      <c r="F1420" s="1394" t="n">
        <v>42737</v>
      </c>
      <c r="G1420" s="1393" t="inlineStr">
        <is>
          <t>-</t>
        </is>
      </c>
      <c r="H1420" s="1393" t="inlineStr">
        <is>
          <t>Nadeau</t>
        </is>
      </c>
      <c r="I1420" s="1393" t="inlineStr">
        <is>
          <t>-</t>
        </is>
      </c>
      <c r="J1420" s="1393" t="inlineStr">
        <is>
          <t>REV</t>
        </is>
      </c>
      <c r="K1420" s="1395">
        <f>IF(raw[[#This Row],[city]]&lt;&gt;"",_xlfn.XLOOKUP($D1420,ccc[city],ccc[prov],"-"),"-")</f>
        <v/>
      </c>
      <c r="L1420" s="1395">
        <f>IF(raw[[#This Row],[city]]&lt;&gt;"",_xlfn.XLOOKUP($D1420,ccc[city],ccc[ctry],"-"),"-")</f>
        <v/>
      </c>
      <c r="M1420" s="1395">
        <f>IF(raw[[#This Row],[city]]&lt;&gt;"",_xlfn.XLOOKUP($D1420,ccc[city],ccc[cont],"-"),"-")</f>
        <v/>
      </c>
      <c r="N1420" s="1396">
        <f>IF(raw[[#This Row],[city]]="","-",IF(raw[[#This Row],[cont]]="B",raw[[#This Row],[cont]],"W"))</f>
        <v/>
      </c>
      <c r="O1420" s="1397">
        <f>IF(raw[[#This Row],[out]]=0,0,IF(raw[[#This Row],[out]]=raw[[#This Row],[in]],0.01,raw[[#This Row],[out]]-raw[[#This Row],[in]]))</f>
        <v/>
      </c>
      <c r="P1420" s="1397">
        <f>IF(raw[[#This Row],[in]]=0,0,MONTH(raw[[#This Row],[in]]))</f>
        <v/>
      </c>
      <c r="Q1420" s="1397">
        <f>IF(raw[[#This Row],[in]]=0,0,YEAR(raw[[#This Row],[in]]))</f>
        <v/>
      </c>
      <c r="R1420" s="1397">
        <f>INT(raw[[#This Row],[yr]]/10)*10</f>
        <v/>
      </c>
      <c r="S1420" s="1395">
        <f>IF(raw[[#This Row],[city]]="","-",IF(raw[[#This Row],[city]]&lt;&gt;_xlfn.XLOOKUP(raw[[#This Row],[home]],homes[home],homes[city],"-"),1,0))</f>
        <v/>
      </c>
      <c r="T1420" s="1398" t="inlineStr">
        <is>
          <t>.</t>
        </is>
      </c>
      <c r="U1420" s="1399">
        <f>IF(raw[[#This Row],[wb]]="w",raw[[#This Row],[stay]]+U1419,U1419)</f>
        <v/>
      </c>
      <c r="V1420" s="1400">
        <f>IF(raw[[#This Row],[out]]=0,V1419,(raw[[#This Row],[out]]-E$5))</f>
        <v/>
      </c>
      <c r="W1420" s="1401">
        <f>U1420/V1420</f>
        <v/>
      </c>
      <c r="X1420" s="1392" t="n"/>
      <c r="Y1420" s="1392" t="n"/>
      <c r="Z1420" s="1392" t="n"/>
      <c r="AA1420" s="1392" t="n"/>
      <c r="AB1420" s="1392" t="n"/>
      <c r="AC1420" s="1392" t="n"/>
      <c r="AD1420" s="1392" t="n"/>
      <c r="AE1420" s="1392" t="n"/>
      <c r="AF1420" s="1392" t="n"/>
      <c r="AG1420" s="1392" t="n"/>
      <c r="AH1420" s="1392" t="n"/>
      <c r="AI1420" s="1392" t="n"/>
      <c r="AJ1420" s="1392" t="n"/>
      <c r="AK1420" s="1392" t="n"/>
      <c r="AL1420" s="1392" t="n"/>
      <c r="AM1420" s="1392" t="n"/>
      <c r="AN1420" s="1392" t="n"/>
      <c r="AO1420" s="1392" t="n"/>
      <c r="AP1420" s="1392" t="n"/>
      <c r="AQ1420" s="1392" t="n"/>
      <c r="AR1420" s="1422" t="n"/>
      <c r="AS1420" s="1422" t="n"/>
      <c r="AT1420" s="1392" t="n"/>
      <c r="AU1420" s="1392" t="n"/>
      <c r="AV1420" s="1392" t="n"/>
      <c r="AW1420" s="1392" t="n"/>
      <c r="AX1420" s="1392" t="n"/>
      <c r="AY1420" s="1392" t="n"/>
      <c r="AZ1420" s="1392" t="n"/>
      <c r="BA1420" s="1422" t="n"/>
      <c r="BB1420" s="1422" t="n"/>
      <c r="BC1420" s="1392" t="n"/>
      <c r="BD1420" s="1392" t="n"/>
      <c r="BE1420" s="1392" t="n"/>
      <c r="BF1420" s="1392" t="n"/>
      <c r="BG1420" s="1392" t="n"/>
      <c r="BH1420" s="1392" t="n"/>
      <c r="BI1420" s="1392" t="n"/>
      <c r="BJ1420" s="1392" t="n"/>
      <c r="BK1420" s="1392" t="n"/>
      <c r="BL1420" s="1392" t="n"/>
      <c r="BM1420" s="1392" t="n"/>
      <c r="BN1420" s="1392" t="n"/>
      <c r="BO1420" s="1392" t="n"/>
      <c r="BP1420" s="1392" t="n"/>
      <c r="BQ1420" s="1392" t="n"/>
      <c r="BR1420" s="1392" t="n"/>
      <c r="BS1420" s="1392" t="n"/>
      <c r="BT1420" s="1392" t="n"/>
      <c r="BU1420" s="1392" t="n"/>
      <c r="BV1420" s="1392" t="n"/>
      <c r="BW1420" s="1392" t="n"/>
      <c r="BX1420" s="1392" t="n"/>
      <c r="BY1420" s="1392" t="n"/>
      <c r="BZ1420" s="1392" t="n"/>
      <c r="CA1420" s="1392" t="n"/>
      <c r="CB1420" s="1392" t="n"/>
      <c r="CC1420" s="1392" t="n"/>
      <c r="CD1420" s="1392" t="n"/>
      <c r="CE1420" s="1392" t="n"/>
      <c r="CF1420" s="1392" t="n"/>
      <c r="CG1420" s="1392" t="n"/>
      <c r="CH1420" s="1392" t="n"/>
      <c r="CI1420" s="1392" t="n"/>
      <c r="CJ1420" s="1392" t="n"/>
      <c r="CK1420" s="1392" t="n"/>
      <c r="CL1420" s="1392" t="n"/>
    </row>
    <row r="1421">
      <c r="A1421" s="5" t="inlineStr">
        <is>
          <t>.</t>
        </is>
      </c>
      <c r="B1421" s="5" t="inlineStr">
        <is>
          <t>.</t>
        </is>
      </c>
      <c r="C1421" s="1378">
        <f>IF(raw[[#This Row],[city]]="","-",IF(raw[[#This Row],[city]]="TODAY","-",C1420+1))</f>
        <v/>
      </c>
      <c r="D1421" s="1393" t="inlineStr">
        <is>
          <t>Montreal</t>
        </is>
      </c>
      <c r="E1421" s="1394" t="n">
        <v>42737</v>
      </c>
      <c r="F1421" s="1394" t="n">
        <v>42767</v>
      </c>
      <c r="G1421" s="1393" t="inlineStr">
        <is>
          <t>-</t>
        </is>
      </c>
      <c r="H1421" s="1393" t="inlineStr">
        <is>
          <t>Nadeau</t>
        </is>
      </c>
      <c r="I1421" s="1393" t="inlineStr">
        <is>
          <t>-</t>
        </is>
      </c>
      <c r="J1421" s="1393" t="inlineStr">
        <is>
          <t>-</t>
        </is>
      </c>
      <c r="K1421" s="1395">
        <f>IF(raw[[#This Row],[city]]&lt;&gt;"",_xlfn.XLOOKUP($D1421,ccc[city],ccc[prov],"-"),"-")</f>
        <v/>
      </c>
      <c r="L1421" s="1395">
        <f>IF(raw[[#This Row],[city]]&lt;&gt;"",_xlfn.XLOOKUP($D1421,ccc[city],ccc[ctry],"-"),"-")</f>
        <v/>
      </c>
      <c r="M1421" s="1395">
        <f>IF(raw[[#This Row],[city]]&lt;&gt;"",_xlfn.XLOOKUP($D1421,ccc[city],ccc[cont],"-"),"-")</f>
        <v/>
      </c>
      <c r="N1421" s="1396">
        <f>IF(raw[[#This Row],[city]]="","-",IF(raw[[#This Row],[cont]]="B",raw[[#This Row],[cont]],"W"))</f>
        <v/>
      </c>
      <c r="O1421" s="1397">
        <f>IF(raw[[#This Row],[out]]=0,0,IF(raw[[#This Row],[out]]=raw[[#This Row],[in]],0.01,raw[[#This Row],[out]]-raw[[#This Row],[in]]))</f>
        <v/>
      </c>
      <c r="P1421" s="1397">
        <f>IF(raw[[#This Row],[in]]=0,0,MONTH(raw[[#This Row],[in]]))</f>
        <v/>
      </c>
      <c r="Q1421" s="1397">
        <f>IF(raw[[#This Row],[in]]=0,0,YEAR(raw[[#This Row],[in]]))</f>
        <v/>
      </c>
      <c r="R1421" s="1397">
        <f>INT(raw[[#This Row],[yr]]/10)*10</f>
        <v/>
      </c>
      <c r="S1421" s="1395">
        <f>IF(raw[[#This Row],[city]]="","-",IF(raw[[#This Row],[city]]&lt;&gt;_xlfn.XLOOKUP(raw[[#This Row],[home]],homes[home],homes[city],"-"),1,0))</f>
        <v/>
      </c>
      <c r="T1421" s="1398" t="inlineStr">
        <is>
          <t>.</t>
        </is>
      </c>
      <c r="U1421" s="1399">
        <f>IF(raw[[#This Row],[wb]]="w",raw[[#This Row],[stay]]+U1420,U1420)</f>
        <v/>
      </c>
      <c r="V1421" s="1400">
        <f>IF(raw[[#This Row],[out]]=0,V1420,(raw[[#This Row],[out]]-E$5))</f>
        <v/>
      </c>
      <c r="W1421" s="1401">
        <f>U1421/V1421</f>
        <v/>
      </c>
      <c r="X1421" s="1392" t="n"/>
      <c r="Y1421" s="1392" t="n"/>
      <c r="Z1421" s="1392" t="n"/>
      <c r="AA1421" s="1392" t="n"/>
      <c r="AB1421" s="1392" t="n"/>
      <c r="AC1421" s="1392" t="n"/>
      <c r="AD1421" s="1392" t="n"/>
      <c r="AE1421" s="1392" t="n"/>
      <c r="AF1421" s="1392" t="n"/>
      <c r="AG1421" s="1392" t="n"/>
      <c r="AH1421" s="1392" t="n"/>
      <c r="AI1421" s="1392" t="n"/>
      <c r="AJ1421" s="1392" t="n"/>
      <c r="AK1421" s="1392" t="n"/>
      <c r="AL1421" s="1392" t="n"/>
      <c r="AM1421" s="1392" t="n"/>
      <c r="AN1421" s="1392" t="n"/>
      <c r="AO1421" s="1392" t="n"/>
      <c r="AP1421" s="1392" t="n"/>
      <c r="AQ1421" s="1392" t="n"/>
      <c r="AR1421" s="1422" t="n"/>
      <c r="AS1421" s="1422" t="n"/>
      <c r="AT1421" s="1392" t="n"/>
      <c r="AU1421" s="1392" t="n"/>
      <c r="AV1421" s="1392" t="n"/>
      <c r="AW1421" s="1392" t="n"/>
      <c r="AX1421" s="1392" t="n"/>
      <c r="AY1421" s="1392" t="n"/>
      <c r="AZ1421" s="1392" t="n"/>
      <c r="BA1421" s="1422" t="n"/>
      <c r="BB1421" s="1422" t="n"/>
      <c r="BC1421" s="1392" t="n"/>
      <c r="BD1421" s="1392" t="n"/>
      <c r="BE1421" s="1392" t="n"/>
      <c r="BF1421" s="1392" t="n"/>
      <c r="BG1421" s="1392" t="n"/>
      <c r="BH1421" s="1392" t="n"/>
      <c r="BI1421" s="1392" t="n"/>
      <c r="BJ1421" s="1392" t="n"/>
      <c r="BK1421" s="1392" t="n"/>
      <c r="BL1421" s="1392" t="n"/>
      <c r="BM1421" s="1392" t="n"/>
      <c r="BN1421" s="1392" t="n"/>
      <c r="BO1421" s="1392" t="n"/>
      <c r="BP1421" s="1392" t="n"/>
      <c r="BQ1421" s="1392" t="n"/>
      <c r="BR1421" s="1392" t="n"/>
      <c r="BS1421" s="1392" t="n"/>
      <c r="BT1421" s="1392" t="n"/>
      <c r="BU1421" s="1392" t="n"/>
      <c r="BV1421" s="1392" t="n"/>
      <c r="BW1421" s="1392" t="n"/>
      <c r="BX1421" s="1392" t="n"/>
      <c r="BY1421" s="1392" t="n"/>
      <c r="BZ1421" s="1392" t="n"/>
      <c r="CA1421" s="1392" t="n"/>
      <c r="CB1421" s="1392" t="n"/>
      <c r="CC1421" s="1392" t="n"/>
      <c r="CD1421" s="1392" t="n"/>
      <c r="CE1421" s="1392" t="n"/>
      <c r="CF1421" s="1392" t="n"/>
      <c r="CG1421" s="1392" t="n"/>
      <c r="CH1421" s="1392" t="n"/>
      <c r="CI1421" s="1392" t="n"/>
      <c r="CJ1421" s="1392" t="n"/>
      <c r="CK1421" s="1392" t="n"/>
      <c r="CL1421" s="1392" t="n"/>
    </row>
    <row r="1422">
      <c r="A1422" s="5" t="inlineStr">
        <is>
          <t>.</t>
        </is>
      </c>
      <c r="B1422" s="5" t="inlineStr">
        <is>
          <t>.</t>
        </is>
      </c>
      <c r="C1422" s="1378">
        <f>IF(raw[[#This Row],[city]]="","-",IF(raw[[#This Row],[city]]="TODAY","-",C1421+1))</f>
        <v/>
      </c>
      <c r="D1422" s="1393" t="inlineStr">
        <is>
          <t>Trois-Rivieres</t>
        </is>
      </c>
      <c r="E1422" s="1394" t="n">
        <v>42767</v>
      </c>
      <c r="F1422" s="1394" t="n">
        <v>42767</v>
      </c>
      <c r="G1422" s="1393" t="inlineStr">
        <is>
          <t>-</t>
        </is>
      </c>
      <c r="H1422" s="1393" t="inlineStr">
        <is>
          <t>Nadeau</t>
        </is>
      </c>
      <c r="I1422" s="1393" t="inlineStr">
        <is>
          <t>-</t>
        </is>
      </c>
      <c r="J1422" s="1393" t="inlineStr">
        <is>
          <t>14 times/</t>
        </is>
      </c>
      <c r="K1422" s="1395">
        <f>IF(raw[[#This Row],[city]]&lt;&gt;"",_xlfn.XLOOKUP($D1422,ccc[city],ccc[prov],"-"),"-")</f>
        <v/>
      </c>
      <c r="L1422" s="1395">
        <f>IF(raw[[#This Row],[city]]&lt;&gt;"",_xlfn.XLOOKUP($D1422,ccc[city],ccc[ctry],"-"),"-")</f>
        <v/>
      </c>
      <c r="M1422" s="1395">
        <f>IF(raw[[#This Row],[city]]&lt;&gt;"",_xlfn.XLOOKUP($D1422,ccc[city],ccc[cont],"-"),"-")</f>
        <v/>
      </c>
      <c r="N1422" s="1396">
        <f>IF(raw[[#This Row],[city]]="","-",IF(raw[[#This Row],[cont]]="B",raw[[#This Row],[cont]],"W"))</f>
        <v/>
      </c>
      <c r="O1422" s="1397">
        <f>IF(raw[[#This Row],[out]]=0,0,IF(raw[[#This Row],[out]]=raw[[#This Row],[in]],0.01,raw[[#This Row],[out]]-raw[[#This Row],[in]]))</f>
        <v/>
      </c>
      <c r="P1422" s="1397">
        <f>IF(raw[[#This Row],[in]]=0,0,MONTH(raw[[#This Row],[in]]))</f>
        <v/>
      </c>
      <c r="Q1422" s="1397">
        <f>IF(raw[[#This Row],[in]]=0,0,YEAR(raw[[#This Row],[in]]))</f>
        <v/>
      </c>
      <c r="R1422" s="1397">
        <f>INT(raw[[#This Row],[yr]]/10)*10</f>
        <v/>
      </c>
      <c r="S1422" s="1395">
        <f>IF(raw[[#This Row],[city]]="","-",IF(raw[[#This Row],[city]]&lt;&gt;_xlfn.XLOOKUP(raw[[#This Row],[home]],homes[home],homes[city],"-"),1,0))</f>
        <v/>
      </c>
      <c r="T1422" s="1398" t="inlineStr">
        <is>
          <t>.</t>
        </is>
      </c>
      <c r="U1422" s="1399">
        <f>IF(raw[[#This Row],[wb]]="w",raw[[#This Row],[stay]]+U1421,U1421)</f>
        <v/>
      </c>
      <c r="V1422" s="1400">
        <f>IF(raw[[#This Row],[out]]=0,V1421,(raw[[#This Row],[out]]-E$5))</f>
        <v/>
      </c>
      <c r="W1422" s="1401">
        <f>U1422/V1422</f>
        <v/>
      </c>
      <c r="X1422" s="1392" t="n"/>
      <c r="Y1422" s="1392" t="n"/>
      <c r="Z1422" s="1392" t="n"/>
      <c r="AA1422" s="1392" t="n"/>
      <c r="AB1422" s="1392" t="n"/>
      <c r="AC1422" s="1392" t="n"/>
      <c r="AD1422" s="1392" t="n"/>
      <c r="AE1422" s="1392" t="n"/>
      <c r="AF1422" s="1392" t="n"/>
      <c r="AG1422" s="1392" t="n"/>
      <c r="AH1422" s="1392" t="n"/>
      <c r="AI1422" s="1392" t="n"/>
      <c r="AJ1422" s="1392" t="n"/>
      <c r="AK1422" s="1392" t="n"/>
      <c r="AL1422" s="1392" t="n"/>
      <c r="AM1422" s="1392" t="n"/>
      <c r="AN1422" s="1392" t="n"/>
      <c r="AO1422" s="1392" t="n"/>
      <c r="AP1422" s="1392" t="n"/>
      <c r="AQ1422" s="1392" t="n"/>
      <c r="AR1422" s="1422" t="n"/>
      <c r="AS1422" s="1422" t="n"/>
      <c r="AT1422" s="1392" t="n"/>
      <c r="AU1422" s="1392" t="n"/>
      <c r="AV1422" s="1392" t="n"/>
      <c r="AW1422" s="1392" t="n"/>
      <c r="AX1422" s="1392" t="n"/>
      <c r="AY1422" s="1392" t="n"/>
      <c r="AZ1422" s="1392" t="n"/>
      <c r="BA1422" s="1422" t="n"/>
      <c r="BB1422" s="1422" t="n"/>
      <c r="BC1422" s="1392" t="n"/>
      <c r="BD1422" s="1392" t="n"/>
      <c r="BE1422" s="1392" t="n"/>
      <c r="BF1422" s="1392" t="n"/>
      <c r="BG1422" s="1392" t="n"/>
      <c r="BH1422" s="1392" t="n"/>
      <c r="BI1422" s="1392" t="n"/>
      <c r="BJ1422" s="1392" t="n"/>
      <c r="BK1422" s="1392" t="n"/>
      <c r="BL1422" s="1392" t="n"/>
      <c r="BM1422" s="1392" t="n"/>
      <c r="BN1422" s="1392" t="n"/>
      <c r="BO1422" s="1392" t="n"/>
      <c r="BP1422" s="1392" t="n"/>
      <c r="BQ1422" s="1392" t="n"/>
      <c r="BR1422" s="1392" t="n"/>
      <c r="BS1422" s="1392" t="n"/>
      <c r="BT1422" s="1392" t="n"/>
      <c r="BU1422" s="1392" t="n"/>
      <c r="BV1422" s="1392" t="n"/>
      <c r="BW1422" s="1392" t="n"/>
      <c r="BX1422" s="1392" t="n"/>
      <c r="BY1422" s="1392" t="n"/>
      <c r="BZ1422" s="1392" t="n"/>
      <c r="CA1422" s="1392" t="n"/>
      <c r="CB1422" s="1392" t="n"/>
      <c r="CC1422" s="1392" t="n"/>
      <c r="CD1422" s="1392" t="n"/>
      <c r="CE1422" s="1392" t="n"/>
      <c r="CF1422" s="1392" t="n"/>
      <c r="CG1422" s="1392" t="n"/>
      <c r="CH1422" s="1392" t="n"/>
      <c r="CI1422" s="1392" t="n"/>
      <c r="CJ1422" s="1392" t="n"/>
      <c r="CK1422" s="1392" t="n"/>
      <c r="CL1422" s="1392" t="n"/>
    </row>
    <row r="1423">
      <c r="A1423" s="5" t="inlineStr">
        <is>
          <t>.</t>
        </is>
      </c>
      <c r="B1423" s="5" t="inlineStr">
        <is>
          <t>.</t>
        </is>
      </c>
      <c r="C1423" s="1378">
        <f>IF(raw[[#This Row],[city]]="","-",IF(raw[[#This Row],[city]]="TODAY","-",C1422+1))</f>
        <v/>
      </c>
      <c r="D1423" s="1393" t="inlineStr">
        <is>
          <t>Montreal</t>
        </is>
      </c>
      <c r="E1423" s="1394" t="n">
        <v>42767</v>
      </c>
      <c r="F1423" s="1394" t="n">
        <v>42795</v>
      </c>
      <c r="G1423" s="1393" t="inlineStr">
        <is>
          <t>-</t>
        </is>
      </c>
      <c r="H1423" s="1393" t="inlineStr">
        <is>
          <t>Nadeau</t>
        </is>
      </c>
      <c r="I1423" s="1393" t="inlineStr">
        <is>
          <t>-</t>
        </is>
      </c>
      <c r="J1423" s="1393" t="inlineStr">
        <is>
          <t>-</t>
        </is>
      </c>
      <c r="K1423" s="1395">
        <f>IF(raw[[#This Row],[city]]&lt;&gt;"",_xlfn.XLOOKUP($D1423,ccc[city],ccc[prov],"-"),"-")</f>
        <v/>
      </c>
      <c r="L1423" s="1395">
        <f>IF(raw[[#This Row],[city]]&lt;&gt;"",_xlfn.XLOOKUP($D1423,ccc[city],ccc[ctry],"-"),"-")</f>
        <v/>
      </c>
      <c r="M1423" s="1395">
        <f>IF(raw[[#This Row],[city]]&lt;&gt;"",_xlfn.XLOOKUP($D1423,ccc[city],ccc[cont],"-"),"-")</f>
        <v/>
      </c>
      <c r="N1423" s="1396">
        <f>IF(raw[[#This Row],[city]]="","-",IF(raw[[#This Row],[cont]]="B",raw[[#This Row],[cont]],"W"))</f>
        <v/>
      </c>
      <c r="O1423" s="1397">
        <f>IF(raw[[#This Row],[out]]=0,0,IF(raw[[#This Row],[out]]=raw[[#This Row],[in]],0.01,raw[[#This Row],[out]]-raw[[#This Row],[in]]))</f>
        <v/>
      </c>
      <c r="P1423" s="1397">
        <f>IF(raw[[#This Row],[in]]=0,0,MONTH(raw[[#This Row],[in]]))</f>
        <v/>
      </c>
      <c r="Q1423" s="1397">
        <f>IF(raw[[#This Row],[in]]=0,0,YEAR(raw[[#This Row],[in]]))</f>
        <v/>
      </c>
      <c r="R1423" s="1397">
        <f>INT(raw[[#This Row],[yr]]/10)*10</f>
        <v/>
      </c>
      <c r="S1423" s="1395">
        <f>IF(raw[[#This Row],[city]]="","-",IF(raw[[#This Row],[city]]&lt;&gt;_xlfn.XLOOKUP(raw[[#This Row],[home]],homes[home],homes[city],"-"),1,0))</f>
        <v/>
      </c>
      <c r="T1423" s="1398" t="inlineStr">
        <is>
          <t>.</t>
        </is>
      </c>
      <c r="U1423" s="1399">
        <f>IF(raw[[#This Row],[wb]]="w",raw[[#This Row],[stay]]+U1422,U1422)</f>
        <v/>
      </c>
      <c r="V1423" s="1400">
        <f>IF(raw[[#This Row],[out]]=0,V1422,(raw[[#This Row],[out]]-E$5))</f>
        <v/>
      </c>
      <c r="W1423" s="1401">
        <f>U1423/V1423</f>
        <v/>
      </c>
      <c r="X1423" s="1392" t="n"/>
      <c r="Y1423" s="1392" t="n"/>
      <c r="Z1423" s="1392" t="n"/>
      <c r="AA1423" s="1392" t="n"/>
      <c r="AB1423" s="1392" t="n"/>
      <c r="AC1423" s="1392" t="n"/>
      <c r="AD1423" s="1392" t="n"/>
      <c r="AE1423" s="1392" t="n"/>
      <c r="AF1423" s="1392" t="n"/>
      <c r="AG1423" s="1392" t="n"/>
      <c r="AH1423" s="1392" t="n"/>
      <c r="AI1423" s="1392" t="n"/>
      <c r="AJ1423" s="1392" t="n"/>
      <c r="AK1423" s="1392" t="n"/>
      <c r="AL1423" s="1392" t="n"/>
      <c r="AM1423" s="1392" t="n"/>
      <c r="AN1423" s="1392" t="n"/>
      <c r="AO1423" s="1392" t="n"/>
      <c r="AP1423" s="1392" t="n"/>
      <c r="AQ1423" s="1392" t="n"/>
      <c r="AR1423" s="1422" t="n"/>
      <c r="AS1423" s="1422" t="n"/>
      <c r="AT1423" s="1392" t="n"/>
      <c r="AU1423" s="1392" t="n"/>
      <c r="AV1423" s="1392" t="n"/>
      <c r="AW1423" s="1392" t="n"/>
      <c r="AX1423" s="1392" t="n"/>
      <c r="AY1423" s="1392" t="n"/>
      <c r="AZ1423" s="1392" t="n"/>
      <c r="BA1423" s="1422" t="n"/>
      <c r="BB1423" s="1422" t="n"/>
      <c r="BC1423" s="1392" t="n"/>
      <c r="BD1423" s="1392" t="n"/>
      <c r="BE1423" s="1392" t="n"/>
      <c r="BF1423" s="1392" t="n"/>
      <c r="BG1423" s="1392" t="n"/>
      <c r="BH1423" s="1392" t="n"/>
      <c r="BI1423" s="1392" t="n"/>
      <c r="BJ1423" s="1392" t="n"/>
      <c r="BK1423" s="1392" t="n"/>
      <c r="BL1423" s="1392" t="n"/>
      <c r="BM1423" s="1392" t="n"/>
      <c r="BN1423" s="1392" t="n"/>
      <c r="BO1423" s="1392" t="n"/>
      <c r="BP1423" s="1392" t="n"/>
      <c r="BQ1423" s="1392" t="n"/>
      <c r="BR1423" s="1392" t="n"/>
      <c r="BS1423" s="1392" t="n"/>
      <c r="BT1423" s="1392" t="n"/>
      <c r="BU1423" s="1392" t="n"/>
      <c r="BV1423" s="1392" t="n"/>
      <c r="BW1423" s="1392" t="n"/>
      <c r="BX1423" s="1392" t="n"/>
      <c r="BY1423" s="1392" t="n"/>
      <c r="BZ1423" s="1392" t="n"/>
      <c r="CA1423" s="1392" t="n"/>
      <c r="CB1423" s="1392" t="n"/>
      <c r="CC1423" s="1392" t="n"/>
      <c r="CD1423" s="1392" t="n"/>
      <c r="CE1423" s="1392" t="n"/>
      <c r="CF1423" s="1392" t="n"/>
      <c r="CG1423" s="1392" t="n"/>
      <c r="CH1423" s="1392" t="n"/>
      <c r="CI1423" s="1392" t="n"/>
      <c r="CJ1423" s="1392" t="n"/>
      <c r="CK1423" s="1392" t="n"/>
      <c r="CL1423" s="1392" t="n"/>
    </row>
    <row r="1424">
      <c r="A1424" s="5" t="inlineStr">
        <is>
          <t>.</t>
        </is>
      </c>
      <c r="B1424" s="5" t="inlineStr">
        <is>
          <t>.</t>
        </is>
      </c>
      <c r="C1424" s="1378">
        <f>IF(raw[[#This Row],[city]]="","-",IF(raw[[#This Row],[city]]="TODAY","-",C1423+1))</f>
        <v/>
      </c>
      <c r="D1424" s="1393" t="inlineStr">
        <is>
          <t>Montreal</t>
        </is>
      </c>
      <c r="E1424" s="1394" t="n">
        <v>42795</v>
      </c>
      <c r="F1424" s="1394" t="n">
        <v>42826</v>
      </c>
      <c r="G1424" s="1393" t="inlineStr">
        <is>
          <t>-</t>
        </is>
      </c>
      <c r="H1424" s="1393" t="inlineStr">
        <is>
          <t>Nadeau</t>
        </is>
      </c>
      <c r="I1424" s="1393" t="inlineStr">
        <is>
          <t>-</t>
        </is>
      </c>
      <c r="J1424" s="1393" t="inlineStr">
        <is>
          <t>-</t>
        </is>
      </c>
      <c r="K1424" s="1395">
        <f>IF(raw[[#This Row],[city]]&lt;&gt;"",_xlfn.XLOOKUP($D1424,ccc[city],ccc[prov],"-"),"-")</f>
        <v/>
      </c>
      <c r="L1424" s="1395">
        <f>IF(raw[[#This Row],[city]]&lt;&gt;"",_xlfn.XLOOKUP($D1424,ccc[city],ccc[ctry],"-"),"-")</f>
        <v/>
      </c>
      <c r="M1424" s="1395">
        <f>IF(raw[[#This Row],[city]]&lt;&gt;"",_xlfn.XLOOKUP($D1424,ccc[city],ccc[cont],"-"),"-")</f>
        <v/>
      </c>
      <c r="N1424" s="1396">
        <f>IF(raw[[#This Row],[city]]="","-",IF(raw[[#This Row],[cont]]="B",raw[[#This Row],[cont]],"W"))</f>
        <v/>
      </c>
      <c r="O1424" s="1397">
        <f>IF(raw[[#This Row],[out]]=0,0,IF(raw[[#This Row],[out]]=raw[[#This Row],[in]],0.01,raw[[#This Row],[out]]-raw[[#This Row],[in]]))</f>
        <v/>
      </c>
      <c r="P1424" s="1397">
        <f>IF(raw[[#This Row],[in]]=0,0,MONTH(raw[[#This Row],[in]]))</f>
        <v/>
      </c>
      <c r="Q1424" s="1397">
        <f>IF(raw[[#This Row],[in]]=0,0,YEAR(raw[[#This Row],[in]]))</f>
        <v/>
      </c>
      <c r="R1424" s="1397">
        <f>INT(raw[[#This Row],[yr]]/10)*10</f>
        <v/>
      </c>
      <c r="S1424" s="1395">
        <f>IF(raw[[#This Row],[city]]="","-",IF(raw[[#This Row],[city]]&lt;&gt;_xlfn.XLOOKUP(raw[[#This Row],[home]],homes[home],homes[city],"-"),1,0))</f>
        <v/>
      </c>
      <c r="T1424" s="1398" t="inlineStr">
        <is>
          <t>.</t>
        </is>
      </c>
      <c r="U1424" s="1399">
        <f>IF(raw[[#This Row],[wb]]="w",raw[[#This Row],[stay]]+U1423,U1423)</f>
        <v/>
      </c>
      <c r="V1424" s="1400">
        <f>IF(raw[[#This Row],[out]]=0,V1423,(raw[[#This Row],[out]]-E$5))</f>
        <v/>
      </c>
      <c r="W1424" s="1401">
        <f>U1424/V1424</f>
        <v/>
      </c>
      <c r="X1424" s="1392" t="n"/>
      <c r="Y1424" s="1392" t="n"/>
      <c r="Z1424" s="1392" t="n"/>
      <c r="AA1424" s="1392" t="n"/>
      <c r="AB1424" s="1392" t="n"/>
      <c r="AC1424" s="1392" t="n"/>
      <c r="AD1424" s="1392" t="n"/>
      <c r="AE1424" s="1392" t="n"/>
      <c r="AF1424" s="1392" t="n"/>
      <c r="AG1424" s="1392" t="n"/>
      <c r="AH1424" s="1392" t="n"/>
      <c r="AI1424" s="1392" t="n"/>
      <c r="AJ1424" s="1392" t="n"/>
      <c r="AK1424" s="1392" t="n"/>
      <c r="AL1424" s="1392" t="n"/>
      <c r="AM1424" s="1392" t="n"/>
      <c r="AN1424" s="1392" t="n"/>
      <c r="AO1424" s="1392" t="n"/>
      <c r="AP1424" s="1392" t="n"/>
      <c r="AQ1424" s="1392" t="n"/>
      <c r="AR1424" s="1422" t="n"/>
      <c r="AS1424" s="1422" t="n"/>
      <c r="AT1424" s="1392" t="n"/>
      <c r="AU1424" s="1392" t="n"/>
      <c r="AV1424" s="1392" t="n"/>
      <c r="AW1424" s="1392" t="n"/>
      <c r="AX1424" s="1392" t="n"/>
      <c r="AY1424" s="1392" t="n"/>
      <c r="AZ1424" s="1392" t="n"/>
      <c r="BA1424" s="1422" t="n"/>
      <c r="BB1424" s="1422" t="n"/>
      <c r="BC1424" s="1392" t="n"/>
      <c r="BD1424" s="1392" t="n"/>
      <c r="BE1424" s="1392" t="n"/>
      <c r="BF1424" s="1392" t="n"/>
      <c r="BG1424" s="1392" t="n"/>
      <c r="BH1424" s="1392" t="n"/>
      <c r="BI1424" s="1392" t="n"/>
      <c r="BJ1424" s="1392" t="n"/>
      <c r="BK1424" s="1392" t="n"/>
      <c r="BL1424" s="1392" t="n"/>
      <c r="BM1424" s="1392" t="n"/>
      <c r="BN1424" s="1392" t="n"/>
      <c r="BO1424" s="1392" t="n"/>
      <c r="BP1424" s="1392" t="n"/>
      <c r="BQ1424" s="1392" t="n"/>
      <c r="BR1424" s="1392" t="n"/>
      <c r="BS1424" s="1392" t="n"/>
      <c r="BT1424" s="1392" t="n"/>
      <c r="BU1424" s="1392" t="n"/>
      <c r="BV1424" s="1392" t="n"/>
      <c r="BW1424" s="1392" t="n"/>
      <c r="BX1424" s="1392" t="n"/>
      <c r="BY1424" s="1392" t="n"/>
      <c r="BZ1424" s="1392" t="n"/>
      <c r="CA1424" s="1392" t="n"/>
      <c r="CB1424" s="1392" t="n"/>
      <c r="CC1424" s="1392" t="n"/>
      <c r="CD1424" s="1392" t="n"/>
      <c r="CE1424" s="1392" t="n"/>
      <c r="CF1424" s="1392" t="n"/>
      <c r="CG1424" s="1392" t="n"/>
      <c r="CH1424" s="1392" t="n"/>
      <c r="CI1424" s="1392" t="n"/>
      <c r="CJ1424" s="1392" t="n"/>
      <c r="CK1424" s="1392" t="n"/>
      <c r="CL1424" s="1392" t="n"/>
    </row>
    <row r="1425">
      <c r="A1425" s="5" t="inlineStr">
        <is>
          <t>.</t>
        </is>
      </c>
      <c r="B1425" s="5" t="inlineStr">
        <is>
          <t>.</t>
        </is>
      </c>
      <c r="C1425" s="1378">
        <f>IF(raw[[#This Row],[city]]="","-",IF(raw[[#This Row],[city]]="TODAY","-",C1424+1))</f>
        <v/>
      </c>
      <c r="D1425" s="1393" t="inlineStr">
        <is>
          <t>Montreal</t>
        </is>
      </c>
      <c r="E1425" s="1394" t="n">
        <v>42826</v>
      </c>
      <c r="F1425" s="1394" t="n">
        <v>42856</v>
      </c>
      <c r="G1425" s="1393" t="inlineStr">
        <is>
          <t>-</t>
        </is>
      </c>
      <c r="H1425" s="1393" t="inlineStr">
        <is>
          <t>Nadeau</t>
        </is>
      </c>
      <c r="I1425" s="1393" t="inlineStr">
        <is>
          <t>-</t>
        </is>
      </c>
      <c r="J1425" s="1393" t="inlineStr">
        <is>
          <t>-</t>
        </is>
      </c>
      <c r="K1425" s="1395">
        <f>IF(raw[[#This Row],[city]]&lt;&gt;"",_xlfn.XLOOKUP($D1425,ccc[city],ccc[prov],"-"),"-")</f>
        <v/>
      </c>
      <c r="L1425" s="1395">
        <f>IF(raw[[#This Row],[city]]&lt;&gt;"",_xlfn.XLOOKUP($D1425,ccc[city],ccc[ctry],"-"),"-")</f>
        <v/>
      </c>
      <c r="M1425" s="1395">
        <f>IF(raw[[#This Row],[city]]&lt;&gt;"",_xlfn.XLOOKUP($D1425,ccc[city],ccc[cont],"-"),"-")</f>
        <v/>
      </c>
      <c r="N1425" s="1396">
        <f>IF(raw[[#This Row],[city]]="","-",IF(raw[[#This Row],[cont]]="B",raw[[#This Row],[cont]],"W"))</f>
        <v/>
      </c>
      <c r="O1425" s="1397">
        <f>IF(raw[[#This Row],[out]]=0,0,IF(raw[[#This Row],[out]]=raw[[#This Row],[in]],0.01,raw[[#This Row],[out]]-raw[[#This Row],[in]]))</f>
        <v/>
      </c>
      <c r="P1425" s="1397">
        <f>IF(raw[[#This Row],[in]]=0,0,MONTH(raw[[#This Row],[in]]))</f>
        <v/>
      </c>
      <c r="Q1425" s="1397">
        <f>IF(raw[[#This Row],[in]]=0,0,YEAR(raw[[#This Row],[in]]))</f>
        <v/>
      </c>
      <c r="R1425" s="1397">
        <f>INT(raw[[#This Row],[yr]]/10)*10</f>
        <v/>
      </c>
      <c r="S1425" s="1395">
        <f>IF(raw[[#This Row],[city]]="","-",IF(raw[[#This Row],[city]]&lt;&gt;_xlfn.XLOOKUP(raw[[#This Row],[home]],homes[home],homes[city],"-"),1,0))</f>
        <v/>
      </c>
      <c r="T1425" s="1398" t="inlineStr">
        <is>
          <t>.</t>
        </is>
      </c>
      <c r="U1425" s="1399">
        <f>IF(raw[[#This Row],[wb]]="w",raw[[#This Row],[stay]]+U1424,U1424)</f>
        <v/>
      </c>
      <c r="V1425" s="1400">
        <f>IF(raw[[#This Row],[out]]=0,V1424,(raw[[#This Row],[out]]-E$5))</f>
        <v/>
      </c>
      <c r="W1425" s="1401">
        <f>U1425/V1425</f>
        <v/>
      </c>
      <c r="X1425" s="1392" t="n"/>
      <c r="Y1425" s="1392" t="n"/>
      <c r="Z1425" s="1392" t="n"/>
      <c r="AA1425" s="1392" t="n"/>
      <c r="AB1425" s="1392" t="n"/>
      <c r="AC1425" s="1392" t="n"/>
      <c r="AD1425" s="1392" t="n"/>
      <c r="AE1425" s="1392" t="n"/>
      <c r="AF1425" s="1392" t="n"/>
      <c r="AG1425" s="1392" t="n"/>
      <c r="AH1425" s="1392" t="n"/>
      <c r="AI1425" s="1392" t="n"/>
      <c r="AJ1425" s="1392" t="n"/>
      <c r="AK1425" s="1392" t="n"/>
      <c r="AL1425" s="1392" t="n"/>
      <c r="AM1425" s="1392" t="n"/>
      <c r="AN1425" s="1392" t="n"/>
      <c r="AO1425" s="1392" t="n"/>
      <c r="AP1425" s="1392" t="n"/>
      <c r="AQ1425" s="1392" t="n"/>
      <c r="AR1425" s="1422" t="n"/>
      <c r="AS1425" s="1422" t="n"/>
      <c r="AT1425" s="1392" t="n"/>
      <c r="AU1425" s="1392" t="n"/>
      <c r="AV1425" s="1392" t="n"/>
      <c r="AW1425" s="1392" t="n"/>
      <c r="AX1425" s="1392" t="n"/>
      <c r="AY1425" s="1392" t="n"/>
      <c r="AZ1425" s="1392" t="n"/>
      <c r="BA1425" s="1422" t="n"/>
      <c r="BB1425" s="1422" t="n"/>
      <c r="BC1425" s="1392" t="n"/>
      <c r="BD1425" s="1392" t="n"/>
      <c r="BE1425" s="1392" t="n"/>
      <c r="BF1425" s="1392" t="n"/>
      <c r="BG1425" s="1392" t="n"/>
      <c r="BH1425" s="1392" t="n"/>
      <c r="BI1425" s="1392" t="n"/>
      <c r="BJ1425" s="1392" t="n"/>
      <c r="BK1425" s="1392" t="n"/>
      <c r="BL1425" s="1392" t="n"/>
      <c r="BM1425" s="1392" t="n"/>
      <c r="BN1425" s="1392" t="n"/>
      <c r="BO1425" s="1392" t="n"/>
      <c r="BP1425" s="1392" t="n"/>
      <c r="BQ1425" s="1392" t="n"/>
      <c r="BR1425" s="1392" t="n"/>
      <c r="BS1425" s="1392" t="n"/>
      <c r="BT1425" s="1392" t="n"/>
      <c r="BU1425" s="1392" t="n"/>
      <c r="BV1425" s="1392" t="n"/>
      <c r="BW1425" s="1392" t="n"/>
      <c r="BX1425" s="1392" t="n"/>
      <c r="BY1425" s="1392" t="n"/>
      <c r="BZ1425" s="1392" t="n"/>
      <c r="CA1425" s="1392" t="n"/>
      <c r="CB1425" s="1392" t="n"/>
      <c r="CC1425" s="1392" t="n"/>
      <c r="CD1425" s="1392" t="n"/>
      <c r="CE1425" s="1392" t="n"/>
      <c r="CF1425" s="1392" t="n"/>
      <c r="CG1425" s="1392" t="n"/>
      <c r="CH1425" s="1392" t="n"/>
      <c r="CI1425" s="1392" t="n"/>
      <c r="CJ1425" s="1392" t="n"/>
      <c r="CK1425" s="1392" t="n"/>
      <c r="CL1425" s="1392" t="n"/>
    </row>
    <row r="1426">
      <c r="A1426" s="5" t="inlineStr">
        <is>
          <t>.</t>
        </is>
      </c>
      <c r="B1426" s="5" t="inlineStr">
        <is>
          <t>.</t>
        </is>
      </c>
      <c r="C1426" s="1378">
        <f>IF(raw[[#This Row],[city]]="","-",IF(raw[[#This Row],[city]]="TODAY","-",C1425+1))</f>
        <v/>
      </c>
      <c r="D1426" s="1393" t="inlineStr">
        <is>
          <t>Montreal</t>
        </is>
      </c>
      <c r="E1426" s="1394" t="n">
        <v>42856</v>
      </c>
      <c r="F1426" s="1394" t="n">
        <v>42887</v>
      </c>
      <c r="G1426" s="1393" t="inlineStr">
        <is>
          <t>-</t>
        </is>
      </c>
      <c r="H1426" s="1393" t="inlineStr">
        <is>
          <t>Nadeau</t>
        </is>
      </c>
      <c r="I1426" s="1393" t="inlineStr">
        <is>
          <t>-</t>
        </is>
      </c>
      <c r="J1426" s="1393" t="inlineStr">
        <is>
          <t>-</t>
        </is>
      </c>
      <c r="K1426" s="1395">
        <f>IF(raw[[#This Row],[city]]&lt;&gt;"",_xlfn.XLOOKUP($D1426,ccc[city],ccc[prov],"-"),"-")</f>
        <v/>
      </c>
      <c r="L1426" s="1395">
        <f>IF(raw[[#This Row],[city]]&lt;&gt;"",_xlfn.XLOOKUP($D1426,ccc[city],ccc[ctry],"-"),"-")</f>
        <v/>
      </c>
      <c r="M1426" s="1395">
        <f>IF(raw[[#This Row],[city]]&lt;&gt;"",_xlfn.XLOOKUP($D1426,ccc[city],ccc[cont],"-"),"-")</f>
        <v/>
      </c>
      <c r="N1426" s="1396">
        <f>IF(raw[[#This Row],[city]]="","-",IF(raw[[#This Row],[cont]]="B",raw[[#This Row],[cont]],"W"))</f>
        <v/>
      </c>
      <c r="O1426" s="1397">
        <f>IF(raw[[#This Row],[out]]=0,0,IF(raw[[#This Row],[out]]=raw[[#This Row],[in]],0.01,raw[[#This Row],[out]]-raw[[#This Row],[in]]))</f>
        <v/>
      </c>
      <c r="P1426" s="1397">
        <f>IF(raw[[#This Row],[in]]=0,0,MONTH(raw[[#This Row],[in]]))</f>
        <v/>
      </c>
      <c r="Q1426" s="1397">
        <f>IF(raw[[#This Row],[in]]=0,0,YEAR(raw[[#This Row],[in]]))</f>
        <v/>
      </c>
      <c r="R1426" s="1397">
        <f>INT(raw[[#This Row],[yr]]/10)*10</f>
        <v/>
      </c>
      <c r="S1426" s="1395">
        <f>IF(raw[[#This Row],[city]]="","-",IF(raw[[#This Row],[city]]&lt;&gt;_xlfn.XLOOKUP(raw[[#This Row],[home]],homes[home],homes[city],"-"),1,0))</f>
        <v/>
      </c>
      <c r="T1426" s="1398" t="inlineStr">
        <is>
          <t>.</t>
        </is>
      </c>
      <c r="U1426" s="1399">
        <f>IF(raw[[#This Row],[wb]]="w",raw[[#This Row],[stay]]+U1425,U1425)</f>
        <v/>
      </c>
      <c r="V1426" s="1400">
        <f>IF(raw[[#This Row],[out]]=0,V1425,(raw[[#This Row],[out]]-E$5))</f>
        <v/>
      </c>
      <c r="W1426" s="1401">
        <f>U1426/V1426</f>
        <v/>
      </c>
      <c r="X1426" s="1392" t="n"/>
      <c r="Y1426" s="1392" t="n"/>
      <c r="Z1426" s="1392" t="n"/>
      <c r="AA1426" s="1392" t="n"/>
      <c r="AB1426" s="1392" t="n"/>
      <c r="AC1426" s="1392" t="n"/>
      <c r="AD1426" s="1392" t="n"/>
      <c r="AE1426" s="1392" t="n"/>
      <c r="AF1426" s="1392" t="n"/>
      <c r="AG1426" s="1392" t="n"/>
      <c r="AH1426" s="1392" t="n"/>
      <c r="AI1426" s="1392" t="n"/>
      <c r="AJ1426" s="1392" t="n"/>
      <c r="AK1426" s="1392" t="n"/>
      <c r="AL1426" s="1392" t="n"/>
      <c r="AM1426" s="1392" t="n"/>
      <c r="AN1426" s="1392" t="n"/>
      <c r="AO1426" s="1392" t="n"/>
      <c r="AP1426" s="1392" t="n"/>
      <c r="AQ1426" s="1392" t="n"/>
      <c r="AR1426" s="1422" t="n"/>
      <c r="AS1426" s="1422" t="n"/>
      <c r="AT1426" s="1392" t="n"/>
      <c r="AU1426" s="1392" t="n"/>
      <c r="AV1426" s="1392" t="n"/>
      <c r="AW1426" s="1392" t="n"/>
      <c r="AX1426" s="1392" t="n"/>
      <c r="AY1426" s="1392" t="n"/>
      <c r="AZ1426" s="1392" t="n"/>
      <c r="BA1426" s="1422" t="n"/>
      <c r="BB1426" s="1422" t="n"/>
      <c r="BC1426" s="1392" t="n"/>
      <c r="BD1426" s="1392" t="n"/>
      <c r="BE1426" s="1392" t="n"/>
      <c r="BF1426" s="1392" t="n"/>
      <c r="BG1426" s="1392" t="n"/>
      <c r="BH1426" s="1392" t="n"/>
      <c r="BI1426" s="1392" t="n"/>
      <c r="BJ1426" s="1392" t="n"/>
      <c r="BK1426" s="1392" t="n"/>
      <c r="BL1426" s="1392" t="n"/>
      <c r="BM1426" s="1392" t="n"/>
      <c r="BN1426" s="1392" t="n"/>
      <c r="BO1426" s="1392" t="n"/>
      <c r="BP1426" s="1392" t="n"/>
      <c r="BQ1426" s="1392" t="n"/>
      <c r="BR1426" s="1392" t="n"/>
      <c r="BS1426" s="1392" t="n"/>
      <c r="BT1426" s="1392" t="n"/>
      <c r="BU1426" s="1392" t="n"/>
      <c r="BV1426" s="1392" t="n"/>
      <c r="BW1426" s="1392" t="n"/>
      <c r="BX1426" s="1392" t="n"/>
      <c r="BY1426" s="1392" t="n"/>
      <c r="BZ1426" s="1392" t="n"/>
      <c r="CA1426" s="1392" t="n"/>
      <c r="CB1426" s="1392" t="n"/>
      <c r="CC1426" s="1392" t="n"/>
      <c r="CD1426" s="1392" t="n"/>
      <c r="CE1426" s="1392" t="n"/>
      <c r="CF1426" s="1392" t="n"/>
      <c r="CG1426" s="1392" t="n"/>
      <c r="CH1426" s="1392" t="n"/>
      <c r="CI1426" s="1392" t="n"/>
      <c r="CJ1426" s="1392" t="n"/>
      <c r="CK1426" s="1392" t="n"/>
      <c r="CL1426" s="1392" t="n"/>
    </row>
    <row r="1427">
      <c r="A1427" s="5" t="inlineStr">
        <is>
          <t>.</t>
        </is>
      </c>
      <c r="B1427" s="5" t="inlineStr">
        <is>
          <t>.</t>
        </is>
      </c>
      <c r="C1427" s="1378">
        <f>IF(raw[[#This Row],[city]]="","-",IF(raw[[#This Row],[city]]="TODAY","-",C1426+1))</f>
        <v/>
      </c>
      <c r="D1427" s="1393" t="inlineStr">
        <is>
          <t>Montreal</t>
        </is>
      </c>
      <c r="E1427" s="1394" t="n">
        <v>42887</v>
      </c>
      <c r="F1427" s="1394" t="n">
        <v>42917</v>
      </c>
      <c r="G1427" s="1393" t="inlineStr">
        <is>
          <t>-</t>
        </is>
      </c>
      <c r="H1427" s="1393" t="inlineStr">
        <is>
          <t>Nadeau</t>
        </is>
      </c>
      <c r="I1427" s="1393" t="inlineStr">
        <is>
          <t>-</t>
        </is>
      </c>
      <c r="J1427" s="1393" t="inlineStr">
        <is>
          <t>-</t>
        </is>
      </c>
      <c r="K1427" s="1395">
        <f>IF(raw[[#This Row],[city]]&lt;&gt;"",_xlfn.XLOOKUP($D1427,ccc[city],ccc[prov],"-"),"-")</f>
        <v/>
      </c>
      <c r="L1427" s="1395">
        <f>IF(raw[[#This Row],[city]]&lt;&gt;"",_xlfn.XLOOKUP($D1427,ccc[city],ccc[ctry],"-"),"-")</f>
        <v/>
      </c>
      <c r="M1427" s="1395">
        <f>IF(raw[[#This Row],[city]]&lt;&gt;"",_xlfn.XLOOKUP($D1427,ccc[city],ccc[cont],"-"),"-")</f>
        <v/>
      </c>
      <c r="N1427" s="1396">
        <f>IF(raw[[#This Row],[city]]="","-",IF(raw[[#This Row],[cont]]="B",raw[[#This Row],[cont]],"W"))</f>
        <v/>
      </c>
      <c r="O1427" s="1397">
        <f>IF(raw[[#This Row],[out]]=0,0,IF(raw[[#This Row],[out]]=raw[[#This Row],[in]],0.01,raw[[#This Row],[out]]-raw[[#This Row],[in]]))</f>
        <v/>
      </c>
      <c r="P1427" s="1397">
        <f>IF(raw[[#This Row],[in]]=0,0,MONTH(raw[[#This Row],[in]]))</f>
        <v/>
      </c>
      <c r="Q1427" s="1397">
        <f>IF(raw[[#This Row],[in]]=0,0,YEAR(raw[[#This Row],[in]]))</f>
        <v/>
      </c>
      <c r="R1427" s="1397">
        <f>INT(raw[[#This Row],[yr]]/10)*10</f>
        <v/>
      </c>
      <c r="S1427" s="1395">
        <f>IF(raw[[#This Row],[city]]="","-",IF(raw[[#This Row],[city]]&lt;&gt;_xlfn.XLOOKUP(raw[[#This Row],[home]],homes[home],homes[city],"-"),1,0))</f>
        <v/>
      </c>
      <c r="T1427" s="1398" t="inlineStr">
        <is>
          <t>.</t>
        </is>
      </c>
      <c r="U1427" s="1399">
        <f>IF(raw[[#This Row],[wb]]="w",raw[[#This Row],[stay]]+U1426,U1426)</f>
        <v/>
      </c>
      <c r="V1427" s="1400">
        <f>IF(raw[[#This Row],[out]]=0,V1426,(raw[[#This Row],[out]]-E$5))</f>
        <v/>
      </c>
      <c r="W1427" s="1401">
        <f>U1427/V1427</f>
        <v/>
      </c>
      <c r="X1427" s="1392" t="n"/>
      <c r="Y1427" s="1392" t="n"/>
      <c r="Z1427" s="1392" t="n"/>
      <c r="AA1427" s="1392" t="n"/>
      <c r="AB1427" s="1392" t="n"/>
      <c r="AC1427" s="1392" t="n"/>
      <c r="AD1427" s="1392" t="n"/>
      <c r="AE1427" s="1392" t="n"/>
      <c r="AF1427" s="1392" t="n"/>
      <c r="AG1427" s="1392" t="n"/>
      <c r="AH1427" s="1392" t="n"/>
      <c r="AI1427" s="1392" t="n"/>
      <c r="AJ1427" s="1392" t="n"/>
      <c r="AK1427" s="1392" t="n"/>
      <c r="AL1427" s="1392" t="n"/>
      <c r="AM1427" s="1392" t="n"/>
      <c r="AN1427" s="1392" t="n"/>
      <c r="AO1427" s="1392" t="n"/>
      <c r="AP1427" s="1392" t="n"/>
      <c r="AQ1427" s="1392" t="n"/>
      <c r="AR1427" s="1422" t="n"/>
      <c r="AS1427" s="1422" t="n"/>
      <c r="AT1427" s="1392" t="n"/>
      <c r="AU1427" s="1392" t="n"/>
      <c r="AV1427" s="1392" t="n"/>
      <c r="AW1427" s="1392" t="n"/>
      <c r="AX1427" s="1392" t="n"/>
      <c r="AY1427" s="1392" t="n"/>
      <c r="AZ1427" s="1392" t="n"/>
      <c r="BA1427" s="1422" t="n"/>
      <c r="BB1427" s="1422" t="n"/>
      <c r="BC1427" s="1392" t="n"/>
      <c r="BD1427" s="1392" t="n"/>
      <c r="BE1427" s="1392" t="n"/>
      <c r="BF1427" s="1392" t="n"/>
      <c r="BG1427" s="1392" t="n"/>
      <c r="BH1427" s="1392" t="n"/>
      <c r="BI1427" s="1392" t="n"/>
      <c r="BJ1427" s="1392" t="n"/>
      <c r="BK1427" s="1392" t="n"/>
      <c r="BL1427" s="1392" t="n"/>
      <c r="BM1427" s="1392" t="n"/>
      <c r="BN1427" s="1392" t="n"/>
      <c r="BO1427" s="1392" t="n"/>
      <c r="BP1427" s="1392" t="n"/>
      <c r="BQ1427" s="1392" t="n"/>
      <c r="BR1427" s="1392" t="n"/>
      <c r="BS1427" s="1392" t="n"/>
      <c r="BT1427" s="1392" t="n"/>
      <c r="BU1427" s="1392" t="n"/>
      <c r="BV1427" s="1392" t="n"/>
      <c r="BW1427" s="1392" t="n"/>
      <c r="BX1427" s="1392" t="n"/>
      <c r="BY1427" s="1392" t="n"/>
      <c r="BZ1427" s="1392" t="n"/>
      <c r="CA1427" s="1392" t="n"/>
      <c r="CB1427" s="1392" t="n"/>
      <c r="CC1427" s="1392" t="n"/>
      <c r="CD1427" s="1392" t="n"/>
      <c r="CE1427" s="1392" t="n"/>
      <c r="CF1427" s="1392" t="n"/>
      <c r="CG1427" s="1392" t="n"/>
      <c r="CH1427" s="1392" t="n"/>
      <c r="CI1427" s="1392" t="n"/>
      <c r="CJ1427" s="1392" t="n"/>
      <c r="CK1427" s="1392" t="n"/>
      <c r="CL1427" s="1392" t="n"/>
    </row>
    <row r="1428">
      <c r="A1428" s="5" t="inlineStr">
        <is>
          <t>.</t>
        </is>
      </c>
      <c r="B1428" s="5" t="inlineStr">
        <is>
          <t>.</t>
        </is>
      </c>
      <c r="C1428" s="1378">
        <f>IF(raw[[#This Row],[city]]="","-",IF(raw[[#This Row],[city]]="TODAY","-",C1427+1))</f>
        <v/>
      </c>
      <c r="D1428" s="1393" t="inlineStr">
        <is>
          <t>Montreal</t>
        </is>
      </c>
      <c r="E1428" s="1394" t="n">
        <v>42917</v>
      </c>
      <c r="F1428" s="1394" t="n">
        <v>42948</v>
      </c>
      <c r="G1428" s="1393" t="inlineStr">
        <is>
          <t>-</t>
        </is>
      </c>
      <c r="H1428" s="1393" t="inlineStr">
        <is>
          <t>Nadeau</t>
        </is>
      </c>
      <c r="I1428" s="1393" t="inlineStr">
        <is>
          <t>-</t>
        </is>
      </c>
      <c r="J1428" s="1393" t="inlineStr">
        <is>
          <t>-</t>
        </is>
      </c>
      <c r="K1428" s="1395">
        <f>IF(raw[[#This Row],[city]]&lt;&gt;"",_xlfn.XLOOKUP($D1428,ccc[city],ccc[prov],"-"),"-")</f>
        <v/>
      </c>
      <c r="L1428" s="1395">
        <f>IF(raw[[#This Row],[city]]&lt;&gt;"",_xlfn.XLOOKUP($D1428,ccc[city],ccc[ctry],"-"),"-")</f>
        <v/>
      </c>
      <c r="M1428" s="1395">
        <f>IF(raw[[#This Row],[city]]&lt;&gt;"",_xlfn.XLOOKUP($D1428,ccc[city],ccc[cont],"-"),"-")</f>
        <v/>
      </c>
      <c r="N1428" s="1396">
        <f>IF(raw[[#This Row],[city]]="","-",IF(raw[[#This Row],[cont]]="B",raw[[#This Row],[cont]],"W"))</f>
        <v/>
      </c>
      <c r="O1428" s="1397">
        <f>IF(raw[[#This Row],[out]]=0,0,IF(raw[[#This Row],[out]]=raw[[#This Row],[in]],0.01,raw[[#This Row],[out]]-raw[[#This Row],[in]]))</f>
        <v/>
      </c>
      <c r="P1428" s="1397">
        <f>IF(raw[[#This Row],[in]]=0,0,MONTH(raw[[#This Row],[in]]))</f>
        <v/>
      </c>
      <c r="Q1428" s="1397">
        <f>IF(raw[[#This Row],[in]]=0,0,YEAR(raw[[#This Row],[in]]))</f>
        <v/>
      </c>
      <c r="R1428" s="1397">
        <f>INT(raw[[#This Row],[yr]]/10)*10</f>
        <v/>
      </c>
      <c r="S1428" s="1395">
        <f>IF(raw[[#This Row],[city]]="","-",IF(raw[[#This Row],[city]]&lt;&gt;_xlfn.XLOOKUP(raw[[#This Row],[home]],homes[home],homes[city],"-"),1,0))</f>
        <v/>
      </c>
      <c r="T1428" s="1398" t="inlineStr">
        <is>
          <t>.</t>
        </is>
      </c>
      <c r="U1428" s="1399">
        <f>IF(raw[[#This Row],[wb]]="w",raw[[#This Row],[stay]]+U1427,U1427)</f>
        <v/>
      </c>
      <c r="V1428" s="1400">
        <f>IF(raw[[#This Row],[out]]=0,V1427,(raw[[#This Row],[out]]-E$5))</f>
        <v/>
      </c>
      <c r="W1428" s="1401">
        <f>U1428/V1428</f>
        <v/>
      </c>
      <c r="X1428" s="1392" t="n"/>
      <c r="Y1428" s="1392" t="n"/>
      <c r="Z1428" s="1392" t="n"/>
      <c r="AA1428" s="1392" t="n"/>
      <c r="AB1428" s="1392" t="n"/>
      <c r="AC1428" s="1392" t="n"/>
      <c r="AD1428" s="1392" t="n"/>
      <c r="AE1428" s="1392" t="n"/>
      <c r="AF1428" s="1392" t="n"/>
      <c r="AG1428" s="1392" t="n"/>
      <c r="AH1428" s="1392" t="n"/>
      <c r="AI1428" s="1392" t="n"/>
      <c r="AJ1428" s="1392" t="n"/>
      <c r="AK1428" s="1392" t="n"/>
      <c r="AL1428" s="1392" t="n"/>
      <c r="AM1428" s="1392" t="n"/>
      <c r="AN1428" s="1392" t="n"/>
      <c r="AO1428" s="1392" t="n"/>
      <c r="AP1428" s="1392" t="n"/>
      <c r="AQ1428" s="1392" t="n"/>
      <c r="AR1428" s="1422" t="n"/>
      <c r="AS1428" s="1422" t="n"/>
      <c r="AT1428" s="1392" t="n"/>
      <c r="AU1428" s="1392" t="n"/>
      <c r="AV1428" s="1392" t="n"/>
      <c r="AW1428" s="1392" t="n"/>
      <c r="AX1428" s="1392" t="n"/>
      <c r="AY1428" s="1392" t="n"/>
      <c r="AZ1428" s="1392" t="n"/>
      <c r="BA1428" s="1422" t="n"/>
      <c r="BB1428" s="1422" t="n"/>
      <c r="BC1428" s="1392" t="n"/>
      <c r="BD1428" s="1392" t="n"/>
      <c r="BE1428" s="1392" t="n"/>
      <c r="BF1428" s="1392" t="n"/>
      <c r="BG1428" s="1392" t="n"/>
      <c r="BH1428" s="1392" t="n"/>
      <c r="BI1428" s="1392" t="n"/>
      <c r="BJ1428" s="1392" t="n"/>
      <c r="BK1428" s="1392" t="n"/>
      <c r="BL1428" s="1392" t="n"/>
      <c r="BM1428" s="1392" t="n"/>
      <c r="BN1428" s="1392" t="n"/>
      <c r="BO1428" s="1392" t="n"/>
      <c r="BP1428" s="1392" t="n"/>
      <c r="BQ1428" s="1392" t="n"/>
      <c r="BR1428" s="1392" t="n"/>
      <c r="BS1428" s="1392" t="n"/>
      <c r="BT1428" s="1392" t="n"/>
      <c r="BU1428" s="1392" t="n"/>
      <c r="BV1428" s="1392" t="n"/>
      <c r="BW1428" s="1392" t="n"/>
      <c r="BX1428" s="1392" t="n"/>
      <c r="BY1428" s="1392" t="n"/>
      <c r="BZ1428" s="1392" t="n"/>
      <c r="CA1428" s="1392" t="n"/>
      <c r="CB1428" s="1392" t="n"/>
      <c r="CC1428" s="1392" t="n"/>
      <c r="CD1428" s="1392" t="n"/>
      <c r="CE1428" s="1392" t="n"/>
      <c r="CF1428" s="1392" t="n"/>
      <c r="CG1428" s="1392" t="n"/>
      <c r="CH1428" s="1392" t="n"/>
      <c r="CI1428" s="1392" t="n"/>
      <c r="CJ1428" s="1392" t="n"/>
      <c r="CK1428" s="1392" t="n"/>
      <c r="CL1428" s="1392" t="n"/>
    </row>
    <row r="1429">
      <c r="A1429" s="5" t="inlineStr">
        <is>
          <t>.</t>
        </is>
      </c>
      <c r="B1429" s="5" t="inlineStr">
        <is>
          <t>.</t>
        </is>
      </c>
      <c r="C1429" s="1378">
        <f>IF(raw[[#This Row],[city]]="","-",IF(raw[[#This Row],[city]]="TODAY","-",C1428+1))</f>
        <v/>
      </c>
      <c r="D1429" s="1393" t="inlineStr">
        <is>
          <t>Montreal</t>
        </is>
      </c>
      <c r="E1429" s="1394" t="n">
        <v>42948</v>
      </c>
      <c r="F1429" s="1394" t="n">
        <v>42979</v>
      </c>
      <c r="G1429" s="1393" t="inlineStr">
        <is>
          <t>-</t>
        </is>
      </c>
      <c r="H1429" s="1393" t="inlineStr">
        <is>
          <t>Nadeau</t>
        </is>
      </c>
      <c r="I1429" s="1393" t="inlineStr">
        <is>
          <t>-</t>
        </is>
      </c>
      <c r="J1429" s="1393" t="inlineStr">
        <is>
          <t>BDAY</t>
        </is>
      </c>
      <c r="K1429" s="1395">
        <f>IF(raw[[#This Row],[city]]&lt;&gt;"",_xlfn.XLOOKUP($D1429,ccc[city],ccc[prov],"-"),"-")</f>
        <v/>
      </c>
      <c r="L1429" s="1395">
        <f>IF(raw[[#This Row],[city]]&lt;&gt;"",_xlfn.XLOOKUP($D1429,ccc[city],ccc[ctry],"-"),"-")</f>
        <v/>
      </c>
      <c r="M1429" s="1395">
        <f>IF(raw[[#This Row],[city]]&lt;&gt;"",_xlfn.XLOOKUP($D1429,ccc[city],ccc[cont],"-"),"-")</f>
        <v/>
      </c>
      <c r="N1429" s="1396">
        <f>IF(raw[[#This Row],[city]]="","-",IF(raw[[#This Row],[cont]]="B",raw[[#This Row],[cont]],"W"))</f>
        <v/>
      </c>
      <c r="O1429" s="1397">
        <f>IF(raw[[#This Row],[out]]=0,0,IF(raw[[#This Row],[out]]=raw[[#This Row],[in]],0.01,raw[[#This Row],[out]]-raw[[#This Row],[in]]))</f>
        <v/>
      </c>
      <c r="P1429" s="1397">
        <f>IF(raw[[#This Row],[in]]=0,0,MONTH(raw[[#This Row],[in]]))</f>
        <v/>
      </c>
      <c r="Q1429" s="1397">
        <f>IF(raw[[#This Row],[in]]=0,0,YEAR(raw[[#This Row],[in]]))</f>
        <v/>
      </c>
      <c r="R1429" s="1397">
        <f>INT(raw[[#This Row],[yr]]/10)*10</f>
        <v/>
      </c>
      <c r="S1429" s="1395">
        <f>IF(raw[[#This Row],[city]]="","-",IF(raw[[#This Row],[city]]&lt;&gt;_xlfn.XLOOKUP(raw[[#This Row],[home]],homes[home],homes[city],"-"),1,0))</f>
        <v/>
      </c>
      <c r="T1429" s="1398" t="inlineStr">
        <is>
          <t>.</t>
        </is>
      </c>
      <c r="U1429" s="1399">
        <f>IF(raw[[#This Row],[wb]]="w",raw[[#This Row],[stay]]+U1428,U1428)</f>
        <v/>
      </c>
      <c r="V1429" s="1400">
        <f>IF(raw[[#This Row],[out]]=0,V1428,(raw[[#This Row],[out]]-E$5))</f>
        <v/>
      </c>
      <c r="W1429" s="1401">
        <f>U1429/V1429</f>
        <v/>
      </c>
      <c r="X1429" s="1392" t="n"/>
      <c r="Y1429" s="1392" t="n"/>
      <c r="Z1429" s="1392" t="n"/>
      <c r="AA1429" s="1392" t="n"/>
      <c r="AB1429" s="1392" t="n"/>
      <c r="AC1429" s="1392" t="n"/>
      <c r="AD1429" s="1392" t="n"/>
      <c r="AE1429" s="1392" t="n"/>
      <c r="AF1429" s="1392" t="n"/>
      <c r="AG1429" s="1392" t="n"/>
      <c r="AH1429" s="1392" t="n"/>
      <c r="AI1429" s="1392" t="n"/>
      <c r="AJ1429" s="1392" t="n"/>
      <c r="AK1429" s="1392" t="n"/>
      <c r="AL1429" s="1392" t="n"/>
      <c r="AM1429" s="1392" t="n"/>
      <c r="AN1429" s="1392" t="n"/>
      <c r="AO1429" s="1392" t="n"/>
      <c r="AP1429" s="1392" t="n"/>
      <c r="AQ1429" s="1392" t="n"/>
      <c r="AR1429" s="1422" t="n"/>
      <c r="AS1429" s="1422" t="n"/>
      <c r="AT1429" s="1392" t="n"/>
      <c r="AU1429" s="1392" t="n"/>
      <c r="AV1429" s="1392" t="n"/>
      <c r="AW1429" s="1392" t="n"/>
      <c r="AX1429" s="1392" t="n"/>
      <c r="AY1429" s="1392" t="n"/>
      <c r="AZ1429" s="1392" t="n"/>
      <c r="BA1429" s="1422" t="n"/>
      <c r="BB1429" s="1422" t="n"/>
      <c r="BC1429" s="1392" t="n"/>
      <c r="BD1429" s="1392" t="n"/>
      <c r="BE1429" s="1392" t="n"/>
      <c r="BF1429" s="1392" t="n"/>
      <c r="BG1429" s="1392" t="n"/>
      <c r="BH1429" s="1392" t="n"/>
      <c r="BI1429" s="1392" t="n"/>
      <c r="BJ1429" s="1392" t="n"/>
      <c r="BK1429" s="1392" t="n"/>
      <c r="BL1429" s="1392" t="n"/>
      <c r="BM1429" s="1392" t="n"/>
      <c r="BN1429" s="1392" t="n"/>
      <c r="BO1429" s="1392" t="n"/>
      <c r="BP1429" s="1392" t="n"/>
      <c r="BQ1429" s="1392" t="n"/>
      <c r="BR1429" s="1392" t="n"/>
      <c r="BS1429" s="1392" t="n"/>
      <c r="BT1429" s="1392" t="n"/>
      <c r="BU1429" s="1392" t="n"/>
      <c r="BV1429" s="1392" t="n"/>
      <c r="BW1429" s="1392" t="n"/>
      <c r="BX1429" s="1392" t="n"/>
      <c r="BY1429" s="1392" t="n"/>
      <c r="BZ1429" s="1392" t="n"/>
      <c r="CA1429" s="1392" t="n"/>
      <c r="CB1429" s="1392" t="n"/>
      <c r="CC1429" s="1392" t="n"/>
      <c r="CD1429" s="1392" t="n"/>
      <c r="CE1429" s="1392" t="n"/>
      <c r="CF1429" s="1392" t="n"/>
      <c r="CG1429" s="1392" t="n"/>
      <c r="CH1429" s="1392" t="n"/>
      <c r="CI1429" s="1392" t="n"/>
      <c r="CJ1429" s="1392" t="n"/>
      <c r="CK1429" s="1392" t="n"/>
      <c r="CL1429" s="1392" t="n"/>
    </row>
    <row r="1430">
      <c r="A1430" s="5" t="inlineStr">
        <is>
          <t>.</t>
        </is>
      </c>
      <c r="B1430" s="5" t="inlineStr">
        <is>
          <t>.</t>
        </is>
      </c>
      <c r="C1430" s="1378">
        <f>IF(raw[[#This Row],[city]]="","-",IF(raw[[#This Row],[city]]="TODAY","-",C1429+1))</f>
        <v/>
      </c>
      <c r="D1430" s="1393" t="inlineStr">
        <is>
          <t>Montreal</t>
        </is>
      </c>
      <c r="E1430" s="1394" t="n">
        <v>42979</v>
      </c>
      <c r="F1430" s="1394" t="n">
        <v>43009</v>
      </c>
      <c r="G1430" s="1393" t="inlineStr">
        <is>
          <t>-</t>
        </is>
      </c>
      <c r="H1430" s="1393" t="inlineStr">
        <is>
          <t>Nadeau</t>
        </is>
      </c>
      <c r="I1430" s="1393" t="inlineStr">
        <is>
          <t>-</t>
        </is>
      </c>
      <c r="J1430" s="1393" t="inlineStr">
        <is>
          <t>-</t>
        </is>
      </c>
      <c r="K1430" s="1395">
        <f>IF(raw[[#This Row],[city]]&lt;&gt;"",_xlfn.XLOOKUP($D1430,ccc[city],ccc[prov],"-"),"-")</f>
        <v/>
      </c>
      <c r="L1430" s="1395">
        <f>IF(raw[[#This Row],[city]]&lt;&gt;"",_xlfn.XLOOKUP($D1430,ccc[city],ccc[ctry],"-"),"-")</f>
        <v/>
      </c>
      <c r="M1430" s="1395">
        <f>IF(raw[[#This Row],[city]]&lt;&gt;"",_xlfn.XLOOKUP($D1430,ccc[city],ccc[cont],"-"),"-")</f>
        <v/>
      </c>
      <c r="N1430" s="1396">
        <f>IF(raw[[#This Row],[city]]="","-",IF(raw[[#This Row],[cont]]="B",raw[[#This Row],[cont]],"W"))</f>
        <v/>
      </c>
      <c r="O1430" s="1397">
        <f>IF(raw[[#This Row],[out]]=0,0,IF(raw[[#This Row],[out]]=raw[[#This Row],[in]],0.01,raw[[#This Row],[out]]-raw[[#This Row],[in]]))</f>
        <v/>
      </c>
      <c r="P1430" s="1397">
        <f>IF(raw[[#This Row],[in]]=0,0,MONTH(raw[[#This Row],[in]]))</f>
        <v/>
      </c>
      <c r="Q1430" s="1397">
        <f>IF(raw[[#This Row],[in]]=0,0,YEAR(raw[[#This Row],[in]]))</f>
        <v/>
      </c>
      <c r="R1430" s="1397">
        <f>INT(raw[[#This Row],[yr]]/10)*10</f>
        <v/>
      </c>
      <c r="S1430" s="1395">
        <f>IF(raw[[#This Row],[city]]="","-",IF(raw[[#This Row],[city]]&lt;&gt;_xlfn.XLOOKUP(raw[[#This Row],[home]],homes[home],homes[city],"-"),1,0))</f>
        <v/>
      </c>
      <c r="T1430" s="1398" t="inlineStr">
        <is>
          <t>.</t>
        </is>
      </c>
      <c r="U1430" s="1399">
        <f>IF(raw[[#This Row],[wb]]="w",raw[[#This Row],[stay]]+U1429,U1429)</f>
        <v/>
      </c>
      <c r="V1430" s="1400">
        <f>IF(raw[[#This Row],[out]]=0,V1429,(raw[[#This Row],[out]]-E$5))</f>
        <v/>
      </c>
      <c r="W1430" s="1401">
        <f>U1430/V1430</f>
        <v/>
      </c>
      <c r="X1430" s="1392" t="n"/>
      <c r="Y1430" s="1392" t="n"/>
      <c r="Z1430" s="1392" t="n"/>
      <c r="AA1430" s="1392" t="n"/>
      <c r="AB1430" s="1392" t="n"/>
      <c r="AC1430" s="1392" t="n"/>
      <c r="AD1430" s="1392" t="n"/>
      <c r="AE1430" s="1392" t="n"/>
      <c r="AF1430" s="1392" t="n"/>
      <c r="AG1430" s="1392" t="n"/>
      <c r="AH1430" s="1392" t="n"/>
      <c r="AI1430" s="1392" t="n"/>
      <c r="AJ1430" s="1392" t="n"/>
      <c r="AK1430" s="1392" t="n"/>
      <c r="AL1430" s="1392" t="n"/>
      <c r="AM1430" s="1392" t="n"/>
      <c r="AN1430" s="1392" t="n"/>
      <c r="AO1430" s="1392" t="n"/>
      <c r="AP1430" s="1392" t="n"/>
      <c r="AQ1430" s="1392" t="n"/>
      <c r="AR1430" s="1422" t="n"/>
      <c r="AS1430" s="1422" t="n"/>
      <c r="AT1430" s="1392" t="n"/>
      <c r="AU1430" s="1392" t="n"/>
      <c r="AV1430" s="1392" t="n"/>
      <c r="AW1430" s="1392" t="n"/>
      <c r="AX1430" s="1392" t="n"/>
      <c r="AY1430" s="1392" t="n"/>
      <c r="AZ1430" s="1392" t="n"/>
      <c r="BA1430" s="1422" t="n"/>
      <c r="BB1430" s="1422" t="n"/>
      <c r="BC1430" s="1392" t="n"/>
      <c r="BD1430" s="1392" t="n"/>
      <c r="BE1430" s="1392" t="n"/>
      <c r="BF1430" s="1392" t="n"/>
      <c r="BG1430" s="1392" t="n"/>
      <c r="BH1430" s="1392" t="n"/>
      <c r="BI1430" s="1392" t="n"/>
      <c r="BJ1430" s="1392" t="n"/>
      <c r="BK1430" s="1392" t="n"/>
      <c r="BL1430" s="1392" t="n"/>
      <c r="BM1430" s="1392" t="n"/>
      <c r="BN1430" s="1392" t="n"/>
      <c r="BO1430" s="1392" t="n"/>
      <c r="BP1430" s="1392" t="n"/>
      <c r="BQ1430" s="1392" t="n"/>
      <c r="BR1430" s="1392" t="n"/>
      <c r="BS1430" s="1392" t="n"/>
      <c r="BT1430" s="1392" t="n"/>
      <c r="BU1430" s="1392" t="n"/>
      <c r="BV1430" s="1392" t="n"/>
      <c r="BW1430" s="1392" t="n"/>
      <c r="BX1430" s="1392" t="n"/>
      <c r="BY1430" s="1392" t="n"/>
      <c r="BZ1430" s="1392" t="n"/>
      <c r="CA1430" s="1392" t="n"/>
      <c r="CB1430" s="1392" t="n"/>
      <c r="CC1430" s="1392" t="n"/>
      <c r="CD1430" s="1392" t="n"/>
      <c r="CE1430" s="1392" t="n"/>
      <c r="CF1430" s="1392" t="n"/>
      <c r="CG1430" s="1392" t="n"/>
      <c r="CH1430" s="1392" t="n"/>
      <c r="CI1430" s="1392" t="n"/>
      <c r="CJ1430" s="1392" t="n"/>
      <c r="CK1430" s="1392" t="n"/>
      <c r="CL1430" s="1392" t="n"/>
    </row>
    <row r="1431">
      <c r="A1431" s="5" t="inlineStr">
        <is>
          <t>.</t>
        </is>
      </c>
      <c r="B1431" s="5" t="inlineStr">
        <is>
          <t>.</t>
        </is>
      </c>
      <c r="C1431" s="1378">
        <f>IF(raw[[#This Row],[city]]="","-",IF(raw[[#This Row],[city]]="TODAY","-",C1430+1))</f>
        <v/>
      </c>
      <c r="D1431" s="1393" t="inlineStr">
        <is>
          <t>Trois-Rivieres</t>
        </is>
      </c>
      <c r="E1431" s="1394" t="n">
        <v>43009</v>
      </c>
      <c r="F1431" s="1394" t="n">
        <v>43009</v>
      </c>
      <c r="G1431" s="1393" t="inlineStr">
        <is>
          <t>-</t>
        </is>
      </c>
      <c r="H1431" s="1393" t="inlineStr">
        <is>
          <t>Nadeau</t>
        </is>
      </c>
      <c r="I1431" s="1393" t="inlineStr">
        <is>
          <t>-</t>
        </is>
      </c>
      <c r="J1431" s="1393" t="inlineStr">
        <is>
          <t>13 times/</t>
        </is>
      </c>
      <c r="K1431" s="1395">
        <f>IF(raw[[#This Row],[city]]&lt;&gt;"",_xlfn.XLOOKUP($D1431,ccc[city],ccc[prov],"-"),"-")</f>
        <v/>
      </c>
      <c r="L1431" s="1395">
        <f>IF(raw[[#This Row],[city]]&lt;&gt;"",_xlfn.XLOOKUP($D1431,ccc[city],ccc[ctry],"-"),"-")</f>
        <v/>
      </c>
      <c r="M1431" s="1395">
        <f>IF(raw[[#This Row],[city]]&lt;&gt;"",_xlfn.XLOOKUP($D1431,ccc[city],ccc[cont],"-"),"-")</f>
        <v/>
      </c>
      <c r="N1431" s="1396">
        <f>IF(raw[[#This Row],[city]]="","-",IF(raw[[#This Row],[cont]]="B",raw[[#This Row],[cont]],"W"))</f>
        <v/>
      </c>
      <c r="O1431" s="1397">
        <f>IF(raw[[#This Row],[out]]=0,0,IF(raw[[#This Row],[out]]=raw[[#This Row],[in]],0.01,raw[[#This Row],[out]]-raw[[#This Row],[in]]))</f>
        <v/>
      </c>
      <c r="P1431" s="1397">
        <f>IF(raw[[#This Row],[in]]=0,0,MONTH(raw[[#This Row],[in]]))</f>
        <v/>
      </c>
      <c r="Q1431" s="1397">
        <f>IF(raw[[#This Row],[in]]=0,0,YEAR(raw[[#This Row],[in]]))</f>
        <v/>
      </c>
      <c r="R1431" s="1397">
        <f>INT(raw[[#This Row],[yr]]/10)*10</f>
        <v/>
      </c>
      <c r="S1431" s="1395">
        <f>IF(raw[[#This Row],[city]]="","-",IF(raw[[#This Row],[city]]&lt;&gt;_xlfn.XLOOKUP(raw[[#This Row],[home]],homes[home],homes[city],"-"),1,0))</f>
        <v/>
      </c>
      <c r="T1431" s="1398" t="inlineStr">
        <is>
          <t>.</t>
        </is>
      </c>
      <c r="U1431" s="1399">
        <f>IF(raw[[#This Row],[wb]]="w",raw[[#This Row],[stay]]+U1430,U1430)</f>
        <v/>
      </c>
      <c r="V1431" s="1400">
        <f>IF(raw[[#This Row],[out]]=0,V1430,(raw[[#This Row],[out]]-E$5))</f>
        <v/>
      </c>
      <c r="W1431" s="1401">
        <f>U1431/V1431</f>
        <v/>
      </c>
      <c r="X1431" s="1392" t="n"/>
      <c r="Y1431" s="1392" t="n"/>
      <c r="Z1431" s="1392" t="n"/>
      <c r="AA1431" s="1392" t="n"/>
      <c r="AB1431" s="1392" t="n"/>
      <c r="AC1431" s="1392" t="n"/>
      <c r="AD1431" s="1392" t="n"/>
      <c r="AE1431" s="1392" t="n"/>
      <c r="AF1431" s="1392" t="n"/>
      <c r="AG1431" s="1392" t="n"/>
      <c r="AH1431" s="1392" t="n"/>
      <c r="AI1431" s="1392" t="n"/>
      <c r="AJ1431" s="1392" t="n"/>
      <c r="AK1431" s="1392" t="n"/>
      <c r="AL1431" s="1392" t="n"/>
      <c r="AM1431" s="1392" t="n"/>
      <c r="AN1431" s="1392" t="n"/>
      <c r="AO1431" s="1392" t="n"/>
      <c r="AP1431" s="1392" t="n"/>
      <c r="AQ1431" s="1392" t="n"/>
      <c r="AR1431" s="1422" t="n"/>
      <c r="AS1431" s="1422" t="n"/>
      <c r="AT1431" s="1392" t="n"/>
      <c r="AU1431" s="1392" t="n"/>
      <c r="AV1431" s="1392" t="n"/>
      <c r="AW1431" s="1392" t="n"/>
      <c r="AX1431" s="1392" t="n"/>
      <c r="AY1431" s="1392" t="n"/>
      <c r="AZ1431" s="1392" t="n"/>
      <c r="BA1431" s="1422" t="n"/>
      <c r="BB1431" s="1422" t="n"/>
      <c r="BC1431" s="1392" t="n"/>
      <c r="BD1431" s="1392" t="n"/>
      <c r="BE1431" s="1392" t="n"/>
      <c r="BF1431" s="1392" t="n"/>
      <c r="BG1431" s="1392" t="n"/>
      <c r="BH1431" s="1392" t="n"/>
      <c r="BI1431" s="1392" t="n"/>
      <c r="BJ1431" s="1392" t="n"/>
      <c r="BK1431" s="1392" t="n"/>
      <c r="BL1431" s="1392" t="n"/>
      <c r="BM1431" s="1392" t="n"/>
      <c r="BN1431" s="1392" t="n"/>
      <c r="BO1431" s="1392" t="n"/>
      <c r="BP1431" s="1392" t="n"/>
      <c r="BQ1431" s="1392" t="n"/>
      <c r="BR1431" s="1392" t="n"/>
      <c r="BS1431" s="1392" t="n"/>
      <c r="BT1431" s="1392" t="n"/>
      <c r="BU1431" s="1392" t="n"/>
      <c r="BV1431" s="1392" t="n"/>
      <c r="BW1431" s="1392" t="n"/>
      <c r="BX1431" s="1392" t="n"/>
      <c r="BY1431" s="1392" t="n"/>
      <c r="BZ1431" s="1392" t="n"/>
      <c r="CA1431" s="1392" t="n"/>
      <c r="CB1431" s="1392" t="n"/>
      <c r="CC1431" s="1392" t="n"/>
      <c r="CD1431" s="1392" t="n"/>
      <c r="CE1431" s="1392" t="n"/>
      <c r="CF1431" s="1392" t="n"/>
      <c r="CG1431" s="1392" t="n"/>
      <c r="CH1431" s="1392" t="n"/>
      <c r="CI1431" s="1392" t="n"/>
      <c r="CJ1431" s="1392" t="n"/>
      <c r="CK1431" s="1392" t="n"/>
      <c r="CL1431" s="1392" t="n"/>
    </row>
    <row r="1432">
      <c r="A1432" s="5" t="inlineStr">
        <is>
          <t>.</t>
        </is>
      </c>
      <c r="B1432" s="5" t="inlineStr">
        <is>
          <t>.</t>
        </is>
      </c>
      <c r="C1432" s="1378">
        <f>IF(raw[[#This Row],[city]]="","-",IF(raw[[#This Row],[city]]="TODAY","-",C1431+1))</f>
        <v/>
      </c>
      <c r="D1432" s="1393" t="inlineStr">
        <is>
          <t>Montreal</t>
        </is>
      </c>
      <c r="E1432" s="1394" t="n">
        <v>43009</v>
      </c>
      <c r="F1432" s="1394" t="n">
        <v>43040</v>
      </c>
      <c r="G1432" s="1393" t="inlineStr">
        <is>
          <t>-</t>
        </is>
      </c>
      <c r="H1432" s="1393" t="inlineStr">
        <is>
          <t>Nadeau</t>
        </is>
      </c>
      <c r="I1432" s="1393" t="inlineStr">
        <is>
          <t>-</t>
        </is>
      </c>
      <c r="J1432" s="1393" t="inlineStr">
        <is>
          <t>-</t>
        </is>
      </c>
      <c r="K1432" s="1395">
        <f>IF(raw[[#This Row],[city]]&lt;&gt;"",_xlfn.XLOOKUP($D1432,ccc[city],ccc[prov],"-"),"-")</f>
        <v/>
      </c>
      <c r="L1432" s="1395">
        <f>IF(raw[[#This Row],[city]]&lt;&gt;"",_xlfn.XLOOKUP($D1432,ccc[city],ccc[ctry],"-"),"-")</f>
        <v/>
      </c>
      <c r="M1432" s="1395">
        <f>IF(raw[[#This Row],[city]]&lt;&gt;"",_xlfn.XLOOKUP($D1432,ccc[city],ccc[cont],"-"),"-")</f>
        <v/>
      </c>
      <c r="N1432" s="1396">
        <f>IF(raw[[#This Row],[city]]="","-",IF(raw[[#This Row],[cont]]="B",raw[[#This Row],[cont]],"W"))</f>
        <v/>
      </c>
      <c r="O1432" s="1397">
        <f>IF(raw[[#This Row],[out]]=0,0,IF(raw[[#This Row],[out]]=raw[[#This Row],[in]],0.01,raw[[#This Row],[out]]-raw[[#This Row],[in]]))</f>
        <v/>
      </c>
      <c r="P1432" s="1397">
        <f>IF(raw[[#This Row],[in]]=0,0,MONTH(raw[[#This Row],[in]]))</f>
        <v/>
      </c>
      <c r="Q1432" s="1397">
        <f>IF(raw[[#This Row],[in]]=0,0,YEAR(raw[[#This Row],[in]]))</f>
        <v/>
      </c>
      <c r="R1432" s="1397">
        <f>INT(raw[[#This Row],[yr]]/10)*10</f>
        <v/>
      </c>
      <c r="S1432" s="1395">
        <f>IF(raw[[#This Row],[city]]="","-",IF(raw[[#This Row],[city]]&lt;&gt;_xlfn.XLOOKUP(raw[[#This Row],[home]],homes[home],homes[city],"-"),1,0))</f>
        <v/>
      </c>
      <c r="T1432" s="1398" t="inlineStr">
        <is>
          <t>.</t>
        </is>
      </c>
      <c r="U1432" s="1399">
        <f>IF(raw[[#This Row],[wb]]="w",raw[[#This Row],[stay]]+U1431,U1431)</f>
        <v/>
      </c>
      <c r="V1432" s="1400">
        <f>IF(raw[[#This Row],[out]]=0,V1431,(raw[[#This Row],[out]]-E$5))</f>
        <v/>
      </c>
      <c r="W1432" s="1401">
        <f>U1432/V1432</f>
        <v/>
      </c>
      <c r="X1432" s="1392" t="n"/>
      <c r="Y1432" s="1392" t="n"/>
      <c r="Z1432" s="1392" t="n"/>
      <c r="AA1432" s="1392" t="n"/>
      <c r="AB1432" s="1392" t="n"/>
      <c r="AC1432" s="1392" t="n"/>
      <c r="AD1432" s="1392" t="n"/>
      <c r="AE1432" s="1392" t="n"/>
      <c r="AF1432" s="1392" t="n"/>
      <c r="AG1432" s="1392" t="n"/>
      <c r="AH1432" s="1392" t="n"/>
      <c r="AI1432" s="1392" t="n"/>
      <c r="AJ1432" s="1392" t="n"/>
      <c r="AK1432" s="1392" t="n"/>
      <c r="AL1432" s="1392" t="n"/>
      <c r="AM1432" s="1392" t="n"/>
      <c r="AN1432" s="1392" t="n"/>
      <c r="AO1432" s="1392" t="n"/>
      <c r="AP1432" s="1392" t="n"/>
      <c r="AQ1432" s="1392" t="n"/>
      <c r="AR1432" s="1422" t="n"/>
      <c r="AS1432" s="1422" t="n"/>
      <c r="AT1432" s="1392" t="n"/>
      <c r="AU1432" s="1392" t="n"/>
      <c r="AV1432" s="1392" t="n"/>
      <c r="AW1432" s="1392" t="n"/>
      <c r="AX1432" s="1392" t="n"/>
      <c r="AY1432" s="1392" t="n"/>
      <c r="AZ1432" s="1392" t="n"/>
      <c r="BA1432" s="1422" t="n"/>
      <c r="BB1432" s="1422" t="n"/>
      <c r="BC1432" s="1392" t="n"/>
      <c r="BD1432" s="1392" t="n"/>
      <c r="BE1432" s="1392" t="n"/>
      <c r="BF1432" s="1392" t="n"/>
      <c r="BG1432" s="1392" t="n"/>
      <c r="BH1432" s="1392" t="n"/>
      <c r="BI1432" s="1392" t="n"/>
      <c r="BJ1432" s="1392" t="n"/>
      <c r="BK1432" s="1392" t="n"/>
      <c r="BL1432" s="1392" t="n"/>
      <c r="BM1432" s="1392" t="n"/>
      <c r="BN1432" s="1392" t="n"/>
      <c r="BO1432" s="1392" t="n"/>
      <c r="BP1432" s="1392" t="n"/>
      <c r="BQ1432" s="1392" t="n"/>
      <c r="BR1432" s="1392" t="n"/>
      <c r="BS1432" s="1392" t="n"/>
      <c r="BT1432" s="1392" t="n"/>
      <c r="BU1432" s="1392" t="n"/>
      <c r="BV1432" s="1392" t="n"/>
      <c r="BW1432" s="1392" t="n"/>
      <c r="BX1432" s="1392" t="n"/>
      <c r="BY1432" s="1392" t="n"/>
      <c r="BZ1432" s="1392" t="n"/>
      <c r="CA1432" s="1392" t="n"/>
      <c r="CB1432" s="1392" t="n"/>
      <c r="CC1432" s="1392" t="n"/>
      <c r="CD1432" s="1392" t="n"/>
      <c r="CE1432" s="1392" t="n"/>
      <c r="CF1432" s="1392" t="n"/>
      <c r="CG1432" s="1392" t="n"/>
      <c r="CH1432" s="1392" t="n"/>
      <c r="CI1432" s="1392" t="n"/>
      <c r="CJ1432" s="1392" t="n"/>
      <c r="CK1432" s="1392" t="n"/>
      <c r="CL1432" s="1392" t="n"/>
    </row>
    <row r="1433">
      <c r="A1433" s="5" t="inlineStr">
        <is>
          <t>.</t>
        </is>
      </c>
      <c r="B1433" s="5" t="inlineStr">
        <is>
          <t>.</t>
        </is>
      </c>
      <c r="C1433" s="1378">
        <f>IF(raw[[#This Row],[city]]="","-",IF(raw[[#This Row],[city]]="TODAY","-",C1432+1))</f>
        <v/>
      </c>
      <c r="D1433" s="1393" t="inlineStr">
        <is>
          <t>Montreal</t>
        </is>
      </c>
      <c r="E1433" s="1394" t="n">
        <v>43040</v>
      </c>
      <c r="F1433" s="1394" t="n">
        <v>43051</v>
      </c>
      <c r="G1433" s="1393" t="n">
        <v>1</v>
      </c>
      <c r="H1433" s="1393" t="inlineStr">
        <is>
          <t>Nadeau</t>
        </is>
      </c>
      <c r="I1433" s="1393" t="inlineStr">
        <is>
          <t>-</t>
        </is>
      </c>
      <c r="J1433" s="1393" t="inlineStr">
        <is>
          <t>-</t>
        </is>
      </c>
      <c r="K1433" s="1395">
        <f>IF(raw[[#This Row],[city]]&lt;&gt;"",_xlfn.XLOOKUP($D1433,ccc[city],ccc[prov],"-"),"-")</f>
        <v/>
      </c>
      <c r="L1433" s="1395">
        <f>IF(raw[[#This Row],[city]]&lt;&gt;"",_xlfn.XLOOKUP($D1433,ccc[city],ccc[ctry],"-"),"-")</f>
        <v/>
      </c>
      <c r="M1433" s="1395">
        <f>IF(raw[[#This Row],[city]]&lt;&gt;"",_xlfn.XLOOKUP($D1433,ccc[city],ccc[cont],"-"),"-")</f>
        <v/>
      </c>
      <c r="N1433" s="1396">
        <f>IF(raw[[#This Row],[city]]="","-",IF(raw[[#This Row],[cont]]="B",raw[[#This Row],[cont]],"W"))</f>
        <v/>
      </c>
      <c r="O1433" s="1397">
        <f>IF(raw[[#This Row],[out]]=0,0,IF(raw[[#This Row],[out]]=raw[[#This Row],[in]],0.01,raw[[#This Row],[out]]-raw[[#This Row],[in]]))</f>
        <v/>
      </c>
      <c r="P1433" s="1397">
        <f>IF(raw[[#This Row],[in]]=0,0,MONTH(raw[[#This Row],[in]]))</f>
        <v/>
      </c>
      <c r="Q1433" s="1397">
        <f>IF(raw[[#This Row],[in]]=0,0,YEAR(raw[[#This Row],[in]]))</f>
        <v/>
      </c>
      <c r="R1433" s="1397">
        <f>INT(raw[[#This Row],[yr]]/10)*10</f>
        <v/>
      </c>
      <c r="S1433" s="1395">
        <f>IF(raw[[#This Row],[city]]="","-",IF(raw[[#This Row],[city]]&lt;&gt;_xlfn.XLOOKUP(raw[[#This Row],[home]],homes[home],homes[city],"-"),1,0))</f>
        <v/>
      </c>
      <c r="T1433" s="1398" t="inlineStr">
        <is>
          <t>.</t>
        </is>
      </c>
      <c r="U1433" s="1399">
        <f>IF(raw[[#This Row],[wb]]="w",raw[[#This Row],[stay]]+U1432,U1432)</f>
        <v/>
      </c>
      <c r="V1433" s="1400">
        <f>IF(raw[[#This Row],[out]]=0,V1432,(raw[[#This Row],[out]]-E$5))</f>
        <v/>
      </c>
      <c r="W1433" s="1401">
        <f>U1433/V1433</f>
        <v/>
      </c>
      <c r="X1433" s="1392" t="n"/>
      <c r="Y1433" s="1392" t="n"/>
      <c r="Z1433" s="1392" t="n"/>
      <c r="AA1433" s="1392" t="n"/>
      <c r="AB1433" s="1392" t="n"/>
      <c r="AC1433" s="1392" t="n"/>
      <c r="AD1433" s="1392" t="n"/>
      <c r="AE1433" s="1392" t="n"/>
      <c r="AF1433" s="1392" t="n"/>
      <c r="AG1433" s="1392" t="n"/>
      <c r="AH1433" s="1392" t="n"/>
      <c r="AI1433" s="1392" t="n"/>
      <c r="AJ1433" s="1392" t="n"/>
      <c r="AK1433" s="1392" t="n"/>
      <c r="AL1433" s="1392" t="n"/>
      <c r="AM1433" s="1392" t="n"/>
      <c r="AN1433" s="1392" t="n"/>
      <c r="AO1433" s="1392" t="n"/>
      <c r="AP1433" s="1392" t="n"/>
      <c r="AQ1433" s="1392" t="n"/>
      <c r="AR1433" s="1422" t="n"/>
      <c r="AS1433" s="1422" t="n"/>
      <c r="AT1433" s="1392" t="n"/>
      <c r="AU1433" s="1392" t="n"/>
      <c r="AV1433" s="1392" t="n"/>
      <c r="AW1433" s="1392" t="n"/>
      <c r="AX1433" s="1392" t="n"/>
      <c r="AY1433" s="1392" t="n"/>
      <c r="AZ1433" s="1392" t="n"/>
      <c r="BA1433" s="1422" t="n"/>
      <c r="BB1433" s="1422" t="n"/>
      <c r="BC1433" s="1392" t="n"/>
      <c r="BD1433" s="1392" t="n"/>
      <c r="BE1433" s="1392" t="n"/>
      <c r="BF1433" s="1392" t="n"/>
      <c r="BG1433" s="1392" t="n"/>
      <c r="BH1433" s="1392" t="n"/>
      <c r="BI1433" s="1392" t="n"/>
      <c r="BJ1433" s="1392" t="n"/>
      <c r="BK1433" s="1392" t="n"/>
      <c r="BL1433" s="1392" t="n"/>
      <c r="BM1433" s="1392" t="n"/>
      <c r="BN1433" s="1392" t="n"/>
      <c r="BO1433" s="1392" t="n"/>
      <c r="BP1433" s="1392" t="n"/>
      <c r="BQ1433" s="1392" t="n"/>
      <c r="BR1433" s="1392" t="n"/>
      <c r="BS1433" s="1392" t="n"/>
      <c r="BT1433" s="1392" t="n"/>
      <c r="BU1433" s="1392" t="n"/>
      <c r="BV1433" s="1392" t="n"/>
      <c r="BW1433" s="1392" t="n"/>
      <c r="BX1433" s="1392" t="n"/>
      <c r="BY1433" s="1392" t="n"/>
      <c r="BZ1433" s="1392" t="n"/>
      <c r="CA1433" s="1392" t="n"/>
      <c r="CB1433" s="1392" t="n"/>
      <c r="CC1433" s="1392" t="n"/>
      <c r="CD1433" s="1392" t="n"/>
      <c r="CE1433" s="1392" t="n"/>
      <c r="CF1433" s="1392" t="n"/>
      <c r="CG1433" s="1392" t="n"/>
      <c r="CH1433" s="1392" t="n"/>
      <c r="CI1433" s="1392" t="n"/>
      <c r="CJ1433" s="1392" t="n"/>
      <c r="CK1433" s="1392" t="n"/>
      <c r="CL1433" s="1392" t="n"/>
    </row>
    <row r="1434">
      <c r="A1434" s="5" t="inlineStr">
        <is>
          <t>.</t>
        </is>
      </c>
      <c r="B1434" s="5" t="inlineStr">
        <is>
          <t>.</t>
        </is>
      </c>
      <c r="C1434" s="1378">
        <f>IF(raw[[#This Row],[city]]="","-",IF(raw[[#This Row],[city]]="TODAY","-",C1433+1))</f>
        <v/>
      </c>
      <c r="D1434" s="1393" t="inlineStr">
        <is>
          <t>AIR</t>
        </is>
      </c>
      <c r="E1434" s="1394" t="n">
        <v>43051</v>
      </c>
      <c r="F1434" s="1394" t="n">
        <v>43052</v>
      </c>
      <c r="G1434" s="1393" t="inlineStr">
        <is>
          <t>x</t>
        </is>
      </c>
      <c r="H1434" s="1393" t="inlineStr">
        <is>
          <t>Nadeau</t>
        </is>
      </c>
      <c r="I1434" s="1393" t="inlineStr">
        <is>
          <t>-</t>
        </is>
      </c>
      <c r="J1434" s="1393" t="inlineStr">
        <is>
          <t>-</t>
        </is>
      </c>
      <c r="K1434" s="1395">
        <f>IF(raw[[#This Row],[city]]&lt;&gt;"",_xlfn.XLOOKUP($D1434,ccc[city],ccc[prov],"-"),"-")</f>
        <v/>
      </c>
      <c r="L1434" s="1395">
        <f>IF(raw[[#This Row],[city]]&lt;&gt;"",_xlfn.XLOOKUP($D1434,ccc[city],ccc[ctry],"-"),"-")</f>
        <v/>
      </c>
      <c r="M1434" s="1395">
        <f>IF(raw[[#This Row],[city]]&lt;&gt;"",_xlfn.XLOOKUP($D1434,ccc[city],ccc[cont],"-"),"-")</f>
        <v/>
      </c>
      <c r="N1434" s="1396">
        <f>IF(raw[[#This Row],[city]]="","-",IF(raw[[#This Row],[cont]]="B",raw[[#This Row],[cont]],"W"))</f>
        <v/>
      </c>
      <c r="O1434" s="1397">
        <f>IF(raw[[#This Row],[out]]=0,0,IF(raw[[#This Row],[out]]=raw[[#This Row],[in]],0.01,raw[[#This Row],[out]]-raw[[#This Row],[in]]))</f>
        <v/>
      </c>
      <c r="P1434" s="1397">
        <f>IF(raw[[#This Row],[in]]=0,0,MONTH(raw[[#This Row],[in]]))</f>
        <v/>
      </c>
      <c r="Q1434" s="1397">
        <f>IF(raw[[#This Row],[in]]=0,0,YEAR(raw[[#This Row],[in]]))</f>
        <v/>
      </c>
      <c r="R1434" s="1397">
        <f>INT(raw[[#This Row],[yr]]/10)*10</f>
        <v/>
      </c>
      <c r="S1434" s="1395">
        <f>IF(raw[[#This Row],[city]]="","-",IF(raw[[#This Row],[city]]&lt;&gt;_xlfn.XLOOKUP(raw[[#This Row],[home]],homes[home],homes[city],"-"),1,0))</f>
        <v/>
      </c>
      <c r="T1434" s="1398" t="inlineStr">
        <is>
          <t>.</t>
        </is>
      </c>
      <c r="U1434" s="1399">
        <f>IF(raw[[#This Row],[wb]]="w",raw[[#This Row],[stay]]+U1433,U1433)</f>
        <v/>
      </c>
      <c r="V1434" s="1400">
        <f>IF(raw[[#This Row],[out]]=0,V1433,(raw[[#This Row],[out]]-E$5))</f>
        <v/>
      </c>
      <c r="W1434" s="1401">
        <f>U1434/V1434</f>
        <v/>
      </c>
      <c r="X1434" s="1392" t="n"/>
      <c r="Y1434" s="1392" t="n"/>
      <c r="Z1434" s="1392" t="n"/>
      <c r="AA1434" s="1392" t="n"/>
      <c r="AB1434" s="1392" t="n"/>
      <c r="AC1434" s="1392" t="n"/>
      <c r="AD1434" s="1392" t="n"/>
      <c r="AE1434" s="1392" t="n"/>
      <c r="AF1434" s="1392" t="n"/>
      <c r="AG1434" s="1392" t="n"/>
      <c r="AH1434" s="1392" t="n"/>
      <c r="AI1434" s="1392" t="n"/>
      <c r="AJ1434" s="1392" t="n"/>
      <c r="AK1434" s="1392" t="n"/>
      <c r="AL1434" s="1392" t="n"/>
      <c r="AM1434" s="1392" t="n"/>
      <c r="AN1434" s="1392" t="n"/>
      <c r="AO1434" s="1392" t="n"/>
      <c r="AP1434" s="1392" t="n"/>
      <c r="AQ1434" s="1392" t="n"/>
      <c r="AR1434" s="1422" t="n"/>
      <c r="AS1434" s="1422" t="n"/>
      <c r="AT1434" s="1392" t="n"/>
      <c r="AU1434" s="1392" t="n"/>
      <c r="AV1434" s="1392" t="n"/>
      <c r="AW1434" s="1392" t="n"/>
      <c r="AX1434" s="1392" t="n"/>
      <c r="AY1434" s="1392" t="n"/>
      <c r="AZ1434" s="1392" t="n"/>
      <c r="BA1434" s="1422" t="n"/>
      <c r="BB1434" s="1422" t="n"/>
      <c r="BC1434" s="1392" t="n"/>
      <c r="BD1434" s="1392" t="n"/>
      <c r="BE1434" s="1392" t="n"/>
      <c r="BF1434" s="1392" t="n"/>
      <c r="BG1434" s="1392" t="n"/>
      <c r="BH1434" s="1392" t="n"/>
      <c r="BI1434" s="1392" t="n"/>
      <c r="BJ1434" s="1392" t="n"/>
      <c r="BK1434" s="1392" t="n"/>
      <c r="BL1434" s="1392" t="n"/>
      <c r="BM1434" s="1392" t="n"/>
      <c r="BN1434" s="1392" t="n"/>
      <c r="BO1434" s="1392" t="n"/>
      <c r="BP1434" s="1392" t="n"/>
      <c r="BQ1434" s="1392" t="n"/>
      <c r="BR1434" s="1392" t="n"/>
      <c r="BS1434" s="1392" t="n"/>
      <c r="BT1434" s="1392" t="n"/>
      <c r="BU1434" s="1392" t="n"/>
      <c r="BV1434" s="1392" t="n"/>
      <c r="BW1434" s="1392" t="n"/>
      <c r="BX1434" s="1392" t="n"/>
      <c r="BY1434" s="1392" t="n"/>
      <c r="BZ1434" s="1392" t="n"/>
      <c r="CA1434" s="1392" t="n"/>
      <c r="CB1434" s="1392" t="n"/>
      <c r="CC1434" s="1392" t="n"/>
      <c r="CD1434" s="1392" t="n"/>
      <c r="CE1434" s="1392" t="n"/>
      <c r="CF1434" s="1392" t="n"/>
      <c r="CG1434" s="1392" t="n"/>
      <c r="CH1434" s="1392" t="n"/>
      <c r="CI1434" s="1392" t="n"/>
      <c r="CJ1434" s="1392" t="n"/>
      <c r="CK1434" s="1392" t="n"/>
      <c r="CL1434" s="1392" t="n"/>
    </row>
    <row r="1435">
      <c r="A1435" s="5" t="inlineStr">
        <is>
          <t>.</t>
        </is>
      </c>
      <c r="B1435" s="5" t="inlineStr">
        <is>
          <t>.</t>
        </is>
      </c>
      <c r="C1435" s="1378">
        <f>IF(raw[[#This Row],[city]]="","-",IF(raw[[#This Row],[city]]="TODAY","-",C1434+1))</f>
        <v/>
      </c>
      <c r="D1435" s="1393" t="inlineStr">
        <is>
          <t>London</t>
        </is>
      </c>
      <c r="E1435" s="1394" t="n">
        <v>43052</v>
      </c>
      <c r="F1435" s="1394" t="n">
        <v>43055</v>
      </c>
      <c r="G1435" s="1393" t="inlineStr">
        <is>
          <t>-</t>
        </is>
      </c>
      <c r="H1435" s="1393" t="inlineStr">
        <is>
          <t>Nadeau</t>
        </is>
      </c>
      <c r="I1435" s="1393" t="inlineStr">
        <is>
          <t>David's</t>
        </is>
      </c>
      <c r="J1435" s="1393" t="inlineStr">
        <is>
          <t>-</t>
        </is>
      </c>
      <c r="K1435" s="1395">
        <f>IF(raw[[#This Row],[city]]&lt;&gt;"",_xlfn.XLOOKUP($D1435,ccc[city],ccc[prov],"-"),"-")</f>
        <v/>
      </c>
      <c r="L1435" s="1395">
        <f>IF(raw[[#This Row],[city]]&lt;&gt;"",_xlfn.XLOOKUP($D1435,ccc[city],ccc[ctry],"-"),"-")</f>
        <v/>
      </c>
      <c r="M1435" s="1395">
        <f>IF(raw[[#This Row],[city]]&lt;&gt;"",_xlfn.XLOOKUP($D1435,ccc[city],ccc[cont],"-"),"-")</f>
        <v/>
      </c>
      <c r="N1435" s="1396">
        <f>IF(raw[[#This Row],[city]]="","-",IF(raw[[#This Row],[cont]]="B",raw[[#This Row],[cont]],"W"))</f>
        <v/>
      </c>
      <c r="O1435" s="1397">
        <f>IF(raw[[#This Row],[out]]=0,0,IF(raw[[#This Row],[out]]=raw[[#This Row],[in]],0.01,raw[[#This Row],[out]]-raw[[#This Row],[in]]))</f>
        <v/>
      </c>
      <c r="P1435" s="1397">
        <f>IF(raw[[#This Row],[in]]=0,0,MONTH(raw[[#This Row],[in]]))</f>
        <v/>
      </c>
      <c r="Q1435" s="1397">
        <f>IF(raw[[#This Row],[in]]=0,0,YEAR(raw[[#This Row],[in]]))</f>
        <v/>
      </c>
      <c r="R1435" s="1397">
        <f>INT(raw[[#This Row],[yr]]/10)*10</f>
        <v/>
      </c>
      <c r="S1435" s="1395">
        <f>IF(raw[[#This Row],[city]]="","-",IF(raw[[#This Row],[city]]&lt;&gt;_xlfn.XLOOKUP(raw[[#This Row],[home]],homes[home],homes[city],"-"),1,0))</f>
        <v/>
      </c>
      <c r="T1435" s="1398" t="inlineStr">
        <is>
          <t>.</t>
        </is>
      </c>
      <c r="U1435" s="1399">
        <f>IF(raw[[#This Row],[wb]]="w",raw[[#This Row],[stay]]+U1434,U1434)</f>
        <v/>
      </c>
      <c r="V1435" s="1400">
        <f>IF(raw[[#This Row],[out]]=0,V1434,(raw[[#This Row],[out]]-E$5))</f>
        <v/>
      </c>
      <c r="W1435" s="1401">
        <f>U1435/V1435</f>
        <v/>
      </c>
      <c r="X1435" s="1392" t="n"/>
      <c r="Y1435" s="1392" t="n"/>
      <c r="Z1435" s="1392" t="n"/>
      <c r="AA1435" s="1392" t="n"/>
      <c r="AB1435" s="1392" t="n"/>
      <c r="AC1435" s="1392" t="n"/>
      <c r="AD1435" s="1392" t="n"/>
      <c r="AE1435" s="1392" t="n"/>
      <c r="AF1435" s="1392" t="n"/>
      <c r="AG1435" s="1392" t="n"/>
      <c r="AH1435" s="1392" t="n"/>
      <c r="AI1435" s="1392" t="n"/>
      <c r="AJ1435" s="1392" t="n"/>
      <c r="AK1435" s="1392" t="n"/>
      <c r="AL1435" s="1392" t="n"/>
      <c r="AM1435" s="1392" t="n"/>
      <c r="AN1435" s="1392" t="n"/>
      <c r="AO1435" s="1392" t="n"/>
      <c r="AP1435" s="1392" t="n"/>
      <c r="AQ1435" s="1392" t="n"/>
      <c r="AR1435" s="1422" t="n"/>
      <c r="AS1435" s="1422" t="n"/>
      <c r="AT1435" s="1392" t="n"/>
      <c r="AU1435" s="1392" t="n"/>
      <c r="AV1435" s="1392" t="n"/>
      <c r="AW1435" s="1392" t="n"/>
      <c r="AX1435" s="1392" t="n"/>
      <c r="AY1435" s="1392" t="n"/>
      <c r="AZ1435" s="1392" t="n"/>
      <c r="BA1435" s="1422" t="n"/>
      <c r="BB1435" s="1422" t="n"/>
      <c r="BC1435" s="1392" t="n"/>
      <c r="BD1435" s="1392" t="n"/>
      <c r="BE1435" s="1392" t="n"/>
      <c r="BF1435" s="1392" t="n"/>
      <c r="BG1435" s="1392" t="n"/>
      <c r="BH1435" s="1392" t="n"/>
      <c r="BI1435" s="1392" t="n"/>
      <c r="BJ1435" s="1392" t="n"/>
      <c r="BK1435" s="1392" t="n"/>
      <c r="BL1435" s="1392" t="n"/>
      <c r="BM1435" s="1392" t="n"/>
      <c r="BN1435" s="1392" t="n"/>
      <c r="BO1435" s="1392" t="n"/>
      <c r="BP1435" s="1392" t="n"/>
      <c r="BQ1435" s="1392" t="n"/>
      <c r="BR1435" s="1392" t="n"/>
      <c r="BS1435" s="1392" t="n"/>
      <c r="BT1435" s="1392" t="n"/>
      <c r="BU1435" s="1392" t="n"/>
      <c r="BV1435" s="1392" t="n"/>
      <c r="BW1435" s="1392" t="n"/>
      <c r="BX1435" s="1392" t="n"/>
      <c r="BY1435" s="1392" t="n"/>
      <c r="BZ1435" s="1392" t="n"/>
      <c r="CA1435" s="1392" t="n"/>
      <c r="CB1435" s="1392" t="n"/>
      <c r="CC1435" s="1392" t="n"/>
      <c r="CD1435" s="1392" t="n"/>
      <c r="CE1435" s="1392" t="n"/>
      <c r="CF1435" s="1392" t="n"/>
      <c r="CG1435" s="1392" t="n"/>
      <c r="CH1435" s="1392" t="n"/>
      <c r="CI1435" s="1392" t="n"/>
      <c r="CJ1435" s="1392" t="n"/>
      <c r="CK1435" s="1392" t="n"/>
      <c r="CL1435" s="1392" t="n"/>
    </row>
    <row r="1436">
      <c r="A1436" s="5" t="inlineStr">
        <is>
          <t>.</t>
        </is>
      </c>
      <c r="B1436" s="5" t="inlineStr">
        <is>
          <t>.</t>
        </is>
      </c>
      <c r="C1436" s="1378">
        <f>IF(raw[[#This Row],[city]]="","-",IF(raw[[#This Row],[city]]="TODAY","-",C1435+1))</f>
        <v/>
      </c>
      <c r="D1436" s="1393" t="inlineStr">
        <is>
          <t>London</t>
        </is>
      </c>
      <c r="E1436" s="1394" t="n">
        <v>43055</v>
      </c>
      <c r="F1436" s="1394" t="n">
        <v>43059</v>
      </c>
      <c r="G1436" s="1393" t="inlineStr">
        <is>
          <t>-</t>
        </is>
      </c>
      <c r="H1436" s="1393" t="inlineStr">
        <is>
          <t>Nadeau</t>
        </is>
      </c>
      <c r="I1436" s="1393" t="inlineStr">
        <is>
          <t>Stu</t>
        </is>
      </c>
      <c r="J1436" s="1393" t="inlineStr">
        <is>
          <t>-</t>
        </is>
      </c>
      <c r="K1436" s="1395">
        <f>IF(raw[[#This Row],[city]]&lt;&gt;"",_xlfn.XLOOKUP($D1436,ccc[city],ccc[prov],"-"),"-")</f>
        <v/>
      </c>
      <c r="L1436" s="1395">
        <f>IF(raw[[#This Row],[city]]&lt;&gt;"",_xlfn.XLOOKUP($D1436,ccc[city],ccc[ctry],"-"),"-")</f>
        <v/>
      </c>
      <c r="M1436" s="1395">
        <f>IF(raw[[#This Row],[city]]&lt;&gt;"",_xlfn.XLOOKUP($D1436,ccc[city],ccc[cont],"-"),"-")</f>
        <v/>
      </c>
      <c r="N1436" s="1396">
        <f>IF(raw[[#This Row],[city]]="","-",IF(raw[[#This Row],[cont]]="B",raw[[#This Row],[cont]],"W"))</f>
        <v/>
      </c>
      <c r="O1436" s="1397">
        <f>IF(raw[[#This Row],[out]]=0,0,IF(raw[[#This Row],[out]]=raw[[#This Row],[in]],0.01,raw[[#This Row],[out]]-raw[[#This Row],[in]]))</f>
        <v/>
      </c>
      <c r="P1436" s="1397">
        <f>IF(raw[[#This Row],[in]]=0,0,MONTH(raw[[#This Row],[in]]))</f>
        <v/>
      </c>
      <c r="Q1436" s="1397">
        <f>IF(raw[[#This Row],[in]]=0,0,YEAR(raw[[#This Row],[in]]))</f>
        <v/>
      </c>
      <c r="R1436" s="1397">
        <f>INT(raw[[#This Row],[yr]]/10)*10</f>
        <v/>
      </c>
      <c r="S1436" s="1395">
        <f>IF(raw[[#This Row],[city]]="","-",IF(raw[[#This Row],[city]]&lt;&gt;_xlfn.XLOOKUP(raw[[#This Row],[home]],homes[home],homes[city],"-"),1,0))</f>
        <v/>
      </c>
      <c r="T1436" s="1398" t="inlineStr">
        <is>
          <t>.</t>
        </is>
      </c>
      <c r="U1436" s="1399">
        <f>IF(raw[[#This Row],[wb]]="w",raw[[#This Row],[stay]]+U1435,U1435)</f>
        <v/>
      </c>
      <c r="V1436" s="1400">
        <f>IF(raw[[#This Row],[out]]=0,V1435,(raw[[#This Row],[out]]-E$5))</f>
        <v/>
      </c>
      <c r="W1436" s="1401">
        <f>U1436/V1436</f>
        <v/>
      </c>
      <c r="X1436" s="1392" t="n"/>
      <c r="Y1436" s="1392" t="n"/>
      <c r="Z1436" s="1392" t="n"/>
      <c r="AA1436" s="1392" t="n"/>
      <c r="AB1436" s="1392" t="n"/>
      <c r="AC1436" s="1392" t="n"/>
      <c r="AD1436" s="1392" t="n"/>
      <c r="AE1436" s="1392" t="n"/>
      <c r="AF1436" s="1392" t="n"/>
      <c r="AG1436" s="1392" t="n"/>
      <c r="AH1436" s="1392" t="n"/>
      <c r="AI1436" s="1392" t="n"/>
      <c r="AJ1436" s="1392" t="n"/>
      <c r="AK1436" s="1392" t="n"/>
      <c r="AL1436" s="1392" t="n"/>
      <c r="AM1436" s="1392" t="n"/>
      <c r="AN1436" s="1392" t="n"/>
      <c r="AO1436" s="1392" t="n"/>
      <c r="AP1436" s="1392" t="n"/>
      <c r="AQ1436" s="1392" t="n"/>
      <c r="AR1436" s="1422" t="n"/>
      <c r="AS1436" s="1422" t="n"/>
      <c r="AT1436" s="1392" t="n"/>
      <c r="AU1436" s="1392" t="n"/>
      <c r="AV1436" s="1392" t="n"/>
      <c r="AW1436" s="1392" t="n"/>
      <c r="AX1436" s="1392" t="n"/>
      <c r="AY1436" s="1392" t="n"/>
      <c r="AZ1436" s="1392" t="n"/>
      <c r="BA1436" s="1422" t="n"/>
      <c r="BB1436" s="1422" t="n"/>
      <c r="BC1436" s="1392" t="n"/>
      <c r="BD1436" s="1392" t="n"/>
      <c r="BE1436" s="1392" t="n"/>
      <c r="BF1436" s="1392" t="n"/>
      <c r="BG1436" s="1392" t="n"/>
      <c r="BH1436" s="1392" t="n"/>
      <c r="BI1436" s="1392" t="n"/>
      <c r="BJ1436" s="1392" t="n"/>
      <c r="BK1436" s="1392" t="n"/>
      <c r="BL1436" s="1392" t="n"/>
      <c r="BM1436" s="1392" t="n"/>
      <c r="BN1436" s="1392" t="n"/>
      <c r="BO1436" s="1392" t="n"/>
      <c r="BP1436" s="1392" t="n"/>
      <c r="BQ1436" s="1392" t="n"/>
      <c r="BR1436" s="1392" t="n"/>
      <c r="BS1436" s="1392" t="n"/>
      <c r="BT1436" s="1392" t="n"/>
      <c r="BU1436" s="1392" t="n"/>
      <c r="BV1436" s="1392" t="n"/>
      <c r="BW1436" s="1392" t="n"/>
      <c r="BX1436" s="1392" t="n"/>
      <c r="BY1436" s="1392" t="n"/>
      <c r="BZ1436" s="1392" t="n"/>
      <c r="CA1436" s="1392" t="n"/>
      <c r="CB1436" s="1392" t="n"/>
      <c r="CC1436" s="1392" t="n"/>
      <c r="CD1436" s="1392" t="n"/>
      <c r="CE1436" s="1392" t="n"/>
      <c r="CF1436" s="1392" t="n"/>
      <c r="CG1436" s="1392" t="n"/>
      <c r="CH1436" s="1392" t="n"/>
      <c r="CI1436" s="1392" t="n"/>
      <c r="CJ1436" s="1392" t="n"/>
      <c r="CK1436" s="1392" t="n"/>
      <c r="CL1436" s="1392" t="n"/>
    </row>
    <row r="1437">
      <c r="A1437" s="5" t="inlineStr">
        <is>
          <t>.</t>
        </is>
      </c>
      <c r="B1437" s="5" t="inlineStr">
        <is>
          <t>.</t>
        </is>
      </c>
      <c r="C1437" s="1378">
        <f>IF(raw[[#This Row],[city]]="","-",IF(raw[[#This Row],[city]]="TODAY","-",C1436+1))</f>
        <v/>
      </c>
      <c r="D1437" s="1393" t="inlineStr">
        <is>
          <t>London</t>
        </is>
      </c>
      <c r="E1437" s="1394" t="n">
        <v>43059</v>
      </c>
      <c r="F1437" s="1394" t="n">
        <v>43061</v>
      </c>
      <c r="G1437" s="1393" t="n">
        <v>1</v>
      </c>
      <c r="H1437" s="1393" t="inlineStr">
        <is>
          <t>Nadeau</t>
        </is>
      </c>
      <c r="I1437" s="1393" t="inlineStr">
        <is>
          <t>David's</t>
        </is>
      </c>
      <c r="J1437" s="1393" t="inlineStr">
        <is>
          <t>-</t>
        </is>
      </c>
      <c r="K1437" s="1395">
        <f>IF(raw[[#This Row],[city]]&lt;&gt;"",_xlfn.XLOOKUP($D1437,ccc[city],ccc[prov],"-"),"-")</f>
        <v/>
      </c>
      <c r="L1437" s="1395">
        <f>IF(raw[[#This Row],[city]]&lt;&gt;"",_xlfn.XLOOKUP($D1437,ccc[city],ccc[ctry],"-"),"-")</f>
        <v/>
      </c>
      <c r="M1437" s="1395">
        <f>IF(raw[[#This Row],[city]]&lt;&gt;"",_xlfn.XLOOKUP($D1437,ccc[city],ccc[cont],"-"),"-")</f>
        <v/>
      </c>
      <c r="N1437" s="1396">
        <f>IF(raw[[#This Row],[city]]="","-",IF(raw[[#This Row],[cont]]="B",raw[[#This Row],[cont]],"W"))</f>
        <v/>
      </c>
      <c r="O1437" s="1397">
        <f>IF(raw[[#This Row],[out]]=0,0,IF(raw[[#This Row],[out]]=raw[[#This Row],[in]],0.01,raw[[#This Row],[out]]-raw[[#This Row],[in]]))</f>
        <v/>
      </c>
      <c r="P1437" s="1397">
        <f>IF(raw[[#This Row],[in]]=0,0,MONTH(raw[[#This Row],[in]]))</f>
        <v/>
      </c>
      <c r="Q1437" s="1397">
        <f>IF(raw[[#This Row],[in]]=0,0,YEAR(raw[[#This Row],[in]]))</f>
        <v/>
      </c>
      <c r="R1437" s="1397">
        <f>INT(raw[[#This Row],[yr]]/10)*10</f>
        <v/>
      </c>
      <c r="S1437" s="1395">
        <f>IF(raw[[#This Row],[city]]="","-",IF(raw[[#This Row],[city]]&lt;&gt;_xlfn.XLOOKUP(raw[[#This Row],[home]],homes[home],homes[city],"-"),1,0))</f>
        <v/>
      </c>
      <c r="T1437" s="1398" t="inlineStr">
        <is>
          <t>.</t>
        </is>
      </c>
      <c r="U1437" s="1399">
        <f>IF(raw[[#This Row],[wb]]="w",raw[[#This Row],[stay]]+U1436,U1436)</f>
        <v/>
      </c>
      <c r="V1437" s="1400">
        <f>IF(raw[[#This Row],[out]]=0,V1436,(raw[[#This Row],[out]]-E$5))</f>
        <v/>
      </c>
      <c r="W1437" s="1401">
        <f>U1437/V1437</f>
        <v/>
      </c>
      <c r="X1437" s="1392" t="n"/>
      <c r="Y1437" s="1392" t="n"/>
      <c r="Z1437" s="1392" t="n"/>
      <c r="AA1437" s="1392" t="n"/>
      <c r="AB1437" s="1392" t="n"/>
      <c r="AC1437" s="1392" t="n"/>
      <c r="AD1437" s="1392" t="n"/>
      <c r="AE1437" s="1392" t="n"/>
      <c r="AF1437" s="1392" t="n"/>
      <c r="AG1437" s="1392" t="n"/>
      <c r="AH1437" s="1392" t="n"/>
      <c r="AI1437" s="1392" t="n"/>
      <c r="AJ1437" s="1392" t="n"/>
      <c r="AK1437" s="1392" t="n"/>
      <c r="AL1437" s="1392" t="n"/>
      <c r="AM1437" s="1392" t="n"/>
      <c r="AN1437" s="1392" t="n"/>
      <c r="AO1437" s="1392" t="n"/>
      <c r="AP1437" s="1392" t="n"/>
      <c r="AQ1437" s="1392" t="n"/>
      <c r="AR1437" s="1422" t="n"/>
      <c r="AS1437" s="1422" t="n"/>
      <c r="AT1437" s="1392" t="n"/>
      <c r="AU1437" s="1392" t="n"/>
      <c r="AV1437" s="1392" t="n"/>
      <c r="AW1437" s="1392" t="n"/>
      <c r="AX1437" s="1392" t="n"/>
      <c r="AY1437" s="1392" t="n"/>
      <c r="AZ1437" s="1392" t="n"/>
      <c r="BA1437" s="1422" t="n"/>
      <c r="BB1437" s="1422" t="n"/>
      <c r="BC1437" s="1392" t="n"/>
      <c r="BD1437" s="1392" t="n"/>
      <c r="BE1437" s="1392" t="n"/>
      <c r="BF1437" s="1392" t="n"/>
      <c r="BG1437" s="1392" t="n"/>
      <c r="BH1437" s="1392" t="n"/>
      <c r="BI1437" s="1392" t="n"/>
      <c r="BJ1437" s="1392" t="n"/>
      <c r="BK1437" s="1392" t="n"/>
      <c r="BL1437" s="1392" t="n"/>
      <c r="BM1437" s="1392" t="n"/>
      <c r="BN1437" s="1392" t="n"/>
      <c r="BO1437" s="1392" t="n"/>
      <c r="BP1437" s="1392" t="n"/>
      <c r="BQ1437" s="1392" t="n"/>
      <c r="BR1437" s="1392" t="n"/>
      <c r="BS1437" s="1392" t="n"/>
      <c r="BT1437" s="1392" t="n"/>
      <c r="BU1437" s="1392" t="n"/>
      <c r="BV1437" s="1392" t="n"/>
      <c r="BW1437" s="1392" t="n"/>
      <c r="BX1437" s="1392" t="n"/>
      <c r="BY1437" s="1392" t="n"/>
      <c r="BZ1437" s="1392" t="n"/>
      <c r="CA1437" s="1392" t="n"/>
      <c r="CB1437" s="1392" t="n"/>
      <c r="CC1437" s="1392" t="n"/>
      <c r="CD1437" s="1392" t="n"/>
      <c r="CE1437" s="1392" t="n"/>
      <c r="CF1437" s="1392" t="n"/>
      <c r="CG1437" s="1392" t="n"/>
      <c r="CH1437" s="1392" t="n"/>
      <c r="CI1437" s="1392" t="n"/>
      <c r="CJ1437" s="1392" t="n"/>
      <c r="CK1437" s="1392" t="n"/>
      <c r="CL1437" s="1392" t="n"/>
    </row>
    <row r="1438">
      <c r="A1438" s="5" t="inlineStr">
        <is>
          <t>.</t>
        </is>
      </c>
      <c r="B1438" s="5" t="inlineStr">
        <is>
          <t>.</t>
        </is>
      </c>
      <c r="C1438" s="1378">
        <f>IF(raw[[#This Row],[city]]="","-",IF(raw[[#This Row],[city]]="TODAY","-",C1437+1))</f>
        <v/>
      </c>
      <c r="D1438" s="1393" t="inlineStr">
        <is>
          <t>Montreal</t>
        </is>
      </c>
      <c r="E1438" s="1394" t="n">
        <v>43061</v>
      </c>
      <c r="F1438" s="1394" t="n">
        <v>43070</v>
      </c>
      <c r="G1438" s="1393" t="inlineStr">
        <is>
          <t>-</t>
        </is>
      </c>
      <c r="H1438" s="1393" t="inlineStr">
        <is>
          <t>Nadeau</t>
        </is>
      </c>
      <c r="I1438" s="1393" t="inlineStr">
        <is>
          <t>-</t>
        </is>
      </c>
      <c r="J1438" s="1393" t="inlineStr">
        <is>
          <t>-</t>
        </is>
      </c>
      <c r="K1438" s="1395">
        <f>IF(raw[[#This Row],[city]]&lt;&gt;"",_xlfn.XLOOKUP($D1438,ccc[city],ccc[prov],"-"),"-")</f>
        <v/>
      </c>
      <c r="L1438" s="1395">
        <f>IF(raw[[#This Row],[city]]&lt;&gt;"",_xlfn.XLOOKUP($D1438,ccc[city],ccc[ctry],"-"),"-")</f>
        <v/>
      </c>
      <c r="M1438" s="1395">
        <f>IF(raw[[#This Row],[city]]&lt;&gt;"",_xlfn.XLOOKUP($D1438,ccc[city],ccc[cont],"-"),"-")</f>
        <v/>
      </c>
      <c r="N1438" s="1396">
        <f>IF(raw[[#This Row],[city]]="","-",IF(raw[[#This Row],[cont]]="B",raw[[#This Row],[cont]],"W"))</f>
        <v/>
      </c>
      <c r="O1438" s="1397">
        <f>IF(raw[[#This Row],[out]]=0,0,IF(raw[[#This Row],[out]]=raw[[#This Row],[in]],0.01,raw[[#This Row],[out]]-raw[[#This Row],[in]]))</f>
        <v/>
      </c>
      <c r="P1438" s="1397">
        <f>IF(raw[[#This Row],[in]]=0,0,MONTH(raw[[#This Row],[in]]))</f>
        <v/>
      </c>
      <c r="Q1438" s="1397">
        <f>IF(raw[[#This Row],[in]]=0,0,YEAR(raw[[#This Row],[in]]))</f>
        <v/>
      </c>
      <c r="R1438" s="1397">
        <f>INT(raw[[#This Row],[yr]]/10)*10</f>
        <v/>
      </c>
      <c r="S1438" s="1395">
        <f>IF(raw[[#This Row],[city]]="","-",IF(raw[[#This Row],[city]]&lt;&gt;_xlfn.XLOOKUP(raw[[#This Row],[home]],homes[home],homes[city],"-"),1,0))</f>
        <v/>
      </c>
      <c r="T1438" s="1398" t="inlineStr">
        <is>
          <t>.</t>
        </is>
      </c>
      <c r="U1438" s="1399">
        <f>IF(raw[[#This Row],[wb]]="w",raw[[#This Row],[stay]]+U1437,U1437)</f>
        <v/>
      </c>
      <c r="V1438" s="1400">
        <f>IF(raw[[#This Row],[out]]=0,V1437,(raw[[#This Row],[out]]-E$5))</f>
        <v/>
      </c>
      <c r="W1438" s="1401">
        <f>U1438/V1438</f>
        <v/>
      </c>
      <c r="X1438" s="1392" t="n"/>
      <c r="Y1438" s="1392" t="n"/>
      <c r="Z1438" s="1392" t="n"/>
      <c r="AA1438" s="1392" t="n"/>
      <c r="AB1438" s="1392" t="n"/>
      <c r="AC1438" s="1392" t="n"/>
      <c r="AD1438" s="1392" t="n"/>
      <c r="AE1438" s="1392" t="n"/>
      <c r="AF1438" s="1392" t="n"/>
      <c r="AG1438" s="1392" t="n"/>
      <c r="AH1438" s="1392" t="n"/>
      <c r="AI1438" s="1392" t="n"/>
      <c r="AJ1438" s="1392" t="n"/>
      <c r="AK1438" s="1392" t="n"/>
      <c r="AL1438" s="1392" t="n"/>
      <c r="AM1438" s="1392" t="n"/>
      <c r="AN1438" s="1392" t="n"/>
      <c r="AO1438" s="1392" t="n"/>
      <c r="AP1438" s="1392" t="n"/>
      <c r="AQ1438" s="1392" t="n"/>
      <c r="AR1438" s="1422" t="n"/>
      <c r="AS1438" s="1422" t="n"/>
      <c r="AT1438" s="1392" t="n"/>
      <c r="AU1438" s="1392" t="n"/>
      <c r="AV1438" s="1392" t="n"/>
      <c r="AW1438" s="1392" t="n"/>
      <c r="AX1438" s="1392" t="n"/>
      <c r="AY1438" s="1392" t="n"/>
      <c r="AZ1438" s="1392" t="n"/>
      <c r="BA1438" s="1422" t="n"/>
      <c r="BB1438" s="1422" t="n"/>
      <c r="BC1438" s="1392" t="n"/>
      <c r="BD1438" s="1392" t="n"/>
      <c r="BE1438" s="1392" t="n"/>
      <c r="BF1438" s="1392" t="n"/>
      <c r="BG1438" s="1392" t="n"/>
      <c r="BH1438" s="1392" t="n"/>
      <c r="BI1438" s="1392" t="n"/>
      <c r="BJ1438" s="1392" t="n"/>
      <c r="BK1438" s="1392" t="n"/>
      <c r="BL1438" s="1392" t="n"/>
      <c r="BM1438" s="1392" t="n"/>
      <c r="BN1438" s="1392" t="n"/>
      <c r="BO1438" s="1392" t="n"/>
      <c r="BP1438" s="1392" t="n"/>
      <c r="BQ1438" s="1392" t="n"/>
      <c r="BR1438" s="1392" t="n"/>
      <c r="BS1438" s="1392" t="n"/>
      <c r="BT1438" s="1392" t="n"/>
      <c r="BU1438" s="1392" t="n"/>
      <c r="BV1438" s="1392" t="n"/>
      <c r="BW1438" s="1392" t="n"/>
      <c r="BX1438" s="1392" t="n"/>
      <c r="BY1438" s="1392" t="n"/>
      <c r="BZ1438" s="1392" t="n"/>
      <c r="CA1438" s="1392" t="n"/>
      <c r="CB1438" s="1392" t="n"/>
      <c r="CC1438" s="1392" t="n"/>
      <c r="CD1438" s="1392" t="n"/>
      <c r="CE1438" s="1392" t="n"/>
      <c r="CF1438" s="1392" t="n"/>
      <c r="CG1438" s="1392" t="n"/>
      <c r="CH1438" s="1392" t="n"/>
      <c r="CI1438" s="1392" t="n"/>
      <c r="CJ1438" s="1392" t="n"/>
      <c r="CK1438" s="1392" t="n"/>
      <c r="CL1438" s="1392" t="n"/>
    </row>
    <row r="1439">
      <c r="A1439" s="5" t="inlineStr">
        <is>
          <t>.</t>
        </is>
      </c>
      <c r="B1439" s="5" t="inlineStr">
        <is>
          <t>.</t>
        </is>
      </c>
      <c r="C1439" s="1378">
        <f>IF(raw[[#This Row],[city]]="","-",IF(raw[[#This Row],[city]]="TODAY","-",C1438+1))</f>
        <v/>
      </c>
      <c r="D1439" s="1393" t="inlineStr">
        <is>
          <t>Montreal</t>
        </is>
      </c>
      <c r="E1439" s="1394" t="n">
        <v>43070</v>
      </c>
      <c r="F1439" s="1394" t="n">
        <v>43101</v>
      </c>
      <c r="G1439" s="1393" t="inlineStr">
        <is>
          <t>-</t>
        </is>
      </c>
      <c r="H1439" s="1393" t="inlineStr">
        <is>
          <t>Nadeau</t>
        </is>
      </c>
      <c r="I1439" s="1393" t="inlineStr">
        <is>
          <t>-</t>
        </is>
      </c>
      <c r="J1439" s="1393" t="inlineStr">
        <is>
          <t>-</t>
        </is>
      </c>
      <c r="K1439" s="1395">
        <f>IF(raw[[#This Row],[city]]&lt;&gt;"",_xlfn.XLOOKUP($D1439,ccc[city],ccc[prov],"-"),"-")</f>
        <v/>
      </c>
      <c r="L1439" s="1395">
        <f>IF(raw[[#This Row],[city]]&lt;&gt;"",_xlfn.XLOOKUP($D1439,ccc[city],ccc[ctry],"-"),"-")</f>
        <v/>
      </c>
      <c r="M1439" s="1395">
        <f>IF(raw[[#This Row],[city]]&lt;&gt;"",_xlfn.XLOOKUP($D1439,ccc[city],ccc[cont],"-"),"-")</f>
        <v/>
      </c>
      <c r="N1439" s="1396">
        <f>IF(raw[[#This Row],[city]]="","-",IF(raw[[#This Row],[cont]]="B",raw[[#This Row],[cont]],"W"))</f>
        <v/>
      </c>
      <c r="O1439" s="1397">
        <f>IF(raw[[#This Row],[out]]=0,0,IF(raw[[#This Row],[out]]=raw[[#This Row],[in]],0.01,raw[[#This Row],[out]]-raw[[#This Row],[in]]))</f>
        <v/>
      </c>
      <c r="P1439" s="1397">
        <f>IF(raw[[#This Row],[in]]=0,0,MONTH(raw[[#This Row],[in]]))</f>
        <v/>
      </c>
      <c r="Q1439" s="1397">
        <f>IF(raw[[#This Row],[in]]=0,0,YEAR(raw[[#This Row],[in]]))</f>
        <v/>
      </c>
      <c r="R1439" s="1397">
        <f>INT(raw[[#This Row],[yr]]/10)*10</f>
        <v/>
      </c>
      <c r="S1439" s="1395">
        <f>IF(raw[[#This Row],[city]]="","-",IF(raw[[#This Row],[city]]&lt;&gt;_xlfn.XLOOKUP(raw[[#This Row],[home]],homes[home],homes[city],"-"),1,0))</f>
        <v/>
      </c>
      <c r="T1439" s="1398" t="inlineStr">
        <is>
          <t>.</t>
        </is>
      </c>
      <c r="U1439" s="1399">
        <f>IF(raw[[#This Row],[wb]]="w",raw[[#This Row],[stay]]+U1438,U1438)</f>
        <v/>
      </c>
      <c r="V1439" s="1400">
        <f>IF(raw[[#This Row],[out]]=0,V1438,(raw[[#This Row],[out]]-E$5))</f>
        <v/>
      </c>
      <c r="W1439" s="1401">
        <f>U1439/V1439</f>
        <v/>
      </c>
      <c r="X1439" s="1392" t="n"/>
      <c r="Y1439" s="1392" t="n"/>
      <c r="Z1439" s="1392" t="n"/>
      <c r="AA1439" s="1392" t="n"/>
      <c r="AB1439" s="1392" t="n"/>
      <c r="AC1439" s="1392" t="n"/>
      <c r="AD1439" s="1392" t="n"/>
      <c r="AE1439" s="1392" t="n"/>
      <c r="AF1439" s="1392" t="n"/>
      <c r="AG1439" s="1392" t="n"/>
      <c r="AH1439" s="1392" t="n"/>
      <c r="AI1439" s="1392" t="n"/>
      <c r="AJ1439" s="1392" t="n"/>
      <c r="AK1439" s="1392" t="n"/>
      <c r="AL1439" s="1392" t="n"/>
      <c r="AM1439" s="1392" t="n"/>
      <c r="AN1439" s="1392" t="n"/>
      <c r="AO1439" s="1392" t="n"/>
      <c r="AP1439" s="1392" t="n"/>
      <c r="AQ1439" s="1392" t="n"/>
      <c r="AR1439" s="1422" t="n"/>
      <c r="AS1439" s="1422" t="n"/>
      <c r="AT1439" s="1392" t="n"/>
      <c r="AU1439" s="1392" t="n"/>
      <c r="AV1439" s="1392" t="n"/>
      <c r="AW1439" s="1392" t="n"/>
      <c r="AX1439" s="1392" t="n"/>
      <c r="AY1439" s="1392" t="n"/>
      <c r="AZ1439" s="1392" t="n"/>
      <c r="BA1439" s="1422" t="n"/>
      <c r="BB1439" s="1422" t="n"/>
      <c r="BC1439" s="1392" t="n"/>
      <c r="BD1439" s="1392" t="n"/>
      <c r="BE1439" s="1392" t="n"/>
      <c r="BF1439" s="1392" t="n"/>
      <c r="BG1439" s="1392" t="n"/>
      <c r="BH1439" s="1392" t="n"/>
      <c r="BI1439" s="1392" t="n"/>
      <c r="BJ1439" s="1392" t="n"/>
      <c r="BK1439" s="1392" t="n"/>
      <c r="BL1439" s="1392" t="n"/>
      <c r="BM1439" s="1392" t="n"/>
      <c r="BN1439" s="1392" t="n"/>
      <c r="BO1439" s="1392" t="n"/>
      <c r="BP1439" s="1392" t="n"/>
      <c r="BQ1439" s="1392" t="n"/>
      <c r="BR1439" s="1392" t="n"/>
      <c r="BS1439" s="1392" t="n"/>
      <c r="BT1439" s="1392" t="n"/>
      <c r="BU1439" s="1392" t="n"/>
      <c r="BV1439" s="1392" t="n"/>
      <c r="BW1439" s="1392" t="n"/>
      <c r="BX1439" s="1392" t="n"/>
      <c r="BY1439" s="1392" t="n"/>
      <c r="BZ1439" s="1392" t="n"/>
      <c r="CA1439" s="1392" t="n"/>
      <c r="CB1439" s="1392" t="n"/>
      <c r="CC1439" s="1392" t="n"/>
      <c r="CD1439" s="1392" t="n"/>
      <c r="CE1439" s="1392" t="n"/>
      <c r="CF1439" s="1392" t="n"/>
      <c r="CG1439" s="1392" t="n"/>
      <c r="CH1439" s="1392" t="n"/>
      <c r="CI1439" s="1392" t="n"/>
      <c r="CJ1439" s="1392" t="n"/>
      <c r="CK1439" s="1392" t="n"/>
      <c r="CL1439" s="1392" t="n"/>
    </row>
    <row r="1440">
      <c r="A1440" s="5" t="inlineStr">
        <is>
          <t>.</t>
        </is>
      </c>
      <c r="B1440" s="5" t="inlineStr">
        <is>
          <t>.</t>
        </is>
      </c>
      <c r="C1440" s="1378">
        <f>IF(raw[[#This Row],[city]]="","-",IF(raw[[#This Row],[city]]="TODAY","-",C1439+1))</f>
        <v/>
      </c>
      <c r="D1440" s="1393" t="inlineStr">
        <is>
          <t>Montreal</t>
        </is>
      </c>
      <c r="E1440" s="1394" t="n">
        <v>43101</v>
      </c>
      <c r="F1440" s="1394" t="n">
        <v>43125</v>
      </c>
      <c r="G1440" s="1393" t="n">
        <v>1</v>
      </c>
      <c r="H1440" s="1393" t="inlineStr">
        <is>
          <t>Nadeau</t>
        </is>
      </c>
      <c r="I1440" s="1393" t="inlineStr">
        <is>
          <t>-</t>
        </is>
      </c>
      <c r="J1440" s="1393" t="inlineStr">
        <is>
          <t>REV</t>
        </is>
      </c>
      <c r="K1440" s="1395">
        <f>IF(raw[[#This Row],[city]]&lt;&gt;"",_xlfn.XLOOKUP($D1440,ccc[city],ccc[prov],"-"),"-")</f>
        <v/>
      </c>
      <c r="L1440" s="1395">
        <f>IF(raw[[#This Row],[city]]&lt;&gt;"",_xlfn.XLOOKUP($D1440,ccc[city],ccc[ctry],"-"),"-")</f>
        <v/>
      </c>
      <c r="M1440" s="1395">
        <f>IF(raw[[#This Row],[city]]&lt;&gt;"",_xlfn.XLOOKUP($D1440,ccc[city],ccc[cont],"-"),"-")</f>
        <v/>
      </c>
      <c r="N1440" s="1396">
        <f>IF(raw[[#This Row],[city]]="","-",IF(raw[[#This Row],[cont]]="B",raw[[#This Row],[cont]],"W"))</f>
        <v/>
      </c>
      <c r="O1440" s="1397">
        <f>IF(raw[[#This Row],[out]]=0,0,IF(raw[[#This Row],[out]]=raw[[#This Row],[in]],0.01,raw[[#This Row],[out]]-raw[[#This Row],[in]]))</f>
        <v/>
      </c>
      <c r="P1440" s="1397">
        <f>IF(raw[[#This Row],[in]]=0,0,MONTH(raw[[#This Row],[in]]))</f>
        <v/>
      </c>
      <c r="Q1440" s="1397">
        <f>IF(raw[[#This Row],[in]]=0,0,YEAR(raw[[#This Row],[in]]))</f>
        <v/>
      </c>
      <c r="R1440" s="1397">
        <f>INT(raw[[#This Row],[yr]]/10)*10</f>
        <v/>
      </c>
      <c r="S1440" s="1395">
        <f>IF(raw[[#This Row],[city]]="","-",IF(raw[[#This Row],[city]]&lt;&gt;_xlfn.XLOOKUP(raw[[#This Row],[home]],homes[home],homes[city],"-"),1,0))</f>
        <v/>
      </c>
      <c r="T1440" s="1398" t="inlineStr">
        <is>
          <t>.</t>
        </is>
      </c>
      <c r="U1440" s="1399">
        <f>IF(raw[[#This Row],[wb]]="w",raw[[#This Row],[stay]]+U1439,U1439)</f>
        <v/>
      </c>
      <c r="V1440" s="1400">
        <f>IF(raw[[#This Row],[out]]=0,V1439,(raw[[#This Row],[out]]-E$5))</f>
        <v/>
      </c>
      <c r="W1440" s="1401">
        <f>U1440/V1440</f>
        <v/>
      </c>
      <c r="X1440" s="1392" t="n"/>
      <c r="Y1440" s="1392" t="n"/>
      <c r="Z1440" s="1392" t="n"/>
      <c r="AA1440" s="1392" t="n"/>
      <c r="AB1440" s="1392" t="n"/>
      <c r="AC1440" s="1392" t="n"/>
      <c r="AD1440" s="1392" t="n"/>
      <c r="AE1440" s="1392" t="n"/>
      <c r="AF1440" s="1392" t="n"/>
      <c r="AG1440" s="1392" t="n"/>
      <c r="AH1440" s="1392" t="n"/>
      <c r="AI1440" s="1392" t="n"/>
      <c r="AJ1440" s="1392" t="n"/>
      <c r="AK1440" s="1392" t="n"/>
      <c r="AL1440" s="1392" t="n"/>
      <c r="AM1440" s="1392" t="n"/>
      <c r="AN1440" s="1392" t="n"/>
      <c r="AO1440" s="1392" t="n"/>
      <c r="AP1440" s="1392" t="n"/>
      <c r="AQ1440" s="1392" t="n"/>
      <c r="AR1440" s="1422" t="n"/>
      <c r="AS1440" s="1422" t="n"/>
      <c r="AT1440" s="1392" t="n"/>
      <c r="AU1440" s="1392" t="n"/>
      <c r="AV1440" s="1392" t="n"/>
      <c r="AW1440" s="1392" t="n"/>
      <c r="AX1440" s="1392" t="n"/>
      <c r="AY1440" s="1392" t="n"/>
      <c r="AZ1440" s="1392" t="n"/>
      <c r="BA1440" s="1422" t="n"/>
      <c r="BB1440" s="1422" t="n"/>
      <c r="BC1440" s="1392" t="n"/>
      <c r="BD1440" s="1392" t="n"/>
      <c r="BE1440" s="1392" t="n"/>
      <c r="BF1440" s="1392" t="n"/>
      <c r="BG1440" s="1392" t="n"/>
      <c r="BH1440" s="1392" t="n"/>
      <c r="BI1440" s="1392" t="n"/>
      <c r="BJ1440" s="1392" t="n"/>
      <c r="BK1440" s="1392" t="n"/>
      <c r="BL1440" s="1392" t="n"/>
      <c r="BM1440" s="1392" t="n"/>
      <c r="BN1440" s="1392" t="n"/>
      <c r="BO1440" s="1392" t="n"/>
      <c r="BP1440" s="1392" t="n"/>
      <c r="BQ1440" s="1392" t="n"/>
      <c r="BR1440" s="1392" t="n"/>
      <c r="BS1440" s="1392" t="n"/>
      <c r="BT1440" s="1392" t="n"/>
      <c r="BU1440" s="1392" t="n"/>
      <c r="BV1440" s="1392" t="n"/>
      <c r="BW1440" s="1392" t="n"/>
      <c r="BX1440" s="1392" t="n"/>
      <c r="BY1440" s="1392" t="n"/>
      <c r="BZ1440" s="1392" t="n"/>
      <c r="CA1440" s="1392" t="n"/>
      <c r="CB1440" s="1392" t="n"/>
      <c r="CC1440" s="1392" t="n"/>
      <c r="CD1440" s="1392" t="n"/>
      <c r="CE1440" s="1392" t="n"/>
      <c r="CF1440" s="1392" t="n"/>
      <c r="CG1440" s="1392" t="n"/>
      <c r="CH1440" s="1392" t="n"/>
      <c r="CI1440" s="1392" t="n"/>
      <c r="CJ1440" s="1392" t="n"/>
      <c r="CK1440" s="1392" t="n"/>
      <c r="CL1440" s="1392" t="n"/>
    </row>
    <row r="1441">
      <c r="A1441" s="5" t="inlineStr">
        <is>
          <t>.</t>
        </is>
      </c>
      <c r="B1441" s="5" t="inlineStr">
        <is>
          <t>.</t>
        </is>
      </c>
      <c r="C1441" s="1378">
        <f>IF(raw[[#This Row],[city]]="","-",IF(raw[[#This Row],[city]]="TODAY","-",C1440+1))</f>
        <v/>
      </c>
      <c r="D1441" s="1393" t="inlineStr">
        <is>
          <t>Detroit</t>
        </is>
      </c>
      <c r="E1441" s="1394" t="n">
        <v>43125</v>
      </c>
      <c r="F1441" s="1394" t="n">
        <v>43125</v>
      </c>
      <c r="G1441" s="1393" t="n">
        <v>0.01</v>
      </c>
      <c r="H1441" s="1393" t="inlineStr">
        <is>
          <t>Nadeau</t>
        </is>
      </c>
      <c r="I1441" s="1393" t="inlineStr">
        <is>
          <t>-</t>
        </is>
      </c>
      <c r="J1441" s="1393" t="inlineStr">
        <is>
          <t>-</t>
        </is>
      </c>
      <c r="K1441" s="1395">
        <f>IF(raw[[#This Row],[city]]&lt;&gt;"",_xlfn.XLOOKUP($D1441,ccc[city],ccc[prov],"-"),"-")</f>
        <v/>
      </c>
      <c r="L1441" s="1395">
        <f>IF(raw[[#This Row],[city]]&lt;&gt;"",_xlfn.XLOOKUP($D1441,ccc[city],ccc[ctry],"-"),"-")</f>
        <v/>
      </c>
      <c r="M1441" s="1395">
        <f>IF(raw[[#This Row],[city]]&lt;&gt;"",_xlfn.XLOOKUP($D1441,ccc[city],ccc[cont],"-"),"-")</f>
        <v/>
      </c>
      <c r="N1441" s="1396">
        <f>IF(raw[[#This Row],[city]]="","-",IF(raw[[#This Row],[cont]]="B",raw[[#This Row],[cont]],"W"))</f>
        <v/>
      </c>
      <c r="O1441" s="1397">
        <f>IF(raw[[#This Row],[out]]=0,0,IF(raw[[#This Row],[out]]=raw[[#This Row],[in]],0.01,raw[[#This Row],[out]]-raw[[#This Row],[in]]))</f>
        <v/>
      </c>
      <c r="P1441" s="1397">
        <f>IF(raw[[#This Row],[in]]=0,0,MONTH(raw[[#This Row],[in]]))</f>
        <v/>
      </c>
      <c r="Q1441" s="1397">
        <f>IF(raw[[#This Row],[in]]=0,0,YEAR(raw[[#This Row],[in]]))</f>
        <v/>
      </c>
      <c r="R1441" s="1397">
        <f>INT(raw[[#This Row],[yr]]/10)*10</f>
        <v/>
      </c>
      <c r="S1441" s="1395">
        <f>IF(raw[[#This Row],[city]]="","-",IF(raw[[#This Row],[city]]&lt;&gt;_xlfn.XLOOKUP(raw[[#This Row],[home]],homes[home],homes[city],"-"),1,0))</f>
        <v/>
      </c>
      <c r="T1441" s="1398" t="inlineStr">
        <is>
          <t>.</t>
        </is>
      </c>
      <c r="U1441" s="1399">
        <f>IF(raw[[#This Row],[wb]]="w",raw[[#This Row],[stay]]+U1440,U1440)</f>
        <v/>
      </c>
      <c r="V1441" s="1400">
        <f>IF(raw[[#This Row],[out]]=0,V1440,(raw[[#This Row],[out]]-E$5))</f>
        <v/>
      </c>
      <c r="W1441" s="1401">
        <f>U1441/V1441</f>
        <v/>
      </c>
      <c r="X1441" s="1392" t="n"/>
      <c r="Y1441" s="1392" t="n"/>
      <c r="Z1441" s="1392" t="n"/>
      <c r="AA1441" s="1392" t="n"/>
      <c r="AB1441" s="1392" t="n"/>
      <c r="AC1441" s="1392" t="n"/>
      <c r="AD1441" s="1392" t="n"/>
      <c r="AE1441" s="1392" t="n"/>
      <c r="AF1441" s="1392" t="n"/>
      <c r="AG1441" s="1392" t="n"/>
      <c r="AH1441" s="1392" t="n"/>
      <c r="AI1441" s="1392" t="n"/>
      <c r="AJ1441" s="1392" t="n"/>
      <c r="AK1441" s="1392" t="n"/>
      <c r="AL1441" s="1392" t="n"/>
      <c r="AM1441" s="1392" t="n"/>
      <c r="AN1441" s="1392" t="n"/>
      <c r="AO1441" s="1392" t="n"/>
      <c r="AP1441" s="1392" t="n"/>
      <c r="AQ1441" s="1392" t="n"/>
      <c r="AR1441" s="1422" t="n"/>
      <c r="AS1441" s="1422" t="n"/>
      <c r="AT1441" s="1392" t="n"/>
      <c r="AU1441" s="1392" t="n"/>
      <c r="AV1441" s="1392" t="n"/>
      <c r="AW1441" s="1392" t="n"/>
      <c r="AX1441" s="1392" t="n"/>
      <c r="AY1441" s="1392" t="n"/>
      <c r="AZ1441" s="1392" t="n"/>
      <c r="BA1441" s="1422" t="n"/>
      <c r="BB1441" s="1422" t="n"/>
      <c r="BC1441" s="1392" t="n"/>
      <c r="BD1441" s="1392" t="n"/>
      <c r="BE1441" s="1392" t="n"/>
      <c r="BF1441" s="1392" t="n"/>
      <c r="BG1441" s="1392" t="n"/>
      <c r="BH1441" s="1392" t="n"/>
      <c r="BI1441" s="1392" t="n"/>
      <c r="BJ1441" s="1392" t="n"/>
      <c r="BK1441" s="1392" t="n"/>
      <c r="BL1441" s="1392" t="n"/>
      <c r="BM1441" s="1392" t="n"/>
      <c r="BN1441" s="1392" t="n"/>
      <c r="BO1441" s="1392" t="n"/>
      <c r="BP1441" s="1392" t="n"/>
      <c r="BQ1441" s="1392" t="n"/>
      <c r="BR1441" s="1392" t="n"/>
      <c r="BS1441" s="1392" t="n"/>
      <c r="BT1441" s="1392" t="n"/>
      <c r="BU1441" s="1392" t="n"/>
      <c r="BV1441" s="1392" t="n"/>
      <c r="BW1441" s="1392" t="n"/>
      <c r="BX1441" s="1392" t="n"/>
      <c r="BY1441" s="1392" t="n"/>
      <c r="BZ1441" s="1392" t="n"/>
      <c r="CA1441" s="1392" t="n"/>
      <c r="CB1441" s="1392" t="n"/>
      <c r="CC1441" s="1392" t="n"/>
      <c r="CD1441" s="1392" t="n"/>
      <c r="CE1441" s="1392" t="n"/>
      <c r="CF1441" s="1392" t="n"/>
      <c r="CG1441" s="1392" t="n"/>
      <c r="CH1441" s="1392" t="n"/>
      <c r="CI1441" s="1392" t="n"/>
      <c r="CJ1441" s="1392" t="n"/>
      <c r="CK1441" s="1392" t="n"/>
      <c r="CL1441" s="1392" t="n"/>
    </row>
    <row r="1442">
      <c r="A1442" s="5" t="inlineStr">
        <is>
          <t>.</t>
        </is>
      </c>
      <c r="B1442" s="5" t="inlineStr">
        <is>
          <t>.</t>
        </is>
      </c>
      <c r="C1442" s="1378">
        <f>IF(raw[[#This Row],[city]]="","-",IF(raw[[#This Row],[city]]="TODAY","-",C1441+1))</f>
        <v/>
      </c>
      <c r="D1442" s="1393" t="inlineStr">
        <is>
          <t>Orlando</t>
        </is>
      </c>
      <c r="E1442" s="1394" t="n">
        <v>43125</v>
      </c>
      <c r="F1442" s="1394" t="n">
        <v>43132</v>
      </c>
      <c r="G1442" s="1393" t="inlineStr">
        <is>
          <t>-</t>
        </is>
      </c>
      <c r="H1442" s="1393" t="inlineStr">
        <is>
          <t>Nadeau</t>
        </is>
      </c>
      <c r="I1442" s="1393" t="inlineStr">
        <is>
          <t>-</t>
        </is>
      </c>
      <c r="J1442" s="1393" t="inlineStr">
        <is>
          <t>-</t>
        </is>
      </c>
      <c r="K1442" s="1395">
        <f>IF(raw[[#This Row],[city]]&lt;&gt;"",_xlfn.XLOOKUP($D1442,ccc[city],ccc[prov],"-"),"-")</f>
        <v/>
      </c>
      <c r="L1442" s="1395">
        <f>IF(raw[[#This Row],[city]]&lt;&gt;"",_xlfn.XLOOKUP($D1442,ccc[city],ccc[ctry],"-"),"-")</f>
        <v/>
      </c>
      <c r="M1442" s="1395">
        <f>IF(raw[[#This Row],[city]]&lt;&gt;"",_xlfn.XLOOKUP($D1442,ccc[city],ccc[cont],"-"),"-")</f>
        <v/>
      </c>
      <c r="N1442" s="1396">
        <f>IF(raw[[#This Row],[city]]="","-",IF(raw[[#This Row],[cont]]="B",raw[[#This Row],[cont]],"W"))</f>
        <v/>
      </c>
      <c r="O1442" s="1397">
        <f>IF(raw[[#This Row],[out]]=0,0,IF(raw[[#This Row],[out]]=raw[[#This Row],[in]],0.01,raw[[#This Row],[out]]-raw[[#This Row],[in]]))</f>
        <v/>
      </c>
      <c r="P1442" s="1397">
        <f>IF(raw[[#This Row],[in]]=0,0,MONTH(raw[[#This Row],[in]]))</f>
        <v/>
      </c>
      <c r="Q1442" s="1397">
        <f>IF(raw[[#This Row],[in]]=0,0,YEAR(raw[[#This Row],[in]]))</f>
        <v/>
      </c>
      <c r="R1442" s="1397">
        <f>INT(raw[[#This Row],[yr]]/10)*10</f>
        <v/>
      </c>
      <c r="S1442" s="1395">
        <f>IF(raw[[#This Row],[city]]="","-",IF(raw[[#This Row],[city]]&lt;&gt;_xlfn.XLOOKUP(raw[[#This Row],[home]],homes[home],homes[city],"-"),1,0))</f>
        <v/>
      </c>
      <c r="T1442" s="1398" t="inlineStr">
        <is>
          <t>.</t>
        </is>
      </c>
      <c r="U1442" s="1399">
        <f>IF(raw[[#This Row],[wb]]="w",raw[[#This Row],[stay]]+U1441,U1441)</f>
        <v/>
      </c>
      <c r="V1442" s="1400">
        <f>IF(raw[[#This Row],[out]]=0,V1441,(raw[[#This Row],[out]]-E$5))</f>
        <v/>
      </c>
      <c r="W1442" s="1401">
        <f>U1442/V1442</f>
        <v/>
      </c>
      <c r="X1442" s="1392" t="n"/>
      <c r="Y1442" s="1392" t="n"/>
      <c r="Z1442" s="1392" t="n"/>
      <c r="AA1442" s="1392" t="n"/>
      <c r="AB1442" s="1392" t="n"/>
      <c r="AC1442" s="1392" t="n"/>
      <c r="AD1442" s="1392" t="n"/>
      <c r="AE1442" s="1392" t="n"/>
      <c r="AF1442" s="1392" t="n"/>
      <c r="AG1442" s="1392" t="n"/>
      <c r="AH1442" s="1392" t="n"/>
      <c r="AI1442" s="1392" t="n"/>
      <c r="AJ1442" s="1392" t="n"/>
      <c r="AK1442" s="1392" t="n"/>
      <c r="AL1442" s="1392" t="n"/>
      <c r="AM1442" s="1392" t="n"/>
      <c r="AN1442" s="1392" t="n"/>
      <c r="AO1442" s="1392" t="n"/>
      <c r="AP1442" s="1392" t="n"/>
      <c r="AQ1442" s="1392" t="n"/>
      <c r="AR1442" s="1422" t="n"/>
      <c r="AS1442" s="1422" t="n"/>
      <c r="AT1442" s="1392" t="n"/>
      <c r="AU1442" s="1392" t="n"/>
      <c r="AV1442" s="1392" t="n"/>
      <c r="AW1442" s="1392" t="n"/>
      <c r="AX1442" s="1392" t="n"/>
      <c r="AY1442" s="1392" t="n"/>
      <c r="AZ1442" s="1392" t="n"/>
      <c r="BA1442" s="1422" t="n"/>
      <c r="BB1442" s="1422" t="n"/>
      <c r="BC1442" s="1392" t="n"/>
      <c r="BD1442" s="1392" t="n"/>
      <c r="BE1442" s="1392" t="n"/>
      <c r="BF1442" s="1392" t="n"/>
      <c r="BG1442" s="1392" t="n"/>
      <c r="BH1442" s="1392" t="n"/>
      <c r="BI1442" s="1392" t="n"/>
      <c r="BJ1442" s="1392" t="n"/>
      <c r="BK1442" s="1392" t="n"/>
      <c r="BL1442" s="1392" t="n"/>
      <c r="BM1442" s="1392" t="n"/>
      <c r="BN1442" s="1392" t="n"/>
      <c r="BO1442" s="1392" t="n"/>
      <c r="BP1442" s="1392" t="n"/>
      <c r="BQ1442" s="1392" t="n"/>
      <c r="BR1442" s="1392" t="n"/>
      <c r="BS1442" s="1392" t="n"/>
      <c r="BT1442" s="1392" t="n"/>
      <c r="BU1442" s="1392" t="n"/>
      <c r="BV1442" s="1392" t="n"/>
      <c r="BW1442" s="1392" t="n"/>
      <c r="BX1442" s="1392" t="n"/>
      <c r="BY1442" s="1392" t="n"/>
      <c r="BZ1442" s="1392" t="n"/>
      <c r="CA1442" s="1392" t="n"/>
      <c r="CB1442" s="1392" t="n"/>
      <c r="CC1442" s="1392" t="n"/>
      <c r="CD1442" s="1392" t="n"/>
      <c r="CE1442" s="1392" t="n"/>
      <c r="CF1442" s="1392" t="n"/>
      <c r="CG1442" s="1392" t="n"/>
      <c r="CH1442" s="1392" t="n"/>
      <c r="CI1442" s="1392" t="n"/>
      <c r="CJ1442" s="1392" t="n"/>
      <c r="CK1442" s="1392" t="n"/>
      <c r="CL1442" s="1392" t="n"/>
    </row>
    <row r="1443">
      <c r="A1443" s="5" t="inlineStr">
        <is>
          <t>.</t>
        </is>
      </c>
      <c r="B1443" s="5" t="inlineStr">
        <is>
          <t>.</t>
        </is>
      </c>
      <c r="C1443" s="1378">
        <f>IF(raw[[#This Row],[city]]="","-",IF(raw[[#This Row],[city]]="TODAY","-",C1442+1))</f>
        <v/>
      </c>
      <c r="D1443" s="1393" t="inlineStr">
        <is>
          <t>Orlando</t>
        </is>
      </c>
      <c r="E1443" s="1394" t="n">
        <v>43132</v>
      </c>
      <c r="F1443" s="1394" t="n">
        <v>43136</v>
      </c>
      <c r="G1443" s="1393" t="n">
        <v>1</v>
      </c>
      <c r="H1443" s="1393" t="inlineStr">
        <is>
          <t>Nadeau</t>
        </is>
      </c>
      <c r="I1443" s="1393" t="inlineStr">
        <is>
          <t>-</t>
        </is>
      </c>
      <c r="J1443" s="1393" t="inlineStr">
        <is>
          <t>-</t>
        </is>
      </c>
      <c r="K1443" s="1395">
        <f>IF(raw[[#This Row],[city]]&lt;&gt;"",_xlfn.XLOOKUP($D1443,ccc[city],ccc[prov],"-"),"-")</f>
        <v/>
      </c>
      <c r="L1443" s="1395">
        <f>IF(raw[[#This Row],[city]]&lt;&gt;"",_xlfn.XLOOKUP($D1443,ccc[city],ccc[ctry],"-"),"-")</f>
        <v/>
      </c>
      <c r="M1443" s="1395">
        <f>IF(raw[[#This Row],[city]]&lt;&gt;"",_xlfn.XLOOKUP($D1443,ccc[city],ccc[cont],"-"),"-")</f>
        <v/>
      </c>
      <c r="N1443" s="1396">
        <f>IF(raw[[#This Row],[city]]="","-",IF(raw[[#This Row],[cont]]="B",raw[[#This Row],[cont]],"W"))</f>
        <v/>
      </c>
      <c r="O1443" s="1397">
        <f>IF(raw[[#This Row],[out]]=0,0,IF(raw[[#This Row],[out]]=raw[[#This Row],[in]],0.01,raw[[#This Row],[out]]-raw[[#This Row],[in]]))</f>
        <v/>
      </c>
      <c r="P1443" s="1397">
        <f>IF(raw[[#This Row],[in]]=0,0,MONTH(raw[[#This Row],[in]]))</f>
        <v/>
      </c>
      <c r="Q1443" s="1397">
        <f>IF(raw[[#This Row],[in]]=0,0,YEAR(raw[[#This Row],[in]]))</f>
        <v/>
      </c>
      <c r="R1443" s="1397">
        <f>INT(raw[[#This Row],[yr]]/10)*10</f>
        <v/>
      </c>
      <c r="S1443" s="1395">
        <f>IF(raw[[#This Row],[city]]="","-",IF(raw[[#This Row],[city]]&lt;&gt;_xlfn.XLOOKUP(raw[[#This Row],[home]],homes[home],homes[city],"-"),1,0))</f>
        <v/>
      </c>
      <c r="T1443" s="1398" t="inlineStr">
        <is>
          <t>.</t>
        </is>
      </c>
      <c r="U1443" s="1399">
        <f>IF(raw[[#This Row],[wb]]="w",raw[[#This Row],[stay]]+U1442,U1442)</f>
        <v/>
      </c>
      <c r="V1443" s="1400">
        <f>IF(raw[[#This Row],[out]]=0,V1442,(raw[[#This Row],[out]]-E$5))</f>
        <v/>
      </c>
      <c r="W1443" s="1401">
        <f>U1443/V1443</f>
        <v/>
      </c>
      <c r="X1443" s="1392" t="n"/>
      <c r="Y1443" s="1392" t="n"/>
      <c r="Z1443" s="1392" t="n"/>
      <c r="AA1443" s="1392" t="n"/>
      <c r="AB1443" s="1392" t="n"/>
      <c r="AC1443" s="1392" t="n"/>
      <c r="AD1443" s="1392" t="n"/>
      <c r="AE1443" s="1392" t="n"/>
      <c r="AF1443" s="1392" t="n"/>
      <c r="AG1443" s="1392" t="n"/>
      <c r="AH1443" s="1392" t="n"/>
      <c r="AI1443" s="1392" t="n"/>
      <c r="AJ1443" s="1392" t="n"/>
      <c r="AK1443" s="1392" t="n"/>
      <c r="AL1443" s="1392" t="n"/>
      <c r="AM1443" s="1392" t="n"/>
      <c r="AN1443" s="1392" t="n"/>
      <c r="AO1443" s="1392" t="n"/>
      <c r="AP1443" s="1392" t="n"/>
      <c r="AQ1443" s="1392" t="n"/>
      <c r="AR1443" s="1422" t="n"/>
      <c r="AS1443" s="1422" t="n"/>
      <c r="AT1443" s="1392" t="n"/>
      <c r="AU1443" s="1392" t="n"/>
      <c r="AV1443" s="1392" t="n"/>
      <c r="AW1443" s="1392" t="n"/>
      <c r="AX1443" s="1392" t="n"/>
      <c r="AY1443" s="1392" t="n"/>
      <c r="AZ1443" s="1392" t="n"/>
      <c r="BA1443" s="1422" t="n"/>
      <c r="BB1443" s="1422" t="n"/>
      <c r="BC1443" s="1392" t="n"/>
      <c r="BD1443" s="1392" t="n"/>
      <c r="BE1443" s="1392" t="n"/>
      <c r="BF1443" s="1392" t="n"/>
      <c r="BG1443" s="1392" t="n"/>
      <c r="BH1443" s="1392" t="n"/>
      <c r="BI1443" s="1392" t="n"/>
      <c r="BJ1443" s="1392" t="n"/>
      <c r="BK1443" s="1392" t="n"/>
      <c r="BL1443" s="1392" t="n"/>
      <c r="BM1443" s="1392" t="n"/>
      <c r="BN1443" s="1392" t="n"/>
      <c r="BO1443" s="1392" t="n"/>
      <c r="BP1443" s="1392" t="n"/>
      <c r="BQ1443" s="1392" t="n"/>
      <c r="BR1443" s="1392" t="n"/>
      <c r="BS1443" s="1392" t="n"/>
      <c r="BT1443" s="1392" t="n"/>
      <c r="BU1443" s="1392" t="n"/>
      <c r="BV1443" s="1392" t="n"/>
      <c r="BW1443" s="1392" t="n"/>
      <c r="BX1443" s="1392" t="n"/>
      <c r="BY1443" s="1392" t="n"/>
      <c r="BZ1443" s="1392" t="n"/>
      <c r="CA1443" s="1392" t="n"/>
      <c r="CB1443" s="1392" t="n"/>
      <c r="CC1443" s="1392" t="n"/>
      <c r="CD1443" s="1392" t="n"/>
      <c r="CE1443" s="1392" t="n"/>
      <c r="CF1443" s="1392" t="n"/>
      <c r="CG1443" s="1392" t="n"/>
      <c r="CH1443" s="1392" t="n"/>
      <c r="CI1443" s="1392" t="n"/>
      <c r="CJ1443" s="1392" t="n"/>
      <c r="CK1443" s="1392" t="n"/>
      <c r="CL1443" s="1392" t="n"/>
    </row>
    <row r="1444">
      <c r="A1444" s="5" t="inlineStr">
        <is>
          <t>.</t>
        </is>
      </c>
      <c r="B1444" s="5" t="inlineStr">
        <is>
          <t>.</t>
        </is>
      </c>
      <c r="C1444" s="1378">
        <f>IF(raw[[#This Row],[city]]="","-",IF(raw[[#This Row],[city]]="TODAY","-",C1443+1))</f>
        <v/>
      </c>
      <c r="D1444" s="1393" t="inlineStr">
        <is>
          <t>NYC</t>
        </is>
      </c>
      <c r="E1444" s="1394" t="n">
        <v>43136</v>
      </c>
      <c r="F1444" s="1394" t="n">
        <v>43136</v>
      </c>
      <c r="G1444" s="1393" t="n">
        <v>0.01</v>
      </c>
      <c r="H1444" s="1393" t="inlineStr">
        <is>
          <t>Nadeau</t>
        </is>
      </c>
      <c r="I1444" s="1393" t="inlineStr">
        <is>
          <t>-</t>
        </is>
      </c>
      <c r="J1444" s="1393" t="inlineStr">
        <is>
          <t>-</t>
        </is>
      </c>
      <c r="K1444" s="1395">
        <f>IF(raw[[#This Row],[city]]&lt;&gt;"",_xlfn.XLOOKUP($D1444,ccc[city],ccc[prov],"-"),"-")</f>
        <v/>
      </c>
      <c r="L1444" s="1395">
        <f>IF(raw[[#This Row],[city]]&lt;&gt;"",_xlfn.XLOOKUP($D1444,ccc[city],ccc[ctry],"-"),"-")</f>
        <v/>
      </c>
      <c r="M1444" s="1395">
        <f>IF(raw[[#This Row],[city]]&lt;&gt;"",_xlfn.XLOOKUP($D1444,ccc[city],ccc[cont],"-"),"-")</f>
        <v/>
      </c>
      <c r="N1444" s="1396">
        <f>IF(raw[[#This Row],[city]]="","-",IF(raw[[#This Row],[cont]]="B",raw[[#This Row],[cont]],"W"))</f>
        <v/>
      </c>
      <c r="O1444" s="1397">
        <f>IF(raw[[#This Row],[out]]=0,0,IF(raw[[#This Row],[out]]=raw[[#This Row],[in]],0.01,raw[[#This Row],[out]]-raw[[#This Row],[in]]))</f>
        <v/>
      </c>
      <c r="P1444" s="1397">
        <f>IF(raw[[#This Row],[in]]=0,0,MONTH(raw[[#This Row],[in]]))</f>
        <v/>
      </c>
      <c r="Q1444" s="1397">
        <f>IF(raw[[#This Row],[in]]=0,0,YEAR(raw[[#This Row],[in]]))</f>
        <v/>
      </c>
      <c r="R1444" s="1397">
        <f>INT(raw[[#This Row],[yr]]/10)*10</f>
        <v/>
      </c>
      <c r="S1444" s="1395">
        <f>IF(raw[[#This Row],[city]]="","-",IF(raw[[#This Row],[city]]&lt;&gt;_xlfn.XLOOKUP(raw[[#This Row],[home]],homes[home],homes[city],"-"),1,0))</f>
        <v/>
      </c>
      <c r="T1444" s="1398" t="inlineStr">
        <is>
          <t>.</t>
        </is>
      </c>
      <c r="U1444" s="1399">
        <f>IF(raw[[#This Row],[wb]]="w",raw[[#This Row],[stay]]+U1443,U1443)</f>
        <v/>
      </c>
      <c r="V1444" s="1400">
        <f>IF(raw[[#This Row],[out]]=0,V1443,(raw[[#This Row],[out]]-E$5))</f>
        <v/>
      </c>
      <c r="W1444" s="1401">
        <f>U1444/V1444</f>
        <v/>
      </c>
      <c r="X1444" s="1392" t="n"/>
      <c r="Y1444" s="1392" t="n"/>
      <c r="Z1444" s="1392" t="n"/>
      <c r="AA1444" s="1392" t="n"/>
      <c r="AB1444" s="1392" t="n"/>
      <c r="AC1444" s="1392" t="n"/>
      <c r="AD1444" s="1392" t="n"/>
      <c r="AE1444" s="1392" t="n"/>
      <c r="AF1444" s="1392" t="n"/>
      <c r="AG1444" s="1392" t="n"/>
      <c r="AH1444" s="1392" t="n"/>
      <c r="AI1444" s="1392" t="n"/>
      <c r="AJ1444" s="1392" t="n"/>
      <c r="AK1444" s="1392" t="n"/>
      <c r="AL1444" s="1392" t="n"/>
      <c r="AM1444" s="1392" t="n"/>
      <c r="AN1444" s="1392" t="n"/>
      <c r="AO1444" s="1392" t="n"/>
      <c r="AP1444" s="1392" t="n"/>
      <c r="AQ1444" s="1392" t="n"/>
      <c r="AR1444" s="1422" t="n"/>
      <c r="AS1444" s="1422" t="n"/>
      <c r="AT1444" s="1392" t="n"/>
      <c r="AU1444" s="1392" t="n"/>
      <c r="AV1444" s="1392" t="n"/>
      <c r="AW1444" s="1392" t="n"/>
      <c r="AX1444" s="1392" t="n"/>
      <c r="AY1444" s="1392" t="n"/>
      <c r="AZ1444" s="1392" t="n"/>
      <c r="BA1444" s="1422" t="n"/>
      <c r="BB1444" s="1422" t="n"/>
      <c r="BC1444" s="1392" t="n"/>
      <c r="BD1444" s="1392" t="n"/>
      <c r="BE1444" s="1392" t="n"/>
      <c r="BF1444" s="1392" t="n"/>
      <c r="BG1444" s="1392" t="n"/>
      <c r="BH1444" s="1392" t="n"/>
      <c r="BI1444" s="1392" t="n"/>
      <c r="BJ1444" s="1392" t="n"/>
      <c r="BK1444" s="1392" t="n"/>
      <c r="BL1444" s="1392" t="n"/>
      <c r="BM1444" s="1392" t="n"/>
      <c r="BN1444" s="1392" t="n"/>
      <c r="BO1444" s="1392" t="n"/>
      <c r="BP1444" s="1392" t="n"/>
      <c r="BQ1444" s="1392" t="n"/>
      <c r="BR1444" s="1392" t="n"/>
      <c r="BS1444" s="1392" t="n"/>
      <c r="BT1444" s="1392" t="n"/>
      <c r="BU1444" s="1392" t="n"/>
      <c r="BV1444" s="1392" t="n"/>
      <c r="BW1444" s="1392" t="n"/>
      <c r="BX1444" s="1392" t="n"/>
      <c r="BY1444" s="1392" t="n"/>
      <c r="BZ1444" s="1392" t="n"/>
      <c r="CA1444" s="1392" t="n"/>
      <c r="CB1444" s="1392" t="n"/>
      <c r="CC1444" s="1392" t="n"/>
      <c r="CD1444" s="1392" t="n"/>
      <c r="CE1444" s="1392" t="n"/>
      <c r="CF1444" s="1392" t="n"/>
      <c r="CG1444" s="1392" t="n"/>
      <c r="CH1444" s="1392" t="n"/>
      <c r="CI1444" s="1392" t="n"/>
      <c r="CJ1444" s="1392" t="n"/>
      <c r="CK1444" s="1392" t="n"/>
      <c r="CL1444" s="1392" t="n"/>
    </row>
    <row r="1445">
      <c r="A1445" s="5" t="inlineStr">
        <is>
          <t>.</t>
        </is>
      </c>
      <c r="B1445" s="5" t="inlineStr">
        <is>
          <t>.</t>
        </is>
      </c>
      <c r="C1445" s="1378">
        <f>IF(raw[[#This Row],[city]]="","-",IF(raw[[#This Row],[city]]="TODAY","-",C1444+1))</f>
        <v/>
      </c>
      <c r="D1445" s="1393" t="inlineStr">
        <is>
          <t>Montreal</t>
        </is>
      </c>
      <c r="E1445" s="1394" t="n">
        <v>43136</v>
      </c>
      <c r="F1445" s="1394" t="n">
        <v>43160</v>
      </c>
      <c r="G1445" s="1393" t="inlineStr">
        <is>
          <t>-</t>
        </is>
      </c>
      <c r="H1445" s="1393" t="inlineStr">
        <is>
          <t>Nadeau</t>
        </is>
      </c>
      <c r="I1445" s="1393" t="inlineStr">
        <is>
          <t>-</t>
        </is>
      </c>
      <c r="J1445" s="1393" t="inlineStr">
        <is>
          <t>-</t>
        </is>
      </c>
      <c r="K1445" s="1395">
        <f>IF(raw[[#This Row],[city]]&lt;&gt;"",_xlfn.XLOOKUP($D1445,ccc[city],ccc[prov],"-"),"-")</f>
        <v/>
      </c>
      <c r="L1445" s="1395">
        <f>IF(raw[[#This Row],[city]]&lt;&gt;"",_xlfn.XLOOKUP($D1445,ccc[city],ccc[ctry],"-"),"-")</f>
        <v/>
      </c>
      <c r="M1445" s="1395">
        <f>IF(raw[[#This Row],[city]]&lt;&gt;"",_xlfn.XLOOKUP($D1445,ccc[city],ccc[cont],"-"),"-")</f>
        <v/>
      </c>
      <c r="N1445" s="1396">
        <f>IF(raw[[#This Row],[city]]="","-",IF(raw[[#This Row],[cont]]="B",raw[[#This Row],[cont]],"W"))</f>
        <v/>
      </c>
      <c r="O1445" s="1397">
        <f>IF(raw[[#This Row],[out]]=0,0,IF(raw[[#This Row],[out]]=raw[[#This Row],[in]],0.01,raw[[#This Row],[out]]-raw[[#This Row],[in]]))</f>
        <v/>
      </c>
      <c r="P1445" s="1397">
        <f>IF(raw[[#This Row],[in]]=0,0,MONTH(raw[[#This Row],[in]]))</f>
        <v/>
      </c>
      <c r="Q1445" s="1397">
        <f>IF(raw[[#This Row],[in]]=0,0,YEAR(raw[[#This Row],[in]]))</f>
        <v/>
      </c>
      <c r="R1445" s="1397">
        <f>INT(raw[[#This Row],[yr]]/10)*10</f>
        <v/>
      </c>
      <c r="S1445" s="1395">
        <f>IF(raw[[#This Row],[city]]="","-",IF(raw[[#This Row],[city]]&lt;&gt;_xlfn.XLOOKUP(raw[[#This Row],[home]],homes[home],homes[city],"-"),1,0))</f>
        <v/>
      </c>
      <c r="T1445" s="1398" t="inlineStr">
        <is>
          <t>.</t>
        </is>
      </c>
      <c r="U1445" s="1399">
        <f>IF(raw[[#This Row],[wb]]="w",raw[[#This Row],[stay]]+U1444,U1444)</f>
        <v/>
      </c>
      <c r="V1445" s="1400">
        <f>IF(raw[[#This Row],[out]]=0,V1444,(raw[[#This Row],[out]]-E$5))</f>
        <v/>
      </c>
      <c r="W1445" s="1401">
        <f>U1445/V1445</f>
        <v/>
      </c>
      <c r="X1445" s="1392" t="n"/>
      <c r="Y1445" s="1392" t="n"/>
      <c r="Z1445" s="1392" t="n"/>
      <c r="AA1445" s="1392" t="n"/>
      <c r="AB1445" s="1392" t="n"/>
      <c r="AC1445" s="1392" t="n"/>
      <c r="AD1445" s="1392" t="n"/>
      <c r="AE1445" s="1392" t="n"/>
      <c r="AF1445" s="1392" t="n"/>
      <c r="AG1445" s="1392" t="n"/>
      <c r="AH1445" s="1392" t="n"/>
      <c r="AI1445" s="1392" t="n"/>
      <c r="AJ1445" s="1392" t="n"/>
      <c r="AK1445" s="1392" t="n"/>
      <c r="AL1445" s="1392" t="n"/>
      <c r="AM1445" s="1392" t="n"/>
      <c r="AN1445" s="1392" t="n"/>
      <c r="AO1445" s="1392" t="n"/>
      <c r="AP1445" s="1392" t="n"/>
      <c r="AQ1445" s="1392" t="n"/>
      <c r="AR1445" s="1422" t="n"/>
      <c r="AS1445" s="1422" t="n"/>
      <c r="AT1445" s="1392" t="n"/>
      <c r="AU1445" s="1392" t="n"/>
      <c r="AV1445" s="1392" t="n"/>
      <c r="AW1445" s="1392" t="n"/>
      <c r="AX1445" s="1392" t="n"/>
      <c r="AY1445" s="1392" t="n"/>
      <c r="AZ1445" s="1392" t="n"/>
      <c r="BA1445" s="1422" t="n"/>
      <c r="BB1445" s="1422" t="n"/>
      <c r="BC1445" s="1392" t="n"/>
      <c r="BD1445" s="1392" t="n"/>
      <c r="BE1445" s="1392" t="n"/>
      <c r="BF1445" s="1392" t="n"/>
      <c r="BG1445" s="1392" t="n"/>
      <c r="BH1445" s="1392" t="n"/>
      <c r="BI1445" s="1392" t="n"/>
      <c r="BJ1445" s="1392" t="n"/>
      <c r="BK1445" s="1392" t="n"/>
      <c r="BL1445" s="1392" t="n"/>
      <c r="BM1445" s="1392" t="n"/>
      <c r="BN1445" s="1392" t="n"/>
      <c r="BO1445" s="1392" t="n"/>
      <c r="BP1445" s="1392" t="n"/>
      <c r="BQ1445" s="1392" t="n"/>
      <c r="BR1445" s="1392" t="n"/>
      <c r="BS1445" s="1392" t="n"/>
      <c r="BT1445" s="1392" t="n"/>
      <c r="BU1445" s="1392" t="n"/>
      <c r="BV1445" s="1392" t="n"/>
      <c r="BW1445" s="1392" t="n"/>
      <c r="BX1445" s="1392" t="n"/>
      <c r="BY1445" s="1392" t="n"/>
      <c r="BZ1445" s="1392" t="n"/>
      <c r="CA1445" s="1392" t="n"/>
      <c r="CB1445" s="1392" t="n"/>
      <c r="CC1445" s="1392" t="n"/>
      <c r="CD1445" s="1392" t="n"/>
      <c r="CE1445" s="1392" t="n"/>
      <c r="CF1445" s="1392" t="n"/>
      <c r="CG1445" s="1392" t="n"/>
      <c r="CH1445" s="1392" t="n"/>
      <c r="CI1445" s="1392" t="n"/>
      <c r="CJ1445" s="1392" t="n"/>
      <c r="CK1445" s="1392" t="n"/>
      <c r="CL1445" s="1392" t="n"/>
    </row>
    <row r="1446">
      <c r="A1446" s="5" t="inlineStr">
        <is>
          <t>.</t>
        </is>
      </c>
      <c r="B1446" s="5" t="inlineStr">
        <is>
          <t>.</t>
        </is>
      </c>
      <c r="C1446" s="1378">
        <f>IF(raw[[#This Row],[city]]="","-",IF(raw[[#This Row],[city]]="TODAY","-",C1445+1))</f>
        <v/>
      </c>
      <c r="D1446" s="1393" t="inlineStr">
        <is>
          <t>Montreal</t>
        </is>
      </c>
      <c r="E1446" s="1394" t="n">
        <v>43160</v>
      </c>
      <c r="F1446" s="1394" t="n">
        <v>43191</v>
      </c>
      <c r="G1446" s="1393" t="inlineStr">
        <is>
          <t>-</t>
        </is>
      </c>
      <c r="H1446" s="1393" t="inlineStr">
        <is>
          <t>Nadeau</t>
        </is>
      </c>
      <c r="I1446" s="1393" t="inlineStr">
        <is>
          <t>-</t>
        </is>
      </c>
      <c r="J1446" s="1393" t="inlineStr">
        <is>
          <t>-</t>
        </is>
      </c>
      <c r="K1446" s="1395">
        <f>IF(raw[[#This Row],[city]]&lt;&gt;"",_xlfn.XLOOKUP($D1446,ccc[city],ccc[prov],"-"),"-")</f>
        <v/>
      </c>
      <c r="L1446" s="1395">
        <f>IF(raw[[#This Row],[city]]&lt;&gt;"",_xlfn.XLOOKUP($D1446,ccc[city],ccc[ctry],"-"),"-")</f>
        <v/>
      </c>
      <c r="M1446" s="1395">
        <f>IF(raw[[#This Row],[city]]&lt;&gt;"",_xlfn.XLOOKUP($D1446,ccc[city],ccc[cont],"-"),"-")</f>
        <v/>
      </c>
      <c r="N1446" s="1396">
        <f>IF(raw[[#This Row],[city]]="","-",IF(raw[[#This Row],[cont]]="B",raw[[#This Row],[cont]],"W"))</f>
        <v/>
      </c>
      <c r="O1446" s="1397">
        <f>IF(raw[[#This Row],[out]]=0,0,IF(raw[[#This Row],[out]]=raw[[#This Row],[in]],0.01,raw[[#This Row],[out]]-raw[[#This Row],[in]]))</f>
        <v/>
      </c>
      <c r="P1446" s="1397">
        <f>IF(raw[[#This Row],[in]]=0,0,MONTH(raw[[#This Row],[in]]))</f>
        <v/>
      </c>
      <c r="Q1446" s="1397">
        <f>IF(raw[[#This Row],[in]]=0,0,YEAR(raw[[#This Row],[in]]))</f>
        <v/>
      </c>
      <c r="R1446" s="1397">
        <f>INT(raw[[#This Row],[yr]]/10)*10</f>
        <v/>
      </c>
      <c r="S1446" s="1395">
        <f>IF(raw[[#This Row],[city]]="","-",IF(raw[[#This Row],[city]]&lt;&gt;_xlfn.XLOOKUP(raw[[#This Row],[home]],homes[home],homes[city],"-"),1,0))</f>
        <v/>
      </c>
      <c r="T1446" s="1398" t="inlineStr">
        <is>
          <t>.</t>
        </is>
      </c>
      <c r="U1446" s="1399">
        <f>IF(raw[[#This Row],[wb]]="w",raw[[#This Row],[stay]]+U1445,U1445)</f>
        <v/>
      </c>
      <c r="V1446" s="1400">
        <f>IF(raw[[#This Row],[out]]=0,V1445,(raw[[#This Row],[out]]-E$5))</f>
        <v/>
      </c>
      <c r="W1446" s="1401">
        <f>U1446/V1446</f>
        <v/>
      </c>
      <c r="X1446" s="1392" t="n"/>
      <c r="Y1446" s="1392" t="n"/>
      <c r="Z1446" s="1392" t="n"/>
      <c r="AA1446" s="1392" t="n"/>
      <c r="AB1446" s="1392" t="n"/>
      <c r="AC1446" s="1392" t="n"/>
      <c r="AD1446" s="1392" t="n"/>
      <c r="AE1446" s="1392" t="n"/>
      <c r="AF1446" s="1392" t="n"/>
      <c r="AG1446" s="1392" t="n"/>
      <c r="AH1446" s="1392" t="n"/>
      <c r="AI1446" s="1392" t="n"/>
      <c r="AJ1446" s="1392" t="n"/>
      <c r="AK1446" s="1392" t="n"/>
      <c r="AL1446" s="1392" t="n"/>
      <c r="AM1446" s="1392" t="n"/>
      <c r="AN1446" s="1392" t="n"/>
      <c r="AO1446" s="1392" t="n"/>
      <c r="AP1446" s="1392" t="n"/>
      <c r="AQ1446" s="1392" t="n"/>
      <c r="AR1446" s="1422" t="n"/>
      <c r="AS1446" s="1422" t="n"/>
      <c r="AT1446" s="1392" t="n"/>
      <c r="AU1446" s="1392" t="n"/>
      <c r="AV1446" s="1392" t="n"/>
      <c r="AW1446" s="1392" t="n"/>
      <c r="AX1446" s="1392" t="n"/>
      <c r="AY1446" s="1392" t="n"/>
      <c r="AZ1446" s="1392" t="n"/>
      <c r="BA1446" s="1422" t="n"/>
      <c r="BB1446" s="1422" t="n"/>
      <c r="BC1446" s="1392" t="n"/>
      <c r="BD1446" s="1392" t="n"/>
      <c r="BE1446" s="1392" t="n"/>
      <c r="BF1446" s="1392" t="n"/>
      <c r="BG1446" s="1392" t="n"/>
      <c r="BH1446" s="1392" t="n"/>
      <c r="BI1446" s="1392" t="n"/>
      <c r="BJ1446" s="1392" t="n"/>
      <c r="BK1446" s="1392" t="n"/>
      <c r="BL1446" s="1392" t="n"/>
      <c r="BM1446" s="1392" t="n"/>
      <c r="BN1446" s="1392" t="n"/>
      <c r="BO1446" s="1392" t="n"/>
      <c r="BP1446" s="1392" t="n"/>
      <c r="BQ1446" s="1392" t="n"/>
      <c r="BR1446" s="1392" t="n"/>
      <c r="BS1446" s="1392" t="n"/>
      <c r="BT1446" s="1392" t="n"/>
      <c r="BU1446" s="1392" t="n"/>
      <c r="BV1446" s="1392" t="n"/>
      <c r="BW1446" s="1392" t="n"/>
      <c r="BX1446" s="1392" t="n"/>
      <c r="BY1446" s="1392" t="n"/>
      <c r="BZ1446" s="1392" t="n"/>
      <c r="CA1446" s="1392" t="n"/>
      <c r="CB1446" s="1392" t="n"/>
      <c r="CC1446" s="1392" t="n"/>
      <c r="CD1446" s="1392" t="n"/>
      <c r="CE1446" s="1392" t="n"/>
      <c r="CF1446" s="1392" t="n"/>
      <c r="CG1446" s="1392" t="n"/>
      <c r="CH1446" s="1392" t="n"/>
      <c r="CI1446" s="1392" t="n"/>
      <c r="CJ1446" s="1392" t="n"/>
      <c r="CK1446" s="1392" t="n"/>
      <c r="CL1446" s="1392" t="n"/>
    </row>
    <row r="1447">
      <c r="A1447" s="5" t="inlineStr">
        <is>
          <t>.</t>
        </is>
      </c>
      <c r="B1447" s="5" t="inlineStr">
        <is>
          <t>.</t>
        </is>
      </c>
      <c r="C1447" s="1378">
        <f>IF(raw[[#This Row],[city]]="","-",IF(raw[[#This Row],[city]]="TODAY","-",C1446+1))</f>
        <v/>
      </c>
      <c r="D1447" s="1393" t="inlineStr">
        <is>
          <t>Trois-Rivieres</t>
        </is>
      </c>
      <c r="E1447" s="1394" t="n">
        <v>43191</v>
      </c>
      <c r="F1447" s="1394" t="n">
        <v>43191</v>
      </c>
      <c r="G1447" s="1393" t="inlineStr">
        <is>
          <t>-</t>
        </is>
      </c>
      <c r="H1447" s="1393" t="inlineStr">
        <is>
          <t>Nadeau</t>
        </is>
      </c>
      <c r="I1447" s="1393" t="inlineStr">
        <is>
          <t>-</t>
        </is>
      </c>
      <c r="J1447" s="1393" t="inlineStr">
        <is>
          <t>12 times/</t>
        </is>
      </c>
      <c r="K1447" s="1395">
        <f>IF(raw[[#This Row],[city]]&lt;&gt;"",_xlfn.XLOOKUP($D1447,ccc[city],ccc[prov],"-"),"-")</f>
        <v/>
      </c>
      <c r="L1447" s="1395">
        <f>IF(raw[[#This Row],[city]]&lt;&gt;"",_xlfn.XLOOKUP($D1447,ccc[city],ccc[ctry],"-"),"-")</f>
        <v/>
      </c>
      <c r="M1447" s="1395">
        <f>IF(raw[[#This Row],[city]]&lt;&gt;"",_xlfn.XLOOKUP($D1447,ccc[city],ccc[cont],"-"),"-")</f>
        <v/>
      </c>
      <c r="N1447" s="1396">
        <f>IF(raw[[#This Row],[city]]="","-",IF(raw[[#This Row],[cont]]="B",raw[[#This Row],[cont]],"W"))</f>
        <v/>
      </c>
      <c r="O1447" s="1397">
        <f>IF(raw[[#This Row],[out]]=0,0,IF(raw[[#This Row],[out]]=raw[[#This Row],[in]],0.01,raw[[#This Row],[out]]-raw[[#This Row],[in]]))</f>
        <v/>
      </c>
      <c r="P1447" s="1397">
        <f>IF(raw[[#This Row],[in]]=0,0,MONTH(raw[[#This Row],[in]]))</f>
        <v/>
      </c>
      <c r="Q1447" s="1397">
        <f>IF(raw[[#This Row],[in]]=0,0,YEAR(raw[[#This Row],[in]]))</f>
        <v/>
      </c>
      <c r="R1447" s="1397">
        <f>INT(raw[[#This Row],[yr]]/10)*10</f>
        <v/>
      </c>
      <c r="S1447" s="1395">
        <f>IF(raw[[#This Row],[city]]="","-",IF(raw[[#This Row],[city]]&lt;&gt;_xlfn.XLOOKUP(raw[[#This Row],[home]],homes[home],homes[city],"-"),1,0))</f>
        <v/>
      </c>
      <c r="T1447" s="1398" t="inlineStr">
        <is>
          <t>.</t>
        </is>
      </c>
      <c r="U1447" s="1399">
        <f>IF(raw[[#This Row],[wb]]="w",raw[[#This Row],[stay]]+U1446,U1446)</f>
        <v/>
      </c>
      <c r="V1447" s="1400">
        <f>IF(raw[[#This Row],[out]]=0,V1446,(raw[[#This Row],[out]]-E$5))</f>
        <v/>
      </c>
      <c r="W1447" s="1401">
        <f>U1447/V1447</f>
        <v/>
      </c>
      <c r="X1447" s="1392" t="n"/>
      <c r="Y1447" s="1392" t="n"/>
      <c r="Z1447" s="1392" t="n"/>
      <c r="AA1447" s="1392" t="n"/>
      <c r="AB1447" s="1392" t="n"/>
      <c r="AC1447" s="1392" t="n"/>
      <c r="AD1447" s="1392" t="n"/>
      <c r="AE1447" s="1392" t="n"/>
      <c r="AF1447" s="1392" t="n"/>
      <c r="AG1447" s="1392" t="n"/>
      <c r="AH1447" s="1392" t="n"/>
      <c r="AI1447" s="1392" t="n"/>
      <c r="AJ1447" s="1392" t="n"/>
      <c r="AK1447" s="1392" t="n"/>
      <c r="AL1447" s="1392" t="n"/>
      <c r="AM1447" s="1392" t="n"/>
      <c r="AN1447" s="1392" t="n"/>
      <c r="AO1447" s="1392" t="n"/>
      <c r="AP1447" s="1392" t="n"/>
      <c r="AQ1447" s="1392" t="n"/>
      <c r="AR1447" s="1422" t="n"/>
      <c r="AS1447" s="1422" t="n"/>
      <c r="AT1447" s="1392" t="n"/>
      <c r="AU1447" s="1392" t="n"/>
      <c r="AV1447" s="1392" t="n"/>
      <c r="AW1447" s="1392" t="n"/>
      <c r="AX1447" s="1392" t="n"/>
      <c r="AY1447" s="1392" t="n"/>
      <c r="AZ1447" s="1392" t="n"/>
      <c r="BA1447" s="1422" t="n"/>
      <c r="BB1447" s="1422" t="n"/>
      <c r="BC1447" s="1392" t="n"/>
      <c r="BD1447" s="1392" t="n"/>
      <c r="BE1447" s="1392" t="n"/>
      <c r="BF1447" s="1392" t="n"/>
      <c r="BG1447" s="1392" t="n"/>
      <c r="BH1447" s="1392" t="n"/>
      <c r="BI1447" s="1392" t="n"/>
      <c r="BJ1447" s="1392" t="n"/>
      <c r="BK1447" s="1392" t="n"/>
      <c r="BL1447" s="1392" t="n"/>
      <c r="BM1447" s="1392" t="n"/>
      <c r="BN1447" s="1392" t="n"/>
      <c r="BO1447" s="1392" t="n"/>
      <c r="BP1447" s="1392" t="n"/>
      <c r="BQ1447" s="1392" t="n"/>
      <c r="BR1447" s="1392" t="n"/>
      <c r="BS1447" s="1392" t="n"/>
      <c r="BT1447" s="1392" t="n"/>
      <c r="BU1447" s="1392" t="n"/>
      <c r="BV1447" s="1392" t="n"/>
      <c r="BW1447" s="1392" t="n"/>
      <c r="BX1447" s="1392" t="n"/>
      <c r="BY1447" s="1392" t="n"/>
      <c r="BZ1447" s="1392" t="n"/>
      <c r="CA1447" s="1392" t="n"/>
      <c r="CB1447" s="1392" t="n"/>
      <c r="CC1447" s="1392" t="n"/>
      <c r="CD1447" s="1392" t="n"/>
      <c r="CE1447" s="1392" t="n"/>
      <c r="CF1447" s="1392" t="n"/>
      <c r="CG1447" s="1392" t="n"/>
      <c r="CH1447" s="1392" t="n"/>
      <c r="CI1447" s="1392" t="n"/>
      <c r="CJ1447" s="1392" t="n"/>
      <c r="CK1447" s="1392" t="n"/>
      <c r="CL1447" s="1392" t="n"/>
    </row>
    <row r="1448">
      <c r="A1448" s="5" t="inlineStr">
        <is>
          <t>.</t>
        </is>
      </c>
      <c r="B1448" s="5" t="inlineStr">
        <is>
          <t>.</t>
        </is>
      </c>
      <c r="C1448" s="1378">
        <f>IF(raw[[#This Row],[city]]="","-",IF(raw[[#This Row],[city]]="TODAY","-",C1447+1))</f>
        <v/>
      </c>
      <c r="D1448" s="1393" t="inlineStr">
        <is>
          <t>Montreal</t>
        </is>
      </c>
      <c r="E1448" s="1394" t="n">
        <v>43191</v>
      </c>
      <c r="F1448" s="1394" t="n">
        <v>43221</v>
      </c>
      <c r="G1448" s="1393" t="inlineStr">
        <is>
          <t>-</t>
        </is>
      </c>
      <c r="H1448" s="1393" t="inlineStr">
        <is>
          <t>Nadeau</t>
        </is>
      </c>
      <c r="I1448" s="1393" t="inlineStr">
        <is>
          <t>-</t>
        </is>
      </c>
      <c r="J1448" s="1393" t="inlineStr">
        <is>
          <t>-</t>
        </is>
      </c>
      <c r="K1448" s="1395">
        <f>IF(raw[[#This Row],[city]]&lt;&gt;"",_xlfn.XLOOKUP($D1448,ccc[city],ccc[prov],"-"),"-")</f>
        <v/>
      </c>
      <c r="L1448" s="1395">
        <f>IF(raw[[#This Row],[city]]&lt;&gt;"",_xlfn.XLOOKUP($D1448,ccc[city],ccc[ctry],"-"),"-")</f>
        <v/>
      </c>
      <c r="M1448" s="1395">
        <f>IF(raw[[#This Row],[city]]&lt;&gt;"",_xlfn.XLOOKUP($D1448,ccc[city],ccc[cont],"-"),"-")</f>
        <v/>
      </c>
      <c r="N1448" s="1396">
        <f>IF(raw[[#This Row],[city]]="","-",IF(raw[[#This Row],[cont]]="B",raw[[#This Row],[cont]],"W"))</f>
        <v/>
      </c>
      <c r="O1448" s="1397">
        <f>IF(raw[[#This Row],[out]]=0,0,IF(raw[[#This Row],[out]]=raw[[#This Row],[in]],0.01,raw[[#This Row],[out]]-raw[[#This Row],[in]]))</f>
        <v/>
      </c>
      <c r="P1448" s="1397">
        <f>IF(raw[[#This Row],[in]]=0,0,MONTH(raw[[#This Row],[in]]))</f>
        <v/>
      </c>
      <c r="Q1448" s="1397">
        <f>IF(raw[[#This Row],[in]]=0,0,YEAR(raw[[#This Row],[in]]))</f>
        <v/>
      </c>
      <c r="R1448" s="1397">
        <f>INT(raw[[#This Row],[yr]]/10)*10</f>
        <v/>
      </c>
      <c r="S1448" s="1395">
        <f>IF(raw[[#This Row],[city]]="","-",IF(raw[[#This Row],[city]]&lt;&gt;_xlfn.XLOOKUP(raw[[#This Row],[home]],homes[home],homes[city],"-"),1,0))</f>
        <v/>
      </c>
      <c r="T1448" s="1398" t="inlineStr">
        <is>
          <t>.</t>
        </is>
      </c>
      <c r="U1448" s="1399">
        <f>IF(raw[[#This Row],[wb]]="w",raw[[#This Row],[stay]]+U1447,U1447)</f>
        <v/>
      </c>
      <c r="V1448" s="1400">
        <f>IF(raw[[#This Row],[out]]=0,V1447,(raw[[#This Row],[out]]-E$5))</f>
        <v/>
      </c>
      <c r="W1448" s="1401">
        <f>U1448/V1448</f>
        <v/>
      </c>
      <c r="X1448" s="1392" t="n"/>
      <c r="Y1448" s="1392" t="n"/>
      <c r="Z1448" s="1392" t="n"/>
      <c r="AA1448" s="1392" t="n"/>
      <c r="AB1448" s="1392" t="n"/>
      <c r="AC1448" s="1392" t="n"/>
      <c r="AD1448" s="1392" t="n"/>
      <c r="AE1448" s="1392" t="n"/>
      <c r="AF1448" s="1392" t="n"/>
      <c r="AG1448" s="1392" t="n"/>
      <c r="AH1448" s="1392" t="n"/>
      <c r="AI1448" s="1392" t="n"/>
      <c r="AJ1448" s="1392" t="n"/>
      <c r="AK1448" s="1392" t="n"/>
      <c r="AL1448" s="1392" t="n"/>
      <c r="AM1448" s="1392" t="n"/>
      <c r="AN1448" s="1392" t="n"/>
      <c r="AO1448" s="1392" t="n"/>
      <c r="AP1448" s="1392" t="n"/>
      <c r="AQ1448" s="1392" t="n"/>
      <c r="AR1448" s="1422" t="n"/>
      <c r="AS1448" s="1422" t="n"/>
      <c r="AT1448" s="1392" t="n"/>
      <c r="AU1448" s="1392" t="n"/>
      <c r="AV1448" s="1392" t="n"/>
      <c r="AW1448" s="1392" t="n"/>
      <c r="AX1448" s="1392" t="n"/>
      <c r="AY1448" s="1392" t="n"/>
      <c r="AZ1448" s="1392" t="n"/>
      <c r="BA1448" s="1422" t="n"/>
      <c r="BB1448" s="1422" t="n"/>
      <c r="BC1448" s="1392" t="n"/>
      <c r="BD1448" s="1392" t="n"/>
      <c r="BE1448" s="1392" t="n"/>
      <c r="BF1448" s="1392" t="n"/>
      <c r="BG1448" s="1392" t="n"/>
      <c r="BH1448" s="1392" t="n"/>
      <c r="BI1448" s="1392" t="n"/>
      <c r="BJ1448" s="1392" t="n"/>
      <c r="BK1448" s="1392" t="n"/>
      <c r="BL1448" s="1392" t="n"/>
      <c r="BM1448" s="1392" t="n"/>
      <c r="BN1448" s="1392" t="n"/>
      <c r="BO1448" s="1392" t="n"/>
      <c r="BP1448" s="1392" t="n"/>
      <c r="BQ1448" s="1392" t="n"/>
      <c r="BR1448" s="1392" t="n"/>
      <c r="BS1448" s="1392" t="n"/>
      <c r="BT1448" s="1392" t="n"/>
      <c r="BU1448" s="1392" t="n"/>
      <c r="BV1448" s="1392" t="n"/>
      <c r="BW1448" s="1392" t="n"/>
      <c r="BX1448" s="1392" t="n"/>
      <c r="BY1448" s="1392" t="n"/>
      <c r="BZ1448" s="1392" t="n"/>
      <c r="CA1448" s="1392" t="n"/>
      <c r="CB1448" s="1392" t="n"/>
      <c r="CC1448" s="1392" t="n"/>
      <c r="CD1448" s="1392" t="n"/>
      <c r="CE1448" s="1392" t="n"/>
      <c r="CF1448" s="1392" t="n"/>
      <c r="CG1448" s="1392" t="n"/>
      <c r="CH1448" s="1392" t="n"/>
      <c r="CI1448" s="1392" t="n"/>
      <c r="CJ1448" s="1392" t="n"/>
      <c r="CK1448" s="1392" t="n"/>
      <c r="CL1448" s="1392" t="n"/>
    </row>
    <row r="1449">
      <c r="A1449" s="5" t="inlineStr">
        <is>
          <t>.</t>
        </is>
      </c>
      <c r="B1449" s="5" t="inlineStr">
        <is>
          <t>.</t>
        </is>
      </c>
      <c r="C1449" s="1378">
        <f>IF(raw[[#This Row],[city]]="","-",IF(raw[[#This Row],[city]]="TODAY","-",C1448+1))</f>
        <v/>
      </c>
      <c r="D1449" s="1393" t="inlineStr">
        <is>
          <t>Montreal</t>
        </is>
      </c>
      <c r="E1449" s="1394" t="n">
        <v>43221</v>
      </c>
      <c r="F1449" s="1394" t="n">
        <v>43252</v>
      </c>
      <c r="G1449" s="1393" t="inlineStr">
        <is>
          <t>-</t>
        </is>
      </c>
      <c r="H1449" s="1393" t="inlineStr">
        <is>
          <t>Nadeau</t>
        </is>
      </c>
      <c r="I1449" s="1393" t="inlineStr">
        <is>
          <t>-</t>
        </is>
      </c>
      <c r="J1449" s="1393" t="inlineStr">
        <is>
          <t>-</t>
        </is>
      </c>
      <c r="K1449" s="1395">
        <f>IF(raw[[#This Row],[city]]&lt;&gt;"",_xlfn.XLOOKUP($D1449,ccc[city],ccc[prov],"-"),"-")</f>
        <v/>
      </c>
      <c r="L1449" s="1395">
        <f>IF(raw[[#This Row],[city]]&lt;&gt;"",_xlfn.XLOOKUP($D1449,ccc[city],ccc[ctry],"-"),"-")</f>
        <v/>
      </c>
      <c r="M1449" s="1395">
        <f>IF(raw[[#This Row],[city]]&lt;&gt;"",_xlfn.XLOOKUP($D1449,ccc[city],ccc[cont],"-"),"-")</f>
        <v/>
      </c>
      <c r="N1449" s="1396">
        <f>IF(raw[[#This Row],[city]]="","-",IF(raw[[#This Row],[cont]]="B",raw[[#This Row],[cont]],"W"))</f>
        <v/>
      </c>
      <c r="O1449" s="1397">
        <f>IF(raw[[#This Row],[out]]=0,0,IF(raw[[#This Row],[out]]=raw[[#This Row],[in]],0.01,raw[[#This Row],[out]]-raw[[#This Row],[in]]))</f>
        <v/>
      </c>
      <c r="P1449" s="1397">
        <f>IF(raw[[#This Row],[in]]=0,0,MONTH(raw[[#This Row],[in]]))</f>
        <v/>
      </c>
      <c r="Q1449" s="1397">
        <f>IF(raw[[#This Row],[in]]=0,0,YEAR(raw[[#This Row],[in]]))</f>
        <v/>
      </c>
      <c r="R1449" s="1397">
        <f>INT(raw[[#This Row],[yr]]/10)*10</f>
        <v/>
      </c>
      <c r="S1449" s="1395">
        <f>IF(raw[[#This Row],[city]]="","-",IF(raw[[#This Row],[city]]&lt;&gt;_xlfn.XLOOKUP(raw[[#This Row],[home]],homes[home],homes[city],"-"),1,0))</f>
        <v/>
      </c>
      <c r="T1449" s="1398" t="inlineStr">
        <is>
          <t>.</t>
        </is>
      </c>
      <c r="U1449" s="1399">
        <f>IF(raw[[#This Row],[wb]]="w",raw[[#This Row],[stay]]+U1448,U1448)</f>
        <v/>
      </c>
      <c r="V1449" s="1400">
        <f>IF(raw[[#This Row],[out]]=0,V1448,(raw[[#This Row],[out]]-E$5))</f>
        <v/>
      </c>
      <c r="W1449" s="1401">
        <f>U1449/V1449</f>
        <v/>
      </c>
      <c r="X1449" s="1392" t="n"/>
      <c r="Y1449" s="1392" t="n"/>
      <c r="Z1449" s="1392" t="n"/>
      <c r="AA1449" s="1392" t="n"/>
      <c r="AB1449" s="1392" t="n"/>
      <c r="AC1449" s="1392" t="n"/>
      <c r="AD1449" s="1392" t="n"/>
      <c r="AE1449" s="1392" t="n"/>
      <c r="AF1449" s="1392" t="n"/>
      <c r="AG1449" s="1392" t="n"/>
      <c r="AH1449" s="1392" t="n"/>
      <c r="AI1449" s="1392" t="n"/>
      <c r="AJ1449" s="1392" t="n"/>
      <c r="AK1449" s="1392" t="n"/>
      <c r="AL1449" s="1392" t="n"/>
      <c r="AM1449" s="1392" t="n"/>
      <c r="AN1449" s="1392" t="n"/>
      <c r="AO1449" s="1392" t="n"/>
      <c r="AP1449" s="1392" t="n"/>
      <c r="AQ1449" s="1392" t="n"/>
      <c r="AR1449" s="1422" t="n"/>
      <c r="AS1449" s="1422" t="n"/>
      <c r="AT1449" s="1392" t="n"/>
      <c r="AU1449" s="1392" t="n"/>
      <c r="AV1449" s="1392" t="n"/>
      <c r="AW1449" s="1392" t="n"/>
      <c r="AX1449" s="1392" t="n"/>
      <c r="AY1449" s="1392" t="n"/>
      <c r="AZ1449" s="1392" t="n"/>
      <c r="BA1449" s="1422" t="n"/>
      <c r="BB1449" s="1422" t="n"/>
      <c r="BC1449" s="1392" t="n"/>
      <c r="BD1449" s="1392" t="n"/>
      <c r="BE1449" s="1392" t="n"/>
      <c r="BF1449" s="1392" t="n"/>
      <c r="BG1449" s="1392" t="n"/>
      <c r="BH1449" s="1392" t="n"/>
      <c r="BI1449" s="1392" t="n"/>
      <c r="BJ1449" s="1392" t="n"/>
      <c r="BK1449" s="1392" t="n"/>
      <c r="BL1449" s="1392" t="n"/>
      <c r="BM1449" s="1392" t="n"/>
      <c r="BN1449" s="1392" t="n"/>
      <c r="BO1449" s="1392" t="n"/>
      <c r="BP1449" s="1392" t="n"/>
      <c r="BQ1449" s="1392" t="n"/>
      <c r="BR1449" s="1392" t="n"/>
      <c r="BS1449" s="1392" t="n"/>
      <c r="BT1449" s="1392" t="n"/>
      <c r="BU1449" s="1392" t="n"/>
      <c r="BV1449" s="1392" t="n"/>
      <c r="BW1449" s="1392" t="n"/>
      <c r="BX1449" s="1392" t="n"/>
      <c r="BY1449" s="1392" t="n"/>
      <c r="BZ1449" s="1392" t="n"/>
      <c r="CA1449" s="1392" t="n"/>
      <c r="CB1449" s="1392" t="n"/>
      <c r="CC1449" s="1392" t="n"/>
      <c r="CD1449" s="1392" t="n"/>
      <c r="CE1449" s="1392" t="n"/>
      <c r="CF1449" s="1392" t="n"/>
      <c r="CG1449" s="1392" t="n"/>
      <c r="CH1449" s="1392" t="n"/>
      <c r="CI1449" s="1392" t="n"/>
      <c r="CJ1449" s="1392" t="n"/>
      <c r="CK1449" s="1392" t="n"/>
      <c r="CL1449" s="1392" t="n"/>
    </row>
    <row r="1450">
      <c r="A1450" s="5" t="inlineStr">
        <is>
          <t>.</t>
        </is>
      </c>
      <c r="B1450" s="5" t="inlineStr">
        <is>
          <t>.</t>
        </is>
      </c>
      <c r="C1450" s="1378">
        <f>IF(raw[[#This Row],[city]]="","-",IF(raw[[#This Row],[city]]="TODAY","-",C1449+1))</f>
        <v/>
      </c>
      <c r="D1450" s="1393" t="inlineStr">
        <is>
          <t>Montreal</t>
        </is>
      </c>
      <c r="E1450" s="1394" t="n">
        <v>43252</v>
      </c>
      <c r="F1450" s="1394" t="n">
        <v>43282</v>
      </c>
      <c r="G1450" s="1393" t="inlineStr">
        <is>
          <t>-</t>
        </is>
      </c>
      <c r="H1450" s="1393" t="inlineStr">
        <is>
          <t>Nadeau</t>
        </is>
      </c>
      <c r="I1450" s="1393" t="inlineStr">
        <is>
          <t>-</t>
        </is>
      </c>
      <c r="J1450" s="1393" t="inlineStr">
        <is>
          <t>-</t>
        </is>
      </c>
      <c r="K1450" s="1395">
        <f>IF(raw[[#This Row],[city]]&lt;&gt;"",_xlfn.XLOOKUP($D1450,ccc[city],ccc[prov],"-"),"-")</f>
        <v/>
      </c>
      <c r="L1450" s="1395">
        <f>IF(raw[[#This Row],[city]]&lt;&gt;"",_xlfn.XLOOKUP($D1450,ccc[city],ccc[ctry],"-"),"-")</f>
        <v/>
      </c>
      <c r="M1450" s="1395">
        <f>IF(raw[[#This Row],[city]]&lt;&gt;"",_xlfn.XLOOKUP($D1450,ccc[city],ccc[cont],"-"),"-")</f>
        <v/>
      </c>
      <c r="N1450" s="1396">
        <f>IF(raw[[#This Row],[city]]="","-",IF(raw[[#This Row],[cont]]="B",raw[[#This Row],[cont]],"W"))</f>
        <v/>
      </c>
      <c r="O1450" s="1397">
        <f>IF(raw[[#This Row],[out]]=0,0,IF(raw[[#This Row],[out]]=raw[[#This Row],[in]],0.01,raw[[#This Row],[out]]-raw[[#This Row],[in]]))</f>
        <v/>
      </c>
      <c r="P1450" s="1397">
        <f>IF(raw[[#This Row],[in]]=0,0,MONTH(raw[[#This Row],[in]]))</f>
        <v/>
      </c>
      <c r="Q1450" s="1397">
        <f>IF(raw[[#This Row],[in]]=0,0,YEAR(raw[[#This Row],[in]]))</f>
        <v/>
      </c>
      <c r="R1450" s="1397">
        <f>INT(raw[[#This Row],[yr]]/10)*10</f>
        <v/>
      </c>
      <c r="S1450" s="1395">
        <f>IF(raw[[#This Row],[city]]="","-",IF(raw[[#This Row],[city]]&lt;&gt;_xlfn.XLOOKUP(raw[[#This Row],[home]],homes[home],homes[city],"-"),1,0))</f>
        <v/>
      </c>
      <c r="T1450" s="1398" t="inlineStr">
        <is>
          <t>.</t>
        </is>
      </c>
      <c r="U1450" s="1399">
        <f>IF(raw[[#This Row],[wb]]="w",raw[[#This Row],[stay]]+U1449,U1449)</f>
        <v/>
      </c>
      <c r="V1450" s="1400">
        <f>IF(raw[[#This Row],[out]]=0,V1449,(raw[[#This Row],[out]]-E$5))</f>
        <v/>
      </c>
      <c r="W1450" s="1401">
        <f>U1450/V1450</f>
        <v/>
      </c>
      <c r="X1450" s="1392" t="n"/>
      <c r="Y1450" s="1392" t="n"/>
      <c r="Z1450" s="1392" t="n"/>
      <c r="AA1450" s="1392" t="n"/>
      <c r="AB1450" s="1392" t="n"/>
      <c r="AC1450" s="1392" t="n"/>
      <c r="AD1450" s="1392" t="n"/>
      <c r="AE1450" s="1392" t="n"/>
      <c r="AF1450" s="1392" t="n"/>
      <c r="AG1450" s="1392" t="n"/>
      <c r="AH1450" s="1392" t="n"/>
      <c r="AI1450" s="1392" t="n"/>
      <c r="AJ1450" s="1392" t="n"/>
      <c r="AK1450" s="1392" t="n"/>
      <c r="AL1450" s="1392" t="n"/>
      <c r="AM1450" s="1392" t="n"/>
      <c r="AN1450" s="1392" t="n"/>
      <c r="AO1450" s="1392" t="n"/>
      <c r="AP1450" s="1392" t="n"/>
      <c r="AQ1450" s="1392" t="n"/>
      <c r="AR1450" s="1422" t="n"/>
      <c r="AS1450" s="1422" t="n"/>
      <c r="AT1450" s="1392" t="n"/>
      <c r="AU1450" s="1392" t="n"/>
      <c r="AV1450" s="1392" t="n"/>
      <c r="AW1450" s="1392" t="n"/>
      <c r="AX1450" s="1392" t="n"/>
      <c r="AY1450" s="1392" t="n"/>
      <c r="AZ1450" s="1392" t="n"/>
      <c r="BA1450" s="1422" t="n"/>
      <c r="BB1450" s="1422" t="n"/>
      <c r="BC1450" s="1392" t="n"/>
      <c r="BD1450" s="1392" t="n"/>
      <c r="BE1450" s="1392" t="n"/>
      <c r="BF1450" s="1392" t="n"/>
      <c r="BG1450" s="1392" t="n"/>
      <c r="BH1450" s="1392" t="n"/>
      <c r="BI1450" s="1392" t="n"/>
      <c r="BJ1450" s="1392" t="n"/>
      <c r="BK1450" s="1392" t="n"/>
      <c r="BL1450" s="1392" t="n"/>
      <c r="BM1450" s="1392" t="n"/>
      <c r="BN1450" s="1392" t="n"/>
      <c r="BO1450" s="1392" t="n"/>
      <c r="BP1450" s="1392" t="n"/>
      <c r="BQ1450" s="1392" t="n"/>
      <c r="BR1450" s="1392" t="n"/>
      <c r="BS1450" s="1392" t="n"/>
      <c r="BT1450" s="1392" t="n"/>
      <c r="BU1450" s="1392" t="n"/>
      <c r="BV1450" s="1392" t="n"/>
      <c r="BW1450" s="1392" t="n"/>
      <c r="BX1450" s="1392" t="n"/>
      <c r="BY1450" s="1392" t="n"/>
      <c r="BZ1450" s="1392" t="n"/>
      <c r="CA1450" s="1392" t="n"/>
      <c r="CB1450" s="1392" t="n"/>
      <c r="CC1450" s="1392" t="n"/>
      <c r="CD1450" s="1392" t="n"/>
      <c r="CE1450" s="1392" t="n"/>
      <c r="CF1450" s="1392" t="n"/>
      <c r="CG1450" s="1392" t="n"/>
      <c r="CH1450" s="1392" t="n"/>
      <c r="CI1450" s="1392" t="n"/>
      <c r="CJ1450" s="1392" t="n"/>
      <c r="CK1450" s="1392" t="n"/>
      <c r="CL1450" s="1392" t="n"/>
    </row>
    <row r="1451">
      <c r="A1451" s="5" t="inlineStr">
        <is>
          <t>.</t>
        </is>
      </c>
      <c r="B1451" s="5" t="inlineStr">
        <is>
          <t>.</t>
        </is>
      </c>
      <c r="C1451" s="1378">
        <f>IF(raw[[#This Row],[city]]="","-",IF(raw[[#This Row],[city]]="TODAY","-",C1450+1))</f>
        <v/>
      </c>
      <c r="D1451" s="1393" t="inlineStr">
        <is>
          <t>Montreal</t>
        </is>
      </c>
      <c r="E1451" s="1394" t="n">
        <v>43282</v>
      </c>
      <c r="F1451" s="1394" t="n">
        <v>43313</v>
      </c>
      <c r="G1451" s="1393" t="inlineStr">
        <is>
          <t>-</t>
        </is>
      </c>
      <c r="H1451" s="1393" t="inlineStr">
        <is>
          <t>Nadeau</t>
        </is>
      </c>
      <c r="I1451" s="1393" t="inlineStr">
        <is>
          <t>-</t>
        </is>
      </c>
      <c r="J1451" s="1393" t="inlineStr">
        <is>
          <t>-</t>
        </is>
      </c>
      <c r="K1451" s="1395">
        <f>IF(raw[[#This Row],[city]]&lt;&gt;"",_xlfn.XLOOKUP($D1451,ccc[city],ccc[prov],"-"),"-")</f>
        <v/>
      </c>
      <c r="L1451" s="1395">
        <f>IF(raw[[#This Row],[city]]&lt;&gt;"",_xlfn.XLOOKUP($D1451,ccc[city],ccc[ctry],"-"),"-")</f>
        <v/>
      </c>
      <c r="M1451" s="1395">
        <f>IF(raw[[#This Row],[city]]&lt;&gt;"",_xlfn.XLOOKUP($D1451,ccc[city],ccc[cont],"-"),"-")</f>
        <v/>
      </c>
      <c r="N1451" s="1396">
        <f>IF(raw[[#This Row],[city]]="","-",IF(raw[[#This Row],[cont]]="B",raw[[#This Row],[cont]],"W"))</f>
        <v/>
      </c>
      <c r="O1451" s="1397">
        <f>IF(raw[[#This Row],[out]]=0,0,IF(raw[[#This Row],[out]]=raw[[#This Row],[in]],0.01,raw[[#This Row],[out]]-raw[[#This Row],[in]]))</f>
        <v/>
      </c>
      <c r="P1451" s="1397">
        <f>IF(raw[[#This Row],[in]]=0,0,MONTH(raw[[#This Row],[in]]))</f>
        <v/>
      </c>
      <c r="Q1451" s="1397">
        <f>IF(raw[[#This Row],[in]]=0,0,YEAR(raw[[#This Row],[in]]))</f>
        <v/>
      </c>
      <c r="R1451" s="1397">
        <f>INT(raw[[#This Row],[yr]]/10)*10</f>
        <v/>
      </c>
      <c r="S1451" s="1395">
        <f>IF(raw[[#This Row],[city]]="","-",IF(raw[[#This Row],[city]]&lt;&gt;_xlfn.XLOOKUP(raw[[#This Row],[home]],homes[home],homes[city],"-"),1,0))</f>
        <v/>
      </c>
      <c r="T1451" s="1398" t="inlineStr">
        <is>
          <t>.</t>
        </is>
      </c>
      <c r="U1451" s="1399">
        <f>IF(raw[[#This Row],[wb]]="w",raw[[#This Row],[stay]]+U1450,U1450)</f>
        <v/>
      </c>
      <c r="V1451" s="1400">
        <f>IF(raw[[#This Row],[out]]=0,V1450,(raw[[#This Row],[out]]-E$5))</f>
        <v/>
      </c>
      <c r="W1451" s="1401">
        <f>U1451/V1451</f>
        <v/>
      </c>
      <c r="X1451" s="1392" t="n"/>
      <c r="Y1451" s="1392" t="n"/>
      <c r="Z1451" s="1392" t="n"/>
      <c r="AA1451" s="1392" t="n"/>
      <c r="AB1451" s="1392" t="n"/>
      <c r="AC1451" s="1392" t="n"/>
      <c r="AD1451" s="1392" t="n"/>
      <c r="AE1451" s="1392" t="n"/>
      <c r="AF1451" s="1392" t="n"/>
      <c r="AG1451" s="1392" t="n"/>
      <c r="AH1451" s="1392" t="n"/>
      <c r="AI1451" s="1392" t="n"/>
      <c r="AJ1451" s="1392" t="n"/>
      <c r="AK1451" s="1392" t="n"/>
      <c r="AL1451" s="1392" t="n"/>
      <c r="AM1451" s="1392" t="n"/>
      <c r="AN1451" s="1392" t="n"/>
      <c r="AO1451" s="1392" t="n"/>
      <c r="AP1451" s="1392" t="n"/>
      <c r="AQ1451" s="1392" t="n"/>
      <c r="AR1451" s="1422" t="n"/>
      <c r="AS1451" s="1422" t="n"/>
      <c r="AT1451" s="1392" t="n"/>
      <c r="AU1451" s="1392" t="n"/>
      <c r="AV1451" s="1392" t="n"/>
      <c r="AW1451" s="1392" t="n"/>
      <c r="AX1451" s="1392" t="n"/>
      <c r="AY1451" s="1392" t="n"/>
      <c r="AZ1451" s="1392" t="n"/>
      <c r="BA1451" s="1422" t="n"/>
      <c r="BB1451" s="1422" t="n"/>
      <c r="BC1451" s="1392" t="n"/>
      <c r="BD1451" s="1392" t="n"/>
      <c r="BE1451" s="1392" t="n"/>
      <c r="BF1451" s="1392" t="n"/>
      <c r="BG1451" s="1392" t="n"/>
      <c r="BH1451" s="1392" t="n"/>
      <c r="BI1451" s="1392" t="n"/>
      <c r="BJ1451" s="1392" t="n"/>
      <c r="BK1451" s="1392" t="n"/>
      <c r="BL1451" s="1392" t="n"/>
      <c r="BM1451" s="1392" t="n"/>
      <c r="BN1451" s="1392" t="n"/>
      <c r="BO1451" s="1392" t="n"/>
      <c r="BP1451" s="1392" t="n"/>
      <c r="BQ1451" s="1392" t="n"/>
      <c r="BR1451" s="1392" t="n"/>
      <c r="BS1451" s="1392" t="n"/>
      <c r="BT1451" s="1392" t="n"/>
      <c r="BU1451" s="1392" t="n"/>
      <c r="BV1451" s="1392" t="n"/>
      <c r="BW1451" s="1392" t="n"/>
      <c r="BX1451" s="1392" t="n"/>
      <c r="BY1451" s="1392" t="n"/>
      <c r="BZ1451" s="1392" t="n"/>
      <c r="CA1451" s="1392" t="n"/>
      <c r="CB1451" s="1392" t="n"/>
      <c r="CC1451" s="1392" t="n"/>
      <c r="CD1451" s="1392" t="n"/>
      <c r="CE1451" s="1392" t="n"/>
      <c r="CF1451" s="1392" t="n"/>
      <c r="CG1451" s="1392" t="n"/>
      <c r="CH1451" s="1392" t="n"/>
      <c r="CI1451" s="1392" t="n"/>
      <c r="CJ1451" s="1392" t="n"/>
      <c r="CK1451" s="1392" t="n"/>
      <c r="CL1451" s="1392" t="n"/>
    </row>
    <row r="1452">
      <c r="A1452" s="5" t="inlineStr">
        <is>
          <t>.</t>
        </is>
      </c>
      <c r="B1452" s="5" t="inlineStr">
        <is>
          <t>.</t>
        </is>
      </c>
      <c r="C1452" s="1378">
        <f>IF(raw[[#This Row],[city]]="","-",IF(raw[[#This Row],[city]]="TODAY","-",C1451+1))</f>
        <v/>
      </c>
      <c r="D1452" s="1393" t="inlineStr">
        <is>
          <t>Granby</t>
        </is>
      </c>
      <c r="E1452" s="1394" t="n">
        <v>43284</v>
      </c>
      <c r="F1452" s="1394" t="n">
        <v>43284</v>
      </c>
      <c r="G1452" s="1393" t="inlineStr">
        <is>
          <t>-</t>
        </is>
      </c>
      <c r="H1452" s="1393" t="inlineStr">
        <is>
          <t>Nadeau</t>
        </is>
      </c>
      <c r="I1452" s="1393" t="inlineStr">
        <is>
          <t>-</t>
        </is>
      </c>
      <c r="J1452" s="1393" t="inlineStr">
        <is>
          <t>-</t>
        </is>
      </c>
      <c r="K1452" s="1395">
        <f>IF(raw[[#This Row],[city]]&lt;&gt;"",_xlfn.XLOOKUP($D1452,ccc[city],ccc[prov],"-"),"-")</f>
        <v/>
      </c>
      <c r="L1452" s="1395">
        <f>IF(raw[[#This Row],[city]]&lt;&gt;"",_xlfn.XLOOKUP($D1452,ccc[city],ccc[ctry],"-"),"-")</f>
        <v/>
      </c>
      <c r="M1452" s="1395">
        <f>IF(raw[[#This Row],[city]]&lt;&gt;"",_xlfn.XLOOKUP($D1452,ccc[city],ccc[cont],"-"),"-")</f>
        <v/>
      </c>
      <c r="N1452" s="1396">
        <f>IF(raw[[#This Row],[city]]="","-",IF(raw[[#This Row],[cont]]="B",raw[[#This Row],[cont]],"W"))</f>
        <v/>
      </c>
      <c r="O1452" s="1397">
        <f>IF(raw[[#This Row],[out]]=0,0,IF(raw[[#This Row],[out]]=raw[[#This Row],[in]],0.01,raw[[#This Row],[out]]-raw[[#This Row],[in]]))</f>
        <v/>
      </c>
      <c r="P1452" s="1397">
        <f>IF(raw[[#This Row],[in]]=0,0,MONTH(raw[[#This Row],[in]]))</f>
        <v/>
      </c>
      <c r="Q1452" s="1397">
        <f>IF(raw[[#This Row],[in]]=0,0,YEAR(raw[[#This Row],[in]]))</f>
        <v/>
      </c>
      <c r="R1452" s="1397">
        <f>INT(raw[[#This Row],[yr]]/10)*10</f>
        <v/>
      </c>
      <c r="S1452" s="1395">
        <f>IF(raw[[#This Row],[city]]="","-",IF(raw[[#This Row],[city]]&lt;&gt;_xlfn.XLOOKUP(raw[[#This Row],[home]],homes[home],homes[city],"-"),1,0))</f>
        <v/>
      </c>
      <c r="T1452" s="1398" t="inlineStr">
        <is>
          <t>.</t>
        </is>
      </c>
      <c r="U1452" s="1399">
        <f>IF(raw[[#This Row],[wb]]="w",raw[[#This Row],[stay]]+U1451,U1451)</f>
        <v/>
      </c>
      <c r="V1452" s="1400">
        <f>IF(raw[[#This Row],[out]]=0,V1451,(raw[[#This Row],[out]]-E$5))</f>
        <v/>
      </c>
      <c r="W1452" s="1401">
        <f>U1452/V1452</f>
        <v/>
      </c>
      <c r="X1452" s="1392" t="n"/>
      <c r="Y1452" s="1392" t="n"/>
      <c r="Z1452" s="1392" t="n"/>
      <c r="AA1452" s="1392" t="n"/>
      <c r="AB1452" s="1392" t="n"/>
      <c r="AC1452" s="1392" t="n"/>
      <c r="AD1452" s="1392" t="n"/>
      <c r="AE1452" s="1392" t="n"/>
      <c r="AF1452" s="1392" t="n"/>
      <c r="AG1452" s="1392" t="n"/>
      <c r="AH1452" s="1392" t="n"/>
      <c r="AI1452" s="1392" t="n"/>
      <c r="AJ1452" s="1392" t="n"/>
      <c r="AK1452" s="1392" t="n"/>
      <c r="AL1452" s="1392" t="n"/>
      <c r="AM1452" s="1392" t="n"/>
      <c r="AN1452" s="1392" t="n"/>
      <c r="AO1452" s="1392" t="n"/>
      <c r="AP1452" s="1392" t="n"/>
      <c r="AQ1452" s="1392" t="n"/>
      <c r="AR1452" s="1422" t="n"/>
      <c r="AS1452" s="1422" t="n"/>
      <c r="AT1452" s="1392" t="n"/>
      <c r="AU1452" s="1392" t="n"/>
      <c r="AV1452" s="1392" t="n"/>
      <c r="AW1452" s="1392" t="n"/>
      <c r="AX1452" s="1392" t="n"/>
      <c r="AY1452" s="1392" t="n"/>
      <c r="AZ1452" s="1392" t="n"/>
      <c r="BA1452" s="1422" t="n"/>
      <c r="BB1452" s="1422" t="n"/>
      <c r="BC1452" s="1392" t="n"/>
      <c r="BD1452" s="1392" t="n"/>
      <c r="BE1452" s="1392" t="n"/>
      <c r="BF1452" s="1392" t="n"/>
      <c r="BG1452" s="1392" t="n"/>
      <c r="BH1452" s="1392" t="n"/>
      <c r="BI1452" s="1392" t="n"/>
      <c r="BJ1452" s="1392" t="n"/>
      <c r="BK1452" s="1392" t="n"/>
      <c r="BL1452" s="1392" t="n"/>
      <c r="BM1452" s="1392" t="n"/>
      <c r="BN1452" s="1392" t="n"/>
      <c r="BO1452" s="1392" t="n"/>
      <c r="BP1452" s="1392" t="n"/>
      <c r="BQ1452" s="1392" t="n"/>
      <c r="BR1452" s="1392" t="n"/>
      <c r="BS1452" s="1392" t="n"/>
      <c r="BT1452" s="1392" t="n"/>
      <c r="BU1452" s="1392" t="n"/>
      <c r="BV1452" s="1392" t="n"/>
      <c r="BW1452" s="1392" t="n"/>
      <c r="BX1452" s="1392" t="n"/>
      <c r="BY1452" s="1392" t="n"/>
      <c r="BZ1452" s="1392" t="n"/>
      <c r="CA1452" s="1392" t="n"/>
      <c r="CB1452" s="1392" t="n"/>
      <c r="CC1452" s="1392" t="n"/>
      <c r="CD1452" s="1392" t="n"/>
      <c r="CE1452" s="1392" t="n"/>
      <c r="CF1452" s="1392" t="n"/>
      <c r="CG1452" s="1392" t="n"/>
      <c r="CH1452" s="1392" t="n"/>
      <c r="CI1452" s="1392" t="n"/>
      <c r="CJ1452" s="1392" t="n"/>
      <c r="CK1452" s="1392" t="n"/>
      <c r="CL1452" s="1392" t="n"/>
    </row>
    <row r="1453">
      <c r="A1453" s="5" t="inlineStr">
        <is>
          <t>.</t>
        </is>
      </c>
      <c r="B1453" s="5" t="inlineStr">
        <is>
          <t>.</t>
        </is>
      </c>
      <c r="C1453" s="1378">
        <f>IF(raw[[#This Row],[city]]="","-",IF(raw[[#This Row],[city]]="TODAY","-",C1452+1))</f>
        <v/>
      </c>
      <c r="D1453" s="1393" t="inlineStr">
        <is>
          <t>Montreal</t>
        </is>
      </c>
      <c r="E1453" s="1394" t="n">
        <v>43313</v>
      </c>
      <c r="F1453" s="1394" t="n">
        <v>43344</v>
      </c>
      <c r="G1453" s="1393" t="inlineStr">
        <is>
          <t>-</t>
        </is>
      </c>
      <c r="H1453" s="1393" t="inlineStr">
        <is>
          <t>Nadeau</t>
        </is>
      </c>
      <c r="I1453" s="1393" t="inlineStr">
        <is>
          <t>-</t>
        </is>
      </c>
      <c r="J1453" s="1393" t="inlineStr">
        <is>
          <t>BDAY</t>
        </is>
      </c>
      <c r="K1453" s="1395">
        <f>IF(raw[[#This Row],[city]]&lt;&gt;"",_xlfn.XLOOKUP($D1453,ccc[city],ccc[prov],"-"),"-")</f>
        <v/>
      </c>
      <c r="L1453" s="1395">
        <f>IF(raw[[#This Row],[city]]&lt;&gt;"",_xlfn.XLOOKUP($D1453,ccc[city],ccc[ctry],"-"),"-")</f>
        <v/>
      </c>
      <c r="M1453" s="1395">
        <f>IF(raw[[#This Row],[city]]&lt;&gt;"",_xlfn.XLOOKUP($D1453,ccc[city],ccc[cont],"-"),"-")</f>
        <v/>
      </c>
      <c r="N1453" s="1396">
        <f>IF(raw[[#This Row],[city]]="","-",IF(raw[[#This Row],[cont]]="B",raw[[#This Row],[cont]],"W"))</f>
        <v/>
      </c>
      <c r="O1453" s="1397">
        <f>IF(raw[[#This Row],[out]]=0,0,IF(raw[[#This Row],[out]]=raw[[#This Row],[in]],0.01,raw[[#This Row],[out]]-raw[[#This Row],[in]]))</f>
        <v/>
      </c>
      <c r="P1453" s="1397">
        <f>IF(raw[[#This Row],[in]]=0,0,MONTH(raw[[#This Row],[in]]))</f>
        <v/>
      </c>
      <c r="Q1453" s="1397">
        <f>IF(raw[[#This Row],[in]]=0,0,YEAR(raw[[#This Row],[in]]))</f>
        <v/>
      </c>
      <c r="R1453" s="1397">
        <f>INT(raw[[#This Row],[yr]]/10)*10</f>
        <v/>
      </c>
      <c r="S1453" s="1395">
        <f>IF(raw[[#This Row],[city]]="","-",IF(raw[[#This Row],[city]]&lt;&gt;_xlfn.XLOOKUP(raw[[#This Row],[home]],homes[home],homes[city],"-"),1,0))</f>
        <v/>
      </c>
      <c r="T1453" s="1398" t="inlineStr">
        <is>
          <t>.</t>
        </is>
      </c>
      <c r="U1453" s="1399">
        <f>IF(raw[[#This Row],[wb]]="w",raw[[#This Row],[stay]]+U1452,U1452)</f>
        <v/>
      </c>
      <c r="V1453" s="1400">
        <f>IF(raw[[#This Row],[out]]=0,V1452,(raw[[#This Row],[out]]-E$5))</f>
        <v/>
      </c>
      <c r="W1453" s="1401">
        <f>U1453/V1453</f>
        <v/>
      </c>
      <c r="X1453" s="1392" t="n"/>
      <c r="Y1453" s="1392" t="n"/>
      <c r="Z1453" s="1392" t="n"/>
      <c r="AA1453" s="1392" t="n"/>
      <c r="AB1453" s="1392" t="n"/>
      <c r="AC1453" s="1392" t="n"/>
      <c r="AD1453" s="1392" t="n"/>
      <c r="AE1453" s="1392" t="n"/>
      <c r="AF1453" s="1392" t="n"/>
      <c r="AG1453" s="1392" t="n"/>
      <c r="AH1453" s="1392" t="n"/>
      <c r="AI1453" s="1392" t="n"/>
      <c r="AJ1453" s="1392" t="n"/>
      <c r="AK1453" s="1392" t="n"/>
      <c r="AL1453" s="1392" t="n"/>
      <c r="AM1453" s="1392" t="n"/>
      <c r="AN1453" s="1392" t="n"/>
      <c r="AO1453" s="1392" t="n"/>
      <c r="AP1453" s="1392" t="n"/>
      <c r="AQ1453" s="1392" t="n"/>
      <c r="AR1453" s="1422" t="n"/>
      <c r="AS1453" s="1422" t="n"/>
      <c r="AT1453" s="1392" t="n"/>
      <c r="AU1453" s="1392" t="n"/>
      <c r="AV1453" s="1392" t="n"/>
      <c r="AW1453" s="1392" t="n"/>
      <c r="AX1453" s="1392" t="n"/>
      <c r="AY1453" s="1392" t="n"/>
      <c r="AZ1453" s="1392" t="n"/>
      <c r="BA1453" s="1422" t="n"/>
      <c r="BB1453" s="1422" t="n"/>
      <c r="BC1453" s="1392" t="n"/>
      <c r="BD1453" s="1392" t="n"/>
      <c r="BE1453" s="1392" t="n"/>
      <c r="BF1453" s="1392" t="n"/>
      <c r="BG1453" s="1392" t="n"/>
      <c r="BH1453" s="1392" t="n"/>
      <c r="BI1453" s="1392" t="n"/>
      <c r="BJ1453" s="1392" t="n"/>
      <c r="BK1453" s="1392" t="n"/>
      <c r="BL1453" s="1392" t="n"/>
      <c r="BM1453" s="1392" t="n"/>
      <c r="BN1453" s="1392" t="n"/>
      <c r="BO1453" s="1392" t="n"/>
      <c r="BP1453" s="1392" t="n"/>
      <c r="BQ1453" s="1392" t="n"/>
      <c r="BR1453" s="1392" t="n"/>
      <c r="BS1453" s="1392" t="n"/>
      <c r="BT1453" s="1392" t="n"/>
      <c r="BU1453" s="1392" t="n"/>
      <c r="BV1453" s="1392" t="n"/>
      <c r="BW1453" s="1392" t="n"/>
      <c r="BX1453" s="1392" t="n"/>
      <c r="BY1453" s="1392" t="n"/>
      <c r="BZ1453" s="1392" t="n"/>
      <c r="CA1453" s="1392" t="n"/>
      <c r="CB1453" s="1392" t="n"/>
      <c r="CC1453" s="1392" t="n"/>
      <c r="CD1453" s="1392" t="n"/>
      <c r="CE1453" s="1392" t="n"/>
      <c r="CF1453" s="1392" t="n"/>
      <c r="CG1453" s="1392" t="n"/>
      <c r="CH1453" s="1392" t="n"/>
      <c r="CI1453" s="1392" t="n"/>
      <c r="CJ1453" s="1392" t="n"/>
      <c r="CK1453" s="1392" t="n"/>
      <c r="CL1453" s="1392" t="n"/>
    </row>
    <row r="1454">
      <c r="A1454" s="5" t="inlineStr">
        <is>
          <t>.</t>
        </is>
      </c>
      <c r="B1454" s="5" t="inlineStr">
        <is>
          <t>.</t>
        </is>
      </c>
      <c r="C1454" s="1378">
        <f>IF(raw[[#This Row],[city]]="","-",IF(raw[[#This Row],[city]]="TODAY","-",C1453+1))</f>
        <v/>
      </c>
      <c r="D1454" s="1393" t="inlineStr">
        <is>
          <t>Montreal</t>
        </is>
      </c>
      <c r="E1454" s="1394" t="n">
        <v>43344</v>
      </c>
      <c r="F1454" s="1394" t="n">
        <v>43374</v>
      </c>
      <c r="G1454" s="1393" t="inlineStr">
        <is>
          <t>-</t>
        </is>
      </c>
      <c r="H1454" s="1393" t="inlineStr">
        <is>
          <t>Nadeau</t>
        </is>
      </c>
      <c r="I1454" s="1393" t="inlineStr">
        <is>
          <t>-</t>
        </is>
      </c>
      <c r="J1454" s="1393" t="inlineStr">
        <is>
          <t>-</t>
        </is>
      </c>
      <c r="K1454" s="1395">
        <f>IF(raw[[#This Row],[city]]&lt;&gt;"",_xlfn.XLOOKUP($D1454,ccc[city],ccc[prov],"-"),"-")</f>
        <v/>
      </c>
      <c r="L1454" s="1395">
        <f>IF(raw[[#This Row],[city]]&lt;&gt;"",_xlfn.XLOOKUP($D1454,ccc[city],ccc[ctry],"-"),"-")</f>
        <v/>
      </c>
      <c r="M1454" s="1395">
        <f>IF(raw[[#This Row],[city]]&lt;&gt;"",_xlfn.XLOOKUP($D1454,ccc[city],ccc[cont],"-"),"-")</f>
        <v/>
      </c>
      <c r="N1454" s="1396">
        <f>IF(raw[[#This Row],[city]]="","-",IF(raw[[#This Row],[cont]]="B",raw[[#This Row],[cont]],"W"))</f>
        <v/>
      </c>
      <c r="O1454" s="1397">
        <f>IF(raw[[#This Row],[out]]=0,0,IF(raw[[#This Row],[out]]=raw[[#This Row],[in]],0.01,raw[[#This Row],[out]]-raw[[#This Row],[in]]))</f>
        <v/>
      </c>
      <c r="P1454" s="1397">
        <f>IF(raw[[#This Row],[in]]=0,0,MONTH(raw[[#This Row],[in]]))</f>
        <v/>
      </c>
      <c r="Q1454" s="1397">
        <f>IF(raw[[#This Row],[in]]=0,0,YEAR(raw[[#This Row],[in]]))</f>
        <v/>
      </c>
      <c r="R1454" s="1397">
        <f>INT(raw[[#This Row],[yr]]/10)*10</f>
        <v/>
      </c>
      <c r="S1454" s="1395">
        <f>IF(raw[[#This Row],[city]]="","-",IF(raw[[#This Row],[city]]&lt;&gt;_xlfn.XLOOKUP(raw[[#This Row],[home]],homes[home],homes[city],"-"),1,0))</f>
        <v/>
      </c>
      <c r="T1454" s="1398" t="inlineStr">
        <is>
          <t>.</t>
        </is>
      </c>
      <c r="U1454" s="1399">
        <f>IF(raw[[#This Row],[wb]]="w",raw[[#This Row],[stay]]+U1453,U1453)</f>
        <v/>
      </c>
      <c r="V1454" s="1400">
        <f>IF(raw[[#This Row],[out]]=0,V1453,(raw[[#This Row],[out]]-E$5))</f>
        <v/>
      </c>
      <c r="W1454" s="1401">
        <f>U1454/V1454</f>
        <v/>
      </c>
      <c r="X1454" s="1392" t="n"/>
      <c r="Y1454" s="1392" t="n"/>
      <c r="Z1454" s="1392" t="n"/>
      <c r="AA1454" s="1392" t="n"/>
      <c r="AB1454" s="1392" t="n"/>
      <c r="AC1454" s="1392" t="n"/>
      <c r="AD1454" s="1392" t="n"/>
      <c r="AE1454" s="1392" t="n"/>
      <c r="AF1454" s="1392" t="n"/>
      <c r="AG1454" s="1392" t="n"/>
      <c r="AH1454" s="1392" t="n"/>
      <c r="AI1454" s="1392" t="n"/>
      <c r="AJ1454" s="1392" t="n"/>
      <c r="AK1454" s="1392" t="n"/>
      <c r="AL1454" s="1392" t="n"/>
      <c r="AM1454" s="1392" t="n"/>
      <c r="AN1454" s="1392" t="n"/>
      <c r="AO1454" s="1392" t="n"/>
      <c r="AP1454" s="1392" t="n"/>
      <c r="AQ1454" s="1392" t="n"/>
      <c r="AR1454" s="1422" t="n"/>
      <c r="AS1454" s="1422" t="n"/>
      <c r="AT1454" s="1392" t="n"/>
      <c r="AU1454" s="1392" t="n"/>
      <c r="AV1454" s="1392" t="n"/>
      <c r="AW1454" s="1392" t="n"/>
      <c r="AX1454" s="1392" t="n"/>
      <c r="AY1454" s="1392" t="n"/>
      <c r="AZ1454" s="1392" t="n"/>
      <c r="BA1454" s="1422" t="n"/>
      <c r="BB1454" s="1422" t="n"/>
      <c r="BC1454" s="1392" t="n"/>
      <c r="BD1454" s="1392" t="n"/>
      <c r="BE1454" s="1392" t="n"/>
      <c r="BF1454" s="1392" t="n"/>
      <c r="BG1454" s="1392" t="n"/>
      <c r="BH1454" s="1392" t="n"/>
      <c r="BI1454" s="1392" t="n"/>
      <c r="BJ1454" s="1392" t="n"/>
      <c r="BK1454" s="1392" t="n"/>
      <c r="BL1454" s="1392" t="n"/>
      <c r="BM1454" s="1392" t="n"/>
      <c r="BN1454" s="1392" t="n"/>
      <c r="BO1454" s="1392" t="n"/>
      <c r="BP1454" s="1392" t="n"/>
      <c r="BQ1454" s="1392" t="n"/>
      <c r="BR1454" s="1392" t="n"/>
      <c r="BS1454" s="1392" t="n"/>
      <c r="BT1454" s="1392" t="n"/>
      <c r="BU1454" s="1392" t="n"/>
      <c r="BV1454" s="1392" t="n"/>
      <c r="BW1454" s="1392" t="n"/>
      <c r="BX1454" s="1392" t="n"/>
      <c r="BY1454" s="1392" t="n"/>
      <c r="BZ1454" s="1392" t="n"/>
      <c r="CA1454" s="1392" t="n"/>
      <c r="CB1454" s="1392" t="n"/>
      <c r="CC1454" s="1392" t="n"/>
      <c r="CD1454" s="1392" t="n"/>
      <c r="CE1454" s="1392" t="n"/>
      <c r="CF1454" s="1392" t="n"/>
      <c r="CG1454" s="1392" t="n"/>
      <c r="CH1454" s="1392" t="n"/>
      <c r="CI1454" s="1392" t="n"/>
      <c r="CJ1454" s="1392" t="n"/>
      <c r="CK1454" s="1392" t="n"/>
      <c r="CL1454" s="1392" t="n"/>
    </row>
    <row r="1455">
      <c r="A1455" s="5" t="inlineStr">
        <is>
          <t>.</t>
        </is>
      </c>
      <c r="B1455" s="5" t="inlineStr">
        <is>
          <t>.</t>
        </is>
      </c>
      <c r="C1455" s="1378">
        <f>IF(raw[[#This Row],[city]]="","-",IF(raw[[#This Row],[city]]="TODAY","-",C1454+1))</f>
        <v/>
      </c>
      <c r="D1455" s="1393" t="inlineStr">
        <is>
          <t>Montreal</t>
        </is>
      </c>
      <c r="E1455" s="1394" t="n">
        <v>43374</v>
      </c>
      <c r="F1455" s="1394" t="n">
        <v>43405</v>
      </c>
      <c r="G1455" s="1393" t="inlineStr">
        <is>
          <t>-</t>
        </is>
      </c>
      <c r="H1455" s="1393" t="inlineStr">
        <is>
          <t>Nadeau</t>
        </is>
      </c>
      <c r="I1455" s="1393" t="inlineStr">
        <is>
          <t>-</t>
        </is>
      </c>
      <c r="J1455" s="1393" t="inlineStr">
        <is>
          <t>-</t>
        </is>
      </c>
      <c r="K1455" s="1395">
        <f>IF(raw[[#This Row],[city]]&lt;&gt;"",_xlfn.XLOOKUP($D1455,ccc[city],ccc[prov],"-"),"-")</f>
        <v/>
      </c>
      <c r="L1455" s="1395">
        <f>IF(raw[[#This Row],[city]]&lt;&gt;"",_xlfn.XLOOKUP($D1455,ccc[city],ccc[ctry],"-"),"-")</f>
        <v/>
      </c>
      <c r="M1455" s="1395">
        <f>IF(raw[[#This Row],[city]]&lt;&gt;"",_xlfn.XLOOKUP($D1455,ccc[city],ccc[cont],"-"),"-")</f>
        <v/>
      </c>
      <c r="N1455" s="1396">
        <f>IF(raw[[#This Row],[city]]="","-",IF(raw[[#This Row],[cont]]="B",raw[[#This Row],[cont]],"W"))</f>
        <v/>
      </c>
      <c r="O1455" s="1397">
        <f>IF(raw[[#This Row],[out]]=0,0,IF(raw[[#This Row],[out]]=raw[[#This Row],[in]],0.01,raw[[#This Row],[out]]-raw[[#This Row],[in]]))</f>
        <v/>
      </c>
      <c r="P1455" s="1397">
        <f>IF(raw[[#This Row],[in]]=0,0,MONTH(raw[[#This Row],[in]]))</f>
        <v/>
      </c>
      <c r="Q1455" s="1397">
        <f>IF(raw[[#This Row],[in]]=0,0,YEAR(raw[[#This Row],[in]]))</f>
        <v/>
      </c>
      <c r="R1455" s="1397">
        <f>INT(raw[[#This Row],[yr]]/10)*10</f>
        <v/>
      </c>
      <c r="S1455" s="1395">
        <f>IF(raw[[#This Row],[city]]="","-",IF(raw[[#This Row],[city]]&lt;&gt;_xlfn.XLOOKUP(raw[[#This Row],[home]],homes[home],homes[city],"-"),1,0))</f>
        <v/>
      </c>
      <c r="T1455" s="1398" t="inlineStr">
        <is>
          <t>.</t>
        </is>
      </c>
      <c r="U1455" s="1399">
        <f>IF(raw[[#This Row],[wb]]="w",raw[[#This Row],[stay]]+U1454,U1454)</f>
        <v/>
      </c>
      <c r="V1455" s="1400">
        <f>IF(raw[[#This Row],[out]]=0,V1454,(raw[[#This Row],[out]]-E$5))</f>
        <v/>
      </c>
      <c r="W1455" s="1401">
        <f>U1455/V1455</f>
        <v/>
      </c>
      <c r="X1455" s="1392" t="n"/>
      <c r="Y1455" s="1392" t="n"/>
      <c r="Z1455" s="1392" t="n"/>
      <c r="AA1455" s="1392" t="n"/>
      <c r="AB1455" s="1392" t="n"/>
      <c r="AC1455" s="1392" t="n"/>
      <c r="AD1455" s="1392" t="n"/>
      <c r="AE1455" s="1392" t="n"/>
      <c r="AF1455" s="1392" t="n"/>
      <c r="AG1455" s="1392" t="n"/>
      <c r="AH1455" s="1392" t="n"/>
      <c r="AI1455" s="1392" t="n"/>
      <c r="AJ1455" s="1392" t="n"/>
      <c r="AK1455" s="1392" t="n"/>
      <c r="AL1455" s="1392" t="n"/>
      <c r="AM1455" s="1392" t="n"/>
      <c r="AN1455" s="1392" t="n"/>
      <c r="AO1455" s="1392" t="n"/>
      <c r="AP1455" s="1392" t="n"/>
      <c r="AQ1455" s="1392" t="n"/>
      <c r="AR1455" s="1422" t="n"/>
      <c r="AS1455" s="1422" t="n"/>
      <c r="AT1455" s="1392" t="n"/>
      <c r="AU1455" s="1392" t="n"/>
      <c r="AV1455" s="1392" t="n"/>
      <c r="AW1455" s="1392" t="n"/>
      <c r="AX1455" s="1392" t="n"/>
      <c r="AY1455" s="1392" t="n"/>
      <c r="AZ1455" s="1392" t="n"/>
      <c r="BA1455" s="1422" t="n"/>
      <c r="BB1455" s="1422" t="n"/>
      <c r="BC1455" s="1392" t="n"/>
      <c r="BD1455" s="1392" t="n"/>
      <c r="BE1455" s="1392" t="n"/>
      <c r="BF1455" s="1392" t="n"/>
      <c r="BG1455" s="1392" t="n"/>
      <c r="BH1455" s="1392" t="n"/>
      <c r="BI1455" s="1392" t="n"/>
      <c r="BJ1455" s="1392" t="n"/>
      <c r="BK1455" s="1392" t="n"/>
      <c r="BL1455" s="1392" t="n"/>
      <c r="BM1455" s="1392" t="n"/>
      <c r="BN1455" s="1392" t="n"/>
      <c r="BO1455" s="1392" t="n"/>
      <c r="BP1455" s="1392" t="n"/>
      <c r="BQ1455" s="1392" t="n"/>
      <c r="BR1455" s="1392" t="n"/>
      <c r="BS1455" s="1392" t="n"/>
      <c r="BT1455" s="1392" t="n"/>
      <c r="BU1455" s="1392" t="n"/>
      <c r="BV1455" s="1392" t="n"/>
      <c r="BW1455" s="1392" t="n"/>
      <c r="BX1455" s="1392" t="n"/>
      <c r="BY1455" s="1392" t="n"/>
      <c r="BZ1455" s="1392" t="n"/>
      <c r="CA1455" s="1392" t="n"/>
      <c r="CB1455" s="1392" t="n"/>
      <c r="CC1455" s="1392" t="n"/>
      <c r="CD1455" s="1392" t="n"/>
      <c r="CE1455" s="1392" t="n"/>
      <c r="CF1455" s="1392" t="n"/>
      <c r="CG1455" s="1392" t="n"/>
      <c r="CH1455" s="1392" t="n"/>
      <c r="CI1455" s="1392" t="n"/>
      <c r="CJ1455" s="1392" t="n"/>
      <c r="CK1455" s="1392" t="n"/>
      <c r="CL1455" s="1392" t="n"/>
    </row>
    <row r="1456">
      <c r="A1456" s="5" t="inlineStr">
        <is>
          <t>.</t>
        </is>
      </c>
      <c r="B1456" s="5" t="inlineStr">
        <is>
          <t>.</t>
        </is>
      </c>
      <c r="C1456" s="1378">
        <f>IF(raw[[#This Row],[city]]="","-",IF(raw[[#This Row],[city]]="TODAY","-",C1455+1))</f>
        <v/>
      </c>
      <c r="D1456" s="1393" t="inlineStr">
        <is>
          <t>Montreal</t>
        </is>
      </c>
      <c r="E1456" s="1394" t="n">
        <v>43405</v>
      </c>
      <c r="F1456" s="1394" t="n">
        <v>43416</v>
      </c>
      <c r="G1456" s="1393" t="n">
        <v>1</v>
      </c>
      <c r="H1456" s="1393" t="inlineStr">
        <is>
          <t>Nadeau</t>
        </is>
      </c>
      <c r="I1456" s="1393" t="inlineStr">
        <is>
          <t>-</t>
        </is>
      </c>
      <c r="J1456" s="1393" t="inlineStr">
        <is>
          <t>-</t>
        </is>
      </c>
      <c r="K1456" s="1395">
        <f>IF(raw[[#This Row],[city]]&lt;&gt;"",_xlfn.XLOOKUP($D1456,ccc[city],ccc[prov],"-"),"-")</f>
        <v/>
      </c>
      <c r="L1456" s="1395">
        <f>IF(raw[[#This Row],[city]]&lt;&gt;"",_xlfn.XLOOKUP($D1456,ccc[city],ccc[ctry],"-"),"-")</f>
        <v/>
      </c>
      <c r="M1456" s="1395">
        <f>IF(raw[[#This Row],[city]]&lt;&gt;"",_xlfn.XLOOKUP($D1456,ccc[city],ccc[cont],"-"),"-")</f>
        <v/>
      </c>
      <c r="N1456" s="1396">
        <f>IF(raw[[#This Row],[city]]="","-",IF(raw[[#This Row],[cont]]="B",raw[[#This Row],[cont]],"W"))</f>
        <v/>
      </c>
      <c r="O1456" s="1397">
        <f>IF(raw[[#This Row],[out]]=0,0,IF(raw[[#This Row],[out]]=raw[[#This Row],[in]],0.01,raw[[#This Row],[out]]-raw[[#This Row],[in]]))</f>
        <v/>
      </c>
      <c r="P1456" s="1397">
        <f>IF(raw[[#This Row],[in]]=0,0,MONTH(raw[[#This Row],[in]]))</f>
        <v/>
      </c>
      <c r="Q1456" s="1397">
        <f>IF(raw[[#This Row],[in]]=0,0,YEAR(raw[[#This Row],[in]]))</f>
        <v/>
      </c>
      <c r="R1456" s="1397">
        <f>INT(raw[[#This Row],[yr]]/10)*10</f>
        <v/>
      </c>
      <c r="S1456" s="1395">
        <f>IF(raw[[#This Row],[city]]="","-",IF(raw[[#This Row],[city]]&lt;&gt;_xlfn.XLOOKUP(raw[[#This Row],[home]],homes[home],homes[city],"-"),1,0))</f>
        <v/>
      </c>
      <c r="T1456" s="1398" t="inlineStr">
        <is>
          <t>.</t>
        </is>
      </c>
      <c r="U1456" s="1399">
        <f>IF(raw[[#This Row],[wb]]="w",raw[[#This Row],[stay]]+U1455,U1455)</f>
        <v/>
      </c>
      <c r="V1456" s="1400">
        <f>IF(raw[[#This Row],[out]]=0,V1455,(raw[[#This Row],[out]]-E$5))</f>
        <v/>
      </c>
      <c r="W1456" s="1401">
        <f>U1456/V1456</f>
        <v/>
      </c>
      <c r="X1456" s="1392" t="n"/>
      <c r="Y1456" s="1392" t="n"/>
      <c r="Z1456" s="1392" t="n"/>
      <c r="AA1456" s="1392" t="n"/>
      <c r="AB1456" s="1392" t="n"/>
      <c r="AC1456" s="1392" t="n"/>
      <c r="AD1456" s="1392" t="n"/>
      <c r="AE1456" s="1392" t="n"/>
      <c r="AF1456" s="1392" t="n"/>
      <c r="AG1456" s="1392" t="n"/>
      <c r="AH1456" s="1392" t="n"/>
      <c r="AI1456" s="1392" t="n"/>
      <c r="AJ1456" s="1392" t="n"/>
      <c r="AK1456" s="1392" t="n"/>
      <c r="AL1456" s="1392" t="n"/>
      <c r="AM1456" s="1392" t="n"/>
      <c r="AN1456" s="1392" t="n"/>
      <c r="AO1456" s="1392" t="n"/>
      <c r="AP1456" s="1392" t="n"/>
      <c r="AQ1456" s="1392" t="n"/>
      <c r="AR1456" s="1422" t="n"/>
      <c r="AS1456" s="1422" t="n"/>
      <c r="AT1456" s="1392" t="n"/>
      <c r="AU1456" s="1392" t="n"/>
      <c r="AV1456" s="1392" t="n"/>
      <c r="AW1456" s="1392" t="n"/>
      <c r="AX1456" s="1392" t="n"/>
      <c r="AY1456" s="1392" t="n"/>
      <c r="AZ1456" s="1392" t="n"/>
      <c r="BA1456" s="1422" t="n"/>
      <c r="BB1456" s="1422" t="n"/>
      <c r="BC1456" s="1392" t="n"/>
      <c r="BD1456" s="1392" t="n"/>
      <c r="BE1456" s="1392" t="n"/>
      <c r="BF1456" s="1392" t="n"/>
      <c r="BG1456" s="1392" t="n"/>
      <c r="BH1456" s="1392" t="n"/>
      <c r="BI1456" s="1392" t="n"/>
      <c r="BJ1456" s="1392" t="n"/>
      <c r="BK1456" s="1392" t="n"/>
      <c r="BL1456" s="1392" t="n"/>
      <c r="BM1456" s="1392" t="n"/>
      <c r="BN1456" s="1392" t="n"/>
      <c r="BO1456" s="1392" t="n"/>
      <c r="BP1456" s="1392" t="n"/>
      <c r="BQ1456" s="1392" t="n"/>
      <c r="BR1456" s="1392" t="n"/>
      <c r="BS1456" s="1392" t="n"/>
      <c r="BT1456" s="1392" t="n"/>
      <c r="BU1456" s="1392" t="n"/>
      <c r="BV1456" s="1392" t="n"/>
      <c r="BW1456" s="1392" t="n"/>
      <c r="BX1456" s="1392" t="n"/>
      <c r="BY1456" s="1392" t="n"/>
      <c r="BZ1456" s="1392" t="n"/>
      <c r="CA1456" s="1392" t="n"/>
      <c r="CB1456" s="1392" t="n"/>
      <c r="CC1456" s="1392" t="n"/>
      <c r="CD1456" s="1392" t="n"/>
      <c r="CE1456" s="1392" t="n"/>
      <c r="CF1456" s="1392" t="n"/>
      <c r="CG1456" s="1392" t="n"/>
      <c r="CH1456" s="1392" t="n"/>
      <c r="CI1456" s="1392" t="n"/>
      <c r="CJ1456" s="1392" t="n"/>
      <c r="CK1456" s="1392" t="n"/>
      <c r="CL1456" s="1392" t="n"/>
    </row>
    <row r="1457">
      <c r="A1457" s="5" t="inlineStr">
        <is>
          <t>.</t>
        </is>
      </c>
      <c r="B1457" s="5" t="inlineStr">
        <is>
          <t>.</t>
        </is>
      </c>
      <c r="C1457" s="1378">
        <f>IF(raw[[#This Row],[city]]="","-",IF(raw[[#This Row],[city]]="TODAY","-",C1456+1))</f>
        <v/>
      </c>
      <c r="D1457" s="1393" t="inlineStr">
        <is>
          <t>AIR</t>
        </is>
      </c>
      <c r="E1457" s="1394" t="n">
        <v>43416</v>
      </c>
      <c r="F1457" s="1394" t="n">
        <v>43417</v>
      </c>
      <c r="G1457" s="1393" t="inlineStr">
        <is>
          <t>x</t>
        </is>
      </c>
      <c r="H1457" s="1393" t="inlineStr">
        <is>
          <t>Nadeau</t>
        </is>
      </c>
      <c r="I1457" s="1393" t="inlineStr">
        <is>
          <t>-</t>
        </is>
      </c>
      <c r="J1457" s="1393" t="inlineStr">
        <is>
          <t>-</t>
        </is>
      </c>
      <c r="K1457" s="1395">
        <f>IF(raw[[#This Row],[city]]&lt;&gt;"",_xlfn.XLOOKUP($D1457,ccc[city],ccc[prov],"-"),"-")</f>
        <v/>
      </c>
      <c r="L1457" s="1395">
        <f>IF(raw[[#This Row],[city]]&lt;&gt;"",_xlfn.XLOOKUP($D1457,ccc[city],ccc[ctry],"-"),"-")</f>
        <v/>
      </c>
      <c r="M1457" s="1395">
        <f>IF(raw[[#This Row],[city]]&lt;&gt;"",_xlfn.XLOOKUP($D1457,ccc[city],ccc[cont],"-"),"-")</f>
        <v/>
      </c>
      <c r="N1457" s="1396">
        <f>IF(raw[[#This Row],[city]]="","-",IF(raw[[#This Row],[cont]]="B",raw[[#This Row],[cont]],"W"))</f>
        <v/>
      </c>
      <c r="O1457" s="1397">
        <f>IF(raw[[#This Row],[out]]=0,0,IF(raw[[#This Row],[out]]=raw[[#This Row],[in]],0.01,raw[[#This Row],[out]]-raw[[#This Row],[in]]))</f>
        <v/>
      </c>
      <c r="P1457" s="1397">
        <f>IF(raw[[#This Row],[in]]=0,0,MONTH(raw[[#This Row],[in]]))</f>
        <v/>
      </c>
      <c r="Q1457" s="1397">
        <f>IF(raw[[#This Row],[in]]=0,0,YEAR(raw[[#This Row],[in]]))</f>
        <v/>
      </c>
      <c r="R1457" s="1397">
        <f>INT(raw[[#This Row],[yr]]/10)*10</f>
        <v/>
      </c>
      <c r="S1457" s="1395">
        <f>IF(raw[[#This Row],[city]]="","-",IF(raw[[#This Row],[city]]&lt;&gt;_xlfn.XLOOKUP(raw[[#This Row],[home]],homes[home],homes[city],"-"),1,0))</f>
        <v/>
      </c>
      <c r="T1457" s="1398" t="inlineStr">
        <is>
          <t>.</t>
        </is>
      </c>
      <c r="U1457" s="1399">
        <f>IF(raw[[#This Row],[wb]]="w",raw[[#This Row],[stay]]+U1456,U1456)</f>
        <v/>
      </c>
      <c r="V1457" s="1400">
        <f>IF(raw[[#This Row],[out]]=0,V1456,(raw[[#This Row],[out]]-E$5))</f>
        <v/>
      </c>
      <c r="W1457" s="1401">
        <f>U1457/V1457</f>
        <v/>
      </c>
      <c r="X1457" s="1392" t="n"/>
      <c r="Y1457" s="1392" t="n"/>
      <c r="Z1457" s="1392" t="n"/>
      <c r="AA1457" s="1392" t="n"/>
      <c r="AB1457" s="1392" t="n"/>
      <c r="AC1457" s="1392" t="n"/>
      <c r="AD1457" s="1392" t="n"/>
      <c r="AE1457" s="1392" t="n"/>
      <c r="AF1457" s="1392" t="n"/>
      <c r="AG1457" s="1392" t="n"/>
      <c r="AH1457" s="1392" t="n"/>
      <c r="AI1457" s="1392" t="n"/>
      <c r="AJ1457" s="1392" t="n"/>
      <c r="AK1457" s="1392" t="n"/>
      <c r="AL1457" s="1392" t="n"/>
      <c r="AM1457" s="1392" t="n"/>
      <c r="AN1457" s="1392" t="n"/>
      <c r="AO1457" s="1392" t="n"/>
      <c r="AP1457" s="1392" t="n"/>
      <c r="AQ1457" s="1392" t="n"/>
      <c r="AR1457" s="1422" t="n"/>
      <c r="AS1457" s="1422" t="n"/>
      <c r="AT1457" s="1392" t="n"/>
      <c r="AU1457" s="1392" t="n"/>
      <c r="AV1457" s="1392" t="n"/>
      <c r="AW1457" s="1392" t="n"/>
      <c r="AX1457" s="1392" t="n"/>
      <c r="AY1457" s="1392" t="n"/>
      <c r="AZ1457" s="1392" t="n"/>
      <c r="BA1457" s="1422" t="n"/>
      <c r="BB1457" s="1422" t="n"/>
      <c r="BC1457" s="1392" t="n"/>
      <c r="BD1457" s="1392" t="n"/>
      <c r="BE1457" s="1392" t="n"/>
      <c r="BF1457" s="1392" t="n"/>
      <c r="BG1457" s="1392" t="n"/>
      <c r="BH1457" s="1392" t="n"/>
      <c r="BI1457" s="1392" t="n"/>
      <c r="BJ1457" s="1392" t="n"/>
      <c r="BK1457" s="1392" t="n"/>
      <c r="BL1457" s="1392" t="n"/>
      <c r="BM1457" s="1392" t="n"/>
      <c r="BN1457" s="1392" t="n"/>
      <c r="BO1457" s="1392" t="n"/>
      <c r="BP1457" s="1392" t="n"/>
      <c r="BQ1457" s="1392" t="n"/>
      <c r="BR1457" s="1392" t="n"/>
      <c r="BS1457" s="1392" t="n"/>
      <c r="BT1457" s="1392" t="n"/>
      <c r="BU1457" s="1392" t="n"/>
      <c r="BV1457" s="1392" t="n"/>
      <c r="BW1457" s="1392" t="n"/>
      <c r="BX1457" s="1392" t="n"/>
      <c r="BY1457" s="1392" t="n"/>
      <c r="BZ1457" s="1392" t="n"/>
      <c r="CA1457" s="1392" t="n"/>
      <c r="CB1457" s="1392" t="n"/>
      <c r="CC1457" s="1392" t="n"/>
      <c r="CD1457" s="1392" t="n"/>
      <c r="CE1457" s="1392" t="n"/>
      <c r="CF1457" s="1392" t="n"/>
      <c r="CG1457" s="1392" t="n"/>
      <c r="CH1457" s="1392" t="n"/>
      <c r="CI1457" s="1392" t="n"/>
      <c r="CJ1457" s="1392" t="n"/>
      <c r="CK1457" s="1392" t="n"/>
      <c r="CL1457" s="1392" t="n"/>
    </row>
    <row r="1458">
      <c r="A1458" s="5" t="inlineStr">
        <is>
          <t>.</t>
        </is>
      </c>
      <c r="B1458" s="5" t="inlineStr">
        <is>
          <t>.</t>
        </is>
      </c>
      <c r="C1458" s="1378">
        <f>IF(raw[[#This Row],[city]]="","-",IF(raw[[#This Row],[city]]="TODAY","-",C1457+1))</f>
        <v/>
      </c>
      <c r="D1458" s="1393" t="inlineStr">
        <is>
          <t>Lisbon</t>
        </is>
      </c>
      <c r="E1458" s="1394" t="n">
        <v>43417</v>
      </c>
      <c r="F1458" s="1394" t="n">
        <v>43417</v>
      </c>
      <c r="G1458" s="1393" t="n">
        <v>0.01</v>
      </c>
      <c r="H1458" s="1393" t="inlineStr">
        <is>
          <t>Nadeau</t>
        </is>
      </c>
      <c r="I1458" s="1393" t="inlineStr">
        <is>
          <t>-</t>
        </is>
      </c>
      <c r="J1458" s="1393" t="inlineStr">
        <is>
          <t>-</t>
        </is>
      </c>
      <c r="K1458" s="1395">
        <f>IF(raw[[#This Row],[city]]&lt;&gt;"",_xlfn.XLOOKUP($D1458,ccc[city],ccc[prov],"-"),"-")</f>
        <v/>
      </c>
      <c r="L1458" s="1395">
        <f>IF(raw[[#This Row],[city]]&lt;&gt;"",_xlfn.XLOOKUP($D1458,ccc[city],ccc[ctry],"-"),"-")</f>
        <v/>
      </c>
      <c r="M1458" s="1395">
        <f>IF(raw[[#This Row],[city]]&lt;&gt;"",_xlfn.XLOOKUP($D1458,ccc[city],ccc[cont],"-"),"-")</f>
        <v/>
      </c>
      <c r="N1458" s="1396">
        <f>IF(raw[[#This Row],[city]]="","-",IF(raw[[#This Row],[cont]]="B",raw[[#This Row],[cont]],"W"))</f>
        <v/>
      </c>
      <c r="O1458" s="1397">
        <f>IF(raw[[#This Row],[out]]=0,0,IF(raw[[#This Row],[out]]=raw[[#This Row],[in]],0.01,raw[[#This Row],[out]]-raw[[#This Row],[in]]))</f>
        <v/>
      </c>
      <c r="P1458" s="1397">
        <f>IF(raw[[#This Row],[in]]=0,0,MONTH(raw[[#This Row],[in]]))</f>
        <v/>
      </c>
      <c r="Q1458" s="1397">
        <f>IF(raw[[#This Row],[in]]=0,0,YEAR(raw[[#This Row],[in]]))</f>
        <v/>
      </c>
      <c r="R1458" s="1397">
        <f>INT(raw[[#This Row],[yr]]/10)*10</f>
        <v/>
      </c>
      <c r="S1458" s="1395">
        <f>IF(raw[[#This Row],[city]]="","-",IF(raw[[#This Row],[city]]&lt;&gt;_xlfn.XLOOKUP(raw[[#This Row],[home]],homes[home],homes[city],"-"),1,0))</f>
        <v/>
      </c>
      <c r="T1458" s="1398" t="inlineStr">
        <is>
          <t>.</t>
        </is>
      </c>
      <c r="U1458" s="1399">
        <f>IF(raw[[#This Row],[wb]]="w",raw[[#This Row],[stay]]+U1457,U1457)</f>
        <v/>
      </c>
      <c r="V1458" s="1400">
        <f>IF(raw[[#This Row],[out]]=0,V1457,(raw[[#This Row],[out]]-E$5))</f>
        <v/>
      </c>
      <c r="W1458" s="1401">
        <f>U1458/V1458</f>
        <v/>
      </c>
      <c r="X1458" s="1392" t="n"/>
      <c r="Y1458" s="1392" t="n"/>
      <c r="Z1458" s="1392" t="n"/>
      <c r="AA1458" s="1392" t="n"/>
      <c r="AB1458" s="1392" t="n"/>
      <c r="AC1458" s="1392" t="n"/>
      <c r="AD1458" s="1392" t="n"/>
      <c r="AE1458" s="1392" t="n"/>
      <c r="AF1458" s="1392" t="n"/>
      <c r="AG1458" s="1392" t="n"/>
      <c r="AH1458" s="1392" t="n"/>
      <c r="AI1458" s="1392" t="n"/>
      <c r="AJ1458" s="1392" t="n"/>
      <c r="AK1458" s="1392" t="n"/>
      <c r="AL1458" s="1392" t="n"/>
      <c r="AM1458" s="1392" t="n"/>
      <c r="AN1458" s="1392" t="n"/>
      <c r="AO1458" s="1392" t="n"/>
      <c r="AP1458" s="1392" t="n"/>
      <c r="AQ1458" s="1392" t="n"/>
      <c r="AR1458" s="1422" t="n"/>
      <c r="AS1458" s="1422" t="n"/>
      <c r="AT1458" s="1392" t="n"/>
      <c r="AU1458" s="1392" t="n"/>
      <c r="AV1458" s="1392" t="n"/>
      <c r="AW1458" s="1392" t="n"/>
      <c r="AX1458" s="1392" t="n"/>
      <c r="AY1458" s="1392" t="n"/>
      <c r="AZ1458" s="1392" t="n"/>
      <c r="BA1458" s="1422" t="n"/>
      <c r="BB1458" s="1422" t="n"/>
      <c r="BC1458" s="1392" t="n"/>
      <c r="BD1458" s="1392" t="n"/>
      <c r="BE1458" s="1392" t="n"/>
      <c r="BF1458" s="1392" t="n"/>
      <c r="BG1458" s="1392" t="n"/>
      <c r="BH1458" s="1392" t="n"/>
      <c r="BI1458" s="1392" t="n"/>
      <c r="BJ1458" s="1392" t="n"/>
      <c r="BK1458" s="1392" t="n"/>
      <c r="BL1458" s="1392" t="n"/>
      <c r="BM1458" s="1392" t="n"/>
      <c r="BN1458" s="1392" t="n"/>
      <c r="BO1458" s="1392" t="n"/>
      <c r="BP1458" s="1392" t="n"/>
      <c r="BQ1458" s="1392" t="n"/>
      <c r="BR1458" s="1392" t="n"/>
      <c r="BS1458" s="1392" t="n"/>
      <c r="BT1458" s="1392" t="n"/>
      <c r="BU1458" s="1392" t="n"/>
      <c r="BV1458" s="1392" t="n"/>
      <c r="BW1458" s="1392" t="n"/>
      <c r="BX1458" s="1392" t="n"/>
      <c r="BY1458" s="1392" t="n"/>
      <c r="BZ1458" s="1392" t="n"/>
      <c r="CA1458" s="1392" t="n"/>
      <c r="CB1458" s="1392" t="n"/>
      <c r="CC1458" s="1392" t="n"/>
      <c r="CD1458" s="1392" t="n"/>
      <c r="CE1458" s="1392" t="n"/>
      <c r="CF1458" s="1392" t="n"/>
      <c r="CG1458" s="1392" t="n"/>
      <c r="CH1458" s="1392" t="n"/>
      <c r="CI1458" s="1392" t="n"/>
      <c r="CJ1458" s="1392" t="n"/>
      <c r="CK1458" s="1392" t="n"/>
      <c r="CL1458" s="1392" t="n"/>
    </row>
    <row r="1459">
      <c r="A1459" s="5" t="inlineStr">
        <is>
          <t>.</t>
        </is>
      </c>
      <c r="B1459" s="5" t="inlineStr">
        <is>
          <t>.</t>
        </is>
      </c>
      <c r="C1459" s="1378">
        <f>IF(raw[[#This Row],[city]]="","-",IF(raw[[#This Row],[city]]="TODAY","-",C1458+1))</f>
        <v/>
      </c>
      <c r="D1459" s="1393" t="inlineStr">
        <is>
          <t>Porto</t>
        </is>
      </c>
      <c r="E1459" s="1394" t="n">
        <v>43417</v>
      </c>
      <c r="F1459" s="1394" t="n">
        <v>43418</v>
      </c>
      <c r="G1459" s="1393" t="inlineStr">
        <is>
          <t>-</t>
        </is>
      </c>
      <c r="H1459" s="1393" t="inlineStr">
        <is>
          <t>Nadeau</t>
        </is>
      </c>
      <c r="I1459" s="1393" t="inlineStr">
        <is>
          <t>-</t>
        </is>
      </c>
      <c r="J1459" s="1393" t="inlineStr">
        <is>
          <t>-</t>
        </is>
      </c>
      <c r="K1459" s="1395">
        <f>IF(raw[[#This Row],[city]]&lt;&gt;"",_xlfn.XLOOKUP($D1459,ccc[city],ccc[prov],"-"),"-")</f>
        <v/>
      </c>
      <c r="L1459" s="1395">
        <f>IF(raw[[#This Row],[city]]&lt;&gt;"",_xlfn.XLOOKUP($D1459,ccc[city],ccc[ctry],"-"),"-")</f>
        <v/>
      </c>
      <c r="M1459" s="1395">
        <f>IF(raw[[#This Row],[city]]&lt;&gt;"",_xlfn.XLOOKUP($D1459,ccc[city],ccc[cont],"-"),"-")</f>
        <v/>
      </c>
      <c r="N1459" s="1396">
        <f>IF(raw[[#This Row],[city]]="","-",IF(raw[[#This Row],[cont]]="B",raw[[#This Row],[cont]],"W"))</f>
        <v/>
      </c>
      <c r="O1459" s="1397">
        <f>IF(raw[[#This Row],[out]]=0,0,IF(raw[[#This Row],[out]]=raw[[#This Row],[in]],0.01,raw[[#This Row],[out]]-raw[[#This Row],[in]]))</f>
        <v/>
      </c>
      <c r="P1459" s="1397">
        <f>IF(raw[[#This Row],[in]]=0,0,MONTH(raw[[#This Row],[in]]))</f>
        <v/>
      </c>
      <c r="Q1459" s="1397">
        <f>IF(raw[[#This Row],[in]]=0,0,YEAR(raw[[#This Row],[in]]))</f>
        <v/>
      </c>
      <c r="R1459" s="1397">
        <f>INT(raw[[#This Row],[yr]]/10)*10</f>
        <v/>
      </c>
      <c r="S1459" s="1395">
        <f>IF(raw[[#This Row],[city]]="","-",IF(raw[[#This Row],[city]]&lt;&gt;_xlfn.XLOOKUP(raw[[#This Row],[home]],homes[home],homes[city],"-"),1,0))</f>
        <v/>
      </c>
      <c r="T1459" s="1398" t="inlineStr">
        <is>
          <t>.</t>
        </is>
      </c>
      <c r="U1459" s="1399">
        <f>IF(raw[[#This Row],[wb]]="w",raw[[#This Row],[stay]]+U1458,U1458)</f>
        <v/>
      </c>
      <c r="V1459" s="1400">
        <f>IF(raw[[#This Row],[out]]=0,V1458,(raw[[#This Row],[out]]-E$5))</f>
        <v/>
      </c>
      <c r="W1459" s="1401">
        <f>U1459/V1459</f>
        <v/>
      </c>
      <c r="X1459" s="1392" t="n"/>
      <c r="Y1459" s="1392" t="n"/>
      <c r="Z1459" s="1392" t="n"/>
      <c r="AA1459" s="1392" t="n"/>
      <c r="AB1459" s="1392" t="n"/>
      <c r="AC1459" s="1392" t="n"/>
      <c r="AD1459" s="1392" t="n"/>
      <c r="AE1459" s="1392" t="n"/>
      <c r="AF1459" s="1392" t="n"/>
      <c r="AG1459" s="1392" t="n"/>
      <c r="AH1459" s="1392" t="n"/>
      <c r="AI1459" s="1392" t="n"/>
      <c r="AJ1459" s="1392" t="n"/>
      <c r="AK1459" s="1392" t="n"/>
      <c r="AL1459" s="1392" t="n"/>
      <c r="AM1459" s="1392" t="n"/>
      <c r="AN1459" s="1392" t="n"/>
      <c r="AO1459" s="1392" t="n"/>
      <c r="AP1459" s="1392" t="n"/>
      <c r="AQ1459" s="1392" t="n"/>
      <c r="AR1459" s="1422" t="n"/>
      <c r="AS1459" s="1422" t="n"/>
      <c r="AT1459" s="1392" t="n"/>
      <c r="AU1459" s="1392" t="n"/>
      <c r="AV1459" s="1392" t="n"/>
      <c r="AW1459" s="1392" t="n"/>
      <c r="AX1459" s="1392" t="n"/>
      <c r="AY1459" s="1392" t="n"/>
      <c r="AZ1459" s="1392" t="n"/>
      <c r="BA1459" s="1422" t="n"/>
      <c r="BB1459" s="1422" t="n"/>
      <c r="BC1459" s="1392" t="n"/>
      <c r="BD1459" s="1392" t="n"/>
      <c r="BE1459" s="1392" t="n"/>
      <c r="BF1459" s="1392" t="n"/>
      <c r="BG1459" s="1392" t="n"/>
      <c r="BH1459" s="1392" t="n"/>
      <c r="BI1459" s="1392" t="n"/>
      <c r="BJ1459" s="1392" t="n"/>
      <c r="BK1459" s="1392" t="n"/>
      <c r="BL1459" s="1392" t="n"/>
      <c r="BM1459" s="1392" t="n"/>
      <c r="BN1459" s="1392" t="n"/>
      <c r="BO1459" s="1392" t="n"/>
      <c r="BP1459" s="1392" t="n"/>
      <c r="BQ1459" s="1392" t="n"/>
      <c r="BR1459" s="1392" t="n"/>
      <c r="BS1459" s="1392" t="n"/>
      <c r="BT1459" s="1392" t="n"/>
      <c r="BU1459" s="1392" t="n"/>
      <c r="BV1459" s="1392" t="n"/>
      <c r="BW1459" s="1392" t="n"/>
      <c r="BX1459" s="1392" t="n"/>
      <c r="BY1459" s="1392" t="n"/>
      <c r="BZ1459" s="1392" t="n"/>
      <c r="CA1459" s="1392" t="n"/>
      <c r="CB1459" s="1392" t="n"/>
      <c r="CC1459" s="1392" t="n"/>
      <c r="CD1459" s="1392" t="n"/>
      <c r="CE1459" s="1392" t="n"/>
      <c r="CF1459" s="1392" t="n"/>
      <c r="CG1459" s="1392" t="n"/>
      <c r="CH1459" s="1392" t="n"/>
      <c r="CI1459" s="1392" t="n"/>
      <c r="CJ1459" s="1392" t="n"/>
      <c r="CK1459" s="1392" t="n"/>
      <c r="CL1459" s="1392" t="n"/>
    </row>
    <row r="1460">
      <c r="A1460" s="5" t="inlineStr">
        <is>
          <t>.</t>
        </is>
      </c>
      <c r="B1460" s="5" t="inlineStr">
        <is>
          <t>.</t>
        </is>
      </c>
      <c r="C1460" s="1378">
        <f>IF(raw[[#This Row],[city]]="","-",IF(raw[[#This Row],[city]]="TODAY","-",C1459+1))</f>
        <v/>
      </c>
      <c r="D1460" s="1393" t="inlineStr">
        <is>
          <t>Vairao</t>
        </is>
      </c>
      <c r="E1460" s="1394" t="n">
        <v>43418</v>
      </c>
      <c r="F1460" s="1394" t="n">
        <v>43419</v>
      </c>
      <c r="G1460" s="1393" t="inlineStr">
        <is>
          <t>-</t>
        </is>
      </c>
      <c r="H1460" s="1393" t="inlineStr">
        <is>
          <t>Nadeau</t>
        </is>
      </c>
      <c r="I1460" s="1393" t="inlineStr">
        <is>
          <t>CS</t>
        </is>
      </c>
      <c r="J1460" s="1393" t="inlineStr">
        <is>
          <t>-</t>
        </is>
      </c>
      <c r="K1460" s="1395">
        <f>IF(raw[[#This Row],[city]]&lt;&gt;"",_xlfn.XLOOKUP($D1460,ccc[city],ccc[prov],"-"),"-")</f>
        <v/>
      </c>
      <c r="L1460" s="1395">
        <f>IF(raw[[#This Row],[city]]&lt;&gt;"",_xlfn.XLOOKUP($D1460,ccc[city],ccc[ctry],"-"),"-")</f>
        <v/>
      </c>
      <c r="M1460" s="1395">
        <f>IF(raw[[#This Row],[city]]&lt;&gt;"",_xlfn.XLOOKUP($D1460,ccc[city],ccc[cont],"-"),"-")</f>
        <v/>
      </c>
      <c r="N1460" s="1396">
        <f>IF(raw[[#This Row],[city]]="","-",IF(raw[[#This Row],[cont]]="B",raw[[#This Row],[cont]],"W"))</f>
        <v/>
      </c>
      <c r="O1460" s="1397">
        <f>IF(raw[[#This Row],[out]]=0,0,IF(raw[[#This Row],[out]]=raw[[#This Row],[in]],0.01,raw[[#This Row],[out]]-raw[[#This Row],[in]]))</f>
        <v/>
      </c>
      <c r="P1460" s="1397">
        <f>IF(raw[[#This Row],[in]]=0,0,MONTH(raw[[#This Row],[in]]))</f>
        <v/>
      </c>
      <c r="Q1460" s="1397">
        <f>IF(raw[[#This Row],[in]]=0,0,YEAR(raw[[#This Row],[in]]))</f>
        <v/>
      </c>
      <c r="R1460" s="1397">
        <f>INT(raw[[#This Row],[yr]]/10)*10</f>
        <v/>
      </c>
      <c r="S1460" s="1395">
        <f>IF(raw[[#This Row],[city]]="","-",IF(raw[[#This Row],[city]]&lt;&gt;_xlfn.XLOOKUP(raw[[#This Row],[home]],homes[home],homes[city],"-"),1,0))</f>
        <v/>
      </c>
      <c r="T1460" s="1398" t="inlineStr">
        <is>
          <t>.</t>
        </is>
      </c>
      <c r="U1460" s="1399">
        <f>IF(raw[[#This Row],[wb]]="w",raw[[#This Row],[stay]]+U1459,U1459)</f>
        <v/>
      </c>
      <c r="V1460" s="1400">
        <f>IF(raw[[#This Row],[out]]=0,V1459,(raw[[#This Row],[out]]-E$5))</f>
        <v/>
      </c>
      <c r="W1460" s="1401">
        <f>U1460/V1460</f>
        <v/>
      </c>
      <c r="X1460" s="1392" t="n"/>
      <c r="Y1460" s="1392" t="n"/>
      <c r="Z1460" s="1392" t="n"/>
      <c r="AA1460" s="1392" t="n"/>
      <c r="AB1460" s="1392" t="n"/>
      <c r="AC1460" s="1392" t="n"/>
      <c r="AD1460" s="1392" t="n"/>
      <c r="AE1460" s="1392" t="n"/>
      <c r="AF1460" s="1392" t="n"/>
      <c r="AG1460" s="1392" t="n"/>
      <c r="AH1460" s="1392" t="n"/>
      <c r="AI1460" s="1392" t="n"/>
      <c r="AJ1460" s="1392" t="n"/>
      <c r="AK1460" s="1392" t="n"/>
      <c r="AL1460" s="1392" t="n"/>
      <c r="AM1460" s="1392" t="n"/>
      <c r="AN1460" s="1392" t="n"/>
      <c r="AO1460" s="1392" t="n"/>
      <c r="AP1460" s="1392" t="n"/>
      <c r="AQ1460" s="1392" t="n"/>
      <c r="AR1460" s="1422" t="n"/>
      <c r="AS1460" s="1422" t="n"/>
      <c r="AT1460" s="1392" t="n"/>
      <c r="AU1460" s="1392" t="n"/>
      <c r="AV1460" s="1392" t="n"/>
      <c r="AW1460" s="1392" t="n"/>
      <c r="AX1460" s="1392" t="n"/>
      <c r="AY1460" s="1392" t="n"/>
      <c r="AZ1460" s="1392" t="n"/>
      <c r="BA1460" s="1422" t="n"/>
      <c r="BB1460" s="1422" t="n"/>
      <c r="BC1460" s="1392" t="n"/>
      <c r="BD1460" s="1392" t="n"/>
      <c r="BE1460" s="1392" t="n"/>
      <c r="BF1460" s="1392" t="n"/>
      <c r="BG1460" s="1392" t="n"/>
      <c r="BH1460" s="1392" t="n"/>
      <c r="BI1460" s="1392" t="n"/>
      <c r="BJ1460" s="1392" t="n"/>
      <c r="BK1460" s="1392" t="n"/>
      <c r="BL1460" s="1392" t="n"/>
      <c r="BM1460" s="1392" t="n"/>
      <c r="BN1460" s="1392" t="n"/>
      <c r="BO1460" s="1392" t="n"/>
      <c r="BP1460" s="1392" t="n"/>
      <c r="BQ1460" s="1392" t="n"/>
      <c r="BR1460" s="1392" t="n"/>
      <c r="BS1460" s="1392" t="n"/>
      <c r="BT1460" s="1392" t="n"/>
      <c r="BU1460" s="1392" t="n"/>
      <c r="BV1460" s="1392" t="n"/>
      <c r="BW1460" s="1392" t="n"/>
      <c r="BX1460" s="1392" t="n"/>
      <c r="BY1460" s="1392" t="n"/>
      <c r="BZ1460" s="1392" t="n"/>
      <c r="CA1460" s="1392" t="n"/>
      <c r="CB1460" s="1392" t="n"/>
      <c r="CC1460" s="1392" t="n"/>
      <c r="CD1460" s="1392" t="n"/>
      <c r="CE1460" s="1392" t="n"/>
      <c r="CF1460" s="1392" t="n"/>
      <c r="CG1460" s="1392" t="n"/>
      <c r="CH1460" s="1392" t="n"/>
      <c r="CI1460" s="1392" t="n"/>
      <c r="CJ1460" s="1392" t="n"/>
      <c r="CK1460" s="1392" t="n"/>
      <c r="CL1460" s="1392" t="n"/>
    </row>
    <row r="1461">
      <c r="A1461" s="5" t="inlineStr">
        <is>
          <t>.</t>
        </is>
      </c>
      <c r="B1461" s="5" t="inlineStr">
        <is>
          <t>.</t>
        </is>
      </c>
      <c r="C1461" s="1378">
        <f>IF(raw[[#This Row],[city]]="","-",IF(raw[[#This Row],[city]]="TODAY","-",C1460+1))</f>
        <v/>
      </c>
      <c r="D1461" s="1393" t="inlineStr">
        <is>
          <t>Arcos</t>
        </is>
      </c>
      <c r="E1461" s="1394" t="n">
        <v>43419</v>
      </c>
      <c r="F1461" s="1394" t="n">
        <v>43419</v>
      </c>
      <c r="G1461" s="1393" t="inlineStr">
        <is>
          <t>-</t>
        </is>
      </c>
      <c r="H1461" s="1393" t="inlineStr">
        <is>
          <t>Nadeau</t>
        </is>
      </c>
      <c r="I1461" s="1393" t="inlineStr">
        <is>
          <t>CS</t>
        </is>
      </c>
      <c r="J1461" s="1393" t="inlineStr">
        <is>
          <t>-</t>
        </is>
      </c>
      <c r="K1461" s="1395">
        <f>IF(raw[[#This Row],[city]]&lt;&gt;"",_xlfn.XLOOKUP($D1461,ccc[city],ccc[prov],"-"),"-")</f>
        <v/>
      </c>
      <c r="L1461" s="1395">
        <f>IF(raw[[#This Row],[city]]&lt;&gt;"",_xlfn.XLOOKUP($D1461,ccc[city],ccc[ctry],"-"),"-")</f>
        <v/>
      </c>
      <c r="M1461" s="1395">
        <f>IF(raw[[#This Row],[city]]&lt;&gt;"",_xlfn.XLOOKUP($D1461,ccc[city],ccc[cont],"-"),"-")</f>
        <v/>
      </c>
      <c r="N1461" s="1396">
        <f>IF(raw[[#This Row],[city]]="","-",IF(raw[[#This Row],[cont]]="B",raw[[#This Row],[cont]],"W"))</f>
        <v/>
      </c>
      <c r="O1461" s="1397">
        <f>IF(raw[[#This Row],[out]]=0,0,IF(raw[[#This Row],[out]]=raw[[#This Row],[in]],0.01,raw[[#This Row],[out]]-raw[[#This Row],[in]]))</f>
        <v/>
      </c>
      <c r="P1461" s="1397">
        <f>IF(raw[[#This Row],[in]]=0,0,MONTH(raw[[#This Row],[in]]))</f>
        <v/>
      </c>
      <c r="Q1461" s="1397">
        <f>IF(raw[[#This Row],[in]]=0,0,YEAR(raw[[#This Row],[in]]))</f>
        <v/>
      </c>
      <c r="R1461" s="1397">
        <f>INT(raw[[#This Row],[yr]]/10)*10</f>
        <v/>
      </c>
      <c r="S1461" s="1395">
        <f>IF(raw[[#This Row],[city]]="","-",IF(raw[[#This Row],[city]]&lt;&gt;_xlfn.XLOOKUP(raw[[#This Row],[home]],homes[home],homes[city],"-"),1,0))</f>
        <v/>
      </c>
      <c r="T1461" s="1398" t="inlineStr">
        <is>
          <t>.</t>
        </is>
      </c>
      <c r="U1461" s="1399">
        <f>IF(raw[[#This Row],[wb]]="w",raw[[#This Row],[stay]]+U1460,U1460)</f>
        <v/>
      </c>
      <c r="V1461" s="1400">
        <f>IF(raw[[#This Row],[out]]=0,V1460,(raw[[#This Row],[out]]-E$5))</f>
        <v/>
      </c>
      <c r="W1461" s="1401">
        <f>U1461/V1461</f>
        <v/>
      </c>
      <c r="X1461" s="1392" t="n"/>
      <c r="Y1461" s="1392" t="n"/>
      <c r="Z1461" s="1392" t="n"/>
      <c r="AA1461" s="1392" t="n"/>
      <c r="AB1461" s="1392" t="n"/>
      <c r="AC1461" s="1392" t="n"/>
      <c r="AD1461" s="1392" t="n"/>
      <c r="AE1461" s="1392" t="n"/>
      <c r="AF1461" s="1392" t="n"/>
      <c r="AG1461" s="1392" t="n"/>
      <c r="AH1461" s="1392" t="n"/>
      <c r="AI1461" s="1392" t="n"/>
      <c r="AJ1461" s="1392" t="n"/>
      <c r="AK1461" s="1392" t="n"/>
      <c r="AL1461" s="1392" t="n"/>
      <c r="AM1461" s="1392" t="n"/>
      <c r="AN1461" s="1392" t="n"/>
      <c r="AO1461" s="1392" t="n"/>
      <c r="AP1461" s="1392" t="n"/>
      <c r="AQ1461" s="1392" t="n"/>
      <c r="AR1461" s="1422" t="n"/>
      <c r="AS1461" s="1422" t="n"/>
      <c r="AT1461" s="1392" t="n"/>
      <c r="AU1461" s="1392" t="n"/>
      <c r="AV1461" s="1392" t="n"/>
      <c r="AW1461" s="1392" t="n"/>
      <c r="AX1461" s="1392" t="n"/>
      <c r="AY1461" s="1392" t="n"/>
      <c r="AZ1461" s="1392" t="n"/>
      <c r="BA1461" s="1422" t="n"/>
      <c r="BB1461" s="1422" t="n"/>
      <c r="BC1461" s="1392" t="n"/>
      <c r="BD1461" s="1392" t="n"/>
      <c r="BE1461" s="1392" t="n"/>
      <c r="BF1461" s="1392" t="n"/>
      <c r="BG1461" s="1392" t="n"/>
      <c r="BH1461" s="1392" t="n"/>
      <c r="BI1461" s="1392" t="n"/>
      <c r="BJ1461" s="1392" t="n"/>
      <c r="BK1461" s="1392" t="n"/>
      <c r="BL1461" s="1392" t="n"/>
      <c r="BM1461" s="1392" t="n"/>
      <c r="BN1461" s="1392" t="n"/>
      <c r="BO1461" s="1392" t="n"/>
      <c r="BP1461" s="1392" t="n"/>
      <c r="BQ1461" s="1392" t="n"/>
      <c r="BR1461" s="1392" t="n"/>
      <c r="BS1461" s="1392" t="n"/>
      <c r="BT1461" s="1392" t="n"/>
      <c r="BU1461" s="1392" t="n"/>
      <c r="BV1461" s="1392" t="n"/>
      <c r="BW1461" s="1392" t="n"/>
      <c r="BX1461" s="1392" t="n"/>
      <c r="BY1461" s="1392" t="n"/>
      <c r="BZ1461" s="1392" t="n"/>
      <c r="CA1461" s="1392" t="n"/>
      <c r="CB1461" s="1392" t="n"/>
      <c r="CC1461" s="1392" t="n"/>
      <c r="CD1461" s="1392" t="n"/>
      <c r="CE1461" s="1392" t="n"/>
      <c r="CF1461" s="1392" t="n"/>
      <c r="CG1461" s="1392" t="n"/>
      <c r="CH1461" s="1392" t="n"/>
      <c r="CI1461" s="1392" t="n"/>
      <c r="CJ1461" s="1392" t="n"/>
      <c r="CK1461" s="1392" t="n"/>
      <c r="CL1461" s="1392" t="n"/>
    </row>
    <row r="1462">
      <c r="A1462" s="5" t="inlineStr">
        <is>
          <t>.</t>
        </is>
      </c>
      <c r="B1462" s="5" t="inlineStr">
        <is>
          <t>.</t>
        </is>
      </c>
      <c r="C1462" s="1378">
        <f>IF(raw[[#This Row],[city]]="","-",IF(raw[[#This Row],[city]]="TODAY","-",C1461+1))</f>
        <v/>
      </c>
      <c r="D1462" s="1393" t="inlineStr">
        <is>
          <t>Barcelinhos</t>
        </is>
      </c>
      <c r="E1462" s="1394" t="n">
        <v>43419</v>
      </c>
      <c r="F1462" s="1394" t="n">
        <v>43420</v>
      </c>
      <c r="G1462" s="1393" t="inlineStr">
        <is>
          <t>-</t>
        </is>
      </c>
      <c r="H1462" s="1393" t="inlineStr">
        <is>
          <t>Nadeau</t>
        </is>
      </c>
      <c r="I1462" s="1393" t="inlineStr">
        <is>
          <t>CS</t>
        </is>
      </c>
      <c r="J1462" s="1393" t="inlineStr">
        <is>
          <t>-</t>
        </is>
      </c>
      <c r="K1462" s="1395">
        <f>IF(raw[[#This Row],[city]]&lt;&gt;"",_xlfn.XLOOKUP($D1462,ccc[city],ccc[prov],"-"),"-")</f>
        <v/>
      </c>
      <c r="L1462" s="1395">
        <f>IF(raw[[#This Row],[city]]&lt;&gt;"",_xlfn.XLOOKUP($D1462,ccc[city],ccc[ctry],"-"),"-")</f>
        <v/>
      </c>
      <c r="M1462" s="1395">
        <f>IF(raw[[#This Row],[city]]&lt;&gt;"",_xlfn.XLOOKUP($D1462,ccc[city],ccc[cont],"-"),"-")</f>
        <v/>
      </c>
      <c r="N1462" s="1396">
        <f>IF(raw[[#This Row],[city]]="","-",IF(raw[[#This Row],[cont]]="B",raw[[#This Row],[cont]],"W"))</f>
        <v/>
      </c>
      <c r="O1462" s="1397">
        <f>IF(raw[[#This Row],[out]]=0,0,IF(raw[[#This Row],[out]]=raw[[#This Row],[in]],0.01,raw[[#This Row],[out]]-raw[[#This Row],[in]]))</f>
        <v/>
      </c>
      <c r="P1462" s="1397">
        <f>IF(raw[[#This Row],[in]]=0,0,MONTH(raw[[#This Row],[in]]))</f>
        <v/>
      </c>
      <c r="Q1462" s="1397">
        <f>IF(raw[[#This Row],[in]]=0,0,YEAR(raw[[#This Row],[in]]))</f>
        <v/>
      </c>
      <c r="R1462" s="1397">
        <f>INT(raw[[#This Row],[yr]]/10)*10</f>
        <v/>
      </c>
      <c r="S1462" s="1395">
        <f>IF(raw[[#This Row],[city]]="","-",IF(raw[[#This Row],[city]]&lt;&gt;_xlfn.XLOOKUP(raw[[#This Row],[home]],homes[home],homes[city],"-"),1,0))</f>
        <v/>
      </c>
      <c r="T1462" s="1398" t="inlineStr">
        <is>
          <t>.</t>
        </is>
      </c>
      <c r="U1462" s="1399">
        <f>IF(raw[[#This Row],[wb]]="w",raw[[#This Row],[stay]]+U1461,U1461)</f>
        <v/>
      </c>
      <c r="V1462" s="1400">
        <f>IF(raw[[#This Row],[out]]=0,V1461,(raw[[#This Row],[out]]-E$5))</f>
        <v/>
      </c>
      <c r="W1462" s="1401">
        <f>U1462/V1462</f>
        <v/>
      </c>
      <c r="X1462" s="1392" t="n"/>
      <c r="Y1462" s="1392" t="n"/>
      <c r="Z1462" s="1392" t="n"/>
      <c r="AA1462" s="1392" t="n"/>
      <c r="AB1462" s="1392" t="n"/>
      <c r="AC1462" s="1392" t="n"/>
      <c r="AD1462" s="1392" t="n"/>
      <c r="AE1462" s="1392" t="n"/>
      <c r="AF1462" s="1392" t="n"/>
      <c r="AG1462" s="1392" t="n"/>
      <c r="AH1462" s="1392" t="n"/>
      <c r="AI1462" s="1392" t="n"/>
      <c r="AJ1462" s="1392" t="n"/>
      <c r="AK1462" s="1392" t="n"/>
      <c r="AL1462" s="1392" t="n"/>
      <c r="AM1462" s="1392" t="n"/>
      <c r="AN1462" s="1392" t="n"/>
      <c r="AO1462" s="1392" t="n"/>
      <c r="AP1462" s="1392" t="n"/>
      <c r="AQ1462" s="1392" t="n"/>
      <c r="AR1462" s="1422" t="n"/>
      <c r="AS1462" s="1422" t="n"/>
      <c r="AT1462" s="1392" t="n"/>
      <c r="AU1462" s="1392" t="n"/>
      <c r="AV1462" s="1392" t="n"/>
      <c r="AW1462" s="1392" t="n"/>
      <c r="AX1462" s="1392" t="n"/>
      <c r="AY1462" s="1392" t="n"/>
      <c r="AZ1462" s="1392" t="n"/>
      <c r="BA1462" s="1422" t="n"/>
      <c r="BB1462" s="1422" t="n"/>
      <c r="BC1462" s="1392" t="n"/>
      <c r="BD1462" s="1392" t="n"/>
      <c r="BE1462" s="1392" t="n"/>
      <c r="BF1462" s="1392" t="n"/>
      <c r="BG1462" s="1392" t="n"/>
      <c r="BH1462" s="1392" t="n"/>
      <c r="BI1462" s="1392" t="n"/>
      <c r="BJ1462" s="1392" t="n"/>
      <c r="BK1462" s="1392" t="n"/>
      <c r="BL1462" s="1392" t="n"/>
      <c r="BM1462" s="1392" t="n"/>
      <c r="BN1462" s="1392" t="n"/>
      <c r="BO1462" s="1392" t="n"/>
      <c r="BP1462" s="1392" t="n"/>
      <c r="BQ1462" s="1392" t="n"/>
      <c r="BR1462" s="1392" t="n"/>
      <c r="BS1462" s="1392" t="n"/>
      <c r="BT1462" s="1392" t="n"/>
      <c r="BU1462" s="1392" t="n"/>
      <c r="BV1462" s="1392" t="n"/>
      <c r="BW1462" s="1392" t="n"/>
      <c r="BX1462" s="1392" t="n"/>
      <c r="BY1462" s="1392" t="n"/>
      <c r="BZ1462" s="1392" t="n"/>
      <c r="CA1462" s="1392" t="n"/>
      <c r="CB1462" s="1392" t="n"/>
      <c r="CC1462" s="1392" t="n"/>
      <c r="CD1462" s="1392" t="n"/>
      <c r="CE1462" s="1392" t="n"/>
      <c r="CF1462" s="1392" t="n"/>
      <c r="CG1462" s="1392" t="n"/>
      <c r="CH1462" s="1392" t="n"/>
      <c r="CI1462" s="1392" t="n"/>
      <c r="CJ1462" s="1392" t="n"/>
      <c r="CK1462" s="1392" t="n"/>
      <c r="CL1462" s="1392" t="n"/>
    </row>
    <row r="1463">
      <c r="A1463" s="5" t="inlineStr">
        <is>
          <t>.</t>
        </is>
      </c>
      <c r="B1463" s="5" t="inlineStr">
        <is>
          <t>.</t>
        </is>
      </c>
      <c r="C1463" s="1378">
        <f>IF(raw[[#This Row],[city]]="","-",IF(raw[[#This Row],[city]]="TODAY","-",C1462+1))</f>
        <v/>
      </c>
      <c r="D1463" s="1393" t="inlineStr">
        <is>
          <t>Barcelos</t>
        </is>
      </c>
      <c r="E1463" s="1394" t="n">
        <v>43420</v>
      </c>
      <c r="F1463" s="1394" t="n">
        <v>43420</v>
      </c>
      <c r="G1463" s="1393" t="inlineStr">
        <is>
          <t>-</t>
        </is>
      </c>
      <c r="H1463" s="1393" t="inlineStr">
        <is>
          <t>Nadeau</t>
        </is>
      </c>
      <c r="I1463" s="1393" t="inlineStr">
        <is>
          <t>CS</t>
        </is>
      </c>
      <c r="J1463" s="1393" t="inlineStr">
        <is>
          <t>-</t>
        </is>
      </c>
      <c r="K1463" s="1395">
        <f>IF(raw[[#This Row],[city]]&lt;&gt;"",_xlfn.XLOOKUP($D1463,ccc[city],ccc[prov],"-"),"-")</f>
        <v/>
      </c>
      <c r="L1463" s="1395">
        <f>IF(raw[[#This Row],[city]]&lt;&gt;"",_xlfn.XLOOKUP($D1463,ccc[city],ccc[ctry],"-"),"-")</f>
        <v/>
      </c>
      <c r="M1463" s="1395">
        <f>IF(raw[[#This Row],[city]]&lt;&gt;"",_xlfn.XLOOKUP($D1463,ccc[city],ccc[cont],"-"),"-")</f>
        <v/>
      </c>
      <c r="N1463" s="1396">
        <f>IF(raw[[#This Row],[city]]="","-",IF(raw[[#This Row],[cont]]="B",raw[[#This Row],[cont]],"W"))</f>
        <v/>
      </c>
      <c r="O1463" s="1397">
        <f>IF(raw[[#This Row],[out]]=0,0,IF(raw[[#This Row],[out]]=raw[[#This Row],[in]],0.01,raw[[#This Row],[out]]-raw[[#This Row],[in]]))</f>
        <v/>
      </c>
      <c r="P1463" s="1397">
        <f>IF(raw[[#This Row],[in]]=0,0,MONTH(raw[[#This Row],[in]]))</f>
        <v/>
      </c>
      <c r="Q1463" s="1397">
        <f>IF(raw[[#This Row],[in]]=0,0,YEAR(raw[[#This Row],[in]]))</f>
        <v/>
      </c>
      <c r="R1463" s="1397">
        <f>INT(raw[[#This Row],[yr]]/10)*10</f>
        <v/>
      </c>
      <c r="S1463" s="1395">
        <f>IF(raw[[#This Row],[city]]="","-",IF(raw[[#This Row],[city]]&lt;&gt;_xlfn.XLOOKUP(raw[[#This Row],[home]],homes[home],homes[city],"-"),1,0))</f>
        <v/>
      </c>
      <c r="T1463" s="1398" t="inlineStr">
        <is>
          <t>.</t>
        </is>
      </c>
      <c r="U1463" s="1399">
        <f>IF(raw[[#This Row],[wb]]="w",raw[[#This Row],[stay]]+U1462,U1462)</f>
        <v/>
      </c>
      <c r="V1463" s="1400">
        <f>IF(raw[[#This Row],[out]]=0,V1462,(raw[[#This Row],[out]]-E$5))</f>
        <v/>
      </c>
      <c r="W1463" s="1401">
        <f>U1463/V1463</f>
        <v/>
      </c>
      <c r="X1463" s="1392" t="n"/>
      <c r="Y1463" s="1392" t="n"/>
      <c r="Z1463" s="1392" t="n"/>
      <c r="AA1463" s="1392" t="n"/>
      <c r="AB1463" s="1392" t="n"/>
      <c r="AC1463" s="1392" t="n"/>
      <c r="AD1463" s="1392" t="n"/>
      <c r="AE1463" s="1392" t="n"/>
      <c r="AF1463" s="1392" t="n"/>
      <c r="AG1463" s="1392" t="n"/>
      <c r="AH1463" s="1392" t="n"/>
      <c r="AI1463" s="1392" t="n"/>
      <c r="AJ1463" s="1392" t="n"/>
      <c r="AK1463" s="1392" t="n"/>
      <c r="AL1463" s="1392" t="n"/>
      <c r="AM1463" s="1392" t="n"/>
      <c r="AN1463" s="1392" t="n"/>
      <c r="AO1463" s="1392" t="n"/>
      <c r="AP1463" s="1392" t="n"/>
      <c r="AQ1463" s="1392" t="n"/>
      <c r="AR1463" s="1422" t="n"/>
      <c r="AS1463" s="1422" t="n"/>
      <c r="AT1463" s="1392" t="n"/>
      <c r="AU1463" s="1392" t="n"/>
      <c r="AV1463" s="1392" t="n"/>
      <c r="AW1463" s="1392" t="n"/>
      <c r="AX1463" s="1392" t="n"/>
      <c r="AY1463" s="1392" t="n"/>
      <c r="AZ1463" s="1392" t="n"/>
      <c r="BA1463" s="1422" t="n"/>
      <c r="BB1463" s="1422" t="n"/>
      <c r="BC1463" s="1392" t="n"/>
      <c r="BD1463" s="1392" t="n"/>
      <c r="BE1463" s="1392" t="n"/>
      <c r="BF1463" s="1392" t="n"/>
      <c r="BG1463" s="1392" t="n"/>
      <c r="BH1463" s="1392" t="n"/>
      <c r="BI1463" s="1392" t="n"/>
      <c r="BJ1463" s="1392" t="n"/>
      <c r="BK1463" s="1392" t="n"/>
      <c r="BL1463" s="1392" t="n"/>
      <c r="BM1463" s="1392" t="n"/>
      <c r="BN1463" s="1392" t="n"/>
      <c r="BO1463" s="1392" t="n"/>
      <c r="BP1463" s="1392" t="n"/>
      <c r="BQ1463" s="1392" t="n"/>
      <c r="BR1463" s="1392" t="n"/>
      <c r="BS1463" s="1392" t="n"/>
      <c r="BT1463" s="1392" t="n"/>
      <c r="BU1463" s="1392" t="n"/>
      <c r="BV1463" s="1392" t="n"/>
      <c r="BW1463" s="1392" t="n"/>
      <c r="BX1463" s="1392" t="n"/>
      <c r="BY1463" s="1392" t="n"/>
      <c r="BZ1463" s="1392" t="n"/>
      <c r="CA1463" s="1392" t="n"/>
      <c r="CB1463" s="1392" t="n"/>
      <c r="CC1463" s="1392" t="n"/>
      <c r="CD1463" s="1392" t="n"/>
      <c r="CE1463" s="1392" t="n"/>
      <c r="CF1463" s="1392" t="n"/>
      <c r="CG1463" s="1392" t="n"/>
      <c r="CH1463" s="1392" t="n"/>
      <c r="CI1463" s="1392" t="n"/>
      <c r="CJ1463" s="1392" t="n"/>
      <c r="CK1463" s="1392" t="n"/>
      <c r="CL1463" s="1392" t="n"/>
    </row>
    <row r="1464">
      <c r="A1464" s="5" t="inlineStr">
        <is>
          <t>.</t>
        </is>
      </c>
      <c r="B1464" s="5" t="inlineStr">
        <is>
          <t>.</t>
        </is>
      </c>
      <c r="C1464" s="1378">
        <f>IF(raw[[#This Row],[city]]="","-",IF(raw[[#This Row],[city]]="TODAY","-",C1463+1))</f>
        <v/>
      </c>
      <c r="D1464" s="1393" t="inlineStr">
        <is>
          <t>Balugães</t>
        </is>
      </c>
      <c r="E1464" s="1394" t="n">
        <v>43420</v>
      </c>
      <c r="F1464" s="1394" t="n">
        <v>43420</v>
      </c>
      <c r="G1464" s="1393" t="inlineStr">
        <is>
          <t>-</t>
        </is>
      </c>
      <c r="H1464" s="1393" t="inlineStr">
        <is>
          <t>Nadeau</t>
        </is>
      </c>
      <c r="I1464" s="1393" t="inlineStr">
        <is>
          <t>CS</t>
        </is>
      </c>
      <c r="J1464" s="1393" t="inlineStr">
        <is>
          <t>-</t>
        </is>
      </c>
      <c r="K1464" s="1395">
        <f>IF(raw[[#This Row],[city]]&lt;&gt;"",_xlfn.XLOOKUP($D1464,ccc[city],ccc[prov],"-"),"-")</f>
        <v/>
      </c>
      <c r="L1464" s="1395">
        <f>IF(raw[[#This Row],[city]]&lt;&gt;"",_xlfn.XLOOKUP($D1464,ccc[city],ccc[ctry],"-"),"-")</f>
        <v/>
      </c>
      <c r="M1464" s="1395">
        <f>IF(raw[[#This Row],[city]]&lt;&gt;"",_xlfn.XLOOKUP($D1464,ccc[city],ccc[cont],"-"),"-")</f>
        <v/>
      </c>
      <c r="N1464" s="1396">
        <f>IF(raw[[#This Row],[city]]="","-",IF(raw[[#This Row],[cont]]="B",raw[[#This Row],[cont]],"W"))</f>
        <v/>
      </c>
      <c r="O1464" s="1397">
        <f>IF(raw[[#This Row],[out]]=0,0,IF(raw[[#This Row],[out]]=raw[[#This Row],[in]],0.01,raw[[#This Row],[out]]-raw[[#This Row],[in]]))</f>
        <v/>
      </c>
      <c r="P1464" s="1397">
        <f>IF(raw[[#This Row],[in]]=0,0,MONTH(raw[[#This Row],[in]]))</f>
        <v/>
      </c>
      <c r="Q1464" s="1397">
        <f>IF(raw[[#This Row],[in]]=0,0,YEAR(raw[[#This Row],[in]]))</f>
        <v/>
      </c>
      <c r="R1464" s="1397">
        <f>INT(raw[[#This Row],[yr]]/10)*10</f>
        <v/>
      </c>
      <c r="S1464" s="1395">
        <f>IF(raw[[#This Row],[city]]="","-",IF(raw[[#This Row],[city]]&lt;&gt;_xlfn.XLOOKUP(raw[[#This Row],[home]],homes[home],homes[city],"-"),1,0))</f>
        <v/>
      </c>
      <c r="T1464" s="1398" t="inlineStr">
        <is>
          <t>.</t>
        </is>
      </c>
      <c r="U1464" s="1399">
        <f>IF(raw[[#This Row],[wb]]="w",raw[[#This Row],[stay]]+U1463,U1463)</f>
        <v/>
      </c>
      <c r="V1464" s="1400">
        <f>IF(raw[[#This Row],[out]]=0,V1463,(raw[[#This Row],[out]]-E$5))</f>
        <v/>
      </c>
      <c r="W1464" s="1401">
        <f>U1464/V1464</f>
        <v/>
      </c>
      <c r="X1464" s="1392" t="n"/>
      <c r="Y1464" s="1392" t="n"/>
      <c r="Z1464" s="1392" t="n"/>
      <c r="AA1464" s="1392" t="n"/>
      <c r="AB1464" s="1392" t="n"/>
      <c r="AC1464" s="1392" t="n"/>
      <c r="AD1464" s="1392" t="n"/>
      <c r="AE1464" s="1392" t="n"/>
      <c r="AF1464" s="1392" t="n"/>
      <c r="AG1464" s="1392" t="n"/>
      <c r="AH1464" s="1392" t="n"/>
      <c r="AI1464" s="1392" t="n"/>
      <c r="AJ1464" s="1392" t="n"/>
      <c r="AK1464" s="1392" t="n"/>
      <c r="AL1464" s="1392" t="n"/>
      <c r="AM1464" s="1392" t="n"/>
      <c r="AN1464" s="1392" t="n"/>
      <c r="AO1464" s="1392" t="n"/>
      <c r="AP1464" s="1392" t="n"/>
      <c r="AQ1464" s="1392" t="n"/>
      <c r="AR1464" s="1422" t="n"/>
      <c r="AS1464" s="1422" t="n"/>
      <c r="AT1464" s="1392" t="n"/>
      <c r="AU1464" s="1392" t="n"/>
      <c r="AV1464" s="1392" t="n"/>
      <c r="AW1464" s="1392" t="n"/>
      <c r="AX1464" s="1392" t="n"/>
      <c r="AY1464" s="1392" t="n"/>
      <c r="AZ1464" s="1392" t="n"/>
      <c r="BA1464" s="1422" t="n"/>
      <c r="BB1464" s="1422" t="n"/>
      <c r="BC1464" s="1392" t="n"/>
      <c r="BD1464" s="1392" t="n"/>
      <c r="BE1464" s="1392" t="n"/>
      <c r="BF1464" s="1392" t="n"/>
      <c r="BG1464" s="1392" t="n"/>
      <c r="BH1464" s="1392" t="n"/>
      <c r="BI1464" s="1392" t="n"/>
      <c r="BJ1464" s="1392" t="n"/>
      <c r="BK1464" s="1392" t="n"/>
      <c r="BL1464" s="1392" t="n"/>
      <c r="BM1464" s="1392" t="n"/>
      <c r="BN1464" s="1392" t="n"/>
      <c r="BO1464" s="1392" t="n"/>
      <c r="BP1464" s="1392" t="n"/>
      <c r="BQ1464" s="1392" t="n"/>
      <c r="BR1464" s="1392" t="n"/>
      <c r="BS1464" s="1392" t="n"/>
      <c r="BT1464" s="1392" t="n"/>
      <c r="BU1464" s="1392" t="n"/>
      <c r="BV1464" s="1392" t="n"/>
      <c r="BW1464" s="1392" t="n"/>
      <c r="BX1464" s="1392" t="n"/>
      <c r="BY1464" s="1392" t="n"/>
      <c r="BZ1464" s="1392" t="n"/>
      <c r="CA1464" s="1392" t="n"/>
      <c r="CB1464" s="1392" t="n"/>
      <c r="CC1464" s="1392" t="n"/>
      <c r="CD1464" s="1392" t="n"/>
      <c r="CE1464" s="1392" t="n"/>
      <c r="CF1464" s="1392" t="n"/>
      <c r="CG1464" s="1392" t="n"/>
      <c r="CH1464" s="1392" t="n"/>
      <c r="CI1464" s="1392" t="n"/>
      <c r="CJ1464" s="1392" t="n"/>
      <c r="CK1464" s="1392" t="n"/>
      <c r="CL1464" s="1392" t="n"/>
    </row>
    <row r="1465">
      <c r="A1465" s="5" t="inlineStr">
        <is>
          <t>.</t>
        </is>
      </c>
      <c r="B1465" s="5" t="inlineStr">
        <is>
          <t>.</t>
        </is>
      </c>
      <c r="C1465" s="1378">
        <f>IF(raw[[#This Row],[city]]="","-",IF(raw[[#This Row],[city]]="TODAY","-",C1464+1))</f>
        <v/>
      </c>
      <c r="D1465" s="1393" t="inlineStr">
        <is>
          <t>Vitorino dos Piães</t>
        </is>
      </c>
      <c r="E1465" s="1394" t="n">
        <v>43420</v>
      </c>
      <c r="F1465" s="1394" t="n">
        <v>43421</v>
      </c>
      <c r="G1465" s="1393" t="inlineStr">
        <is>
          <t>-</t>
        </is>
      </c>
      <c r="H1465" s="1393" t="inlineStr">
        <is>
          <t>Nadeau</t>
        </is>
      </c>
      <c r="I1465" s="1393" t="inlineStr">
        <is>
          <t>CS</t>
        </is>
      </c>
      <c r="J1465" s="1393" t="inlineStr">
        <is>
          <t>-</t>
        </is>
      </c>
      <c r="K1465" s="1395">
        <f>IF(raw[[#This Row],[city]]&lt;&gt;"",_xlfn.XLOOKUP($D1465,ccc[city],ccc[prov],"-"),"-")</f>
        <v/>
      </c>
      <c r="L1465" s="1395">
        <f>IF(raw[[#This Row],[city]]&lt;&gt;"",_xlfn.XLOOKUP($D1465,ccc[city],ccc[ctry],"-"),"-")</f>
        <v/>
      </c>
      <c r="M1465" s="1395">
        <f>IF(raw[[#This Row],[city]]&lt;&gt;"",_xlfn.XLOOKUP($D1465,ccc[city],ccc[cont],"-"),"-")</f>
        <v/>
      </c>
      <c r="N1465" s="1396">
        <f>IF(raw[[#This Row],[city]]="","-",IF(raw[[#This Row],[cont]]="B",raw[[#This Row],[cont]],"W"))</f>
        <v/>
      </c>
      <c r="O1465" s="1397">
        <f>IF(raw[[#This Row],[out]]=0,0,IF(raw[[#This Row],[out]]=raw[[#This Row],[in]],0.01,raw[[#This Row],[out]]-raw[[#This Row],[in]]))</f>
        <v/>
      </c>
      <c r="P1465" s="1397">
        <f>IF(raw[[#This Row],[in]]=0,0,MONTH(raw[[#This Row],[in]]))</f>
        <v/>
      </c>
      <c r="Q1465" s="1397">
        <f>IF(raw[[#This Row],[in]]=0,0,YEAR(raw[[#This Row],[in]]))</f>
        <v/>
      </c>
      <c r="R1465" s="1397">
        <f>INT(raw[[#This Row],[yr]]/10)*10</f>
        <v/>
      </c>
      <c r="S1465" s="1395">
        <f>IF(raw[[#This Row],[city]]="","-",IF(raw[[#This Row],[city]]&lt;&gt;_xlfn.XLOOKUP(raw[[#This Row],[home]],homes[home],homes[city],"-"),1,0))</f>
        <v/>
      </c>
      <c r="T1465" s="1398" t="inlineStr">
        <is>
          <t>.</t>
        </is>
      </c>
      <c r="U1465" s="1399">
        <f>IF(raw[[#This Row],[wb]]="w",raw[[#This Row],[stay]]+U1464,U1464)</f>
        <v/>
      </c>
      <c r="V1465" s="1400">
        <f>IF(raw[[#This Row],[out]]=0,V1464,(raw[[#This Row],[out]]-E$5))</f>
        <v/>
      </c>
      <c r="W1465" s="1401">
        <f>U1465/V1465</f>
        <v/>
      </c>
      <c r="X1465" s="1392" t="n"/>
      <c r="Y1465" s="1392" t="n"/>
      <c r="Z1465" s="1392" t="n"/>
      <c r="AA1465" s="1392" t="n"/>
      <c r="AB1465" s="1392" t="n"/>
      <c r="AC1465" s="1392" t="n"/>
      <c r="AD1465" s="1392" t="n"/>
      <c r="AE1465" s="1392" t="n"/>
      <c r="AF1465" s="1392" t="n"/>
      <c r="AG1465" s="1392" t="n"/>
      <c r="AH1465" s="1392" t="n"/>
      <c r="AI1465" s="1392" t="n"/>
      <c r="AJ1465" s="1392" t="n"/>
      <c r="AK1465" s="1392" t="n"/>
      <c r="AL1465" s="1392" t="n"/>
      <c r="AM1465" s="1392" t="n"/>
      <c r="AN1465" s="1392" t="n"/>
      <c r="AO1465" s="1392" t="n"/>
      <c r="AP1465" s="1392" t="n"/>
      <c r="AQ1465" s="1392" t="n"/>
      <c r="AR1465" s="1422" t="n"/>
      <c r="AS1465" s="1422" t="n"/>
      <c r="AT1465" s="1392" t="n"/>
      <c r="AU1465" s="1392" t="n"/>
      <c r="AV1465" s="1392" t="n"/>
      <c r="AW1465" s="1392" t="n"/>
      <c r="AX1465" s="1392" t="n"/>
      <c r="AY1465" s="1392" t="n"/>
      <c r="AZ1465" s="1392" t="n"/>
      <c r="BA1465" s="1422" t="n"/>
      <c r="BB1465" s="1422" t="n"/>
      <c r="BC1465" s="1392" t="n"/>
      <c r="BD1465" s="1392" t="n"/>
      <c r="BE1465" s="1392" t="n"/>
      <c r="BF1465" s="1392" t="n"/>
      <c r="BG1465" s="1392" t="n"/>
      <c r="BH1465" s="1392" t="n"/>
      <c r="BI1465" s="1392" t="n"/>
      <c r="BJ1465" s="1392" t="n"/>
      <c r="BK1465" s="1392" t="n"/>
      <c r="BL1465" s="1392" t="n"/>
      <c r="BM1465" s="1392" t="n"/>
      <c r="BN1465" s="1392" t="n"/>
      <c r="BO1465" s="1392" t="n"/>
      <c r="BP1465" s="1392" t="n"/>
      <c r="BQ1465" s="1392" t="n"/>
      <c r="BR1465" s="1392" t="n"/>
      <c r="BS1465" s="1392" t="n"/>
      <c r="BT1465" s="1392" t="n"/>
      <c r="BU1465" s="1392" t="n"/>
      <c r="BV1465" s="1392" t="n"/>
      <c r="BW1465" s="1392" t="n"/>
      <c r="BX1465" s="1392" t="n"/>
      <c r="BY1465" s="1392" t="n"/>
      <c r="BZ1465" s="1392" t="n"/>
      <c r="CA1465" s="1392" t="n"/>
      <c r="CB1465" s="1392" t="n"/>
      <c r="CC1465" s="1392" t="n"/>
      <c r="CD1465" s="1392" t="n"/>
      <c r="CE1465" s="1392" t="n"/>
      <c r="CF1465" s="1392" t="n"/>
      <c r="CG1465" s="1392" t="n"/>
      <c r="CH1465" s="1392" t="n"/>
      <c r="CI1465" s="1392" t="n"/>
      <c r="CJ1465" s="1392" t="n"/>
      <c r="CK1465" s="1392" t="n"/>
      <c r="CL1465" s="1392" t="n"/>
    </row>
    <row r="1466">
      <c r="A1466" s="5" t="inlineStr">
        <is>
          <t>.</t>
        </is>
      </c>
      <c r="B1466" s="5" t="inlineStr">
        <is>
          <t>.</t>
        </is>
      </c>
      <c r="C1466" s="1378">
        <f>IF(raw[[#This Row],[city]]="","-",IF(raw[[#This Row],[city]]="TODAY","-",C1465+1))</f>
        <v/>
      </c>
      <c r="D1466" s="1393" t="inlineStr">
        <is>
          <t>Ponte de Lima</t>
        </is>
      </c>
      <c r="E1466" s="1394" t="n">
        <v>43421</v>
      </c>
      <c r="F1466" s="1394" t="n">
        <v>43423</v>
      </c>
      <c r="G1466" s="1393" t="inlineStr">
        <is>
          <t>-</t>
        </is>
      </c>
      <c r="H1466" s="1393" t="inlineStr">
        <is>
          <t>Nadeau</t>
        </is>
      </c>
      <c r="I1466" s="1393" t="inlineStr">
        <is>
          <t>CS</t>
        </is>
      </c>
      <c r="J1466" s="1393" t="inlineStr">
        <is>
          <t>-</t>
        </is>
      </c>
      <c r="K1466" s="1395">
        <f>IF(raw[[#This Row],[city]]&lt;&gt;"",_xlfn.XLOOKUP($D1466,ccc[city],ccc[prov],"-"),"-")</f>
        <v/>
      </c>
      <c r="L1466" s="1395">
        <f>IF(raw[[#This Row],[city]]&lt;&gt;"",_xlfn.XLOOKUP($D1466,ccc[city],ccc[ctry],"-"),"-")</f>
        <v/>
      </c>
      <c r="M1466" s="1395">
        <f>IF(raw[[#This Row],[city]]&lt;&gt;"",_xlfn.XLOOKUP($D1466,ccc[city],ccc[cont],"-"),"-")</f>
        <v/>
      </c>
      <c r="N1466" s="1396">
        <f>IF(raw[[#This Row],[city]]="","-",IF(raw[[#This Row],[cont]]="B",raw[[#This Row],[cont]],"W"))</f>
        <v/>
      </c>
      <c r="O1466" s="1397">
        <f>IF(raw[[#This Row],[out]]=0,0,IF(raw[[#This Row],[out]]=raw[[#This Row],[in]],0.01,raw[[#This Row],[out]]-raw[[#This Row],[in]]))</f>
        <v/>
      </c>
      <c r="P1466" s="1397">
        <f>IF(raw[[#This Row],[in]]=0,0,MONTH(raw[[#This Row],[in]]))</f>
        <v/>
      </c>
      <c r="Q1466" s="1397">
        <f>IF(raw[[#This Row],[in]]=0,0,YEAR(raw[[#This Row],[in]]))</f>
        <v/>
      </c>
      <c r="R1466" s="1397">
        <f>INT(raw[[#This Row],[yr]]/10)*10</f>
        <v/>
      </c>
      <c r="S1466" s="1395">
        <f>IF(raw[[#This Row],[city]]="","-",IF(raw[[#This Row],[city]]&lt;&gt;_xlfn.XLOOKUP(raw[[#This Row],[home]],homes[home],homes[city],"-"),1,0))</f>
        <v/>
      </c>
      <c r="T1466" s="1398" t="inlineStr">
        <is>
          <t>.</t>
        </is>
      </c>
      <c r="U1466" s="1399">
        <f>IF(raw[[#This Row],[wb]]="w",raw[[#This Row],[stay]]+U1465,U1465)</f>
        <v/>
      </c>
      <c r="V1466" s="1400">
        <f>IF(raw[[#This Row],[out]]=0,V1465,(raw[[#This Row],[out]]-E$5))</f>
        <v/>
      </c>
      <c r="W1466" s="1401">
        <f>U1466/V1466</f>
        <v/>
      </c>
      <c r="X1466" s="1392" t="n"/>
      <c r="Y1466" s="1392" t="n"/>
      <c r="Z1466" s="1392" t="n"/>
      <c r="AA1466" s="1392" t="n"/>
      <c r="AB1466" s="1392" t="n"/>
      <c r="AC1466" s="1392" t="n"/>
      <c r="AD1466" s="1392" t="n"/>
      <c r="AE1466" s="1392" t="n"/>
      <c r="AF1466" s="1392" t="n"/>
      <c r="AG1466" s="1392" t="n"/>
      <c r="AH1466" s="1392" t="n"/>
      <c r="AI1466" s="1392" t="n"/>
      <c r="AJ1466" s="1392" t="n"/>
      <c r="AK1466" s="1392" t="n"/>
      <c r="AL1466" s="1392" t="n"/>
      <c r="AM1466" s="1392" t="n"/>
      <c r="AN1466" s="1392" t="n"/>
      <c r="AO1466" s="1392" t="n"/>
      <c r="AP1466" s="1392" t="n"/>
      <c r="AQ1466" s="1392" t="n"/>
      <c r="AR1466" s="1422" t="n"/>
      <c r="AS1466" s="1422" t="n"/>
      <c r="AT1466" s="1392" t="n"/>
      <c r="AU1466" s="1392" t="n"/>
      <c r="AV1466" s="1392" t="n"/>
      <c r="AW1466" s="1392" t="n"/>
      <c r="AX1466" s="1392" t="n"/>
      <c r="AY1466" s="1392" t="n"/>
      <c r="AZ1466" s="1392" t="n"/>
      <c r="BA1466" s="1422" t="n"/>
      <c r="BB1466" s="1422" t="n"/>
      <c r="BC1466" s="1392" t="n"/>
      <c r="BD1466" s="1392" t="n"/>
      <c r="BE1466" s="1392" t="n"/>
      <c r="BF1466" s="1392" t="n"/>
      <c r="BG1466" s="1392" t="n"/>
      <c r="BH1466" s="1392" t="n"/>
      <c r="BI1466" s="1392" t="n"/>
      <c r="BJ1466" s="1392" t="n"/>
      <c r="BK1466" s="1392" t="n"/>
      <c r="BL1466" s="1392" t="n"/>
      <c r="BM1466" s="1392" t="n"/>
      <c r="BN1466" s="1392" t="n"/>
      <c r="BO1466" s="1392" t="n"/>
      <c r="BP1466" s="1392" t="n"/>
      <c r="BQ1466" s="1392" t="n"/>
      <c r="BR1466" s="1392" t="n"/>
      <c r="BS1466" s="1392" t="n"/>
      <c r="BT1466" s="1392" t="n"/>
      <c r="BU1466" s="1392" t="n"/>
      <c r="BV1466" s="1392" t="n"/>
      <c r="BW1466" s="1392" t="n"/>
      <c r="BX1466" s="1392" t="n"/>
      <c r="BY1466" s="1392" t="n"/>
      <c r="BZ1466" s="1392" t="n"/>
      <c r="CA1466" s="1392" t="n"/>
      <c r="CB1466" s="1392" t="n"/>
      <c r="CC1466" s="1392" t="n"/>
      <c r="CD1466" s="1392" t="n"/>
      <c r="CE1466" s="1392" t="n"/>
      <c r="CF1466" s="1392" t="n"/>
      <c r="CG1466" s="1392" t="n"/>
      <c r="CH1466" s="1392" t="n"/>
      <c r="CI1466" s="1392" t="n"/>
      <c r="CJ1466" s="1392" t="n"/>
      <c r="CK1466" s="1392" t="n"/>
      <c r="CL1466" s="1392" t="n"/>
    </row>
    <row r="1467">
      <c r="A1467" s="5" t="inlineStr">
        <is>
          <t>.</t>
        </is>
      </c>
      <c r="B1467" s="5" t="inlineStr">
        <is>
          <t>.</t>
        </is>
      </c>
      <c r="C1467" s="1378">
        <f>IF(raw[[#This Row],[city]]="","-",IF(raw[[#This Row],[city]]="TODAY","-",C1466+1))</f>
        <v/>
      </c>
      <c r="D1467" s="1393" t="inlineStr">
        <is>
          <t>Rubiaes</t>
        </is>
      </c>
      <c r="E1467" s="1394" t="n">
        <v>43423</v>
      </c>
      <c r="F1467" s="1394" t="n">
        <v>43424</v>
      </c>
      <c r="G1467" s="1393" t="inlineStr">
        <is>
          <t>-</t>
        </is>
      </c>
      <c r="H1467" s="1393" t="inlineStr">
        <is>
          <t>Nadeau</t>
        </is>
      </c>
      <c r="I1467" s="1393" t="inlineStr">
        <is>
          <t>CS</t>
        </is>
      </c>
      <c r="J1467" s="1393" t="inlineStr">
        <is>
          <t>-</t>
        </is>
      </c>
      <c r="K1467" s="1395">
        <f>IF(raw[[#This Row],[city]]&lt;&gt;"",_xlfn.XLOOKUP($D1467,ccc[city],ccc[prov],"-"),"-")</f>
        <v/>
      </c>
      <c r="L1467" s="1395">
        <f>IF(raw[[#This Row],[city]]&lt;&gt;"",_xlfn.XLOOKUP($D1467,ccc[city],ccc[ctry],"-"),"-")</f>
        <v/>
      </c>
      <c r="M1467" s="1395">
        <f>IF(raw[[#This Row],[city]]&lt;&gt;"",_xlfn.XLOOKUP($D1467,ccc[city],ccc[cont],"-"),"-")</f>
        <v/>
      </c>
      <c r="N1467" s="1396">
        <f>IF(raw[[#This Row],[city]]="","-",IF(raw[[#This Row],[cont]]="B",raw[[#This Row],[cont]],"W"))</f>
        <v/>
      </c>
      <c r="O1467" s="1397">
        <f>IF(raw[[#This Row],[out]]=0,0,IF(raw[[#This Row],[out]]=raw[[#This Row],[in]],0.01,raw[[#This Row],[out]]-raw[[#This Row],[in]]))</f>
        <v/>
      </c>
      <c r="P1467" s="1397">
        <f>IF(raw[[#This Row],[in]]=0,0,MONTH(raw[[#This Row],[in]]))</f>
        <v/>
      </c>
      <c r="Q1467" s="1397">
        <f>IF(raw[[#This Row],[in]]=0,0,YEAR(raw[[#This Row],[in]]))</f>
        <v/>
      </c>
      <c r="R1467" s="1397">
        <f>INT(raw[[#This Row],[yr]]/10)*10</f>
        <v/>
      </c>
      <c r="S1467" s="1395">
        <f>IF(raw[[#This Row],[city]]="","-",IF(raw[[#This Row],[city]]&lt;&gt;_xlfn.XLOOKUP(raw[[#This Row],[home]],homes[home],homes[city],"-"),1,0))</f>
        <v/>
      </c>
      <c r="T1467" s="1398" t="inlineStr">
        <is>
          <t>.</t>
        </is>
      </c>
      <c r="U1467" s="1399">
        <f>IF(raw[[#This Row],[wb]]="w",raw[[#This Row],[stay]]+U1466,U1466)</f>
        <v/>
      </c>
      <c r="V1467" s="1400">
        <f>IF(raw[[#This Row],[out]]=0,V1466,(raw[[#This Row],[out]]-E$5))</f>
        <v/>
      </c>
      <c r="W1467" s="1401">
        <f>U1467/V1467</f>
        <v/>
      </c>
      <c r="X1467" s="1392" t="n"/>
      <c r="Y1467" s="1392" t="n"/>
      <c r="Z1467" s="1392" t="n"/>
      <c r="AA1467" s="1392" t="n"/>
      <c r="AB1467" s="1392" t="n"/>
      <c r="AC1467" s="1392" t="n"/>
      <c r="AD1467" s="1392" t="n"/>
      <c r="AE1467" s="1392" t="n"/>
      <c r="AF1467" s="1392" t="n"/>
      <c r="AG1467" s="1392" t="n"/>
      <c r="AH1467" s="1392" t="n"/>
      <c r="AI1467" s="1392" t="n"/>
      <c r="AJ1467" s="1392" t="n"/>
      <c r="AK1467" s="1392" t="n"/>
      <c r="AL1467" s="1392" t="n"/>
      <c r="AM1467" s="1392" t="n"/>
      <c r="AN1467" s="1392" t="n"/>
      <c r="AO1467" s="1392" t="n"/>
      <c r="AP1467" s="1392" t="n"/>
      <c r="AQ1467" s="1392" t="n"/>
      <c r="AR1467" s="1422" t="n"/>
      <c r="AS1467" s="1422" t="n"/>
      <c r="AT1467" s="1392" t="n"/>
      <c r="AU1467" s="1392" t="n"/>
      <c r="AV1467" s="1392" t="n"/>
      <c r="AW1467" s="1392" t="n"/>
      <c r="AX1467" s="1392" t="n"/>
      <c r="AY1467" s="1392" t="n"/>
      <c r="AZ1467" s="1392" t="n"/>
      <c r="BA1467" s="1422" t="n"/>
      <c r="BB1467" s="1422" t="n"/>
      <c r="BC1467" s="1392" t="n"/>
      <c r="BD1467" s="1392" t="n"/>
      <c r="BE1467" s="1392" t="n"/>
      <c r="BF1467" s="1392" t="n"/>
      <c r="BG1467" s="1392" t="n"/>
      <c r="BH1467" s="1392" t="n"/>
      <c r="BI1467" s="1392" t="n"/>
      <c r="BJ1467" s="1392" t="n"/>
      <c r="BK1467" s="1392" t="n"/>
      <c r="BL1467" s="1392" t="n"/>
      <c r="BM1467" s="1392" t="n"/>
      <c r="BN1467" s="1392" t="n"/>
      <c r="BO1467" s="1392" t="n"/>
      <c r="BP1467" s="1392" t="n"/>
      <c r="BQ1467" s="1392" t="n"/>
      <c r="BR1467" s="1392" t="n"/>
      <c r="BS1467" s="1392" t="n"/>
      <c r="BT1467" s="1392" t="n"/>
      <c r="BU1467" s="1392" t="n"/>
      <c r="BV1467" s="1392" t="n"/>
      <c r="BW1467" s="1392" t="n"/>
      <c r="BX1467" s="1392" t="n"/>
      <c r="BY1467" s="1392" t="n"/>
      <c r="BZ1467" s="1392" t="n"/>
      <c r="CA1467" s="1392" t="n"/>
      <c r="CB1467" s="1392" t="n"/>
      <c r="CC1467" s="1392" t="n"/>
      <c r="CD1467" s="1392" t="n"/>
      <c r="CE1467" s="1392" t="n"/>
      <c r="CF1467" s="1392" t="n"/>
      <c r="CG1467" s="1392" t="n"/>
      <c r="CH1467" s="1392" t="n"/>
      <c r="CI1467" s="1392" t="n"/>
      <c r="CJ1467" s="1392" t="n"/>
      <c r="CK1467" s="1392" t="n"/>
      <c r="CL1467" s="1392" t="n"/>
    </row>
    <row r="1468">
      <c r="A1468" s="5" t="inlineStr">
        <is>
          <t>.</t>
        </is>
      </c>
      <c r="B1468" s="5" t="inlineStr">
        <is>
          <t>.</t>
        </is>
      </c>
      <c r="C1468" s="1378">
        <f>IF(raw[[#This Row],[city]]="","-",IF(raw[[#This Row],[city]]="TODAY","-",C1467+1))</f>
        <v/>
      </c>
      <c r="D1468" s="1393" t="inlineStr">
        <is>
          <t>Valença</t>
        </is>
      </c>
      <c r="E1468" s="1394" t="n">
        <v>43424</v>
      </c>
      <c r="F1468" s="1394" t="n">
        <v>43424</v>
      </c>
      <c r="G1468" s="1393" t="inlineStr">
        <is>
          <t>-</t>
        </is>
      </c>
      <c r="H1468" s="1393" t="inlineStr">
        <is>
          <t>Nadeau</t>
        </is>
      </c>
      <c r="I1468" s="1393" t="inlineStr">
        <is>
          <t>CS</t>
        </is>
      </c>
      <c r="J1468" s="1393" t="inlineStr">
        <is>
          <t>-</t>
        </is>
      </c>
      <c r="K1468" s="1395">
        <f>IF(raw[[#This Row],[city]]&lt;&gt;"",_xlfn.XLOOKUP($D1468,ccc[city],ccc[prov],"-"),"-")</f>
        <v/>
      </c>
      <c r="L1468" s="1395">
        <f>IF(raw[[#This Row],[city]]&lt;&gt;"",_xlfn.XLOOKUP($D1468,ccc[city],ccc[ctry],"-"),"-")</f>
        <v/>
      </c>
      <c r="M1468" s="1395">
        <f>IF(raw[[#This Row],[city]]&lt;&gt;"",_xlfn.XLOOKUP($D1468,ccc[city],ccc[cont],"-"),"-")</f>
        <v/>
      </c>
      <c r="N1468" s="1396">
        <f>IF(raw[[#This Row],[city]]="","-",IF(raw[[#This Row],[cont]]="B",raw[[#This Row],[cont]],"W"))</f>
        <v/>
      </c>
      <c r="O1468" s="1397">
        <f>IF(raw[[#This Row],[out]]=0,0,IF(raw[[#This Row],[out]]=raw[[#This Row],[in]],0.01,raw[[#This Row],[out]]-raw[[#This Row],[in]]))</f>
        <v/>
      </c>
      <c r="P1468" s="1397">
        <f>IF(raw[[#This Row],[in]]=0,0,MONTH(raw[[#This Row],[in]]))</f>
        <v/>
      </c>
      <c r="Q1468" s="1397">
        <f>IF(raw[[#This Row],[in]]=0,0,YEAR(raw[[#This Row],[in]]))</f>
        <v/>
      </c>
      <c r="R1468" s="1397">
        <f>INT(raw[[#This Row],[yr]]/10)*10</f>
        <v/>
      </c>
      <c r="S1468" s="1395">
        <f>IF(raw[[#This Row],[city]]="","-",IF(raw[[#This Row],[city]]&lt;&gt;_xlfn.XLOOKUP(raw[[#This Row],[home]],homes[home],homes[city],"-"),1,0))</f>
        <v/>
      </c>
      <c r="T1468" s="1398" t="inlineStr">
        <is>
          <t>.</t>
        </is>
      </c>
      <c r="U1468" s="1399">
        <f>IF(raw[[#This Row],[wb]]="w",raw[[#This Row],[stay]]+U1467,U1467)</f>
        <v/>
      </c>
      <c r="V1468" s="1400">
        <f>IF(raw[[#This Row],[out]]=0,V1467,(raw[[#This Row],[out]]-E$5))</f>
        <v/>
      </c>
      <c r="W1468" s="1401">
        <f>U1468/V1468</f>
        <v/>
      </c>
      <c r="X1468" s="1392" t="n"/>
      <c r="Y1468" s="1392" t="n"/>
      <c r="Z1468" s="1392" t="n"/>
      <c r="AA1468" s="1392" t="n"/>
      <c r="AB1468" s="1392" t="n"/>
      <c r="AC1468" s="1392" t="n"/>
      <c r="AD1468" s="1392" t="n"/>
      <c r="AE1468" s="1392" t="n"/>
      <c r="AF1468" s="1392" t="n"/>
      <c r="AG1468" s="1392" t="n"/>
      <c r="AH1468" s="1392" t="n"/>
      <c r="AI1468" s="1392" t="n"/>
      <c r="AJ1468" s="1392" t="n"/>
      <c r="AK1468" s="1392" t="n"/>
      <c r="AL1468" s="1392" t="n"/>
      <c r="AM1468" s="1392" t="n"/>
      <c r="AN1468" s="1392" t="n"/>
      <c r="AO1468" s="1392" t="n"/>
      <c r="AP1468" s="1392" t="n"/>
      <c r="AQ1468" s="1392" t="n"/>
      <c r="AR1468" s="1422" t="n"/>
      <c r="AS1468" s="1422" t="n"/>
      <c r="AT1468" s="1392" t="n"/>
      <c r="AU1468" s="1392" t="n"/>
      <c r="AV1468" s="1392" t="n"/>
      <c r="AW1468" s="1392" t="n"/>
      <c r="AX1468" s="1392" t="n"/>
      <c r="AY1468" s="1392" t="n"/>
      <c r="AZ1468" s="1392" t="n"/>
      <c r="BA1468" s="1422" t="n"/>
      <c r="BB1468" s="1422" t="n"/>
      <c r="BC1468" s="1392" t="n"/>
      <c r="BD1468" s="1392" t="n"/>
      <c r="BE1468" s="1392" t="n"/>
      <c r="BF1468" s="1392" t="n"/>
      <c r="BG1468" s="1392" t="n"/>
      <c r="BH1468" s="1392" t="n"/>
      <c r="BI1468" s="1392" t="n"/>
      <c r="BJ1468" s="1392" t="n"/>
      <c r="BK1468" s="1392" t="n"/>
      <c r="BL1468" s="1392" t="n"/>
      <c r="BM1468" s="1392" t="n"/>
      <c r="BN1468" s="1392" t="n"/>
      <c r="BO1468" s="1392" t="n"/>
      <c r="BP1468" s="1392" t="n"/>
      <c r="BQ1468" s="1392" t="n"/>
      <c r="BR1468" s="1392" t="n"/>
      <c r="BS1468" s="1392" t="n"/>
      <c r="BT1468" s="1392" t="n"/>
      <c r="BU1468" s="1392" t="n"/>
      <c r="BV1468" s="1392" t="n"/>
      <c r="BW1468" s="1392" t="n"/>
      <c r="BX1468" s="1392" t="n"/>
      <c r="BY1468" s="1392" t="n"/>
      <c r="BZ1468" s="1392" t="n"/>
      <c r="CA1468" s="1392" t="n"/>
      <c r="CB1468" s="1392" t="n"/>
      <c r="CC1468" s="1392" t="n"/>
      <c r="CD1468" s="1392" t="n"/>
      <c r="CE1468" s="1392" t="n"/>
      <c r="CF1468" s="1392" t="n"/>
      <c r="CG1468" s="1392" t="n"/>
      <c r="CH1468" s="1392" t="n"/>
      <c r="CI1468" s="1392" t="n"/>
      <c r="CJ1468" s="1392" t="n"/>
      <c r="CK1468" s="1392" t="n"/>
      <c r="CL1468" s="1392" t="n"/>
    </row>
    <row r="1469">
      <c r="A1469" s="5" t="inlineStr">
        <is>
          <t>.</t>
        </is>
      </c>
      <c r="B1469" s="5" t="inlineStr">
        <is>
          <t>.</t>
        </is>
      </c>
      <c r="C1469" s="1378">
        <f>IF(raw[[#This Row],[city]]="","-",IF(raw[[#This Row],[city]]="TODAY","-",C1468+1))</f>
        <v/>
      </c>
      <c r="D1469" s="1393" t="inlineStr">
        <is>
          <t>Tuí</t>
        </is>
      </c>
      <c r="E1469" s="1394" t="n">
        <v>43424</v>
      </c>
      <c r="F1469" s="1394" t="n">
        <v>43425</v>
      </c>
      <c r="G1469" s="1393" t="inlineStr">
        <is>
          <t>-</t>
        </is>
      </c>
      <c r="H1469" s="1393" t="inlineStr">
        <is>
          <t>Nadeau</t>
        </is>
      </c>
      <c r="I1469" s="1393" t="inlineStr">
        <is>
          <t>CS</t>
        </is>
      </c>
      <c r="J1469" s="1393" t="inlineStr">
        <is>
          <t>-</t>
        </is>
      </c>
      <c r="K1469" s="1395">
        <f>IF(raw[[#This Row],[city]]&lt;&gt;"",_xlfn.XLOOKUP($D1469,ccc[city],ccc[prov],"-"),"-")</f>
        <v/>
      </c>
      <c r="L1469" s="1395">
        <f>IF(raw[[#This Row],[city]]&lt;&gt;"",_xlfn.XLOOKUP($D1469,ccc[city],ccc[ctry],"-"),"-")</f>
        <v/>
      </c>
      <c r="M1469" s="1395">
        <f>IF(raw[[#This Row],[city]]&lt;&gt;"",_xlfn.XLOOKUP($D1469,ccc[city],ccc[cont],"-"),"-")</f>
        <v/>
      </c>
      <c r="N1469" s="1396">
        <f>IF(raw[[#This Row],[city]]="","-",IF(raw[[#This Row],[cont]]="B",raw[[#This Row],[cont]],"W"))</f>
        <v/>
      </c>
      <c r="O1469" s="1397">
        <f>IF(raw[[#This Row],[out]]=0,0,IF(raw[[#This Row],[out]]=raw[[#This Row],[in]],0.01,raw[[#This Row],[out]]-raw[[#This Row],[in]]))</f>
        <v/>
      </c>
      <c r="P1469" s="1397">
        <f>IF(raw[[#This Row],[in]]=0,0,MONTH(raw[[#This Row],[in]]))</f>
        <v/>
      </c>
      <c r="Q1469" s="1397">
        <f>IF(raw[[#This Row],[in]]=0,0,YEAR(raw[[#This Row],[in]]))</f>
        <v/>
      </c>
      <c r="R1469" s="1397">
        <f>INT(raw[[#This Row],[yr]]/10)*10</f>
        <v/>
      </c>
      <c r="S1469" s="1395">
        <f>IF(raw[[#This Row],[city]]="","-",IF(raw[[#This Row],[city]]&lt;&gt;_xlfn.XLOOKUP(raw[[#This Row],[home]],homes[home],homes[city],"-"),1,0))</f>
        <v/>
      </c>
      <c r="T1469" s="1398" t="inlineStr">
        <is>
          <t>.</t>
        </is>
      </c>
      <c r="U1469" s="1399">
        <f>IF(raw[[#This Row],[wb]]="w",raw[[#This Row],[stay]]+U1468,U1468)</f>
        <v/>
      </c>
      <c r="V1469" s="1400">
        <f>IF(raw[[#This Row],[out]]=0,V1468,(raw[[#This Row],[out]]-E$5))</f>
        <v/>
      </c>
      <c r="W1469" s="1401">
        <f>U1469/V1469</f>
        <v/>
      </c>
      <c r="X1469" s="1392" t="n"/>
      <c r="Y1469" s="1392" t="n"/>
      <c r="Z1469" s="1392" t="n"/>
      <c r="AA1469" s="1392" t="n"/>
      <c r="AB1469" s="1392" t="n"/>
      <c r="AC1469" s="1392" t="n"/>
      <c r="AD1469" s="1392" t="n"/>
      <c r="AE1469" s="1392" t="n"/>
      <c r="AF1469" s="1392" t="n"/>
      <c r="AG1469" s="1392" t="n"/>
      <c r="AH1469" s="1392" t="n"/>
      <c r="AI1469" s="1392" t="n"/>
      <c r="AJ1469" s="1392" t="n"/>
      <c r="AK1469" s="1392" t="n"/>
      <c r="AL1469" s="1392" t="n"/>
      <c r="AM1469" s="1392" t="n"/>
      <c r="AN1469" s="1392" t="n"/>
      <c r="AO1469" s="1392" t="n"/>
      <c r="AP1469" s="1392" t="n"/>
      <c r="AQ1469" s="1392" t="n"/>
      <c r="AR1469" s="1422" t="n"/>
      <c r="AS1469" s="1422" t="n"/>
      <c r="AT1469" s="1392" t="n"/>
      <c r="AU1469" s="1392" t="n"/>
      <c r="AV1469" s="1392" t="n"/>
      <c r="AW1469" s="1392" t="n"/>
      <c r="AX1469" s="1392" t="n"/>
      <c r="AY1469" s="1392" t="n"/>
      <c r="AZ1469" s="1392" t="n"/>
      <c r="BA1469" s="1422" t="n"/>
      <c r="BB1469" s="1422" t="n"/>
      <c r="BC1469" s="1392" t="n"/>
      <c r="BD1469" s="1392" t="n"/>
      <c r="BE1469" s="1392" t="n"/>
      <c r="BF1469" s="1392" t="n"/>
      <c r="BG1469" s="1392" t="n"/>
      <c r="BH1469" s="1392" t="n"/>
      <c r="BI1469" s="1392" t="n"/>
      <c r="BJ1469" s="1392" t="n"/>
      <c r="BK1469" s="1392" t="n"/>
      <c r="BL1469" s="1392" t="n"/>
      <c r="BM1469" s="1392" t="n"/>
      <c r="BN1469" s="1392" t="n"/>
      <c r="BO1469" s="1392" t="n"/>
      <c r="BP1469" s="1392" t="n"/>
      <c r="BQ1469" s="1392" t="n"/>
      <c r="BR1469" s="1392" t="n"/>
      <c r="BS1469" s="1392" t="n"/>
      <c r="BT1469" s="1392" t="n"/>
      <c r="BU1469" s="1392" t="n"/>
      <c r="BV1469" s="1392" t="n"/>
      <c r="BW1469" s="1392" t="n"/>
      <c r="BX1469" s="1392" t="n"/>
      <c r="BY1469" s="1392" t="n"/>
      <c r="BZ1469" s="1392" t="n"/>
      <c r="CA1469" s="1392" t="n"/>
      <c r="CB1469" s="1392" t="n"/>
      <c r="CC1469" s="1392" t="n"/>
      <c r="CD1469" s="1392" t="n"/>
      <c r="CE1469" s="1392" t="n"/>
      <c r="CF1469" s="1392" t="n"/>
      <c r="CG1469" s="1392" t="n"/>
      <c r="CH1469" s="1392" t="n"/>
      <c r="CI1469" s="1392" t="n"/>
      <c r="CJ1469" s="1392" t="n"/>
      <c r="CK1469" s="1392" t="n"/>
      <c r="CL1469" s="1392" t="n"/>
    </row>
    <row r="1470">
      <c r="A1470" s="5" t="inlineStr">
        <is>
          <t>.</t>
        </is>
      </c>
      <c r="B1470" s="5" t="inlineStr">
        <is>
          <t>.</t>
        </is>
      </c>
      <c r="C1470" s="1378">
        <f>IF(raw[[#This Row],[city]]="","-",IF(raw[[#This Row],[city]]="TODAY","-",C1469+1))</f>
        <v/>
      </c>
      <c r="D1470" s="1393" t="inlineStr">
        <is>
          <t>Oporrino</t>
        </is>
      </c>
      <c r="E1470" s="1394" t="n">
        <v>43425</v>
      </c>
      <c r="F1470" s="1394" t="n">
        <v>43426</v>
      </c>
      <c r="G1470" s="1393" t="inlineStr">
        <is>
          <t>-</t>
        </is>
      </c>
      <c r="H1470" s="1393" t="inlineStr">
        <is>
          <t>Nadeau</t>
        </is>
      </c>
      <c r="I1470" s="1393" t="inlineStr">
        <is>
          <t>CS</t>
        </is>
      </c>
      <c r="J1470" s="1393" t="inlineStr">
        <is>
          <t>-</t>
        </is>
      </c>
      <c r="K1470" s="1395">
        <f>IF(raw[[#This Row],[city]]&lt;&gt;"",_xlfn.XLOOKUP($D1470,ccc[city],ccc[prov],"-"),"-")</f>
        <v/>
      </c>
      <c r="L1470" s="1395">
        <f>IF(raw[[#This Row],[city]]&lt;&gt;"",_xlfn.XLOOKUP($D1470,ccc[city],ccc[ctry],"-"),"-")</f>
        <v/>
      </c>
      <c r="M1470" s="1395">
        <f>IF(raw[[#This Row],[city]]&lt;&gt;"",_xlfn.XLOOKUP($D1470,ccc[city],ccc[cont],"-"),"-")</f>
        <v/>
      </c>
      <c r="N1470" s="1396">
        <f>IF(raw[[#This Row],[city]]="","-",IF(raw[[#This Row],[cont]]="B",raw[[#This Row],[cont]],"W"))</f>
        <v/>
      </c>
      <c r="O1470" s="1397">
        <f>IF(raw[[#This Row],[out]]=0,0,IF(raw[[#This Row],[out]]=raw[[#This Row],[in]],0.01,raw[[#This Row],[out]]-raw[[#This Row],[in]]))</f>
        <v/>
      </c>
      <c r="P1470" s="1397">
        <f>IF(raw[[#This Row],[in]]=0,0,MONTH(raw[[#This Row],[in]]))</f>
        <v/>
      </c>
      <c r="Q1470" s="1397">
        <f>IF(raw[[#This Row],[in]]=0,0,YEAR(raw[[#This Row],[in]]))</f>
        <v/>
      </c>
      <c r="R1470" s="1397">
        <f>INT(raw[[#This Row],[yr]]/10)*10</f>
        <v/>
      </c>
      <c r="S1470" s="1395">
        <f>IF(raw[[#This Row],[city]]="","-",IF(raw[[#This Row],[city]]&lt;&gt;_xlfn.XLOOKUP(raw[[#This Row],[home]],homes[home],homes[city],"-"),1,0))</f>
        <v/>
      </c>
      <c r="T1470" s="1398" t="inlineStr">
        <is>
          <t>.</t>
        </is>
      </c>
      <c r="U1470" s="1399">
        <f>IF(raw[[#This Row],[wb]]="w",raw[[#This Row],[stay]]+U1469,U1469)</f>
        <v/>
      </c>
      <c r="V1470" s="1400">
        <f>IF(raw[[#This Row],[out]]=0,V1469,(raw[[#This Row],[out]]-E$5))</f>
        <v/>
      </c>
      <c r="W1470" s="1401">
        <f>U1470/V1470</f>
        <v/>
      </c>
      <c r="X1470" s="1392" t="n"/>
      <c r="Y1470" s="1392" t="n"/>
      <c r="Z1470" s="1392" t="n"/>
      <c r="AA1470" s="1392" t="n"/>
      <c r="AB1470" s="1392" t="n"/>
      <c r="AC1470" s="1392" t="n"/>
      <c r="AD1470" s="1392" t="n"/>
      <c r="AE1470" s="1392" t="n"/>
      <c r="AF1470" s="1392" t="n"/>
      <c r="AG1470" s="1392" t="n"/>
      <c r="AH1470" s="1392" t="n"/>
      <c r="AI1470" s="1392" t="n"/>
      <c r="AJ1470" s="1392" t="n"/>
      <c r="AK1470" s="1392" t="n"/>
      <c r="AL1470" s="1392" t="n"/>
      <c r="AM1470" s="1392" t="n"/>
      <c r="AN1470" s="1392" t="n"/>
      <c r="AO1470" s="1392" t="n"/>
      <c r="AP1470" s="1392" t="n"/>
      <c r="AQ1470" s="1392" t="n"/>
      <c r="AR1470" s="1422" t="n"/>
      <c r="AS1470" s="1422" t="n"/>
      <c r="AT1470" s="1392" t="n"/>
      <c r="AU1470" s="1392" t="n"/>
      <c r="AV1470" s="1392" t="n"/>
      <c r="AW1470" s="1392" t="n"/>
      <c r="AX1470" s="1392" t="n"/>
      <c r="AY1470" s="1392" t="n"/>
      <c r="AZ1470" s="1392" t="n"/>
      <c r="BA1470" s="1422" t="n"/>
      <c r="BB1470" s="1422" t="n"/>
      <c r="BC1470" s="1392" t="n"/>
      <c r="BD1470" s="1392" t="n"/>
      <c r="BE1470" s="1392" t="n"/>
      <c r="BF1470" s="1392" t="n"/>
      <c r="BG1470" s="1392" t="n"/>
      <c r="BH1470" s="1392" t="n"/>
      <c r="BI1470" s="1392" t="n"/>
      <c r="BJ1470" s="1392" t="n"/>
      <c r="BK1470" s="1392" t="n"/>
      <c r="BL1470" s="1392" t="n"/>
      <c r="BM1470" s="1392" t="n"/>
      <c r="BN1470" s="1392" t="n"/>
      <c r="BO1470" s="1392" t="n"/>
      <c r="BP1470" s="1392" t="n"/>
      <c r="BQ1470" s="1392" t="n"/>
      <c r="BR1470" s="1392" t="n"/>
      <c r="BS1470" s="1392" t="n"/>
      <c r="BT1470" s="1392" t="n"/>
      <c r="BU1470" s="1392" t="n"/>
      <c r="BV1470" s="1392" t="n"/>
      <c r="BW1470" s="1392" t="n"/>
      <c r="BX1470" s="1392" t="n"/>
      <c r="BY1470" s="1392" t="n"/>
      <c r="BZ1470" s="1392" t="n"/>
      <c r="CA1470" s="1392" t="n"/>
      <c r="CB1470" s="1392" t="n"/>
      <c r="CC1470" s="1392" t="n"/>
      <c r="CD1470" s="1392" t="n"/>
      <c r="CE1470" s="1392" t="n"/>
      <c r="CF1470" s="1392" t="n"/>
      <c r="CG1470" s="1392" t="n"/>
      <c r="CH1470" s="1392" t="n"/>
      <c r="CI1470" s="1392" t="n"/>
      <c r="CJ1470" s="1392" t="n"/>
      <c r="CK1470" s="1392" t="n"/>
      <c r="CL1470" s="1392" t="n"/>
    </row>
    <row r="1471">
      <c r="A1471" s="5" t="inlineStr">
        <is>
          <t>.</t>
        </is>
      </c>
      <c r="B1471" s="5" t="inlineStr">
        <is>
          <t>.</t>
        </is>
      </c>
      <c r="C1471" s="1378">
        <f>IF(raw[[#This Row],[city]]="","-",IF(raw[[#This Row],[city]]="TODAY","-",C1470+1))</f>
        <v/>
      </c>
      <c r="D1471" s="1393" t="inlineStr">
        <is>
          <t>Redondela</t>
        </is>
      </c>
      <c r="E1471" s="1394" t="n">
        <v>43426</v>
      </c>
      <c r="F1471" s="1394" t="n">
        <v>43427</v>
      </c>
      <c r="G1471" s="1393" t="inlineStr">
        <is>
          <t>-</t>
        </is>
      </c>
      <c r="H1471" s="1393" t="inlineStr">
        <is>
          <t>Nadeau</t>
        </is>
      </c>
      <c r="I1471" s="1393" t="inlineStr">
        <is>
          <t>CS</t>
        </is>
      </c>
      <c r="J1471" s="1393" t="inlineStr">
        <is>
          <t>-</t>
        </is>
      </c>
      <c r="K1471" s="1395">
        <f>IF(raw[[#This Row],[city]]&lt;&gt;"",_xlfn.XLOOKUP($D1471,ccc[city],ccc[prov],"-"),"-")</f>
        <v/>
      </c>
      <c r="L1471" s="1395">
        <f>IF(raw[[#This Row],[city]]&lt;&gt;"",_xlfn.XLOOKUP($D1471,ccc[city],ccc[ctry],"-"),"-")</f>
        <v/>
      </c>
      <c r="M1471" s="1395">
        <f>IF(raw[[#This Row],[city]]&lt;&gt;"",_xlfn.XLOOKUP($D1471,ccc[city],ccc[cont],"-"),"-")</f>
        <v/>
      </c>
      <c r="N1471" s="1396">
        <f>IF(raw[[#This Row],[city]]="","-",IF(raw[[#This Row],[cont]]="B",raw[[#This Row],[cont]],"W"))</f>
        <v/>
      </c>
      <c r="O1471" s="1397">
        <f>IF(raw[[#This Row],[out]]=0,0,IF(raw[[#This Row],[out]]=raw[[#This Row],[in]],0.01,raw[[#This Row],[out]]-raw[[#This Row],[in]]))</f>
        <v/>
      </c>
      <c r="P1471" s="1397">
        <f>IF(raw[[#This Row],[in]]=0,0,MONTH(raw[[#This Row],[in]]))</f>
        <v/>
      </c>
      <c r="Q1471" s="1397">
        <f>IF(raw[[#This Row],[in]]=0,0,YEAR(raw[[#This Row],[in]]))</f>
        <v/>
      </c>
      <c r="R1471" s="1397">
        <f>INT(raw[[#This Row],[yr]]/10)*10</f>
        <v/>
      </c>
      <c r="S1471" s="1395">
        <f>IF(raw[[#This Row],[city]]="","-",IF(raw[[#This Row],[city]]&lt;&gt;_xlfn.XLOOKUP(raw[[#This Row],[home]],homes[home],homes[city],"-"),1,0))</f>
        <v/>
      </c>
      <c r="T1471" s="1398" t="inlineStr">
        <is>
          <t>.</t>
        </is>
      </c>
      <c r="U1471" s="1399">
        <f>IF(raw[[#This Row],[wb]]="w",raw[[#This Row],[stay]]+U1470,U1470)</f>
        <v/>
      </c>
      <c r="V1471" s="1400">
        <f>IF(raw[[#This Row],[out]]=0,V1470,(raw[[#This Row],[out]]-E$5))</f>
        <v/>
      </c>
      <c r="W1471" s="1401">
        <f>U1471/V1471</f>
        <v/>
      </c>
      <c r="X1471" s="1392" t="n"/>
      <c r="Y1471" s="1392" t="n"/>
      <c r="Z1471" s="1392" t="n"/>
      <c r="AA1471" s="1392" t="n"/>
      <c r="AB1471" s="1392" t="n"/>
      <c r="AC1471" s="1392" t="n"/>
      <c r="AD1471" s="1392" t="n"/>
      <c r="AE1471" s="1392" t="n"/>
      <c r="AF1471" s="1392" t="n"/>
      <c r="AG1471" s="1392" t="n"/>
      <c r="AH1471" s="1392" t="n"/>
      <c r="AI1471" s="1392" t="n"/>
      <c r="AJ1471" s="1392" t="n"/>
      <c r="AK1471" s="1392" t="n"/>
      <c r="AL1471" s="1392" t="n"/>
      <c r="AM1471" s="1392" t="n"/>
      <c r="AN1471" s="1392" t="n"/>
      <c r="AO1471" s="1392" t="n"/>
      <c r="AP1471" s="1392" t="n"/>
      <c r="AQ1471" s="1392" t="n"/>
      <c r="AR1471" s="1422" t="n"/>
      <c r="AS1471" s="1422" t="n"/>
      <c r="AT1471" s="1392" t="n"/>
      <c r="AU1471" s="1392" t="n"/>
      <c r="AV1471" s="1392" t="n"/>
      <c r="AW1471" s="1392" t="n"/>
      <c r="AX1471" s="1392" t="n"/>
      <c r="AY1471" s="1392" t="n"/>
      <c r="AZ1471" s="1392" t="n"/>
      <c r="BA1471" s="1422" t="n"/>
      <c r="BB1471" s="1422" t="n"/>
      <c r="BC1471" s="1392" t="n"/>
      <c r="BD1471" s="1392" t="n"/>
      <c r="BE1471" s="1392" t="n"/>
      <c r="BF1471" s="1392" t="n"/>
      <c r="BG1471" s="1392" t="n"/>
      <c r="BH1471" s="1392" t="n"/>
      <c r="BI1471" s="1392" t="n"/>
      <c r="BJ1471" s="1392" t="n"/>
      <c r="BK1471" s="1392" t="n"/>
      <c r="BL1471" s="1392" t="n"/>
      <c r="BM1471" s="1392" t="n"/>
      <c r="BN1471" s="1392" t="n"/>
      <c r="BO1471" s="1392" t="n"/>
      <c r="BP1471" s="1392" t="n"/>
      <c r="BQ1471" s="1392" t="n"/>
      <c r="BR1471" s="1392" t="n"/>
      <c r="BS1471" s="1392" t="n"/>
      <c r="BT1471" s="1392" t="n"/>
      <c r="BU1471" s="1392" t="n"/>
      <c r="BV1471" s="1392" t="n"/>
      <c r="BW1471" s="1392" t="n"/>
      <c r="BX1471" s="1392" t="n"/>
      <c r="BY1471" s="1392" t="n"/>
      <c r="BZ1471" s="1392" t="n"/>
      <c r="CA1471" s="1392" t="n"/>
      <c r="CB1471" s="1392" t="n"/>
      <c r="CC1471" s="1392" t="n"/>
      <c r="CD1471" s="1392" t="n"/>
      <c r="CE1471" s="1392" t="n"/>
      <c r="CF1471" s="1392" t="n"/>
      <c r="CG1471" s="1392" t="n"/>
      <c r="CH1471" s="1392" t="n"/>
      <c r="CI1471" s="1392" t="n"/>
      <c r="CJ1471" s="1392" t="n"/>
      <c r="CK1471" s="1392" t="n"/>
      <c r="CL1471" s="1392" t="n"/>
    </row>
    <row r="1472">
      <c r="A1472" s="5" t="inlineStr">
        <is>
          <t>.</t>
        </is>
      </c>
      <c r="B1472" s="5" t="inlineStr">
        <is>
          <t>.</t>
        </is>
      </c>
      <c r="C1472" s="1378">
        <f>IF(raw[[#This Row],[city]]="","-",IF(raw[[#This Row],[city]]="TODAY","-",C1471+1))</f>
        <v/>
      </c>
      <c r="D1472" s="1393" t="inlineStr">
        <is>
          <t>Pontevedra</t>
        </is>
      </c>
      <c r="E1472" s="1394" t="n">
        <v>43427</v>
      </c>
      <c r="F1472" s="1394" t="n">
        <v>43427</v>
      </c>
      <c r="G1472" s="1393" t="inlineStr">
        <is>
          <t>-</t>
        </is>
      </c>
      <c r="H1472" s="1393" t="inlineStr">
        <is>
          <t>Nadeau</t>
        </is>
      </c>
      <c r="I1472" s="1393" t="inlineStr">
        <is>
          <t>CS</t>
        </is>
      </c>
      <c r="J1472" s="1393" t="inlineStr">
        <is>
          <t>-</t>
        </is>
      </c>
      <c r="K1472" s="1395">
        <f>IF(raw[[#This Row],[city]]&lt;&gt;"",_xlfn.XLOOKUP($D1472,ccc[city],ccc[prov],"-"),"-")</f>
        <v/>
      </c>
      <c r="L1472" s="1395">
        <f>IF(raw[[#This Row],[city]]&lt;&gt;"",_xlfn.XLOOKUP($D1472,ccc[city],ccc[ctry],"-"),"-")</f>
        <v/>
      </c>
      <c r="M1472" s="1395">
        <f>IF(raw[[#This Row],[city]]&lt;&gt;"",_xlfn.XLOOKUP($D1472,ccc[city],ccc[cont],"-"),"-")</f>
        <v/>
      </c>
      <c r="N1472" s="1396">
        <f>IF(raw[[#This Row],[city]]="","-",IF(raw[[#This Row],[cont]]="B",raw[[#This Row],[cont]],"W"))</f>
        <v/>
      </c>
      <c r="O1472" s="1397">
        <f>IF(raw[[#This Row],[out]]=0,0,IF(raw[[#This Row],[out]]=raw[[#This Row],[in]],0.01,raw[[#This Row],[out]]-raw[[#This Row],[in]]))</f>
        <v/>
      </c>
      <c r="P1472" s="1397">
        <f>IF(raw[[#This Row],[in]]=0,0,MONTH(raw[[#This Row],[in]]))</f>
        <v/>
      </c>
      <c r="Q1472" s="1397">
        <f>IF(raw[[#This Row],[in]]=0,0,YEAR(raw[[#This Row],[in]]))</f>
        <v/>
      </c>
      <c r="R1472" s="1397">
        <f>INT(raw[[#This Row],[yr]]/10)*10</f>
        <v/>
      </c>
      <c r="S1472" s="1395">
        <f>IF(raw[[#This Row],[city]]="","-",IF(raw[[#This Row],[city]]&lt;&gt;_xlfn.XLOOKUP(raw[[#This Row],[home]],homes[home],homes[city],"-"),1,0))</f>
        <v/>
      </c>
      <c r="T1472" s="1398" t="inlineStr">
        <is>
          <t>.</t>
        </is>
      </c>
      <c r="U1472" s="1399">
        <f>IF(raw[[#This Row],[wb]]="w",raw[[#This Row],[stay]]+U1471,U1471)</f>
        <v/>
      </c>
      <c r="V1472" s="1400">
        <f>IF(raw[[#This Row],[out]]=0,V1471,(raw[[#This Row],[out]]-E$5))</f>
        <v/>
      </c>
      <c r="W1472" s="1401">
        <f>U1472/V1472</f>
        <v/>
      </c>
      <c r="X1472" s="1392" t="n"/>
      <c r="Y1472" s="1392" t="n"/>
      <c r="Z1472" s="1392" t="n"/>
      <c r="AA1472" s="1392" t="n"/>
      <c r="AB1472" s="1392" t="n"/>
      <c r="AC1472" s="1392" t="n"/>
      <c r="AD1472" s="1392" t="n"/>
      <c r="AE1472" s="1392" t="n"/>
      <c r="AF1472" s="1392" t="n"/>
      <c r="AG1472" s="1392" t="n"/>
      <c r="AH1472" s="1392" t="n"/>
      <c r="AI1472" s="1392" t="n"/>
      <c r="AJ1472" s="1392" t="n"/>
      <c r="AK1472" s="1392" t="n"/>
      <c r="AL1472" s="1392" t="n"/>
      <c r="AM1472" s="1392" t="n"/>
      <c r="AN1472" s="1392" t="n"/>
      <c r="AO1472" s="1392" t="n"/>
      <c r="AP1472" s="1392" t="n"/>
      <c r="AQ1472" s="1392" t="n"/>
      <c r="AR1472" s="1422" t="n"/>
      <c r="AS1472" s="1422" t="n"/>
      <c r="AT1472" s="1392" t="n"/>
      <c r="AU1472" s="1392" t="n"/>
      <c r="AV1472" s="1392" t="n"/>
      <c r="AW1472" s="1392" t="n"/>
      <c r="AX1472" s="1392" t="n"/>
      <c r="AY1472" s="1392" t="n"/>
      <c r="AZ1472" s="1392" t="n"/>
      <c r="BA1472" s="1422" t="n"/>
      <c r="BB1472" s="1422" t="n"/>
      <c r="BC1472" s="1392" t="n"/>
      <c r="BD1472" s="1392" t="n"/>
      <c r="BE1472" s="1392" t="n"/>
      <c r="BF1472" s="1392" t="n"/>
      <c r="BG1472" s="1392" t="n"/>
      <c r="BH1472" s="1392" t="n"/>
      <c r="BI1472" s="1392" t="n"/>
      <c r="BJ1472" s="1392" t="n"/>
      <c r="BK1472" s="1392" t="n"/>
      <c r="BL1472" s="1392" t="n"/>
      <c r="BM1472" s="1392" t="n"/>
      <c r="BN1472" s="1392" t="n"/>
      <c r="BO1472" s="1392" t="n"/>
      <c r="BP1472" s="1392" t="n"/>
      <c r="BQ1472" s="1392" t="n"/>
      <c r="BR1472" s="1392" t="n"/>
      <c r="BS1472" s="1392" t="n"/>
      <c r="BT1472" s="1392" t="n"/>
      <c r="BU1472" s="1392" t="n"/>
      <c r="BV1472" s="1392" t="n"/>
      <c r="BW1472" s="1392" t="n"/>
      <c r="BX1472" s="1392" t="n"/>
      <c r="BY1472" s="1392" t="n"/>
      <c r="BZ1472" s="1392" t="n"/>
      <c r="CA1472" s="1392" t="n"/>
      <c r="CB1472" s="1392" t="n"/>
      <c r="CC1472" s="1392" t="n"/>
      <c r="CD1472" s="1392" t="n"/>
      <c r="CE1472" s="1392" t="n"/>
      <c r="CF1472" s="1392" t="n"/>
      <c r="CG1472" s="1392" t="n"/>
      <c r="CH1472" s="1392" t="n"/>
      <c r="CI1472" s="1392" t="n"/>
      <c r="CJ1472" s="1392" t="n"/>
      <c r="CK1472" s="1392" t="n"/>
      <c r="CL1472" s="1392" t="n"/>
    </row>
    <row r="1473">
      <c r="A1473" s="5" t="inlineStr">
        <is>
          <t>.</t>
        </is>
      </c>
      <c r="B1473" s="5" t="inlineStr">
        <is>
          <t>.</t>
        </is>
      </c>
      <c r="C1473" s="1378">
        <f>IF(raw[[#This Row],[city]]="","-",IF(raw[[#This Row],[city]]="TODAY","-",C1472+1))</f>
        <v/>
      </c>
      <c r="D1473" s="1393" t="inlineStr">
        <is>
          <t>A Cancela</t>
        </is>
      </c>
      <c r="E1473" s="1394" t="n">
        <v>43427</v>
      </c>
      <c r="F1473" s="1394" t="n">
        <v>43428</v>
      </c>
      <c r="G1473" s="1393" t="inlineStr">
        <is>
          <t>-</t>
        </is>
      </c>
      <c r="H1473" s="1393" t="inlineStr">
        <is>
          <t>Nadeau</t>
        </is>
      </c>
      <c r="I1473" s="1393" t="inlineStr">
        <is>
          <t>CS</t>
        </is>
      </c>
      <c r="J1473" s="1393" t="inlineStr">
        <is>
          <t>-</t>
        </is>
      </c>
      <c r="K1473" s="1395">
        <f>IF(raw[[#This Row],[city]]&lt;&gt;"",_xlfn.XLOOKUP($D1473,ccc[city],ccc[prov],"-"),"-")</f>
        <v/>
      </c>
      <c r="L1473" s="1395">
        <f>IF(raw[[#This Row],[city]]&lt;&gt;"",_xlfn.XLOOKUP($D1473,ccc[city],ccc[ctry],"-"),"-")</f>
        <v/>
      </c>
      <c r="M1473" s="1395">
        <f>IF(raw[[#This Row],[city]]&lt;&gt;"",_xlfn.XLOOKUP($D1473,ccc[city],ccc[cont],"-"),"-")</f>
        <v/>
      </c>
      <c r="N1473" s="1396">
        <f>IF(raw[[#This Row],[city]]="","-",IF(raw[[#This Row],[cont]]="B",raw[[#This Row],[cont]],"W"))</f>
        <v/>
      </c>
      <c r="O1473" s="1397">
        <f>IF(raw[[#This Row],[out]]=0,0,IF(raw[[#This Row],[out]]=raw[[#This Row],[in]],0.01,raw[[#This Row],[out]]-raw[[#This Row],[in]]))</f>
        <v/>
      </c>
      <c r="P1473" s="1397">
        <f>IF(raw[[#This Row],[in]]=0,0,MONTH(raw[[#This Row],[in]]))</f>
        <v/>
      </c>
      <c r="Q1473" s="1397">
        <f>IF(raw[[#This Row],[in]]=0,0,YEAR(raw[[#This Row],[in]]))</f>
        <v/>
      </c>
      <c r="R1473" s="1397">
        <f>INT(raw[[#This Row],[yr]]/10)*10</f>
        <v/>
      </c>
      <c r="S1473" s="1395">
        <f>IF(raw[[#This Row],[city]]="","-",IF(raw[[#This Row],[city]]&lt;&gt;_xlfn.XLOOKUP(raw[[#This Row],[home]],homes[home],homes[city],"-"),1,0))</f>
        <v/>
      </c>
      <c r="T1473" s="1398" t="inlineStr">
        <is>
          <t>.</t>
        </is>
      </c>
      <c r="U1473" s="1399">
        <f>IF(raw[[#This Row],[wb]]="w",raw[[#This Row],[stay]]+U1472,U1472)</f>
        <v/>
      </c>
      <c r="V1473" s="1400">
        <f>IF(raw[[#This Row],[out]]=0,V1472,(raw[[#This Row],[out]]-E$5))</f>
        <v/>
      </c>
      <c r="W1473" s="1401">
        <f>U1473/V1473</f>
        <v/>
      </c>
      <c r="X1473" s="1392" t="n"/>
      <c r="Y1473" s="1392" t="n"/>
      <c r="Z1473" s="1392" t="n"/>
      <c r="AA1473" s="1392" t="n"/>
      <c r="AB1473" s="1392" t="n"/>
      <c r="AC1473" s="1392" t="n"/>
      <c r="AD1473" s="1392" t="n"/>
      <c r="AE1473" s="1392" t="n"/>
      <c r="AF1473" s="1392" t="n"/>
      <c r="AG1473" s="1392" t="n"/>
      <c r="AH1473" s="1392" t="n"/>
      <c r="AI1473" s="1392" t="n"/>
      <c r="AJ1473" s="1392" t="n"/>
      <c r="AK1473" s="1392" t="n"/>
      <c r="AL1473" s="1392" t="n"/>
      <c r="AM1473" s="1392" t="n"/>
      <c r="AN1473" s="1392" t="n"/>
      <c r="AO1473" s="1392" t="n"/>
      <c r="AP1473" s="1392" t="n"/>
      <c r="AQ1473" s="1392" t="n"/>
      <c r="AR1473" s="1422" t="n"/>
      <c r="AS1473" s="1422" t="n"/>
      <c r="AT1473" s="1392" t="n"/>
      <c r="AU1473" s="1392" t="n"/>
      <c r="AV1473" s="1392" t="n"/>
      <c r="AW1473" s="1392" t="n"/>
      <c r="AX1473" s="1392" t="n"/>
      <c r="AY1473" s="1392" t="n"/>
      <c r="AZ1473" s="1392" t="n"/>
      <c r="BA1473" s="1422" t="n"/>
      <c r="BB1473" s="1422" t="n"/>
      <c r="BC1473" s="1392" t="n"/>
      <c r="BD1473" s="1392" t="n"/>
      <c r="BE1473" s="1392" t="n"/>
      <c r="BF1473" s="1392" t="n"/>
      <c r="BG1473" s="1392" t="n"/>
      <c r="BH1473" s="1392" t="n"/>
      <c r="BI1473" s="1392" t="n"/>
      <c r="BJ1473" s="1392" t="n"/>
      <c r="BK1473" s="1392" t="n"/>
      <c r="BL1473" s="1392" t="n"/>
      <c r="BM1473" s="1392" t="n"/>
      <c r="BN1473" s="1392" t="n"/>
      <c r="BO1473" s="1392" t="n"/>
      <c r="BP1473" s="1392" t="n"/>
      <c r="BQ1473" s="1392" t="n"/>
      <c r="BR1473" s="1392" t="n"/>
      <c r="BS1473" s="1392" t="n"/>
      <c r="BT1473" s="1392" t="n"/>
      <c r="BU1473" s="1392" t="n"/>
      <c r="BV1473" s="1392" t="n"/>
      <c r="BW1473" s="1392" t="n"/>
      <c r="BX1473" s="1392" t="n"/>
      <c r="BY1473" s="1392" t="n"/>
      <c r="BZ1473" s="1392" t="n"/>
      <c r="CA1473" s="1392" t="n"/>
      <c r="CB1473" s="1392" t="n"/>
      <c r="CC1473" s="1392" t="n"/>
      <c r="CD1473" s="1392" t="n"/>
      <c r="CE1473" s="1392" t="n"/>
      <c r="CF1473" s="1392" t="n"/>
      <c r="CG1473" s="1392" t="n"/>
      <c r="CH1473" s="1392" t="n"/>
      <c r="CI1473" s="1392" t="n"/>
      <c r="CJ1473" s="1392" t="n"/>
      <c r="CK1473" s="1392" t="n"/>
      <c r="CL1473" s="1392" t="n"/>
    </row>
    <row r="1474">
      <c r="A1474" s="5" t="inlineStr">
        <is>
          <t>.</t>
        </is>
      </c>
      <c r="B1474" s="5" t="inlineStr">
        <is>
          <t>.</t>
        </is>
      </c>
      <c r="C1474" s="1378">
        <f>IF(raw[[#This Row],[city]]="","-",IF(raw[[#This Row],[city]]="TODAY","-",C1473+1))</f>
        <v/>
      </c>
      <c r="D1474" s="1393" t="inlineStr">
        <is>
          <t>Calda de Reis</t>
        </is>
      </c>
      <c r="E1474" s="1394" t="n">
        <v>43428</v>
      </c>
      <c r="F1474" s="1394" t="n">
        <v>43428</v>
      </c>
      <c r="G1474" s="1393" t="inlineStr">
        <is>
          <t>-</t>
        </is>
      </c>
      <c r="H1474" s="1393" t="inlineStr">
        <is>
          <t>Nadeau</t>
        </is>
      </c>
      <c r="I1474" s="1393" t="inlineStr">
        <is>
          <t>CS</t>
        </is>
      </c>
      <c r="J1474" s="1393" t="inlineStr">
        <is>
          <t>-</t>
        </is>
      </c>
      <c r="K1474" s="1395">
        <f>IF(raw[[#This Row],[city]]&lt;&gt;"",_xlfn.XLOOKUP($D1474,ccc[city],ccc[prov],"-"),"-")</f>
        <v/>
      </c>
      <c r="L1474" s="1395">
        <f>IF(raw[[#This Row],[city]]&lt;&gt;"",_xlfn.XLOOKUP($D1474,ccc[city],ccc[ctry],"-"),"-")</f>
        <v/>
      </c>
      <c r="M1474" s="1395">
        <f>IF(raw[[#This Row],[city]]&lt;&gt;"",_xlfn.XLOOKUP($D1474,ccc[city],ccc[cont],"-"),"-")</f>
        <v/>
      </c>
      <c r="N1474" s="1396">
        <f>IF(raw[[#This Row],[city]]="","-",IF(raw[[#This Row],[cont]]="B",raw[[#This Row],[cont]],"W"))</f>
        <v/>
      </c>
      <c r="O1474" s="1397">
        <f>IF(raw[[#This Row],[out]]=0,0,IF(raw[[#This Row],[out]]=raw[[#This Row],[in]],0.01,raw[[#This Row],[out]]-raw[[#This Row],[in]]))</f>
        <v/>
      </c>
      <c r="P1474" s="1397">
        <f>IF(raw[[#This Row],[in]]=0,0,MONTH(raw[[#This Row],[in]]))</f>
        <v/>
      </c>
      <c r="Q1474" s="1397">
        <f>IF(raw[[#This Row],[in]]=0,0,YEAR(raw[[#This Row],[in]]))</f>
        <v/>
      </c>
      <c r="R1474" s="1397">
        <f>INT(raw[[#This Row],[yr]]/10)*10</f>
        <v/>
      </c>
      <c r="S1474" s="1395">
        <f>IF(raw[[#This Row],[city]]="","-",IF(raw[[#This Row],[city]]&lt;&gt;_xlfn.XLOOKUP(raw[[#This Row],[home]],homes[home],homes[city],"-"),1,0))</f>
        <v/>
      </c>
      <c r="T1474" s="1398" t="inlineStr">
        <is>
          <t>.</t>
        </is>
      </c>
      <c r="U1474" s="1399">
        <f>IF(raw[[#This Row],[wb]]="w",raw[[#This Row],[stay]]+U1473,U1473)</f>
        <v/>
      </c>
      <c r="V1474" s="1400">
        <f>IF(raw[[#This Row],[out]]=0,V1473,(raw[[#This Row],[out]]-E$5))</f>
        <v/>
      </c>
      <c r="W1474" s="1401">
        <f>U1474/V1474</f>
        <v/>
      </c>
      <c r="X1474" s="1392" t="n"/>
      <c r="Y1474" s="1392" t="n"/>
      <c r="Z1474" s="1392" t="n"/>
      <c r="AA1474" s="1392" t="n"/>
      <c r="AB1474" s="1392" t="n"/>
      <c r="AC1474" s="1392" t="n"/>
      <c r="AD1474" s="1392" t="n"/>
      <c r="AE1474" s="1392" t="n"/>
      <c r="AF1474" s="1392" t="n"/>
      <c r="AG1474" s="1392" t="n"/>
      <c r="AH1474" s="1392" t="n"/>
      <c r="AI1474" s="1392" t="n"/>
      <c r="AJ1474" s="1392" t="n"/>
      <c r="AK1474" s="1392" t="n"/>
      <c r="AL1474" s="1392" t="n"/>
      <c r="AM1474" s="1392" t="n"/>
      <c r="AN1474" s="1392" t="n"/>
      <c r="AO1474" s="1392" t="n"/>
      <c r="AP1474" s="1392" t="n"/>
      <c r="AQ1474" s="1392" t="n"/>
      <c r="AR1474" s="1422" t="n"/>
      <c r="AS1474" s="1422" t="n"/>
      <c r="AT1474" s="1392" t="n"/>
      <c r="AU1474" s="1392" t="n"/>
      <c r="AV1474" s="1392" t="n"/>
      <c r="AW1474" s="1392" t="n"/>
      <c r="AX1474" s="1392" t="n"/>
      <c r="AY1474" s="1392" t="n"/>
      <c r="AZ1474" s="1392" t="n"/>
      <c r="BA1474" s="1422" t="n"/>
      <c r="BB1474" s="1422" t="n"/>
      <c r="BC1474" s="1392" t="n"/>
      <c r="BD1474" s="1392" t="n"/>
      <c r="BE1474" s="1392" t="n"/>
      <c r="BF1474" s="1392" t="n"/>
      <c r="BG1474" s="1392" t="n"/>
      <c r="BH1474" s="1392" t="n"/>
      <c r="BI1474" s="1392" t="n"/>
      <c r="BJ1474" s="1392" t="n"/>
      <c r="BK1474" s="1392" t="n"/>
      <c r="BL1474" s="1392" t="n"/>
      <c r="BM1474" s="1392" t="n"/>
      <c r="BN1474" s="1392" t="n"/>
      <c r="BO1474" s="1392" t="n"/>
      <c r="BP1474" s="1392" t="n"/>
      <c r="BQ1474" s="1392" t="n"/>
      <c r="BR1474" s="1392" t="n"/>
      <c r="BS1474" s="1392" t="n"/>
      <c r="BT1474" s="1392" t="n"/>
      <c r="BU1474" s="1392" t="n"/>
      <c r="BV1474" s="1392" t="n"/>
      <c r="BW1474" s="1392" t="n"/>
      <c r="BX1474" s="1392" t="n"/>
      <c r="BY1474" s="1392" t="n"/>
      <c r="BZ1474" s="1392" t="n"/>
      <c r="CA1474" s="1392" t="n"/>
      <c r="CB1474" s="1392" t="n"/>
      <c r="CC1474" s="1392" t="n"/>
      <c r="CD1474" s="1392" t="n"/>
      <c r="CE1474" s="1392" t="n"/>
      <c r="CF1474" s="1392" t="n"/>
      <c r="CG1474" s="1392" t="n"/>
      <c r="CH1474" s="1392" t="n"/>
      <c r="CI1474" s="1392" t="n"/>
      <c r="CJ1474" s="1392" t="n"/>
      <c r="CK1474" s="1392" t="n"/>
      <c r="CL1474" s="1392" t="n"/>
    </row>
    <row r="1475">
      <c r="A1475" s="5" t="inlineStr">
        <is>
          <t>.</t>
        </is>
      </c>
      <c r="B1475" s="5" t="inlineStr">
        <is>
          <t>.</t>
        </is>
      </c>
      <c r="C1475" s="1378">
        <f>IF(raw[[#This Row],[city]]="","-",IF(raw[[#This Row],[city]]="TODAY","-",C1474+1))</f>
        <v/>
      </c>
      <c r="D1475" s="1393" t="inlineStr">
        <is>
          <t>Padron</t>
        </is>
      </c>
      <c r="E1475" s="1394" t="n">
        <v>43428</v>
      </c>
      <c r="F1475" s="1394" t="n">
        <v>43429</v>
      </c>
      <c r="G1475" s="1393" t="inlineStr">
        <is>
          <t>-</t>
        </is>
      </c>
      <c r="H1475" s="1393" t="inlineStr">
        <is>
          <t>Nadeau</t>
        </is>
      </c>
      <c r="I1475" s="1393" t="inlineStr">
        <is>
          <t>CS</t>
        </is>
      </c>
      <c r="J1475" s="1393" t="inlineStr">
        <is>
          <t>-</t>
        </is>
      </c>
      <c r="K1475" s="1395">
        <f>IF(raw[[#This Row],[city]]&lt;&gt;"",_xlfn.XLOOKUP($D1475,ccc[city],ccc[prov],"-"),"-")</f>
        <v/>
      </c>
      <c r="L1475" s="1395">
        <f>IF(raw[[#This Row],[city]]&lt;&gt;"",_xlfn.XLOOKUP($D1475,ccc[city],ccc[ctry],"-"),"-")</f>
        <v/>
      </c>
      <c r="M1475" s="1395">
        <f>IF(raw[[#This Row],[city]]&lt;&gt;"",_xlfn.XLOOKUP($D1475,ccc[city],ccc[cont],"-"),"-")</f>
        <v/>
      </c>
      <c r="N1475" s="1396">
        <f>IF(raw[[#This Row],[city]]="","-",IF(raw[[#This Row],[cont]]="B",raw[[#This Row],[cont]],"W"))</f>
        <v/>
      </c>
      <c r="O1475" s="1397">
        <f>IF(raw[[#This Row],[out]]=0,0,IF(raw[[#This Row],[out]]=raw[[#This Row],[in]],0.01,raw[[#This Row],[out]]-raw[[#This Row],[in]]))</f>
        <v/>
      </c>
      <c r="P1475" s="1397">
        <f>IF(raw[[#This Row],[in]]=0,0,MONTH(raw[[#This Row],[in]]))</f>
        <v/>
      </c>
      <c r="Q1475" s="1397">
        <f>IF(raw[[#This Row],[in]]=0,0,YEAR(raw[[#This Row],[in]]))</f>
        <v/>
      </c>
      <c r="R1475" s="1397">
        <f>INT(raw[[#This Row],[yr]]/10)*10</f>
        <v/>
      </c>
      <c r="S1475" s="1395">
        <f>IF(raw[[#This Row],[city]]="","-",IF(raw[[#This Row],[city]]&lt;&gt;_xlfn.XLOOKUP(raw[[#This Row],[home]],homes[home],homes[city],"-"),1,0))</f>
        <v/>
      </c>
      <c r="T1475" s="1398" t="inlineStr">
        <is>
          <t>.</t>
        </is>
      </c>
      <c r="U1475" s="1399">
        <f>IF(raw[[#This Row],[wb]]="w",raw[[#This Row],[stay]]+U1474,U1474)</f>
        <v/>
      </c>
      <c r="V1475" s="1400">
        <f>IF(raw[[#This Row],[out]]=0,V1474,(raw[[#This Row],[out]]-E$5))</f>
        <v/>
      </c>
      <c r="W1475" s="1401">
        <f>U1475/V1475</f>
        <v/>
      </c>
      <c r="X1475" s="1392" t="n"/>
      <c r="Y1475" s="1392" t="n"/>
      <c r="Z1475" s="1392" t="n"/>
      <c r="AA1475" s="1392" t="n"/>
      <c r="AB1475" s="1392" t="n"/>
      <c r="AC1475" s="1392" t="n"/>
      <c r="AD1475" s="1392" t="n"/>
      <c r="AE1475" s="1392" t="n"/>
      <c r="AF1475" s="1392" t="n"/>
      <c r="AG1475" s="1392" t="n"/>
      <c r="AH1475" s="1392" t="n"/>
      <c r="AI1475" s="1392" t="n"/>
      <c r="AJ1475" s="1392" t="n"/>
      <c r="AK1475" s="1392" t="n"/>
      <c r="AL1475" s="1392" t="n"/>
      <c r="AM1475" s="1392" t="n"/>
      <c r="AN1475" s="1392" t="n"/>
      <c r="AO1475" s="1392" t="n"/>
      <c r="AP1475" s="1392" t="n"/>
      <c r="AQ1475" s="1392" t="n"/>
      <c r="AR1475" s="1422" t="n"/>
      <c r="AS1475" s="1422" t="n"/>
      <c r="AT1475" s="1392" t="n"/>
      <c r="AU1475" s="1392" t="n"/>
      <c r="AV1475" s="1392" t="n"/>
      <c r="AW1475" s="1392" t="n"/>
      <c r="AX1475" s="1392" t="n"/>
      <c r="AY1475" s="1392" t="n"/>
      <c r="AZ1475" s="1392" t="n"/>
      <c r="BA1475" s="1422" t="n"/>
      <c r="BB1475" s="1422" t="n"/>
      <c r="BC1475" s="1392" t="n"/>
      <c r="BD1475" s="1392" t="n"/>
      <c r="BE1475" s="1392" t="n"/>
      <c r="BF1475" s="1392" t="n"/>
      <c r="BG1475" s="1392" t="n"/>
      <c r="BH1475" s="1392" t="n"/>
      <c r="BI1475" s="1392" t="n"/>
      <c r="BJ1475" s="1392" t="n"/>
      <c r="BK1475" s="1392" t="n"/>
      <c r="BL1475" s="1392" t="n"/>
      <c r="BM1475" s="1392" t="n"/>
      <c r="BN1475" s="1392" t="n"/>
      <c r="BO1475" s="1392" t="n"/>
      <c r="BP1475" s="1392" t="n"/>
      <c r="BQ1475" s="1392" t="n"/>
      <c r="BR1475" s="1392" t="n"/>
      <c r="BS1475" s="1392" t="n"/>
      <c r="BT1475" s="1392" t="n"/>
      <c r="BU1475" s="1392" t="n"/>
      <c r="BV1475" s="1392" t="n"/>
      <c r="BW1475" s="1392" t="n"/>
      <c r="BX1475" s="1392" t="n"/>
      <c r="BY1475" s="1392" t="n"/>
      <c r="BZ1475" s="1392" t="n"/>
      <c r="CA1475" s="1392" t="n"/>
      <c r="CB1475" s="1392" t="n"/>
      <c r="CC1475" s="1392" t="n"/>
      <c r="CD1475" s="1392" t="n"/>
      <c r="CE1475" s="1392" t="n"/>
      <c r="CF1475" s="1392" t="n"/>
      <c r="CG1475" s="1392" t="n"/>
      <c r="CH1475" s="1392" t="n"/>
      <c r="CI1475" s="1392" t="n"/>
      <c r="CJ1475" s="1392" t="n"/>
      <c r="CK1475" s="1392" t="n"/>
      <c r="CL1475" s="1392" t="n"/>
    </row>
    <row r="1476">
      <c r="A1476" s="5" t="inlineStr">
        <is>
          <t>.</t>
        </is>
      </c>
      <c r="B1476" s="5" t="inlineStr">
        <is>
          <t>.</t>
        </is>
      </c>
      <c r="C1476" s="1378">
        <f>IF(raw[[#This Row],[city]]="","-",IF(raw[[#This Row],[city]]="TODAY","-",C1475+1))</f>
        <v/>
      </c>
      <c r="D1476" s="1393" t="inlineStr">
        <is>
          <t>Santiago</t>
        </is>
      </c>
      <c r="E1476" s="1394" t="n">
        <v>43429</v>
      </c>
      <c r="F1476" s="1394" t="n">
        <v>43430</v>
      </c>
      <c r="G1476" s="1393" t="n">
        <v>1</v>
      </c>
      <c r="H1476" s="1393" t="inlineStr">
        <is>
          <t>Nadeau</t>
        </is>
      </c>
      <c r="I1476" s="1393" t="inlineStr">
        <is>
          <t>CS</t>
        </is>
      </c>
      <c r="J1476" s="1393" t="inlineStr">
        <is>
          <t>-</t>
        </is>
      </c>
      <c r="K1476" s="1395">
        <f>IF(raw[[#This Row],[city]]&lt;&gt;"",_xlfn.XLOOKUP($D1476,ccc[city],ccc[prov],"-"),"-")</f>
        <v/>
      </c>
      <c r="L1476" s="1395">
        <f>IF(raw[[#This Row],[city]]&lt;&gt;"",_xlfn.XLOOKUP($D1476,ccc[city],ccc[ctry],"-"),"-")</f>
        <v/>
      </c>
      <c r="M1476" s="1395">
        <f>IF(raw[[#This Row],[city]]&lt;&gt;"",_xlfn.XLOOKUP($D1476,ccc[city],ccc[cont],"-"),"-")</f>
        <v/>
      </c>
      <c r="N1476" s="1396">
        <f>IF(raw[[#This Row],[city]]="","-",IF(raw[[#This Row],[cont]]="B",raw[[#This Row],[cont]],"W"))</f>
        <v/>
      </c>
      <c r="O1476" s="1397">
        <f>IF(raw[[#This Row],[out]]=0,0,IF(raw[[#This Row],[out]]=raw[[#This Row],[in]],0.01,raw[[#This Row],[out]]-raw[[#This Row],[in]]))</f>
        <v/>
      </c>
      <c r="P1476" s="1397">
        <f>IF(raw[[#This Row],[in]]=0,0,MONTH(raw[[#This Row],[in]]))</f>
        <v/>
      </c>
      <c r="Q1476" s="1397">
        <f>IF(raw[[#This Row],[in]]=0,0,YEAR(raw[[#This Row],[in]]))</f>
        <v/>
      </c>
      <c r="R1476" s="1397">
        <f>INT(raw[[#This Row],[yr]]/10)*10</f>
        <v/>
      </c>
      <c r="S1476" s="1395">
        <f>IF(raw[[#This Row],[city]]="","-",IF(raw[[#This Row],[city]]&lt;&gt;_xlfn.XLOOKUP(raw[[#This Row],[home]],homes[home],homes[city],"-"),1,0))</f>
        <v/>
      </c>
      <c r="T1476" s="1398" t="inlineStr">
        <is>
          <t>.</t>
        </is>
      </c>
      <c r="U1476" s="1399">
        <f>IF(raw[[#This Row],[wb]]="w",raw[[#This Row],[stay]]+U1475,U1475)</f>
        <v/>
      </c>
      <c r="V1476" s="1400">
        <f>IF(raw[[#This Row],[out]]=0,V1475,(raw[[#This Row],[out]]-E$5))</f>
        <v/>
      </c>
      <c r="W1476" s="1401">
        <f>U1476/V1476</f>
        <v/>
      </c>
      <c r="X1476" s="1392" t="n"/>
      <c r="Y1476" s="1392" t="n"/>
      <c r="Z1476" s="1392" t="n"/>
      <c r="AA1476" s="1392" t="n"/>
      <c r="AB1476" s="1392" t="n"/>
      <c r="AC1476" s="1392" t="n"/>
      <c r="AD1476" s="1392" t="n"/>
      <c r="AE1476" s="1392" t="n"/>
      <c r="AF1476" s="1392" t="n"/>
      <c r="AG1476" s="1392" t="n"/>
      <c r="AH1476" s="1392" t="n"/>
      <c r="AI1476" s="1392" t="n"/>
      <c r="AJ1476" s="1392" t="n"/>
      <c r="AK1476" s="1392" t="n"/>
      <c r="AL1476" s="1392" t="n"/>
      <c r="AM1476" s="1392" t="n"/>
      <c r="AN1476" s="1392" t="n"/>
      <c r="AO1476" s="1392" t="n"/>
      <c r="AP1476" s="1392" t="n"/>
      <c r="AQ1476" s="1392" t="n"/>
      <c r="AR1476" s="1422" t="n"/>
      <c r="AS1476" s="1422" t="n"/>
      <c r="AT1476" s="1392" t="n"/>
      <c r="AU1476" s="1392" t="n"/>
      <c r="AV1476" s="1392" t="n"/>
      <c r="AW1476" s="1392" t="n"/>
      <c r="AX1476" s="1392" t="n"/>
      <c r="AY1476" s="1392" t="n"/>
      <c r="AZ1476" s="1392" t="n"/>
      <c r="BA1476" s="1422" t="n"/>
      <c r="BB1476" s="1422" t="n"/>
      <c r="BC1476" s="1392" t="n"/>
      <c r="BD1476" s="1392" t="n"/>
      <c r="BE1476" s="1392" t="n"/>
      <c r="BF1476" s="1392" t="n"/>
      <c r="BG1476" s="1392" t="n"/>
      <c r="BH1476" s="1392" t="n"/>
      <c r="BI1476" s="1392" t="n"/>
      <c r="BJ1476" s="1392" t="n"/>
      <c r="BK1476" s="1392" t="n"/>
      <c r="BL1476" s="1392" t="n"/>
      <c r="BM1476" s="1392" t="n"/>
      <c r="BN1476" s="1392" t="n"/>
      <c r="BO1476" s="1392" t="n"/>
      <c r="BP1476" s="1392" t="n"/>
      <c r="BQ1476" s="1392" t="n"/>
      <c r="BR1476" s="1392" t="n"/>
      <c r="BS1476" s="1392" t="n"/>
      <c r="BT1476" s="1392" t="n"/>
      <c r="BU1476" s="1392" t="n"/>
      <c r="BV1476" s="1392" t="n"/>
      <c r="BW1476" s="1392" t="n"/>
      <c r="BX1476" s="1392" t="n"/>
      <c r="BY1476" s="1392" t="n"/>
      <c r="BZ1476" s="1392" t="n"/>
      <c r="CA1476" s="1392" t="n"/>
      <c r="CB1476" s="1392" t="n"/>
      <c r="CC1476" s="1392" t="n"/>
      <c r="CD1476" s="1392" t="n"/>
      <c r="CE1476" s="1392" t="n"/>
      <c r="CF1476" s="1392" t="n"/>
      <c r="CG1476" s="1392" t="n"/>
      <c r="CH1476" s="1392" t="n"/>
      <c r="CI1476" s="1392" t="n"/>
      <c r="CJ1476" s="1392" t="n"/>
      <c r="CK1476" s="1392" t="n"/>
      <c r="CL1476" s="1392" t="n"/>
    </row>
    <row r="1477">
      <c r="A1477" s="5" t="inlineStr">
        <is>
          <t>.</t>
        </is>
      </c>
      <c r="B1477" s="5" t="inlineStr">
        <is>
          <t>.</t>
        </is>
      </c>
      <c r="C1477" s="1378">
        <f>IF(raw[[#This Row],[city]]="","-",IF(raw[[#This Row],[city]]="TODAY","-",C1476+1))</f>
        <v/>
      </c>
      <c r="D1477" s="1393" t="inlineStr">
        <is>
          <t>Barcelona</t>
        </is>
      </c>
      <c r="E1477" s="1394" t="n">
        <v>43430</v>
      </c>
      <c r="F1477" s="1394" t="n">
        <v>43433</v>
      </c>
      <c r="G1477" s="1393" t="n">
        <v>1</v>
      </c>
      <c r="H1477" s="1393" t="inlineStr">
        <is>
          <t>Nadeau</t>
        </is>
      </c>
      <c r="I1477" s="1393" t="inlineStr">
        <is>
          <t>Porciuncula/BCN</t>
        </is>
      </c>
      <c r="J1477" s="1393" t="inlineStr">
        <is>
          <t>-</t>
        </is>
      </c>
      <c r="K1477" s="1395">
        <f>IF(raw[[#This Row],[city]]&lt;&gt;"",_xlfn.XLOOKUP($D1477,ccc[city],ccc[prov],"-"),"-")</f>
        <v/>
      </c>
      <c r="L1477" s="1395">
        <f>IF(raw[[#This Row],[city]]&lt;&gt;"",_xlfn.XLOOKUP($D1477,ccc[city],ccc[ctry],"-"),"-")</f>
        <v/>
      </c>
      <c r="M1477" s="1395">
        <f>IF(raw[[#This Row],[city]]&lt;&gt;"",_xlfn.XLOOKUP($D1477,ccc[city],ccc[cont],"-"),"-")</f>
        <v/>
      </c>
      <c r="N1477" s="1396">
        <f>IF(raw[[#This Row],[city]]="","-",IF(raw[[#This Row],[cont]]="B",raw[[#This Row],[cont]],"W"))</f>
        <v/>
      </c>
      <c r="O1477" s="1397">
        <f>IF(raw[[#This Row],[out]]=0,0,IF(raw[[#This Row],[out]]=raw[[#This Row],[in]],0.01,raw[[#This Row],[out]]-raw[[#This Row],[in]]))</f>
        <v/>
      </c>
      <c r="P1477" s="1397">
        <f>IF(raw[[#This Row],[in]]=0,0,MONTH(raw[[#This Row],[in]]))</f>
        <v/>
      </c>
      <c r="Q1477" s="1397">
        <f>IF(raw[[#This Row],[in]]=0,0,YEAR(raw[[#This Row],[in]]))</f>
        <v/>
      </c>
      <c r="R1477" s="1397">
        <f>INT(raw[[#This Row],[yr]]/10)*10</f>
        <v/>
      </c>
      <c r="S1477" s="1395">
        <f>IF(raw[[#This Row],[city]]="","-",IF(raw[[#This Row],[city]]&lt;&gt;_xlfn.XLOOKUP(raw[[#This Row],[home]],homes[home],homes[city],"-"),1,0))</f>
        <v/>
      </c>
      <c r="T1477" s="1398" t="inlineStr">
        <is>
          <t>.</t>
        </is>
      </c>
      <c r="U1477" s="1399">
        <f>IF(raw[[#This Row],[wb]]="w",raw[[#This Row],[stay]]+U1476,U1476)</f>
        <v/>
      </c>
      <c r="V1477" s="1400">
        <f>IF(raw[[#This Row],[out]]=0,V1476,(raw[[#This Row],[out]]-E$5))</f>
        <v/>
      </c>
      <c r="W1477" s="1401">
        <f>U1477/V1477</f>
        <v/>
      </c>
      <c r="X1477" s="1392" t="n"/>
      <c r="Y1477" s="1392" t="n"/>
      <c r="Z1477" s="1392" t="n"/>
      <c r="AA1477" s="1392" t="n"/>
      <c r="AB1477" s="1392" t="n"/>
      <c r="AC1477" s="1392" t="n"/>
      <c r="AD1477" s="1392" t="n"/>
      <c r="AE1477" s="1392" t="n"/>
      <c r="AF1477" s="1392" t="n"/>
      <c r="AG1477" s="1392" t="n"/>
      <c r="AH1477" s="1392" t="n"/>
      <c r="AI1477" s="1392" t="n"/>
      <c r="AJ1477" s="1392" t="n"/>
      <c r="AK1477" s="1392" t="n"/>
      <c r="AL1477" s="1392" t="n"/>
      <c r="AM1477" s="1392" t="n"/>
      <c r="AN1477" s="1392" t="n"/>
      <c r="AO1477" s="1392" t="n"/>
      <c r="AP1477" s="1392" t="n"/>
      <c r="AQ1477" s="1392" t="n"/>
      <c r="AR1477" s="1422" t="n"/>
      <c r="AS1477" s="1422" t="n"/>
      <c r="AT1477" s="1392" t="n"/>
      <c r="AU1477" s="1392" t="n"/>
      <c r="AV1477" s="1392" t="n"/>
      <c r="AW1477" s="1392" t="n"/>
      <c r="AX1477" s="1392" t="n"/>
      <c r="AY1477" s="1392" t="n"/>
      <c r="AZ1477" s="1392" t="n"/>
      <c r="BA1477" s="1422" t="n"/>
      <c r="BB1477" s="1422" t="n"/>
      <c r="BC1477" s="1392" t="n"/>
      <c r="BD1477" s="1392" t="n"/>
      <c r="BE1477" s="1392" t="n"/>
      <c r="BF1477" s="1392" t="n"/>
      <c r="BG1477" s="1392" t="n"/>
      <c r="BH1477" s="1392" t="n"/>
      <c r="BI1477" s="1392" t="n"/>
      <c r="BJ1477" s="1392" t="n"/>
      <c r="BK1477" s="1392" t="n"/>
      <c r="BL1477" s="1392" t="n"/>
      <c r="BM1477" s="1392" t="n"/>
      <c r="BN1477" s="1392" t="n"/>
      <c r="BO1477" s="1392" t="n"/>
      <c r="BP1477" s="1392" t="n"/>
      <c r="BQ1477" s="1392" t="n"/>
      <c r="BR1477" s="1392" t="n"/>
      <c r="BS1477" s="1392" t="n"/>
      <c r="BT1477" s="1392" t="n"/>
      <c r="BU1477" s="1392" t="n"/>
      <c r="BV1477" s="1392" t="n"/>
      <c r="BW1477" s="1392" t="n"/>
      <c r="BX1477" s="1392" t="n"/>
      <c r="BY1477" s="1392" t="n"/>
      <c r="BZ1477" s="1392" t="n"/>
      <c r="CA1477" s="1392" t="n"/>
      <c r="CB1477" s="1392" t="n"/>
      <c r="CC1477" s="1392" t="n"/>
      <c r="CD1477" s="1392" t="n"/>
      <c r="CE1477" s="1392" t="n"/>
      <c r="CF1477" s="1392" t="n"/>
      <c r="CG1477" s="1392" t="n"/>
      <c r="CH1477" s="1392" t="n"/>
      <c r="CI1477" s="1392" t="n"/>
      <c r="CJ1477" s="1392" t="n"/>
      <c r="CK1477" s="1392" t="n"/>
      <c r="CL1477" s="1392" t="n"/>
    </row>
    <row r="1478">
      <c r="A1478" s="5" t="inlineStr">
        <is>
          <t>.</t>
        </is>
      </c>
      <c r="B1478" s="5" t="inlineStr">
        <is>
          <t>.</t>
        </is>
      </c>
      <c r="C1478" s="1378">
        <f>IF(raw[[#This Row],[city]]="","-",IF(raw[[#This Row],[city]]="TODAY","-",C1477+1))</f>
        <v/>
      </c>
      <c r="D1478" s="1393" t="inlineStr">
        <is>
          <t>Porto</t>
        </is>
      </c>
      <c r="E1478" s="1394" t="n">
        <v>43433</v>
      </c>
      <c r="F1478" s="1394" t="n">
        <v>43433</v>
      </c>
      <c r="G1478" s="1393" t="n">
        <v>0.01</v>
      </c>
      <c r="H1478" s="1393" t="inlineStr">
        <is>
          <t>Nadeau</t>
        </is>
      </c>
      <c r="I1478" s="1393" t="inlineStr">
        <is>
          <t>-</t>
        </is>
      </c>
      <c r="J1478" s="1393" t="inlineStr">
        <is>
          <t>-</t>
        </is>
      </c>
      <c r="K1478" s="1395">
        <f>IF(raw[[#This Row],[city]]&lt;&gt;"",_xlfn.XLOOKUP($D1478,ccc[city],ccc[prov],"-"),"-")</f>
        <v/>
      </c>
      <c r="L1478" s="1395">
        <f>IF(raw[[#This Row],[city]]&lt;&gt;"",_xlfn.XLOOKUP($D1478,ccc[city],ccc[ctry],"-"),"-")</f>
        <v/>
      </c>
      <c r="M1478" s="1395">
        <f>IF(raw[[#This Row],[city]]&lt;&gt;"",_xlfn.XLOOKUP($D1478,ccc[city],ccc[cont],"-"),"-")</f>
        <v/>
      </c>
      <c r="N1478" s="1396">
        <f>IF(raw[[#This Row],[city]]="","-",IF(raw[[#This Row],[cont]]="B",raw[[#This Row],[cont]],"W"))</f>
        <v/>
      </c>
      <c r="O1478" s="1397">
        <f>IF(raw[[#This Row],[out]]=0,0,IF(raw[[#This Row],[out]]=raw[[#This Row],[in]],0.01,raw[[#This Row],[out]]-raw[[#This Row],[in]]))</f>
        <v/>
      </c>
      <c r="P1478" s="1397">
        <f>IF(raw[[#This Row],[in]]=0,0,MONTH(raw[[#This Row],[in]]))</f>
        <v/>
      </c>
      <c r="Q1478" s="1397">
        <f>IF(raw[[#This Row],[in]]=0,0,YEAR(raw[[#This Row],[in]]))</f>
        <v/>
      </c>
      <c r="R1478" s="1397">
        <f>INT(raw[[#This Row],[yr]]/10)*10</f>
        <v/>
      </c>
      <c r="S1478" s="1395">
        <f>IF(raw[[#This Row],[city]]="","-",IF(raw[[#This Row],[city]]&lt;&gt;_xlfn.XLOOKUP(raw[[#This Row],[home]],homes[home],homes[city],"-"),1,0))</f>
        <v/>
      </c>
      <c r="T1478" s="1398" t="inlineStr">
        <is>
          <t>.</t>
        </is>
      </c>
      <c r="U1478" s="1399">
        <f>IF(raw[[#This Row],[wb]]="w",raw[[#This Row],[stay]]+U1477,U1477)</f>
        <v/>
      </c>
      <c r="V1478" s="1400">
        <f>IF(raw[[#This Row],[out]]=0,V1477,(raw[[#This Row],[out]]-E$5))</f>
        <v/>
      </c>
      <c r="W1478" s="1401">
        <f>U1478/V1478</f>
        <v/>
      </c>
      <c r="X1478" s="1392" t="n"/>
      <c r="Y1478" s="1392" t="n"/>
      <c r="Z1478" s="1392" t="n"/>
      <c r="AA1478" s="1392" t="n"/>
      <c r="AB1478" s="1392" t="n"/>
      <c r="AC1478" s="1392" t="n"/>
      <c r="AD1478" s="1392" t="n"/>
      <c r="AE1478" s="1392" t="n"/>
      <c r="AF1478" s="1392" t="n"/>
      <c r="AG1478" s="1392" t="n"/>
      <c r="AH1478" s="1392" t="n"/>
      <c r="AI1478" s="1392" t="n"/>
      <c r="AJ1478" s="1392" t="n"/>
      <c r="AK1478" s="1392" t="n"/>
      <c r="AL1478" s="1392" t="n"/>
      <c r="AM1478" s="1392" t="n"/>
      <c r="AN1478" s="1392" t="n"/>
      <c r="AO1478" s="1392" t="n"/>
      <c r="AP1478" s="1392" t="n"/>
      <c r="AQ1478" s="1392" t="n"/>
      <c r="AR1478" s="1422" t="n"/>
      <c r="AS1478" s="1422" t="n"/>
      <c r="AT1478" s="1392" t="n"/>
      <c r="AU1478" s="1392" t="n"/>
      <c r="AV1478" s="1392" t="n"/>
      <c r="AW1478" s="1392" t="n"/>
      <c r="AX1478" s="1392" t="n"/>
      <c r="AY1478" s="1392" t="n"/>
      <c r="AZ1478" s="1392" t="n"/>
      <c r="BA1478" s="1422" t="n"/>
      <c r="BB1478" s="1422" t="n"/>
      <c r="BC1478" s="1392" t="n"/>
      <c r="BD1478" s="1392" t="n"/>
      <c r="BE1478" s="1392" t="n"/>
      <c r="BF1478" s="1392" t="n"/>
      <c r="BG1478" s="1392" t="n"/>
      <c r="BH1478" s="1392" t="n"/>
      <c r="BI1478" s="1392" t="n"/>
      <c r="BJ1478" s="1392" t="n"/>
      <c r="BK1478" s="1392" t="n"/>
      <c r="BL1478" s="1392" t="n"/>
      <c r="BM1478" s="1392" t="n"/>
      <c r="BN1478" s="1392" t="n"/>
      <c r="BO1478" s="1392" t="n"/>
      <c r="BP1478" s="1392" t="n"/>
      <c r="BQ1478" s="1392" t="n"/>
      <c r="BR1478" s="1392" t="n"/>
      <c r="BS1478" s="1392" t="n"/>
      <c r="BT1478" s="1392" t="n"/>
      <c r="BU1478" s="1392" t="n"/>
      <c r="BV1478" s="1392" t="n"/>
      <c r="BW1478" s="1392" t="n"/>
      <c r="BX1478" s="1392" t="n"/>
      <c r="BY1478" s="1392" t="n"/>
      <c r="BZ1478" s="1392" t="n"/>
      <c r="CA1478" s="1392" t="n"/>
      <c r="CB1478" s="1392" t="n"/>
      <c r="CC1478" s="1392" t="n"/>
      <c r="CD1478" s="1392" t="n"/>
      <c r="CE1478" s="1392" t="n"/>
      <c r="CF1478" s="1392" t="n"/>
      <c r="CG1478" s="1392" t="n"/>
      <c r="CH1478" s="1392" t="n"/>
      <c r="CI1478" s="1392" t="n"/>
      <c r="CJ1478" s="1392" t="n"/>
      <c r="CK1478" s="1392" t="n"/>
      <c r="CL1478" s="1392" t="n"/>
    </row>
    <row r="1479">
      <c r="A1479" s="5" t="inlineStr">
        <is>
          <t>.</t>
        </is>
      </c>
      <c r="B1479" s="5" t="inlineStr">
        <is>
          <t>.</t>
        </is>
      </c>
      <c r="C1479" s="1378">
        <f>IF(raw[[#This Row],[city]]="","-",IF(raw[[#This Row],[city]]="TODAY","-",C1478+1))</f>
        <v/>
      </c>
      <c r="D1479" s="1393" t="inlineStr">
        <is>
          <t>Lisbon</t>
        </is>
      </c>
      <c r="E1479" s="1394" t="n">
        <v>43433</v>
      </c>
      <c r="F1479" s="1394" t="n">
        <v>43434</v>
      </c>
      <c r="G1479" s="1393" t="n">
        <v>1</v>
      </c>
      <c r="H1479" s="1393" t="inlineStr">
        <is>
          <t>Nadeau</t>
        </is>
      </c>
      <c r="I1479" s="1393" t="inlineStr">
        <is>
          <t>-</t>
        </is>
      </c>
      <c r="J1479" s="1393" t="inlineStr">
        <is>
          <t>-</t>
        </is>
      </c>
      <c r="K1479" s="1395">
        <f>IF(raw[[#This Row],[city]]&lt;&gt;"",_xlfn.XLOOKUP($D1479,ccc[city],ccc[prov],"-"),"-")</f>
        <v/>
      </c>
      <c r="L1479" s="1395">
        <f>IF(raw[[#This Row],[city]]&lt;&gt;"",_xlfn.XLOOKUP($D1479,ccc[city],ccc[ctry],"-"),"-")</f>
        <v/>
      </c>
      <c r="M1479" s="1395">
        <f>IF(raw[[#This Row],[city]]&lt;&gt;"",_xlfn.XLOOKUP($D1479,ccc[city],ccc[cont],"-"),"-")</f>
        <v/>
      </c>
      <c r="N1479" s="1396">
        <f>IF(raw[[#This Row],[city]]="","-",IF(raw[[#This Row],[cont]]="B",raw[[#This Row],[cont]],"W"))</f>
        <v/>
      </c>
      <c r="O1479" s="1397">
        <f>IF(raw[[#This Row],[out]]=0,0,IF(raw[[#This Row],[out]]=raw[[#This Row],[in]],0.01,raw[[#This Row],[out]]-raw[[#This Row],[in]]))</f>
        <v/>
      </c>
      <c r="P1479" s="1397">
        <f>IF(raw[[#This Row],[in]]=0,0,MONTH(raw[[#This Row],[in]]))</f>
        <v/>
      </c>
      <c r="Q1479" s="1397">
        <f>IF(raw[[#This Row],[in]]=0,0,YEAR(raw[[#This Row],[in]]))</f>
        <v/>
      </c>
      <c r="R1479" s="1397">
        <f>INT(raw[[#This Row],[yr]]/10)*10</f>
        <v/>
      </c>
      <c r="S1479" s="1395">
        <f>IF(raw[[#This Row],[city]]="","-",IF(raw[[#This Row],[city]]&lt;&gt;_xlfn.XLOOKUP(raw[[#This Row],[home]],homes[home],homes[city],"-"),1,0))</f>
        <v/>
      </c>
      <c r="T1479" s="1398" t="inlineStr">
        <is>
          <t>.</t>
        </is>
      </c>
      <c r="U1479" s="1399">
        <f>IF(raw[[#This Row],[wb]]="w",raw[[#This Row],[stay]]+U1478,U1478)</f>
        <v/>
      </c>
      <c r="V1479" s="1400">
        <f>IF(raw[[#This Row],[out]]=0,V1478,(raw[[#This Row],[out]]-E$5))</f>
        <v/>
      </c>
      <c r="W1479" s="1401">
        <f>U1479/V1479</f>
        <v/>
      </c>
      <c r="X1479" s="1392" t="n"/>
      <c r="Y1479" s="1392" t="n"/>
      <c r="Z1479" s="1392" t="n"/>
      <c r="AA1479" s="1392" t="n"/>
      <c r="AB1479" s="1392" t="n"/>
      <c r="AC1479" s="1392" t="n"/>
      <c r="AD1479" s="1392" t="n"/>
      <c r="AE1479" s="1392" t="n"/>
      <c r="AF1479" s="1392" t="n"/>
      <c r="AG1479" s="1392" t="n"/>
      <c r="AH1479" s="1392" t="n"/>
      <c r="AI1479" s="1392" t="n"/>
      <c r="AJ1479" s="1392" t="n"/>
      <c r="AK1479" s="1392" t="n"/>
      <c r="AL1479" s="1392" t="n"/>
      <c r="AM1479" s="1392" t="n"/>
      <c r="AN1479" s="1392" t="n"/>
      <c r="AO1479" s="1392" t="n"/>
      <c r="AP1479" s="1392" t="n"/>
      <c r="AQ1479" s="1392" t="n"/>
      <c r="AR1479" s="1422" t="n"/>
      <c r="AS1479" s="1422" t="n"/>
      <c r="AT1479" s="1392" t="n"/>
      <c r="AU1479" s="1392" t="n"/>
      <c r="AV1479" s="1392" t="n"/>
      <c r="AW1479" s="1392" t="n"/>
      <c r="AX1479" s="1392" t="n"/>
      <c r="AY1479" s="1392" t="n"/>
      <c r="AZ1479" s="1392" t="n"/>
      <c r="BA1479" s="1422" t="n"/>
      <c r="BB1479" s="1422" t="n"/>
      <c r="BC1479" s="1392" t="n"/>
      <c r="BD1479" s="1392" t="n"/>
      <c r="BE1479" s="1392" t="n"/>
      <c r="BF1479" s="1392" t="n"/>
      <c r="BG1479" s="1392" t="n"/>
      <c r="BH1479" s="1392" t="n"/>
      <c r="BI1479" s="1392" t="n"/>
      <c r="BJ1479" s="1392" t="n"/>
      <c r="BK1479" s="1392" t="n"/>
      <c r="BL1479" s="1392" t="n"/>
      <c r="BM1479" s="1392" t="n"/>
      <c r="BN1479" s="1392" t="n"/>
      <c r="BO1479" s="1392" t="n"/>
      <c r="BP1479" s="1392" t="n"/>
      <c r="BQ1479" s="1392" t="n"/>
      <c r="BR1479" s="1392" t="n"/>
      <c r="BS1479" s="1392" t="n"/>
      <c r="BT1479" s="1392" t="n"/>
      <c r="BU1479" s="1392" t="n"/>
      <c r="BV1479" s="1392" t="n"/>
      <c r="BW1479" s="1392" t="n"/>
      <c r="BX1479" s="1392" t="n"/>
      <c r="BY1479" s="1392" t="n"/>
      <c r="BZ1479" s="1392" t="n"/>
      <c r="CA1479" s="1392" t="n"/>
      <c r="CB1479" s="1392" t="n"/>
      <c r="CC1479" s="1392" t="n"/>
      <c r="CD1479" s="1392" t="n"/>
      <c r="CE1479" s="1392" t="n"/>
      <c r="CF1479" s="1392" t="n"/>
      <c r="CG1479" s="1392" t="n"/>
      <c r="CH1479" s="1392" t="n"/>
      <c r="CI1479" s="1392" t="n"/>
      <c r="CJ1479" s="1392" t="n"/>
      <c r="CK1479" s="1392" t="n"/>
      <c r="CL1479" s="1392" t="n"/>
    </row>
    <row r="1480">
      <c r="A1480" s="5" t="inlineStr">
        <is>
          <t>.</t>
        </is>
      </c>
      <c r="B1480" s="5" t="inlineStr">
        <is>
          <t>.</t>
        </is>
      </c>
      <c r="C1480" s="1378">
        <f>IF(raw[[#This Row],[city]]="","-",IF(raw[[#This Row],[city]]="TODAY","-",C1479+1))</f>
        <v/>
      </c>
      <c r="D1480" s="1393" t="inlineStr">
        <is>
          <t>Toronto</t>
        </is>
      </c>
      <c r="E1480" s="1394" t="n">
        <v>43434</v>
      </c>
      <c r="F1480" s="1394" t="n">
        <v>43434</v>
      </c>
      <c r="G1480" s="1393" t="n">
        <v>0.01</v>
      </c>
      <c r="H1480" s="1393" t="inlineStr">
        <is>
          <t>Nadeau</t>
        </is>
      </c>
      <c r="I1480" s="1393" t="inlineStr">
        <is>
          <t>-</t>
        </is>
      </c>
      <c r="J1480" s="1393" t="inlineStr">
        <is>
          <t>-</t>
        </is>
      </c>
      <c r="K1480" s="1395">
        <f>IF(raw[[#This Row],[city]]&lt;&gt;"",_xlfn.XLOOKUP($D1480,ccc[city],ccc[prov],"-"),"-")</f>
        <v/>
      </c>
      <c r="L1480" s="1395">
        <f>IF(raw[[#This Row],[city]]&lt;&gt;"",_xlfn.XLOOKUP($D1480,ccc[city],ccc[ctry],"-"),"-")</f>
        <v/>
      </c>
      <c r="M1480" s="1395">
        <f>IF(raw[[#This Row],[city]]&lt;&gt;"",_xlfn.XLOOKUP($D1480,ccc[city],ccc[cont],"-"),"-")</f>
        <v/>
      </c>
      <c r="N1480" s="1396">
        <f>IF(raw[[#This Row],[city]]="","-",IF(raw[[#This Row],[cont]]="B",raw[[#This Row],[cont]],"W"))</f>
        <v/>
      </c>
      <c r="O1480" s="1397">
        <f>IF(raw[[#This Row],[out]]=0,0,IF(raw[[#This Row],[out]]=raw[[#This Row],[in]],0.01,raw[[#This Row],[out]]-raw[[#This Row],[in]]))</f>
        <v/>
      </c>
      <c r="P1480" s="1397">
        <f>IF(raw[[#This Row],[in]]=0,0,MONTH(raw[[#This Row],[in]]))</f>
        <v/>
      </c>
      <c r="Q1480" s="1397">
        <f>IF(raw[[#This Row],[in]]=0,0,YEAR(raw[[#This Row],[in]]))</f>
        <v/>
      </c>
      <c r="R1480" s="1397">
        <f>INT(raw[[#This Row],[yr]]/10)*10</f>
        <v/>
      </c>
      <c r="S1480" s="1395">
        <f>IF(raw[[#This Row],[city]]="","-",IF(raw[[#This Row],[city]]&lt;&gt;_xlfn.XLOOKUP(raw[[#This Row],[home]],homes[home],homes[city],"-"),1,0))</f>
        <v/>
      </c>
      <c r="T1480" s="1398" t="inlineStr">
        <is>
          <t>.</t>
        </is>
      </c>
      <c r="U1480" s="1399">
        <f>IF(raw[[#This Row],[wb]]="w",raw[[#This Row],[stay]]+U1479,U1479)</f>
        <v/>
      </c>
      <c r="V1480" s="1400">
        <f>IF(raw[[#This Row],[out]]=0,V1479,(raw[[#This Row],[out]]-E$5))</f>
        <v/>
      </c>
      <c r="W1480" s="1401">
        <f>U1480/V1480</f>
        <v/>
      </c>
      <c r="X1480" s="1392" t="n"/>
      <c r="Y1480" s="1392" t="n"/>
      <c r="Z1480" s="1392" t="n"/>
      <c r="AA1480" s="1392" t="n"/>
      <c r="AB1480" s="1392" t="n"/>
      <c r="AC1480" s="1392" t="n"/>
      <c r="AD1480" s="1392" t="n"/>
      <c r="AE1480" s="1392" t="n"/>
      <c r="AF1480" s="1392" t="n"/>
      <c r="AG1480" s="1392" t="n"/>
      <c r="AH1480" s="1392" t="n"/>
      <c r="AI1480" s="1392" t="n"/>
      <c r="AJ1480" s="1392" t="n"/>
      <c r="AK1480" s="1392" t="n"/>
      <c r="AL1480" s="1392" t="n"/>
      <c r="AM1480" s="1392" t="n"/>
      <c r="AN1480" s="1392" t="n"/>
      <c r="AO1480" s="1392" t="n"/>
      <c r="AP1480" s="1392" t="n"/>
      <c r="AQ1480" s="1392" t="n"/>
      <c r="AR1480" s="1422" t="n"/>
      <c r="AS1480" s="1422" t="n"/>
      <c r="AT1480" s="1392" t="n"/>
      <c r="AU1480" s="1392" t="n"/>
      <c r="AV1480" s="1392" t="n"/>
      <c r="AW1480" s="1392" t="n"/>
      <c r="AX1480" s="1392" t="n"/>
      <c r="AY1480" s="1392" t="n"/>
      <c r="AZ1480" s="1392" t="n"/>
      <c r="BA1480" s="1422" t="n"/>
      <c r="BB1480" s="1422" t="n"/>
      <c r="BC1480" s="1392" t="n"/>
      <c r="BD1480" s="1392" t="n"/>
      <c r="BE1480" s="1392" t="n"/>
      <c r="BF1480" s="1392" t="n"/>
      <c r="BG1480" s="1392" t="n"/>
      <c r="BH1480" s="1392" t="n"/>
      <c r="BI1480" s="1392" t="n"/>
      <c r="BJ1480" s="1392" t="n"/>
      <c r="BK1480" s="1392" t="n"/>
      <c r="BL1480" s="1392" t="n"/>
      <c r="BM1480" s="1392" t="n"/>
      <c r="BN1480" s="1392" t="n"/>
      <c r="BO1480" s="1392" t="n"/>
      <c r="BP1480" s="1392" t="n"/>
      <c r="BQ1480" s="1392" t="n"/>
      <c r="BR1480" s="1392" t="n"/>
      <c r="BS1480" s="1392" t="n"/>
      <c r="BT1480" s="1392" t="n"/>
      <c r="BU1480" s="1392" t="n"/>
      <c r="BV1480" s="1392" t="n"/>
      <c r="BW1480" s="1392" t="n"/>
      <c r="BX1480" s="1392" t="n"/>
      <c r="BY1480" s="1392" t="n"/>
      <c r="BZ1480" s="1392" t="n"/>
      <c r="CA1480" s="1392" t="n"/>
      <c r="CB1480" s="1392" t="n"/>
      <c r="CC1480" s="1392" t="n"/>
      <c r="CD1480" s="1392" t="n"/>
      <c r="CE1480" s="1392" t="n"/>
      <c r="CF1480" s="1392" t="n"/>
      <c r="CG1480" s="1392" t="n"/>
      <c r="CH1480" s="1392" t="n"/>
      <c r="CI1480" s="1392" t="n"/>
      <c r="CJ1480" s="1392" t="n"/>
      <c r="CK1480" s="1392" t="n"/>
      <c r="CL1480" s="1392" t="n"/>
    </row>
    <row r="1481">
      <c r="A1481" s="5" t="inlineStr">
        <is>
          <t>.</t>
        </is>
      </c>
      <c r="B1481" s="5" t="inlineStr">
        <is>
          <t>.</t>
        </is>
      </c>
      <c r="C1481" s="1378">
        <f>IF(raw[[#This Row],[city]]="","-",IF(raw[[#This Row],[city]]="TODAY","-",C1480+1))</f>
        <v/>
      </c>
      <c r="D1481" s="1393" t="inlineStr">
        <is>
          <t>Montreal</t>
        </is>
      </c>
      <c r="E1481" s="1394" t="n">
        <v>43434</v>
      </c>
      <c r="F1481" s="1394" t="n">
        <v>43435</v>
      </c>
      <c r="G1481" s="1393" t="inlineStr">
        <is>
          <t>-</t>
        </is>
      </c>
      <c r="H1481" s="1393" t="inlineStr">
        <is>
          <t>Nadeau</t>
        </is>
      </c>
      <c r="I1481" s="1393" t="inlineStr">
        <is>
          <t>-</t>
        </is>
      </c>
      <c r="J1481" s="1393" t="inlineStr">
        <is>
          <t>-</t>
        </is>
      </c>
      <c r="K1481" s="1395">
        <f>IF(raw[[#This Row],[city]]&lt;&gt;"",_xlfn.XLOOKUP($D1481,ccc[city],ccc[prov],"-"),"-")</f>
        <v/>
      </c>
      <c r="L1481" s="1395">
        <f>IF(raw[[#This Row],[city]]&lt;&gt;"",_xlfn.XLOOKUP($D1481,ccc[city],ccc[ctry],"-"),"-")</f>
        <v/>
      </c>
      <c r="M1481" s="1395">
        <f>IF(raw[[#This Row],[city]]&lt;&gt;"",_xlfn.XLOOKUP($D1481,ccc[city],ccc[cont],"-"),"-")</f>
        <v/>
      </c>
      <c r="N1481" s="1396">
        <f>IF(raw[[#This Row],[city]]="","-",IF(raw[[#This Row],[cont]]="B",raw[[#This Row],[cont]],"W"))</f>
        <v/>
      </c>
      <c r="O1481" s="1397">
        <f>IF(raw[[#This Row],[out]]=0,0,IF(raw[[#This Row],[out]]=raw[[#This Row],[in]],0.01,raw[[#This Row],[out]]-raw[[#This Row],[in]]))</f>
        <v/>
      </c>
      <c r="P1481" s="1397">
        <f>IF(raw[[#This Row],[in]]=0,0,MONTH(raw[[#This Row],[in]]))</f>
        <v/>
      </c>
      <c r="Q1481" s="1397">
        <f>IF(raw[[#This Row],[in]]=0,0,YEAR(raw[[#This Row],[in]]))</f>
        <v/>
      </c>
      <c r="R1481" s="1397">
        <f>INT(raw[[#This Row],[yr]]/10)*10</f>
        <v/>
      </c>
      <c r="S1481" s="1395">
        <f>IF(raw[[#This Row],[city]]="","-",IF(raw[[#This Row],[city]]&lt;&gt;_xlfn.XLOOKUP(raw[[#This Row],[home]],homes[home],homes[city],"-"),1,0))</f>
        <v/>
      </c>
      <c r="T1481" s="1398" t="inlineStr">
        <is>
          <t>.</t>
        </is>
      </c>
      <c r="U1481" s="1399">
        <f>IF(raw[[#This Row],[wb]]="w",raw[[#This Row],[stay]]+U1480,U1480)</f>
        <v/>
      </c>
      <c r="V1481" s="1400">
        <f>IF(raw[[#This Row],[out]]=0,V1480,(raw[[#This Row],[out]]-E$5))</f>
        <v/>
      </c>
      <c r="W1481" s="1401">
        <f>U1481/V1481</f>
        <v/>
      </c>
      <c r="X1481" s="1392" t="n"/>
      <c r="Y1481" s="1392" t="n"/>
      <c r="Z1481" s="1392" t="n"/>
      <c r="AA1481" s="1392" t="n"/>
      <c r="AB1481" s="1392" t="n"/>
      <c r="AC1481" s="1392" t="n"/>
      <c r="AD1481" s="1392" t="n"/>
      <c r="AE1481" s="1392" t="n"/>
      <c r="AF1481" s="1392" t="n"/>
      <c r="AG1481" s="1392" t="n"/>
      <c r="AH1481" s="1392" t="n"/>
      <c r="AI1481" s="1392" t="n"/>
      <c r="AJ1481" s="1392" t="n"/>
      <c r="AK1481" s="1392" t="n"/>
      <c r="AL1481" s="1392" t="n"/>
      <c r="AM1481" s="1392" t="n"/>
      <c r="AN1481" s="1392" t="n"/>
      <c r="AO1481" s="1392" t="n"/>
      <c r="AP1481" s="1392" t="n"/>
      <c r="AQ1481" s="1392" t="n"/>
      <c r="AR1481" s="1422" t="n"/>
      <c r="AS1481" s="1422" t="n"/>
      <c r="AT1481" s="1392" t="n"/>
      <c r="AU1481" s="1392" t="n"/>
      <c r="AV1481" s="1392" t="n"/>
      <c r="AW1481" s="1392" t="n"/>
      <c r="AX1481" s="1392" t="n"/>
      <c r="AY1481" s="1392" t="n"/>
      <c r="AZ1481" s="1392" t="n"/>
      <c r="BA1481" s="1422" t="n"/>
      <c r="BB1481" s="1422" t="n"/>
      <c r="BC1481" s="1392" t="n"/>
      <c r="BD1481" s="1392" t="n"/>
      <c r="BE1481" s="1392" t="n"/>
      <c r="BF1481" s="1392" t="n"/>
      <c r="BG1481" s="1392" t="n"/>
      <c r="BH1481" s="1392" t="n"/>
      <c r="BI1481" s="1392" t="n"/>
      <c r="BJ1481" s="1392" t="n"/>
      <c r="BK1481" s="1392" t="n"/>
      <c r="BL1481" s="1392" t="n"/>
      <c r="BM1481" s="1392" t="n"/>
      <c r="BN1481" s="1392" t="n"/>
      <c r="BO1481" s="1392" t="n"/>
      <c r="BP1481" s="1392" t="n"/>
      <c r="BQ1481" s="1392" t="n"/>
      <c r="BR1481" s="1392" t="n"/>
      <c r="BS1481" s="1392" t="n"/>
      <c r="BT1481" s="1392" t="n"/>
      <c r="BU1481" s="1392" t="n"/>
      <c r="BV1481" s="1392" t="n"/>
      <c r="BW1481" s="1392" t="n"/>
      <c r="BX1481" s="1392" t="n"/>
      <c r="BY1481" s="1392" t="n"/>
      <c r="BZ1481" s="1392" t="n"/>
      <c r="CA1481" s="1392" t="n"/>
      <c r="CB1481" s="1392" t="n"/>
      <c r="CC1481" s="1392" t="n"/>
      <c r="CD1481" s="1392" t="n"/>
      <c r="CE1481" s="1392" t="n"/>
      <c r="CF1481" s="1392" t="n"/>
      <c r="CG1481" s="1392" t="n"/>
      <c r="CH1481" s="1392" t="n"/>
      <c r="CI1481" s="1392" t="n"/>
      <c r="CJ1481" s="1392" t="n"/>
      <c r="CK1481" s="1392" t="n"/>
      <c r="CL1481" s="1392" t="n"/>
    </row>
    <row r="1482">
      <c r="A1482" s="5" t="inlineStr">
        <is>
          <t>.</t>
        </is>
      </c>
      <c r="B1482" s="5" t="inlineStr">
        <is>
          <t>.</t>
        </is>
      </c>
      <c r="C1482" s="1378">
        <f>IF(raw[[#This Row],[city]]="","-",IF(raw[[#This Row],[city]]="TODAY","-",C1481+1))</f>
        <v/>
      </c>
      <c r="D1482" s="1393" t="inlineStr">
        <is>
          <t>Montreal</t>
        </is>
      </c>
      <c r="E1482" s="1394" t="n">
        <v>43435</v>
      </c>
      <c r="F1482" s="1394" t="n">
        <v>43466</v>
      </c>
      <c r="G1482" s="1393" t="inlineStr">
        <is>
          <t>-</t>
        </is>
      </c>
      <c r="H1482" s="1393" t="inlineStr">
        <is>
          <t>Nadeau</t>
        </is>
      </c>
      <c r="I1482" s="1393" t="inlineStr">
        <is>
          <t>-</t>
        </is>
      </c>
      <c r="J1482" s="1393" t="inlineStr">
        <is>
          <t>-</t>
        </is>
      </c>
      <c r="K1482" s="1395">
        <f>IF(raw[[#This Row],[city]]&lt;&gt;"",_xlfn.XLOOKUP($D1482,ccc[city],ccc[prov],"-"),"-")</f>
        <v/>
      </c>
      <c r="L1482" s="1395">
        <f>IF(raw[[#This Row],[city]]&lt;&gt;"",_xlfn.XLOOKUP($D1482,ccc[city],ccc[ctry],"-"),"-")</f>
        <v/>
      </c>
      <c r="M1482" s="1395">
        <f>IF(raw[[#This Row],[city]]&lt;&gt;"",_xlfn.XLOOKUP($D1482,ccc[city],ccc[cont],"-"),"-")</f>
        <v/>
      </c>
      <c r="N1482" s="1396">
        <f>IF(raw[[#This Row],[city]]="","-",IF(raw[[#This Row],[cont]]="B",raw[[#This Row],[cont]],"W"))</f>
        <v/>
      </c>
      <c r="O1482" s="1397">
        <f>IF(raw[[#This Row],[out]]=0,0,IF(raw[[#This Row],[out]]=raw[[#This Row],[in]],0.01,raw[[#This Row],[out]]-raw[[#This Row],[in]]))</f>
        <v/>
      </c>
      <c r="P1482" s="1397">
        <f>IF(raw[[#This Row],[in]]=0,0,MONTH(raw[[#This Row],[in]]))</f>
        <v/>
      </c>
      <c r="Q1482" s="1397">
        <f>IF(raw[[#This Row],[in]]=0,0,YEAR(raw[[#This Row],[in]]))</f>
        <v/>
      </c>
      <c r="R1482" s="1397">
        <f>INT(raw[[#This Row],[yr]]/10)*10</f>
        <v/>
      </c>
      <c r="S1482" s="1395">
        <f>IF(raw[[#This Row],[city]]="","-",IF(raw[[#This Row],[city]]&lt;&gt;_xlfn.XLOOKUP(raw[[#This Row],[home]],homes[home],homes[city],"-"),1,0))</f>
        <v/>
      </c>
      <c r="T1482" s="1398" t="inlineStr">
        <is>
          <t>.</t>
        </is>
      </c>
      <c r="U1482" s="1399">
        <f>IF(raw[[#This Row],[wb]]="w",raw[[#This Row],[stay]]+U1481,U1481)</f>
        <v/>
      </c>
      <c r="V1482" s="1400">
        <f>IF(raw[[#This Row],[out]]=0,V1481,(raw[[#This Row],[out]]-E$5))</f>
        <v/>
      </c>
      <c r="W1482" s="1401">
        <f>U1482/V1482</f>
        <v/>
      </c>
      <c r="X1482" s="1392" t="n"/>
      <c r="Y1482" s="1392" t="n"/>
      <c r="Z1482" s="1392" t="n"/>
      <c r="AA1482" s="1392" t="n"/>
      <c r="AB1482" s="1392" t="n"/>
      <c r="AC1482" s="1392" t="n"/>
      <c r="AD1482" s="1392" t="n"/>
      <c r="AE1482" s="1392" t="n"/>
      <c r="AF1482" s="1392" t="n"/>
      <c r="AG1482" s="1392" t="n"/>
      <c r="AH1482" s="1392" t="n"/>
      <c r="AI1482" s="1392" t="n"/>
      <c r="AJ1482" s="1392" t="n"/>
      <c r="AK1482" s="1392" t="n"/>
      <c r="AL1482" s="1392" t="n"/>
      <c r="AM1482" s="1392" t="n"/>
      <c r="AN1482" s="1392" t="n"/>
      <c r="AO1482" s="1392" t="n"/>
      <c r="AP1482" s="1392" t="n"/>
      <c r="AQ1482" s="1392" t="n"/>
      <c r="AR1482" s="1422" t="n"/>
      <c r="AS1482" s="1422" t="n"/>
      <c r="AT1482" s="1392" t="n"/>
      <c r="AU1482" s="1392" t="n"/>
      <c r="AV1482" s="1392" t="n"/>
      <c r="AW1482" s="1392" t="n"/>
      <c r="AX1482" s="1392" t="n"/>
      <c r="AY1482" s="1392" t="n"/>
      <c r="AZ1482" s="1392" t="n"/>
      <c r="BA1482" s="1422" t="n"/>
      <c r="BB1482" s="1422" t="n"/>
      <c r="BC1482" s="1392" t="n"/>
      <c r="BD1482" s="1392" t="n"/>
      <c r="BE1482" s="1392" t="n"/>
      <c r="BF1482" s="1392" t="n"/>
      <c r="BG1482" s="1392" t="n"/>
      <c r="BH1482" s="1392" t="n"/>
      <c r="BI1482" s="1392" t="n"/>
      <c r="BJ1482" s="1392" t="n"/>
      <c r="BK1482" s="1392" t="n"/>
      <c r="BL1482" s="1392" t="n"/>
      <c r="BM1482" s="1392" t="n"/>
      <c r="BN1482" s="1392" t="n"/>
      <c r="BO1482" s="1392" t="n"/>
      <c r="BP1482" s="1392" t="n"/>
      <c r="BQ1482" s="1392" t="n"/>
      <c r="BR1482" s="1392" t="n"/>
      <c r="BS1482" s="1392" t="n"/>
      <c r="BT1482" s="1392" t="n"/>
      <c r="BU1482" s="1392" t="n"/>
      <c r="BV1482" s="1392" t="n"/>
      <c r="BW1482" s="1392" t="n"/>
      <c r="BX1482" s="1392" t="n"/>
      <c r="BY1482" s="1392" t="n"/>
      <c r="BZ1482" s="1392" t="n"/>
      <c r="CA1482" s="1392" t="n"/>
      <c r="CB1482" s="1392" t="n"/>
      <c r="CC1482" s="1392" t="n"/>
      <c r="CD1482" s="1392" t="n"/>
      <c r="CE1482" s="1392" t="n"/>
      <c r="CF1482" s="1392" t="n"/>
      <c r="CG1482" s="1392" t="n"/>
      <c r="CH1482" s="1392" t="n"/>
      <c r="CI1482" s="1392" t="n"/>
      <c r="CJ1482" s="1392" t="n"/>
      <c r="CK1482" s="1392" t="n"/>
      <c r="CL1482" s="1392" t="n"/>
    </row>
    <row r="1483">
      <c r="A1483" s="5" t="inlineStr">
        <is>
          <t>.</t>
        </is>
      </c>
      <c r="B1483" s="5" t="inlineStr">
        <is>
          <t>.</t>
        </is>
      </c>
      <c r="C1483" s="1378">
        <f>IF(raw[[#This Row],[city]]="","-",IF(raw[[#This Row],[city]]="TODAY","-",C1482+1))</f>
        <v/>
      </c>
      <c r="D1483" s="1393" t="inlineStr">
        <is>
          <t>Montreal</t>
        </is>
      </c>
      <c r="E1483" s="1394" t="n">
        <v>43466</v>
      </c>
      <c r="F1483" s="1394" t="n">
        <v>43497</v>
      </c>
      <c r="G1483" s="1393" t="inlineStr">
        <is>
          <t>-</t>
        </is>
      </c>
      <c r="H1483" s="1393" t="inlineStr">
        <is>
          <t>Nadeau</t>
        </is>
      </c>
      <c r="I1483" s="1393" t="inlineStr">
        <is>
          <t>-</t>
        </is>
      </c>
      <c r="J1483" s="1393" t="inlineStr">
        <is>
          <t>REV</t>
        </is>
      </c>
      <c r="K1483" s="1395">
        <f>IF(raw[[#This Row],[city]]&lt;&gt;"",_xlfn.XLOOKUP($D1483,ccc[city],ccc[prov],"-"),"-")</f>
        <v/>
      </c>
      <c r="L1483" s="1395">
        <f>IF(raw[[#This Row],[city]]&lt;&gt;"",_xlfn.XLOOKUP($D1483,ccc[city],ccc[ctry],"-"),"-")</f>
        <v/>
      </c>
      <c r="M1483" s="1395">
        <f>IF(raw[[#This Row],[city]]&lt;&gt;"",_xlfn.XLOOKUP($D1483,ccc[city],ccc[cont],"-"),"-")</f>
        <v/>
      </c>
      <c r="N1483" s="1396">
        <f>IF(raw[[#This Row],[city]]="","-",IF(raw[[#This Row],[cont]]="B",raw[[#This Row],[cont]],"W"))</f>
        <v/>
      </c>
      <c r="O1483" s="1397">
        <f>IF(raw[[#This Row],[out]]=0,0,IF(raw[[#This Row],[out]]=raw[[#This Row],[in]],0.01,raw[[#This Row],[out]]-raw[[#This Row],[in]]))</f>
        <v/>
      </c>
      <c r="P1483" s="1397">
        <f>IF(raw[[#This Row],[in]]=0,0,MONTH(raw[[#This Row],[in]]))</f>
        <v/>
      </c>
      <c r="Q1483" s="1397">
        <f>IF(raw[[#This Row],[in]]=0,0,YEAR(raw[[#This Row],[in]]))</f>
        <v/>
      </c>
      <c r="R1483" s="1397">
        <f>INT(raw[[#This Row],[yr]]/10)*10</f>
        <v/>
      </c>
      <c r="S1483" s="1395">
        <f>IF(raw[[#This Row],[city]]="","-",IF(raw[[#This Row],[city]]&lt;&gt;_xlfn.XLOOKUP(raw[[#This Row],[home]],homes[home],homes[city],"-"),1,0))</f>
        <v/>
      </c>
      <c r="T1483" s="1398" t="inlineStr">
        <is>
          <t>.</t>
        </is>
      </c>
      <c r="U1483" s="1399">
        <f>IF(raw[[#This Row],[wb]]="w",raw[[#This Row],[stay]]+U1482,U1482)</f>
        <v/>
      </c>
      <c r="V1483" s="1400">
        <f>IF(raw[[#This Row],[out]]=0,V1482,(raw[[#This Row],[out]]-E$5))</f>
        <v/>
      </c>
      <c r="W1483" s="1401">
        <f>U1483/V1483</f>
        <v/>
      </c>
      <c r="X1483" s="1392" t="n"/>
      <c r="Y1483" s="1392" t="n"/>
      <c r="Z1483" s="1392" t="n"/>
      <c r="AA1483" s="1392" t="n"/>
      <c r="AB1483" s="1392" t="n"/>
      <c r="AC1483" s="1392" t="n"/>
      <c r="AD1483" s="1392" t="n"/>
      <c r="AE1483" s="1392" t="n"/>
      <c r="AF1483" s="1392" t="n"/>
      <c r="AG1483" s="1392" t="n"/>
      <c r="AH1483" s="1392" t="n"/>
      <c r="AI1483" s="1392" t="n"/>
      <c r="AJ1483" s="1392" t="n"/>
      <c r="AK1483" s="1392" t="n"/>
      <c r="AL1483" s="1392" t="n"/>
      <c r="AM1483" s="1392" t="n"/>
      <c r="AN1483" s="1392" t="n"/>
      <c r="AO1483" s="1392" t="n"/>
      <c r="AP1483" s="1392" t="n"/>
      <c r="AQ1483" s="1392" t="n"/>
      <c r="AR1483" s="1422" t="n"/>
      <c r="AS1483" s="1422" t="n"/>
      <c r="AT1483" s="1392" t="n"/>
      <c r="AU1483" s="1392" t="n"/>
      <c r="AV1483" s="1392" t="n"/>
      <c r="AW1483" s="1392" t="n"/>
      <c r="AX1483" s="1392" t="n"/>
      <c r="AY1483" s="1392" t="n"/>
      <c r="AZ1483" s="1392" t="n"/>
      <c r="BA1483" s="1422" t="n"/>
      <c r="BB1483" s="1422" t="n"/>
      <c r="BC1483" s="1392" t="n"/>
      <c r="BD1483" s="1392" t="n"/>
      <c r="BE1483" s="1392" t="n"/>
      <c r="BF1483" s="1392" t="n"/>
      <c r="BG1483" s="1392" t="n"/>
      <c r="BH1483" s="1392" t="n"/>
      <c r="BI1483" s="1392" t="n"/>
      <c r="BJ1483" s="1392" t="n"/>
      <c r="BK1483" s="1392" t="n"/>
      <c r="BL1483" s="1392" t="n"/>
      <c r="BM1483" s="1392" t="n"/>
      <c r="BN1483" s="1392" t="n"/>
      <c r="BO1483" s="1392" t="n"/>
      <c r="BP1483" s="1392" t="n"/>
      <c r="BQ1483" s="1392" t="n"/>
      <c r="BR1483" s="1392" t="n"/>
      <c r="BS1483" s="1392" t="n"/>
      <c r="BT1483" s="1392" t="n"/>
      <c r="BU1483" s="1392" t="n"/>
      <c r="BV1483" s="1392" t="n"/>
      <c r="BW1483" s="1392" t="n"/>
      <c r="BX1483" s="1392" t="n"/>
      <c r="BY1483" s="1392" t="n"/>
      <c r="BZ1483" s="1392" t="n"/>
      <c r="CA1483" s="1392" t="n"/>
      <c r="CB1483" s="1392" t="n"/>
      <c r="CC1483" s="1392" t="n"/>
      <c r="CD1483" s="1392" t="n"/>
      <c r="CE1483" s="1392" t="n"/>
      <c r="CF1483" s="1392" t="n"/>
      <c r="CG1483" s="1392" t="n"/>
      <c r="CH1483" s="1392" t="n"/>
      <c r="CI1483" s="1392" t="n"/>
      <c r="CJ1483" s="1392" t="n"/>
      <c r="CK1483" s="1392" t="n"/>
      <c r="CL1483" s="1392" t="n"/>
    </row>
    <row r="1484">
      <c r="A1484" s="5" t="inlineStr">
        <is>
          <t>.</t>
        </is>
      </c>
      <c r="B1484" s="5" t="inlineStr">
        <is>
          <t>.</t>
        </is>
      </c>
      <c r="C1484" s="1378">
        <f>IF(raw[[#This Row],[city]]="","-",IF(raw[[#This Row],[city]]="TODAY","-",C1483+1))</f>
        <v/>
      </c>
      <c r="D1484" s="1393" t="inlineStr">
        <is>
          <t>Montreal</t>
        </is>
      </c>
      <c r="E1484" s="1394" t="n">
        <v>43497</v>
      </c>
      <c r="F1484" s="1394" t="n">
        <v>43515</v>
      </c>
      <c r="G1484" s="1393" t="n">
        <v>1</v>
      </c>
      <c r="H1484" s="1393" t="inlineStr">
        <is>
          <t>Nadeau</t>
        </is>
      </c>
      <c r="I1484" s="1393" t="inlineStr">
        <is>
          <t>-</t>
        </is>
      </c>
      <c r="J1484" s="1393" t="inlineStr">
        <is>
          <t>-</t>
        </is>
      </c>
      <c r="K1484" s="1395">
        <f>IF(raw[[#This Row],[city]]&lt;&gt;"",_xlfn.XLOOKUP($D1484,ccc[city],ccc[prov],"-"),"-")</f>
        <v/>
      </c>
      <c r="L1484" s="1395">
        <f>IF(raw[[#This Row],[city]]&lt;&gt;"",_xlfn.XLOOKUP($D1484,ccc[city],ccc[ctry],"-"),"-")</f>
        <v/>
      </c>
      <c r="M1484" s="1395">
        <f>IF(raw[[#This Row],[city]]&lt;&gt;"",_xlfn.XLOOKUP($D1484,ccc[city],ccc[cont],"-"),"-")</f>
        <v/>
      </c>
      <c r="N1484" s="1396">
        <f>IF(raw[[#This Row],[city]]="","-",IF(raw[[#This Row],[cont]]="B",raw[[#This Row],[cont]],"W"))</f>
        <v/>
      </c>
      <c r="O1484" s="1397">
        <f>IF(raw[[#This Row],[out]]=0,0,IF(raw[[#This Row],[out]]=raw[[#This Row],[in]],0.01,raw[[#This Row],[out]]-raw[[#This Row],[in]]))</f>
        <v/>
      </c>
      <c r="P1484" s="1397">
        <f>IF(raw[[#This Row],[in]]=0,0,MONTH(raw[[#This Row],[in]]))</f>
        <v/>
      </c>
      <c r="Q1484" s="1397">
        <f>IF(raw[[#This Row],[in]]=0,0,YEAR(raw[[#This Row],[in]]))</f>
        <v/>
      </c>
      <c r="R1484" s="1397">
        <f>INT(raw[[#This Row],[yr]]/10)*10</f>
        <v/>
      </c>
      <c r="S1484" s="1395">
        <f>IF(raw[[#This Row],[city]]="","-",IF(raw[[#This Row],[city]]&lt;&gt;_xlfn.XLOOKUP(raw[[#This Row],[home]],homes[home],homes[city],"-"),1,0))</f>
        <v/>
      </c>
      <c r="T1484" s="1398" t="inlineStr">
        <is>
          <t>.</t>
        </is>
      </c>
      <c r="U1484" s="1399">
        <f>IF(raw[[#This Row],[wb]]="w",raw[[#This Row],[stay]]+U1483,U1483)</f>
        <v/>
      </c>
      <c r="V1484" s="1400">
        <f>IF(raw[[#This Row],[out]]=0,V1483,(raw[[#This Row],[out]]-E$5))</f>
        <v/>
      </c>
      <c r="W1484" s="1401">
        <f>U1484/V1484</f>
        <v/>
      </c>
      <c r="X1484" s="1392" t="n"/>
      <c r="Y1484" s="1392" t="n"/>
      <c r="Z1484" s="1392" t="n"/>
      <c r="AA1484" s="1392" t="n"/>
      <c r="AB1484" s="1392" t="n"/>
      <c r="AC1484" s="1392" t="n"/>
      <c r="AD1484" s="1392" t="n"/>
      <c r="AE1484" s="1392" t="n"/>
      <c r="AF1484" s="1392" t="n"/>
      <c r="AG1484" s="1392" t="n"/>
      <c r="AH1484" s="1392" t="n"/>
      <c r="AI1484" s="1392" t="n"/>
      <c r="AJ1484" s="1392" t="n"/>
      <c r="AK1484" s="1392" t="n"/>
      <c r="AL1484" s="1392" t="n"/>
      <c r="AM1484" s="1392" t="n"/>
      <c r="AN1484" s="1392" t="n"/>
      <c r="AO1484" s="1392" t="n"/>
      <c r="AP1484" s="1392" t="n"/>
      <c r="AQ1484" s="1392" t="n"/>
      <c r="AR1484" s="1422" t="n"/>
      <c r="AS1484" s="1422" t="n"/>
      <c r="AT1484" s="1392" t="n"/>
      <c r="AU1484" s="1392" t="n"/>
      <c r="AV1484" s="1392" t="n"/>
      <c r="AW1484" s="1392" t="n"/>
      <c r="AX1484" s="1392" t="n"/>
      <c r="AY1484" s="1392" t="n"/>
      <c r="AZ1484" s="1392" t="n"/>
      <c r="BA1484" s="1422" t="n"/>
      <c r="BB1484" s="1422" t="n"/>
      <c r="BC1484" s="1392" t="n"/>
      <c r="BD1484" s="1392" t="n"/>
      <c r="BE1484" s="1392" t="n"/>
      <c r="BF1484" s="1392" t="n"/>
      <c r="BG1484" s="1392" t="n"/>
      <c r="BH1484" s="1392" t="n"/>
      <c r="BI1484" s="1392" t="n"/>
      <c r="BJ1484" s="1392" t="n"/>
      <c r="BK1484" s="1392" t="n"/>
      <c r="BL1484" s="1392" t="n"/>
      <c r="BM1484" s="1392" t="n"/>
      <c r="BN1484" s="1392" t="n"/>
      <c r="BO1484" s="1392" t="n"/>
      <c r="BP1484" s="1392" t="n"/>
      <c r="BQ1484" s="1392" t="n"/>
      <c r="BR1484" s="1392" t="n"/>
      <c r="BS1484" s="1392" t="n"/>
      <c r="BT1484" s="1392" t="n"/>
      <c r="BU1484" s="1392" t="n"/>
      <c r="BV1484" s="1392" t="n"/>
      <c r="BW1484" s="1392" t="n"/>
      <c r="BX1484" s="1392" t="n"/>
      <c r="BY1484" s="1392" t="n"/>
      <c r="BZ1484" s="1392" t="n"/>
      <c r="CA1484" s="1392" t="n"/>
      <c r="CB1484" s="1392" t="n"/>
      <c r="CC1484" s="1392" t="n"/>
      <c r="CD1484" s="1392" t="n"/>
      <c r="CE1484" s="1392" t="n"/>
      <c r="CF1484" s="1392" t="n"/>
      <c r="CG1484" s="1392" t="n"/>
      <c r="CH1484" s="1392" t="n"/>
      <c r="CI1484" s="1392" t="n"/>
      <c r="CJ1484" s="1392" t="n"/>
      <c r="CK1484" s="1392" t="n"/>
      <c r="CL1484" s="1392" t="n"/>
    </row>
    <row r="1485">
      <c r="A1485" s="5" t="inlineStr">
        <is>
          <t>.</t>
        </is>
      </c>
      <c r="B1485" s="5" t="inlineStr">
        <is>
          <t>.</t>
        </is>
      </c>
      <c r="C1485" s="1378">
        <f>IF(raw[[#This Row],[city]]="","-",IF(raw[[#This Row],[city]]="TODAY","-",C1484+1))</f>
        <v/>
      </c>
      <c r="D1485" s="1393" t="inlineStr">
        <is>
          <t>Panama</t>
        </is>
      </c>
      <c r="E1485" s="1394" t="n">
        <v>43515</v>
      </c>
      <c r="F1485" s="1394" t="n">
        <v>43515</v>
      </c>
      <c r="G1485" s="1393" t="n">
        <v>0.01</v>
      </c>
      <c r="H1485" s="1393" t="inlineStr">
        <is>
          <t>Nadeau</t>
        </is>
      </c>
      <c r="I1485" s="1393" t="inlineStr">
        <is>
          <t>-</t>
        </is>
      </c>
      <c r="J1485" s="1393" t="inlineStr">
        <is>
          <t>-</t>
        </is>
      </c>
      <c r="K1485" s="1395">
        <f>IF(raw[[#This Row],[city]]&lt;&gt;"",_xlfn.XLOOKUP($D1485,ccc[city],ccc[prov],"-"),"-")</f>
        <v/>
      </c>
      <c r="L1485" s="1395">
        <f>IF(raw[[#This Row],[city]]&lt;&gt;"",_xlfn.XLOOKUP($D1485,ccc[city],ccc[ctry],"-"),"-")</f>
        <v/>
      </c>
      <c r="M1485" s="1395">
        <f>IF(raw[[#This Row],[city]]&lt;&gt;"",_xlfn.XLOOKUP($D1485,ccc[city],ccc[cont],"-"),"-")</f>
        <v/>
      </c>
      <c r="N1485" s="1396">
        <f>IF(raw[[#This Row],[city]]="","-",IF(raw[[#This Row],[cont]]="B",raw[[#This Row],[cont]],"W"))</f>
        <v/>
      </c>
      <c r="O1485" s="1397">
        <f>IF(raw[[#This Row],[out]]=0,0,IF(raw[[#This Row],[out]]=raw[[#This Row],[in]],0.01,raw[[#This Row],[out]]-raw[[#This Row],[in]]))</f>
        <v/>
      </c>
      <c r="P1485" s="1397">
        <f>IF(raw[[#This Row],[in]]=0,0,MONTH(raw[[#This Row],[in]]))</f>
        <v/>
      </c>
      <c r="Q1485" s="1397">
        <f>IF(raw[[#This Row],[in]]=0,0,YEAR(raw[[#This Row],[in]]))</f>
        <v/>
      </c>
      <c r="R1485" s="1397">
        <f>INT(raw[[#This Row],[yr]]/10)*10</f>
        <v/>
      </c>
      <c r="S1485" s="1395">
        <f>IF(raw[[#This Row],[city]]="","-",IF(raw[[#This Row],[city]]&lt;&gt;_xlfn.XLOOKUP(raw[[#This Row],[home]],homes[home],homes[city],"-"),1,0))</f>
        <v/>
      </c>
      <c r="T1485" s="1398" t="inlineStr">
        <is>
          <t>.</t>
        </is>
      </c>
      <c r="U1485" s="1399">
        <f>IF(raw[[#This Row],[wb]]="w",raw[[#This Row],[stay]]+U1484,U1484)</f>
        <v/>
      </c>
      <c r="V1485" s="1400">
        <f>IF(raw[[#This Row],[out]]=0,V1484,(raw[[#This Row],[out]]-E$5))</f>
        <v/>
      </c>
      <c r="W1485" s="1401">
        <f>U1485/V1485</f>
        <v/>
      </c>
      <c r="X1485" s="1392" t="n"/>
      <c r="Y1485" s="1392" t="n"/>
      <c r="Z1485" s="1392" t="n"/>
      <c r="AA1485" s="1392" t="n"/>
      <c r="AB1485" s="1392" t="n"/>
      <c r="AC1485" s="1392" t="n"/>
      <c r="AD1485" s="1392" t="n"/>
      <c r="AE1485" s="1392" t="n"/>
      <c r="AF1485" s="1392" t="n"/>
      <c r="AG1485" s="1392" t="n"/>
      <c r="AH1485" s="1392" t="n"/>
      <c r="AI1485" s="1392" t="n"/>
      <c r="AJ1485" s="1392" t="n"/>
      <c r="AK1485" s="1392" t="n"/>
      <c r="AL1485" s="1392" t="n"/>
      <c r="AM1485" s="1392" t="n"/>
      <c r="AN1485" s="1392" t="n"/>
      <c r="AO1485" s="1392" t="n"/>
      <c r="AP1485" s="1392" t="n"/>
      <c r="AQ1485" s="1392" t="n"/>
      <c r="AR1485" s="1422" t="n"/>
      <c r="AS1485" s="1422" t="n"/>
      <c r="AT1485" s="1392" t="n"/>
      <c r="AU1485" s="1392" t="n"/>
      <c r="AV1485" s="1392" t="n"/>
      <c r="AW1485" s="1392" t="n"/>
      <c r="AX1485" s="1392" t="n"/>
      <c r="AY1485" s="1392" t="n"/>
      <c r="AZ1485" s="1392" t="n"/>
      <c r="BA1485" s="1422" t="n"/>
      <c r="BB1485" s="1422" t="n"/>
      <c r="BC1485" s="1392" t="n"/>
      <c r="BD1485" s="1392" t="n"/>
      <c r="BE1485" s="1392" t="n"/>
      <c r="BF1485" s="1392" t="n"/>
      <c r="BG1485" s="1392" t="n"/>
      <c r="BH1485" s="1392" t="n"/>
      <c r="BI1485" s="1392" t="n"/>
      <c r="BJ1485" s="1392" t="n"/>
      <c r="BK1485" s="1392" t="n"/>
      <c r="BL1485" s="1392" t="n"/>
      <c r="BM1485" s="1392" t="n"/>
      <c r="BN1485" s="1392" t="n"/>
      <c r="BO1485" s="1392" t="n"/>
      <c r="BP1485" s="1392" t="n"/>
      <c r="BQ1485" s="1392" t="n"/>
      <c r="BR1485" s="1392" t="n"/>
      <c r="BS1485" s="1392" t="n"/>
      <c r="BT1485" s="1392" t="n"/>
      <c r="BU1485" s="1392" t="n"/>
      <c r="BV1485" s="1392" t="n"/>
      <c r="BW1485" s="1392" t="n"/>
      <c r="BX1485" s="1392" t="n"/>
      <c r="BY1485" s="1392" t="n"/>
      <c r="BZ1485" s="1392" t="n"/>
      <c r="CA1485" s="1392" t="n"/>
      <c r="CB1485" s="1392" t="n"/>
      <c r="CC1485" s="1392" t="n"/>
      <c r="CD1485" s="1392" t="n"/>
      <c r="CE1485" s="1392" t="n"/>
      <c r="CF1485" s="1392" t="n"/>
      <c r="CG1485" s="1392" t="n"/>
      <c r="CH1485" s="1392" t="n"/>
      <c r="CI1485" s="1392" t="n"/>
      <c r="CJ1485" s="1392" t="n"/>
      <c r="CK1485" s="1392" t="n"/>
      <c r="CL1485" s="1392" t="n"/>
    </row>
    <row r="1486">
      <c r="A1486" s="5" t="inlineStr">
        <is>
          <t>.</t>
        </is>
      </c>
      <c r="B1486" s="5" t="inlineStr">
        <is>
          <t>.</t>
        </is>
      </c>
      <c r="C1486" s="1378">
        <f>IF(raw[[#This Row],[city]]="","-",IF(raw[[#This Row],[city]]="TODAY","-",C1485+1))</f>
        <v/>
      </c>
      <c r="D1486" s="1393" t="inlineStr">
        <is>
          <t>AIR</t>
        </is>
      </c>
      <c r="E1486" s="1394" t="n">
        <v>43515</v>
      </c>
      <c r="F1486" s="1394" t="n">
        <v>43516</v>
      </c>
      <c r="G1486" s="1393" t="inlineStr">
        <is>
          <t>x</t>
        </is>
      </c>
      <c r="H1486" s="1393" t="inlineStr">
        <is>
          <t>Nadeau</t>
        </is>
      </c>
      <c r="I1486" s="1393" t="inlineStr">
        <is>
          <t>-</t>
        </is>
      </c>
      <c r="J1486" s="1393" t="inlineStr">
        <is>
          <t>-</t>
        </is>
      </c>
      <c r="K1486" s="1395">
        <f>IF(raw[[#This Row],[city]]&lt;&gt;"",_xlfn.XLOOKUP($D1486,ccc[city],ccc[prov],"-"),"-")</f>
        <v/>
      </c>
      <c r="L1486" s="1395">
        <f>IF(raw[[#This Row],[city]]&lt;&gt;"",_xlfn.XLOOKUP($D1486,ccc[city],ccc[ctry],"-"),"-")</f>
        <v/>
      </c>
      <c r="M1486" s="1395">
        <f>IF(raw[[#This Row],[city]]&lt;&gt;"",_xlfn.XLOOKUP($D1486,ccc[city],ccc[cont],"-"),"-")</f>
        <v/>
      </c>
      <c r="N1486" s="1396">
        <f>IF(raw[[#This Row],[city]]="","-",IF(raw[[#This Row],[cont]]="B",raw[[#This Row],[cont]],"W"))</f>
        <v/>
      </c>
      <c r="O1486" s="1397">
        <f>IF(raw[[#This Row],[out]]=0,0,IF(raw[[#This Row],[out]]=raw[[#This Row],[in]],0.01,raw[[#This Row],[out]]-raw[[#This Row],[in]]))</f>
        <v/>
      </c>
      <c r="P1486" s="1397">
        <f>IF(raw[[#This Row],[in]]=0,0,MONTH(raw[[#This Row],[in]]))</f>
        <v/>
      </c>
      <c r="Q1486" s="1397">
        <f>IF(raw[[#This Row],[in]]=0,0,YEAR(raw[[#This Row],[in]]))</f>
        <v/>
      </c>
      <c r="R1486" s="1397">
        <f>INT(raw[[#This Row],[yr]]/10)*10</f>
        <v/>
      </c>
      <c r="S1486" s="1395">
        <f>IF(raw[[#This Row],[city]]="","-",IF(raw[[#This Row],[city]]&lt;&gt;_xlfn.XLOOKUP(raw[[#This Row],[home]],homes[home],homes[city],"-"),1,0))</f>
        <v/>
      </c>
      <c r="T1486" s="1398" t="inlineStr">
        <is>
          <t>.</t>
        </is>
      </c>
      <c r="U1486" s="1399">
        <f>IF(raw[[#This Row],[wb]]="w",raw[[#This Row],[stay]]+U1485,U1485)</f>
        <v/>
      </c>
      <c r="V1486" s="1400">
        <f>IF(raw[[#This Row],[out]]=0,V1485,(raw[[#This Row],[out]]-E$5))</f>
        <v/>
      </c>
      <c r="W1486" s="1401">
        <f>U1486/V1486</f>
        <v/>
      </c>
      <c r="X1486" s="1392" t="n"/>
      <c r="Y1486" s="1392" t="n"/>
      <c r="Z1486" s="1392" t="n"/>
      <c r="AA1486" s="1392" t="n"/>
      <c r="AB1486" s="1392" t="n"/>
      <c r="AC1486" s="1392" t="n"/>
      <c r="AD1486" s="1392" t="n"/>
      <c r="AE1486" s="1392" t="n"/>
      <c r="AF1486" s="1392" t="n"/>
      <c r="AG1486" s="1392" t="n"/>
      <c r="AH1486" s="1392" t="n"/>
      <c r="AI1486" s="1392" t="n"/>
      <c r="AJ1486" s="1392" t="n"/>
      <c r="AK1486" s="1392" t="n"/>
      <c r="AL1486" s="1392" t="n"/>
      <c r="AM1486" s="1392" t="n"/>
      <c r="AN1486" s="1392" t="n"/>
      <c r="AO1486" s="1392" t="n"/>
      <c r="AP1486" s="1392" t="n"/>
      <c r="AQ1486" s="1392" t="n"/>
      <c r="AR1486" s="1422" t="n"/>
      <c r="AS1486" s="1422" t="n"/>
      <c r="AT1486" s="1392" t="n"/>
      <c r="AU1486" s="1392" t="n"/>
      <c r="AV1486" s="1392" t="n"/>
      <c r="AW1486" s="1392" t="n"/>
      <c r="AX1486" s="1392" t="n"/>
      <c r="AY1486" s="1392" t="n"/>
      <c r="AZ1486" s="1392" t="n"/>
      <c r="BA1486" s="1422" t="n"/>
      <c r="BB1486" s="1422" t="n"/>
      <c r="BC1486" s="1392" t="n"/>
      <c r="BD1486" s="1392" t="n"/>
      <c r="BE1486" s="1392" t="n"/>
      <c r="BF1486" s="1392" t="n"/>
      <c r="BG1486" s="1392" t="n"/>
      <c r="BH1486" s="1392" t="n"/>
      <c r="BI1486" s="1392" t="n"/>
      <c r="BJ1486" s="1392" t="n"/>
      <c r="BK1486" s="1392" t="n"/>
      <c r="BL1486" s="1392" t="n"/>
      <c r="BM1486" s="1392" t="n"/>
      <c r="BN1486" s="1392" t="n"/>
      <c r="BO1486" s="1392" t="n"/>
      <c r="BP1486" s="1392" t="n"/>
      <c r="BQ1486" s="1392" t="n"/>
      <c r="BR1486" s="1392" t="n"/>
      <c r="BS1486" s="1392" t="n"/>
      <c r="BT1486" s="1392" t="n"/>
      <c r="BU1486" s="1392" t="n"/>
      <c r="BV1486" s="1392" t="n"/>
      <c r="BW1486" s="1392" t="n"/>
      <c r="BX1486" s="1392" t="n"/>
      <c r="BY1486" s="1392" t="n"/>
      <c r="BZ1486" s="1392" t="n"/>
      <c r="CA1486" s="1392" t="n"/>
      <c r="CB1486" s="1392" t="n"/>
      <c r="CC1486" s="1392" t="n"/>
      <c r="CD1486" s="1392" t="n"/>
      <c r="CE1486" s="1392" t="n"/>
      <c r="CF1486" s="1392" t="n"/>
      <c r="CG1486" s="1392" t="n"/>
      <c r="CH1486" s="1392" t="n"/>
      <c r="CI1486" s="1392" t="n"/>
      <c r="CJ1486" s="1392" t="n"/>
      <c r="CK1486" s="1392" t="n"/>
      <c r="CL1486" s="1392" t="n"/>
    </row>
    <row r="1487">
      <c r="A1487" s="5" t="inlineStr">
        <is>
          <t>.</t>
        </is>
      </c>
      <c r="B1487" s="5" t="inlineStr">
        <is>
          <t>.</t>
        </is>
      </c>
      <c r="C1487" s="1378">
        <f>IF(raw[[#This Row],[city]]="","-",IF(raw[[#This Row],[city]]="TODAY","-",C1486+1))</f>
        <v/>
      </c>
      <c r="D1487" s="1393" t="inlineStr">
        <is>
          <t>SSA</t>
        </is>
      </c>
      <c r="E1487" s="1394" t="n">
        <v>43516</v>
      </c>
      <c r="F1487" s="1394" t="n">
        <v>43523</v>
      </c>
      <c r="G1487" s="1393" t="inlineStr">
        <is>
          <t>-</t>
        </is>
      </c>
      <c r="H1487" s="1393" t="inlineStr">
        <is>
          <t>Nadeau</t>
        </is>
      </c>
      <c r="I1487" s="1393" t="inlineStr">
        <is>
          <t>Ondina</t>
        </is>
      </c>
      <c r="J1487" s="1393" t="inlineStr">
        <is>
          <t>-</t>
        </is>
      </c>
      <c r="K1487" s="1395">
        <f>IF(raw[[#This Row],[city]]&lt;&gt;"",_xlfn.XLOOKUP($D1487,ccc[city],ccc[prov],"-"),"-")</f>
        <v/>
      </c>
      <c r="L1487" s="1395">
        <f>IF(raw[[#This Row],[city]]&lt;&gt;"",_xlfn.XLOOKUP($D1487,ccc[city],ccc[ctry],"-"),"-")</f>
        <v/>
      </c>
      <c r="M1487" s="1395">
        <f>IF(raw[[#This Row],[city]]&lt;&gt;"",_xlfn.XLOOKUP($D1487,ccc[city],ccc[cont],"-"),"-")</f>
        <v/>
      </c>
      <c r="N1487" s="1396">
        <f>IF(raw[[#This Row],[city]]="","-",IF(raw[[#This Row],[cont]]="B",raw[[#This Row],[cont]],"W"))</f>
        <v/>
      </c>
      <c r="O1487" s="1397">
        <f>IF(raw[[#This Row],[out]]=0,0,IF(raw[[#This Row],[out]]=raw[[#This Row],[in]],0.01,raw[[#This Row],[out]]-raw[[#This Row],[in]]))</f>
        <v/>
      </c>
      <c r="P1487" s="1397">
        <f>IF(raw[[#This Row],[in]]=0,0,MONTH(raw[[#This Row],[in]]))</f>
        <v/>
      </c>
      <c r="Q1487" s="1397">
        <f>IF(raw[[#This Row],[in]]=0,0,YEAR(raw[[#This Row],[in]]))</f>
        <v/>
      </c>
      <c r="R1487" s="1397">
        <f>INT(raw[[#This Row],[yr]]/10)*10</f>
        <v/>
      </c>
      <c r="S1487" s="1395">
        <f>IF(raw[[#This Row],[city]]="","-",IF(raw[[#This Row],[city]]&lt;&gt;_xlfn.XLOOKUP(raw[[#This Row],[home]],homes[home],homes[city],"-"),1,0))</f>
        <v/>
      </c>
      <c r="T1487" s="1398" t="inlineStr">
        <is>
          <t>.</t>
        </is>
      </c>
      <c r="U1487" s="1399">
        <f>IF(raw[[#This Row],[wb]]="w",raw[[#This Row],[stay]]+U1486,U1486)</f>
        <v/>
      </c>
      <c r="V1487" s="1400">
        <f>IF(raw[[#This Row],[out]]=0,V1486,(raw[[#This Row],[out]]-E$5))</f>
        <v/>
      </c>
      <c r="W1487" s="1401">
        <f>U1487/V1487</f>
        <v/>
      </c>
      <c r="X1487" s="1392" t="n"/>
      <c r="Y1487" s="1392" t="n"/>
      <c r="Z1487" s="1392" t="n"/>
      <c r="AA1487" s="1392" t="n"/>
      <c r="AB1487" s="1392" t="n"/>
      <c r="AC1487" s="1392" t="n"/>
      <c r="AD1487" s="1392" t="n"/>
      <c r="AE1487" s="1392" t="n"/>
      <c r="AF1487" s="1392" t="n"/>
      <c r="AG1487" s="1392" t="n"/>
      <c r="AH1487" s="1392" t="n"/>
      <c r="AI1487" s="1392" t="n"/>
      <c r="AJ1487" s="1392" t="n"/>
      <c r="AK1487" s="1392" t="n"/>
      <c r="AL1487" s="1392" t="n"/>
      <c r="AM1487" s="1392" t="n"/>
      <c r="AN1487" s="1392" t="n"/>
      <c r="AO1487" s="1392" t="n"/>
      <c r="AP1487" s="1392" t="n"/>
      <c r="AQ1487" s="1392" t="n"/>
      <c r="AR1487" s="1422" t="n"/>
      <c r="AS1487" s="1422" t="n"/>
      <c r="AT1487" s="1392" t="n"/>
      <c r="AU1487" s="1392" t="n"/>
      <c r="AV1487" s="1392" t="n"/>
      <c r="AW1487" s="1392" t="n"/>
      <c r="AX1487" s="1392" t="n"/>
      <c r="AY1487" s="1392" t="n"/>
      <c r="AZ1487" s="1392" t="n"/>
      <c r="BA1487" s="1422" t="n"/>
      <c r="BB1487" s="1422" t="n"/>
      <c r="BC1487" s="1392" t="n"/>
      <c r="BD1487" s="1392" t="n"/>
      <c r="BE1487" s="1392" t="n"/>
      <c r="BF1487" s="1392" t="n"/>
      <c r="BG1487" s="1392" t="n"/>
      <c r="BH1487" s="1392" t="n"/>
      <c r="BI1487" s="1392" t="n"/>
      <c r="BJ1487" s="1392" t="n"/>
      <c r="BK1487" s="1392" t="n"/>
      <c r="BL1487" s="1392" t="n"/>
      <c r="BM1487" s="1392" t="n"/>
      <c r="BN1487" s="1392" t="n"/>
      <c r="BO1487" s="1392" t="n"/>
      <c r="BP1487" s="1392" t="n"/>
      <c r="BQ1487" s="1392" t="n"/>
      <c r="BR1487" s="1392" t="n"/>
      <c r="BS1487" s="1392" t="n"/>
      <c r="BT1487" s="1392" t="n"/>
      <c r="BU1487" s="1392" t="n"/>
      <c r="BV1487" s="1392" t="n"/>
      <c r="BW1487" s="1392" t="n"/>
      <c r="BX1487" s="1392" t="n"/>
      <c r="BY1487" s="1392" t="n"/>
      <c r="BZ1487" s="1392" t="n"/>
      <c r="CA1487" s="1392" t="n"/>
      <c r="CB1487" s="1392" t="n"/>
      <c r="CC1487" s="1392" t="n"/>
      <c r="CD1487" s="1392" t="n"/>
      <c r="CE1487" s="1392" t="n"/>
      <c r="CF1487" s="1392" t="n"/>
      <c r="CG1487" s="1392" t="n"/>
      <c r="CH1487" s="1392" t="n"/>
      <c r="CI1487" s="1392" t="n"/>
      <c r="CJ1487" s="1392" t="n"/>
      <c r="CK1487" s="1392" t="n"/>
      <c r="CL1487" s="1392" t="n"/>
    </row>
    <row r="1488">
      <c r="A1488" s="5" t="inlineStr">
        <is>
          <t>.</t>
        </is>
      </c>
      <c r="B1488" s="5" t="inlineStr">
        <is>
          <t>.</t>
        </is>
      </c>
      <c r="C1488" s="1378">
        <f>IF(raw[[#This Row],[city]]="","-",IF(raw[[#This Row],[city]]="TODAY","-",C1487+1))</f>
        <v/>
      </c>
      <c r="D1488" s="1393" t="inlineStr">
        <is>
          <t>Aracaju</t>
        </is>
      </c>
      <c r="E1488" s="1394" t="n">
        <v>43523</v>
      </c>
      <c r="F1488" s="1394" t="n">
        <v>43525</v>
      </c>
      <c r="G1488" s="1393" t="inlineStr">
        <is>
          <t>-</t>
        </is>
      </c>
      <c r="H1488" s="1393" t="inlineStr">
        <is>
          <t>Nadeau</t>
        </is>
      </c>
      <c r="I1488" s="1393" t="inlineStr">
        <is>
          <t>tia Vera/praia</t>
        </is>
      </c>
      <c r="J1488" s="1393" t="inlineStr">
        <is>
          <t>-</t>
        </is>
      </c>
      <c r="K1488" s="1395">
        <f>IF(raw[[#This Row],[city]]&lt;&gt;"",_xlfn.XLOOKUP($D1488,ccc[city],ccc[prov],"-"),"-")</f>
        <v/>
      </c>
      <c r="L1488" s="1395">
        <f>IF(raw[[#This Row],[city]]&lt;&gt;"",_xlfn.XLOOKUP($D1488,ccc[city],ccc[ctry],"-"),"-")</f>
        <v/>
      </c>
      <c r="M1488" s="1395">
        <f>IF(raw[[#This Row],[city]]&lt;&gt;"",_xlfn.XLOOKUP($D1488,ccc[city],ccc[cont],"-"),"-")</f>
        <v/>
      </c>
      <c r="N1488" s="1396">
        <f>IF(raw[[#This Row],[city]]="","-",IF(raw[[#This Row],[cont]]="B",raw[[#This Row],[cont]],"W"))</f>
        <v/>
      </c>
      <c r="O1488" s="1397">
        <f>IF(raw[[#This Row],[out]]=0,0,IF(raw[[#This Row],[out]]=raw[[#This Row],[in]],0.01,raw[[#This Row],[out]]-raw[[#This Row],[in]]))</f>
        <v/>
      </c>
      <c r="P1488" s="1397">
        <f>IF(raw[[#This Row],[in]]=0,0,MONTH(raw[[#This Row],[in]]))</f>
        <v/>
      </c>
      <c r="Q1488" s="1397">
        <f>IF(raw[[#This Row],[in]]=0,0,YEAR(raw[[#This Row],[in]]))</f>
        <v/>
      </c>
      <c r="R1488" s="1397">
        <f>INT(raw[[#This Row],[yr]]/10)*10</f>
        <v/>
      </c>
      <c r="S1488" s="1395">
        <f>IF(raw[[#This Row],[city]]="","-",IF(raw[[#This Row],[city]]&lt;&gt;_xlfn.XLOOKUP(raw[[#This Row],[home]],homes[home],homes[city],"-"),1,0))</f>
        <v/>
      </c>
      <c r="T1488" s="1398" t="inlineStr">
        <is>
          <t>.</t>
        </is>
      </c>
      <c r="U1488" s="1399">
        <f>IF(raw[[#This Row],[wb]]="w",raw[[#This Row],[stay]]+U1487,U1487)</f>
        <v/>
      </c>
      <c r="V1488" s="1400">
        <f>IF(raw[[#This Row],[out]]=0,V1487,(raw[[#This Row],[out]]-E$5))</f>
        <v/>
      </c>
      <c r="W1488" s="1401">
        <f>U1488/V1488</f>
        <v/>
      </c>
      <c r="X1488" s="1392" t="n"/>
      <c r="Y1488" s="1392" t="n"/>
      <c r="Z1488" s="1392" t="n"/>
      <c r="AA1488" s="1392" t="n"/>
      <c r="AB1488" s="1392" t="n"/>
      <c r="AC1488" s="1392" t="n"/>
      <c r="AD1488" s="1392" t="n"/>
      <c r="AE1488" s="1392" t="n"/>
      <c r="AF1488" s="1392" t="n"/>
      <c r="AG1488" s="1392" t="n"/>
      <c r="AH1488" s="1392" t="n"/>
      <c r="AI1488" s="1392" t="n"/>
      <c r="AJ1488" s="1392" t="n"/>
      <c r="AK1488" s="1392" t="n"/>
      <c r="AL1488" s="1392" t="n"/>
      <c r="AM1488" s="1392" t="n"/>
      <c r="AN1488" s="1392" t="n"/>
      <c r="AO1488" s="1392" t="n"/>
      <c r="AP1488" s="1392" t="n"/>
      <c r="AQ1488" s="1392" t="n"/>
      <c r="AR1488" s="1422" t="n"/>
      <c r="AS1488" s="1422" t="n"/>
      <c r="AT1488" s="1392" t="n"/>
      <c r="AU1488" s="1392" t="n"/>
      <c r="AV1488" s="1392" t="n"/>
      <c r="AW1488" s="1392" t="n"/>
      <c r="AX1488" s="1392" t="n"/>
      <c r="AY1488" s="1392" t="n"/>
      <c r="AZ1488" s="1392" t="n"/>
      <c r="BA1488" s="1422" t="n"/>
      <c r="BB1488" s="1422" t="n"/>
      <c r="BC1488" s="1392" t="n"/>
      <c r="BD1488" s="1392" t="n"/>
      <c r="BE1488" s="1392" t="n"/>
      <c r="BF1488" s="1392" t="n"/>
      <c r="BG1488" s="1392" t="n"/>
      <c r="BH1488" s="1392" t="n"/>
      <c r="BI1488" s="1392" t="n"/>
      <c r="BJ1488" s="1392" t="n"/>
      <c r="BK1488" s="1392" t="n"/>
      <c r="BL1488" s="1392" t="n"/>
      <c r="BM1488" s="1392" t="n"/>
      <c r="BN1488" s="1392" t="n"/>
      <c r="BO1488" s="1392" t="n"/>
      <c r="BP1488" s="1392" t="n"/>
      <c r="BQ1488" s="1392" t="n"/>
      <c r="BR1488" s="1392" t="n"/>
      <c r="BS1488" s="1392" t="n"/>
      <c r="BT1488" s="1392" t="n"/>
      <c r="BU1488" s="1392" t="n"/>
      <c r="BV1488" s="1392" t="n"/>
      <c r="BW1488" s="1392" t="n"/>
      <c r="BX1488" s="1392" t="n"/>
      <c r="BY1488" s="1392" t="n"/>
      <c r="BZ1488" s="1392" t="n"/>
      <c r="CA1488" s="1392" t="n"/>
      <c r="CB1488" s="1392" t="n"/>
      <c r="CC1488" s="1392" t="n"/>
      <c r="CD1488" s="1392" t="n"/>
      <c r="CE1488" s="1392" t="n"/>
      <c r="CF1488" s="1392" t="n"/>
      <c r="CG1488" s="1392" t="n"/>
      <c r="CH1488" s="1392" t="n"/>
      <c r="CI1488" s="1392" t="n"/>
      <c r="CJ1488" s="1392" t="n"/>
      <c r="CK1488" s="1392" t="n"/>
      <c r="CL1488" s="1392" t="n"/>
    </row>
    <row r="1489">
      <c r="A1489" s="5" t="inlineStr">
        <is>
          <t>.</t>
        </is>
      </c>
      <c r="B1489" s="5" t="inlineStr">
        <is>
          <t>.</t>
        </is>
      </c>
      <c r="C1489" s="1378">
        <f>IF(raw[[#This Row],[city]]="","-",IF(raw[[#This Row],[city]]="TODAY","-",C1488+1))</f>
        <v/>
      </c>
      <c r="D1489" s="1393" t="inlineStr">
        <is>
          <t>Aracaju</t>
        </is>
      </c>
      <c r="E1489" s="1394" t="n">
        <v>43525</v>
      </c>
      <c r="F1489" s="1394" t="n">
        <v>43530</v>
      </c>
      <c r="G1489" s="1393" t="inlineStr">
        <is>
          <t>-</t>
        </is>
      </c>
      <c r="H1489" s="1393" t="inlineStr">
        <is>
          <t>Nadeau</t>
        </is>
      </c>
      <c r="I1489" s="1393" t="inlineStr">
        <is>
          <t>tia Vera/praia</t>
        </is>
      </c>
      <c r="J1489" s="1393" t="inlineStr">
        <is>
          <t>-</t>
        </is>
      </c>
      <c r="K1489" s="1395">
        <f>IF(raw[[#This Row],[city]]&lt;&gt;"",_xlfn.XLOOKUP($D1489,ccc[city],ccc[prov],"-"),"-")</f>
        <v/>
      </c>
      <c r="L1489" s="1395">
        <f>IF(raw[[#This Row],[city]]&lt;&gt;"",_xlfn.XLOOKUP($D1489,ccc[city],ccc[ctry],"-"),"-")</f>
        <v/>
      </c>
      <c r="M1489" s="1395">
        <f>IF(raw[[#This Row],[city]]&lt;&gt;"",_xlfn.XLOOKUP($D1489,ccc[city],ccc[cont],"-"),"-")</f>
        <v/>
      </c>
      <c r="N1489" s="1396">
        <f>IF(raw[[#This Row],[city]]="","-",IF(raw[[#This Row],[cont]]="B",raw[[#This Row],[cont]],"W"))</f>
        <v/>
      </c>
      <c r="O1489" s="1397">
        <f>IF(raw[[#This Row],[out]]=0,0,IF(raw[[#This Row],[out]]=raw[[#This Row],[in]],0.01,raw[[#This Row],[out]]-raw[[#This Row],[in]]))</f>
        <v/>
      </c>
      <c r="P1489" s="1397">
        <f>IF(raw[[#This Row],[in]]=0,0,MONTH(raw[[#This Row],[in]]))</f>
        <v/>
      </c>
      <c r="Q1489" s="1397">
        <f>IF(raw[[#This Row],[in]]=0,0,YEAR(raw[[#This Row],[in]]))</f>
        <v/>
      </c>
      <c r="R1489" s="1397">
        <f>INT(raw[[#This Row],[yr]]/10)*10</f>
        <v/>
      </c>
      <c r="S1489" s="1395">
        <f>IF(raw[[#This Row],[city]]="","-",IF(raw[[#This Row],[city]]&lt;&gt;_xlfn.XLOOKUP(raw[[#This Row],[home]],homes[home],homes[city],"-"),1,0))</f>
        <v/>
      </c>
      <c r="T1489" s="1398" t="inlineStr">
        <is>
          <t>.</t>
        </is>
      </c>
      <c r="U1489" s="1399">
        <f>IF(raw[[#This Row],[wb]]="w",raw[[#This Row],[stay]]+U1488,U1488)</f>
        <v/>
      </c>
      <c r="V1489" s="1400">
        <f>IF(raw[[#This Row],[out]]=0,V1488,(raw[[#This Row],[out]]-E$5))</f>
        <v/>
      </c>
      <c r="W1489" s="1401">
        <f>U1489/V1489</f>
        <v/>
      </c>
      <c r="X1489" s="1392" t="n"/>
      <c r="Y1489" s="1392" t="n"/>
      <c r="Z1489" s="1392" t="n"/>
      <c r="AA1489" s="1392" t="n"/>
      <c r="AB1489" s="1392" t="n"/>
      <c r="AC1489" s="1392" t="n"/>
      <c r="AD1489" s="1392" t="n"/>
      <c r="AE1489" s="1392" t="n"/>
      <c r="AF1489" s="1392" t="n"/>
      <c r="AG1489" s="1392" t="n"/>
      <c r="AH1489" s="1392" t="n"/>
      <c r="AI1489" s="1392" t="n"/>
      <c r="AJ1489" s="1392" t="n"/>
      <c r="AK1489" s="1392" t="n"/>
      <c r="AL1489" s="1392" t="n"/>
      <c r="AM1489" s="1392" t="n"/>
      <c r="AN1489" s="1392" t="n"/>
      <c r="AO1489" s="1392" t="n"/>
      <c r="AP1489" s="1392" t="n"/>
      <c r="AQ1489" s="1392" t="n"/>
      <c r="AR1489" s="1422" t="n"/>
      <c r="AS1489" s="1422" t="n"/>
      <c r="AT1489" s="1392" t="n"/>
      <c r="AU1489" s="1392" t="n"/>
      <c r="AV1489" s="1392" t="n"/>
      <c r="AW1489" s="1392" t="n"/>
      <c r="AX1489" s="1392" t="n"/>
      <c r="AY1489" s="1392" t="n"/>
      <c r="AZ1489" s="1392" t="n"/>
      <c r="BA1489" s="1422" t="n"/>
      <c r="BB1489" s="1422" t="n"/>
      <c r="BC1489" s="1392" t="n"/>
      <c r="BD1489" s="1392" t="n"/>
      <c r="BE1489" s="1392" t="n"/>
      <c r="BF1489" s="1392" t="n"/>
      <c r="BG1489" s="1392" t="n"/>
      <c r="BH1489" s="1392" t="n"/>
      <c r="BI1489" s="1392" t="n"/>
      <c r="BJ1489" s="1392" t="n"/>
      <c r="BK1489" s="1392" t="n"/>
      <c r="BL1489" s="1392" t="n"/>
      <c r="BM1489" s="1392" t="n"/>
      <c r="BN1489" s="1392" t="n"/>
      <c r="BO1489" s="1392" t="n"/>
      <c r="BP1489" s="1392" t="n"/>
      <c r="BQ1489" s="1392" t="n"/>
      <c r="BR1489" s="1392" t="n"/>
      <c r="BS1489" s="1392" t="n"/>
      <c r="BT1489" s="1392" t="n"/>
      <c r="BU1489" s="1392" t="n"/>
      <c r="BV1489" s="1392" t="n"/>
      <c r="BW1489" s="1392" t="n"/>
      <c r="BX1489" s="1392" t="n"/>
      <c r="BY1489" s="1392" t="n"/>
      <c r="BZ1489" s="1392" t="n"/>
      <c r="CA1489" s="1392" t="n"/>
      <c r="CB1489" s="1392" t="n"/>
      <c r="CC1489" s="1392" t="n"/>
      <c r="CD1489" s="1392" t="n"/>
      <c r="CE1489" s="1392" t="n"/>
      <c r="CF1489" s="1392" t="n"/>
      <c r="CG1489" s="1392" t="n"/>
      <c r="CH1489" s="1392" t="n"/>
      <c r="CI1489" s="1392" t="n"/>
      <c r="CJ1489" s="1392" t="n"/>
      <c r="CK1489" s="1392" t="n"/>
      <c r="CL1489" s="1392" t="n"/>
    </row>
    <row r="1490">
      <c r="A1490" s="5" t="inlineStr">
        <is>
          <t>.</t>
        </is>
      </c>
      <c r="B1490" s="5" t="inlineStr">
        <is>
          <t>.</t>
        </is>
      </c>
      <c r="C1490" s="1378">
        <f>IF(raw[[#This Row],[city]]="","-",IF(raw[[#This Row],[city]]="TODAY","-",C1489+1))</f>
        <v/>
      </c>
      <c r="D1490" s="1393" t="inlineStr">
        <is>
          <t>SSA</t>
        </is>
      </c>
      <c r="E1490" s="1394" t="n">
        <v>43530</v>
      </c>
      <c r="F1490" s="1394" t="n">
        <v>43538</v>
      </c>
      <c r="G1490" s="1393" t="n">
        <v>1</v>
      </c>
      <c r="H1490" s="1393" t="inlineStr">
        <is>
          <t>Nadeau</t>
        </is>
      </c>
      <c r="I1490" s="1393" t="inlineStr">
        <is>
          <t>Ondina</t>
        </is>
      </c>
      <c r="J1490" s="1393" t="inlineStr">
        <is>
          <t>-</t>
        </is>
      </c>
      <c r="K1490" s="1395">
        <f>IF(raw[[#This Row],[city]]&lt;&gt;"",_xlfn.XLOOKUP($D1490,ccc[city],ccc[prov],"-"),"-")</f>
        <v/>
      </c>
      <c r="L1490" s="1395">
        <f>IF(raw[[#This Row],[city]]&lt;&gt;"",_xlfn.XLOOKUP($D1490,ccc[city],ccc[ctry],"-"),"-")</f>
        <v/>
      </c>
      <c r="M1490" s="1395">
        <f>IF(raw[[#This Row],[city]]&lt;&gt;"",_xlfn.XLOOKUP($D1490,ccc[city],ccc[cont],"-"),"-")</f>
        <v/>
      </c>
      <c r="N1490" s="1396">
        <f>IF(raw[[#This Row],[city]]="","-",IF(raw[[#This Row],[cont]]="B",raw[[#This Row],[cont]],"W"))</f>
        <v/>
      </c>
      <c r="O1490" s="1397">
        <f>IF(raw[[#This Row],[out]]=0,0,IF(raw[[#This Row],[out]]=raw[[#This Row],[in]],0.01,raw[[#This Row],[out]]-raw[[#This Row],[in]]))</f>
        <v/>
      </c>
      <c r="P1490" s="1397">
        <f>IF(raw[[#This Row],[in]]=0,0,MONTH(raw[[#This Row],[in]]))</f>
        <v/>
      </c>
      <c r="Q1490" s="1397">
        <f>IF(raw[[#This Row],[in]]=0,0,YEAR(raw[[#This Row],[in]]))</f>
        <v/>
      </c>
      <c r="R1490" s="1397">
        <f>INT(raw[[#This Row],[yr]]/10)*10</f>
        <v/>
      </c>
      <c r="S1490" s="1395">
        <f>IF(raw[[#This Row],[city]]="","-",IF(raw[[#This Row],[city]]&lt;&gt;_xlfn.XLOOKUP(raw[[#This Row],[home]],homes[home],homes[city],"-"),1,0))</f>
        <v/>
      </c>
      <c r="T1490" s="1398" t="inlineStr">
        <is>
          <t>.</t>
        </is>
      </c>
      <c r="U1490" s="1399">
        <f>IF(raw[[#This Row],[wb]]="w",raw[[#This Row],[stay]]+U1489,U1489)</f>
        <v/>
      </c>
      <c r="V1490" s="1400">
        <f>IF(raw[[#This Row],[out]]=0,V1489,(raw[[#This Row],[out]]-E$5))</f>
        <v/>
      </c>
      <c r="W1490" s="1401">
        <f>U1490/V1490</f>
        <v/>
      </c>
      <c r="X1490" s="1392" t="n"/>
      <c r="Y1490" s="1392" t="n"/>
      <c r="Z1490" s="1392" t="n"/>
      <c r="AA1490" s="1392" t="n"/>
      <c r="AB1490" s="1392" t="n"/>
      <c r="AC1490" s="1392" t="n"/>
      <c r="AD1490" s="1392" t="n"/>
      <c r="AE1490" s="1392" t="n"/>
      <c r="AF1490" s="1392" t="n"/>
      <c r="AG1490" s="1392" t="n"/>
      <c r="AH1490" s="1392" t="n"/>
      <c r="AI1490" s="1392" t="n"/>
      <c r="AJ1490" s="1392" t="n"/>
      <c r="AK1490" s="1392" t="n"/>
      <c r="AL1490" s="1392" t="n"/>
      <c r="AM1490" s="1392" t="n"/>
      <c r="AN1490" s="1392" t="n"/>
      <c r="AO1490" s="1392" t="n"/>
      <c r="AP1490" s="1392" t="n"/>
      <c r="AQ1490" s="1392" t="n"/>
      <c r="AR1490" s="1422" t="n"/>
      <c r="AS1490" s="1422" t="n"/>
      <c r="AT1490" s="1392" t="n"/>
      <c r="AU1490" s="1392" t="n"/>
      <c r="AV1490" s="1392" t="n"/>
      <c r="AW1490" s="1392" t="n"/>
      <c r="AX1490" s="1392" t="n"/>
      <c r="AY1490" s="1392" t="n"/>
      <c r="AZ1490" s="1392" t="n"/>
      <c r="BA1490" s="1422" t="n"/>
      <c r="BB1490" s="1422" t="n"/>
      <c r="BC1490" s="1392" t="n"/>
      <c r="BD1490" s="1392" t="n"/>
      <c r="BE1490" s="1392" t="n"/>
      <c r="BF1490" s="1392" t="n"/>
      <c r="BG1490" s="1392" t="n"/>
      <c r="BH1490" s="1392" t="n"/>
      <c r="BI1490" s="1392" t="n"/>
      <c r="BJ1490" s="1392" t="n"/>
      <c r="BK1490" s="1392" t="n"/>
      <c r="BL1490" s="1392" t="n"/>
      <c r="BM1490" s="1392" t="n"/>
      <c r="BN1490" s="1392" t="n"/>
      <c r="BO1490" s="1392" t="n"/>
      <c r="BP1490" s="1392" t="n"/>
      <c r="BQ1490" s="1392" t="n"/>
      <c r="BR1490" s="1392" t="n"/>
      <c r="BS1490" s="1392" t="n"/>
      <c r="BT1490" s="1392" t="n"/>
      <c r="BU1490" s="1392" t="n"/>
      <c r="BV1490" s="1392" t="n"/>
      <c r="BW1490" s="1392" t="n"/>
      <c r="BX1490" s="1392" t="n"/>
      <c r="BY1490" s="1392" t="n"/>
      <c r="BZ1490" s="1392" t="n"/>
      <c r="CA1490" s="1392" t="n"/>
      <c r="CB1490" s="1392" t="n"/>
      <c r="CC1490" s="1392" t="n"/>
      <c r="CD1490" s="1392" t="n"/>
      <c r="CE1490" s="1392" t="n"/>
      <c r="CF1490" s="1392" t="n"/>
      <c r="CG1490" s="1392" t="n"/>
      <c r="CH1490" s="1392" t="n"/>
      <c r="CI1490" s="1392" t="n"/>
      <c r="CJ1490" s="1392" t="n"/>
      <c r="CK1490" s="1392" t="n"/>
      <c r="CL1490" s="1392" t="n"/>
    </row>
    <row r="1491">
      <c r="A1491" s="5" t="inlineStr">
        <is>
          <t>.</t>
        </is>
      </c>
      <c r="B1491" s="5" t="inlineStr">
        <is>
          <t>.</t>
        </is>
      </c>
      <c r="C1491" s="1378">
        <f>IF(raw[[#This Row],[city]]="","-",IF(raw[[#This Row],[city]]="TODAY","-",C1490+1))</f>
        <v/>
      </c>
      <c r="D1491" s="1393" t="inlineStr">
        <is>
          <t>Rio</t>
        </is>
      </c>
      <c r="E1491" s="1394" t="n">
        <v>43538</v>
      </c>
      <c r="F1491" s="1394" t="n">
        <v>43539</v>
      </c>
      <c r="G1491" s="1393" t="n">
        <v>1</v>
      </c>
      <c r="H1491" s="1393" t="inlineStr">
        <is>
          <t>Nadeau</t>
        </is>
      </c>
      <c r="I1491" s="1393" t="inlineStr">
        <is>
          <t>Tatá/Venancio</t>
        </is>
      </c>
      <c r="J1491" s="1393" t="inlineStr">
        <is>
          <t>-</t>
        </is>
      </c>
      <c r="K1491" s="1395">
        <f>IF(raw[[#This Row],[city]]&lt;&gt;"",_xlfn.XLOOKUP($D1491,ccc[city],ccc[prov],"-"),"-")</f>
        <v/>
      </c>
      <c r="L1491" s="1395">
        <f>IF(raw[[#This Row],[city]]&lt;&gt;"",_xlfn.XLOOKUP($D1491,ccc[city],ccc[ctry],"-"),"-")</f>
        <v/>
      </c>
      <c r="M1491" s="1395">
        <f>IF(raw[[#This Row],[city]]&lt;&gt;"",_xlfn.XLOOKUP($D1491,ccc[city],ccc[cont],"-"),"-")</f>
        <v/>
      </c>
      <c r="N1491" s="1396">
        <f>IF(raw[[#This Row],[city]]="","-",IF(raw[[#This Row],[cont]]="B",raw[[#This Row],[cont]],"W"))</f>
        <v/>
      </c>
      <c r="O1491" s="1397">
        <f>IF(raw[[#This Row],[out]]=0,0,IF(raw[[#This Row],[out]]=raw[[#This Row],[in]],0.01,raw[[#This Row],[out]]-raw[[#This Row],[in]]))</f>
        <v/>
      </c>
      <c r="P1491" s="1397">
        <f>IF(raw[[#This Row],[in]]=0,0,MONTH(raw[[#This Row],[in]]))</f>
        <v/>
      </c>
      <c r="Q1491" s="1397">
        <f>IF(raw[[#This Row],[in]]=0,0,YEAR(raw[[#This Row],[in]]))</f>
        <v/>
      </c>
      <c r="R1491" s="1397">
        <f>INT(raw[[#This Row],[yr]]/10)*10</f>
        <v/>
      </c>
      <c r="S1491" s="1395">
        <f>IF(raw[[#This Row],[city]]="","-",IF(raw[[#This Row],[city]]&lt;&gt;_xlfn.XLOOKUP(raw[[#This Row],[home]],homes[home],homes[city],"-"),1,0))</f>
        <v/>
      </c>
      <c r="T1491" s="1398" t="inlineStr">
        <is>
          <t>.</t>
        </is>
      </c>
      <c r="U1491" s="1399">
        <f>IF(raw[[#This Row],[wb]]="w",raw[[#This Row],[stay]]+U1490,U1490)</f>
        <v/>
      </c>
      <c r="V1491" s="1400">
        <f>IF(raw[[#This Row],[out]]=0,V1490,(raw[[#This Row],[out]]-E$5))</f>
        <v/>
      </c>
      <c r="W1491" s="1401">
        <f>U1491/V1491</f>
        <v/>
      </c>
      <c r="X1491" s="1392" t="n"/>
      <c r="Y1491" s="1392" t="n"/>
      <c r="Z1491" s="1392" t="n"/>
      <c r="AA1491" s="1392" t="n"/>
      <c r="AB1491" s="1392" t="n"/>
      <c r="AC1491" s="1392" t="n"/>
      <c r="AD1491" s="1392" t="n"/>
      <c r="AE1491" s="1392" t="n"/>
      <c r="AF1491" s="1392" t="n"/>
      <c r="AG1491" s="1392" t="n"/>
      <c r="AH1491" s="1392" t="n"/>
      <c r="AI1491" s="1392" t="n"/>
      <c r="AJ1491" s="1392" t="n"/>
      <c r="AK1491" s="1392" t="n"/>
      <c r="AL1491" s="1392" t="n"/>
      <c r="AM1491" s="1392" t="n"/>
      <c r="AN1491" s="1392" t="n"/>
      <c r="AO1491" s="1392" t="n"/>
      <c r="AP1491" s="1392" t="n"/>
      <c r="AQ1491" s="1392" t="n"/>
      <c r="AR1491" s="1422" t="n"/>
      <c r="AS1491" s="1422" t="n"/>
      <c r="AT1491" s="1392" t="n"/>
      <c r="AU1491" s="1392" t="n"/>
      <c r="AV1491" s="1392" t="n"/>
      <c r="AW1491" s="1392" t="n"/>
      <c r="AX1491" s="1392" t="n"/>
      <c r="AY1491" s="1392" t="n"/>
      <c r="AZ1491" s="1392" t="n"/>
      <c r="BA1491" s="1422" t="n"/>
      <c r="BB1491" s="1422" t="n"/>
      <c r="BC1491" s="1392" t="n"/>
      <c r="BD1491" s="1392" t="n"/>
      <c r="BE1491" s="1392" t="n"/>
      <c r="BF1491" s="1392" t="n"/>
      <c r="BG1491" s="1392" t="n"/>
      <c r="BH1491" s="1392" t="n"/>
      <c r="BI1491" s="1392" t="n"/>
      <c r="BJ1491" s="1392" t="n"/>
      <c r="BK1491" s="1392" t="n"/>
      <c r="BL1491" s="1392" t="n"/>
      <c r="BM1491" s="1392" t="n"/>
      <c r="BN1491" s="1392" t="n"/>
      <c r="BO1491" s="1392" t="n"/>
      <c r="BP1491" s="1392" t="n"/>
      <c r="BQ1491" s="1392" t="n"/>
      <c r="BR1491" s="1392" t="n"/>
      <c r="BS1491" s="1392" t="n"/>
      <c r="BT1491" s="1392" t="n"/>
      <c r="BU1491" s="1392" t="n"/>
      <c r="BV1491" s="1392" t="n"/>
      <c r="BW1491" s="1392" t="n"/>
      <c r="BX1491" s="1392" t="n"/>
      <c r="BY1491" s="1392" t="n"/>
      <c r="BZ1491" s="1392" t="n"/>
      <c r="CA1491" s="1392" t="n"/>
      <c r="CB1491" s="1392" t="n"/>
      <c r="CC1491" s="1392" t="n"/>
      <c r="CD1491" s="1392" t="n"/>
      <c r="CE1491" s="1392" t="n"/>
      <c r="CF1491" s="1392" t="n"/>
      <c r="CG1491" s="1392" t="n"/>
      <c r="CH1491" s="1392" t="n"/>
      <c r="CI1491" s="1392" t="n"/>
      <c r="CJ1491" s="1392" t="n"/>
      <c r="CK1491" s="1392" t="n"/>
      <c r="CL1491" s="1392" t="n"/>
    </row>
    <row r="1492">
      <c r="A1492" s="5" t="inlineStr">
        <is>
          <t>.</t>
        </is>
      </c>
      <c r="B1492" s="5" t="inlineStr">
        <is>
          <t>.</t>
        </is>
      </c>
      <c r="C1492" s="1378">
        <f>IF(raw[[#This Row],[city]]="","-",IF(raw[[#This Row],[city]]="TODAY","-",C1491+1))</f>
        <v/>
      </c>
      <c r="D1492" s="1393" t="inlineStr">
        <is>
          <t>SSA</t>
        </is>
      </c>
      <c r="E1492" s="1394" t="n">
        <v>43539</v>
      </c>
      <c r="F1492" s="1394" t="n">
        <v>43547</v>
      </c>
      <c r="G1492" s="1393" t="n">
        <v>1</v>
      </c>
      <c r="H1492" s="1393" t="inlineStr">
        <is>
          <t>Nadeau</t>
        </is>
      </c>
      <c r="I1492" s="1393" t="inlineStr">
        <is>
          <t>Ondina</t>
        </is>
      </c>
      <c r="J1492" s="1393" t="inlineStr">
        <is>
          <t>-</t>
        </is>
      </c>
      <c r="K1492" s="1395">
        <f>IF(raw[[#This Row],[city]]&lt;&gt;"",_xlfn.XLOOKUP($D1492,ccc[city],ccc[prov],"-"),"-")</f>
        <v/>
      </c>
      <c r="L1492" s="1395">
        <f>IF(raw[[#This Row],[city]]&lt;&gt;"",_xlfn.XLOOKUP($D1492,ccc[city],ccc[ctry],"-"),"-")</f>
        <v/>
      </c>
      <c r="M1492" s="1395">
        <f>IF(raw[[#This Row],[city]]&lt;&gt;"",_xlfn.XLOOKUP($D1492,ccc[city],ccc[cont],"-"),"-")</f>
        <v/>
      </c>
      <c r="N1492" s="1396">
        <f>IF(raw[[#This Row],[city]]="","-",IF(raw[[#This Row],[cont]]="B",raw[[#This Row],[cont]],"W"))</f>
        <v/>
      </c>
      <c r="O1492" s="1397">
        <f>IF(raw[[#This Row],[out]]=0,0,IF(raw[[#This Row],[out]]=raw[[#This Row],[in]],0.01,raw[[#This Row],[out]]-raw[[#This Row],[in]]))</f>
        <v/>
      </c>
      <c r="P1492" s="1397">
        <f>IF(raw[[#This Row],[in]]=0,0,MONTH(raw[[#This Row],[in]]))</f>
        <v/>
      </c>
      <c r="Q1492" s="1397">
        <f>IF(raw[[#This Row],[in]]=0,0,YEAR(raw[[#This Row],[in]]))</f>
        <v/>
      </c>
      <c r="R1492" s="1397">
        <f>INT(raw[[#This Row],[yr]]/10)*10</f>
        <v/>
      </c>
      <c r="S1492" s="1395">
        <f>IF(raw[[#This Row],[city]]="","-",IF(raw[[#This Row],[city]]&lt;&gt;_xlfn.XLOOKUP(raw[[#This Row],[home]],homes[home],homes[city],"-"),1,0))</f>
        <v/>
      </c>
      <c r="T1492" s="1398" t="inlineStr">
        <is>
          <t>.</t>
        </is>
      </c>
      <c r="U1492" s="1399">
        <f>IF(raw[[#This Row],[wb]]="w",raw[[#This Row],[stay]]+U1491,U1491)</f>
        <v/>
      </c>
      <c r="V1492" s="1400">
        <f>IF(raw[[#This Row],[out]]=0,V1491,(raw[[#This Row],[out]]-E$5))</f>
        <v/>
      </c>
      <c r="W1492" s="1401">
        <f>U1492/V1492</f>
        <v/>
      </c>
      <c r="X1492" s="1392" t="n"/>
      <c r="Y1492" s="1392" t="n"/>
      <c r="Z1492" s="1392" t="n"/>
      <c r="AA1492" s="1392" t="n"/>
      <c r="AB1492" s="1392" t="n"/>
      <c r="AC1492" s="1392" t="n"/>
      <c r="AD1492" s="1392" t="n"/>
      <c r="AE1492" s="1392" t="n"/>
      <c r="AF1492" s="1392" t="n"/>
      <c r="AG1492" s="1392" t="n"/>
      <c r="AH1492" s="1392" t="n"/>
      <c r="AI1492" s="1392" t="n"/>
      <c r="AJ1492" s="1392" t="n"/>
      <c r="AK1492" s="1392" t="n"/>
      <c r="AL1492" s="1392" t="n"/>
      <c r="AM1492" s="1392" t="n"/>
      <c r="AN1492" s="1392" t="n"/>
      <c r="AO1492" s="1392" t="n"/>
      <c r="AP1492" s="1392" t="n"/>
      <c r="AQ1492" s="1392" t="n"/>
      <c r="AR1492" s="1422" t="n"/>
      <c r="AS1492" s="1422" t="n"/>
      <c r="AT1492" s="1392" t="n"/>
      <c r="AU1492" s="1392" t="n"/>
      <c r="AV1492" s="1392" t="n"/>
      <c r="AW1492" s="1392" t="n"/>
      <c r="AX1492" s="1392" t="n"/>
      <c r="AY1492" s="1392" t="n"/>
      <c r="AZ1492" s="1392" t="n"/>
      <c r="BA1492" s="1422" t="n"/>
      <c r="BB1492" s="1422" t="n"/>
      <c r="BC1492" s="1392" t="n"/>
      <c r="BD1492" s="1392" t="n"/>
      <c r="BE1492" s="1392" t="n"/>
      <c r="BF1492" s="1392" t="n"/>
      <c r="BG1492" s="1392" t="n"/>
      <c r="BH1492" s="1392" t="n"/>
      <c r="BI1492" s="1392" t="n"/>
      <c r="BJ1492" s="1392" t="n"/>
      <c r="BK1492" s="1392" t="n"/>
      <c r="BL1492" s="1392" t="n"/>
      <c r="BM1492" s="1392" t="n"/>
      <c r="BN1492" s="1392" t="n"/>
      <c r="BO1492" s="1392" t="n"/>
      <c r="BP1492" s="1392" t="n"/>
      <c r="BQ1492" s="1392" t="n"/>
      <c r="BR1492" s="1392" t="n"/>
      <c r="BS1492" s="1392" t="n"/>
      <c r="BT1492" s="1392" t="n"/>
      <c r="BU1492" s="1392" t="n"/>
      <c r="BV1492" s="1392" t="n"/>
      <c r="BW1492" s="1392" t="n"/>
      <c r="BX1492" s="1392" t="n"/>
      <c r="BY1492" s="1392" t="n"/>
      <c r="BZ1492" s="1392" t="n"/>
      <c r="CA1492" s="1392" t="n"/>
      <c r="CB1492" s="1392" t="n"/>
      <c r="CC1492" s="1392" t="n"/>
      <c r="CD1492" s="1392" t="n"/>
      <c r="CE1492" s="1392" t="n"/>
      <c r="CF1492" s="1392" t="n"/>
      <c r="CG1492" s="1392" t="n"/>
      <c r="CH1492" s="1392" t="n"/>
      <c r="CI1492" s="1392" t="n"/>
      <c r="CJ1492" s="1392" t="n"/>
      <c r="CK1492" s="1392" t="n"/>
      <c r="CL1492" s="1392" t="n"/>
    </row>
    <row r="1493">
      <c r="A1493" s="5" t="inlineStr">
        <is>
          <t>.</t>
        </is>
      </c>
      <c r="B1493" s="5" t="inlineStr">
        <is>
          <t>.</t>
        </is>
      </c>
      <c r="C1493" s="1378">
        <f>IF(raw[[#This Row],[city]]="","-",IF(raw[[#This Row],[city]]="TODAY","-",C1492+1))</f>
        <v/>
      </c>
      <c r="D1493" s="1393" t="inlineStr">
        <is>
          <t>Rio</t>
        </is>
      </c>
      <c r="E1493" s="1394" t="n">
        <v>43547</v>
      </c>
      <c r="F1493" s="1394" t="n">
        <v>43550</v>
      </c>
      <c r="G1493" s="1393" t="n">
        <v>1</v>
      </c>
      <c r="H1493" s="1393" t="inlineStr">
        <is>
          <t>Nadeau</t>
        </is>
      </c>
      <c r="I1493" s="1393" t="inlineStr">
        <is>
          <t>Tatá/Venancio</t>
        </is>
      </c>
      <c r="J1493" s="1393" t="inlineStr">
        <is>
          <t>-</t>
        </is>
      </c>
      <c r="K1493" s="1395">
        <f>IF(raw[[#This Row],[city]]&lt;&gt;"",_xlfn.XLOOKUP($D1493,ccc[city],ccc[prov],"-"),"-")</f>
        <v/>
      </c>
      <c r="L1493" s="1395">
        <f>IF(raw[[#This Row],[city]]&lt;&gt;"",_xlfn.XLOOKUP($D1493,ccc[city],ccc[ctry],"-"),"-")</f>
        <v/>
      </c>
      <c r="M1493" s="1395">
        <f>IF(raw[[#This Row],[city]]&lt;&gt;"",_xlfn.XLOOKUP($D1493,ccc[city],ccc[cont],"-"),"-")</f>
        <v/>
      </c>
      <c r="N1493" s="1396">
        <f>IF(raw[[#This Row],[city]]="","-",IF(raw[[#This Row],[cont]]="B",raw[[#This Row],[cont]],"W"))</f>
        <v/>
      </c>
      <c r="O1493" s="1397">
        <f>IF(raw[[#This Row],[out]]=0,0,IF(raw[[#This Row],[out]]=raw[[#This Row],[in]],0.01,raw[[#This Row],[out]]-raw[[#This Row],[in]]))</f>
        <v/>
      </c>
      <c r="P1493" s="1397">
        <f>IF(raw[[#This Row],[in]]=0,0,MONTH(raw[[#This Row],[in]]))</f>
        <v/>
      </c>
      <c r="Q1493" s="1397">
        <f>IF(raw[[#This Row],[in]]=0,0,YEAR(raw[[#This Row],[in]]))</f>
        <v/>
      </c>
      <c r="R1493" s="1397">
        <f>INT(raw[[#This Row],[yr]]/10)*10</f>
        <v/>
      </c>
      <c r="S1493" s="1395">
        <f>IF(raw[[#This Row],[city]]="","-",IF(raw[[#This Row],[city]]&lt;&gt;_xlfn.XLOOKUP(raw[[#This Row],[home]],homes[home],homes[city],"-"),1,0))</f>
        <v/>
      </c>
      <c r="T1493" s="1398" t="inlineStr">
        <is>
          <t>.</t>
        </is>
      </c>
      <c r="U1493" s="1399">
        <f>IF(raw[[#This Row],[wb]]="w",raw[[#This Row],[stay]]+U1492,U1492)</f>
        <v/>
      </c>
      <c r="V1493" s="1400">
        <f>IF(raw[[#This Row],[out]]=0,V1492,(raw[[#This Row],[out]]-E$5))</f>
        <v/>
      </c>
      <c r="W1493" s="1401">
        <f>U1493/V1493</f>
        <v/>
      </c>
      <c r="X1493" s="1392" t="n"/>
      <c r="Y1493" s="1392" t="n"/>
      <c r="Z1493" s="1392" t="n"/>
      <c r="AA1493" s="1392" t="n"/>
      <c r="AB1493" s="1392" t="n"/>
      <c r="AC1493" s="1392" t="n"/>
      <c r="AD1493" s="1392" t="n"/>
      <c r="AE1493" s="1392" t="n"/>
      <c r="AF1493" s="1392" t="n"/>
      <c r="AG1493" s="1392" t="n"/>
      <c r="AH1493" s="1392" t="n"/>
      <c r="AI1493" s="1392" t="n"/>
      <c r="AJ1493" s="1392" t="n"/>
      <c r="AK1493" s="1392" t="n"/>
      <c r="AL1493" s="1392" t="n"/>
      <c r="AM1493" s="1392" t="n"/>
      <c r="AN1493" s="1392" t="n"/>
      <c r="AO1493" s="1392" t="n"/>
      <c r="AP1493" s="1392" t="n"/>
      <c r="AQ1493" s="1392" t="n"/>
      <c r="AR1493" s="1422" t="n"/>
      <c r="AS1493" s="1422" t="n"/>
      <c r="AT1493" s="1392" t="n"/>
      <c r="AU1493" s="1392" t="n"/>
      <c r="AV1493" s="1392" t="n"/>
      <c r="AW1493" s="1392" t="n"/>
      <c r="AX1493" s="1392" t="n"/>
      <c r="AY1493" s="1392" t="n"/>
      <c r="AZ1493" s="1392" t="n"/>
      <c r="BA1493" s="1422" t="n"/>
      <c r="BB1493" s="1422" t="n"/>
      <c r="BC1493" s="1392" t="n"/>
      <c r="BD1493" s="1392" t="n"/>
      <c r="BE1493" s="1392" t="n"/>
      <c r="BF1493" s="1392" t="n"/>
      <c r="BG1493" s="1392" t="n"/>
      <c r="BH1493" s="1392" t="n"/>
      <c r="BI1493" s="1392" t="n"/>
      <c r="BJ1493" s="1392" t="n"/>
      <c r="BK1493" s="1392" t="n"/>
      <c r="BL1493" s="1392" t="n"/>
      <c r="BM1493" s="1392" t="n"/>
      <c r="BN1493" s="1392" t="n"/>
      <c r="BO1493" s="1392" t="n"/>
      <c r="BP1493" s="1392" t="n"/>
      <c r="BQ1493" s="1392" t="n"/>
      <c r="BR1493" s="1392" t="n"/>
      <c r="BS1493" s="1392" t="n"/>
      <c r="BT1493" s="1392" t="n"/>
      <c r="BU1493" s="1392" t="n"/>
      <c r="BV1493" s="1392" t="n"/>
      <c r="BW1493" s="1392" t="n"/>
      <c r="BX1493" s="1392" t="n"/>
      <c r="BY1493" s="1392" t="n"/>
      <c r="BZ1493" s="1392" t="n"/>
      <c r="CA1493" s="1392" t="n"/>
      <c r="CB1493" s="1392" t="n"/>
      <c r="CC1493" s="1392" t="n"/>
      <c r="CD1493" s="1392" t="n"/>
      <c r="CE1493" s="1392" t="n"/>
      <c r="CF1493" s="1392" t="n"/>
      <c r="CG1493" s="1392" t="n"/>
      <c r="CH1493" s="1392" t="n"/>
      <c r="CI1493" s="1392" t="n"/>
      <c r="CJ1493" s="1392" t="n"/>
      <c r="CK1493" s="1392" t="n"/>
      <c r="CL1493" s="1392" t="n"/>
    </row>
    <row r="1494">
      <c r="A1494" s="5" t="inlineStr">
        <is>
          <t>.</t>
        </is>
      </c>
      <c r="B1494" s="5" t="inlineStr">
        <is>
          <t>.</t>
        </is>
      </c>
      <c r="C1494" s="1378">
        <f>IF(raw[[#This Row],[city]]="","-",IF(raw[[#This Row],[city]]="TODAY","-",C1493+1))</f>
        <v/>
      </c>
      <c r="D1494" s="1393" t="inlineStr">
        <is>
          <t>AIR</t>
        </is>
      </c>
      <c r="E1494" s="1394" t="n">
        <v>43550</v>
      </c>
      <c r="F1494" s="1394" t="n">
        <v>43551</v>
      </c>
      <c r="G1494" s="1393" t="inlineStr">
        <is>
          <t>x</t>
        </is>
      </c>
      <c r="H1494" s="1393" t="inlineStr">
        <is>
          <t>Nadeau</t>
        </is>
      </c>
      <c r="I1494" s="1393" t="inlineStr">
        <is>
          <t>-</t>
        </is>
      </c>
      <c r="J1494" s="1393" t="inlineStr">
        <is>
          <t>-</t>
        </is>
      </c>
      <c r="K1494" s="1395">
        <f>IF(raw[[#This Row],[city]]&lt;&gt;"",_xlfn.XLOOKUP($D1494,ccc[city],ccc[prov],"-"),"-")</f>
        <v/>
      </c>
      <c r="L1494" s="1395">
        <f>IF(raw[[#This Row],[city]]&lt;&gt;"",_xlfn.XLOOKUP($D1494,ccc[city],ccc[ctry],"-"),"-")</f>
        <v/>
      </c>
      <c r="M1494" s="1395">
        <f>IF(raw[[#This Row],[city]]&lt;&gt;"",_xlfn.XLOOKUP($D1494,ccc[city],ccc[cont],"-"),"-")</f>
        <v/>
      </c>
      <c r="N1494" s="1396">
        <f>IF(raw[[#This Row],[city]]="","-",IF(raw[[#This Row],[cont]]="B",raw[[#This Row],[cont]],"W"))</f>
        <v/>
      </c>
      <c r="O1494" s="1397">
        <f>IF(raw[[#This Row],[out]]=0,0,IF(raw[[#This Row],[out]]=raw[[#This Row],[in]],0.01,raw[[#This Row],[out]]-raw[[#This Row],[in]]))</f>
        <v/>
      </c>
      <c r="P1494" s="1397">
        <f>IF(raw[[#This Row],[in]]=0,0,MONTH(raw[[#This Row],[in]]))</f>
        <v/>
      </c>
      <c r="Q1494" s="1397">
        <f>IF(raw[[#This Row],[in]]=0,0,YEAR(raw[[#This Row],[in]]))</f>
        <v/>
      </c>
      <c r="R1494" s="1397">
        <f>INT(raw[[#This Row],[yr]]/10)*10</f>
        <v/>
      </c>
      <c r="S1494" s="1395">
        <f>IF(raw[[#This Row],[city]]="","-",IF(raw[[#This Row],[city]]&lt;&gt;_xlfn.XLOOKUP(raw[[#This Row],[home]],homes[home],homes[city],"-"),1,0))</f>
        <v/>
      </c>
      <c r="T1494" s="1398" t="inlineStr">
        <is>
          <t>.</t>
        </is>
      </c>
      <c r="U1494" s="1399">
        <f>IF(raw[[#This Row],[wb]]="w",raw[[#This Row],[stay]]+U1493,U1493)</f>
        <v/>
      </c>
      <c r="V1494" s="1400">
        <f>IF(raw[[#This Row],[out]]=0,V1493,(raw[[#This Row],[out]]-E$5))</f>
        <v/>
      </c>
      <c r="W1494" s="1401">
        <f>U1494/V1494</f>
        <v/>
      </c>
      <c r="X1494" s="1392" t="n"/>
      <c r="Y1494" s="1392" t="n"/>
      <c r="Z1494" s="1392" t="n"/>
      <c r="AA1494" s="1392" t="n"/>
      <c r="AB1494" s="1392" t="n"/>
      <c r="AC1494" s="1392" t="n"/>
      <c r="AD1494" s="1392" t="n"/>
      <c r="AE1494" s="1392" t="n"/>
      <c r="AF1494" s="1392" t="n"/>
      <c r="AG1494" s="1392" t="n"/>
      <c r="AH1494" s="1392" t="n"/>
      <c r="AI1494" s="1392" t="n"/>
      <c r="AJ1494" s="1392" t="n"/>
      <c r="AK1494" s="1392" t="n"/>
      <c r="AL1494" s="1392" t="n"/>
      <c r="AM1494" s="1392" t="n"/>
      <c r="AN1494" s="1392" t="n"/>
      <c r="AO1494" s="1392" t="n"/>
      <c r="AP1494" s="1392" t="n"/>
      <c r="AQ1494" s="1392" t="n"/>
      <c r="AR1494" s="1422" t="n"/>
      <c r="AS1494" s="1422" t="n"/>
      <c r="AT1494" s="1392" t="n"/>
      <c r="AU1494" s="1392" t="n"/>
      <c r="AV1494" s="1392" t="n"/>
      <c r="AW1494" s="1392" t="n"/>
      <c r="AX1494" s="1392" t="n"/>
      <c r="AY1494" s="1392" t="n"/>
      <c r="AZ1494" s="1392" t="n"/>
      <c r="BA1494" s="1422" t="n"/>
      <c r="BB1494" s="1422" t="n"/>
      <c r="BC1494" s="1392" t="n"/>
      <c r="BD1494" s="1392" t="n"/>
      <c r="BE1494" s="1392" t="n"/>
      <c r="BF1494" s="1392" t="n"/>
      <c r="BG1494" s="1392" t="n"/>
      <c r="BH1494" s="1392" t="n"/>
      <c r="BI1494" s="1392" t="n"/>
      <c r="BJ1494" s="1392" t="n"/>
      <c r="BK1494" s="1392" t="n"/>
      <c r="BL1494" s="1392" t="n"/>
      <c r="BM1494" s="1392" t="n"/>
      <c r="BN1494" s="1392" t="n"/>
      <c r="BO1494" s="1392" t="n"/>
      <c r="BP1494" s="1392" t="n"/>
      <c r="BQ1494" s="1392" t="n"/>
      <c r="BR1494" s="1392" t="n"/>
      <c r="BS1494" s="1392" t="n"/>
      <c r="BT1494" s="1392" t="n"/>
      <c r="BU1494" s="1392" t="n"/>
      <c r="BV1494" s="1392" t="n"/>
      <c r="BW1494" s="1392" t="n"/>
      <c r="BX1494" s="1392" t="n"/>
      <c r="BY1494" s="1392" t="n"/>
      <c r="BZ1494" s="1392" t="n"/>
      <c r="CA1494" s="1392" t="n"/>
      <c r="CB1494" s="1392" t="n"/>
      <c r="CC1494" s="1392" t="n"/>
      <c r="CD1494" s="1392" t="n"/>
      <c r="CE1494" s="1392" t="n"/>
      <c r="CF1494" s="1392" t="n"/>
      <c r="CG1494" s="1392" t="n"/>
      <c r="CH1494" s="1392" t="n"/>
      <c r="CI1494" s="1392" t="n"/>
      <c r="CJ1494" s="1392" t="n"/>
      <c r="CK1494" s="1392" t="n"/>
      <c r="CL1494" s="1392" t="n"/>
    </row>
    <row r="1495">
      <c r="A1495" s="5" t="inlineStr">
        <is>
          <t>.</t>
        </is>
      </c>
      <c r="B1495" s="5" t="inlineStr">
        <is>
          <t>.</t>
        </is>
      </c>
      <c r="C1495" s="1378">
        <f>IF(raw[[#This Row],[city]]="","-",IF(raw[[#This Row],[city]]="TODAY","-",C1494+1))</f>
        <v/>
      </c>
      <c r="D1495" s="1393" t="inlineStr">
        <is>
          <t>Atlanta</t>
        </is>
      </c>
      <c r="E1495" s="1394" t="n">
        <v>43551</v>
      </c>
      <c r="F1495" s="1394" t="n">
        <v>43551</v>
      </c>
      <c r="G1495" s="1393" t="n">
        <v>0.01</v>
      </c>
      <c r="H1495" s="1393" t="inlineStr">
        <is>
          <t>Nadeau</t>
        </is>
      </c>
      <c r="I1495" s="1393" t="inlineStr">
        <is>
          <t>-</t>
        </is>
      </c>
      <c r="J1495" s="1393" t="inlineStr">
        <is>
          <t>-</t>
        </is>
      </c>
      <c r="K1495" s="1395">
        <f>IF(raw[[#This Row],[city]]&lt;&gt;"",_xlfn.XLOOKUP($D1495,ccc[city],ccc[prov],"-"),"-")</f>
        <v/>
      </c>
      <c r="L1495" s="1395">
        <f>IF(raw[[#This Row],[city]]&lt;&gt;"",_xlfn.XLOOKUP($D1495,ccc[city],ccc[ctry],"-"),"-")</f>
        <v/>
      </c>
      <c r="M1495" s="1395">
        <f>IF(raw[[#This Row],[city]]&lt;&gt;"",_xlfn.XLOOKUP($D1495,ccc[city],ccc[cont],"-"),"-")</f>
        <v/>
      </c>
      <c r="N1495" s="1396">
        <f>IF(raw[[#This Row],[city]]="","-",IF(raw[[#This Row],[cont]]="B",raw[[#This Row],[cont]],"W"))</f>
        <v/>
      </c>
      <c r="O1495" s="1397">
        <f>IF(raw[[#This Row],[out]]=0,0,IF(raw[[#This Row],[out]]=raw[[#This Row],[in]],0.01,raw[[#This Row],[out]]-raw[[#This Row],[in]]))</f>
        <v/>
      </c>
      <c r="P1495" s="1397">
        <f>IF(raw[[#This Row],[in]]=0,0,MONTH(raw[[#This Row],[in]]))</f>
        <v/>
      </c>
      <c r="Q1495" s="1397">
        <f>IF(raw[[#This Row],[in]]=0,0,YEAR(raw[[#This Row],[in]]))</f>
        <v/>
      </c>
      <c r="R1495" s="1397">
        <f>INT(raw[[#This Row],[yr]]/10)*10</f>
        <v/>
      </c>
      <c r="S1495" s="1395">
        <f>IF(raw[[#This Row],[city]]="","-",IF(raw[[#This Row],[city]]&lt;&gt;_xlfn.XLOOKUP(raw[[#This Row],[home]],homes[home],homes[city],"-"),1,0))</f>
        <v/>
      </c>
      <c r="T1495" s="1398" t="inlineStr">
        <is>
          <t>.</t>
        </is>
      </c>
      <c r="U1495" s="1399">
        <f>IF(raw[[#This Row],[wb]]="w",raw[[#This Row],[stay]]+U1494,U1494)</f>
        <v/>
      </c>
      <c r="V1495" s="1400">
        <f>IF(raw[[#This Row],[out]]=0,V1494,(raw[[#This Row],[out]]-E$5))</f>
        <v/>
      </c>
      <c r="W1495" s="1401">
        <f>U1495/V1495</f>
        <v/>
      </c>
      <c r="X1495" s="1392" t="n"/>
      <c r="Y1495" s="1392" t="n"/>
      <c r="Z1495" s="1392" t="n"/>
      <c r="AA1495" s="1392" t="n"/>
      <c r="AB1495" s="1392" t="n"/>
      <c r="AC1495" s="1392" t="n"/>
      <c r="AD1495" s="1392" t="n"/>
      <c r="AE1495" s="1392" t="n"/>
      <c r="AF1495" s="1392" t="n"/>
      <c r="AG1495" s="1392" t="n"/>
      <c r="AH1495" s="1392" t="n"/>
      <c r="AI1495" s="1392" t="n"/>
      <c r="AJ1495" s="1392" t="n"/>
      <c r="AK1495" s="1392" t="n"/>
      <c r="AL1495" s="1392" t="n"/>
      <c r="AM1495" s="1392" t="n"/>
      <c r="AN1495" s="1392" t="n"/>
      <c r="AO1495" s="1392" t="n"/>
      <c r="AP1495" s="1392" t="n"/>
      <c r="AQ1495" s="1392" t="n"/>
      <c r="AR1495" s="1422" t="n"/>
      <c r="AS1495" s="1422" t="n"/>
      <c r="AT1495" s="1392" t="n"/>
      <c r="AU1495" s="1392" t="n"/>
      <c r="AV1495" s="1392" t="n"/>
      <c r="AW1495" s="1392" t="n"/>
      <c r="AX1495" s="1392" t="n"/>
      <c r="AY1495" s="1392" t="n"/>
      <c r="AZ1495" s="1392" t="n"/>
      <c r="BA1495" s="1422" t="n"/>
      <c r="BB1495" s="1422" t="n"/>
      <c r="BC1495" s="1392" t="n"/>
      <c r="BD1495" s="1392" t="n"/>
      <c r="BE1495" s="1392" t="n"/>
      <c r="BF1495" s="1392" t="n"/>
      <c r="BG1495" s="1392" t="n"/>
      <c r="BH1495" s="1392" t="n"/>
      <c r="BI1495" s="1392" t="n"/>
      <c r="BJ1495" s="1392" t="n"/>
      <c r="BK1495" s="1392" t="n"/>
      <c r="BL1495" s="1392" t="n"/>
      <c r="BM1495" s="1392" t="n"/>
      <c r="BN1495" s="1392" t="n"/>
      <c r="BO1495" s="1392" t="n"/>
      <c r="BP1495" s="1392" t="n"/>
      <c r="BQ1495" s="1392" t="n"/>
      <c r="BR1495" s="1392" t="n"/>
      <c r="BS1495" s="1392" t="n"/>
      <c r="BT1495" s="1392" t="n"/>
      <c r="BU1495" s="1392" t="n"/>
      <c r="BV1495" s="1392" t="n"/>
      <c r="BW1495" s="1392" t="n"/>
      <c r="BX1495" s="1392" t="n"/>
      <c r="BY1495" s="1392" t="n"/>
      <c r="BZ1495" s="1392" t="n"/>
      <c r="CA1495" s="1392" t="n"/>
      <c r="CB1495" s="1392" t="n"/>
      <c r="CC1495" s="1392" t="n"/>
      <c r="CD1495" s="1392" t="n"/>
      <c r="CE1495" s="1392" t="n"/>
      <c r="CF1495" s="1392" t="n"/>
      <c r="CG1495" s="1392" t="n"/>
      <c r="CH1495" s="1392" t="n"/>
      <c r="CI1495" s="1392" t="n"/>
      <c r="CJ1495" s="1392" t="n"/>
      <c r="CK1495" s="1392" t="n"/>
      <c r="CL1495" s="1392" t="n"/>
    </row>
    <row r="1496">
      <c r="A1496" s="5" t="inlineStr">
        <is>
          <t>.</t>
        </is>
      </c>
      <c r="B1496" s="5" t="inlineStr">
        <is>
          <t>.</t>
        </is>
      </c>
      <c r="C1496" s="1378">
        <f>IF(raw[[#This Row],[city]]="","-",IF(raw[[#This Row],[city]]="TODAY","-",C1495+1))</f>
        <v/>
      </c>
      <c r="D1496" s="1393" t="inlineStr">
        <is>
          <t>Montreal</t>
        </is>
      </c>
      <c r="E1496" s="1394" t="n">
        <v>43551</v>
      </c>
      <c r="F1496" s="1394" t="n">
        <v>43556</v>
      </c>
      <c r="G1496" s="1393" t="inlineStr">
        <is>
          <t>-</t>
        </is>
      </c>
      <c r="H1496" s="1393" t="inlineStr">
        <is>
          <t>Nadeau</t>
        </is>
      </c>
      <c r="I1496" s="1393" t="inlineStr">
        <is>
          <t>-</t>
        </is>
      </c>
      <c r="J1496" s="1393" t="inlineStr">
        <is>
          <t>-</t>
        </is>
      </c>
      <c r="K1496" s="1395">
        <f>IF(raw[[#This Row],[city]]&lt;&gt;"",_xlfn.XLOOKUP($D1496,ccc[city],ccc[prov],"-"),"-")</f>
        <v/>
      </c>
      <c r="L1496" s="1395">
        <f>IF(raw[[#This Row],[city]]&lt;&gt;"",_xlfn.XLOOKUP($D1496,ccc[city],ccc[ctry],"-"),"-")</f>
        <v/>
      </c>
      <c r="M1496" s="1395">
        <f>IF(raw[[#This Row],[city]]&lt;&gt;"",_xlfn.XLOOKUP($D1496,ccc[city],ccc[cont],"-"),"-")</f>
        <v/>
      </c>
      <c r="N1496" s="1396">
        <f>IF(raw[[#This Row],[city]]="","-",IF(raw[[#This Row],[cont]]="B",raw[[#This Row],[cont]],"W"))</f>
        <v/>
      </c>
      <c r="O1496" s="1397">
        <f>IF(raw[[#This Row],[out]]=0,0,IF(raw[[#This Row],[out]]=raw[[#This Row],[in]],0.01,raw[[#This Row],[out]]-raw[[#This Row],[in]]))</f>
        <v/>
      </c>
      <c r="P1496" s="1397">
        <f>IF(raw[[#This Row],[in]]=0,0,MONTH(raw[[#This Row],[in]]))</f>
        <v/>
      </c>
      <c r="Q1496" s="1397">
        <f>IF(raw[[#This Row],[in]]=0,0,YEAR(raw[[#This Row],[in]]))</f>
        <v/>
      </c>
      <c r="R1496" s="1397">
        <f>INT(raw[[#This Row],[yr]]/10)*10</f>
        <v/>
      </c>
      <c r="S1496" s="1395">
        <f>IF(raw[[#This Row],[city]]="","-",IF(raw[[#This Row],[city]]&lt;&gt;_xlfn.XLOOKUP(raw[[#This Row],[home]],homes[home],homes[city],"-"),1,0))</f>
        <v/>
      </c>
      <c r="T1496" s="1398" t="inlineStr">
        <is>
          <t>.</t>
        </is>
      </c>
      <c r="U1496" s="1399">
        <f>IF(raw[[#This Row],[wb]]="w",raw[[#This Row],[stay]]+U1495,U1495)</f>
        <v/>
      </c>
      <c r="V1496" s="1400">
        <f>IF(raw[[#This Row],[out]]=0,V1495,(raw[[#This Row],[out]]-E$5))</f>
        <v/>
      </c>
      <c r="W1496" s="1401">
        <f>U1496/V1496</f>
        <v/>
      </c>
      <c r="X1496" s="1392" t="n"/>
      <c r="Y1496" s="1392" t="n"/>
      <c r="Z1496" s="1392" t="n"/>
      <c r="AA1496" s="1392" t="n"/>
      <c r="AB1496" s="1392" t="n"/>
      <c r="AC1496" s="1392" t="n"/>
      <c r="AD1496" s="1392" t="n"/>
      <c r="AE1496" s="1392" t="n"/>
      <c r="AF1496" s="1392" t="n"/>
      <c r="AG1496" s="1392" t="n"/>
      <c r="AH1496" s="1392" t="n"/>
      <c r="AI1496" s="1392" t="n"/>
      <c r="AJ1496" s="1392" t="n"/>
      <c r="AK1496" s="1392" t="n"/>
      <c r="AL1496" s="1392" t="n"/>
      <c r="AM1496" s="1392" t="n"/>
      <c r="AN1496" s="1392" t="n"/>
      <c r="AO1496" s="1392" t="n"/>
      <c r="AP1496" s="1392" t="n"/>
      <c r="AQ1496" s="1392" t="n"/>
      <c r="AR1496" s="1422" t="n"/>
      <c r="AS1496" s="1422" t="n"/>
      <c r="AT1496" s="1392" t="n"/>
      <c r="AU1496" s="1392" t="n"/>
      <c r="AV1496" s="1392" t="n"/>
      <c r="AW1496" s="1392" t="n"/>
      <c r="AX1496" s="1392" t="n"/>
      <c r="AY1496" s="1392" t="n"/>
      <c r="AZ1496" s="1392" t="n"/>
      <c r="BA1496" s="1422" t="n"/>
      <c r="BB1496" s="1422" t="n"/>
      <c r="BC1496" s="1392" t="n"/>
      <c r="BD1496" s="1392" t="n"/>
      <c r="BE1496" s="1392" t="n"/>
      <c r="BF1496" s="1392" t="n"/>
      <c r="BG1496" s="1392" t="n"/>
      <c r="BH1496" s="1392" t="n"/>
      <c r="BI1496" s="1392" t="n"/>
      <c r="BJ1496" s="1392" t="n"/>
      <c r="BK1496" s="1392" t="n"/>
      <c r="BL1496" s="1392" t="n"/>
      <c r="BM1496" s="1392" t="n"/>
      <c r="BN1496" s="1392" t="n"/>
      <c r="BO1496" s="1392" t="n"/>
      <c r="BP1496" s="1392" t="n"/>
      <c r="BQ1496" s="1392" t="n"/>
      <c r="BR1496" s="1392" t="n"/>
      <c r="BS1496" s="1392" t="n"/>
      <c r="BT1496" s="1392" t="n"/>
      <c r="BU1496" s="1392" t="n"/>
      <c r="BV1496" s="1392" t="n"/>
      <c r="BW1496" s="1392" t="n"/>
      <c r="BX1496" s="1392" t="n"/>
      <c r="BY1496" s="1392" t="n"/>
      <c r="BZ1496" s="1392" t="n"/>
      <c r="CA1496" s="1392" t="n"/>
      <c r="CB1496" s="1392" t="n"/>
      <c r="CC1496" s="1392" t="n"/>
      <c r="CD1496" s="1392" t="n"/>
      <c r="CE1496" s="1392" t="n"/>
      <c r="CF1496" s="1392" t="n"/>
      <c r="CG1496" s="1392" t="n"/>
      <c r="CH1496" s="1392" t="n"/>
      <c r="CI1496" s="1392" t="n"/>
      <c r="CJ1496" s="1392" t="n"/>
      <c r="CK1496" s="1392" t="n"/>
      <c r="CL1496" s="1392" t="n"/>
    </row>
    <row r="1497">
      <c r="A1497" s="5" t="inlineStr">
        <is>
          <t>.</t>
        </is>
      </c>
      <c r="B1497" s="5" t="inlineStr">
        <is>
          <t>.</t>
        </is>
      </c>
      <c r="C1497" s="1378">
        <f>IF(raw[[#This Row],[city]]="","-",IF(raw[[#This Row],[city]]="TODAY","-",C1496+1))</f>
        <v/>
      </c>
      <c r="D1497" s="1393" t="inlineStr">
        <is>
          <t>Montreal</t>
        </is>
      </c>
      <c r="E1497" s="1394" t="n">
        <v>43556</v>
      </c>
      <c r="F1497" s="1394" t="n">
        <v>43586</v>
      </c>
      <c r="G1497" s="1393" t="inlineStr">
        <is>
          <t>-</t>
        </is>
      </c>
      <c r="H1497" s="1393" t="inlineStr">
        <is>
          <t>Nadeau</t>
        </is>
      </c>
      <c r="I1497" s="1393" t="inlineStr">
        <is>
          <t>-</t>
        </is>
      </c>
      <c r="J1497" s="1393" t="inlineStr">
        <is>
          <t>-</t>
        </is>
      </c>
      <c r="K1497" s="1395">
        <f>IF(raw[[#This Row],[city]]&lt;&gt;"",_xlfn.XLOOKUP($D1497,ccc[city],ccc[prov],"-"),"-")</f>
        <v/>
      </c>
      <c r="L1497" s="1395">
        <f>IF(raw[[#This Row],[city]]&lt;&gt;"",_xlfn.XLOOKUP($D1497,ccc[city],ccc[ctry],"-"),"-")</f>
        <v/>
      </c>
      <c r="M1497" s="1395">
        <f>IF(raw[[#This Row],[city]]&lt;&gt;"",_xlfn.XLOOKUP($D1497,ccc[city],ccc[cont],"-"),"-")</f>
        <v/>
      </c>
      <c r="N1497" s="1396">
        <f>IF(raw[[#This Row],[city]]="","-",IF(raw[[#This Row],[cont]]="B",raw[[#This Row],[cont]],"W"))</f>
        <v/>
      </c>
      <c r="O1497" s="1397">
        <f>IF(raw[[#This Row],[out]]=0,0,IF(raw[[#This Row],[out]]=raw[[#This Row],[in]],0.01,raw[[#This Row],[out]]-raw[[#This Row],[in]]))</f>
        <v/>
      </c>
      <c r="P1497" s="1397">
        <f>IF(raw[[#This Row],[in]]=0,0,MONTH(raw[[#This Row],[in]]))</f>
        <v/>
      </c>
      <c r="Q1497" s="1397">
        <f>IF(raw[[#This Row],[in]]=0,0,YEAR(raw[[#This Row],[in]]))</f>
        <v/>
      </c>
      <c r="R1497" s="1397">
        <f>INT(raw[[#This Row],[yr]]/10)*10</f>
        <v/>
      </c>
      <c r="S1497" s="1395">
        <f>IF(raw[[#This Row],[city]]="","-",IF(raw[[#This Row],[city]]&lt;&gt;_xlfn.XLOOKUP(raw[[#This Row],[home]],homes[home],homes[city],"-"),1,0))</f>
        <v/>
      </c>
      <c r="T1497" s="1398" t="inlineStr">
        <is>
          <t>.</t>
        </is>
      </c>
      <c r="U1497" s="1399">
        <f>IF(raw[[#This Row],[wb]]="w",raw[[#This Row],[stay]]+U1496,U1496)</f>
        <v/>
      </c>
      <c r="V1497" s="1400">
        <f>IF(raw[[#This Row],[out]]=0,V1496,(raw[[#This Row],[out]]-E$5))</f>
        <v/>
      </c>
      <c r="W1497" s="1401">
        <f>U1497/V1497</f>
        <v/>
      </c>
      <c r="X1497" s="1392" t="n"/>
      <c r="Y1497" s="1392" t="n"/>
      <c r="Z1497" s="1392" t="n"/>
      <c r="AA1497" s="1392" t="n"/>
      <c r="AB1497" s="1392" t="n"/>
      <c r="AC1497" s="1392" t="n"/>
      <c r="AD1497" s="1392" t="n"/>
      <c r="AE1497" s="1392" t="n"/>
      <c r="AF1497" s="1392" t="n"/>
      <c r="AG1497" s="1392" t="n"/>
      <c r="AH1497" s="1392" t="n"/>
      <c r="AI1497" s="1392" t="n"/>
      <c r="AJ1497" s="1392" t="n"/>
      <c r="AK1497" s="1392" t="n"/>
      <c r="AL1497" s="1392" t="n"/>
      <c r="AM1497" s="1392" t="n"/>
      <c r="AN1497" s="1392" t="n"/>
      <c r="AO1497" s="1392" t="n"/>
      <c r="AP1497" s="1392" t="n"/>
      <c r="AQ1497" s="1392" t="n"/>
      <c r="AR1497" s="1422" t="n"/>
      <c r="AS1497" s="1422" t="n"/>
      <c r="AT1497" s="1392" t="n"/>
      <c r="AU1497" s="1392" t="n"/>
      <c r="AV1497" s="1392" t="n"/>
      <c r="AW1497" s="1392" t="n"/>
      <c r="AX1497" s="1392" t="n"/>
      <c r="AY1497" s="1392" t="n"/>
      <c r="AZ1497" s="1392" t="n"/>
      <c r="BA1497" s="1422" t="n"/>
      <c r="BB1497" s="1422" t="n"/>
      <c r="BC1497" s="1392" t="n"/>
      <c r="BD1497" s="1392" t="n"/>
      <c r="BE1497" s="1392" t="n"/>
      <c r="BF1497" s="1392" t="n"/>
      <c r="BG1497" s="1392" t="n"/>
      <c r="BH1497" s="1392" t="n"/>
      <c r="BI1497" s="1392" t="n"/>
      <c r="BJ1497" s="1392" t="n"/>
      <c r="BK1497" s="1392" t="n"/>
      <c r="BL1497" s="1392" t="n"/>
      <c r="BM1497" s="1392" t="n"/>
      <c r="BN1497" s="1392" t="n"/>
      <c r="BO1497" s="1392" t="n"/>
      <c r="BP1497" s="1392" t="n"/>
      <c r="BQ1497" s="1392" t="n"/>
      <c r="BR1497" s="1392" t="n"/>
      <c r="BS1497" s="1392" t="n"/>
      <c r="BT1497" s="1392" t="n"/>
      <c r="BU1497" s="1392" t="n"/>
      <c r="BV1497" s="1392" t="n"/>
      <c r="BW1497" s="1392" t="n"/>
      <c r="BX1497" s="1392" t="n"/>
      <c r="BY1497" s="1392" t="n"/>
      <c r="BZ1497" s="1392" t="n"/>
      <c r="CA1497" s="1392" t="n"/>
      <c r="CB1497" s="1392" t="n"/>
      <c r="CC1497" s="1392" t="n"/>
      <c r="CD1497" s="1392" t="n"/>
      <c r="CE1497" s="1392" t="n"/>
      <c r="CF1497" s="1392" t="n"/>
      <c r="CG1497" s="1392" t="n"/>
      <c r="CH1497" s="1392" t="n"/>
      <c r="CI1497" s="1392" t="n"/>
      <c r="CJ1497" s="1392" t="n"/>
      <c r="CK1497" s="1392" t="n"/>
      <c r="CL1497" s="1392" t="n"/>
    </row>
    <row r="1498">
      <c r="A1498" s="5" t="inlineStr">
        <is>
          <t>.</t>
        </is>
      </c>
      <c r="B1498" s="5" t="inlineStr">
        <is>
          <t>.</t>
        </is>
      </c>
      <c r="C1498" s="1378">
        <f>IF(raw[[#This Row],[city]]="","-",IF(raw[[#This Row],[city]]="TODAY","-",C1497+1))</f>
        <v/>
      </c>
      <c r="D1498" s="1393" t="inlineStr">
        <is>
          <t>Montreal</t>
        </is>
      </c>
      <c r="E1498" s="1394" t="n">
        <v>43586</v>
      </c>
      <c r="F1498" s="1394" t="n">
        <v>43617</v>
      </c>
      <c r="G1498" s="1393" t="inlineStr">
        <is>
          <t>-</t>
        </is>
      </c>
      <c r="H1498" s="1393" t="inlineStr">
        <is>
          <t>Nadeau</t>
        </is>
      </c>
      <c r="I1498" s="1393" t="inlineStr">
        <is>
          <t>-</t>
        </is>
      </c>
      <c r="J1498" s="1393" t="inlineStr">
        <is>
          <t>-</t>
        </is>
      </c>
      <c r="K1498" s="1395">
        <f>IF(raw[[#This Row],[city]]&lt;&gt;"",_xlfn.XLOOKUP($D1498,ccc[city],ccc[prov],"-"),"-")</f>
        <v/>
      </c>
      <c r="L1498" s="1395">
        <f>IF(raw[[#This Row],[city]]&lt;&gt;"",_xlfn.XLOOKUP($D1498,ccc[city],ccc[ctry],"-"),"-")</f>
        <v/>
      </c>
      <c r="M1498" s="1395">
        <f>IF(raw[[#This Row],[city]]&lt;&gt;"",_xlfn.XLOOKUP($D1498,ccc[city],ccc[cont],"-"),"-")</f>
        <v/>
      </c>
      <c r="N1498" s="1396">
        <f>IF(raw[[#This Row],[city]]="","-",IF(raw[[#This Row],[cont]]="B",raw[[#This Row],[cont]],"W"))</f>
        <v/>
      </c>
      <c r="O1498" s="1397">
        <f>IF(raw[[#This Row],[out]]=0,0,IF(raw[[#This Row],[out]]=raw[[#This Row],[in]],0.01,raw[[#This Row],[out]]-raw[[#This Row],[in]]))</f>
        <v/>
      </c>
      <c r="P1498" s="1397">
        <f>IF(raw[[#This Row],[in]]=0,0,MONTH(raw[[#This Row],[in]]))</f>
        <v/>
      </c>
      <c r="Q1498" s="1397">
        <f>IF(raw[[#This Row],[in]]=0,0,YEAR(raw[[#This Row],[in]]))</f>
        <v/>
      </c>
      <c r="R1498" s="1397">
        <f>INT(raw[[#This Row],[yr]]/10)*10</f>
        <v/>
      </c>
      <c r="S1498" s="1395">
        <f>IF(raw[[#This Row],[city]]="","-",IF(raw[[#This Row],[city]]&lt;&gt;_xlfn.XLOOKUP(raw[[#This Row],[home]],homes[home],homes[city],"-"),1,0))</f>
        <v/>
      </c>
      <c r="T1498" s="1398" t="inlineStr">
        <is>
          <t>.</t>
        </is>
      </c>
      <c r="U1498" s="1399">
        <f>IF(raw[[#This Row],[wb]]="w",raw[[#This Row],[stay]]+U1497,U1497)</f>
        <v/>
      </c>
      <c r="V1498" s="1400">
        <f>IF(raw[[#This Row],[out]]=0,V1497,(raw[[#This Row],[out]]-E$5))</f>
        <v/>
      </c>
      <c r="W1498" s="1401">
        <f>U1498/V1498</f>
        <v/>
      </c>
      <c r="X1498" s="1392" t="n"/>
      <c r="Y1498" s="1392" t="n"/>
      <c r="Z1498" s="1392" t="n"/>
      <c r="AA1498" s="1392" t="n"/>
      <c r="AB1498" s="1392" t="n"/>
      <c r="AC1498" s="1392" t="n"/>
      <c r="AD1498" s="1392" t="n"/>
      <c r="AE1498" s="1392" t="n"/>
      <c r="AF1498" s="1392" t="n"/>
      <c r="AG1498" s="1392" t="n"/>
      <c r="AH1498" s="1392" t="n"/>
      <c r="AI1498" s="1392" t="n"/>
      <c r="AJ1498" s="1392" t="n"/>
      <c r="AK1498" s="1392" t="n"/>
      <c r="AL1498" s="1392" t="n"/>
      <c r="AM1498" s="1392" t="n"/>
      <c r="AN1498" s="1392" t="n"/>
      <c r="AO1498" s="1392" t="n"/>
      <c r="AP1498" s="1392" t="n"/>
      <c r="AQ1498" s="1392" t="n"/>
      <c r="AR1498" s="1422" t="n"/>
      <c r="AS1498" s="1422" t="n"/>
      <c r="AT1498" s="1392" t="n"/>
      <c r="AU1498" s="1392" t="n"/>
      <c r="AV1498" s="1392" t="n"/>
      <c r="AW1498" s="1392" t="n"/>
      <c r="AX1498" s="1392" t="n"/>
      <c r="AY1498" s="1392" t="n"/>
      <c r="AZ1498" s="1392" t="n"/>
      <c r="BA1498" s="1422" t="n"/>
      <c r="BB1498" s="1422" t="n"/>
      <c r="BC1498" s="1392" t="n"/>
      <c r="BD1498" s="1392" t="n"/>
      <c r="BE1498" s="1392" t="n"/>
      <c r="BF1498" s="1392" t="n"/>
      <c r="BG1498" s="1392" t="n"/>
      <c r="BH1498" s="1392" t="n"/>
      <c r="BI1498" s="1392" t="n"/>
      <c r="BJ1498" s="1392" t="n"/>
      <c r="BK1498" s="1392" t="n"/>
      <c r="BL1498" s="1392" t="n"/>
      <c r="BM1498" s="1392" t="n"/>
      <c r="BN1498" s="1392" t="n"/>
      <c r="BO1498" s="1392" t="n"/>
      <c r="BP1498" s="1392" t="n"/>
      <c r="BQ1498" s="1392" t="n"/>
      <c r="BR1498" s="1392" t="n"/>
      <c r="BS1498" s="1392" t="n"/>
      <c r="BT1498" s="1392" t="n"/>
      <c r="BU1498" s="1392" t="n"/>
      <c r="BV1498" s="1392" t="n"/>
      <c r="BW1498" s="1392" t="n"/>
      <c r="BX1498" s="1392" t="n"/>
      <c r="BY1498" s="1392" t="n"/>
      <c r="BZ1498" s="1392" t="n"/>
      <c r="CA1498" s="1392" t="n"/>
      <c r="CB1498" s="1392" t="n"/>
      <c r="CC1498" s="1392" t="n"/>
      <c r="CD1498" s="1392" t="n"/>
      <c r="CE1498" s="1392" t="n"/>
      <c r="CF1498" s="1392" t="n"/>
      <c r="CG1498" s="1392" t="n"/>
      <c r="CH1498" s="1392" t="n"/>
      <c r="CI1498" s="1392" t="n"/>
      <c r="CJ1498" s="1392" t="n"/>
      <c r="CK1498" s="1392" t="n"/>
      <c r="CL1498" s="1392" t="n"/>
    </row>
    <row r="1499">
      <c r="A1499" s="5" t="inlineStr">
        <is>
          <t>.</t>
        </is>
      </c>
      <c r="B1499" s="5" t="inlineStr">
        <is>
          <t>.</t>
        </is>
      </c>
      <c r="C1499" s="1378">
        <f>IF(raw[[#This Row],[city]]="","-",IF(raw[[#This Row],[city]]="TODAY","-",C1498+1))</f>
        <v/>
      </c>
      <c r="D1499" s="1393" t="inlineStr">
        <is>
          <t>Montreal</t>
        </is>
      </c>
      <c r="E1499" s="1394" t="n">
        <v>43617</v>
      </c>
      <c r="F1499" s="1394" t="n">
        <v>43641</v>
      </c>
      <c r="G1499" s="1393" t="n">
        <v>1</v>
      </c>
      <c r="H1499" s="1393" t="inlineStr">
        <is>
          <t>Nadeau</t>
        </is>
      </c>
      <c r="I1499" s="1393" t="inlineStr">
        <is>
          <t>-</t>
        </is>
      </c>
      <c r="J1499" s="1393" t="inlineStr">
        <is>
          <t>-</t>
        </is>
      </c>
      <c r="K1499" s="1395">
        <f>IF(raw[[#This Row],[city]]&lt;&gt;"",_xlfn.XLOOKUP($D1499,ccc[city],ccc[prov],"-"),"-")</f>
        <v/>
      </c>
      <c r="L1499" s="1395">
        <f>IF(raw[[#This Row],[city]]&lt;&gt;"",_xlfn.XLOOKUP($D1499,ccc[city],ccc[ctry],"-"),"-")</f>
        <v/>
      </c>
      <c r="M1499" s="1395">
        <f>IF(raw[[#This Row],[city]]&lt;&gt;"",_xlfn.XLOOKUP($D1499,ccc[city],ccc[cont],"-"),"-")</f>
        <v/>
      </c>
      <c r="N1499" s="1396">
        <f>IF(raw[[#This Row],[city]]="","-",IF(raw[[#This Row],[cont]]="B",raw[[#This Row],[cont]],"W"))</f>
        <v/>
      </c>
      <c r="O1499" s="1397">
        <f>IF(raw[[#This Row],[out]]=0,0,IF(raw[[#This Row],[out]]=raw[[#This Row],[in]],0.01,raw[[#This Row],[out]]-raw[[#This Row],[in]]))</f>
        <v/>
      </c>
      <c r="P1499" s="1397">
        <f>IF(raw[[#This Row],[in]]=0,0,MONTH(raw[[#This Row],[in]]))</f>
        <v/>
      </c>
      <c r="Q1499" s="1397">
        <f>IF(raw[[#This Row],[in]]=0,0,YEAR(raw[[#This Row],[in]]))</f>
        <v/>
      </c>
      <c r="R1499" s="1397">
        <f>INT(raw[[#This Row],[yr]]/10)*10</f>
        <v/>
      </c>
      <c r="S1499" s="1395">
        <f>IF(raw[[#This Row],[city]]="","-",IF(raw[[#This Row],[city]]&lt;&gt;_xlfn.XLOOKUP(raw[[#This Row],[home]],homes[home],homes[city],"-"),1,0))</f>
        <v/>
      </c>
      <c r="T1499" s="1398" t="inlineStr">
        <is>
          <t>.</t>
        </is>
      </c>
      <c r="U1499" s="1399">
        <f>IF(raw[[#This Row],[wb]]="w",raw[[#This Row],[stay]]+U1498,U1498)</f>
        <v/>
      </c>
      <c r="V1499" s="1400">
        <f>IF(raw[[#This Row],[out]]=0,V1498,(raw[[#This Row],[out]]-E$5))</f>
        <v/>
      </c>
      <c r="W1499" s="1401">
        <f>U1499/V1499</f>
        <v/>
      </c>
      <c r="X1499" s="1392" t="n"/>
      <c r="Y1499" s="1392" t="n"/>
      <c r="Z1499" s="1392" t="n"/>
      <c r="AA1499" s="1392" t="n"/>
      <c r="AB1499" s="1392" t="n"/>
      <c r="AC1499" s="1392" t="n"/>
      <c r="AD1499" s="1392" t="n"/>
      <c r="AE1499" s="1392" t="n"/>
      <c r="AF1499" s="1392" t="n"/>
      <c r="AG1499" s="1392" t="n"/>
      <c r="AH1499" s="1392" t="n"/>
      <c r="AI1499" s="1392" t="n"/>
      <c r="AJ1499" s="1392" t="n"/>
      <c r="AK1499" s="1392" t="n"/>
      <c r="AL1499" s="1392" t="n"/>
      <c r="AM1499" s="1392" t="n"/>
      <c r="AN1499" s="1392" t="n"/>
      <c r="AO1499" s="1392" t="n"/>
      <c r="AP1499" s="1392" t="n"/>
      <c r="AQ1499" s="1392" t="n"/>
      <c r="AR1499" s="1422" t="n"/>
      <c r="AS1499" s="1422" t="n"/>
      <c r="AT1499" s="1392" t="n"/>
      <c r="AU1499" s="1392" t="n"/>
      <c r="AV1499" s="1392" t="n"/>
      <c r="AW1499" s="1392" t="n"/>
      <c r="AX1499" s="1392" t="n"/>
      <c r="AY1499" s="1392" t="n"/>
      <c r="AZ1499" s="1392" t="n"/>
      <c r="BA1499" s="1422" t="n"/>
      <c r="BB1499" s="1422" t="n"/>
      <c r="BC1499" s="1392" t="n"/>
      <c r="BD1499" s="1392" t="n"/>
      <c r="BE1499" s="1392" t="n"/>
      <c r="BF1499" s="1392" t="n"/>
      <c r="BG1499" s="1392" t="n"/>
      <c r="BH1499" s="1392" t="n"/>
      <c r="BI1499" s="1392" t="n"/>
      <c r="BJ1499" s="1392" t="n"/>
      <c r="BK1499" s="1392" t="n"/>
      <c r="BL1499" s="1392" t="n"/>
      <c r="BM1499" s="1392" t="n"/>
      <c r="BN1499" s="1392" t="n"/>
      <c r="BO1499" s="1392" t="n"/>
      <c r="BP1499" s="1392" t="n"/>
      <c r="BQ1499" s="1392" t="n"/>
      <c r="BR1499" s="1392" t="n"/>
      <c r="BS1499" s="1392" t="n"/>
      <c r="BT1499" s="1392" t="n"/>
      <c r="BU1499" s="1392" t="n"/>
      <c r="BV1499" s="1392" t="n"/>
      <c r="BW1499" s="1392" t="n"/>
      <c r="BX1499" s="1392" t="n"/>
      <c r="BY1499" s="1392" t="n"/>
      <c r="BZ1499" s="1392" t="n"/>
      <c r="CA1499" s="1392" t="n"/>
      <c r="CB1499" s="1392" t="n"/>
      <c r="CC1499" s="1392" t="n"/>
      <c r="CD1499" s="1392" t="n"/>
      <c r="CE1499" s="1392" t="n"/>
      <c r="CF1499" s="1392" t="n"/>
      <c r="CG1499" s="1392" t="n"/>
      <c r="CH1499" s="1392" t="n"/>
      <c r="CI1499" s="1392" t="n"/>
      <c r="CJ1499" s="1392" t="n"/>
      <c r="CK1499" s="1392" t="n"/>
      <c r="CL1499" s="1392" t="n"/>
    </row>
    <row r="1500">
      <c r="A1500" s="5" t="inlineStr">
        <is>
          <t>.</t>
        </is>
      </c>
      <c r="B1500" s="5" t="inlineStr">
        <is>
          <t>.</t>
        </is>
      </c>
      <c r="C1500" s="1378">
        <f>IF(raw[[#This Row],[city]]="","-",IF(raw[[#This Row],[city]]="TODAY","-",C1499+1))</f>
        <v/>
      </c>
      <c r="D1500" s="1393" t="inlineStr">
        <is>
          <t>Panama</t>
        </is>
      </c>
      <c r="E1500" s="1394" t="n">
        <v>43641</v>
      </c>
      <c r="F1500" s="1394" t="n">
        <v>43641</v>
      </c>
      <c r="G1500" s="1393" t="n">
        <v>0.01</v>
      </c>
      <c r="H1500" s="1393" t="inlineStr">
        <is>
          <t>Nadeau</t>
        </is>
      </c>
      <c r="I1500" s="1393" t="inlineStr">
        <is>
          <t>-</t>
        </is>
      </c>
      <c r="J1500" s="1393" t="inlineStr">
        <is>
          <t>-</t>
        </is>
      </c>
      <c r="K1500" s="1395">
        <f>IF(raw[[#This Row],[city]]&lt;&gt;"",_xlfn.XLOOKUP($D1500,ccc[city],ccc[prov],"-"),"-")</f>
        <v/>
      </c>
      <c r="L1500" s="1395">
        <f>IF(raw[[#This Row],[city]]&lt;&gt;"",_xlfn.XLOOKUP($D1500,ccc[city],ccc[ctry],"-"),"-")</f>
        <v/>
      </c>
      <c r="M1500" s="1395">
        <f>IF(raw[[#This Row],[city]]&lt;&gt;"",_xlfn.XLOOKUP($D1500,ccc[city],ccc[cont],"-"),"-")</f>
        <v/>
      </c>
      <c r="N1500" s="1396">
        <f>IF(raw[[#This Row],[city]]="","-",IF(raw[[#This Row],[cont]]="B",raw[[#This Row],[cont]],"W"))</f>
        <v/>
      </c>
      <c r="O1500" s="1397">
        <f>IF(raw[[#This Row],[out]]=0,0,IF(raw[[#This Row],[out]]=raw[[#This Row],[in]],0.01,raw[[#This Row],[out]]-raw[[#This Row],[in]]))</f>
        <v/>
      </c>
      <c r="P1500" s="1397">
        <f>IF(raw[[#This Row],[in]]=0,0,MONTH(raw[[#This Row],[in]]))</f>
        <v/>
      </c>
      <c r="Q1500" s="1397">
        <f>IF(raw[[#This Row],[in]]=0,0,YEAR(raw[[#This Row],[in]]))</f>
        <v/>
      </c>
      <c r="R1500" s="1397">
        <f>INT(raw[[#This Row],[yr]]/10)*10</f>
        <v/>
      </c>
      <c r="S1500" s="1395">
        <f>IF(raw[[#This Row],[city]]="","-",IF(raw[[#This Row],[city]]&lt;&gt;_xlfn.XLOOKUP(raw[[#This Row],[home]],homes[home],homes[city],"-"),1,0))</f>
        <v/>
      </c>
      <c r="T1500" s="1398" t="inlineStr">
        <is>
          <t>.</t>
        </is>
      </c>
      <c r="U1500" s="1399">
        <f>IF(raw[[#This Row],[wb]]="w",raw[[#This Row],[stay]]+U1499,U1499)</f>
        <v/>
      </c>
      <c r="V1500" s="1400">
        <f>IF(raw[[#This Row],[out]]=0,V1499,(raw[[#This Row],[out]]-E$5))</f>
        <v/>
      </c>
      <c r="W1500" s="1401">
        <f>U1500/V1500</f>
        <v/>
      </c>
      <c r="X1500" s="1392" t="n"/>
      <c r="Y1500" s="1392" t="n"/>
      <c r="Z1500" s="1392" t="n"/>
      <c r="AA1500" s="1392" t="n"/>
      <c r="AB1500" s="1392" t="n"/>
      <c r="AC1500" s="1392" t="n"/>
      <c r="AD1500" s="1392" t="n"/>
      <c r="AE1500" s="1392" t="n"/>
      <c r="AF1500" s="1392" t="n"/>
      <c r="AG1500" s="1392" t="n"/>
      <c r="AH1500" s="1392" t="n"/>
      <c r="AI1500" s="1392" t="n"/>
      <c r="AJ1500" s="1392" t="n"/>
      <c r="AK1500" s="1392" t="n"/>
      <c r="AL1500" s="1392" t="n"/>
      <c r="AM1500" s="1392" t="n"/>
      <c r="AN1500" s="1392" t="n"/>
      <c r="AO1500" s="1392" t="n"/>
      <c r="AP1500" s="1392" t="n"/>
      <c r="AQ1500" s="1392" t="n"/>
      <c r="AR1500" s="1422" t="n"/>
      <c r="AS1500" s="1422" t="n"/>
      <c r="AT1500" s="1392" t="n"/>
      <c r="AU1500" s="1392" t="n"/>
      <c r="AV1500" s="1392" t="n"/>
      <c r="AW1500" s="1392" t="n"/>
      <c r="AX1500" s="1392" t="n"/>
      <c r="AY1500" s="1392" t="n"/>
      <c r="AZ1500" s="1392" t="n"/>
      <c r="BA1500" s="1422" t="n"/>
      <c r="BB1500" s="1422" t="n"/>
      <c r="BC1500" s="1392" t="n"/>
      <c r="BD1500" s="1392" t="n"/>
      <c r="BE1500" s="1392" t="n"/>
      <c r="BF1500" s="1392" t="n"/>
      <c r="BG1500" s="1392" t="n"/>
      <c r="BH1500" s="1392" t="n"/>
      <c r="BI1500" s="1392" t="n"/>
      <c r="BJ1500" s="1392" t="n"/>
      <c r="BK1500" s="1392" t="n"/>
      <c r="BL1500" s="1392" t="n"/>
      <c r="BM1500" s="1392" t="n"/>
      <c r="BN1500" s="1392" t="n"/>
      <c r="BO1500" s="1392" t="n"/>
      <c r="BP1500" s="1392" t="n"/>
      <c r="BQ1500" s="1392" t="n"/>
      <c r="BR1500" s="1392" t="n"/>
      <c r="BS1500" s="1392" t="n"/>
      <c r="BT1500" s="1392" t="n"/>
      <c r="BU1500" s="1392" t="n"/>
      <c r="BV1500" s="1392" t="n"/>
      <c r="BW1500" s="1392" t="n"/>
      <c r="BX1500" s="1392" t="n"/>
      <c r="BY1500" s="1392" t="n"/>
      <c r="BZ1500" s="1392" t="n"/>
      <c r="CA1500" s="1392" t="n"/>
      <c r="CB1500" s="1392" t="n"/>
      <c r="CC1500" s="1392" t="n"/>
      <c r="CD1500" s="1392" t="n"/>
      <c r="CE1500" s="1392" t="n"/>
      <c r="CF1500" s="1392" t="n"/>
      <c r="CG1500" s="1392" t="n"/>
      <c r="CH1500" s="1392" t="n"/>
      <c r="CI1500" s="1392" t="n"/>
      <c r="CJ1500" s="1392" t="n"/>
      <c r="CK1500" s="1392" t="n"/>
      <c r="CL1500" s="1392" t="n"/>
    </row>
    <row r="1501">
      <c r="A1501" s="5" t="inlineStr">
        <is>
          <t>.</t>
        </is>
      </c>
      <c r="B1501" s="5" t="inlineStr">
        <is>
          <t>.</t>
        </is>
      </c>
      <c r="C1501" s="1378">
        <f>IF(raw[[#This Row],[city]]="","-",IF(raw[[#This Row],[city]]="TODAY","-",C1500+1))</f>
        <v/>
      </c>
      <c r="D1501" s="1393" t="inlineStr">
        <is>
          <t>SSA</t>
        </is>
      </c>
      <c r="E1501" s="1394" t="n">
        <v>43641</v>
      </c>
      <c r="F1501" s="1394" t="n">
        <v>43645</v>
      </c>
      <c r="G1501" s="1393" t="inlineStr">
        <is>
          <t>-</t>
        </is>
      </c>
      <c r="H1501" s="1393" t="inlineStr">
        <is>
          <t>Nadeau</t>
        </is>
      </c>
      <c r="I1501" s="1393" t="inlineStr">
        <is>
          <t>Ondina</t>
        </is>
      </c>
      <c r="J1501" s="1393" t="inlineStr">
        <is>
          <t>-</t>
        </is>
      </c>
      <c r="K1501" s="1395">
        <f>IF(raw[[#This Row],[city]]&lt;&gt;"",_xlfn.XLOOKUP($D1501,ccc[city],ccc[prov],"-"),"-")</f>
        <v/>
      </c>
      <c r="L1501" s="1395">
        <f>IF(raw[[#This Row],[city]]&lt;&gt;"",_xlfn.XLOOKUP($D1501,ccc[city],ccc[ctry],"-"),"-")</f>
        <v/>
      </c>
      <c r="M1501" s="1395">
        <f>IF(raw[[#This Row],[city]]&lt;&gt;"",_xlfn.XLOOKUP($D1501,ccc[city],ccc[cont],"-"),"-")</f>
        <v/>
      </c>
      <c r="N1501" s="1396">
        <f>IF(raw[[#This Row],[city]]="","-",IF(raw[[#This Row],[cont]]="B",raw[[#This Row],[cont]],"W"))</f>
        <v/>
      </c>
      <c r="O1501" s="1397">
        <f>IF(raw[[#This Row],[out]]=0,0,IF(raw[[#This Row],[out]]=raw[[#This Row],[in]],0.01,raw[[#This Row],[out]]-raw[[#This Row],[in]]))</f>
        <v/>
      </c>
      <c r="P1501" s="1397">
        <f>IF(raw[[#This Row],[in]]=0,0,MONTH(raw[[#This Row],[in]]))</f>
        <v/>
      </c>
      <c r="Q1501" s="1397">
        <f>IF(raw[[#This Row],[in]]=0,0,YEAR(raw[[#This Row],[in]]))</f>
        <v/>
      </c>
      <c r="R1501" s="1397">
        <f>INT(raw[[#This Row],[yr]]/10)*10</f>
        <v/>
      </c>
      <c r="S1501" s="1395">
        <f>IF(raw[[#This Row],[city]]="","-",IF(raw[[#This Row],[city]]&lt;&gt;_xlfn.XLOOKUP(raw[[#This Row],[home]],homes[home],homes[city],"-"),1,0))</f>
        <v/>
      </c>
      <c r="T1501" s="1398" t="inlineStr">
        <is>
          <t>.</t>
        </is>
      </c>
      <c r="U1501" s="1399">
        <f>IF(raw[[#This Row],[wb]]="w",raw[[#This Row],[stay]]+U1500,U1500)</f>
        <v/>
      </c>
      <c r="V1501" s="1400">
        <f>IF(raw[[#This Row],[out]]=0,V1500,(raw[[#This Row],[out]]-E$5))</f>
        <v/>
      </c>
      <c r="W1501" s="1401">
        <f>U1501/V1501</f>
        <v/>
      </c>
      <c r="X1501" s="1392" t="n"/>
      <c r="Y1501" s="1392" t="n"/>
      <c r="Z1501" s="1392" t="n"/>
      <c r="AA1501" s="1392" t="n"/>
      <c r="AB1501" s="1392" t="n"/>
      <c r="AC1501" s="1392" t="n"/>
      <c r="AD1501" s="1392" t="n"/>
      <c r="AE1501" s="1392" t="n"/>
      <c r="AF1501" s="1392" t="n"/>
      <c r="AG1501" s="1392" t="n"/>
      <c r="AH1501" s="1392" t="n"/>
      <c r="AI1501" s="1392" t="n"/>
      <c r="AJ1501" s="1392" t="n"/>
      <c r="AK1501" s="1392" t="n"/>
      <c r="AL1501" s="1392" t="n"/>
      <c r="AM1501" s="1392" t="n"/>
      <c r="AN1501" s="1392" t="n"/>
      <c r="AO1501" s="1392" t="n"/>
      <c r="AP1501" s="1392" t="n"/>
      <c r="AQ1501" s="1392" t="n"/>
      <c r="AR1501" s="1422" t="n"/>
      <c r="AS1501" s="1422" t="n"/>
      <c r="AT1501" s="1392" t="n"/>
      <c r="AU1501" s="1392" t="n"/>
      <c r="AV1501" s="1392" t="n"/>
      <c r="AW1501" s="1392" t="n"/>
      <c r="AX1501" s="1392" t="n"/>
      <c r="AY1501" s="1392" t="n"/>
      <c r="AZ1501" s="1392" t="n"/>
      <c r="BA1501" s="1422" t="n"/>
      <c r="BB1501" s="1422" t="n"/>
      <c r="BC1501" s="1392" t="n"/>
      <c r="BD1501" s="1392" t="n"/>
      <c r="BE1501" s="1392" t="n"/>
      <c r="BF1501" s="1392" t="n"/>
      <c r="BG1501" s="1392" t="n"/>
      <c r="BH1501" s="1392" t="n"/>
      <c r="BI1501" s="1392" t="n"/>
      <c r="BJ1501" s="1392" t="n"/>
      <c r="BK1501" s="1392" t="n"/>
      <c r="BL1501" s="1392" t="n"/>
      <c r="BM1501" s="1392" t="n"/>
      <c r="BN1501" s="1392" t="n"/>
      <c r="BO1501" s="1392" t="n"/>
      <c r="BP1501" s="1392" t="n"/>
      <c r="BQ1501" s="1392" t="n"/>
      <c r="BR1501" s="1392" t="n"/>
      <c r="BS1501" s="1392" t="n"/>
      <c r="BT1501" s="1392" t="n"/>
      <c r="BU1501" s="1392" t="n"/>
      <c r="BV1501" s="1392" t="n"/>
      <c r="BW1501" s="1392" t="n"/>
      <c r="BX1501" s="1392" t="n"/>
      <c r="BY1501" s="1392" t="n"/>
      <c r="BZ1501" s="1392" t="n"/>
      <c r="CA1501" s="1392" t="n"/>
      <c r="CB1501" s="1392" t="n"/>
      <c r="CC1501" s="1392" t="n"/>
      <c r="CD1501" s="1392" t="n"/>
      <c r="CE1501" s="1392" t="n"/>
      <c r="CF1501" s="1392" t="n"/>
      <c r="CG1501" s="1392" t="n"/>
      <c r="CH1501" s="1392" t="n"/>
      <c r="CI1501" s="1392" t="n"/>
      <c r="CJ1501" s="1392" t="n"/>
      <c r="CK1501" s="1392" t="n"/>
      <c r="CL1501" s="1392" t="n"/>
    </row>
    <row r="1502">
      <c r="A1502" s="5" t="inlineStr">
        <is>
          <t>.</t>
        </is>
      </c>
      <c r="B1502" s="5" t="inlineStr">
        <is>
          <t>.</t>
        </is>
      </c>
      <c r="C1502" s="1378">
        <f>IF(raw[[#This Row],[city]]="","-",IF(raw[[#This Row],[city]]="TODAY","-",C1501+1))</f>
        <v/>
      </c>
      <c r="D1502" s="1393" t="inlineStr">
        <is>
          <t>Sao Felipe</t>
        </is>
      </c>
      <c r="E1502" s="1394" t="n">
        <v>43645</v>
      </c>
      <c r="F1502" s="1394" t="n">
        <v>43647</v>
      </c>
      <c r="G1502" s="1393" t="inlineStr">
        <is>
          <t>-</t>
        </is>
      </c>
      <c r="H1502" s="1393" t="inlineStr">
        <is>
          <t>Nadeau</t>
        </is>
      </c>
      <c r="I1502" s="1393" t="inlineStr">
        <is>
          <t>-</t>
        </is>
      </c>
      <c r="J1502" s="1393" t="inlineStr">
        <is>
          <t>-</t>
        </is>
      </c>
      <c r="K1502" s="1395">
        <f>IF(raw[[#This Row],[city]]&lt;&gt;"",_xlfn.XLOOKUP($D1502,ccc[city],ccc[prov],"-"),"-")</f>
        <v/>
      </c>
      <c r="L1502" s="1395">
        <f>IF(raw[[#This Row],[city]]&lt;&gt;"",_xlfn.XLOOKUP($D1502,ccc[city],ccc[ctry],"-"),"-")</f>
        <v/>
      </c>
      <c r="M1502" s="1395">
        <f>IF(raw[[#This Row],[city]]&lt;&gt;"",_xlfn.XLOOKUP($D1502,ccc[city],ccc[cont],"-"),"-")</f>
        <v/>
      </c>
      <c r="N1502" s="1396">
        <f>IF(raw[[#This Row],[city]]="","-",IF(raw[[#This Row],[cont]]="B",raw[[#This Row],[cont]],"W"))</f>
        <v/>
      </c>
      <c r="O1502" s="1397">
        <f>IF(raw[[#This Row],[out]]=0,0,IF(raw[[#This Row],[out]]=raw[[#This Row],[in]],0.01,raw[[#This Row],[out]]-raw[[#This Row],[in]]))</f>
        <v/>
      </c>
      <c r="P1502" s="1397">
        <f>IF(raw[[#This Row],[in]]=0,0,MONTH(raw[[#This Row],[in]]))</f>
        <v/>
      </c>
      <c r="Q1502" s="1397">
        <f>IF(raw[[#This Row],[in]]=0,0,YEAR(raw[[#This Row],[in]]))</f>
        <v/>
      </c>
      <c r="R1502" s="1397">
        <f>INT(raw[[#This Row],[yr]]/10)*10</f>
        <v/>
      </c>
      <c r="S1502" s="1395">
        <f>IF(raw[[#This Row],[city]]="","-",IF(raw[[#This Row],[city]]&lt;&gt;_xlfn.XLOOKUP(raw[[#This Row],[home]],homes[home],homes[city],"-"),1,0))</f>
        <v/>
      </c>
      <c r="T1502" s="1398" t="inlineStr">
        <is>
          <t>.</t>
        </is>
      </c>
      <c r="U1502" s="1399">
        <f>IF(raw[[#This Row],[wb]]="w",raw[[#This Row],[stay]]+U1501,U1501)</f>
        <v/>
      </c>
      <c r="V1502" s="1400">
        <f>IF(raw[[#This Row],[out]]=0,V1501,(raw[[#This Row],[out]]-E$5))</f>
        <v/>
      </c>
      <c r="W1502" s="1401">
        <f>U1502/V1502</f>
        <v/>
      </c>
      <c r="X1502" s="1392" t="n"/>
      <c r="Y1502" s="1392" t="n"/>
      <c r="Z1502" s="1392" t="n"/>
      <c r="AA1502" s="1392" t="n"/>
      <c r="AB1502" s="1392" t="n"/>
      <c r="AC1502" s="1392" t="n"/>
      <c r="AD1502" s="1392" t="n"/>
      <c r="AE1502" s="1392" t="n"/>
      <c r="AF1502" s="1392" t="n"/>
      <c r="AG1502" s="1392" t="n"/>
      <c r="AH1502" s="1392" t="n"/>
      <c r="AI1502" s="1392" t="n"/>
      <c r="AJ1502" s="1392" t="n"/>
      <c r="AK1502" s="1392" t="n"/>
      <c r="AL1502" s="1392" t="n"/>
      <c r="AM1502" s="1392" t="n"/>
      <c r="AN1502" s="1392" t="n"/>
      <c r="AO1502" s="1392" t="n"/>
      <c r="AP1502" s="1392" t="n"/>
      <c r="AQ1502" s="1392" t="n"/>
      <c r="AR1502" s="1422" t="n"/>
      <c r="AS1502" s="1422" t="n"/>
      <c r="AT1502" s="1392" t="n"/>
      <c r="AU1502" s="1392" t="n"/>
      <c r="AV1502" s="1392" t="n"/>
      <c r="AW1502" s="1392" t="n"/>
      <c r="AX1502" s="1392" t="n"/>
      <c r="AY1502" s="1392" t="n"/>
      <c r="AZ1502" s="1392" t="n"/>
      <c r="BA1502" s="1422" t="n"/>
      <c r="BB1502" s="1422" t="n"/>
      <c r="BC1502" s="1392" t="n"/>
      <c r="BD1502" s="1392" t="n"/>
      <c r="BE1502" s="1392" t="n"/>
      <c r="BF1502" s="1392" t="n"/>
      <c r="BG1502" s="1392" t="n"/>
      <c r="BH1502" s="1392" t="n"/>
      <c r="BI1502" s="1392" t="n"/>
      <c r="BJ1502" s="1392" t="n"/>
      <c r="BK1502" s="1392" t="n"/>
      <c r="BL1502" s="1392" t="n"/>
      <c r="BM1502" s="1392" t="n"/>
      <c r="BN1502" s="1392" t="n"/>
      <c r="BO1502" s="1392" t="n"/>
      <c r="BP1502" s="1392" t="n"/>
      <c r="BQ1502" s="1392" t="n"/>
      <c r="BR1502" s="1392" t="n"/>
      <c r="BS1502" s="1392" t="n"/>
      <c r="BT1502" s="1392" t="n"/>
      <c r="BU1502" s="1392" t="n"/>
      <c r="BV1502" s="1392" t="n"/>
      <c r="BW1502" s="1392" t="n"/>
      <c r="BX1502" s="1392" t="n"/>
      <c r="BY1502" s="1392" t="n"/>
      <c r="BZ1502" s="1392" t="n"/>
      <c r="CA1502" s="1392" t="n"/>
      <c r="CB1502" s="1392" t="n"/>
      <c r="CC1502" s="1392" t="n"/>
      <c r="CD1502" s="1392" t="n"/>
      <c r="CE1502" s="1392" t="n"/>
      <c r="CF1502" s="1392" t="n"/>
      <c r="CG1502" s="1392" t="n"/>
      <c r="CH1502" s="1392" t="n"/>
      <c r="CI1502" s="1392" t="n"/>
      <c r="CJ1502" s="1392" t="n"/>
      <c r="CK1502" s="1392" t="n"/>
      <c r="CL1502" s="1392" t="n"/>
    </row>
    <row r="1503">
      <c r="A1503" s="5" t="inlineStr">
        <is>
          <t>.</t>
        </is>
      </c>
      <c r="B1503" s="5" t="inlineStr">
        <is>
          <t>.</t>
        </is>
      </c>
      <c r="C1503" s="1378">
        <f>IF(raw[[#This Row],[city]]="","-",IF(raw[[#This Row],[city]]="TODAY","-",C1502+1))</f>
        <v/>
      </c>
      <c r="D1503" s="1393" t="inlineStr">
        <is>
          <t>Mombaça</t>
        </is>
      </c>
      <c r="E1503" s="1394" t="n">
        <v>43645</v>
      </c>
      <c r="F1503" s="1394" t="n">
        <v>43645</v>
      </c>
      <c r="G1503" s="1393" t="inlineStr">
        <is>
          <t>-</t>
        </is>
      </c>
      <c r="H1503" s="1393" t="inlineStr">
        <is>
          <t>Nadeau</t>
        </is>
      </c>
      <c r="I1503" s="1393" t="inlineStr">
        <is>
          <t>-</t>
        </is>
      </c>
      <c r="J1503" s="1393" t="inlineStr">
        <is>
          <t>-</t>
        </is>
      </c>
      <c r="K1503" s="1395">
        <f>IF(raw[[#This Row],[city]]&lt;&gt;"",_xlfn.XLOOKUP($D1503,ccc[city],ccc[prov],"-"),"-")</f>
        <v/>
      </c>
      <c r="L1503" s="1395">
        <f>IF(raw[[#This Row],[city]]&lt;&gt;"",_xlfn.XLOOKUP($D1503,ccc[city],ccc[ctry],"-"),"-")</f>
        <v/>
      </c>
      <c r="M1503" s="1395">
        <f>IF(raw[[#This Row],[city]]&lt;&gt;"",_xlfn.XLOOKUP($D1503,ccc[city],ccc[cont],"-"),"-")</f>
        <v/>
      </c>
      <c r="N1503" s="1396">
        <f>IF(raw[[#This Row],[city]]="","-",IF(raw[[#This Row],[cont]]="B",raw[[#This Row],[cont]],"W"))</f>
        <v/>
      </c>
      <c r="O1503" s="1397">
        <f>IF(raw[[#This Row],[out]]=0,0,IF(raw[[#This Row],[out]]=raw[[#This Row],[in]],0.01,raw[[#This Row],[out]]-raw[[#This Row],[in]]))</f>
        <v/>
      </c>
      <c r="P1503" s="1397">
        <f>IF(raw[[#This Row],[in]]=0,0,MONTH(raw[[#This Row],[in]]))</f>
        <v/>
      </c>
      <c r="Q1503" s="1397">
        <f>IF(raw[[#This Row],[in]]=0,0,YEAR(raw[[#This Row],[in]]))</f>
        <v/>
      </c>
      <c r="R1503" s="1397">
        <f>INT(raw[[#This Row],[yr]]/10)*10</f>
        <v/>
      </c>
      <c r="S1503" s="1395">
        <f>IF(raw[[#This Row],[city]]="","-",IF(raw[[#This Row],[city]]&lt;&gt;_xlfn.XLOOKUP(raw[[#This Row],[home]],homes[home],homes[city],"-"),1,0))</f>
        <v/>
      </c>
      <c r="T1503" s="1398" t="inlineStr">
        <is>
          <t>.</t>
        </is>
      </c>
      <c r="U1503" s="1399">
        <f>IF(raw[[#This Row],[wb]]="w",raw[[#This Row],[stay]]+U1502,U1502)</f>
        <v/>
      </c>
      <c r="V1503" s="1400">
        <f>IF(raw[[#This Row],[out]]=0,V1502,(raw[[#This Row],[out]]-E$5))</f>
        <v/>
      </c>
      <c r="W1503" s="1401">
        <f>U1503/V1503</f>
        <v/>
      </c>
      <c r="X1503" s="1392" t="n"/>
      <c r="Y1503" s="1392" t="n"/>
      <c r="Z1503" s="1392" t="n"/>
      <c r="AA1503" s="1392" t="n"/>
      <c r="AB1503" s="1392" t="n"/>
      <c r="AC1503" s="1392" t="n"/>
      <c r="AD1503" s="1392" t="n"/>
      <c r="AE1503" s="1392" t="n"/>
      <c r="AF1503" s="1392" t="n"/>
      <c r="AG1503" s="1392" t="n"/>
      <c r="AH1503" s="1392" t="n"/>
      <c r="AI1503" s="1392" t="n"/>
      <c r="AJ1503" s="1392" t="n"/>
      <c r="AK1503" s="1392" t="n"/>
      <c r="AL1503" s="1392" t="n"/>
      <c r="AM1503" s="1392" t="n"/>
      <c r="AN1503" s="1392" t="n"/>
      <c r="AO1503" s="1392" t="n"/>
      <c r="AP1503" s="1392" t="n"/>
      <c r="AQ1503" s="1392" t="n"/>
      <c r="AR1503" s="1422" t="n"/>
      <c r="AS1503" s="1422" t="n"/>
      <c r="AT1503" s="1392" t="n"/>
      <c r="AU1503" s="1392" t="n"/>
      <c r="AV1503" s="1392" t="n"/>
      <c r="AW1503" s="1392" t="n"/>
      <c r="AX1503" s="1392" t="n"/>
      <c r="AY1503" s="1392" t="n"/>
      <c r="AZ1503" s="1392" t="n"/>
      <c r="BA1503" s="1422" t="n"/>
      <c r="BB1503" s="1422" t="n"/>
      <c r="BC1503" s="1392" t="n"/>
      <c r="BD1503" s="1392" t="n"/>
      <c r="BE1503" s="1392" t="n"/>
      <c r="BF1503" s="1392" t="n"/>
      <c r="BG1503" s="1392" t="n"/>
      <c r="BH1503" s="1392" t="n"/>
      <c r="BI1503" s="1392" t="n"/>
      <c r="BJ1503" s="1392" t="n"/>
      <c r="BK1503" s="1392" t="n"/>
      <c r="BL1503" s="1392" t="n"/>
      <c r="BM1503" s="1392" t="n"/>
      <c r="BN1503" s="1392" t="n"/>
      <c r="BO1503" s="1392" t="n"/>
      <c r="BP1503" s="1392" t="n"/>
      <c r="BQ1503" s="1392" t="n"/>
      <c r="BR1503" s="1392" t="n"/>
      <c r="BS1503" s="1392" t="n"/>
      <c r="BT1503" s="1392" t="n"/>
      <c r="BU1503" s="1392" t="n"/>
      <c r="BV1503" s="1392" t="n"/>
      <c r="BW1503" s="1392" t="n"/>
      <c r="BX1503" s="1392" t="n"/>
      <c r="BY1503" s="1392" t="n"/>
      <c r="BZ1503" s="1392" t="n"/>
      <c r="CA1503" s="1392" t="n"/>
      <c r="CB1503" s="1392" t="n"/>
      <c r="CC1503" s="1392" t="n"/>
      <c r="CD1503" s="1392" t="n"/>
      <c r="CE1503" s="1392" t="n"/>
      <c r="CF1503" s="1392" t="n"/>
      <c r="CG1503" s="1392" t="n"/>
      <c r="CH1503" s="1392" t="n"/>
      <c r="CI1503" s="1392" t="n"/>
      <c r="CJ1503" s="1392" t="n"/>
      <c r="CK1503" s="1392" t="n"/>
      <c r="CL1503" s="1392" t="n"/>
    </row>
    <row r="1504">
      <c r="A1504" s="5" t="inlineStr">
        <is>
          <t>.</t>
        </is>
      </c>
      <c r="B1504" s="5" t="inlineStr">
        <is>
          <t>.</t>
        </is>
      </c>
      <c r="C1504" s="1378">
        <f>IF(raw[[#This Row],[city]]="","-",IF(raw[[#This Row],[city]]="TODAY","-",C1503+1))</f>
        <v/>
      </c>
      <c r="D1504" s="1393" t="inlineStr">
        <is>
          <t>Cruz das Almas</t>
        </is>
      </c>
      <c r="E1504" s="1394" t="n">
        <v>43645</v>
      </c>
      <c r="F1504" s="1394" t="n">
        <v>43645</v>
      </c>
      <c r="G1504" s="1393" t="inlineStr">
        <is>
          <t>-</t>
        </is>
      </c>
      <c r="H1504" s="1393" t="inlineStr">
        <is>
          <t>Nadeau</t>
        </is>
      </c>
      <c r="I1504" s="1393" t="inlineStr">
        <is>
          <t>-</t>
        </is>
      </c>
      <c r="J1504" s="1393" t="inlineStr">
        <is>
          <t>-</t>
        </is>
      </c>
      <c r="K1504" s="1395">
        <f>IF(raw[[#This Row],[city]]&lt;&gt;"",_xlfn.XLOOKUP($D1504,ccc[city],ccc[prov],"-"),"-")</f>
        <v/>
      </c>
      <c r="L1504" s="1395">
        <f>IF(raw[[#This Row],[city]]&lt;&gt;"",_xlfn.XLOOKUP($D1504,ccc[city],ccc[ctry],"-"),"-")</f>
        <v/>
      </c>
      <c r="M1504" s="1395">
        <f>IF(raw[[#This Row],[city]]&lt;&gt;"",_xlfn.XLOOKUP($D1504,ccc[city],ccc[cont],"-"),"-")</f>
        <v/>
      </c>
      <c r="N1504" s="1396">
        <f>IF(raw[[#This Row],[city]]="","-",IF(raw[[#This Row],[cont]]="B",raw[[#This Row],[cont]],"W"))</f>
        <v/>
      </c>
      <c r="O1504" s="1397">
        <f>IF(raw[[#This Row],[out]]=0,0,IF(raw[[#This Row],[out]]=raw[[#This Row],[in]],0.01,raw[[#This Row],[out]]-raw[[#This Row],[in]]))</f>
        <v/>
      </c>
      <c r="P1504" s="1397">
        <f>IF(raw[[#This Row],[in]]=0,0,MONTH(raw[[#This Row],[in]]))</f>
        <v/>
      </c>
      <c r="Q1504" s="1397">
        <f>IF(raw[[#This Row],[in]]=0,0,YEAR(raw[[#This Row],[in]]))</f>
        <v/>
      </c>
      <c r="R1504" s="1397">
        <f>INT(raw[[#This Row],[yr]]/10)*10</f>
        <v/>
      </c>
      <c r="S1504" s="1395">
        <f>IF(raw[[#This Row],[city]]="","-",IF(raw[[#This Row],[city]]&lt;&gt;_xlfn.XLOOKUP(raw[[#This Row],[home]],homes[home],homes[city],"-"),1,0))</f>
        <v/>
      </c>
      <c r="T1504" s="1398" t="inlineStr">
        <is>
          <t>.</t>
        </is>
      </c>
      <c r="U1504" s="1399">
        <f>IF(raw[[#This Row],[wb]]="w",raw[[#This Row],[stay]]+U1503,U1503)</f>
        <v/>
      </c>
      <c r="V1504" s="1400">
        <f>IF(raw[[#This Row],[out]]=0,V1503,(raw[[#This Row],[out]]-E$5))</f>
        <v/>
      </c>
      <c r="W1504" s="1401">
        <f>U1504/V1504</f>
        <v/>
      </c>
      <c r="X1504" s="1392" t="n"/>
      <c r="Y1504" s="1392" t="n"/>
      <c r="Z1504" s="1392" t="n"/>
      <c r="AA1504" s="1392" t="n"/>
      <c r="AB1504" s="1392" t="n"/>
      <c r="AC1504" s="1392" t="n"/>
      <c r="AD1504" s="1392" t="n"/>
      <c r="AE1504" s="1392" t="n"/>
      <c r="AF1504" s="1392" t="n"/>
      <c r="AG1504" s="1392" t="n"/>
      <c r="AH1504" s="1392" t="n"/>
      <c r="AI1504" s="1392" t="n"/>
      <c r="AJ1504" s="1392" t="n"/>
      <c r="AK1504" s="1392" t="n"/>
      <c r="AL1504" s="1392" t="n"/>
      <c r="AM1504" s="1392" t="n"/>
      <c r="AN1504" s="1392" t="n"/>
      <c r="AO1504" s="1392" t="n"/>
      <c r="AP1504" s="1392" t="n"/>
      <c r="AQ1504" s="1392" t="n"/>
      <c r="AR1504" s="1422" t="n"/>
      <c r="AS1504" s="1422" t="n"/>
      <c r="AT1504" s="1392" t="n"/>
      <c r="AU1504" s="1392" t="n"/>
      <c r="AV1504" s="1392" t="n"/>
      <c r="AW1504" s="1392" t="n"/>
      <c r="AX1504" s="1392" t="n"/>
      <c r="AY1504" s="1392" t="n"/>
      <c r="AZ1504" s="1392" t="n"/>
      <c r="BA1504" s="1422" t="n"/>
      <c r="BB1504" s="1422" t="n"/>
      <c r="BC1504" s="1392" t="n"/>
      <c r="BD1504" s="1392" t="n"/>
      <c r="BE1504" s="1392" t="n"/>
      <c r="BF1504" s="1392" t="n"/>
      <c r="BG1504" s="1392" t="n"/>
      <c r="BH1504" s="1392" t="n"/>
      <c r="BI1504" s="1392" t="n"/>
      <c r="BJ1504" s="1392" t="n"/>
      <c r="BK1504" s="1392" t="n"/>
      <c r="BL1504" s="1392" t="n"/>
      <c r="BM1504" s="1392" t="n"/>
      <c r="BN1504" s="1392" t="n"/>
      <c r="BO1504" s="1392" t="n"/>
      <c r="BP1504" s="1392" t="n"/>
      <c r="BQ1504" s="1392" t="n"/>
      <c r="BR1504" s="1392" t="n"/>
      <c r="BS1504" s="1392" t="n"/>
      <c r="BT1504" s="1392" t="n"/>
      <c r="BU1504" s="1392" t="n"/>
      <c r="BV1504" s="1392" t="n"/>
      <c r="BW1504" s="1392" t="n"/>
      <c r="BX1504" s="1392" t="n"/>
      <c r="BY1504" s="1392" t="n"/>
      <c r="BZ1504" s="1392" t="n"/>
      <c r="CA1504" s="1392" t="n"/>
      <c r="CB1504" s="1392" t="n"/>
      <c r="CC1504" s="1392" t="n"/>
      <c r="CD1504" s="1392" t="n"/>
      <c r="CE1504" s="1392" t="n"/>
      <c r="CF1504" s="1392" t="n"/>
      <c r="CG1504" s="1392" t="n"/>
      <c r="CH1504" s="1392" t="n"/>
      <c r="CI1504" s="1392" t="n"/>
      <c r="CJ1504" s="1392" t="n"/>
      <c r="CK1504" s="1392" t="n"/>
      <c r="CL1504" s="1392" t="n"/>
    </row>
    <row r="1505">
      <c r="A1505" s="5" t="inlineStr">
        <is>
          <t>.</t>
        </is>
      </c>
      <c r="B1505" s="5" t="inlineStr">
        <is>
          <t>.</t>
        </is>
      </c>
      <c r="C1505" s="1378">
        <f>IF(raw[[#This Row],[city]]="","-",IF(raw[[#This Row],[city]]="TODAY","-",C1504+1))</f>
        <v/>
      </c>
      <c r="D1505" s="1393" t="inlineStr">
        <is>
          <t>SSA</t>
        </is>
      </c>
      <c r="E1505" s="1394" t="n">
        <v>43647</v>
      </c>
      <c r="F1505" s="1394" t="n">
        <v>43667</v>
      </c>
      <c r="G1505" s="1393" t="n">
        <v>1</v>
      </c>
      <c r="H1505" s="1393" t="inlineStr">
        <is>
          <t>Nadeau</t>
        </is>
      </c>
      <c r="I1505" s="1393" t="inlineStr">
        <is>
          <t>Ondina</t>
        </is>
      </c>
      <c r="J1505" s="1393" t="inlineStr">
        <is>
          <t>-</t>
        </is>
      </c>
      <c r="K1505" s="1395">
        <f>IF(raw[[#This Row],[city]]&lt;&gt;"",_xlfn.XLOOKUP($D1505,ccc[city],ccc[prov],"-"),"-")</f>
        <v/>
      </c>
      <c r="L1505" s="1395">
        <f>IF(raw[[#This Row],[city]]&lt;&gt;"",_xlfn.XLOOKUP($D1505,ccc[city],ccc[ctry],"-"),"-")</f>
        <v/>
      </c>
      <c r="M1505" s="1395">
        <f>IF(raw[[#This Row],[city]]&lt;&gt;"",_xlfn.XLOOKUP($D1505,ccc[city],ccc[cont],"-"),"-")</f>
        <v/>
      </c>
      <c r="N1505" s="1396">
        <f>IF(raw[[#This Row],[city]]="","-",IF(raw[[#This Row],[cont]]="B",raw[[#This Row],[cont]],"W"))</f>
        <v/>
      </c>
      <c r="O1505" s="1397">
        <f>IF(raw[[#This Row],[out]]=0,0,IF(raw[[#This Row],[out]]=raw[[#This Row],[in]],0.01,raw[[#This Row],[out]]-raw[[#This Row],[in]]))</f>
        <v/>
      </c>
      <c r="P1505" s="1397">
        <f>IF(raw[[#This Row],[in]]=0,0,MONTH(raw[[#This Row],[in]]))</f>
        <v/>
      </c>
      <c r="Q1505" s="1397">
        <f>IF(raw[[#This Row],[in]]=0,0,YEAR(raw[[#This Row],[in]]))</f>
        <v/>
      </c>
      <c r="R1505" s="1397">
        <f>INT(raw[[#This Row],[yr]]/10)*10</f>
        <v/>
      </c>
      <c r="S1505" s="1395">
        <f>IF(raw[[#This Row],[city]]="","-",IF(raw[[#This Row],[city]]&lt;&gt;_xlfn.XLOOKUP(raw[[#This Row],[home]],homes[home],homes[city],"-"),1,0))</f>
        <v/>
      </c>
      <c r="T1505" s="1398" t="inlineStr">
        <is>
          <t>.</t>
        </is>
      </c>
      <c r="U1505" s="1399">
        <f>IF(raw[[#This Row],[wb]]="w",raw[[#This Row],[stay]]+U1504,U1504)</f>
        <v/>
      </c>
      <c r="V1505" s="1400">
        <f>IF(raw[[#This Row],[out]]=0,V1504,(raw[[#This Row],[out]]-E$5))</f>
        <v/>
      </c>
      <c r="W1505" s="1401">
        <f>U1505/V1505</f>
        <v/>
      </c>
      <c r="X1505" s="1392" t="n"/>
      <c r="Y1505" s="1392" t="n"/>
      <c r="Z1505" s="1392" t="n"/>
      <c r="AA1505" s="1392" t="n"/>
      <c r="AB1505" s="1392" t="n"/>
      <c r="AC1505" s="1392" t="n"/>
      <c r="AD1505" s="1392" t="n"/>
      <c r="AE1505" s="1392" t="n"/>
      <c r="AF1505" s="1392" t="n"/>
      <c r="AG1505" s="1392" t="n"/>
      <c r="AH1505" s="1392" t="n"/>
      <c r="AI1505" s="1392" t="n"/>
      <c r="AJ1505" s="1392" t="n"/>
      <c r="AK1505" s="1392" t="n"/>
      <c r="AL1505" s="1392" t="n"/>
      <c r="AM1505" s="1392" t="n"/>
      <c r="AN1505" s="1392" t="n"/>
      <c r="AO1505" s="1392" t="n"/>
      <c r="AP1505" s="1392" t="n"/>
      <c r="AQ1505" s="1392" t="n"/>
      <c r="AR1505" s="1422" t="n"/>
      <c r="AS1505" s="1422" t="n"/>
      <c r="AT1505" s="1392" t="n"/>
      <c r="AU1505" s="1392" t="n"/>
      <c r="AV1505" s="1392" t="n"/>
      <c r="AW1505" s="1392" t="n"/>
      <c r="AX1505" s="1392" t="n"/>
      <c r="AY1505" s="1392" t="n"/>
      <c r="AZ1505" s="1392" t="n"/>
      <c r="BA1505" s="1422" t="n"/>
      <c r="BB1505" s="1422" t="n"/>
      <c r="BC1505" s="1392" t="n"/>
      <c r="BD1505" s="1392" t="n"/>
      <c r="BE1505" s="1392" t="n"/>
      <c r="BF1505" s="1392" t="n"/>
      <c r="BG1505" s="1392" t="n"/>
      <c r="BH1505" s="1392" t="n"/>
      <c r="BI1505" s="1392" t="n"/>
      <c r="BJ1505" s="1392" t="n"/>
      <c r="BK1505" s="1392" t="n"/>
      <c r="BL1505" s="1392" t="n"/>
      <c r="BM1505" s="1392" t="n"/>
      <c r="BN1505" s="1392" t="n"/>
      <c r="BO1505" s="1392" t="n"/>
      <c r="BP1505" s="1392" t="n"/>
      <c r="BQ1505" s="1392" t="n"/>
      <c r="BR1505" s="1392" t="n"/>
      <c r="BS1505" s="1392" t="n"/>
      <c r="BT1505" s="1392" t="n"/>
      <c r="BU1505" s="1392" t="n"/>
      <c r="BV1505" s="1392" t="n"/>
      <c r="BW1505" s="1392" t="n"/>
      <c r="BX1505" s="1392" t="n"/>
      <c r="BY1505" s="1392" t="n"/>
      <c r="BZ1505" s="1392" t="n"/>
      <c r="CA1505" s="1392" t="n"/>
      <c r="CB1505" s="1392" t="n"/>
      <c r="CC1505" s="1392" t="n"/>
      <c r="CD1505" s="1392" t="n"/>
      <c r="CE1505" s="1392" t="n"/>
      <c r="CF1505" s="1392" t="n"/>
      <c r="CG1505" s="1392" t="n"/>
      <c r="CH1505" s="1392" t="n"/>
      <c r="CI1505" s="1392" t="n"/>
      <c r="CJ1505" s="1392" t="n"/>
      <c r="CK1505" s="1392" t="n"/>
      <c r="CL1505" s="1392" t="n"/>
    </row>
    <row r="1506">
      <c r="A1506" s="5" t="inlineStr">
        <is>
          <t>.</t>
        </is>
      </c>
      <c r="B1506" s="5" t="inlineStr">
        <is>
          <t>.</t>
        </is>
      </c>
      <c r="C1506" s="1378">
        <f>IF(raw[[#This Row],[city]]="","-",IF(raw[[#This Row],[city]]="TODAY","-",C1505+1))</f>
        <v/>
      </c>
      <c r="D1506" s="1393" t="inlineStr">
        <is>
          <t>Rio</t>
        </is>
      </c>
      <c r="E1506" s="1394" t="n">
        <v>43667</v>
      </c>
      <c r="F1506" s="1394" t="n">
        <v>43670</v>
      </c>
      <c r="G1506" s="1393" t="n">
        <v>1</v>
      </c>
      <c r="H1506" s="1393" t="inlineStr">
        <is>
          <t>Nadeau</t>
        </is>
      </c>
      <c r="I1506" s="1393" t="inlineStr">
        <is>
          <t>Tatá/Venancio</t>
        </is>
      </c>
      <c r="J1506" s="1393" t="inlineStr">
        <is>
          <t>-</t>
        </is>
      </c>
      <c r="K1506" s="1395">
        <f>IF(raw[[#This Row],[city]]&lt;&gt;"",_xlfn.XLOOKUP($D1506,ccc[city],ccc[prov],"-"),"-")</f>
        <v/>
      </c>
      <c r="L1506" s="1395">
        <f>IF(raw[[#This Row],[city]]&lt;&gt;"",_xlfn.XLOOKUP($D1506,ccc[city],ccc[ctry],"-"),"-")</f>
        <v/>
      </c>
      <c r="M1506" s="1395">
        <f>IF(raw[[#This Row],[city]]&lt;&gt;"",_xlfn.XLOOKUP($D1506,ccc[city],ccc[cont],"-"),"-")</f>
        <v/>
      </c>
      <c r="N1506" s="1396">
        <f>IF(raw[[#This Row],[city]]="","-",IF(raw[[#This Row],[cont]]="B",raw[[#This Row],[cont]],"W"))</f>
        <v/>
      </c>
      <c r="O1506" s="1397">
        <f>IF(raw[[#This Row],[out]]=0,0,IF(raw[[#This Row],[out]]=raw[[#This Row],[in]],0.01,raw[[#This Row],[out]]-raw[[#This Row],[in]]))</f>
        <v/>
      </c>
      <c r="P1506" s="1397">
        <f>IF(raw[[#This Row],[in]]=0,0,MONTH(raw[[#This Row],[in]]))</f>
        <v/>
      </c>
      <c r="Q1506" s="1397">
        <f>IF(raw[[#This Row],[in]]=0,0,YEAR(raw[[#This Row],[in]]))</f>
        <v/>
      </c>
      <c r="R1506" s="1397">
        <f>INT(raw[[#This Row],[yr]]/10)*10</f>
        <v/>
      </c>
      <c r="S1506" s="1395">
        <f>IF(raw[[#This Row],[city]]="","-",IF(raw[[#This Row],[city]]&lt;&gt;_xlfn.XLOOKUP(raw[[#This Row],[home]],homes[home],homes[city],"-"),1,0))</f>
        <v/>
      </c>
      <c r="T1506" s="1398" t="inlineStr">
        <is>
          <t>.</t>
        </is>
      </c>
      <c r="U1506" s="1399">
        <f>IF(raw[[#This Row],[wb]]="w",raw[[#This Row],[stay]]+U1505,U1505)</f>
        <v/>
      </c>
      <c r="V1506" s="1400">
        <f>IF(raw[[#This Row],[out]]=0,V1505,(raw[[#This Row],[out]]-E$5))</f>
        <v/>
      </c>
      <c r="W1506" s="1401">
        <f>U1506/V1506</f>
        <v/>
      </c>
      <c r="X1506" s="1392" t="n"/>
      <c r="Y1506" s="1392" t="n"/>
      <c r="Z1506" s="1392" t="n"/>
      <c r="AA1506" s="1392" t="n"/>
      <c r="AB1506" s="1392" t="n"/>
      <c r="AC1506" s="1392" t="n"/>
      <c r="AD1506" s="1392" t="n"/>
      <c r="AE1506" s="1392" t="n"/>
      <c r="AF1506" s="1392" t="n"/>
      <c r="AG1506" s="1392" t="n"/>
      <c r="AH1506" s="1392" t="n"/>
      <c r="AI1506" s="1392" t="n"/>
      <c r="AJ1506" s="1392" t="n"/>
      <c r="AK1506" s="1392" t="n"/>
      <c r="AL1506" s="1392" t="n"/>
      <c r="AM1506" s="1392" t="n"/>
      <c r="AN1506" s="1392" t="n"/>
      <c r="AO1506" s="1392" t="n"/>
      <c r="AP1506" s="1392" t="n"/>
      <c r="AQ1506" s="1392" t="n"/>
      <c r="AR1506" s="1422" t="n"/>
      <c r="AS1506" s="1422" t="n"/>
      <c r="AT1506" s="1392" t="n"/>
      <c r="AU1506" s="1392" t="n"/>
      <c r="AV1506" s="1392" t="n"/>
      <c r="AW1506" s="1392" t="n"/>
      <c r="AX1506" s="1392" t="n"/>
      <c r="AY1506" s="1392" t="n"/>
      <c r="AZ1506" s="1392" t="n"/>
      <c r="BA1506" s="1422" t="n"/>
      <c r="BB1506" s="1422" t="n"/>
      <c r="BC1506" s="1392" t="n"/>
      <c r="BD1506" s="1392" t="n"/>
      <c r="BE1506" s="1392" t="n"/>
      <c r="BF1506" s="1392" t="n"/>
      <c r="BG1506" s="1392" t="n"/>
      <c r="BH1506" s="1392" t="n"/>
      <c r="BI1506" s="1392" t="n"/>
      <c r="BJ1506" s="1392" t="n"/>
      <c r="BK1506" s="1392" t="n"/>
      <c r="BL1506" s="1392" t="n"/>
      <c r="BM1506" s="1392" t="n"/>
      <c r="BN1506" s="1392" t="n"/>
      <c r="BO1506" s="1392" t="n"/>
      <c r="BP1506" s="1392" t="n"/>
      <c r="BQ1506" s="1392" t="n"/>
      <c r="BR1506" s="1392" t="n"/>
      <c r="BS1506" s="1392" t="n"/>
      <c r="BT1506" s="1392" t="n"/>
      <c r="BU1506" s="1392" t="n"/>
      <c r="BV1506" s="1392" t="n"/>
      <c r="BW1506" s="1392" t="n"/>
      <c r="BX1506" s="1392" t="n"/>
      <c r="BY1506" s="1392" t="n"/>
      <c r="BZ1506" s="1392" t="n"/>
      <c r="CA1506" s="1392" t="n"/>
      <c r="CB1506" s="1392" t="n"/>
      <c r="CC1506" s="1392" t="n"/>
      <c r="CD1506" s="1392" t="n"/>
      <c r="CE1506" s="1392" t="n"/>
      <c r="CF1506" s="1392" t="n"/>
      <c r="CG1506" s="1392" t="n"/>
      <c r="CH1506" s="1392" t="n"/>
      <c r="CI1506" s="1392" t="n"/>
      <c r="CJ1506" s="1392" t="n"/>
      <c r="CK1506" s="1392" t="n"/>
      <c r="CL1506" s="1392" t="n"/>
    </row>
    <row r="1507">
      <c r="A1507" s="5" t="inlineStr">
        <is>
          <t>.</t>
        </is>
      </c>
      <c r="B1507" s="5" t="inlineStr">
        <is>
          <t>.</t>
        </is>
      </c>
      <c r="C1507" s="1378">
        <f>IF(raw[[#This Row],[city]]="","-",IF(raw[[#This Row],[city]]="TODAY","-",C1506+1))</f>
        <v/>
      </c>
      <c r="D1507" s="1393" t="inlineStr">
        <is>
          <t>SSA</t>
        </is>
      </c>
      <c r="E1507" s="1394" t="n">
        <v>43670</v>
      </c>
      <c r="F1507" s="1394" t="n">
        <v>43673</v>
      </c>
      <c r="G1507" s="1393" t="n">
        <v>1</v>
      </c>
      <c r="H1507" s="1393" t="inlineStr">
        <is>
          <t>Nadeau</t>
        </is>
      </c>
      <c r="I1507" s="1393" t="inlineStr">
        <is>
          <t>Ondina</t>
        </is>
      </c>
      <c r="J1507" s="1393" t="inlineStr">
        <is>
          <t>-</t>
        </is>
      </c>
      <c r="K1507" s="1395">
        <f>IF(raw[[#This Row],[city]]&lt;&gt;"",_xlfn.XLOOKUP($D1507,ccc[city],ccc[prov],"-"),"-")</f>
        <v/>
      </c>
      <c r="L1507" s="1395">
        <f>IF(raw[[#This Row],[city]]&lt;&gt;"",_xlfn.XLOOKUP($D1507,ccc[city],ccc[ctry],"-"),"-")</f>
        <v/>
      </c>
      <c r="M1507" s="1395">
        <f>IF(raw[[#This Row],[city]]&lt;&gt;"",_xlfn.XLOOKUP($D1507,ccc[city],ccc[cont],"-"),"-")</f>
        <v/>
      </c>
      <c r="N1507" s="1396">
        <f>IF(raw[[#This Row],[city]]="","-",IF(raw[[#This Row],[cont]]="B",raw[[#This Row],[cont]],"W"))</f>
        <v/>
      </c>
      <c r="O1507" s="1397">
        <f>IF(raw[[#This Row],[out]]=0,0,IF(raw[[#This Row],[out]]=raw[[#This Row],[in]],0.01,raw[[#This Row],[out]]-raw[[#This Row],[in]]))</f>
        <v/>
      </c>
      <c r="P1507" s="1397">
        <f>IF(raw[[#This Row],[in]]=0,0,MONTH(raw[[#This Row],[in]]))</f>
        <v/>
      </c>
      <c r="Q1507" s="1397">
        <f>IF(raw[[#This Row],[in]]=0,0,YEAR(raw[[#This Row],[in]]))</f>
        <v/>
      </c>
      <c r="R1507" s="1397">
        <f>INT(raw[[#This Row],[yr]]/10)*10</f>
        <v/>
      </c>
      <c r="S1507" s="1395">
        <f>IF(raw[[#This Row],[city]]="","-",IF(raw[[#This Row],[city]]&lt;&gt;_xlfn.XLOOKUP(raw[[#This Row],[home]],homes[home],homes[city],"-"),1,0))</f>
        <v/>
      </c>
      <c r="T1507" s="1398" t="inlineStr">
        <is>
          <t>.</t>
        </is>
      </c>
      <c r="U1507" s="1399">
        <f>IF(raw[[#This Row],[wb]]="w",raw[[#This Row],[stay]]+U1506,U1506)</f>
        <v/>
      </c>
      <c r="V1507" s="1400">
        <f>IF(raw[[#This Row],[out]]=0,V1506,(raw[[#This Row],[out]]-E$5))</f>
        <v/>
      </c>
      <c r="W1507" s="1401">
        <f>U1507/V1507</f>
        <v/>
      </c>
      <c r="X1507" s="1392" t="n"/>
      <c r="Y1507" s="1392" t="n"/>
      <c r="Z1507" s="1392" t="n"/>
      <c r="AA1507" s="1392" t="n"/>
      <c r="AB1507" s="1392" t="n"/>
      <c r="AC1507" s="1392" t="n"/>
      <c r="AD1507" s="1392" t="n"/>
      <c r="AE1507" s="1392" t="n"/>
      <c r="AF1507" s="1392" t="n"/>
      <c r="AG1507" s="1392" t="n"/>
      <c r="AH1507" s="1392" t="n"/>
      <c r="AI1507" s="1392" t="n"/>
      <c r="AJ1507" s="1392" t="n"/>
      <c r="AK1507" s="1392" t="n"/>
      <c r="AL1507" s="1392" t="n"/>
      <c r="AM1507" s="1392" t="n"/>
      <c r="AN1507" s="1392" t="n"/>
      <c r="AO1507" s="1392" t="n"/>
      <c r="AP1507" s="1392" t="n"/>
      <c r="AQ1507" s="1392" t="n"/>
      <c r="AR1507" s="1422" t="n"/>
      <c r="AS1507" s="1422" t="n"/>
      <c r="AT1507" s="1392" t="n"/>
      <c r="AU1507" s="1392" t="n"/>
      <c r="AV1507" s="1392" t="n"/>
      <c r="AW1507" s="1392" t="n"/>
      <c r="AX1507" s="1392" t="n"/>
      <c r="AY1507" s="1392" t="n"/>
      <c r="AZ1507" s="1392" t="n"/>
      <c r="BA1507" s="1422" t="n"/>
      <c r="BB1507" s="1422" t="n"/>
      <c r="BC1507" s="1392" t="n"/>
      <c r="BD1507" s="1392" t="n"/>
      <c r="BE1507" s="1392" t="n"/>
      <c r="BF1507" s="1392" t="n"/>
      <c r="BG1507" s="1392" t="n"/>
      <c r="BH1507" s="1392" t="n"/>
      <c r="BI1507" s="1392" t="n"/>
      <c r="BJ1507" s="1392" t="n"/>
      <c r="BK1507" s="1392" t="n"/>
      <c r="BL1507" s="1392" t="n"/>
      <c r="BM1507" s="1392" t="n"/>
      <c r="BN1507" s="1392" t="n"/>
      <c r="BO1507" s="1392" t="n"/>
      <c r="BP1507" s="1392" t="n"/>
      <c r="BQ1507" s="1392" t="n"/>
      <c r="BR1507" s="1392" t="n"/>
      <c r="BS1507" s="1392" t="n"/>
      <c r="BT1507" s="1392" t="n"/>
      <c r="BU1507" s="1392" t="n"/>
      <c r="BV1507" s="1392" t="n"/>
      <c r="BW1507" s="1392" t="n"/>
      <c r="BX1507" s="1392" t="n"/>
      <c r="BY1507" s="1392" t="n"/>
      <c r="BZ1507" s="1392" t="n"/>
      <c r="CA1507" s="1392" t="n"/>
      <c r="CB1507" s="1392" t="n"/>
      <c r="CC1507" s="1392" t="n"/>
      <c r="CD1507" s="1392" t="n"/>
      <c r="CE1507" s="1392" t="n"/>
      <c r="CF1507" s="1392" t="n"/>
      <c r="CG1507" s="1392" t="n"/>
      <c r="CH1507" s="1392" t="n"/>
      <c r="CI1507" s="1392" t="n"/>
      <c r="CJ1507" s="1392" t="n"/>
      <c r="CK1507" s="1392" t="n"/>
      <c r="CL1507" s="1392" t="n"/>
    </row>
    <row r="1508">
      <c r="A1508" s="5" t="inlineStr">
        <is>
          <t>.</t>
        </is>
      </c>
      <c r="B1508" s="5" t="inlineStr">
        <is>
          <t>.</t>
        </is>
      </c>
      <c r="C1508" s="1378">
        <f>IF(raw[[#This Row],[city]]="","-",IF(raw[[#This Row],[city]]="TODAY","-",C1507+1))</f>
        <v/>
      </c>
      <c r="D1508" s="1393" t="inlineStr">
        <is>
          <t>Panama</t>
        </is>
      </c>
      <c r="E1508" s="1394" t="n">
        <v>43673</v>
      </c>
      <c r="F1508" s="1394" t="n">
        <v>43673</v>
      </c>
      <c r="G1508" s="1393" t="n">
        <v>1</v>
      </c>
      <c r="H1508" s="1393" t="inlineStr">
        <is>
          <t>Nadeau</t>
        </is>
      </c>
      <c r="I1508" s="1393" t="inlineStr">
        <is>
          <t>-</t>
        </is>
      </c>
      <c r="J1508" s="1393" t="inlineStr">
        <is>
          <t>-</t>
        </is>
      </c>
      <c r="K1508" s="1395">
        <f>IF(raw[[#This Row],[city]]&lt;&gt;"",_xlfn.XLOOKUP($D1508,ccc[city],ccc[prov],"-"),"-")</f>
        <v/>
      </c>
      <c r="L1508" s="1395">
        <f>IF(raw[[#This Row],[city]]&lt;&gt;"",_xlfn.XLOOKUP($D1508,ccc[city],ccc[ctry],"-"),"-")</f>
        <v/>
      </c>
      <c r="M1508" s="1395">
        <f>IF(raw[[#This Row],[city]]&lt;&gt;"",_xlfn.XLOOKUP($D1508,ccc[city],ccc[cont],"-"),"-")</f>
        <v/>
      </c>
      <c r="N1508" s="1396">
        <f>IF(raw[[#This Row],[city]]="","-",IF(raw[[#This Row],[cont]]="B",raw[[#This Row],[cont]],"W"))</f>
        <v/>
      </c>
      <c r="O1508" s="1397">
        <f>IF(raw[[#This Row],[out]]=0,0,IF(raw[[#This Row],[out]]=raw[[#This Row],[in]],0.01,raw[[#This Row],[out]]-raw[[#This Row],[in]]))</f>
        <v/>
      </c>
      <c r="P1508" s="1397">
        <f>IF(raw[[#This Row],[in]]=0,0,MONTH(raw[[#This Row],[in]]))</f>
        <v/>
      </c>
      <c r="Q1508" s="1397">
        <f>IF(raw[[#This Row],[in]]=0,0,YEAR(raw[[#This Row],[in]]))</f>
        <v/>
      </c>
      <c r="R1508" s="1397">
        <f>INT(raw[[#This Row],[yr]]/10)*10</f>
        <v/>
      </c>
      <c r="S1508" s="1395">
        <f>IF(raw[[#This Row],[city]]="","-",IF(raw[[#This Row],[city]]&lt;&gt;_xlfn.XLOOKUP(raw[[#This Row],[home]],homes[home],homes[city],"-"),1,0))</f>
        <v/>
      </c>
      <c r="T1508" s="1398" t="inlineStr">
        <is>
          <t>.</t>
        </is>
      </c>
      <c r="U1508" s="1399">
        <f>IF(raw[[#This Row],[wb]]="w",raw[[#This Row],[stay]]+U1507,U1507)</f>
        <v/>
      </c>
      <c r="V1508" s="1400">
        <f>IF(raw[[#This Row],[out]]=0,V1507,(raw[[#This Row],[out]]-E$5))</f>
        <v/>
      </c>
      <c r="W1508" s="1401">
        <f>U1508/V1508</f>
        <v/>
      </c>
      <c r="X1508" s="1392" t="n"/>
      <c r="Y1508" s="1392" t="n"/>
      <c r="Z1508" s="1392" t="n"/>
      <c r="AA1508" s="1392" t="n"/>
      <c r="AB1508" s="1392" t="n"/>
      <c r="AC1508" s="1392" t="n"/>
      <c r="AD1508" s="1392" t="n"/>
      <c r="AE1508" s="1392" t="n"/>
      <c r="AF1508" s="1392" t="n"/>
      <c r="AG1508" s="1392" t="n"/>
      <c r="AH1508" s="1392" t="n"/>
      <c r="AI1508" s="1392" t="n"/>
      <c r="AJ1508" s="1392" t="n"/>
      <c r="AK1508" s="1392" t="n"/>
      <c r="AL1508" s="1392" t="n"/>
      <c r="AM1508" s="1392" t="n"/>
      <c r="AN1508" s="1392" t="n"/>
      <c r="AO1508" s="1392" t="n"/>
      <c r="AP1508" s="1392" t="n"/>
      <c r="AQ1508" s="1392" t="n"/>
      <c r="AR1508" s="1422" t="n"/>
      <c r="AS1508" s="1422" t="n"/>
      <c r="AT1508" s="1392" t="n"/>
      <c r="AU1508" s="1392" t="n"/>
      <c r="AV1508" s="1392" t="n"/>
      <c r="AW1508" s="1392" t="n"/>
      <c r="AX1508" s="1392" t="n"/>
      <c r="AY1508" s="1392" t="n"/>
      <c r="AZ1508" s="1392" t="n"/>
      <c r="BA1508" s="1422" t="n"/>
      <c r="BB1508" s="1422" t="n"/>
      <c r="BC1508" s="1392" t="n"/>
      <c r="BD1508" s="1392" t="n"/>
      <c r="BE1508" s="1392" t="n"/>
      <c r="BF1508" s="1392" t="n"/>
      <c r="BG1508" s="1392" t="n"/>
      <c r="BH1508" s="1392" t="n"/>
      <c r="BI1508" s="1392" t="n"/>
      <c r="BJ1508" s="1392" t="n"/>
      <c r="BK1508" s="1392" t="n"/>
      <c r="BL1508" s="1392" t="n"/>
      <c r="BM1508" s="1392" t="n"/>
      <c r="BN1508" s="1392" t="n"/>
      <c r="BO1508" s="1392" t="n"/>
      <c r="BP1508" s="1392" t="n"/>
      <c r="BQ1508" s="1392" t="n"/>
      <c r="BR1508" s="1392" t="n"/>
      <c r="BS1508" s="1392" t="n"/>
      <c r="BT1508" s="1392" t="n"/>
      <c r="BU1508" s="1392" t="n"/>
      <c r="BV1508" s="1392" t="n"/>
      <c r="BW1508" s="1392" t="n"/>
      <c r="BX1508" s="1392" t="n"/>
      <c r="BY1508" s="1392" t="n"/>
      <c r="BZ1508" s="1392" t="n"/>
      <c r="CA1508" s="1392" t="n"/>
      <c r="CB1508" s="1392" t="n"/>
      <c r="CC1508" s="1392" t="n"/>
      <c r="CD1508" s="1392" t="n"/>
      <c r="CE1508" s="1392" t="n"/>
      <c r="CF1508" s="1392" t="n"/>
      <c r="CG1508" s="1392" t="n"/>
      <c r="CH1508" s="1392" t="n"/>
      <c r="CI1508" s="1392" t="n"/>
      <c r="CJ1508" s="1392" t="n"/>
      <c r="CK1508" s="1392" t="n"/>
      <c r="CL1508" s="1392" t="n"/>
    </row>
    <row r="1509">
      <c r="A1509" s="5" t="inlineStr">
        <is>
          <t>.</t>
        </is>
      </c>
      <c r="B1509" s="5" t="inlineStr">
        <is>
          <t>.</t>
        </is>
      </c>
      <c r="C1509" s="1378">
        <f>IF(raw[[#This Row],[city]]="","-",IF(raw[[#This Row],[city]]="TODAY","-",C1508+1))</f>
        <v/>
      </c>
      <c r="D1509" s="1393" t="inlineStr">
        <is>
          <t>Montreal</t>
        </is>
      </c>
      <c r="E1509" s="1394" t="n">
        <v>43673</v>
      </c>
      <c r="F1509" s="1394" t="n">
        <v>43678</v>
      </c>
      <c r="G1509" s="1393" t="inlineStr">
        <is>
          <t>-</t>
        </is>
      </c>
      <c r="H1509" s="1393" t="inlineStr">
        <is>
          <t>Nadeau</t>
        </is>
      </c>
      <c r="I1509" s="1393" t="inlineStr">
        <is>
          <t>-</t>
        </is>
      </c>
      <c r="J1509" s="1393" t="inlineStr">
        <is>
          <t>-</t>
        </is>
      </c>
      <c r="K1509" s="1395">
        <f>IF(raw[[#This Row],[city]]&lt;&gt;"",_xlfn.XLOOKUP($D1509,ccc[city],ccc[prov],"-"),"-")</f>
        <v/>
      </c>
      <c r="L1509" s="1395">
        <f>IF(raw[[#This Row],[city]]&lt;&gt;"",_xlfn.XLOOKUP($D1509,ccc[city],ccc[ctry],"-"),"-")</f>
        <v/>
      </c>
      <c r="M1509" s="1395">
        <f>IF(raw[[#This Row],[city]]&lt;&gt;"",_xlfn.XLOOKUP($D1509,ccc[city],ccc[cont],"-"),"-")</f>
        <v/>
      </c>
      <c r="N1509" s="1396">
        <f>IF(raw[[#This Row],[city]]="","-",IF(raw[[#This Row],[cont]]="B",raw[[#This Row],[cont]],"W"))</f>
        <v/>
      </c>
      <c r="O1509" s="1397">
        <f>IF(raw[[#This Row],[out]]=0,0,IF(raw[[#This Row],[out]]=raw[[#This Row],[in]],0.01,raw[[#This Row],[out]]-raw[[#This Row],[in]]))</f>
        <v/>
      </c>
      <c r="P1509" s="1397">
        <f>IF(raw[[#This Row],[in]]=0,0,MONTH(raw[[#This Row],[in]]))</f>
        <v/>
      </c>
      <c r="Q1509" s="1397">
        <f>IF(raw[[#This Row],[in]]=0,0,YEAR(raw[[#This Row],[in]]))</f>
        <v/>
      </c>
      <c r="R1509" s="1397">
        <f>INT(raw[[#This Row],[yr]]/10)*10</f>
        <v/>
      </c>
      <c r="S1509" s="1395">
        <f>IF(raw[[#This Row],[city]]="","-",IF(raw[[#This Row],[city]]&lt;&gt;_xlfn.XLOOKUP(raw[[#This Row],[home]],homes[home],homes[city],"-"),1,0))</f>
        <v/>
      </c>
      <c r="T1509" s="1398" t="inlineStr">
        <is>
          <t>.</t>
        </is>
      </c>
      <c r="U1509" s="1399">
        <f>IF(raw[[#This Row],[wb]]="w",raw[[#This Row],[stay]]+U1508,U1508)</f>
        <v/>
      </c>
      <c r="V1509" s="1400">
        <f>IF(raw[[#This Row],[out]]=0,V1508,(raw[[#This Row],[out]]-E$5))</f>
        <v/>
      </c>
      <c r="W1509" s="1401">
        <f>U1509/V1509</f>
        <v/>
      </c>
      <c r="X1509" s="1392" t="n"/>
      <c r="Y1509" s="1392" t="n"/>
      <c r="Z1509" s="1392" t="n"/>
      <c r="AA1509" s="1392" t="n"/>
      <c r="AB1509" s="1392" t="n"/>
      <c r="AC1509" s="1392" t="n"/>
      <c r="AD1509" s="1392" t="n"/>
      <c r="AE1509" s="1392" t="n"/>
      <c r="AF1509" s="1392" t="n"/>
      <c r="AG1509" s="1392" t="n"/>
      <c r="AH1509" s="1392" t="n"/>
      <c r="AI1509" s="1392" t="n"/>
      <c r="AJ1509" s="1392" t="n"/>
      <c r="AK1509" s="1392" t="n"/>
      <c r="AL1509" s="1392" t="n"/>
      <c r="AM1509" s="1392" t="n"/>
      <c r="AN1509" s="1392" t="n"/>
      <c r="AO1509" s="1392" t="n"/>
      <c r="AP1509" s="1392" t="n"/>
      <c r="AQ1509" s="1392" t="n"/>
      <c r="AR1509" s="1422" t="n"/>
      <c r="AS1509" s="1422" t="n"/>
      <c r="AT1509" s="1392" t="n"/>
      <c r="AU1509" s="1392" t="n"/>
      <c r="AV1509" s="1392" t="n"/>
      <c r="AW1509" s="1392" t="n"/>
      <c r="AX1509" s="1392" t="n"/>
      <c r="AY1509" s="1392" t="n"/>
      <c r="AZ1509" s="1392" t="n"/>
      <c r="BA1509" s="1422" t="n"/>
      <c r="BB1509" s="1422" t="n"/>
      <c r="BC1509" s="1392" t="n"/>
      <c r="BD1509" s="1392" t="n"/>
      <c r="BE1509" s="1392" t="n"/>
      <c r="BF1509" s="1392" t="n"/>
      <c r="BG1509" s="1392" t="n"/>
      <c r="BH1509" s="1392" t="n"/>
      <c r="BI1509" s="1392" t="n"/>
      <c r="BJ1509" s="1392" t="n"/>
      <c r="BK1509" s="1392" t="n"/>
      <c r="BL1509" s="1392" t="n"/>
      <c r="BM1509" s="1392" t="n"/>
      <c r="BN1509" s="1392" t="n"/>
      <c r="BO1509" s="1392" t="n"/>
      <c r="BP1509" s="1392" t="n"/>
      <c r="BQ1509" s="1392" t="n"/>
      <c r="BR1509" s="1392" t="n"/>
      <c r="BS1509" s="1392" t="n"/>
      <c r="BT1509" s="1392" t="n"/>
      <c r="BU1509" s="1392" t="n"/>
      <c r="BV1509" s="1392" t="n"/>
      <c r="BW1509" s="1392" t="n"/>
      <c r="BX1509" s="1392" t="n"/>
      <c r="BY1509" s="1392" t="n"/>
      <c r="BZ1509" s="1392" t="n"/>
      <c r="CA1509" s="1392" t="n"/>
      <c r="CB1509" s="1392" t="n"/>
      <c r="CC1509" s="1392" t="n"/>
      <c r="CD1509" s="1392" t="n"/>
      <c r="CE1509" s="1392" t="n"/>
      <c r="CF1509" s="1392" t="n"/>
      <c r="CG1509" s="1392" t="n"/>
      <c r="CH1509" s="1392" t="n"/>
      <c r="CI1509" s="1392" t="n"/>
      <c r="CJ1509" s="1392" t="n"/>
      <c r="CK1509" s="1392" t="n"/>
      <c r="CL1509" s="1392" t="n"/>
    </row>
    <row r="1510">
      <c r="A1510" s="5" t="inlineStr">
        <is>
          <t>.</t>
        </is>
      </c>
      <c r="B1510" s="5" t="inlineStr">
        <is>
          <t>.</t>
        </is>
      </c>
      <c r="C1510" s="1378">
        <f>IF(raw[[#This Row],[city]]="","-",IF(raw[[#This Row],[city]]="TODAY","-",C1509+1))</f>
        <v/>
      </c>
      <c r="D1510" s="1393" t="inlineStr">
        <is>
          <t>Montreal</t>
        </is>
      </c>
      <c r="E1510" s="1394" t="n">
        <v>43678</v>
      </c>
      <c r="F1510" s="1394" t="n">
        <v>43709</v>
      </c>
      <c r="G1510" s="1393" t="inlineStr">
        <is>
          <t>-</t>
        </is>
      </c>
      <c r="H1510" s="1393" t="inlineStr">
        <is>
          <t>Nadeau</t>
        </is>
      </c>
      <c r="I1510" s="1393" t="inlineStr">
        <is>
          <t>-</t>
        </is>
      </c>
      <c r="J1510" s="1393" t="inlineStr">
        <is>
          <t>BDAY</t>
        </is>
      </c>
      <c r="K1510" s="1395">
        <f>IF(raw[[#This Row],[city]]&lt;&gt;"",_xlfn.XLOOKUP($D1510,ccc[city],ccc[prov],"-"),"-")</f>
        <v/>
      </c>
      <c r="L1510" s="1395">
        <f>IF(raw[[#This Row],[city]]&lt;&gt;"",_xlfn.XLOOKUP($D1510,ccc[city],ccc[ctry],"-"),"-")</f>
        <v/>
      </c>
      <c r="M1510" s="1395">
        <f>IF(raw[[#This Row],[city]]&lt;&gt;"",_xlfn.XLOOKUP($D1510,ccc[city],ccc[cont],"-"),"-")</f>
        <v/>
      </c>
      <c r="N1510" s="1396">
        <f>IF(raw[[#This Row],[city]]="","-",IF(raw[[#This Row],[cont]]="B",raw[[#This Row],[cont]],"W"))</f>
        <v/>
      </c>
      <c r="O1510" s="1397">
        <f>IF(raw[[#This Row],[out]]=0,0,IF(raw[[#This Row],[out]]=raw[[#This Row],[in]],0.01,raw[[#This Row],[out]]-raw[[#This Row],[in]]))</f>
        <v/>
      </c>
      <c r="P1510" s="1397">
        <f>IF(raw[[#This Row],[in]]=0,0,MONTH(raw[[#This Row],[in]]))</f>
        <v/>
      </c>
      <c r="Q1510" s="1397">
        <f>IF(raw[[#This Row],[in]]=0,0,YEAR(raw[[#This Row],[in]]))</f>
        <v/>
      </c>
      <c r="R1510" s="1397">
        <f>INT(raw[[#This Row],[yr]]/10)*10</f>
        <v/>
      </c>
      <c r="S1510" s="1395">
        <f>IF(raw[[#This Row],[city]]="","-",IF(raw[[#This Row],[city]]&lt;&gt;_xlfn.XLOOKUP(raw[[#This Row],[home]],homes[home],homes[city],"-"),1,0))</f>
        <v/>
      </c>
      <c r="T1510" s="1398" t="inlineStr">
        <is>
          <t>.</t>
        </is>
      </c>
      <c r="U1510" s="1399">
        <f>IF(raw[[#This Row],[wb]]="w",raw[[#This Row],[stay]]+U1509,U1509)</f>
        <v/>
      </c>
      <c r="V1510" s="1400">
        <f>IF(raw[[#This Row],[out]]=0,V1509,(raw[[#This Row],[out]]-E$5))</f>
        <v/>
      </c>
      <c r="W1510" s="1401">
        <f>U1510/V1510</f>
        <v/>
      </c>
      <c r="X1510" s="1392" t="n"/>
      <c r="Y1510" s="1392" t="n"/>
      <c r="Z1510" s="1392" t="n"/>
      <c r="AA1510" s="1392" t="n"/>
      <c r="AB1510" s="1392" t="n"/>
      <c r="AC1510" s="1392" t="n"/>
      <c r="AD1510" s="1392" t="n"/>
      <c r="AE1510" s="1392" t="n"/>
      <c r="AF1510" s="1392" t="n"/>
      <c r="AG1510" s="1392" t="n"/>
      <c r="AH1510" s="1392" t="n"/>
      <c r="AI1510" s="1392" t="n"/>
      <c r="AJ1510" s="1392" t="n"/>
      <c r="AK1510" s="1392" t="n"/>
      <c r="AL1510" s="1392" t="n"/>
      <c r="AM1510" s="1392" t="n"/>
      <c r="AN1510" s="1392" t="n"/>
      <c r="AO1510" s="1392" t="n"/>
      <c r="AP1510" s="1392" t="n"/>
      <c r="AQ1510" s="1392" t="n"/>
      <c r="AR1510" s="1422" t="n"/>
      <c r="AS1510" s="1422" t="n"/>
      <c r="AT1510" s="1392" t="n"/>
      <c r="AU1510" s="1392" t="n"/>
      <c r="AV1510" s="1392" t="n"/>
      <c r="AW1510" s="1392" t="n"/>
      <c r="AX1510" s="1392" t="n"/>
      <c r="AY1510" s="1392" t="n"/>
      <c r="AZ1510" s="1392" t="n"/>
      <c r="BA1510" s="1422" t="n"/>
      <c r="BB1510" s="1422" t="n"/>
      <c r="BC1510" s="1392" t="n"/>
      <c r="BD1510" s="1392" t="n"/>
      <c r="BE1510" s="1392" t="n"/>
      <c r="BF1510" s="1392" t="n"/>
      <c r="BG1510" s="1392" t="n"/>
      <c r="BH1510" s="1392" t="n"/>
      <c r="BI1510" s="1392" t="n"/>
      <c r="BJ1510" s="1392" t="n"/>
      <c r="BK1510" s="1392" t="n"/>
      <c r="BL1510" s="1392" t="n"/>
      <c r="BM1510" s="1392" t="n"/>
      <c r="BN1510" s="1392" t="n"/>
      <c r="BO1510" s="1392" t="n"/>
      <c r="BP1510" s="1392" t="n"/>
      <c r="BQ1510" s="1392" t="n"/>
      <c r="BR1510" s="1392" t="n"/>
      <c r="BS1510" s="1392" t="n"/>
      <c r="BT1510" s="1392" t="n"/>
      <c r="BU1510" s="1392" t="n"/>
      <c r="BV1510" s="1392" t="n"/>
      <c r="BW1510" s="1392" t="n"/>
      <c r="BX1510" s="1392" t="n"/>
      <c r="BY1510" s="1392" t="n"/>
      <c r="BZ1510" s="1392" t="n"/>
      <c r="CA1510" s="1392" t="n"/>
      <c r="CB1510" s="1392" t="n"/>
      <c r="CC1510" s="1392" t="n"/>
      <c r="CD1510" s="1392" t="n"/>
      <c r="CE1510" s="1392" t="n"/>
      <c r="CF1510" s="1392" t="n"/>
      <c r="CG1510" s="1392" t="n"/>
      <c r="CH1510" s="1392" t="n"/>
      <c r="CI1510" s="1392" t="n"/>
      <c r="CJ1510" s="1392" t="n"/>
      <c r="CK1510" s="1392" t="n"/>
      <c r="CL1510" s="1392" t="n"/>
    </row>
    <row r="1511">
      <c r="A1511" s="5" t="inlineStr">
        <is>
          <t>.</t>
        </is>
      </c>
      <c r="B1511" s="5" t="inlineStr">
        <is>
          <t>.</t>
        </is>
      </c>
      <c r="C1511" s="1378">
        <f>IF(raw[[#This Row],[city]]="","-",IF(raw[[#This Row],[city]]="TODAY","-",C1510+1))</f>
        <v/>
      </c>
      <c r="D1511" s="1393" t="inlineStr">
        <is>
          <t>Montreal</t>
        </is>
      </c>
      <c r="E1511" s="1394" t="n">
        <v>43709</v>
      </c>
      <c r="F1511" s="1394" t="n">
        <v>43739</v>
      </c>
      <c r="G1511" s="1393" t="inlineStr">
        <is>
          <t>-</t>
        </is>
      </c>
      <c r="H1511" s="1393" t="inlineStr">
        <is>
          <t>Nadeau</t>
        </is>
      </c>
      <c r="I1511" s="1393" t="inlineStr">
        <is>
          <t>-</t>
        </is>
      </c>
      <c r="J1511" s="1393" t="inlineStr">
        <is>
          <t>-</t>
        </is>
      </c>
      <c r="K1511" s="1395">
        <f>IF(raw[[#This Row],[city]]&lt;&gt;"",_xlfn.XLOOKUP($D1511,ccc[city],ccc[prov],"-"),"-")</f>
        <v/>
      </c>
      <c r="L1511" s="1395">
        <f>IF(raw[[#This Row],[city]]&lt;&gt;"",_xlfn.XLOOKUP($D1511,ccc[city],ccc[ctry],"-"),"-")</f>
        <v/>
      </c>
      <c r="M1511" s="1395">
        <f>IF(raw[[#This Row],[city]]&lt;&gt;"",_xlfn.XLOOKUP($D1511,ccc[city],ccc[cont],"-"),"-")</f>
        <v/>
      </c>
      <c r="N1511" s="1396">
        <f>IF(raw[[#This Row],[city]]="","-",IF(raw[[#This Row],[cont]]="B",raw[[#This Row],[cont]],"W"))</f>
        <v/>
      </c>
      <c r="O1511" s="1397">
        <f>IF(raw[[#This Row],[out]]=0,0,IF(raw[[#This Row],[out]]=raw[[#This Row],[in]],0.01,raw[[#This Row],[out]]-raw[[#This Row],[in]]))</f>
        <v/>
      </c>
      <c r="P1511" s="1397">
        <f>IF(raw[[#This Row],[in]]=0,0,MONTH(raw[[#This Row],[in]]))</f>
        <v/>
      </c>
      <c r="Q1511" s="1397">
        <f>IF(raw[[#This Row],[in]]=0,0,YEAR(raw[[#This Row],[in]]))</f>
        <v/>
      </c>
      <c r="R1511" s="1397">
        <f>INT(raw[[#This Row],[yr]]/10)*10</f>
        <v/>
      </c>
      <c r="S1511" s="1395">
        <f>IF(raw[[#This Row],[city]]="","-",IF(raw[[#This Row],[city]]&lt;&gt;_xlfn.XLOOKUP(raw[[#This Row],[home]],homes[home],homes[city],"-"),1,0))</f>
        <v/>
      </c>
      <c r="T1511" s="1398" t="inlineStr">
        <is>
          <t>.</t>
        </is>
      </c>
      <c r="U1511" s="1399">
        <f>IF(raw[[#This Row],[wb]]="w",raw[[#This Row],[stay]]+U1510,U1510)</f>
        <v/>
      </c>
      <c r="V1511" s="1400">
        <f>IF(raw[[#This Row],[out]]=0,V1510,(raw[[#This Row],[out]]-E$5))</f>
        <v/>
      </c>
      <c r="W1511" s="1401">
        <f>U1511/V1511</f>
        <v/>
      </c>
      <c r="X1511" s="1392" t="n"/>
      <c r="Y1511" s="1392" t="n"/>
      <c r="Z1511" s="1392" t="n"/>
      <c r="AA1511" s="1392" t="n"/>
      <c r="AB1511" s="1392" t="n"/>
      <c r="AC1511" s="1392" t="n"/>
      <c r="AD1511" s="1392" t="n"/>
      <c r="AE1511" s="1392" t="n"/>
      <c r="AF1511" s="1392" t="n"/>
      <c r="AG1511" s="1392" t="n"/>
      <c r="AH1511" s="1392" t="n"/>
      <c r="AI1511" s="1392" t="n"/>
      <c r="AJ1511" s="1392" t="n"/>
      <c r="AK1511" s="1392" t="n"/>
      <c r="AL1511" s="1392" t="n"/>
      <c r="AM1511" s="1392" t="n"/>
      <c r="AN1511" s="1392" t="n"/>
      <c r="AO1511" s="1392" t="n"/>
      <c r="AP1511" s="1392" t="n"/>
      <c r="AQ1511" s="1392" t="n"/>
      <c r="AR1511" s="1422" t="n"/>
      <c r="AS1511" s="1422" t="n"/>
      <c r="AT1511" s="1392" t="n"/>
      <c r="AU1511" s="1392" t="n"/>
      <c r="AV1511" s="1392" t="n"/>
      <c r="AW1511" s="1392" t="n"/>
      <c r="AX1511" s="1392" t="n"/>
      <c r="AY1511" s="1392" t="n"/>
      <c r="AZ1511" s="1392" t="n"/>
      <c r="BA1511" s="1422" t="n"/>
      <c r="BB1511" s="1422" t="n"/>
      <c r="BC1511" s="1392" t="n"/>
      <c r="BD1511" s="1392" t="n"/>
      <c r="BE1511" s="1392" t="n"/>
      <c r="BF1511" s="1392" t="n"/>
      <c r="BG1511" s="1392" t="n"/>
      <c r="BH1511" s="1392" t="n"/>
      <c r="BI1511" s="1392" t="n"/>
      <c r="BJ1511" s="1392" t="n"/>
      <c r="BK1511" s="1392" t="n"/>
      <c r="BL1511" s="1392" t="n"/>
      <c r="BM1511" s="1392" t="n"/>
      <c r="BN1511" s="1392" t="n"/>
      <c r="BO1511" s="1392" t="n"/>
      <c r="BP1511" s="1392" t="n"/>
      <c r="BQ1511" s="1392" t="n"/>
      <c r="BR1511" s="1392" t="n"/>
      <c r="BS1511" s="1392" t="n"/>
      <c r="BT1511" s="1392" t="n"/>
      <c r="BU1511" s="1392" t="n"/>
      <c r="BV1511" s="1392" t="n"/>
      <c r="BW1511" s="1392" t="n"/>
      <c r="BX1511" s="1392" t="n"/>
      <c r="BY1511" s="1392" t="n"/>
      <c r="BZ1511" s="1392" t="n"/>
      <c r="CA1511" s="1392" t="n"/>
      <c r="CB1511" s="1392" t="n"/>
      <c r="CC1511" s="1392" t="n"/>
      <c r="CD1511" s="1392" t="n"/>
      <c r="CE1511" s="1392" t="n"/>
      <c r="CF1511" s="1392" t="n"/>
      <c r="CG1511" s="1392" t="n"/>
      <c r="CH1511" s="1392" t="n"/>
      <c r="CI1511" s="1392" t="n"/>
      <c r="CJ1511" s="1392" t="n"/>
      <c r="CK1511" s="1392" t="n"/>
      <c r="CL1511" s="1392" t="n"/>
    </row>
    <row r="1512">
      <c r="A1512" s="5" t="inlineStr">
        <is>
          <t>.</t>
        </is>
      </c>
      <c r="B1512" s="5" t="inlineStr">
        <is>
          <t>.</t>
        </is>
      </c>
      <c r="C1512" s="1378">
        <f>IF(raw[[#This Row],[city]]="","-",IF(raw[[#This Row],[city]]="TODAY","-",C1511+1))</f>
        <v/>
      </c>
      <c r="D1512" s="1393" t="inlineStr">
        <is>
          <t>Montreal</t>
        </is>
      </c>
      <c r="E1512" s="1394" t="n">
        <v>43739</v>
      </c>
      <c r="F1512" s="1394" t="n">
        <v>43770</v>
      </c>
      <c r="G1512" s="1393" t="inlineStr">
        <is>
          <t>-</t>
        </is>
      </c>
      <c r="H1512" s="1393" t="inlineStr">
        <is>
          <t>Nadeau</t>
        </is>
      </c>
      <c r="I1512" s="1393" t="inlineStr">
        <is>
          <t>-</t>
        </is>
      </c>
      <c r="J1512" s="1393" t="inlineStr">
        <is>
          <t>-</t>
        </is>
      </c>
      <c r="K1512" s="1395">
        <f>IF(raw[[#This Row],[city]]&lt;&gt;"",_xlfn.XLOOKUP($D1512,ccc[city],ccc[prov],"-"),"-")</f>
        <v/>
      </c>
      <c r="L1512" s="1395">
        <f>IF(raw[[#This Row],[city]]&lt;&gt;"",_xlfn.XLOOKUP($D1512,ccc[city],ccc[ctry],"-"),"-")</f>
        <v/>
      </c>
      <c r="M1512" s="1395">
        <f>IF(raw[[#This Row],[city]]&lt;&gt;"",_xlfn.XLOOKUP($D1512,ccc[city],ccc[cont],"-"),"-")</f>
        <v/>
      </c>
      <c r="N1512" s="1396">
        <f>IF(raw[[#This Row],[city]]="","-",IF(raw[[#This Row],[cont]]="B",raw[[#This Row],[cont]],"W"))</f>
        <v/>
      </c>
      <c r="O1512" s="1397">
        <f>IF(raw[[#This Row],[out]]=0,0,IF(raw[[#This Row],[out]]=raw[[#This Row],[in]],0.01,raw[[#This Row],[out]]-raw[[#This Row],[in]]))</f>
        <v/>
      </c>
      <c r="P1512" s="1397">
        <f>IF(raw[[#This Row],[in]]=0,0,MONTH(raw[[#This Row],[in]]))</f>
        <v/>
      </c>
      <c r="Q1512" s="1397">
        <f>IF(raw[[#This Row],[in]]=0,0,YEAR(raw[[#This Row],[in]]))</f>
        <v/>
      </c>
      <c r="R1512" s="1397">
        <f>INT(raw[[#This Row],[yr]]/10)*10</f>
        <v/>
      </c>
      <c r="S1512" s="1395">
        <f>IF(raw[[#This Row],[city]]="","-",IF(raw[[#This Row],[city]]&lt;&gt;_xlfn.XLOOKUP(raw[[#This Row],[home]],homes[home],homes[city],"-"),1,0))</f>
        <v/>
      </c>
      <c r="T1512" s="1398" t="inlineStr">
        <is>
          <t>.</t>
        </is>
      </c>
      <c r="U1512" s="1399">
        <f>IF(raw[[#This Row],[wb]]="w",raw[[#This Row],[stay]]+U1511,U1511)</f>
        <v/>
      </c>
      <c r="V1512" s="1400">
        <f>IF(raw[[#This Row],[out]]=0,V1511,(raw[[#This Row],[out]]-E$5))</f>
        <v/>
      </c>
      <c r="W1512" s="1401">
        <f>U1512/V1512</f>
        <v/>
      </c>
      <c r="X1512" s="1392" t="n"/>
      <c r="Y1512" s="1392" t="n"/>
      <c r="Z1512" s="1392" t="n"/>
      <c r="AA1512" s="1392" t="n"/>
      <c r="AB1512" s="1392" t="n"/>
      <c r="AC1512" s="1392" t="n"/>
      <c r="AD1512" s="1392" t="n"/>
      <c r="AE1512" s="1392" t="n"/>
      <c r="AF1512" s="1392" t="n"/>
      <c r="AG1512" s="1392" t="n"/>
      <c r="AH1512" s="1392" t="n"/>
      <c r="AI1512" s="1392" t="n"/>
      <c r="AJ1512" s="1392" t="n"/>
      <c r="AK1512" s="1392" t="n"/>
      <c r="AL1512" s="1392" t="n"/>
      <c r="AM1512" s="1392" t="n"/>
      <c r="AN1512" s="1392" t="n"/>
      <c r="AO1512" s="1392" t="n"/>
      <c r="AP1512" s="1392" t="n"/>
      <c r="AQ1512" s="1392" t="n"/>
      <c r="AR1512" s="1422" t="n"/>
      <c r="AS1512" s="1422" t="n"/>
      <c r="AT1512" s="1392" t="n"/>
      <c r="AU1512" s="1392" t="n"/>
      <c r="AV1512" s="1392" t="n"/>
      <c r="AW1512" s="1392" t="n"/>
      <c r="AX1512" s="1392" t="n"/>
      <c r="AY1512" s="1392" t="n"/>
      <c r="AZ1512" s="1392" t="n"/>
      <c r="BA1512" s="1422" t="n"/>
      <c r="BB1512" s="1422" t="n"/>
      <c r="BC1512" s="1392" t="n"/>
      <c r="BD1512" s="1392" t="n"/>
      <c r="BE1512" s="1392" t="n"/>
      <c r="BF1512" s="1392" t="n"/>
      <c r="BG1512" s="1392" t="n"/>
      <c r="BH1512" s="1392" t="n"/>
      <c r="BI1512" s="1392" t="n"/>
      <c r="BJ1512" s="1392" t="n"/>
      <c r="BK1512" s="1392" t="n"/>
      <c r="BL1512" s="1392" t="n"/>
      <c r="BM1512" s="1392" t="n"/>
      <c r="BN1512" s="1392" t="n"/>
      <c r="BO1512" s="1392" t="n"/>
      <c r="BP1512" s="1392" t="n"/>
      <c r="BQ1512" s="1392" t="n"/>
      <c r="BR1512" s="1392" t="n"/>
      <c r="BS1512" s="1392" t="n"/>
      <c r="BT1512" s="1392" t="n"/>
      <c r="BU1512" s="1392" t="n"/>
      <c r="BV1512" s="1392" t="n"/>
      <c r="BW1512" s="1392" t="n"/>
      <c r="BX1512" s="1392" t="n"/>
      <c r="BY1512" s="1392" t="n"/>
      <c r="BZ1512" s="1392" t="n"/>
      <c r="CA1512" s="1392" t="n"/>
      <c r="CB1512" s="1392" t="n"/>
      <c r="CC1512" s="1392" t="n"/>
      <c r="CD1512" s="1392" t="n"/>
      <c r="CE1512" s="1392" t="n"/>
      <c r="CF1512" s="1392" t="n"/>
      <c r="CG1512" s="1392" t="n"/>
      <c r="CH1512" s="1392" t="n"/>
      <c r="CI1512" s="1392" t="n"/>
      <c r="CJ1512" s="1392" t="n"/>
      <c r="CK1512" s="1392" t="n"/>
      <c r="CL1512" s="1392" t="n"/>
    </row>
    <row r="1513">
      <c r="A1513" s="5" t="inlineStr">
        <is>
          <t>.</t>
        </is>
      </c>
      <c r="B1513" s="5" t="inlineStr">
        <is>
          <t>.</t>
        </is>
      </c>
      <c r="C1513" s="1378">
        <f>IF(raw[[#This Row],[city]]="","-",IF(raw[[#This Row],[city]]="TODAY","-",C1512+1))</f>
        <v/>
      </c>
      <c r="D1513" s="1393" t="inlineStr">
        <is>
          <t>Montreal</t>
        </is>
      </c>
      <c r="E1513" s="1394" t="n">
        <v>43770</v>
      </c>
      <c r="F1513" s="1394" t="n">
        <v>43781</v>
      </c>
      <c r="G1513" s="1393" t="n">
        <v>1</v>
      </c>
      <c r="H1513" s="1393" t="inlineStr">
        <is>
          <t>Nadeau</t>
        </is>
      </c>
      <c r="I1513" s="1393" t="inlineStr">
        <is>
          <t>-</t>
        </is>
      </c>
      <c r="J1513" s="1393" t="inlineStr">
        <is>
          <t>-</t>
        </is>
      </c>
      <c r="K1513" s="1395">
        <f>IF(raw[[#This Row],[city]]&lt;&gt;"",_xlfn.XLOOKUP($D1513,ccc[city],ccc[prov],"-"),"-")</f>
        <v/>
      </c>
      <c r="L1513" s="1395">
        <f>IF(raw[[#This Row],[city]]&lt;&gt;"",_xlfn.XLOOKUP($D1513,ccc[city],ccc[ctry],"-"),"-")</f>
        <v/>
      </c>
      <c r="M1513" s="1395">
        <f>IF(raw[[#This Row],[city]]&lt;&gt;"",_xlfn.XLOOKUP($D1513,ccc[city],ccc[cont],"-"),"-")</f>
        <v/>
      </c>
      <c r="N1513" s="1396">
        <f>IF(raw[[#This Row],[city]]="","-",IF(raw[[#This Row],[cont]]="B",raw[[#This Row],[cont]],"W"))</f>
        <v/>
      </c>
      <c r="O1513" s="1397">
        <f>IF(raw[[#This Row],[out]]=0,0,IF(raw[[#This Row],[out]]=raw[[#This Row],[in]],0.01,raw[[#This Row],[out]]-raw[[#This Row],[in]]))</f>
        <v/>
      </c>
      <c r="P1513" s="1397">
        <f>IF(raw[[#This Row],[in]]=0,0,MONTH(raw[[#This Row],[in]]))</f>
        <v/>
      </c>
      <c r="Q1513" s="1397">
        <f>IF(raw[[#This Row],[in]]=0,0,YEAR(raw[[#This Row],[in]]))</f>
        <v/>
      </c>
      <c r="R1513" s="1397">
        <f>INT(raw[[#This Row],[yr]]/10)*10</f>
        <v/>
      </c>
      <c r="S1513" s="1395">
        <f>IF(raw[[#This Row],[city]]="","-",IF(raw[[#This Row],[city]]&lt;&gt;_xlfn.XLOOKUP(raw[[#This Row],[home]],homes[home],homes[city],"-"),1,0))</f>
        <v/>
      </c>
      <c r="T1513" s="1398" t="inlineStr">
        <is>
          <t>.</t>
        </is>
      </c>
      <c r="U1513" s="1399">
        <f>IF(raw[[#This Row],[wb]]="w",raw[[#This Row],[stay]]+U1512,U1512)</f>
        <v/>
      </c>
      <c r="V1513" s="1400">
        <f>IF(raw[[#This Row],[out]]=0,V1512,(raw[[#This Row],[out]]-E$5))</f>
        <v/>
      </c>
      <c r="W1513" s="1401">
        <f>U1513/V1513</f>
        <v/>
      </c>
      <c r="X1513" s="1392" t="n"/>
      <c r="Y1513" s="1392" t="n"/>
      <c r="Z1513" s="1392" t="n"/>
      <c r="AA1513" s="1392" t="n"/>
      <c r="AB1513" s="1392" t="n"/>
      <c r="AC1513" s="1392" t="n"/>
      <c r="AD1513" s="1392" t="n"/>
      <c r="AE1513" s="1392" t="n"/>
      <c r="AF1513" s="1392" t="n"/>
      <c r="AG1513" s="1392" t="n"/>
      <c r="AH1513" s="1392" t="n"/>
      <c r="AI1513" s="1392" t="n"/>
      <c r="AJ1513" s="1392" t="n"/>
      <c r="AK1513" s="1392" t="n"/>
      <c r="AL1513" s="1392" t="n"/>
      <c r="AM1513" s="1392" t="n"/>
      <c r="AN1513" s="1392" t="n"/>
      <c r="AO1513" s="1392" t="n"/>
      <c r="AP1513" s="1392" t="n"/>
      <c r="AQ1513" s="1392" t="n"/>
      <c r="AR1513" s="1422" t="n"/>
      <c r="AS1513" s="1422" t="n"/>
      <c r="AT1513" s="1392" t="n"/>
      <c r="AU1513" s="1392" t="n"/>
      <c r="AV1513" s="1392" t="n"/>
      <c r="AW1513" s="1392" t="n"/>
      <c r="AX1513" s="1392" t="n"/>
      <c r="AY1513" s="1392" t="n"/>
      <c r="AZ1513" s="1392" t="n"/>
      <c r="BA1513" s="1422" t="n"/>
      <c r="BB1513" s="1422" t="n"/>
      <c r="BC1513" s="1392" t="n"/>
      <c r="BD1513" s="1392" t="n"/>
      <c r="BE1513" s="1392" t="n"/>
      <c r="BF1513" s="1392" t="n"/>
      <c r="BG1513" s="1392" t="n"/>
      <c r="BH1513" s="1392" t="n"/>
      <c r="BI1513" s="1392" t="n"/>
      <c r="BJ1513" s="1392" t="n"/>
      <c r="BK1513" s="1392" t="n"/>
      <c r="BL1513" s="1392" t="n"/>
      <c r="BM1513" s="1392" t="n"/>
      <c r="BN1513" s="1392" t="n"/>
      <c r="BO1513" s="1392" t="n"/>
      <c r="BP1513" s="1392" t="n"/>
      <c r="BQ1513" s="1392" t="n"/>
      <c r="BR1513" s="1392" t="n"/>
      <c r="BS1513" s="1392" t="n"/>
      <c r="BT1513" s="1392" t="n"/>
      <c r="BU1513" s="1392" t="n"/>
      <c r="BV1513" s="1392" t="n"/>
      <c r="BW1513" s="1392" t="n"/>
      <c r="BX1513" s="1392" t="n"/>
      <c r="BY1513" s="1392" t="n"/>
      <c r="BZ1513" s="1392" t="n"/>
      <c r="CA1513" s="1392" t="n"/>
      <c r="CB1513" s="1392" t="n"/>
      <c r="CC1513" s="1392" t="n"/>
      <c r="CD1513" s="1392" t="n"/>
      <c r="CE1513" s="1392" t="n"/>
      <c r="CF1513" s="1392" t="n"/>
      <c r="CG1513" s="1392" t="n"/>
      <c r="CH1513" s="1392" t="n"/>
      <c r="CI1513" s="1392" t="n"/>
      <c r="CJ1513" s="1392" t="n"/>
      <c r="CK1513" s="1392" t="n"/>
      <c r="CL1513" s="1392" t="n"/>
    </row>
    <row r="1514">
      <c r="A1514" s="5" t="inlineStr">
        <is>
          <t>.</t>
        </is>
      </c>
      <c r="B1514" s="5" t="inlineStr">
        <is>
          <t>.</t>
        </is>
      </c>
      <c r="C1514" s="1378">
        <f>IF(raw[[#This Row],[city]]="","-",IF(raw[[#This Row],[city]]="TODAY","-",C1513+1))</f>
        <v/>
      </c>
      <c r="D1514" s="1393" t="inlineStr">
        <is>
          <t>AIR</t>
        </is>
      </c>
      <c r="E1514" s="1394" t="n">
        <v>43781</v>
      </c>
      <c r="F1514" s="1394" t="n">
        <v>43782</v>
      </c>
      <c r="G1514" s="1393" t="inlineStr">
        <is>
          <t>x</t>
        </is>
      </c>
      <c r="H1514" s="1393" t="inlineStr">
        <is>
          <t>Nadeau</t>
        </is>
      </c>
      <c r="I1514" s="1393" t="inlineStr">
        <is>
          <t>-</t>
        </is>
      </c>
      <c r="J1514" s="1393" t="inlineStr">
        <is>
          <t>-</t>
        </is>
      </c>
      <c r="K1514" s="1395">
        <f>IF(raw[[#This Row],[city]]&lt;&gt;"",_xlfn.XLOOKUP($D1514,ccc[city],ccc[prov],"-"),"-")</f>
        <v/>
      </c>
      <c r="L1514" s="1395">
        <f>IF(raw[[#This Row],[city]]&lt;&gt;"",_xlfn.XLOOKUP($D1514,ccc[city],ccc[ctry],"-"),"-")</f>
        <v/>
      </c>
      <c r="M1514" s="1395">
        <f>IF(raw[[#This Row],[city]]&lt;&gt;"",_xlfn.XLOOKUP($D1514,ccc[city],ccc[cont],"-"),"-")</f>
        <v/>
      </c>
      <c r="N1514" s="1396">
        <f>IF(raw[[#This Row],[city]]="","-",IF(raw[[#This Row],[cont]]="B",raw[[#This Row],[cont]],"W"))</f>
        <v/>
      </c>
      <c r="O1514" s="1397">
        <f>IF(raw[[#This Row],[out]]=0,0,IF(raw[[#This Row],[out]]=raw[[#This Row],[in]],0.01,raw[[#This Row],[out]]-raw[[#This Row],[in]]))</f>
        <v/>
      </c>
      <c r="P1514" s="1397">
        <f>IF(raw[[#This Row],[in]]=0,0,MONTH(raw[[#This Row],[in]]))</f>
        <v/>
      </c>
      <c r="Q1514" s="1397">
        <f>IF(raw[[#This Row],[in]]=0,0,YEAR(raw[[#This Row],[in]]))</f>
        <v/>
      </c>
      <c r="R1514" s="1397">
        <f>INT(raw[[#This Row],[yr]]/10)*10</f>
        <v/>
      </c>
      <c r="S1514" s="1395">
        <f>IF(raw[[#This Row],[city]]="","-",IF(raw[[#This Row],[city]]&lt;&gt;_xlfn.XLOOKUP(raw[[#This Row],[home]],homes[home],homes[city],"-"),1,0))</f>
        <v/>
      </c>
      <c r="T1514" s="1398" t="inlineStr">
        <is>
          <t>.</t>
        </is>
      </c>
      <c r="U1514" s="1399">
        <f>IF(raw[[#This Row],[wb]]="w",raw[[#This Row],[stay]]+U1513,U1513)</f>
        <v/>
      </c>
      <c r="V1514" s="1400">
        <f>IF(raw[[#This Row],[out]]=0,V1513,(raw[[#This Row],[out]]-E$5))</f>
        <v/>
      </c>
      <c r="W1514" s="1401">
        <f>U1514/V1514</f>
        <v/>
      </c>
      <c r="X1514" s="1392" t="n"/>
      <c r="Y1514" s="1392" t="n"/>
      <c r="Z1514" s="1392" t="n"/>
      <c r="AA1514" s="1392" t="n"/>
      <c r="AB1514" s="1392" t="n"/>
      <c r="AC1514" s="1392" t="n"/>
      <c r="AD1514" s="1392" t="n"/>
      <c r="AE1514" s="1392" t="n"/>
      <c r="AF1514" s="1392" t="n"/>
      <c r="AG1514" s="1392" t="n"/>
      <c r="AH1514" s="1392" t="n"/>
      <c r="AI1514" s="1392" t="n"/>
      <c r="AJ1514" s="1392" t="n"/>
      <c r="AK1514" s="1392" t="n"/>
      <c r="AL1514" s="1392" t="n"/>
      <c r="AM1514" s="1392" t="n"/>
      <c r="AN1514" s="1392" t="n"/>
      <c r="AO1514" s="1392" t="n"/>
      <c r="AP1514" s="1392" t="n"/>
      <c r="AQ1514" s="1392" t="n"/>
      <c r="AR1514" s="1422" t="n"/>
      <c r="AS1514" s="1422" t="n"/>
      <c r="AT1514" s="1392" t="n"/>
      <c r="AU1514" s="1392" t="n"/>
      <c r="AV1514" s="1392" t="n"/>
      <c r="AW1514" s="1392" t="n"/>
      <c r="AX1514" s="1392" t="n"/>
      <c r="AY1514" s="1392" t="n"/>
      <c r="AZ1514" s="1392" t="n"/>
      <c r="BA1514" s="1422" t="n"/>
      <c r="BB1514" s="1422" t="n"/>
      <c r="BC1514" s="1392" t="n"/>
      <c r="BD1514" s="1392" t="n"/>
      <c r="BE1514" s="1392" t="n"/>
      <c r="BF1514" s="1392" t="n"/>
      <c r="BG1514" s="1392" t="n"/>
      <c r="BH1514" s="1392" t="n"/>
      <c r="BI1514" s="1392" t="n"/>
      <c r="BJ1514" s="1392" t="n"/>
      <c r="BK1514" s="1392" t="n"/>
      <c r="BL1514" s="1392" t="n"/>
      <c r="BM1514" s="1392" t="n"/>
      <c r="BN1514" s="1392" t="n"/>
      <c r="BO1514" s="1392" t="n"/>
      <c r="BP1514" s="1392" t="n"/>
      <c r="BQ1514" s="1392" t="n"/>
      <c r="BR1514" s="1392" t="n"/>
      <c r="BS1514" s="1392" t="n"/>
      <c r="BT1514" s="1392" t="n"/>
      <c r="BU1514" s="1392" t="n"/>
      <c r="BV1514" s="1392" t="n"/>
      <c r="BW1514" s="1392" t="n"/>
      <c r="BX1514" s="1392" t="n"/>
      <c r="BY1514" s="1392" t="n"/>
      <c r="BZ1514" s="1392" t="n"/>
      <c r="CA1514" s="1392" t="n"/>
      <c r="CB1514" s="1392" t="n"/>
      <c r="CC1514" s="1392" t="n"/>
      <c r="CD1514" s="1392" t="n"/>
      <c r="CE1514" s="1392" t="n"/>
      <c r="CF1514" s="1392" t="n"/>
      <c r="CG1514" s="1392" t="n"/>
      <c r="CH1514" s="1392" t="n"/>
      <c r="CI1514" s="1392" t="n"/>
      <c r="CJ1514" s="1392" t="n"/>
      <c r="CK1514" s="1392" t="n"/>
      <c r="CL1514" s="1392" t="n"/>
    </row>
    <row r="1515">
      <c r="A1515" s="5" t="inlineStr">
        <is>
          <t>.</t>
        </is>
      </c>
      <c r="B1515" s="5" t="inlineStr">
        <is>
          <t>.</t>
        </is>
      </c>
      <c r="C1515" s="1378">
        <f>IF(raw[[#This Row],[city]]="","-",IF(raw[[#This Row],[city]]="TODAY","-",C1514+1))</f>
        <v/>
      </c>
      <c r="D1515" s="1393" t="inlineStr">
        <is>
          <t>London</t>
        </is>
      </c>
      <c r="E1515" s="1394" t="n">
        <v>43782</v>
      </c>
      <c r="F1515" s="1394" t="n">
        <v>43784</v>
      </c>
      <c r="G1515" s="1393" t="inlineStr">
        <is>
          <t>-</t>
        </is>
      </c>
      <c r="H1515" s="1393" t="inlineStr">
        <is>
          <t>Nadeau</t>
        </is>
      </c>
      <c r="I1515" s="1393" t="inlineStr">
        <is>
          <t>David's</t>
        </is>
      </c>
      <c r="J1515" s="1393" t="inlineStr">
        <is>
          <t>-</t>
        </is>
      </c>
      <c r="K1515" s="1395">
        <f>IF(raw[[#This Row],[city]]&lt;&gt;"",_xlfn.XLOOKUP($D1515,ccc[city],ccc[prov],"-"),"-")</f>
        <v/>
      </c>
      <c r="L1515" s="1395">
        <f>IF(raw[[#This Row],[city]]&lt;&gt;"",_xlfn.XLOOKUP($D1515,ccc[city],ccc[ctry],"-"),"-")</f>
        <v/>
      </c>
      <c r="M1515" s="1395">
        <f>IF(raw[[#This Row],[city]]&lt;&gt;"",_xlfn.XLOOKUP($D1515,ccc[city],ccc[cont],"-"),"-")</f>
        <v/>
      </c>
      <c r="N1515" s="1396">
        <f>IF(raw[[#This Row],[city]]="","-",IF(raw[[#This Row],[cont]]="B",raw[[#This Row],[cont]],"W"))</f>
        <v/>
      </c>
      <c r="O1515" s="1397">
        <f>IF(raw[[#This Row],[out]]=0,0,IF(raw[[#This Row],[out]]=raw[[#This Row],[in]],0.01,raw[[#This Row],[out]]-raw[[#This Row],[in]]))</f>
        <v/>
      </c>
      <c r="P1515" s="1397">
        <f>IF(raw[[#This Row],[in]]=0,0,MONTH(raw[[#This Row],[in]]))</f>
        <v/>
      </c>
      <c r="Q1515" s="1397">
        <f>IF(raw[[#This Row],[in]]=0,0,YEAR(raw[[#This Row],[in]]))</f>
        <v/>
      </c>
      <c r="R1515" s="1397">
        <f>INT(raw[[#This Row],[yr]]/10)*10</f>
        <v/>
      </c>
      <c r="S1515" s="1395">
        <f>IF(raw[[#This Row],[city]]="","-",IF(raw[[#This Row],[city]]&lt;&gt;_xlfn.XLOOKUP(raw[[#This Row],[home]],homes[home],homes[city],"-"),1,0))</f>
        <v/>
      </c>
      <c r="T1515" s="1398" t="inlineStr">
        <is>
          <t>.</t>
        </is>
      </c>
      <c r="U1515" s="1399">
        <f>IF(raw[[#This Row],[wb]]="w",raw[[#This Row],[stay]]+U1514,U1514)</f>
        <v/>
      </c>
      <c r="V1515" s="1400">
        <f>IF(raw[[#This Row],[out]]=0,V1514,(raw[[#This Row],[out]]-E$5))</f>
        <v/>
      </c>
      <c r="W1515" s="1401">
        <f>U1515/V1515</f>
        <v/>
      </c>
      <c r="X1515" s="1392" t="n"/>
      <c r="Y1515" s="1392" t="n"/>
      <c r="Z1515" s="1392" t="n"/>
      <c r="AA1515" s="1392" t="n"/>
      <c r="AB1515" s="1392" t="n"/>
      <c r="AC1515" s="1392" t="n"/>
      <c r="AD1515" s="1392" t="n"/>
      <c r="AE1515" s="1392" t="n"/>
      <c r="AF1515" s="1392" t="n"/>
      <c r="AG1515" s="1392" t="n"/>
      <c r="AH1515" s="1392" t="n"/>
      <c r="AI1515" s="1392" t="n"/>
      <c r="AJ1515" s="1392" t="n"/>
      <c r="AK1515" s="1392" t="n"/>
      <c r="AL1515" s="1392" t="n"/>
      <c r="AM1515" s="1392" t="n"/>
      <c r="AN1515" s="1392" t="n"/>
      <c r="AO1515" s="1392" t="n"/>
      <c r="AP1515" s="1392" t="n"/>
      <c r="AQ1515" s="1392" t="n"/>
      <c r="AR1515" s="1422" t="n"/>
      <c r="AS1515" s="1422" t="n"/>
      <c r="AT1515" s="1392" t="n"/>
      <c r="AU1515" s="1392" t="n"/>
      <c r="AV1515" s="1392" t="n"/>
      <c r="AW1515" s="1392" t="n"/>
      <c r="AX1515" s="1392" t="n"/>
      <c r="AY1515" s="1392" t="n"/>
      <c r="AZ1515" s="1392" t="n"/>
      <c r="BA1515" s="1422" t="n"/>
      <c r="BB1515" s="1422" t="n"/>
      <c r="BC1515" s="1392" t="n"/>
      <c r="BD1515" s="1392" t="n"/>
      <c r="BE1515" s="1392" t="n"/>
      <c r="BF1515" s="1392" t="n"/>
      <c r="BG1515" s="1392" t="n"/>
      <c r="BH1515" s="1392" t="n"/>
      <c r="BI1515" s="1392" t="n"/>
      <c r="BJ1515" s="1392" t="n"/>
      <c r="BK1515" s="1392" t="n"/>
      <c r="BL1515" s="1392" t="n"/>
      <c r="BM1515" s="1392" t="n"/>
      <c r="BN1515" s="1392" t="n"/>
      <c r="BO1515" s="1392" t="n"/>
      <c r="BP1515" s="1392" t="n"/>
      <c r="BQ1515" s="1392" t="n"/>
      <c r="BR1515" s="1392" t="n"/>
      <c r="BS1515" s="1392" t="n"/>
      <c r="BT1515" s="1392" t="n"/>
      <c r="BU1515" s="1392" t="n"/>
      <c r="BV1515" s="1392" t="n"/>
      <c r="BW1515" s="1392" t="n"/>
      <c r="BX1515" s="1392" t="n"/>
      <c r="BY1515" s="1392" t="n"/>
      <c r="BZ1515" s="1392" t="n"/>
      <c r="CA1515" s="1392" t="n"/>
      <c r="CB1515" s="1392" t="n"/>
      <c r="CC1515" s="1392" t="n"/>
      <c r="CD1515" s="1392" t="n"/>
      <c r="CE1515" s="1392" t="n"/>
      <c r="CF1515" s="1392" t="n"/>
      <c r="CG1515" s="1392" t="n"/>
      <c r="CH1515" s="1392" t="n"/>
      <c r="CI1515" s="1392" t="n"/>
      <c r="CJ1515" s="1392" t="n"/>
      <c r="CK1515" s="1392" t="n"/>
      <c r="CL1515" s="1392" t="n"/>
    </row>
    <row r="1516">
      <c r="A1516" s="5" t="inlineStr">
        <is>
          <t>.</t>
        </is>
      </c>
      <c r="B1516" s="5" t="inlineStr">
        <is>
          <t>.</t>
        </is>
      </c>
      <c r="C1516" s="1378">
        <f>IF(raw[[#This Row],[city]]="","-",IF(raw[[#This Row],[city]]="TODAY","-",C1515+1))</f>
        <v/>
      </c>
      <c r="D1516" s="1393" t="inlineStr">
        <is>
          <t>London</t>
        </is>
      </c>
      <c r="E1516" s="1394" t="n">
        <v>43784</v>
      </c>
      <c r="F1516" s="1394" t="n">
        <v>43786</v>
      </c>
      <c r="G1516" s="1393" t="inlineStr">
        <is>
          <t>-</t>
        </is>
      </c>
      <c r="H1516" s="1393" t="inlineStr">
        <is>
          <t>Nadeau</t>
        </is>
      </c>
      <c r="I1516" s="1393" t="inlineStr">
        <is>
          <t>Thomas/Leslie</t>
        </is>
      </c>
      <c r="J1516" s="1393" t="inlineStr">
        <is>
          <t>-</t>
        </is>
      </c>
      <c r="K1516" s="1395">
        <f>IF(raw[[#This Row],[city]]&lt;&gt;"",_xlfn.XLOOKUP($D1516,ccc[city],ccc[prov],"-"),"-")</f>
        <v/>
      </c>
      <c r="L1516" s="1395">
        <f>IF(raw[[#This Row],[city]]&lt;&gt;"",_xlfn.XLOOKUP($D1516,ccc[city],ccc[ctry],"-"),"-")</f>
        <v/>
      </c>
      <c r="M1516" s="1395">
        <f>IF(raw[[#This Row],[city]]&lt;&gt;"",_xlfn.XLOOKUP($D1516,ccc[city],ccc[cont],"-"),"-")</f>
        <v/>
      </c>
      <c r="N1516" s="1396">
        <f>IF(raw[[#This Row],[city]]="","-",IF(raw[[#This Row],[cont]]="B",raw[[#This Row],[cont]],"W"))</f>
        <v/>
      </c>
      <c r="O1516" s="1397">
        <f>IF(raw[[#This Row],[out]]=0,0,IF(raw[[#This Row],[out]]=raw[[#This Row],[in]],0.01,raw[[#This Row],[out]]-raw[[#This Row],[in]]))</f>
        <v/>
      </c>
      <c r="P1516" s="1397">
        <f>IF(raw[[#This Row],[in]]=0,0,MONTH(raw[[#This Row],[in]]))</f>
        <v/>
      </c>
      <c r="Q1516" s="1397">
        <f>IF(raw[[#This Row],[in]]=0,0,YEAR(raw[[#This Row],[in]]))</f>
        <v/>
      </c>
      <c r="R1516" s="1397">
        <f>INT(raw[[#This Row],[yr]]/10)*10</f>
        <v/>
      </c>
      <c r="S1516" s="1395">
        <f>IF(raw[[#This Row],[city]]="","-",IF(raw[[#This Row],[city]]&lt;&gt;_xlfn.XLOOKUP(raw[[#This Row],[home]],homes[home],homes[city],"-"),1,0))</f>
        <v/>
      </c>
      <c r="T1516" s="1398" t="inlineStr">
        <is>
          <t>.</t>
        </is>
      </c>
      <c r="U1516" s="1399">
        <f>IF(raw[[#This Row],[wb]]="w",raw[[#This Row],[stay]]+U1515,U1515)</f>
        <v/>
      </c>
      <c r="V1516" s="1400">
        <f>IF(raw[[#This Row],[out]]=0,V1515,(raw[[#This Row],[out]]-E$5))</f>
        <v/>
      </c>
      <c r="W1516" s="1401">
        <f>U1516/V1516</f>
        <v/>
      </c>
      <c r="X1516" s="1392" t="n"/>
      <c r="Y1516" s="1392" t="n"/>
      <c r="Z1516" s="1392" t="n"/>
      <c r="AA1516" s="1392" t="n"/>
      <c r="AB1516" s="1392" t="n"/>
      <c r="AC1516" s="1392" t="n"/>
      <c r="AD1516" s="1392" t="n"/>
      <c r="AE1516" s="1392" t="n"/>
      <c r="AF1516" s="1392" t="n"/>
      <c r="AG1516" s="1392" t="n"/>
      <c r="AH1516" s="1392" t="n"/>
      <c r="AI1516" s="1392" t="n"/>
      <c r="AJ1516" s="1392" t="n"/>
      <c r="AK1516" s="1392" t="n"/>
      <c r="AL1516" s="1392" t="n"/>
      <c r="AM1516" s="1392" t="n"/>
      <c r="AN1516" s="1392" t="n"/>
      <c r="AO1516" s="1392" t="n"/>
      <c r="AP1516" s="1392" t="n"/>
      <c r="AQ1516" s="1392" t="n"/>
      <c r="AR1516" s="1422" t="n"/>
      <c r="AS1516" s="1422" t="n"/>
      <c r="AT1516" s="1392" t="n"/>
      <c r="AU1516" s="1392" t="n"/>
      <c r="AV1516" s="1392" t="n"/>
      <c r="AW1516" s="1392" t="n"/>
      <c r="AX1516" s="1392" t="n"/>
      <c r="AY1516" s="1392" t="n"/>
      <c r="AZ1516" s="1392" t="n"/>
      <c r="BA1516" s="1422" t="n"/>
      <c r="BB1516" s="1422" t="n"/>
      <c r="BC1516" s="1392" t="n"/>
      <c r="BD1516" s="1392" t="n"/>
      <c r="BE1516" s="1392" t="n"/>
      <c r="BF1516" s="1392" t="n"/>
      <c r="BG1516" s="1392" t="n"/>
      <c r="BH1516" s="1392" t="n"/>
      <c r="BI1516" s="1392" t="n"/>
      <c r="BJ1516" s="1392" t="n"/>
      <c r="BK1516" s="1392" t="n"/>
      <c r="BL1516" s="1392" t="n"/>
      <c r="BM1516" s="1392" t="n"/>
      <c r="BN1516" s="1392" t="n"/>
      <c r="BO1516" s="1392" t="n"/>
      <c r="BP1516" s="1392" t="n"/>
      <c r="BQ1516" s="1392" t="n"/>
      <c r="BR1516" s="1392" t="n"/>
      <c r="BS1516" s="1392" t="n"/>
      <c r="BT1516" s="1392" t="n"/>
      <c r="BU1516" s="1392" t="n"/>
      <c r="BV1516" s="1392" t="n"/>
      <c r="BW1516" s="1392" t="n"/>
      <c r="BX1516" s="1392" t="n"/>
      <c r="BY1516" s="1392" t="n"/>
      <c r="BZ1516" s="1392" t="n"/>
      <c r="CA1516" s="1392" t="n"/>
      <c r="CB1516" s="1392" t="n"/>
      <c r="CC1516" s="1392" t="n"/>
      <c r="CD1516" s="1392" t="n"/>
      <c r="CE1516" s="1392" t="n"/>
      <c r="CF1516" s="1392" t="n"/>
      <c r="CG1516" s="1392" t="n"/>
      <c r="CH1516" s="1392" t="n"/>
      <c r="CI1516" s="1392" t="n"/>
      <c r="CJ1516" s="1392" t="n"/>
      <c r="CK1516" s="1392" t="n"/>
      <c r="CL1516" s="1392" t="n"/>
    </row>
    <row r="1517">
      <c r="A1517" s="5" t="inlineStr">
        <is>
          <t>.</t>
        </is>
      </c>
      <c r="B1517" s="5" t="inlineStr">
        <is>
          <t>.</t>
        </is>
      </c>
      <c r="C1517" s="1378">
        <f>IF(raw[[#This Row],[city]]="","-",IF(raw[[#This Row],[city]]="TODAY","-",C1516+1))</f>
        <v/>
      </c>
      <c r="D1517" s="1393" t="inlineStr">
        <is>
          <t>London</t>
        </is>
      </c>
      <c r="E1517" s="1394" t="n">
        <v>43786</v>
      </c>
      <c r="F1517" s="1394" t="n">
        <v>43787</v>
      </c>
      <c r="G1517" s="1393" t="inlineStr">
        <is>
          <t>-</t>
        </is>
      </c>
      <c r="H1517" s="1393" t="inlineStr">
        <is>
          <t>Nadeau</t>
        </is>
      </c>
      <c r="I1517" s="1393" t="inlineStr">
        <is>
          <t>David's</t>
        </is>
      </c>
      <c r="J1517" s="1393" t="inlineStr">
        <is>
          <t>-</t>
        </is>
      </c>
      <c r="K1517" s="1395">
        <f>IF(raw[[#This Row],[city]]&lt;&gt;"",_xlfn.XLOOKUP($D1517,ccc[city],ccc[prov],"-"),"-")</f>
        <v/>
      </c>
      <c r="L1517" s="1395">
        <f>IF(raw[[#This Row],[city]]&lt;&gt;"",_xlfn.XLOOKUP($D1517,ccc[city],ccc[ctry],"-"),"-")</f>
        <v/>
      </c>
      <c r="M1517" s="1395">
        <f>IF(raw[[#This Row],[city]]&lt;&gt;"",_xlfn.XLOOKUP($D1517,ccc[city],ccc[cont],"-"),"-")</f>
        <v/>
      </c>
      <c r="N1517" s="1396">
        <f>IF(raw[[#This Row],[city]]="","-",IF(raw[[#This Row],[cont]]="B",raw[[#This Row],[cont]],"W"))</f>
        <v/>
      </c>
      <c r="O1517" s="1397">
        <f>IF(raw[[#This Row],[out]]=0,0,IF(raw[[#This Row],[out]]=raw[[#This Row],[in]],0.01,raw[[#This Row],[out]]-raw[[#This Row],[in]]))</f>
        <v/>
      </c>
      <c r="P1517" s="1397">
        <f>IF(raw[[#This Row],[in]]=0,0,MONTH(raw[[#This Row],[in]]))</f>
        <v/>
      </c>
      <c r="Q1517" s="1397">
        <f>IF(raw[[#This Row],[in]]=0,0,YEAR(raw[[#This Row],[in]]))</f>
        <v/>
      </c>
      <c r="R1517" s="1397">
        <f>INT(raw[[#This Row],[yr]]/10)*10</f>
        <v/>
      </c>
      <c r="S1517" s="1395">
        <f>IF(raw[[#This Row],[city]]="","-",IF(raw[[#This Row],[city]]&lt;&gt;_xlfn.XLOOKUP(raw[[#This Row],[home]],homes[home],homes[city],"-"),1,0))</f>
        <v/>
      </c>
      <c r="T1517" s="1398" t="inlineStr">
        <is>
          <t>.</t>
        </is>
      </c>
      <c r="U1517" s="1399">
        <f>IF(raw[[#This Row],[wb]]="w",raw[[#This Row],[stay]]+U1516,U1516)</f>
        <v/>
      </c>
      <c r="V1517" s="1400">
        <f>IF(raw[[#This Row],[out]]=0,V1516,(raw[[#This Row],[out]]-E$5))</f>
        <v/>
      </c>
      <c r="W1517" s="1401">
        <f>U1517/V1517</f>
        <v/>
      </c>
      <c r="X1517" s="1392" t="n"/>
      <c r="Y1517" s="1392" t="n"/>
      <c r="Z1517" s="1392" t="n"/>
      <c r="AA1517" s="1392" t="n"/>
      <c r="AB1517" s="1392" t="n"/>
      <c r="AC1517" s="1392" t="n"/>
      <c r="AD1517" s="1392" t="n"/>
      <c r="AE1517" s="1392" t="n"/>
      <c r="AF1517" s="1392" t="n"/>
      <c r="AG1517" s="1392" t="n"/>
      <c r="AH1517" s="1392" t="n"/>
      <c r="AI1517" s="1392" t="n"/>
      <c r="AJ1517" s="1392" t="n"/>
      <c r="AK1517" s="1392" t="n"/>
      <c r="AL1517" s="1392" t="n"/>
      <c r="AM1517" s="1392" t="n"/>
      <c r="AN1517" s="1392" t="n"/>
      <c r="AO1517" s="1392" t="n"/>
      <c r="AP1517" s="1392" t="n"/>
      <c r="AQ1517" s="1392" t="n"/>
      <c r="AR1517" s="1422" t="n"/>
      <c r="AS1517" s="1422" t="n"/>
      <c r="AT1517" s="1392" t="n"/>
      <c r="AU1517" s="1392" t="n"/>
      <c r="AV1517" s="1392" t="n"/>
      <c r="AW1517" s="1392" t="n"/>
      <c r="AX1517" s="1392" t="n"/>
      <c r="AY1517" s="1392" t="n"/>
      <c r="AZ1517" s="1392" t="n"/>
      <c r="BA1517" s="1422" t="n"/>
      <c r="BB1517" s="1422" t="n"/>
      <c r="BC1517" s="1392" t="n"/>
      <c r="BD1517" s="1392" t="n"/>
      <c r="BE1517" s="1392" t="n"/>
      <c r="BF1517" s="1392" t="n"/>
      <c r="BG1517" s="1392" t="n"/>
      <c r="BH1517" s="1392" t="n"/>
      <c r="BI1517" s="1392" t="n"/>
      <c r="BJ1517" s="1392" t="n"/>
      <c r="BK1517" s="1392" t="n"/>
      <c r="BL1517" s="1392" t="n"/>
      <c r="BM1517" s="1392" t="n"/>
      <c r="BN1517" s="1392" t="n"/>
      <c r="BO1517" s="1392" t="n"/>
      <c r="BP1517" s="1392" t="n"/>
      <c r="BQ1517" s="1392" t="n"/>
      <c r="BR1517" s="1392" t="n"/>
      <c r="BS1517" s="1392" t="n"/>
      <c r="BT1517" s="1392" t="n"/>
      <c r="BU1517" s="1392" t="n"/>
      <c r="BV1517" s="1392" t="n"/>
      <c r="BW1517" s="1392" t="n"/>
      <c r="BX1517" s="1392" t="n"/>
      <c r="BY1517" s="1392" t="n"/>
      <c r="BZ1517" s="1392" t="n"/>
      <c r="CA1517" s="1392" t="n"/>
      <c r="CB1517" s="1392" t="n"/>
      <c r="CC1517" s="1392" t="n"/>
      <c r="CD1517" s="1392" t="n"/>
      <c r="CE1517" s="1392" t="n"/>
      <c r="CF1517" s="1392" t="n"/>
      <c r="CG1517" s="1392" t="n"/>
      <c r="CH1517" s="1392" t="n"/>
      <c r="CI1517" s="1392" t="n"/>
      <c r="CJ1517" s="1392" t="n"/>
      <c r="CK1517" s="1392" t="n"/>
      <c r="CL1517" s="1392" t="n"/>
    </row>
    <row r="1518">
      <c r="A1518" s="5" t="inlineStr">
        <is>
          <t>.</t>
        </is>
      </c>
      <c r="B1518" s="5" t="inlineStr">
        <is>
          <t>.</t>
        </is>
      </c>
      <c r="C1518" s="1378">
        <f>IF(raw[[#This Row],[city]]="","-",IF(raw[[#This Row],[city]]="TODAY","-",C1517+1))</f>
        <v/>
      </c>
      <c r="D1518" s="1393" t="inlineStr">
        <is>
          <t>London</t>
        </is>
      </c>
      <c r="E1518" s="1394" t="n">
        <v>43787</v>
      </c>
      <c r="F1518" s="1394" t="n">
        <v>43790</v>
      </c>
      <c r="G1518" s="1393" t="inlineStr">
        <is>
          <t>-</t>
        </is>
      </c>
      <c r="H1518" s="1393" t="inlineStr">
        <is>
          <t>Nadeau</t>
        </is>
      </c>
      <c r="I1518" s="1393" t="inlineStr">
        <is>
          <t>Thomas/Leslie</t>
        </is>
      </c>
      <c r="J1518" s="1393" t="inlineStr">
        <is>
          <t>-</t>
        </is>
      </c>
      <c r="K1518" s="1395">
        <f>IF(raw[[#This Row],[city]]&lt;&gt;"",_xlfn.XLOOKUP($D1518,ccc[city],ccc[prov],"-"),"-")</f>
        <v/>
      </c>
      <c r="L1518" s="1395">
        <f>IF(raw[[#This Row],[city]]&lt;&gt;"",_xlfn.XLOOKUP($D1518,ccc[city],ccc[ctry],"-"),"-")</f>
        <v/>
      </c>
      <c r="M1518" s="1395">
        <f>IF(raw[[#This Row],[city]]&lt;&gt;"",_xlfn.XLOOKUP($D1518,ccc[city],ccc[cont],"-"),"-")</f>
        <v/>
      </c>
      <c r="N1518" s="1396">
        <f>IF(raw[[#This Row],[city]]="","-",IF(raw[[#This Row],[cont]]="B",raw[[#This Row],[cont]],"W"))</f>
        <v/>
      </c>
      <c r="O1518" s="1397">
        <f>IF(raw[[#This Row],[out]]=0,0,IF(raw[[#This Row],[out]]=raw[[#This Row],[in]],0.01,raw[[#This Row],[out]]-raw[[#This Row],[in]]))</f>
        <v/>
      </c>
      <c r="P1518" s="1397">
        <f>IF(raw[[#This Row],[in]]=0,0,MONTH(raw[[#This Row],[in]]))</f>
        <v/>
      </c>
      <c r="Q1518" s="1397">
        <f>IF(raw[[#This Row],[in]]=0,0,YEAR(raw[[#This Row],[in]]))</f>
        <v/>
      </c>
      <c r="R1518" s="1397">
        <f>INT(raw[[#This Row],[yr]]/10)*10</f>
        <v/>
      </c>
      <c r="S1518" s="1395">
        <f>IF(raw[[#This Row],[city]]="","-",IF(raw[[#This Row],[city]]&lt;&gt;_xlfn.XLOOKUP(raw[[#This Row],[home]],homes[home],homes[city],"-"),1,0))</f>
        <v/>
      </c>
      <c r="T1518" s="1398" t="inlineStr">
        <is>
          <t>.</t>
        </is>
      </c>
      <c r="U1518" s="1399">
        <f>IF(raw[[#This Row],[wb]]="w",raw[[#This Row],[stay]]+U1517,U1517)</f>
        <v/>
      </c>
      <c r="V1518" s="1400">
        <f>IF(raw[[#This Row],[out]]=0,V1517,(raw[[#This Row],[out]]-E$5))</f>
        <v/>
      </c>
      <c r="W1518" s="1401">
        <f>U1518/V1518</f>
        <v/>
      </c>
      <c r="X1518" s="1392" t="n"/>
      <c r="Y1518" s="1392" t="n"/>
      <c r="Z1518" s="1392" t="n"/>
      <c r="AA1518" s="1392" t="n"/>
      <c r="AB1518" s="1392" t="n"/>
      <c r="AC1518" s="1392" t="n"/>
      <c r="AD1518" s="1392" t="n"/>
      <c r="AE1518" s="1392" t="n"/>
      <c r="AF1518" s="1392" t="n"/>
      <c r="AG1518" s="1392" t="n"/>
      <c r="AH1518" s="1392" t="n"/>
      <c r="AI1518" s="1392" t="n"/>
      <c r="AJ1518" s="1392" t="n"/>
      <c r="AK1518" s="1392" t="n"/>
      <c r="AL1518" s="1392" t="n"/>
      <c r="AM1518" s="1392" t="n"/>
      <c r="AN1518" s="1392" t="n"/>
      <c r="AO1518" s="1392" t="n"/>
      <c r="AP1518" s="1392" t="n"/>
      <c r="AQ1518" s="1392" t="n"/>
      <c r="AR1518" s="1422" t="n"/>
      <c r="AS1518" s="1422" t="n"/>
      <c r="AT1518" s="1392" t="n"/>
      <c r="AU1518" s="1392" t="n"/>
      <c r="AV1518" s="1392" t="n"/>
      <c r="AW1518" s="1392" t="n"/>
      <c r="AX1518" s="1392" t="n"/>
      <c r="AY1518" s="1392" t="n"/>
      <c r="AZ1518" s="1392" t="n"/>
      <c r="BA1518" s="1422" t="n"/>
      <c r="BB1518" s="1422" t="n"/>
      <c r="BC1518" s="1392" t="n"/>
      <c r="BD1518" s="1392" t="n"/>
      <c r="BE1518" s="1392" t="n"/>
      <c r="BF1518" s="1392" t="n"/>
      <c r="BG1518" s="1392" t="n"/>
      <c r="BH1518" s="1392" t="n"/>
      <c r="BI1518" s="1392" t="n"/>
      <c r="BJ1518" s="1392" t="n"/>
      <c r="BK1518" s="1392" t="n"/>
      <c r="BL1518" s="1392" t="n"/>
      <c r="BM1518" s="1392" t="n"/>
      <c r="BN1518" s="1392" t="n"/>
      <c r="BO1518" s="1392" t="n"/>
      <c r="BP1518" s="1392" t="n"/>
      <c r="BQ1518" s="1392" t="n"/>
      <c r="BR1518" s="1392" t="n"/>
      <c r="BS1518" s="1392" t="n"/>
      <c r="BT1518" s="1392" t="n"/>
      <c r="BU1518" s="1392" t="n"/>
      <c r="BV1518" s="1392" t="n"/>
      <c r="BW1518" s="1392" t="n"/>
      <c r="BX1518" s="1392" t="n"/>
      <c r="BY1518" s="1392" t="n"/>
      <c r="BZ1518" s="1392" t="n"/>
      <c r="CA1518" s="1392" t="n"/>
      <c r="CB1518" s="1392" t="n"/>
      <c r="CC1518" s="1392" t="n"/>
      <c r="CD1518" s="1392" t="n"/>
      <c r="CE1518" s="1392" t="n"/>
      <c r="CF1518" s="1392" t="n"/>
      <c r="CG1518" s="1392" t="n"/>
      <c r="CH1518" s="1392" t="n"/>
      <c r="CI1518" s="1392" t="n"/>
      <c r="CJ1518" s="1392" t="n"/>
      <c r="CK1518" s="1392" t="n"/>
      <c r="CL1518" s="1392" t="n"/>
    </row>
    <row r="1519">
      <c r="A1519" s="5" t="inlineStr">
        <is>
          <t>.</t>
        </is>
      </c>
      <c r="B1519" s="5" t="inlineStr">
        <is>
          <t>.</t>
        </is>
      </c>
      <c r="C1519" s="1378">
        <f>IF(raw[[#This Row],[city]]="","-",IF(raw[[#This Row],[city]]="TODAY","-",C1518+1))</f>
        <v/>
      </c>
      <c r="D1519" s="1393" t="inlineStr">
        <is>
          <t>London</t>
        </is>
      </c>
      <c r="E1519" s="1394" t="n">
        <v>43790</v>
      </c>
      <c r="F1519" s="1394" t="n">
        <v>43793</v>
      </c>
      <c r="G1519" s="1393" t="n">
        <v>1</v>
      </c>
      <c r="H1519" s="1393" t="inlineStr">
        <is>
          <t>Nadeau</t>
        </is>
      </c>
      <c r="I1519" s="1393" t="inlineStr">
        <is>
          <t>David's</t>
        </is>
      </c>
      <c r="J1519" s="1393" t="inlineStr">
        <is>
          <t>-</t>
        </is>
      </c>
      <c r="K1519" s="1395">
        <f>IF(raw[[#This Row],[city]]&lt;&gt;"",_xlfn.XLOOKUP($D1519,ccc[city],ccc[prov],"-"),"-")</f>
        <v/>
      </c>
      <c r="L1519" s="1395">
        <f>IF(raw[[#This Row],[city]]&lt;&gt;"",_xlfn.XLOOKUP($D1519,ccc[city],ccc[ctry],"-"),"-")</f>
        <v/>
      </c>
      <c r="M1519" s="1395">
        <f>IF(raw[[#This Row],[city]]&lt;&gt;"",_xlfn.XLOOKUP($D1519,ccc[city],ccc[cont],"-"),"-")</f>
        <v/>
      </c>
      <c r="N1519" s="1396">
        <f>IF(raw[[#This Row],[city]]="","-",IF(raw[[#This Row],[cont]]="B",raw[[#This Row],[cont]],"W"))</f>
        <v/>
      </c>
      <c r="O1519" s="1397">
        <f>IF(raw[[#This Row],[out]]=0,0,IF(raw[[#This Row],[out]]=raw[[#This Row],[in]],0.01,raw[[#This Row],[out]]-raw[[#This Row],[in]]))</f>
        <v/>
      </c>
      <c r="P1519" s="1397">
        <f>IF(raw[[#This Row],[in]]=0,0,MONTH(raw[[#This Row],[in]]))</f>
        <v/>
      </c>
      <c r="Q1519" s="1397">
        <f>IF(raw[[#This Row],[in]]=0,0,YEAR(raw[[#This Row],[in]]))</f>
        <v/>
      </c>
      <c r="R1519" s="1397">
        <f>INT(raw[[#This Row],[yr]]/10)*10</f>
        <v/>
      </c>
      <c r="S1519" s="1395">
        <f>IF(raw[[#This Row],[city]]="","-",IF(raw[[#This Row],[city]]&lt;&gt;_xlfn.XLOOKUP(raw[[#This Row],[home]],homes[home],homes[city],"-"),1,0))</f>
        <v/>
      </c>
      <c r="T1519" s="1398" t="inlineStr">
        <is>
          <t>.</t>
        </is>
      </c>
      <c r="U1519" s="1399">
        <f>IF(raw[[#This Row],[wb]]="w",raw[[#This Row],[stay]]+U1518,U1518)</f>
        <v/>
      </c>
      <c r="V1519" s="1400">
        <f>IF(raw[[#This Row],[out]]=0,V1518,(raw[[#This Row],[out]]-E$5))</f>
        <v/>
      </c>
      <c r="W1519" s="1401">
        <f>U1519/V1519</f>
        <v/>
      </c>
      <c r="X1519" s="1392" t="n"/>
      <c r="Y1519" s="1392" t="n"/>
      <c r="Z1519" s="1392" t="n"/>
      <c r="AA1519" s="1392" t="n"/>
      <c r="AB1519" s="1392" t="n"/>
      <c r="AC1519" s="1392" t="n"/>
      <c r="AD1519" s="1392" t="n"/>
      <c r="AE1519" s="1392" t="n"/>
      <c r="AF1519" s="1392" t="n"/>
      <c r="AG1519" s="1392" t="n"/>
      <c r="AH1519" s="1392" t="n"/>
      <c r="AI1519" s="1392" t="n"/>
      <c r="AJ1519" s="1392" t="n"/>
      <c r="AK1519" s="1392" t="n"/>
      <c r="AL1519" s="1392" t="n"/>
      <c r="AM1519" s="1392" t="n"/>
      <c r="AN1519" s="1392" t="n"/>
      <c r="AO1519" s="1392" t="n"/>
      <c r="AP1519" s="1392" t="n"/>
      <c r="AQ1519" s="1392" t="n"/>
      <c r="AR1519" s="1422" t="n"/>
      <c r="AS1519" s="1422" t="n"/>
      <c r="AT1519" s="1392" t="n"/>
      <c r="AU1519" s="1392" t="n"/>
      <c r="AV1519" s="1392" t="n"/>
      <c r="AW1519" s="1392" t="n"/>
      <c r="AX1519" s="1392" t="n"/>
      <c r="AY1519" s="1392" t="n"/>
      <c r="AZ1519" s="1392" t="n"/>
      <c r="BA1519" s="1422" t="n"/>
      <c r="BB1519" s="1422" t="n"/>
      <c r="BC1519" s="1392" t="n"/>
      <c r="BD1519" s="1392" t="n"/>
      <c r="BE1519" s="1392" t="n"/>
      <c r="BF1519" s="1392" t="n"/>
      <c r="BG1519" s="1392" t="n"/>
      <c r="BH1519" s="1392" t="n"/>
      <c r="BI1519" s="1392" t="n"/>
      <c r="BJ1519" s="1392" t="n"/>
      <c r="BK1519" s="1392" t="n"/>
      <c r="BL1519" s="1392" t="n"/>
      <c r="BM1519" s="1392" t="n"/>
      <c r="BN1519" s="1392" t="n"/>
      <c r="BO1519" s="1392" t="n"/>
      <c r="BP1519" s="1392" t="n"/>
      <c r="BQ1519" s="1392" t="n"/>
      <c r="BR1519" s="1392" t="n"/>
      <c r="BS1519" s="1392" t="n"/>
      <c r="BT1519" s="1392" t="n"/>
      <c r="BU1519" s="1392" t="n"/>
      <c r="BV1519" s="1392" t="n"/>
      <c r="BW1519" s="1392" t="n"/>
      <c r="BX1519" s="1392" t="n"/>
      <c r="BY1519" s="1392" t="n"/>
      <c r="BZ1519" s="1392" t="n"/>
      <c r="CA1519" s="1392" t="n"/>
      <c r="CB1519" s="1392" t="n"/>
      <c r="CC1519" s="1392" t="n"/>
      <c r="CD1519" s="1392" t="n"/>
      <c r="CE1519" s="1392" t="n"/>
      <c r="CF1519" s="1392" t="n"/>
      <c r="CG1519" s="1392" t="n"/>
      <c r="CH1519" s="1392" t="n"/>
      <c r="CI1519" s="1392" t="n"/>
      <c r="CJ1519" s="1392" t="n"/>
      <c r="CK1519" s="1392" t="n"/>
      <c r="CL1519" s="1392" t="n"/>
    </row>
    <row r="1520">
      <c r="A1520" s="5" t="inlineStr">
        <is>
          <t>.</t>
        </is>
      </c>
      <c r="B1520" s="5" t="inlineStr">
        <is>
          <t>.</t>
        </is>
      </c>
      <c r="C1520" s="1378">
        <f>IF(raw[[#This Row],[city]]="","-",IF(raw[[#This Row],[city]]="TODAY","-",C1519+1))</f>
        <v/>
      </c>
      <c r="D1520" s="1393" t="inlineStr">
        <is>
          <t>Montreal</t>
        </is>
      </c>
      <c r="E1520" s="1394" t="n">
        <v>43793</v>
      </c>
      <c r="F1520" s="1394" t="n">
        <v>43798</v>
      </c>
      <c r="G1520" s="1393" t="inlineStr">
        <is>
          <t>-</t>
        </is>
      </c>
      <c r="H1520" s="1393" t="inlineStr">
        <is>
          <t>Nadeau</t>
        </is>
      </c>
      <c r="I1520" s="1393" t="inlineStr">
        <is>
          <t>-</t>
        </is>
      </c>
      <c r="J1520" s="1393" t="inlineStr">
        <is>
          <t>-</t>
        </is>
      </c>
      <c r="K1520" s="1395">
        <f>IF(raw[[#This Row],[city]]&lt;&gt;"",_xlfn.XLOOKUP($D1520,ccc[city],ccc[prov],"-"),"-")</f>
        <v/>
      </c>
      <c r="L1520" s="1395">
        <f>IF(raw[[#This Row],[city]]&lt;&gt;"",_xlfn.XLOOKUP($D1520,ccc[city],ccc[ctry],"-"),"-")</f>
        <v/>
      </c>
      <c r="M1520" s="1395">
        <f>IF(raw[[#This Row],[city]]&lt;&gt;"",_xlfn.XLOOKUP($D1520,ccc[city],ccc[cont],"-"),"-")</f>
        <v/>
      </c>
      <c r="N1520" s="1396">
        <f>IF(raw[[#This Row],[city]]="","-",IF(raw[[#This Row],[cont]]="B",raw[[#This Row],[cont]],"W"))</f>
        <v/>
      </c>
      <c r="O1520" s="1397">
        <f>IF(raw[[#This Row],[out]]=0,0,IF(raw[[#This Row],[out]]=raw[[#This Row],[in]],0.01,raw[[#This Row],[out]]-raw[[#This Row],[in]]))</f>
        <v/>
      </c>
      <c r="P1520" s="1397">
        <f>IF(raw[[#This Row],[in]]=0,0,MONTH(raw[[#This Row],[in]]))</f>
        <v/>
      </c>
      <c r="Q1520" s="1397">
        <f>IF(raw[[#This Row],[in]]=0,0,YEAR(raw[[#This Row],[in]]))</f>
        <v/>
      </c>
      <c r="R1520" s="1397">
        <f>INT(raw[[#This Row],[yr]]/10)*10</f>
        <v/>
      </c>
      <c r="S1520" s="1395">
        <f>IF(raw[[#This Row],[city]]="","-",IF(raw[[#This Row],[city]]&lt;&gt;_xlfn.XLOOKUP(raw[[#This Row],[home]],homes[home],homes[city],"-"),1,0))</f>
        <v/>
      </c>
      <c r="T1520" s="1398" t="inlineStr">
        <is>
          <t>.</t>
        </is>
      </c>
      <c r="U1520" s="1399">
        <f>IF(raw[[#This Row],[wb]]="w",raw[[#This Row],[stay]]+U1519,U1519)</f>
        <v/>
      </c>
      <c r="V1520" s="1400">
        <f>IF(raw[[#This Row],[out]]=0,V1519,(raw[[#This Row],[out]]-E$5))</f>
        <v/>
      </c>
      <c r="W1520" s="1401">
        <f>U1520/V1520</f>
        <v/>
      </c>
      <c r="X1520" s="1392" t="n"/>
      <c r="Y1520" s="1392" t="n"/>
      <c r="Z1520" s="1392" t="n"/>
      <c r="AA1520" s="1392" t="n"/>
      <c r="AB1520" s="1392" t="n"/>
      <c r="AC1520" s="1392" t="n"/>
      <c r="AD1520" s="1392" t="n"/>
      <c r="AE1520" s="1392" t="n"/>
      <c r="AF1520" s="1392" t="n"/>
      <c r="AG1520" s="1392" t="n"/>
      <c r="AH1520" s="1392" t="n"/>
      <c r="AI1520" s="1392" t="n"/>
      <c r="AJ1520" s="1392" t="n"/>
      <c r="AK1520" s="1392" t="n"/>
      <c r="AL1520" s="1392" t="n"/>
      <c r="AM1520" s="1392" t="n"/>
      <c r="AN1520" s="1392" t="n"/>
      <c r="AO1520" s="1392" t="n"/>
      <c r="AP1520" s="1392" t="n"/>
      <c r="AQ1520" s="1392" t="n"/>
      <c r="AR1520" s="1422" t="n"/>
      <c r="AS1520" s="1422" t="n"/>
      <c r="AT1520" s="1392" t="n"/>
      <c r="AU1520" s="1392" t="n"/>
      <c r="AV1520" s="1392" t="n"/>
      <c r="AW1520" s="1392" t="n"/>
      <c r="AX1520" s="1392" t="n"/>
      <c r="AY1520" s="1392" t="n"/>
      <c r="AZ1520" s="1392" t="n"/>
      <c r="BA1520" s="1422" t="n"/>
      <c r="BB1520" s="1422" t="n"/>
      <c r="BC1520" s="1392" t="n"/>
      <c r="BD1520" s="1392" t="n"/>
      <c r="BE1520" s="1392" t="n"/>
      <c r="BF1520" s="1392" t="n"/>
      <c r="BG1520" s="1392" t="n"/>
      <c r="BH1520" s="1392" t="n"/>
      <c r="BI1520" s="1392" t="n"/>
      <c r="BJ1520" s="1392" t="n"/>
      <c r="BK1520" s="1392" t="n"/>
      <c r="BL1520" s="1392" t="n"/>
      <c r="BM1520" s="1392" t="n"/>
      <c r="BN1520" s="1392" t="n"/>
      <c r="BO1520" s="1392" t="n"/>
      <c r="BP1520" s="1392" t="n"/>
      <c r="BQ1520" s="1392" t="n"/>
      <c r="BR1520" s="1392" t="n"/>
      <c r="BS1520" s="1392" t="n"/>
      <c r="BT1520" s="1392" t="n"/>
      <c r="BU1520" s="1392" t="n"/>
      <c r="BV1520" s="1392" t="n"/>
      <c r="BW1520" s="1392" t="n"/>
      <c r="BX1520" s="1392" t="n"/>
      <c r="BY1520" s="1392" t="n"/>
      <c r="BZ1520" s="1392" t="n"/>
      <c r="CA1520" s="1392" t="n"/>
      <c r="CB1520" s="1392" t="n"/>
      <c r="CC1520" s="1392" t="n"/>
      <c r="CD1520" s="1392" t="n"/>
      <c r="CE1520" s="1392" t="n"/>
      <c r="CF1520" s="1392" t="n"/>
      <c r="CG1520" s="1392" t="n"/>
      <c r="CH1520" s="1392" t="n"/>
      <c r="CI1520" s="1392" t="n"/>
      <c r="CJ1520" s="1392" t="n"/>
      <c r="CK1520" s="1392" t="n"/>
      <c r="CL1520" s="1392" t="n"/>
    </row>
    <row r="1521">
      <c r="A1521" s="5" t="inlineStr">
        <is>
          <t>.</t>
        </is>
      </c>
      <c r="B1521" s="5" t="inlineStr">
        <is>
          <t>.</t>
        </is>
      </c>
      <c r="C1521" s="1378">
        <f>IF(raw[[#This Row],[city]]="","-",IF(raw[[#This Row],[city]]="TODAY","-",C1520+1))</f>
        <v/>
      </c>
      <c r="D1521" s="1393" t="inlineStr">
        <is>
          <t>Burlington</t>
        </is>
      </c>
      <c r="E1521" s="1394" t="n">
        <v>43798</v>
      </c>
      <c r="F1521" s="1394" t="n">
        <v>43799</v>
      </c>
      <c r="G1521" s="1393" t="inlineStr">
        <is>
          <t>-</t>
        </is>
      </c>
      <c r="H1521" s="1393" t="inlineStr">
        <is>
          <t>Nadeau</t>
        </is>
      </c>
      <c r="I1521" s="1393" t="inlineStr">
        <is>
          <t>-</t>
        </is>
      </c>
      <c r="J1521" s="1393" t="inlineStr">
        <is>
          <t>-</t>
        </is>
      </c>
      <c r="K1521" s="1395">
        <f>IF(raw[[#This Row],[city]]&lt;&gt;"",_xlfn.XLOOKUP($D1521,ccc[city],ccc[prov],"-"),"-")</f>
        <v/>
      </c>
      <c r="L1521" s="1395">
        <f>IF(raw[[#This Row],[city]]&lt;&gt;"",_xlfn.XLOOKUP($D1521,ccc[city],ccc[ctry],"-"),"-")</f>
        <v/>
      </c>
      <c r="M1521" s="1395">
        <f>IF(raw[[#This Row],[city]]&lt;&gt;"",_xlfn.XLOOKUP($D1521,ccc[city],ccc[cont],"-"),"-")</f>
        <v/>
      </c>
      <c r="N1521" s="1396">
        <f>IF(raw[[#This Row],[city]]="","-",IF(raw[[#This Row],[cont]]="B",raw[[#This Row],[cont]],"W"))</f>
        <v/>
      </c>
      <c r="O1521" s="1397">
        <f>IF(raw[[#This Row],[out]]=0,0,IF(raw[[#This Row],[out]]=raw[[#This Row],[in]],0.01,raw[[#This Row],[out]]-raw[[#This Row],[in]]))</f>
        <v/>
      </c>
      <c r="P1521" s="1397">
        <f>IF(raw[[#This Row],[in]]=0,0,MONTH(raw[[#This Row],[in]]))</f>
        <v/>
      </c>
      <c r="Q1521" s="1397">
        <f>IF(raw[[#This Row],[in]]=0,0,YEAR(raw[[#This Row],[in]]))</f>
        <v/>
      </c>
      <c r="R1521" s="1397">
        <f>INT(raw[[#This Row],[yr]]/10)*10</f>
        <v/>
      </c>
      <c r="S1521" s="1395">
        <f>IF(raw[[#This Row],[city]]="","-",IF(raw[[#This Row],[city]]&lt;&gt;_xlfn.XLOOKUP(raw[[#This Row],[home]],homes[home],homes[city],"-"),1,0))</f>
        <v/>
      </c>
      <c r="T1521" s="1398" t="inlineStr">
        <is>
          <t>.</t>
        </is>
      </c>
      <c r="U1521" s="1399">
        <f>IF(raw[[#This Row],[wb]]="w",raw[[#This Row],[stay]]+U1520,U1520)</f>
        <v/>
      </c>
      <c r="V1521" s="1400">
        <f>IF(raw[[#This Row],[out]]=0,V1520,(raw[[#This Row],[out]]-E$5))</f>
        <v/>
      </c>
      <c r="W1521" s="1401">
        <f>U1521/V1521</f>
        <v/>
      </c>
      <c r="X1521" s="1392" t="n"/>
      <c r="Y1521" s="1392" t="n"/>
      <c r="Z1521" s="1392" t="n"/>
      <c r="AA1521" s="1392" t="n"/>
      <c r="AB1521" s="1392" t="n"/>
      <c r="AC1521" s="1392" t="n"/>
      <c r="AD1521" s="1392" t="n"/>
      <c r="AE1521" s="1392" t="n"/>
      <c r="AF1521" s="1392" t="n"/>
      <c r="AG1521" s="1392" t="n"/>
      <c r="AH1521" s="1392" t="n"/>
      <c r="AI1521" s="1392" t="n"/>
      <c r="AJ1521" s="1392" t="n"/>
      <c r="AK1521" s="1392" t="n"/>
      <c r="AL1521" s="1392" t="n"/>
      <c r="AM1521" s="1392" t="n"/>
      <c r="AN1521" s="1392" t="n"/>
      <c r="AO1521" s="1392" t="n"/>
      <c r="AP1521" s="1392" t="n"/>
      <c r="AQ1521" s="1392" t="n"/>
      <c r="AR1521" s="1422" t="n"/>
      <c r="AS1521" s="1422" t="n"/>
      <c r="AT1521" s="1392" t="n"/>
      <c r="AU1521" s="1392" t="n"/>
      <c r="AV1521" s="1392" t="n"/>
      <c r="AW1521" s="1392" t="n"/>
      <c r="AX1521" s="1392" t="n"/>
      <c r="AY1521" s="1392" t="n"/>
      <c r="AZ1521" s="1392" t="n"/>
      <c r="BA1521" s="1422" t="n"/>
      <c r="BB1521" s="1422" t="n"/>
      <c r="BC1521" s="1392" t="n"/>
      <c r="BD1521" s="1392" t="n"/>
      <c r="BE1521" s="1392" t="n"/>
      <c r="BF1521" s="1392" t="n"/>
      <c r="BG1521" s="1392" t="n"/>
      <c r="BH1521" s="1392" t="n"/>
      <c r="BI1521" s="1392" t="n"/>
      <c r="BJ1521" s="1392" t="n"/>
      <c r="BK1521" s="1392" t="n"/>
      <c r="BL1521" s="1392" t="n"/>
      <c r="BM1521" s="1392" t="n"/>
      <c r="BN1521" s="1392" t="n"/>
      <c r="BO1521" s="1392" t="n"/>
      <c r="BP1521" s="1392" t="n"/>
      <c r="BQ1521" s="1392" t="n"/>
      <c r="BR1521" s="1392" t="n"/>
      <c r="BS1521" s="1392" t="n"/>
      <c r="BT1521" s="1392" t="n"/>
      <c r="BU1521" s="1392" t="n"/>
      <c r="BV1521" s="1392" t="n"/>
      <c r="BW1521" s="1392" t="n"/>
      <c r="BX1521" s="1392" t="n"/>
      <c r="BY1521" s="1392" t="n"/>
      <c r="BZ1521" s="1392" t="n"/>
      <c r="CA1521" s="1392" t="n"/>
      <c r="CB1521" s="1392" t="n"/>
      <c r="CC1521" s="1392" t="n"/>
      <c r="CD1521" s="1392" t="n"/>
      <c r="CE1521" s="1392" t="n"/>
      <c r="CF1521" s="1392" t="n"/>
      <c r="CG1521" s="1392" t="n"/>
      <c r="CH1521" s="1392" t="n"/>
      <c r="CI1521" s="1392" t="n"/>
      <c r="CJ1521" s="1392" t="n"/>
      <c r="CK1521" s="1392" t="n"/>
      <c r="CL1521" s="1392" t="n"/>
    </row>
    <row r="1522">
      <c r="A1522" s="5" t="inlineStr">
        <is>
          <t>.</t>
        </is>
      </c>
      <c r="B1522" s="5" t="inlineStr">
        <is>
          <t>.</t>
        </is>
      </c>
      <c r="C1522" s="1378">
        <f>IF(raw[[#This Row],[city]]="","-",IF(raw[[#This Row],[city]]="TODAY","-",C1521+1))</f>
        <v/>
      </c>
      <c r="D1522" s="1393" t="inlineStr">
        <is>
          <t>Montreal</t>
        </is>
      </c>
      <c r="E1522" s="1394" t="n">
        <v>43799</v>
      </c>
      <c r="F1522" s="1394" t="n">
        <v>43800</v>
      </c>
      <c r="G1522" s="1393" t="inlineStr">
        <is>
          <t>-</t>
        </is>
      </c>
      <c r="H1522" s="1393" t="inlineStr">
        <is>
          <t>Nadeau</t>
        </is>
      </c>
      <c r="I1522" s="1393" t="inlineStr">
        <is>
          <t>-</t>
        </is>
      </c>
      <c r="J1522" s="1393" t="inlineStr">
        <is>
          <t>-</t>
        </is>
      </c>
      <c r="K1522" s="1395">
        <f>IF(raw[[#This Row],[city]]&lt;&gt;"",_xlfn.XLOOKUP($D1522,ccc[city],ccc[prov],"-"),"-")</f>
        <v/>
      </c>
      <c r="L1522" s="1395">
        <f>IF(raw[[#This Row],[city]]&lt;&gt;"",_xlfn.XLOOKUP($D1522,ccc[city],ccc[ctry],"-"),"-")</f>
        <v/>
      </c>
      <c r="M1522" s="1395">
        <f>IF(raw[[#This Row],[city]]&lt;&gt;"",_xlfn.XLOOKUP($D1522,ccc[city],ccc[cont],"-"),"-")</f>
        <v/>
      </c>
      <c r="N1522" s="1396">
        <f>IF(raw[[#This Row],[city]]="","-",IF(raw[[#This Row],[cont]]="B",raw[[#This Row],[cont]],"W"))</f>
        <v/>
      </c>
      <c r="O1522" s="1397">
        <f>IF(raw[[#This Row],[out]]=0,0,IF(raw[[#This Row],[out]]=raw[[#This Row],[in]],0.01,raw[[#This Row],[out]]-raw[[#This Row],[in]]))</f>
        <v/>
      </c>
      <c r="P1522" s="1397">
        <f>IF(raw[[#This Row],[in]]=0,0,MONTH(raw[[#This Row],[in]]))</f>
        <v/>
      </c>
      <c r="Q1522" s="1397">
        <f>IF(raw[[#This Row],[in]]=0,0,YEAR(raw[[#This Row],[in]]))</f>
        <v/>
      </c>
      <c r="R1522" s="1397">
        <f>INT(raw[[#This Row],[yr]]/10)*10</f>
        <v/>
      </c>
      <c r="S1522" s="1395">
        <f>IF(raw[[#This Row],[city]]="","-",IF(raw[[#This Row],[city]]&lt;&gt;_xlfn.XLOOKUP(raw[[#This Row],[home]],homes[home],homes[city],"-"),1,0))</f>
        <v/>
      </c>
      <c r="T1522" s="1398" t="inlineStr">
        <is>
          <t>.</t>
        </is>
      </c>
      <c r="U1522" s="1399">
        <f>IF(raw[[#This Row],[wb]]="w",raw[[#This Row],[stay]]+U1521,U1521)</f>
        <v/>
      </c>
      <c r="V1522" s="1400">
        <f>IF(raw[[#This Row],[out]]=0,V1521,(raw[[#This Row],[out]]-E$5))</f>
        <v/>
      </c>
      <c r="W1522" s="1401">
        <f>U1522/V1522</f>
        <v/>
      </c>
      <c r="X1522" s="1392" t="n"/>
      <c r="Y1522" s="1392" t="n"/>
      <c r="Z1522" s="1392" t="n"/>
      <c r="AA1522" s="1392" t="n"/>
      <c r="AB1522" s="1392" t="n"/>
      <c r="AC1522" s="1392" t="n"/>
      <c r="AD1522" s="1392" t="n"/>
      <c r="AE1522" s="1392" t="n"/>
      <c r="AF1522" s="1392" t="n"/>
      <c r="AG1522" s="1392" t="n"/>
      <c r="AH1522" s="1392" t="n"/>
      <c r="AI1522" s="1392" t="n"/>
      <c r="AJ1522" s="1392" t="n"/>
      <c r="AK1522" s="1392" t="n"/>
      <c r="AL1522" s="1392" t="n"/>
      <c r="AM1522" s="1392" t="n"/>
      <c r="AN1522" s="1392" t="n"/>
      <c r="AO1522" s="1392" t="n"/>
      <c r="AP1522" s="1392" t="n"/>
      <c r="AQ1522" s="1392" t="n"/>
      <c r="AR1522" s="1422" t="n"/>
      <c r="AS1522" s="1422" t="n"/>
      <c r="AT1522" s="1392" t="n"/>
      <c r="AU1522" s="1392" t="n"/>
      <c r="AV1522" s="1392" t="n"/>
      <c r="AW1522" s="1392" t="n"/>
      <c r="AX1522" s="1392" t="n"/>
      <c r="AY1522" s="1392" t="n"/>
      <c r="AZ1522" s="1392" t="n"/>
      <c r="BA1522" s="1422" t="n"/>
      <c r="BB1522" s="1422" t="n"/>
      <c r="BC1522" s="1392" t="n"/>
      <c r="BD1522" s="1392" t="n"/>
      <c r="BE1522" s="1392" t="n"/>
      <c r="BF1522" s="1392" t="n"/>
      <c r="BG1522" s="1392" t="n"/>
      <c r="BH1522" s="1392" t="n"/>
      <c r="BI1522" s="1392" t="n"/>
      <c r="BJ1522" s="1392" t="n"/>
      <c r="BK1522" s="1392" t="n"/>
      <c r="BL1522" s="1392" t="n"/>
      <c r="BM1522" s="1392" t="n"/>
      <c r="BN1522" s="1392" t="n"/>
      <c r="BO1522" s="1392" t="n"/>
      <c r="BP1522" s="1392" t="n"/>
      <c r="BQ1522" s="1392" t="n"/>
      <c r="BR1522" s="1392" t="n"/>
      <c r="BS1522" s="1392" t="n"/>
      <c r="BT1522" s="1392" t="n"/>
      <c r="BU1522" s="1392" t="n"/>
      <c r="BV1522" s="1392" t="n"/>
      <c r="BW1522" s="1392" t="n"/>
      <c r="BX1522" s="1392" t="n"/>
      <c r="BY1522" s="1392" t="n"/>
      <c r="BZ1522" s="1392" t="n"/>
      <c r="CA1522" s="1392" t="n"/>
      <c r="CB1522" s="1392" t="n"/>
      <c r="CC1522" s="1392" t="n"/>
      <c r="CD1522" s="1392" t="n"/>
      <c r="CE1522" s="1392" t="n"/>
      <c r="CF1522" s="1392" t="n"/>
      <c r="CG1522" s="1392" t="n"/>
      <c r="CH1522" s="1392" t="n"/>
      <c r="CI1522" s="1392" t="n"/>
      <c r="CJ1522" s="1392" t="n"/>
      <c r="CK1522" s="1392" t="n"/>
      <c r="CL1522" s="1392" t="n"/>
    </row>
    <row r="1523">
      <c r="A1523" s="5" t="inlineStr">
        <is>
          <t>.</t>
        </is>
      </c>
      <c r="B1523" s="5" t="inlineStr">
        <is>
          <t>.</t>
        </is>
      </c>
      <c r="C1523" s="1378">
        <f>IF(raw[[#This Row],[city]]="","-",IF(raw[[#This Row],[city]]="TODAY","-",C1522+1))</f>
        <v/>
      </c>
      <c r="D1523" s="1393" t="inlineStr">
        <is>
          <t>Montreal</t>
        </is>
      </c>
      <c r="E1523" s="1394" t="n">
        <v>43800</v>
      </c>
      <c r="F1523" s="1394" t="n">
        <v>43831</v>
      </c>
      <c r="G1523" s="1393" t="inlineStr">
        <is>
          <t>-</t>
        </is>
      </c>
      <c r="H1523" s="1393" t="inlineStr">
        <is>
          <t>Nadeau</t>
        </is>
      </c>
      <c r="I1523" s="1393" t="inlineStr">
        <is>
          <t>-</t>
        </is>
      </c>
      <c r="J1523" s="1393" t="inlineStr">
        <is>
          <t>-</t>
        </is>
      </c>
      <c r="K1523" s="1395">
        <f>IF(raw[[#This Row],[city]]&lt;&gt;"",_xlfn.XLOOKUP($D1523,ccc[city],ccc[prov],"-"),"-")</f>
        <v/>
      </c>
      <c r="L1523" s="1395">
        <f>IF(raw[[#This Row],[city]]&lt;&gt;"",_xlfn.XLOOKUP($D1523,ccc[city],ccc[ctry],"-"),"-")</f>
        <v/>
      </c>
      <c r="M1523" s="1395">
        <f>IF(raw[[#This Row],[city]]&lt;&gt;"",_xlfn.XLOOKUP($D1523,ccc[city],ccc[cont],"-"),"-")</f>
        <v/>
      </c>
      <c r="N1523" s="1396">
        <f>IF(raw[[#This Row],[city]]="","-",IF(raw[[#This Row],[cont]]="B",raw[[#This Row],[cont]],"W"))</f>
        <v/>
      </c>
      <c r="O1523" s="1397">
        <f>IF(raw[[#This Row],[out]]=0,0,IF(raw[[#This Row],[out]]=raw[[#This Row],[in]],0.01,raw[[#This Row],[out]]-raw[[#This Row],[in]]))</f>
        <v/>
      </c>
      <c r="P1523" s="1397">
        <f>IF(raw[[#This Row],[in]]=0,0,MONTH(raw[[#This Row],[in]]))</f>
        <v/>
      </c>
      <c r="Q1523" s="1397">
        <f>IF(raw[[#This Row],[in]]=0,0,YEAR(raw[[#This Row],[in]]))</f>
        <v/>
      </c>
      <c r="R1523" s="1397">
        <f>INT(raw[[#This Row],[yr]]/10)*10</f>
        <v/>
      </c>
      <c r="S1523" s="1395">
        <f>IF(raw[[#This Row],[city]]="","-",IF(raw[[#This Row],[city]]&lt;&gt;_xlfn.XLOOKUP(raw[[#This Row],[home]],homes[home],homes[city],"-"),1,0))</f>
        <v/>
      </c>
      <c r="T1523" s="1398" t="inlineStr">
        <is>
          <t>.</t>
        </is>
      </c>
      <c r="U1523" s="1399">
        <f>IF(raw[[#This Row],[wb]]="w",raw[[#This Row],[stay]]+U1522,U1522)</f>
        <v/>
      </c>
      <c r="V1523" s="1400">
        <f>IF(raw[[#This Row],[out]]=0,V1522,(raw[[#This Row],[out]]-E$5))</f>
        <v/>
      </c>
      <c r="W1523" s="1401">
        <f>U1523/V1523</f>
        <v/>
      </c>
      <c r="X1523" s="1392" t="n"/>
      <c r="Y1523" s="1392" t="n"/>
      <c r="Z1523" s="1392" t="n"/>
      <c r="AA1523" s="1392" t="n"/>
      <c r="AB1523" s="1392" t="n"/>
      <c r="AC1523" s="1392" t="n"/>
      <c r="AD1523" s="1392" t="n"/>
      <c r="AE1523" s="1392" t="n"/>
      <c r="AF1523" s="1392" t="n"/>
      <c r="AG1523" s="1392" t="n"/>
      <c r="AH1523" s="1392" t="n"/>
      <c r="AI1523" s="1392" t="n"/>
      <c r="AJ1523" s="1392" t="n"/>
      <c r="AK1523" s="1392" t="n"/>
      <c r="AL1523" s="1392" t="n"/>
      <c r="AM1523" s="1392" t="n"/>
      <c r="AN1523" s="1392" t="n"/>
      <c r="AO1523" s="1392" t="n"/>
      <c r="AP1523" s="1392" t="n"/>
      <c r="AQ1523" s="1392" t="n"/>
      <c r="AR1523" s="1422" t="n"/>
      <c r="AS1523" s="1422" t="n"/>
      <c r="AT1523" s="1392" t="n"/>
      <c r="AU1523" s="1392" t="n"/>
      <c r="AV1523" s="1392" t="n"/>
      <c r="AW1523" s="1392" t="n"/>
      <c r="AX1523" s="1392" t="n"/>
      <c r="AY1523" s="1392" t="n"/>
      <c r="AZ1523" s="1392" t="n"/>
      <c r="BA1523" s="1422" t="n"/>
      <c r="BB1523" s="1422" t="n"/>
      <c r="BC1523" s="1392" t="n"/>
      <c r="BD1523" s="1392" t="n"/>
      <c r="BE1523" s="1392" t="n"/>
      <c r="BF1523" s="1392" t="n"/>
      <c r="BG1523" s="1392" t="n"/>
      <c r="BH1523" s="1392" t="n"/>
      <c r="BI1523" s="1392" t="n"/>
      <c r="BJ1523" s="1392" t="n"/>
      <c r="BK1523" s="1392" t="n"/>
      <c r="BL1523" s="1392" t="n"/>
      <c r="BM1523" s="1392" t="n"/>
      <c r="BN1523" s="1392" t="n"/>
      <c r="BO1523" s="1392" t="n"/>
      <c r="BP1523" s="1392" t="n"/>
      <c r="BQ1523" s="1392" t="n"/>
      <c r="BR1523" s="1392" t="n"/>
      <c r="BS1523" s="1392" t="n"/>
      <c r="BT1523" s="1392" t="n"/>
      <c r="BU1523" s="1392" t="n"/>
      <c r="BV1523" s="1392" t="n"/>
      <c r="BW1523" s="1392" t="n"/>
      <c r="BX1523" s="1392" t="n"/>
      <c r="BY1523" s="1392" t="n"/>
      <c r="BZ1523" s="1392" t="n"/>
      <c r="CA1523" s="1392" t="n"/>
      <c r="CB1523" s="1392" t="n"/>
      <c r="CC1523" s="1392" t="n"/>
      <c r="CD1523" s="1392" t="n"/>
      <c r="CE1523" s="1392" t="n"/>
      <c r="CF1523" s="1392" t="n"/>
      <c r="CG1523" s="1392" t="n"/>
      <c r="CH1523" s="1392" t="n"/>
      <c r="CI1523" s="1392" t="n"/>
      <c r="CJ1523" s="1392" t="n"/>
      <c r="CK1523" s="1392" t="n"/>
      <c r="CL1523" s="1392" t="n"/>
    </row>
    <row r="1524">
      <c r="A1524" s="5" t="inlineStr">
        <is>
          <t>.</t>
        </is>
      </c>
      <c r="B1524" s="5" t="inlineStr">
        <is>
          <t>.</t>
        </is>
      </c>
      <c r="C1524" s="1378">
        <f>IF(raw[[#This Row],[city]]="","-",IF(raw[[#This Row],[city]]="TODAY","-",C1523+1))</f>
        <v/>
      </c>
      <c r="D1524" s="1393" t="inlineStr">
        <is>
          <t>Montreal</t>
        </is>
      </c>
      <c r="E1524" s="1394" t="n">
        <v>43831</v>
      </c>
      <c r="F1524" s="1394" t="n">
        <v>43862</v>
      </c>
      <c r="G1524" s="1393" t="inlineStr">
        <is>
          <t>-</t>
        </is>
      </c>
      <c r="H1524" s="1393" t="inlineStr">
        <is>
          <t>Nadeau</t>
        </is>
      </c>
      <c r="I1524" s="1393" t="inlineStr">
        <is>
          <t>-</t>
        </is>
      </c>
      <c r="J1524" s="1393" t="inlineStr">
        <is>
          <t>REV</t>
        </is>
      </c>
      <c r="K1524" s="1395">
        <f>IF(raw[[#This Row],[city]]&lt;&gt;"",_xlfn.XLOOKUP($D1524,ccc[city],ccc[prov],"-"),"-")</f>
        <v/>
      </c>
      <c r="L1524" s="1395">
        <f>IF(raw[[#This Row],[city]]&lt;&gt;"",_xlfn.XLOOKUP($D1524,ccc[city],ccc[ctry],"-"),"-")</f>
        <v/>
      </c>
      <c r="M1524" s="1395">
        <f>IF(raw[[#This Row],[city]]&lt;&gt;"",_xlfn.XLOOKUP($D1524,ccc[city],ccc[cont],"-"),"-")</f>
        <v/>
      </c>
      <c r="N1524" s="1396">
        <f>IF(raw[[#This Row],[city]]="","-",IF(raw[[#This Row],[cont]]="B",raw[[#This Row],[cont]],"W"))</f>
        <v/>
      </c>
      <c r="O1524" s="1397">
        <f>IF(raw[[#This Row],[out]]=0,0,IF(raw[[#This Row],[out]]=raw[[#This Row],[in]],0.01,raw[[#This Row],[out]]-raw[[#This Row],[in]]))</f>
        <v/>
      </c>
      <c r="P1524" s="1397">
        <f>IF(raw[[#This Row],[in]]=0,0,MONTH(raw[[#This Row],[in]]))</f>
        <v/>
      </c>
      <c r="Q1524" s="1397">
        <f>IF(raw[[#This Row],[in]]=0,0,YEAR(raw[[#This Row],[in]]))</f>
        <v/>
      </c>
      <c r="R1524" s="1397">
        <f>INT(raw[[#This Row],[yr]]/10)*10</f>
        <v/>
      </c>
      <c r="S1524" s="1395">
        <f>IF(raw[[#This Row],[city]]="","-",IF(raw[[#This Row],[city]]&lt;&gt;_xlfn.XLOOKUP(raw[[#This Row],[home]],homes[home],homes[city],"-"),1,0))</f>
        <v/>
      </c>
      <c r="T1524" s="1398" t="inlineStr">
        <is>
          <t>.</t>
        </is>
      </c>
      <c r="U1524" s="1399">
        <f>IF(raw[[#This Row],[wb]]="w",raw[[#This Row],[stay]]+U1523,U1523)</f>
        <v/>
      </c>
      <c r="V1524" s="1400">
        <f>IF(raw[[#This Row],[out]]=0,V1523,(raw[[#This Row],[out]]-E$5))</f>
        <v/>
      </c>
      <c r="W1524" s="1401">
        <f>U1524/V1524</f>
        <v/>
      </c>
      <c r="X1524" s="1392" t="n"/>
      <c r="Y1524" s="1392" t="n"/>
      <c r="Z1524" s="1392" t="n"/>
      <c r="AA1524" s="1392" t="n"/>
      <c r="AB1524" s="1392" t="n"/>
      <c r="AC1524" s="1392" t="n"/>
      <c r="AD1524" s="1392" t="n"/>
      <c r="AE1524" s="1392" t="n"/>
      <c r="AF1524" s="1392" t="n"/>
      <c r="AG1524" s="1392" t="n"/>
      <c r="AH1524" s="1392" t="n"/>
      <c r="AI1524" s="1392" t="n"/>
      <c r="AJ1524" s="1392" t="n"/>
      <c r="AK1524" s="1392" t="n"/>
      <c r="AL1524" s="1392" t="n"/>
      <c r="AM1524" s="1392" t="n"/>
      <c r="AN1524" s="1392" t="n"/>
      <c r="AO1524" s="1392" t="n"/>
      <c r="AP1524" s="1392" t="n"/>
      <c r="AQ1524" s="1392" t="n"/>
      <c r="AR1524" s="1422" t="n"/>
      <c r="AS1524" s="1422" t="n"/>
      <c r="AT1524" s="1392" t="n"/>
      <c r="AU1524" s="1392" t="n"/>
      <c r="AV1524" s="1392" t="n"/>
      <c r="AW1524" s="1392" t="n"/>
      <c r="AX1524" s="1392" t="n"/>
      <c r="AY1524" s="1392" t="n"/>
      <c r="AZ1524" s="1392" t="n"/>
      <c r="BA1524" s="1422" t="n"/>
      <c r="BB1524" s="1422" t="n"/>
      <c r="BC1524" s="1392" t="n"/>
      <c r="BD1524" s="1392" t="n"/>
      <c r="BE1524" s="1392" t="n"/>
      <c r="BF1524" s="1392" t="n"/>
      <c r="BG1524" s="1392" t="n"/>
      <c r="BH1524" s="1392" t="n"/>
      <c r="BI1524" s="1392" t="n"/>
      <c r="BJ1524" s="1392" t="n"/>
      <c r="BK1524" s="1392" t="n"/>
      <c r="BL1524" s="1392" t="n"/>
      <c r="BM1524" s="1392" t="n"/>
      <c r="BN1524" s="1392" t="n"/>
      <c r="BO1524" s="1392" t="n"/>
      <c r="BP1524" s="1392" t="n"/>
      <c r="BQ1524" s="1392" t="n"/>
      <c r="BR1524" s="1392" t="n"/>
      <c r="BS1524" s="1392" t="n"/>
      <c r="BT1524" s="1392" t="n"/>
      <c r="BU1524" s="1392" t="n"/>
      <c r="BV1524" s="1392" t="n"/>
      <c r="BW1524" s="1392" t="n"/>
      <c r="BX1524" s="1392" t="n"/>
      <c r="BY1524" s="1392" t="n"/>
      <c r="BZ1524" s="1392" t="n"/>
      <c r="CA1524" s="1392" t="n"/>
      <c r="CB1524" s="1392" t="n"/>
      <c r="CC1524" s="1392" t="n"/>
      <c r="CD1524" s="1392" t="n"/>
      <c r="CE1524" s="1392" t="n"/>
      <c r="CF1524" s="1392" t="n"/>
      <c r="CG1524" s="1392" t="n"/>
      <c r="CH1524" s="1392" t="n"/>
      <c r="CI1524" s="1392" t="n"/>
      <c r="CJ1524" s="1392" t="n"/>
      <c r="CK1524" s="1392" t="n"/>
      <c r="CL1524" s="1392" t="n"/>
    </row>
    <row r="1525">
      <c r="A1525" s="5" t="inlineStr">
        <is>
          <t>.</t>
        </is>
      </c>
      <c r="B1525" s="5" t="inlineStr">
        <is>
          <t>.</t>
        </is>
      </c>
      <c r="C1525" s="1378">
        <f>IF(raw[[#This Row],[city]]="","-",IF(raw[[#This Row],[city]]="TODAY","-",C1524+1))</f>
        <v/>
      </c>
      <c r="D1525" s="1393" t="inlineStr">
        <is>
          <t>Trois-Rivieres</t>
        </is>
      </c>
      <c r="E1525" s="1394" t="n">
        <v>43862</v>
      </c>
      <c r="F1525" s="1394" t="n">
        <v>43862</v>
      </c>
      <c r="G1525" s="1393" t="inlineStr">
        <is>
          <t>-</t>
        </is>
      </c>
      <c r="H1525" s="1393" t="inlineStr">
        <is>
          <t>Nadeau</t>
        </is>
      </c>
      <c r="I1525" s="1393" t="inlineStr">
        <is>
          <t>-</t>
        </is>
      </c>
      <c r="J1525" s="1393" t="inlineStr">
        <is>
          <t>5 times/</t>
        </is>
      </c>
      <c r="K1525" s="1395">
        <f>IF(raw[[#This Row],[city]]&lt;&gt;"",_xlfn.XLOOKUP($D1525,ccc[city],ccc[prov],"-"),"-")</f>
        <v/>
      </c>
      <c r="L1525" s="1395">
        <f>IF(raw[[#This Row],[city]]&lt;&gt;"",_xlfn.XLOOKUP($D1525,ccc[city],ccc[ctry],"-"),"-")</f>
        <v/>
      </c>
      <c r="M1525" s="1395">
        <f>IF(raw[[#This Row],[city]]&lt;&gt;"",_xlfn.XLOOKUP($D1525,ccc[city],ccc[cont],"-"),"-")</f>
        <v/>
      </c>
      <c r="N1525" s="1396">
        <f>IF(raw[[#This Row],[city]]="","-",IF(raw[[#This Row],[cont]]="B",raw[[#This Row],[cont]],"W"))</f>
        <v/>
      </c>
      <c r="O1525" s="1397">
        <f>IF(raw[[#This Row],[out]]=0,0,IF(raw[[#This Row],[out]]=raw[[#This Row],[in]],0.01,raw[[#This Row],[out]]-raw[[#This Row],[in]]))</f>
        <v/>
      </c>
      <c r="P1525" s="1397">
        <f>IF(raw[[#This Row],[in]]=0,0,MONTH(raw[[#This Row],[in]]))</f>
        <v/>
      </c>
      <c r="Q1525" s="1397">
        <f>IF(raw[[#This Row],[in]]=0,0,YEAR(raw[[#This Row],[in]]))</f>
        <v/>
      </c>
      <c r="R1525" s="1397">
        <f>INT(raw[[#This Row],[yr]]/10)*10</f>
        <v/>
      </c>
      <c r="S1525" s="1395">
        <f>IF(raw[[#This Row],[city]]="","-",IF(raw[[#This Row],[city]]&lt;&gt;_xlfn.XLOOKUP(raw[[#This Row],[home]],homes[home],homes[city],"-"),1,0))</f>
        <v/>
      </c>
      <c r="T1525" s="1398" t="inlineStr">
        <is>
          <t>.</t>
        </is>
      </c>
      <c r="U1525" s="1399">
        <f>IF(raw[[#This Row],[wb]]="w",raw[[#This Row],[stay]]+U1524,U1524)</f>
        <v/>
      </c>
      <c r="V1525" s="1400">
        <f>IF(raw[[#This Row],[out]]=0,V1524,(raw[[#This Row],[out]]-E$5))</f>
        <v/>
      </c>
      <c r="W1525" s="1401">
        <f>U1525/V1525</f>
        <v/>
      </c>
      <c r="X1525" s="1392" t="n"/>
      <c r="Y1525" s="1392" t="n"/>
      <c r="Z1525" s="1392" t="n"/>
      <c r="AA1525" s="1392" t="n"/>
      <c r="AB1525" s="1392" t="n"/>
      <c r="AC1525" s="1392" t="n"/>
      <c r="AD1525" s="1392" t="n"/>
      <c r="AE1525" s="1392" t="n"/>
      <c r="AF1525" s="1392" t="n"/>
      <c r="AG1525" s="1392" t="n"/>
      <c r="AH1525" s="1392" t="n"/>
      <c r="AI1525" s="1392" t="n"/>
      <c r="AJ1525" s="1392" t="n"/>
      <c r="AK1525" s="1392" t="n"/>
      <c r="AL1525" s="1392" t="n"/>
      <c r="AM1525" s="1392" t="n"/>
      <c r="AN1525" s="1392" t="n"/>
      <c r="AO1525" s="1392" t="n"/>
      <c r="AP1525" s="1392" t="n"/>
      <c r="AQ1525" s="1392" t="n"/>
      <c r="AR1525" s="1422" t="n"/>
      <c r="AS1525" s="1422" t="n"/>
      <c r="AT1525" s="1392" t="n"/>
      <c r="AU1525" s="1392" t="n"/>
      <c r="AV1525" s="1392" t="n"/>
      <c r="AW1525" s="1392" t="n"/>
      <c r="AX1525" s="1392" t="n"/>
      <c r="AY1525" s="1392" t="n"/>
      <c r="AZ1525" s="1392" t="n"/>
      <c r="BA1525" s="1422" t="n"/>
      <c r="BB1525" s="1422" t="n"/>
      <c r="BC1525" s="1392" t="n"/>
      <c r="BD1525" s="1392" t="n"/>
      <c r="BE1525" s="1392" t="n"/>
      <c r="BF1525" s="1392" t="n"/>
      <c r="BG1525" s="1392" t="n"/>
      <c r="BH1525" s="1392" t="n"/>
      <c r="BI1525" s="1392" t="n"/>
      <c r="BJ1525" s="1392" t="n"/>
      <c r="BK1525" s="1392" t="n"/>
      <c r="BL1525" s="1392" t="n"/>
      <c r="BM1525" s="1392" t="n"/>
      <c r="BN1525" s="1392" t="n"/>
      <c r="BO1525" s="1392" t="n"/>
      <c r="BP1525" s="1392" t="n"/>
      <c r="BQ1525" s="1392" t="n"/>
      <c r="BR1525" s="1392" t="n"/>
      <c r="BS1525" s="1392" t="n"/>
      <c r="BT1525" s="1392" t="n"/>
      <c r="BU1525" s="1392" t="n"/>
      <c r="BV1525" s="1392" t="n"/>
      <c r="BW1525" s="1392" t="n"/>
      <c r="BX1525" s="1392" t="n"/>
      <c r="BY1525" s="1392" t="n"/>
      <c r="BZ1525" s="1392" t="n"/>
      <c r="CA1525" s="1392" t="n"/>
      <c r="CB1525" s="1392" t="n"/>
      <c r="CC1525" s="1392" t="n"/>
      <c r="CD1525" s="1392" t="n"/>
      <c r="CE1525" s="1392" t="n"/>
      <c r="CF1525" s="1392" t="n"/>
      <c r="CG1525" s="1392" t="n"/>
      <c r="CH1525" s="1392" t="n"/>
      <c r="CI1525" s="1392" t="n"/>
      <c r="CJ1525" s="1392" t="n"/>
      <c r="CK1525" s="1392" t="n"/>
      <c r="CL1525" s="1392" t="n"/>
    </row>
    <row r="1526">
      <c r="A1526" s="5" t="inlineStr">
        <is>
          <t>.</t>
        </is>
      </c>
      <c r="B1526" s="5" t="inlineStr">
        <is>
          <t>.</t>
        </is>
      </c>
      <c r="C1526" s="1378">
        <f>IF(raw[[#This Row],[city]]="","-",IF(raw[[#This Row],[city]]="TODAY","-",C1525+1))</f>
        <v/>
      </c>
      <c r="D1526" s="1393" t="inlineStr">
        <is>
          <t>Montreal</t>
        </is>
      </c>
      <c r="E1526" s="1394" t="n">
        <v>43862</v>
      </c>
      <c r="F1526" s="1394" t="n">
        <v>43868</v>
      </c>
      <c r="G1526" s="1393" t="n">
        <v>1</v>
      </c>
      <c r="H1526" s="1393" t="inlineStr">
        <is>
          <t>Nadeau</t>
        </is>
      </c>
      <c r="I1526" s="1393" t="inlineStr">
        <is>
          <t>-</t>
        </is>
      </c>
      <c r="J1526" s="1393" t="inlineStr">
        <is>
          <t>-</t>
        </is>
      </c>
      <c r="K1526" s="1395">
        <f>IF(raw[[#This Row],[city]]&lt;&gt;"",_xlfn.XLOOKUP($D1526,ccc[city],ccc[prov],"-"),"-")</f>
        <v/>
      </c>
      <c r="L1526" s="1395">
        <f>IF(raw[[#This Row],[city]]&lt;&gt;"",_xlfn.XLOOKUP($D1526,ccc[city],ccc[ctry],"-"),"-")</f>
        <v/>
      </c>
      <c r="M1526" s="1395">
        <f>IF(raw[[#This Row],[city]]&lt;&gt;"",_xlfn.XLOOKUP($D1526,ccc[city],ccc[cont],"-"),"-")</f>
        <v/>
      </c>
      <c r="N1526" s="1396">
        <f>IF(raw[[#This Row],[city]]="","-",IF(raw[[#This Row],[cont]]="B",raw[[#This Row],[cont]],"W"))</f>
        <v/>
      </c>
      <c r="O1526" s="1397">
        <f>IF(raw[[#This Row],[out]]=0,0,IF(raw[[#This Row],[out]]=raw[[#This Row],[in]],0.01,raw[[#This Row],[out]]-raw[[#This Row],[in]]))</f>
        <v/>
      </c>
      <c r="P1526" s="1397">
        <f>IF(raw[[#This Row],[in]]=0,0,MONTH(raw[[#This Row],[in]]))</f>
        <v/>
      </c>
      <c r="Q1526" s="1397">
        <f>IF(raw[[#This Row],[in]]=0,0,YEAR(raw[[#This Row],[in]]))</f>
        <v/>
      </c>
      <c r="R1526" s="1397">
        <f>INT(raw[[#This Row],[yr]]/10)*10</f>
        <v/>
      </c>
      <c r="S1526" s="1395">
        <f>IF(raw[[#This Row],[city]]="","-",IF(raw[[#This Row],[city]]&lt;&gt;_xlfn.XLOOKUP(raw[[#This Row],[home]],homes[home],homes[city],"-"),1,0))</f>
        <v/>
      </c>
      <c r="T1526" s="1398" t="inlineStr">
        <is>
          <t>.</t>
        </is>
      </c>
      <c r="U1526" s="1399">
        <f>IF(raw[[#This Row],[wb]]="w",raw[[#This Row],[stay]]+U1525,U1525)</f>
        <v/>
      </c>
      <c r="V1526" s="1400">
        <f>IF(raw[[#This Row],[out]]=0,V1525,(raw[[#This Row],[out]]-E$5))</f>
        <v/>
      </c>
      <c r="W1526" s="1401">
        <f>U1526/V1526</f>
        <v/>
      </c>
      <c r="X1526" s="1392" t="n"/>
      <c r="Y1526" s="1392" t="n"/>
      <c r="Z1526" s="1392" t="n"/>
      <c r="AA1526" s="1392" t="n"/>
      <c r="AB1526" s="1392" t="n"/>
      <c r="AC1526" s="1392" t="n"/>
      <c r="AD1526" s="1392" t="n"/>
      <c r="AE1526" s="1392" t="n"/>
      <c r="AF1526" s="1392" t="n"/>
      <c r="AG1526" s="1392" t="n"/>
      <c r="AH1526" s="1392" t="n"/>
      <c r="AI1526" s="1392" t="n"/>
      <c r="AJ1526" s="1392" t="n"/>
      <c r="AK1526" s="1392" t="n"/>
      <c r="AL1526" s="1392" t="n"/>
      <c r="AM1526" s="1392" t="n"/>
      <c r="AN1526" s="1392" t="n"/>
      <c r="AO1526" s="1392" t="n"/>
      <c r="AP1526" s="1392" t="n"/>
      <c r="AQ1526" s="1392" t="n"/>
      <c r="AR1526" s="1422" t="n"/>
      <c r="AS1526" s="1422" t="n"/>
      <c r="AT1526" s="1392" t="n"/>
      <c r="AU1526" s="1392" t="n"/>
      <c r="AV1526" s="1392" t="n"/>
      <c r="AW1526" s="1392" t="n"/>
      <c r="AX1526" s="1392" t="n"/>
      <c r="AY1526" s="1392" t="n"/>
      <c r="AZ1526" s="1392" t="n"/>
      <c r="BA1526" s="1422" t="n"/>
      <c r="BB1526" s="1422" t="n"/>
      <c r="BC1526" s="1392" t="n"/>
      <c r="BD1526" s="1392" t="n"/>
      <c r="BE1526" s="1392" t="n"/>
      <c r="BF1526" s="1392" t="n"/>
      <c r="BG1526" s="1392" t="n"/>
      <c r="BH1526" s="1392" t="n"/>
      <c r="BI1526" s="1392" t="n"/>
      <c r="BJ1526" s="1392" t="n"/>
      <c r="BK1526" s="1392" t="n"/>
      <c r="BL1526" s="1392" t="n"/>
      <c r="BM1526" s="1392" t="n"/>
      <c r="BN1526" s="1392" t="n"/>
      <c r="BO1526" s="1392" t="n"/>
      <c r="BP1526" s="1392" t="n"/>
      <c r="BQ1526" s="1392" t="n"/>
      <c r="BR1526" s="1392" t="n"/>
      <c r="BS1526" s="1392" t="n"/>
      <c r="BT1526" s="1392" t="n"/>
      <c r="BU1526" s="1392" t="n"/>
      <c r="BV1526" s="1392" t="n"/>
      <c r="BW1526" s="1392" t="n"/>
      <c r="BX1526" s="1392" t="n"/>
      <c r="BY1526" s="1392" t="n"/>
      <c r="BZ1526" s="1392" t="n"/>
      <c r="CA1526" s="1392" t="n"/>
      <c r="CB1526" s="1392" t="n"/>
      <c r="CC1526" s="1392" t="n"/>
      <c r="CD1526" s="1392" t="n"/>
      <c r="CE1526" s="1392" t="n"/>
      <c r="CF1526" s="1392" t="n"/>
      <c r="CG1526" s="1392" t="n"/>
      <c r="CH1526" s="1392" t="n"/>
      <c r="CI1526" s="1392" t="n"/>
      <c r="CJ1526" s="1392" t="n"/>
      <c r="CK1526" s="1392" t="n"/>
      <c r="CL1526" s="1392" t="n"/>
    </row>
    <row r="1527">
      <c r="A1527" s="5" t="inlineStr">
        <is>
          <t>.</t>
        </is>
      </c>
      <c r="B1527" s="5" t="inlineStr">
        <is>
          <t>.</t>
        </is>
      </c>
      <c r="C1527" s="1378">
        <f>IF(raw[[#This Row],[city]]="","-",IF(raw[[#This Row],[city]]="TODAY","-",C1526+1))</f>
        <v/>
      </c>
      <c r="D1527" s="1393" t="inlineStr">
        <is>
          <t>AIR</t>
        </is>
      </c>
      <c r="E1527" s="1394" t="n">
        <v>43868</v>
      </c>
      <c r="F1527" s="1394" t="n">
        <v>43869</v>
      </c>
      <c r="G1527" s="1393" t="inlineStr">
        <is>
          <t>x</t>
        </is>
      </c>
      <c r="H1527" s="1393" t="inlineStr">
        <is>
          <t>Nadeau</t>
        </is>
      </c>
      <c r="I1527" s="1393" t="inlineStr">
        <is>
          <t>-</t>
        </is>
      </c>
      <c r="J1527" s="1393" t="inlineStr">
        <is>
          <t>-</t>
        </is>
      </c>
      <c r="K1527" s="1395">
        <f>IF(raw[[#This Row],[city]]&lt;&gt;"",_xlfn.XLOOKUP($D1527,ccc[city],ccc[prov],"-"),"-")</f>
        <v/>
      </c>
      <c r="L1527" s="1395">
        <f>IF(raw[[#This Row],[city]]&lt;&gt;"",_xlfn.XLOOKUP($D1527,ccc[city],ccc[ctry],"-"),"-")</f>
        <v/>
      </c>
      <c r="M1527" s="1395">
        <f>IF(raw[[#This Row],[city]]&lt;&gt;"",_xlfn.XLOOKUP($D1527,ccc[city],ccc[cont],"-"),"-")</f>
        <v/>
      </c>
      <c r="N1527" s="1396">
        <f>IF(raw[[#This Row],[city]]="","-",IF(raw[[#This Row],[cont]]="B",raw[[#This Row],[cont]],"W"))</f>
        <v/>
      </c>
      <c r="O1527" s="1397">
        <f>IF(raw[[#This Row],[out]]=0,0,IF(raw[[#This Row],[out]]=raw[[#This Row],[in]],0.01,raw[[#This Row],[out]]-raw[[#This Row],[in]]))</f>
        <v/>
      </c>
      <c r="P1527" s="1397">
        <f>IF(raw[[#This Row],[in]]=0,0,MONTH(raw[[#This Row],[in]]))</f>
        <v/>
      </c>
      <c r="Q1527" s="1397">
        <f>IF(raw[[#This Row],[in]]=0,0,YEAR(raw[[#This Row],[in]]))</f>
        <v/>
      </c>
      <c r="R1527" s="1397">
        <f>INT(raw[[#This Row],[yr]]/10)*10</f>
        <v/>
      </c>
      <c r="S1527" s="1395">
        <f>IF(raw[[#This Row],[city]]="","-",IF(raw[[#This Row],[city]]&lt;&gt;_xlfn.XLOOKUP(raw[[#This Row],[home]],homes[home],homes[city],"-"),1,0))</f>
        <v/>
      </c>
      <c r="T1527" s="1398" t="inlineStr">
        <is>
          <t>.</t>
        </is>
      </c>
      <c r="U1527" s="1399">
        <f>IF(raw[[#This Row],[wb]]="w",raw[[#This Row],[stay]]+U1526,U1526)</f>
        <v/>
      </c>
      <c r="V1527" s="1400">
        <f>IF(raw[[#This Row],[out]]=0,V1526,(raw[[#This Row],[out]]-E$5))</f>
        <v/>
      </c>
      <c r="W1527" s="1401">
        <f>U1527/V1527</f>
        <v/>
      </c>
      <c r="X1527" s="1392" t="n"/>
      <c r="Y1527" s="1392" t="n"/>
      <c r="Z1527" s="1392" t="n"/>
      <c r="AA1527" s="1392" t="n"/>
      <c r="AB1527" s="1392" t="n"/>
      <c r="AC1527" s="1392" t="n"/>
      <c r="AD1527" s="1392" t="n"/>
      <c r="AE1527" s="1392" t="n"/>
      <c r="AF1527" s="1392" t="n"/>
      <c r="AG1527" s="1392" t="n"/>
      <c r="AH1527" s="1392" t="n"/>
      <c r="AI1527" s="1392" t="n"/>
      <c r="AJ1527" s="1392" t="n"/>
      <c r="AK1527" s="1392" t="n"/>
      <c r="AL1527" s="1392" t="n"/>
      <c r="AM1527" s="1392" t="n"/>
      <c r="AN1527" s="1392" t="n"/>
      <c r="AO1527" s="1392" t="n"/>
      <c r="AP1527" s="1392" t="n"/>
      <c r="AQ1527" s="1392" t="n"/>
      <c r="AR1527" s="1422" t="n"/>
      <c r="AS1527" s="1422" t="n"/>
      <c r="AT1527" s="1392" t="n"/>
      <c r="AU1527" s="1392" t="n"/>
      <c r="AV1527" s="1392" t="n"/>
      <c r="AW1527" s="1392" t="n"/>
      <c r="AX1527" s="1392" t="n"/>
      <c r="AY1527" s="1392" t="n"/>
      <c r="AZ1527" s="1392" t="n"/>
      <c r="BA1527" s="1422" t="n"/>
      <c r="BB1527" s="1422" t="n"/>
      <c r="BC1527" s="1392" t="n"/>
      <c r="BD1527" s="1392" t="n"/>
      <c r="BE1527" s="1392" t="n"/>
      <c r="BF1527" s="1392" t="n"/>
      <c r="BG1527" s="1392" t="n"/>
      <c r="BH1527" s="1392" t="n"/>
      <c r="BI1527" s="1392" t="n"/>
      <c r="BJ1527" s="1392" t="n"/>
      <c r="BK1527" s="1392" t="n"/>
      <c r="BL1527" s="1392" t="n"/>
      <c r="BM1527" s="1392" t="n"/>
      <c r="BN1527" s="1392" t="n"/>
      <c r="BO1527" s="1392" t="n"/>
      <c r="BP1527" s="1392" t="n"/>
      <c r="BQ1527" s="1392" t="n"/>
      <c r="BR1527" s="1392" t="n"/>
      <c r="BS1527" s="1392" t="n"/>
      <c r="BT1527" s="1392" t="n"/>
      <c r="BU1527" s="1392" t="n"/>
      <c r="BV1527" s="1392" t="n"/>
      <c r="BW1527" s="1392" t="n"/>
      <c r="BX1527" s="1392" t="n"/>
      <c r="BY1527" s="1392" t="n"/>
      <c r="BZ1527" s="1392" t="n"/>
      <c r="CA1527" s="1392" t="n"/>
      <c r="CB1527" s="1392" t="n"/>
      <c r="CC1527" s="1392" t="n"/>
      <c r="CD1527" s="1392" t="n"/>
      <c r="CE1527" s="1392" t="n"/>
      <c r="CF1527" s="1392" t="n"/>
      <c r="CG1527" s="1392" t="n"/>
      <c r="CH1527" s="1392" t="n"/>
      <c r="CI1527" s="1392" t="n"/>
      <c r="CJ1527" s="1392" t="n"/>
      <c r="CK1527" s="1392" t="n"/>
      <c r="CL1527" s="1392" t="n"/>
    </row>
    <row r="1528">
      <c r="A1528" s="5" t="inlineStr">
        <is>
          <t>.</t>
        </is>
      </c>
      <c r="B1528" s="5" t="inlineStr">
        <is>
          <t>.</t>
        </is>
      </c>
      <c r="C1528" s="1378">
        <f>IF(raw[[#This Row],[city]]="","-",IF(raw[[#This Row],[city]]="TODAY","-",C1527+1))</f>
        <v/>
      </c>
      <c r="D1528" s="1393" t="inlineStr">
        <is>
          <t>SP</t>
        </is>
      </c>
      <c r="E1528" s="1394" t="n">
        <v>43869</v>
      </c>
      <c r="F1528" s="1394" t="n">
        <v>43874</v>
      </c>
      <c r="G1528" s="1393" t="n">
        <v>1</v>
      </c>
      <c r="H1528" s="1393" t="inlineStr">
        <is>
          <t>Nadeau</t>
        </is>
      </c>
      <c r="I1528" s="1393" t="inlineStr">
        <is>
          <t>Clovis</t>
        </is>
      </c>
      <c r="J1528" s="1393" t="inlineStr">
        <is>
          <t>-</t>
        </is>
      </c>
      <c r="K1528" s="1395">
        <f>IF(raw[[#This Row],[city]]&lt;&gt;"",_xlfn.XLOOKUP($D1528,ccc[city],ccc[prov],"-"),"-")</f>
        <v/>
      </c>
      <c r="L1528" s="1395">
        <f>IF(raw[[#This Row],[city]]&lt;&gt;"",_xlfn.XLOOKUP($D1528,ccc[city],ccc[ctry],"-"),"-")</f>
        <v/>
      </c>
      <c r="M1528" s="1395">
        <f>IF(raw[[#This Row],[city]]&lt;&gt;"",_xlfn.XLOOKUP($D1528,ccc[city],ccc[cont],"-"),"-")</f>
        <v/>
      </c>
      <c r="N1528" s="1396">
        <f>IF(raw[[#This Row],[city]]="","-",IF(raw[[#This Row],[cont]]="B",raw[[#This Row],[cont]],"W"))</f>
        <v/>
      </c>
      <c r="O1528" s="1397">
        <f>IF(raw[[#This Row],[out]]=0,0,IF(raw[[#This Row],[out]]=raw[[#This Row],[in]],0.01,raw[[#This Row],[out]]-raw[[#This Row],[in]]))</f>
        <v/>
      </c>
      <c r="P1528" s="1397">
        <f>IF(raw[[#This Row],[in]]=0,0,MONTH(raw[[#This Row],[in]]))</f>
        <v/>
      </c>
      <c r="Q1528" s="1397">
        <f>IF(raw[[#This Row],[in]]=0,0,YEAR(raw[[#This Row],[in]]))</f>
        <v/>
      </c>
      <c r="R1528" s="1397">
        <f>INT(raw[[#This Row],[yr]]/10)*10</f>
        <v/>
      </c>
      <c r="S1528" s="1395">
        <f>IF(raw[[#This Row],[city]]="","-",IF(raw[[#This Row],[city]]&lt;&gt;_xlfn.XLOOKUP(raw[[#This Row],[home]],homes[home],homes[city],"-"),1,0))</f>
        <v/>
      </c>
      <c r="T1528" s="1398" t="inlineStr">
        <is>
          <t>.</t>
        </is>
      </c>
      <c r="U1528" s="1399">
        <f>IF(raw[[#This Row],[wb]]="w",raw[[#This Row],[stay]]+U1527,U1527)</f>
        <v/>
      </c>
      <c r="V1528" s="1400">
        <f>IF(raw[[#This Row],[out]]=0,V1527,(raw[[#This Row],[out]]-E$5))</f>
        <v/>
      </c>
      <c r="W1528" s="1401">
        <f>U1528/V1528</f>
        <v/>
      </c>
      <c r="X1528" s="1392" t="n"/>
      <c r="Y1528" s="1392" t="n"/>
      <c r="Z1528" s="1392" t="n"/>
      <c r="AA1528" s="1392" t="n"/>
      <c r="AB1528" s="1392" t="n"/>
      <c r="AC1528" s="1392" t="n"/>
      <c r="AD1528" s="1392" t="n"/>
      <c r="AE1528" s="1392" t="n"/>
      <c r="AF1528" s="1392" t="n"/>
      <c r="AG1528" s="1392" t="n"/>
      <c r="AH1528" s="1392" t="n"/>
      <c r="AI1528" s="1392" t="n"/>
      <c r="AJ1528" s="1392" t="n"/>
      <c r="AK1528" s="1392" t="n"/>
      <c r="AL1528" s="1392" t="n"/>
      <c r="AM1528" s="1392" t="n"/>
      <c r="AN1528" s="1392" t="n"/>
      <c r="AO1528" s="1392" t="n"/>
      <c r="AP1528" s="1392" t="n"/>
      <c r="AQ1528" s="1392" t="n"/>
      <c r="AR1528" s="1422" t="n"/>
      <c r="AS1528" s="1422" t="n"/>
      <c r="AT1528" s="1392" t="n"/>
      <c r="AU1528" s="1392" t="n"/>
      <c r="AV1528" s="1392" t="n"/>
      <c r="AW1528" s="1392" t="n"/>
      <c r="AX1528" s="1392" t="n"/>
      <c r="AY1528" s="1392" t="n"/>
      <c r="AZ1528" s="1392" t="n"/>
      <c r="BA1528" s="1422" t="n"/>
      <c r="BB1528" s="1422" t="n"/>
      <c r="BC1528" s="1392" t="n"/>
      <c r="BD1528" s="1392" t="n"/>
      <c r="BE1528" s="1392" t="n"/>
      <c r="BF1528" s="1392" t="n"/>
      <c r="BG1528" s="1392" t="n"/>
      <c r="BH1528" s="1392" t="n"/>
      <c r="BI1528" s="1392" t="n"/>
      <c r="BJ1528" s="1392" t="n"/>
      <c r="BK1528" s="1392" t="n"/>
      <c r="BL1528" s="1392" t="n"/>
      <c r="BM1528" s="1392" t="n"/>
      <c r="BN1528" s="1392" t="n"/>
      <c r="BO1528" s="1392" t="n"/>
      <c r="BP1528" s="1392" t="n"/>
      <c r="BQ1528" s="1392" t="n"/>
      <c r="BR1528" s="1392" t="n"/>
      <c r="BS1528" s="1392" t="n"/>
      <c r="BT1528" s="1392" t="n"/>
      <c r="BU1528" s="1392" t="n"/>
      <c r="BV1528" s="1392" t="n"/>
      <c r="BW1528" s="1392" t="n"/>
      <c r="BX1528" s="1392" t="n"/>
      <c r="BY1528" s="1392" t="n"/>
      <c r="BZ1528" s="1392" t="n"/>
      <c r="CA1528" s="1392" t="n"/>
      <c r="CB1528" s="1392" t="n"/>
      <c r="CC1528" s="1392" t="n"/>
      <c r="CD1528" s="1392" t="n"/>
      <c r="CE1528" s="1392" t="n"/>
      <c r="CF1528" s="1392" t="n"/>
      <c r="CG1528" s="1392" t="n"/>
      <c r="CH1528" s="1392" t="n"/>
      <c r="CI1528" s="1392" t="n"/>
      <c r="CJ1528" s="1392" t="n"/>
      <c r="CK1528" s="1392" t="n"/>
      <c r="CL1528" s="1392" t="n"/>
    </row>
    <row r="1529">
      <c r="A1529" s="5" t="inlineStr">
        <is>
          <t>.</t>
        </is>
      </c>
      <c r="B1529" s="5" t="inlineStr">
        <is>
          <t>.</t>
        </is>
      </c>
      <c r="C1529" s="1378">
        <f>IF(raw[[#This Row],[city]]="","-",IF(raw[[#This Row],[city]]="TODAY","-",C1528+1))</f>
        <v/>
      </c>
      <c r="D1529" s="1393" t="inlineStr">
        <is>
          <t>SSA</t>
        </is>
      </c>
      <c r="E1529" s="1394" t="n">
        <v>43874</v>
      </c>
      <c r="F1529" s="1394" t="n">
        <v>43879</v>
      </c>
      <c r="G1529" s="1393" t="n">
        <v>1</v>
      </c>
      <c r="H1529" s="1393" t="inlineStr">
        <is>
          <t>Nadeau</t>
        </is>
      </c>
      <c r="I1529" s="1393" t="inlineStr">
        <is>
          <t>Ondina</t>
        </is>
      </c>
      <c r="J1529" s="1393" t="inlineStr">
        <is>
          <t>-</t>
        </is>
      </c>
      <c r="K1529" s="1395">
        <f>IF(raw[[#This Row],[city]]&lt;&gt;"",_xlfn.XLOOKUP($D1529,ccc[city],ccc[prov],"-"),"-")</f>
        <v/>
      </c>
      <c r="L1529" s="1395">
        <f>IF(raw[[#This Row],[city]]&lt;&gt;"",_xlfn.XLOOKUP($D1529,ccc[city],ccc[ctry],"-"),"-")</f>
        <v/>
      </c>
      <c r="M1529" s="1395">
        <f>IF(raw[[#This Row],[city]]&lt;&gt;"",_xlfn.XLOOKUP($D1529,ccc[city],ccc[cont],"-"),"-")</f>
        <v/>
      </c>
      <c r="N1529" s="1396">
        <f>IF(raw[[#This Row],[city]]="","-",IF(raw[[#This Row],[cont]]="B",raw[[#This Row],[cont]],"W"))</f>
        <v/>
      </c>
      <c r="O1529" s="1397">
        <f>IF(raw[[#This Row],[out]]=0,0,IF(raw[[#This Row],[out]]=raw[[#This Row],[in]],0.01,raw[[#This Row],[out]]-raw[[#This Row],[in]]))</f>
        <v/>
      </c>
      <c r="P1529" s="1397">
        <f>IF(raw[[#This Row],[in]]=0,0,MONTH(raw[[#This Row],[in]]))</f>
        <v/>
      </c>
      <c r="Q1529" s="1397">
        <f>IF(raw[[#This Row],[in]]=0,0,YEAR(raw[[#This Row],[in]]))</f>
        <v/>
      </c>
      <c r="R1529" s="1397">
        <f>INT(raw[[#This Row],[yr]]/10)*10</f>
        <v/>
      </c>
      <c r="S1529" s="1395">
        <f>IF(raw[[#This Row],[city]]="","-",IF(raw[[#This Row],[city]]&lt;&gt;_xlfn.XLOOKUP(raw[[#This Row],[home]],homes[home],homes[city],"-"),1,0))</f>
        <v/>
      </c>
      <c r="T1529" s="1398" t="inlineStr">
        <is>
          <t>.</t>
        </is>
      </c>
      <c r="U1529" s="1399">
        <f>IF(raw[[#This Row],[wb]]="w",raw[[#This Row],[stay]]+U1528,U1528)</f>
        <v/>
      </c>
      <c r="V1529" s="1400">
        <f>IF(raw[[#This Row],[out]]=0,V1528,(raw[[#This Row],[out]]-E$5))</f>
        <v/>
      </c>
      <c r="W1529" s="1401">
        <f>U1529/V1529</f>
        <v/>
      </c>
      <c r="X1529" s="1392" t="n"/>
      <c r="Y1529" s="1392" t="n"/>
      <c r="Z1529" s="1392" t="n"/>
      <c r="AA1529" s="1392" t="n"/>
      <c r="AB1529" s="1392" t="n"/>
      <c r="AC1529" s="1392" t="n"/>
      <c r="AD1529" s="1392" t="n"/>
      <c r="AE1529" s="1392" t="n"/>
      <c r="AF1529" s="1392" t="n"/>
      <c r="AG1529" s="1392" t="n"/>
      <c r="AH1529" s="1392" t="n"/>
      <c r="AI1529" s="1392" t="n"/>
      <c r="AJ1529" s="1392" t="n"/>
      <c r="AK1529" s="1392" t="n"/>
      <c r="AL1529" s="1392" t="n"/>
      <c r="AM1529" s="1392" t="n"/>
      <c r="AN1529" s="1392" t="n"/>
      <c r="AO1529" s="1392" t="n"/>
      <c r="AP1529" s="1392" t="n"/>
      <c r="AQ1529" s="1392" t="n"/>
      <c r="AR1529" s="1422" t="n"/>
      <c r="AS1529" s="1422" t="n"/>
      <c r="AT1529" s="1392" t="n"/>
      <c r="AU1529" s="1392" t="n"/>
      <c r="AV1529" s="1392" t="n"/>
      <c r="AW1529" s="1392" t="n"/>
      <c r="AX1529" s="1392" t="n"/>
      <c r="AY1529" s="1392" t="n"/>
      <c r="AZ1529" s="1392" t="n"/>
      <c r="BA1529" s="1422" t="n"/>
      <c r="BB1529" s="1422" t="n"/>
      <c r="BC1529" s="1392" t="n"/>
      <c r="BD1529" s="1392" t="n"/>
      <c r="BE1529" s="1392" t="n"/>
      <c r="BF1529" s="1392" t="n"/>
      <c r="BG1529" s="1392" t="n"/>
      <c r="BH1529" s="1392" t="n"/>
      <c r="BI1529" s="1392" t="n"/>
      <c r="BJ1529" s="1392" t="n"/>
      <c r="BK1529" s="1392" t="n"/>
      <c r="BL1529" s="1392" t="n"/>
      <c r="BM1529" s="1392" t="n"/>
      <c r="BN1529" s="1392" t="n"/>
      <c r="BO1529" s="1392" t="n"/>
      <c r="BP1529" s="1392" t="n"/>
      <c r="BQ1529" s="1392" t="n"/>
      <c r="BR1529" s="1392" t="n"/>
      <c r="BS1529" s="1392" t="n"/>
      <c r="BT1529" s="1392" t="n"/>
      <c r="BU1529" s="1392" t="n"/>
      <c r="BV1529" s="1392" t="n"/>
      <c r="BW1529" s="1392" t="n"/>
      <c r="BX1529" s="1392" t="n"/>
      <c r="BY1529" s="1392" t="n"/>
      <c r="BZ1529" s="1392" t="n"/>
      <c r="CA1529" s="1392" t="n"/>
      <c r="CB1529" s="1392" t="n"/>
      <c r="CC1529" s="1392" t="n"/>
      <c r="CD1529" s="1392" t="n"/>
      <c r="CE1529" s="1392" t="n"/>
      <c r="CF1529" s="1392" t="n"/>
      <c r="CG1529" s="1392" t="n"/>
      <c r="CH1529" s="1392" t="n"/>
      <c r="CI1529" s="1392" t="n"/>
      <c r="CJ1529" s="1392" t="n"/>
      <c r="CK1529" s="1392" t="n"/>
      <c r="CL1529" s="1392" t="n"/>
    </row>
    <row r="1530">
      <c r="A1530" s="5" t="inlineStr">
        <is>
          <t>.</t>
        </is>
      </c>
      <c r="B1530" s="5" t="inlineStr">
        <is>
          <t>.</t>
        </is>
      </c>
      <c r="C1530" s="1378">
        <f>IF(raw[[#This Row],[city]]="","-",IF(raw[[#This Row],[city]]="TODAY","-",C1529+1))</f>
        <v/>
      </c>
      <c r="D1530" s="1393" t="inlineStr">
        <is>
          <t>Rio</t>
        </is>
      </c>
      <c r="E1530" s="1394" t="n">
        <v>43879</v>
      </c>
      <c r="F1530" s="1394" t="n">
        <v>43887</v>
      </c>
      <c r="G1530" s="1393" t="n">
        <v>1</v>
      </c>
      <c r="H1530" s="1393" t="inlineStr">
        <is>
          <t>Nadeau</t>
        </is>
      </c>
      <c r="I1530" s="1393" t="inlineStr">
        <is>
          <t>Tatá/Venancio</t>
        </is>
      </c>
      <c r="J1530" s="1393" t="inlineStr">
        <is>
          <t>-</t>
        </is>
      </c>
      <c r="K1530" s="1395">
        <f>IF(raw[[#This Row],[city]]&lt;&gt;"",_xlfn.XLOOKUP($D1530,ccc[city],ccc[prov],"-"),"-")</f>
        <v/>
      </c>
      <c r="L1530" s="1395">
        <f>IF(raw[[#This Row],[city]]&lt;&gt;"",_xlfn.XLOOKUP($D1530,ccc[city],ccc[ctry],"-"),"-")</f>
        <v/>
      </c>
      <c r="M1530" s="1395">
        <f>IF(raw[[#This Row],[city]]&lt;&gt;"",_xlfn.XLOOKUP($D1530,ccc[city],ccc[cont],"-"),"-")</f>
        <v/>
      </c>
      <c r="N1530" s="1396">
        <f>IF(raw[[#This Row],[city]]="","-",IF(raw[[#This Row],[cont]]="B",raw[[#This Row],[cont]],"W"))</f>
        <v/>
      </c>
      <c r="O1530" s="1397">
        <f>IF(raw[[#This Row],[out]]=0,0,IF(raw[[#This Row],[out]]=raw[[#This Row],[in]],0.01,raw[[#This Row],[out]]-raw[[#This Row],[in]]))</f>
        <v/>
      </c>
      <c r="P1530" s="1397">
        <f>IF(raw[[#This Row],[in]]=0,0,MONTH(raw[[#This Row],[in]]))</f>
        <v/>
      </c>
      <c r="Q1530" s="1397">
        <f>IF(raw[[#This Row],[in]]=0,0,YEAR(raw[[#This Row],[in]]))</f>
        <v/>
      </c>
      <c r="R1530" s="1397">
        <f>INT(raw[[#This Row],[yr]]/10)*10</f>
        <v/>
      </c>
      <c r="S1530" s="1395">
        <f>IF(raw[[#This Row],[city]]="","-",IF(raw[[#This Row],[city]]&lt;&gt;_xlfn.XLOOKUP(raw[[#This Row],[home]],homes[home],homes[city],"-"),1,0))</f>
        <v/>
      </c>
      <c r="T1530" s="1398" t="inlineStr">
        <is>
          <t>.</t>
        </is>
      </c>
      <c r="U1530" s="1399">
        <f>IF(raw[[#This Row],[wb]]="w",raw[[#This Row],[stay]]+U1529,U1529)</f>
        <v/>
      </c>
      <c r="V1530" s="1400">
        <f>IF(raw[[#This Row],[out]]=0,V1529,(raw[[#This Row],[out]]-E$5))</f>
        <v/>
      </c>
      <c r="W1530" s="1401">
        <f>U1530/V1530</f>
        <v/>
      </c>
      <c r="X1530" s="1392" t="n"/>
      <c r="Y1530" s="1392" t="n"/>
      <c r="Z1530" s="1392" t="n"/>
      <c r="AA1530" s="1392" t="n"/>
      <c r="AB1530" s="1392" t="n"/>
      <c r="AC1530" s="1392" t="n"/>
      <c r="AD1530" s="1392" t="n"/>
      <c r="AE1530" s="1392" t="n"/>
      <c r="AF1530" s="1392" t="n"/>
      <c r="AG1530" s="1392" t="n"/>
      <c r="AH1530" s="1392" t="n"/>
      <c r="AI1530" s="1392" t="n"/>
      <c r="AJ1530" s="1392" t="n"/>
      <c r="AK1530" s="1392" t="n"/>
      <c r="AL1530" s="1392" t="n"/>
      <c r="AM1530" s="1392" t="n"/>
      <c r="AN1530" s="1392" t="n"/>
      <c r="AO1530" s="1392" t="n"/>
      <c r="AP1530" s="1392" t="n"/>
      <c r="AQ1530" s="1392" t="n"/>
      <c r="AR1530" s="1422" t="n"/>
      <c r="AS1530" s="1422" t="n"/>
      <c r="AT1530" s="1392" t="n"/>
      <c r="AU1530" s="1392" t="n"/>
      <c r="AV1530" s="1392" t="n"/>
      <c r="AW1530" s="1392" t="n"/>
      <c r="AX1530" s="1392" t="n"/>
      <c r="AY1530" s="1392" t="n"/>
      <c r="AZ1530" s="1392" t="n"/>
      <c r="BA1530" s="1422" t="n"/>
      <c r="BB1530" s="1422" t="n"/>
      <c r="BC1530" s="1392" t="n"/>
      <c r="BD1530" s="1392" t="n"/>
      <c r="BE1530" s="1392" t="n"/>
      <c r="BF1530" s="1392" t="n"/>
      <c r="BG1530" s="1392" t="n"/>
      <c r="BH1530" s="1392" t="n"/>
      <c r="BI1530" s="1392" t="n"/>
      <c r="BJ1530" s="1392" t="n"/>
      <c r="BK1530" s="1392" t="n"/>
      <c r="BL1530" s="1392" t="n"/>
      <c r="BM1530" s="1392" t="n"/>
      <c r="BN1530" s="1392" t="n"/>
      <c r="BO1530" s="1392" t="n"/>
      <c r="BP1530" s="1392" t="n"/>
      <c r="BQ1530" s="1392" t="n"/>
      <c r="BR1530" s="1392" t="n"/>
      <c r="BS1530" s="1392" t="n"/>
      <c r="BT1530" s="1392" t="n"/>
      <c r="BU1530" s="1392" t="n"/>
      <c r="BV1530" s="1392" t="n"/>
      <c r="BW1530" s="1392" t="n"/>
      <c r="BX1530" s="1392" t="n"/>
      <c r="BY1530" s="1392" t="n"/>
      <c r="BZ1530" s="1392" t="n"/>
      <c r="CA1530" s="1392" t="n"/>
      <c r="CB1530" s="1392" t="n"/>
      <c r="CC1530" s="1392" t="n"/>
      <c r="CD1530" s="1392" t="n"/>
      <c r="CE1530" s="1392" t="n"/>
      <c r="CF1530" s="1392" t="n"/>
      <c r="CG1530" s="1392" t="n"/>
      <c r="CH1530" s="1392" t="n"/>
      <c r="CI1530" s="1392" t="n"/>
      <c r="CJ1530" s="1392" t="n"/>
      <c r="CK1530" s="1392" t="n"/>
      <c r="CL1530" s="1392" t="n"/>
    </row>
    <row r="1531">
      <c r="A1531" s="5" t="inlineStr">
        <is>
          <t>.</t>
        </is>
      </c>
      <c r="B1531" s="5" t="inlineStr">
        <is>
          <t>.</t>
        </is>
      </c>
      <c r="C1531" s="1378">
        <f>IF(raw[[#This Row],[city]]="","-",IF(raw[[#This Row],[city]]="TODAY","-",C1530+1))</f>
        <v/>
      </c>
      <c r="D1531" s="1393" t="inlineStr">
        <is>
          <t>SP</t>
        </is>
      </c>
      <c r="E1531" s="1394" t="n">
        <v>43887</v>
      </c>
      <c r="F1531" s="1394" t="n">
        <v>43887</v>
      </c>
      <c r="G1531" s="1393" t="n">
        <v>1</v>
      </c>
      <c r="H1531" s="1393" t="inlineStr">
        <is>
          <t>Nadeau</t>
        </is>
      </c>
      <c r="I1531" s="1393" t="inlineStr">
        <is>
          <t>-</t>
        </is>
      </c>
      <c r="J1531" s="1393" t="inlineStr">
        <is>
          <t>-</t>
        </is>
      </c>
      <c r="K1531" s="1395">
        <f>IF(raw[[#This Row],[city]]&lt;&gt;"",_xlfn.XLOOKUP($D1531,ccc[city],ccc[prov],"-"),"-")</f>
        <v/>
      </c>
      <c r="L1531" s="1395">
        <f>IF(raw[[#This Row],[city]]&lt;&gt;"",_xlfn.XLOOKUP($D1531,ccc[city],ccc[ctry],"-"),"-")</f>
        <v/>
      </c>
      <c r="M1531" s="1395">
        <f>IF(raw[[#This Row],[city]]&lt;&gt;"",_xlfn.XLOOKUP($D1531,ccc[city],ccc[cont],"-"),"-")</f>
        <v/>
      </c>
      <c r="N1531" s="1396">
        <f>IF(raw[[#This Row],[city]]="","-",IF(raw[[#This Row],[cont]]="B",raw[[#This Row],[cont]],"W"))</f>
        <v/>
      </c>
      <c r="O1531" s="1397">
        <f>IF(raw[[#This Row],[out]]=0,0,IF(raw[[#This Row],[out]]=raw[[#This Row],[in]],0.01,raw[[#This Row],[out]]-raw[[#This Row],[in]]))</f>
        <v/>
      </c>
      <c r="P1531" s="1397">
        <f>IF(raw[[#This Row],[in]]=0,0,MONTH(raw[[#This Row],[in]]))</f>
        <v/>
      </c>
      <c r="Q1531" s="1397">
        <f>IF(raw[[#This Row],[in]]=0,0,YEAR(raw[[#This Row],[in]]))</f>
        <v/>
      </c>
      <c r="R1531" s="1397">
        <f>INT(raw[[#This Row],[yr]]/10)*10</f>
        <v/>
      </c>
      <c r="S1531" s="1395">
        <f>IF(raw[[#This Row],[city]]="","-",IF(raw[[#This Row],[city]]&lt;&gt;_xlfn.XLOOKUP(raw[[#This Row],[home]],homes[home],homes[city],"-"),1,0))</f>
        <v/>
      </c>
      <c r="T1531" s="1398" t="inlineStr">
        <is>
          <t>.</t>
        </is>
      </c>
      <c r="U1531" s="1399">
        <f>IF(raw[[#This Row],[wb]]="w",raw[[#This Row],[stay]]+U1530,U1530)</f>
        <v/>
      </c>
      <c r="V1531" s="1400">
        <f>IF(raw[[#This Row],[out]]=0,V1530,(raw[[#This Row],[out]]-E$5))</f>
        <v/>
      </c>
      <c r="W1531" s="1401">
        <f>U1531/V1531</f>
        <v/>
      </c>
      <c r="X1531" s="1392" t="n"/>
      <c r="Y1531" s="1392" t="n"/>
      <c r="Z1531" s="1392" t="n"/>
      <c r="AA1531" s="1392" t="n"/>
      <c r="AB1531" s="1392" t="n"/>
      <c r="AC1531" s="1392" t="n"/>
      <c r="AD1531" s="1392" t="n"/>
      <c r="AE1531" s="1392" t="n"/>
      <c r="AF1531" s="1392" t="n"/>
      <c r="AG1531" s="1392" t="n"/>
      <c r="AH1531" s="1392" t="n"/>
      <c r="AI1531" s="1392" t="n"/>
      <c r="AJ1531" s="1392" t="n"/>
      <c r="AK1531" s="1392" t="n"/>
      <c r="AL1531" s="1392" t="n"/>
      <c r="AM1531" s="1392" t="n"/>
      <c r="AN1531" s="1392" t="n"/>
      <c r="AO1531" s="1392" t="n"/>
      <c r="AP1531" s="1392" t="n"/>
      <c r="AQ1531" s="1392" t="n"/>
      <c r="AR1531" s="1422" t="n"/>
      <c r="AS1531" s="1422" t="n"/>
      <c r="AT1531" s="1392" t="n"/>
      <c r="AU1531" s="1392" t="n"/>
      <c r="AV1531" s="1392" t="n"/>
      <c r="AW1531" s="1392" t="n"/>
      <c r="AX1531" s="1392" t="n"/>
      <c r="AY1531" s="1392" t="n"/>
      <c r="AZ1531" s="1392" t="n"/>
      <c r="BA1531" s="1422" t="n"/>
      <c r="BB1531" s="1422" t="n"/>
      <c r="BC1531" s="1392" t="n"/>
      <c r="BD1531" s="1392" t="n"/>
      <c r="BE1531" s="1392" t="n"/>
      <c r="BF1531" s="1392" t="n"/>
      <c r="BG1531" s="1392" t="n"/>
      <c r="BH1531" s="1392" t="n"/>
      <c r="BI1531" s="1392" t="n"/>
      <c r="BJ1531" s="1392" t="n"/>
      <c r="BK1531" s="1392" t="n"/>
      <c r="BL1531" s="1392" t="n"/>
      <c r="BM1531" s="1392" t="n"/>
      <c r="BN1531" s="1392" t="n"/>
      <c r="BO1531" s="1392" t="n"/>
      <c r="BP1531" s="1392" t="n"/>
      <c r="BQ1531" s="1392" t="n"/>
      <c r="BR1531" s="1392" t="n"/>
      <c r="BS1531" s="1392" t="n"/>
      <c r="BT1531" s="1392" t="n"/>
      <c r="BU1531" s="1392" t="n"/>
      <c r="BV1531" s="1392" t="n"/>
      <c r="BW1531" s="1392" t="n"/>
      <c r="BX1531" s="1392" t="n"/>
      <c r="BY1531" s="1392" t="n"/>
      <c r="BZ1531" s="1392" t="n"/>
      <c r="CA1531" s="1392" t="n"/>
      <c r="CB1531" s="1392" t="n"/>
      <c r="CC1531" s="1392" t="n"/>
      <c r="CD1531" s="1392" t="n"/>
      <c r="CE1531" s="1392" t="n"/>
      <c r="CF1531" s="1392" t="n"/>
      <c r="CG1531" s="1392" t="n"/>
      <c r="CH1531" s="1392" t="n"/>
      <c r="CI1531" s="1392" t="n"/>
      <c r="CJ1531" s="1392" t="n"/>
      <c r="CK1531" s="1392" t="n"/>
      <c r="CL1531" s="1392" t="n"/>
    </row>
    <row r="1532">
      <c r="A1532" s="5" t="inlineStr">
        <is>
          <t>.</t>
        </is>
      </c>
      <c r="B1532" s="5" t="inlineStr">
        <is>
          <t>.</t>
        </is>
      </c>
      <c r="C1532" s="1378">
        <f>IF(raw[[#This Row],[city]]="","-",IF(raw[[#This Row],[city]]="TODAY","-",C1531+1))</f>
        <v/>
      </c>
      <c r="D1532" s="1393" t="inlineStr">
        <is>
          <t>AIR</t>
        </is>
      </c>
      <c r="E1532" s="1394" t="n">
        <v>43887</v>
      </c>
      <c r="F1532" s="1394" t="n">
        <v>43888</v>
      </c>
      <c r="G1532" s="1393" t="inlineStr">
        <is>
          <t>x</t>
        </is>
      </c>
      <c r="H1532" s="1393" t="inlineStr">
        <is>
          <t>Nadeau</t>
        </is>
      </c>
      <c r="I1532" s="1393" t="inlineStr">
        <is>
          <t>-</t>
        </is>
      </c>
      <c r="J1532" s="1393" t="inlineStr">
        <is>
          <t>-</t>
        </is>
      </c>
      <c r="K1532" s="1395">
        <f>IF(raw[[#This Row],[city]]&lt;&gt;"",_xlfn.XLOOKUP($D1532,ccc[city],ccc[prov],"-"),"-")</f>
        <v/>
      </c>
      <c r="L1532" s="1395">
        <f>IF(raw[[#This Row],[city]]&lt;&gt;"",_xlfn.XLOOKUP($D1532,ccc[city],ccc[ctry],"-"),"-")</f>
        <v/>
      </c>
      <c r="M1532" s="1395">
        <f>IF(raw[[#This Row],[city]]&lt;&gt;"",_xlfn.XLOOKUP($D1532,ccc[city],ccc[cont],"-"),"-")</f>
        <v/>
      </c>
      <c r="N1532" s="1396">
        <f>IF(raw[[#This Row],[city]]="","-",IF(raw[[#This Row],[cont]]="B",raw[[#This Row],[cont]],"W"))</f>
        <v/>
      </c>
      <c r="O1532" s="1397">
        <f>IF(raw[[#This Row],[out]]=0,0,IF(raw[[#This Row],[out]]=raw[[#This Row],[in]],0.01,raw[[#This Row],[out]]-raw[[#This Row],[in]]))</f>
        <v/>
      </c>
      <c r="P1532" s="1397">
        <f>IF(raw[[#This Row],[in]]=0,0,MONTH(raw[[#This Row],[in]]))</f>
        <v/>
      </c>
      <c r="Q1532" s="1397">
        <f>IF(raw[[#This Row],[in]]=0,0,YEAR(raw[[#This Row],[in]]))</f>
        <v/>
      </c>
      <c r="R1532" s="1397">
        <f>INT(raw[[#This Row],[yr]]/10)*10</f>
        <v/>
      </c>
      <c r="S1532" s="1395">
        <f>IF(raw[[#This Row],[city]]="","-",IF(raw[[#This Row],[city]]&lt;&gt;_xlfn.XLOOKUP(raw[[#This Row],[home]],homes[home],homes[city],"-"),1,0))</f>
        <v/>
      </c>
      <c r="T1532" s="1398" t="inlineStr">
        <is>
          <t>.</t>
        </is>
      </c>
      <c r="U1532" s="1399">
        <f>IF(raw[[#This Row],[wb]]="w",raw[[#This Row],[stay]]+U1531,U1531)</f>
        <v/>
      </c>
      <c r="V1532" s="1400">
        <f>IF(raw[[#This Row],[out]]=0,V1531,(raw[[#This Row],[out]]-E$5))</f>
        <v/>
      </c>
      <c r="W1532" s="1401">
        <f>U1532/V1532</f>
        <v/>
      </c>
      <c r="X1532" s="1392" t="n"/>
      <c r="Y1532" s="1392" t="n"/>
      <c r="Z1532" s="1392" t="n"/>
      <c r="AA1532" s="1392" t="n"/>
      <c r="AB1532" s="1392" t="n"/>
      <c r="AC1532" s="1392" t="n"/>
      <c r="AD1532" s="1392" t="n"/>
      <c r="AE1532" s="1392" t="n"/>
      <c r="AF1532" s="1392" t="n"/>
      <c r="AG1532" s="1392" t="n"/>
      <c r="AH1532" s="1392" t="n"/>
      <c r="AI1532" s="1392" t="n"/>
      <c r="AJ1532" s="1392" t="n"/>
      <c r="AK1532" s="1392" t="n"/>
      <c r="AL1532" s="1392" t="n"/>
      <c r="AM1532" s="1392" t="n"/>
      <c r="AN1532" s="1392" t="n"/>
      <c r="AO1532" s="1392" t="n"/>
      <c r="AP1532" s="1392" t="n"/>
      <c r="AQ1532" s="1392" t="n"/>
      <c r="AR1532" s="1422" t="n"/>
      <c r="AS1532" s="1422" t="n"/>
      <c r="AT1532" s="1392" t="n"/>
      <c r="AU1532" s="1392" t="n"/>
      <c r="AV1532" s="1392" t="n"/>
      <c r="AW1532" s="1392" t="n"/>
      <c r="AX1532" s="1392" t="n"/>
      <c r="AY1532" s="1392" t="n"/>
      <c r="AZ1532" s="1392" t="n"/>
      <c r="BA1532" s="1422" t="n"/>
      <c r="BB1532" s="1422" t="n"/>
      <c r="BC1532" s="1392" t="n"/>
      <c r="BD1532" s="1392" t="n"/>
      <c r="BE1532" s="1392" t="n"/>
      <c r="BF1532" s="1392" t="n"/>
      <c r="BG1532" s="1392" t="n"/>
      <c r="BH1532" s="1392" t="n"/>
      <c r="BI1532" s="1392" t="n"/>
      <c r="BJ1532" s="1392" t="n"/>
      <c r="BK1532" s="1392" t="n"/>
      <c r="BL1532" s="1392" t="n"/>
      <c r="BM1532" s="1392" t="n"/>
      <c r="BN1532" s="1392" t="n"/>
      <c r="BO1532" s="1392" t="n"/>
      <c r="BP1532" s="1392" t="n"/>
      <c r="BQ1532" s="1392" t="n"/>
      <c r="BR1532" s="1392" t="n"/>
      <c r="BS1532" s="1392" t="n"/>
      <c r="BT1532" s="1392" t="n"/>
      <c r="BU1532" s="1392" t="n"/>
      <c r="BV1532" s="1392" t="n"/>
      <c r="BW1532" s="1392" t="n"/>
      <c r="BX1532" s="1392" t="n"/>
      <c r="BY1532" s="1392" t="n"/>
      <c r="BZ1532" s="1392" t="n"/>
      <c r="CA1532" s="1392" t="n"/>
      <c r="CB1532" s="1392" t="n"/>
      <c r="CC1532" s="1392" t="n"/>
      <c r="CD1532" s="1392" t="n"/>
      <c r="CE1532" s="1392" t="n"/>
      <c r="CF1532" s="1392" t="n"/>
      <c r="CG1532" s="1392" t="n"/>
      <c r="CH1532" s="1392" t="n"/>
      <c r="CI1532" s="1392" t="n"/>
      <c r="CJ1532" s="1392" t="n"/>
      <c r="CK1532" s="1392" t="n"/>
      <c r="CL1532" s="1392" t="n"/>
    </row>
    <row r="1533">
      <c r="A1533" s="5" t="inlineStr">
        <is>
          <t>.</t>
        </is>
      </c>
      <c r="B1533" s="5" t="inlineStr">
        <is>
          <t>.</t>
        </is>
      </c>
      <c r="C1533" s="1378">
        <f>IF(raw[[#This Row],[city]]="","-",IF(raw[[#This Row],[city]]="TODAY","-",C1532+1))</f>
        <v/>
      </c>
      <c r="D1533" s="1393" t="inlineStr">
        <is>
          <t>Newark</t>
        </is>
      </c>
      <c r="E1533" s="1394" t="n">
        <v>43888</v>
      </c>
      <c r="F1533" s="1394" t="n">
        <v>43888</v>
      </c>
      <c r="G1533" s="1393" t="n">
        <v>0.01</v>
      </c>
      <c r="H1533" s="1393" t="inlineStr">
        <is>
          <t>Nadeau</t>
        </is>
      </c>
      <c r="I1533" s="1393" t="inlineStr">
        <is>
          <t>-</t>
        </is>
      </c>
      <c r="J1533" s="1393" t="inlineStr">
        <is>
          <t>-</t>
        </is>
      </c>
      <c r="K1533" s="1395">
        <f>IF(raw[[#This Row],[city]]&lt;&gt;"",_xlfn.XLOOKUP($D1533,ccc[city],ccc[prov],"-"),"-")</f>
        <v/>
      </c>
      <c r="L1533" s="1395">
        <f>IF(raw[[#This Row],[city]]&lt;&gt;"",_xlfn.XLOOKUP($D1533,ccc[city],ccc[ctry],"-"),"-")</f>
        <v/>
      </c>
      <c r="M1533" s="1395">
        <f>IF(raw[[#This Row],[city]]&lt;&gt;"",_xlfn.XLOOKUP($D1533,ccc[city],ccc[cont],"-"),"-")</f>
        <v/>
      </c>
      <c r="N1533" s="1396">
        <f>IF(raw[[#This Row],[city]]="","-",IF(raw[[#This Row],[cont]]="B",raw[[#This Row],[cont]],"W"))</f>
        <v/>
      </c>
      <c r="O1533" s="1397">
        <f>IF(raw[[#This Row],[out]]=0,0,IF(raw[[#This Row],[out]]=raw[[#This Row],[in]],0.01,raw[[#This Row],[out]]-raw[[#This Row],[in]]))</f>
        <v/>
      </c>
      <c r="P1533" s="1397">
        <f>IF(raw[[#This Row],[in]]=0,0,MONTH(raw[[#This Row],[in]]))</f>
        <v/>
      </c>
      <c r="Q1533" s="1397">
        <f>IF(raw[[#This Row],[in]]=0,0,YEAR(raw[[#This Row],[in]]))</f>
        <v/>
      </c>
      <c r="R1533" s="1397">
        <f>INT(raw[[#This Row],[yr]]/10)*10</f>
        <v/>
      </c>
      <c r="S1533" s="1395">
        <f>IF(raw[[#This Row],[city]]="","-",IF(raw[[#This Row],[city]]&lt;&gt;_xlfn.XLOOKUP(raw[[#This Row],[home]],homes[home],homes[city],"-"),1,0))</f>
        <v/>
      </c>
      <c r="T1533" s="1398" t="inlineStr">
        <is>
          <t>.</t>
        </is>
      </c>
      <c r="U1533" s="1399">
        <f>IF(raw[[#This Row],[wb]]="w",raw[[#This Row],[stay]]+U1532,U1532)</f>
        <v/>
      </c>
      <c r="V1533" s="1400">
        <f>IF(raw[[#This Row],[out]]=0,V1532,(raw[[#This Row],[out]]-E$5))</f>
        <v/>
      </c>
      <c r="W1533" s="1401">
        <f>U1533/V1533</f>
        <v/>
      </c>
      <c r="X1533" s="1392" t="n"/>
      <c r="Y1533" s="1392" t="n"/>
      <c r="Z1533" s="1392" t="n"/>
      <c r="AA1533" s="1392" t="n"/>
      <c r="AB1533" s="1392" t="n"/>
      <c r="AC1533" s="1392" t="n"/>
      <c r="AD1533" s="1392" t="n"/>
      <c r="AE1533" s="1392" t="n"/>
      <c r="AF1533" s="1392" t="n"/>
      <c r="AG1533" s="1392" t="n"/>
      <c r="AH1533" s="1392" t="n"/>
      <c r="AI1533" s="1392" t="n"/>
      <c r="AJ1533" s="1392" t="n"/>
      <c r="AK1533" s="1392" t="n"/>
      <c r="AL1533" s="1392" t="n"/>
      <c r="AM1533" s="1392" t="n"/>
      <c r="AN1533" s="1392" t="n"/>
      <c r="AO1533" s="1392" t="n"/>
      <c r="AP1533" s="1392" t="n"/>
      <c r="AQ1533" s="1392" t="n"/>
      <c r="AR1533" s="1422" t="n"/>
      <c r="AS1533" s="1422" t="n"/>
      <c r="AT1533" s="1392" t="n"/>
      <c r="AU1533" s="1392" t="n"/>
      <c r="AV1533" s="1392" t="n"/>
      <c r="AW1533" s="1392" t="n"/>
      <c r="AX1533" s="1392" t="n"/>
      <c r="AY1533" s="1392" t="n"/>
      <c r="AZ1533" s="1392" t="n"/>
      <c r="BA1533" s="1422" t="n"/>
      <c r="BB1533" s="1422" t="n"/>
      <c r="BC1533" s="1392" t="n"/>
      <c r="BD1533" s="1392" t="n"/>
      <c r="BE1533" s="1392" t="n"/>
      <c r="BF1533" s="1392" t="n"/>
      <c r="BG1533" s="1392" t="n"/>
      <c r="BH1533" s="1392" t="n"/>
      <c r="BI1533" s="1392" t="n"/>
      <c r="BJ1533" s="1392" t="n"/>
      <c r="BK1533" s="1392" t="n"/>
      <c r="BL1533" s="1392" t="n"/>
      <c r="BM1533" s="1392" t="n"/>
      <c r="BN1533" s="1392" t="n"/>
      <c r="BO1533" s="1392" t="n"/>
      <c r="BP1533" s="1392" t="n"/>
      <c r="BQ1533" s="1392" t="n"/>
      <c r="BR1533" s="1392" t="n"/>
      <c r="BS1533" s="1392" t="n"/>
      <c r="BT1533" s="1392" t="n"/>
      <c r="BU1533" s="1392" t="n"/>
      <c r="BV1533" s="1392" t="n"/>
      <c r="BW1533" s="1392" t="n"/>
      <c r="BX1533" s="1392" t="n"/>
      <c r="BY1533" s="1392" t="n"/>
      <c r="BZ1533" s="1392" t="n"/>
      <c r="CA1533" s="1392" t="n"/>
      <c r="CB1533" s="1392" t="n"/>
      <c r="CC1533" s="1392" t="n"/>
      <c r="CD1533" s="1392" t="n"/>
      <c r="CE1533" s="1392" t="n"/>
      <c r="CF1533" s="1392" t="n"/>
      <c r="CG1533" s="1392" t="n"/>
      <c r="CH1533" s="1392" t="n"/>
      <c r="CI1533" s="1392" t="n"/>
      <c r="CJ1533" s="1392" t="n"/>
      <c r="CK1533" s="1392" t="n"/>
      <c r="CL1533" s="1392" t="n"/>
    </row>
    <row r="1534">
      <c r="A1534" s="5" t="inlineStr">
        <is>
          <t>.</t>
        </is>
      </c>
      <c r="B1534" s="5" t="inlineStr">
        <is>
          <t>.</t>
        </is>
      </c>
      <c r="C1534" s="1378">
        <f>IF(raw[[#This Row],[city]]="","-",IF(raw[[#This Row],[city]]="TODAY","-",C1533+1))</f>
        <v/>
      </c>
      <c r="D1534" s="1393" t="inlineStr">
        <is>
          <t>Washington</t>
        </is>
      </c>
      <c r="E1534" s="1394" t="n">
        <v>43888</v>
      </c>
      <c r="F1534" s="1394" t="n">
        <v>43888</v>
      </c>
      <c r="G1534" s="1393" t="n">
        <v>0.01</v>
      </c>
      <c r="H1534" s="1393" t="inlineStr">
        <is>
          <t>Nadeau</t>
        </is>
      </c>
      <c r="I1534" s="1393" t="inlineStr">
        <is>
          <t>-</t>
        </is>
      </c>
      <c r="J1534" s="1393" t="inlineStr">
        <is>
          <t>-</t>
        </is>
      </c>
      <c r="K1534" s="1395">
        <f>IF(raw[[#This Row],[city]]&lt;&gt;"",_xlfn.XLOOKUP($D1534,ccc[city],ccc[prov],"-"),"-")</f>
        <v/>
      </c>
      <c r="L1534" s="1395">
        <f>IF(raw[[#This Row],[city]]&lt;&gt;"",_xlfn.XLOOKUP($D1534,ccc[city],ccc[ctry],"-"),"-")</f>
        <v/>
      </c>
      <c r="M1534" s="1395">
        <f>IF(raw[[#This Row],[city]]&lt;&gt;"",_xlfn.XLOOKUP($D1534,ccc[city],ccc[cont],"-"),"-")</f>
        <v/>
      </c>
      <c r="N1534" s="1396">
        <f>IF(raw[[#This Row],[city]]="","-",IF(raw[[#This Row],[cont]]="B",raw[[#This Row],[cont]],"W"))</f>
        <v/>
      </c>
      <c r="O1534" s="1397">
        <f>IF(raw[[#This Row],[out]]=0,0,IF(raw[[#This Row],[out]]=raw[[#This Row],[in]],0.01,raw[[#This Row],[out]]-raw[[#This Row],[in]]))</f>
        <v/>
      </c>
      <c r="P1534" s="1397">
        <f>IF(raw[[#This Row],[in]]=0,0,MONTH(raw[[#This Row],[in]]))</f>
        <v/>
      </c>
      <c r="Q1534" s="1397">
        <f>IF(raw[[#This Row],[in]]=0,0,YEAR(raw[[#This Row],[in]]))</f>
        <v/>
      </c>
      <c r="R1534" s="1397">
        <f>INT(raw[[#This Row],[yr]]/10)*10</f>
        <v/>
      </c>
      <c r="S1534" s="1395">
        <f>IF(raw[[#This Row],[city]]="","-",IF(raw[[#This Row],[city]]&lt;&gt;_xlfn.XLOOKUP(raw[[#This Row],[home]],homes[home],homes[city],"-"),1,0))</f>
        <v/>
      </c>
      <c r="T1534" s="1398" t="inlineStr">
        <is>
          <t>.</t>
        </is>
      </c>
      <c r="U1534" s="1399">
        <f>IF(raw[[#This Row],[wb]]="w",raw[[#This Row],[stay]]+U1533,U1533)</f>
        <v/>
      </c>
      <c r="V1534" s="1400">
        <f>IF(raw[[#This Row],[out]]=0,V1533,(raw[[#This Row],[out]]-E$5))</f>
        <v/>
      </c>
      <c r="W1534" s="1401">
        <f>U1534/V1534</f>
        <v/>
      </c>
      <c r="X1534" s="1392" t="n"/>
      <c r="Y1534" s="1392" t="n"/>
      <c r="Z1534" s="1392" t="n"/>
      <c r="AA1534" s="1392" t="n"/>
      <c r="AB1534" s="1392" t="n"/>
      <c r="AC1534" s="1392" t="n"/>
      <c r="AD1534" s="1392" t="n"/>
      <c r="AE1534" s="1392" t="n"/>
      <c r="AF1534" s="1392" t="n"/>
      <c r="AG1534" s="1392" t="n"/>
      <c r="AH1534" s="1392" t="n"/>
      <c r="AI1534" s="1392" t="n"/>
      <c r="AJ1534" s="1392" t="n"/>
      <c r="AK1534" s="1392" t="n"/>
      <c r="AL1534" s="1392" t="n"/>
      <c r="AM1534" s="1392" t="n"/>
      <c r="AN1534" s="1392" t="n"/>
      <c r="AO1534" s="1392" t="n"/>
      <c r="AP1534" s="1392" t="n"/>
      <c r="AQ1534" s="1392" t="n"/>
      <c r="AR1534" s="1422" t="n"/>
      <c r="AS1534" s="1422" t="n"/>
      <c r="AT1534" s="1392" t="n"/>
      <c r="AU1534" s="1392" t="n"/>
      <c r="AV1534" s="1392" t="n"/>
      <c r="AW1534" s="1392" t="n"/>
      <c r="AX1534" s="1392" t="n"/>
      <c r="AY1534" s="1392" t="n"/>
      <c r="AZ1534" s="1392" t="n"/>
      <c r="BA1534" s="1422" t="n"/>
      <c r="BB1534" s="1422" t="n"/>
      <c r="BC1534" s="1392" t="n"/>
      <c r="BD1534" s="1392" t="n"/>
      <c r="BE1534" s="1392" t="n"/>
      <c r="BF1534" s="1392" t="n"/>
      <c r="BG1534" s="1392" t="n"/>
      <c r="BH1534" s="1392" t="n"/>
      <c r="BI1534" s="1392" t="n"/>
      <c r="BJ1534" s="1392" t="n"/>
      <c r="BK1534" s="1392" t="n"/>
      <c r="BL1534" s="1392" t="n"/>
      <c r="BM1534" s="1392" t="n"/>
      <c r="BN1534" s="1392" t="n"/>
      <c r="BO1534" s="1392" t="n"/>
      <c r="BP1534" s="1392" t="n"/>
      <c r="BQ1534" s="1392" t="n"/>
      <c r="BR1534" s="1392" t="n"/>
      <c r="BS1534" s="1392" t="n"/>
      <c r="BT1534" s="1392" t="n"/>
      <c r="BU1534" s="1392" t="n"/>
      <c r="BV1534" s="1392" t="n"/>
      <c r="BW1534" s="1392" t="n"/>
      <c r="BX1534" s="1392" t="n"/>
      <c r="BY1534" s="1392" t="n"/>
      <c r="BZ1534" s="1392" t="n"/>
      <c r="CA1534" s="1392" t="n"/>
      <c r="CB1534" s="1392" t="n"/>
      <c r="CC1534" s="1392" t="n"/>
      <c r="CD1534" s="1392" t="n"/>
      <c r="CE1534" s="1392" t="n"/>
      <c r="CF1534" s="1392" t="n"/>
      <c r="CG1534" s="1392" t="n"/>
      <c r="CH1534" s="1392" t="n"/>
      <c r="CI1534" s="1392" t="n"/>
      <c r="CJ1534" s="1392" t="n"/>
      <c r="CK1534" s="1392" t="n"/>
      <c r="CL1534" s="1392" t="n"/>
    </row>
    <row r="1535">
      <c r="A1535" s="5" t="inlineStr">
        <is>
          <t>.</t>
        </is>
      </c>
      <c r="B1535" s="5" t="inlineStr">
        <is>
          <t>.</t>
        </is>
      </c>
      <c r="C1535" s="1378">
        <f>IF(raw[[#This Row],[city]]="","-",IF(raw[[#This Row],[city]]="TODAY","-",C1534+1))</f>
        <v/>
      </c>
      <c r="D1535" s="1393" t="inlineStr">
        <is>
          <t>Montreal</t>
        </is>
      </c>
      <c r="E1535" s="1394" t="n">
        <v>43888</v>
      </c>
      <c r="F1535" s="1394" t="n">
        <v>43891</v>
      </c>
      <c r="G1535" s="1393" t="inlineStr">
        <is>
          <t>-</t>
        </is>
      </c>
      <c r="H1535" s="1393" t="inlineStr">
        <is>
          <t>Nadeau</t>
        </is>
      </c>
      <c r="I1535" s="1393" t="inlineStr">
        <is>
          <t>-</t>
        </is>
      </c>
      <c r="J1535" s="1393" t="inlineStr">
        <is>
          <t>-</t>
        </is>
      </c>
      <c r="K1535" s="1395">
        <f>IF(raw[[#This Row],[city]]&lt;&gt;"",_xlfn.XLOOKUP($D1535,ccc[city],ccc[prov],"-"),"-")</f>
        <v/>
      </c>
      <c r="L1535" s="1395">
        <f>IF(raw[[#This Row],[city]]&lt;&gt;"",_xlfn.XLOOKUP($D1535,ccc[city],ccc[ctry],"-"),"-")</f>
        <v/>
      </c>
      <c r="M1535" s="1395">
        <f>IF(raw[[#This Row],[city]]&lt;&gt;"",_xlfn.XLOOKUP($D1535,ccc[city],ccc[cont],"-"),"-")</f>
        <v/>
      </c>
      <c r="N1535" s="1396">
        <f>IF(raw[[#This Row],[city]]="","-",IF(raw[[#This Row],[cont]]="B",raw[[#This Row],[cont]],"W"))</f>
        <v/>
      </c>
      <c r="O1535" s="1397">
        <f>IF(raw[[#This Row],[out]]=0,0,IF(raw[[#This Row],[out]]=raw[[#This Row],[in]],0.01,raw[[#This Row],[out]]-raw[[#This Row],[in]]))</f>
        <v/>
      </c>
      <c r="P1535" s="1397">
        <f>IF(raw[[#This Row],[in]]=0,0,MONTH(raw[[#This Row],[in]]))</f>
        <v/>
      </c>
      <c r="Q1535" s="1397">
        <f>IF(raw[[#This Row],[in]]=0,0,YEAR(raw[[#This Row],[in]]))</f>
        <v/>
      </c>
      <c r="R1535" s="1397">
        <f>INT(raw[[#This Row],[yr]]/10)*10</f>
        <v/>
      </c>
      <c r="S1535" s="1395">
        <f>IF(raw[[#This Row],[city]]="","-",IF(raw[[#This Row],[city]]&lt;&gt;_xlfn.XLOOKUP(raw[[#This Row],[home]],homes[home],homes[city],"-"),1,0))</f>
        <v/>
      </c>
      <c r="T1535" s="1398" t="inlineStr">
        <is>
          <t>.</t>
        </is>
      </c>
      <c r="U1535" s="1399">
        <f>IF(raw[[#This Row],[wb]]="w",raw[[#This Row],[stay]]+U1534,U1534)</f>
        <v/>
      </c>
      <c r="V1535" s="1400">
        <f>IF(raw[[#This Row],[out]]=0,V1534,(raw[[#This Row],[out]]-E$5))</f>
        <v/>
      </c>
      <c r="W1535" s="1401">
        <f>U1535/V1535</f>
        <v/>
      </c>
      <c r="X1535" s="1392" t="n"/>
      <c r="Y1535" s="1392" t="n"/>
      <c r="Z1535" s="1392" t="n"/>
      <c r="AA1535" s="1392" t="n"/>
      <c r="AB1535" s="1392" t="n"/>
      <c r="AC1535" s="1392" t="n"/>
      <c r="AD1535" s="1392" t="n"/>
      <c r="AE1535" s="1392" t="n"/>
      <c r="AF1535" s="1392" t="n"/>
      <c r="AG1535" s="1392" t="n"/>
      <c r="AH1535" s="1392" t="n"/>
      <c r="AI1535" s="1392" t="n"/>
      <c r="AJ1535" s="1392" t="n"/>
      <c r="AK1535" s="1392" t="n"/>
      <c r="AL1535" s="1392" t="n"/>
      <c r="AM1535" s="1392" t="n"/>
      <c r="AN1535" s="1392" t="n"/>
      <c r="AO1535" s="1392" t="n"/>
      <c r="AP1535" s="1392" t="n"/>
      <c r="AQ1535" s="1392" t="n"/>
      <c r="AR1535" s="1422" t="n"/>
      <c r="AS1535" s="1422" t="n"/>
      <c r="AT1535" s="1392" t="n"/>
      <c r="AU1535" s="1392" t="n"/>
      <c r="AV1535" s="1392" t="n"/>
      <c r="AW1535" s="1392" t="n"/>
      <c r="AX1535" s="1392" t="n"/>
      <c r="AY1535" s="1392" t="n"/>
      <c r="AZ1535" s="1392" t="n"/>
      <c r="BA1535" s="1422" t="n"/>
      <c r="BB1535" s="1422" t="n"/>
      <c r="BC1535" s="1392" t="n"/>
      <c r="BD1535" s="1392" t="n"/>
      <c r="BE1535" s="1392" t="n"/>
      <c r="BF1535" s="1392" t="n"/>
      <c r="BG1535" s="1392" t="n"/>
      <c r="BH1535" s="1392" t="n"/>
      <c r="BI1535" s="1392" t="n"/>
      <c r="BJ1535" s="1392" t="n"/>
      <c r="BK1535" s="1392" t="n"/>
      <c r="BL1535" s="1392" t="n"/>
      <c r="BM1535" s="1392" t="n"/>
      <c r="BN1535" s="1392" t="n"/>
      <c r="BO1535" s="1392" t="n"/>
      <c r="BP1535" s="1392" t="n"/>
      <c r="BQ1535" s="1392" t="n"/>
      <c r="BR1535" s="1392" t="n"/>
      <c r="BS1535" s="1392" t="n"/>
      <c r="BT1535" s="1392" t="n"/>
      <c r="BU1535" s="1392" t="n"/>
      <c r="BV1535" s="1392" t="n"/>
      <c r="BW1535" s="1392" t="n"/>
      <c r="BX1535" s="1392" t="n"/>
      <c r="BY1535" s="1392" t="n"/>
      <c r="BZ1535" s="1392" t="n"/>
      <c r="CA1535" s="1392" t="n"/>
      <c r="CB1535" s="1392" t="n"/>
      <c r="CC1535" s="1392" t="n"/>
      <c r="CD1535" s="1392" t="n"/>
      <c r="CE1535" s="1392" t="n"/>
      <c r="CF1535" s="1392" t="n"/>
      <c r="CG1535" s="1392" t="n"/>
      <c r="CH1535" s="1392" t="n"/>
      <c r="CI1535" s="1392" t="n"/>
      <c r="CJ1535" s="1392" t="n"/>
      <c r="CK1535" s="1392" t="n"/>
      <c r="CL1535" s="1392" t="n"/>
    </row>
    <row r="1536">
      <c r="A1536" s="5" t="inlineStr">
        <is>
          <t>.</t>
        </is>
      </c>
      <c r="B1536" s="5" t="inlineStr">
        <is>
          <t>.</t>
        </is>
      </c>
      <c r="C1536" s="1378">
        <f>IF(raw[[#This Row],[city]]="","-",IF(raw[[#This Row],[city]]="TODAY","-",C1535+1))</f>
        <v/>
      </c>
      <c r="D1536" s="1393" t="inlineStr">
        <is>
          <t>Montreal</t>
        </is>
      </c>
      <c r="E1536" s="1394" t="n">
        <v>43891</v>
      </c>
      <c r="F1536" s="1394" t="n">
        <v>43922</v>
      </c>
      <c r="G1536" s="1393" t="inlineStr">
        <is>
          <t>-</t>
        </is>
      </c>
      <c r="H1536" s="1393" t="inlineStr">
        <is>
          <t>Nadeau</t>
        </is>
      </c>
      <c r="I1536" s="1393" t="inlineStr">
        <is>
          <t>-</t>
        </is>
      </c>
      <c r="J1536" s="1393" t="inlineStr">
        <is>
          <t>-</t>
        </is>
      </c>
      <c r="K1536" s="1395">
        <f>IF(raw[[#This Row],[city]]&lt;&gt;"",_xlfn.XLOOKUP($D1536,ccc[city],ccc[prov],"-"),"-")</f>
        <v/>
      </c>
      <c r="L1536" s="1395">
        <f>IF(raw[[#This Row],[city]]&lt;&gt;"",_xlfn.XLOOKUP($D1536,ccc[city],ccc[ctry],"-"),"-")</f>
        <v/>
      </c>
      <c r="M1536" s="1395">
        <f>IF(raw[[#This Row],[city]]&lt;&gt;"",_xlfn.XLOOKUP($D1536,ccc[city],ccc[cont],"-"),"-")</f>
        <v/>
      </c>
      <c r="N1536" s="1396">
        <f>IF(raw[[#This Row],[city]]="","-",IF(raw[[#This Row],[cont]]="B",raw[[#This Row],[cont]],"W"))</f>
        <v/>
      </c>
      <c r="O1536" s="1397">
        <f>IF(raw[[#This Row],[out]]=0,0,IF(raw[[#This Row],[out]]=raw[[#This Row],[in]],0.01,raw[[#This Row],[out]]-raw[[#This Row],[in]]))</f>
        <v/>
      </c>
      <c r="P1536" s="1397">
        <f>IF(raw[[#This Row],[in]]=0,0,MONTH(raw[[#This Row],[in]]))</f>
        <v/>
      </c>
      <c r="Q1536" s="1397">
        <f>IF(raw[[#This Row],[in]]=0,0,YEAR(raw[[#This Row],[in]]))</f>
        <v/>
      </c>
      <c r="R1536" s="1397">
        <f>INT(raw[[#This Row],[yr]]/10)*10</f>
        <v/>
      </c>
      <c r="S1536" s="1395">
        <f>IF(raw[[#This Row],[city]]="","-",IF(raw[[#This Row],[city]]&lt;&gt;_xlfn.XLOOKUP(raw[[#This Row],[home]],homes[home],homes[city],"-"),1,0))</f>
        <v/>
      </c>
      <c r="T1536" s="1398" t="inlineStr">
        <is>
          <t>.</t>
        </is>
      </c>
      <c r="U1536" s="1399">
        <f>IF(raw[[#This Row],[wb]]="w",raw[[#This Row],[stay]]+U1535,U1535)</f>
        <v/>
      </c>
      <c r="V1536" s="1400">
        <f>IF(raw[[#This Row],[out]]=0,V1535,(raw[[#This Row],[out]]-E$5))</f>
        <v/>
      </c>
      <c r="W1536" s="1401">
        <f>U1536/V1536</f>
        <v/>
      </c>
      <c r="X1536" s="1392" t="n"/>
      <c r="Y1536" s="1392" t="n"/>
      <c r="Z1536" s="1392" t="n"/>
      <c r="AA1536" s="1392" t="n"/>
      <c r="AB1536" s="1392" t="n"/>
      <c r="AC1536" s="1392" t="n"/>
      <c r="AD1536" s="1392" t="n"/>
      <c r="AE1536" s="1392" t="n"/>
      <c r="AF1536" s="1392" t="n"/>
      <c r="AG1536" s="1392" t="n"/>
      <c r="AH1536" s="1392" t="n"/>
      <c r="AI1536" s="1392" t="n"/>
      <c r="AJ1536" s="1392" t="n"/>
      <c r="AK1536" s="1392" t="n"/>
      <c r="AL1536" s="1392" t="n"/>
      <c r="AM1536" s="1392" t="n"/>
      <c r="AN1536" s="1392" t="n"/>
      <c r="AO1536" s="1392" t="n"/>
      <c r="AP1536" s="1392" t="n"/>
      <c r="AQ1536" s="1392" t="n"/>
      <c r="AR1536" s="1422" t="n"/>
      <c r="AS1536" s="1422" t="n"/>
      <c r="AT1536" s="1392" t="n"/>
      <c r="AU1536" s="1392" t="n"/>
      <c r="AV1536" s="1392" t="n"/>
      <c r="AW1536" s="1392" t="n"/>
      <c r="AX1536" s="1392" t="n"/>
      <c r="AY1536" s="1392" t="n"/>
      <c r="AZ1536" s="1392" t="n"/>
      <c r="BA1536" s="1422" t="n"/>
      <c r="BB1536" s="1422" t="n"/>
      <c r="BC1536" s="1392" t="n"/>
      <c r="BD1536" s="1392" t="n"/>
      <c r="BE1536" s="1392" t="n"/>
      <c r="BF1536" s="1392" t="n"/>
      <c r="BG1536" s="1392" t="n"/>
      <c r="BH1536" s="1392" t="n"/>
      <c r="BI1536" s="1392" t="n"/>
      <c r="BJ1536" s="1392" t="n"/>
      <c r="BK1536" s="1392" t="n"/>
      <c r="BL1536" s="1392" t="n"/>
      <c r="BM1536" s="1392" t="n"/>
      <c r="BN1536" s="1392" t="n"/>
      <c r="BO1536" s="1392" t="n"/>
      <c r="BP1536" s="1392" t="n"/>
      <c r="BQ1536" s="1392" t="n"/>
      <c r="BR1536" s="1392" t="n"/>
      <c r="BS1536" s="1392" t="n"/>
      <c r="BT1536" s="1392" t="n"/>
      <c r="BU1536" s="1392" t="n"/>
      <c r="BV1536" s="1392" t="n"/>
      <c r="BW1536" s="1392" t="n"/>
      <c r="BX1536" s="1392" t="n"/>
      <c r="BY1536" s="1392" t="n"/>
      <c r="BZ1536" s="1392" t="n"/>
      <c r="CA1536" s="1392" t="n"/>
      <c r="CB1536" s="1392" t="n"/>
      <c r="CC1536" s="1392" t="n"/>
      <c r="CD1536" s="1392" t="n"/>
      <c r="CE1536" s="1392" t="n"/>
      <c r="CF1536" s="1392" t="n"/>
      <c r="CG1536" s="1392" t="n"/>
      <c r="CH1536" s="1392" t="n"/>
      <c r="CI1536" s="1392" t="n"/>
      <c r="CJ1536" s="1392" t="n"/>
      <c r="CK1536" s="1392" t="n"/>
      <c r="CL1536" s="1392" t="n"/>
    </row>
    <row r="1537">
      <c r="A1537" s="5" t="inlineStr">
        <is>
          <t>.</t>
        </is>
      </c>
      <c r="B1537" s="5" t="inlineStr">
        <is>
          <t>.</t>
        </is>
      </c>
      <c r="C1537" s="1378">
        <f>IF(raw[[#This Row],[city]]="","-",IF(raw[[#This Row],[city]]="TODAY","-",C1536+1))</f>
        <v/>
      </c>
      <c r="D1537" s="1393" t="inlineStr">
        <is>
          <t>Bromont</t>
        </is>
      </c>
      <c r="E1537" s="1394" t="n">
        <v>43896</v>
      </c>
      <c r="F1537" s="1394" t="n">
        <v>43896</v>
      </c>
      <c r="G1537" s="1393" t="inlineStr">
        <is>
          <t>-</t>
        </is>
      </c>
      <c r="H1537" s="1393" t="inlineStr">
        <is>
          <t>Nadeau</t>
        </is>
      </c>
      <c r="I1537" s="1393" t="inlineStr">
        <is>
          <t>-</t>
        </is>
      </c>
      <c r="J1537" s="1393" t="inlineStr">
        <is>
          <t>-</t>
        </is>
      </c>
      <c r="K1537" s="1395">
        <f>IF(raw[[#This Row],[city]]&lt;&gt;"",_xlfn.XLOOKUP($D1537,ccc[city],ccc[prov],"-"),"-")</f>
        <v/>
      </c>
      <c r="L1537" s="1395">
        <f>IF(raw[[#This Row],[city]]&lt;&gt;"",_xlfn.XLOOKUP($D1537,ccc[city],ccc[ctry],"-"),"-")</f>
        <v/>
      </c>
      <c r="M1537" s="1395">
        <f>IF(raw[[#This Row],[city]]&lt;&gt;"",_xlfn.XLOOKUP($D1537,ccc[city],ccc[cont],"-"),"-")</f>
        <v/>
      </c>
      <c r="N1537" s="1396">
        <f>IF(raw[[#This Row],[city]]="","-",IF(raw[[#This Row],[cont]]="B",raw[[#This Row],[cont]],"W"))</f>
        <v/>
      </c>
      <c r="O1537" s="1397">
        <f>IF(raw[[#This Row],[out]]=0,0,IF(raw[[#This Row],[out]]=raw[[#This Row],[in]],0.01,raw[[#This Row],[out]]-raw[[#This Row],[in]]))</f>
        <v/>
      </c>
      <c r="P1537" s="1397">
        <f>IF(raw[[#This Row],[in]]=0,0,MONTH(raw[[#This Row],[in]]))</f>
        <v/>
      </c>
      <c r="Q1537" s="1397">
        <f>IF(raw[[#This Row],[in]]=0,0,YEAR(raw[[#This Row],[in]]))</f>
        <v/>
      </c>
      <c r="R1537" s="1397">
        <f>INT(raw[[#This Row],[yr]]/10)*10</f>
        <v/>
      </c>
      <c r="S1537" s="1395">
        <f>IF(raw[[#This Row],[city]]="","-",IF(raw[[#This Row],[city]]&lt;&gt;_xlfn.XLOOKUP(raw[[#This Row],[home]],homes[home],homes[city],"-"),1,0))</f>
        <v/>
      </c>
      <c r="T1537" s="1398" t="inlineStr">
        <is>
          <t>.</t>
        </is>
      </c>
      <c r="U1537" s="1399">
        <f>IF(raw[[#This Row],[wb]]="w",raw[[#This Row],[stay]]+U1536,U1536)</f>
        <v/>
      </c>
      <c r="V1537" s="1400">
        <f>IF(raw[[#This Row],[out]]=0,V1536,(raw[[#This Row],[out]]-E$5))</f>
        <v/>
      </c>
      <c r="W1537" s="1401">
        <f>U1537/V1537</f>
        <v/>
      </c>
      <c r="X1537" s="1392" t="n"/>
      <c r="Y1537" s="1392" t="n"/>
      <c r="Z1537" s="1392" t="n"/>
      <c r="AA1537" s="1392" t="n"/>
      <c r="AB1537" s="1392" t="n"/>
      <c r="AC1537" s="1392" t="n"/>
      <c r="AD1537" s="1392" t="n"/>
      <c r="AE1537" s="1392" t="n"/>
      <c r="AF1537" s="1392" t="n"/>
      <c r="AG1537" s="1392" t="n"/>
      <c r="AH1537" s="1392" t="n"/>
      <c r="AI1537" s="1392" t="n"/>
      <c r="AJ1537" s="1392" t="n"/>
      <c r="AK1537" s="1392" t="n"/>
      <c r="AL1537" s="1392" t="n"/>
      <c r="AM1537" s="1392" t="n"/>
      <c r="AN1537" s="1392" t="n"/>
      <c r="AO1537" s="1392" t="n"/>
      <c r="AP1537" s="1392" t="n"/>
      <c r="AQ1537" s="1392" t="n"/>
      <c r="AR1537" s="1422" t="n"/>
      <c r="AS1537" s="1422" t="n"/>
      <c r="AT1537" s="1392" t="n"/>
      <c r="AU1537" s="1392" t="n"/>
      <c r="AV1537" s="1392" t="n"/>
      <c r="AW1537" s="1392" t="n"/>
      <c r="AX1537" s="1392" t="n"/>
      <c r="AY1537" s="1392" t="n"/>
      <c r="AZ1537" s="1392" t="n"/>
      <c r="BA1537" s="1422" t="n"/>
      <c r="BB1537" s="1422" t="n"/>
      <c r="BC1537" s="1392" t="n"/>
      <c r="BD1537" s="1392" t="n"/>
      <c r="BE1537" s="1392" t="n"/>
      <c r="BF1537" s="1392" t="n"/>
      <c r="BG1537" s="1392" t="n"/>
      <c r="BH1537" s="1392" t="n"/>
      <c r="BI1537" s="1392" t="n"/>
      <c r="BJ1537" s="1392" t="n"/>
      <c r="BK1537" s="1392" t="n"/>
      <c r="BL1537" s="1392" t="n"/>
      <c r="BM1537" s="1392" t="n"/>
      <c r="BN1537" s="1392" t="n"/>
      <c r="BO1537" s="1392" t="n"/>
      <c r="BP1537" s="1392" t="n"/>
      <c r="BQ1537" s="1392" t="n"/>
      <c r="BR1537" s="1392" t="n"/>
      <c r="BS1537" s="1392" t="n"/>
      <c r="BT1537" s="1392" t="n"/>
      <c r="BU1537" s="1392" t="n"/>
      <c r="BV1537" s="1392" t="n"/>
      <c r="BW1537" s="1392" t="n"/>
      <c r="BX1537" s="1392" t="n"/>
      <c r="BY1537" s="1392" t="n"/>
      <c r="BZ1537" s="1392" t="n"/>
      <c r="CA1537" s="1392" t="n"/>
      <c r="CB1537" s="1392" t="n"/>
      <c r="CC1537" s="1392" t="n"/>
      <c r="CD1537" s="1392" t="n"/>
      <c r="CE1537" s="1392" t="n"/>
      <c r="CF1537" s="1392" t="n"/>
      <c r="CG1537" s="1392" t="n"/>
      <c r="CH1537" s="1392" t="n"/>
      <c r="CI1537" s="1392" t="n"/>
      <c r="CJ1537" s="1392" t="n"/>
      <c r="CK1537" s="1392" t="n"/>
      <c r="CL1537" s="1392" t="n"/>
    </row>
    <row r="1538">
      <c r="A1538" s="5" t="inlineStr">
        <is>
          <t>.</t>
        </is>
      </c>
      <c r="B1538" s="5" t="inlineStr">
        <is>
          <t>.</t>
        </is>
      </c>
      <c r="C1538" s="1378">
        <f>IF(raw[[#This Row],[city]]="","-",IF(raw[[#This Row],[city]]="TODAY","-",C1537+1))</f>
        <v/>
      </c>
      <c r="D1538" s="1393" t="inlineStr">
        <is>
          <t>Montreal</t>
        </is>
      </c>
      <c r="E1538" s="1394" t="n">
        <v>43922</v>
      </c>
      <c r="F1538" s="1394" t="n">
        <v>43952</v>
      </c>
      <c r="G1538" s="1393" t="inlineStr">
        <is>
          <t>-</t>
        </is>
      </c>
      <c r="H1538" s="1393" t="inlineStr">
        <is>
          <t>Nadeau</t>
        </is>
      </c>
      <c r="I1538" s="1393" t="inlineStr">
        <is>
          <t>-</t>
        </is>
      </c>
      <c r="J1538" s="1393" t="inlineStr">
        <is>
          <t>-</t>
        </is>
      </c>
      <c r="K1538" s="1395">
        <f>IF(raw[[#This Row],[city]]&lt;&gt;"",_xlfn.XLOOKUP($D1538,ccc[city],ccc[prov],"-"),"-")</f>
        <v/>
      </c>
      <c r="L1538" s="1395">
        <f>IF(raw[[#This Row],[city]]&lt;&gt;"",_xlfn.XLOOKUP($D1538,ccc[city],ccc[ctry],"-"),"-")</f>
        <v/>
      </c>
      <c r="M1538" s="1395">
        <f>IF(raw[[#This Row],[city]]&lt;&gt;"",_xlfn.XLOOKUP($D1538,ccc[city],ccc[cont],"-"),"-")</f>
        <v/>
      </c>
      <c r="N1538" s="1396">
        <f>IF(raw[[#This Row],[city]]="","-",IF(raw[[#This Row],[cont]]="B",raw[[#This Row],[cont]],"W"))</f>
        <v/>
      </c>
      <c r="O1538" s="1397">
        <f>IF(raw[[#This Row],[out]]=0,0,IF(raw[[#This Row],[out]]=raw[[#This Row],[in]],0.01,raw[[#This Row],[out]]-raw[[#This Row],[in]]))</f>
        <v/>
      </c>
      <c r="P1538" s="1397">
        <f>IF(raw[[#This Row],[in]]=0,0,MONTH(raw[[#This Row],[in]]))</f>
        <v/>
      </c>
      <c r="Q1538" s="1397">
        <f>IF(raw[[#This Row],[in]]=0,0,YEAR(raw[[#This Row],[in]]))</f>
        <v/>
      </c>
      <c r="R1538" s="1397">
        <f>INT(raw[[#This Row],[yr]]/10)*10</f>
        <v/>
      </c>
      <c r="S1538" s="1395">
        <f>IF(raw[[#This Row],[city]]="","-",IF(raw[[#This Row],[city]]&lt;&gt;_xlfn.XLOOKUP(raw[[#This Row],[home]],homes[home],homes[city],"-"),1,0))</f>
        <v/>
      </c>
      <c r="T1538" s="1398" t="inlineStr">
        <is>
          <t>.</t>
        </is>
      </c>
      <c r="U1538" s="1399">
        <f>IF(raw[[#This Row],[wb]]="w",raw[[#This Row],[stay]]+U1537,U1537)</f>
        <v/>
      </c>
      <c r="V1538" s="1400">
        <f>IF(raw[[#This Row],[out]]=0,V1537,(raw[[#This Row],[out]]-E$5))</f>
        <v/>
      </c>
      <c r="W1538" s="1401">
        <f>U1538/V1538</f>
        <v/>
      </c>
      <c r="X1538" s="1392" t="n"/>
      <c r="Y1538" s="1392" t="n"/>
      <c r="Z1538" s="1392" t="n"/>
      <c r="AA1538" s="1392" t="n"/>
      <c r="AB1538" s="1392" t="n"/>
      <c r="AC1538" s="1392" t="n"/>
      <c r="AD1538" s="1392" t="n"/>
      <c r="AE1538" s="1392" t="n"/>
      <c r="AF1538" s="1392" t="n"/>
      <c r="AG1538" s="1392" t="n"/>
      <c r="AH1538" s="1392" t="n"/>
      <c r="AI1538" s="1392" t="n"/>
      <c r="AJ1538" s="1392" t="n"/>
      <c r="AK1538" s="1392" t="n"/>
      <c r="AL1538" s="1392" t="n"/>
      <c r="AM1538" s="1392" t="n"/>
      <c r="AN1538" s="1392" t="n"/>
      <c r="AO1538" s="1392" t="n"/>
      <c r="AP1538" s="1392" t="n"/>
      <c r="AQ1538" s="1392" t="n"/>
      <c r="AR1538" s="1422" t="n"/>
      <c r="AS1538" s="1422" t="n"/>
      <c r="AT1538" s="1392" t="n"/>
      <c r="AU1538" s="1392" t="n"/>
      <c r="AV1538" s="1392" t="n"/>
      <c r="AW1538" s="1392" t="n"/>
      <c r="AX1538" s="1392" t="n"/>
      <c r="AY1538" s="1392" t="n"/>
      <c r="AZ1538" s="1392" t="n"/>
      <c r="BA1538" s="1422" t="n"/>
      <c r="BB1538" s="1422" t="n"/>
      <c r="BC1538" s="1392" t="n"/>
      <c r="BD1538" s="1392" t="n"/>
      <c r="BE1538" s="1392" t="n"/>
      <c r="BF1538" s="1392" t="n"/>
      <c r="BG1538" s="1392" t="n"/>
      <c r="BH1538" s="1392" t="n"/>
      <c r="BI1538" s="1392" t="n"/>
      <c r="BJ1538" s="1392" t="n"/>
      <c r="BK1538" s="1392" t="n"/>
      <c r="BL1538" s="1392" t="n"/>
      <c r="BM1538" s="1392" t="n"/>
      <c r="BN1538" s="1392" t="n"/>
      <c r="BO1538" s="1392" t="n"/>
      <c r="BP1538" s="1392" t="n"/>
      <c r="BQ1538" s="1392" t="n"/>
      <c r="BR1538" s="1392" t="n"/>
      <c r="BS1538" s="1392" t="n"/>
      <c r="BT1538" s="1392" t="n"/>
      <c r="BU1538" s="1392" t="n"/>
      <c r="BV1538" s="1392" t="n"/>
      <c r="BW1538" s="1392" t="n"/>
      <c r="BX1538" s="1392" t="n"/>
      <c r="BY1538" s="1392" t="n"/>
      <c r="BZ1538" s="1392" t="n"/>
      <c r="CA1538" s="1392" t="n"/>
      <c r="CB1538" s="1392" t="n"/>
      <c r="CC1538" s="1392" t="n"/>
      <c r="CD1538" s="1392" t="n"/>
      <c r="CE1538" s="1392" t="n"/>
      <c r="CF1538" s="1392" t="n"/>
      <c r="CG1538" s="1392" t="n"/>
      <c r="CH1538" s="1392" t="n"/>
      <c r="CI1538" s="1392" t="n"/>
      <c r="CJ1538" s="1392" t="n"/>
      <c r="CK1538" s="1392" t="n"/>
      <c r="CL1538" s="1392" t="n"/>
    </row>
    <row r="1539">
      <c r="A1539" s="5" t="inlineStr">
        <is>
          <t>.</t>
        </is>
      </c>
      <c r="B1539" s="5" t="inlineStr">
        <is>
          <t>.</t>
        </is>
      </c>
      <c r="C1539" s="1378">
        <f>IF(raw[[#This Row],[city]]="","-",IF(raw[[#This Row],[city]]="TODAY","-",C1538+1))</f>
        <v/>
      </c>
      <c r="D1539" s="1393" t="inlineStr">
        <is>
          <t>Montreal</t>
        </is>
      </c>
      <c r="E1539" s="1394" t="n">
        <v>43952</v>
      </c>
      <c r="F1539" s="1394" t="n">
        <v>43983</v>
      </c>
      <c r="G1539" s="1393" t="inlineStr">
        <is>
          <t>-</t>
        </is>
      </c>
      <c r="H1539" s="1393" t="inlineStr">
        <is>
          <t>Nadeau</t>
        </is>
      </c>
      <c r="I1539" s="1393" t="inlineStr">
        <is>
          <t>-</t>
        </is>
      </c>
      <c r="J1539" s="1393" t="inlineStr">
        <is>
          <t>-</t>
        </is>
      </c>
      <c r="K1539" s="1395">
        <f>IF(raw[[#This Row],[city]]&lt;&gt;"",_xlfn.XLOOKUP($D1539,ccc[city],ccc[prov],"-"),"-")</f>
        <v/>
      </c>
      <c r="L1539" s="1395">
        <f>IF(raw[[#This Row],[city]]&lt;&gt;"",_xlfn.XLOOKUP($D1539,ccc[city],ccc[ctry],"-"),"-")</f>
        <v/>
      </c>
      <c r="M1539" s="1395">
        <f>IF(raw[[#This Row],[city]]&lt;&gt;"",_xlfn.XLOOKUP($D1539,ccc[city],ccc[cont],"-"),"-")</f>
        <v/>
      </c>
      <c r="N1539" s="1396">
        <f>IF(raw[[#This Row],[city]]="","-",IF(raw[[#This Row],[cont]]="B",raw[[#This Row],[cont]],"W"))</f>
        <v/>
      </c>
      <c r="O1539" s="1397">
        <f>IF(raw[[#This Row],[out]]=0,0,IF(raw[[#This Row],[out]]=raw[[#This Row],[in]],0.01,raw[[#This Row],[out]]-raw[[#This Row],[in]]))</f>
        <v/>
      </c>
      <c r="P1539" s="1397">
        <f>IF(raw[[#This Row],[in]]=0,0,MONTH(raw[[#This Row],[in]]))</f>
        <v/>
      </c>
      <c r="Q1539" s="1397">
        <f>IF(raw[[#This Row],[in]]=0,0,YEAR(raw[[#This Row],[in]]))</f>
        <v/>
      </c>
      <c r="R1539" s="1397">
        <f>INT(raw[[#This Row],[yr]]/10)*10</f>
        <v/>
      </c>
      <c r="S1539" s="1395">
        <f>IF(raw[[#This Row],[city]]="","-",IF(raw[[#This Row],[city]]&lt;&gt;_xlfn.XLOOKUP(raw[[#This Row],[home]],homes[home],homes[city],"-"),1,0))</f>
        <v/>
      </c>
      <c r="T1539" s="1398" t="inlineStr">
        <is>
          <t>.</t>
        </is>
      </c>
      <c r="U1539" s="1399">
        <f>IF(raw[[#This Row],[wb]]="w",raw[[#This Row],[stay]]+U1538,U1538)</f>
        <v/>
      </c>
      <c r="V1539" s="1400">
        <f>IF(raw[[#This Row],[out]]=0,V1538,(raw[[#This Row],[out]]-E$5))</f>
        <v/>
      </c>
      <c r="W1539" s="1401">
        <f>U1539/V1539</f>
        <v/>
      </c>
      <c r="X1539" s="1392" t="n"/>
      <c r="Y1539" s="1392" t="n"/>
      <c r="Z1539" s="1392" t="n"/>
      <c r="AA1539" s="1392" t="n"/>
      <c r="AB1539" s="1392" t="n"/>
      <c r="AC1539" s="1392" t="n"/>
      <c r="AD1539" s="1392" t="n"/>
      <c r="AE1539" s="1392" t="n"/>
      <c r="AF1539" s="1392" t="n"/>
      <c r="AG1539" s="1392" t="n"/>
      <c r="AH1539" s="1392" t="n"/>
      <c r="AI1539" s="1392" t="n"/>
      <c r="AJ1539" s="1392" t="n"/>
      <c r="AK1539" s="1392" t="n"/>
      <c r="AL1539" s="1392" t="n"/>
      <c r="AM1539" s="1392" t="n"/>
      <c r="AN1539" s="1392" t="n"/>
      <c r="AO1539" s="1392" t="n"/>
      <c r="AP1539" s="1392" t="n"/>
      <c r="AQ1539" s="1392" t="n"/>
      <c r="AR1539" s="1422" t="n"/>
      <c r="AS1539" s="1422" t="n"/>
      <c r="AT1539" s="1392" t="n"/>
      <c r="AU1539" s="1392" t="n"/>
      <c r="AV1539" s="1392" t="n"/>
      <c r="AW1539" s="1392" t="n"/>
      <c r="AX1539" s="1392" t="n"/>
      <c r="AY1539" s="1392" t="n"/>
      <c r="AZ1539" s="1392" t="n"/>
      <c r="BA1539" s="1422" t="n"/>
      <c r="BB1539" s="1422" t="n"/>
      <c r="BC1539" s="1392" t="n"/>
      <c r="BD1539" s="1392" t="n"/>
      <c r="BE1539" s="1392" t="n"/>
      <c r="BF1539" s="1392" t="n"/>
      <c r="BG1539" s="1392" t="n"/>
      <c r="BH1539" s="1392" t="n"/>
      <c r="BI1539" s="1392" t="n"/>
      <c r="BJ1539" s="1392" t="n"/>
      <c r="BK1539" s="1392" t="n"/>
      <c r="BL1539" s="1392" t="n"/>
      <c r="BM1539" s="1392" t="n"/>
      <c r="BN1539" s="1392" t="n"/>
      <c r="BO1539" s="1392" t="n"/>
      <c r="BP1539" s="1392" t="n"/>
      <c r="BQ1539" s="1392" t="n"/>
      <c r="BR1539" s="1392" t="n"/>
      <c r="BS1539" s="1392" t="n"/>
      <c r="BT1539" s="1392" t="n"/>
      <c r="BU1539" s="1392" t="n"/>
      <c r="BV1539" s="1392" t="n"/>
      <c r="BW1539" s="1392" t="n"/>
      <c r="BX1539" s="1392" t="n"/>
      <c r="BY1539" s="1392" t="n"/>
      <c r="BZ1539" s="1392" t="n"/>
      <c r="CA1539" s="1392" t="n"/>
      <c r="CB1539" s="1392" t="n"/>
      <c r="CC1539" s="1392" t="n"/>
      <c r="CD1539" s="1392" t="n"/>
      <c r="CE1539" s="1392" t="n"/>
      <c r="CF1539" s="1392" t="n"/>
      <c r="CG1539" s="1392" t="n"/>
      <c r="CH1539" s="1392" t="n"/>
      <c r="CI1539" s="1392" t="n"/>
      <c r="CJ1539" s="1392" t="n"/>
      <c r="CK1539" s="1392" t="n"/>
      <c r="CL1539" s="1392" t="n"/>
    </row>
    <row r="1540">
      <c r="A1540" s="5" t="inlineStr">
        <is>
          <t>.</t>
        </is>
      </c>
      <c r="B1540" s="5" t="inlineStr">
        <is>
          <t>.</t>
        </is>
      </c>
      <c r="C1540" s="1378">
        <f>IF(raw[[#This Row],[city]]="","-",IF(raw[[#This Row],[city]]="TODAY","-",C1539+1))</f>
        <v/>
      </c>
      <c r="D1540" s="1393" t="inlineStr">
        <is>
          <t>Montreal</t>
        </is>
      </c>
      <c r="E1540" s="1394" t="n">
        <v>43983</v>
      </c>
      <c r="F1540" s="1394" t="n">
        <v>44013</v>
      </c>
      <c r="G1540" s="1393" t="inlineStr">
        <is>
          <t>-</t>
        </is>
      </c>
      <c r="H1540" s="1393" t="inlineStr">
        <is>
          <t>Nadeau</t>
        </is>
      </c>
      <c r="I1540" s="1393" t="inlineStr">
        <is>
          <t>-</t>
        </is>
      </c>
      <c r="J1540" s="1393" t="inlineStr">
        <is>
          <t>-</t>
        </is>
      </c>
      <c r="K1540" s="1395">
        <f>IF(raw[[#This Row],[city]]&lt;&gt;"",_xlfn.XLOOKUP($D1540,ccc[city],ccc[prov],"-"),"-")</f>
        <v/>
      </c>
      <c r="L1540" s="1395">
        <f>IF(raw[[#This Row],[city]]&lt;&gt;"",_xlfn.XLOOKUP($D1540,ccc[city],ccc[ctry],"-"),"-")</f>
        <v/>
      </c>
      <c r="M1540" s="1395">
        <f>IF(raw[[#This Row],[city]]&lt;&gt;"",_xlfn.XLOOKUP($D1540,ccc[city],ccc[cont],"-"),"-")</f>
        <v/>
      </c>
      <c r="N1540" s="1396">
        <f>IF(raw[[#This Row],[city]]="","-",IF(raw[[#This Row],[cont]]="B",raw[[#This Row],[cont]],"W"))</f>
        <v/>
      </c>
      <c r="O1540" s="1397">
        <f>IF(raw[[#This Row],[out]]=0,0,IF(raw[[#This Row],[out]]=raw[[#This Row],[in]],0.01,raw[[#This Row],[out]]-raw[[#This Row],[in]]))</f>
        <v/>
      </c>
      <c r="P1540" s="1397">
        <f>IF(raw[[#This Row],[in]]=0,0,MONTH(raw[[#This Row],[in]]))</f>
        <v/>
      </c>
      <c r="Q1540" s="1397">
        <f>IF(raw[[#This Row],[in]]=0,0,YEAR(raw[[#This Row],[in]]))</f>
        <v/>
      </c>
      <c r="R1540" s="1397">
        <f>INT(raw[[#This Row],[yr]]/10)*10</f>
        <v/>
      </c>
      <c r="S1540" s="1395">
        <f>IF(raw[[#This Row],[city]]="","-",IF(raw[[#This Row],[city]]&lt;&gt;_xlfn.XLOOKUP(raw[[#This Row],[home]],homes[home],homes[city],"-"),1,0))</f>
        <v/>
      </c>
      <c r="T1540" s="1398" t="inlineStr">
        <is>
          <t>.</t>
        </is>
      </c>
      <c r="U1540" s="1399">
        <f>IF(raw[[#This Row],[wb]]="w",raw[[#This Row],[stay]]+U1539,U1539)</f>
        <v/>
      </c>
      <c r="V1540" s="1400">
        <f>IF(raw[[#This Row],[out]]=0,V1539,(raw[[#This Row],[out]]-E$5))</f>
        <v/>
      </c>
      <c r="W1540" s="1401">
        <f>U1540/V1540</f>
        <v/>
      </c>
      <c r="X1540" s="1392" t="n"/>
      <c r="Y1540" s="1392" t="n"/>
      <c r="Z1540" s="1392" t="n"/>
      <c r="AA1540" s="1392" t="n"/>
      <c r="AB1540" s="1392" t="n"/>
      <c r="AC1540" s="1392" t="n"/>
      <c r="AD1540" s="1392" t="n"/>
      <c r="AE1540" s="1392" t="n"/>
      <c r="AF1540" s="1392" t="n"/>
      <c r="AG1540" s="1392" t="n"/>
      <c r="AH1540" s="1392" t="n"/>
      <c r="AI1540" s="1392" t="n"/>
      <c r="AJ1540" s="1392" t="n"/>
      <c r="AK1540" s="1392" t="n"/>
      <c r="AL1540" s="1392" t="n"/>
      <c r="AM1540" s="1392" t="n"/>
      <c r="AN1540" s="1392" t="n"/>
      <c r="AO1540" s="1392" t="n"/>
      <c r="AP1540" s="1392" t="n"/>
      <c r="AQ1540" s="1392" t="n"/>
      <c r="AR1540" s="1422" t="n"/>
      <c r="AS1540" s="1422" t="n"/>
      <c r="AT1540" s="1392" t="n"/>
      <c r="AU1540" s="1392" t="n"/>
      <c r="AV1540" s="1392" t="n"/>
      <c r="AW1540" s="1392" t="n"/>
      <c r="AX1540" s="1392" t="n"/>
      <c r="AY1540" s="1392" t="n"/>
      <c r="AZ1540" s="1392" t="n"/>
      <c r="BA1540" s="1422" t="n"/>
      <c r="BB1540" s="1422" t="n"/>
      <c r="BC1540" s="1392" t="n"/>
      <c r="BD1540" s="1392" t="n"/>
      <c r="BE1540" s="1392" t="n"/>
      <c r="BF1540" s="1392" t="n"/>
      <c r="BG1540" s="1392" t="n"/>
      <c r="BH1540" s="1392" t="n"/>
      <c r="BI1540" s="1392" t="n"/>
      <c r="BJ1540" s="1392" t="n"/>
      <c r="BK1540" s="1392" t="n"/>
      <c r="BL1540" s="1392" t="n"/>
      <c r="BM1540" s="1392" t="n"/>
      <c r="BN1540" s="1392" t="n"/>
      <c r="BO1540" s="1392" t="n"/>
      <c r="BP1540" s="1392" t="n"/>
      <c r="BQ1540" s="1392" t="n"/>
      <c r="BR1540" s="1392" t="n"/>
      <c r="BS1540" s="1392" t="n"/>
      <c r="BT1540" s="1392" t="n"/>
      <c r="BU1540" s="1392" t="n"/>
      <c r="BV1540" s="1392" t="n"/>
      <c r="BW1540" s="1392" t="n"/>
      <c r="BX1540" s="1392" t="n"/>
      <c r="BY1540" s="1392" t="n"/>
      <c r="BZ1540" s="1392" t="n"/>
      <c r="CA1540" s="1392" t="n"/>
      <c r="CB1540" s="1392" t="n"/>
      <c r="CC1540" s="1392" t="n"/>
      <c r="CD1540" s="1392" t="n"/>
      <c r="CE1540" s="1392" t="n"/>
      <c r="CF1540" s="1392" t="n"/>
      <c r="CG1540" s="1392" t="n"/>
      <c r="CH1540" s="1392" t="n"/>
      <c r="CI1540" s="1392" t="n"/>
      <c r="CJ1540" s="1392" t="n"/>
      <c r="CK1540" s="1392" t="n"/>
      <c r="CL1540" s="1392" t="n"/>
    </row>
    <row r="1541">
      <c r="A1541" s="5" t="inlineStr">
        <is>
          <t>.</t>
        </is>
      </c>
      <c r="B1541" s="5" t="inlineStr">
        <is>
          <t>.</t>
        </is>
      </c>
      <c r="C1541" s="1378">
        <f>IF(raw[[#This Row],[city]]="","-",IF(raw[[#This Row],[city]]="TODAY","-",C1540+1))</f>
        <v/>
      </c>
      <c r="D1541" s="1393" t="inlineStr">
        <is>
          <t>Montreal</t>
        </is>
      </c>
      <c r="E1541" s="1394" t="n">
        <v>44013</v>
      </c>
      <c r="F1541" s="1394" t="n">
        <v>44044</v>
      </c>
      <c r="G1541" s="1393" t="inlineStr">
        <is>
          <t>-</t>
        </is>
      </c>
      <c r="H1541" s="1393" t="inlineStr">
        <is>
          <t>Nadeau</t>
        </is>
      </c>
      <c r="I1541" s="1393" t="inlineStr">
        <is>
          <t>-</t>
        </is>
      </c>
      <c r="J1541" s="1393" t="inlineStr">
        <is>
          <t>-</t>
        </is>
      </c>
      <c r="K1541" s="1395">
        <f>IF(raw[[#This Row],[city]]&lt;&gt;"",_xlfn.XLOOKUP($D1541,ccc[city],ccc[prov],"-"),"-")</f>
        <v/>
      </c>
      <c r="L1541" s="1395">
        <f>IF(raw[[#This Row],[city]]&lt;&gt;"",_xlfn.XLOOKUP($D1541,ccc[city],ccc[ctry],"-"),"-")</f>
        <v/>
      </c>
      <c r="M1541" s="1395">
        <f>IF(raw[[#This Row],[city]]&lt;&gt;"",_xlfn.XLOOKUP($D1541,ccc[city],ccc[cont],"-"),"-")</f>
        <v/>
      </c>
      <c r="N1541" s="1396">
        <f>IF(raw[[#This Row],[city]]="","-",IF(raw[[#This Row],[cont]]="B",raw[[#This Row],[cont]],"W"))</f>
        <v/>
      </c>
      <c r="O1541" s="1397">
        <f>IF(raw[[#This Row],[out]]=0,0,IF(raw[[#This Row],[out]]=raw[[#This Row],[in]],0.01,raw[[#This Row],[out]]-raw[[#This Row],[in]]))</f>
        <v/>
      </c>
      <c r="P1541" s="1397">
        <f>IF(raw[[#This Row],[in]]=0,0,MONTH(raw[[#This Row],[in]]))</f>
        <v/>
      </c>
      <c r="Q1541" s="1397">
        <f>IF(raw[[#This Row],[in]]=0,0,YEAR(raw[[#This Row],[in]]))</f>
        <v/>
      </c>
      <c r="R1541" s="1397">
        <f>INT(raw[[#This Row],[yr]]/10)*10</f>
        <v/>
      </c>
      <c r="S1541" s="1395">
        <f>IF(raw[[#This Row],[city]]="","-",IF(raw[[#This Row],[city]]&lt;&gt;_xlfn.XLOOKUP(raw[[#This Row],[home]],homes[home],homes[city],"-"),1,0))</f>
        <v/>
      </c>
      <c r="T1541" s="1398" t="inlineStr">
        <is>
          <t>.</t>
        </is>
      </c>
      <c r="U1541" s="1399">
        <f>IF(raw[[#This Row],[wb]]="w",raw[[#This Row],[stay]]+U1540,U1540)</f>
        <v/>
      </c>
      <c r="V1541" s="1400">
        <f>IF(raw[[#This Row],[out]]=0,V1540,(raw[[#This Row],[out]]-E$5))</f>
        <v/>
      </c>
      <c r="W1541" s="1401">
        <f>U1541/V1541</f>
        <v/>
      </c>
      <c r="X1541" s="1392" t="n"/>
      <c r="Y1541" s="1392" t="n"/>
      <c r="Z1541" s="1392" t="n"/>
      <c r="AA1541" s="1392" t="n"/>
      <c r="AB1541" s="1392" t="n"/>
      <c r="AC1541" s="1392" t="n"/>
      <c r="AD1541" s="1392" t="n"/>
      <c r="AE1541" s="1392" t="n"/>
      <c r="AF1541" s="1392" t="n"/>
      <c r="AG1541" s="1392" t="n"/>
      <c r="AH1541" s="1392" t="n"/>
      <c r="AI1541" s="1392" t="n"/>
      <c r="AJ1541" s="1392" t="n"/>
      <c r="AK1541" s="1392" t="n"/>
      <c r="AL1541" s="1392" t="n"/>
      <c r="AM1541" s="1392" t="n"/>
      <c r="AN1541" s="1392" t="n"/>
      <c r="AO1541" s="1392" t="n"/>
      <c r="AP1541" s="1392" t="n"/>
      <c r="AQ1541" s="1392" t="n"/>
      <c r="AR1541" s="1422" t="n"/>
      <c r="AS1541" s="1422" t="n"/>
      <c r="AT1541" s="1392" t="n"/>
      <c r="AU1541" s="1392" t="n"/>
      <c r="AV1541" s="1392" t="n"/>
      <c r="AW1541" s="1392" t="n"/>
      <c r="AX1541" s="1392" t="n"/>
      <c r="AY1541" s="1392" t="n"/>
      <c r="AZ1541" s="1392" t="n"/>
      <c r="BA1541" s="1422" t="n"/>
      <c r="BB1541" s="1422" t="n"/>
      <c r="BC1541" s="1392" t="n"/>
      <c r="BD1541" s="1392" t="n"/>
      <c r="BE1541" s="1392" t="n"/>
      <c r="BF1541" s="1392" t="n"/>
      <c r="BG1541" s="1392" t="n"/>
      <c r="BH1541" s="1392" t="n"/>
      <c r="BI1541" s="1392" t="n"/>
      <c r="BJ1541" s="1392" t="n"/>
      <c r="BK1541" s="1392" t="n"/>
      <c r="BL1541" s="1392" t="n"/>
      <c r="BM1541" s="1392" t="n"/>
      <c r="BN1541" s="1392" t="n"/>
      <c r="BO1541" s="1392" t="n"/>
      <c r="BP1541" s="1392" t="n"/>
      <c r="BQ1541" s="1392" t="n"/>
      <c r="BR1541" s="1392" t="n"/>
      <c r="BS1541" s="1392" t="n"/>
      <c r="BT1541" s="1392" t="n"/>
      <c r="BU1541" s="1392" t="n"/>
      <c r="BV1541" s="1392" t="n"/>
      <c r="BW1541" s="1392" t="n"/>
      <c r="BX1541" s="1392" t="n"/>
      <c r="BY1541" s="1392" t="n"/>
      <c r="BZ1541" s="1392" t="n"/>
      <c r="CA1541" s="1392" t="n"/>
      <c r="CB1541" s="1392" t="n"/>
      <c r="CC1541" s="1392" t="n"/>
      <c r="CD1541" s="1392" t="n"/>
      <c r="CE1541" s="1392" t="n"/>
      <c r="CF1541" s="1392" t="n"/>
      <c r="CG1541" s="1392" t="n"/>
      <c r="CH1541" s="1392" t="n"/>
      <c r="CI1541" s="1392" t="n"/>
      <c r="CJ1541" s="1392" t="n"/>
      <c r="CK1541" s="1392" t="n"/>
      <c r="CL1541" s="1392" t="n"/>
    </row>
    <row r="1542">
      <c r="A1542" s="5" t="inlineStr">
        <is>
          <t>.</t>
        </is>
      </c>
      <c r="B1542" s="5" t="inlineStr">
        <is>
          <t>.</t>
        </is>
      </c>
      <c r="C1542" s="1378">
        <f>IF(raw[[#This Row],[city]]="","-",IF(raw[[#This Row],[city]]="TODAY","-",C1541+1))</f>
        <v/>
      </c>
      <c r="D1542" s="1393" t="inlineStr">
        <is>
          <t>Montreal</t>
        </is>
      </c>
      <c r="E1542" s="1394" t="n">
        <v>44044</v>
      </c>
      <c r="F1542" s="1394" t="n">
        <v>44063</v>
      </c>
      <c r="G1542" s="1393" t="inlineStr">
        <is>
          <t>-</t>
        </is>
      </c>
      <c r="H1542" s="1393" t="inlineStr">
        <is>
          <t>Nadeau</t>
        </is>
      </c>
      <c r="I1542" s="1393" t="inlineStr">
        <is>
          <t>-</t>
        </is>
      </c>
      <c r="J1542" s="1393" t="inlineStr">
        <is>
          <t>-</t>
        </is>
      </c>
      <c r="K1542" s="1395">
        <f>IF(raw[[#This Row],[city]]&lt;&gt;"",_xlfn.XLOOKUP($D1542,ccc[city],ccc[prov],"-"),"-")</f>
        <v/>
      </c>
      <c r="L1542" s="1395">
        <f>IF(raw[[#This Row],[city]]&lt;&gt;"",_xlfn.XLOOKUP($D1542,ccc[city],ccc[ctry],"-"),"-")</f>
        <v/>
      </c>
      <c r="M1542" s="1395">
        <f>IF(raw[[#This Row],[city]]&lt;&gt;"",_xlfn.XLOOKUP($D1542,ccc[city],ccc[cont],"-"),"-")</f>
        <v/>
      </c>
      <c r="N1542" s="1396">
        <f>IF(raw[[#This Row],[city]]="","-",IF(raw[[#This Row],[cont]]="B",raw[[#This Row],[cont]],"W"))</f>
        <v/>
      </c>
      <c r="O1542" s="1397">
        <f>IF(raw[[#This Row],[out]]=0,0,IF(raw[[#This Row],[out]]=raw[[#This Row],[in]],0.01,raw[[#This Row],[out]]-raw[[#This Row],[in]]))</f>
        <v/>
      </c>
      <c r="P1542" s="1397">
        <f>IF(raw[[#This Row],[in]]=0,0,MONTH(raw[[#This Row],[in]]))</f>
        <v/>
      </c>
      <c r="Q1542" s="1397">
        <f>IF(raw[[#This Row],[in]]=0,0,YEAR(raw[[#This Row],[in]]))</f>
        <v/>
      </c>
      <c r="R1542" s="1397">
        <f>INT(raw[[#This Row],[yr]]/10)*10</f>
        <v/>
      </c>
      <c r="S1542" s="1395">
        <f>IF(raw[[#This Row],[city]]="","-",IF(raw[[#This Row],[city]]&lt;&gt;_xlfn.XLOOKUP(raw[[#This Row],[home]],homes[home],homes[city],"-"),1,0))</f>
        <v/>
      </c>
      <c r="T1542" s="1398" t="inlineStr">
        <is>
          <t>.</t>
        </is>
      </c>
      <c r="U1542" s="1399">
        <f>IF(raw[[#This Row],[wb]]="w",raw[[#This Row],[stay]]+U1541,U1541)</f>
        <v/>
      </c>
      <c r="V1542" s="1400">
        <f>IF(raw[[#This Row],[out]]=0,V1541,(raw[[#This Row],[out]]-E$5))</f>
        <v/>
      </c>
      <c r="W1542" s="1401">
        <f>U1542/V1542</f>
        <v/>
      </c>
      <c r="X1542" s="1392" t="n"/>
      <c r="Y1542" s="1392" t="n"/>
      <c r="Z1542" s="1392" t="n"/>
      <c r="AA1542" s="1392" t="n"/>
      <c r="AB1542" s="1392" t="n"/>
      <c r="AC1542" s="1392" t="n"/>
      <c r="AD1542" s="1392" t="n"/>
      <c r="AE1542" s="1392" t="n"/>
      <c r="AF1542" s="1392" t="n"/>
      <c r="AG1542" s="1392" t="n"/>
      <c r="AH1542" s="1392" t="n"/>
      <c r="AI1542" s="1392" t="n"/>
      <c r="AJ1542" s="1392" t="n"/>
      <c r="AK1542" s="1392" t="n"/>
      <c r="AL1542" s="1392" t="n"/>
      <c r="AM1542" s="1392" t="n"/>
      <c r="AN1542" s="1392" t="n"/>
      <c r="AO1542" s="1392" t="n"/>
      <c r="AP1542" s="1392" t="n"/>
      <c r="AQ1542" s="1392" t="n"/>
      <c r="AR1542" s="1422" t="n"/>
      <c r="AS1542" s="1422" t="n"/>
      <c r="AT1542" s="1392" t="n"/>
      <c r="AU1542" s="1392" t="n"/>
      <c r="AV1542" s="1392" t="n"/>
      <c r="AW1542" s="1392" t="n"/>
      <c r="AX1542" s="1392" t="n"/>
      <c r="AY1542" s="1392" t="n"/>
      <c r="AZ1542" s="1392" t="n"/>
      <c r="BA1542" s="1422" t="n"/>
      <c r="BB1542" s="1422" t="n"/>
      <c r="BC1542" s="1392" t="n"/>
      <c r="BD1542" s="1392" t="n"/>
      <c r="BE1542" s="1392" t="n"/>
      <c r="BF1542" s="1392" t="n"/>
      <c r="BG1542" s="1392" t="n"/>
      <c r="BH1542" s="1392" t="n"/>
      <c r="BI1542" s="1392" t="n"/>
      <c r="BJ1542" s="1392" t="n"/>
      <c r="BK1542" s="1392" t="n"/>
      <c r="BL1542" s="1392" t="n"/>
      <c r="BM1542" s="1392" t="n"/>
      <c r="BN1542" s="1392" t="n"/>
      <c r="BO1542" s="1392" t="n"/>
      <c r="BP1542" s="1392" t="n"/>
      <c r="BQ1542" s="1392" t="n"/>
      <c r="BR1542" s="1392" t="n"/>
      <c r="BS1542" s="1392" t="n"/>
      <c r="BT1542" s="1392" t="n"/>
      <c r="BU1542" s="1392" t="n"/>
      <c r="BV1542" s="1392" t="n"/>
      <c r="BW1542" s="1392" t="n"/>
      <c r="BX1542" s="1392" t="n"/>
      <c r="BY1542" s="1392" t="n"/>
      <c r="BZ1542" s="1392" t="n"/>
      <c r="CA1542" s="1392" t="n"/>
      <c r="CB1542" s="1392" t="n"/>
      <c r="CC1542" s="1392" t="n"/>
      <c r="CD1542" s="1392" t="n"/>
      <c r="CE1542" s="1392" t="n"/>
      <c r="CF1542" s="1392" t="n"/>
      <c r="CG1542" s="1392" t="n"/>
      <c r="CH1542" s="1392" t="n"/>
      <c r="CI1542" s="1392" t="n"/>
      <c r="CJ1542" s="1392" t="n"/>
      <c r="CK1542" s="1392" t="n"/>
      <c r="CL1542" s="1392" t="n"/>
    </row>
    <row r="1543">
      <c r="A1543" s="5" t="inlineStr">
        <is>
          <t>.</t>
        </is>
      </c>
      <c r="B1543" s="5" t="inlineStr">
        <is>
          <t>.</t>
        </is>
      </c>
      <c r="C1543" s="1378">
        <f>IF(raw[[#This Row],[city]]="","-",IF(raw[[#This Row],[city]]="TODAY","-",C1542+1))</f>
        <v/>
      </c>
      <c r="D1543" s="1393" t="inlineStr">
        <is>
          <t>Gananoque</t>
        </is>
      </c>
      <c r="E1543" s="1394" t="n">
        <v>44063</v>
      </c>
      <c r="F1543" s="1394" t="n">
        <v>44063</v>
      </c>
      <c r="G1543" s="1393" t="inlineStr">
        <is>
          <t>-</t>
        </is>
      </c>
      <c r="H1543" s="1393" t="inlineStr">
        <is>
          <t>Nadeau</t>
        </is>
      </c>
      <c r="I1543" s="1393" t="inlineStr">
        <is>
          <t>-</t>
        </is>
      </c>
      <c r="J1543" s="1393" t="inlineStr">
        <is>
          <t>-</t>
        </is>
      </c>
      <c r="K1543" s="1395">
        <f>IF(raw[[#This Row],[city]]&lt;&gt;"",_xlfn.XLOOKUP($D1543,ccc[city],ccc[prov],"-"),"-")</f>
        <v/>
      </c>
      <c r="L1543" s="1395">
        <f>IF(raw[[#This Row],[city]]&lt;&gt;"",_xlfn.XLOOKUP($D1543,ccc[city],ccc[ctry],"-"),"-")</f>
        <v/>
      </c>
      <c r="M1543" s="1395">
        <f>IF(raw[[#This Row],[city]]&lt;&gt;"",_xlfn.XLOOKUP($D1543,ccc[city],ccc[cont],"-"),"-")</f>
        <v/>
      </c>
      <c r="N1543" s="1396">
        <f>IF(raw[[#This Row],[city]]="","-",IF(raw[[#This Row],[cont]]="B",raw[[#This Row],[cont]],"W"))</f>
        <v/>
      </c>
      <c r="O1543" s="1397">
        <f>IF(raw[[#This Row],[out]]=0,0,IF(raw[[#This Row],[out]]=raw[[#This Row],[in]],0.01,raw[[#This Row],[out]]-raw[[#This Row],[in]]))</f>
        <v/>
      </c>
      <c r="P1543" s="1397">
        <f>IF(raw[[#This Row],[in]]=0,0,MONTH(raw[[#This Row],[in]]))</f>
        <v/>
      </c>
      <c r="Q1543" s="1397">
        <f>IF(raw[[#This Row],[in]]=0,0,YEAR(raw[[#This Row],[in]]))</f>
        <v/>
      </c>
      <c r="R1543" s="1397">
        <f>INT(raw[[#This Row],[yr]]/10)*10</f>
        <v/>
      </c>
      <c r="S1543" s="1395">
        <f>IF(raw[[#This Row],[city]]="","-",IF(raw[[#This Row],[city]]&lt;&gt;_xlfn.XLOOKUP(raw[[#This Row],[home]],homes[home],homes[city],"-"),1,0))</f>
        <v/>
      </c>
      <c r="T1543" s="1398" t="inlineStr">
        <is>
          <t>.</t>
        </is>
      </c>
      <c r="U1543" s="1399">
        <f>IF(raw[[#This Row],[wb]]="w",raw[[#This Row],[stay]]+U1542,U1542)</f>
        <v/>
      </c>
      <c r="V1543" s="1400">
        <f>IF(raw[[#This Row],[out]]=0,V1542,(raw[[#This Row],[out]]-E$5))</f>
        <v/>
      </c>
      <c r="W1543" s="1401">
        <f>U1543/V1543</f>
        <v/>
      </c>
      <c r="X1543" s="1392" t="n"/>
      <c r="Y1543" s="1392" t="n"/>
      <c r="Z1543" s="1392" t="n"/>
      <c r="AA1543" s="1392" t="n"/>
      <c r="AB1543" s="1392" t="n"/>
      <c r="AC1543" s="1392" t="n"/>
      <c r="AD1543" s="1392" t="n"/>
      <c r="AE1543" s="1392" t="n"/>
      <c r="AF1543" s="1392" t="n"/>
      <c r="AG1543" s="1392" t="n"/>
      <c r="AH1543" s="1392" t="n"/>
      <c r="AI1543" s="1392" t="n"/>
      <c r="AJ1543" s="1392" t="n"/>
      <c r="AK1543" s="1392" t="n"/>
      <c r="AL1543" s="1392" t="n"/>
      <c r="AM1543" s="1392" t="n"/>
      <c r="AN1543" s="1392" t="n"/>
      <c r="AO1543" s="1392" t="n"/>
      <c r="AP1543" s="1392" t="n"/>
      <c r="AQ1543" s="1392" t="n"/>
      <c r="AR1543" s="1422" t="n"/>
      <c r="AS1543" s="1422" t="n"/>
      <c r="AT1543" s="1392" t="n"/>
      <c r="AU1543" s="1392" t="n"/>
      <c r="AV1543" s="1392" t="n"/>
      <c r="AW1543" s="1392" t="n"/>
      <c r="AX1543" s="1392" t="n"/>
      <c r="AY1543" s="1392" t="n"/>
      <c r="AZ1543" s="1392" t="n"/>
      <c r="BA1543" s="1422" t="n"/>
      <c r="BB1543" s="1422" t="n"/>
      <c r="BC1543" s="1392" t="n"/>
      <c r="BD1543" s="1392" t="n"/>
      <c r="BE1543" s="1392" t="n"/>
      <c r="BF1543" s="1392" t="n"/>
      <c r="BG1543" s="1392" t="n"/>
      <c r="BH1543" s="1392" t="n"/>
      <c r="BI1543" s="1392" t="n"/>
      <c r="BJ1543" s="1392" t="n"/>
      <c r="BK1543" s="1392" t="n"/>
      <c r="BL1543" s="1392" t="n"/>
      <c r="BM1543" s="1392" t="n"/>
      <c r="BN1543" s="1392" t="n"/>
      <c r="BO1543" s="1392" t="n"/>
      <c r="BP1543" s="1392" t="n"/>
      <c r="BQ1543" s="1392" t="n"/>
      <c r="BR1543" s="1392" t="n"/>
      <c r="BS1543" s="1392" t="n"/>
      <c r="BT1543" s="1392" t="n"/>
      <c r="BU1543" s="1392" t="n"/>
      <c r="BV1543" s="1392" t="n"/>
      <c r="BW1543" s="1392" t="n"/>
      <c r="BX1543" s="1392" t="n"/>
      <c r="BY1543" s="1392" t="n"/>
      <c r="BZ1543" s="1392" t="n"/>
      <c r="CA1543" s="1392" t="n"/>
      <c r="CB1543" s="1392" t="n"/>
      <c r="CC1543" s="1392" t="n"/>
      <c r="CD1543" s="1392" t="n"/>
      <c r="CE1543" s="1392" t="n"/>
      <c r="CF1543" s="1392" t="n"/>
      <c r="CG1543" s="1392" t="n"/>
      <c r="CH1543" s="1392" t="n"/>
      <c r="CI1543" s="1392" t="n"/>
      <c r="CJ1543" s="1392" t="n"/>
      <c r="CK1543" s="1392" t="n"/>
      <c r="CL1543" s="1392" t="n"/>
    </row>
    <row r="1544">
      <c r="A1544" s="5" t="inlineStr">
        <is>
          <t>.</t>
        </is>
      </c>
      <c r="B1544" s="5" t="inlineStr">
        <is>
          <t>.</t>
        </is>
      </c>
      <c r="C1544" s="1378">
        <f>IF(raw[[#This Row],[city]]="","-",IF(raw[[#This Row],[city]]="TODAY","-",C1543+1))</f>
        <v/>
      </c>
      <c r="D1544" s="1393" t="inlineStr">
        <is>
          <t>Toronto</t>
        </is>
      </c>
      <c r="E1544" s="1394" t="n">
        <v>44063</v>
      </c>
      <c r="F1544" s="1394" t="n">
        <v>44064</v>
      </c>
      <c r="G1544" s="1393" t="inlineStr">
        <is>
          <t>-</t>
        </is>
      </c>
      <c r="H1544" s="1393" t="inlineStr">
        <is>
          <t>Nadeau</t>
        </is>
      </c>
      <c r="I1544" s="1393" t="inlineStr">
        <is>
          <t>-</t>
        </is>
      </c>
      <c r="J1544" s="1393" t="inlineStr">
        <is>
          <t>-</t>
        </is>
      </c>
      <c r="K1544" s="1395">
        <f>IF(raw[[#This Row],[city]]&lt;&gt;"",_xlfn.XLOOKUP($D1544,ccc[city],ccc[prov],"-"),"-")</f>
        <v/>
      </c>
      <c r="L1544" s="1395">
        <f>IF(raw[[#This Row],[city]]&lt;&gt;"",_xlfn.XLOOKUP($D1544,ccc[city],ccc[ctry],"-"),"-")</f>
        <v/>
      </c>
      <c r="M1544" s="1395">
        <f>IF(raw[[#This Row],[city]]&lt;&gt;"",_xlfn.XLOOKUP($D1544,ccc[city],ccc[cont],"-"),"-")</f>
        <v/>
      </c>
      <c r="N1544" s="1396">
        <f>IF(raw[[#This Row],[city]]="","-",IF(raw[[#This Row],[cont]]="B",raw[[#This Row],[cont]],"W"))</f>
        <v/>
      </c>
      <c r="O1544" s="1397">
        <f>IF(raw[[#This Row],[out]]=0,0,IF(raw[[#This Row],[out]]=raw[[#This Row],[in]],0.01,raw[[#This Row],[out]]-raw[[#This Row],[in]]))</f>
        <v/>
      </c>
      <c r="P1544" s="1397">
        <f>IF(raw[[#This Row],[in]]=0,0,MONTH(raw[[#This Row],[in]]))</f>
        <v/>
      </c>
      <c r="Q1544" s="1397">
        <f>IF(raw[[#This Row],[in]]=0,0,YEAR(raw[[#This Row],[in]]))</f>
        <v/>
      </c>
      <c r="R1544" s="1397">
        <f>INT(raw[[#This Row],[yr]]/10)*10</f>
        <v/>
      </c>
      <c r="S1544" s="1395">
        <f>IF(raw[[#This Row],[city]]="","-",IF(raw[[#This Row],[city]]&lt;&gt;_xlfn.XLOOKUP(raw[[#This Row],[home]],homes[home],homes[city],"-"),1,0))</f>
        <v/>
      </c>
      <c r="T1544" s="1398" t="inlineStr">
        <is>
          <t>.</t>
        </is>
      </c>
      <c r="U1544" s="1399">
        <f>IF(raw[[#This Row],[wb]]="w",raw[[#This Row],[stay]]+U1543,U1543)</f>
        <v/>
      </c>
      <c r="V1544" s="1400">
        <f>IF(raw[[#This Row],[out]]=0,V1543,(raw[[#This Row],[out]]-E$5))</f>
        <v/>
      </c>
      <c r="W1544" s="1401">
        <f>U1544/V1544</f>
        <v/>
      </c>
      <c r="X1544" s="1392" t="n"/>
      <c r="Y1544" s="1392" t="n"/>
      <c r="Z1544" s="1392" t="n"/>
      <c r="AA1544" s="1392" t="n"/>
      <c r="AB1544" s="1392" t="n"/>
      <c r="AC1544" s="1392" t="n"/>
      <c r="AD1544" s="1392" t="n"/>
      <c r="AE1544" s="1392" t="n"/>
      <c r="AF1544" s="1392" t="n"/>
      <c r="AG1544" s="1392" t="n"/>
      <c r="AH1544" s="1392" t="n"/>
      <c r="AI1544" s="1392" t="n"/>
      <c r="AJ1544" s="1392" t="n"/>
      <c r="AK1544" s="1392" t="n"/>
      <c r="AL1544" s="1392" t="n"/>
      <c r="AM1544" s="1392" t="n"/>
      <c r="AN1544" s="1392" t="n"/>
      <c r="AO1544" s="1392" t="n"/>
      <c r="AP1544" s="1392" t="n"/>
      <c r="AQ1544" s="1392" t="n"/>
      <c r="AR1544" s="1422" t="n"/>
      <c r="AS1544" s="1422" t="n"/>
      <c r="AT1544" s="1392" t="n"/>
      <c r="AU1544" s="1392" t="n"/>
      <c r="AV1544" s="1392" t="n"/>
      <c r="AW1544" s="1392" t="n"/>
      <c r="AX1544" s="1392" t="n"/>
      <c r="AY1544" s="1392" t="n"/>
      <c r="AZ1544" s="1392" t="n"/>
      <c r="BA1544" s="1422" t="n"/>
      <c r="BB1544" s="1422" t="n"/>
      <c r="BC1544" s="1392" t="n"/>
      <c r="BD1544" s="1392" t="n"/>
      <c r="BE1544" s="1392" t="n"/>
      <c r="BF1544" s="1392" t="n"/>
      <c r="BG1544" s="1392" t="n"/>
      <c r="BH1544" s="1392" t="n"/>
      <c r="BI1544" s="1392" t="n"/>
      <c r="BJ1544" s="1392" t="n"/>
      <c r="BK1544" s="1392" t="n"/>
      <c r="BL1544" s="1392" t="n"/>
      <c r="BM1544" s="1392" t="n"/>
      <c r="BN1544" s="1392" t="n"/>
      <c r="BO1544" s="1392" t="n"/>
      <c r="BP1544" s="1392" t="n"/>
      <c r="BQ1544" s="1392" t="n"/>
      <c r="BR1544" s="1392" t="n"/>
      <c r="BS1544" s="1392" t="n"/>
      <c r="BT1544" s="1392" t="n"/>
      <c r="BU1544" s="1392" t="n"/>
      <c r="BV1544" s="1392" t="n"/>
      <c r="BW1544" s="1392" t="n"/>
      <c r="BX1544" s="1392" t="n"/>
      <c r="BY1544" s="1392" t="n"/>
      <c r="BZ1544" s="1392" t="n"/>
      <c r="CA1544" s="1392" t="n"/>
      <c r="CB1544" s="1392" t="n"/>
      <c r="CC1544" s="1392" t="n"/>
      <c r="CD1544" s="1392" t="n"/>
      <c r="CE1544" s="1392" t="n"/>
      <c r="CF1544" s="1392" t="n"/>
      <c r="CG1544" s="1392" t="n"/>
      <c r="CH1544" s="1392" t="n"/>
      <c r="CI1544" s="1392" t="n"/>
      <c r="CJ1544" s="1392" t="n"/>
      <c r="CK1544" s="1392" t="n"/>
      <c r="CL1544" s="1392" t="n"/>
    </row>
    <row r="1545">
      <c r="A1545" s="5" t="inlineStr">
        <is>
          <t>.</t>
        </is>
      </c>
      <c r="B1545" s="5" t="inlineStr">
        <is>
          <t>.</t>
        </is>
      </c>
      <c r="C1545" s="1378">
        <f>IF(raw[[#This Row],[city]]="","-",IF(raw[[#This Row],[city]]="TODAY","-",C1544+1))</f>
        <v/>
      </c>
      <c r="D1545" s="1393" t="inlineStr">
        <is>
          <t>Niagara Falls</t>
        </is>
      </c>
      <c r="E1545" s="1394" t="n">
        <v>44064</v>
      </c>
      <c r="F1545" s="1394" t="n">
        <v>44066</v>
      </c>
      <c r="G1545" s="1393" t="inlineStr">
        <is>
          <t>-</t>
        </is>
      </c>
      <c r="H1545" s="1393" t="inlineStr">
        <is>
          <t>Nadeau</t>
        </is>
      </c>
      <c r="I1545" s="1393" t="inlineStr">
        <is>
          <t>-</t>
        </is>
      </c>
      <c r="J1545" s="1393" t="inlineStr">
        <is>
          <t>-</t>
        </is>
      </c>
      <c r="K1545" s="1395">
        <f>IF(raw[[#This Row],[city]]&lt;&gt;"",_xlfn.XLOOKUP($D1545,ccc[city],ccc[prov],"-"),"-")</f>
        <v/>
      </c>
      <c r="L1545" s="1395">
        <f>IF(raw[[#This Row],[city]]&lt;&gt;"",_xlfn.XLOOKUP($D1545,ccc[city],ccc[ctry],"-"),"-")</f>
        <v/>
      </c>
      <c r="M1545" s="1395">
        <f>IF(raw[[#This Row],[city]]&lt;&gt;"",_xlfn.XLOOKUP($D1545,ccc[city],ccc[cont],"-"),"-")</f>
        <v/>
      </c>
      <c r="N1545" s="1396">
        <f>IF(raw[[#This Row],[city]]="","-",IF(raw[[#This Row],[cont]]="B",raw[[#This Row],[cont]],"W"))</f>
        <v/>
      </c>
      <c r="O1545" s="1397">
        <f>IF(raw[[#This Row],[out]]=0,0,IF(raw[[#This Row],[out]]=raw[[#This Row],[in]],0.01,raw[[#This Row],[out]]-raw[[#This Row],[in]]))</f>
        <v/>
      </c>
      <c r="P1545" s="1397">
        <f>IF(raw[[#This Row],[in]]=0,0,MONTH(raw[[#This Row],[in]]))</f>
        <v/>
      </c>
      <c r="Q1545" s="1397">
        <f>IF(raw[[#This Row],[in]]=0,0,YEAR(raw[[#This Row],[in]]))</f>
        <v/>
      </c>
      <c r="R1545" s="1397">
        <f>INT(raw[[#This Row],[yr]]/10)*10</f>
        <v/>
      </c>
      <c r="S1545" s="1395">
        <f>IF(raw[[#This Row],[city]]="","-",IF(raw[[#This Row],[city]]&lt;&gt;_xlfn.XLOOKUP(raw[[#This Row],[home]],homes[home],homes[city],"-"),1,0))</f>
        <v/>
      </c>
      <c r="T1545" s="1398" t="inlineStr">
        <is>
          <t>.</t>
        </is>
      </c>
      <c r="U1545" s="1399">
        <f>IF(raw[[#This Row],[wb]]="w",raw[[#This Row],[stay]]+U1544,U1544)</f>
        <v/>
      </c>
      <c r="V1545" s="1400">
        <f>IF(raw[[#This Row],[out]]=0,V1544,(raw[[#This Row],[out]]-E$5))</f>
        <v/>
      </c>
      <c r="W1545" s="1401">
        <f>U1545/V1545</f>
        <v/>
      </c>
      <c r="X1545" s="1392" t="n"/>
      <c r="Y1545" s="1392" t="n"/>
      <c r="Z1545" s="1392" t="n"/>
      <c r="AA1545" s="1392" t="n"/>
      <c r="AB1545" s="1392" t="n"/>
      <c r="AC1545" s="1392" t="n"/>
      <c r="AD1545" s="1392" t="n"/>
      <c r="AE1545" s="1392" t="n"/>
      <c r="AF1545" s="1392" t="n"/>
      <c r="AG1545" s="1392" t="n"/>
      <c r="AH1545" s="1392" t="n"/>
      <c r="AI1545" s="1392" t="n"/>
      <c r="AJ1545" s="1392" t="n"/>
      <c r="AK1545" s="1392" t="n"/>
      <c r="AL1545" s="1392" t="n"/>
      <c r="AM1545" s="1392" t="n"/>
      <c r="AN1545" s="1392" t="n"/>
      <c r="AO1545" s="1392" t="n"/>
      <c r="AP1545" s="1392" t="n"/>
      <c r="AQ1545" s="1392" t="n"/>
      <c r="AR1545" s="1422" t="n"/>
      <c r="AS1545" s="1422" t="n"/>
      <c r="AT1545" s="1392" t="n"/>
      <c r="AU1545" s="1392" t="n"/>
      <c r="AV1545" s="1392" t="n"/>
      <c r="AW1545" s="1392" t="n"/>
      <c r="AX1545" s="1392" t="n"/>
      <c r="AY1545" s="1392" t="n"/>
      <c r="AZ1545" s="1392" t="n"/>
      <c r="BA1545" s="1422" t="n"/>
      <c r="BB1545" s="1422" t="n"/>
      <c r="BC1545" s="1392" t="n"/>
      <c r="BD1545" s="1392" t="n"/>
      <c r="BE1545" s="1392" t="n"/>
      <c r="BF1545" s="1392" t="n"/>
      <c r="BG1545" s="1392" t="n"/>
      <c r="BH1545" s="1392" t="n"/>
      <c r="BI1545" s="1392" t="n"/>
      <c r="BJ1545" s="1392" t="n"/>
      <c r="BK1545" s="1392" t="n"/>
      <c r="BL1545" s="1392" t="n"/>
      <c r="BM1545" s="1392" t="n"/>
      <c r="BN1545" s="1392" t="n"/>
      <c r="BO1545" s="1392" t="n"/>
      <c r="BP1545" s="1392" t="n"/>
      <c r="BQ1545" s="1392" t="n"/>
      <c r="BR1545" s="1392" t="n"/>
      <c r="BS1545" s="1392" t="n"/>
      <c r="BT1545" s="1392" t="n"/>
      <c r="BU1545" s="1392" t="n"/>
      <c r="BV1545" s="1392" t="n"/>
      <c r="BW1545" s="1392" t="n"/>
      <c r="BX1545" s="1392" t="n"/>
      <c r="BY1545" s="1392" t="n"/>
      <c r="BZ1545" s="1392" t="n"/>
      <c r="CA1545" s="1392" t="n"/>
      <c r="CB1545" s="1392" t="n"/>
      <c r="CC1545" s="1392" t="n"/>
      <c r="CD1545" s="1392" t="n"/>
      <c r="CE1545" s="1392" t="n"/>
      <c r="CF1545" s="1392" t="n"/>
      <c r="CG1545" s="1392" t="n"/>
      <c r="CH1545" s="1392" t="n"/>
      <c r="CI1545" s="1392" t="n"/>
      <c r="CJ1545" s="1392" t="n"/>
      <c r="CK1545" s="1392" t="n"/>
      <c r="CL1545" s="1392" t="n"/>
    </row>
    <row r="1546">
      <c r="A1546" s="5" t="inlineStr">
        <is>
          <t>.</t>
        </is>
      </c>
      <c r="B1546" s="5" t="inlineStr">
        <is>
          <t>.</t>
        </is>
      </c>
      <c r="C1546" s="1378">
        <f>IF(raw[[#This Row],[city]]="","-",IF(raw[[#This Row],[city]]="TODAY","-",C1545+1))</f>
        <v/>
      </c>
      <c r="D1546" s="1393" t="inlineStr">
        <is>
          <t>Montreal</t>
        </is>
      </c>
      <c r="E1546" s="1394" t="n">
        <v>44066</v>
      </c>
      <c r="F1546" s="1394" t="n">
        <v>44075</v>
      </c>
      <c r="G1546" s="1393" t="inlineStr">
        <is>
          <t>-</t>
        </is>
      </c>
      <c r="H1546" s="1393" t="inlineStr">
        <is>
          <t>Nadeau</t>
        </is>
      </c>
      <c r="I1546" s="1393" t="inlineStr">
        <is>
          <t>-</t>
        </is>
      </c>
      <c r="J1546" s="1393" t="inlineStr">
        <is>
          <t>BDAY</t>
        </is>
      </c>
      <c r="K1546" s="1395">
        <f>IF(raw[[#This Row],[city]]&lt;&gt;"",_xlfn.XLOOKUP($D1546,ccc[city],ccc[prov],"-"),"-")</f>
        <v/>
      </c>
      <c r="L1546" s="1395">
        <f>IF(raw[[#This Row],[city]]&lt;&gt;"",_xlfn.XLOOKUP($D1546,ccc[city],ccc[ctry],"-"),"-")</f>
        <v/>
      </c>
      <c r="M1546" s="1395">
        <f>IF(raw[[#This Row],[city]]&lt;&gt;"",_xlfn.XLOOKUP($D1546,ccc[city],ccc[cont],"-"),"-")</f>
        <v/>
      </c>
      <c r="N1546" s="1396">
        <f>IF(raw[[#This Row],[city]]="","-",IF(raw[[#This Row],[cont]]="B",raw[[#This Row],[cont]],"W"))</f>
        <v/>
      </c>
      <c r="O1546" s="1397">
        <f>IF(raw[[#This Row],[out]]=0,0,IF(raw[[#This Row],[out]]=raw[[#This Row],[in]],0.01,raw[[#This Row],[out]]-raw[[#This Row],[in]]))</f>
        <v/>
      </c>
      <c r="P1546" s="1397">
        <f>IF(raw[[#This Row],[in]]=0,0,MONTH(raw[[#This Row],[in]]))</f>
        <v/>
      </c>
      <c r="Q1546" s="1397">
        <f>IF(raw[[#This Row],[in]]=0,0,YEAR(raw[[#This Row],[in]]))</f>
        <v/>
      </c>
      <c r="R1546" s="1397">
        <f>INT(raw[[#This Row],[yr]]/10)*10</f>
        <v/>
      </c>
      <c r="S1546" s="1395">
        <f>IF(raw[[#This Row],[city]]="","-",IF(raw[[#This Row],[city]]&lt;&gt;_xlfn.XLOOKUP(raw[[#This Row],[home]],homes[home],homes[city],"-"),1,0))</f>
        <v/>
      </c>
      <c r="T1546" s="1398" t="inlineStr">
        <is>
          <t>.</t>
        </is>
      </c>
      <c r="U1546" s="1399">
        <f>IF(raw[[#This Row],[wb]]="w",raw[[#This Row],[stay]]+U1545,U1545)</f>
        <v/>
      </c>
      <c r="V1546" s="1400">
        <f>IF(raw[[#This Row],[out]]=0,V1545,(raw[[#This Row],[out]]-E$5))</f>
        <v/>
      </c>
      <c r="W1546" s="1401">
        <f>U1546/V1546</f>
        <v/>
      </c>
      <c r="X1546" s="1392" t="n"/>
      <c r="Y1546" s="1392" t="n"/>
      <c r="Z1546" s="1392" t="n"/>
      <c r="AA1546" s="1392" t="n"/>
      <c r="AB1546" s="1392" t="n"/>
      <c r="AC1546" s="1392" t="n"/>
      <c r="AD1546" s="1392" t="n"/>
      <c r="AE1546" s="1392" t="n"/>
      <c r="AF1546" s="1392" t="n"/>
      <c r="AG1546" s="1392" t="n"/>
      <c r="AH1546" s="1392" t="n"/>
      <c r="AI1546" s="1392" t="n"/>
      <c r="AJ1546" s="1392" t="n"/>
      <c r="AK1546" s="1392" t="n"/>
      <c r="AL1546" s="1392" t="n"/>
      <c r="AM1546" s="1392" t="n"/>
      <c r="AN1546" s="1392" t="n"/>
      <c r="AO1546" s="1392" t="n"/>
      <c r="AP1546" s="1392" t="n"/>
      <c r="AQ1546" s="1392" t="n"/>
      <c r="AR1546" s="1422" t="n"/>
      <c r="AS1546" s="1422" t="n"/>
      <c r="AT1546" s="1392" t="n"/>
      <c r="AU1546" s="1392" t="n"/>
      <c r="AV1546" s="1392" t="n"/>
      <c r="AW1546" s="1392" t="n"/>
      <c r="AX1546" s="1392" t="n"/>
      <c r="AY1546" s="1392" t="n"/>
      <c r="AZ1546" s="1392" t="n"/>
      <c r="BA1546" s="1422" t="n"/>
      <c r="BB1546" s="1422" t="n"/>
      <c r="BC1546" s="1392" t="n"/>
      <c r="BD1546" s="1392" t="n"/>
      <c r="BE1546" s="1392" t="n"/>
      <c r="BF1546" s="1392" t="n"/>
      <c r="BG1546" s="1392" t="n"/>
      <c r="BH1546" s="1392" t="n"/>
      <c r="BI1546" s="1392" t="n"/>
      <c r="BJ1546" s="1392" t="n"/>
      <c r="BK1546" s="1392" t="n"/>
      <c r="BL1546" s="1392" t="n"/>
      <c r="BM1546" s="1392" t="n"/>
      <c r="BN1546" s="1392" t="n"/>
      <c r="BO1546" s="1392" t="n"/>
      <c r="BP1546" s="1392" t="n"/>
      <c r="BQ1546" s="1392" t="n"/>
      <c r="BR1546" s="1392" t="n"/>
      <c r="BS1546" s="1392" t="n"/>
      <c r="BT1546" s="1392" t="n"/>
      <c r="BU1546" s="1392" t="n"/>
      <c r="BV1546" s="1392" t="n"/>
      <c r="BW1546" s="1392" t="n"/>
      <c r="BX1546" s="1392" t="n"/>
      <c r="BY1546" s="1392" t="n"/>
      <c r="BZ1546" s="1392" t="n"/>
      <c r="CA1546" s="1392" t="n"/>
      <c r="CB1546" s="1392" t="n"/>
      <c r="CC1546" s="1392" t="n"/>
      <c r="CD1546" s="1392" t="n"/>
      <c r="CE1546" s="1392" t="n"/>
      <c r="CF1546" s="1392" t="n"/>
      <c r="CG1546" s="1392" t="n"/>
      <c r="CH1546" s="1392" t="n"/>
      <c r="CI1546" s="1392" t="n"/>
      <c r="CJ1546" s="1392" t="n"/>
      <c r="CK1546" s="1392" t="n"/>
      <c r="CL1546" s="1392" t="n"/>
    </row>
    <row r="1547">
      <c r="A1547" s="5" t="inlineStr">
        <is>
          <t>.</t>
        </is>
      </c>
      <c r="B1547" s="5" t="inlineStr">
        <is>
          <t>.</t>
        </is>
      </c>
      <c r="C1547" s="1378">
        <f>IF(raw[[#This Row],[city]]="","-",IF(raw[[#This Row],[city]]="TODAY","-",C1546+1))</f>
        <v/>
      </c>
      <c r="D1547" s="1393" t="inlineStr">
        <is>
          <t>Montreal</t>
        </is>
      </c>
      <c r="E1547" s="1394" t="n">
        <v>44075</v>
      </c>
      <c r="F1547" s="1394" t="n">
        <v>44105</v>
      </c>
      <c r="G1547" s="1393" t="inlineStr">
        <is>
          <t>-</t>
        </is>
      </c>
      <c r="H1547" s="1393" t="inlineStr">
        <is>
          <t>Nadeau</t>
        </is>
      </c>
      <c r="I1547" s="1393" t="inlineStr">
        <is>
          <t>-</t>
        </is>
      </c>
      <c r="J1547" s="1393" t="inlineStr">
        <is>
          <t>-</t>
        </is>
      </c>
      <c r="K1547" s="1395">
        <f>IF(raw[[#This Row],[city]]&lt;&gt;"",_xlfn.XLOOKUP($D1547,ccc[city],ccc[prov],"-"),"-")</f>
        <v/>
      </c>
      <c r="L1547" s="1395">
        <f>IF(raw[[#This Row],[city]]&lt;&gt;"",_xlfn.XLOOKUP($D1547,ccc[city],ccc[ctry],"-"),"-")</f>
        <v/>
      </c>
      <c r="M1547" s="1395">
        <f>IF(raw[[#This Row],[city]]&lt;&gt;"",_xlfn.XLOOKUP($D1547,ccc[city],ccc[cont],"-"),"-")</f>
        <v/>
      </c>
      <c r="N1547" s="1396">
        <f>IF(raw[[#This Row],[city]]="","-",IF(raw[[#This Row],[cont]]="B",raw[[#This Row],[cont]],"W"))</f>
        <v/>
      </c>
      <c r="O1547" s="1397">
        <f>IF(raw[[#This Row],[out]]=0,0,IF(raw[[#This Row],[out]]=raw[[#This Row],[in]],0.01,raw[[#This Row],[out]]-raw[[#This Row],[in]]))</f>
        <v/>
      </c>
      <c r="P1547" s="1397">
        <f>IF(raw[[#This Row],[in]]=0,0,MONTH(raw[[#This Row],[in]]))</f>
        <v/>
      </c>
      <c r="Q1547" s="1397">
        <f>IF(raw[[#This Row],[in]]=0,0,YEAR(raw[[#This Row],[in]]))</f>
        <v/>
      </c>
      <c r="R1547" s="1397">
        <f>INT(raw[[#This Row],[yr]]/10)*10</f>
        <v/>
      </c>
      <c r="S1547" s="1395">
        <f>IF(raw[[#This Row],[city]]="","-",IF(raw[[#This Row],[city]]&lt;&gt;_xlfn.XLOOKUP(raw[[#This Row],[home]],homes[home],homes[city],"-"),1,0))</f>
        <v/>
      </c>
      <c r="T1547" s="1398" t="inlineStr">
        <is>
          <t>.</t>
        </is>
      </c>
      <c r="U1547" s="1399">
        <f>IF(raw[[#This Row],[wb]]="w",raw[[#This Row],[stay]]+U1546,U1546)</f>
        <v/>
      </c>
      <c r="V1547" s="1400">
        <f>IF(raw[[#This Row],[out]]=0,V1546,(raw[[#This Row],[out]]-E$5))</f>
        <v/>
      </c>
      <c r="W1547" s="1401">
        <f>U1547/V1547</f>
        <v/>
      </c>
      <c r="X1547" s="1392" t="n"/>
      <c r="Y1547" s="1392" t="n"/>
      <c r="Z1547" s="1392" t="n"/>
      <c r="AA1547" s="1392" t="n"/>
      <c r="AB1547" s="1392" t="n"/>
      <c r="AC1547" s="1392" t="n"/>
      <c r="AD1547" s="1392" t="n"/>
      <c r="AE1547" s="1392" t="n"/>
      <c r="AF1547" s="1392" t="n"/>
      <c r="AG1547" s="1392" t="n"/>
      <c r="AH1547" s="1392" t="n"/>
      <c r="AI1547" s="1392" t="n"/>
      <c r="AJ1547" s="1392" t="n"/>
      <c r="AK1547" s="1392" t="n"/>
      <c r="AL1547" s="1392" t="n"/>
      <c r="AM1547" s="1392" t="n"/>
      <c r="AN1547" s="1392" t="n"/>
      <c r="AO1547" s="1392" t="n"/>
      <c r="AP1547" s="1392" t="n"/>
      <c r="AQ1547" s="1392" t="n"/>
      <c r="AR1547" s="1422" t="n"/>
      <c r="AS1547" s="1422" t="n"/>
      <c r="AT1547" s="1392" t="n"/>
      <c r="AU1547" s="1392" t="n"/>
      <c r="AV1547" s="1392" t="n"/>
      <c r="AW1547" s="1392" t="n"/>
      <c r="AX1547" s="1392" t="n"/>
      <c r="AY1547" s="1392" t="n"/>
      <c r="AZ1547" s="1392" t="n"/>
      <c r="BA1547" s="1422" t="n"/>
      <c r="BB1547" s="1422" t="n"/>
      <c r="BC1547" s="1392" t="n"/>
      <c r="BD1547" s="1392" t="n"/>
      <c r="BE1547" s="1392" t="n"/>
      <c r="BF1547" s="1392" t="n"/>
      <c r="BG1547" s="1392" t="n"/>
      <c r="BH1547" s="1392" t="n"/>
      <c r="BI1547" s="1392" t="n"/>
      <c r="BJ1547" s="1392" t="n"/>
      <c r="BK1547" s="1392" t="n"/>
      <c r="BL1547" s="1392" t="n"/>
      <c r="BM1547" s="1392" t="n"/>
      <c r="BN1547" s="1392" t="n"/>
      <c r="BO1547" s="1392" t="n"/>
      <c r="BP1547" s="1392" t="n"/>
      <c r="BQ1547" s="1392" t="n"/>
      <c r="BR1547" s="1392" t="n"/>
      <c r="BS1547" s="1392" t="n"/>
      <c r="BT1547" s="1392" t="n"/>
      <c r="BU1547" s="1392" t="n"/>
      <c r="BV1547" s="1392" t="n"/>
      <c r="BW1547" s="1392" t="n"/>
      <c r="BX1547" s="1392" t="n"/>
      <c r="BY1547" s="1392" t="n"/>
      <c r="BZ1547" s="1392" t="n"/>
      <c r="CA1547" s="1392" t="n"/>
      <c r="CB1547" s="1392" t="n"/>
      <c r="CC1547" s="1392" t="n"/>
      <c r="CD1547" s="1392" t="n"/>
      <c r="CE1547" s="1392" t="n"/>
      <c r="CF1547" s="1392" t="n"/>
      <c r="CG1547" s="1392" t="n"/>
      <c r="CH1547" s="1392" t="n"/>
      <c r="CI1547" s="1392" t="n"/>
      <c r="CJ1547" s="1392" t="n"/>
      <c r="CK1547" s="1392" t="n"/>
      <c r="CL1547" s="1392" t="n"/>
    </row>
    <row r="1548">
      <c r="A1548" s="5" t="inlineStr">
        <is>
          <t>.</t>
        </is>
      </c>
      <c r="B1548" s="5" t="inlineStr">
        <is>
          <t>.</t>
        </is>
      </c>
      <c r="C1548" s="1378">
        <f>IF(raw[[#This Row],[city]]="","-",IF(raw[[#This Row],[city]]="TODAY","-",C1547+1))</f>
        <v/>
      </c>
      <c r="D1548" s="1393" t="inlineStr">
        <is>
          <t>Montreal</t>
        </is>
      </c>
      <c r="E1548" s="1394" t="n">
        <v>44105</v>
      </c>
      <c r="F1548" s="1394" t="n">
        <v>44136</v>
      </c>
      <c r="G1548" s="1393" t="inlineStr">
        <is>
          <t>-</t>
        </is>
      </c>
      <c r="H1548" s="1393" t="inlineStr">
        <is>
          <t>Nadeau</t>
        </is>
      </c>
      <c r="I1548" s="1393" t="inlineStr">
        <is>
          <t>-</t>
        </is>
      </c>
      <c r="J1548" s="1393" t="inlineStr">
        <is>
          <t>-</t>
        </is>
      </c>
      <c r="K1548" s="1395">
        <f>IF(raw[[#This Row],[city]]&lt;&gt;"",_xlfn.XLOOKUP($D1548,ccc[city],ccc[prov],"-"),"-")</f>
        <v/>
      </c>
      <c r="L1548" s="1395">
        <f>IF(raw[[#This Row],[city]]&lt;&gt;"",_xlfn.XLOOKUP($D1548,ccc[city],ccc[ctry],"-"),"-")</f>
        <v/>
      </c>
      <c r="M1548" s="1395">
        <f>IF(raw[[#This Row],[city]]&lt;&gt;"",_xlfn.XLOOKUP($D1548,ccc[city],ccc[cont],"-"),"-")</f>
        <v/>
      </c>
      <c r="N1548" s="1396">
        <f>IF(raw[[#This Row],[city]]="","-",IF(raw[[#This Row],[cont]]="B",raw[[#This Row],[cont]],"W"))</f>
        <v/>
      </c>
      <c r="O1548" s="1397">
        <f>IF(raw[[#This Row],[out]]=0,0,IF(raw[[#This Row],[out]]=raw[[#This Row],[in]],0.01,raw[[#This Row],[out]]-raw[[#This Row],[in]]))</f>
        <v/>
      </c>
      <c r="P1548" s="1397">
        <f>IF(raw[[#This Row],[in]]=0,0,MONTH(raw[[#This Row],[in]]))</f>
        <v/>
      </c>
      <c r="Q1548" s="1397">
        <f>IF(raw[[#This Row],[in]]=0,0,YEAR(raw[[#This Row],[in]]))</f>
        <v/>
      </c>
      <c r="R1548" s="1397">
        <f>INT(raw[[#This Row],[yr]]/10)*10</f>
        <v/>
      </c>
      <c r="S1548" s="1395">
        <f>IF(raw[[#This Row],[city]]="","-",IF(raw[[#This Row],[city]]&lt;&gt;_xlfn.XLOOKUP(raw[[#This Row],[home]],homes[home],homes[city],"-"),1,0))</f>
        <v/>
      </c>
      <c r="T1548" s="1398" t="inlineStr">
        <is>
          <t>.</t>
        </is>
      </c>
      <c r="U1548" s="1399">
        <f>IF(raw[[#This Row],[wb]]="w",raw[[#This Row],[stay]]+U1547,U1547)</f>
        <v/>
      </c>
      <c r="V1548" s="1400">
        <f>IF(raw[[#This Row],[out]]=0,V1547,(raw[[#This Row],[out]]-E$5))</f>
        <v/>
      </c>
      <c r="W1548" s="1401">
        <f>U1548/V1548</f>
        <v/>
      </c>
      <c r="X1548" s="1392" t="n"/>
      <c r="Y1548" s="1392" t="n"/>
      <c r="Z1548" s="1392" t="n"/>
      <c r="AA1548" s="1392" t="n"/>
      <c r="AB1548" s="1392" t="n"/>
      <c r="AC1548" s="1392" t="n"/>
      <c r="AD1548" s="1392" t="n"/>
      <c r="AE1548" s="1392" t="n"/>
      <c r="AF1548" s="1392" t="n"/>
      <c r="AG1548" s="1392" t="n"/>
      <c r="AH1548" s="1392" t="n"/>
      <c r="AI1548" s="1392" t="n"/>
      <c r="AJ1548" s="1392" t="n"/>
      <c r="AK1548" s="1392" t="n"/>
      <c r="AL1548" s="1392" t="n"/>
      <c r="AM1548" s="1392" t="n"/>
      <c r="AN1548" s="1392" t="n"/>
      <c r="AO1548" s="1392" t="n"/>
      <c r="AP1548" s="1392" t="n"/>
      <c r="AQ1548" s="1392" t="n"/>
      <c r="AR1548" s="1422" t="n"/>
      <c r="AS1548" s="1422" t="n"/>
      <c r="AT1548" s="1392" t="n"/>
      <c r="AU1548" s="1392" t="n"/>
      <c r="AV1548" s="1392" t="n"/>
      <c r="AW1548" s="1392" t="n"/>
      <c r="AX1548" s="1392" t="n"/>
      <c r="AY1548" s="1392" t="n"/>
      <c r="AZ1548" s="1392" t="n"/>
      <c r="BA1548" s="1422" t="n"/>
      <c r="BB1548" s="1422" t="n"/>
      <c r="BC1548" s="1392" t="n"/>
      <c r="BD1548" s="1392" t="n"/>
      <c r="BE1548" s="1392" t="n"/>
      <c r="BF1548" s="1392" t="n"/>
      <c r="BG1548" s="1392" t="n"/>
      <c r="BH1548" s="1392" t="n"/>
      <c r="BI1548" s="1392" t="n"/>
      <c r="BJ1548" s="1392" t="n"/>
      <c r="BK1548" s="1392" t="n"/>
      <c r="BL1548" s="1392" t="n"/>
      <c r="BM1548" s="1392" t="n"/>
      <c r="BN1548" s="1392" t="n"/>
      <c r="BO1548" s="1392" t="n"/>
      <c r="BP1548" s="1392" t="n"/>
      <c r="BQ1548" s="1392" t="n"/>
      <c r="BR1548" s="1392" t="n"/>
      <c r="BS1548" s="1392" t="n"/>
      <c r="BT1548" s="1392" t="n"/>
      <c r="BU1548" s="1392" t="n"/>
      <c r="BV1548" s="1392" t="n"/>
      <c r="BW1548" s="1392" t="n"/>
      <c r="BX1548" s="1392" t="n"/>
      <c r="BY1548" s="1392" t="n"/>
      <c r="BZ1548" s="1392" t="n"/>
      <c r="CA1548" s="1392" t="n"/>
      <c r="CB1548" s="1392" t="n"/>
      <c r="CC1548" s="1392" t="n"/>
      <c r="CD1548" s="1392" t="n"/>
      <c r="CE1548" s="1392" t="n"/>
      <c r="CF1548" s="1392" t="n"/>
      <c r="CG1548" s="1392" t="n"/>
      <c r="CH1548" s="1392" t="n"/>
      <c r="CI1548" s="1392" t="n"/>
      <c r="CJ1548" s="1392" t="n"/>
      <c r="CK1548" s="1392" t="n"/>
      <c r="CL1548" s="1392" t="n"/>
    </row>
    <row r="1549">
      <c r="A1549" s="5" t="inlineStr">
        <is>
          <t>.</t>
        </is>
      </c>
      <c r="B1549" s="5" t="inlineStr">
        <is>
          <t>.</t>
        </is>
      </c>
      <c r="C1549" s="1378">
        <f>IF(raw[[#This Row],[city]]="","-",IF(raw[[#This Row],[city]]="TODAY","-",C1548+1))</f>
        <v/>
      </c>
      <c r="D1549" s="1393" t="inlineStr">
        <is>
          <t>Granby</t>
        </is>
      </c>
      <c r="E1549" s="1394" t="n">
        <v>44115</v>
      </c>
      <c r="F1549" s="1394" t="n">
        <v>44115</v>
      </c>
      <c r="G1549" s="1393" t="inlineStr">
        <is>
          <t>-</t>
        </is>
      </c>
      <c r="H1549" s="1393" t="inlineStr">
        <is>
          <t>Nadeau</t>
        </is>
      </c>
      <c r="I1549" s="1393" t="inlineStr">
        <is>
          <t>-</t>
        </is>
      </c>
      <c r="J1549" s="1393" t="inlineStr">
        <is>
          <t>-</t>
        </is>
      </c>
      <c r="K1549" s="1395">
        <f>IF(raw[[#This Row],[city]]&lt;&gt;"",_xlfn.XLOOKUP($D1549,ccc[city],ccc[prov],"-"),"-")</f>
        <v/>
      </c>
      <c r="L1549" s="1395">
        <f>IF(raw[[#This Row],[city]]&lt;&gt;"",_xlfn.XLOOKUP($D1549,ccc[city],ccc[ctry],"-"),"-")</f>
        <v/>
      </c>
      <c r="M1549" s="1395">
        <f>IF(raw[[#This Row],[city]]&lt;&gt;"",_xlfn.XLOOKUP($D1549,ccc[city],ccc[cont],"-"),"-")</f>
        <v/>
      </c>
      <c r="N1549" s="1396">
        <f>IF(raw[[#This Row],[city]]="","-",IF(raw[[#This Row],[cont]]="B",raw[[#This Row],[cont]],"W"))</f>
        <v/>
      </c>
      <c r="O1549" s="1397">
        <f>IF(raw[[#This Row],[out]]=0,0,IF(raw[[#This Row],[out]]=raw[[#This Row],[in]],0.01,raw[[#This Row],[out]]-raw[[#This Row],[in]]))</f>
        <v/>
      </c>
      <c r="P1549" s="1397">
        <f>IF(raw[[#This Row],[in]]=0,0,MONTH(raw[[#This Row],[in]]))</f>
        <v/>
      </c>
      <c r="Q1549" s="1397">
        <f>IF(raw[[#This Row],[in]]=0,0,YEAR(raw[[#This Row],[in]]))</f>
        <v/>
      </c>
      <c r="R1549" s="1397">
        <f>INT(raw[[#This Row],[yr]]/10)*10</f>
        <v/>
      </c>
      <c r="S1549" s="1395">
        <f>IF(raw[[#This Row],[city]]="","-",IF(raw[[#This Row],[city]]&lt;&gt;_xlfn.XLOOKUP(raw[[#This Row],[home]],homes[home],homes[city],"-"),1,0))</f>
        <v/>
      </c>
      <c r="T1549" s="1398" t="inlineStr">
        <is>
          <t>.</t>
        </is>
      </c>
      <c r="U1549" s="1399">
        <f>IF(raw[[#This Row],[wb]]="w",raw[[#This Row],[stay]]+U1548,U1548)</f>
        <v/>
      </c>
      <c r="V1549" s="1400">
        <f>IF(raw[[#This Row],[out]]=0,V1548,(raw[[#This Row],[out]]-E$5))</f>
        <v/>
      </c>
      <c r="W1549" s="1401">
        <f>U1549/V1549</f>
        <v/>
      </c>
      <c r="X1549" s="1392" t="n"/>
      <c r="Y1549" s="1392" t="n"/>
      <c r="Z1549" s="1392" t="n"/>
      <c r="AA1549" s="1392" t="n"/>
      <c r="AB1549" s="1392" t="n"/>
      <c r="AC1549" s="1392" t="n"/>
      <c r="AD1549" s="1392" t="n"/>
      <c r="AE1549" s="1392" t="n"/>
      <c r="AF1549" s="1392" t="n"/>
      <c r="AG1549" s="1392" t="n"/>
      <c r="AH1549" s="1392" t="n"/>
      <c r="AI1549" s="1392" t="n"/>
      <c r="AJ1549" s="1392" t="n"/>
      <c r="AK1549" s="1392" t="n"/>
      <c r="AL1549" s="1392" t="n"/>
      <c r="AM1549" s="1392" t="n"/>
      <c r="AN1549" s="1392" t="n"/>
      <c r="AO1549" s="1392" t="n"/>
      <c r="AP1549" s="1392" t="n"/>
      <c r="AQ1549" s="1392" t="n"/>
      <c r="AR1549" s="1422" t="n"/>
      <c r="AS1549" s="1422" t="n"/>
      <c r="AT1549" s="1392" t="n"/>
      <c r="AU1549" s="1392" t="n"/>
      <c r="AV1549" s="1392" t="n"/>
      <c r="AW1549" s="1392" t="n"/>
      <c r="AX1549" s="1392" t="n"/>
      <c r="AY1549" s="1392" t="n"/>
      <c r="AZ1549" s="1392" t="n"/>
      <c r="BA1549" s="1422" t="n"/>
      <c r="BB1549" s="1422" t="n"/>
      <c r="BC1549" s="1392" t="n"/>
      <c r="BD1549" s="1392" t="n"/>
      <c r="BE1549" s="1392" t="n"/>
      <c r="BF1549" s="1392" t="n"/>
      <c r="BG1549" s="1392" t="n"/>
      <c r="BH1549" s="1392" t="n"/>
      <c r="BI1549" s="1392" t="n"/>
      <c r="BJ1549" s="1392" t="n"/>
      <c r="BK1549" s="1392" t="n"/>
      <c r="BL1549" s="1392" t="n"/>
      <c r="BM1549" s="1392" t="n"/>
      <c r="BN1549" s="1392" t="n"/>
      <c r="BO1549" s="1392" t="n"/>
      <c r="BP1549" s="1392" t="n"/>
      <c r="BQ1549" s="1392" t="n"/>
      <c r="BR1549" s="1392" t="n"/>
      <c r="BS1549" s="1392" t="n"/>
      <c r="BT1549" s="1392" t="n"/>
      <c r="BU1549" s="1392" t="n"/>
      <c r="BV1549" s="1392" t="n"/>
      <c r="BW1549" s="1392" t="n"/>
      <c r="BX1549" s="1392" t="n"/>
      <c r="BY1549" s="1392" t="n"/>
      <c r="BZ1549" s="1392" t="n"/>
      <c r="CA1549" s="1392" t="n"/>
      <c r="CB1549" s="1392" t="n"/>
      <c r="CC1549" s="1392" t="n"/>
      <c r="CD1549" s="1392" t="n"/>
      <c r="CE1549" s="1392" t="n"/>
      <c r="CF1549" s="1392" t="n"/>
      <c r="CG1549" s="1392" t="n"/>
      <c r="CH1549" s="1392" t="n"/>
      <c r="CI1549" s="1392" t="n"/>
      <c r="CJ1549" s="1392" t="n"/>
      <c r="CK1549" s="1392" t="n"/>
      <c r="CL1549" s="1392" t="n"/>
    </row>
    <row r="1550">
      <c r="A1550" s="5" t="inlineStr">
        <is>
          <t>.</t>
        </is>
      </c>
      <c r="B1550" s="5" t="inlineStr">
        <is>
          <t>.</t>
        </is>
      </c>
      <c r="C1550" s="1378">
        <f>IF(raw[[#This Row],[city]]="","-",IF(raw[[#This Row],[city]]="TODAY","-",C1549+1))</f>
        <v/>
      </c>
      <c r="D1550" s="1393" t="inlineStr">
        <is>
          <t>Montreal</t>
        </is>
      </c>
      <c r="E1550" s="1394" t="n">
        <v>44136</v>
      </c>
      <c r="F1550" s="1394" t="n">
        <v>44166</v>
      </c>
      <c r="G1550" s="1393" t="inlineStr">
        <is>
          <t>-</t>
        </is>
      </c>
      <c r="H1550" s="1393" t="inlineStr">
        <is>
          <t>Nadeau</t>
        </is>
      </c>
      <c r="I1550" s="1393" t="inlineStr">
        <is>
          <t>-</t>
        </is>
      </c>
      <c r="J1550" s="1393" t="inlineStr">
        <is>
          <t>-</t>
        </is>
      </c>
      <c r="K1550" s="1395">
        <f>IF(raw[[#This Row],[city]]&lt;&gt;"",_xlfn.XLOOKUP($D1550,ccc[city],ccc[prov],"-"),"-")</f>
        <v/>
      </c>
      <c r="L1550" s="1395">
        <f>IF(raw[[#This Row],[city]]&lt;&gt;"",_xlfn.XLOOKUP($D1550,ccc[city],ccc[ctry],"-"),"-")</f>
        <v/>
      </c>
      <c r="M1550" s="1395">
        <f>IF(raw[[#This Row],[city]]&lt;&gt;"",_xlfn.XLOOKUP($D1550,ccc[city],ccc[cont],"-"),"-")</f>
        <v/>
      </c>
      <c r="N1550" s="1396">
        <f>IF(raw[[#This Row],[city]]="","-",IF(raw[[#This Row],[cont]]="B",raw[[#This Row],[cont]],"W"))</f>
        <v/>
      </c>
      <c r="O1550" s="1397">
        <f>IF(raw[[#This Row],[out]]=0,0,IF(raw[[#This Row],[out]]=raw[[#This Row],[in]],0.01,raw[[#This Row],[out]]-raw[[#This Row],[in]]))</f>
        <v/>
      </c>
      <c r="P1550" s="1397">
        <f>IF(raw[[#This Row],[in]]=0,0,MONTH(raw[[#This Row],[in]]))</f>
        <v/>
      </c>
      <c r="Q1550" s="1397">
        <f>IF(raw[[#This Row],[in]]=0,0,YEAR(raw[[#This Row],[in]]))</f>
        <v/>
      </c>
      <c r="R1550" s="1397">
        <f>INT(raw[[#This Row],[yr]]/10)*10</f>
        <v/>
      </c>
      <c r="S1550" s="1395">
        <f>IF(raw[[#This Row],[city]]="","-",IF(raw[[#This Row],[city]]&lt;&gt;_xlfn.XLOOKUP(raw[[#This Row],[home]],homes[home],homes[city],"-"),1,0))</f>
        <v/>
      </c>
      <c r="T1550" s="1398" t="inlineStr">
        <is>
          <t>.</t>
        </is>
      </c>
      <c r="U1550" s="1399">
        <f>IF(raw[[#This Row],[wb]]="w",raw[[#This Row],[stay]]+U1549,U1549)</f>
        <v/>
      </c>
      <c r="V1550" s="1400">
        <f>IF(raw[[#This Row],[out]]=0,V1549,(raw[[#This Row],[out]]-E$5))</f>
        <v/>
      </c>
      <c r="W1550" s="1401">
        <f>U1550/V1550</f>
        <v/>
      </c>
      <c r="X1550" s="1392" t="n"/>
      <c r="Y1550" s="1392" t="n"/>
      <c r="Z1550" s="1392" t="n"/>
      <c r="AA1550" s="1392" t="n"/>
      <c r="AB1550" s="1392" t="n"/>
      <c r="AC1550" s="1392" t="n"/>
      <c r="AD1550" s="1392" t="n"/>
      <c r="AE1550" s="1392" t="n"/>
      <c r="AF1550" s="1392" t="n"/>
      <c r="AG1550" s="1392" t="n"/>
      <c r="AH1550" s="1392" t="n"/>
      <c r="AI1550" s="1392" t="n"/>
      <c r="AJ1550" s="1392" t="n"/>
      <c r="AK1550" s="1392" t="n"/>
      <c r="AL1550" s="1392" t="n"/>
      <c r="AM1550" s="1392" t="n"/>
      <c r="AN1550" s="1392" t="n"/>
      <c r="AO1550" s="1392" t="n"/>
      <c r="AP1550" s="1392" t="n"/>
      <c r="AQ1550" s="1392" t="n"/>
      <c r="AR1550" s="1422" t="n"/>
      <c r="AS1550" s="1422" t="n"/>
      <c r="AT1550" s="1392" t="n"/>
      <c r="AU1550" s="1392" t="n"/>
      <c r="AV1550" s="1392" t="n"/>
      <c r="AW1550" s="1392" t="n"/>
      <c r="AX1550" s="1392" t="n"/>
      <c r="AY1550" s="1392" t="n"/>
      <c r="AZ1550" s="1392" t="n"/>
      <c r="BA1550" s="1422" t="n"/>
      <c r="BB1550" s="1422" t="n"/>
      <c r="BC1550" s="1392" t="n"/>
      <c r="BD1550" s="1392" t="n"/>
      <c r="BE1550" s="1392" t="n"/>
      <c r="BF1550" s="1392" t="n"/>
      <c r="BG1550" s="1392" t="n"/>
      <c r="BH1550" s="1392" t="n"/>
      <c r="BI1550" s="1392" t="n"/>
      <c r="BJ1550" s="1392" t="n"/>
      <c r="BK1550" s="1392" t="n"/>
      <c r="BL1550" s="1392" t="n"/>
      <c r="BM1550" s="1392" t="n"/>
      <c r="BN1550" s="1392" t="n"/>
      <c r="BO1550" s="1392" t="n"/>
      <c r="BP1550" s="1392" t="n"/>
      <c r="BQ1550" s="1392" t="n"/>
      <c r="BR1550" s="1392" t="n"/>
      <c r="BS1550" s="1392" t="n"/>
      <c r="BT1550" s="1392" t="n"/>
      <c r="BU1550" s="1392" t="n"/>
      <c r="BV1550" s="1392" t="n"/>
      <c r="BW1550" s="1392" t="n"/>
      <c r="BX1550" s="1392" t="n"/>
      <c r="BY1550" s="1392" t="n"/>
      <c r="BZ1550" s="1392" t="n"/>
      <c r="CA1550" s="1392" t="n"/>
      <c r="CB1550" s="1392" t="n"/>
      <c r="CC1550" s="1392" t="n"/>
      <c r="CD1550" s="1392" t="n"/>
      <c r="CE1550" s="1392" t="n"/>
      <c r="CF1550" s="1392" t="n"/>
      <c r="CG1550" s="1392" t="n"/>
      <c r="CH1550" s="1392" t="n"/>
      <c r="CI1550" s="1392" t="n"/>
      <c r="CJ1550" s="1392" t="n"/>
      <c r="CK1550" s="1392" t="n"/>
      <c r="CL1550" s="1392" t="n"/>
    </row>
    <row r="1551">
      <c r="A1551" s="5" t="inlineStr">
        <is>
          <t>.</t>
        </is>
      </c>
      <c r="B1551" s="5" t="inlineStr">
        <is>
          <t>.</t>
        </is>
      </c>
      <c r="C1551" s="1378">
        <f>IF(raw[[#This Row],[city]]="","-",IF(raw[[#This Row],[city]]="TODAY","-",C1550+1))</f>
        <v/>
      </c>
      <c r="D1551" s="1393" t="inlineStr">
        <is>
          <t>Montreal</t>
        </is>
      </c>
      <c r="E1551" s="1394" t="n">
        <v>44166</v>
      </c>
      <c r="F1551" s="1394" t="n">
        <v>44197</v>
      </c>
      <c r="G1551" s="1393" t="inlineStr">
        <is>
          <t>-</t>
        </is>
      </c>
      <c r="H1551" s="1393" t="inlineStr">
        <is>
          <t>Nadeau</t>
        </is>
      </c>
      <c r="I1551" s="1393" t="inlineStr">
        <is>
          <t>-</t>
        </is>
      </c>
      <c r="J1551" s="1393" t="inlineStr">
        <is>
          <t>-</t>
        </is>
      </c>
      <c r="K1551" s="1395">
        <f>IF(raw[[#This Row],[city]]&lt;&gt;"",_xlfn.XLOOKUP($D1551,ccc[city],ccc[prov],"-"),"-")</f>
        <v/>
      </c>
      <c r="L1551" s="1395">
        <f>IF(raw[[#This Row],[city]]&lt;&gt;"",_xlfn.XLOOKUP($D1551,ccc[city],ccc[ctry],"-"),"-")</f>
        <v/>
      </c>
      <c r="M1551" s="1395">
        <f>IF(raw[[#This Row],[city]]&lt;&gt;"",_xlfn.XLOOKUP($D1551,ccc[city],ccc[cont],"-"),"-")</f>
        <v/>
      </c>
      <c r="N1551" s="1396">
        <f>IF(raw[[#This Row],[city]]="","-",IF(raw[[#This Row],[cont]]="B",raw[[#This Row],[cont]],"W"))</f>
        <v/>
      </c>
      <c r="O1551" s="1397">
        <f>IF(raw[[#This Row],[out]]=0,0,IF(raw[[#This Row],[out]]=raw[[#This Row],[in]],0.01,raw[[#This Row],[out]]-raw[[#This Row],[in]]))</f>
        <v/>
      </c>
      <c r="P1551" s="1397">
        <f>IF(raw[[#This Row],[in]]=0,0,MONTH(raw[[#This Row],[in]]))</f>
        <v/>
      </c>
      <c r="Q1551" s="1397">
        <f>IF(raw[[#This Row],[in]]=0,0,YEAR(raw[[#This Row],[in]]))</f>
        <v/>
      </c>
      <c r="R1551" s="1397">
        <f>INT(raw[[#This Row],[yr]]/10)*10</f>
        <v/>
      </c>
      <c r="S1551" s="1395">
        <f>IF(raw[[#This Row],[city]]="","-",IF(raw[[#This Row],[city]]&lt;&gt;_xlfn.XLOOKUP(raw[[#This Row],[home]],homes[home],homes[city],"-"),1,0))</f>
        <v/>
      </c>
      <c r="T1551" s="1398" t="inlineStr">
        <is>
          <t>.</t>
        </is>
      </c>
      <c r="U1551" s="1399">
        <f>IF(raw[[#This Row],[wb]]="w",raw[[#This Row],[stay]]+U1550,U1550)</f>
        <v/>
      </c>
      <c r="V1551" s="1400">
        <f>IF(raw[[#This Row],[out]]=0,V1550,(raw[[#This Row],[out]]-E$5))</f>
        <v/>
      </c>
      <c r="W1551" s="1401">
        <f>U1551/V1551</f>
        <v/>
      </c>
      <c r="X1551" s="1392" t="n"/>
      <c r="Y1551" s="1392" t="n"/>
      <c r="Z1551" s="1392" t="n"/>
      <c r="AA1551" s="1392" t="n"/>
      <c r="AB1551" s="1392" t="n"/>
      <c r="AC1551" s="1392" t="n"/>
      <c r="AD1551" s="1392" t="n"/>
      <c r="AE1551" s="1392" t="n"/>
      <c r="AF1551" s="1392" t="n"/>
      <c r="AG1551" s="1392" t="n"/>
      <c r="AH1551" s="1392" t="n"/>
      <c r="AI1551" s="1392" t="n"/>
      <c r="AJ1551" s="1392" t="n"/>
      <c r="AK1551" s="1392" t="n"/>
      <c r="AL1551" s="1392" t="n"/>
      <c r="AM1551" s="1392" t="n"/>
      <c r="AN1551" s="1392" t="n"/>
      <c r="AO1551" s="1392" t="n"/>
      <c r="AP1551" s="1392" t="n"/>
      <c r="AQ1551" s="1392" t="n"/>
      <c r="AR1551" s="1422" t="n"/>
      <c r="AS1551" s="1422" t="n"/>
      <c r="AT1551" s="1392" t="n"/>
      <c r="AU1551" s="1392" t="n"/>
      <c r="AV1551" s="1392" t="n"/>
      <c r="AW1551" s="1392" t="n"/>
      <c r="AX1551" s="1392" t="n"/>
      <c r="AY1551" s="1392" t="n"/>
      <c r="AZ1551" s="1392" t="n"/>
      <c r="BA1551" s="1422" t="n"/>
      <c r="BB1551" s="1422" t="n"/>
      <c r="BC1551" s="1392" t="n"/>
      <c r="BD1551" s="1392" t="n"/>
      <c r="BE1551" s="1392" t="n"/>
      <c r="BF1551" s="1392" t="n"/>
      <c r="BG1551" s="1392" t="n"/>
      <c r="BH1551" s="1392" t="n"/>
      <c r="BI1551" s="1392" t="n"/>
      <c r="BJ1551" s="1392" t="n"/>
      <c r="BK1551" s="1392" t="n"/>
      <c r="BL1551" s="1392" t="n"/>
      <c r="BM1551" s="1392" t="n"/>
      <c r="BN1551" s="1392" t="n"/>
      <c r="BO1551" s="1392" t="n"/>
      <c r="BP1551" s="1392" t="n"/>
      <c r="BQ1551" s="1392" t="n"/>
      <c r="BR1551" s="1392" t="n"/>
      <c r="BS1551" s="1392" t="n"/>
      <c r="BT1551" s="1392" t="n"/>
      <c r="BU1551" s="1392" t="n"/>
      <c r="BV1551" s="1392" t="n"/>
      <c r="BW1551" s="1392" t="n"/>
      <c r="BX1551" s="1392" t="n"/>
      <c r="BY1551" s="1392" t="n"/>
      <c r="BZ1551" s="1392" t="n"/>
      <c r="CA1551" s="1392" t="n"/>
      <c r="CB1551" s="1392" t="n"/>
      <c r="CC1551" s="1392" t="n"/>
      <c r="CD1551" s="1392" t="n"/>
      <c r="CE1551" s="1392" t="n"/>
      <c r="CF1551" s="1392" t="n"/>
      <c r="CG1551" s="1392" t="n"/>
      <c r="CH1551" s="1392" t="n"/>
      <c r="CI1551" s="1392" t="n"/>
      <c r="CJ1551" s="1392" t="n"/>
      <c r="CK1551" s="1392" t="n"/>
      <c r="CL1551" s="1392" t="n"/>
    </row>
    <row r="1552">
      <c r="A1552" s="5" t="inlineStr">
        <is>
          <t>.</t>
        </is>
      </c>
      <c r="B1552" s="5" t="inlineStr">
        <is>
          <t>.</t>
        </is>
      </c>
      <c r="C1552" s="1378">
        <f>IF(raw[[#This Row],[city]]="","-",IF(raw[[#This Row],[city]]="TODAY","-",C1551+1))</f>
        <v/>
      </c>
      <c r="D1552" s="1393" t="inlineStr">
        <is>
          <t>Montreal</t>
        </is>
      </c>
      <c r="E1552" s="1394" t="n">
        <v>44197</v>
      </c>
      <c r="F1552" s="1394" t="n">
        <v>44228</v>
      </c>
      <c r="G1552" s="1393" t="inlineStr">
        <is>
          <t>-</t>
        </is>
      </c>
      <c r="H1552" s="1393" t="inlineStr">
        <is>
          <t>Nadeau</t>
        </is>
      </c>
      <c r="I1552" s="1393" t="inlineStr">
        <is>
          <t>-</t>
        </is>
      </c>
      <c r="J1552" s="1393" t="inlineStr">
        <is>
          <t>REV</t>
        </is>
      </c>
      <c r="K1552" s="1395">
        <f>IF(raw[[#This Row],[city]]&lt;&gt;"",_xlfn.XLOOKUP($D1552,ccc[city],ccc[prov],"-"),"-")</f>
        <v/>
      </c>
      <c r="L1552" s="1395">
        <f>IF(raw[[#This Row],[city]]&lt;&gt;"",_xlfn.XLOOKUP($D1552,ccc[city],ccc[ctry],"-"),"-")</f>
        <v/>
      </c>
      <c r="M1552" s="1395">
        <f>IF(raw[[#This Row],[city]]&lt;&gt;"",_xlfn.XLOOKUP($D1552,ccc[city],ccc[cont],"-"),"-")</f>
        <v/>
      </c>
      <c r="N1552" s="1396">
        <f>IF(raw[[#This Row],[city]]="","-",IF(raw[[#This Row],[cont]]="B",raw[[#This Row],[cont]],"W"))</f>
        <v/>
      </c>
      <c r="O1552" s="1397">
        <f>IF(raw[[#This Row],[out]]=0,0,IF(raw[[#This Row],[out]]=raw[[#This Row],[in]],0.01,raw[[#This Row],[out]]-raw[[#This Row],[in]]))</f>
        <v/>
      </c>
      <c r="P1552" s="1397">
        <f>IF(raw[[#This Row],[in]]=0,0,MONTH(raw[[#This Row],[in]]))</f>
        <v/>
      </c>
      <c r="Q1552" s="1397">
        <f>IF(raw[[#This Row],[in]]=0,0,YEAR(raw[[#This Row],[in]]))</f>
        <v/>
      </c>
      <c r="R1552" s="1397">
        <f>INT(raw[[#This Row],[yr]]/10)*10</f>
        <v/>
      </c>
      <c r="S1552" s="1395">
        <f>IF(raw[[#This Row],[city]]="","-",IF(raw[[#This Row],[city]]&lt;&gt;_xlfn.XLOOKUP(raw[[#This Row],[home]],homes[home],homes[city],"-"),1,0))</f>
        <v/>
      </c>
      <c r="T1552" s="1398" t="inlineStr">
        <is>
          <t>.</t>
        </is>
      </c>
      <c r="U1552" s="1399">
        <f>IF(raw[[#This Row],[wb]]="w",raw[[#This Row],[stay]]+U1551,U1551)</f>
        <v/>
      </c>
      <c r="V1552" s="1400">
        <f>IF(raw[[#This Row],[out]]=0,V1551,(raw[[#This Row],[out]]-E$5))</f>
        <v/>
      </c>
      <c r="W1552" s="1401">
        <f>U1552/V1552</f>
        <v/>
      </c>
      <c r="X1552" s="1392" t="n"/>
      <c r="Y1552" s="1392" t="n"/>
      <c r="Z1552" s="1392" t="n"/>
      <c r="AA1552" s="1392" t="n"/>
      <c r="AB1552" s="1392" t="n"/>
      <c r="AC1552" s="1392" t="n"/>
      <c r="AD1552" s="1392" t="n"/>
      <c r="AE1552" s="1392" t="n"/>
      <c r="AF1552" s="1392" t="n"/>
      <c r="AG1552" s="1392" t="n"/>
      <c r="AH1552" s="1392" t="n"/>
      <c r="AI1552" s="1392" t="n"/>
      <c r="AJ1552" s="1392" t="n"/>
      <c r="AK1552" s="1392" t="n"/>
      <c r="AL1552" s="1392" t="n"/>
      <c r="AM1552" s="1392" t="n"/>
      <c r="AN1552" s="1392" t="n"/>
      <c r="AO1552" s="1392" t="n"/>
      <c r="AP1552" s="1392" t="n"/>
      <c r="AQ1552" s="1392" t="n"/>
      <c r="AR1552" s="1422" t="n"/>
      <c r="AS1552" s="1422" t="n"/>
      <c r="AT1552" s="1392" t="n"/>
      <c r="AU1552" s="1392" t="n"/>
      <c r="AV1552" s="1392" t="n"/>
      <c r="AW1552" s="1392" t="n"/>
      <c r="AX1552" s="1392" t="n"/>
      <c r="AY1552" s="1392" t="n"/>
      <c r="AZ1552" s="1392" t="n"/>
      <c r="BA1552" s="1422" t="n"/>
      <c r="BB1552" s="1422" t="n"/>
      <c r="BC1552" s="1392" t="n"/>
      <c r="BD1552" s="1392" t="n"/>
      <c r="BE1552" s="1392" t="n"/>
      <c r="BF1552" s="1392" t="n"/>
      <c r="BG1552" s="1392" t="n"/>
      <c r="BH1552" s="1392" t="n"/>
      <c r="BI1552" s="1392" t="n"/>
      <c r="BJ1552" s="1392" t="n"/>
      <c r="BK1552" s="1392" t="n"/>
      <c r="BL1552" s="1392" t="n"/>
      <c r="BM1552" s="1392" t="n"/>
      <c r="BN1552" s="1392" t="n"/>
      <c r="BO1552" s="1392" t="n"/>
      <c r="BP1552" s="1392" t="n"/>
      <c r="BQ1552" s="1392" t="n"/>
      <c r="BR1552" s="1392" t="n"/>
      <c r="BS1552" s="1392" t="n"/>
      <c r="BT1552" s="1392" t="n"/>
      <c r="BU1552" s="1392" t="n"/>
      <c r="BV1552" s="1392" t="n"/>
      <c r="BW1552" s="1392" t="n"/>
      <c r="BX1552" s="1392" t="n"/>
      <c r="BY1552" s="1392" t="n"/>
      <c r="BZ1552" s="1392" t="n"/>
      <c r="CA1552" s="1392" t="n"/>
      <c r="CB1552" s="1392" t="n"/>
      <c r="CC1552" s="1392" t="n"/>
      <c r="CD1552" s="1392" t="n"/>
      <c r="CE1552" s="1392" t="n"/>
      <c r="CF1552" s="1392" t="n"/>
      <c r="CG1552" s="1392" t="n"/>
      <c r="CH1552" s="1392" t="n"/>
      <c r="CI1552" s="1392" t="n"/>
      <c r="CJ1552" s="1392" t="n"/>
      <c r="CK1552" s="1392" t="n"/>
      <c r="CL1552" s="1392" t="n"/>
    </row>
    <row r="1553">
      <c r="A1553" s="5" t="inlineStr">
        <is>
          <t>.</t>
        </is>
      </c>
      <c r="B1553" s="5" t="inlineStr">
        <is>
          <t>.</t>
        </is>
      </c>
      <c r="C1553" s="1378">
        <f>IF(raw[[#This Row],[city]]="","-",IF(raw[[#This Row],[city]]="TODAY","-",C1552+1))</f>
        <v/>
      </c>
      <c r="D1553" s="1393" t="inlineStr">
        <is>
          <t>Montreal</t>
        </is>
      </c>
      <c r="E1553" s="1394" t="n">
        <v>44228</v>
      </c>
      <c r="F1553" s="1394" t="n">
        <v>44256</v>
      </c>
      <c r="G1553" s="1393" t="inlineStr">
        <is>
          <t>-</t>
        </is>
      </c>
      <c r="H1553" s="1393" t="inlineStr">
        <is>
          <t>Nadeau</t>
        </is>
      </c>
      <c r="I1553" s="1393" t="inlineStr">
        <is>
          <t>-</t>
        </is>
      </c>
      <c r="J1553" s="1393" t="inlineStr">
        <is>
          <t>-</t>
        </is>
      </c>
      <c r="K1553" s="1395">
        <f>IF(raw[[#This Row],[city]]&lt;&gt;"",_xlfn.XLOOKUP($D1553,ccc[city],ccc[prov],"-"),"-")</f>
        <v/>
      </c>
      <c r="L1553" s="1395">
        <f>IF(raw[[#This Row],[city]]&lt;&gt;"",_xlfn.XLOOKUP($D1553,ccc[city],ccc[ctry],"-"),"-")</f>
        <v/>
      </c>
      <c r="M1553" s="1395">
        <f>IF(raw[[#This Row],[city]]&lt;&gt;"",_xlfn.XLOOKUP($D1553,ccc[city],ccc[cont],"-"),"-")</f>
        <v/>
      </c>
      <c r="N1553" s="1396">
        <f>IF(raw[[#This Row],[city]]="","-",IF(raw[[#This Row],[cont]]="B",raw[[#This Row],[cont]],"W"))</f>
        <v/>
      </c>
      <c r="O1553" s="1397">
        <f>IF(raw[[#This Row],[out]]=0,0,IF(raw[[#This Row],[out]]=raw[[#This Row],[in]],0.01,raw[[#This Row],[out]]-raw[[#This Row],[in]]))</f>
        <v/>
      </c>
      <c r="P1553" s="1397">
        <f>IF(raw[[#This Row],[in]]=0,0,MONTH(raw[[#This Row],[in]]))</f>
        <v/>
      </c>
      <c r="Q1553" s="1397">
        <f>IF(raw[[#This Row],[in]]=0,0,YEAR(raw[[#This Row],[in]]))</f>
        <v/>
      </c>
      <c r="R1553" s="1397">
        <f>INT(raw[[#This Row],[yr]]/10)*10</f>
        <v/>
      </c>
      <c r="S1553" s="1395">
        <f>IF(raw[[#This Row],[city]]="","-",IF(raw[[#This Row],[city]]&lt;&gt;_xlfn.XLOOKUP(raw[[#This Row],[home]],homes[home],homes[city],"-"),1,0))</f>
        <v/>
      </c>
      <c r="T1553" s="1398" t="inlineStr">
        <is>
          <t>.</t>
        </is>
      </c>
      <c r="U1553" s="1399">
        <f>IF(raw[[#This Row],[wb]]="w",raw[[#This Row],[stay]]+U1552,U1552)</f>
        <v/>
      </c>
      <c r="V1553" s="1400">
        <f>IF(raw[[#This Row],[out]]=0,V1552,(raw[[#This Row],[out]]-E$5))</f>
        <v/>
      </c>
      <c r="W1553" s="1401">
        <f>U1553/V1553</f>
        <v/>
      </c>
      <c r="X1553" s="1392" t="n"/>
      <c r="Y1553" s="1392" t="n"/>
      <c r="Z1553" s="1392" t="n"/>
      <c r="AA1553" s="1392" t="n"/>
      <c r="AB1553" s="1392" t="n"/>
      <c r="AC1553" s="1392" t="n"/>
      <c r="AD1553" s="1392" t="n"/>
      <c r="AE1553" s="1392" t="n"/>
      <c r="AF1553" s="1392" t="n"/>
      <c r="AG1553" s="1392" t="n"/>
      <c r="AH1553" s="1392" t="n"/>
      <c r="AI1553" s="1392" t="n"/>
      <c r="AJ1553" s="1392" t="n"/>
      <c r="AK1553" s="1392" t="n"/>
      <c r="AL1553" s="1392" t="n"/>
      <c r="AM1553" s="1392" t="n"/>
      <c r="AN1553" s="1392" t="n"/>
      <c r="AO1553" s="1392" t="n"/>
      <c r="AP1553" s="1392" t="n"/>
      <c r="AQ1553" s="1392" t="n"/>
      <c r="AR1553" s="1422" t="n"/>
      <c r="AS1553" s="1422" t="n"/>
      <c r="AT1553" s="1392" t="n"/>
      <c r="AU1553" s="1392" t="n"/>
      <c r="AV1553" s="1392" t="n"/>
      <c r="AW1553" s="1392" t="n"/>
      <c r="AX1553" s="1392" t="n"/>
      <c r="AY1553" s="1392" t="n"/>
      <c r="AZ1553" s="1392" t="n"/>
      <c r="BA1553" s="1422" t="n"/>
      <c r="BB1553" s="1422" t="n"/>
      <c r="BC1553" s="1392" t="n"/>
      <c r="BD1553" s="1392" t="n"/>
      <c r="BE1553" s="1392" t="n"/>
      <c r="BF1553" s="1392" t="n"/>
      <c r="BG1553" s="1392" t="n"/>
      <c r="BH1553" s="1392" t="n"/>
      <c r="BI1553" s="1392" t="n"/>
      <c r="BJ1553" s="1392" t="n"/>
      <c r="BK1553" s="1392" t="n"/>
      <c r="BL1553" s="1392" t="n"/>
      <c r="BM1553" s="1392" t="n"/>
      <c r="BN1553" s="1392" t="n"/>
      <c r="BO1553" s="1392" t="n"/>
      <c r="BP1553" s="1392" t="n"/>
      <c r="BQ1553" s="1392" t="n"/>
      <c r="BR1553" s="1392" t="n"/>
      <c r="BS1553" s="1392" t="n"/>
      <c r="BT1553" s="1392" t="n"/>
      <c r="BU1553" s="1392" t="n"/>
      <c r="BV1553" s="1392" t="n"/>
      <c r="BW1553" s="1392" t="n"/>
      <c r="BX1553" s="1392" t="n"/>
      <c r="BY1553" s="1392" t="n"/>
      <c r="BZ1553" s="1392" t="n"/>
      <c r="CA1553" s="1392" t="n"/>
      <c r="CB1553" s="1392" t="n"/>
      <c r="CC1553" s="1392" t="n"/>
      <c r="CD1553" s="1392" t="n"/>
      <c r="CE1553" s="1392" t="n"/>
      <c r="CF1553" s="1392" t="n"/>
      <c r="CG1553" s="1392" t="n"/>
      <c r="CH1553" s="1392" t="n"/>
      <c r="CI1553" s="1392" t="n"/>
      <c r="CJ1553" s="1392" t="n"/>
      <c r="CK1553" s="1392" t="n"/>
      <c r="CL1553" s="1392" t="n"/>
    </row>
    <row r="1554">
      <c r="A1554" s="5" t="inlineStr">
        <is>
          <t>.</t>
        </is>
      </c>
      <c r="B1554" s="5" t="inlineStr">
        <is>
          <t>.</t>
        </is>
      </c>
      <c r="C1554" s="1378">
        <f>IF(raw[[#This Row],[city]]="","-",IF(raw[[#This Row],[city]]="TODAY","-",C1553+1))</f>
        <v/>
      </c>
      <c r="D1554" s="1393" t="inlineStr">
        <is>
          <t>Montreal</t>
        </is>
      </c>
      <c r="E1554" s="1394" t="n">
        <v>44256</v>
      </c>
      <c r="F1554" s="1394" t="n">
        <v>44287</v>
      </c>
      <c r="G1554" s="1393" t="inlineStr">
        <is>
          <t>-</t>
        </is>
      </c>
      <c r="H1554" s="1393" t="inlineStr">
        <is>
          <t>Nadeau</t>
        </is>
      </c>
      <c r="I1554" s="1393" t="inlineStr">
        <is>
          <t>-</t>
        </is>
      </c>
      <c r="J1554" s="1393" t="inlineStr">
        <is>
          <t>-</t>
        </is>
      </c>
      <c r="K1554" s="1395">
        <f>IF(raw[[#This Row],[city]]&lt;&gt;"",_xlfn.XLOOKUP($D1554,ccc[city],ccc[prov],"-"),"-")</f>
        <v/>
      </c>
      <c r="L1554" s="1395">
        <f>IF(raw[[#This Row],[city]]&lt;&gt;"",_xlfn.XLOOKUP($D1554,ccc[city],ccc[ctry],"-"),"-")</f>
        <v/>
      </c>
      <c r="M1554" s="1395">
        <f>IF(raw[[#This Row],[city]]&lt;&gt;"",_xlfn.XLOOKUP($D1554,ccc[city],ccc[cont],"-"),"-")</f>
        <v/>
      </c>
      <c r="N1554" s="1396">
        <f>IF(raw[[#This Row],[city]]="","-",IF(raw[[#This Row],[cont]]="B",raw[[#This Row],[cont]],"W"))</f>
        <v/>
      </c>
      <c r="O1554" s="1397">
        <f>IF(raw[[#This Row],[out]]=0,0,IF(raw[[#This Row],[out]]=raw[[#This Row],[in]],0.01,raw[[#This Row],[out]]-raw[[#This Row],[in]]))</f>
        <v/>
      </c>
      <c r="P1554" s="1397">
        <f>IF(raw[[#This Row],[in]]=0,0,MONTH(raw[[#This Row],[in]]))</f>
        <v/>
      </c>
      <c r="Q1554" s="1397">
        <f>IF(raw[[#This Row],[in]]=0,0,YEAR(raw[[#This Row],[in]]))</f>
        <v/>
      </c>
      <c r="R1554" s="1397">
        <f>INT(raw[[#This Row],[yr]]/10)*10</f>
        <v/>
      </c>
      <c r="S1554" s="1395">
        <f>IF(raw[[#This Row],[city]]="","-",IF(raw[[#This Row],[city]]&lt;&gt;_xlfn.XLOOKUP(raw[[#This Row],[home]],homes[home],homes[city],"-"),1,0))</f>
        <v/>
      </c>
      <c r="T1554" s="1398" t="inlineStr">
        <is>
          <t>.</t>
        </is>
      </c>
      <c r="U1554" s="1399">
        <f>IF(raw[[#This Row],[wb]]="w",raw[[#This Row],[stay]]+U1553,U1553)</f>
        <v/>
      </c>
      <c r="V1554" s="1400">
        <f>IF(raw[[#This Row],[out]]=0,V1553,(raw[[#This Row],[out]]-E$5))</f>
        <v/>
      </c>
      <c r="W1554" s="1401">
        <f>U1554/V1554</f>
        <v/>
      </c>
      <c r="X1554" s="1392" t="n"/>
      <c r="Y1554" s="1392" t="n"/>
      <c r="Z1554" s="1392" t="n"/>
      <c r="AA1554" s="1392" t="n"/>
      <c r="AB1554" s="1392" t="n"/>
      <c r="AC1554" s="1392" t="n"/>
      <c r="AD1554" s="1392" t="n"/>
      <c r="AE1554" s="1392" t="n"/>
      <c r="AF1554" s="1392" t="n"/>
      <c r="AG1554" s="1392" t="n"/>
      <c r="AH1554" s="1392" t="n"/>
      <c r="AI1554" s="1392" t="n"/>
      <c r="AJ1554" s="1392" t="n"/>
      <c r="AK1554" s="1392" t="n"/>
      <c r="AL1554" s="1392" t="n"/>
      <c r="AM1554" s="1392" t="n"/>
      <c r="AN1554" s="1392" t="n"/>
      <c r="AO1554" s="1392" t="n"/>
      <c r="AP1554" s="1392" t="n"/>
      <c r="AQ1554" s="1392" t="n"/>
      <c r="AR1554" s="1422" t="n"/>
      <c r="AS1554" s="1422" t="n"/>
      <c r="AT1554" s="1392" t="n"/>
      <c r="AU1554" s="1392" t="n"/>
      <c r="AV1554" s="1392" t="n"/>
      <c r="AW1554" s="1392" t="n"/>
      <c r="AX1554" s="1392" t="n"/>
      <c r="AY1554" s="1392" t="n"/>
      <c r="AZ1554" s="1392" t="n"/>
      <c r="BA1554" s="1422" t="n"/>
      <c r="BB1554" s="1422" t="n"/>
      <c r="BC1554" s="1392" t="n"/>
      <c r="BD1554" s="1392" t="n"/>
      <c r="BE1554" s="1392" t="n"/>
      <c r="BF1554" s="1392" t="n"/>
      <c r="BG1554" s="1392" t="n"/>
      <c r="BH1554" s="1392" t="n"/>
      <c r="BI1554" s="1392" t="n"/>
      <c r="BJ1554" s="1392" t="n"/>
      <c r="BK1554" s="1392" t="n"/>
      <c r="BL1554" s="1392" t="n"/>
      <c r="BM1554" s="1392" t="n"/>
      <c r="BN1554" s="1392" t="n"/>
      <c r="BO1554" s="1392" t="n"/>
      <c r="BP1554" s="1392" t="n"/>
      <c r="BQ1554" s="1392" t="n"/>
      <c r="BR1554" s="1392" t="n"/>
      <c r="BS1554" s="1392" t="n"/>
      <c r="BT1554" s="1392" t="n"/>
      <c r="BU1554" s="1392" t="n"/>
      <c r="BV1554" s="1392" t="n"/>
      <c r="BW1554" s="1392" t="n"/>
      <c r="BX1554" s="1392" t="n"/>
      <c r="BY1554" s="1392" t="n"/>
      <c r="BZ1554" s="1392" t="n"/>
      <c r="CA1554" s="1392" t="n"/>
      <c r="CB1554" s="1392" t="n"/>
      <c r="CC1554" s="1392" t="n"/>
      <c r="CD1554" s="1392" t="n"/>
      <c r="CE1554" s="1392" t="n"/>
      <c r="CF1554" s="1392" t="n"/>
      <c r="CG1554" s="1392" t="n"/>
      <c r="CH1554" s="1392" t="n"/>
      <c r="CI1554" s="1392" t="n"/>
      <c r="CJ1554" s="1392" t="n"/>
      <c r="CK1554" s="1392" t="n"/>
      <c r="CL1554" s="1392" t="n"/>
    </row>
    <row r="1555">
      <c r="A1555" s="5" t="inlineStr">
        <is>
          <t>.</t>
        </is>
      </c>
      <c r="B1555" s="5" t="inlineStr">
        <is>
          <t>.</t>
        </is>
      </c>
      <c r="C1555" s="1378">
        <f>IF(raw[[#This Row],[city]]="","-",IF(raw[[#This Row],[city]]="TODAY","-",C1554+1))</f>
        <v/>
      </c>
      <c r="D1555" s="1393" t="inlineStr">
        <is>
          <t>Montreal</t>
        </is>
      </c>
      <c r="E1555" s="1394" t="n">
        <v>44287</v>
      </c>
      <c r="F1555" s="1394" t="n">
        <v>44317</v>
      </c>
      <c r="G1555" s="1393" t="inlineStr">
        <is>
          <t>-</t>
        </is>
      </c>
      <c r="H1555" s="1393" t="inlineStr">
        <is>
          <t>Nadeau</t>
        </is>
      </c>
      <c r="I1555" s="1393" t="inlineStr">
        <is>
          <t>-</t>
        </is>
      </c>
      <c r="J1555" s="1393" t="inlineStr">
        <is>
          <t>-</t>
        </is>
      </c>
      <c r="K1555" s="1395">
        <f>IF(raw[[#This Row],[city]]&lt;&gt;"",_xlfn.XLOOKUP($D1555,ccc[city],ccc[prov],"-"),"-")</f>
        <v/>
      </c>
      <c r="L1555" s="1395">
        <f>IF(raw[[#This Row],[city]]&lt;&gt;"",_xlfn.XLOOKUP($D1555,ccc[city],ccc[ctry],"-"),"-")</f>
        <v/>
      </c>
      <c r="M1555" s="1395">
        <f>IF(raw[[#This Row],[city]]&lt;&gt;"",_xlfn.XLOOKUP($D1555,ccc[city],ccc[cont],"-"),"-")</f>
        <v/>
      </c>
      <c r="N1555" s="1396">
        <f>IF(raw[[#This Row],[city]]="","-",IF(raw[[#This Row],[cont]]="B",raw[[#This Row],[cont]],"W"))</f>
        <v/>
      </c>
      <c r="O1555" s="1397">
        <f>IF(raw[[#This Row],[out]]=0,0,IF(raw[[#This Row],[out]]=raw[[#This Row],[in]],0.01,raw[[#This Row],[out]]-raw[[#This Row],[in]]))</f>
        <v/>
      </c>
      <c r="P1555" s="1397">
        <f>IF(raw[[#This Row],[in]]=0,0,MONTH(raw[[#This Row],[in]]))</f>
        <v/>
      </c>
      <c r="Q1555" s="1397">
        <f>IF(raw[[#This Row],[in]]=0,0,YEAR(raw[[#This Row],[in]]))</f>
        <v/>
      </c>
      <c r="R1555" s="1397">
        <f>INT(raw[[#This Row],[yr]]/10)*10</f>
        <v/>
      </c>
      <c r="S1555" s="1395">
        <f>IF(raw[[#This Row],[city]]="","-",IF(raw[[#This Row],[city]]&lt;&gt;_xlfn.XLOOKUP(raw[[#This Row],[home]],homes[home],homes[city],"-"),1,0))</f>
        <v/>
      </c>
      <c r="T1555" s="1398" t="inlineStr">
        <is>
          <t>.</t>
        </is>
      </c>
      <c r="U1555" s="1399">
        <f>IF(raw[[#This Row],[wb]]="w",raw[[#This Row],[stay]]+U1554,U1554)</f>
        <v/>
      </c>
      <c r="V1555" s="1400">
        <f>IF(raw[[#This Row],[out]]=0,V1554,(raw[[#This Row],[out]]-E$5))</f>
        <v/>
      </c>
      <c r="W1555" s="1401">
        <f>U1555/V1555</f>
        <v/>
      </c>
      <c r="X1555" s="1392" t="n"/>
      <c r="Y1555" s="1392" t="n"/>
      <c r="Z1555" s="1392" t="n"/>
      <c r="AA1555" s="1392" t="n"/>
      <c r="AB1555" s="1392" t="n"/>
      <c r="AC1555" s="1392" t="n"/>
      <c r="AD1555" s="1392" t="n"/>
      <c r="AE1555" s="1392" t="n"/>
      <c r="AF1555" s="1392" t="n"/>
      <c r="AG1555" s="1392" t="n"/>
      <c r="AH1555" s="1392" t="n"/>
      <c r="AI1555" s="1392" t="n"/>
      <c r="AJ1555" s="1392" t="n"/>
      <c r="AK1555" s="1392" t="n"/>
      <c r="AL1555" s="1392" t="n"/>
      <c r="AM1555" s="1392" t="n"/>
      <c r="AN1555" s="1392" t="n"/>
      <c r="AO1555" s="1392" t="n"/>
      <c r="AP1555" s="1392" t="n"/>
      <c r="AQ1555" s="1392" t="n"/>
      <c r="AR1555" s="1422" t="n"/>
      <c r="AS1555" s="1422" t="n"/>
      <c r="AT1555" s="1392" t="n"/>
      <c r="AU1555" s="1392" t="n"/>
      <c r="AV1555" s="1392" t="n"/>
      <c r="AW1555" s="1392" t="n"/>
      <c r="AX1555" s="1392" t="n"/>
      <c r="AY1555" s="1392" t="n"/>
      <c r="AZ1555" s="1392" t="n"/>
      <c r="BA1555" s="1422" t="n"/>
      <c r="BB1555" s="1422" t="n"/>
      <c r="BC1555" s="1392" t="n"/>
      <c r="BD1555" s="1392" t="n"/>
      <c r="BE1555" s="1392" t="n"/>
      <c r="BF1555" s="1392" t="n"/>
      <c r="BG1555" s="1392" t="n"/>
      <c r="BH1555" s="1392" t="n"/>
      <c r="BI1555" s="1392" t="n"/>
      <c r="BJ1555" s="1392" t="n"/>
      <c r="BK1555" s="1392" t="n"/>
      <c r="BL1555" s="1392" t="n"/>
      <c r="BM1555" s="1392" t="n"/>
      <c r="BN1555" s="1392" t="n"/>
      <c r="BO1555" s="1392" t="n"/>
      <c r="BP1555" s="1392" t="n"/>
      <c r="BQ1555" s="1392" t="n"/>
      <c r="BR1555" s="1392" t="n"/>
      <c r="BS1555" s="1392" t="n"/>
      <c r="BT1555" s="1392" t="n"/>
      <c r="BU1555" s="1392" t="n"/>
      <c r="BV1555" s="1392" t="n"/>
      <c r="BW1555" s="1392" t="n"/>
      <c r="BX1555" s="1392" t="n"/>
      <c r="BY1555" s="1392" t="n"/>
      <c r="BZ1555" s="1392" t="n"/>
      <c r="CA1555" s="1392" t="n"/>
      <c r="CB1555" s="1392" t="n"/>
      <c r="CC1555" s="1392" t="n"/>
      <c r="CD1555" s="1392" t="n"/>
      <c r="CE1555" s="1392" t="n"/>
      <c r="CF1555" s="1392" t="n"/>
      <c r="CG1555" s="1392" t="n"/>
      <c r="CH1555" s="1392" t="n"/>
      <c r="CI1555" s="1392" t="n"/>
      <c r="CJ1555" s="1392" t="n"/>
      <c r="CK1555" s="1392" t="n"/>
      <c r="CL1555" s="1392" t="n"/>
    </row>
    <row r="1556">
      <c r="A1556" s="5" t="inlineStr">
        <is>
          <t>.</t>
        </is>
      </c>
      <c r="B1556" s="5" t="inlineStr">
        <is>
          <t>.</t>
        </is>
      </c>
      <c r="C1556" s="1378">
        <f>IF(raw[[#This Row],[city]]="","-",IF(raw[[#This Row],[city]]="TODAY","-",C1555+1))</f>
        <v/>
      </c>
      <c r="D1556" s="1393" t="inlineStr">
        <is>
          <t>Montreal</t>
        </is>
      </c>
      <c r="E1556" s="1394" t="n">
        <v>44317</v>
      </c>
      <c r="F1556" s="1394" t="n">
        <v>44322</v>
      </c>
      <c r="G1556" s="1393" t="inlineStr">
        <is>
          <t>-</t>
        </is>
      </c>
      <c r="H1556" s="1393" t="inlineStr">
        <is>
          <t>Nadeau</t>
        </is>
      </c>
      <c r="I1556" s="1393" t="inlineStr">
        <is>
          <t>-</t>
        </is>
      </c>
      <c r="J1556" s="1393" t="inlineStr">
        <is>
          <t>-</t>
        </is>
      </c>
      <c r="K1556" s="1395">
        <f>IF(raw[[#This Row],[city]]&lt;&gt;"",_xlfn.XLOOKUP($D1556,ccc[city],ccc[prov],"-"),"-")</f>
        <v/>
      </c>
      <c r="L1556" s="1395">
        <f>IF(raw[[#This Row],[city]]&lt;&gt;"",_xlfn.XLOOKUP($D1556,ccc[city],ccc[ctry],"-"),"-")</f>
        <v/>
      </c>
      <c r="M1556" s="1395">
        <f>IF(raw[[#This Row],[city]]&lt;&gt;"",_xlfn.XLOOKUP($D1556,ccc[city],ccc[cont],"-"),"-")</f>
        <v/>
      </c>
      <c r="N1556" s="1396">
        <f>IF(raw[[#This Row],[city]]="","-",IF(raw[[#This Row],[cont]]="B",raw[[#This Row],[cont]],"W"))</f>
        <v/>
      </c>
      <c r="O1556" s="1397">
        <f>IF(raw[[#This Row],[out]]=0,0,IF(raw[[#This Row],[out]]=raw[[#This Row],[in]],0.01,raw[[#This Row],[out]]-raw[[#This Row],[in]]))</f>
        <v/>
      </c>
      <c r="P1556" s="1397">
        <f>IF(raw[[#This Row],[in]]=0,0,MONTH(raw[[#This Row],[in]]))</f>
        <v/>
      </c>
      <c r="Q1556" s="1397">
        <f>IF(raw[[#This Row],[in]]=0,0,YEAR(raw[[#This Row],[in]]))</f>
        <v/>
      </c>
      <c r="R1556" s="1397">
        <f>INT(raw[[#This Row],[yr]]/10)*10</f>
        <v/>
      </c>
      <c r="S1556" s="1395">
        <f>IF(raw[[#This Row],[city]]="","-",IF(raw[[#This Row],[city]]&lt;&gt;_xlfn.XLOOKUP(raw[[#This Row],[home]],homes[home],homes[city],"-"),1,0))</f>
        <v/>
      </c>
      <c r="T1556" s="1398" t="inlineStr">
        <is>
          <t>.</t>
        </is>
      </c>
      <c r="U1556" s="1399">
        <f>IF(raw[[#This Row],[wb]]="w",raw[[#This Row],[stay]]+U1555,U1555)</f>
        <v/>
      </c>
      <c r="V1556" s="1400">
        <f>IF(raw[[#This Row],[out]]=0,V1555,(raw[[#This Row],[out]]-E$5))</f>
        <v/>
      </c>
      <c r="W1556" s="1401">
        <f>U1556/V1556</f>
        <v/>
      </c>
      <c r="X1556" s="1392" t="n"/>
      <c r="Y1556" s="1392" t="n"/>
      <c r="Z1556" s="1392" t="n"/>
      <c r="AA1556" s="1392" t="n"/>
      <c r="AB1556" s="1392" t="n"/>
      <c r="AC1556" s="1392" t="n"/>
      <c r="AD1556" s="1392" t="n"/>
      <c r="AE1556" s="1392" t="n"/>
      <c r="AF1556" s="1392" t="n"/>
      <c r="AG1556" s="1392" t="n"/>
      <c r="AH1556" s="1392" t="n"/>
      <c r="AI1556" s="1392" t="n"/>
      <c r="AJ1556" s="1392" t="n"/>
      <c r="AK1556" s="1392" t="n"/>
      <c r="AL1556" s="1392" t="n"/>
      <c r="AM1556" s="1392" t="n"/>
      <c r="AN1556" s="1392" t="n"/>
      <c r="AO1556" s="1392" t="n"/>
      <c r="AP1556" s="1392" t="n"/>
      <c r="AQ1556" s="1392" t="n"/>
      <c r="AR1556" s="1422" t="n"/>
      <c r="AS1556" s="1422" t="n"/>
      <c r="AT1556" s="1392" t="n"/>
      <c r="AU1556" s="1392" t="n"/>
      <c r="AV1556" s="1392" t="n"/>
      <c r="AW1556" s="1392" t="n"/>
      <c r="AX1556" s="1392" t="n"/>
      <c r="AY1556" s="1392" t="n"/>
      <c r="AZ1556" s="1392" t="n"/>
      <c r="BA1556" s="1422" t="n"/>
      <c r="BB1556" s="1422" t="n"/>
      <c r="BC1556" s="1392" t="n"/>
      <c r="BD1556" s="1392" t="n"/>
      <c r="BE1556" s="1392" t="n"/>
      <c r="BF1556" s="1392" t="n"/>
      <c r="BG1556" s="1392" t="n"/>
      <c r="BH1556" s="1392" t="n"/>
      <c r="BI1556" s="1392" t="n"/>
      <c r="BJ1556" s="1392" t="n"/>
      <c r="BK1556" s="1392" t="n"/>
      <c r="BL1556" s="1392" t="n"/>
      <c r="BM1556" s="1392" t="n"/>
      <c r="BN1556" s="1392" t="n"/>
      <c r="BO1556" s="1392" t="n"/>
      <c r="BP1556" s="1392" t="n"/>
      <c r="BQ1556" s="1392" t="n"/>
      <c r="BR1556" s="1392" t="n"/>
      <c r="BS1556" s="1392" t="n"/>
      <c r="BT1556" s="1392" t="n"/>
      <c r="BU1556" s="1392" t="n"/>
      <c r="BV1556" s="1392" t="n"/>
      <c r="BW1556" s="1392" t="n"/>
      <c r="BX1556" s="1392" t="n"/>
      <c r="BY1556" s="1392" t="n"/>
      <c r="BZ1556" s="1392" t="n"/>
      <c r="CA1556" s="1392" t="n"/>
      <c r="CB1556" s="1392" t="n"/>
      <c r="CC1556" s="1392" t="n"/>
      <c r="CD1556" s="1392" t="n"/>
      <c r="CE1556" s="1392" t="n"/>
      <c r="CF1556" s="1392" t="n"/>
      <c r="CG1556" s="1392" t="n"/>
      <c r="CH1556" s="1392" t="n"/>
      <c r="CI1556" s="1392" t="n"/>
      <c r="CJ1556" s="1392" t="n"/>
      <c r="CK1556" s="1392" t="n"/>
      <c r="CL1556" s="1392" t="n"/>
    </row>
    <row r="1557">
      <c r="A1557" s="5" t="inlineStr">
        <is>
          <t>.</t>
        </is>
      </c>
      <c r="B1557" s="5" t="inlineStr">
        <is>
          <t>.</t>
        </is>
      </c>
      <c r="C1557" s="1378">
        <f>IF(raw[[#This Row],[city]]="","-",IF(raw[[#This Row],[city]]="TODAY","-",C1556+1))</f>
        <v/>
      </c>
      <c r="D1557" s="1393" t="inlineStr">
        <is>
          <t>Montreal</t>
        </is>
      </c>
      <c r="E1557" s="1394" t="n">
        <v>44322</v>
      </c>
      <c r="F1557" s="1394" t="n">
        <v>44323</v>
      </c>
      <c r="G1557" s="1393" t="inlineStr">
        <is>
          <t>-</t>
        </is>
      </c>
      <c r="H1557" s="1393" t="inlineStr">
        <is>
          <t>Nadeau</t>
        </is>
      </c>
      <c r="I1557" s="1393" t="inlineStr">
        <is>
          <t>Marcelo/Carignan</t>
        </is>
      </c>
      <c r="J1557" s="1393" t="inlineStr">
        <is>
          <t>-</t>
        </is>
      </c>
      <c r="K1557" s="1395">
        <f>IF(raw[[#This Row],[city]]&lt;&gt;"",_xlfn.XLOOKUP($D1557,ccc[city],ccc[prov],"-"),"-")</f>
        <v/>
      </c>
      <c r="L1557" s="1395">
        <f>IF(raw[[#This Row],[city]]&lt;&gt;"",_xlfn.XLOOKUP($D1557,ccc[city],ccc[ctry],"-"),"-")</f>
        <v/>
      </c>
      <c r="M1557" s="1395">
        <f>IF(raw[[#This Row],[city]]&lt;&gt;"",_xlfn.XLOOKUP($D1557,ccc[city],ccc[cont],"-"),"-")</f>
        <v/>
      </c>
      <c r="N1557" s="1396">
        <f>IF(raw[[#This Row],[city]]="","-",IF(raw[[#This Row],[cont]]="B",raw[[#This Row],[cont]],"W"))</f>
        <v/>
      </c>
      <c r="O1557" s="1397">
        <f>IF(raw[[#This Row],[out]]=0,0,IF(raw[[#This Row],[out]]=raw[[#This Row],[in]],0.01,raw[[#This Row],[out]]-raw[[#This Row],[in]]))</f>
        <v/>
      </c>
      <c r="P1557" s="1397">
        <f>IF(raw[[#This Row],[in]]=0,0,MONTH(raw[[#This Row],[in]]))</f>
        <v/>
      </c>
      <c r="Q1557" s="1397">
        <f>IF(raw[[#This Row],[in]]=0,0,YEAR(raw[[#This Row],[in]]))</f>
        <v/>
      </c>
      <c r="R1557" s="1397">
        <f>INT(raw[[#This Row],[yr]]/10)*10</f>
        <v/>
      </c>
      <c r="S1557" s="1395">
        <f>IF(raw[[#This Row],[city]]="","-",IF(raw[[#This Row],[city]]&lt;&gt;_xlfn.XLOOKUP(raw[[#This Row],[home]],homes[home],homes[city],"-"),1,0))</f>
        <v/>
      </c>
      <c r="T1557" s="1398" t="inlineStr">
        <is>
          <t>.</t>
        </is>
      </c>
      <c r="U1557" s="1399">
        <f>IF(raw[[#This Row],[wb]]="w",raw[[#This Row],[stay]]+U1556,U1556)</f>
        <v/>
      </c>
      <c r="V1557" s="1400">
        <f>IF(raw[[#This Row],[out]]=0,V1556,(raw[[#This Row],[out]]-E$5))</f>
        <v/>
      </c>
      <c r="W1557" s="1401">
        <f>U1557/V1557</f>
        <v/>
      </c>
      <c r="X1557" s="1392" t="n"/>
      <c r="Y1557" s="1392" t="n"/>
      <c r="Z1557" s="1392" t="n"/>
      <c r="AA1557" s="1392" t="n"/>
      <c r="AB1557" s="1392" t="n"/>
      <c r="AC1557" s="1392" t="n"/>
      <c r="AD1557" s="1392" t="n"/>
      <c r="AE1557" s="1392" t="n"/>
      <c r="AF1557" s="1392" t="n"/>
      <c r="AG1557" s="1392" t="n"/>
      <c r="AH1557" s="1392" t="n"/>
      <c r="AI1557" s="1392" t="n"/>
      <c r="AJ1557" s="1392" t="n"/>
      <c r="AK1557" s="1392" t="n"/>
      <c r="AL1557" s="1392" t="n"/>
      <c r="AM1557" s="1392" t="n"/>
      <c r="AN1557" s="1392" t="n"/>
      <c r="AO1557" s="1392" t="n"/>
      <c r="AP1557" s="1392" t="n"/>
      <c r="AQ1557" s="1392" t="n"/>
      <c r="AR1557" s="1422" t="n"/>
      <c r="AS1557" s="1422" t="n"/>
      <c r="AT1557" s="1392" t="n"/>
      <c r="AU1557" s="1392" t="n"/>
      <c r="AV1557" s="1392" t="n"/>
      <c r="AW1557" s="1392" t="n"/>
      <c r="AX1557" s="1392" t="n"/>
      <c r="AY1557" s="1392" t="n"/>
      <c r="AZ1557" s="1392" t="n"/>
      <c r="BA1557" s="1422" t="n"/>
      <c r="BB1557" s="1422" t="n"/>
      <c r="BC1557" s="1392" t="n"/>
      <c r="BD1557" s="1392" t="n"/>
      <c r="BE1557" s="1392" t="n"/>
      <c r="BF1557" s="1392" t="n"/>
      <c r="BG1557" s="1392" t="n"/>
      <c r="BH1557" s="1392" t="n"/>
      <c r="BI1557" s="1392" t="n"/>
      <c r="BJ1557" s="1392" t="n"/>
      <c r="BK1557" s="1392" t="n"/>
      <c r="BL1557" s="1392" t="n"/>
      <c r="BM1557" s="1392" t="n"/>
      <c r="BN1557" s="1392" t="n"/>
      <c r="BO1557" s="1392" t="n"/>
      <c r="BP1557" s="1392" t="n"/>
      <c r="BQ1557" s="1392" t="n"/>
      <c r="BR1557" s="1392" t="n"/>
      <c r="BS1557" s="1392" t="n"/>
      <c r="BT1557" s="1392" t="n"/>
      <c r="BU1557" s="1392" t="n"/>
      <c r="BV1557" s="1392" t="n"/>
      <c r="BW1557" s="1392" t="n"/>
      <c r="BX1557" s="1392" t="n"/>
      <c r="BY1557" s="1392" t="n"/>
      <c r="BZ1557" s="1392" t="n"/>
      <c r="CA1557" s="1392" t="n"/>
      <c r="CB1557" s="1392" t="n"/>
      <c r="CC1557" s="1392" t="n"/>
      <c r="CD1557" s="1392" t="n"/>
      <c r="CE1557" s="1392" t="n"/>
      <c r="CF1557" s="1392" t="n"/>
      <c r="CG1557" s="1392" t="n"/>
      <c r="CH1557" s="1392" t="n"/>
      <c r="CI1557" s="1392" t="n"/>
      <c r="CJ1557" s="1392" t="n"/>
      <c r="CK1557" s="1392" t="n"/>
      <c r="CL1557" s="1392" t="n"/>
    </row>
    <row r="1558">
      <c r="A1558" s="5" t="inlineStr">
        <is>
          <t>.</t>
        </is>
      </c>
      <c r="B1558" s="5" t="inlineStr">
        <is>
          <t>.</t>
        </is>
      </c>
      <c r="C1558" s="1378">
        <f>IF(raw[[#This Row],[city]]="","-",IF(raw[[#This Row],[city]]="TODAY","-",C1557+1))</f>
        <v/>
      </c>
      <c r="D1558" s="1393" t="inlineStr">
        <is>
          <t>Montreal</t>
        </is>
      </c>
      <c r="E1558" s="1394" t="n">
        <v>44323</v>
      </c>
      <c r="F1558" s="1394" t="n">
        <v>44348</v>
      </c>
      <c r="G1558" s="1393" t="inlineStr">
        <is>
          <t>-</t>
        </is>
      </c>
      <c r="H1558" s="1393" t="inlineStr">
        <is>
          <t>Nadeau</t>
        </is>
      </c>
      <c r="I1558" s="1393" t="inlineStr">
        <is>
          <t>-</t>
        </is>
      </c>
      <c r="J1558" s="1393" t="inlineStr">
        <is>
          <t>-</t>
        </is>
      </c>
      <c r="K1558" s="1395">
        <f>IF(raw[[#This Row],[city]]&lt;&gt;"",_xlfn.XLOOKUP($D1558,ccc[city],ccc[prov],"-"),"-")</f>
        <v/>
      </c>
      <c r="L1558" s="1395">
        <f>IF(raw[[#This Row],[city]]&lt;&gt;"",_xlfn.XLOOKUP($D1558,ccc[city],ccc[ctry],"-"),"-")</f>
        <v/>
      </c>
      <c r="M1558" s="1395">
        <f>IF(raw[[#This Row],[city]]&lt;&gt;"",_xlfn.XLOOKUP($D1558,ccc[city],ccc[cont],"-"),"-")</f>
        <v/>
      </c>
      <c r="N1558" s="1396">
        <f>IF(raw[[#This Row],[city]]="","-",IF(raw[[#This Row],[cont]]="B",raw[[#This Row],[cont]],"W"))</f>
        <v/>
      </c>
      <c r="O1558" s="1397">
        <f>IF(raw[[#This Row],[out]]=0,0,IF(raw[[#This Row],[out]]=raw[[#This Row],[in]],0.01,raw[[#This Row],[out]]-raw[[#This Row],[in]]))</f>
        <v/>
      </c>
      <c r="P1558" s="1397">
        <f>IF(raw[[#This Row],[in]]=0,0,MONTH(raw[[#This Row],[in]]))</f>
        <v/>
      </c>
      <c r="Q1558" s="1397">
        <f>IF(raw[[#This Row],[in]]=0,0,YEAR(raw[[#This Row],[in]]))</f>
        <v/>
      </c>
      <c r="R1558" s="1397">
        <f>INT(raw[[#This Row],[yr]]/10)*10</f>
        <v/>
      </c>
      <c r="S1558" s="1395">
        <f>IF(raw[[#This Row],[city]]="","-",IF(raw[[#This Row],[city]]&lt;&gt;_xlfn.XLOOKUP(raw[[#This Row],[home]],homes[home],homes[city],"-"),1,0))</f>
        <v/>
      </c>
      <c r="T1558" s="1398" t="inlineStr">
        <is>
          <t>.</t>
        </is>
      </c>
      <c r="U1558" s="1399">
        <f>IF(raw[[#This Row],[wb]]="w",raw[[#This Row],[stay]]+U1557,U1557)</f>
        <v/>
      </c>
      <c r="V1558" s="1400">
        <f>IF(raw[[#This Row],[out]]=0,V1557,(raw[[#This Row],[out]]-E$5))</f>
        <v/>
      </c>
      <c r="W1558" s="1401">
        <f>U1558/V1558</f>
        <v/>
      </c>
      <c r="X1558" s="1392" t="n"/>
      <c r="Y1558" s="1392" t="n"/>
      <c r="Z1558" s="1392" t="n"/>
      <c r="AA1558" s="1392" t="n"/>
      <c r="AB1558" s="1392" t="n"/>
      <c r="AC1558" s="1392" t="n"/>
      <c r="AD1558" s="1392" t="n"/>
      <c r="AE1558" s="1392" t="n"/>
      <c r="AF1558" s="1392" t="n"/>
      <c r="AG1558" s="1392" t="n"/>
      <c r="AH1558" s="1392" t="n"/>
      <c r="AI1558" s="1392" t="n"/>
      <c r="AJ1558" s="1392" t="n"/>
      <c r="AK1558" s="1392" t="n"/>
      <c r="AL1558" s="1392" t="n"/>
      <c r="AM1558" s="1392" t="n"/>
      <c r="AN1558" s="1392" t="n"/>
      <c r="AO1558" s="1392" t="n"/>
      <c r="AP1558" s="1392" t="n"/>
      <c r="AQ1558" s="1392" t="n"/>
      <c r="AR1558" s="1422" t="n"/>
      <c r="AS1558" s="1422" t="n"/>
      <c r="AT1558" s="1392" t="n"/>
      <c r="AU1558" s="1392" t="n"/>
      <c r="AV1558" s="1392" t="n"/>
      <c r="AW1558" s="1392" t="n"/>
      <c r="AX1558" s="1392" t="n"/>
      <c r="AY1558" s="1392" t="n"/>
      <c r="AZ1558" s="1392" t="n"/>
      <c r="BA1558" s="1422" t="n"/>
      <c r="BB1558" s="1422" t="n"/>
      <c r="BC1558" s="1392" t="n"/>
      <c r="BD1558" s="1392" t="n"/>
      <c r="BE1558" s="1392" t="n"/>
      <c r="BF1558" s="1392" t="n"/>
      <c r="BG1558" s="1392" t="n"/>
      <c r="BH1558" s="1392" t="n"/>
      <c r="BI1558" s="1392" t="n"/>
      <c r="BJ1558" s="1392" t="n"/>
      <c r="BK1558" s="1392" t="n"/>
      <c r="BL1558" s="1392" t="n"/>
      <c r="BM1558" s="1392" t="n"/>
      <c r="BN1558" s="1392" t="n"/>
      <c r="BO1558" s="1392" t="n"/>
      <c r="BP1558" s="1392" t="n"/>
      <c r="BQ1558" s="1392" t="n"/>
      <c r="BR1558" s="1392" t="n"/>
      <c r="BS1558" s="1392" t="n"/>
      <c r="BT1558" s="1392" t="n"/>
      <c r="BU1558" s="1392" t="n"/>
      <c r="BV1558" s="1392" t="n"/>
      <c r="BW1558" s="1392" t="n"/>
      <c r="BX1558" s="1392" t="n"/>
      <c r="BY1558" s="1392" t="n"/>
      <c r="BZ1558" s="1392" t="n"/>
      <c r="CA1558" s="1392" t="n"/>
      <c r="CB1558" s="1392" t="n"/>
      <c r="CC1558" s="1392" t="n"/>
      <c r="CD1558" s="1392" t="n"/>
      <c r="CE1558" s="1392" t="n"/>
      <c r="CF1558" s="1392" t="n"/>
      <c r="CG1558" s="1392" t="n"/>
      <c r="CH1558" s="1392" t="n"/>
      <c r="CI1558" s="1392" t="n"/>
      <c r="CJ1558" s="1392" t="n"/>
      <c r="CK1558" s="1392" t="n"/>
      <c r="CL1558" s="1392" t="n"/>
    </row>
    <row r="1559">
      <c r="A1559" s="5" t="inlineStr">
        <is>
          <t>.</t>
        </is>
      </c>
      <c r="B1559" s="5" t="inlineStr">
        <is>
          <t>.</t>
        </is>
      </c>
      <c r="C1559" s="1378">
        <f>IF(raw[[#This Row],[city]]="","-",IF(raw[[#This Row],[city]]="TODAY","-",C1558+1))</f>
        <v/>
      </c>
      <c r="D1559" s="1393" t="inlineStr">
        <is>
          <t>Montreal</t>
        </is>
      </c>
      <c r="E1559" s="1394" t="n">
        <v>44348</v>
      </c>
      <c r="F1559" s="1394" t="n">
        <v>44349</v>
      </c>
      <c r="G1559" s="1393" t="inlineStr">
        <is>
          <t>-</t>
        </is>
      </c>
      <c r="H1559" s="1393" t="inlineStr">
        <is>
          <t>Marie-Victorin</t>
        </is>
      </c>
      <c r="I1559" s="1393" t="inlineStr">
        <is>
          <t>Gaspé</t>
        </is>
      </c>
      <c r="J1559" s="1393" t="inlineStr">
        <is>
          <t>-</t>
        </is>
      </c>
      <c r="K1559" s="1395">
        <f>IF(raw[[#This Row],[city]]&lt;&gt;"",_xlfn.XLOOKUP($D1559,ccc[city],ccc[prov],"-"),"-")</f>
        <v/>
      </c>
      <c r="L1559" s="1395">
        <f>IF(raw[[#This Row],[city]]&lt;&gt;"",_xlfn.XLOOKUP($D1559,ccc[city],ccc[ctry],"-"),"-")</f>
        <v/>
      </c>
      <c r="M1559" s="1395">
        <f>IF(raw[[#This Row],[city]]&lt;&gt;"",_xlfn.XLOOKUP($D1559,ccc[city],ccc[cont],"-"),"-")</f>
        <v/>
      </c>
      <c r="N1559" s="1396">
        <f>IF(raw[[#This Row],[city]]="","-",IF(raw[[#This Row],[cont]]="B",raw[[#This Row],[cont]],"W"))</f>
        <v/>
      </c>
      <c r="O1559" s="1397">
        <f>IF(raw[[#This Row],[out]]=0,0,IF(raw[[#This Row],[out]]=raw[[#This Row],[in]],0.01,raw[[#This Row],[out]]-raw[[#This Row],[in]]))</f>
        <v/>
      </c>
      <c r="P1559" s="1397">
        <f>IF(raw[[#This Row],[in]]=0,0,MONTH(raw[[#This Row],[in]]))</f>
        <v/>
      </c>
      <c r="Q1559" s="1397">
        <f>IF(raw[[#This Row],[in]]=0,0,YEAR(raw[[#This Row],[in]]))</f>
        <v/>
      </c>
      <c r="R1559" s="1397">
        <f>INT(raw[[#This Row],[yr]]/10)*10</f>
        <v/>
      </c>
      <c r="S1559" s="1395">
        <f>IF(raw[[#This Row],[city]]="","-",IF(raw[[#This Row],[city]]&lt;&gt;_xlfn.XLOOKUP(raw[[#This Row],[home]],homes[home],homes[city],"-"),1,0))</f>
        <v/>
      </c>
      <c r="T1559" s="1398" t="inlineStr">
        <is>
          <t>.</t>
        </is>
      </c>
      <c r="U1559" s="1399">
        <f>IF(raw[[#This Row],[wb]]="w",raw[[#This Row],[stay]]+U1558,U1558)</f>
        <v/>
      </c>
      <c r="V1559" s="1400">
        <f>IF(raw[[#This Row],[out]]=0,V1558,(raw[[#This Row],[out]]-E$5))</f>
        <v/>
      </c>
      <c r="W1559" s="1401">
        <f>U1559/V1559</f>
        <v/>
      </c>
      <c r="X1559" s="1392" t="n"/>
      <c r="Y1559" s="1392" t="n"/>
      <c r="Z1559" s="1392" t="n"/>
      <c r="AA1559" s="1392" t="n"/>
      <c r="AB1559" s="1392" t="n"/>
      <c r="AC1559" s="1392" t="n"/>
      <c r="AD1559" s="1392" t="n"/>
      <c r="AE1559" s="1392" t="n"/>
      <c r="AF1559" s="1392" t="n"/>
      <c r="AG1559" s="1392" t="n"/>
      <c r="AH1559" s="1392" t="n"/>
      <c r="AI1559" s="1392" t="n"/>
      <c r="AJ1559" s="1392" t="n"/>
      <c r="AK1559" s="1392" t="n"/>
      <c r="AL1559" s="1392" t="n"/>
      <c r="AM1559" s="1392" t="n"/>
      <c r="AN1559" s="1392" t="n"/>
      <c r="AO1559" s="1392" t="n"/>
      <c r="AP1559" s="1392" t="n"/>
      <c r="AQ1559" s="1392" t="n"/>
      <c r="AR1559" s="1422" t="n"/>
      <c r="AS1559" s="1422" t="n"/>
      <c r="AT1559" s="1392" t="n"/>
      <c r="AU1559" s="1392" t="n"/>
      <c r="AV1559" s="1392" t="n"/>
      <c r="AW1559" s="1392" t="n"/>
      <c r="AX1559" s="1392" t="n"/>
      <c r="AY1559" s="1392" t="n"/>
      <c r="AZ1559" s="1392" t="n"/>
      <c r="BA1559" s="1422" t="n"/>
      <c r="BB1559" s="1422" t="n"/>
      <c r="BC1559" s="1392" t="n"/>
      <c r="BD1559" s="1392" t="n"/>
      <c r="BE1559" s="1392" t="n"/>
      <c r="BF1559" s="1392" t="n"/>
      <c r="BG1559" s="1392" t="n"/>
      <c r="BH1559" s="1392" t="n"/>
      <c r="BI1559" s="1392" t="n"/>
      <c r="BJ1559" s="1392" t="n"/>
      <c r="BK1559" s="1392" t="n"/>
      <c r="BL1559" s="1392" t="n"/>
      <c r="BM1559" s="1392" t="n"/>
      <c r="BN1559" s="1392" t="n"/>
      <c r="BO1559" s="1392" t="n"/>
      <c r="BP1559" s="1392" t="n"/>
      <c r="BQ1559" s="1392" t="n"/>
      <c r="BR1559" s="1392" t="n"/>
      <c r="BS1559" s="1392" t="n"/>
      <c r="BT1559" s="1392" t="n"/>
      <c r="BU1559" s="1392" t="n"/>
      <c r="BV1559" s="1392" t="n"/>
      <c r="BW1559" s="1392" t="n"/>
      <c r="BX1559" s="1392" t="n"/>
      <c r="BY1559" s="1392" t="n"/>
      <c r="BZ1559" s="1392" t="n"/>
      <c r="CA1559" s="1392" t="n"/>
      <c r="CB1559" s="1392" t="n"/>
      <c r="CC1559" s="1392" t="n"/>
      <c r="CD1559" s="1392" t="n"/>
      <c r="CE1559" s="1392" t="n"/>
      <c r="CF1559" s="1392" t="n"/>
      <c r="CG1559" s="1392" t="n"/>
      <c r="CH1559" s="1392" t="n"/>
      <c r="CI1559" s="1392" t="n"/>
      <c r="CJ1559" s="1392" t="n"/>
      <c r="CK1559" s="1392" t="n"/>
      <c r="CL1559" s="1392" t="n"/>
    </row>
    <row r="1560">
      <c r="A1560" s="5" t="inlineStr">
        <is>
          <t>.</t>
        </is>
      </c>
      <c r="B1560" s="5" t="inlineStr">
        <is>
          <t>.</t>
        </is>
      </c>
      <c r="C1560" s="1378">
        <f>IF(raw[[#This Row],[city]]="","-",IF(raw[[#This Row],[city]]="TODAY","-",C1559+1))</f>
        <v/>
      </c>
      <c r="D1560" s="1393" t="inlineStr">
        <is>
          <t>Montreal</t>
        </is>
      </c>
      <c r="E1560" s="1394" t="n">
        <v>44349</v>
      </c>
      <c r="F1560" s="1394" t="n">
        <v>44370</v>
      </c>
      <c r="G1560" s="1393" t="inlineStr">
        <is>
          <t>-</t>
        </is>
      </c>
      <c r="H1560" s="1393" t="inlineStr">
        <is>
          <t>Marie-Victorin</t>
        </is>
      </c>
      <c r="I1560" s="1393" t="inlineStr">
        <is>
          <t>-</t>
        </is>
      </c>
      <c r="J1560" s="1393" t="inlineStr">
        <is>
          <t>-</t>
        </is>
      </c>
      <c r="K1560" s="1395">
        <f>IF(raw[[#This Row],[city]]&lt;&gt;"",_xlfn.XLOOKUP($D1560,ccc[city],ccc[prov],"-"),"-")</f>
        <v/>
      </c>
      <c r="L1560" s="1395">
        <f>IF(raw[[#This Row],[city]]&lt;&gt;"",_xlfn.XLOOKUP($D1560,ccc[city],ccc[ctry],"-"),"-")</f>
        <v/>
      </c>
      <c r="M1560" s="1395">
        <f>IF(raw[[#This Row],[city]]&lt;&gt;"",_xlfn.XLOOKUP($D1560,ccc[city],ccc[cont],"-"),"-")</f>
        <v/>
      </c>
      <c r="N1560" s="1396">
        <f>IF(raw[[#This Row],[city]]="","-",IF(raw[[#This Row],[cont]]="B",raw[[#This Row],[cont]],"W"))</f>
        <v/>
      </c>
      <c r="O1560" s="1397">
        <f>IF(raw[[#This Row],[out]]=0,0,IF(raw[[#This Row],[out]]=raw[[#This Row],[in]],0.01,raw[[#This Row],[out]]-raw[[#This Row],[in]]))</f>
        <v/>
      </c>
      <c r="P1560" s="1397">
        <f>IF(raw[[#This Row],[in]]=0,0,MONTH(raw[[#This Row],[in]]))</f>
        <v/>
      </c>
      <c r="Q1560" s="1397">
        <f>IF(raw[[#This Row],[in]]=0,0,YEAR(raw[[#This Row],[in]]))</f>
        <v/>
      </c>
      <c r="R1560" s="1397">
        <f>INT(raw[[#This Row],[yr]]/10)*10</f>
        <v/>
      </c>
      <c r="S1560" s="1395">
        <f>IF(raw[[#This Row],[city]]="","-",IF(raw[[#This Row],[city]]&lt;&gt;_xlfn.XLOOKUP(raw[[#This Row],[home]],homes[home],homes[city],"-"),1,0))</f>
        <v/>
      </c>
      <c r="T1560" s="1398" t="inlineStr">
        <is>
          <t>.</t>
        </is>
      </c>
      <c r="U1560" s="1399">
        <f>IF(raw[[#This Row],[wb]]="w",raw[[#This Row],[stay]]+U1559,U1559)</f>
        <v/>
      </c>
      <c r="V1560" s="1400">
        <f>IF(raw[[#This Row],[out]]=0,V1559,(raw[[#This Row],[out]]-E$5))</f>
        <v/>
      </c>
      <c r="W1560" s="1401">
        <f>U1560/V1560</f>
        <v/>
      </c>
      <c r="X1560" s="1392" t="n"/>
      <c r="Y1560" s="1392" t="n"/>
      <c r="Z1560" s="1392" t="n"/>
      <c r="AA1560" s="1392" t="n"/>
      <c r="AB1560" s="1392" t="n"/>
      <c r="AC1560" s="1392" t="n"/>
      <c r="AD1560" s="1392" t="n"/>
      <c r="AE1560" s="1392" t="n"/>
      <c r="AF1560" s="1392" t="n"/>
      <c r="AG1560" s="1392" t="n"/>
      <c r="AH1560" s="1392" t="n"/>
      <c r="AI1560" s="1392" t="n"/>
      <c r="AJ1560" s="1392" t="n"/>
      <c r="AK1560" s="1392" t="n"/>
      <c r="AL1560" s="1392" t="n"/>
      <c r="AM1560" s="1392" t="n"/>
      <c r="AN1560" s="1392" t="n"/>
      <c r="AO1560" s="1392" t="n"/>
      <c r="AP1560" s="1392" t="n"/>
      <c r="AQ1560" s="1392" t="n"/>
      <c r="AR1560" s="1422" t="n"/>
      <c r="AS1560" s="1422" t="n"/>
      <c r="AT1560" s="1392" t="n"/>
      <c r="AU1560" s="1392" t="n"/>
      <c r="AV1560" s="1392" t="n"/>
      <c r="AW1560" s="1392" t="n"/>
      <c r="AX1560" s="1392" t="n"/>
      <c r="AY1560" s="1392" t="n"/>
      <c r="AZ1560" s="1392" t="n"/>
      <c r="BA1560" s="1422" t="n"/>
      <c r="BB1560" s="1422" t="n"/>
      <c r="BC1560" s="1392" t="n"/>
      <c r="BD1560" s="1392" t="n"/>
      <c r="BE1560" s="1392" t="n"/>
      <c r="BF1560" s="1392" t="n"/>
      <c r="BG1560" s="1392" t="n"/>
      <c r="BH1560" s="1392" t="n"/>
      <c r="BI1560" s="1392" t="n"/>
      <c r="BJ1560" s="1392" t="n"/>
      <c r="BK1560" s="1392" t="n"/>
      <c r="BL1560" s="1392" t="n"/>
      <c r="BM1560" s="1392" t="n"/>
      <c r="BN1560" s="1392" t="n"/>
      <c r="BO1560" s="1392" t="n"/>
      <c r="BP1560" s="1392" t="n"/>
      <c r="BQ1560" s="1392" t="n"/>
      <c r="BR1560" s="1392" t="n"/>
      <c r="BS1560" s="1392" t="n"/>
      <c r="BT1560" s="1392" t="n"/>
      <c r="BU1560" s="1392" t="n"/>
      <c r="BV1560" s="1392" t="n"/>
      <c r="BW1560" s="1392" t="n"/>
      <c r="BX1560" s="1392" t="n"/>
      <c r="BY1560" s="1392" t="n"/>
      <c r="BZ1560" s="1392" t="n"/>
      <c r="CA1560" s="1392" t="n"/>
      <c r="CB1560" s="1392" t="n"/>
      <c r="CC1560" s="1392" t="n"/>
      <c r="CD1560" s="1392" t="n"/>
      <c r="CE1560" s="1392" t="n"/>
      <c r="CF1560" s="1392" t="n"/>
      <c r="CG1560" s="1392" t="n"/>
      <c r="CH1560" s="1392" t="n"/>
      <c r="CI1560" s="1392" t="n"/>
      <c r="CJ1560" s="1392" t="n"/>
      <c r="CK1560" s="1392" t="n"/>
      <c r="CL1560" s="1392" t="n"/>
    </row>
    <row r="1561">
      <c r="A1561" s="5" t="inlineStr">
        <is>
          <t>.</t>
        </is>
      </c>
      <c r="B1561" s="5" t="inlineStr">
        <is>
          <t>.</t>
        </is>
      </c>
      <c r="C1561" s="1378">
        <f>IF(raw[[#This Row],[city]]="","-",IF(raw[[#This Row],[city]]="TODAY","-",C1560+1))</f>
        <v/>
      </c>
      <c r="D1561" s="1393" t="inlineStr">
        <is>
          <t>Carignan</t>
        </is>
      </c>
      <c r="E1561" s="1394" t="n">
        <v>44370</v>
      </c>
      <c r="F1561" s="1394" t="n">
        <v>44371</v>
      </c>
      <c r="G1561" s="1393" t="inlineStr">
        <is>
          <t>-</t>
        </is>
      </c>
      <c r="H1561" s="1393" t="inlineStr">
        <is>
          <t>Marie-Victorin</t>
        </is>
      </c>
      <c r="I1561" s="1393" t="inlineStr">
        <is>
          <t>Marcelo/Carignan</t>
        </is>
      </c>
      <c r="J1561" s="1393" t="inlineStr">
        <is>
          <t>-</t>
        </is>
      </c>
      <c r="K1561" s="1395">
        <f>IF(raw[[#This Row],[city]]&lt;&gt;"",_xlfn.XLOOKUP($D1561,ccc[city],ccc[prov],"-"),"-")</f>
        <v/>
      </c>
      <c r="L1561" s="1395">
        <f>IF(raw[[#This Row],[city]]&lt;&gt;"",_xlfn.XLOOKUP($D1561,ccc[city],ccc[ctry],"-"),"-")</f>
        <v/>
      </c>
      <c r="M1561" s="1395">
        <f>IF(raw[[#This Row],[city]]&lt;&gt;"",_xlfn.XLOOKUP($D1561,ccc[city],ccc[cont],"-"),"-")</f>
        <v/>
      </c>
      <c r="N1561" s="1396">
        <f>IF(raw[[#This Row],[city]]="","-",IF(raw[[#This Row],[cont]]="B",raw[[#This Row],[cont]],"W"))</f>
        <v/>
      </c>
      <c r="O1561" s="1397">
        <f>IF(raw[[#This Row],[out]]=0,0,IF(raw[[#This Row],[out]]=raw[[#This Row],[in]],0.01,raw[[#This Row],[out]]-raw[[#This Row],[in]]))</f>
        <v/>
      </c>
      <c r="P1561" s="1397">
        <f>IF(raw[[#This Row],[in]]=0,0,MONTH(raw[[#This Row],[in]]))</f>
        <v/>
      </c>
      <c r="Q1561" s="1397">
        <f>IF(raw[[#This Row],[in]]=0,0,YEAR(raw[[#This Row],[in]]))</f>
        <v/>
      </c>
      <c r="R1561" s="1397">
        <f>INT(raw[[#This Row],[yr]]/10)*10</f>
        <v/>
      </c>
      <c r="S1561" s="1395">
        <f>IF(raw[[#This Row],[city]]="","-",IF(raw[[#This Row],[city]]&lt;&gt;_xlfn.XLOOKUP(raw[[#This Row],[home]],homes[home],homes[city],"-"),1,0))</f>
        <v/>
      </c>
      <c r="T1561" s="1398" t="inlineStr">
        <is>
          <t>.</t>
        </is>
      </c>
      <c r="U1561" s="1399">
        <f>IF(raw[[#This Row],[wb]]="w",raw[[#This Row],[stay]]+U1560,U1560)</f>
        <v/>
      </c>
      <c r="V1561" s="1400">
        <f>IF(raw[[#This Row],[out]]=0,V1560,(raw[[#This Row],[out]]-E$5))</f>
        <v/>
      </c>
      <c r="W1561" s="1401">
        <f>U1561/V1561</f>
        <v/>
      </c>
      <c r="X1561" s="1392" t="n"/>
      <c r="Y1561" s="1392" t="n"/>
      <c r="Z1561" s="1392" t="n"/>
      <c r="AA1561" s="1392" t="n"/>
      <c r="AB1561" s="1392" t="n"/>
      <c r="AC1561" s="1392" t="n"/>
      <c r="AD1561" s="1392" t="n"/>
      <c r="AE1561" s="1392" t="n"/>
      <c r="AF1561" s="1392" t="n"/>
      <c r="AG1561" s="1392" t="n"/>
      <c r="AH1561" s="1392" t="n"/>
      <c r="AI1561" s="1392" t="n"/>
      <c r="AJ1561" s="1392" t="n"/>
      <c r="AK1561" s="1392" t="n"/>
      <c r="AL1561" s="1392" t="n"/>
      <c r="AM1561" s="1392" t="n"/>
      <c r="AN1561" s="1392" t="n"/>
      <c r="AO1561" s="1392" t="n"/>
      <c r="AP1561" s="1392" t="n"/>
      <c r="AQ1561" s="1392" t="n"/>
      <c r="AR1561" s="1422" t="n"/>
      <c r="AS1561" s="1422" t="n"/>
      <c r="AT1561" s="1392" t="n"/>
      <c r="AU1561" s="1392" t="n"/>
      <c r="AV1561" s="1392" t="n"/>
      <c r="AW1561" s="1392" t="n"/>
      <c r="AX1561" s="1392" t="n"/>
      <c r="AY1561" s="1392" t="n"/>
      <c r="AZ1561" s="1392" t="n"/>
      <c r="BA1561" s="1422" t="n"/>
      <c r="BB1561" s="1422" t="n"/>
      <c r="BC1561" s="1392" t="n"/>
      <c r="BD1561" s="1392" t="n"/>
      <c r="BE1561" s="1392" t="n"/>
      <c r="BF1561" s="1392" t="n"/>
      <c r="BG1561" s="1392" t="n"/>
      <c r="BH1561" s="1392" t="n"/>
      <c r="BI1561" s="1392" t="n"/>
      <c r="BJ1561" s="1392" t="n"/>
      <c r="BK1561" s="1392" t="n"/>
      <c r="BL1561" s="1392" t="n"/>
      <c r="BM1561" s="1392" t="n"/>
      <c r="BN1561" s="1392" t="n"/>
      <c r="BO1561" s="1392" t="n"/>
      <c r="BP1561" s="1392" t="n"/>
      <c r="BQ1561" s="1392" t="n"/>
      <c r="BR1561" s="1392" t="n"/>
      <c r="BS1561" s="1392" t="n"/>
      <c r="BT1561" s="1392" t="n"/>
      <c r="BU1561" s="1392" t="n"/>
      <c r="BV1561" s="1392" t="n"/>
      <c r="BW1561" s="1392" t="n"/>
      <c r="BX1561" s="1392" t="n"/>
      <c r="BY1561" s="1392" t="n"/>
      <c r="BZ1561" s="1392" t="n"/>
      <c r="CA1561" s="1392" t="n"/>
      <c r="CB1561" s="1392" t="n"/>
      <c r="CC1561" s="1392" t="n"/>
      <c r="CD1561" s="1392" t="n"/>
      <c r="CE1561" s="1392" t="n"/>
      <c r="CF1561" s="1392" t="n"/>
      <c r="CG1561" s="1392" t="n"/>
      <c r="CH1561" s="1392" t="n"/>
      <c r="CI1561" s="1392" t="n"/>
      <c r="CJ1561" s="1392" t="n"/>
      <c r="CK1561" s="1392" t="n"/>
      <c r="CL1561" s="1392" t="n"/>
    </row>
    <row r="1562">
      <c r="A1562" s="5" t="inlineStr">
        <is>
          <t>.</t>
        </is>
      </c>
      <c r="B1562" s="5" t="inlineStr">
        <is>
          <t>.</t>
        </is>
      </c>
      <c r="C1562" s="1378">
        <f>IF(raw[[#This Row],[city]]="","-",IF(raw[[#This Row],[city]]="TODAY","-",C1561+1))</f>
        <v/>
      </c>
      <c r="D1562" s="1393" t="inlineStr">
        <is>
          <t>Trois-Rivieres</t>
        </is>
      </c>
      <c r="E1562" s="1394" t="n">
        <v>44371</v>
      </c>
      <c r="F1562" s="1394" t="n">
        <v>44372</v>
      </c>
      <c r="G1562" s="1393" t="inlineStr">
        <is>
          <t>-</t>
        </is>
      </c>
      <c r="H1562" s="1393" t="inlineStr">
        <is>
          <t>Marie-Victorin</t>
        </is>
      </c>
      <c r="I1562" s="1393" t="inlineStr">
        <is>
          <t>-</t>
        </is>
      </c>
      <c r="J1562" s="1393" t="inlineStr">
        <is>
          <t>-</t>
        </is>
      </c>
      <c r="K1562" s="1395">
        <f>IF(raw[[#This Row],[city]]&lt;&gt;"",_xlfn.XLOOKUP($D1562,ccc[city],ccc[prov],"-"),"-")</f>
        <v/>
      </c>
      <c r="L1562" s="1395">
        <f>IF(raw[[#This Row],[city]]&lt;&gt;"",_xlfn.XLOOKUP($D1562,ccc[city],ccc[ctry],"-"),"-")</f>
        <v/>
      </c>
      <c r="M1562" s="1395">
        <f>IF(raw[[#This Row],[city]]&lt;&gt;"",_xlfn.XLOOKUP($D1562,ccc[city],ccc[cont],"-"),"-")</f>
        <v/>
      </c>
      <c r="N1562" s="1396">
        <f>IF(raw[[#This Row],[city]]="","-",IF(raw[[#This Row],[cont]]="B",raw[[#This Row],[cont]],"W"))</f>
        <v/>
      </c>
      <c r="O1562" s="1397">
        <f>IF(raw[[#This Row],[out]]=0,0,IF(raw[[#This Row],[out]]=raw[[#This Row],[in]],0.01,raw[[#This Row],[out]]-raw[[#This Row],[in]]))</f>
        <v/>
      </c>
      <c r="P1562" s="1397">
        <f>IF(raw[[#This Row],[in]]=0,0,MONTH(raw[[#This Row],[in]]))</f>
        <v/>
      </c>
      <c r="Q1562" s="1397">
        <f>IF(raw[[#This Row],[in]]=0,0,YEAR(raw[[#This Row],[in]]))</f>
        <v/>
      </c>
      <c r="R1562" s="1397">
        <f>INT(raw[[#This Row],[yr]]/10)*10</f>
        <v/>
      </c>
      <c r="S1562" s="1395">
        <f>IF(raw[[#This Row],[city]]="","-",IF(raw[[#This Row],[city]]&lt;&gt;_xlfn.XLOOKUP(raw[[#This Row],[home]],homes[home],homes[city],"-"),1,0))</f>
        <v/>
      </c>
      <c r="T1562" s="1398" t="inlineStr">
        <is>
          <t>.</t>
        </is>
      </c>
      <c r="U1562" s="1399">
        <f>IF(raw[[#This Row],[wb]]="w",raw[[#This Row],[stay]]+U1561,U1561)</f>
        <v/>
      </c>
      <c r="V1562" s="1400">
        <f>IF(raw[[#This Row],[out]]=0,V1561,(raw[[#This Row],[out]]-E$5))</f>
        <v/>
      </c>
      <c r="W1562" s="1401">
        <f>U1562/V1562</f>
        <v/>
      </c>
      <c r="X1562" s="1392" t="n"/>
      <c r="Y1562" s="1392" t="n"/>
      <c r="Z1562" s="1392" t="n"/>
      <c r="AA1562" s="1392" t="n"/>
      <c r="AB1562" s="1392" t="n"/>
      <c r="AC1562" s="1392" t="n"/>
      <c r="AD1562" s="1392" t="n"/>
      <c r="AE1562" s="1392" t="n"/>
      <c r="AF1562" s="1392" t="n"/>
      <c r="AG1562" s="1392" t="n"/>
      <c r="AH1562" s="1392" t="n"/>
      <c r="AI1562" s="1392" t="n"/>
      <c r="AJ1562" s="1392" t="n"/>
      <c r="AK1562" s="1392" t="n"/>
      <c r="AL1562" s="1392" t="n"/>
      <c r="AM1562" s="1392" t="n"/>
      <c r="AN1562" s="1392" t="n"/>
      <c r="AO1562" s="1392" t="n"/>
      <c r="AP1562" s="1392" t="n"/>
      <c r="AQ1562" s="1392" t="n"/>
      <c r="AR1562" s="1422" t="n"/>
      <c r="AS1562" s="1422" t="n"/>
      <c r="AT1562" s="1392" t="n"/>
      <c r="AU1562" s="1392" t="n"/>
      <c r="AV1562" s="1392" t="n"/>
      <c r="AW1562" s="1392" t="n"/>
      <c r="AX1562" s="1392" t="n"/>
      <c r="AY1562" s="1392" t="n"/>
      <c r="AZ1562" s="1392" t="n"/>
      <c r="BA1562" s="1422" t="n"/>
      <c r="BB1562" s="1422" t="n"/>
      <c r="BC1562" s="1392" t="n"/>
      <c r="BD1562" s="1392" t="n"/>
      <c r="BE1562" s="1392" t="n"/>
      <c r="BF1562" s="1392" t="n"/>
      <c r="BG1562" s="1392" t="n"/>
      <c r="BH1562" s="1392" t="n"/>
      <c r="BI1562" s="1392" t="n"/>
      <c r="BJ1562" s="1392" t="n"/>
      <c r="BK1562" s="1392" t="n"/>
      <c r="BL1562" s="1392" t="n"/>
      <c r="BM1562" s="1392" t="n"/>
      <c r="BN1562" s="1392" t="n"/>
      <c r="BO1562" s="1392" t="n"/>
      <c r="BP1562" s="1392" t="n"/>
      <c r="BQ1562" s="1392" t="n"/>
      <c r="BR1562" s="1392" t="n"/>
      <c r="BS1562" s="1392" t="n"/>
      <c r="BT1562" s="1392" t="n"/>
      <c r="BU1562" s="1392" t="n"/>
      <c r="BV1562" s="1392" t="n"/>
      <c r="BW1562" s="1392" t="n"/>
      <c r="BX1562" s="1392" t="n"/>
      <c r="BY1562" s="1392" t="n"/>
      <c r="BZ1562" s="1392" t="n"/>
      <c r="CA1562" s="1392" t="n"/>
      <c r="CB1562" s="1392" t="n"/>
      <c r="CC1562" s="1392" t="n"/>
      <c r="CD1562" s="1392" t="n"/>
      <c r="CE1562" s="1392" t="n"/>
      <c r="CF1562" s="1392" t="n"/>
      <c r="CG1562" s="1392" t="n"/>
      <c r="CH1562" s="1392" t="n"/>
      <c r="CI1562" s="1392" t="n"/>
      <c r="CJ1562" s="1392" t="n"/>
      <c r="CK1562" s="1392" t="n"/>
      <c r="CL1562" s="1392" t="n"/>
    </row>
    <row r="1563">
      <c r="A1563" s="5" t="inlineStr">
        <is>
          <t>.</t>
        </is>
      </c>
      <c r="B1563" s="5" t="inlineStr">
        <is>
          <t>.</t>
        </is>
      </c>
      <c r="C1563" s="1378">
        <f>IF(raw[[#This Row],[city]]="","-",IF(raw[[#This Row],[city]]="TODAY","-",C1562+1))</f>
        <v/>
      </c>
      <c r="D1563" s="1393" t="inlineStr">
        <is>
          <t>Quebec City</t>
        </is>
      </c>
      <c r="E1563" s="1394" t="n">
        <v>44372</v>
      </c>
      <c r="F1563" s="1394" t="n">
        <v>44373</v>
      </c>
      <c r="G1563" s="1393" t="inlineStr">
        <is>
          <t>-</t>
        </is>
      </c>
      <c r="H1563" s="1393" t="inlineStr">
        <is>
          <t>Marie-Victorin</t>
        </is>
      </c>
      <c r="I1563" s="1393" t="inlineStr">
        <is>
          <t>-</t>
        </is>
      </c>
      <c r="J1563" s="1393" t="inlineStr">
        <is>
          <t>-</t>
        </is>
      </c>
      <c r="K1563" s="1395">
        <f>IF(raw[[#This Row],[city]]&lt;&gt;"",_xlfn.XLOOKUP($D1563,ccc[city],ccc[prov],"-"),"-")</f>
        <v/>
      </c>
      <c r="L1563" s="1395">
        <f>IF(raw[[#This Row],[city]]&lt;&gt;"",_xlfn.XLOOKUP($D1563,ccc[city],ccc[ctry],"-"),"-")</f>
        <v/>
      </c>
      <c r="M1563" s="1395">
        <f>IF(raw[[#This Row],[city]]&lt;&gt;"",_xlfn.XLOOKUP($D1563,ccc[city],ccc[cont],"-"),"-")</f>
        <v/>
      </c>
      <c r="N1563" s="1396">
        <f>IF(raw[[#This Row],[city]]="","-",IF(raw[[#This Row],[cont]]="B",raw[[#This Row],[cont]],"W"))</f>
        <v/>
      </c>
      <c r="O1563" s="1397">
        <f>IF(raw[[#This Row],[out]]=0,0,IF(raw[[#This Row],[out]]=raw[[#This Row],[in]],0.01,raw[[#This Row],[out]]-raw[[#This Row],[in]]))</f>
        <v/>
      </c>
      <c r="P1563" s="1397">
        <f>IF(raw[[#This Row],[in]]=0,0,MONTH(raw[[#This Row],[in]]))</f>
        <v/>
      </c>
      <c r="Q1563" s="1397">
        <f>IF(raw[[#This Row],[in]]=0,0,YEAR(raw[[#This Row],[in]]))</f>
        <v/>
      </c>
      <c r="R1563" s="1397">
        <f>INT(raw[[#This Row],[yr]]/10)*10</f>
        <v/>
      </c>
      <c r="S1563" s="1395">
        <f>IF(raw[[#This Row],[city]]="","-",IF(raw[[#This Row],[city]]&lt;&gt;_xlfn.XLOOKUP(raw[[#This Row],[home]],homes[home],homes[city],"-"),1,0))</f>
        <v/>
      </c>
      <c r="T1563" s="1398" t="inlineStr">
        <is>
          <t>.</t>
        </is>
      </c>
      <c r="U1563" s="1399">
        <f>IF(raw[[#This Row],[wb]]="w",raw[[#This Row],[stay]]+U1562,U1562)</f>
        <v/>
      </c>
      <c r="V1563" s="1400">
        <f>IF(raw[[#This Row],[out]]=0,V1562,(raw[[#This Row],[out]]-E$5))</f>
        <v/>
      </c>
      <c r="W1563" s="1401">
        <f>U1563/V1563</f>
        <v/>
      </c>
      <c r="X1563" s="1392" t="n"/>
      <c r="Y1563" s="1392" t="n"/>
      <c r="Z1563" s="1392" t="n"/>
      <c r="AA1563" s="1392" t="n"/>
      <c r="AB1563" s="1392" t="n"/>
      <c r="AC1563" s="1392" t="n"/>
      <c r="AD1563" s="1392" t="n"/>
      <c r="AE1563" s="1392" t="n"/>
      <c r="AF1563" s="1392" t="n"/>
      <c r="AG1563" s="1392" t="n"/>
      <c r="AH1563" s="1392" t="n"/>
      <c r="AI1563" s="1392" t="n"/>
      <c r="AJ1563" s="1392" t="n"/>
      <c r="AK1563" s="1392" t="n"/>
      <c r="AL1563" s="1392" t="n"/>
      <c r="AM1563" s="1392" t="n"/>
      <c r="AN1563" s="1392" t="n"/>
      <c r="AO1563" s="1392" t="n"/>
      <c r="AP1563" s="1392" t="n"/>
      <c r="AQ1563" s="1392" t="n"/>
      <c r="AR1563" s="1422" t="n"/>
      <c r="AS1563" s="1422" t="n"/>
      <c r="AT1563" s="1392" t="n"/>
      <c r="AU1563" s="1392" t="n"/>
      <c r="AV1563" s="1392" t="n"/>
      <c r="AW1563" s="1392" t="n"/>
      <c r="AX1563" s="1392" t="n"/>
      <c r="AY1563" s="1392" t="n"/>
      <c r="AZ1563" s="1392" t="n"/>
      <c r="BA1563" s="1422" t="n"/>
      <c r="BB1563" s="1422" t="n"/>
      <c r="BC1563" s="1392" t="n"/>
      <c r="BD1563" s="1392" t="n"/>
      <c r="BE1563" s="1392" t="n"/>
      <c r="BF1563" s="1392" t="n"/>
      <c r="BG1563" s="1392" t="n"/>
      <c r="BH1563" s="1392" t="n"/>
      <c r="BI1563" s="1392" t="n"/>
      <c r="BJ1563" s="1392" t="n"/>
      <c r="BK1563" s="1392" t="n"/>
      <c r="BL1563" s="1392" t="n"/>
      <c r="BM1563" s="1392" t="n"/>
      <c r="BN1563" s="1392" t="n"/>
      <c r="BO1563" s="1392" t="n"/>
      <c r="BP1563" s="1392" t="n"/>
      <c r="BQ1563" s="1392" t="n"/>
      <c r="BR1563" s="1392" t="n"/>
      <c r="BS1563" s="1392" t="n"/>
      <c r="BT1563" s="1392" t="n"/>
      <c r="BU1563" s="1392" t="n"/>
      <c r="BV1563" s="1392" t="n"/>
      <c r="BW1563" s="1392" t="n"/>
      <c r="BX1563" s="1392" t="n"/>
      <c r="BY1563" s="1392" t="n"/>
      <c r="BZ1563" s="1392" t="n"/>
      <c r="CA1563" s="1392" t="n"/>
      <c r="CB1563" s="1392" t="n"/>
      <c r="CC1563" s="1392" t="n"/>
      <c r="CD1563" s="1392" t="n"/>
      <c r="CE1563" s="1392" t="n"/>
      <c r="CF1563" s="1392" t="n"/>
      <c r="CG1563" s="1392" t="n"/>
      <c r="CH1563" s="1392" t="n"/>
      <c r="CI1563" s="1392" t="n"/>
      <c r="CJ1563" s="1392" t="n"/>
      <c r="CK1563" s="1392" t="n"/>
      <c r="CL1563" s="1392" t="n"/>
    </row>
    <row r="1564">
      <c r="A1564" s="5" t="inlineStr">
        <is>
          <t>.</t>
        </is>
      </c>
      <c r="B1564" s="5" t="inlineStr">
        <is>
          <t>.</t>
        </is>
      </c>
      <c r="C1564" s="1378">
        <f>IF(raw[[#This Row],[city]]="","-",IF(raw[[#This Row],[city]]="TODAY","-",C1563+1))</f>
        <v/>
      </c>
      <c r="D1564" s="1393" t="inlineStr">
        <is>
          <t>Montreal</t>
        </is>
      </c>
      <c r="E1564" s="1394" t="n">
        <v>44373</v>
      </c>
      <c r="F1564" s="1394" t="n">
        <v>44378</v>
      </c>
      <c r="G1564" s="1393" t="inlineStr">
        <is>
          <t>-</t>
        </is>
      </c>
      <c r="H1564" s="1393" t="inlineStr">
        <is>
          <t>Marie-Victorin</t>
        </is>
      </c>
      <c r="I1564" s="1393" t="inlineStr">
        <is>
          <t>-</t>
        </is>
      </c>
      <c r="J1564" s="1393" t="inlineStr">
        <is>
          <t>-</t>
        </is>
      </c>
      <c r="K1564" s="1395">
        <f>IF(raw[[#This Row],[city]]&lt;&gt;"",_xlfn.XLOOKUP($D1564,ccc[city],ccc[prov],"-"),"-")</f>
        <v/>
      </c>
      <c r="L1564" s="1395">
        <f>IF(raw[[#This Row],[city]]&lt;&gt;"",_xlfn.XLOOKUP($D1564,ccc[city],ccc[ctry],"-"),"-")</f>
        <v/>
      </c>
      <c r="M1564" s="1395">
        <f>IF(raw[[#This Row],[city]]&lt;&gt;"",_xlfn.XLOOKUP($D1564,ccc[city],ccc[cont],"-"),"-")</f>
        <v/>
      </c>
      <c r="N1564" s="1396">
        <f>IF(raw[[#This Row],[city]]="","-",IF(raw[[#This Row],[cont]]="B",raw[[#This Row],[cont]],"W"))</f>
        <v/>
      </c>
      <c r="O1564" s="1397">
        <f>IF(raw[[#This Row],[out]]=0,0,IF(raw[[#This Row],[out]]=raw[[#This Row],[in]],0.01,raw[[#This Row],[out]]-raw[[#This Row],[in]]))</f>
        <v/>
      </c>
      <c r="P1564" s="1397">
        <f>IF(raw[[#This Row],[in]]=0,0,MONTH(raw[[#This Row],[in]]))</f>
        <v/>
      </c>
      <c r="Q1564" s="1397">
        <f>IF(raw[[#This Row],[in]]=0,0,YEAR(raw[[#This Row],[in]]))</f>
        <v/>
      </c>
      <c r="R1564" s="1397">
        <f>INT(raw[[#This Row],[yr]]/10)*10</f>
        <v/>
      </c>
      <c r="S1564" s="1395">
        <f>IF(raw[[#This Row],[city]]="","-",IF(raw[[#This Row],[city]]&lt;&gt;_xlfn.XLOOKUP(raw[[#This Row],[home]],homes[home],homes[city],"-"),1,0))</f>
        <v/>
      </c>
      <c r="T1564" s="1398" t="inlineStr">
        <is>
          <t>.</t>
        </is>
      </c>
      <c r="U1564" s="1399">
        <f>IF(raw[[#This Row],[wb]]="w",raw[[#This Row],[stay]]+U1563,U1563)</f>
        <v/>
      </c>
      <c r="V1564" s="1400">
        <f>IF(raw[[#This Row],[out]]=0,V1563,(raw[[#This Row],[out]]-E$5))</f>
        <v/>
      </c>
      <c r="W1564" s="1401">
        <f>U1564/V1564</f>
        <v/>
      </c>
      <c r="X1564" s="1392" t="n"/>
      <c r="Y1564" s="1392" t="n"/>
      <c r="Z1564" s="1392" t="n"/>
      <c r="AA1564" s="1392" t="n"/>
      <c r="AB1564" s="1392" t="n"/>
      <c r="AC1564" s="1392" t="n"/>
      <c r="AD1564" s="1392" t="n"/>
      <c r="AE1564" s="1392" t="n"/>
      <c r="AF1564" s="1392" t="n"/>
      <c r="AG1564" s="1392" t="n"/>
      <c r="AH1564" s="1392" t="n"/>
      <c r="AI1564" s="1392" t="n"/>
      <c r="AJ1564" s="1392" t="n"/>
      <c r="AK1564" s="1392" t="n"/>
      <c r="AL1564" s="1392" t="n"/>
      <c r="AM1564" s="1392" t="n"/>
      <c r="AN1564" s="1392" t="n"/>
      <c r="AO1564" s="1392" t="n"/>
      <c r="AP1564" s="1392" t="n"/>
      <c r="AQ1564" s="1392" t="n"/>
      <c r="AR1564" s="1422" t="n"/>
      <c r="AS1564" s="1422" t="n"/>
      <c r="AT1564" s="1392" t="n"/>
      <c r="AU1564" s="1392" t="n"/>
      <c r="AV1564" s="1392" t="n"/>
      <c r="AW1564" s="1392" t="n"/>
      <c r="AX1564" s="1392" t="n"/>
      <c r="AY1564" s="1392" t="n"/>
      <c r="AZ1564" s="1392" t="n"/>
      <c r="BA1564" s="1422" t="n"/>
      <c r="BB1564" s="1422" t="n"/>
      <c r="BC1564" s="1392" t="n"/>
      <c r="BD1564" s="1392" t="n"/>
      <c r="BE1564" s="1392" t="n"/>
      <c r="BF1564" s="1392" t="n"/>
      <c r="BG1564" s="1392" t="n"/>
      <c r="BH1564" s="1392" t="n"/>
      <c r="BI1564" s="1392" t="n"/>
      <c r="BJ1564" s="1392" t="n"/>
      <c r="BK1564" s="1392" t="n"/>
      <c r="BL1564" s="1392" t="n"/>
      <c r="BM1564" s="1392" t="n"/>
      <c r="BN1564" s="1392" t="n"/>
      <c r="BO1564" s="1392" t="n"/>
      <c r="BP1564" s="1392" t="n"/>
      <c r="BQ1564" s="1392" t="n"/>
      <c r="BR1564" s="1392" t="n"/>
      <c r="BS1564" s="1392" t="n"/>
      <c r="BT1564" s="1392" t="n"/>
      <c r="BU1564" s="1392" t="n"/>
      <c r="BV1564" s="1392" t="n"/>
      <c r="BW1564" s="1392" t="n"/>
      <c r="BX1564" s="1392" t="n"/>
      <c r="BY1564" s="1392" t="n"/>
      <c r="BZ1564" s="1392" t="n"/>
      <c r="CA1564" s="1392" t="n"/>
      <c r="CB1564" s="1392" t="n"/>
      <c r="CC1564" s="1392" t="n"/>
      <c r="CD1564" s="1392" t="n"/>
      <c r="CE1564" s="1392" t="n"/>
      <c r="CF1564" s="1392" t="n"/>
      <c r="CG1564" s="1392" t="n"/>
      <c r="CH1564" s="1392" t="n"/>
      <c r="CI1564" s="1392" t="n"/>
      <c r="CJ1564" s="1392" t="n"/>
      <c r="CK1564" s="1392" t="n"/>
      <c r="CL1564" s="1392" t="n"/>
    </row>
    <row r="1565">
      <c r="A1565" s="5" t="inlineStr">
        <is>
          <t>.</t>
        </is>
      </c>
      <c r="B1565" s="5" t="inlineStr">
        <is>
          <t>.</t>
        </is>
      </c>
      <c r="C1565" s="1378">
        <f>IF(raw[[#This Row],[city]]="","-",IF(raw[[#This Row],[city]]="TODAY","-",C1564+1))</f>
        <v/>
      </c>
      <c r="D1565" s="1393" t="inlineStr">
        <is>
          <t>Montreal</t>
        </is>
      </c>
      <c r="E1565" s="1394" t="n">
        <v>44378</v>
      </c>
      <c r="F1565" s="1394" t="n">
        <v>44399</v>
      </c>
      <c r="G1565" s="1393" t="inlineStr">
        <is>
          <t>-</t>
        </is>
      </c>
      <c r="H1565" s="1393" t="inlineStr">
        <is>
          <t>Marie-Victorin</t>
        </is>
      </c>
      <c r="I1565" s="1393" t="inlineStr">
        <is>
          <t>-</t>
        </is>
      </c>
      <c r="J1565" s="1393" t="inlineStr">
        <is>
          <t>-</t>
        </is>
      </c>
      <c r="K1565" s="1395">
        <f>IF(raw[[#This Row],[city]]&lt;&gt;"",_xlfn.XLOOKUP($D1565,ccc[city],ccc[prov],"-"),"-")</f>
        <v/>
      </c>
      <c r="L1565" s="1395">
        <f>IF(raw[[#This Row],[city]]&lt;&gt;"",_xlfn.XLOOKUP($D1565,ccc[city],ccc[ctry],"-"),"-")</f>
        <v/>
      </c>
      <c r="M1565" s="1395">
        <f>IF(raw[[#This Row],[city]]&lt;&gt;"",_xlfn.XLOOKUP($D1565,ccc[city],ccc[cont],"-"),"-")</f>
        <v/>
      </c>
      <c r="N1565" s="1396">
        <f>IF(raw[[#This Row],[city]]="","-",IF(raw[[#This Row],[cont]]="B",raw[[#This Row],[cont]],"W"))</f>
        <v/>
      </c>
      <c r="O1565" s="1397">
        <f>IF(raw[[#This Row],[out]]=0,0,IF(raw[[#This Row],[out]]=raw[[#This Row],[in]],0.01,raw[[#This Row],[out]]-raw[[#This Row],[in]]))</f>
        <v/>
      </c>
      <c r="P1565" s="1397">
        <f>IF(raw[[#This Row],[in]]=0,0,MONTH(raw[[#This Row],[in]]))</f>
        <v/>
      </c>
      <c r="Q1565" s="1397">
        <f>IF(raw[[#This Row],[in]]=0,0,YEAR(raw[[#This Row],[in]]))</f>
        <v/>
      </c>
      <c r="R1565" s="1397">
        <f>INT(raw[[#This Row],[yr]]/10)*10</f>
        <v/>
      </c>
      <c r="S1565" s="1395">
        <f>IF(raw[[#This Row],[city]]="","-",IF(raw[[#This Row],[city]]&lt;&gt;_xlfn.XLOOKUP(raw[[#This Row],[home]],homes[home],homes[city],"-"),1,0))</f>
        <v/>
      </c>
      <c r="T1565" s="1398" t="inlineStr">
        <is>
          <t>.</t>
        </is>
      </c>
      <c r="U1565" s="1399">
        <f>IF(raw[[#This Row],[wb]]="w",raw[[#This Row],[stay]]+U1564,U1564)</f>
        <v/>
      </c>
      <c r="V1565" s="1400">
        <f>IF(raw[[#This Row],[out]]=0,V1564,(raw[[#This Row],[out]]-E$5))</f>
        <v/>
      </c>
      <c r="W1565" s="1401">
        <f>U1565/V1565</f>
        <v/>
      </c>
      <c r="X1565" s="1392" t="n"/>
      <c r="Y1565" s="1392" t="n"/>
      <c r="Z1565" s="1392" t="n"/>
      <c r="AA1565" s="1392" t="n"/>
      <c r="AB1565" s="1392" t="n"/>
      <c r="AC1565" s="1392" t="n"/>
      <c r="AD1565" s="1392" t="n"/>
      <c r="AE1565" s="1392" t="n"/>
      <c r="AF1565" s="1392" t="n"/>
      <c r="AG1565" s="1392" t="n"/>
      <c r="AH1565" s="1392" t="n"/>
      <c r="AI1565" s="1392" t="n"/>
      <c r="AJ1565" s="1392" t="n"/>
      <c r="AK1565" s="1392" t="n"/>
      <c r="AL1565" s="1392" t="n"/>
      <c r="AM1565" s="1392" t="n"/>
      <c r="AN1565" s="1392" t="n"/>
      <c r="AO1565" s="1392" t="n"/>
      <c r="AP1565" s="1392" t="n"/>
      <c r="AQ1565" s="1392" t="n"/>
      <c r="AR1565" s="1422" t="n"/>
      <c r="AS1565" s="1422" t="n"/>
      <c r="AT1565" s="1392" t="n"/>
      <c r="AU1565" s="1392" t="n"/>
      <c r="AV1565" s="1392" t="n"/>
      <c r="AW1565" s="1392" t="n"/>
      <c r="AX1565" s="1392" t="n"/>
      <c r="AY1565" s="1392" t="n"/>
      <c r="AZ1565" s="1392" t="n"/>
      <c r="BA1565" s="1422" t="n"/>
      <c r="BB1565" s="1422" t="n"/>
      <c r="BC1565" s="1392" t="n"/>
      <c r="BD1565" s="1392" t="n"/>
      <c r="BE1565" s="1392" t="n"/>
      <c r="BF1565" s="1392" t="n"/>
      <c r="BG1565" s="1392" t="n"/>
      <c r="BH1565" s="1392" t="n"/>
      <c r="BI1565" s="1392" t="n"/>
      <c r="BJ1565" s="1392" t="n"/>
      <c r="BK1565" s="1392" t="n"/>
      <c r="BL1565" s="1392" t="n"/>
      <c r="BM1565" s="1392" t="n"/>
      <c r="BN1565" s="1392" t="n"/>
      <c r="BO1565" s="1392" t="n"/>
      <c r="BP1565" s="1392" t="n"/>
      <c r="BQ1565" s="1392" t="n"/>
      <c r="BR1565" s="1392" t="n"/>
      <c r="BS1565" s="1392" t="n"/>
      <c r="BT1565" s="1392" t="n"/>
      <c r="BU1565" s="1392" t="n"/>
      <c r="BV1565" s="1392" t="n"/>
      <c r="BW1565" s="1392" t="n"/>
      <c r="BX1565" s="1392" t="n"/>
      <c r="BY1565" s="1392" t="n"/>
      <c r="BZ1565" s="1392" t="n"/>
      <c r="CA1565" s="1392" t="n"/>
      <c r="CB1565" s="1392" t="n"/>
      <c r="CC1565" s="1392" t="n"/>
      <c r="CD1565" s="1392" t="n"/>
      <c r="CE1565" s="1392" t="n"/>
      <c r="CF1565" s="1392" t="n"/>
      <c r="CG1565" s="1392" t="n"/>
      <c r="CH1565" s="1392" t="n"/>
      <c r="CI1565" s="1392" t="n"/>
      <c r="CJ1565" s="1392" t="n"/>
      <c r="CK1565" s="1392" t="n"/>
      <c r="CL1565" s="1392" t="n"/>
    </row>
    <row r="1566">
      <c r="A1566" s="5" t="inlineStr">
        <is>
          <t>.</t>
        </is>
      </c>
      <c r="B1566" s="5" t="inlineStr">
        <is>
          <t>.</t>
        </is>
      </c>
      <c r="C1566" s="1378">
        <f>IF(raw[[#This Row],[city]]="","-",IF(raw[[#This Row],[city]]="TODAY","-",C1565+1))</f>
        <v/>
      </c>
      <c r="D1566" s="1393" t="inlineStr">
        <is>
          <t>Montreal</t>
        </is>
      </c>
      <c r="E1566" s="1394" t="n">
        <v>44399</v>
      </c>
      <c r="F1566" s="1394" t="n">
        <v>44403</v>
      </c>
      <c r="G1566" s="1393" t="inlineStr">
        <is>
          <t>-</t>
        </is>
      </c>
      <c r="H1566" s="1393" t="inlineStr">
        <is>
          <t>Marie-Victorin</t>
        </is>
      </c>
      <c r="I1566" s="1393" t="inlineStr">
        <is>
          <t>Gaspé</t>
        </is>
      </c>
      <c r="J1566" s="1393" t="inlineStr">
        <is>
          <t>-</t>
        </is>
      </c>
      <c r="K1566" s="1395">
        <f>IF(raw[[#This Row],[city]]&lt;&gt;"",_xlfn.XLOOKUP($D1566,ccc[city],ccc[prov],"-"),"-")</f>
        <v/>
      </c>
      <c r="L1566" s="1395">
        <f>IF(raw[[#This Row],[city]]&lt;&gt;"",_xlfn.XLOOKUP($D1566,ccc[city],ccc[ctry],"-"),"-")</f>
        <v/>
      </c>
      <c r="M1566" s="1395">
        <f>IF(raw[[#This Row],[city]]&lt;&gt;"",_xlfn.XLOOKUP($D1566,ccc[city],ccc[cont],"-"),"-")</f>
        <v/>
      </c>
      <c r="N1566" s="1396">
        <f>IF(raw[[#This Row],[city]]="","-",IF(raw[[#This Row],[cont]]="B",raw[[#This Row],[cont]],"W"))</f>
        <v/>
      </c>
      <c r="O1566" s="1397">
        <f>IF(raw[[#This Row],[out]]=0,0,IF(raw[[#This Row],[out]]=raw[[#This Row],[in]],0.01,raw[[#This Row],[out]]-raw[[#This Row],[in]]))</f>
        <v/>
      </c>
      <c r="P1566" s="1397">
        <f>IF(raw[[#This Row],[in]]=0,0,MONTH(raw[[#This Row],[in]]))</f>
        <v/>
      </c>
      <c r="Q1566" s="1397">
        <f>IF(raw[[#This Row],[in]]=0,0,YEAR(raw[[#This Row],[in]]))</f>
        <v/>
      </c>
      <c r="R1566" s="1397">
        <f>INT(raw[[#This Row],[yr]]/10)*10</f>
        <v/>
      </c>
      <c r="S1566" s="1395">
        <f>IF(raw[[#This Row],[city]]="","-",IF(raw[[#This Row],[city]]&lt;&gt;_xlfn.XLOOKUP(raw[[#This Row],[home]],homes[home],homes[city],"-"),1,0))</f>
        <v/>
      </c>
      <c r="T1566" s="1398" t="inlineStr">
        <is>
          <t>.</t>
        </is>
      </c>
      <c r="U1566" s="1399">
        <f>IF(raw[[#This Row],[wb]]="w",raw[[#This Row],[stay]]+U1565,U1565)</f>
        <v/>
      </c>
      <c r="V1566" s="1400">
        <f>IF(raw[[#This Row],[out]]=0,V1565,(raw[[#This Row],[out]]-E$5))</f>
        <v/>
      </c>
      <c r="W1566" s="1401">
        <f>U1566/V1566</f>
        <v/>
      </c>
      <c r="X1566" s="1392" t="n"/>
      <c r="Y1566" s="1392" t="n"/>
      <c r="Z1566" s="1392" t="n"/>
      <c r="AA1566" s="1392" t="n"/>
      <c r="AB1566" s="1392" t="n"/>
      <c r="AC1566" s="1392" t="n"/>
      <c r="AD1566" s="1392" t="n"/>
      <c r="AE1566" s="1392" t="n"/>
      <c r="AF1566" s="1392" t="n"/>
      <c r="AG1566" s="1392" t="n"/>
      <c r="AH1566" s="1392" t="n"/>
      <c r="AI1566" s="1392" t="n"/>
      <c r="AJ1566" s="1392" t="n"/>
      <c r="AK1566" s="1392" t="n"/>
      <c r="AL1566" s="1392" t="n"/>
      <c r="AM1566" s="1392" t="n"/>
      <c r="AN1566" s="1392" t="n"/>
      <c r="AO1566" s="1392" t="n"/>
      <c r="AP1566" s="1392" t="n"/>
      <c r="AQ1566" s="1392" t="n"/>
      <c r="AR1566" s="1422" t="n"/>
      <c r="AS1566" s="1422" t="n"/>
      <c r="AT1566" s="1392" t="n"/>
      <c r="AU1566" s="1392" t="n"/>
      <c r="AV1566" s="1392" t="n"/>
      <c r="AW1566" s="1392" t="n"/>
      <c r="AX1566" s="1392" t="n"/>
      <c r="AY1566" s="1392" t="n"/>
      <c r="AZ1566" s="1392" t="n"/>
      <c r="BA1566" s="1422" t="n"/>
      <c r="BB1566" s="1422" t="n"/>
      <c r="BC1566" s="1392" t="n"/>
      <c r="BD1566" s="1392" t="n"/>
      <c r="BE1566" s="1392" t="n"/>
      <c r="BF1566" s="1392" t="n"/>
      <c r="BG1566" s="1392" t="n"/>
      <c r="BH1566" s="1392" t="n"/>
      <c r="BI1566" s="1392" t="n"/>
      <c r="BJ1566" s="1392" t="n"/>
      <c r="BK1566" s="1392" t="n"/>
      <c r="BL1566" s="1392" t="n"/>
      <c r="BM1566" s="1392" t="n"/>
      <c r="BN1566" s="1392" t="n"/>
      <c r="BO1566" s="1392" t="n"/>
      <c r="BP1566" s="1392" t="n"/>
      <c r="BQ1566" s="1392" t="n"/>
      <c r="BR1566" s="1392" t="n"/>
      <c r="BS1566" s="1392" t="n"/>
      <c r="BT1566" s="1392" t="n"/>
      <c r="BU1566" s="1392" t="n"/>
      <c r="BV1566" s="1392" t="n"/>
      <c r="BW1566" s="1392" t="n"/>
      <c r="BX1566" s="1392" t="n"/>
      <c r="BY1566" s="1392" t="n"/>
      <c r="BZ1566" s="1392" t="n"/>
      <c r="CA1566" s="1392" t="n"/>
      <c r="CB1566" s="1392" t="n"/>
      <c r="CC1566" s="1392" t="n"/>
      <c r="CD1566" s="1392" t="n"/>
      <c r="CE1566" s="1392" t="n"/>
      <c r="CF1566" s="1392" t="n"/>
      <c r="CG1566" s="1392" t="n"/>
      <c r="CH1566" s="1392" t="n"/>
      <c r="CI1566" s="1392" t="n"/>
      <c r="CJ1566" s="1392" t="n"/>
      <c r="CK1566" s="1392" t="n"/>
      <c r="CL1566" s="1392" t="n"/>
    </row>
    <row r="1567">
      <c r="A1567" s="5" t="inlineStr">
        <is>
          <t>.</t>
        </is>
      </c>
      <c r="B1567" s="5" t="inlineStr">
        <is>
          <t>.</t>
        </is>
      </c>
      <c r="C1567" s="1378">
        <f>IF(raw[[#This Row],[city]]="","-",IF(raw[[#This Row],[city]]="TODAY","-",C1566+1))</f>
        <v/>
      </c>
      <c r="D1567" s="1393" t="inlineStr">
        <is>
          <t>Montreal</t>
        </is>
      </c>
      <c r="E1567" s="1394" t="n">
        <v>44403</v>
      </c>
      <c r="F1567" s="1394" t="n">
        <v>44409</v>
      </c>
      <c r="G1567" s="1393" t="inlineStr">
        <is>
          <t>-</t>
        </is>
      </c>
      <c r="H1567" s="1393" t="inlineStr">
        <is>
          <t>Marie-Victorin</t>
        </is>
      </c>
      <c r="I1567" s="1393" t="inlineStr">
        <is>
          <t>-</t>
        </is>
      </c>
      <c r="J1567" s="1393" t="inlineStr">
        <is>
          <t>-</t>
        </is>
      </c>
      <c r="K1567" s="1395">
        <f>IF(raw[[#This Row],[city]]&lt;&gt;"",_xlfn.XLOOKUP($D1567,ccc[city],ccc[prov],"-"),"-")</f>
        <v/>
      </c>
      <c r="L1567" s="1395">
        <f>IF(raw[[#This Row],[city]]&lt;&gt;"",_xlfn.XLOOKUP($D1567,ccc[city],ccc[ctry],"-"),"-")</f>
        <v/>
      </c>
      <c r="M1567" s="1395">
        <f>IF(raw[[#This Row],[city]]&lt;&gt;"",_xlfn.XLOOKUP($D1567,ccc[city],ccc[cont],"-"),"-")</f>
        <v/>
      </c>
      <c r="N1567" s="1396">
        <f>IF(raw[[#This Row],[city]]="","-",IF(raw[[#This Row],[cont]]="B",raw[[#This Row],[cont]],"W"))</f>
        <v/>
      </c>
      <c r="O1567" s="1397">
        <f>IF(raw[[#This Row],[out]]=0,0,IF(raw[[#This Row],[out]]=raw[[#This Row],[in]],0.01,raw[[#This Row],[out]]-raw[[#This Row],[in]]))</f>
        <v/>
      </c>
      <c r="P1567" s="1397">
        <f>IF(raw[[#This Row],[in]]=0,0,MONTH(raw[[#This Row],[in]]))</f>
        <v/>
      </c>
      <c r="Q1567" s="1397">
        <f>IF(raw[[#This Row],[in]]=0,0,YEAR(raw[[#This Row],[in]]))</f>
        <v/>
      </c>
      <c r="R1567" s="1397">
        <f>INT(raw[[#This Row],[yr]]/10)*10</f>
        <v/>
      </c>
      <c r="S1567" s="1395">
        <f>IF(raw[[#This Row],[city]]="","-",IF(raw[[#This Row],[city]]&lt;&gt;_xlfn.XLOOKUP(raw[[#This Row],[home]],homes[home],homes[city],"-"),1,0))</f>
        <v/>
      </c>
      <c r="T1567" s="1398" t="inlineStr">
        <is>
          <t>.</t>
        </is>
      </c>
      <c r="U1567" s="1399">
        <f>IF(raw[[#This Row],[wb]]="w",raw[[#This Row],[stay]]+U1566,U1566)</f>
        <v/>
      </c>
      <c r="V1567" s="1400">
        <f>IF(raw[[#This Row],[out]]=0,V1566,(raw[[#This Row],[out]]-E$5))</f>
        <v/>
      </c>
      <c r="W1567" s="1401">
        <f>U1567/V1567</f>
        <v/>
      </c>
      <c r="X1567" s="1392" t="n"/>
      <c r="Y1567" s="1392" t="n"/>
      <c r="Z1567" s="1392" t="n"/>
      <c r="AA1567" s="1392" t="n"/>
      <c r="AB1567" s="1392" t="n"/>
      <c r="AC1567" s="1392" t="n"/>
      <c r="AD1567" s="1392" t="n"/>
      <c r="AE1567" s="1392" t="n"/>
      <c r="AF1567" s="1392" t="n"/>
      <c r="AG1567" s="1392" t="n"/>
      <c r="AH1567" s="1392" t="n"/>
      <c r="AI1567" s="1392" t="n"/>
      <c r="AJ1567" s="1392" t="n"/>
      <c r="AK1567" s="1392" t="n"/>
      <c r="AL1567" s="1392" t="n"/>
      <c r="AM1567" s="1392" t="n"/>
      <c r="AN1567" s="1392" t="n"/>
      <c r="AO1567" s="1392" t="n"/>
      <c r="AP1567" s="1392" t="n"/>
      <c r="AQ1567" s="1392" t="n"/>
      <c r="AR1567" s="1422" t="n"/>
      <c r="AS1567" s="1422" t="n"/>
      <c r="AT1567" s="1392" t="n"/>
      <c r="AU1567" s="1392" t="n"/>
      <c r="AV1567" s="1392" t="n"/>
      <c r="AW1567" s="1392" t="n"/>
      <c r="AX1567" s="1392" t="n"/>
      <c r="AY1567" s="1392" t="n"/>
      <c r="AZ1567" s="1392" t="n"/>
      <c r="BA1567" s="1422" t="n"/>
      <c r="BB1567" s="1422" t="n"/>
      <c r="BC1567" s="1392" t="n"/>
      <c r="BD1567" s="1392" t="n"/>
      <c r="BE1567" s="1392" t="n"/>
      <c r="BF1567" s="1392" t="n"/>
      <c r="BG1567" s="1392" t="n"/>
      <c r="BH1567" s="1392" t="n"/>
      <c r="BI1567" s="1392" t="n"/>
      <c r="BJ1567" s="1392" t="n"/>
      <c r="BK1567" s="1392" t="n"/>
      <c r="BL1567" s="1392" t="n"/>
      <c r="BM1567" s="1392" t="n"/>
      <c r="BN1567" s="1392" t="n"/>
      <c r="BO1567" s="1392" t="n"/>
      <c r="BP1567" s="1392" t="n"/>
      <c r="BQ1567" s="1392" t="n"/>
      <c r="BR1567" s="1392" t="n"/>
      <c r="BS1567" s="1392" t="n"/>
      <c r="BT1567" s="1392" t="n"/>
      <c r="BU1567" s="1392" t="n"/>
      <c r="BV1567" s="1392" t="n"/>
      <c r="BW1567" s="1392" t="n"/>
      <c r="BX1567" s="1392" t="n"/>
      <c r="BY1567" s="1392" t="n"/>
      <c r="BZ1567" s="1392" t="n"/>
      <c r="CA1567" s="1392" t="n"/>
      <c r="CB1567" s="1392" t="n"/>
      <c r="CC1567" s="1392" t="n"/>
      <c r="CD1567" s="1392" t="n"/>
      <c r="CE1567" s="1392" t="n"/>
      <c r="CF1567" s="1392" t="n"/>
      <c r="CG1567" s="1392" t="n"/>
      <c r="CH1567" s="1392" t="n"/>
      <c r="CI1567" s="1392" t="n"/>
      <c r="CJ1567" s="1392" t="n"/>
      <c r="CK1567" s="1392" t="n"/>
      <c r="CL1567" s="1392" t="n"/>
    </row>
    <row r="1568">
      <c r="A1568" s="5" t="inlineStr">
        <is>
          <t>.</t>
        </is>
      </c>
      <c r="B1568" s="5" t="inlineStr">
        <is>
          <t>.</t>
        </is>
      </c>
      <c r="C1568" s="1378">
        <f>IF(raw[[#This Row],[city]]="","-",IF(raw[[#This Row],[city]]="TODAY","-",C1567+1))</f>
        <v/>
      </c>
      <c r="D1568" s="1393" t="inlineStr">
        <is>
          <t>Montreal</t>
        </is>
      </c>
      <c r="E1568" s="1394" t="n">
        <v>44409</v>
      </c>
      <c r="F1568" s="1394" t="n">
        <v>44440</v>
      </c>
      <c r="G1568" s="1393" t="inlineStr">
        <is>
          <t>-</t>
        </is>
      </c>
      <c r="H1568" s="1393" t="inlineStr">
        <is>
          <t>Marie-Victorin</t>
        </is>
      </c>
      <c r="I1568" s="1393" t="inlineStr">
        <is>
          <t>-</t>
        </is>
      </c>
      <c r="J1568" s="1393" t="inlineStr">
        <is>
          <t>BDAY</t>
        </is>
      </c>
      <c r="K1568" s="1395">
        <f>IF(raw[[#This Row],[city]]&lt;&gt;"",_xlfn.XLOOKUP($D1568,ccc[city],ccc[prov],"-"),"-")</f>
        <v/>
      </c>
      <c r="L1568" s="1395">
        <f>IF(raw[[#This Row],[city]]&lt;&gt;"",_xlfn.XLOOKUP($D1568,ccc[city],ccc[ctry],"-"),"-")</f>
        <v/>
      </c>
      <c r="M1568" s="1395">
        <f>IF(raw[[#This Row],[city]]&lt;&gt;"",_xlfn.XLOOKUP($D1568,ccc[city],ccc[cont],"-"),"-")</f>
        <v/>
      </c>
      <c r="N1568" s="1396">
        <f>IF(raw[[#This Row],[city]]="","-",IF(raw[[#This Row],[cont]]="B",raw[[#This Row],[cont]],"W"))</f>
        <v/>
      </c>
      <c r="O1568" s="1397">
        <f>IF(raw[[#This Row],[out]]=0,0,IF(raw[[#This Row],[out]]=raw[[#This Row],[in]],0.01,raw[[#This Row],[out]]-raw[[#This Row],[in]]))</f>
        <v/>
      </c>
      <c r="P1568" s="1397">
        <f>IF(raw[[#This Row],[in]]=0,0,MONTH(raw[[#This Row],[in]]))</f>
        <v/>
      </c>
      <c r="Q1568" s="1397">
        <f>IF(raw[[#This Row],[in]]=0,0,YEAR(raw[[#This Row],[in]]))</f>
        <v/>
      </c>
      <c r="R1568" s="1397">
        <f>INT(raw[[#This Row],[yr]]/10)*10</f>
        <v/>
      </c>
      <c r="S1568" s="1395">
        <f>IF(raw[[#This Row],[city]]="","-",IF(raw[[#This Row],[city]]&lt;&gt;_xlfn.XLOOKUP(raw[[#This Row],[home]],homes[home],homes[city],"-"),1,0))</f>
        <v/>
      </c>
      <c r="T1568" s="1398" t="inlineStr">
        <is>
          <t>.</t>
        </is>
      </c>
      <c r="U1568" s="1399">
        <f>IF(raw[[#This Row],[wb]]="w",raw[[#This Row],[stay]]+U1567,U1567)</f>
        <v/>
      </c>
      <c r="V1568" s="1400">
        <f>IF(raw[[#This Row],[out]]=0,V1567,(raw[[#This Row],[out]]-E$5))</f>
        <v/>
      </c>
      <c r="W1568" s="1401">
        <f>U1568/V1568</f>
        <v/>
      </c>
      <c r="X1568" s="1392" t="n"/>
      <c r="Y1568" s="1392" t="n"/>
      <c r="Z1568" s="1392" t="n"/>
      <c r="AA1568" s="1392" t="n"/>
      <c r="AB1568" s="1392" t="n"/>
      <c r="AC1568" s="1392" t="n"/>
      <c r="AD1568" s="1392" t="n"/>
      <c r="AE1568" s="1392" t="n"/>
      <c r="AF1568" s="1392" t="n"/>
      <c r="AG1568" s="1392" t="n"/>
      <c r="AH1568" s="1392" t="n"/>
      <c r="AI1568" s="1392" t="n"/>
      <c r="AJ1568" s="1392" t="n"/>
      <c r="AK1568" s="1392" t="n"/>
      <c r="AL1568" s="1392" t="n"/>
      <c r="AM1568" s="1392" t="n"/>
      <c r="AN1568" s="1392" t="n"/>
      <c r="AO1568" s="1392" t="n"/>
      <c r="AP1568" s="1392" t="n"/>
      <c r="AQ1568" s="1392" t="n"/>
      <c r="AR1568" s="1422" t="n"/>
      <c r="AS1568" s="1422" t="n"/>
      <c r="AT1568" s="1392" t="n"/>
      <c r="AU1568" s="1392" t="n"/>
      <c r="AV1568" s="1392" t="n"/>
      <c r="AW1568" s="1392" t="n"/>
      <c r="AX1568" s="1392" t="n"/>
      <c r="AY1568" s="1392" t="n"/>
      <c r="AZ1568" s="1392" t="n"/>
      <c r="BA1568" s="1422" t="n"/>
      <c r="BB1568" s="1422" t="n"/>
      <c r="BC1568" s="1392" t="n"/>
      <c r="BD1568" s="1392" t="n"/>
      <c r="BE1568" s="1392" t="n"/>
      <c r="BF1568" s="1392" t="n"/>
      <c r="BG1568" s="1392" t="n"/>
      <c r="BH1568" s="1392" t="n"/>
      <c r="BI1568" s="1392" t="n"/>
      <c r="BJ1568" s="1392" t="n"/>
      <c r="BK1568" s="1392" t="n"/>
      <c r="BL1568" s="1392" t="n"/>
      <c r="BM1568" s="1392" t="n"/>
      <c r="BN1568" s="1392" t="n"/>
      <c r="BO1568" s="1392" t="n"/>
      <c r="BP1568" s="1392" t="n"/>
      <c r="BQ1568" s="1392" t="n"/>
      <c r="BR1568" s="1392" t="n"/>
      <c r="BS1568" s="1392" t="n"/>
      <c r="BT1568" s="1392" t="n"/>
      <c r="BU1568" s="1392" t="n"/>
      <c r="BV1568" s="1392" t="n"/>
      <c r="BW1568" s="1392" t="n"/>
      <c r="BX1568" s="1392" t="n"/>
      <c r="BY1568" s="1392" t="n"/>
      <c r="BZ1568" s="1392" t="n"/>
      <c r="CA1568" s="1392" t="n"/>
      <c r="CB1568" s="1392" t="n"/>
      <c r="CC1568" s="1392" t="n"/>
      <c r="CD1568" s="1392" t="n"/>
      <c r="CE1568" s="1392" t="n"/>
      <c r="CF1568" s="1392" t="n"/>
      <c r="CG1568" s="1392" t="n"/>
      <c r="CH1568" s="1392" t="n"/>
      <c r="CI1568" s="1392" t="n"/>
      <c r="CJ1568" s="1392" t="n"/>
      <c r="CK1568" s="1392" t="n"/>
      <c r="CL1568" s="1392" t="n"/>
    </row>
    <row r="1569">
      <c r="A1569" s="5" t="inlineStr">
        <is>
          <t>.</t>
        </is>
      </c>
      <c r="B1569" s="5" t="inlineStr">
        <is>
          <t>.</t>
        </is>
      </c>
      <c r="C1569" s="1378">
        <f>IF(raw[[#This Row],[city]]="","-",IF(raw[[#This Row],[city]]="TODAY","-",C1568+1))</f>
        <v/>
      </c>
      <c r="D1569" s="1393" t="inlineStr">
        <is>
          <t>Montreal</t>
        </is>
      </c>
      <c r="E1569" s="1394" t="n">
        <v>44440</v>
      </c>
      <c r="F1569" s="1394" t="n">
        <v>44451</v>
      </c>
      <c r="G1569" s="1393" t="n">
        <v>1</v>
      </c>
      <c r="H1569" s="1393" t="inlineStr">
        <is>
          <t>Marie-Victorin</t>
        </is>
      </c>
      <c r="I1569" s="1393" t="inlineStr">
        <is>
          <t>-</t>
        </is>
      </c>
      <c r="J1569" s="1393" t="inlineStr">
        <is>
          <t>-</t>
        </is>
      </c>
      <c r="K1569" s="1395">
        <f>IF(raw[[#This Row],[city]]&lt;&gt;"",_xlfn.XLOOKUP($D1569,ccc[city],ccc[prov],"-"),"-")</f>
        <v/>
      </c>
      <c r="L1569" s="1395">
        <f>IF(raw[[#This Row],[city]]&lt;&gt;"",_xlfn.XLOOKUP($D1569,ccc[city],ccc[ctry],"-"),"-")</f>
        <v/>
      </c>
      <c r="M1569" s="1395">
        <f>IF(raw[[#This Row],[city]]&lt;&gt;"",_xlfn.XLOOKUP($D1569,ccc[city],ccc[cont],"-"),"-")</f>
        <v/>
      </c>
      <c r="N1569" s="1396">
        <f>IF(raw[[#This Row],[city]]="","-",IF(raw[[#This Row],[cont]]="B",raw[[#This Row],[cont]],"W"))</f>
        <v/>
      </c>
      <c r="O1569" s="1397">
        <f>IF(raw[[#This Row],[out]]=0,0,IF(raw[[#This Row],[out]]=raw[[#This Row],[in]],0.01,raw[[#This Row],[out]]-raw[[#This Row],[in]]))</f>
        <v/>
      </c>
      <c r="P1569" s="1397">
        <f>IF(raw[[#This Row],[in]]=0,0,MONTH(raw[[#This Row],[in]]))</f>
        <v/>
      </c>
      <c r="Q1569" s="1397">
        <f>IF(raw[[#This Row],[in]]=0,0,YEAR(raw[[#This Row],[in]]))</f>
        <v/>
      </c>
      <c r="R1569" s="1397">
        <f>INT(raw[[#This Row],[yr]]/10)*10</f>
        <v/>
      </c>
      <c r="S1569" s="1395">
        <f>IF(raw[[#This Row],[city]]="","-",IF(raw[[#This Row],[city]]&lt;&gt;_xlfn.XLOOKUP(raw[[#This Row],[home]],homes[home],homes[city],"-"),1,0))</f>
        <v/>
      </c>
      <c r="T1569" s="1398" t="inlineStr">
        <is>
          <t>.</t>
        </is>
      </c>
      <c r="U1569" s="1399">
        <f>IF(raw[[#This Row],[wb]]="w",raw[[#This Row],[stay]]+U1568,U1568)</f>
        <v/>
      </c>
      <c r="V1569" s="1400">
        <f>IF(raw[[#This Row],[out]]=0,V1568,(raw[[#This Row],[out]]-E$5))</f>
        <v/>
      </c>
      <c r="W1569" s="1401">
        <f>U1569/V1569</f>
        <v/>
      </c>
      <c r="X1569" s="1392" t="n"/>
      <c r="Y1569" s="1392" t="n"/>
      <c r="Z1569" s="1392" t="n"/>
      <c r="AA1569" s="1392" t="n"/>
      <c r="AB1569" s="1392" t="n"/>
      <c r="AC1569" s="1392" t="n"/>
      <c r="AD1569" s="1392" t="n"/>
      <c r="AE1569" s="1392" t="n"/>
      <c r="AF1569" s="1392" t="n"/>
      <c r="AG1569" s="1392" t="n"/>
      <c r="AH1569" s="1392" t="n"/>
      <c r="AI1569" s="1392" t="n"/>
      <c r="AJ1569" s="1392" t="n"/>
      <c r="AK1569" s="1392" t="n"/>
      <c r="AL1569" s="1392" t="n"/>
      <c r="AM1569" s="1392" t="n"/>
      <c r="AN1569" s="1392" t="n"/>
      <c r="AO1569" s="1392" t="n"/>
      <c r="AP1569" s="1392" t="n"/>
      <c r="AQ1569" s="1392" t="n"/>
      <c r="AR1569" s="1422" t="n"/>
      <c r="AS1569" s="1422" t="n"/>
      <c r="AT1569" s="1392" t="n"/>
      <c r="AU1569" s="1392" t="n"/>
      <c r="AV1569" s="1392" t="n"/>
      <c r="AW1569" s="1392" t="n"/>
      <c r="AX1569" s="1392" t="n"/>
      <c r="AY1569" s="1392" t="n"/>
      <c r="AZ1569" s="1392" t="n"/>
      <c r="BA1569" s="1422" t="n"/>
      <c r="BB1569" s="1422" t="n"/>
      <c r="BC1569" s="1392" t="n"/>
      <c r="BD1569" s="1392" t="n"/>
      <c r="BE1569" s="1392" t="n"/>
      <c r="BF1569" s="1392" t="n"/>
      <c r="BG1569" s="1392" t="n"/>
      <c r="BH1569" s="1392" t="n"/>
      <c r="BI1569" s="1392" t="n"/>
      <c r="BJ1569" s="1392" t="n"/>
      <c r="BK1569" s="1392" t="n"/>
      <c r="BL1569" s="1392" t="n"/>
      <c r="BM1569" s="1392" t="n"/>
      <c r="BN1569" s="1392" t="n"/>
      <c r="BO1569" s="1392" t="n"/>
      <c r="BP1569" s="1392" t="n"/>
      <c r="BQ1569" s="1392" t="n"/>
      <c r="BR1569" s="1392" t="n"/>
      <c r="BS1569" s="1392" t="n"/>
      <c r="BT1569" s="1392" t="n"/>
      <c r="BU1569" s="1392" t="n"/>
      <c r="BV1569" s="1392" t="n"/>
      <c r="BW1569" s="1392" t="n"/>
      <c r="BX1569" s="1392" t="n"/>
      <c r="BY1569" s="1392" t="n"/>
      <c r="BZ1569" s="1392" t="n"/>
      <c r="CA1569" s="1392" t="n"/>
      <c r="CB1569" s="1392" t="n"/>
      <c r="CC1569" s="1392" t="n"/>
      <c r="CD1569" s="1392" t="n"/>
      <c r="CE1569" s="1392" t="n"/>
      <c r="CF1569" s="1392" t="n"/>
      <c r="CG1569" s="1392" t="n"/>
      <c r="CH1569" s="1392" t="n"/>
      <c r="CI1569" s="1392" t="n"/>
      <c r="CJ1569" s="1392" t="n"/>
      <c r="CK1569" s="1392" t="n"/>
      <c r="CL1569" s="1392" t="n"/>
    </row>
    <row r="1570">
      <c r="A1570" s="5" t="inlineStr">
        <is>
          <t>.</t>
        </is>
      </c>
      <c r="B1570" s="5" t="inlineStr">
        <is>
          <t>.</t>
        </is>
      </c>
      <c r="C1570" s="1378">
        <f>IF(raw[[#This Row],[city]]="","-",IF(raw[[#This Row],[city]]="TODAY","-",C1569+1))</f>
        <v/>
      </c>
      <c r="D1570" s="1393" t="inlineStr">
        <is>
          <t>AIR</t>
        </is>
      </c>
      <c r="E1570" s="1394" t="n">
        <v>44451</v>
      </c>
      <c r="F1570" s="1394" t="n">
        <v>44452</v>
      </c>
      <c r="G1570" s="1393" t="inlineStr">
        <is>
          <t>x</t>
        </is>
      </c>
      <c r="H1570" s="1393" t="inlineStr">
        <is>
          <t>Marie-Victorin</t>
        </is>
      </c>
      <c r="I1570" s="1393" t="inlineStr">
        <is>
          <t>-</t>
        </is>
      </c>
      <c r="J1570" s="1393" t="inlineStr">
        <is>
          <t>-</t>
        </is>
      </c>
      <c r="K1570" s="1395">
        <f>IF(raw[[#This Row],[city]]&lt;&gt;"",_xlfn.XLOOKUP($D1570,ccc[city],ccc[prov],"-"),"-")</f>
        <v/>
      </c>
      <c r="L1570" s="1395">
        <f>IF(raw[[#This Row],[city]]&lt;&gt;"",_xlfn.XLOOKUP($D1570,ccc[city],ccc[ctry],"-"),"-")</f>
        <v/>
      </c>
      <c r="M1570" s="1395">
        <f>IF(raw[[#This Row],[city]]&lt;&gt;"",_xlfn.XLOOKUP($D1570,ccc[city],ccc[cont],"-"),"-")</f>
        <v/>
      </c>
      <c r="N1570" s="1396">
        <f>IF(raw[[#This Row],[city]]="","-",IF(raw[[#This Row],[cont]]="B",raw[[#This Row],[cont]],"W"))</f>
        <v/>
      </c>
      <c r="O1570" s="1397">
        <f>IF(raw[[#This Row],[out]]=0,0,IF(raw[[#This Row],[out]]=raw[[#This Row],[in]],0.01,raw[[#This Row],[out]]-raw[[#This Row],[in]]))</f>
        <v/>
      </c>
      <c r="P1570" s="1397">
        <f>IF(raw[[#This Row],[in]]=0,0,MONTH(raw[[#This Row],[in]]))</f>
        <v/>
      </c>
      <c r="Q1570" s="1397">
        <f>IF(raw[[#This Row],[in]]=0,0,YEAR(raw[[#This Row],[in]]))</f>
        <v/>
      </c>
      <c r="R1570" s="1397">
        <f>INT(raw[[#This Row],[yr]]/10)*10</f>
        <v/>
      </c>
      <c r="S1570" s="1395">
        <f>IF(raw[[#This Row],[city]]="","-",IF(raw[[#This Row],[city]]&lt;&gt;_xlfn.XLOOKUP(raw[[#This Row],[home]],homes[home],homes[city],"-"),1,0))</f>
        <v/>
      </c>
      <c r="T1570" s="1398" t="inlineStr">
        <is>
          <t>.</t>
        </is>
      </c>
      <c r="U1570" s="1399">
        <f>IF(raw[[#This Row],[wb]]="w",raw[[#This Row],[stay]]+U1569,U1569)</f>
        <v/>
      </c>
      <c r="V1570" s="1400">
        <f>IF(raw[[#This Row],[out]]=0,V1569,(raw[[#This Row],[out]]-E$5))</f>
        <v/>
      </c>
      <c r="W1570" s="1401">
        <f>U1570/V1570</f>
        <v/>
      </c>
      <c r="X1570" s="1392" t="n"/>
      <c r="Y1570" s="1392" t="n"/>
      <c r="Z1570" s="1392" t="n"/>
      <c r="AA1570" s="1392" t="n"/>
      <c r="AB1570" s="1392" t="n"/>
      <c r="AC1570" s="1392" t="n"/>
      <c r="AD1570" s="1392" t="n"/>
      <c r="AE1570" s="1392" t="n"/>
      <c r="AF1570" s="1392" t="n"/>
      <c r="AG1570" s="1392" t="n"/>
      <c r="AH1570" s="1392" t="n"/>
      <c r="AI1570" s="1392" t="n"/>
      <c r="AJ1570" s="1392" t="n"/>
      <c r="AK1570" s="1392" t="n"/>
      <c r="AL1570" s="1392" t="n"/>
      <c r="AM1570" s="1392" t="n"/>
      <c r="AN1570" s="1392" t="n"/>
      <c r="AO1570" s="1392" t="n"/>
      <c r="AP1570" s="1392" t="n"/>
      <c r="AQ1570" s="1392" t="n"/>
      <c r="AR1570" s="1422" t="n"/>
      <c r="AS1570" s="1422" t="n"/>
      <c r="AT1570" s="1392" t="n"/>
      <c r="AU1570" s="1392" t="n"/>
      <c r="AV1570" s="1392" t="n"/>
      <c r="AW1570" s="1392" t="n"/>
      <c r="AX1570" s="1392" t="n"/>
      <c r="AY1570" s="1392" t="n"/>
      <c r="AZ1570" s="1392" t="n"/>
      <c r="BA1570" s="1422" t="n"/>
      <c r="BB1570" s="1422" t="n"/>
      <c r="BC1570" s="1392" t="n"/>
      <c r="BD1570" s="1392" t="n"/>
      <c r="BE1570" s="1392" t="n"/>
      <c r="BF1570" s="1392" t="n"/>
      <c r="BG1570" s="1392" t="n"/>
      <c r="BH1570" s="1392" t="n"/>
      <c r="BI1570" s="1392" t="n"/>
      <c r="BJ1570" s="1392" t="n"/>
      <c r="BK1570" s="1392" t="n"/>
      <c r="BL1570" s="1392" t="n"/>
      <c r="BM1570" s="1392" t="n"/>
      <c r="BN1570" s="1392" t="n"/>
      <c r="BO1570" s="1392" t="n"/>
      <c r="BP1570" s="1392" t="n"/>
      <c r="BQ1570" s="1392" t="n"/>
      <c r="BR1570" s="1392" t="n"/>
      <c r="BS1570" s="1392" t="n"/>
      <c r="BT1570" s="1392" t="n"/>
      <c r="BU1570" s="1392" t="n"/>
      <c r="BV1570" s="1392" t="n"/>
      <c r="BW1570" s="1392" t="n"/>
      <c r="BX1570" s="1392" t="n"/>
      <c r="BY1570" s="1392" t="n"/>
      <c r="BZ1570" s="1392" t="n"/>
      <c r="CA1570" s="1392" t="n"/>
      <c r="CB1570" s="1392" t="n"/>
      <c r="CC1570" s="1392" t="n"/>
      <c r="CD1570" s="1392" t="n"/>
      <c r="CE1570" s="1392" t="n"/>
      <c r="CF1570" s="1392" t="n"/>
      <c r="CG1570" s="1392" t="n"/>
      <c r="CH1570" s="1392" t="n"/>
      <c r="CI1570" s="1392" t="n"/>
      <c r="CJ1570" s="1392" t="n"/>
      <c r="CK1570" s="1392" t="n"/>
      <c r="CL1570" s="1392" t="n"/>
    </row>
    <row r="1571">
      <c r="A1571" s="5" t="inlineStr">
        <is>
          <t>.</t>
        </is>
      </c>
      <c r="B1571" s="5" t="inlineStr">
        <is>
          <t>.</t>
        </is>
      </c>
      <c r="C1571" s="1378">
        <f>IF(raw[[#This Row],[city]]="","-",IF(raw[[#This Row],[city]]="TODAY","-",C1570+1))</f>
        <v/>
      </c>
      <c r="D1571" s="1393" t="inlineStr">
        <is>
          <t>London</t>
        </is>
      </c>
      <c r="E1571" s="1394" t="n">
        <v>44452</v>
      </c>
      <c r="F1571" s="1394" t="n">
        <v>44460</v>
      </c>
      <c r="G1571" s="1393" t="inlineStr">
        <is>
          <t>-</t>
        </is>
      </c>
      <c r="H1571" s="1393" t="inlineStr">
        <is>
          <t>Marie-Victorin</t>
        </is>
      </c>
      <c r="I1571" s="1393" t="inlineStr">
        <is>
          <t>Thomas/Thomas/Leslie</t>
        </is>
      </c>
      <c r="J1571" s="1393" t="inlineStr">
        <is>
          <t>-</t>
        </is>
      </c>
      <c r="K1571" s="1395">
        <f>IF(raw[[#This Row],[city]]&lt;&gt;"",_xlfn.XLOOKUP($D1571,ccc[city],ccc[prov],"-"),"-")</f>
        <v/>
      </c>
      <c r="L1571" s="1395">
        <f>IF(raw[[#This Row],[city]]&lt;&gt;"",_xlfn.XLOOKUP($D1571,ccc[city],ccc[ctry],"-"),"-")</f>
        <v/>
      </c>
      <c r="M1571" s="1395">
        <f>IF(raw[[#This Row],[city]]&lt;&gt;"",_xlfn.XLOOKUP($D1571,ccc[city],ccc[cont],"-"),"-")</f>
        <v/>
      </c>
      <c r="N1571" s="1396">
        <f>IF(raw[[#This Row],[city]]="","-",IF(raw[[#This Row],[cont]]="B",raw[[#This Row],[cont]],"W"))</f>
        <v/>
      </c>
      <c r="O1571" s="1397">
        <f>IF(raw[[#This Row],[out]]=0,0,IF(raw[[#This Row],[out]]=raw[[#This Row],[in]],0.01,raw[[#This Row],[out]]-raw[[#This Row],[in]]))</f>
        <v/>
      </c>
      <c r="P1571" s="1397">
        <f>IF(raw[[#This Row],[in]]=0,0,MONTH(raw[[#This Row],[in]]))</f>
        <v/>
      </c>
      <c r="Q1571" s="1397">
        <f>IF(raw[[#This Row],[in]]=0,0,YEAR(raw[[#This Row],[in]]))</f>
        <v/>
      </c>
      <c r="R1571" s="1397">
        <f>INT(raw[[#This Row],[yr]]/10)*10</f>
        <v/>
      </c>
      <c r="S1571" s="1395">
        <f>IF(raw[[#This Row],[city]]="","-",IF(raw[[#This Row],[city]]&lt;&gt;_xlfn.XLOOKUP(raw[[#This Row],[home]],homes[home],homes[city],"-"),1,0))</f>
        <v/>
      </c>
      <c r="T1571" s="1398" t="inlineStr">
        <is>
          <t>.</t>
        </is>
      </c>
      <c r="U1571" s="1399">
        <f>IF(raw[[#This Row],[wb]]="w",raw[[#This Row],[stay]]+U1570,U1570)</f>
        <v/>
      </c>
      <c r="V1571" s="1400">
        <f>IF(raw[[#This Row],[out]]=0,V1570,(raw[[#This Row],[out]]-E$5))</f>
        <v/>
      </c>
      <c r="W1571" s="1401">
        <f>U1571/V1571</f>
        <v/>
      </c>
      <c r="X1571" s="1392" t="n"/>
      <c r="Y1571" s="1392" t="n"/>
      <c r="Z1571" s="1392" t="n"/>
      <c r="AA1571" s="1392" t="n"/>
      <c r="AB1571" s="1392" t="n"/>
      <c r="AC1571" s="1392" t="n"/>
      <c r="AD1571" s="1392" t="n"/>
      <c r="AE1571" s="1392" t="n"/>
      <c r="AF1571" s="1392" t="n"/>
      <c r="AG1571" s="1392" t="n"/>
      <c r="AH1571" s="1392" t="n"/>
      <c r="AI1571" s="1392" t="n"/>
      <c r="AJ1571" s="1392" t="n"/>
      <c r="AK1571" s="1392" t="n"/>
      <c r="AL1571" s="1392" t="n"/>
      <c r="AM1571" s="1392" t="n"/>
      <c r="AN1571" s="1392" t="n"/>
      <c r="AO1571" s="1392" t="n"/>
      <c r="AP1571" s="1392" t="n"/>
      <c r="AQ1571" s="1392" t="n"/>
      <c r="AR1571" s="1422" t="n"/>
      <c r="AS1571" s="1422" t="n"/>
      <c r="AT1571" s="1392" t="n"/>
      <c r="AU1571" s="1392" t="n"/>
      <c r="AV1571" s="1392" t="n"/>
      <c r="AW1571" s="1392" t="n"/>
      <c r="AX1571" s="1392" t="n"/>
      <c r="AY1571" s="1392" t="n"/>
      <c r="AZ1571" s="1392" t="n"/>
      <c r="BA1571" s="1422" t="n"/>
      <c r="BB1571" s="1422" t="n"/>
      <c r="BC1571" s="1392" t="n"/>
      <c r="BD1571" s="1392" t="n"/>
      <c r="BE1571" s="1392" t="n"/>
      <c r="BF1571" s="1392" t="n"/>
      <c r="BG1571" s="1392" t="n"/>
      <c r="BH1571" s="1392" t="n"/>
      <c r="BI1571" s="1392" t="n"/>
      <c r="BJ1571" s="1392" t="n"/>
      <c r="BK1571" s="1392" t="n"/>
      <c r="BL1571" s="1392" t="n"/>
      <c r="BM1571" s="1392" t="n"/>
      <c r="BN1571" s="1392" t="n"/>
      <c r="BO1571" s="1392" t="n"/>
      <c r="BP1571" s="1392" t="n"/>
      <c r="BQ1571" s="1392" t="n"/>
      <c r="BR1571" s="1392" t="n"/>
      <c r="BS1571" s="1392" t="n"/>
      <c r="BT1571" s="1392" t="n"/>
      <c r="BU1571" s="1392" t="n"/>
      <c r="BV1571" s="1392" t="n"/>
      <c r="BW1571" s="1392" t="n"/>
      <c r="BX1571" s="1392" t="n"/>
      <c r="BY1571" s="1392" t="n"/>
      <c r="BZ1571" s="1392" t="n"/>
      <c r="CA1571" s="1392" t="n"/>
      <c r="CB1571" s="1392" t="n"/>
      <c r="CC1571" s="1392" t="n"/>
      <c r="CD1571" s="1392" t="n"/>
      <c r="CE1571" s="1392" t="n"/>
      <c r="CF1571" s="1392" t="n"/>
      <c r="CG1571" s="1392" t="n"/>
      <c r="CH1571" s="1392" t="n"/>
      <c r="CI1571" s="1392" t="n"/>
      <c r="CJ1571" s="1392" t="n"/>
      <c r="CK1571" s="1392" t="n"/>
      <c r="CL1571" s="1392" t="n"/>
    </row>
    <row r="1572">
      <c r="A1572" s="5" t="inlineStr">
        <is>
          <t>.</t>
        </is>
      </c>
      <c r="B1572" s="5" t="inlineStr">
        <is>
          <t>.</t>
        </is>
      </c>
      <c r="C1572" s="1378">
        <f>IF(raw[[#This Row],[city]]="","-",IF(raw[[#This Row],[city]]="TODAY","-",C1571+1))</f>
        <v/>
      </c>
      <c r="D1572" s="1393" t="inlineStr">
        <is>
          <t>London</t>
        </is>
      </c>
      <c r="E1572" s="1394" t="n">
        <v>44460</v>
      </c>
      <c r="F1572" s="1394" t="n">
        <v>44463</v>
      </c>
      <c r="G1572" s="1393" t="inlineStr">
        <is>
          <t>-</t>
        </is>
      </c>
      <c r="H1572" s="1393" t="inlineStr">
        <is>
          <t>Marie-Victorin</t>
        </is>
      </c>
      <c r="I1572" s="1393" t="inlineStr">
        <is>
          <t>David's</t>
        </is>
      </c>
      <c r="J1572" s="1393" t="inlineStr">
        <is>
          <t>-</t>
        </is>
      </c>
      <c r="K1572" s="1395">
        <f>IF(raw[[#This Row],[city]]&lt;&gt;"",_xlfn.XLOOKUP($D1572,ccc[city],ccc[prov],"-"),"-")</f>
        <v/>
      </c>
      <c r="L1572" s="1395">
        <f>IF(raw[[#This Row],[city]]&lt;&gt;"",_xlfn.XLOOKUP($D1572,ccc[city],ccc[ctry],"-"),"-")</f>
        <v/>
      </c>
      <c r="M1572" s="1395">
        <f>IF(raw[[#This Row],[city]]&lt;&gt;"",_xlfn.XLOOKUP($D1572,ccc[city],ccc[cont],"-"),"-")</f>
        <v/>
      </c>
      <c r="N1572" s="1396">
        <f>IF(raw[[#This Row],[city]]="","-",IF(raw[[#This Row],[cont]]="B",raw[[#This Row],[cont]],"W"))</f>
        <v/>
      </c>
      <c r="O1572" s="1397">
        <f>IF(raw[[#This Row],[out]]=0,0,IF(raw[[#This Row],[out]]=raw[[#This Row],[in]],0.01,raw[[#This Row],[out]]-raw[[#This Row],[in]]))</f>
        <v/>
      </c>
      <c r="P1572" s="1397">
        <f>IF(raw[[#This Row],[in]]=0,0,MONTH(raw[[#This Row],[in]]))</f>
        <v/>
      </c>
      <c r="Q1572" s="1397">
        <f>IF(raw[[#This Row],[in]]=0,0,YEAR(raw[[#This Row],[in]]))</f>
        <v/>
      </c>
      <c r="R1572" s="1397">
        <f>INT(raw[[#This Row],[yr]]/10)*10</f>
        <v/>
      </c>
      <c r="S1572" s="1395">
        <f>IF(raw[[#This Row],[city]]="","-",IF(raw[[#This Row],[city]]&lt;&gt;_xlfn.XLOOKUP(raw[[#This Row],[home]],homes[home],homes[city],"-"),1,0))</f>
        <v/>
      </c>
      <c r="T1572" s="1398" t="inlineStr">
        <is>
          <t>.</t>
        </is>
      </c>
      <c r="U1572" s="1399">
        <f>IF(raw[[#This Row],[wb]]="w",raw[[#This Row],[stay]]+U1571,U1571)</f>
        <v/>
      </c>
      <c r="V1572" s="1400">
        <f>IF(raw[[#This Row],[out]]=0,V1571,(raw[[#This Row],[out]]-E$5))</f>
        <v/>
      </c>
      <c r="W1572" s="1401">
        <f>U1572/V1572</f>
        <v/>
      </c>
      <c r="X1572" s="1392" t="n"/>
      <c r="Y1572" s="1392" t="n"/>
      <c r="Z1572" s="1392" t="n"/>
      <c r="AA1572" s="1392" t="n"/>
      <c r="AB1572" s="1392" t="n"/>
      <c r="AC1572" s="1392" t="n"/>
      <c r="AD1572" s="1392" t="n"/>
      <c r="AE1572" s="1392" t="n"/>
      <c r="AF1572" s="1392" t="n"/>
      <c r="AG1572" s="1392" t="n"/>
      <c r="AH1572" s="1392" t="n"/>
      <c r="AI1572" s="1392" t="n"/>
      <c r="AJ1572" s="1392" t="n"/>
      <c r="AK1572" s="1392" t="n"/>
      <c r="AL1572" s="1392" t="n"/>
      <c r="AM1572" s="1392" t="n"/>
      <c r="AN1572" s="1392" t="n"/>
      <c r="AO1572" s="1392" t="n"/>
      <c r="AP1572" s="1392" t="n"/>
      <c r="AQ1572" s="1392" t="n"/>
      <c r="AR1572" s="1422" t="n"/>
      <c r="AS1572" s="1422" t="n"/>
      <c r="AT1572" s="1392" t="n"/>
      <c r="AU1572" s="1392" t="n"/>
      <c r="AV1572" s="1392" t="n"/>
      <c r="AW1572" s="1392" t="n"/>
      <c r="AX1572" s="1392" t="n"/>
      <c r="AY1572" s="1392" t="n"/>
      <c r="AZ1572" s="1392" t="n"/>
      <c r="BA1572" s="1422" t="n"/>
      <c r="BB1572" s="1422" t="n"/>
      <c r="BC1572" s="1392" t="n"/>
      <c r="BD1572" s="1392" t="n"/>
      <c r="BE1572" s="1392" t="n"/>
      <c r="BF1572" s="1392" t="n"/>
      <c r="BG1572" s="1392" t="n"/>
      <c r="BH1572" s="1392" t="n"/>
      <c r="BI1572" s="1392" t="n"/>
      <c r="BJ1572" s="1392" t="n"/>
      <c r="BK1572" s="1392" t="n"/>
      <c r="BL1572" s="1392" t="n"/>
      <c r="BM1572" s="1392" t="n"/>
      <c r="BN1572" s="1392" t="n"/>
      <c r="BO1572" s="1392" t="n"/>
      <c r="BP1572" s="1392" t="n"/>
      <c r="BQ1572" s="1392" t="n"/>
      <c r="BR1572" s="1392" t="n"/>
      <c r="BS1572" s="1392" t="n"/>
      <c r="BT1572" s="1392" t="n"/>
      <c r="BU1572" s="1392" t="n"/>
      <c r="BV1572" s="1392" t="n"/>
      <c r="BW1572" s="1392" t="n"/>
      <c r="BX1572" s="1392" t="n"/>
      <c r="BY1572" s="1392" t="n"/>
      <c r="BZ1572" s="1392" t="n"/>
      <c r="CA1572" s="1392" t="n"/>
      <c r="CB1572" s="1392" t="n"/>
      <c r="CC1572" s="1392" t="n"/>
      <c r="CD1572" s="1392" t="n"/>
      <c r="CE1572" s="1392" t="n"/>
      <c r="CF1572" s="1392" t="n"/>
      <c r="CG1572" s="1392" t="n"/>
      <c r="CH1572" s="1392" t="n"/>
      <c r="CI1572" s="1392" t="n"/>
      <c r="CJ1572" s="1392" t="n"/>
      <c r="CK1572" s="1392" t="n"/>
      <c r="CL1572" s="1392" t="n"/>
    </row>
    <row r="1573">
      <c r="A1573" s="5" t="inlineStr">
        <is>
          <t>.</t>
        </is>
      </c>
      <c r="B1573" s="5" t="inlineStr">
        <is>
          <t>.</t>
        </is>
      </c>
      <c r="C1573" s="1378">
        <f>IF(raw[[#This Row],[city]]="","-",IF(raw[[#This Row],[city]]="TODAY","-",C1572+1))</f>
        <v/>
      </c>
      <c r="D1573" s="1393" t="inlineStr">
        <is>
          <t>London</t>
        </is>
      </c>
      <c r="E1573" s="1394" t="n">
        <v>44463</v>
      </c>
      <c r="F1573" s="1394" t="n">
        <v>44470</v>
      </c>
      <c r="G1573" s="1393" t="inlineStr">
        <is>
          <t>-</t>
        </is>
      </c>
      <c r="H1573" s="1393" t="inlineStr">
        <is>
          <t>Marie-Victorin</t>
        </is>
      </c>
      <c r="I1573" s="1393" t="inlineStr">
        <is>
          <t>Thomas/Leslie</t>
        </is>
      </c>
      <c r="J1573" s="1393" t="inlineStr">
        <is>
          <t>-</t>
        </is>
      </c>
      <c r="K1573" s="1395">
        <f>IF(raw[[#This Row],[city]]&lt;&gt;"",_xlfn.XLOOKUP($D1573,ccc[city],ccc[prov],"-"),"-")</f>
        <v/>
      </c>
      <c r="L1573" s="1395">
        <f>IF(raw[[#This Row],[city]]&lt;&gt;"",_xlfn.XLOOKUP($D1573,ccc[city],ccc[ctry],"-"),"-")</f>
        <v/>
      </c>
      <c r="M1573" s="1395">
        <f>IF(raw[[#This Row],[city]]&lt;&gt;"",_xlfn.XLOOKUP($D1573,ccc[city],ccc[cont],"-"),"-")</f>
        <v/>
      </c>
      <c r="N1573" s="1396">
        <f>IF(raw[[#This Row],[city]]="","-",IF(raw[[#This Row],[cont]]="B",raw[[#This Row],[cont]],"W"))</f>
        <v/>
      </c>
      <c r="O1573" s="1397">
        <f>IF(raw[[#This Row],[out]]=0,0,IF(raw[[#This Row],[out]]=raw[[#This Row],[in]],0.01,raw[[#This Row],[out]]-raw[[#This Row],[in]]))</f>
        <v/>
      </c>
      <c r="P1573" s="1397">
        <f>IF(raw[[#This Row],[in]]=0,0,MONTH(raw[[#This Row],[in]]))</f>
        <v/>
      </c>
      <c r="Q1573" s="1397">
        <f>IF(raw[[#This Row],[in]]=0,0,YEAR(raw[[#This Row],[in]]))</f>
        <v/>
      </c>
      <c r="R1573" s="1397">
        <f>INT(raw[[#This Row],[yr]]/10)*10</f>
        <v/>
      </c>
      <c r="S1573" s="1395">
        <f>IF(raw[[#This Row],[city]]="","-",IF(raw[[#This Row],[city]]&lt;&gt;_xlfn.XLOOKUP(raw[[#This Row],[home]],homes[home],homes[city],"-"),1,0))</f>
        <v/>
      </c>
      <c r="T1573" s="1398" t="inlineStr">
        <is>
          <t>.</t>
        </is>
      </c>
      <c r="U1573" s="1399">
        <f>IF(raw[[#This Row],[wb]]="w",raw[[#This Row],[stay]]+U1572,U1572)</f>
        <v/>
      </c>
      <c r="V1573" s="1400">
        <f>IF(raw[[#This Row],[out]]=0,V1572,(raw[[#This Row],[out]]-E$5))</f>
        <v/>
      </c>
      <c r="W1573" s="1401">
        <f>U1573/V1573</f>
        <v/>
      </c>
      <c r="X1573" s="1392" t="n"/>
      <c r="Y1573" s="1392" t="n"/>
      <c r="Z1573" s="1392" t="n"/>
      <c r="AA1573" s="1392" t="n"/>
      <c r="AB1573" s="1392" t="n"/>
      <c r="AC1573" s="1392" t="n"/>
      <c r="AD1573" s="1392" t="n"/>
      <c r="AE1573" s="1392" t="n"/>
      <c r="AF1573" s="1392" t="n"/>
      <c r="AG1573" s="1392" t="n"/>
      <c r="AH1573" s="1392" t="n"/>
      <c r="AI1573" s="1392" t="n"/>
      <c r="AJ1573" s="1392" t="n"/>
      <c r="AK1573" s="1392" t="n"/>
      <c r="AL1573" s="1392" t="n"/>
      <c r="AM1573" s="1392" t="n"/>
      <c r="AN1573" s="1392" t="n"/>
      <c r="AO1573" s="1392" t="n"/>
      <c r="AP1573" s="1392" t="n"/>
      <c r="AQ1573" s="1392" t="n"/>
      <c r="AR1573" s="1422" t="n"/>
      <c r="AS1573" s="1422" t="n"/>
      <c r="AT1573" s="1392" t="n"/>
      <c r="AU1573" s="1392" t="n"/>
      <c r="AV1573" s="1392" t="n"/>
      <c r="AW1573" s="1392" t="n"/>
      <c r="AX1573" s="1392" t="n"/>
      <c r="AY1573" s="1392" t="n"/>
      <c r="AZ1573" s="1392" t="n"/>
      <c r="BA1573" s="1422" t="n"/>
      <c r="BB1573" s="1422" t="n"/>
      <c r="BC1573" s="1392" t="n"/>
      <c r="BD1573" s="1392" t="n"/>
      <c r="BE1573" s="1392" t="n"/>
      <c r="BF1573" s="1392" t="n"/>
      <c r="BG1573" s="1392" t="n"/>
      <c r="BH1573" s="1392" t="n"/>
      <c r="BI1573" s="1392" t="n"/>
      <c r="BJ1573" s="1392" t="n"/>
      <c r="BK1573" s="1392" t="n"/>
      <c r="BL1573" s="1392" t="n"/>
      <c r="BM1573" s="1392" t="n"/>
      <c r="BN1573" s="1392" t="n"/>
      <c r="BO1573" s="1392" t="n"/>
      <c r="BP1573" s="1392" t="n"/>
      <c r="BQ1573" s="1392" t="n"/>
      <c r="BR1573" s="1392" t="n"/>
      <c r="BS1573" s="1392" t="n"/>
      <c r="BT1573" s="1392" t="n"/>
      <c r="BU1573" s="1392" t="n"/>
      <c r="BV1573" s="1392" t="n"/>
      <c r="BW1573" s="1392" t="n"/>
      <c r="BX1573" s="1392" t="n"/>
      <c r="BY1573" s="1392" t="n"/>
      <c r="BZ1573" s="1392" t="n"/>
      <c r="CA1573" s="1392" t="n"/>
      <c r="CB1573" s="1392" t="n"/>
      <c r="CC1573" s="1392" t="n"/>
      <c r="CD1573" s="1392" t="n"/>
      <c r="CE1573" s="1392" t="n"/>
      <c r="CF1573" s="1392" t="n"/>
      <c r="CG1573" s="1392" t="n"/>
      <c r="CH1573" s="1392" t="n"/>
      <c r="CI1573" s="1392" t="n"/>
      <c r="CJ1573" s="1392" t="n"/>
      <c r="CK1573" s="1392" t="n"/>
      <c r="CL1573" s="1392" t="n"/>
    </row>
    <row r="1574">
      <c r="A1574" s="5" t="inlineStr">
        <is>
          <t>.</t>
        </is>
      </c>
      <c r="B1574" s="5" t="inlineStr">
        <is>
          <t>.</t>
        </is>
      </c>
      <c r="C1574" s="1378">
        <f>IF(raw[[#This Row],[city]]="","-",IF(raw[[#This Row],[city]]="TODAY","-",C1573+1))</f>
        <v/>
      </c>
      <c r="D1574" s="1393" t="inlineStr">
        <is>
          <t>London</t>
        </is>
      </c>
      <c r="E1574" s="1394" t="n">
        <v>44470</v>
      </c>
      <c r="F1574" s="1394" t="n">
        <v>44471</v>
      </c>
      <c r="G1574" s="1393" t="n">
        <v>1</v>
      </c>
      <c r="H1574" s="1393" t="inlineStr">
        <is>
          <t>Marie-Victorin</t>
        </is>
      </c>
      <c r="I1574" s="1393" t="inlineStr">
        <is>
          <t>Thomas/Leslie</t>
        </is>
      </c>
      <c r="J1574" s="1393" t="inlineStr">
        <is>
          <t>-</t>
        </is>
      </c>
      <c r="K1574" s="1395">
        <f>IF(raw[[#This Row],[city]]&lt;&gt;"",_xlfn.XLOOKUP($D1574,ccc[city],ccc[prov],"-"),"-")</f>
        <v/>
      </c>
      <c r="L1574" s="1395">
        <f>IF(raw[[#This Row],[city]]&lt;&gt;"",_xlfn.XLOOKUP($D1574,ccc[city],ccc[ctry],"-"),"-")</f>
        <v/>
      </c>
      <c r="M1574" s="1395">
        <f>IF(raw[[#This Row],[city]]&lt;&gt;"",_xlfn.XLOOKUP($D1574,ccc[city],ccc[cont],"-"),"-")</f>
        <v/>
      </c>
      <c r="N1574" s="1396">
        <f>IF(raw[[#This Row],[city]]="","-",IF(raw[[#This Row],[cont]]="B",raw[[#This Row],[cont]],"W"))</f>
        <v/>
      </c>
      <c r="O1574" s="1397">
        <f>IF(raw[[#This Row],[out]]=0,0,IF(raw[[#This Row],[out]]=raw[[#This Row],[in]],0.01,raw[[#This Row],[out]]-raw[[#This Row],[in]]))</f>
        <v/>
      </c>
      <c r="P1574" s="1397">
        <f>IF(raw[[#This Row],[in]]=0,0,MONTH(raw[[#This Row],[in]]))</f>
        <v/>
      </c>
      <c r="Q1574" s="1397">
        <f>IF(raw[[#This Row],[in]]=0,0,YEAR(raw[[#This Row],[in]]))</f>
        <v/>
      </c>
      <c r="R1574" s="1397">
        <f>INT(raw[[#This Row],[yr]]/10)*10</f>
        <v/>
      </c>
      <c r="S1574" s="1395">
        <f>IF(raw[[#This Row],[city]]="","-",IF(raw[[#This Row],[city]]&lt;&gt;_xlfn.XLOOKUP(raw[[#This Row],[home]],homes[home],homes[city],"-"),1,0))</f>
        <v/>
      </c>
      <c r="T1574" s="1398" t="inlineStr">
        <is>
          <t>.</t>
        </is>
      </c>
      <c r="U1574" s="1399">
        <f>IF(raw[[#This Row],[wb]]="w",raw[[#This Row],[stay]]+U1573,U1573)</f>
        <v/>
      </c>
      <c r="V1574" s="1400">
        <f>IF(raw[[#This Row],[out]]=0,V1573,(raw[[#This Row],[out]]-E$5))</f>
        <v/>
      </c>
      <c r="W1574" s="1401">
        <f>U1574/V1574</f>
        <v/>
      </c>
      <c r="X1574" s="1392" t="n"/>
      <c r="Y1574" s="1392" t="n"/>
      <c r="Z1574" s="1392" t="n"/>
      <c r="AA1574" s="1392" t="n"/>
      <c r="AB1574" s="1392" t="n"/>
      <c r="AC1574" s="1392" t="n"/>
      <c r="AD1574" s="1392" t="n"/>
      <c r="AE1574" s="1392" t="n"/>
      <c r="AF1574" s="1392" t="n"/>
      <c r="AG1574" s="1392" t="n"/>
      <c r="AH1574" s="1392" t="n"/>
      <c r="AI1574" s="1392" t="n"/>
      <c r="AJ1574" s="1392" t="n"/>
      <c r="AK1574" s="1392" t="n"/>
      <c r="AL1574" s="1392" t="n"/>
      <c r="AM1574" s="1392" t="n"/>
      <c r="AN1574" s="1392" t="n"/>
      <c r="AO1574" s="1392" t="n"/>
      <c r="AP1574" s="1392" t="n"/>
      <c r="AQ1574" s="1392" t="n"/>
      <c r="AR1574" s="1422" t="n"/>
      <c r="AS1574" s="1422" t="n"/>
      <c r="AT1574" s="1392" t="n"/>
      <c r="AU1574" s="1392" t="n"/>
      <c r="AV1574" s="1392" t="n"/>
      <c r="AW1574" s="1392" t="n"/>
      <c r="AX1574" s="1392" t="n"/>
      <c r="AY1574" s="1392" t="n"/>
      <c r="AZ1574" s="1392" t="n"/>
      <c r="BA1574" s="1422" t="n"/>
      <c r="BB1574" s="1422" t="n"/>
      <c r="BC1574" s="1392" t="n"/>
      <c r="BD1574" s="1392" t="n"/>
      <c r="BE1574" s="1392" t="n"/>
      <c r="BF1574" s="1392" t="n"/>
      <c r="BG1574" s="1392" t="n"/>
      <c r="BH1574" s="1392" t="n"/>
      <c r="BI1574" s="1392" t="n"/>
      <c r="BJ1574" s="1392" t="n"/>
      <c r="BK1574" s="1392" t="n"/>
      <c r="BL1574" s="1392" t="n"/>
      <c r="BM1574" s="1392" t="n"/>
      <c r="BN1574" s="1392" t="n"/>
      <c r="BO1574" s="1392" t="n"/>
      <c r="BP1574" s="1392" t="n"/>
      <c r="BQ1574" s="1392" t="n"/>
      <c r="BR1574" s="1392" t="n"/>
      <c r="BS1574" s="1392" t="n"/>
      <c r="BT1574" s="1392" t="n"/>
      <c r="BU1574" s="1392" t="n"/>
      <c r="BV1574" s="1392" t="n"/>
      <c r="BW1574" s="1392" t="n"/>
      <c r="BX1574" s="1392" t="n"/>
      <c r="BY1574" s="1392" t="n"/>
      <c r="BZ1574" s="1392" t="n"/>
      <c r="CA1574" s="1392" t="n"/>
      <c r="CB1574" s="1392" t="n"/>
      <c r="CC1574" s="1392" t="n"/>
      <c r="CD1574" s="1392" t="n"/>
      <c r="CE1574" s="1392" t="n"/>
      <c r="CF1574" s="1392" t="n"/>
      <c r="CG1574" s="1392" t="n"/>
      <c r="CH1574" s="1392" t="n"/>
      <c r="CI1574" s="1392" t="n"/>
      <c r="CJ1574" s="1392" t="n"/>
      <c r="CK1574" s="1392" t="n"/>
      <c r="CL1574" s="1392" t="n"/>
    </row>
    <row r="1575">
      <c r="A1575" s="5" t="inlineStr">
        <is>
          <t>.</t>
        </is>
      </c>
      <c r="B1575" s="5" t="inlineStr">
        <is>
          <t>.</t>
        </is>
      </c>
      <c r="C1575" s="1378">
        <f>IF(raw[[#This Row],[city]]="","-",IF(raw[[#This Row],[city]]="TODAY","-",C1574+1))</f>
        <v/>
      </c>
      <c r="D1575" s="1393" t="inlineStr">
        <is>
          <t>Montreal</t>
        </is>
      </c>
      <c r="E1575" s="1394" t="n">
        <v>44471</v>
      </c>
      <c r="F1575" s="1394" t="n">
        <v>44501</v>
      </c>
      <c r="G1575" s="1393" t="inlineStr">
        <is>
          <t>-</t>
        </is>
      </c>
      <c r="H1575" s="1393" t="inlineStr">
        <is>
          <t>Marie-Victorin</t>
        </is>
      </c>
      <c r="I1575" s="1393" t="inlineStr">
        <is>
          <t>-</t>
        </is>
      </c>
      <c r="J1575" s="1393" t="inlineStr">
        <is>
          <t>-</t>
        </is>
      </c>
      <c r="K1575" s="1395">
        <f>IF(raw[[#This Row],[city]]&lt;&gt;"",_xlfn.XLOOKUP($D1575,ccc[city],ccc[prov],"-"),"-")</f>
        <v/>
      </c>
      <c r="L1575" s="1395">
        <f>IF(raw[[#This Row],[city]]&lt;&gt;"",_xlfn.XLOOKUP($D1575,ccc[city],ccc[ctry],"-"),"-")</f>
        <v/>
      </c>
      <c r="M1575" s="1395">
        <f>IF(raw[[#This Row],[city]]&lt;&gt;"",_xlfn.XLOOKUP($D1575,ccc[city],ccc[cont],"-"),"-")</f>
        <v/>
      </c>
      <c r="N1575" s="1396">
        <f>IF(raw[[#This Row],[city]]="","-",IF(raw[[#This Row],[cont]]="B",raw[[#This Row],[cont]],"W"))</f>
        <v/>
      </c>
      <c r="O1575" s="1397">
        <f>IF(raw[[#This Row],[out]]=0,0,IF(raw[[#This Row],[out]]=raw[[#This Row],[in]],0.01,raw[[#This Row],[out]]-raw[[#This Row],[in]]))</f>
        <v/>
      </c>
      <c r="P1575" s="1397">
        <f>IF(raw[[#This Row],[in]]=0,0,MONTH(raw[[#This Row],[in]]))</f>
        <v/>
      </c>
      <c r="Q1575" s="1397">
        <f>IF(raw[[#This Row],[in]]=0,0,YEAR(raw[[#This Row],[in]]))</f>
        <v/>
      </c>
      <c r="R1575" s="1397">
        <f>INT(raw[[#This Row],[yr]]/10)*10</f>
        <v/>
      </c>
      <c r="S1575" s="1395">
        <f>IF(raw[[#This Row],[city]]="","-",IF(raw[[#This Row],[city]]&lt;&gt;_xlfn.XLOOKUP(raw[[#This Row],[home]],homes[home],homes[city],"-"),1,0))</f>
        <v/>
      </c>
      <c r="T1575" s="1398" t="inlineStr">
        <is>
          <t>.</t>
        </is>
      </c>
      <c r="U1575" s="1399">
        <f>IF(raw[[#This Row],[wb]]="w",raw[[#This Row],[stay]]+U1574,U1574)</f>
        <v/>
      </c>
      <c r="V1575" s="1400">
        <f>IF(raw[[#This Row],[out]]=0,V1574,(raw[[#This Row],[out]]-E$5))</f>
        <v/>
      </c>
      <c r="W1575" s="1401">
        <f>U1575/V1575</f>
        <v/>
      </c>
      <c r="X1575" s="1392" t="n"/>
      <c r="Y1575" s="1392" t="n"/>
      <c r="Z1575" s="1392" t="n"/>
      <c r="AA1575" s="1392" t="n"/>
      <c r="AB1575" s="1392" t="n"/>
      <c r="AC1575" s="1392" t="n"/>
      <c r="AD1575" s="1392" t="n"/>
      <c r="AE1575" s="1392" t="n"/>
      <c r="AF1575" s="1392" t="n"/>
      <c r="AG1575" s="1392" t="n"/>
      <c r="AH1575" s="1392" t="n"/>
      <c r="AI1575" s="1392" t="n"/>
      <c r="AJ1575" s="1392" t="n"/>
      <c r="AK1575" s="1392" t="n"/>
      <c r="AL1575" s="1392" t="n"/>
      <c r="AM1575" s="1392" t="n"/>
      <c r="AN1575" s="1392" t="n"/>
      <c r="AO1575" s="1392" t="n"/>
      <c r="AP1575" s="1392" t="n"/>
      <c r="AQ1575" s="1392" t="n"/>
      <c r="AR1575" s="1422" t="n"/>
      <c r="AS1575" s="1422" t="n"/>
      <c r="AT1575" s="1392" t="n"/>
      <c r="AU1575" s="1392" t="n"/>
      <c r="AV1575" s="1392" t="n"/>
      <c r="AW1575" s="1392" t="n"/>
      <c r="AX1575" s="1392" t="n"/>
      <c r="AY1575" s="1392" t="n"/>
      <c r="AZ1575" s="1392" t="n"/>
      <c r="BA1575" s="1422" t="n"/>
      <c r="BB1575" s="1422" t="n"/>
      <c r="BC1575" s="1392" t="n"/>
      <c r="BD1575" s="1392" t="n"/>
      <c r="BE1575" s="1392" t="n"/>
      <c r="BF1575" s="1392" t="n"/>
      <c r="BG1575" s="1392" t="n"/>
      <c r="BH1575" s="1392" t="n"/>
      <c r="BI1575" s="1392" t="n"/>
      <c r="BJ1575" s="1392" t="n"/>
      <c r="BK1575" s="1392" t="n"/>
      <c r="BL1575" s="1392" t="n"/>
      <c r="BM1575" s="1392" t="n"/>
      <c r="BN1575" s="1392" t="n"/>
      <c r="BO1575" s="1392" t="n"/>
      <c r="BP1575" s="1392" t="n"/>
      <c r="BQ1575" s="1392" t="n"/>
      <c r="BR1575" s="1392" t="n"/>
      <c r="BS1575" s="1392" t="n"/>
      <c r="BT1575" s="1392" t="n"/>
      <c r="BU1575" s="1392" t="n"/>
      <c r="BV1575" s="1392" t="n"/>
      <c r="BW1575" s="1392" t="n"/>
      <c r="BX1575" s="1392" t="n"/>
      <c r="BY1575" s="1392" t="n"/>
      <c r="BZ1575" s="1392" t="n"/>
      <c r="CA1575" s="1392" t="n"/>
      <c r="CB1575" s="1392" t="n"/>
      <c r="CC1575" s="1392" t="n"/>
      <c r="CD1575" s="1392" t="n"/>
      <c r="CE1575" s="1392" t="n"/>
      <c r="CF1575" s="1392" t="n"/>
      <c r="CG1575" s="1392" t="n"/>
      <c r="CH1575" s="1392" t="n"/>
      <c r="CI1575" s="1392" t="n"/>
      <c r="CJ1575" s="1392" t="n"/>
      <c r="CK1575" s="1392" t="n"/>
      <c r="CL1575" s="1392" t="n"/>
    </row>
    <row r="1576">
      <c r="A1576" s="5" t="inlineStr">
        <is>
          <t>.</t>
        </is>
      </c>
      <c r="B1576" s="5" t="inlineStr">
        <is>
          <t>.</t>
        </is>
      </c>
      <c r="C1576" s="1378">
        <f>IF(raw[[#This Row],[city]]="","-",IF(raw[[#This Row],[city]]="TODAY","-",C1575+1))</f>
        <v/>
      </c>
      <c r="D1576" s="1393" t="inlineStr">
        <is>
          <t>Montreal</t>
        </is>
      </c>
      <c r="E1576" s="1394" t="n">
        <v>44501</v>
      </c>
      <c r="F1576" s="1394" t="n">
        <v>44531</v>
      </c>
      <c r="G1576" s="1393" t="inlineStr">
        <is>
          <t>-</t>
        </is>
      </c>
      <c r="H1576" s="1393" t="inlineStr">
        <is>
          <t>Marie-Victorin</t>
        </is>
      </c>
      <c r="I1576" s="1393" t="inlineStr">
        <is>
          <t>-</t>
        </is>
      </c>
      <c r="J1576" s="1393" t="inlineStr">
        <is>
          <t>-</t>
        </is>
      </c>
      <c r="K1576" s="1395">
        <f>IF(raw[[#This Row],[city]]&lt;&gt;"",_xlfn.XLOOKUP($D1576,ccc[city],ccc[prov],"-"),"-")</f>
        <v/>
      </c>
      <c r="L1576" s="1395">
        <f>IF(raw[[#This Row],[city]]&lt;&gt;"",_xlfn.XLOOKUP($D1576,ccc[city],ccc[ctry],"-"),"-")</f>
        <v/>
      </c>
      <c r="M1576" s="1395">
        <f>IF(raw[[#This Row],[city]]&lt;&gt;"",_xlfn.XLOOKUP($D1576,ccc[city],ccc[cont],"-"),"-")</f>
        <v/>
      </c>
      <c r="N1576" s="1396">
        <f>IF(raw[[#This Row],[city]]="","-",IF(raw[[#This Row],[cont]]="B",raw[[#This Row],[cont]],"W"))</f>
        <v/>
      </c>
      <c r="O1576" s="1397">
        <f>IF(raw[[#This Row],[out]]=0,0,IF(raw[[#This Row],[out]]=raw[[#This Row],[in]],0.01,raw[[#This Row],[out]]-raw[[#This Row],[in]]))</f>
        <v/>
      </c>
      <c r="P1576" s="1397">
        <f>IF(raw[[#This Row],[in]]=0,0,MONTH(raw[[#This Row],[in]]))</f>
        <v/>
      </c>
      <c r="Q1576" s="1397">
        <f>IF(raw[[#This Row],[in]]=0,0,YEAR(raw[[#This Row],[in]]))</f>
        <v/>
      </c>
      <c r="R1576" s="1397">
        <f>INT(raw[[#This Row],[yr]]/10)*10</f>
        <v/>
      </c>
      <c r="S1576" s="1395">
        <f>IF(raw[[#This Row],[city]]="","-",IF(raw[[#This Row],[city]]&lt;&gt;_xlfn.XLOOKUP(raw[[#This Row],[home]],homes[home],homes[city],"-"),1,0))</f>
        <v/>
      </c>
      <c r="T1576" s="1398" t="inlineStr">
        <is>
          <t>.</t>
        </is>
      </c>
      <c r="U1576" s="1399">
        <f>IF(raw[[#This Row],[wb]]="w",raw[[#This Row],[stay]]+U1575,U1575)</f>
        <v/>
      </c>
      <c r="V1576" s="1400">
        <f>IF(raw[[#This Row],[out]]=0,V1575,(raw[[#This Row],[out]]-E$5))</f>
        <v/>
      </c>
      <c r="W1576" s="1401">
        <f>U1576/V1576</f>
        <v/>
      </c>
      <c r="X1576" s="1392" t="n"/>
      <c r="Y1576" s="1392" t="n"/>
      <c r="Z1576" s="1392" t="n"/>
      <c r="AA1576" s="1392" t="n"/>
      <c r="AB1576" s="1392" t="n"/>
      <c r="AC1576" s="1392" t="n"/>
      <c r="AD1576" s="1392" t="n"/>
      <c r="AE1576" s="1392" t="n"/>
      <c r="AF1576" s="1392" t="n"/>
      <c r="AG1576" s="1392" t="n"/>
      <c r="AH1576" s="1392" t="n"/>
      <c r="AI1576" s="1392" t="n"/>
      <c r="AJ1576" s="1392" t="n"/>
      <c r="AK1576" s="1392" t="n"/>
      <c r="AL1576" s="1392" t="n"/>
      <c r="AM1576" s="1392" t="n"/>
      <c r="AN1576" s="1392" t="n"/>
      <c r="AO1576" s="1392" t="n"/>
      <c r="AP1576" s="1392" t="n"/>
      <c r="AQ1576" s="1392" t="n"/>
      <c r="AR1576" s="1422" t="n"/>
      <c r="AS1576" s="1422" t="n"/>
      <c r="AT1576" s="1392" t="n"/>
      <c r="AU1576" s="1392" t="n"/>
      <c r="AV1576" s="1392" t="n"/>
      <c r="AW1576" s="1392" t="n"/>
      <c r="AX1576" s="1392" t="n"/>
      <c r="AY1576" s="1392" t="n"/>
      <c r="AZ1576" s="1392" t="n"/>
      <c r="BA1576" s="1422" t="n"/>
      <c r="BB1576" s="1422" t="n"/>
      <c r="BC1576" s="1392" t="n"/>
      <c r="BD1576" s="1392" t="n"/>
      <c r="BE1576" s="1392" t="n"/>
      <c r="BF1576" s="1392" t="n"/>
      <c r="BG1576" s="1392" t="n"/>
      <c r="BH1576" s="1392" t="n"/>
      <c r="BI1576" s="1392" t="n"/>
      <c r="BJ1576" s="1392" t="n"/>
      <c r="BK1576" s="1392" t="n"/>
      <c r="BL1576" s="1392" t="n"/>
      <c r="BM1576" s="1392" t="n"/>
      <c r="BN1576" s="1392" t="n"/>
      <c r="BO1576" s="1392" t="n"/>
      <c r="BP1576" s="1392" t="n"/>
      <c r="BQ1576" s="1392" t="n"/>
      <c r="BR1576" s="1392" t="n"/>
      <c r="BS1576" s="1392" t="n"/>
      <c r="BT1576" s="1392" t="n"/>
      <c r="BU1576" s="1392" t="n"/>
      <c r="BV1576" s="1392" t="n"/>
      <c r="BW1576" s="1392" t="n"/>
      <c r="BX1576" s="1392" t="n"/>
      <c r="BY1576" s="1392" t="n"/>
      <c r="BZ1576" s="1392" t="n"/>
      <c r="CA1576" s="1392" t="n"/>
      <c r="CB1576" s="1392" t="n"/>
      <c r="CC1576" s="1392" t="n"/>
      <c r="CD1576" s="1392" t="n"/>
      <c r="CE1576" s="1392" t="n"/>
      <c r="CF1576" s="1392" t="n"/>
      <c r="CG1576" s="1392" t="n"/>
      <c r="CH1576" s="1392" t="n"/>
      <c r="CI1576" s="1392" t="n"/>
      <c r="CJ1576" s="1392" t="n"/>
      <c r="CK1576" s="1392" t="n"/>
      <c r="CL1576" s="1392" t="n"/>
    </row>
    <row r="1577">
      <c r="A1577" s="5" t="inlineStr">
        <is>
          <t>.</t>
        </is>
      </c>
      <c r="B1577" s="5" t="inlineStr">
        <is>
          <t>.</t>
        </is>
      </c>
      <c r="C1577" s="1378">
        <f>IF(raw[[#This Row],[city]]="","-",IF(raw[[#This Row],[city]]="TODAY","-",C1576+1))</f>
        <v/>
      </c>
      <c r="D1577" s="1393" t="inlineStr">
        <is>
          <t>Montreal</t>
        </is>
      </c>
      <c r="E1577" s="1394" t="n">
        <v>44531</v>
      </c>
      <c r="F1577" s="1394" t="n">
        <v>44533</v>
      </c>
      <c r="G1577" s="1393" t="n">
        <v>1</v>
      </c>
      <c r="H1577" s="1393" t="inlineStr">
        <is>
          <t>Marie-Victorin</t>
        </is>
      </c>
      <c r="I1577" s="1393" t="inlineStr">
        <is>
          <t>-</t>
        </is>
      </c>
      <c r="J1577" s="1393" t="inlineStr">
        <is>
          <t>-</t>
        </is>
      </c>
      <c r="K1577" s="1395">
        <f>IF(raw[[#This Row],[city]]&lt;&gt;"",_xlfn.XLOOKUP($D1577,ccc[city],ccc[prov],"-"),"-")</f>
        <v/>
      </c>
      <c r="L1577" s="1395">
        <f>IF(raw[[#This Row],[city]]&lt;&gt;"",_xlfn.XLOOKUP($D1577,ccc[city],ccc[ctry],"-"),"-")</f>
        <v/>
      </c>
      <c r="M1577" s="1395">
        <f>IF(raw[[#This Row],[city]]&lt;&gt;"",_xlfn.XLOOKUP($D1577,ccc[city],ccc[cont],"-"),"-")</f>
        <v/>
      </c>
      <c r="N1577" s="1396">
        <f>IF(raw[[#This Row],[city]]="","-",IF(raw[[#This Row],[cont]]="B",raw[[#This Row],[cont]],"W"))</f>
        <v/>
      </c>
      <c r="O1577" s="1397">
        <f>IF(raw[[#This Row],[out]]=0,0,IF(raw[[#This Row],[out]]=raw[[#This Row],[in]],0.01,raw[[#This Row],[out]]-raw[[#This Row],[in]]))</f>
        <v/>
      </c>
      <c r="P1577" s="1397">
        <f>IF(raw[[#This Row],[in]]=0,0,MONTH(raw[[#This Row],[in]]))</f>
        <v/>
      </c>
      <c r="Q1577" s="1397">
        <f>IF(raw[[#This Row],[in]]=0,0,YEAR(raw[[#This Row],[in]]))</f>
        <v/>
      </c>
      <c r="R1577" s="1397">
        <f>INT(raw[[#This Row],[yr]]/10)*10</f>
        <v/>
      </c>
      <c r="S1577" s="1395">
        <f>IF(raw[[#This Row],[city]]="","-",IF(raw[[#This Row],[city]]&lt;&gt;_xlfn.XLOOKUP(raw[[#This Row],[home]],homes[home],homes[city],"-"),1,0))</f>
        <v/>
      </c>
      <c r="T1577" s="1398" t="inlineStr">
        <is>
          <t>.</t>
        </is>
      </c>
      <c r="U1577" s="1399">
        <f>IF(raw[[#This Row],[wb]]="w",raw[[#This Row],[stay]]+U1576,U1576)</f>
        <v/>
      </c>
      <c r="V1577" s="1400">
        <f>IF(raw[[#This Row],[out]]=0,V1576,(raw[[#This Row],[out]]-E$5))</f>
        <v/>
      </c>
      <c r="W1577" s="1401">
        <f>U1577/V1577</f>
        <v/>
      </c>
      <c r="X1577" s="1392" t="n"/>
      <c r="Y1577" s="1392" t="n"/>
      <c r="Z1577" s="1392" t="n"/>
      <c r="AA1577" s="1392" t="n"/>
      <c r="AB1577" s="1392" t="n"/>
      <c r="AC1577" s="1392" t="n"/>
      <c r="AD1577" s="1392" t="n"/>
      <c r="AE1577" s="1392" t="n"/>
      <c r="AF1577" s="1392" t="n"/>
      <c r="AG1577" s="1392" t="n"/>
      <c r="AH1577" s="1392" t="n"/>
      <c r="AI1577" s="1392" t="n"/>
      <c r="AJ1577" s="1392" t="n"/>
      <c r="AK1577" s="1392" t="n"/>
      <c r="AL1577" s="1392" t="n"/>
      <c r="AM1577" s="1392" t="n"/>
      <c r="AN1577" s="1392" t="n"/>
      <c r="AO1577" s="1392" t="n"/>
      <c r="AP1577" s="1392" t="n"/>
      <c r="AQ1577" s="1392" t="n"/>
      <c r="AR1577" s="1422" t="n"/>
      <c r="AS1577" s="1422" t="n"/>
      <c r="AT1577" s="1392" t="n"/>
      <c r="AU1577" s="1392" t="n"/>
      <c r="AV1577" s="1392" t="n"/>
      <c r="AW1577" s="1392" t="n"/>
      <c r="AX1577" s="1392" t="n"/>
      <c r="AY1577" s="1392" t="n"/>
      <c r="AZ1577" s="1392" t="n"/>
      <c r="BA1577" s="1422" t="n"/>
      <c r="BB1577" s="1422" t="n"/>
      <c r="BC1577" s="1392" t="n"/>
      <c r="BD1577" s="1392" t="n"/>
      <c r="BE1577" s="1392" t="n"/>
      <c r="BF1577" s="1392" t="n"/>
      <c r="BG1577" s="1392" t="n"/>
      <c r="BH1577" s="1392" t="n"/>
      <c r="BI1577" s="1392" t="n"/>
      <c r="BJ1577" s="1392" t="n"/>
      <c r="BK1577" s="1392" t="n"/>
      <c r="BL1577" s="1392" t="n"/>
      <c r="BM1577" s="1392" t="n"/>
      <c r="BN1577" s="1392" t="n"/>
      <c r="BO1577" s="1392" t="n"/>
      <c r="BP1577" s="1392" t="n"/>
      <c r="BQ1577" s="1392" t="n"/>
      <c r="BR1577" s="1392" t="n"/>
      <c r="BS1577" s="1392" t="n"/>
      <c r="BT1577" s="1392" t="n"/>
      <c r="BU1577" s="1392" t="n"/>
      <c r="BV1577" s="1392" t="n"/>
      <c r="BW1577" s="1392" t="n"/>
      <c r="BX1577" s="1392" t="n"/>
      <c r="BY1577" s="1392" t="n"/>
      <c r="BZ1577" s="1392" t="n"/>
      <c r="CA1577" s="1392" t="n"/>
      <c r="CB1577" s="1392" t="n"/>
      <c r="CC1577" s="1392" t="n"/>
      <c r="CD1577" s="1392" t="n"/>
      <c r="CE1577" s="1392" t="n"/>
      <c r="CF1577" s="1392" t="n"/>
      <c r="CG1577" s="1392" t="n"/>
      <c r="CH1577" s="1392" t="n"/>
      <c r="CI1577" s="1392" t="n"/>
      <c r="CJ1577" s="1392" t="n"/>
      <c r="CK1577" s="1392" t="n"/>
      <c r="CL1577" s="1392" t="n"/>
    </row>
    <row r="1578">
      <c r="A1578" s="5" t="inlineStr">
        <is>
          <t>.</t>
        </is>
      </c>
      <c r="B1578" s="5" t="inlineStr">
        <is>
          <t>.</t>
        </is>
      </c>
      <c r="C1578" s="1378">
        <f>IF(raw[[#This Row],[city]]="","-",IF(raw[[#This Row],[city]]="TODAY","-",C1577+1))</f>
        <v/>
      </c>
      <c r="D1578" s="1393" t="inlineStr">
        <is>
          <t>Chicago</t>
        </is>
      </c>
      <c r="E1578" s="1394" t="n">
        <v>44533</v>
      </c>
      <c r="F1578" s="1394" t="n">
        <v>44533</v>
      </c>
      <c r="G1578" s="1393" t="n">
        <v>0.01</v>
      </c>
      <c r="H1578" s="1393" t="inlineStr">
        <is>
          <t>Marie-Victorin</t>
        </is>
      </c>
      <c r="I1578" s="1393" t="inlineStr">
        <is>
          <t>-</t>
        </is>
      </c>
      <c r="J1578" s="1393" t="inlineStr">
        <is>
          <t>-</t>
        </is>
      </c>
      <c r="K1578" s="1395">
        <f>IF(raw[[#This Row],[city]]&lt;&gt;"",_xlfn.XLOOKUP($D1578,ccc[city],ccc[prov],"-"),"-")</f>
        <v/>
      </c>
      <c r="L1578" s="1395">
        <f>IF(raw[[#This Row],[city]]&lt;&gt;"",_xlfn.XLOOKUP($D1578,ccc[city],ccc[ctry],"-"),"-")</f>
        <v/>
      </c>
      <c r="M1578" s="1395">
        <f>IF(raw[[#This Row],[city]]&lt;&gt;"",_xlfn.XLOOKUP($D1578,ccc[city],ccc[cont],"-"),"-")</f>
        <v/>
      </c>
      <c r="N1578" s="1396">
        <f>IF(raw[[#This Row],[city]]="","-",IF(raw[[#This Row],[cont]]="B",raw[[#This Row],[cont]],"W"))</f>
        <v/>
      </c>
      <c r="O1578" s="1397">
        <f>IF(raw[[#This Row],[out]]=0,0,IF(raw[[#This Row],[out]]=raw[[#This Row],[in]],0.01,raw[[#This Row],[out]]-raw[[#This Row],[in]]))</f>
        <v/>
      </c>
      <c r="P1578" s="1397">
        <f>IF(raw[[#This Row],[in]]=0,0,MONTH(raw[[#This Row],[in]]))</f>
        <v/>
      </c>
      <c r="Q1578" s="1397">
        <f>IF(raw[[#This Row],[in]]=0,0,YEAR(raw[[#This Row],[in]]))</f>
        <v/>
      </c>
      <c r="R1578" s="1397">
        <f>INT(raw[[#This Row],[yr]]/10)*10</f>
        <v/>
      </c>
      <c r="S1578" s="1395">
        <f>IF(raw[[#This Row],[city]]="","-",IF(raw[[#This Row],[city]]&lt;&gt;_xlfn.XLOOKUP(raw[[#This Row],[home]],homes[home],homes[city],"-"),1,0))</f>
        <v/>
      </c>
      <c r="T1578" s="1398" t="inlineStr">
        <is>
          <t>.</t>
        </is>
      </c>
      <c r="U1578" s="1399">
        <f>IF(raw[[#This Row],[wb]]="w",raw[[#This Row],[stay]]+U1577,U1577)</f>
        <v/>
      </c>
      <c r="V1578" s="1400">
        <f>IF(raw[[#This Row],[out]]=0,V1577,(raw[[#This Row],[out]]-E$5))</f>
        <v/>
      </c>
      <c r="W1578" s="1401">
        <f>U1578/V1578</f>
        <v/>
      </c>
      <c r="X1578" s="1392" t="n"/>
      <c r="Y1578" s="1392" t="n"/>
      <c r="Z1578" s="1392" t="n"/>
      <c r="AA1578" s="1392" t="n"/>
      <c r="AB1578" s="1392" t="n"/>
      <c r="AC1578" s="1392" t="n"/>
      <c r="AD1578" s="1392" t="n"/>
      <c r="AE1578" s="1392" t="n"/>
      <c r="AF1578" s="1392" t="n"/>
      <c r="AG1578" s="1392" t="n"/>
      <c r="AH1578" s="1392" t="n"/>
      <c r="AI1578" s="1392" t="n"/>
      <c r="AJ1578" s="1392" t="n"/>
      <c r="AK1578" s="1392" t="n"/>
      <c r="AL1578" s="1392" t="n"/>
      <c r="AM1578" s="1392" t="n"/>
      <c r="AN1578" s="1392" t="n"/>
      <c r="AO1578" s="1392" t="n"/>
      <c r="AP1578" s="1392" t="n"/>
      <c r="AQ1578" s="1392" t="n"/>
      <c r="AR1578" s="1422" t="n"/>
      <c r="AS1578" s="1422" t="n"/>
      <c r="AT1578" s="1392" t="n"/>
      <c r="AU1578" s="1392" t="n"/>
      <c r="AV1578" s="1392" t="n"/>
      <c r="AW1578" s="1392" t="n"/>
      <c r="AX1578" s="1392" t="n"/>
      <c r="AY1578" s="1392" t="n"/>
      <c r="AZ1578" s="1392" t="n"/>
      <c r="BA1578" s="1422" t="n"/>
      <c r="BB1578" s="1422" t="n"/>
      <c r="BC1578" s="1392" t="n"/>
      <c r="BD1578" s="1392" t="n"/>
      <c r="BE1578" s="1392" t="n"/>
      <c r="BF1578" s="1392" t="n"/>
      <c r="BG1578" s="1392" t="n"/>
      <c r="BH1578" s="1392" t="n"/>
      <c r="BI1578" s="1392" t="n"/>
      <c r="BJ1578" s="1392" t="n"/>
      <c r="BK1578" s="1392" t="n"/>
      <c r="BL1578" s="1392" t="n"/>
      <c r="BM1578" s="1392" t="n"/>
      <c r="BN1578" s="1392" t="n"/>
      <c r="BO1578" s="1392" t="n"/>
      <c r="BP1578" s="1392" t="n"/>
      <c r="BQ1578" s="1392" t="n"/>
      <c r="BR1578" s="1392" t="n"/>
      <c r="BS1578" s="1392" t="n"/>
      <c r="BT1578" s="1392" t="n"/>
      <c r="BU1578" s="1392" t="n"/>
      <c r="BV1578" s="1392" t="n"/>
      <c r="BW1578" s="1392" t="n"/>
      <c r="BX1578" s="1392" t="n"/>
      <c r="BY1578" s="1392" t="n"/>
      <c r="BZ1578" s="1392" t="n"/>
      <c r="CA1578" s="1392" t="n"/>
      <c r="CB1578" s="1392" t="n"/>
      <c r="CC1578" s="1392" t="n"/>
      <c r="CD1578" s="1392" t="n"/>
      <c r="CE1578" s="1392" t="n"/>
      <c r="CF1578" s="1392" t="n"/>
      <c r="CG1578" s="1392" t="n"/>
      <c r="CH1578" s="1392" t="n"/>
      <c r="CI1578" s="1392" t="n"/>
      <c r="CJ1578" s="1392" t="n"/>
      <c r="CK1578" s="1392" t="n"/>
      <c r="CL1578" s="1392" t="n"/>
    </row>
    <row r="1579">
      <c r="A1579" s="5" t="inlineStr">
        <is>
          <t>.</t>
        </is>
      </c>
      <c r="B1579" s="5" t="inlineStr">
        <is>
          <t>.</t>
        </is>
      </c>
      <c r="C1579" s="1378">
        <f>IF(raw[[#This Row],[city]]="","-",IF(raw[[#This Row],[city]]="TODAY","-",C1578+1))</f>
        <v/>
      </c>
      <c r="D1579" s="1393" t="inlineStr">
        <is>
          <t>AIR</t>
        </is>
      </c>
      <c r="E1579" s="1394" t="n">
        <v>44533</v>
      </c>
      <c r="F1579" s="1394" t="n">
        <v>44534</v>
      </c>
      <c r="G1579" s="1393" t="inlineStr">
        <is>
          <t>x</t>
        </is>
      </c>
      <c r="H1579" s="1393" t="inlineStr">
        <is>
          <t>Marie-Victorin</t>
        </is>
      </c>
      <c r="I1579" s="1393" t="inlineStr">
        <is>
          <t>-</t>
        </is>
      </c>
      <c r="J1579" s="1393" t="inlineStr">
        <is>
          <t>-</t>
        </is>
      </c>
      <c r="K1579" s="1395">
        <f>IF(raw[[#This Row],[city]]&lt;&gt;"",_xlfn.XLOOKUP($D1579,ccc[city],ccc[prov],"-"),"-")</f>
        <v/>
      </c>
      <c r="L1579" s="1395">
        <f>IF(raw[[#This Row],[city]]&lt;&gt;"",_xlfn.XLOOKUP($D1579,ccc[city],ccc[ctry],"-"),"-")</f>
        <v/>
      </c>
      <c r="M1579" s="1395">
        <f>IF(raw[[#This Row],[city]]&lt;&gt;"",_xlfn.XLOOKUP($D1579,ccc[city],ccc[cont],"-"),"-")</f>
        <v/>
      </c>
      <c r="N1579" s="1396">
        <f>IF(raw[[#This Row],[city]]="","-",IF(raw[[#This Row],[cont]]="B",raw[[#This Row],[cont]],"W"))</f>
        <v/>
      </c>
      <c r="O1579" s="1397">
        <f>IF(raw[[#This Row],[out]]=0,0,IF(raw[[#This Row],[out]]=raw[[#This Row],[in]],0.01,raw[[#This Row],[out]]-raw[[#This Row],[in]]))</f>
        <v/>
      </c>
      <c r="P1579" s="1397">
        <f>IF(raw[[#This Row],[in]]=0,0,MONTH(raw[[#This Row],[in]]))</f>
        <v/>
      </c>
      <c r="Q1579" s="1397">
        <f>IF(raw[[#This Row],[in]]=0,0,YEAR(raw[[#This Row],[in]]))</f>
        <v/>
      </c>
      <c r="R1579" s="1397">
        <f>INT(raw[[#This Row],[yr]]/10)*10</f>
        <v/>
      </c>
      <c r="S1579" s="1395">
        <f>IF(raw[[#This Row],[city]]="","-",IF(raw[[#This Row],[city]]&lt;&gt;_xlfn.XLOOKUP(raw[[#This Row],[home]],homes[home],homes[city],"-"),1,0))</f>
        <v/>
      </c>
      <c r="T1579" s="1398" t="inlineStr">
        <is>
          <t>.</t>
        </is>
      </c>
      <c r="U1579" s="1399">
        <f>IF(raw[[#This Row],[wb]]="w",raw[[#This Row],[stay]]+U1578,U1578)</f>
        <v/>
      </c>
      <c r="V1579" s="1400">
        <f>IF(raw[[#This Row],[out]]=0,V1578,(raw[[#This Row],[out]]-E$5))</f>
        <v/>
      </c>
      <c r="W1579" s="1401">
        <f>U1579/V1579</f>
        <v/>
      </c>
      <c r="X1579" s="1392" t="n"/>
      <c r="Y1579" s="1392" t="n"/>
      <c r="Z1579" s="1392" t="n"/>
      <c r="AA1579" s="1392" t="n"/>
      <c r="AB1579" s="1392" t="n"/>
      <c r="AC1579" s="1392" t="n"/>
      <c r="AD1579" s="1392" t="n"/>
      <c r="AE1579" s="1392" t="n"/>
      <c r="AF1579" s="1392" t="n"/>
      <c r="AG1579" s="1392" t="n"/>
      <c r="AH1579" s="1392" t="n"/>
      <c r="AI1579" s="1392" t="n"/>
      <c r="AJ1579" s="1392" t="n"/>
      <c r="AK1579" s="1392" t="n"/>
      <c r="AL1579" s="1392" t="n"/>
      <c r="AM1579" s="1392" t="n"/>
      <c r="AN1579" s="1392" t="n"/>
      <c r="AO1579" s="1392" t="n"/>
      <c r="AP1579" s="1392" t="n"/>
      <c r="AQ1579" s="1392" t="n"/>
      <c r="AR1579" s="1422" t="n"/>
      <c r="AS1579" s="1422" t="n"/>
      <c r="AT1579" s="1392" t="n"/>
      <c r="AU1579" s="1392" t="n"/>
      <c r="AV1579" s="1392" t="n"/>
      <c r="AW1579" s="1392" t="n"/>
      <c r="AX1579" s="1392" t="n"/>
      <c r="AY1579" s="1392" t="n"/>
      <c r="AZ1579" s="1392" t="n"/>
      <c r="BA1579" s="1422" t="n"/>
      <c r="BB1579" s="1422" t="n"/>
      <c r="BC1579" s="1392" t="n"/>
      <c r="BD1579" s="1392" t="n"/>
      <c r="BE1579" s="1392" t="n"/>
      <c r="BF1579" s="1392" t="n"/>
      <c r="BG1579" s="1392" t="n"/>
      <c r="BH1579" s="1392" t="n"/>
      <c r="BI1579" s="1392" t="n"/>
      <c r="BJ1579" s="1392" t="n"/>
      <c r="BK1579" s="1392" t="n"/>
      <c r="BL1579" s="1392" t="n"/>
      <c r="BM1579" s="1392" t="n"/>
      <c r="BN1579" s="1392" t="n"/>
      <c r="BO1579" s="1392" t="n"/>
      <c r="BP1579" s="1392" t="n"/>
      <c r="BQ1579" s="1392" t="n"/>
      <c r="BR1579" s="1392" t="n"/>
      <c r="BS1579" s="1392" t="n"/>
      <c r="BT1579" s="1392" t="n"/>
      <c r="BU1579" s="1392" t="n"/>
      <c r="BV1579" s="1392" t="n"/>
      <c r="BW1579" s="1392" t="n"/>
      <c r="BX1579" s="1392" t="n"/>
      <c r="BY1579" s="1392" t="n"/>
      <c r="BZ1579" s="1392" t="n"/>
      <c r="CA1579" s="1392" t="n"/>
      <c r="CB1579" s="1392" t="n"/>
      <c r="CC1579" s="1392" t="n"/>
      <c r="CD1579" s="1392" t="n"/>
      <c r="CE1579" s="1392" t="n"/>
      <c r="CF1579" s="1392" t="n"/>
      <c r="CG1579" s="1392" t="n"/>
      <c r="CH1579" s="1392" t="n"/>
      <c r="CI1579" s="1392" t="n"/>
      <c r="CJ1579" s="1392" t="n"/>
      <c r="CK1579" s="1392" t="n"/>
      <c r="CL1579" s="1392" t="n"/>
    </row>
    <row r="1580">
      <c r="A1580" s="5" t="inlineStr">
        <is>
          <t>.</t>
        </is>
      </c>
      <c r="B1580" s="5" t="inlineStr">
        <is>
          <t>.</t>
        </is>
      </c>
      <c r="C1580" s="1378">
        <f>IF(raw[[#This Row],[city]]="","-",IF(raw[[#This Row],[city]]="TODAY","-",C1579+1))</f>
        <v/>
      </c>
      <c r="D1580" s="1393" t="inlineStr">
        <is>
          <t>SP</t>
        </is>
      </c>
      <c r="E1580" s="1394" t="n">
        <v>44534</v>
      </c>
      <c r="F1580" s="1394" t="n">
        <v>44534</v>
      </c>
      <c r="G1580" s="1393" t="n">
        <v>1</v>
      </c>
      <c r="H1580" s="1393" t="inlineStr">
        <is>
          <t>Marie-Victorin</t>
        </is>
      </c>
      <c r="I1580" s="1393" t="inlineStr">
        <is>
          <t>-</t>
        </is>
      </c>
      <c r="J1580" s="1393" t="inlineStr">
        <is>
          <t>-</t>
        </is>
      </c>
      <c r="K1580" s="1395">
        <f>IF(raw[[#This Row],[city]]&lt;&gt;"",_xlfn.XLOOKUP($D1580,ccc[city],ccc[prov],"-"),"-")</f>
        <v/>
      </c>
      <c r="L1580" s="1395">
        <f>IF(raw[[#This Row],[city]]&lt;&gt;"",_xlfn.XLOOKUP($D1580,ccc[city],ccc[ctry],"-"),"-")</f>
        <v/>
      </c>
      <c r="M1580" s="1395">
        <f>IF(raw[[#This Row],[city]]&lt;&gt;"",_xlfn.XLOOKUP($D1580,ccc[city],ccc[cont],"-"),"-")</f>
        <v/>
      </c>
      <c r="N1580" s="1396">
        <f>IF(raw[[#This Row],[city]]="","-",IF(raw[[#This Row],[cont]]="B",raw[[#This Row],[cont]],"W"))</f>
        <v/>
      </c>
      <c r="O1580" s="1397">
        <f>IF(raw[[#This Row],[out]]=0,0,IF(raw[[#This Row],[out]]=raw[[#This Row],[in]],0.01,raw[[#This Row],[out]]-raw[[#This Row],[in]]))</f>
        <v/>
      </c>
      <c r="P1580" s="1397">
        <f>IF(raw[[#This Row],[in]]=0,0,MONTH(raw[[#This Row],[in]]))</f>
        <v/>
      </c>
      <c r="Q1580" s="1397">
        <f>IF(raw[[#This Row],[in]]=0,0,YEAR(raw[[#This Row],[in]]))</f>
        <v/>
      </c>
      <c r="R1580" s="1397">
        <f>INT(raw[[#This Row],[yr]]/10)*10</f>
        <v/>
      </c>
      <c r="S1580" s="1395">
        <f>IF(raw[[#This Row],[city]]="","-",IF(raw[[#This Row],[city]]&lt;&gt;_xlfn.XLOOKUP(raw[[#This Row],[home]],homes[home],homes[city],"-"),1,0))</f>
        <v/>
      </c>
      <c r="T1580" s="1398" t="inlineStr">
        <is>
          <t>.</t>
        </is>
      </c>
      <c r="U1580" s="1399">
        <f>IF(raw[[#This Row],[wb]]="w",raw[[#This Row],[stay]]+U1579,U1579)</f>
        <v/>
      </c>
      <c r="V1580" s="1400">
        <f>IF(raw[[#This Row],[out]]=0,V1579,(raw[[#This Row],[out]]-E$5))</f>
        <v/>
      </c>
      <c r="W1580" s="1401">
        <f>U1580/V1580</f>
        <v/>
      </c>
      <c r="X1580" s="1392" t="n"/>
      <c r="Y1580" s="1392" t="n"/>
      <c r="Z1580" s="1392" t="n"/>
      <c r="AA1580" s="1392" t="n"/>
      <c r="AB1580" s="1392" t="n"/>
      <c r="AC1580" s="1392" t="n"/>
      <c r="AD1580" s="1392" t="n"/>
      <c r="AE1580" s="1392" t="n"/>
      <c r="AF1580" s="1392" t="n"/>
      <c r="AG1580" s="1392" t="n"/>
      <c r="AH1580" s="1392" t="n"/>
      <c r="AI1580" s="1392" t="n"/>
      <c r="AJ1580" s="1392" t="n"/>
      <c r="AK1580" s="1392" t="n"/>
      <c r="AL1580" s="1392" t="n"/>
      <c r="AM1580" s="1392" t="n"/>
      <c r="AN1580" s="1392" t="n"/>
      <c r="AO1580" s="1392" t="n"/>
      <c r="AP1580" s="1392" t="n"/>
      <c r="AQ1580" s="1392" t="n"/>
      <c r="AR1580" s="1422" t="n"/>
      <c r="AS1580" s="1422" t="n"/>
      <c r="AT1580" s="1392" t="n"/>
      <c r="AU1580" s="1392" t="n"/>
      <c r="AV1580" s="1392" t="n"/>
      <c r="AW1580" s="1392" t="n"/>
      <c r="AX1580" s="1392" t="n"/>
      <c r="AY1580" s="1392" t="n"/>
      <c r="AZ1580" s="1392" t="n"/>
      <c r="BA1580" s="1422" t="n"/>
      <c r="BB1580" s="1422" t="n"/>
      <c r="BC1580" s="1392" t="n"/>
      <c r="BD1580" s="1392" t="n"/>
      <c r="BE1580" s="1392" t="n"/>
      <c r="BF1580" s="1392" t="n"/>
      <c r="BG1580" s="1392" t="n"/>
      <c r="BH1580" s="1392" t="n"/>
      <c r="BI1580" s="1392" t="n"/>
      <c r="BJ1580" s="1392" t="n"/>
      <c r="BK1580" s="1392" t="n"/>
      <c r="BL1580" s="1392" t="n"/>
      <c r="BM1580" s="1392" t="n"/>
      <c r="BN1580" s="1392" t="n"/>
      <c r="BO1580" s="1392" t="n"/>
      <c r="BP1580" s="1392" t="n"/>
      <c r="BQ1580" s="1392" t="n"/>
      <c r="BR1580" s="1392" t="n"/>
      <c r="BS1580" s="1392" t="n"/>
      <c r="BT1580" s="1392" t="n"/>
      <c r="BU1580" s="1392" t="n"/>
      <c r="BV1580" s="1392" t="n"/>
      <c r="BW1580" s="1392" t="n"/>
      <c r="BX1580" s="1392" t="n"/>
      <c r="BY1580" s="1392" t="n"/>
      <c r="BZ1580" s="1392" t="n"/>
      <c r="CA1580" s="1392" t="n"/>
      <c r="CB1580" s="1392" t="n"/>
      <c r="CC1580" s="1392" t="n"/>
      <c r="CD1580" s="1392" t="n"/>
      <c r="CE1580" s="1392" t="n"/>
      <c r="CF1580" s="1392" t="n"/>
      <c r="CG1580" s="1392" t="n"/>
      <c r="CH1580" s="1392" t="n"/>
      <c r="CI1580" s="1392" t="n"/>
      <c r="CJ1580" s="1392" t="n"/>
      <c r="CK1580" s="1392" t="n"/>
      <c r="CL1580" s="1392" t="n"/>
    </row>
    <row r="1581">
      <c r="A1581" s="5" t="inlineStr">
        <is>
          <t>.</t>
        </is>
      </c>
      <c r="B1581" s="5" t="inlineStr">
        <is>
          <t>.</t>
        </is>
      </c>
      <c r="C1581" s="1378">
        <f>IF(raw[[#This Row],[city]]="","-",IF(raw[[#This Row],[city]]="TODAY","-",C1580+1))</f>
        <v/>
      </c>
      <c r="D1581" s="1393" t="inlineStr">
        <is>
          <t>SSA</t>
        </is>
      </c>
      <c r="E1581" s="1394" t="n">
        <v>44534</v>
      </c>
      <c r="F1581" s="1394" t="n">
        <v>44552</v>
      </c>
      <c r="G1581" s="1393" t="n">
        <v>1</v>
      </c>
      <c r="H1581" s="1393" t="inlineStr">
        <is>
          <t>Marie-Victorin</t>
        </is>
      </c>
      <c r="I1581" s="1393" t="inlineStr">
        <is>
          <t>Ondina</t>
        </is>
      </c>
      <c r="J1581" s="1393" t="inlineStr">
        <is>
          <t>-</t>
        </is>
      </c>
      <c r="K1581" s="1395">
        <f>IF(raw[[#This Row],[city]]&lt;&gt;"",_xlfn.XLOOKUP($D1581,ccc[city],ccc[prov],"-"),"-")</f>
        <v/>
      </c>
      <c r="L1581" s="1395">
        <f>IF(raw[[#This Row],[city]]&lt;&gt;"",_xlfn.XLOOKUP($D1581,ccc[city],ccc[ctry],"-"),"-")</f>
        <v/>
      </c>
      <c r="M1581" s="1395">
        <f>IF(raw[[#This Row],[city]]&lt;&gt;"",_xlfn.XLOOKUP($D1581,ccc[city],ccc[cont],"-"),"-")</f>
        <v/>
      </c>
      <c r="N1581" s="1396">
        <f>IF(raw[[#This Row],[city]]="","-",IF(raw[[#This Row],[cont]]="B",raw[[#This Row],[cont]],"W"))</f>
        <v/>
      </c>
      <c r="O1581" s="1397">
        <f>IF(raw[[#This Row],[out]]=0,0,IF(raw[[#This Row],[out]]=raw[[#This Row],[in]],0.01,raw[[#This Row],[out]]-raw[[#This Row],[in]]))</f>
        <v/>
      </c>
      <c r="P1581" s="1397">
        <f>IF(raw[[#This Row],[in]]=0,0,MONTH(raw[[#This Row],[in]]))</f>
        <v/>
      </c>
      <c r="Q1581" s="1397">
        <f>IF(raw[[#This Row],[in]]=0,0,YEAR(raw[[#This Row],[in]]))</f>
        <v/>
      </c>
      <c r="R1581" s="1397">
        <f>INT(raw[[#This Row],[yr]]/10)*10</f>
        <v/>
      </c>
      <c r="S1581" s="1395">
        <f>IF(raw[[#This Row],[city]]="","-",IF(raw[[#This Row],[city]]&lt;&gt;_xlfn.XLOOKUP(raw[[#This Row],[home]],homes[home],homes[city],"-"),1,0))</f>
        <v/>
      </c>
      <c r="T1581" s="1398" t="inlineStr">
        <is>
          <t>.</t>
        </is>
      </c>
      <c r="U1581" s="1399">
        <f>IF(raw[[#This Row],[wb]]="w",raw[[#This Row],[stay]]+U1580,U1580)</f>
        <v/>
      </c>
      <c r="V1581" s="1400">
        <f>IF(raw[[#This Row],[out]]=0,V1580,(raw[[#This Row],[out]]-E$5))</f>
        <v/>
      </c>
      <c r="W1581" s="1401">
        <f>U1581/V1581</f>
        <v/>
      </c>
      <c r="X1581" s="1392" t="n"/>
      <c r="Y1581" s="1392" t="n"/>
      <c r="Z1581" s="1392" t="n"/>
      <c r="AA1581" s="1392" t="n"/>
      <c r="AB1581" s="1392" t="n"/>
      <c r="AC1581" s="1392" t="n"/>
      <c r="AD1581" s="1392" t="n"/>
      <c r="AE1581" s="1392" t="n"/>
      <c r="AF1581" s="1392" t="n"/>
      <c r="AG1581" s="1392" t="n"/>
      <c r="AH1581" s="1392" t="n"/>
      <c r="AI1581" s="1392" t="n"/>
      <c r="AJ1581" s="1392" t="n"/>
      <c r="AK1581" s="1392" t="n"/>
      <c r="AL1581" s="1392" t="n"/>
      <c r="AM1581" s="1392" t="n"/>
      <c r="AN1581" s="1392" t="n"/>
      <c r="AO1581" s="1392" t="n"/>
      <c r="AP1581" s="1392" t="n"/>
      <c r="AQ1581" s="1392" t="n"/>
      <c r="AR1581" s="1422" t="n"/>
      <c r="AS1581" s="1422" t="n"/>
      <c r="AT1581" s="1392" t="n"/>
      <c r="AU1581" s="1392" t="n"/>
      <c r="AV1581" s="1392" t="n"/>
      <c r="AW1581" s="1392" t="n"/>
      <c r="AX1581" s="1392" t="n"/>
      <c r="AY1581" s="1392" t="n"/>
      <c r="AZ1581" s="1392" t="n"/>
      <c r="BA1581" s="1422" t="n"/>
      <c r="BB1581" s="1422" t="n"/>
      <c r="BC1581" s="1392" t="n"/>
      <c r="BD1581" s="1392" t="n"/>
      <c r="BE1581" s="1392" t="n"/>
      <c r="BF1581" s="1392" t="n"/>
      <c r="BG1581" s="1392" t="n"/>
      <c r="BH1581" s="1392" t="n"/>
      <c r="BI1581" s="1392" t="n"/>
      <c r="BJ1581" s="1392" t="n"/>
      <c r="BK1581" s="1392" t="n"/>
      <c r="BL1581" s="1392" t="n"/>
      <c r="BM1581" s="1392" t="n"/>
      <c r="BN1581" s="1392" t="n"/>
      <c r="BO1581" s="1392" t="n"/>
      <c r="BP1581" s="1392" t="n"/>
      <c r="BQ1581" s="1392" t="n"/>
      <c r="BR1581" s="1392" t="n"/>
      <c r="BS1581" s="1392" t="n"/>
      <c r="BT1581" s="1392" t="n"/>
      <c r="BU1581" s="1392" t="n"/>
      <c r="BV1581" s="1392" t="n"/>
      <c r="BW1581" s="1392" t="n"/>
      <c r="BX1581" s="1392" t="n"/>
      <c r="BY1581" s="1392" t="n"/>
      <c r="BZ1581" s="1392" t="n"/>
      <c r="CA1581" s="1392" t="n"/>
      <c r="CB1581" s="1392" t="n"/>
      <c r="CC1581" s="1392" t="n"/>
      <c r="CD1581" s="1392" t="n"/>
      <c r="CE1581" s="1392" t="n"/>
      <c r="CF1581" s="1392" t="n"/>
      <c r="CG1581" s="1392" t="n"/>
      <c r="CH1581" s="1392" t="n"/>
      <c r="CI1581" s="1392" t="n"/>
      <c r="CJ1581" s="1392" t="n"/>
      <c r="CK1581" s="1392" t="n"/>
      <c r="CL1581" s="1392" t="n"/>
    </row>
    <row r="1582">
      <c r="A1582" s="5" t="inlineStr">
        <is>
          <t>.</t>
        </is>
      </c>
      <c r="B1582" s="5" t="inlineStr">
        <is>
          <t>.</t>
        </is>
      </c>
      <c r="C1582" s="1378">
        <f>IF(raw[[#This Row],[city]]="","-",IF(raw[[#This Row],[city]]="TODAY","-",C1581+1))</f>
        <v/>
      </c>
      <c r="D1582" s="1393" t="inlineStr">
        <is>
          <t>SP</t>
        </is>
      </c>
      <c r="E1582" s="1394" t="n">
        <v>44552</v>
      </c>
      <c r="F1582" s="1394" t="n">
        <v>44552</v>
      </c>
      <c r="G1582" s="1393" t="n">
        <v>1</v>
      </c>
      <c r="H1582" s="1393" t="inlineStr">
        <is>
          <t>Marie-Victorin</t>
        </is>
      </c>
      <c r="I1582" s="1393" t="inlineStr">
        <is>
          <t>-</t>
        </is>
      </c>
      <c r="J1582" s="1393" t="inlineStr">
        <is>
          <t>-</t>
        </is>
      </c>
      <c r="K1582" s="1395">
        <f>IF(raw[[#This Row],[city]]&lt;&gt;"",_xlfn.XLOOKUP($D1582,ccc[city],ccc[prov],"-"),"-")</f>
        <v/>
      </c>
      <c r="L1582" s="1395">
        <f>IF(raw[[#This Row],[city]]&lt;&gt;"",_xlfn.XLOOKUP($D1582,ccc[city],ccc[ctry],"-"),"-")</f>
        <v/>
      </c>
      <c r="M1582" s="1395">
        <f>IF(raw[[#This Row],[city]]&lt;&gt;"",_xlfn.XLOOKUP($D1582,ccc[city],ccc[cont],"-"),"-")</f>
        <v/>
      </c>
      <c r="N1582" s="1396">
        <f>IF(raw[[#This Row],[city]]="","-",IF(raw[[#This Row],[cont]]="B",raw[[#This Row],[cont]],"W"))</f>
        <v/>
      </c>
      <c r="O1582" s="1397">
        <f>IF(raw[[#This Row],[out]]=0,0,IF(raw[[#This Row],[out]]=raw[[#This Row],[in]],0.01,raw[[#This Row],[out]]-raw[[#This Row],[in]]))</f>
        <v/>
      </c>
      <c r="P1582" s="1397">
        <f>IF(raw[[#This Row],[in]]=0,0,MONTH(raw[[#This Row],[in]]))</f>
        <v/>
      </c>
      <c r="Q1582" s="1397">
        <f>IF(raw[[#This Row],[in]]=0,0,YEAR(raw[[#This Row],[in]]))</f>
        <v/>
      </c>
      <c r="R1582" s="1397">
        <f>INT(raw[[#This Row],[yr]]/10)*10</f>
        <v/>
      </c>
      <c r="S1582" s="1395">
        <f>IF(raw[[#This Row],[city]]="","-",IF(raw[[#This Row],[city]]&lt;&gt;_xlfn.XLOOKUP(raw[[#This Row],[home]],homes[home],homes[city],"-"),1,0))</f>
        <v/>
      </c>
      <c r="T1582" s="1398" t="inlineStr">
        <is>
          <t>.</t>
        </is>
      </c>
      <c r="U1582" s="1399">
        <f>IF(raw[[#This Row],[wb]]="w",raw[[#This Row],[stay]]+U1581,U1581)</f>
        <v/>
      </c>
      <c r="V1582" s="1400">
        <f>IF(raw[[#This Row],[out]]=0,V1581,(raw[[#This Row],[out]]-E$5))</f>
        <v/>
      </c>
      <c r="W1582" s="1401">
        <f>U1582/V1582</f>
        <v/>
      </c>
      <c r="X1582" s="1392" t="n"/>
      <c r="Y1582" s="1392" t="n"/>
      <c r="Z1582" s="1392" t="n"/>
      <c r="AA1582" s="1392" t="n"/>
      <c r="AB1582" s="1392" t="n"/>
      <c r="AC1582" s="1392" t="n"/>
      <c r="AD1582" s="1392" t="n"/>
      <c r="AE1582" s="1392" t="n"/>
      <c r="AF1582" s="1392" t="n"/>
      <c r="AG1582" s="1392" t="n"/>
      <c r="AH1582" s="1392" t="n"/>
      <c r="AI1582" s="1392" t="n"/>
      <c r="AJ1582" s="1392" t="n"/>
      <c r="AK1582" s="1392" t="n"/>
      <c r="AL1582" s="1392" t="n"/>
      <c r="AM1582" s="1392" t="n"/>
      <c r="AN1582" s="1392" t="n"/>
      <c r="AO1582" s="1392" t="n"/>
      <c r="AP1582" s="1392" t="n"/>
      <c r="AQ1582" s="1392" t="n"/>
      <c r="AR1582" s="1422" t="n"/>
      <c r="AS1582" s="1422" t="n"/>
      <c r="AT1582" s="1392" t="n"/>
      <c r="AU1582" s="1392" t="n"/>
      <c r="AV1582" s="1392" t="n"/>
      <c r="AW1582" s="1392" t="n"/>
      <c r="AX1582" s="1392" t="n"/>
      <c r="AY1582" s="1392" t="n"/>
      <c r="AZ1582" s="1392" t="n"/>
      <c r="BA1582" s="1422" t="n"/>
      <c r="BB1582" s="1422" t="n"/>
      <c r="BC1582" s="1392" t="n"/>
      <c r="BD1582" s="1392" t="n"/>
      <c r="BE1582" s="1392" t="n"/>
      <c r="BF1582" s="1392" t="n"/>
      <c r="BG1582" s="1392" t="n"/>
      <c r="BH1582" s="1392" t="n"/>
      <c r="BI1582" s="1392" t="n"/>
      <c r="BJ1582" s="1392" t="n"/>
      <c r="BK1582" s="1392" t="n"/>
      <c r="BL1582" s="1392" t="n"/>
      <c r="BM1582" s="1392" t="n"/>
      <c r="BN1582" s="1392" t="n"/>
      <c r="BO1582" s="1392" t="n"/>
      <c r="BP1582" s="1392" t="n"/>
      <c r="BQ1582" s="1392" t="n"/>
      <c r="BR1582" s="1392" t="n"/>
      <c r="BS1582" s="1392" t="n"/>
      <c r="BT1582" s="1392" t="n"/>
      <c r="BU1582" s="1392" t="n"/>
      <c r="BV1582" s="1392" t="n"/>
      <c r="BW1582" s="1392" t="n"/>
      <c r="BX1582" s="1392" t="n"/>
      <c r="BY1582" s="1392" t="n"/>
      <c r="BZ1582" s="1392" t="n"/>
      <c r="CA1582" s="1392" t="n"/>
      <c r="CB1582" s="1392" t="n"/>
      <c r="CC1582" s="1392" t="n"/>
      <c r="CD1582" s="1392" t="n"/>
      <c r="CE1582" s="1392" t="n"/>
      <c r="CF1582" s="1392" t="n"/>
      <c r="CG1582" s="1392" t="n"/>
      <c r="CH1582" s="1392" t="n"/>
      <c r="CI1582" s="1392" t="n"/>
      <c r="CJ1582" s="1392" t="n"/>
      <c r="CK1582" s="1392" t="n"/>
      <c r="CL1582" s="1392" t="n"/>
    </row>
    <row r="1583">
      <c r="A1583" s="5" t="inlineStr">
        <is>
          <t>.</t>
        </is>
      </c>
      <c r="B1583" s="5" t="inlineStr">
        <is>
          <t>.</t>
        </is>
      </c>
      <c r="C1583" s="1378">
        <f>IF(raw[[#This Row],[city]]="","-",IF(raw[[#This Row],[city]]="TODAY","-",C1582+1))</f>
        <v/>
      </c>
      <c r="D1583" s="1393" t="inlineStr">
        <is>
          <t>AIR</t>
        </is>
      </c>
      <c r="E1583" s="1394" t="n">
        <v>44552</v>
      </c>
      <c r="F1583" s="1394" t="n">
        <v>44553</v>
      </c>
      <c r="G1583" s="1393" t="inlineStr">
        <is>
          <t>x</t>
        </is>
      </c>
      <c r="H1583" s="1393" t="inlineStr">
        <is>
          <t>Marie-Victorin</t>
        </is>
      </c>
      <c r="I1583" s="1393" t="inlineStr">
        <is>
          <t>-</t>
        </is>
      </c>
      <c r="J1583" s="1393" t="inlineStr">
        <is>
          <t>-</t>
        </is>
      </c>
      <c r="K1583" s="1395">
        <f>IF(raw[[#This Row],[city]]&lt;&gt;"",_xlfn.XLOOKUP($D1583,ccc[city],ccc[prov],"-"),"-")</f>
        <v/>
      </c>
      <c r="L1583" s="1395">
        <f>IF(raw[[#This Row],[city]]&lt;&gt;"",_xlfn.XLOOKUP($D1583,ccc[city],ccc[ctry],"-"),"-")</f>
        <v/>
      </c>
      <c r="M1583" s="1395">
        <f>IF(raw[[#This Row],[city]]&lt;&gt;"",_xlfn.XLOOKUP($D1583,ccc[city],ccc[cont],"-"),"-")</f>
        <v/>
      </c>
      <c r="N1583" s="1396">
        <f>IF(raw[[#This Row],[city]]="","-",IF(raw[[#This Row],[cont]]="B",raw[[#This Row],[cont]],"W"))</f>
        <v/>
      </c>
      <c r="O1583" s="1397">
        <f>IF(raw[[#This Row],[out]]=0,0,IF(raw[[#This Row],[out]]=raw[[#This Row],[in]],0.01,raw[[#This Row],[out]]-raw[[#This Row],[in]]))</f>
        <v/>
      </c>
      <c r="P1583" s="1397">
        <f>IF(raw[[#This Row],[in]]=0,0,MONTH(raw[[#This Row],[in]]))</f>
        <v/>
      </c>
      <c r="Q1583" s="1397">
        <f>IF(raw[[#This Row],[in]]=0,0,YEAR(raw[[#This Row],[in]]))</f>
        <v/>
      </c>
      <c r="R1583" s="1397">
        <f>INT(raw[[#This Row],[yr]]/10)*10</f>
        <v/>
      </c>
      <c r="S1583" s="1395">
        <f>IF(raw[[#This Row],[city]]="","-",IF(raw[[#This Row],[city]]&lt;&gt;_xlfn.XLOOKUP(raw[[#This Row],[home]],homes[home],homes[city],"-"),1,0))</f>
        <v/>
      </c>
      <c r="T1583" s="1398" t="inlineStr">
        <is>
          <t>.</t>
        </is>
      </c>
      <c r="U1583" s="1399">
        <f>IF(raw[[#This Row],[wb]]="w",raw[[#This Row],[stay]]+U1582,U1582)</f>
        <v/>
      </c>
      <c r="V1583" s="1400">
        <f>IF(raw[[#This Row],[out]]=0,V1582,(raw[[#This Row],[out]]-E$5))</f>
        <v/>
      </c>
      <c r="W1583" s="1401">
        <f>U1583/V1583</f>
        <v/>
      </c>
      <c r="X1583" s="1392" t="n"/>
      <c r="Y1583" s="1392" t="n"/>
      <c r="Z1583" s="1392" t="n"/>
      <c r="AA1583" s="1392" t="n"/>
      <c r="AB1583" s="1392" t="n"/>
      <c r="AC1583" s="1392" t="n"/>
      <c r="AD1583" s="1392" t="n"/>
      <c r="AE1583" s="1392" t="n"/>
      <c r="AF1583" s="1392" t="n"/>
      <c r="AG1583" s="1392" t="n"/>
      <c r="AH1583" s="1392" t="n"/>
      <c r="AI1583" s="1392" t="n"/>
      <c r="AJ1583" s="1392" t="n"/>
      <c r="AK1583" s="1392" t="n"/>
      <c r="AL1583" s="1392" t="n"/>
      <c r="AM1583" s="1392" t="n"/>
      <c r="AN1583" s="1392" t="n"/>
      <c r="AO1583" s="1392" t="n"/>
      <c r="AP1583" s="1392" t="n"/>
      <c r="AQ1583" s="1392" t="n"/>
      <c r="AR1583" s="1422" t="n"/>
      <c r="AS1583" s="1422" t="n"/>
      <c r="AT1583" s="1392" t="n"/>
      <c r="AU1583" s="1392" t="n"/>
      <c r="AV1583" s="1392" t="n"/>
      <c r="AW1583" s="1392" t="n"/>
      <c r="AX1583" s="1392" t="n"/>
      <c r="AY1583" s="1392" t="n"/>
      <c r="AZ1583" s="1392" t="n"/>
      <c r="BA1583" s="1422" t="n"/>
      <c r="BB1583" s="1422" t="n"/>
      <c r="BC1583" s="1392" t="n"/>
      <c r="BD1583" s="1392" t="n"/>
      <c r="BE1583" s="1392" t="n"/>
      <c r="BF1583" s="1392" t="n"/>
      <c r="BG1583" s="1392" t="n"/>
      <c r="BH1583" s="1392" t="n"/>
      <c r="BI1583" s="1392" t="n"/>
      <c r="BJ1583" s="1392" t="n"/>
      <c r="BK1583" s="1392" t="n"/>
      <c r="BL1583" s="1392" t="n"/>
      <c r="BM1583" s="1392" t="n"/>
      <c r="BN1583" s="1392" t="n"/>
      <c r="BO1583" s="1392" t="n"/>
      <c r="BP1583" s="1392" t="n"/>
      <c r="BQ1583" s="1392" t="n"/>
      <c r="BR1583" s="1392" t="n"/>
      <c r="BS1583" s="1392" t="n"/>
      <c r="BT1583" s="1392" t="n"/>
      <c r="BU1583" s="1392" t="n"/>
      <c r="BV1583" s="1392" t="n"/>
      <c r="BW1583" s="1392" t="n"/>
      <c r="BX1583" s="1392" t="n"/>
      <c r="BY1583" s="1392" t="n"/>
      <c r="BZ1583" s="1392" t="n"/>
      <c r="CA1583" s="1392" t="n"/>
      <c r="CB1583" s="1392" t="n"/>
      <c r="CC1583" s="1392" t="n"/>
      <c r="CD1583" s="1392" t="n"/>
      <c r="CE1583" s="1392" t="n"/>
      <c r="CF1583" s="1392" t="n"/>
      <c r="CG1583" s="1392" t="n"/>
      <c r="CH1583" s="1392" t="n"/>
      <c r="CI1583" s="1392" t="n"/>
      <c r="CJ1583" s="1392" t="n"/>
      <c r="CK1583" s="1392" t="n"/>
      <c r="CL1583" s="1392" t="n"/>
    </row>
    <row r="1584">
      <c r="A1584" s="5" t="inlineStr">
        <is>
          <t>.</t>
        </is>
      </c>
      <c r="B1584" s="5" t="inlineStr">
        <is>
          <t>.</t>
        </is>
      </c>
      <c r="C1584" s="1378">
        <f>IF(raw[[#This Row],[city]]="","-",IF(raw[[#This Row],[city]]="TODAY","-",C1583+1))</f>
        <v/>
      </c>
      <c r="D1584" s="1393" t="inlineStr">
        <is>
          <t>Toronto</t>
        </is>
      </c>
      <c r="E1584" s="1394" t="n">
        <v>44553</v>
      </c>
      <c r="F1584" s="1394" t="n">
        <v>44553</v>
      </c>
      <c r="G1584" s="1393" t="n">
        <v>0.01</v>
      </c>
      <c r="H1584" s="1393" t="inlineStr">
        <is>
          <t>Marie-Victorin</t>
        </is>
      </c>
      <c r="I1584" s="1393" t="inlineStr">
        <is>
          <t>-</t>
        </is>
      </c>
      <c r="J1584" s="1393" t="inlineStr">
        <is>
          <t>-</t>
        </is>
      </c>
      <c r="K1584" s="1395">
        <f>IF(raw[[#This Row],[city]]&lt;&gt;"",_xlfn.XLOOKUP($D1584,ccc[city],ccc[prov],"-"),"-")</f>
        <v/>
      </c>
      <c r="L1584" s="1395">
        <f>IF(raw[[#This Row],[city]]&lt;&gt;"",_xlfn.XLOOKUP($D1584,ccc[city],ccc[ctry],"-"),"-")</f>
        <v/>
      </c>
      <c r="M1584" s="1395">
        <f>IF(raw[[#This Row],[city]]&lt;&gt;"",_xlfn.XLOOKUP($D1584,ccc[city],ccc[cont],"-"),"-")</f>
        <v/>
      </c>
      <c r="N1584" s="1396">
        <f>IF(raw[[#This Row],[city]]="","-",IF(raw[[#This Row],[cont]]="B",raw[[#This Row],[cont]],"W"))</f>
        <v/>
      </c>
      <c r="O1584" s="1397">
        <f>IF(raw[[#This Row],[out]]=0,0,IF(raw[[#This Row],[out]]=raw[[#This Row],[in]],0.01,raw[[#This Row],[out]]-raw[[#This Row],[in]]))</f>
        <v/>
      </c>
      <c r="P1584" s="1397">
        <f>IF(raw[[#This Row],[in]]=0,0,MONTH(raw[[#This Row],[in]]))</f>
        <v/>
      </c>
      <c r="Q1584" s="1397">
        <f>IF(raw[[#This Row],[in]]=0,0,YEAR(raw[[#This Row],[in]]))</f>
        <v/>
      </c>
      <c r="R1584" s="1397">
        <f>INT(raw[[#This Row],[yr]]/10)*10</f>
        <v/>
      </c>
      <c r="S1584" s="1395">
        <f>IF(raw[[#This Row],[city]]="","-",IF(raw[[#This Row],[city]]&lt;&gt;_xlfn.XLOOKUP(raw[[#This Row],[home]],homes[home],homes[city],"-"),1,0))</f>
        <v/>
      </c>
      <c r="T1584" s="1398" t="inlineStr">
        <is>
          <t>.</t>
        </is>
      </c>
      <c r="U1584" s="1399">
        <f>IF(raw[[#This Row],[wb]]="w",raw[[#This Row],[stay]]+U1583,U1583)</f>
        <v/>
      </c>
      <c r="V1584" s="1400">
        <f>IF(raw[[#This Row],[out]]=0,V1583,(raw[[#This Row],[out]]-E$5))</f>
        <v/>
      </c>
      <c r="W1584" s="1401">
        <f>U1584/V1584</f>
        <v/>
      </c>
      <c r="X1584" s="1392" t="n"/>
      <c r="Y1584" s="1392" t="n"/>
      <c r="Z1584" s="1392" t="n"/>
      <c r="AA1584" s="1392" t="n"/>
      <c r="AB1584" s="1392" t="n"/>
      <c r="AC1584" s="1392" t="n"/>
      <c r="AD1584" s="1392" t="n"/>
      <c r="AE1584" s="1392" t="n"/>
      <c r="AF1584" s="1392" t="n"/>
      <c r="AG1584" s="1392" t="n"/>
      <c r="AH1584" s="1392" t="n"/>
      <c r="AI1584" s="1392" t="n"/>
      <c r="AJ1584" s="1392" t="n"/>
      <c r="AK1584" s="1392" t="n"/>
      <c r="AL1584" s="1392" t="n"/>
      <c r="AM1584" s="1392" t="n"/>
      <c r="AN1584" s="1392" t="n"/>
      <c r="AO1584" s="1392" t="n"/>
      <c r="AP1584" s="1392" t="n"/>
      <c r="AQ1584" s="1392" t="n"/>
      <c r="AR1584" s="1422" t="n"/>
      <c r="AS1584" s="1422" t="n"/>
      <c r="AT1584" s="1392" t="n"/>
      <c r="AU1584" s="1392" t="n"/>
      <c r="AV1584" s="1392" t="n"/>
      <c r="AW1584" s="1392" t="n"/>
      <c r="AX1584" s="1392" t="n"/>
      <c r="AY1584" s="1392" t="n"/>
      <c r="AZ1584" s="1392" t="n"/>
      <c r="BA1584" s="1422" t="n"/>
      <c r="BB1584" s="1422" t="n"/>
      <c r="BC1584" s="1392" t="n"/>
      <c r="BD1584" s="1392" t="n"/>
      <c r="BE1584" s="1392" t="n"/>
      <c r="BF1584" s="1392" t="n"/>
      <c r="BG1584" s="1392" t="n"/>
      <c r="BH1584" s="1392" t="n"/>
      <c r="BI1584" s="1392" t="n"/>
      <c r="BJ1584" s="1392" t="n"/>
      <c r="BK1584" s="1392" t="n"/>
      <c r="BL1584" s="1392" t="n"/>
      <c r="BM1584" s="1392" t="n"/>
      <c r="BN1584" s="1392" t="n"/>
      <c r="BO1584" s="1392" t="n"/>
      <c r="BP1584" s="1392" t="n"/>
      <c r="BQ1584" s="1392" t="n"/>
      <c r="BR1584" s="1392" t="n"/>
      <c r="BS1584" s="1392" t="n"/>
      <c r="BT1584" s="1392" t="n"/>
      <c r="BU1584" s="1392" t="n"/>
      <c r="BV1584" s="1392" t="n"/>
      <c r="BW1584" s="1392" t="n"/>
      <c r="BX1584" s="1392" t="n"/>
      <c r="BY1584" s="1392" t="n"/>
      <c r="BZ1584" s="1392" t="n"/>
      <c r="CA1584" s="1392" t="n"/>
      <c r="CB1584" s="1392" t="n"/>
      <c r="CC1584" s="1392" t="n"/>
      <c r="CD1584" s="1392" t="n"/>
      <c r="CE1584" s="1392" t="n"/>
      <c r="CF1584" s="1392" t="n"/>
      <c r="CG1584" s="1392" t="n"/>
      <c r="CH1584" s="1392" t="n"/>
      <c r="CI1584" s="1392" t="n"/>
      <c r="CJ1584" s="1392" t="n"/>
      <c r="CK1584" s="1392" t="n"/>
      <c r="CL1584" s="1392" t="n"/>
    </row>
    <row r="1585">
      <c r="A1585" s="5" t="inlineStr">
        <is>
          <t>.</t>
        </is>
      </c>
      <c r="B1585" s="5" t="inlineStr">
        <is>
          <t>.</t>
        </is>
      </c>
      <c r="C1585" s="1378">
        <f>IF(raw[[#This Row],[city]]="","-",IF(raw[[#This Row],[city]]="TODAY","-",C1584+1))</f>
        <v/>
      </c>
      <c r="D1585" s="1393" t="inlineStr">
        <is>
          <t>Montreal</t>
        </is>
      </c>
      <c r="E1585" s="1394" t="n">
        <v>44553</v>
      </c>
      <c r="F1585" s="1394" t="n">
        <v>44562</v>
      </c>
      <c r="G1585" s="1393" t="inlineStr">
        <is>
          <t>-</t>
        </is>
      </c>
      <c r="H1585" s="1393" t="inlineStr">
        <is>
          <t>Marie-Victorin</t>
        </is>
      </c>
      <c r="I1585" s="1393" t="inlineStr">
        <is>
          <t>Gaspé</t>
        </is>
      </c>
      <c r="J1585" s="1393" t="inlineStr">
        <is>
          <t>-</t>
        </is>
      </c>
      <c r="K1585" s="1395">
        <f>IF(raw[[#This Row],[city]]&lt;&gt;"",_xlfn.XLOOKUP($D1585,ccc[city],ccc[prov],"-"),"-")</f>
        <v/>
      </c>
      <c r="L1585" s="1395">
        <f>IF(raw[[#This Row],[city]]&lt;&gt;"",_xlfn.XLOOKUP($D1585,ccc[city],ccc[ctry],"-"),"-")</f>
        <v/>
      </c>
      <c r="M1585" s="1395">
        <f>IF(raw[[#This Row],[city]]&lt;&gt;"",_xlfn.XLOOKUP($D1585,ccc[city],ccc[cont],"-"),"-")</f>
        <v/>
      </c>
      <c r="N1585" s="1396">
        <f>IF(raw[[#This Row],[city]]="","-",IF(raw[[#This Row],[cont]]="B",raw[[#This Row],[cont]],"W"))</f>
        <v/>
      </c>
      <c r="O1585" s="1397">
        <f>IF(raw[[#This Row],[out]]=0,0,IF(raw[[#This Row],[out]]=raw[[#This Row],[in]],0.01,raw[[#This Row],[out]]-raw[[#This Row],[in]]))</f>
        <v/>
      </c>
      <c r="P1585" s="1397">
        <f>IF(raw[[#This Row],[in]]=0,0,MONTH(raw[[#This Row],[in]]))</f>
        <v/>
      </c>
      <c r="Q1585" s="1397">
        <f>IF(raw[[#This Row],[in]]=0,0,YEAR(raw[[#This Row],[in]]))</f>
        <v/>
      </c>
      <c r="R1585" s="1397">
        <f>INT(raw[[#This Row],[yr]]/10)*10</f>
        <v/>
      </c>
      <c r="S1585" s="1395">
        <f>IF(raw[[#This Row],[city]]="","-",IF(raw[[#This Row],[city]]&lt;&gt;_xlfn.XLOOKUP(raw[[#This Row],[home]],homes[home],homes[city],"-"),1,0))</f>
        <v/>
      </c>
      <c r="T1585" s="1398" t="inlineStr">
        <is>
          <t>.</t>
        </is>
      </c>
      <c r="U1585" s="1399">
        <f>IF(raw[[#This Row],[wb]]="w",raw[[#This Row],[stay]]+U1584,U1584)</f>
        <v/>
      </c>
      <c r="V1585" s="1400">
        <f>IF(raw[[#This Row],[out]]=0,V1584,(raw[[#This Row],[out]]-E$5))</f>
        <v/>
      </c>
      <c r="W1585" s="1401">
        <f>U1585/V1585</f>
        <v/>
      </c>
      <c r="X1585" s="1392" t="n"/>
      <c r="Y1585" s="1392" t="n"/>
      <c r="Z1585" s="1392" t="n"/>
      <c r="AA1585" s="1392" t="n"/>
      <c r="AB1585" s="1392" t="n"/>
      <c r="AC1585" s="1392" t="n"/>
      <c r="AD1585" s="1392" t="n"/>
      <c r="AE1585" s="1392" t="n"/>
      <c r="AF1585" s="1392" t="n"/>
      <c r="AG1585" s="1392" t="n"/>
      <c r="AH1585" s="1392" t="n"/>
      <c r="AI1585" s="1392" t="n"/>
      <c r="AJ1585" s="1392" t="n"/>
      <c r="AK1585" s="1392" t="n"/>
      <c r="AL1585" s="1392" t="n"/>
      <c r="AM1585" s="1392" t="n"/>
      <c r="AN1585" s="1392" t="n"/>
      <c r="AO1585" s="1392" t="n"/>
      <c r="AP1585" s="1392" t="n"/>
      <c r="AQ1585" s="1392" t="n"/>
      <c r="AR1585" s="1422" t="n"/>
      <c r="AS1585" s="1422" t="n"/>
      <c r="AT1585" s="1392" t="n"/>
      <c r="AU1585" s="1392" t="n"/>
      <c r="AV1585" s="1392" t="n"/>
      <c r="AW1585" s="1392" t="n"/>
      <c r="AX1585" s="1392" t="n"/>
      <c r="AY1585" s="1392" t="n"/>
      <c r="AZ1585" s="1392" t="n"/>
      <c r="BA1585" s="1422" t="n"/>
      <c r="BB1585" s="1422" t="n"/>
      <c r="BC1585" s="1392" t="n"/>
      <c r="BD1585" s="1392" t="n"/>
      <c r="BE1585" s="1392" t="n"/>
      <c r="BF1585" s="1392" t="n"/>
      <c r="BG1585" s="1392" t="n"/>
      <c r="BH1585" s="1392" t="n"/>
      <c r="BI1585" s="1392" t="n"/>
      <c r="BJ1585" s="1392" t="n"/>
      <c r="BK1585" s="1392" t="n"/>
      <c r="BL1585" s="1392" t="n"/>
      <c r="BM1585" s="1392" t="n"/>
      <c r="BN1585" s="1392" t="n"/>
      <c r="BO1585" s="1392" t="n"/>
      <c r="BP1585" s="1392" t="n"/>
      <c r="BQ1585" s="1392" t="n"/>
      <c r="BR1585" s="1392" t="n"/>
      <c r="BS1585" s="1392" t="n"/>
      <c r="BT1585" s="1392" t="n"/>
      <c r="BU1585" s="1392" t="n"/>
      <c r="BV1585" s="1392" t="n"/>
      <c r="BW1585" s="1392" t="n"/>
      <c r="BX1585" s="1392" t="n"/>
      <c r="BY1585" s="1392" t="n"/>
      <c r="BZ1585" s="1392" t="n"/>
      <c r="CA1585" s="1392" t="n"/>
      <c r="CB1585" s="1392" t="n"/>
      <c r="CC1585" s="1392" t="n"/>
      <c r="CD1585" s="1392" t="n"/>
      <c r="CE1585" s="1392" t="n"/>
      <c r="CF1585" s="1392" t="n"/>
      <c r="CG1585" s="1392" t="n"/>
      <c r="CH1585" s="1392" t="n"/>
      <c r="CI1585" s="1392" t="n"/>
      <c r="CJ1585" s="1392" t="n"/>
      <c r="CK1585" s="1392" t="n"/>
      <c r="CL1585" s="1392" t="n"/>
    </row>
    <row r="1586">
      <c r="A1586" s="5" t="inlineStr">
        <is>
          <t>.</t>
        </is>
      </c>
      <c r="B1586" s="5" t="inlineStr">
        <is>
          <t>.</t>
        </is>
      </c>
      <c r="C1586" s="1378">
        <f>IF(raw[[#This Row],[city]]="","-",IF(raw[[#This Row],[city]]="TODAY","-",C1585+1))</f>
        <v/>
      </c>
      <c r="D1586" s="1393" t="inlineStr">
        <is>
          <t>Montreal</t>
        </is>
      </c>
      <c r="E1586" s="1394" t="n">
        <v>44562</v>
      </c>
      <c r="F1586" s="1394" t="n">
        <v>44593</v>
      </c>
      <c r="G1586" s="1393" t="inlineStr">
        <is>
          <t>-</t>
        </is>
      </c>
      <c r="H1586" s="1393" t="inlineStr">
        <is>
          <t>Marie-Victorin</t>
        </is>
      </c>
      <c r="I1586" s="1393" t="inlineStr">
        <is>
          <t>-</t>
        </is>
      </c>
      <c r="J1586" s="1393" t="inlineStr">
        <is>
          <t>REV</t>
        </is>
      </c>
      <c r="K1586" s="1395">
        <f>IF(raw[[#This Row],[city]]&lt;&gt;"",_xlfn.XLOOKUP($D1586,ccc[city],ccc[prov],"-"),"-")</f>
        <v/>
      </c>
      <c r="L1586" s="1395">
        <f>IF(raw[[#This Row],[city]]&lt;&gt;"",_xlfn.XLOOKUP($D1586,ccc[city],ccc[ctry],"-"),"-")</f>
        <v/>
      </c>
      <c r="M1586" s="1395">
        <f>IF(raw[[#This Row],[city]]&lt;&gt;"",_xlfn.XLOOKUP($D1586,ccc[city],ccc[cont],"-"),"-")</f>
        <v/>
      </c>
      <c r="N1586" s="1396">
        <f>IF(raw[[#This Row],[city]]="","-",IF(raw[[#This Row],[cont]]="B",raw[[#This Row],[cont]],"W"))</f>
        <v/>
      </c>
      <c r="O1586" s="1397">
        <f>IF(raw[[#This Row],[out]]=0,0,IF(raw[[#This Row],[out]]=raw[[#This Row],[in]],0.01,raw[[#This Row],[out]]-raw[[#This Row],[in]]))</f>
        <v/>
      </c>
      <c r="P1586" s="1397">
        <f>IF(raw[[#This Row],[in]]=0,0,MONTH(raw[[#This Row],[in]]))</f>
        <v/>
      </c>
      <c r="Q1586" s="1397">
        <f>IF(raw[[#This Row],[in]]=0,0,YEAR(raw[[#This Row],[in]]))</f>
        <v/>
      </c>
      <c r="R1586" s="1397">
        <f>INT(raw[[#This Row],[yr]]/10)*10</f>
        <v/>
      </c>
      <c r="S1586" s="1395">
        <f>IF(raw[[#This Row],[city]]="","-",IF(raw[[#This Row],[city]]&lt;&gt;_xlfn.XLOOKUP(raw[[#This Row],[home]],homes[home],homes[city],"-"),1,0))</f>
        <v/>
      </c>
      <c r="T1586" s="1398" t="inlineStr">
        <is>
          <t>.</t>
        </is>
      </c>
      <c r="U1586" s="1399">
        <f>IF(raw[[#This Row],[wb]]="w",raw[[#This Row],[stay]]+U1585,U1585)</f>
        <v/>
      </c>
      <c r="V1586" s="1400">
        <f>IF(raw[[#This Row],[out]]=0,V1585,(raw[[#This Row],[out]]-E$5))</f>
        <v/>
      </c>
      <c r="W1586" s="1401">
        <f>U1586/V1586</f>
        <v/>
      </c>
      <c r="X1586" s="1392" t="n"/>
      <c r="Y1586" s="1392" t="n"/>
      <c r="Z1586" s="1392" t="n"/>
      <c r="AA1586" s="1392" t="n"/>
      <c r="AB1586" s="1392" t="n"/>
      <c r="AC1586" s="1392" t="n"/>
      <c r="AD1586" s="1392" t="n"/>
      <c r="AE1586" s="1392" t="n"/>
      <c r="AF1586" s="1392" t="n"/>
      <c r="AG1586" s="1392" t="n"/>
      <c r="AH1586" s="1392" t="n"/>
      <c r="AI1586" s="1392" t="n"/>
      <c r="AJ1586" s="1392" t="n"/>
      <c r="AK1586" s="1392" t="n"/>
      <c r="AL1586" s="1392" t="n"/>
      <c r="AM1586" s="1392" t="n"/>
      <c r="AN1586" s="1392" t="n"/>
      <c r="AO1586" s="1392" t="n"/>
      <c r="AP1586" s="1392" t="n"/>
      <c r="AQ1586" s="1392" t="n"/>
      <c r="AR1586" s="1422" t="n"/>
      <c r="AS1586" s="1422" t="n"/>
      <c r="AT1586" s="1392" t="n"/>
      <c r="AU1586" s="1392" t="n"/>
      <c r="AV1586" s="1392" t="n"/>
      <c r="AW1586" s="1392" t="n"/>
      <c r="AX1586" s="1392" t="n"/>
      <c r="AY1586" s="1392" t="n"/>
      <c r="AZ1586" s="1392" t="n"/>
      <c r="BA1586" s="1422" t="n"/>
      <c r="BB1586" s="1422" t="n"/>
      <c r="BC1586" s="1392" t="n"/>
      <c r="BD1586" s="1392" t="n"/>
      <c r="BE1586" s="1392" t="n"/>
      <c r="BF1586" s="1392" t="n"/>
      <c r="BG1586" s="1392" t="n"/>
      <c r="BH1586" s="1392" t="n"/>
      <c r="BI1586" s="1392" t="n"/>
      <c r="BJ1586" s="1392" t="n"/>
      <c r="BK1586" s="1392" t="n"/>
      <c r="BL1586" s="1392" t="n"/>
      <c r="BM1586" s="1392" t="n"/>
      <c r="BN1586" s="1392" t="n"/>
      <c r="BO1586" s="1392" t="n"/>
      <c r="BP1586" s="1392" t="n"/>
      <c r="BQ1586" s="1392" t="n"/>
      <c r="BR1586" s="1392" t="n"/>
      <c r="BS1586" s="1392" t="n"/>
      <c r="BT1586" s="1392" t="n"/>
      <c r="BU1586" s="1392" t="n"/>
      <c r="BV1586" s="1392" t="n"/>
      <c r="BW1586" s="1392" t="n"/>
      <c r="BX1586" s="1392" t="n"/>
      <c r="BY1586" s="1392" t="n"/>
      <c r="BZ1586" s="1392" t="n"/>
      <c r="CA1586" s="1392" t="n"/>
      <c r="CB1586" s="1392" t="n"/>
      <c r="CC1586" s="1392" t="n"/>
      <c r="CD1586" s="1392" t="n"/>
      <c r="CE1586" s="1392" t="n"/>
      <c r="CF1586" s="1392" t="n"/>
      <c r="CG1586" s="1392" t="n"/>
      <c r="CH1586" s="1392" t="n"/>
      <c r="CI1586" s="1392" t="n"/>
      <c r="CJ1586" s="1392" t="n"/>
      <c r="CK1586" s="1392" t="n"/>
      <c r="CL1586" s="1392" t="n"/>
    </row>
    <row r="1587">
      <c r="A1587" s="5" t="inlineStr">
        <is>
          <t>.</t>
        </is>
      </c>
      <c r="B1587" s="5" t="inlineStr">
        <is>
          <t>.</t>
        </is>
      </c>
      <c r="C1587" s="1378">
        <f>IF(raw[[#This Row],[city]]="","-",IF(raw[[#This Row],[city]]="TODAY","-",C1586+1))</f>
        <v/>
      </c>
      <c r="D1587" s="1393" t="inlineStr">
        <is>
          <t>Montreal</t>
        </is>
      </c>
      <c r="E1587" s="1394" t="n">
        <v>44593</v>
      </c>
      <c r="F1587" s="1394" t="n">
        <v>44621</v>
      </c>
      <c r="G1587" s="1393" t="inlineStr">
        <is>
          <t>-</t>
        </is>
      </c>
      <c r="H1587" s="1393" t="inlineStr">
        <is>
          <t>Marie-Victorin</t>
        </is>
      </c>
      <c r="I1587" s="1393" t="inlineStr">
        <is>
          <t>-</t>
        </is>
      </c>
      <c r="J1587" s="1393" t="inlineStr">
        <is>
          <t>-</t>
        </is>
      </c>
      <c r="K1587" s="1395">
        <f>IF(raw[[#This Row],[city]]&lt;&gt;"",_xlfn.XLOOKUP($D1587,ccc[city],ccc[prov],"-"),"-")</f>
        <v/>
      </c>
      <c r="L1587" s="1395">
        <f>IF(raw[[#This Row],[city]]&lt;&gt;"",_xlfn.XLOOKUP($D1587,ccc[city],ccc[ctry],"-"),"-")</f>
        <v/>
      </c>
      <c r="M1587" s="1395">
        <f>IF(raw[[#This Row],[city]]&lt;&gt;"",_xlfn.XLOOKUP($D1587,ccc[city],ccc[cont],"-"),"-")</f>
        <v/>
      </c>
      <c r="N1587" s="1396">
        <f>IF(raw[[#This Row],[city]]="","-",IF(raw[[#This Row],[cont]]="B",raw[[#This Row],[cont]],"W"))</f>
        <v/>
      </c>
      <c r="O1587" s="1397">
        <f>IF(raw[[#This Row],[out]]=0,0,IF(raw[[#This Row],[out]]=raw[[#This Row],[in]],0.01,raw[[#This Row],[out]]-raw[[#This Row],[in]]))</f>
        <v/>
      </c>
      <c r="P1587" s="1397">
        <f>IF(raw[[#This Row],[in]]=0,0,MONTH(raw[[#This Row],[in]]))</f>
        <v/>
      </c>
      <c r="Q1587" s="1397">
        <f>IF(raw[[#This Row],[in]]=0,0,YEAR(raw[[#This Row],[in]]))</f>
        <v/>
      </c>
      <c r="R1587" s="1397">
        <f>INT(raw[[#This Row],[yr]]/10)*10</f>
        <v/>
      </c>
      <c r="S1587" s="1395">
        <f>IF(raw[[#This Row],[city]]="","-",IF(raw[[#This Row],[city]]&lt;&gt;_xlfn.XLOOKUP(raw[[#This Row],[home]],homes[home],homes[city],"-"),1,0))</f>
        <v/>
      </c>
      <c r="T1587" s="1398" t="inlineStr">
        <is>
          <t>.</t>
        </is>
      </c>
      <c r="U1587" s="1399">
        <f>IF(raw[[#This Row],[wb]]="w",raw[[#This Row],[stay]]+U1586,U1586)</f>
        <v/>
      </c>
      <c r="V1587" s="1400">
        <f>IF(raw[[#This Row],[out]]=0,V1586,(raw[[#This Row],[out]]-E$5))</f>
        <v/>
      </c>
      <c r="W1587" s="1401">
        <f>U1587/V1587</f>
        <v/>
      </c>
      <c r="X1587" s="1392" t="n"/>
      <c r="Y1587" s="1392" t="n"/>
      <c r="Z1587" s="1392" t="n"/>
      <c r="AA1587" s="1392" t="n"/>
      <c r="AB1587" s="1392" t="n"/>
      <c r="AC1587" s="1392" t="n"/>
      <c r="AD1587" s="1392" t="n"/>
      <c r="AE1587" s="1392" t="n"/>
      <c r="AF1587" s="1392" t="n"/>
      <c r="AG1587" s="1392" t="n"/>
      <c r="AH1587" s="1392" t="n"/>
      <c r="AI1587" s="1392" t="n"/>
      <c r="AJ1587" s="1392" t="n"/>
      <c r="AK1587" s="1392" t="n"/>
      <c r="AL1587" s="1392" t="n"/>
      <c r="AM1587" s="1392" t="n"/>
      <c r="AN1587" s="1392" t="n"/>
      <c r="AO1587" s="1392" t="n"/>
      <c r="AP1587" s="1392" t="n"/>
      <c r="AQ1587" s="1392" t="n"/>
      <c r="AR1587" s="1422" t="n"/>
      <c r="AS1587" s="1422" t="n"/>
      <c r="AT1587" s="1392" t="n"/>
      <c r="AU1587" s="1392" t="n"/>
      <c r="AV1587" s="1392" t="n"/>
      <c r="AW1587" s="1392" t="n"/>
      <c r="AX1587" s="1392" t="n"/>
      <c r="AY1587" s="1392" t="n"/>
      <c r="AZ1587" s="1392" t="n"/>
      <c r="BA1587" s="1422" t="n"/>
      <c r="BB1587" s="1422" t="n"/>
      <c r="BC1587" s="1392" t="n"/>
      <c r="BD1587" s="1392" t="n"/>
      <c r="BE1587" s="1392" t="n"/>
      <c r="BF1587" s="1392" t="n"/>
      <c r="BG1587" s="1392" t="n"/>
      <c r="BH1587" s="1392" t="n"/>
      <c r="BI1587" s="1392" t="n"/>
      <c r="BJ1587" s="1392" t="n"/>
      <c r="BK1587" s="1392" t="n"/>
      <c r="BL1587" s="1392" t="n"/>
      <c r="BM1587" s="1392" t="n"/>
      <c r="BN1587" s="1392" t="n"/>
      <c r="BO1587" s="1392" t="n"/>
      <c r="BP1587" s="1392" t="n"/>
      <c r="BQ1587" s="1392" t="n"/>
      <c r="BR1587" s="1392" t="n"/>
      <c r="BS1587" s="1392" t="n"/>
      <c r="BT1587" s="1392" t="n"/>
      <c r="BU1587" s="1392" t="n"/>
      <c r="BV1587" s="1392" t="n"/>
      <c r="BW1587" s="1392" t="n"/>
      <c r="BX1587" s="1392" t="n"/>
      <c r="BY1587" s="1392" t="n"/>
      <c r="BZ1587" s="1392" t="n"/>
      <c r="CA1587" s="1392" t="n"/>
      <c r="CB1587" s="1392" t="n"/>
      <c r="CC1587" s="1392" t="n"/>
      <c r="CD1587" s="1392" t="n"/>
      <c r="CE1587" s="1392" t="n"/>
      <c r="CF1587" s="1392" t="n"/>
      <c r="CG1587" s="1392" t="n"/>
      <c r="CH1587" s="1392" t="n"/>
      <c r="CI1587" s="1392" t="n"/>
      <c r="CJ1587" s="1392" t="n"/>
      <c r="CK1587" s="1392" t="n"/>
      <c r="CL1587" s="1392" t="n"/>
    </row>
    <row r="1588">
      <c r="A1588" s="5" t="inlineStr">
        <is>
          <t>.</t>
        </is>
      </c>
      <c r="B1588" s="5" t="inlineStr">
        <is>
          <t>.</t>
        </is>
      </c>
      <c r="C1588" s="1378">
        <f>IF(raw[[#This Row],[city]]="","-",IF(raw[[#This Row],[city]]="TODAY","-",C1587+1))</f>
        <v/>
      </c>
      <c r="D1588" s="1393" t="inlineStr">
        <is>
          <t>Montreal</t>
        </is>
      </c>
      <c r="E1588" s="1394" t="n">
        <v>44621</v>
      </c>
      <c r="F1588" s="1394" t="n">
        <v>44639</v>
      </c>
      <c r="G1588" s="1393" t="inlineStr">
        <is>
          <t>-</t>
        </is>
      </c>
      <c r="H1588" s="1393" t="inlineStr">
        <is>
          <t>Marie-Victorin</t>
        </is>
      </c>
      <c r="I1588" s="1393" t="inlineStr">
        <is>
          <t>-</t>
        </is>
      </c>
      <c r="J1588" s="1393" t="inlineStr">
        <is>
          <t>-</t>
        </is>
      </c>
      <c r="K1588" s="1395">
        <f>IF(raw[[#This Row],[city]]&lt;&gt;"",_xlfn.XLOOKUP($D1588,ccc[city],ccc[prov],"-"),"-")</f>
        <v/>
      </c>
      <c r="L1588" s="1395">
        <f>IF(raw[[#This Row],[city]]&lt;&gt;"",_xlfn.XLOOKUP($D1588,ccc[city],ccc[ctry],"-"),"-")</f>
        <v/>
      </c>
      <c r="M1588" s="1395">
        <f>IF(raw[[#This Row],[city]]&lt;&gt;"",_xlfn.XLOOKUP($D1588,ccc[city],ccc[cont],"-"),"-")</f>
        <v/>
      </c>
      <c r="N1588" s="1396">
        <f>IF(raw[[#This Row],[city]]="","-",IF(raw[[#This Row],[cont]]="B",raw[[#This Row],[cont]],"W"))</f>
        <v/>
      </c>
      <c r="O1588" s="1397">
        <f>IF(raw[[#This Row],[out]]=0,0,IF(raw[[#This Row],[out]]=raw[[#This Row],[in]],0.01,raw[[#This Row],[out]]-raw[[#This Row],[in]]))</f>
        <v/>
      </c>
      <c r="P1588" s="1397">
        <f>IF(raw[[#This Row],[in]]=0,0,MONTH(raw[[#This Row],[in]]))</f>
        <v/>
      </c>
      <c r="Q1588" s="1397">
        <f>IF(raw[[#This Row],[in]]=0,0,YEAR(raw[[#This Row],[in]]))</f>
        <v/>
      </c>
      <c r="R1588" s="1397">
        <f>INT(raw[[#This Row],[yr]]/10)*10</f>
        <v/>
      </c>
      <c r="S1588" s="1395">
        <f>IF(raw[[#This Row],[city]]="","-",IF(raw[[#This Row],[city]]&lt;&gt;_xlfn.XLOOKUP(raw[[#This Row],[home]],homes[home],homes[city],"-"),1,0))</f>
        <v/>
      </c>
      <c r="T1588" s="1398" t="inlineStr">
        <is>
          <t>.</t>
        </is>
      </c>
      <c r="U1588" s="1399">
        <f>IF(raw[[#This Row],[wb]]="w",raw[[#This Row],[stay]]+U1587,U1587)</f>
        <v/>
      </c>
      <c r="V1588" s="1400">
        <f>IF(raw[[#This Row],[out]]=0,V1587,(raw[[#This Row],[out]]-E$5))</f>
        <v/>
      </c>
      <c r="W1588" s="1401">
        <f>U1588/V1588</f>
        <v/>
      </c>
      <c r="X1588" s="1392" t="n"/>
      <c r="Y1588" s="1392" t="n"/>
      <c r="Z1588" s="1392" t="n"/>
      <c r="AA1588" s="1392" t="n"/>
      <c r="AB1588" s="1392" t="n"/>
      <c r="AC1588" s="1392" t="n"/>
      <c r="AD1588" s="1392" t="n"/>
      <c r="AE1588" s="1392" t="n"/>
      <c r="AF1588" s="1392" t="n"/>
      <c r="AG1588" s="1392" t="n"/>
      <c r="AH1588" s="1392" t="n"/>
      <c r="AI1588" s="1392" t="n"/>
      <c r="AJ1588" s="1392" t="n"/>
      <c r="AK1588" s="1392" t="n"/>
      <c r="AL1588" s="1392" t="n"/>
      <c r="AM1588" s="1392" t="n"/>
      <c r="AN1588" s="1392" t="n"/>
      <c r="AO1588" s="1392" t="n"/>
      <c r="AP1588" s="1392" t="n"/>
      <c r="AQ1588" s="1392" t="n"/>
      <c r="AR1588" s="1422" t="n"/>
      <c r="AS1588" s="1422" t="n"/>
      <c r="AT1588" s="1392" t="n"/>
      <c r="AU1588" s="1392" t="n"/>
      <c r="AV1588" s="1392" t="n"/>
      <c r="AW1588" s="1392" t="n"/>
      <c r="AX1588" s="1392" t="n"/>
      <c r="AY1588" s="1392" t="n"/>
      <c r="AZ1588" s="1392" t="n"/>
      <c r="BA1588" s="1422" t="n"/>
      <c r="BB1588" s="1422" t="n"/>
      <c r="BC1588" s="1392" t="n"/>
      <c r="BD1588" s="1392" t="n"/>
      <c r="BE1588" s="1392" t="n"/>
      <c r="BF1588" s="1392" t="n"/>
      <c r="BG1588" s="1392" t="n"/>
      <c r="BH1588" s="1392" t="n"/>
      <c r="BI1588" s="1392" t="n"/>
      <c r="BJ1588" s="1392" t="n"/>
      <c r="BK1588" s="1392" t="n"/>
      <c r="BL1588" s="1392" t="n"/>
      <c r="BM1588" s="1392" t="n"/>
      <c r="BN1588" s="1392" t="n"/>
      <c r="BO1588" s="1392" t="n"/>
      <c r="BP1588" s="1392" t="n"/>
      <c r="BQ1588" s="1392" t="n"/>
      <c r="BR1588" s="1392" t="n"/>
      <c r="BS1588" s="1392" t="n"/>
      <c r="BT1588" s="1392" t="n"/>
      <c r="BU1588" s="1392" t="n"/>
      <c r="BV1588" s="1392" t="n"/>
      <c r="BW1588" s="1392" t="n"/>
      <c r="BX1588" s="1392" t="n"/>
      <c r="BY1588" s="1392" t="n"/>
      <c r="BZ1588" s="1392" t="n"/>
      <c r="CA1588" s="1392" t="n"/>
      <c r="CB1588" s="1392" t="n"/>
      <c r="CC1588" s="1392" t="n"/>
      <c r="CD1588" s="1392" t="n"/>
      <c r="CE1588" s="1392" t="n"/>
      <c r="CF1588" s="1392" t="n"/>
      <c r="CG1588" s="1392" t="n"/>
      <c r="CH1588" s="1392" t="n"/>
      <c r="CI1588" s="1392" t="n"/>
      <c r="CJ1588" s="1392" t="n"/>
      <c r="CK1588" s="1392" t="n"/>
      <c r="CL1588" s="1392" t="n"/>
    </row>
    <row r="1589">
      <c r="A1589" s="5" t="inlineStr">
        <is>
          <t>.</t>
        </is>
      </c>
      <c r="B1589" s="5" t="inlineStr">
        <is>
          <t>.</t>
        </is>
      </c>
      <c r="C1589" s="1378">
        <f>IF(raw[[#This Row],[city]]="","-",IF(raw[[#This Row],[city]]="TODAY","-",C1588+1))</f>
        <v/>
      </c>
      <c r="D1589" s="1393" t="inlineStr">
        <is>
          <t>Chambly</t>
        </is>
      </c>
      <c r="E1589" s="1394" t="n">
        <v>44639</v>
      </c>
      <c r="F1589" s="1394" t="n">
        <v>44640</v>
      </c>
      <c r="G1589" s="1393" t="inlineStr">
        <is>
          <t>-</t>
        </is>
      </c>
      <c r="H1589" s="1393" t="inlineStr">
        <is>
          <t>Marie-Victorin</t>
        </is>
      </c>
      <c r="I1589" s="1393" t="inlineStr">
        <is>
          <t>Francele/Chambly</t>
        </is>
      </c>
      <c r="J1589" s="1393" t="inlineStr">
        <is>
          <t>-</t>
        </is>
      </c>
      <c r="K1589" s="1395">
        <f>IF(raw[[#This Row],[city]]&lt;&gt;"",_xlfn.XLOOKUP($D1589,ccc[city],ccc[prov],"-"),"-")</f>
        <v/>
      </c>
      <c r="L1589" s="1395">
        <f>IF(raw[[#This Row],[city]]&lt;&gt;"",_xlfn.XLOOKUP($D1589,ccc[city],ccc[ctry],"-"),"-")</f>
        <v/>
      </c>
      <c r="M1589" s="1395">
        <f>IF(raw[[#This Row],[city]]&lt;&gt;"",_xlfn.XLOOKUP($D1589,ccc[city],ccc[cont],"-"),"-")</f>
        <v/>
      </c>
      <c r="N1589" s="1396">
        <f>IF(raw[[#This Row],[city]]="","-",IF(raw[[#This Row],[cont]]="B",raw[[#This Row],[cont]],"W"))</f>
        <v/>
      </c>
      <c r="O1589" s="1397">
        <f>IF(raw[[#This Row],[out]]=0,0,IF(raw[[#This Row],[out]]=raw[[#This Row],[in]],0.01,raw[[#This Row],[out]]-raw[[#This Row],[in]]))</f>
        <v/>
      </c>
      <c r="P1589" s="1397">
        <f>IF(raw[[#This Row],[in]]=0,0,MONTH(raw[[#This Row],[in]]))</f>
        <v/>
      </c>
      <c r="Q1589" s="1397">
        <f>IF(raw[[#This Row],[in]]=0,0,YEAR(raw[[#This Row],[in]]))</f>
        <v/>
      </c>
      <c r="R1589" s="1397">
        <f>INT(raw[[#This Row],[yr]]/10)*10</f>
        <v/>
      </c>
      <c r="S1589" s="1395">
        <f>IF(raw[[#This Row],[city]]="","-",IF(raw[[#This Row],[city]]&lt;&gt;_xlfn.XLOOKUP(raw[[#This Row],[home]],homes[home],homes[city],"-"),1,0))</f>
        <v/>
      </c>
      <c r="T1589" s="1398" t="inlineStr">
        <is>
          <t>.</t>
        </is>
      </c>
      <c r="U1589" s="1399">
        <f>IF(raw[[#This Row],[wb]]="w",raw[[#This Row],[stay]]+U1588,U1588)</f>
        <v/>
      </c>
      <c r="V1589" s="1400">
        <f>IF(raw[[#This Row],[out]]=0,V1588,(raw[[#This Row],[out]]-E$5))</f>
        <v/>
      </c>
      <c r="W1589" s="1401">
        <f>U1589/V1589</f>
        <v/>
      </c>
      <c r="X1589" s="1392" t="n"/>
      <c r="Y1589" s="1392" t="n"/>
      <c r="Z1589" s="1392" t="n"/>
      <c r="AA1589" s="1392" t="n"/>
      <c r="AB1589" s="1392" t="n"/>
      <c r="AC1589" s="1392" t="n"/>
      <c r="AD1589" s="1392" t="n"/>
      <c r="AE1589" s="1392" t="n"/>
      <c r="AF1589" s="1392" t="n"/>
      <c r="AG1589" s="1392" t="n"/>
      <c r="AH1589" s="1392" t="n"/>
      <c r="AI1589" s="1392" t="n"/>
      <c r="AJ1589" s="1392" t="n"/>
      <c r="AK1589" s="1392" t="n"/>
      <c r="AL1589" s="1392" t="n"/>
      <c r="AM1589" s="1392" t="n"/>
      <c r="AN1589" s="1392" t="n"/>
      <c r="AO1589" s="1392" t="n"/>
      <c r="AP1589" s="1392" t="n"/>
      <c r="AQ1589" s="1392" t="n"/>
      <c r="AR1589" s="1422" t="n"/>
      <c r="AS1589" s="1422" t="n"/>
      <c r="AT1589" s="1392" t="n"/>
      <c r="AU1589" s="1392" t="n"/>
      <c r="AV1589" s="1392" t="n"/>
      <c r="AW1589" s="1392" t="n"/>
      <c r="AX1589" s="1392" t="n"/>
      <c r="AY1589" s="1392" t="n"/>
      <c r="AZ1589" s="1392" t="n"/>
      <c r="BA1589" s="1422" t="n"/>
      <c r="BB1589" s="1422" t="n"/>
      <c r="BC1589" s="1392" t="n"/>
      <c r="BD1589" s="1392" t="n"/>
      <c r="BE1589" s="1392" t="n"/>
      <c r="BF1589" s="1392" t="n"/>
      <c r="BG1589" s="1392" t="n"/>
      <c r="BH1589" s="1392" t="n"/>
      <c r="BI1589" s="1392" t="n"/>
      <c r="BJ1589" s="1392" t="n"/>
      <c r="BK1589" s="1392" t="n"/>
      <c r="BL1589" s="1392" t="n"/>
      <c r="BM1589" s="1392" t="n"/>
      <c r="BN1589" s="1392" t="n"/>
      <c r="BO1589" s="1392" t="n"/>
      <c r="BP1589" s="1392" t="n"/>
      <c r="BQ1589" s="1392" t="n"/>
      <c r="BR1589" s="1392" t="n"/>
      <c r="BS1589" s="1392" t="n"/>
      <c r="BT1589" s="1392" t="n"/>
      <c r="BU1589" s="1392" t="n"/>
      <c r="BV1589" s="1392" t="n"/>
      <c r="BW1589" s="1392" t="n"/>
      <c r="BX1589" s="1392" t="n"/>
      <c r="BY1589" s="1392" t="n"/>
      <c r="BZ1589" s="1392" t="n"/>
      <c r="CA1589" s="1392" t="n"/>
      <c r="CB1589" s="1392" t="n"/>
      <c r="CC1589" s="1392" t="n"/>
      <c r="CD1589" s="1392" t="n"/>
      <c r="CE1589" s="1392" t="n"/>
      <c r="CF1589" s="1392" t="n"/>
      <c r="CG1589" s="1392" t="n"/>
      <c r="CH1589" s="1392" t="n"/>
      <c r="CI1589" s="1392" t="n"/>
      <c r="CJ1589" s="1392" t="n"/>
      <c r="CK1589" s="1392" t="n"/>
      <c r="CL1589" s="1392" t="n"/>
    </row>
    <row r="1590">
      <c r="A1590" s="5" t="inlineStr">
        <is>
          <t>.</t>
        </is>
      </c>
      <c r="B1590" s="5" t="inlineStr">
        <is>
          <t>.</t>
        </is>
      </c>
      <c r="C1590" s="1378">
        <f>IF(raw[[#This Row],[city]]="","-",IF(raw[[#This Row],[city]]="TODAY","-",C1589+1))</f>
        <v/>
      </c>
      <c r="D1590" s="1393" t="inlineStr">
        <is>
          <t>Montreal</t>
        </is>
      </c>
      <c r="E1590" s="1394" t="n">
        <v>44640</v>
      </c>
      <c r="F1590" s="1394" t="n">
        <v>44652</v>
      </c>
      <c r="G1590" s="1393" t="inlineStr">
        <is>
          <t>-</t>
        </is>
      </c>
      <c r="H1590" s="1393" t="inlineStr">
        <is>
          <t>Marie-Victorin</t>
        </is>
      </c>
      <c r="I1590" s="1393" t="inlineStr">
        <is>
          <t>-</t>
        </is>
      </c>
      <c r="J1590" s="1393" t="inlineStr">
        <is>
          <t>-</t>
        </is>
      </c>
      <c r="K1590" s="1395">
        <f>IF(raw[[#This Row],[city]]&lt;&gt;"",_xlfn.XLOOKUP($D1590,ccc[city],ccc[prov],"-"),"-")</f>
        <v/>
      </c>
      <c r="L1590" s="1395">
        <f>IF(raw[[#This Row],[city]]&lt;&gt;"",_xlfn.XLOOKUP($D1590,ccc[city],ccc[ctry],"-"),"-")</f>
        <v/>
      </c>
      <c r="M1590" s="1395">
        <f>IF(raw[[#This Row],[city]]&lt;&gt;"",_xlfn.XLOOKUP($D1590,ccc[city],ccc[cont],"-"),"-")</f>
        <v/>
      </c>
      <c r="N1590" s="1396">
        <f>IF(raw[[#This Row],[city]]="","-",IF(raw[[#This Row],[cont]]="B",raw[[#This Row],[cont]],"W"))</f>
        <v/>
      </c>
      <c r="O1590" s="1397">
        <f>IF(raw[[#This Row],[out]]=0,0,IF(raw[[#This Row],[out]]=raw[[#This Row],[in]],0.01,raw[[#This Row],[out]]-raw[[#This Row],[in]]))</f>
        <v/>
      </c>
      <c r="P1590" s="1397">
        <f>IF(raw[[#This Row],[in]]=0,0,MONTH(raw[[#This Row],[in]]))</f>
        <v/>
      </c>
      <c r="Q1590" s="1397">
        <f>IF(raw[[#This Row],[in]]=0,0,YEAR(raw[[#This Row],[in]]))</f>
        <v/>
      </c>
      <c r="R1590" s="1397">
        <f>INT(raw[[#This Row],[yr]]/10)*10</f>
        <v/>
      </c>
      <c r="S1590" s="1395">
        <f>IF(raw[[#This Row],[city]]="","-",IF(raw[[#This Row],[city]]&lt;&gt;_xlfn.XLOOKUP(raw[[#This Row],[home]],homes[home],homes[city],"-"),1,0))</f>
        <v/>
      </c>
      <c r="T1590" s="1398" t="inlineStr">
        <is>
          <t>.</t>
        </is>
      </c>
      <c r="U1590" s="1399">
        <f>IF(raw[[#This Row],[wb]]="w",raw[[#This Row],[stay]]+U1589,U1589)</f>
        <v/>
      </c>
      <c r="V1590" s="1400">
        <f>IF(raw[[#This Row],[out]]=0,V1589,(raw[[#This Row],[out]]-E$5))</f>
        <v/>
      </c>
      <c r="W1590" s="1401">
        <f>U1590/V1590</f>
        <v/>
      </c>
      <c r="X1590" s="1392" t="n"/>
      <c r="Y1590" s="1392" t="n"/>
      <c r="Z1590" s="1392" t="n"/>
      <c r="AA1590" s="1392" t="n"/>
      <c r="AB1590" s="1392" t="n"/>
      <c r="AC1590" s="1392" t="n"/>
      <c r="AD1590" s="1392" t="n"/>
      <c r="AE1590" s="1392" t="n"/>
      <c r="AF1590" s="1392" t="n"/>
      <c r="AG1590" s="1392" t="n"/>
      <c r="AH1590" s="1392" t="n"/>
      <c r="AI1590" s="1392" t="n"/>
      <c r="AJ1590" s="1392" t="n"/>
      <c r="AK1590" s="1392" t="n"/>
      <c r="AL1590" s="1392" t="n"/>
      <c r="AM1590" s="1392" t="n"/>
      <c r="AN1590" s="1392" t="n"/>
      <c r="AO1590" s="1392" t="n"/>
      <c r="AP1590" s="1392" t="n"/>
      <c r="AQ1590" s="1392" t="n"/>
      <c r="AR1590" s="1422" t="n"/>
      <c r="AS1590" s="1422" t="n"/>
      <c r="AT1590" s="1392" t="n"/>
      <c r="AU1590" s="1392" t="n"/>
      <c r="AV1590" s="1392" t="n"/>
      <c r="AW1590" s="1392" t="n"/>
      <c r="AX1590" s="1392" t="n"/>
      <c r="AY1590" s="1392" t="n"/>
      <c r="AZ1590" s="1392" t="n"/>
      <c r="BA1590" s="1422" t="n"/>
      <c r="BB1590" s="1422" t="n"/>
      <c r="BC1590" s="1392" t="n"/>
      <c r="BD1590" s="1392" t="n"/>
      <c r="BE1590" s="1392" t="n"/>
      <c r="BF1590" s="1392" t="n"/>
      <c r="BG1590" s="1392" t="n"/>
      <c r="BH1590" s="1392" t="n"/>
      <c r="BI1590" s="1392" t="n"/>
      <c r="BJ1590" s="1392" t="n"/>
      <c r="BK1590" s="1392" t="n"/>
      <c r="BL1590" s="1392" t="n"/>
      <c r="BM1590" s="1392" t="n"/>
      <c r="BN1590" s="1392" t="n"/>
      <c r="BO1590" s="1392" t="n"/>
      <c r="BP1590" s="1392" t="n"/>
      <c r="BQ1590" s="1392" t="n"/>
      <c r="BR1590" s="1392" t="n"/>
      <c r="BS1590" s="1392" t="n"/>
      <c r="BT1590" s="1392" t="n"/>
      <c r="BU1590" s="1392" t="n"/>
      <c r="BV1590" s="1392" t="n"/>
      <c r="BW1590" s="1392" t="n"/>
      <c r="BX1590" s="1392" t="n"/>
      <c r="BY1590" s="1392" t="n"/>
      <c r="BZ1590" s="1392" t="n"/>
      <c r="CA1590" s="1392" t="n"/>
      <c r="CB1590" s="1392" t="n"/>
      <c r="CC1590" s="1392" t="n"/>
      <c r="CD1590" s="1392" t="n"/>
      <c r="CE1590" s="1392" t="n"/>
      <c r="CF1590" s="1392" t="n"/>
      <c r="CG1590" s="1392" t="n"/>
      <c r="CH1590" s="1392" t="n"/>
      <c r="CI1590" s="1392" t="n"/>
      <c r="CJ1590" s="1392" t="n"/>
      <c r="CK1590" s="1392" t="n"/>
      <c r="CL1590" s="1392" t="n"/>
    </row>
    <row r="1591">
      <c r="A1591" s="5" t="inlineStr">
        <is>
          <t>.</t>
        </is>
      </c>
      <c r="B1591" s="5" t="inlineStr">
        <is>
          <t>.</t>
        </is>
      </c>
      <c r="C1591" s="1378">
        <f>IF(raw[[#This Row],[city]]="","-",IF(raw[[#This Row],[city]]="TODAY","-",C1590+1))</f>
        <v/>
      </c>
      <c r="D1591" s="1393" t="inlineStr">
        <is>
          <t>Montreal</t>
        </is>
      </c>
      <c r="E1591" s="1394" t="n">
        <v>44652</v>
      </c>
      <c r="F1591" s="1394" t="n">
        <v>44682</v>
      </c>
      <c r="G1591" s="1393" t="inlineStr">
        <is>
          <t>-</t>
        </is>
      </c>
      <c r="H1591" s="1393" t="inlineStr">
        <is>
          <t>Marie-Victorin</t>
        </is>
      </c>
      <c r="I1591" s="1393" t="inlineStr">
        <is>
          <t>-</t>
        </is>
      </c>
      <c r="J1591" s="1393" t="inlineStr">
        <is>
          <t>-</t>
        </is>
      </c>
      <c r="K1591" s="1395">
        <f>IF(raw[[#This Row],[city]]&lt;&gt;"",_xlfn.XLOOKUP($D1591,ccc[city],ccc[prov],"-"),"-")</f>
        <v/>
      </c>
      <c r="L1591" s="1395">
        <f>IF(raw[[#This Row],[city]]&lt;&gt;"",_xlfn.XLOOKUP($D1591,ccc[city],ccc[ctry],"-"),"-")</f>
        <v/>
      </c>
      <c r="M1591" s="1395">
        <f>IF(raw[[#This Row],[city]]&lt;&gt;"",_xlfn.XLOOKUP($D1591,ccc[city],ccc[cont],"-"),"-")</f>
        <v/>
      </c>
      <c r="N1591" s="1396">
        <f>IF(raw[[#This Row],[city]]="","-",IF(raw[[#This Row],[cont]]="B",raw[[#This Row],[cont]],"W"))</f>
        <v/>
      </c>
      <c r="O1591" s="1397">
        <f>IF(raw[[#This Row],[out]]=0,0,IF(raw[[#This Row],[out]]=raw[[#This Row],[in]],0.01,raw[[#This Row],[out]]-raw[[#This Row],[in]]))</f>
        <v/>
      </c>
      <c r="P1591" s="1397">
        <f>IF(raw[[#This Row],[in]]=0,0,MONTH(raw[[#This Row],[in]]))</f>
        <v/>
      </c>
      <c r="Q1591" s="1397">
        <f>IF(raw[[#This Row],[in]]=0,0,YEAR(raw[[#This Row],[in]]))</f>
        <v/>
      </c>
      <c r="R1591" s="1397">
        <f>INT(raw[[#This Row],[yr]]/10)*10</f>
        <v/>
      </c>
      <c r="S1591" s="1395">
        <f>IF(raw[[#This Row],[city]]="","-",IF(raw[[#This Row],[city]]&lt;&gt;_xlfn.XLOOKUP(raw[[#This Row],[home]],homes[home],homes[city],"-"),1,0))</f>
        <v/>
      </c>
      <c r="T1591" s="1398" t="inlineStr">
        <is>
          <t>.</t>
        </is>
      </c>
      <c r="U1591" s="1399">
        <f>IF(raw[[#This Row],[wb]]="w",raw[[#This Row],[stay]]+U1590,U1590)</f>
        <v/>
      </c>
      <c r="V1591" s="1400">
        <f>IF(raw[[#This Row],[out]]=0,V1590,(raw[[#This Row],[out]]-E$5))</f>
        <v/>
      </c>
      <c r="W1591" s="1401">
        <f>U1591/V1591</f>
        <v/>
      </c>
      <c r="X1591" s="1392" t="n"/>
      <c r="Y1591" s="1392" t="n"/>
      <c r="Z1591" s="1392" t="n"/>
      <c r="AA1591" s="1392" t="n"/>
      <c r="AB1591" s="1392" t="n"/>
      <c r="AC1591" s="1392" t="n"/>
      <c r="AD1591" s="1392" t="n"/>
      <c r="AE1591" s="1392" t="n"/>
      <c r="AF1591" s="1392" t="n"/>
      <c r="AG1591" s="1392" t="n"/>
      <c r="AH1591" s="1392" t="n"/>
      <c r="AI1591" s="1392" t="n"/>
      <c r="AJ1591" s="1392" t="n"/>
      <c r="AK1591" s="1392" t="n"/>
      <c r="AL1591" s="1392" t="n"/>
      <c r="AM1591" s="1392" t="n"/>
      <c r="AN1591" s="1392" t="n"/>
      <c r="AO1591" s="1392" t="n"/>
      <c r="AP1591" s="1392" t="n"/>
      <c r="AQ1591" s="1392" t="n"/>
      <c r="AR1591" s="1422" t="n"/>
      <c r="AS1591" s="1422" t="n"/>
      <c r="AT1591" s="1392" t="n"/>
      <c r="AU1591" s="1392" t="n"/>
      <c r="AV1591" s="1392" t="n"/>
      <c r="AW1591" s="1392" t="n"/>
      <c r="AX1591" s="1392" t="n"/>
      <c r="AY1591" s="1392" t="n"/>
      <c r="AZ1591" s="1392" t="n"/>
      <c r="BA1591" s="1422" t="n"/>
      <c r="BB1591" s="1422" t="n"/>
      <c r="BC1591" s="1392" t="n"/>
      <c r="BD1591" s="1392" t="n"/>
      <c r="BE1591" s="1392" t="n"/>
      <c r="BF1591" s="1392" t="n"/>
      <c r="BG1591" s="1392" t="n"/>
      <c r="BH1591" s="1392" t="n"/>
      <c r="BI1591" s="1392" t="n"/>
      <c r="BJ1591" s="1392" t="n"/>
      <c r="BK1591" s="1392" t="n"/>
      <c r="BL1591" s="1392" t="n"/>
      <c r="BM1591" s="1392" t="n"/>
      <c r="BN1591" s="1392" t="n"/>
      <c r="BO1591" s="1392" t="n"/>
      <c r="BP1591" s="1392" t="n"/>
      <c r="BQ1591" s="1392" t="n"/>
      <c r="BR1591" s="1392" t="n"/>
      <c r="BS1591" s="1392" t="n"/>
      <c r="BT1591" s="1392" t="n"/>
      <c r="BU1591" s="1392" t="n"/>
      <c r="BV1591" s="1392" t="n"/>
      <c r="BW1591" s="1392" t="n"/>
      <c r="BX1591" s="1392" t="n"/>
      <c r="BY1591" s="1392" t="n"/>
      <c r="BZ1591" s="1392" t="n"/>
      <c r="CA1591" s="1392" t="n"/>
      <c r="CB1591" s="1392" t="n"/>
      <c r="CC1591" s="1392" t="n"/>
      <c r="CD1591" s="1392" t="n"/>
      <c r="CE1591" s="1392" t="n"/>
      <c r="CF1591" s="1392" t="n"/>
      <c r="CG1591" s="1392" t="n"/>
      <c r="CH1591" s="1392" t="n"/>
      <c r="CI1591" s="1392" t="n"/>
      <c r="CJ1591" s="1392" t="n"/>
      <c r="CK1591" s="1392" t="n"/>
      <c r="CL1591" s="1392" t="n"/>
    </row>
    <row r="1592">
      <c r="A1592" s="5" t="inlineStr">
        <is>
          <t>.</t>
        </is>
      </c>
      <c r="B1592" s="5" t="inlineStr">
        <is>
          <t>.</t>
        </is>
      </c>
      <c r="C1592" s="1378">
        <f>IF(raw[[#This Row],[city]]="","-",IF(raw[[#This Row],[city]]="TODAY","-",C1591+1))</f>
        <v/>
      </c>
      <c r="D1592" s="1393" t="inlineStr">
        <is>
          <t>Montreal</t>
        </is>
      </c>
      <c r="E1592" s="1394" t="n">
        <v>44682</v>
      </c>
      <c r="F1592" s="1394" t="n">
        <v>44694</v>
      </c>
      <c r="G1592" s="1393" t="inlineStr">
        <is>
          <t>-</t>
        </is>
      </c>
      <c r="H1592" s="1393" t="inlineStr">
        <is>
          <t>Marie-Victorin</t>
        </is>
      </c>
      <c r="I1592" s="1393" t="inlineStr">
        <is>
          <t>-</t>
        </is>
      </c>
      <c r="J1592" s="1393" t="inlineStr">
        <is>
          <t>-</t>
        </is>
      </c>
      <c r="K1592" s="1395">
        <f>IF(raw[[#This Row],[city]]&lt;&gt;"",_xlfn.XLOOKUP($D1592,ccc[city],ccc[prov],"-"),"-")</f>
        <v/>
      </c>
      <c r="L1592" s="1395">
        <f>IF(raw[[#This Row],[city]]&lt;&gt;"",_xlfn.XLOOKUP($D1592,ccc[city],ccc[ctry],"-"),"-")</f>
        <v/>
      </c>
      <c r="M1592" s="1395">
        <f>IF(raw[[#This Row],[city]]&lt;&gt;"",_xlfn.XLOOKUP($D1592,ccc[city],ccc[cont],"-"),"-")</f>
        <v/>
      </c>
      <c r="N1592" s="1396">
        <f>IF(raw[[#This Row],[city]]="","-",IF(raw[[#This Row],[cont]]="B",raw[[#This Row],[cont]],"W"))</f>
        <v/>
      </c>
      <c r="O1592" s="1397">
        <f>IF(raw[[#This Row],[out]]=0,0,IF(raw[[#This Row],[out]]=raw[[#This Row],[in]],0.01,raw[[#This Row],[out]]-raw[[#This Row],[in]]))</f>
        <v/>
      </c>
      <c r="P1592" s="1397">
        <f>IF(raw[[#This Row],[in]]=0,0,MONTH(raw[[#This Row],[in]]))</f>
        <v/>
      </c>
      <c r="Q1592" s="1397">
        <f>IF(raw[[#This Row],[in]]=0,0,YEAR(raw[[#This Row],[in]]))</f>
        <v/>
      </c>
      <c r="R1592" s="1397">
        <f>INT(raw[[#This Row],[yr]]/10)*10</f>
        <v/>
      </c>
      <c r="S1592" s="1395">
        <f>IF(raw[[#This Row],[city]]="","-",IF(raw[[#This Row],[city]]&lt;&gt;_xlfn.XLOOKUP(raw[[#This Row],[home]],homes[home],homes[city],"-"),1,0))</f>
        <v/>
      </c>
      <c r="T1592" s="1398" t="inlineStr">
        <is>
          <t>.</t>
        </is>
      </c>
      <c r="U1592" s="1399">
        <f>IF(raw[[#This Row],[wb]]="w",raw[[#This Row],[stay]]+U1591,U1591)</f>
        <v/>
      </c>
      <c r="V1592" s="1400">
        <f>IF(raw[[#This Row],[out]]=0,V1591,(raw[[#This Row],[out]]-E$5))</f>
        <v/>
      </c>
      <c r="W1592" s="1401">
        <f>U1592/V1592</f>
        <v/>
      </c>
      <c r="X1592" s="1392" t="n"/>
      <c r="Y1592" s="1392" t="n"/>
      <c r="Z1592" s="1392" t="n"/>
      <c r="AA1592" s="1392" t="n"/>
      <c r="AB1592" s="1392" t="n"/>
      <c r="AC1592" s="1392" t="n"/>
      <c r="AD1592" s="1392" t="n"/>
      <c r="AE1592" s="1392" t="n"/>
      <c r="AF1592" s="1392" t="n"/>
      <c r="AG1592" s="1392" t="n"/>
      <c r="AH1592" s="1392" t="n"/>
      <c r="AI1592" s="1392" t="n"/>
      <c r="AJ1592" s="1392" t="n"/>
      <c r="AK1592" s="1392" t="n"/>
      <c r="AL1592" s="1392" t="n"/>
      <c r="AM1592" s="1392" t="n"/>
      <c r="AN1592" s="1392" t="n"/>
      <c r="AO1592" s="1392" t="n"/>
      <c r="AP1592" s="1392" t="n"/>
      <c r="AQ1592" s="1392" t="n"/>
      <c r="AR1592" s="1422" t="n"/>
      <c r="AS1592" s="1422" t="n"/>
      <c r="AT1592" s="1392" t="n"/>
      <c r="AU1592" s="1392" t="n"/>
      <c r="AV1592" s="1392" t="n"/>
      <c r="AW1592" s="1392" t="n"/>
      <c r="AX1592" s="1392" t="n"/>
      <c r="AY1592" s="1392" t="n"/>
      <c r="AZ1592" s="1392" t="n"/>
      <c r="BA1592" s="1422" t="n"/>
      <c r="BB1592" s="1422" t="n"/>
      <c r="BC1592" s="1392" t="n"/>
      <c r="BD1592" s="1392" t="n"/>
      <c r="BE1592" s="1392" t="n"/>
      <c r="BF1592" s="1392" t="n"/>
      <c r="BG1592" s="1392" t="n"/>
      <c r="BH1592" s="1392" t="n"/>
      <c r="BI1592" s="1392" t="n"/>
      <c r="BJ1592" s="1392" t="n"/>
      <c r="BK1592" s="1392" t="n"/>
      <c r="BL1592" s="1392" t="n"/>
      <c r="BM1592" s="1392" t="n"/>
      <c r="BN1592" s="1392" t="n"/>
      <c r="BO1592" s="1392" t="n"/>
      <c r="BP1592" s="1392" t="n"/>
      <c r="BQ1592" s="1392" t="n"/>
      <c r="BR1592" s="1392" t="n"/>
      <c r="BS1592" s="1392" t="n"/>
      <c r="BT1592" s="1392" t="n"/>
      <c r="BU1592" s="1392" t="n"/>
      <c r="BV1592" s="1392" t="n"/>
      <c r="BW1592" s="1392" t="n"/>
      <c r="BX1592" s="1392" t="n"/>
      <c r="BY1592" s="1392" t="n"/>
      <c r="BZ1592" s="1392" t="n"/>
      <c r="CA1592" s="1392" t="n"/>
      <c r="CB1592" s="1392" t="n"/>
      <c r="CC1592" s="1392" t="n"/>
      <c r="CD1592" s="1392" t="n"/>
      <c r="CE1592" s="1392" t="n"/>
      <c r="CF1592" s="1392" t="n"/>
      <c r="CG1592" s="1392" t="n"/>
      <c r="CH1592" s="1392" t="n"/>
      <c r="CI1592" s="1392" t="n"/>
      <c r="CJ1592" s="1392" t="n"/>
      <c r="CK1592" s="1392" t="n"/>
      <c r="CL1592" s="1392" t="n"/>
    </row>
    <row r="1593">
      <c r="A1593" s="5" t="inlineStr">
        <is>
          <t>.</t>
        </is>
      </c>
      <c r="B1593" s="5" t="inlineStr">
        <is>
          <t>.</t>
        </is>
      </c>
      <c r="C1593" s="1378">
        <f>IF(raw[[#This Row],[city]]="","-",IF(raw[[#This Row],[city]]="TODAY","-",C1592+1))</f>
        <v/>
      </c>
      <c r="D1593" s="1393" t="inlineStr">
        <is>
          <t>Carignan</t>
        </is>
      </c>
      <c r="E1593" s="1394" t="n">
        <v>44694</v>
      </c>
      <c r="F1593" s="1394" t="n">
        <v>44695</v>
      </c>
      <c r="G1593" s="1393" t="inlineStr">
        <is>
          <t>-</t>
        </is>
      </c>
      <c r="H1593" s="1393" t="inlineStr">
        <is>
          <t>Marie-Victorin</t>
        </is>
      </c>
      <c r="I1593" s="1393" t="inlineStr">
        <is>
          <t>Marcelo/Carignan</t>
        </is>
      </c>
      <c r="J1593" s="1393" t="inlineStr">
        <is>
          <t>-</t>
        </is>
      </c>
      <c r="K1593" s="1395">
        <f>IF(raw[[#This Row],[city]]&lt;&gt;"",_xlfn.XLOOKUP($D1593,ccc[city],ccc[prov],"-"),"-")</f>
        <v/>
      </c>
      <c r="L1593" s="1395">
        <f>IF(raw[[#This Row],[city]]&lt;&gt;"",_xlfn.XLOOKUP($D1593,ccc[city],ccc[ctry],"-"),"-")</f>
        <v/>
      </c>
      <c r="M1593" s="1395">
        <f>IF(raw[[#This Row],[city]]&lt;&gt;"",_xlfn.XLOOKUP($D1593,ccc[city],ccc[cont],"-"),"-")</f>
        <v/>
      </c>
      <c r="N1593" s="1396">
        <f>IF(raw[[#This Row],[city]]="","-",IF(raw[[#This Row],[cont]]="B",raw[[#This Row],[cont]],"W"))</f>
        <v/>
      </c>
      <c r="O1593" s="1397">
        <f>IF(raw[[#This Row],[out]]=0,0,IF(raw[[#This Row],[out]]=raw[[#This Row],[in]],0.01,raw[[#This Row],[out]]-raw[[#This Row],[in]]))</f>
        <v/>
      </c>
      <c r="P1593" s="1397">
        <f>IF(raw[[#This Row],[in]]=0,0,MONTH(raw[[#This Row],[in]]))</f>
        <v/>
      </c>
      <c r="Q1593" s="1397">
        <f>IF(raw[[#This Row],[in]]=0,0,YEAR(raw[[#This Row],[in]]))</f>
        <v/>
      </c>
      <c r="R1593" s="1397">
        <f>INT(raw[[#This Row],[yr]]/10)*10</f>
        <v/>
      </c>
      <c r="S1593" s="1395">
        <f>IF(raw[[#This Row],[city]]="","-",IF(raw[[#This Row],[city]]&lt;&gt;_xlfn.XLOOKUP(raw[[#This Row],[home]],homes[home],homes[city],"-"),1,0))</f>
        <v/>
      </c>
      <c r="T1593" s="1398" t="inlineStr">
        <is>
          <t>.</t>
        </is>
      </c>
      <c r="U1593" s="1399">
        <f>IF(raw[[#This Row],[wb]]="w",raw[[#This Row],[stay]]+U1592,U1592)</f>
        <v/>
      </c>
      <c r="V1593" s="1400">
        <f>IF(raw[[#This Row],[out]]=0,V1592,(raw[[#This Row],[out]]-E$5))</f>
        <v/>
      </c>
      <c r="W1593" s="1401">
        <f>U1593/V1593</f>
        <v/>
      </c>
      <c r="X1593" s="1392" t="n"/>
      <c r="Y1593" s="1392" t="n"/>
      <c r="Z1593" s="1392" t="n"/>
      <c r="AA1593" s="1392" t="n"/>
      <c r="AB1593" s="1392" t="n"/>
      <c r="AC1593" s="1392" t="n"/>
      <c r="AD1593" s="1392" t="n"/>
      <c r="AE1593" s="1392" t="n"/>
      <c r="AF1593" s="1392" t="n"/>
      <c r="AG1593" s="1392" t="n"/>
      <c r="AH1593" s="1392" t="n"/>
      <c r="AI1593" s="1392" t="n"/>
      <c r="AJ1593" s="1392" t="n"/>
      <c r="AK1593" s="1392" t="n"/>
      <c r="AL1593" s="1392" t="n"/>
      <c r="AM1593" s="1392" t="n"/>
      <c r="AN1593" s="1392" t="n"/>
      <c r="AO1593" s="1392" t="n"/>
      <c r="AP1593" s="1392" t="n"/>
      <c r="AQ1593" s="1392" t="n"/>
      <c r="AR1593" s="1422" t="n"/>
      <c r="AS1593" s="1422" t="n"/>
      <c r="AT1593" s="1392" t="n"/>
      <c r="AU1593" s="1392" t="n"/>
      <c r="AV1593" s="1392" t="n"/>
      <c r="AW1593" s="1392" t="n"/>
      <c r="AX1593" s="1392" t="n"/>
      <c r="AY1593" s="1392" t="n"/>
      <c r="AZ1593" s="1392" t="n"/>
      <c r="BA1593" s="1422" t="n"/>
      <c r="BB1593" s="1422" t="n"/>
      <c r="BC1593" s="1392" t="n"/>
      <c r="BD1593" s="1392" t="n"/>
      <c r="BE1593" s="1392" t="n"/>
      <c r="BF1593" s="1392" t="n"/>
      <c r="BG1593" s="1392" t="n"/>
      <c r="BH1593" s="1392" t="n"/>
      <c r="BI1593" s="1392" t="n"/>
      <c r="BJ1593" s="1392" t="n"/>
      <c r="BK1593" s="1392" t="n"/>
      <c r="BL1593" s="1392" t="n"/>
      <c r="BM1593" s="1392" t="n"/>
      <c r="BN1593" s="1392" t="n"/>
      <c r="BO1593" s="1392" t="n"/>
      <c r="BP1593" s="1392" t="n"/>
      <c r="BQ1593" s="1392" t="n"/>
      <c r="BR1593" s="1392" t="n"/>
      <c r="BS1593" s="1392" t="n"/>
      <c r="BT1593" s="1392" t="n"/>
      <c r="BU1593" s="1392" t="n"/>
      <c r="BV1593" s="1392" t="n"/>
      <c r="BW1593" s="1392" t="n"/>
      <c r="BX1593" s="1392" t="n"/>
      <c r="BY1593" s="1392" t="n"/>
      <c r="BZ1593" s="1392" t="n"/>
      <c r="CA1593" s="1392" t="n"/>
      <c r="CB1593" s="1392" t="n"/>
      <c r="CC1593" s="1392" t="n"/>
      <c r="CD1593" s="1392" t="n"/>
      <c r="CE1593" s="1392" t="n"/>
      <c r="CF1593" s="1392" t="n"/>
      <c r="CG1593" s="1392" t="n"/>
      <c r="CH1593" s="1392" t="n"/>
      <c r="CI1593" s="1392" t="n"/>
      <c r="CJ1593" s="1392" t="n"/>
      <c r="CK1593" s="1392" t="n"/>
      <c r="CL1593" s="1392" t="n"/>
    </row>
    <row r="1594">
      <c r="A1594" s="5" t="inlineStr">
        <is>
          <t>.</t>
        </is>
      </c>
      <c r="B1594" s="5" t="inlineStr">
        <is>
          <t>.</t>
        </is>
      </c>
      <c r="C1594" s="1378">
        <f>IF(raw[[#This Row],[city]]="","-",IF(raw[[#This Row],[city]]="TODAY","-",C1593+1))</f>
        <v/>
      </c>
      <c r="D1594" s="1393" t="inlineStr">
        <is>
          <t>Chambly</t>
        </is>
      </c>
      <c r="E1594" s="1394" t="n">
        <v>44695</v>
      </c>
      <c r="F1594" s="1394" t="n">
        <v>44695</v>
      </c>
      <c r="G1594" s="1393" t="inlineStr">
        <is>
          <t>-</t>
        </is>
      </c>
      <c r="H1594" s="1393" t="inlineStr">
        <is>
          <t>Marie-Victorin</t>
        </is>
      </c>
      <c r="I1594" s="1393" t="inlineStr">
        <is>
          <t>-</t>
        </is>
      </c>
      <c r="J1594" s="1393" t="inlineStr">
        <is>
          <t>-</t>
        </is>
      </c>
      <c r="K1594" s="1395">
        <f>IF(raw[[#This Row],[city]]&lt;&gt;"",_xlfn.XLOOKUP($D1594,ccc[city],ccc[prov],"-"),"-")</f>
        <v/>
      </c>
      <c r="L1594" s="1395">
        <f>IF(raw[[#This Row],[city]]&lt;&gt;"",_xlfn.XLOOKUP($D1594,ccc[city],ccc[ctry],"-"),"-")</f>
        <v/>
      </c>
      <c r="M1594" s="1395">
        <f>IF(raw[[#This Row],[city]]&lt;&gt;"",_xlfn.XLOOKUP($D1594,ccc[city],ccc[cont],"-"),"-")</f>
        <v/>
      </c>
      <c r="N1594" s="1396">
        <f>IF(raw[[#This Row],[city]]="","-",IF(raw[[#This Row],[cont]]="B",raw[[#This Row],[cont]],"W"))</f>
        <v/>
      </c>
      <c r="O1594" s="1397">
        <f>IF(raw[[#This Row],[out]]=0,0,IF(raw[[#This Row],[out]]=raw[[#This Row],[in]],0.01,raw[[#This Row],[out]]-raw[[#This Row],[in]]))</f>
        <v/>
      </c>
      <c r="P1594" s="1397">
        <f>IF(raw[[#This Row],[in]]=0,0,MONTH(raw[[#This Row],[in]]))</f>
        <v/>
      </c>
      <c r="Q1594" s="1397">
        <f>IF(raw[[#This Row],[in]]=0,0,YEAR(raw[[#This Row],[in]]))</f>
        <v/>
      </c>
      <c r="R1594" s="1397">
        <f>INT(raw[[#This Row],[yr]]/10)*10</f>
        <v/>
      </c>
      <c r="S1594" s="1395">
        <f>IF(raw[[#This Row],[city]]="","-",IF(raw[[#This Row],[city]]&lt;&gt;_xlfn.XLOOKUP(raw[[#This Row],[home]],homes[home],homes[city],"-"),1,0))</f>
        <v/>
      </c>
      <c r="T1594" s="1398" t="inlineStr">
        <is>
          <t>.</t>
        </is>
      </c>
      <c r="U1594" s="1399">
        <f>IF(raw[[#This Row],[wb]]="w",raw[[#This Row],[stay]]+U1593,U1593)</f>
        <v/>
      </c>
      <c r="V1594" s="1400">
        <f>IF(raw[[#This Row],[out]]=0,V1593,(raw[[#This Row],[out]]-E$5))</f>
        <v/>
      </c>
      <c r="W1594" s="1401">
        <f>U1594/V1594</f>
        <v/>
      </c>
      <c r="X1594" s="1392" t="n"/>
      <c r="Y1594" s="1392" t="n"/>
      <c r="Z1594" s="1392" t="n"/>
      <c r="AA1594" s="1392" t="n"/>
      <c r="AB1594" s="1392" t="n"/>
      <c r="AC1594" s="1392" t="n"/>
      <c r="AD1594" s="1392" t="n"/>
      <c r="AE1594" s="1392" t="n"/>
      <c r="AF1594" s="1392" t="n"/>
      <c r="AG1594" s="1392" t="n"/>
      <c r="AH1594" s="1392" t="n"/>
      <c r="AI1594" s="1392" t="n"/>
      <c r="AJ1594" s="1392" t="n"/>
      <c r="AK1594" s="1392" t="n"/>
      <c r="AL1594" s="1392" t="n"/>
      <c r="AM1594" s="1392" t="n"/>
      <c r="AN1594" s="1392" t="n"/>
      <c r="AO1594" s="1392" t="n"/>
      <c r="AP1594" s="1392" t="n"/>
      <c r="AQ1594" s="1392" t="n"/>
      <c r="AR1594" s="1422" t="n"/>
      <c r="AS1594" s="1422" t="n"/>
      <c r="AT1594" s="1392" t="n"/>
      <c r="AU1594" s="1392" t="n"/>
      <c r="AV1594" s="1392" t="n"/>
      <c r="AW1594" s="1392" t="n"/>
      <c r="AX1594" s="1392" t="n"/>
      <c r="AY1594" s="1392" t="n"/>
      <c r="AZ1594" s="1392" t="n"/>
      <c r="BA1594" s="1422" t="n"/>
      <c r="BB1594" s="1422" t="n"/>
      <c r="BC1594" s="1392" t="n"/>
      <c r="BD1594" s="1392" t="n"/>
      <c r="BE1594" s="1392" t="n"/>
      <c r="BF1594" s="1392" t="n"/>
      <c r="BG1594" s="1392" t="n"/>
      <c r="BH1594" s="1392" t="n"/>
      <c r="BI1594" s="1392" t="n"/>
      <c r="BJ1594" s="1392" t="n"/>
      <c r="BK1594" s="1392" t="n"/>
      <c r="BL1594" s="1392" t="n"/>
      <c r="BM1594" s="1392" t="n"/>
      <c r="BN1594" s="1392" t="n"/>
      <c r="BO1594" s="1392" t="n"/>
      <c r="BP1594" s="1392" t="n"/>
      <c r="BQ1594" s="1392" t="n"/>
      <c r="BR1594" s="1392" t="n"/>
      <c r="BS1594" s="1392" t="n"/>
      <c r="BT1594" s="1392" t="n"/>
      <c r="BU1594" s="1392" t="n"/>
      <c r="BV1594" s="1392" t="n"/>
      <c r="BW1594" s="1392" t="n"/>
      <c r="BX1594" s="1392" t="n"/>
      <c r="BY1594" s="1392" t="n"/>
      <c r="BZ1594" s="1392" t="n"/>
      <c r="CA1594" s="1392" t="n"/>
      <c r="CB1594" s="1392" t="n"/>
      <c r="CC1594" s="1392" t="n"/>
      <c r="CD1594" s="1392" t="n"/>
      <c r="CE1594" s="1392" t="n"/>
      <c r="CF1594" s="1392" t="n"/>
      <c r="CG1594" s="1392" t="n"/>
      <c r="CH1594" s="1392" t="n"/>
      <c r="CI1594" s="1392" t="n"/>
      <c r="CJ1594" s="1392" t="n"/>
      <c r="CK1594" s="1392" t="n"/>
      <c r="CL1594" s="1392" t="n"/>
    </row>
    <row r="1595">
      <c r="A1595" s="5" t="inlineStr">
        <is>
          <t>.</t>
        </is>
      </c>
      <c r="B1595" s="5" t="inlineStr">
        <is>
          <t>.</t>
        </is>
      </c>
      <c r="C1595" s="1378">
        <f>IF(raw[[#This Row],[city]]="","-",IF(raw[[#This Row],[city]]="TODAY","-",C1594+1))</f>
        <v/>
      </c>
      <c r="D1595" s="1393" t="inlineStr">
        <is>
          <t>Roxton Falls</t>
        </is>
      </c>
      <c r="E1595" s="1394" t="n">
        <v>44695</v>
      </c>
      <c r="F1595" s="1394" t="n">
        <v>44695</v>
      </c>
      <c r="G1595" s="1393" t="inlineStr">
        <is>
          <t>-</t>
        </is>
      </c>
      <c r="H1595" s="1393" t="inlineStr">
        <is>
          <t>Marie-Victorin</t>
        </is>
      </c>
      <c r="I1595" s="1393" t="inlineStr">
        <is>
          <t>-</t>
        </is>
      </c>
      <c r="J1595" s="1393" t="inlineStr">
        <is>
          <t>-</t>
        </is>
      </c>
      <c r="K1595" s="1395">
        <f>IF(raw[[#This Row],[city]]&lt;&gt;"",_xlfn.XLOOKUP($D1595,ccc[city],ccc[prov],"-"),"-")</f>
        <v/>
      </c>
      <c r="L1595" s="1395">
        <f>IF(raw[[#This Row],[city]]&lt;&gt;"",_xlfn.XLOOKUP($D1595,ccc[city],ccc[ctry],"-"),"-")</f>
        <v/>
      </c>
      <c r="M1595" s="1395">
        <f>IF(raw[[#This Row],[city]]&lt;&gt;"",_xlfn.XLOOKUP($D1595,ccc[city],ccc[cont],"-"),"-")</f>
        <v/>
      </c>
      <c r="N1595" s="1396">
        <f>IF(raw[[#This Row],[city]]="","-",IF(raw[[#This Row],[cont]]="B",raw[[#This Row],[cont]],"W"))</f>
        <v/>
      </c>
      <c r="O1595" s="1397">
        <f>IF(raw[[#This Row],[out]]=0,0,IF(raw[[#This Row],[out]]=raw[[#This Row],[in]],0.01,raw[[#This Row],[out]]-raw[[#This Row],[in]]))</f>
        <v/>
      </c>
      <c r="P1595" s="1397">
        <f>IF(raw[[#This Row],[in]]=0,0,MONTH(raw[[#This Row],[in]]))</f>
        <v/>
      </c>
      <c r="Q1595" s="1397">
        <f>IF(raw[[#This Row],[in]]=0,0,YEAR(raw[[#This Row],[in]]))</f>
        <v/>
      </c>
      <c r="R1595" s="1397">
        <f>INT(raw[[#This Row],[yr]]/10)*10</f>
        <v/>
      </c>
      <c r="S1595" s="1395">
        <f>IF(raw[[#This Row],[city]]="","-",IF(raw[[#This Row],[city]]&lt;&gt;_xlfn.XLOOKUP(raw[[#This Row],[home]],homes[home],homes[city],"-"),1,0))</f>
        <v/>
      </c>
      <c r="T1595" s="1398" t="inlineStr">
        <is>
          <t>.</t>
        </is>
      </c>
      <c r="U1595" s="1399">
        <f>IF(raw[[#This Row],[wb]]="w",raw[[#This Row],[stay]]+U1594,U1594)</f>
        <v/>
      </c>
      <c r="V1595" s="1400">
        <f>IF(raw[[#This Row],[out]]=0,V1594,(raw[[#This Row],[out]]-E$5))</f>
        <v/>
      </c>
      <c r="W1595" s="1401">
        <f>U1595/V1595</f>
        <v/>
      </c>
      <c r="X1595" s="1392" t="n"/>
      <c r="Y1595" s="1392" t="n"/>
      <c r="Z1595" s="1392" t="n"/>
      <c r="AA1595" s="1392" t="n"/>
      <c r="AB1595" s="1392" t="n"/>
      <c r="AC1595" s="1392" t="n"/>
      <c r="AD1595" s="1392" t="n"/>
      <c r="AE1595" s="1392" t="n"/>
      <c r="AF1595" s="1392" t="n"/>
      <c r="AG1595" s="1392" t="n"/>
      <c r="AH1595" s="1392" t="n"/>
      <c r="AI1595" s="1392" t="n"/>
      <c r="AJ1595" s="1392" t="n"/>
      <c r="AK1595" s="1392" t="n"/>
      <c r="AL1595" s="1392" t="n"/>
      <c r="AM1595" s="1392" t="n"/>
      <c r="AN1595" s="1392" t="n"/>
      <c r="AO1595" s="1392" t="n"/>
      <c r="AP1595" s="1392" t="n"/>
      <c r="AQ1595" s="1392" t="n"/>
      <c r="AR1595" s="1422" t="n"/>
      <c r="AS1595" s="1422" t="n"/>
      <c r="AT1595" s="1392" t="n"/>
      <c r="AU1595" s="1392" t="n"/>
      <c r="AV1595" s="1392" t="n"/>
      <c r="AW1595" s="1392" t="n"/>
      <c r="AX1595" s="1392" t="n"/>
      <c r="AY1595" s="1392" t="n"/>
      <c r="AZ1595" s="1392" t="n"/>
      <c r="BA1595" s="1422" t="n"/>
      <c r="BB1595" s="1422" t="n"/>
      <c r="BC1595" s="1392" t="n"/>
      <c r="BD1595" s="1392" t="n"/>
      <c r="BE1595" s="1392" t="n"/>
      <c r="BF1595" s="1392" t="n"/>
      <c r="BG1595" s="1392" t="n"/>
      <c r="BH1595" s="1392" t="n"/>
      <c r="BI1595" s="1392" t="n"/>
      <c r="BJ1595" s="1392" t="n"/>
      <c r="BK1595" s="1392" t="n"/>
      <c r="BL1595" s="1392" t="n"/>
      <c r="BM1595" s="1392" t="n"/>
      <c r="BN1595" s="1392" t="n"/>
      <c r="BO1595" s="1392" t="n"/>
      <c r="BP1595" s="1392" t="n"/>
      <c r="BQ1595" s="1392" t="n"/>
      <c r="BR1595" s="1392" t="n"/>
      <c r="BS1595" s="1392" t="n"/>
      <c r="BT1595" s="1392" t="n"/>
      <c r="BU1595" s="1392" t="n"/>
      <c r="BV1595" s="1392" t="n"/>
      <c r="BW1595" s="1392" t="n"/>
      <c r="BX1595" s="1392" t="n"/>
      <c r="BY1595" s="1392" t="n"/>
      <c r="BZ1595" s="1392" t="n"/>
      <c r="CA1595" s="1392" t="n"/>
      <c r="CB1595" s="1392" t="n"/>
      <c r="CC1595" s="1392" t="n"/>
      <c r="CD1595" s="1392" t="n"/>
      <c r="CE1595" s="1392" t="n"/>
      <c r="CF1595" s="1392" t="n"/>
      <c r="CG1595" s="1392" t="n"/>
      <c r="CH1595" s="1392" t="n"/>
      <c r="CI1595" s="1392" t="n"/>
      <c r="CJ1595" s="1392" t="n"/>
      <c r="CK1595" s="1392" t="n"/>
      <c r="CL1595" s="1392" t="n"/>
    </row>
    <row r="1596">
      <c r="A1596" s="5" t="inlineStr">
        <is>
          <t>.</t>
        </is>
      </c>
      <c r="B1596" s="5" t="inlineStr">
        <is>
          <t>.</t>
        </is>
      </c>
      <c r="C1596" s="1378">
        <f>IF(raw[[#This Row],[city]]="","-",IF(raw[[#This Row],[city]]="TODAY","-",C1595+1))</f>
        <v/>
      </c>
      <c r="D1596" s="1393" t="inlineStr">
        <is>
          <t>Acton Vale</t>
        </is>
      </c>
      <c r="E1596" s="1394" t="n">
        <v>44695</v>
      </c>
      <c r="F1596" s="1394" t="n">
        <v>44695</v>
      </c>
      <c r="G1596" s="1393" t="inlineStr">
        <is>
          <t>-</t>
        </is>
      </c>
      <c r="H1596" s="1393" t="inlineStr">
        <is>
          <t>Marie-Victorin</t>
        </is>
      </c>
      <c r="I1596" s="1393" t="inlineStr">
        <is>
          <t>-</t>
        </is>
      </c>
      <c r="J1596" s="1393" t="inlineStr">
        <is>
          <t>-</t>
        </is>
      </c>
      <c r="K1596" s="1395">
        <f>IF(raw[[#This Row],[city]]&lt;&gt;"",_xlfn.XLOOKUP($D1596,ccc[city],ccc[prov],"-"),"-")</f>
        <v/>
      </c>
      <c r="L1596" s="1395">
        <f>IF(raw[[#This Row],[city]]&lt;&gt;"",_xlfn.XLOOKUP($D1596,ccc[city],ccc[ctry],"-"),"-")</f>
        <v/>
      </c>
      <c r="M1596" s="1395">
        <f>IF(raw[[#This Row],[city]]&lt;&gt;"",_xlfn.XLOOKUP($D1596,ccc[city],ccc[cont],"-"),"-")</f>
        <v/>
      </c>
      <c r="N1596" s="1396">
        <f>IF(raw[[#This Row],[city]]="","-",IF(raw[[#This Row],[cont]]="B",raw[[#This Row],[cont]],"W"))</f>
        <v/>
      </c>
      <c r="O1596" s="1397">
        <f>IF(raw[[#This Row],[out]]=0,0,IF(raw[[#This Row],[out]]=raw[[#This Row],[in]],0.01,raw[[#This Row],[out]]-raw[[#This Row],[in]]))</f>
        <v/>
      </c>
      <c r="P1596" s="1397">
        <f>IF(raw[[#This Row],[in]]=0,0,MONTH(raw[[#This Row],[in]]))</f>
        <v/>
      </c>
      <c r="Q1596" s="1397">
        <f>IF(raw[[#This Row],[in]]=0,0,YEAR(raw[[#This Row],[in]]))</f>
        <v/>
      </c>
      <c r="R1596" s="1397">
        <f>INT(raw[[#This Row],[yr]]/10)*10</f>
        <v/>
      </c>
      <c r="S1596" s="1395">
        <f>IF(raw[[#This Row],[city]]="","-",IF(raw[[#This Row],[city]]&lt;&gt;_xlfn.XLOOKUP(raw[[#This Row],[home]],homes[home],homes[city],"-"),1,0))</f>
        <v/>
      </c>
      <c r="T1596" s="1398" t="inlineStr">
        <is>
          <t>.</t>
        </is>
      </c>
      <c r="U1596" s="1399">
        <f>IF(raw[[#This Row],[wb]]="w",raw[[#This Row],[stay]]+U1595,U1595)</f>
        <v/>
      </c>
      <c r="V1596" s="1400">
        <f>IF(raw[[#This Row],[out]]=0,V1595,(raw[[#This Row],[out]]-E$5))</f>
        <v/>
      </c>
      <c r="W1596" s="1401">
        <f>U1596/V1596</f>
        <v/>
      </c>
      <c r="X1596" s="1392" t="n"/>
      <c r="Y1596" s="1392" t="n"/>
      <c r="Z1596" s="1392" t="n"/>
      <c r="AA1596" s="1392" t="n"/>
      <c r="AB1596" s="1392" t="n"/>
      <c r="AC1596" s="1392" t="n"/>
      <c r="AD1596" s="1392" t="n"/>
      <c r="AE1596" s="1392" t="n"/>
      <c r="AF1596" s="1392" t="n"/>
      <c r="AG1596" s="1392" t="n"/>
      <c r="AH1596" s="1392" t="n"/>
      <c r="AI1596" s="1392" t="n"/>
      <c r="AJ1596" s="1392" t="n"/>
      <c r="AK1596" s="1392" t="n"/>
      <c r="AL1596" s="1392" t="n"/>
      <c r="AM1596" s="1392" t="n"/>
      <c r="AN1596" s="1392" t="n"/>
      <c r="AO1596" s="1392" t="n"/>
      <c r="AP1596" s="1392" t="n"/>
      <c r="AQ1596" s="1392" t="n"/>
      <c r="AR1596" s="1422" t="n"/>
      <c r="AS1596" s="1422" t="n"/>
      <c r="AT1596" s="1392" t="n"/>
      <c r="AU1596" s="1392" t="n"/>
      <c r="AV1596" s="1392" t="n"/>
      <c r="AW1596" s="1392" t="n"/>
      <c r="AX1596" s="1392" t="n"/>
      <c r="AY1596" s="1392" t="n"/>
      <c r="AZ1596" s="1392" t="n"/>
      <c r="BA1596" s="1422" t="n"/>
      <c r="BB1596" s="1422" t="n"/>
      <c r="BC1596" s="1392" t="n"/>
      <c r="BD1596" s="1392" t="n"/>
      <c r="BE1596" s="1392" t="n"/>
      <c r="BF1596" s="1392" t="n"/>
      <c r="BG1596" s="1392" t="n"/>
      <c r="BH1596" s="1392" t="n"/>
      <c r="BI1596" s="1392" t="n"/>
      <c r="BJ1596" s="1392" t="n"/>
      <c r="BK1596" s="1392" t="n"/>
      <c r="BL1596" s="1392" t="n"/>
      <c r="BM1596" s="1392" t="n"/>
      <c r="BN1596" s="1392" t="n"/>
      <c r="BO1596" s="1392" t="n"/>
      <c r="BP1596" s="1392" t="n"/>
      <c r="BQ1596" s="1392" t="n"/>
      <c r="BR1596" s="1392" t="n"/>
      <c r="BS1596" s="1392" t="n"/>
      <c r="BT1596" s="1392" t="n"/>
      <c r="BU1596" s="1392" t="n"/>
      <c r="BV1596" s="1392" t="n"/>
      <c r="BW1596" s="1392" t="n"/>
      <c r="BX1596" s="1392" t="n"/>
      <c r="BY1596" s="1392" t="n"/>
      <c r="BZ1596" s="1392" t="n"/>
      <c r="CA1596" s="1392" t="n"/>
      <c r="CB1596" s="1392" t="n"/>
      <c r="CC1596" s="1392" t="n"/>
      <c r="CD1596" s="1392" t="n"/>
      <c r="CE1596" s="1392" t="n"/>
      <c r="CF1596" s="1392" t="n"/>
      <c r="CG1596" s="1392" t="n"/>
      <c r="CH1596" s="1392" t="n"/>
      <c r="CI1596" s="1392" t="n"/>
      <c r="CJ1596" s="1392" t="n"/>
      <c r="CK1596" s="1392" t="n"/>
      <c r="CL1596" s="1392" t="n"/>
    </row>
    <row r="1597">
      <c r="A1597" s="5" t="inlineStr">
        <is>
          <t>.</t>
        </is>
      </c>
      <c r="B1597" s="5" t="inlineStr">
        <is>
          <t>.</t>
        </is>
      </c>
      <c r="C1597" s="1378">
        <f>IF(raw[[#This Row],[city]]="","-",IF(raw[[#This Row],[city]]="TODAY","-",C1596+1))</f>
        <v/>
      </c>
      <c r="D1597" s="1393" t="inlineStr">
        <is>
          <t>Drummondville</t>
        </is>
      </c>
      <c r="E1597" s="1394" t="n">
        <v>44695</v>
      </c>
      <c r="F1597" s="1394" t="n">
        <v>44696</v>
      </c>
      <c r="G1597" s="1393" t="inlineStr">
        <is>
          <t>-</t>
        </is>
      </c>
      <c r="H1597" s="1393" t="inlineStr">
        <is>
          <t>Marie-Victorin</t>
        </is>
      </c>
      <c r="I1597" s="1393" t="inlineStr">
        <is>
          <t>-</t>
        </is>
      </c>
      <c r="J1597" s="1393" t="inlineStr">
        <is>
          <t>-</t>
        </is>
      </c>
      <c r="K1597" s="1395">
        <f>IF(raw[[#This Row],[city]]&lt;&gt;"",_xlfn.XLOOKUP($D1597,ccc[city],ccc[prov],"-"),"-")</f>
        <v/>
      </c>
      <c r="L1597" s="1395">
        <f>IF(raw[[#This Row],[city]]&lt;&gt;"",_xlfn.XLOOKUP($D1597,ccc[city],ccc[ctry],"-"),"-")</f>
        <v/>
      </c>
      <c r="M1597" s="1395">
        <f>IF(raw[[#This Row],[city]]&lt;&gt;"",_xlfn.XLOOKUP($D1597,ccc[city],ccc[cont],"-"),"-")</f>
        <v/>
      </c>
      <c r="N1597" s="1396">
        <f>IF(raw[[#This Row],[city]]="","-",IF(raw[[#This Row],[cont]]="B",raw[[#This Row],[cont]],"W"))</f>
        <v/>
      </c>
      <c r="O1597" s="1397">
        <f>IF(raw[[#This Row],[out]]=0,0,IF(raw[[#This Row],[out]]=raw[[#This Row],[in]],0.01,raw[[#This Row],[out]]-raw[[#This Row],[in]]))</f>
        <v/>
      </c>
      <c r="P1597" s="1397">
        <f>IF(raw[[#This Row],[in]]=0,0,MONTH(raw[[#This Row],[in]]))</f>
        <v/>
      </c>
      <c r="Q1597" s="1397">
        <f>IF(raw[[#This Row],[in]]=0,0,YEAR(raw[[#This Row],[in]]))</f>
        <v/>
      </c>
      <c r="R1597" s="1397">
        <f>INT(raw[[#This Row],[yr]]/10)*10</f>
        <v/>
      </c>
      <c r="S1597" s="1395">
        <f>IF(raw[[#This Row],[city]]="","-",IF(raw[[#This Row],[city]]&lt;&gt;_xlfn.XLOOKUP(raw[[#This Row],[home]],homes[home],homes[city],"-"),1,0))</f>
        <v/>
      </c>
      <c r="T1597" s="1398" t="inlineStr">
        <is>
          <t>.</t>
        </is>
      </c>
      <c r="U1597" s="1399">
        <f>IF(raw[[#This Row],[wb]]="w",raw[[#This Row],[stay]]+U1596,U1596)</f>
        <v/>
      </c>
      <c r="V1597" s="1400">
        <f>IF(raw[[#This Row],[out]]=0,V1596,(raw[[#This Row],[out]]-E$5))</f>
        <v/>
      </c>
      <c r="W1597" s="1401">
        <f>U1597/V1597</f>
        <v/>
      </c>
      <c r="X1597" s="1392" t="n"/>
      <c r="Y1597" s="1392" t="n"/>
      <c r="Z1597" s="1392" t="n"/>
      <c r="AA1597" s="1392" t="n"/>
      <c r="AB1597" s="1392" t="n"/>
      <c r="AC1597" s="1392" t="n"/>
      <c r="AD1597" s="1392" t="n"/>
      <c r="AE1597" s="1392" t="n"/>
      <c r="AF1597" s="1392" t="n"/>
      <c r="AG1597" s="1392" t="n"/>
      <c r="AH1597" s="1392" t="n"/>
      <c r="AI1597" s="1392" t="n"/>
      <c r="AJ1597" s="1392" t="n"/>
      <c r="AK1597" s="1392" t="n"/>
      <c r="AL1597" s="1392" t="n"/>
      <c r="AM1597" s="1392" t="n"/>
      <c r="AN1597" s="1392" t="n"/>
      <c r="AO1597" s="1392" t="n"/>
      <c r="AP1597" s="1392" t="n"/>
      <c r="AQ1597" s="1392" t="n"/>
      <c r="AR1597" s="1422" t="n"/>
      <c r="AS1597" s="1422" t="n"/>
      <c r="AT1597" s="1392" t="n"/>
      <c r="AU1597" s="1392" t="n"/>
      <c r="AV1597" s="1392" t="n"/>
      <c r="AW1597" s="1392" t="n"/>
      <c r="AX1597" s="1392" t="n"/>
      <c r="AY1597" s="1392" t="n"/>
      <c r="AZ1597" s="1392" t="n"/>
      <c r="BA1597" s="1422" t="n"/>
      <c r="BB1597" s="1422" t="n"/>
      <c r="BC1597" s="1392" t="n"/>
      <c r="BD1597" s="1392" t="n"/>
      <c r="BE1597" s="1392" t="n"/>
      <c r="BF1597" s="1392" t="n"/>
      <c r="BG1597" s="1392" t="n"/>
      <c r="BH1597" s="1392" t="n"/>
      <c r="BI1597" s="1392" t="n"/>
      <c r="BJ1597" s="1392" t="n"/>
      <c r="BK1597" s="1392" t="n"/>
      <c r="BL1597" s="1392" t="n"/>
      <c r="BM1597" s="1392" t="n"/>
      <c r="BN1597" s="1392" t="n"/>
      <c r="BO1597" s="1392" t="n"/>
      <c r="BP1597" s="1392" t="n"/>
      <c r="BQ1597" s="1392" t="n"/>
      <c r="BR1597" s="1392" t="n"/>
      <c r="BS1597" s="1392" t="n"/>
      <c r="BT1597" s="1392" t="n"/>
      <c r="BU1597" s="1392" t="n"/>
      <c r="BV1597" s="1392" t="n"/>
      <c r="BW1597" s="1392" t="n"/>
      <c r="BX1597" s="1392" t="n"/>
      <c r="BY1597" s="1392" t="n"/>
      <c r="BZ1597" s="1392" t="n"/>
      <c r="CA1597" s="1392" t="n"/>
      <c r="CB1597" s="1392" t="n"/>
      <c r="CC1597" s="1392" t="n"/>
      <c r="CD1597" s="1392" t="n"/>
      <c r="CE1597" s="1392" t="n"/>
      <c r="CF1597" s="1392" t="n"/>
      <c r="CG1597" s="1392" t="n"/>
      <c r="CH1597" s="1392" t="n"/>
      <c r="CI1597" s="1392" t="n"/>
      <c r="CJ1597" s="1392" t="n"/>
      <c r="CK1597" s="1392" t="n"/>
      <c r="CL1597" s="1392" t="n"/>
    </row>
    <row r="1598">
      <c r="A1598" s="5" t="inlineStr">
        <is>
          <t>.</t>
        </is>
      </c>
      <c r="B1598" s="5" t="inlineStr">
        <is>
          <t>.</t>
        </is>
      </c>
      <c r="C1598" s="1378">
        <f>IF(raw[[#This Row],[city]]="","-",IF(raw[[#This Row],[city]]="TODAY","-",C1597+1))</f>
        <v/>
      </c>
      <c r="D1598" s="1393" t="inlineStr">
        <is>
          <t>Montreal</t>
        </is>
      </c>
      <c r="E1598" s="1394" t="n">
        <v>44696</v>
      </c>
      <c r="F1598" s="1394" t="n">
        <v>44697</v>
      </c>
      <c r="G1598" s="1393" t="inlineStr">
        <is>
          <t>-</t>
        </is>
      </c>
      <c r="H1598" s="1393" t="inlineStr">
        <is>
          <t>Marie-Victorin</t>
        </is>
      </c>
      <c r="I1598" s="1393" t="inlineStr">
        <is>
          <t>-</t>
        </is>
      </c>
      <c r="J1598" s="1393" t="inlineStr">
        <is>
          <t>-</t>
        </is>
      </c>
      <c r="K1598" s="1395">
        <f>IF(raw[[#This Row],[city]]&lt;&gt;"",_xlfn.XLOOKUP($D1598,ccc[city],ccc[prov],"-"),"-")</f>
        <v/>
      </c>
      <c r="L1598" s="1395">
        <f>IF(raw[[#This Row],[city]]&lt;&gt;"",_xlfn.XLOOKUP($D1598,ccc[city],ccc[ctry],"-"),"-")</f>
        <v/>
      </c>
      <c r="M1598" s="1395">
        <f>IF(raw[[#This Row],[city]]&lt;&gt;"",_xlfn.XLOOKUP($D1598,ccc[city],ccc[cont],"-"),"-")</f>
        <v/>
      </c>
      <c r="N1598" s="1396">
        <f>IF(raw[[#This Row],[city]]="","-",IF(raw[[#This Row],[cont]]="B",raw[[#This Row],[cont]],"W"))</f>
        <v/>
      </c>
      <c r="O1598" s="1397">
        <f>IF(raw[[#This Row],[out]]=0,0,IF(raw[[#This Row],[out]]=raw[[#This Row],[in]],0.01,raw[[#This Row],[out]]-raw[[#This Row],[in]]))</f>
        <v/>
      </c>
      <c r="P1598" s="1397">
        <f>IF(raw[[#This Row],[in]]=0,0,MONTH(raw[[#This Row],[in]]))</f>
        <v/>
      </c>
      <c r="Q1598" s="1397">
        <f>IF(raw[[#This Row],[in]]=0,0,YEAR(raw[[#This Row],[in]]))</f>
        <v/>
      </c>
      <c r="R1598" s="1397">
        <f>INT(raw[[#This Row],[yr]]/10)*10</f>
        <v/>
      </c>
      <c r="S1598" s="1395">
        <f>IF(raw[[#This Row],[city]]="","-",IF(raw[[#This Row],[city]]&lt;&gt;_xlfn.XLOOKUP(raw[[#This Row],[home]],homes[home],homes[city],"-"),1,0))</f>
        <v/>
      </c>
      <c r="T1598" s="1398" t="inlineStr">
        <is>
          <t>.</t>
        </is>
      </c>
      <c r="U1598" s="1399">
        <f>IF(raw[[#This Row],[wb]]="w",raw[[#This Row],[stay]]+U1597,U1597)</f>
        <v/>
      </c>
      <c r="V1598" s="1400">
        <f>IF(raw[[#This Row],[out]]=0,V1597,(raw[[#This Row],[out]]-E$5))</f>
        <v/>
      </c>
      <c r="W1598" s="1401">
        <f>U1598/V1598</f>
        <v/>
      </c>
      <c r="X1598" s="1392" t="n"/>
      <c r="Y1598" s="1392" t="n"/>
      <c r="Z1598" s="1392" t="n"/>
      <c r="AA1598" s="1392" t="n"/>
      <c r="AB1598" s="1392" t="n"/>
      <c r="AC1598" s="1392" t="n"/>
      <c r="AD1598" s="1392" t="n"/>
      <c r="AE1598" s="1392" t="n"/>
      <c r="AF1598" s="1392" t="n"/>
      <c r="AG1598" s="1392" t="n"/>
      <c r="AH1598" s="1392" t="n"/>
      <c r="AI1598" s="1392" t="n"/>
      <c r="AJ1598" s="1392" t="n"/>
      <c r="AK1598" s="1392" t="n"/>
      <c r="AL1598" s="1392" t="n"/>
      <c r="AM1598" s="1392" t="n"/>
      <c r="AN1598" s="1392" t="n"/>
      <c r="AO1598" s="1392" t="n"/>
      <c r="AP1598" s="1392" t="n"/>
      <c r="AQ1598" s="1392" t="n"/>
      <c r="AR1598" s="1422" t="n"/>
      <c r="AS1598" s="1422" t="n"/>
      <c r="AT1598" s="1392" t="n"/>
      <c r="AU1598" s="1392" t="n"/>
      <c r="AV1598" s="1392" t="n"/>
      <c r="AW1598" s="1392" t="n"/>
      <c r="AX1598" s="1392" t="n"/>
      <c r="AY1598" s="1392" t="n"/>
      <c r="AZ1598" s="1392" t="n"/>
      <c r="BA1598" s="1422" t="n"/>
      <c r="BB1598" s="1422" t="n"/>
      <c r="BC1598" s="1392" t="n"/>
      <c r="BD1598" s="1392" t="n"/>
      <c r="BE1598" s="1392" t="n"/>
      <c r="BF1598" s="1392" t="n"/>
      <c r="BG1598" s="1392" t="n"/>
      <c r="BH1598" s="1392" t="n"/>
      <c r="BI1598" s="1392" t="n"/>
      <c r="BJ1598" s="1392" t="n"/>
      <c r="BK1598" s="1392" t="n"/>
      <c r="BL1598" s="1392" t="n"/>
      <c r="BM1598" s="1392" t="n"/>
      <c r="BN1598" s="1392" t="n"/>
      <c r="BO1598" s="1392" t="n"/>
      <c r="BP1598" s="1392" t="n"/>
      <c r="BQ1598" s="1392" t="n"/>
      <c r="BR1598" s="1392" t="n"/>
      <c r="BS1598" s="1392" t="n"/>
      <c r="BT1598" s="1392" t="n"/>
      <c r="BU1598" s="1392" t="n"/>
      <c r="BV1598" s="1392" t="n"/>
      <c r="BW1598" s="1392" t="n"/>
      <c r="BX1598" s="1392" t="n"/>
      <c r="BY1598" s="1392" t="n"/>
      <c r="BZ1598" s="1392" t="n"/>
      <c r="CA1598" s="1392" t="n"/>
      <c r="CB1598" s="1392" t="n"/>
      <c r="CC1598" s="1392" t="n"/>
      <c r="CD1598" s="1392" t="n"/>
      <c r="CE1598" s="1392" t="n"/>
      <c r="CF1598" s="1392" t="n"/>
      <c r="CG1598" s="1392" t="n"/>
      <c r="CH1598" s="1392" t="n"/>
      <c r="CI1598" s="1392" t="n"/>
      <c r="CJ1598" s="1392" t="n"/>
      <c r="CK1598" s="1392" t="n"/>
      <c r="CL1598" s="1392" t="n"/>
    </row>
    <row r="1599">
      <c r="A1599" s="5" t="inlineStr">
        <is>
          <t>.</t>
        </is>
      </c>
      <c r="B1599" s="5" t="inlineStr">
        <is>
          <t>.</t>
        </is>
      </c>
      <c r="C1599" s="1378">
        <f>IF(raw[[#This Row],[city]]="","-",IF(raw[[#This Row],[city]]="TODAY","-",C1598+1))</f>
        <v/>
      </c>
      <c r="D1599" s="1393" t="inlineStr">
        <is>
          <t>Montreal</t>
        </is>
      </c>
      <c r="E1599" s="1394" t="n">
        <v>44697</v>
      </c>
      <c r="F1599" s="1394" t="n">
        <v>44699</v>
      </c>
      <c r="G1599" s="1393" t="inlineStr">
        <is>
          <t>-</t>
        </is>
      </c>
      <c r="H1599" s="1393" t="inlineStr">
        <is>
          <t>Marie-Victorin</t>
        </is>
      </c>
      <c r="I1599" s="1393" t="inlineStr">
        <is>
          <t>Gaspé</t>
        </is>
      </c>
      <c r="J1599" s="1393" t="inlineStr">
        <is>
          <t>-</t>
        </is>
      </c>
      <c r="K1599" s="1395">
        <f>IF(raw[[#This Row],[city]]&lt;&gt;"",_xlfn.XLOOKUP($D1599,ccc[city],ccc[prov],"-"),"-")</f>
        <v/>
      </c>
      <c r="L1599" s="1395">
        <f>IF(raw[[#This Row],[city]]&lt;&gt;"",_xlfn.XLOOKUP($D1599,ccc[city],ccc[ctry],"-"),"-")</f>
        <v/>
      </c>
      <c r="M1599" s="1395">
        <f>IF(raw[[#This Row],[city]]&lt;&gt;"",_xlfn.XLOOKUP($D1599,ccc[city],ccc[cont],"-"),"-")</f>
        <v/>
      </c>
      <c r="N1599" s="1396">
        <f>IF(raw[[#This Row],[city]]="","-",IF(raw[[#This Row],[cont]]="B",raw[[#This Row],[cont]],"W"))</f>
        <v/>
      </c>
      <c r="O1599" s="1397">
        <f>IF(raw[[#This Row],[out]]=0,0,IF(raw[[#This Row],[out]]=raw[[#This Row],[in]],0.01,raw[[#This Row],[out]]-raw[[#This Row],[in]]))</f>
        <v/>
      </c>
      <c r="P1599" s="1397">
        <f>IF(raw[[#This Row],[in]]=0,0,MONTH(raw[[#This Row],[in]]))</f>
        <v/>
      </c>
      <c r="Q1599" s="1397">
        <f>IF(raw[[#This Row],[in]]=0,0,YEAR(raw[[#This Row],[in]]))</f>
        <v/>
      </c>
      <c r="R1599" s="1397">
        <f>INT(raw[[#This Row],[yr]]/10)*10</f>
        <v/>
      </c>
      <c r="S1599" s="1395">
        <f>IF(raw[[#This Row],[city]]="","-",IF(raw[[#This Row],[city]]&lt;&gt;_xlfn.XLOOKUP(raw[[#This Row],[home]],homes[home],homes[city],"-"),1,0))</f>
        <v/>
      </c>
      <c r="T1599" s="1398" t="inlineStr">
        <is>
          <t>.</t>
        </is>
      </c>
      <c r="U1599" s="1399">
        <f>IF(raw[[#This Row],[wb]]="w",raw[[#This Row],[stay]]+U1598,U1598)</f>
        <v/>
      </c>
      <c r="V1599" s="1400">
        <f>IF(raw[[#This Row],[out]]=0,V1598,(raw[[#This Row],[out]]-E$5))</f>
        <v/>
      </c>
      <c r="W1599" s="1401">
        <f>U1599/V1599</f>
        <v/>
      </c>
      <c r="X1599" s="1392" t="n"/>
      <c r="Y1599" s="1392" t="n"/>
      <c r="Z1599" s="1392" t="n"/>
      <c r="AA1599" s="1392" t="n"/>
      <c r="AB1599" s="1392" t="n"/>
      <c r="AC1599" s="1392" t="n"/>
      <c r="AD1599" s="1392" t="n"/>
      <c r="AE1599" s="1392" t="n"/>
      <c r="AF1599" s="1392" t="n"/>
      <c r="AG1599" s="1392" t="n"/>
      <c r="AH1599" s="1392" t="n"/>
      <c r="AI1599" s="1392" t="n"/>
      <c r="AJ1599" s="1392" t="n"/>
      <c r="AK1599" s="1392" t="n"/>
      <c r="AL1599" s="1392" t="n"/>
      <c r="AM1599" s="1392" t="n"/>
      <c r="AN1599" s="1392" t="n"/>
      <c r="AO1599" s="1392" t="n"/>
      <c r="AP1599" s="1392" t="n"/>
      <c r="AQ1599" s="1392" t="n"/>
      <c r="AR1599" s="1422" t="n"/>
      <c r="AS1599" s="1422" t="n"/>
      <c r="AT1599" s="1392" t="n"/>
      <c r="AU1599" s="1392" t="n"/>
      <c r="AV1599" s="1392" t="n"/>
      <c r="AW1599" s="1392" t="n"/>
      <c r="AX1599" s="1392" t="n"/>
      <c r="AY1599" s="1392" t="n"/>
      <c r="AZ1599" s="1392" t="n"/>
      <c r="BA1599" s="1422" t="n"/>
      <c r="BB1599" s="1422" t="n"/>
      <c r="BC1599" s="1392" t="n"/>
      <c r="BD1599" s="1392" t="n"/>
      <c r="BE1599" s="1392" t="n"/>
      <c r="BF1599" s="1392" t="n"/>
      <c r="BG1599" s="1392" t="n"/>
      <c r="BH1599" s="1392" t="n"/>
      <c r="BI1599" s="1392" t="n"/>
      <c r="BJ1599" s="1392" t="n"/>
      <c r="BK1599" s="1392" t="n"/>
      <c r="BL1599" s="1392" t="n"/>
      <c r="BM1599" s="1392" t="n"/>
      <c r="BN1599" s="1392" t="n"/>
      <c r="BO1599" s="1392" t="n"/>
      <c r="BP1599" s="1392" t="n"/>
      <c r="BQ1599" s="1392" t="n"/>
      <c r="BR1599" s="1392" t="n"/>
      <c r="BS1599" s="1392" t="n"/>
      <c r="BT1599" s="1392" t="n"/>
      <c r="BU1599" s="1392" t="n"/>
      <c r="BV1599" s="1392" t="n"/>
      <c r="BW1599" s="1392" t="n"/>
      <c r="BX1599" s="1392" t="n"/>
      <c r="BY1599" s="1392" t="n"/>
      <c r="BZ1599" s="1392" t="n"/>
      <c r="CA1599" s="1392" t="n"/>
      <c r="CB1599" s="1392" t="n"/>
      <c r="CC1599" s="1392" t="n"/>
      <c r="CD1599" s="1392" t="n"/>
      <c r="CE1599" s="1392" t="n"/>
      <c r="CF1599" s="1392" t="n"/>
      <c r="CG1599" s="1392" t="n"/>
      <c r="CH1599" s="1392" t="n"/>
      <c r="CI1599" s="1392" t="n"/>
      <c r="CJ1599" s="1392" t="n"/>
      <c r="CK1599" s="1392" t="n"/>
      <c r="CL1599" s="1392" t="n"/>
    </row>
    <row r="1600">
      <c r="A1600" s="5" t="inlineStr">
        <is>
          <t>.</t>
        </is>
      </c>
      <c r="B1600" s="5" t="inlineStr">
        <is>
          <t>.</t>
        </is>
      </c>
      <c r="C1600" s="1378">
        <f>IF(raw[[#This Row],[city]]="","-",IF(raw[[#This Row],[city]]="TODAY","-",C1599+1))</f>
        <v/>
      </c>
      <c r="D1600" s="1393" t="inlineStr">
        <is>
          <t>Montreal</t>
        </is>
      </c>
      <c r="E1600" s="1394" t="n">
        <v>44699</v>
      </c>
      <c r="F1600" s="1394" t="n">
        <v>44709</v>
      </c>
      <c r="G1600" s="1393" t="inlineStr">
        <is>
          <t>-</t>
        </is>
      </c>
      <c r="H1600" s="1393" t="inlineStr">
        <is>
          <t>Marie-Victorin</t>
        </is>
      </c>
      <c r="I1600" s="1393" t="inlineStr">
        <is>
          <t>-</t>
        </is>
      </c>
      <c r="J1600" s="1393" t="inlineStr">
        <is>
          <t>-</t>
        </is>
      </c>
      <c r="K1600" s="1395">
        <f>IF(raw[[#This Row],[city]]&lt;&gt;"",_xlfn.XLOOKUP($D1600,ccc[city],ccc[prov],"-"),"-")</f>
        <v/>
      </c>
      <c r="L1600" s="1395">
        <f>IF(raw[[#This Row],[city]]&lt;&gt;"",_xlfn.XLOOKUP($D1600,ccc[city],ccc[ctry],"-"),"-")</f>
        <v/>
      </c>
      <c r="M1600" s="1395">
        <f>IF(raw[[#This Row],[city]]&lt;&gt;"",_xlfn.XLOOKUP($D1600,ccc[city],ccc[cont],"-"),"-")</f>
        <v/>
      </c>
      <c r="N1600" s="1396">
        <f>IF(raw[[#This Row],[city]]="","-",IF(raw[[#This Row],[cont]]="B",raw[[#This Row],[cont]],"W"))</f>
        <v/>
      </c>
      <c r="O1600" s="1397">
        <f>IF(raw[[#This Row],[out]]=0,0,IF(raw[[#This Row],[out]]=raw[[#This Row],[in]],0.01,raw[[#This Row],[out]]-raw[[#This Row],[in]]))</f>
        <v/>
      </c>
      <c r="P1600" s="1397">
        <f>IF(raw[[#This Row],[in]]=0,0,MONTH(raw[[#This Row],[in]]))</f>
        <v/>
      </c>
      <c r="Q1600" s="1397">
        <f>IF(raw[[#This Row],[in]]=0,0,YEAR(raw[[#This Row],[in]]))</f>
        <v/>
      </c>
      <c r="R1600" s="1397">
        <f>INT(raw[[#This Row],[yr]]/10)*10</f>
        <v/>
      </c>
      <c r="S1600" s="1395">
        <f>IF(raw[[#This Row],[city]]="","-",IF(raw[[#This Row],[city]]&lt;&gt;_xlfn.XLOOKUP(raw[[#This Row],[home]],homes[home],homes[city],"-"),1,0))</f>
        <v/>
      </c>
      <c r="T1600" s="1398" t="inlineStr">
        <is>
          <t>.</t>
        </is>
      </c>
      <c r="U1600" s="1399">
        <f>IF(raw[[#This Row],[wb]]="w",raw[[#This Row],[stay]]+U1599,U1599)</f>
        <v/>
      </c>
      <c r="V1600" s="1400">
        <f>IF(raw[[#This Row],[out]]=0,V1599,(raw[[#This Row],[out]]-E$5))</f>
        <v/>
      </c>
      <c r="W1600" s="1401">
        <f>U1600/V1600</f>
        <v/>
      </c>
      <c r="X1600" s="1392" t="n"/>
      <c r="Y1600" s="1392" t="n"/>
      <c r="Z1600" s="1392" t="n"/>
      <c r="AA1600" s="1392" t="n"/>
      <c r="AB1600" s="1392" t="n"/>
      <c r="AC1600" s="1392" t="n"/>
      <c r="AD1600" s="1392" t="n"/>
      <c r="AE1600" s="1392" t="n"/>
      <c r="AF1600" s="1392" t="n"/>
      <c r="AG1600" s="1392" t="n"/>
      <c r="AH1600" s="1392" t="n"/>
      <c r="AI1600" s="1392" t="n"/>
      <c r="AJ1600" s="1392" t="n"/>
      <c r="AK1600" s="1392" t="n"/>
      <c r="AL1600" s="1392" t="n"/>
      <c r="AM1600" s="1392" t="n"/>
      <c r="AN1600" s="1392" t="n"/>
      <c r="AO1600" s="1392" t="n"/>
      <c r="AP1600" s="1392" t="n"/>
      <c r="AQ1600" s="1392" t="n"/>
      <c r="AR1600" s="1422" t="n"/>
      <c r="AS1600" s="1422" t="n"/>
      <c r="AT1600" s="1392" t="n"/>
      <c r="AU1600" s="1392" t="n"/>
      <c r="AV1600" s="1392" t="n"/>
      <c r="AW1600" s="1392" t="n"/>
      <c r="AX1600" s="1392" t="n"/>
      <c r="AY1600" s="1392" t="n"/>
      <c r="AZ1600" s="1392" t="n"/>
      <c r="BA1600" s="1422" t="n"/>
      <c r="BB1600" s="1422" t="n"/>
      <c r="BC1600" s="1392" t="n"/>
      <c r="BD1600" s="1392" t="n"/>
      <c r="BE1600" s="1392" t="n"/>
      <c r="BF1600" s="1392" t="n"/>
      <c r="BG1600" s="1392" t="n"/>
      <c r="BH1600" s="1392" t="n"/>
      <c r="BI1600" s="1392" t="n"/>
      <c r="BJ1600" s="1392" t="n"/>
      <c r="BK1600" s="1392" t="n"/>
      <c r="BL1600" s="1392" t="n"/>
      <c r="BM1600" s="1392" t="n"/>
      <c r="BN1600" s="1392" t="n"/>
      <c r="BO1600" s="1392" t="n"/>
      <c r="BP1600" s="1392" t="n"/>
      <c r="BQ1600" s="1392" t="n"/>
      <c r="BR1600" s="1392" t="n"/>
      <c r="BS1600" s="1392" t="n"/>
      <c r="BT1600" s="1392" t="n"/>
      <c r="BU1600" s="1392" t="n"/>
      <c r="BV1600" s="1392" t="n"/>
      <c r="BW1600" s="1392" t="n"/>
      <c r="BX1600" s="1392" t="n"/>
      <c r="BY1600" s="1392" t="n"/>
      <c r="BZ1600" s="1392" t="n"/>
      <c r="CA1600" s="1392" t="n"/>
      <c r="CB1600" s="1392" t="n"/>
      <c r="CC1600" s="1392" t="n"/>
      <c r="CD1600" s="1392" t="n"/>
      <c r="CE1600" s="1392" t="n"/>
      <c r="CF1600" s="1392" t="n"/>
      <c r="CG1600" s="1392" t="n"/>
      <c r="CH1600" s="1392" t="n"/>
      <c r="CI1600" s="1392" t="n"/>
      <c r="CJ1600" s="1392" t="n"/>
      <c r="CK1600" s="1392" t="n"/>
      <c r="CL1600" s="1392" t="n"/>
    </row>
    <row r="1601">
      <c r="A1601" s="5" t="inlineStr">
        <is>
          <t>.</t>
        </is>
      </c>
      <c r="B1601" s="5" t="inlineStr">
        <is>
          <t>.</t>
        </is>
      </c>
      <c r="C1601" s="1378">
        <f>IF(raw[[#This Row],[city]]="","-",IF(raw[[#This Row],[city]]="TODAY","-",C1600+1))</f>
        <v/>
      </c>
      <c r="D1601" s="1393" t="inlineStr">
        <is>
          <t>Richmond</t>
        </is>
      </c>
      <c r="E1601" s="1394" t="n">
        <v>44709</v>
      </c>
      <c r="F1601" s="1394" t="n">
        <v>44709</v>
      </c>
      <c r="G1601" s="1393" t="inlineStr">
        <is>
          <t>-</t>
        </is>
      </c>
      <c r="H1601" s="1393" t="inlineStr">
        <is>
          <t>Marie-Victorin</t>
        </is>
      </c>
      <c r="I1601" s="1393" t="inlineStr">
        <is>
          <t>-</t>
        </is>
      </c>
      <c r="J1601" s="1393" t="inlineStr">
        <is>
          <t>-</t>
        </is>
      </c>
      <c r="K1601" s="1395">
        <f>IF(raw[[#This Row],[city]]&lt;&gt;"",_xlfn.XLOOKUP($D1601,ccc[city],ccc[prov],"-"),"-")</f>
        <v/>
      </c>
      <c r="L1601" s="1395">
        <f>IF(raw[[#This Row],[city]]&lt;&gt;"",_xlfn.XLOOKUP($D1601,ccc[city],ccc[ctry],"-"),"-")</f>
        <v/>
      </c>
      <c r="M1601" s="1395">
        <f>IF(raw[[#This Row],[city]]&lt;&gt;"",_xlfn.XLOOKUP($D1601,ccc[city],ccc[cont],"-"),"-")</f>
        <v/>
      </c>
      <c r="N1601" s="1396">
        <f>IF(raw[[#This Row],[city]]="","-",IF(raw[[#This Row],[cont]]="B",raw[[#This Row],[cont]],"W"))</f>
        <v/>
      </c>
      <c r="O1601" s="1397">
        <f>IF(raw[[#This Row],[out]]=0,0,IF(raw[[#This Row],[out]]=raw[[#This Row],[in]],0.01,raw[[#This Row],[out]]-raw[[#This Row],[in]]))</f>
        <v/>
      </c>
      <c r="P1601" s="1397">
        <f>IF(raw[[#This Row],[in]]=0,0,MONTH(raw[[#This Row],[in]]))</f>
        <v/>
      </c>
      <c r="Q1601" s="1397">
        <f>IF(raw[[#This Row],[in]]=0,0,YEAR(raw[[#This Row],[in]]))</f>
        <v/>
      </c>
      <c r="R1601" s="1397">
        <f>INT(raw[[#This Row],[yr]]/10)*10</f>
        <v/>
      </c>
      <c r="S1601" s="1395">
        <f>IF(raw[[#This Row],[city]]="","-",IF(raw[[#This Row],[city]]&lt;&gt;_xlfn.XLOOKUP(raw[[#This Row],[home]],homes[home],homes[city],"-"),1,0))</f>
        <v/>
      </c>
      <c r="T1601" s="1398" t="inlineStr">
        <is>
          <t>.</t>
        </is>
      </c>
      <c r="U1601" s="1399">
        <f>IF(raw[[#This Row],[wb]]="w",raw[[#This Row],[stay]]+U1600,U1600)</f>
        <v/>
      </c>
      <c r="V1601" s="1400">
        <f>IF(raw[[#This Row],[out]]=0,V1600,(raw[[#This Row],[out]]-E$5))</f>
        <v/>
      </c>
      <c r="W1601" s="1401">
        <f>U1601/V1601</f>
        <v/>
      </c>
      <c r="X1601" s="1392" t="n"/>
      <c r="Y1601" s="1392" t="n"/>
      <c r="Z1601" s="1392" t="n"/>
      <c r="AA1601" s="1392" t="n"/>
      <c r="AB1601" s="1392" t="n"/>
      <c r="AC1601" s="1392" t="n"/>
      <c r="AD1601" s="1392" t="n"/>
      <c r="AE1601" s="1392" t="n"/>
      <c r="AF1601" s="1392" t="n"/>
      <c r="AG1601" s="1392" t="n"/>
      <c r="AH1601" s="1392" t="n"/>
      <c r="AI1601" s="1392" t="n"/>
      <c r="AJ1601" s="1392" t="n"/>
      <c r="AK1601" s="1392" t="n"/>
      <c r="AL1601" s="1392" t="n"/>
      <c r="AM1601" s="1392" t="n"/>
      <c r="AN1601" s="1392" t="n"/>
      <c r="AO1601" s="1392" t="n"/>
      <c r="AP1601" s="1392" t="n"/>
      <c r="AQ1601" s="1392" t="n"/>
      <c r="AR1601" s="1422" t="n"/>
      <c r="AS1601" s="1422" t="n"/>
      <c r="AT1601" s="1392" t="n"/>
      <c r="AU1601" s="1392" t="n"/>
      <c r="AV1601" s="1392" t="n"/>
      <c r="AW1601" s="1392" t="n"/>
      <c r="AX1601" s="1392" t="n"/>
      <c r="AY1601" s="1392" t="n"/>
      <c r="AZ1601" s="1392" t="n"/>
      <c r="BA1601" s="1422" t="n"/>
      <c r="BB1601" s="1422" t="n"/>
      <c r="BC1601" s="1392" t="n"/>
      <c r="BD1601" s="1392" t="n"/>
      <c r="BE1601" s="1392" t="n"/>
      <c r="BF1601" s="1392" t="n"/>
      <c r="BG1601" s="1392" t="n"/>
      <c r="BH1601" s="1392" t="n"/>
      <c r="BI1601" s="1392" t="n"/>
      <c r="BJ1601" s="1392" t="n"/>
      <c r="BK1601" s="1392" t="n"/>
      <c r="BL1601" s="1392" t="n"/>
      <c r="BM1601" s="1392" t="n"/>
      <c r="BN1601" s="1392" t="n"/>
      <c r="BO1601" s="1392" t="n"/>
      <c r="BP1601" s="1392" t="n"/>
      <c r="BQ1601" s="1392" t="n"/>
      <c r="BR1601" s="1392" t="n"/>
      <c r="BS1601" s="1392" t="n"/>
      <c r="BT1601" s="1392" t="n"/>
      <c r="BU1601" s="1392" t="n"/>
      <c r="BV1601" s="1392" t="n"/>
      <c r="BW1601" s="1392" t="n"/>
      <c r="BX1601" s="1392" t="n"/>
      <c r="BY1601" s="1392" t="n"/>
      <c r="BZ1601" s="1392" t="n"/>
      <c r="CA1601" s="1392" t="n"/>
      <c r="CB1601" s="1392" t="n"/>
      <c r="CC1601" s="1392" t="n"/>
      <c r="CD1601" s="1392" t="n"/>
      <c r="CE1601" s="1392" t="n"/>
      <c r="CF1601" s="1392" t="n"/>
      <c r="CG1601" s="1392" t="n"/>
      <c r="CH1601" s="1392" t="n"/>
      <c r="CI1601" s="1392" t="n"/>
      <c r="CJ1601" s="1392" t="n"/>
      <c r="CK1601" s="1392" t="n"/>
      <c r="CL1601" s="1392" t="n"/>
    </row>
    <row r="1602">
      <c r="A1602" s="5" t="inlineStr">
        <is>
          <t>.</t>
        </is>
      </c>
      <c r="B1602" s="5" t="inlineStr">
        <is>
          <t>.</t>
        </is>
      </c>
      <c r="C1602" s="1378">
        <f>IF(raw[[#This Row],[city]]="","-",IF(raw[[#This Row],[city]]="TODAY","-",C1601+1))</f>
        <v/>
      </c>
      <c r="D1602" s="1393" t="inlineStr">
        <is>
          <t>Warwick</t>
        </is>
      </c>
      <c r="E1602" s="1394" t="n">
        <v>44709</v>
      </c>
      <c r="F1602" s="1394" t="n">
        <v>44709</v>
      </c>
      <c r="G1602" s="1393" t="inlineStr">
        <is>
          <t>-</t>
        </is>
      </c>
      <c r="H1602" s="1393" t="inlineStr">
        <is>
          <t>Marie-Victorin</t>
        </is>
      </c>
      <c r="I1602" s="1393" t="inlineStr">
        <is>
          <t>-</t>
        </is>
      </c>
      <c r="J1602" s="1393" t="inlineStr">
        <is>
          <t>-</t>
        </is>
      </c>
      <c r="K1602" s="1395">
        <f>IF(raw[[#This Row],[city]]&lt;&gt;"",_xlfn.XLOOKUP($D1602,ccc[city],ccc[prov],"-"),"-")</f>
        <v/>
      </c>
      <c r="L1602" s="1395">
        <f>IF(raw[[#This Row],[city]]&lt;&gt;"",_xlfn.XLOOKUP($D1602,ccc[city],ccc[ctry],"-"),"-")</f>
        <v/>
      </c>
      <c r="M1602" s="1395">
        <f>IF(raw[[#This Row],[city]]&lt;&gt;"",_xlfn.XLOOKUP($D1602,ccc[city],ccc[cont],"-"),"-")</f>
        <v/>
      </c>
      <c r="N1602" s="1396">
        <f>IF(raw[[#This Row],[city]]="","-",IF(raw[[#This Row],[cont]]="B",raw[[#This Row],[cont]],"W"))</f>
        <v/>
      </c>
      <c r="O1602" s="1397">
        <f>IF(raw[[#This Row],[out]]=0,0,IF(raw[[#This Row],[out]]=raw[[#This Row],[in]],0.01,raw[[#This Row],[out]]-raw[[#This Row],[in]]))</f>
        <v/>
      </c>
      <c r="P1602" s="1397">
        <f>IF(raw[[#This Row],[in]]=0,0,MONTH(raw[[#This Row],[in]]))</f>
        <v/>
      </c>
      <c r="Q1602" s="1397">
        <f>IF(raw[[#This Row],[in]]=0,0,YEAR(raw[[#This Row],[in]]))</f>
        <v/>
      </c>
      <c r="R1602" s="1397">
        <f>INT(raw[[#This Row],[yr]]/10)*10</f>
        <v/>
      </c>
      <c r="S1602" s="1395">
        <f>IF(raw[[#This Row],[city]]="","-",IF(raw[[#This Row],[city]]&lt;&gt;_xlfn.XLOOKUP(raw[[#This Row],[home]],homes[home],homes[city],"-"),1,0))</f>
        <v/>
      </c>
      <c r="T1602" s="1398" t="inlineStr">
        <is>
          <t>.</t>
        </is>
      </c>
      <c r="U1602" s="1399">
        <f>IF(raw[[#This Row],[wb]]="w",raw[[#This Row],[stay]]+U1601,U1601)</f>
        <v/>
      </c>
      <c r="V1602" s="1400">
        <f>IF(raw[[#This Row],[out]]=0,V1601,(raw[[#This Row],[out]]-E$5))</f>
        <v/>
      </c>
      <c r="W1602" s="1401">
        <f>U1602/V1602</f>
        <v/>
      </c>
      <c r="X1602" s="1392" t="n"/>
      <c r="Y1602" s="1392" t="n"/>
      <c r="Z1602" s="1392" t="n"/>
      <c r="AA1602" s="1392" t="n"/>
      <c r="AB1602" s="1392" t="n"/>
      <c r="AC1602" s="1392" t="n"/>
      <c r="AD1602" s="1392" t="n"/>
      <c r="AE1602" s="1392" t="n"/>
      <c r="AF1602" s="1392" t="n"/>
      <c r="AG1602" s="1392" t="n"/>
      <c r="AH1602" s="1392" t="n"/>
      <c r="AI1602" s="1392" t="n"/>
      <c r="AJ1602" s="1392" t="n"/>
      <c r="AK1602" s="1392" t="n"/>
      <c r="AL1602" s="1392" t="n"/>
      <c r="AM1602" s="1392" t="n"/>
      <c r="AN1602" s="1392" t="n"/>
      <c r="AO1602" s="1392" t="n"/>
      <c r="AP1602" s="1392" t="n"/>
      <c r="AQ1602" s="1392" t="n"/>
      <c r="AR1602" s="1422" t="n"/>
      <c r="AS1602" s="1422" t="n"/>
      <c r="AT1602" s="1392" t="n"/>
      <c r="AU1602" s="1392" t="n"/>
      <c r="AV1602" s="1392" t="n"/>
      <c r="AW1602" s="1392" t="n"/>
      <c r="AX1602" s="1392" t="n"/>
      <c r="AY1602" s="1392" t="n"/>
      <c r="AZ1602" s="1392" t="n"/>
      <c r="BA1602" s="1422" t="n"/>
      <c r="BB1602" s="1422" t="n"/>
      <c r="BC1602" s="1392" t="n"/>
      <c r="BD1602" s="1392" t="n"/>
      <c r="BE1602" s="1392" t="n"/>
      <c r="BF1602" s="1392" t="n"/>
      <c r="BG1602" s="1392" t="n"/>
      <c r="BH1602" s="1392" t="n"/>
      <c r="BI1602" s="1392" t="n"/>
      <c r="BJ1602" s="1392" t="n"/>
      <c r="BK1602" s="1392" t="n"/>
      <c r="BL1602" s="1392" t="n"/>
      <c r="BM1602" s="1392" t="n"/>
      <c r="BN1602" s="1392" t="n"/>
      <c r="BO1602" s="1392" t="n"/>
      <c r="BP1602" s="1392" t="n"/>
      <c r="BQ1602" s="1392" t="n"/>
      <c r="BR1602" s="1392" t="n"/>
      <c r="BS1602" s="1392" t="n"/>
      <c r="BT1602" s="1392" t="n"/>
      <c r="BU1602" s="1392" t="n"/>
      <c r="BV1602" s="1392" t="n"/>
      <c r="BW1602" s="1392" t="n"/>
      <c r="BX1602" s="1392" t="n"/>
      <c r="BY1602" s="1392" t="n"/>
      <c r="BZ1602" s="1392" t="n"/>
      <c r="CA1602" s="1392" t="n"/>
      <c r="CB1602" s="1392" t="n"/>
      <c r="CC1602" s="1392" t="n"/>
      <c r="CD1602" s="1392" t="n"/>
      <c r="CE1602" s="1392" t="n"/>
      <c r="CF1602" s="1392" t="n"/>
      <c r="CG1602" s="1392" t="n"/>
      <c r="CH1602" s="1392" t="n"/>
      <c r="CI1602" s="1392" t="n"/>
      <c r="CJ1602" s="1392" t="n"/>
      <c r="CK1602" s="1392" t="n"/>
      <c r="CL1602" s="1392" t="n"/>
    </row>
    <row r="1603">
      <c r="A1603" s="5" t="inlineStr">
        <is>
          <t>.</t>
        </is>
      </c>
      <c r="B1603" s="5" t="inlineStr">
        <is>
          <t>.</t>
        </is>
      </c>
      <c r="C1603" s="1378">
        <f>IF(raw[[#This Row],[city]]="","-",IF(raw[[#This Row],[city]]="TODAY","-",C1602+1))</f>
        <v/>
      </c>
      <c r="D1603" s="1393" t="inlineStr">
        <is>
          <t>Victoriaville</t>
        </is>
      </c>
      <c r="E1603" s="1394" t="n">
        <v>44709</v>
      </c>
      <c r="F1603" s="1394" t="n">
        <v>44709</v>
      </c>
      <c r="G1603" s="1393" t="inlineStr">
        <is>
          <t>-</t>
        </is>
      </c>
      <c r="H1603" s="1393" t="inlineStr">
        <is>
          <t>Marie-Victorin</t>
        </is>
      </c>
      <c r="I1603" s="1393" t="inlineStr">
        <is>
          <t>-</t>
        </is>
      </c>
      <c r="J1603" s="1393" t="inlineStr">
        <is>
          <t>-</t>
        </is>
      </c>
      <c r="K1603" s="1395">
        <f>IF(raw[[#This Row],[city]]&lt;&gt;"",_xlfn.XLOOKUP($D1603,ccc[city],ccc[prov],"-"),"-")</f>
        <v/>
      </c>
      <c r="L1603" s="1395">
        <f>IF(raw[[#This Row],[city]]&lt;&gt;"",_xlfn.XLOOKUP($D1603,ccc[city],ccc[ctry],"-"),"-")</f>
        <v/>
      </c>
      <c r="M1603" s="1395">
        <f>IF(raw[[#This Row],[city]]&lt;&gt;"",_xlfn.XLOOKUP($D1603,ccc[city],ccc[cont],"-"),"-")</f>
        <v/>
      </c>
      <c r="N1603" s="1396">
        <f>IF(raw[[#This Row],[city]]="","-",IF(raw[[#This Row],[cont]]="B",raw[[#This Row],[cont]],"W"))</f>
        <v/>
      </c>
      <c r="O1603" s="1397">
        <f>IF(raw[[#This Row],[out]]=0,0,IF(raw[[#This Row],[out]]=raw[[#This Row],[in]],0.01,raw[[#This Row],[out]]-raw[[#This Row],[in]]))</f>
        <v/>
      </c>
      <c r="P1603" s="1397">
        <f>IF(raw[[#This Row],[in]]=0,0,MONTH(raw[[#This Row],[in]]))</f>
        <v/>
      </c>
      <c r="Q1603" s="1397">
        <f>IF(raw[[#This Row],[in]]=0,0,YEAR(raw[[#This Row],[in]]))</f>
        <v/>
      </c>
      <c r="R1603" s="1397">
        <f>INT(raw[[#This Row],[yr]]/10)*10</f>
        <v/>
      </c>
      <c r="S1603" s="1395">
        <f>IF(raw[[#This Row],[city]]="","-",IF(raw[[#This Row],[city]]&lt;&gt;_xlfn.XLOOKUP(raw[[#This Row],[home]],homes[home],homes[city],"-"),1,0))</f>
        <v/>
      </c>
      <c r="T1603" s="1398" t="inlineStr">
        <is>
          <t>.</t>
        </is>
      </c>
      <c r="U1603" s="1399">
        <f>IF(raw[[#This Row],[wb]]="w",raw[[#This Row],[stay]]+U1602,U1602)</f>
        <v/>
      </c>
      <c r="V1603" s="1400">
        <f>IF(raw[[#This Row],[out]]=0,V1602,(raw[[#This Row],[out]]-E$5))</f>
        <v/>
      </c>
      <c r="W1603" s="1401">
        <f>U1603/V1603</f>
        <v/>
      </c>
      <c r="X1603" s="1392" t="n"/>
      <c r="Y1603" s="1392" t="n"/>
      <c r="Z1603" s="1392" t="n"/>
      <c r="AA1603" s="1392" t="n"/>
      <c r="AB1603" s="1392" t="n"/>
      <c r="AC1603" s="1392" t="n"/>
      <c r="AD1603" s="1392" t="n"/>
      <c r="AE1603" s="1392" t="n"/>
      <c r="AF1603" s="1392" t="n"/>
      <c r="AG1603" s="1392" t="n"/>
      <c r="AH1603" s="1392" t="n"/>
      <c r="AI1603" s="1392" t="n"/>
      <c r="AJ1603" s="1392" t="n"/>
      <c r="AK1603" s="1392" t="n"/>
      <c r="AL1603" s="1392" t="n"/>
      <c r="AM1603" s="1392" t="n"/>
      <c r="AN1603" s="1392" t="n"/>
      <c r="AO1603" s="1392" t="n"/>
      <c r="AP1603" s="1392" t="n"/>
      <c r="AQ1603" s="1392" t="n"/>
      <c r="AR1603" s="1422" t="n"/>
      <c r="AS1603" s="1422" t="n"/>
      <c r="AT1603" s="1392" t="n"/>
      <c r="AU1603" s="1392" t="n"/>
      <c r="AV1603" s="1392" t="n"/>
      <c r="AW1603" s="1392" t="n"/>
      <c r="AX1603" s="1392" t="n"/>
      <c r="AY1603" s="1392" t="n"/>
      <c r="AZ1603" s="1392" t="n"/>
      <c r="BA1603" s="1422" t="n"/>
      <c r="BB1603" s="1422" t="n"/>
      <c r="BC1603" s="1392" t="n"/>
      <c r="BD1603" s="1392" t="n"/>
      <c r="BE1603" s="1392" t="n"/>
      <c r="BF1603" s="1392" t="n"/>
      <c r="BG1603" s="1392" t="n"/>
      <c r="BH1603" s="1392" t="n"/>
      <c r="BI1603" s="1392" t="n"/>
      <c r="BJ1603" s="1392" t="n"/>
      <c r="BK1603" s="1392" t="n"/>
      <c r="BL1603" s="1392" t="n"/>
      <c r="BM1603" s="1392" t="n"/>
      <c r="BN1603" s="1392" t="n"/>
      <c r="BO1603" s="1392" t="n"/>
      <c r="BP1603" s="1392" t="n"/>
      <c r="BQ1603" s="1392" t="n"/>
      <c r="BR1603" s="1392" t="n"/>
      <c r="BS1603" s="1392" t="n"/>
      <c r="BT1603" s="1392" t="n"/>
      <c r="BU1603" s="1392" t="n"/>
      <c r="BV1603" s="1392" t="n"/>
      <c r="BW1603" s="1392" t="n"/>
      <c r="BX1603" s="1392" t="n"/>
      <c r="BY1603" s="1392" t="n"/>
      <c r="BZ1603" s="1392" t="n"/>
      <c r="CA1603" s="1392" t="n"/>
      <c r="CB1603" s="1392" t="n"/>
      <c r="CC1603" s="1392" t="n"/>
      <c r="CD1603" s="1392" t="n"/>
      <c r="CE1603" s="1392" t="n"/>
      <c r="CF1603" s="1392" t="n"/>
      <c r="CG1603" s="1392" t="n"/>
      <c r="CH1603" s="1392" t="n"/>
      <c r="CI1603" s="1392" t="n"/>
      <c r="CJ1603" s="1392" t="n"/>
      <c r="CK1603" s="1392" t="n"/>
      <c r="CL1603" s="1392" t="n"/>
    </row>
    <row r="1604">
      <c r="A1604" s="5" t="inlineStr">
        <is>
          <t>.</t>
        </is>
      </c>
      <c r="B1604" s="5" t="inlineStr">
        <is>
          <t>.</t>
        </is>
      </c>
      <c r="C1604" s="1378">
        <f>IF(raw[[#This Row],[city]]="","-",IF(raw[[#This Row],[city]]="TODAY","-",C1603+1))</f>
        <v/>
      </c>
      <c r="D1604" s="1393" t="inlineStr">
        <is>
          <t>Princeville</t>
        </is>
      </c>
      <c r="E1604" s="1394" t="n">
        <v>44709</v>
      </c>
      <c r="F1604" s="1394" t="n">
        <v>44709</v>
      </c>
      <c r="G1604" s="1393" t="inlineStr">
        <is>
          <t>-</t>
        </is>
      </c>
      <c r="H1604" s="1393" t="inlineStr">
        <is>
          <t>Marie-Victorin</t>
        </is>
      </c>
      <c r="I1604" s="1393" t="n"/>
      <c r="J1604" s="1393" t="inlineStr">
        <is>
          <t>-</t>
        </is>
      </c>
      <c r="K1604" s="1395">
        <f>IF(raw[[#This Row],[city]]&lt;&gt;"",_xlfn.XLOOKUP($D1604,ccc[city],ccc[prov],"-"),"-")</f>
        <v/>
      </c>
      <c r="L1604" s="1395">
        <f>IF(raw[[#This Row],[city]]&lt;&gt;"",_xlfn.XLOOKUP($D1604,ccc[city],ccc[ctry],"-"),"-")</f>
        <v/>
      </c>
      <c r="M1604" s="1395">
        <f>IF(raw[[#This Row],[city]]&lt;&gt;"",_xlfn.XLOOKUP($D1604,ccc[city],ccc[cont],"-"),"-")</f>
        <v/>
      </c>
      <c r="N1604" s="1396">
        <f>IF(raw[[#This Row],[city]]="","-",IF(raw[[#This Row],[cont]]="B",raw[[#This Row],[cont]],"W"))</f>
        <v/>
      </c>
      <c r="O1604" s="1397">
        <f>IF(raw[[#This Row],[out]]=0,0,IF(raw[[#This Row],[out]]=raw[[#This Row],[in]],0.01,raw[[#This Row],[out]]-raw[[#This Row],[in]]))</f>
        <v/>
      </c>
      <c r="P1604" s="1397">
        <f>IF(raw[[#This Row],[in]]=0,0,MONTH(raw[[#This Row],[in]]))</f>
        <v/>
      </c>
      <c r="Q1604" s="1397">
        <f>IF(raw[[#This Row],[in]]=0,0,YEAR(raw[[#This Row],[in]]))</f>
        <v/>
      </c>
      <c r="R1604" s="1397">
        <f>INT(raw[[#This Row],[yr]]/10)*10</f>
        <v/>
      </c>
      <c r="S1604" s="1395">
        <f>IF(raw[[#This Row],[city]]="","-",IF(raw[[#This Row],[city]]&lt;&gt;_xlfn.XLOOKUP(raw[[#This Row],[home]],homes[home],homes[city],"-"),1,0))</f>
        <v/>
      </c>
      <c r="T1604" s="1398" t="inlineStr">
        <is>
          <t>.</t>
        </is>
      </c>
      <c r="U1604" s="1399">
        <f>IF(raw[[#This Row],[wb]]="w",raw[[#This Row],[stay]]+U1603,U1603)</f>
        <v/>
      </c>
      <c r="V1604" s="1400">
        <f>IF(raw[[#This Row],[out]]=0,V1603,(raw[[#This Row],[out]]-E$5))</f>
        <v/>
      </c>
      <c r="W1604" s="1401">
        <f>U1604/V1604</f>
        <v/>
      </c>
      <c r="X1604" s="1392" t="n"/>
      <c r="Y1604" s="1392" t="n"/>
      <c r="Z1604" s="1392" t="n"/>
      <c r="AA1604" s="1392" t="n"/>
      <c r="AB1604" s="1392" t="n"/>
      <c r="AC1604" s="1392" t="n"/>
      <c r="AD1604" s="1392" t="n"/>
      <c r="AE1604" s="1392" t="n"/>
      <c r="AF1604" s="1392" t="n"/>
      <c r="AG1604" s="1392" t="n"/>
      <c r="AH1604" s="1392" t="n"/>
      <c r="AI1604" s="1392" t="n"/>
      <c r="AJ1604" s="1392" t="n"/>
      <c r="AK1604" s="1392" t="n"/>
      <c r="AL1604" s="1392" t="n"/>
      <c r="AM1604" s="1392" t="n"/>
      <c r="AN1604" s="1392" t="n"/>
      <c r="AO1604" s="1392" t="n"/>
      <c r="AP1604" s="1392" t="n"/>
      <c r="AQ1604" s="1392" t="n"/>
      <c r="AR1604" s="1422" t="n"/>
      <c r="AS1604" s="1422" t="n"/>
      <c r="AT1604" s="1392" t="n"/>
      <c r="AU1604" s="1392" t="n"/>
      <c r="AV1604" s="1392" t="n"/>
      <c r="AW1604" s="1392" t="n"/>
      <c r="AX1604" s="1392" t="n"/>
      <c r="AY1604" s="1392" t="n"/>
      <c r="AZ1604" s="1392" t="n"/>
      <c r="BA1604" s="1422" t="n"/>
      <c r="BB1604" s="1422" t="n"/>
      <c r="BC1604" s="1392" t="n"/>
      <c r="BD1604" s="1392" t="n"/>
      <c r="BE1604" s="1392" t="n"/>
      <c r="BF1604" s="1392" t="n"/>
      <c r="BG1604" s="1392" t="n"/>
      <c r="BH1604" s="1392" t="n"/>
      <c r="BI1604" s="1392" t="n"/>
      <c r="BJ1604" s="1392" t="n"/>
      <c r="BK1604" s="1392" t="n"/>
      <c r="BL1604" s="1392" t="n"/>
      <c r="BM1604" s="1392" t="n"/>
      <c r="BN1604" s="1392" t="n"/>
      <c r="BO1604" s="1392" t="n"/>
      <c r="BP1604" s="1392" t="n"/>
      <c r="BQ1604" s="1392" t="n"/>
      <c r="BR1604" s="1392" t="n"/>
      <c r="BS1604" s="1392" t="n"/>
      <c r="BT1604" s="1392" t="n"/>
      <c r="BU1604" s="1392" t="n"/>
      <c r="BV1604" s="1392" t="n"/>
      <c r="BW1604" s="1392" t="n"/>
      <c r="BX1604" s="1392" t="n"/>
      <c r="BY1604" s="1392" t="n"/>
      <c r="BZ1604" s="1392" t="n"/>
      <c r="CA1604" s="1392" t="n"/>
      <c r="CB1604" s="1392" t="n"/>
      <c r="CC1604" s="1392" t="n"/>
      <c r="CD1604" s="1392" t="n"/>
      <c r="CE1604" s="1392" t="n"/>
      <c r="CF1604" s="1392" t="n"/>
      <c r="CG1604" s="1392" t="n"/>
      <c r="CH1604" s="1392" t="n"/>
      <c r="CI1604" s="1392" t="n"/>
      <c r="CJ1604" s="1392" t="n"/>
      <c r="CK1604" s="1392" t="n"/>
      <c r="CL1604" s="1392" t="n"/>
    </row>
    <row r="1605">
      <c r="A1605" s="5" t="inlineStr">
        <is>
          <t>.</t>
        </is>
      </c>
      <c r="B1605" s="5" t="inlineStr">
        <is>
          <t>.</t>
        </is>
      </c>
      <c r="C1605" s="1378">
        <f>IF(raw[[#This Row],[city]]="","-",IF(raw[[#This Row],[city]]="TODAY","-",C1604+1))</f>
        <v/>
      </c>
      <c r="D1605" s="1393" t="inlineStr">
        <is>
          <t>Lyster</t>
        </is>
      </c>
      <c r="E1605" s="1394" t="n">
        <v>44709</v>
      </c>
      <c r="F1605" s="1394" t="n">
        <v>44710</v>
      </c>
      <c r="G1605" s="1393" t="inlineStr">
        <is>
          <t>-</t>
        </is>
      </c>
      <c r="H1605" s="1393" t="inlineStr">
        <is>
          <t>Marie-Victorin</t>
        </is>
      </c>
      <c r="I1605" s="1393" t="inlineStr">
        <is>
          <t>-</t>
        </is>
      </c>
      <c r="J1605" s="1393" t="inlineStr">
        <is>
          <t>-</t>
        </is>
      </c>
      <c r="K1605" s="1395">
        <f>IF(raw[[#This Row],[city]]&lt;&gt;"",_xlfn.XLOOKUP($D1605,ccc[city],ccc[prov],"-"),"-")</f>
        <v/>
      </c>
      <c r="L1605" s="1395">
        <f>IF(raw[[#This Row],[city]]&lt;&gt;"",_xlfn.XLOOKUP($D1605,ccc[city],ccc[ctry],"-"),"-")</f>
        <v/>
      </c>
      <c r="M1605" s="1395">
        <f>IF(raw[[#This Row],[city]]&lt;&gt;"",_xlfn.XLOOKUP($D1605,ccc[city],ccc[cont],"-"),"-")</f>
        <v/>
      </c>
      <c r="N1605" s="1396">
        <f>IF(raw[[#This Row],[city]]="","-",IF(raw[[#This Row],[cont]]="B",raw[[#This Row],[cont]],"W"))</f>
        <v/>
      </c>
      <c r="O1605" s="1397">
        <f>IF(raw[[#This Row],[out]]=0,0,IF(raw[[#This Row],[out]]=raw[[#This Row],[in]],0.01,raw[[#This Row],[out]]-raw[[#This Row],[in]]))</f>
        <v/>
      </c>
      <c r="P1605" s="1397">
        <f>IF(raw[[#This Row],[in]]=0,0,MONTH(raw[[#This Row],[in]]))</f>
        <v/>
      </c>
      <c r="Q1605" s="1397">
        <f>IF(raw[[#This Row],[in]]=0,0,YEAR(raw[[#This Row],[in]]))</f>
        <v/>
      </c>
      <c r="R1605" s="1397">
        <f>INT(raw[[#This Row],[yr]]/10)*10</f>
        <v/>
      </c>
      <c r="S1605" s="1395">
        <f>IF(raw[[#This Row],[city]]="","-",IF(raw[[#This Row],[city]]&lt;&gt;_xlfn.XLOOKUP(raw[[#This Row],[home]],homes[home],homes[city],"-"),1,0))</f>
        <v/>
      </c>
      <c r="T1605" s="1398" t="inlineStr">
        <is>
          <t>.</t>
        </is>
      </c>
      <c r="U1605" s="1399">
        <f>IF(raw[[#This Row],[wb]]="w",raw[[#This Row],[stay]]+U1604,U1604)</f>
        <v/>
      </c>
      <c r="V1605" s="1400">
        <f>IF(raw[[#This Row],[out]]=0,V1604,(raw[[#This Row],[out]]-E$5))</f>
        <v/>
      </c>
      <c r="W1605" s="1401">
        <f>U1605/V1605</f>
        <v/>
      </c>
      <c r="X1605" s="1392" t="n"/>
      <c r="Y1605" s="1392" t="n"/>
      <c r="Z1605" s="1392" t="n"/>
      <c r="AA1605" s="1392" t="n"/>
      <c r="AB1605" s="1392" t="n"/>
      <c r="AC1605" s="1392" t="n"/>
      <c r="AD1605" s="1392" t="n"/>
      <c r="AE1605" s="1392" t="n"/>
      <c r="AF1605" s="1392" t="n"/>
      <c r="AG1605" s="1392" t="n"/>
      <c r="AH1605" s="1392" t="n"/>
      <c r="AI1605" s="1392" t="n"/>
      <c r="AJ1605" s="1392" t="n"/>
      <c r="AK1605" s="1392" t="n"/>
      <c r="AL1605" s="1392" t="n"/>
      <c r="AM1605" s="1392" t="n"/>
      <c r="AN1605" s="1392" t="n"/>
      <c r="AO1605" s="1392" t="n"/>
      <c r="AP1605" s="1392" t="n"/>
      <c r="AQ1605" s="1392" t="n"/>
      <c r="AR1605" s="1422" t="n"/>
      <c r="AS1605" s="1422" t="n"/>
      <c r="AT1605" s="1392" t="n"/>
      <c r="AU1605" s="1392" t="n"/>
      <c r="AV1605" s="1392" t="n"/>
      <c r="AW1605" s="1392" t="n"/>
      <c r="AX1605" s="1392" t="n"/>
      <c r="AY1605" s="1392" t="n"/>
      <c r="AZ1605" s="1392" t="n"/>
      <c r="BA1605" s="1422" t="n"/>
      <c r="BB1605" s="1422" t="n"/>
      <c r="BC1605" s="1392" t="n"/>
      <c r="BD1605" s="1392" t="n"/>
      <c r="BE1605" s="1392" t="n"/>
      <c r="BF1605" s="1392" t="n"/>
      <c r="BG1605" s="1392" t="n"/>
      <c r="BH1605" s="1392" t="n"/>
      <c r="BI1605" s="1392" t="n"/>
      <c r="BJ1605" s="1392" t="n"/>
      <c r="BK1605" s="1392" t="n"/>
      <c r="BL1605" s="1392" t="n"/>
      <c r="BM1605" s="1392" t="n"/>
      <c r="BN1605" s="1392" t="n"/>
      <c r="BO1605" s="1392" t="n"/>
      <c r="BP1605" s="1392" t="n"/>
      <c r="BQ1605" s="1392" t="n"/>
      <c r="BR1605" s="1392" t="n"/>
      <c r="BS1605" s="1392" t="n"/>
      <c r="BT1605" s="1392" t="n"/>
      <c r="BU1605" s="1392" t="n"/>
      <c r="BV1605" s="1392" t="n"/>
      <c r="BW1605" s="1392" t="n"/>
      <c r="BX1605" s="1392" t="n"/>
      <c r="BY1605" s="1392" t="n"/>
      <c r="BZ1605" s="1392" t="n"/>
      <c r="CA1605" s="1392" t="n"/>
      <c r="CB1605" s="1392" t="n"/>
      <c r="CC1605" s="1392" t="n"/>
      <c r="CD1605" s="1392" t="n"/>
      <c r="CE1605" s="1392" t="n"/>
      <c r="CF1605" s="1392" t="n"/>
      <c r="CG1605" s="1392" t="n"/>
      <c r="CH1605" s="1392" t="n"/>
      <c r="CI1605" s="1392" t="n"/>
      <c r="CJ1605" s="1392" t="n"/>
      <c r="CK1605" s="1392" t="n"/>
      <c r="CL1605" s="1392" t="n"/>
    </row>
    <row r="1606">
      <c r="A1606" s="5" t="inlineStr">
        <is>
          <t>.</t>
        </is>
      </c>
      <c r="B1606" s="5" t="inlineStr">
        <is>
          <t>.</t>
        </is>
      </c>
      <c r="C1606" s="1378">
        <f>IF(raw[[#This Row],[city]]="","-",IF(raw[[#This Row],[city]]="TODAY","-",C1605+1))</f>
        <v/>
      </c>
      <c r="D1606" s="1393" t="inlineStr">
        <is>
          <t>Montreal</t>
        </is>
      </c>
      <c r="E1606" s="1394" t="n">
        <v>44710</v>
      </c>
      <c r="F1606" s="1394" t="n">
        <v>44713</v>
      </c>
      <c r="G1606" s="1393" t="inlineStr">
        <is>
          <t>-</t>
        </is>
      </c>
      <c r="H1606" s="1393" t="inlineStr">
        <is>
          <t>Marie-Victorin</t>
        </is>
      </c>
      <c r="I1606" s="1393" t="inlineStr">
        <is>
          <t>-</t>
        </is>
      </c>
      <c r="J1606" s="1393" t="inlineStr">
        <is>
          <t>-</t>
        </is>
      </c>
      <c r="K1606" s="1395">
        <f>IF(raw[[#This Row],[city]]&lt;&gt;"",_xlfn.XLOOKUP($D1606,ccc[city],ccc[prov],"-"),"-")</f>
        <v/>
      </c>
      <c r="L1606" s="1395">
        <f>IF(raw[[#This Row],[city]]&lt;&gt;"",_xlfn.XLOOKUP($D1606,ccc[city],ccc[ctry],"-"),"-")</f>
        <v/>
      </c>
      <c r="M1606" s="1395">
        <f>IF(raw[[#This Row],[city]]&lt;&gt;"",_xlfn.XLOOKUP($D1606,ccc[city],ccc[cont],"-"),"-")</f>
        <v/>
      </c>
      <c r="N1606" s="1396">
        <f>IF(raw[[#This Row],[city]]="","-",IF(raw[[#This Row],[cont]]="B",raw[[#This Row],[cont]],"W"))</f>
        <v/>
      </c>
      <c r="O1606" s="1397">
        <f>IF(raw[[#This Row],[out]]=0,0,IF(raw[[#This Row],[out]]=raw[[#This Row],[in]],0.01,raw[[#This Row],[out]]-raw[[#This Row],[in]]))</f>
        <v/>
      </c>
      <c r="P1606" s="1397">
        <f>IF(raw[[#This Row],[in]]=0,0,MONTH(raw[[#This Row],[in]]))</f>
        <v/>
      </c>
      <c r="Q1606" s="1397">
        <f>IF(raw[[#This Row],[in]]=0,0,YEAR(raw[[#This Row],[in]]))</f>
        <v/>
      </c>
      <c r="R1606" s="1397">
        <f>INT(raw[[#This Row],[yr]]/10)*10</f>
        <v/>
      </c>
      <c r="S1606" s="1395">
        <f>IF(raw[[#This Row],[city]]="","-",IF(raw[[#This Row],[city]]&lt;&gt;_xlfn.XLOOKUP(raw[[#This Row],[home]],homes[home],homes[city],"-"),1,0))</f>
        <v/>
      </c>
      <c r="T1606" s="1398" t="inlineStr">
        <is>
          <t>.</t>
        </is>
      </c>
      <c r="U1606" s="1399">
        <f>IF(raw[[#This Row],[wb]]="w",raw[[#This Row],[stay]]+U1605,U1605)</f>
        <v/>
      </c>
      <c r="V1606" s="1400">
        <f>IF(raw[[#This Row],[out]]=0,V1605,(raw[[#This Row],[out]]-E$5))</f>
        <v/>
      </c>
      <c r="W1606" s="1401">
        <f>U1606/V1606</f>
        <v/>
      </c>
      <c r="X1606" s="1392" t="n"/>
      <c r="Y1606" s="1392" t="n"/>
      <c r="Z1606" s="1392" t="n"/>
      <c r="AA1606" s="1392" t="n"/>
      <c r="AB1606" s="1392" t="n"/>
      <c r="AC1606" s="1392" t="n"/>
      <c r="AD1606" s="1392" t="n"/>
      <c r="AE1606" s="1392" t="n"/>
      <c r="AF1606" s="1392" t="n"/>
      <c r="AG1606" s="1392" t="n"/>
      <c r="AH1606" s="1392" t="n"/>
      <c r="AI1606" s="1392" t="n"/>
      <c r="AJ1606" s="1392" t="n"/>
      <c r="AK1606" s="1392" t="n"/>
      <c r="AL1606" s="1392" t="n"/>
      <c r="AM1606" s="1392" t="n"/>
      <c r="AN1606" s="1392" t="n"/>
      <c r="AO1606" s="1392" t="n"/>
      <c r="AP1606" s="1392" t="n"/>
      <c r="AQ1606" s="1392" t="n"/>
      <c r="AR1606" s="1422" t="n"/>
      <c r="AS1606" s="1422" t="n"/>
      <c r="AT1606" s="1392" t="n"/>
      <c r="AU1606" s="1392" t="n"/>
      <c r="AV1606" s="1392" t="n"/>
      <c r="AW1606" s="1392" t="n"/>
      <c r="AX1606" s="1392" t="n"/>
      <c r="AY1606" s="1392" t="n"/>
      <c r="AZ1606" s="1392" t="n"/>
      <c r="BA1606" s="1422" t="n"/>
      <c r="BB1606" s="1422" t="n"/>
      <c r="BC1606" s="1392" t="n"/>
      <c r="BD1606" s="1392" t="n"/>
      <c r="BE1606" s="1392" t="n"/>
      <c r="BF1606" s="1392" t="n"/>
      <c r="BG1606" s="1392" t="n"/>
      <c r="BH1606" s="1392" t="n"/>
      <c r="BI1606" s="1392" t="n"/>
      <c r="BJ1606" s="1392" t="n"/>
      <c r="BK1606" s="1392" t="n"/>
      <c r="BL1606" s="1392" t="n"/>
      <c r="BM1606" s="1392" t="n"/>
      <c r="BN1606" s="1392" t="n"/>
      <c r="BO1606" s="1392" t="n"/>
      <c r="BP1606" s="1392" t="n"/>
      <c r="BQ1606" s="1392" t="n"/>
      <c r="BR1606" s="1392" t="n"/>
      <c r="BS1606" s="1392" t="n"/>
      <c r="BT1606" s="1392" t="n"/>
      <c r="BU1606" s="1392" t="n"/>
      <c r="BV1606" s="1392" t="n"/>
      <c r="BW1606" s="1392" t="n"/>
      <c r="BX1606" s="1392" t="n"/>
      <c r="BY1606" s="1392" t="n"/>
      <c r="BZ1606" s="1392" t="n"/>
      <c r="CA1606" s="1392" t="n"/>
      <c r="CB1606" s="1392" t="n"/>
      <c r="CC1606" s="1392" t="n"/>
      <c r="CD1606" s="1392" t="n"/>
      <c r="CE1606" s="1392" t="n"/>
      <c r="CF1606" s="1392" t="n"/>
      <c r="CG1606" s="1392" t="n"/>
      <c r="CH1606" s="1392" t="n"/>
      <c r="CI1606" s="1392" t="n"/>
      <c r="CJ1606" s="1392" t="n"/>
      <c r="CK1606" s="1392" t="n"/>
      <c r="CL1606" s="1392" t="n"/>
    </row>
    <row r="1607">
      <c r="A1607" s="5" t="inlineStr">
        <is>
          <t>.</t>
        </is>
      </c>
      <c r="B1607" s="5" t="inlineStr">
        <is>
          <t>.</t>
        </is>
      </c>
      <c r="C1607" s="1378">
        <f>IF(raw[[#This Row],[city]]="","-",IF(raw[[#This Row],[city]]="TODAY","-",C1606+1))</f>
        <v/>
      </c>
      <c r="D1607" s="1393" t="inlineStr">
        <is>
          <t>Montreal</t>
        </is>
      </c>
      <c r="E1607" s="1394" t="n">
        <v>44713</v>
      </c>
      <c r="F1607" s="1394" t="n">
        <v>44722</v>
      </c>
      <c r="G1607" s="1393" t="inlineStr">
        <is>
          <t>-</t>
        </is>
      </c>
      <c r="H1607" s="1393" t="inlineStr">
        <is>
          <t>Marie-Victorin</t>
        </is>
      </c>
      <c r="I1607" s="1393" t="inlineStr">
        <is>
          <t>-</t>
        </is>
      </c>
      <c r="J1607" s="1393" t="inlineStr">
        <is>
          <t>-</t>
        </is>
      </c>
      <c r="K1607" s="1395">
        <f>IF(raw[[#This Row],[city]]&lt;&gt;"",_xlfn.XLOOKUP($D1607,ccc[city],ccc[prov],"-"),"-")</f>
        <v/>
      </c>
      <c r="L1607" s="1395">
        <f>IF(raw[[#This Row],[city]]&lt;&gt;"",_xlfn.XLOOKUP($D1607,ccc[city],ccc[ctry],"-"),"-")</f>
        <v/>
      </c>
      <c r="M1607" s="1395">
        <f>IF(raw[[#This Row],[city]]&lt;&gt;"",_xlfn.XLOOKUP($D1607,ccc[city],ccc[cont],"-"),"-")</f>
        <v/>
      </c>
      <c r="N1607" s="1396">
        <f>IF(raw[[#This Row],[city]]="","-",IF(raw[[#This Row],[cont]]="B",raw[[#This Row],[cont]],"W"))</f>
        <v/>
      </c>
      <c r="O1607" s="1397">
        <f>IF(raw[[#This Row],[out]]=0,0,IF(raw[[#This Row],[out]]=raw[[#This Row],[in]],0.01,raw[[#This Row],[out]]-raw[[#This Row],[in]]))</f>
        <v/>
      </c>
      <c r="P1607" s="1397">
        <f>IF(raw[[#This Row],[in]]=0,0,MONTH(raw[[#This Row],[in]]))</f>
        <v/>
      </c>
      <c r="Q1607" s="1397">
        <f>IF(raw[[#This Row],[in]]=0,0,YEAR(raw[[#This Row],[in]]))</f>
        <v/>
      </c>
      <c r="R1607" s="1397">
        <f>INT(raw[[#This Row],[yr]]/10)*10</f>
        <v/>
      </c>
      <c r="S1607" s="1395">
        <f>IF(raw[[#This Row],[city]]="","-",IF(raw[[#This Row],[city]]&lt;&gt;_xlfn.XLOOKUP(raw[[#This Row],[home]],homes[home],homes[city],"-"),1,0))</f>
        <v/>
      </c>
      <c r="T1607" s="1398" t="inlineStr">
        <is>
          <t>.</t>
        </is>
      </c>
      <c r="U1607" s="1399">
        <f>IF(raw[[#This Row],[wb]]="w",raw[[#This Row],[stay]]+U1606,U1606)</f>
        <v/>
      </c>
      <c r="V1607" s="1400">
        <f>IF(raw[[#This Row],[out]]=0,V1606,(raw[[#This Row],[out]]-E$5))</f>
        <v/>
      </c>
      <c r="W1607" s="1401">
        <f>U1607/V1607</f>
        <v/>
      </c>
      <c r="X1607" s="1392" t="n"/>
      <c r="Y1607" s="1392" t="n"/>
      <c r="Z1607" s="1392" t="n"/>
      <c r="AA1607" s="1392" t="n"/>
      <c r="AB1607" s="1392" t="n"/>
      <c r="AC1607" s="1392" t="n"/>
      <c r="AD1607" s="1392" t="n"/>
      <c r="AE1607" s="1392" t="n"/>
      <c r="AF1607" s="1392" t="n"/>
      <c r="AG1607" s="1392" t="n"/>
      <c r="AH1607" s="1392" t="n"/>
      <c r="AI1607" s="1392" t="n"/>
      <c r="AJ1607" s="1392" t="n"/>
      <c r="AK1607" s="1392" t="n"/>
      <c r="AL1607" s="1392" t="n"/>
      <c r="AM1607" s="1392" t="n"/>
      <c r="AN1607" s="1392" t="n"/>
      <c r="AO1607" s="1392" t="n"/>
      <c r="AP1607" s="1392" t="n"/>
      <c r="AQ1607" s="1392" t="n"/>
      <c r="AR1607" s="1422" t="n"/>
      <c r="AS1607" s="1422" t="n"/>
      <c r="AT1607" s="1392" t="n"/>
      <c r="AU1607" s="1392" t="n"/>
      <c r="AV1607" s="1392" t="n"/>
      <c r="AW1607" s="1392" t="n"/>
      <c r="AX1607" s="1392" t="n"/>
      <c r="AY1607" s="1392" t="n"/>
      <c r="AZ1607" s="1392" t="n"/>
      <c r="BA1607" s="1422" t="n"/>
      <c r="BB1607" s="1422" t="n"/>
      <c r="BC1607" s="1392" t="n"/>
      <c r="BD1607" s="1392" t="n"/>
      <c r="BE1607" s="1392" t="n"/>
      <c r="BF1607" s="1392" t="n"/>
      <c r="BG1607" s="1392" t="n"/>
      <c r="BH1607" s="1392" t="n"/>
      <c r="BI1607" s="1392" t="n"/>
      <c r="BJ1607" s="1392" t="n"/>
      <c r="BK1607" s="1392" t="n"/>
      <c r="BL1607" s="1392" t="n"/>
      <c r="BM1607" s="1392" t="n"/>
      <c r="BN1607" s="1392" t="n"/>
      <c r="BO1607" s="1392" t="n"/>
      <c r="BP1607" s="1392" t="n"/>
      <c r="BQ1607" s="1392" t="n"/>
      <c r="BR1607" s="1392" t="n"/>
      <c r="BS1607" s="1392" t="n"/>
      <c r="BT1607" s="1392" t="n"/>
      <c r="BU1607" s="1392" t="n"/>
      <c r="BV1607" s="1392" t="n"/>
      <c r="BW1607" s="1392" t="n"/>
      <c r="BX1607" s="1392" t="n"/>
      <c r="BY1607" s="1392" t="n"/>
      <c r="BZ1607" s="1392" t="n"/>
      <c r="CA1607" s="1392" t="n"/>
      <c r="CB1607" s="1392" t="n"/>
      <c r="CC1607" s="1392" t="n"/>
      <c r="CD1607" s="1392" t="n"/>
      <c r="CE1607" s="1392" t="n"/>
      <c r="CF1607" s="1392" t="n"/>
      <c r="CG1607" s="1392" t="n"/>
      <c r="CH1607" s="1392" t="n"/>
      <c r="CI1607" s="1392" t="n"/>
      <c r="CJ1607" s="1392" t="n"/>
      <c r="CK1607" s="1392" t="n"/>
      <c r="CL1607" s="1392" t="n"/>
    </row>
    <row r="1608">
      <c r="A1608" s="5" t="inlineStr">
        <is>
          <t>.</t>
        </is>
      </c>
      <c r="B1608" s="5" t="inlineStr">
        <is>
          <t>.</t>
        </is>
      </c>
      <c r="C1608" s="1378">
        <f>IF(raw[[#This Row],[city]]="","-",IF(raw[[#This Row],[city]]="TODAY","-",C1607+1))</f>
        <v/>
      </c>
      <c r="D1608" s="1393" t="inlineStr">
        <is>
          <t>Carignan</t>
        </is>
      </c>
      <c r="E1608" s="1394" t="n">
        <v>44722</v>
      </c>
      <c r="F1608" s="1394" t="n">
        <v>44723</v>
      </c>
      <c r="G1608" s="1393" t="inlineStr">
        <is>
          <t>-</t>
        </is>
      </c>
      <c r="H1608" s="1393" t="inlineStr">
        <is>
          <t>Marie-Victorin</t>
        </is>
      </c>
      <c r="I1608" s="1393" t="inlineStr">
        <is>
          <t>Marcelo/Carignan</t>
        </is>
      </c>
      <c r="J1608" s="1393" t="inlineStr">
        <is>
          <t>-</t>
        </is>
      </c>
      <c r="K1608" s="1395">
        <f>IF(raw[[#This Row],[city]]&lt;&gt;"",_xlfn.XLOOKUP($D1608,ccc[city],ccc[prov],"-"),"-")</f>
        <v/>
      </c>
      <c r="L1608" s="1395">
        <f>IF(raw[[#This Row],[city]]&lt;&gt;"",_xlfn.XLOOKUP($D1608,ccc[city],ccc[ctry],"-"),"-")</f>
        <v/>
      </c>
      <c r="M1608" s="1395">
        <f>IF(raw[[#This Row],[city]]&lt;&gt;"",_xlfn.XLOOKUP($D1608,ccc[city],ccc[cont],"-"),"-")</f>
        <v/>
      </c>
      <c r="N1608" s="1396">
        <f>IF(raw[[#This Row],[city]]="","-",IF(raw[[#This Row],[cont]]="B",raw[[#This Row],[cont]],"W"))</f>
        <v/>
      </c>
      <c r="O1608" s="1397">
        <f>IF(raw[[#This Row],[out]]=0,0,IF(raw[[#This Row],[out]]=raw[[#This Row],[in]],0.01,raw[[#This Row],[out]]-raw[[#This Row],[in]]))</f>
        <v/>
      </c>
      <c r="P1608" s="1397">
        <f>IF(raw[[#This Row],[in]]=0,0,MONTH(raw[[#This Row],[in]]))</f>
        <v/>
      </c>
      <c r="Q1608" s="1397">
        <f>IF(raw[[#This Row],[in]]=0,0,YEAR(raw[[#This Row],[in]]))</f>
        <v/>
      </c>
      <c r="R1608" s="1397">
        <f>INT(raw[[#This Row],[yr]]/10)*10</f>
        <v/>
      </c>
      <c r="S1608" s="1395">
        <f>IF(raw[[#This Row],[city]]="","-",IF(raw[[#This Row],[city]]&lt;&gt;_xlfn.XLOOKUP(raw[[#This Row],[home]],homes[home],homes[city],"-"),1,0))</f>
        <v/>
      </c>
      <c r="T1608" s="1398" t="inlineStr">
        <is>
          <t>.</t>
        </is>
      </c>
      <c r="U1608" s="1399">
        <f>IF(raw[[#This Row],[wb]]="w",raw[[#This Row],[stay]]+U1607,U1607)</f>
        <v/>
      </c>
      <c r="V1608" s="1400">
        <f>IF(raw[[#This Row],[out]]=0,V1607,(raw[[#This Row],[out]]-E$5))</f>
        <v/>
      </c>
      <c r="W1608" s="1401">
        <f>U1608/V1608</f>
        <v/>
      </c>
      <c r="X1608" s="1392" t="n"/>
      <c r="Y1608" s="1392" t="n"/>
      <c r="Z1608" s="1392" t="n"/>
      <c r="AA1608" s="1392" t="n"/>
      <c r="AB1608" s="1392" t="n"/>
      <c r="AC1608" s="1392" t="n"/>
      <c r="AD1608" s="1392" t="n"/>
      <c r="AE1608" s="1392" t="n"/>
      <c r="AF1608" s="1392" t="n"/>
      <c r="AG1608" s="1392" t="n"/>
      <c r="AH1608" s="1392" t="n"/>
      <c r="AI1608" s="1392" t="n"/>
      <c r="AJ1608" s="1392" t="n"/>
      <c r="AK1608" s="1392" t="n"/>
      <c r="AL1608" s="1392" t="n"/>
      <c r="AM1608" s="1392" t="n"/>
      <c r="AN1608" s="1392" t="n"/>
      <c r="AO1608" s="1392" t="n"/>
      <c r="AP1608" s="1392" t="n"/>
      <c r="AQ1608" s="1392" t="n"/>
      <c r="AR1608" s="1422" t="n"/>
      <c r="AS1608" s="1422" t="n"/>
      <c r="AT1608" s="1392" t="n"/>
      <c r="AU1608" s="1392" t="n"/>
      <c r="AV1608" s="1392" t="n"/>
      <c r="AW1608" s="1392" t="n"/>
      <c r="AX1608" s="1392" t="n"/>
      <c r="AY1608" s="1392" t="n"/>
      <c r="AZ1608" s="1392" t="n"/>
      <c r="BA1608" s="1422" t="n"/>
      <c r="BB1608" s="1422" t="n"/>
      <c r="BC1608" s="1392" t="n"/>
      <c r="BD1608" s="1392" t="n"/>
      <c r="BE1608" s="1392" t="n"/>
      <c r="BF1608" s="1392" t="n"/>
      <c r="BG1608" s="1392" t="n"/>
      <c r="BH1608" s="1392" t="n"/>
      <c r="BI1608" s="1392" t="n"/>
      <c r="BJ1608" s="1392" t="n"/>
      <c r="BK1608" s="1392" t="n"/>
      <c r="BL1608" s="1392" t="n"/>
      <c r="BM1608" s="1392" t="n"/>
      <c r="BN1608" s="1392" t="n"/>
      <c r="BO1608" s="1392" t="n"/>
      <c r="BP1608" s="1392" t="n"/>
      <c r="BQ1608" s="1392" t="n"/>
      <c r="BR1608" s="1392" t="n"/>
      <c r="BS1608" s="1392" t="n"/>
      <c r="BT1608" s="1392" t="n"/>
      <c r="BU1608" s="1392" t="n"/>
      <c r="BV1608" s="1392" t="n"/>
      <c r="BW1608" s="1392" t="n"/>
      <c r="BX1608" s="1392" t="n"/>
      <c r="BY1608" s="1392" t="n"/>
      <c r="BZ1608" s="1392" t="n"/>
      <c r="CA1608" s="1392" t="n"/>
      <c r="CB1608" s="1392" t="n"/>
      <c r="CC1608" s="1392" t="n"/>
      <c r="CD1608" s="1392" t="n"/>
      <c r="CE1608" s="1392" t="n"/>
      <c r="CF1608" s="1392" t="n"/>
      <c r="CG1608" s="1392" t="n"/>
      <c r="CH1608" s="1392" t="n"/>
      <c r="CI1608" s="1392" t="n"/>
      <c r="CJ1608" s="1392" t="n"/>
      <c r="CK1608" s="1392" t="n"/>
      <c r="CL1608" s="1392" t="n"/>
    </row>
    <row r="1609">
      <c r="A1609" s="5" t="inlineStr">
        <is>
          <t>.</t>
        </is>
      </c>
      <c r="B1609" s="5" t="inlineStr">
        <is>
          <t>.</t>
        </is>
      </c>
      <c r="C1609" s="1378">
        <f>IF(raw[[#This Row],[city]]="","-",IF(raw[[#This Row],[city]]="TODAY","-",C1608+1))</f>
        <v/>
      </c>
      <c r="D1609" s="1393" t="inlineStr">
        <is>
          <t>Bois des Filion</t>
        </is>
      </c>
      <c r="E1609" s="1394" t="n">
        <v>44723</v>
      </c>
      <c r="F1609" s="1394" t="n">
        <v>44723</v>
      </c>
      <c r="G1609" s="1393" t="inlineStr">
        <is>
          <t>-</t>
        </is>
      </c>
      <c r="H1609" s="1393" t="inlineStr">
        <is>
          <t>Marie-Victorin</t>
        </is>
      </c>
      <c r="I1609" s="1393" t="inlineStr">
        <is>
          <t>-</t>
        </is>
      </c>
      <c r="J1609" s="1393" t="inlineStr">
        <is>
          <t>-</t>
        </is>
      </c>
      <c r="K1609" s="1395">
        <f>IF(raw[[#This Row],[city]]&lt;&gt;"",_xlfn.XLOOKUP($D1609,ccc[city],ccc[prov],"-"),"-")</f>
        <v/>
      </c>
      <c r="L1609" s="1395">
        <f>IF(raw[[#This Row],[city]]&lt;&gt;"",_xlfn.XLOOKUP($D1609,ccc[city],ccc[ctry],"-"),"-")</f>
        <v/>
      </c>
      <c r="M1609" s="1395">
        <f>IF(raw[[#This Row],[city]]&lt;&gt;"",_xlfn.XLOOKUP($D1609,ccc[city],ccc[cont],"-"),"-")</f>
        <v/>
      </c>
      <c r="N1609" s="1396">
        <f>IF(raw[[#This Row],[city]]="","-",IF(raw[[#This Row],[cont]]="B",raw[[#This Row],[cont]],"W"))</f>
        <v/>
      </c>
      <c r="O1609" s="1397">
        <f>IF(raw[[#This Row],[out]]=0,0,IF(raw[[#This Row],[out]]=raw[[#This Row],[in]],0.01,raw[[#This Row],[out]]-raw[[#This Row],[in]]))</f>
        <v/>
      </c>
      <c r="P1609" s="1397">
        <f>IF(raw[[#This Row],[in]]=0,0,MONTH(raw[[#This Row],[in]]))</f>
        <v/>
      </c>
      <c r="Q1609" s="1397">
        <f>IF(raw[[#This Row],[in]]=0,0,YEAR(raw[[#This Row],[in]]))</f>
        <v/>
      </c>
      <c r="R1609" s="1397">
        <f>INT(raw[[#This Row],[yr]]/10)*10</f>
        <v/>
      </c>
      <c r="S1609" s="1395">
        <f>IF(raw[[#This Row],[city]]="","-",IF(raw[[#This Row],[city]]&lt;&gt;_xlfn.XLOOKUP(raw[[#This Row],[home]],homes[home],homes[city],"-"),1,0))</f>
        <v/>
      </c>
      <c r="T1609" s="1398" t="inlineStr">
        <is>
          <t>.</t>
        </is>
      </c>
      <c r="U1609" s="1399">
        <f>IF(raw[[#This Row],[wb]]="w",raw[[#This Row],[stay]]+U1608,U1608)</f>
        <v/>
      </c>
      <c r="V1609" s="1400">
        <f>IF(raw[[#This Row],[out]]=0,V1608,(raw[[#This Row],[out]]-E$5))</f>
        <v/>
      </c>
      <c r="W1609" s="1401">
        <f>U1609/V1609</f>
        <v/>
      </c>
      <c r="X1609" s="1392" t="n"/>
      <c r="Y1609" s="1392" t="n"/>
      <c r="Z1609" s="1392" t="n"/>
      <c r="AA1609" s="1392" t="n"/>
      <c r="AB1609" s="1392" t="n"/>
      <c r="AC1609" s="1392" t="n"/>
      <c r="AD1609" s="1392" t="n"/>
      <c r="AE1609" s="1392" t="n"/>
      <c r="AF1609" s="1392" t="n"/>
      <c r="AG1609" s="1392" t="n"/>
      <c r="AH1609" s="1392" t="n"/>
      <c r="AI1609" s="1392" t="n"/>
      <c r="AJ1609" s="1392" t="n"/>
      <c r="AK1609" s="1392" t="n"/>
      <c r="AL1609" s="1392" t="n"/>
      <c r="AM1609" s="1392" t="n"/>
      <c r="AN1609" s="1392" t="n"/>
      <c r="AO1609" s="1392" t="n"/>
      <c r="AP1609" s="1392" t="n"/>
      <c r="AQ1609" s="1392" t="n"/>
      <c r="AR1609" s="1422" t="n"/>
      <c r="AS1609" s="1422" t="n"/>
      <c r="AT1609" s="1392" t="n"/>
      <c r="AU1609" s="1392" t="n"/>
      <c r="AV1609" s="1392" t="n"/>
      <c r="AW1609" s="1392" t="n"/>
      <c r="AX1609" s="1392" t="n"/>
      <c r="AY1609" s="1392" t="n"/>
      <c r="AZ1609" s="1392" t="n"/>
      <c r="BA1609" s="1422" t="n"/>
      <c r="BB1609" s="1422" t="n"/>
      <c r="BC1609" s="1392" t="n"/>
      <c r="BD1609" s="1392" t="n"/>
      <c r="BE1609" s="1392" t="n"/>
      <c r="BF1609" s="1392" t="n"/>
      <c r="BG1609" s="1392" t="n"/>
      <c r="BH1609" s="1392" t="n"/>
      <c r="BI1609" s="1392" t="n"/>
      <c r="BJ1609" s="1392" t="n"/>
      <c r="BK1609" s="1392" t="n"/>
      <c r="BL1609" s="1392" t="n"/>
      <c r="BM1609" s="1392" t="n"/>
      <c r="BN1609" s="1392" t="n"/>
      <c r="BO1609" s="1392" t="n"/>
      <c r="BP1609" s="1392" t="n"/>
      <c r="BQ1609" s="1392" t="n"/>
      <c r="BR1609" s="1392" t="n"/>
      <c r="BS1609" s="1392" t="n"/>
      <c r="BT1609" s="1392" t="n"/>
      <c r="BU1609" s="1392" t="n"/>
      <c r="BV1609" s="1392" t="n"/>
      <c r="BW1609" s="1392" t="n"/>
      <c r="BX1609" s="1392" t="n"/>
      <c r="BY1609" s="1392" t="n"/>
      <c r="BZ1609" s="1392" t="n"/>
      <c r="CA1609" s="1392" t="n"/>
      <c r="CB1609" s="1392" t="n"/>
      <c r="CC1609" s="1392" t="n"/>
      <c r="CD1609" s="1392" t="n"/>
      <c r="CE1609" s="1392" t="n"/>
      <c r="CF1609" s="1392" t="n"/>
      <c r="CG1609" s="1392" t="n"/>
      <c r="CH1609" s="1392" t="n"/>
      <c r="CI1609" s="1392" t="n"/>
      <c r="CJ1609" s="1392" t="n"/>
      <c r="CK1609" s="1392" t="n"/>
      <c r="CL1609" s="1392" t="n"/>
    </row>
    <row r="1610">
      <c r="A1610" s="5" t="inlineStr">
        <is>
          <t>.</t>
        </is>
      </c>
      <c r="B1610" s="5" t="inlineStr">
        <is>
          <t>.</t>
        </is>
      </c>
      <c r="C1610" s="1378">
        <f>IF(raw[[#This Row],[city]]="","-",IF(raw[[#This Row],[city]]="TODAY","-",C1609+1))</f>
        <v/>
      </c>
      <c r="D1610" s="1393" t="inlineStr">
        <is>
          <t>Saint Jerome</t>
        </is>
      </c>
      <c r="E1610" s="1394" t="n">
        <v>44723</v>
      </c>
      <c r="F1610" s="1394" t="n">
        <v>44723</v>
      </c>
      <c r="G1610" s="1393" t="inlineStr">
        <is>
          <t>-</t>
        </is>
      </c>
      <c r="H1610" s="1393" t="inlineStr">
        <is>
          <t>Marie-Victorin</t>
        </is>
      </c>
      <c r="I1610" s="1393" t="inlineStr">
        <is>
          <t>-</t>
        </is>
      </c>
      <c r="J1610" s="1393" t="inlineStr">
        <is>
          <t>-</t>
        </is>
      </c>
      <c r="K1610" s="1395">
        <f>IF(raw[[#This Row],[city]]&lt;&gt;"",_xlfn.XLOOKUP($D1610,ccc[city],ccc[prov],"-"),"-")</f>
        <v/>
      </c>
      <c r="L1610" s="1395">
        <f>IF(raw[[#This Row],[city]]&lt;&gt;"",_xlfn.XLOOKUP($D1610,ccc[city],ccc[ctry],"-"),"-")</f>
        <v/>
      </c>
      <c r="M1610" s="1395">
        <f>IF(raw[[#This Row],[city]]&lt;&gt;"",_xlfn.XLOOKUP($D1610,ccc[city],ccc[cont],"-"),"-")</f>
        <v/>
      </c>
      <c r="N1610" s="1396">
        <f>IF(raw[[#This Row],[city]]="","-",IF(raw[[#This Row],[cont]]="B",raw[[#This Row],[cont]],"W"))</f>
        <v/>
      </c>
      <c r="O1610" s="1397">
        <f>IF(raw[[#This Row],[out]]=0,0,IF(raw[[#This Row],[out]]=raw[[#This Row],[in]],0.01,raw[[#This Row],[out]]-raw[[#This Row],[in]]))</f>
        <v/>
      </c>
      <c r="P1610" s="1397">
        <f>IF(raw[[#This Row],[in]]=0,0,MONTH(raw[[#This Row],[in]]))</f>
        <v/>
      </c>
      <c r="Q1610" s="1397">
        <f>IF(raw[[#This Row],[in]]=0,0,YEAR(raw[[#This Row],[in]]))</f>
        <v/>
      </c>
      <c r="R1610" s="1397">
        <f>INT(raw[[#This Row],[yr]]/10)*10</f>
        <v/>
      </c>
      <c r="S1610" s="1395">
        <f>IF(raw[[#This Row],[city]]="","-",IF(raw[[#This Row],[city]]&lt;&gt;_xlfn.XLOOKUP(raw[[#This Row],[home]],homes[home],homes[city],"-"),1,0))</f>
        <v/>
      </c>
      <c r="T1610" s="1398" t="inlineStr">
        <is>
          <t>.</t>
        </is>
      </c>
      <c r="U1610" s="1399">
        <f>IF(raw[[#This Row],[wb]]="w",raw[[#This Row],[stay]]+U1609,U1609)</f>
        <v/>
      </c>
      <c r="V1610" s="1400">
        <f>IF(raw[[#This Row],[out]]=0,V1609,(raw[[#This Row],[out]]-E$5))</f>
        <v/>
      </c>
      <c r="W1610" s="1401">
        <f>U1610/V1610</f>
        <v/>
      </c>
      <c r="X1610" s="1392" t="n"/>
      <c r="Y1610" s="1392" t="n"/>
      <c r="Z1610" s="1392" t="n"/>
      <c r="AA1610" s="1392" t="n"/>
      <c r="AB1610" s="1392" t="n"/>
      <c r="AC1610" s="1392" t="n"/>
      <c r="AD1610" s="1392" t="n"/>
      <c r="AE1610" s="1392" t="n"/>
      <c r="AF1610" s="1392" t="n"/>
      <c r="AG1610" s="1392" t="n"/>
      <c r="AH1610" s="1392" t="n"/>
      <c r="AI1610" s="1392" t="n"/>
      <c r="AJ1610" s="1392" t="n"/>
      <c r="AK1610" s="1392" t="n"/>
      <c r="AL1610" s="1392" t="n"/>
      <c r="AM1610" s="1392" t="n"/>
      <c r="AN1610" s="1392" t="n"/>
      <c r="AO1610" s="1392" t="n"/>
      <c r="AP1610" s="1392" t="n"/>
      <c r="AQ1610" s="1392" t="n"/>
      <c r="AR1610" s="1422" t="n"/>
      <c r="AS1610" s="1422" t="n"/>
      <c r="AT1610" s="1392" t="n"/>
      <c r="AU1610" s="1392" t="n"/>
      <c r="AV1610" s="1392" t="n"/>
      <c r="AW1610" s="1392" t="n"/>
      <c r="AX1610" s="1392" t="n"/>
      <c r="AY1610" s="1392" t="n"/>
      <c r="AZ1610" s="1392" t="n"/>
      <c r="BA1610" s="1422" t="n"/>
      <c r="BB1610" s="1422" t="n"/>
      <c r="BC1610" s="1392" t="n"/>
      <c r="BD1610" s="1392" t="n"/>
      <c r="BE1610" s="1392" t="n"/>
      <c r="BF1610" s="1392" t="n"/>
      <c r="BG1610" s="1392" t="n"/>
      <c r="BH1610" s="1392" t="n"/>
      <c r="BI1610" s="1392" t="n"/>
      <c r="BJ1610" s="1392" t="n"/>
      <c r="BK1610" s="1392" t="n"/>
      <c r="BL1610" s="1392" t="n"/>
      <c r="BM1610" s="1392" t="n"/>
      <c r="BN1610" s="1392" t="n"/>
      <c r="BO1610" s="1392" t="n"/>
      <c r="BP1610" s="1392" t="n"/>
      <c r="BQ1610" s="1392" t="n"/>
      <c r="BR1610" s="1392" t="n"/>
      <c r="BS1610" s="1392" t="n"/>
      <c r="BT1610" s="1392" t="n"/>
      <c r="BU1610" s="1392" t="n"/>
      <c r="BV1610" s="1392" t="n"/>
      <c r="BW1610" s="1392" t="n"/>
      <c r="BX1610" s="1392" t="n"/>
      <c r="BY1610" s="1392" t="n"/>
      <c r="BZ1610" s="1392" t="n"/>
      <c r="CA1610" s="1392" t="n"/>
      <c r="CB1610" s="1392" t="n"/>
      <c r="CC1610" s="1392" t="n"/>
      <c r="CD1610" s="1392" t="n"/>
      <c r="CE1610" s="1392" t="n"/>
      <c r="CF1610" s="1392" t="n"/>
      <c r="CG1610" s="1392" t="n"/>
      <c r="CH1610" s="1392" t="n"/>
      <c r="CI1610" s="1392" t="n"/>
      <c r="CJ1610" s="1392" t="n"/>
      <c r="CK1610" s="1392" t="n"/>
      <c r="CL1610" s="1392" t="n"/>
    </row>
    <row r="1611">
      <c r="A1611" s="5" t="inlineStr">
        <is>
          <t>.</t>
        </is>
      </c>
      <c r="B1611" s="5" t="inlineStr">
        <is>
          <t>.</t>
        </is>
      </c>
      <c r="C1611" s="1378">
        <f>IF(raw[[#This Row],[city]]="","-",IF(raw[[#This Row],[city]]="TODAY","-",C1610+1))</f>
        <v/>
      </c>
      <c r="D1611" s="1393" t="inlineStr">
        <is>
          <t>Saint Anne des Plaines</t>
        </is>
      </c>
      <c r="E1611" s="1394" t="n">
        <v>44723</v>
      </c>
      <c r="F1611" s="1394" t="n">
        <v>44723</v>
      </c>
      <c r="G1611" s="1393" t="inlineStr">
        <is>
          <t>-</t>
        </is>
      </c>
      <c r="H1611" s="1393" t="inlineStr">
        <is>
          <t>Marie-Victorin</t>
        </is>
      </c>
      <c r="I1611" s="1393" t="inlineStr">
        <is>
          <t>-</t>
        </is>
      </c>
      <c r="J1611" s="1393" t="inlineStr">
        <is>
          <t>-</t>
        </is>
      </c>
      <c r="K1611" s="1395">
        <f>IF(raw[[#This Row],[city]]&lt;&gt;"",_xlfn.XLOOKUP($D1611,ccc[city],ccc[prov],"-"),"-")</f>
        <v/>
      </c>
      <c r="L1611" s="1395">
        <f>IF(raw[[#This Row],[city]]&lt;&gt;"",_xlfn.XLOOKUP($D1611,ccc[city],ccc[ctry],"-"),"-")</f>
        <v/>
      </c>
      <c r="M1611" s="1395">
        <f>IF(raw[[#This Row],[city]]&lt;&gt;"",_xlfn.XLOOKUP($D1611,ccc[city],ccc[cont],"-"),"-")</f>
        <v/>
      </c>
      <c r="N1611" s="1396">
        <f>IF(raw[[#This Row],[city]]="","-",IF(raw[[#This Row],[cont]]="B",raw[[#This Row],[cont]],"W"))</f>
        <v/>
      </c>
      <c r="O1611" s="1397">
        <f>IF(raw[[#This Row],[out]]=0,0,IF(raw[[#This Row],[out]]=raw[[#This Row],[in]],0.01,raw[[#This Row],[out]]-raw[[#This Row],[in]]))</f>
        <v/>
      </c>
      <c r="P1611" s="1397">
        <f>IF(raw[[#This Row],[in]]=0,0,MONTH(raw[[#This Row],[in]]))</f>
        <v/>
      </c>
      <c r="Q1611" s="1397">
        <f>IF(raw[[#This Row],[in]]=0,0,YEAR(raw[[#This Row],[in]]))</f>
        <v/>
      </c>
      <c r="R1611" s="1397">
        <f>INT(raw[[#This Row],[yr]]/10)*10</f>
        <v/>
      </c>
      <c r="S1611" s="1395">
        <f>IF(raw[[#This Row],[city]]="","-",IF(raw[[#This Row],[city]]&lt;&gt;_xlfn.XLOOKUP(raw[[#This Row],[home]],homes[home],homes[city],"-"),1,0))</f>
        <v/>
      </c>
      <c r="T1611" s="1398" t="inlineStr">
        <is>
          <t>.</t>
        </is>
      </c>
      <c r="U1611" s="1399">
        <f>IF(raw[[#This Row],[wb]]="w",raw[[#This Row],[stay]]+U1610,U1610)</f>
        <v/>
      </c>
      <c r="V1611" s="1400">
        <f>IF(raw[[#This Row],[out]]=0,V1610,(raw[[#This Row],[out]]-E$5))</f>
        <v/>
      </c>
      <c r="W1611" s="1401">
        <f>U1611/V1611</f>
        <v/>
      </c>
      <c r="X1611" s="1392" t="n"/>
      <c r="Y1611" s="1392" t="n"/>
      <c r="Z1611" s="1392" t="n"/>
      <c r="AA1611" s="1392" t="n"/>
      <c r="AB1611" s="1392" t="n"/>
      <c r="AC1611" s="1392" t="n"/>
      <c r="AD1611" s="1392" t="n"/>
      <c r="AE1611" s="1392" t="n"/>
      <c r="AF1611" s="1392" t="n"/>
      <c r="AG1611" s="1392" t="n"/>
      <c r="AH1611" s="1392" t="n"/>
      <c r="AI1611" s="1392" t="n"/>
      <c r="AJ1611" s="1392" t="n"/>
      <c r="AK1611" s="1392" t="n"/>
      <c r="AL1611" s="1392" t="n"/>
      <c r="AM1611" s="1392" t="n"/>
      <c r="AN1611" s="1392" t="n"/>
      <c r="AO1611" s="1392" t="n"/>
      <c r="AP1611" s="1392" t="n"/>
      <c r="AQ1611" s="1392" t="n"/>
      <c r="AR1611" s="1422" t="n"/>
      <c r="AS1611" s="1422" t="n"/>
      <c r="AT1611" s="1392" t="n"/>
      <c r="AU1611" s="1392" t="n"/>
      <c r="AV1611" s="1392" t="n"/>
      <c r="AW1611" s="1392" t="n"/>
      <c r="AX1611" s="1392" t="n"/>
      <c r="AY1611" s="1392" t="n"/>
      <c r="AZ1611" s="1392" t="n"/>
      <c r="BA1611" s="1422" t="n"/>
      <c r="BB1611" s="1422" t="n"/>
      <c r="BC1611" s="1392" t="n"/>
      <c r="BD1611" s="1392" t="n"/>
      <c r="BE1611" s="1392" t="n"/>
      <c r="BF1611" s="1392" t="n"/>
      <c r="BG1611" s="1392" t="n"/>
      <c r="BH1611" s="1392" t="n"/>
      <c r="BI1611" s="1392" t="n"/>
      <c r="BJ1611" s="1392" t="n"/>
      <c r="BK1611" s="1392" t="n"/>
      <c r="BL1611" s="1392" t="n"/>
      <c r="BM1611" s="1392" t="n"/>
      <c r="BN1611" s="1392" t="n"/>
      <c r="BO1611" s="1392" t="n"/>
      <c r="BP1611" s="1392" t="n"/>
      <c r="BQ1611" s="1392" t="n"/>
      <c r="BR1611" s="1392" t="n"/>
      <c r="BS1611" s="1392" t="n"/>
      <c r="BT1611" s="1392" t="n"/>
      <c r="BU1611" s="1392" t="n"/>
      <c r="BV1611" s="1392" t="n"/>
      <c r="BW1611" s="1392" t="n"/>
      <c r="BX1611" s="1392" t="n"/>
      <c r="BY1611" s="1392" t="n"/>
      <c r="BZ1611" s="1392" t="n"/>
      <c r="CA1611" s="1392" t="n"/>
      <c r="CB1611" s="1392" t="n"/>
      <c r="CC1611" s="1392" t="n"/>
      <c r="CD1611" s="1392" t="n"/>
      <c r="CE1611" s="1392" t="n"/>
      <c r="CF1611" s="1392" t="n"/>
      <c r="CG1611" s="1392" t="n"/>
      <c r="CH1611" s="1392" t="n"/>
      <c r="CI1611" s="1392" t="n"/>
      <c r="CJ1611" s="1392" t="n"/>
      <c r="CK1611" s="1392" t="n"/>
      <c r="CL1611" s="1392" t="n"/>
    </row>
    <row r="1612">
      <c r="A1612" s="5" t="inlineStr">
        <is>
          <t>.</t>
        </is>
      </c>
      <c r="B1612" s="5" t="inlineStr">
        <is>
          <t>.</t>
        </is>
      </c>
      <c r="C1612" s="1378">
        <f>IF(raw[[#This Row],[city]]="","-",IF(raw[[#This Row],[city]]="TODAY","-",C1611+1))</f>
        <v/>
      </c>
      <c r="D1612" s="1393" t="inlineStr">
        <is>
          <t>Terrebonne</t>
        </is>
      </c>
      <c r="E1612" s="1394" t="n">
        <v>44723</v>
      </c>
      <c r="F1612" s="1394" t="n">
        <v>44724</v>
      </c>
      <c r="G1612" s="1393" t="inlineStr">
        <is>
          <t>-</t>
        </is>
      </c>
      <c r="H1612" s="1393" t="inlineStr">
        <is>
          <t>Marie-Victorin</t>
        </is>
      </c>
      <c r="I1612" s="1393" t="inlineStr">
        <is>
          <t>-</t>
        </is>
      </c>
      <c r="J1612" s="1393" t="inlineStr">
        <is>
          <t>-</t>
        </is>
      </c>
      <c r="K1612" s="1395">
        <f>IF(raw[[#This Row],[city]]&lt;&gt;"",_xlfn.XLOOKUP($D1612,ccc[city],ccc[prov],"-"),"-")</f>
        <v/>
      </c>
      <c r="L1612" s="1395">
        <f>IF(raw[[#This Row],[city]]&lt;&gt;"",_xlfn.XLOOKUP($D1612,ccc[city],ccc[ctry],"-"),"-")</f>
        <v/>
      </c>
      <c r="M1612" s="1395">
        <f>IF(raw[[#This Row],[city]]&lt;&gt;"",_xlfn.XLOOKUP($D1612,ccc[city],ccc[cont],"-"),"-")</f>
        <v/>
      </c>
      <c r="N1612" s="1396">
        <f>IF(raw[[#This Row],[city]]="","-",IF(raw[[#This Row],[cont]]="B",raw[[#This Row],[cont]],"W"))</f>
        <v/>
      </c>
      <c r="O1612" s="1397">
        <f>IF(raw[[#This Row],[out]]=0,0,IF(raw[[#This Row],[out]]=raw[[#This Row],[in]],0.01,raw[[#This Row],[out]]-raw[[#This Row],[in]]))</f>
        <v/>
      </c>
      <c r="P1612" s="1397">
        <f>IF(raw[[#This Row],[in]]=0,0,MONTH(raw[[#This Row],[in]]))</f>
        <v/>
      </c>
      <c r="Q1612" s="1397">
        <f>IF(raw[[#This Row],[in]]=0,0,YEAR(raw[[#This Row],[in]]))</f>
        <v/>
      </c>
      <c r="R1612" s="1397">
        <f>INT(raw[[#This Row],[yr]]/10)*10</f>
        <v/>
      </c>
      <c r="S1612" s="1395">
        <f>IF(raw[[#This Row],[city]]="","-",IF(raw[[#This Row],[city]]&lt;&gt;_xlfn.XLOOKUP(raw[[#This Row],[home]],homes[home],homes[city],"-"),1,0))</f>
        <v/>
      </c>
      <c r="T1612" s="1398" t="inlineStr">
        <is>
          <t>.</t>
        </is>
      </c>
      <c r="U1612" s="1399">
        <f>IF(raw[[#This Row],[wb]]="w",raw[[#This Row],[stay]]+U1611,U1611)</f>
        <v/>
      </c>
      <c r="V1612" s="1400">
        <f>IF(raw[[#This Row],[out]]=0,V1611,(raw[[#This Row],[out]]-E$5))</f>
        <v/>
      </c>
      <c r="W1612" s="1401">
        <f>U1612/V1612</f>
        <v/>
      </c>
      <c r="X1612" s="1392" t="n"/>
      <c r="Y1612" s="1392" t="n"/>
      <c r="Z1612" s="1392" t="n"/>
      <c r="AA1612" s="1392" t="n"/>
      <c r="AB1612" s="1392" t="n"/>
      <c r="AC1612" s="1392" t="n"/>
      <c r="AD1612" s="1392" t="n"/>
      <c r="AE1612" s="1392" t="n"/>
      <c r="AF1612" s="1392" t="n"/>
      <c r="AG1612" s="1392" t="n"/>
      <c r="AH1612" s="1392" t="n"/>
      <c r="AI1612" s="1392" t="n"/>
      <c r="AJ1612" s="1392" t="n"/>
      <c r="AK1612" s="1392" t="n"/>
      <c r="AL1612" s="1392" t="n"/>
      <c r="AM1612" s="1392" t="n"/>
      <c r="AN1612" s="1392" t="n"/>
      <c r="AO1612" s="1392" t="n"/>
      <c r="AP1612" s="1392" t="n"/>
      <c r="AQ1612" s="1392" t="n"/>
      <c r="AR1612" s="1422" t="n"/>
      <c r="AS1612" s="1422" t="n"/>
      <c r="AT1612" s="1392" t="n"/>
      <c r="AU1612" s="1392" t="n"/>
      <c r="AV1612" s="1392" t="n"/>
      <c r="AW1612" s="1392" t="n"/>
      <c r="AX1612" s="1392" t="n"/>
      <c r="AY1612" s="1392" t="n"/>
      <c r="AZ1612" s="1392" t="n"/>
      <c r="BA1612" s="1422" t="n"/>
      <c r="BB1612" s="1422" t="n"/>
      <c r="BC1612" s="1392" t="n"/>
      <c r="BD1612" s="1392" t="n"/>
      <c r="BE1612" s="1392" t="n"/>
      <c r="BF1612" s="1392" t="n"/>
      <c r="BG1612" s="1392" t="n"/>
      <c r="BH1612" s="1392" t="n"/>
      <c r="BI1612" s="1392" t="n"/>
      <c r="BJ1612" s="1392" t="n"/>
      <c r="BK1612" s="1392" t="n"/>
      <c r="BL1612" s="1392" t="n"/>
      <c r="BM1612" s="1392" t="n"/>
      <c r="BN1612" s="1392" t="n"/>
      <c r="BO1612" s="1392" t="n"/>
      <c r="BP1612" s="1392" t="n"/>
      <c r="BQ1612" s="1392" t="n"/>
      <c r="BR1612" s="1392" t="n"/>
      <c r="BS1612" s="1392" t="n"/>
      <c r="BT1612" s="1392" t="n"/>
      <c r="BU1612" s="1392" t="n"/>
      <c r="BV1612" s="1392" t="n"/>
      <c r="BW1612" s="1392" t="n"/>
      <c r="BX1612" s="1392" t="n"/>
      <c r="BY1612" s="1392" t="n"/>
      <c r="BZ1612" s="1392" t="n"/>
      <c r="CA1612" s="1392" t="n"/>
      <c r="CB1612" s="1392" t="n"/>
      <c r="CC1612" s="1392" t="n"/>
      <c r="CD1612" s="1392" t="n"/>
      <c r="CE1612" s="1392" t="n"/>
      <c r="CF1612" s="1392" t="n"/>
      <c r="CG1612" s="1392" t="n"/>
      <c r="CH1612" s="1392" t="n"/>
      <c r="CI1612" s="1392" t="n"/>
      <c r="CJ1612" s="1392" t="n"/>
      <c r="CK1612" s="1392" t="n"/>
      <c r="CL1612" s="1392" t="n"/>
    </row>
    <row r="1613">
      <c r="A1613" s="5" t="inlineStr">
        <is>
          <t>.</t>
        </is>
      </c>
      <c r="B1613" s="5" t="inlineStr">
        <is>
          <t>.</t>
        </is>
      </c>
      <c r="C1613" s="1378">
        <f>IF(raw[[#This Row],[city]]="","-",IF(raw[[#This Row],[city]]="TODAY","-",C1612+1))</f>
        <v/>
      </c>
      <c r="D1613" s="1393" t="inlineStr">
        <is>
          <t>Lorraine</t>
        </is>
      </c>
      <c r="E1613" s="1394" t="n">
        <v>44724</v>
      </c>
      <c r="F1613" s="1394" t="n">
        <v>44724</v>
      </c>
      <c r="G1613" s="1393" t="inlineStr">
        <is>
          <t>-</t>
        </is>
      </c>
      <c r="H1613" s="1393" t="inlineStr">
        <is>
          <t>Marie-Victorin</t>
        </is>
      </c>
      <c r="I1613" s="1393" t="inlineStr">
        <is>
          <t>-</t>
        </is>
      </c>
      <c r="J1613" s="1393" t="inlineStr">
        <is>
          <t>-</t>
        </is>
      </c>
      <c r="K1613" s="1395">
        <f>IF(raw[[#This Row],[city]]&lt;&gt;"",_xlfn.XLOOKUP($D1613,ccc[city],ccc[prov],"-"),"-")</f>
        <v/>
      </c>
      <c r="L1613" s="1395">
        <f>IF(raw[[#This Row],[city]]&lt;&gt;"",_xlfn.XLOOKUP($D1613,ccc[city],ccc[ctry],"-"),"-")</f>
        <v/>
      </c>
      <c r="M1613" s="1395">
        <f>IF(raw[[#This Row],[city]]&lt;&gt;"",_xlfn.XLOOKUP($D1613,ccc[city],ccc[cont],"-"),"-")</f>
        <v/>
      </c>
      <c r="N1613" s="1396">
        <f>IF(raw[[#This Row],[city]]="","-",IF(raw[[#This Row],[cont]]="B",raw[[#This Row],[cont]],"W"))</f>
        <v/>
      </c>
      <c r="O1613" s="1397">
        <f>IF(raw[[#This Row],[out]]=0,0,IF(raw[[#This Row],[out]]=raw[[#This Row],[in]],0.01,raw[[#This Row],[out]]-raw[[#This Row],[in]]))</f>
        <v/>
      </c>
      <c r="P1613" s="1397">
        <f>IF(raw[[#This Row],[in]]=0,0,MONTH(raw[[#This Row],[in]]))</f>
        <v/>
      </c>
      <c r="Q1613" s="1397">
        <f>IF(raw[[#This Row],[in]]=0,0,YEAR(raw[[#This Row],[in]]))</f>
        <v/>
      </c>
      <c r="R1613" s="1397">
        <f>INT(raw[[#This Row],[yr]]/10)*10</f>
        <v/>
      </c>
      <c r="S1613" s="1395">
        <f>IF(raw[[#This Row],[city]]="","-",IF(raw[[#This Row],[city]]&lt;&gt;_xlfn.XLOOKUP(raw[[#This Row],[home]],homes[home],homes[city],"-"),1,0))</f>
        <v/>
      </c>
      <c r="T1613" s="1398" t="inlineStr">
        <is>
          <t>.</t>
        </is>
      </c>
      <c r="U1613" s="1399">
        <f>IF(raw[[#This Row],[wb]]="w",raw[[#This Row],[stay]]+U1612,U1612)</f>
        <v/>
      </c>
      <c r="V1613" s="1400">
        <f>IF(raw[[#This Row],[out]]=0,V1612,(raw[[#This Row],[out]]-E$5))</f>
        <v/>
      </c>
      <c r="W1613" s="1401">
        <f>U1613/V1613</f>
        <v/>
      </c>
      <c r="X1613" s="1392" t="n"/>
      <c r="Y1613" s="1392" t="n"/>
      <c r="Z1613" s="1392" t="n"/>
      <c r="AA1613" s="1392" t="n"/>
      <c r="AB1613" s="1392" t="n"/>
      <c r="AC1613" s="1392" t="n"/>
      <c r="AD1613" s="1392" t="n"/>
      <c r="AE1613" s="1392" t="n"/>
      <c r="AF1613" s="1392" t="n"/>
      <c r="AG1613" s="1392" t="n"/>
      <c r="AH1613" s="1392" t="n"/>
      <c r="AI1613" s="1392" t="n"/>
      <c r="AJ1613" s="1392" t="n"/>
      <c r="AK1613" s="1392" t="n"/>
      <c r="AL1613" s="1392" t="n"/>
      <c r="AM1613" s="1392" t="n"/>
      <c r="AN1613" s="1392" t="n"/>
      <c r="AO1613" s="1392" t="n"/>
      <c r="AP1613" s="1392" t="n"/>
      <c r="AQ1613" s="1392" t="n"/>
      <c r="AR1613" s="1422" t="n"/>
      <c r="AS1613" s="1422" t="n"/>
      <c r="AT1613" s="1392" t="n"/>
      <c r="AU1613" s="1392" t="n"/>
      <c r="AV1613" s="1392" t="n"/>
      <c r="AW1613" s="1392" t="n"/>
      <c r="AX1613" s="1392" t="n"/>
      <c r="AY1613" s="1392" t="n"/>
      <c r="AZ1613" s="1392" t="n"/>
      <c r="BA1613" s="1422" t="n"/>
      <c r="BB1613" s="1422" t="n"/>
      <c r="BC1613" s="1392" t="n"/>
      <c r="BD1613" s="1392" t="n"/>
      <c r="BE1613" s="1392" t="n"/>
      <c r="BF1613" s="1392" t="n"/>
      <c r="BG1613" s="1392" t="n"/>
      <c r="BH1613" s="1392" t="n"/>
      <c r="BI1613" s="1392" t="n"/>
      <c r="BJ1613" s="1392" t="n"/>
      <c r="BK1613" s="1392" t="n"/>
      <c r="BL1613" s="1392" t="n"/>
      <c r="BM1613" s="1392" t="n"/>
      <c r="BN1613" s="1392" t="n"/>
      <c r="BO1613" s="1392" t="n"/>
      <c r="BP1613" s="1392" t="n"/>
      <c r="BQ1613" s="1392" t="n"/>
      <c r="BR1613" s="1392" t="n"/>
      <c r="BS1613" s="1392" t="n"/>
      <c r="BT1613" s="1392" t="n"/>
      <c r="BU1613" s="1392" t="n"/>
      <c r="BV1613" s="1392" t="n"/>
      <c r="BW1613" s="1392" t="n"/>
      <c r="BX1613" s="1392" t="n"/>
      <c r="BY1613" s="1392" t="n"/>
      <c r="BZ1613" s="1392" t="n"/>
      <c r="CA1613" s="1392" t="n"/>
      <c r="CB1613" s="1392" t="n"/>
      <c r="CC1613" s="1392" t="n"/>
      <c r="CD1613" s="1392" t="n"/>
      <c r="CE1613" s="1392" t="n"/>
      <c r="CF1613" s="1392" t="n"/>
      <c r="CG1613" s="1392" t="n"/>
      <c r="CH1613" s="1392" t="n"/>
      <c r="CI1613" s="1392" t="n"/>
      <c r="CJ1613" s="1392" t="n"/>
      <c r="CK1613" s="1392" t="n"/>
      <c r="CL1613" s="1392" t="n"/>
    </row>
    <row r="1614">
      <c r="A1614" s="5" t="inlineStr">
        <is>
          <t>.</t>
        </is>
      </c>
      <c r="B1614" s="5" t="inlineStr">
        <is>
          <t>.</t>
        </is>
      </c>
      <c r="C1614" s="1378">
        <f>IF(raw[[#This Row],[city]]="","-",IF(raw[[#This Row],[city]]="TODAY","-",C1613+1))</f>
        <v/>
      </c>
      <c r="D1614" s="1393" t="inlineStr">
        <is>
          <t>Montreal</t>
        </is>
      </c>
      <c r="E1614" s="1394" t="n">
        <v>44724</v>
      </c>
      <c r="F1614" s="1394" t="n">
        <v>44735</v>
      </c>
      <c r="G1614" s="1393" t="n">
        <v>1</v>
      </c>
      <c r="H1614" s="1393" t="inlineStr">
        <is>
          <t>Marie-Victorin</t>
        </is>
      </c>
      <c r="I1614" s="1393" t="inlineStr">
        <is>
          <t>-</t>
        </is>
      </c>
      <c r="J1614" s="1393" t="inlineStr">
        <is>
          <t>-</t>
        </is>
      </c>
      <c r="K1614" s="1395">
        <f>IF(raw[[#This Row],[city]]&lt;&gt;"",_xlfn.XLOOKUP($D1614,ccc[city],ccc[prov],"-"),"-")</f>
        <v/>
      </c>
      <c r="L1614" s="1395">
        <f>IF(raw[[#This Row],[city]]&lt;&gt;"",_xlfn.XLOOKUP($D1614,ccc[city],ccc[ctry],"-"),"-")</f>
        <v/>
      </c>
      <c r="M1614" s="1395">
        <f>IF(raw[[#This Row],[city]]&lt;&gt;"",_xlfn.XLOOKUP($D1614,ccc[city],ccc[cont],"-"),"-")</f>
        <v/>
      </c>
      <c r="N1614" s="1396">
        <f>IF(raw[[#This Row],[city]]="","-",IF(raw[[#This Row],[cont]]="B",raw[[#This Row],[cont]],"W"))</f>
        <v/>
      </c>
      <c r="O1614" s="1397">
        <f>IF(raw[[#This Row],[out]]=0,0,IF(raw[[#This Row],[out]]=raw[[#This Row],[in]],0.01,raw[[#This Row],[out]]-raw[[#This Row],[in]]))</f>
        <v/>
      </c>
      <c r="P1614" s="1397">
        <f>IF(raw[[#This Row],[in]]=0,0,MONTH(raw[[#This Row],[in]]))</f>
        <v/>
      </c>
      <c r="Q1614" s="1397">
        <f>IF(raw[[#This Row],[in]]=0,0,YEAR(raw[[#This Row],[in]]))</f>
        <v/>
      </c>
      <c r="R1614" s="1397">
        <f>INT(raw[[#This Row],[yr]]/10)*10</f>
        <v/>
      </c>
      <c r="S1614" s="1395">
        <f>IF(raw[[#This Row],[city]]="","-",IF(raw[[#This Row],[city]]&lt;&gt;_xlfn.XLOOKUP(raw[[#This Row],[home]],homes[home],homes[city],"-"),1,0))</f>
        <v/>
      </c>
      <c r="T1614" s="1398" t="inlineStr">
        <is>
          <t>.</t>
        </is>
      </c>
      <c r="U1614" s="1399">
        <f>IF(raw[[#This Row],[wb]]="w",raw[[#This Row],[stay]]+U1613,U1613)</f>
        <v/>
      </c>
      <c r="V1614" s="1400">
        <f>IF(raw[[#This Row],[out]]=0,V1613,(raw[[#This Row],[out]]-E$5))</f>
        <v/>
      </c>
      <c r="W1614" s="1401">
        <f>U1614/V1614</f>
        <v/>
      </c>
      <c r="X1614" s="1392" t="n"/>
      <c r="Y1614" s="1392" t="n"/>
      <c r="Z1614" s="1392" t="n"/>
      <c r="AA1614" s="1392" t="n"/>
      <c r="AB1614" s="1392" t="n"/>
      <c r="AC1614" s="1392" t="n"/>
      <c r="AD1614" s="1392" t="n"/>
      <c r="AE1614" s="1392" t="n"/>
      <c r="AF1614" s="1392" t="n"/>
      <c r="AG1614" s="1392" t="n"/>
      <c r="AH1614" s="1392" t="n"/>
      <c r="AI1614" s="1392" t="n"/>
      <c r="AJ1614" s="1392" t="n"/>
      <c r="AK1614" s="1392" t="n"/>
      <c r="AL1614" s="1392" t="n"/>
      <c r="AM1614" s="1392" t="n"/>
      <c r="AN1614" s="1392" t="n"/>
      <c r="AO1614" s="1392" t="n"/>
      <c r="AP1614" s="1392" t="n"/>
      <c r="AQ1614" s="1392" t="n"/>
      <c r="AR1614" s="1422" t="n"/>
      <c r="AS1614" s="1422" t="n"/>
      <c r="AT1614" s="1392" t="n"/>
      <c r="AU1614" s="1392" t="n"/>
      <c r="AV1614" s="1392" t="n"/>
      <c r="AW1614" s="1392" t="n"/>
      <c r="AX1614" s="1392" t="n"/>
      <c r="AY1614" s="1392" t="n"/>
      <c r="AZ1614" s="1392" t="n"/>
      <c r="BA1614" s="1422" t="n"/>
      <c r="BB1614" s="1422" t="n"/>
      <c r="BC1614" s="1392" t="n"/>
      <c r="BD1614" s="1392" t="n"/>
      <c r="BE1614" s="1392" t="n"/>
      <c r="BF1614" s="1392" t="n"/>
      <c r="BG1614" s="1392" t="n"/>
      <c r="BH1614" s="1392" t="n"/>
      <c r="BI1614" s="1392" t="n"/>
      <c r="BJ1614" s="1392" t="n"/>
      <c r="BK1614" s="1392" t="n"/>
      <c r="BL1614" s="1392" t="n"/>
      <c r="BM1614" s="1392" t="n"/>
      <c r="BN1614" s="1392" t="n"/>
      <c r="BO1614" s="1392" t="n"/>
      <c r="BP1614" s="1392" t="n"/>
      <c r="BQ1614" s="1392" t="n"/>
      <c r="BR1614" s="1392" t="n"/>
      <c r="BS1614" s="1392" t="n"/>
      <c r="BT1614" s="1392" t="n"/>
      <c r="BU1614" s="1392" t="n"/>
      <c r="BV1614" s="1392" t="n"/>
      <c r="BW1614" s="1392" t="n"/>
      <c r="BX1614" s="1392" t="n"/>
      <c r="BY1614" s="1392" t="n"/>
      <c r="BZ1614" s="1392" t="n"/>
      <c r="CA1614" s="1392" t="n"/>
      <c r="CB1614" s="1392" t="n"/>
      <c r="CC1614" s="1392" t="n"/>
      <c r="CD1614" s="1392" t="n"/>
      <c r="CE1614" s="1392" t="n"/>
      <c r="CF1614" s="1392" t="n"/>
      <c r="CG1614" s="1392" t="n"/>
      <c r="CH1614" s="1392" t="n"/>
      <c r="CI1614" s="1392" t="n"/>
      <c r="CJ1614" s="1392" t="n"/>
      <c r="CK1614" s="1392" t="n"/>
      <c r="CL1614" s="1392" t="n"/>
    </row>
    <row r="1615">
      <c r="A1615" s="5" t="inlineStr">
        <is>
          <t>.</t>
        </is>
      </c>
      <c r="B1615" s="5" t="inlineStr">
        <is>
          <t>.</t>
        </is>
      </c>
      <c r="C1615" s="1378">
        <f>IF(raw[[#This Row],[city]]="","-",IF(raw[[#This Row],[city]]="TODAY","-",C1614+1))</f>
        <v/>
      </c>
      <c r="D1615" s="1393" t="inlineStr">
        <is>
          <t>AIR</t>
        </is>
      </c>
      <c r="E1615" s="1394" t="n">
        <v>44735</v>
      </c>
      <c r="F1615" s="1394" t="n">
        <v>44736</v>
      </c>
      <c r="G1615" s="1393" t="inlineStr">
        <is>
          <t>x</t>
        </is>
      </c>
      <c r="H1615" s="1393" t="inlineStr">
        <is>
          <t>Marie-Victorin</t>
        </is>
      </c>
      <c r="I1615" s="1393" t="inlineStr">
        <is>
          <t>-</t>
        </is>
      </c>
      <c r="J1615" s="1393" t="inlineStr">
        <is>
          <t>-</t>
        </is>
      </c>
      <c r="K1615" s="1395">
        <f>IF(raw[[#This Row],[city]]&lt;&gt;"",_xlfn.XLOOKUP($D1615,ccc[city],ccc[prov],"-"),"-")</f>
        <v/>
      </c>
      <c r="L1615" s="1395">
        <f>IF(raw[[#This Row],[city]]&lt;&gt;"",_xlfn.XLOOKUP($D1615,ccc[city],ccc[ctry],"-"),"-")</f>
        <v/>
      </c>
      <c r="M1615" s="1395">
        <f>IF(raw[[#This Row],[city]]&lt;&gt;"",_xlfn.XLOOKUP($D1615,ccc[city],ccc[cont],"-"),"-")</f>
        <v/>
      </c>
      <c r="N1615" s="1396">
        <f>IF(raw[[#This Row],[city]]="","-",IF(raw[[#This Row],[cont]]="B",raw[[#This Row],[cont]],"W"))</f>
        <v/>
      </c>
      <c r="O1615" s="1397">
        <f>IF(raw[[#This Row],[out]]=0,0,IF(raw[[#This Row],[out]]=raw[[#This Row],[in]],0.01,raw[[#This Row],[out]]-raw[[#This Row],[in]]))</f>
        <v/>
      </c>
      <c r="P1615" s="1397">
        <f>IF(raw[[#This Row],[in]]=0,0,MONTH(raw[[#This Row],[in]]))</f>
        <v/>
      </c>
      <c r="Q1615" s="1397">
        <f>IF(raw[[#This Row],[in]]=0,0,YEAR(raw[[#This Row],[in]]))</f>
        <v/>
      </c>
      <c r="R1615" s="1397">
        <f>INT(raw[[#This Row],[yr]]/10)*10</f>
        <v/>
      </c>
      <c r="S1615" s="1395">
        <f>IF(raw[[#This Row],[city]]="","-",IF(raw[[#This Row],[city]]&lt;&gt;_xlfn.XLOOKUP(raw[[#This Row],[home]],homes[home],homes[city],"-"),1,0))</f>
        <v/>
      </c>
      <c r="T1615" s="1398" t="inlineStr">
        <is>
          <t>.</t>
        </is>
      </c>
      <c r="U1615" s="1399">
        <f>IF(raw[[#This Row],[wb]]="w",raw[[#This Row],[stay]]+U1614,U1614)</f>
        <v/>
      </c>
      <c r="V1615" s="1400">
        <f>IF(raw[[#This Row],[out]]=0,V1614,(raw[[#This Row],[out]]-E$5))</f>
        <v/>
      </c>
      <c r="W1615" s="1401">
        <f>U1615/V1615</f>
        <v/>
      </c>
      <c r="X1615" s="1392" t="n"/>
      <c r="Y1615" s="1392" t="n"/>
      <c r="Z1615" s="1392" t="n"/>
      <c r="AA1615" s="1392" t="n"/>
      <c r="AB1615" s="1392" t="n"/>
      <c r="AC1615" s="1392" t="n"/>
      <c r="AD1615" s="1392" t="n"/>
      <c r="AE1615" s="1392" t="n"/>
      <c r="AF1615" s="1392" t="n"/>
      <c r="AG1615" s="1392" t="n"/>
      <c r="AH1615" s="1392" t="n"/>
      <c r="AI1615" s="1392" t="n"/>
      <c r="AJ1615" s="1392" t="n"/>
      <c r="AK1615" s="1392" t="n"/>
      <c r="AL1615" s="1392" t="n"/>
      <c r="AM1615" s="1392" t="n"/>
      <c r="AN1615" s="1392" t="n"/>
      <c r="AO1615" s="1392" t="n"/>
      <c r="AP1615" s="1392" t="n"/>
      <c r="AQ1615" s="1392" t="n"/>
      <c r="AR1615" s="1422" t="n"/>
      <c r="AS1615" s="1422" t="n"/>
      <c r="AT1615" s="1392" t="n"/>
      <c r="AU1615" s="1392" t="n"/>
      <c r="AV1615" s="1392" t="n"/>
      <c r="AW1615" s="1392" t="n"/>
      <c r="AX1615" s="1392" t="n"/>
      <c r="AY1615" s="1392" t="n"/>
      <c r="AZ1615" s="1392" t="n"/>
      <c r="BA1615" s="1422" t="n"/>
      <c r="BB1615" s="1422" t="n"/>
      <c r="BC1615" s="1392" t="n"/>
      <c r="BD1615" s="1392" t="n"/>
      <c r="BE1615" s="1392" t="n"/>
      <c r="BF1615" s="1392" t="n"/>
      <c r="BG1615" s="1392" t="n"/>
      <c r="BH1615" s="1392" t="n"/>
      <c r="BI1615" s="1392" t="n"/>
      <c r="BJ1615" s="1392" t="n"/>
      <c r="BK1615" s="1392" t="n"/>
      <c r="BL1615" s="1392" t="n"/>
      <c r="BM1615" s="1392" t="n"/>
      <c r="BN1615" s="1392" t="n"/>
      <c r="BO1615" s="1392" t="n"/>
      <c r="BP1615" s="1392" t="n"/>
      <c r="BQ1615" s="1392" t="n"/>
      <c r="BR1615" s="1392" t="n"/>
      <c r="BS1615" s="1392" t="n"/>
      <c r="BT1615" s="1392" t="n"/>
      <c r="BU1615" s="1392" t="n"/>
      <c r="BV1615" s="1392" t="n"/>
      <c r="BW1615" s="1392" t="n"/>
      <c r="BX1615" s="1392" t="n"/>
      <c r="BY1615" s="1392" t="n"/>
      <c r="BZ1615" s="1392" t="n"/>
      <c r="CA1615" s="1392" t="n"/>
      <c r="CB1615" s="1392" t="n"/>
      <c r="CC1615" s="1392" t="n"/>
      <c r="CD1615" s="1392" t="n"/>
      <c r="CE1615" s="1392" t="n"/>
      <c r="CF1615" s="1392" t="n"/>
      <c r="CG1615" s="1392" t="n"/>
      <c r="CH1615" s="1392" t="n"/>
      <c r="CI1615" s="1392" t="n"/>
      <c r="CJ1615" s="1392" t="n"/>
      <c r="CK1615" s="1392" t="n"/>
      <c r="CL1615" s="1392" t="n"/>
    </row>
    <row r="1616">
      <c r="A1616" s="5" t="inlineStr">
        <is>
          <t>.</t>
        </is>
      </c>
      <c r="B1616" s="5" t="inlineStr">
        <is>
          <t>.</t>
        </is>
      </c>
      <c r="C1616" s="1378">
        <f>IF(raw[[#This Row],[city]]="","-",IF(raw[[#This Row],[city]]="TODAY","-",C1615+1))</f>
        <v/>
      </c>
      <c r="D1616" s="1393" t="inlineStr">
        <is>
          <t>Lisbon</t>
        </is>
      </c>
      <c r="E1616" s="1394" t="n">
        <v>44736</v>
      </c>
      <c r="F1616" s="1394" t="n">
        <v>44736</v>
      </c>
      <c r="G1616" s="1393" t="n">
        <v>1</v>
      </c>
      <c r="H1616" s="1393" t="inlineStr">
        <is>
          <t>Marie-Victorin</t>
        </is>
      </c>
      <c r="I1616" s="1393" t="inlineStr">
        <is>
          <t>-</t>
        </is>
      </c>
      <c r="J1616" s="1393" t="inlineStr">
        <is>
          <t>-</t>
        </is>
      </c>
      <c r="K1616" s="1395">
        <f>IF(raw[[#This Row],[city]]&lt;&gt;"",_xlfn.XLOOKUP($D1616,ccc[city],ccc[prov],"-"),"-")</f>
        <v/>
      </c>
      <c r="L1616" s="1395">
        <f>IF(raw[[#This Row],[city]]&lt;&gt;"",_xlfn.XLOOKUP($D1616,ccc[city],ccc[ctry],"-"),"-")</f>
        <v/>
      </c>
      <c r="M1616" s="1395">
        <f>IF(raw[[#This Row],[city]]&lt;&gt;"",_xlfn.XLOOKUP($D1616,ccc[city],ccc[cont],"-"),"-")</f>
        <v/>
      </c>
      <c r="N1616" s="1396">
        <f>IF(raw[[#This Row],[city]]="","-",IF(raw[[#This Row],[cont]]="B",raw[[#This Row],[cont]],"W"))</f>
        <v/>
      </c>
      <c r="O1616" s="1397">
        <f>IF(raw[[#This Row],[out]]=0,0,IF(raw[[#This Row],[out]]=raw[[#This Row],[in]],0.01,raw[[#This Row],[out]]-raw[[#This Row],[in]]))</f>
        <v/>
      </c>
      <c r="P1616" s="1397">
        <f>IF(raw[[#This Row],[in]]=0,0,MONTH(raw[[#This Row],[in]]))</f>
        <v/>
      </c>
      <c r="Q1616" s="1397">
        <f>IF(raw[[#This Row],[in]]=0,0,YEAR(raw[[#This Row],[in]]))</f>
        <v/>
      </c>
      <c r="R1616" s="1397">
        <f>INT(raw[[#This Row],[yr]]/10)*10</f>
        <v/>
      </c>
      <c r="S1616" s="1395">
        <f>IF(raw[[#This Row],[city]]="","-",IF(raw[[#This Row],[city]]&lt;&gt;_xlfn.XLOOKUP(raw[[#This Row],[home]],homes[home],homes[city],"-"),1,0))</f>
        <v/>
      </c>
      <c r="T1616" s="1398" t="inlineStr">
        <is>
          <t>.</t>
        </is>
      </c>
      <c r="U1616" s="1399">
        <f>IF(raw[[#This Row],[wb]]="w",raw[[#This Row],[stay]]+U1615,U1615)</f>
        <v/>
      </c>
      <c r="V1616" s="1400">
        <f>IF(raw[[#This Row],[out]]=0,V1615,(raw[[#This Row],[out]]-E$5))</f>
        <v/>
      </c>
      <c r="W1616" s="1401">
        <f>U1616/V1616</f>
        <v/>
      </c>
      <c r="X1616" s="1392" t="n"/>
      <c r="Y1616" s="1392" t="n"/>
      <c r="Z1616" s="1392" t="n"/>
      <c r="AA1616" s="1392" t="n"/>
      <c r="AB1616" s="1392" t="n"/>
      <c r="AC1616" s="1392" t="n"/>
      <c r="AD1616" s="1392" t="n"/>
      <c r="AE1616" s="1392" t="n"/>
      <c r="AF1616" s="1392" t="n"/>
      <c r="AG1616" s="1392" t="n"/>
      <c r="AH1616" s="1392" t="n"/>
      <c r="AI1616" s="1392" t="n"/>
      <c r="AJ1616" s="1392" t="n"/>
      <c r="AK1616" s="1392" t="n"/>
      <c r="AL1616" s="1392" t="n"/>
      <c r="AM1616" s="1392" t="n"/>
      <c r="AN1616" s="1392" t="n"/>
      <c r="AO1616" s="1392" t="n"/>
      <c r="AP1616" s="1392" t="n"/>
      <c r="AQ1616" s="1392" t="n"/>
      <c r="AR1616" s="1422" t="n"/>
      <c r="AS1616" s="1422" t="n"/>
      <c r="AT1616" s="1392" t="n"/>
      <c r="AU1616" s="1392" t="n"/>
      <c r="AV1616" s="1392" t="n"/>
      <c r="AW1616" s="1392" t="n"/>
      <c r="AX1616" s="1392" t="n"/>
      <c r="AY1616" s="1392" t="n"/>
      <c r="AZ1616" s="1392" t="n"/>
      <c r="BA1616" s="1422" t="n"/>
      <c r="BB1616" s="1422" t="n"/>
      <c r="BC1616" s="1392" t="n"/>
      <c r="BD1616" s="1392" t="n"/>
      <c r="BE1616" s="1392" t="n"/>
      <c r="BF1616" s="1392" t="n"/>
      <c r="BG1616" s="1392" t="n"/>
      <c r="BH1616" s="1392" t="n"/>
      <c r="BI1616" s="1392" t="n"/>
      <c r="BJ1616" s="1392" t="n"/>
      <c r="BK1616" s="1392" t="n"/>
      <c r="BL1616" s="1392" t="n"/>
      <c r="BM1616" s="1392" t="n"/>
      <c r="BN1616" s="1392" t="n"/>
      <c r="BO1616" s="1392" t="n"/>
      <c r="BP1616" s="1392" t="n"/>
      <c r="BQ1616" s="1392" t="n"/>
      <c r="BR1616" s="1392" t="n"/>
      <c r="BS1616" s="1392" t="n"/>
      <c r="BT1616" s="1392" t="n"/>
      <c r="BU1616" s="1392" t="n"/>
      <c r="BV1616" s="1392" t="n"/>
      <c r="BW1616" s="1392" t="n"/>
      <c r="BX1616" s="1392" t="n"/>
      <c r="BY1616" s="1392" t="n"/>
      <c r="BZ1616" s="1392" t="n"/>
      <c r="CA1616" s="1392" t="n"/>
      <c r="CB1616" s="1392" t="n"/>
      <c r="CC1616" s="1392" t="n"/>
      <c r="CD1616" s="1392" t="n"/>
      <c r="CE1616" s="1392" t="n"/>
      <c r="CF1616" s="1392" t="n"/>
      <c r="CG1616" s="1392" t="n"/>
      <c r="CH1616" s="1392" t="n"/>
      <c r="CI1616" s="1392" t="n"/>
      <c r="CJ1616" s="1392" t="n"/>
      <c r="CK1616" s="1392" t="n"/>
      <c r="CL1616" s="1392" t="n"/>
    </row>
    <row r="1617">
      <c r="A1617" s="5" t="inlineStr">
        <is>
          <t>.</t>
        </is>
      </c>
      <c r="B1617" s="5" t="inlineStr">
        <is>
          <t>.</t>
        </is>
      </c>
      <c r="C1617" s="1378">
        <f>IF(raw[[#This Row],[city]]="","-",IF(raw[[#This Row],[city]]="TODAY","-",C1616+1))</f>
        <v/>
      </c>
      <c r="D1617" s="1393" t="inlineStr">
        <is>
          <t>Amsterdam</t>
        </is>
      </c>
      <c r="E1617" s="1394" t="n">
        <v>44736</v>
      </c>
      <c r="F1617" s="1394" t="n">
        <v>44738</v>
      </c>
      <c r="G1617" s="1393" t="inlineStr">
        <is>
          <t>-</t>
        </is>
      </c>
      <c r="H1617" s="1393" t="inlineStr">
        <is>
          <t>Marie-Victorin</t>
        </is>
      </c>
      <c r="I1617" s="1393" t="inlineStr">
        <is>
          <t>Bike Trip</t>
        </is>
      </c>
      <c r="J1617" s="1393" t="inlineStr">
        <is>
          <t>-</t>
        </is>
      </c>
      <c r="K1617" s="1395">
        <f>IF(raw[[#This Row],[city]]&lt;&gt;"",_xlfn.XLOOKUP($D1617,ccc[city],ccc[prov],"-"),"-")</f>
        <v/>
      </c>
      <c r="L1617" s="1395">
        <f>IF(raw[[#This Row],[city]]&lt;&gt;"",_xlfn.XLOOKUP($D1617,ccc[city],ccc[ctry],"-"),"-")</f>
        <v/>
      </c>
      <c r="M1617" s="1395">
        <f>IF(raw[[#This Row],[city]]&lt;&gt;"",_xlfn.XLOOKUP($D1617,ccc[city],ccc[cont],"-"),"-")</f>
        <v/>
      </c>
      <c r="N1617" s="1396">
        <f>IF(raw[[#This Row],[city]]="","-",IF(raw[[#This Row],[cont]]="B",raw[[#This Row],[cont]],"W"))</f>
        <v/>
      </c>
      <c r="O1617" s="1397">
        <f>IF(raw[[#This Row],[out]]=0,0,IF(raw[[#This Row],[out]]=raw[[#This Row],[in]],0.01,raw[[#This Row],[out]]-raw[[#This Row],[in]]))</f>
        <v/>
      </c>
      <c r="P1617" s="1397">
        <f>IF(raw[[#This Row],[in]]=0,0,MONTH(raw[[#This Row],[in]]))</f>
        <v/>
      </c>
      <c r="Q1617" s="1397">
        <f>IF(raw[[#This Row],[in]]=0,0,YEAR(raw[[#This Row],[in]]))</f>
        <v/>
      </c>
      <c r="R1617" s="1397">
        <f>INT(raw[[#This Row],[yr]]/10)*10</f>
        <v/>
      </c>
      <c r="S1617" s="1395">
        <f>IF(raw[[#This Row],[city]]="","-",IF(raw[[#This Row],[city]]&lt;&gt;_xlfn.XLOOKUP(raw[[#This Row],[home]],homes[home],homes[city],"-"),1,0))</f>
        <v/>
      </c>
      <c r="T1617" s="1398" t="inlineStr">
        <is>
          <t>.</t>
        </is>
      </c>
      <c r="U1617" s="1399">
        <f>IF(raw[[#This Row],[wb]]="w",raw[[#This Row],[stay]]+U1616,U1616)</f>
        <v/>
      </c>
      <c r="V1617" s="1400">
        <f>IF(raw[[#This Row],[out]]=0,V1616,(raw[[#This Row],[out]]-E$5))</f>
        <v/>
      </c>
      <c r="W1617" s="1401">
        <f>U1617/V1617</f>
        <v/>
      </c>
      <c r="X1617" s="1392" t="n"/>
      <c r="Y1617" s="1392" t="n"/>
      <c r="Z1617" s="1392" t="n"/>
      <c r="AA1617" s="1392" t="n"/>
      <c r="AB1617" s="1392" t="n"/>
      <c r="AC1617" s="1392" t="n"/>
      <c r="AD1617" s="1392" t="n"/>
      <c r="AE1617" s="1392" t="n"/>
      <c r="AF1617" s="1392" t="n"/>
      <c r="AG1617" s="1392" t="n"/>
      <c r="AH1617" s="1392" t="n"/>
      <c r="AI1617" s="1392" t="n"/>
      <c r="AJ1617" s="1392" t="n"/>
      <c r="AK1617" s="1392" t="n"/>
      <c r="AL1617" s="1392" t="n"/>
      <c r="AM1617" s="1392" t="n"/>
      <c r="AN1617" s="1392" t="n"/>
      <c r="AO1617" s="1392" t="n"/>
      <c r="AP1617" s="1392" t="n"/>
      <c r="AQ1617" s="1392" t="n"/>
      <c r="AR1617" s="1422" t="n"/>
      <c r="AS1617" s="1422" t="n"/>
      <c r="AT1617" s="1392" t="n"/>
      <c r="AU1617" s="1392" t="n"/>
      <c r="AV1617" s="1392" t="n"/>
      <c r="AW1617" s="1392" t="n"/>
      <c r="AX1617" s="1392" t="n"/>
      <c r="AY1617" s="1392" t="n"/>
      <c r="AZ1617" s="1392" t="n"/>
      <c r="BA1617" s="1422" t="n"/>
      <c r="BB1617" s="1422" t="n"/>
      <c r="BC1617" s="1392" t="n"/>
      <c r="BD1617" s="1392" t="n"/>
      <c r="BE1617" s="1392" t="n"/>
      <c r="BF1617" s="1392" t="n"/>
      <c r="BG1617" s="1392" t="n"/>
      <c r="BH1617" s="1392" t="n"/>
      <c r="BI1617" s="1392" t="n"/>
      <c r="BJ1617" s="1392" t="n"/>
      <c r="BK1617" s="1392" t="n"/>
      <c r="BL1617" s="1392" t="n"/>
      <c r="BM1617" s="1392" t="n"/>
      <c r="BN1617" s="1392" t="n"/>
      <c r="BO1617" s="1392" t="n"/>
      <c r="BP1617" s="1392" t="n"/>
      <c r="BQ1617" s="1392" t="n"/>
      <c r="BR1617" s="1392" t="n"/>
      <c r="BS1617" s="1392" t="n"/>
      <c r="BT1617" s="1392" t="n"/>
      <c r="BU1617" s="1392" t="n"/>
      <c r="BV1617" s="1392" t="n"/>
      <c r="BW1617" s="1392" t="n"/>
      <c r="BX1617" s="1392" t="n"/>
      <c r="BY1617" s="1392" t="n"/>
      <c r="BZ1617" s="1392" t="n"/>
      <c r="CA1617" s="1392" t="n"/>
      <c r="CB1617" s="1392" t="n"/>
      <c r="CC1617" s="1392" t="n"/>
      <c r="CD1617" s="1392" t="n"/>
      <c r="CE1617" s="1392" t="n"/>
      <c r="CF1617" s="1392" t="n"/>
      <c r="CG1617" s="1392" t="n"/>
      <c r="CH1617" s="1392" t="n"/>
      <c r="CI1617" s="1392" t="n"/>
      <c r="CJ1617" s="1392" t="n"/>
      <c r="CK1617" s="1392" t="n"/>
      <c r="CL1617" s="1392" t="n"/>
    </row>
    <row r="1618">
      <c r="A1618" s="5" t="inlineStr">
        <is>
          <t>.</t>
        </is>
      </c>
      <c r="B1618" s="5" t="inlineStr">
        <is>
          <t>.</t>
        </is>
      </c>
      <c r="C1618" s="1378">
        <f>IF(raw[[#This Row],[city]]="","-",IF(raw[[#This Row],[city]]="TODAY","-",C1617+1))</f>
        <v/>
      </c>
      <c r="D1618" s="1393" t="inlineStr">
        <is>
          <t>The Hague</t>
        </is>
      </c>
      <c r="E1618" s="1394" t="n">
        <v>44738</v>
      </c>
      <c r="F1618" s="1394" t="n">
        <v>44738</v>
      </c>
      <c r="G1618" s="1393" t="inlineStr">
        <is>
          <t>-</t>
        </is>
      </c>
      <c r="H1618" s="1393" t="inlineStr">
        <is>
          <t>Marie-Victorin</t>
        </is>
      </c>
      <c r="I1618" s="1393" t="inlineStr">
        <is>
          <t>Bike Trip</t>
        </is>
      </c>
      <c r="J1618" s="1393" t="inlineStr">
        <is>
          <t>-</t>
        </is>
      </c>
      <c r="K1618" s="1395">
        <f>IF(raw[[#This Row],[city]]&lt;&gt;"",_xlfn.XLOOKUP($D1618,ccc[city],ccc[prov],"-"),"-")</f>
        <v/>
      </c>
      <c r="L1618" s="1395">
        <f>IF(raw[[#This Row],[city]]&lt;&gt;"",_xlfn.XLOOKUP($D1618,ccc[city],ccc[ctry],"-"),"-")</f>
        <v/>
      </c>
      <c r="M1618" s="1395">
        <f>IF(raw[[#This Row],[city]]&lt;&gt;"",_xlfn.XLOOKUP($D1618,ccc[city],ccc[cont],"-"),"-")</f>
        <v/>
      </c>
      <c r="N1618" s="1396">
        <f>IF(raw[[#This Row],[city]]="","-",IF(raw[[#This Row],[cont]]="B",raw[[#This Row],[cont]],"W"))</f>
        <v/>
      </c>
      <c r="O1618" s="1397">
        <f>IF(raw[[#This Row],[out]]=0,0,IF(raw[[#This Row],[out]]=raw[[#This Row],[in]],0.01,raw[[#This Row],[out]]-raw[[#This Row],[in]]))</f>
        <v/>
      </c>
      <c r="P1618" s="1397">
        <f>IF(raw[[#This Row],[in]]=0,0,MONTH(raw[[#This Row],[in]]))</f>
        <v/>
      </c>
      <c r="Q1618" s="1397">
        <f>IF(raw[[#This Row],[in]]=0,0,YEAR(raw[[#This Row],[in]]))</f>
        <v/>
      </c>
      <c r="R1618" s="1397">
        <f>INT(raw[[#This Row],[yr]]/10)*10</f>
        <v/>
      </c>
      <c r="S1618" s="1395">
        <f>IF(raw[[#This Row],[city]]="","-",IF(raw[[#This Row],[city]]&lt;&gt;_xlfn.XLOOKUP(raw[[#This Row],[home]],homes[home],homes[city],"-"),1,0))</f>
        <v/>
      </c>
      <c r="T1618" s="1398" t="inlineStr">
        <is>
          <t>.</t>
        </is>
      </c>
      <c r="U1618" s="1399">
        <f>IF(raw[[#This Row],[wb]]="w",raw[[#This Row],[stay]]+U1617,U1617)</f>
        <v/>
      </c>
      <c r="V1618" s="1400">
        <f>IF(raw[[#This Row],[out]]=0,V1617,(raw[[#This Row],[out]]-E$5))</f>
        <v/>
      </c>
      <c r="W1618" s="1401">
        <f>U1618/V1618</f>
        <v/>
      </c>
      <c r="X1618" s="1392" t="n"/>
      <c r="Y1618" s="1392" t="n"/>
      <c r="Z1618" s="1392" t="n"/>
      <c r="AA1618" s="1392" t="n"/>
      <c r="AB1618" s="1392" t="n"/>
      <c r="AC1618" s="1392" t="n"/>
      <c r="AD1618" s="1392" t="n"/>
      <c r="AE1618" s="1392" t="n"/>
      <c r="AF1618" s="1392" t="n"/>
      <c r="AG1618" s="1392" t="n"/>
      <c r="AH1618" s="1392" t="n"/>
      <c r="AI1618" s="1392" t="n"/>
      <c r="AJ1618" s="1392" t="n"/>
      <c r="AK1618" s="1392" t="n"/>
      <c r="AL1618" s="1392" t="n"/>
      <c r="AM1618" s="1392" t="n"/>
      <c r="AN1618" s="1392" t="n"/>
      <c r="AO1618" s="1392" t="n"/>
      <c r="AP1618" s="1392" t="n"/>
      <c r="AQ1618" s="1392" t="n"/>
      <c r="AR1618" s="1422" t="n"/>
      <c r="AS1618" s="1422" t="n"/>
      <c r="AT1618" s="1392" t="n"/>
      <c r="AU1618" s="1392" t="n"/>
      <c r="AV1618" s="1392" t="n"/>
      <c r="AW1618" s="1392" t="n"/>
      <c r="AX1618" s="1392" t="n"/>
      <c r="AY1618" s="1392" t="n"/>
      <c r="AZ1618" s="1392" t="n"/>
      <c r="BA1618" s="1422" t="n"/>
      <c r="BB1618" s="1422" t="n"/>
      <c r="BC1618" s="1392" t="n"/>
      <c r="BD1618" s="1392" t="n"/>
      <c r="BE1618" s="1392" t="n"/>
      <c r="BF1618" s="1392" t="n"/>
      <c r="BG1618" s="1392" t="n"/>
      <c r="BH1618" s="1392" t="n"/>
      <c r="BI1618" s="1392" t="n"/>
      <c r="BJ1618" s="1392" t="n"/>
      <c r="BK1618" s="1392" t="n"/>
      <c r="BL1618" s="1392" t="n"/>
      <c r="BM1618" s="1392" t="n"/>
      <c r="BN1618" s="1392" t="n"/>
      <c r="BO1618" s="1392" t="n"/>
      <c r="BP1618" s="1392" t="n"/>
      <c r="BQ1618" s="1392" t="n"/>
      <c r="BR1618" s="1392" t="n"/>
      <c r="BS1618" s="1392" t="n"/>
      <c r="BT1618" s="1392" t="n"/>
      <c r="BU1618" s="1392" t="n"/>
      <c r="BV1618" s="1392" t="n"/>
      <c r="BW1618" s="1392" t="n"/>
      <c r="BX1618" s="1392" t="n"/>
      <c r="BY1618" s="1392" t="n"/>
      <c r="BZ1618" s="1392" t="n"/>
      <c r="CA1618" s="1392" t="n"/>
      <c r="CB1618" s="1392" t="n"/>
      <c r="CC1618" s="1392" t="n"/>
      <c r="CD1618" s="1392" t="n"/>
      <c r="CE1618" s="1392" t="n"/>
      <c r="CF1618" s="1392" t="n"/>
      <c r="CG1618" s="1392" t="n"/>
      <c r="CH1618" s="1392" t="n"/>
      <c r="CI1618" s="1392" t="n"/>
      <c r="CJ1618" s="1392" t="n"/>
      <c r="CK1618" s="1392" t="n"/>
      <c r="CL1618" s="1392" t="n"/>
    </row>
    <row r="1619">
      <c r="A1619" s="5" t="inlineStr">
        <is>
          <t>.</t>
        </is>
      </c>
      <c r="B1619" s="5" t="inlineStr">
        <is>
          <t>.</t>
        </is>
      </c>
      <c r="C1619" s="1378">
        <f>IF(raw[[#This Row],[city]]="","-",IF(raw[[#This Row],[city]]="TODAY","-",C1618+1))</f>
        <v/>
      </c>
      <c r="D1619" s="1393" t="inlineStr">
        <is>
          <t>Delft</t>
        </is>
      </c>
      <c r="E1619" s="1394" t="n">
        <v>44738</v>
      </c>
      <c r="F1619" s="1394" t="n">
        <v>44738</v>
      </c>
      <c r="G1619" s="1393" t="inlineStr">
        <is>
          <t>-</t>
        </is>
      </c>
      <c r="H1619" s="1393" t="inlineStr">
        <is>
          <t>Marie-Victorin</t>
        </is>
      </c>
      <c r="I1619" s="1393" t="inlineStr">
        <is>
          <t>Bike Trip</t>
        </is>
      </c>
      <c r="J1619" s="1393" t="inlineStr">
        <is>
          <t>-</t>
        </is>
      </c>
      <c r="K1619" s="1395">
        <f>IF(raw[[#This Row],[city]]&lt;&gt;"",_xlfn.XLOOKUP($D1619,ccc[city],ccc[prov],"-"),"-")</f>
        <v/>
      </c>
      <c r="L1619" s="1395">
        <f>IF(raw[[#This Row],[city]]&lt;&gt;"",_xlfn.XLOOKUP($D1619,ccc[city],ccc[ctry],"-"),"-")</f>
        <v/>
      </c>
      <c r="M1619" s="1395">
        <f>IF(raw[[#This Row],[city]]&lt;&gt;"",_xlfn.XLOOKUP($D1619,ccc[city],ccc[cont],"-"),"-")</f>
        <v/>
      </c>
      <c r="N1619" s="1396">
        <f>IF(raw[[#This Row],[city]]="","-",IF(raw[[#This Row],[cont]]="B",raw[[#This Row],[cont]],"W"))</f>
        <v/>
      </c>
      <c r="O1619" s="1397">
        <f>IF(raw[[#This Row],[out]]=0,0,IF(raw[[#This Row],[out]]=raw[[#This Row],[in]],0.01,raw[[#This Row],[out]]-raw[[#This Row],[in]]))</f>
        <v/>
      </c>
      <c r="P1619" s="1397">
        <f>IF(raw[[#This Row],[in]]=0,0,MONTH(raw[[#This Row],[in]]))</f>
        <v/>
      </c>
      <c r="Q1619" s="1397">
        <f>IF(raw[[#This Row],[in]]=0,0,YEAR(raw[[#This Row],[in]]))</f>
        <v/>
      </c>
      <c r="R1619" s="1397">
        <f>INT(raw[[#This Row],[yr]]/10)*10</f>
        <v/>
      </c>
      <c r="S1619" s="1395">
        <f>IF(raw[[#This Row],[city]]="","-",IF(raw[[#This Row],[city]]&lt;&gt;_xlfn.XLOOKUP(raw[[#This Row],[home]],homes[home],homes[city],"-"),1,0))</f>
        <v/>
      </c>
      <c r="T1619" s="1398" t="inlineStr">
        <is>
          <t>.</t>
        </is>
      </c>
      <c r="U1619" s="1399">
        <f>IF(raw[[#This Row],[wb]]="w",raw[[#This Row],[stay]]+U1618,U1618)</f>
        <v/>
      </c>
      <c r="V1619" s="1400">
        <f>IF(raw[[#This Row],[out]]=0,V1618,(raw[[#This Row],[out]]-E$5))</f>
        <v/>
      </c>
      <c r="W1619" s="1401">
        <f>U1619/V1619</f>
        <v/>
      </c>
      <c r="X1619" s="1392" t="n"/>
      <c r="Y1619" s="1392" t="n"/>
      <c r="Z1619" s="1392" t="n"/>
      <c r="AA1619" s="1392" t="n"/>
      <c r="AB1619" s="1392" t="n"/>
      <c r="AC1619" s="1392" t="n"/>
      <c r="AD1619" s="1392" t="n"/>
      <c r="AE1619" s="1392" t="n"/>
      <c r="AF1619" s="1392" t="n"/>
      <c r="AG1619" s="1392" t="n"/>
      <c r="AH1619" s="1392" t="n"/>
      <c r="AI1619" s="1392" t="n"/>
      <c r="AJ1619" s="1392" t="n"/>
      <c r="AK1619" s="1392" t="n"/>
      <c r="AL1619" s="1392" t="n"/>
      <c r="AM1619" s="1392" t="n"/>
      <c r="AN1619" s="1392" t="n"/>
      <c r="AO1619" s="1392" t="n"/>
      <c r="AP1619" s="1392" t="n"/>
      <c r="AQ1619" s="1392" t="n"/>
      <c r="AR1619" s="1422" t="n"/>
      <c r="AS1619" s="1422" t="n"/>
      <c r="AT1619" s="1392" t="n"/>
      <c r="AU1619" s="1392" t="n"/>
      <c r="AV1619" s="1392" t="n"/>
      <c r="AW1619" s="1392" t="n"/>
      <c r="AX1619" s="1392" t="n"/>
      <c r="AY1619" s="1392" t="n"/>
      <c r="AZ1619" s="1392" t="n"/>
      <c r="BA1619" s="1422" t="n"/>
      <c r="BB1619" s="1422" t="n"/>
      <c r="BC1619" s="1392" t="n"/>
      <c r="BD1619" s="1392" t="n"/>
      <c r="BE1619" s="1392" t="n"/>
      <c r="BF1619" s="1392" t="n"/>
      <c r="BG1619" s="1392" t="n"/>
      <c r="BH1619" s="1392" t="n"/>
      <c r="BI1619" s="1392" t="n"/>
      <c r="BJ1619" s="1392" t="n"/>
      <c r="BK1619" s="1392" t="n"/>
      <c r="BL1619" s="1392" t="n"/>
      <c r="BM1619" s="1392" t="n"/>
      <c r="BN1619" s="1392" t="n"/>
      <c r="BO1619" s="1392" t="n"/>
      <c r="BP1619" s="1392" t="n"/>
      <c r="BQ1619" s="1392" t="n"/>
      <c r="BR1619" s="1392" t="n"/>
      <c r="BS1619" s="1392" t="n"/>
      <c r="BT1619" s="1392" t="n"/>
      <c r="BU1619" s="1392" t="n"/>
      <c r="BV1619" s="1392" t="n"/>
      <c r="BW1619" s="1392" t="n"/>
      <c r="BX1619" s="1392" t="n"/>
      <c r="BY1619" s="1392" t="n"/>
      <c r="BZ1619" s="1392" t="n"/>
      <c r="CA1619" s="1392" t="n"/>
      <c r="CB1619" s="1392" t="n"/>
      <c r="CC1619" s="1392" t="n"/>
      <c r="CD1619" s="1392" t="n"/>
      <c r="CE1619" s="1392" t="n"/>
      <c r="CF1619" s="1392" t="n"/>
      <c r="CG1619" s="1392" t="n"/>
      <c r="CH1619" s="1392" t="n"/>
      <c r="CI1619" s="1392" t="n"/>
      <c r="CJ1619" s="1392" t="n"/>
      <c r="CK1619" s="1392" t="n"/>
      <c r="CL1619" s="1392" t="n"/>
    </row>
    <row r="1620">
      <c r="A1620" s="5" t="inlineStr">
        <is>
          <t>.</t>
        </is>
      </c>
      <c r="B1620" s="5" t="inlineStr">
        <is>
          <t>.</t>
        </is>
      </c>
      <c r="C1620" s="1378">
        <f>IF(raw[[#This Row],[city]]="","-",IF(raw[[#This Row],[city]]="TODAY","-",C1619+1))</f>
        <v/>
      </c>
      <c r="D1620" s="1393" t="inlineStr">
        <is>
          <t>Zevenhuis</t>
        </is>
      </c>
      <c r="E1620" s="1394" t="n">
        <v>44738</v>
      </c>
      <c r="F1620" s="1394" t="n">
        <v>44739</v>
      </c>
      <c r="G1620" s="1393" t="inlineStr">
        <is>
          <t>-</t>
        </is>
      </c>
      <c r="H1620" s="1393" t="inlineStr">
        <is>
          <t>Marie-Victorin</t>
        </is>
      </c>
      <c r="I1620" s="1393" t="inlineStr">
        <is>
          <t>Bike Trip</t>
        </is>
      </c>
      <c r="J1620" s="1393" t="inlineStr">
        <is>
          <t>-</t>
        </is>
      </c>
      <c r="K1620" s="1395">
        <f>IF(raw[[#This Row],[city]]&lt;&gt;"",_xlfn.XLOOKUP($D1620,ccc[city],ccc[prov],"-"),"-")</f>
        <v/>
      </c>
      <c r="L1620" s="1395">
        <f>IF(raw[[#This Row],[city]]&lt;&gt;"",_xlfn.XLOOKUP($D1620,ccc[city],ccc[ctry],"-"),"-")</f>
        <v/>
      </c>
      <c r="M1620" s="1395">
        <f>IF(raw[[#This Row],[city]]&lt;&gt;"",_xlfn.XLOOKUP($D1620,ccc[city],ccc[cont],"-"),"-")</f>
        <v/>
      </c>
      <c r="N1620" s="1396">
        <f>IF(raw[[#This Row],[city]]="","-",IF(raw[[#This Row],[cont]]="B",raw[[#This Row],[cont]],"W"))</f>
        <v/>
      </c>
      <c r="O1620" s="1397">
        <f>IF(raw[[#This Row],[out]]=0,0,IF(raw[[#This Row],[out]]=raw[[#This Row],[in]],0.01,raw[[#This Row],[out]]-raw[[#This Row],[in]]))</f>
        <v/>
      </c>
      <c r="P1620" s="1397">
        <f>IF(raw[[#This Row],[in]]=0,0,MONTH(raw[[#This Row],[in]]))</f>
        <v/>
      </c>
      <c r="Q1620" s="1397">
        <f>IF(raw[[#This Row],[in]]=0,0,YEAR(raw[[#This Row],[in]]))</f>
        <v/>
      </c>
      <c r="R1620" s="1397">
        <f>INT(raw[[#This Row],[yr]]/10)*10</f>
        <v/>
      </c>
      <c r="S1620" s="1395">
        <f>IF(raw[[#This Row],[city]]="","-",IF(raw[[#This Row],[city]]&lt;&gt;_xlfn.XLOOKUP(raw[[#This Row],[home]],homes[home],homes[city],"-"),1,0))</f>
        <v/>
      </c>
      <c r="T1620" s="1398" t="inlineStr">
        <is>
          <t>.</t>
        </is>
      </c>
      <c r="U1620" s="1399">
        <f>IF(raw[[#This Row],[wb]]="w",raw[[#This Row],[stay]]+U1619,U1619)</f>
        <v/>
      </c>
      <c r="V1620" s="1400">
        <f>IF(raw[[#This Row],[out]]=0,V1619,(raw[[#This Row],[out]]-E$5))</f>
        <v/>
      </c>
      <c r="W1620" s="1401">
        <f>U1620/V1620</f>
        <v/>
      </c>
      <c r="X1620" s="1392" t="n"/>
      <c r="Y1620" s="1392" t="n"/>
      <c r="Z1620" s="1392" t="n"/>
      <c r="AA1620" s="1392" t="n"/>
      <c r="AB1620" s="1392" t="n"/>
      <c r="AC1620" s="1392" t="n"/>
      <c r="AD1620" s="1392" t="n"/>
      <c r="AE1620" s="1392" t="n"/>
      <c r="AF1620" s="1392" t="n"/>
      <c r="AG1620" s="1392" t="n"/>
      <c r="AH1620" s="1392" t="n"/>
      <c r="AI1620" s="1392" t="n"/>
      <c r="AJ1620" s="1392" t="n"/>
      <c r="AK1620" s="1392" t="n"/>
      <c r="AL1620" s="1392" t="n"/>
      <c r="AM1620" s="1392" t="n"/>
      <c r="AN1620" s="1392" t="n"/>
      <c r="AO1620" s="1392" t="n"/>
      <c r="AP1620" s="1392" t="n"/>
      <c r="AQ1620" s="1392" t="n"/>
      <c r="AR1620" s="1422" t="n"/>
      <c r="AS1620" s="1422" t="n"/>
      <c r="AT1620" s="1392" t="n"/>
      <c r="AU1620" s="1392" t="n"/>
      <c r="AV1620" s="1392" t="n"/>
      <c r="AW1620" s="1392" t="n"/>
      <c r="AX1620" s="1392" t="n"/>
      <c r="AY1620" s="1392" t="n"/>
      <c r="AZ1620" s="1392" t="n"/>
      <c r="BA1620" s="1422" t="n"/>
      <c r="BB1620" s="1422" t="n"/>
      <c r="BC1620" s="1392" t="n"/>
      <c r="BD1620" s="1392" t="n"/>
      <c r="BE1620" s="1392" t="n"/>
      <c r="BF1620" s="1392" t="n"/>
      <c r="BG1620" s="1392" t="n"/>
      <c r="BH1620" s="1392" t="n"/>
      <c r="BI1620" s="1392" t="n"/>
      <c r="BJ1620" s="1392" t="n"/>
      <c r="BK1620" s="1392" t="n"/>
      <c r="BL1620" s="1392" t="n"/>
      <c r="BM1620" s="1392" t="n"/>
      <c r="BN1620" s="1392" t="n"/>
      <c r="BO1620" s="1392" t="n"/>
      <c r="BP1620" s="1392" t="n"/>
      <c r="BQ1620" s="1392" t="n"/>
      <c r="BR1620" s="1392" t="n"/>
      <c r="BS1620" s="1392" t="n"/>
      <c r="BT1620" s="1392" t="n"/>
      <c r="BU1620" s="1392" t="n"/>
      <c r="BV1620" s="1392" t="n"/>
      <c r="BW1620" s="1392" t="n"/>
      <c r="BX1620" s="1392" t="n"/>
      <c r="BY1620" s="1392" t="n"/>
      <c r="BZ1620" s="1392" t="n"/>
      <c r="CA1620" s="1392" t="n"/>
      <c r="CB1620" s="1392" t="n"/>
      <c r="CC1620" s="1392" t="n"/>
      <c r="CD1620" s="1392" t="n"/>
      <c r="CE1620" s="1392" t="n"/>
      <c r="CF1620" s="1392" t="n"/>
      <c r="CG1620" s="1392" t="n"/>
      <c r="CH1620" s="1392" t="n"/>
      <c r="CI1620" s="1392" t="n"/>
      <c r="CJ1620" s="1392" t="n"/>
      <c r="CK1620" s="1392" t="n"/>
      <c r="CL1620" s="1392" t="n"/>
    </row>
    <row r="1621">
      <c r="A1621" s="5" t="inlineStr">
        <is>
          <t>.</t>
        </is>
      </c>
      <c r="B1621" s="5" t="inlineStr">
        <is>
          <t>.</t>
        </is>
      </c>
      <c r="C1621" s="1378">
        <f>IF(raw[[#This Row],[city]]="","-",IF(raw[[#This Row],[city]]="TODAY","-",C1620+1))</f>
        <v/>
      </c>
      <c r="D1621" s="1393" t="inlineStr">
        <is>
          <t>Gouda</t>
        </is>
      </c>
      <c r="E1621" s="1394" t="n">
        <v>44739</v>
      </c>
      <c r="F1621" s="1394" t="n">
        <v>44739</v>
      </c>
      <c r="G1621" s="1393" t="inlineStr">
        <is>
          <t>-</t>
        </is>
      </c>
      <c r="H1621" s="1393" t="inlineStr">
        <is>
          <t>Marie-Victorin</t>
        </is>
      </c>
      <c r="I1621" s="1393" t="inlineStr">
        <is>
          <t>Bike Trip</t>
        </is>
      </c>
      <c r="J1621" s="1393" t="inlineStr">
        <is>
          <t>-</t>
        </is>
      </c>
      <c r="K1621" s="1395">
        <f>IF(raw[[#This Row],[city]]&lt;&gt;"",_xlfn.XLOOKUP($D1621,ccc[city],ccc[prov],"-"),"-")</f>
        <v/>
      </c>
      <c r="L1621" s="1395">
        <f>IF(raw[[#This Row],[city]]&lt;&gt;"",_xlfn.XLOOKUP($D1621,ccc[city],ccc[ctry],"-"),"-")</f>
        <v/>
      </c>
      <c r="M1621" s="1395">
        <f>IF(raw[[#This Row],[city]]&lt;&gt;"",_xlfn.XLOOKUP($D1621,ccc[city],ccc[cont],"-"),"-")</f>
        <v/>
      </c>
      <c r="N1621" s="1396">
        <f>IF(raw[[#This Row],[city]]="","-",IF(raw[[#This Row],[cont]]="B",raw[[#This Row],[cont]],"W"))</f>
        <v/>
      </c>
      <c r="O1621" s="1397">
        <f>IF(raw[[#This Row],[out]]=0,0,IF(raw[[#This Row],[out]]=raw[[#This Row],[in]],0.01,raw[[#This Row],[out]]-raw[[#This Row],[in]]))</f>
        <v/>
      </c>
      <c r="P1621" s="1397">
        <f>IF(raw[[#This Row],[in]]=0,0,MONTH(raw[[#This Row],[in]]))</f>
        <v/>
      </c>
      <c r="Q1621" s="1397">
        <f>IF(raw[[#This Row],[in]]=0,0,YEAR(raw[[#This Row],[in]]))</f>
        <v/>
      </c>
      <c r="R1621" s="1397">
        <f>INT(raw[[#This Row],[yr]]/10)*10</f>
        <v/>
      </c>
      <c r="S1621" s="1395">
        <f>IF(raw[[#This Row],[city]]="","-",IF(raw[[#This Row],[city]]&lt;&gt;_xlfn.XLOOKUP(raw[[#This Row],[home]],homes[home],homes[city],"-"),1,0))</f>
        <v/>
      </c>
      <c r="T1621" s="1398" t="inlineStr">
        <is>
          <t>.</t>
        </is>
      </c>
      <c r="U1621" s="1399">
        <f>IF(raw[[#This Row],[wb]]="w",raw[[#This Row],[stay]]+U1620,U1620)</f>
        <v/>
      </c>
      <c r="V1621" s="1400">
        <f>IF(raw[[#This Row],[out]]=0,V1620,(raw[[#This Row],[out]]-E$5))</f>
        <v/>
      </c>
      <c r="W1621" s="1401">
        <f>U1621/V1621</f>
        <v/>
      </c>
      <c r="X1621" s="1392" t="n"/>
      <c r="Y1621" s="1392" t="n"/>
      <c r="Z1621" s="1392" t="n"/>
      <c r="AA1621" s="1392" t="n"/>
      <c r="AB1621" s="1392" t="n"/>
      <c r="AC1621" s="1392" t="n"/>
      <c r="AD1621" s="1392" t="n"/>
      <c r="AE1621" s="1392" t="n"/>
      <c r="AF1621" s="1392" t="n"/>
      <c r="AG1621" s="1392" t="n"/>
      <c r="AH1621" s="1392" t="n"/>
      <c r="AI1621" s="1392" t="n"/>
      <c r="AJ1621" s="1392" t="n"/>
      <c r="AK1621" s="1392" t="n"/>
      <c r="AL1621" s="1392" t="n"/>
      <c r="AM1621" s="1392" t="n"/>
      <c r="AN1621" s="1392" t="n"/>
      <c r="AO1621" s="1392" t="n"/>
      <c r="AP1621" s="1392" t="n"/>
      <c r="AQ1621" s="1392" t="n"/>
      <c r="AR1621" s="1422" t="n"/>
      <c r="AS1621" s="1422" t="n"/>
      <c r="AT1621" s="1392" t="n"/>
      <c r="AU1621" s="1392" t="n"/>
      <c r="AV1621" s="1392" t="n"/>
      <c r="AW1621" s="1392" t="n"/>
      <c r="AX1621" s="1392" t="n"/>
      <c r="AY1621" s="1392" t="n"/>
      <c r="AZ1621" s="1392" t="n"/>
      <c r="BA1621" s="1422" t="n"/>
      <c r="BB1621" s="1422" t="n"/>
      <c r="BC1621" s="1392" t="n"/>
      <c r="BD1621" s="1392" t="n"/>
      <c r="BE1621" s="1392" t="n"/>
      <c r="BF1621" s="1392" t="n"/>
      <c r="BG1621" s="1392" t="n"/>
      <c r="BH1621" s="1392" t="n"/>
      <c r="BI1621" s="1392" t="n"/>
      <c r="BJ1621" s="1392" t="n"/>
      <c r="BK1621" s="1392" t="n"/>
      <c r="BL1621" s="1392" t="n"/>
      <c r="BM1621" s="1392" t="n"/>
      <c r="BN1621" s="1392" t="n"/>
      <c r="BO1621" s="1392" t="n"/>
      <c r="BP1621" s="1392" t="n"/>
      <c r="BQ1621" s="1392" t="n"/>
      <c r="BR1621" s="1392" t="n"/>
      <c r="BS1621" s="1392" t="n"/>
      <c r="BT1621" s="1392" t="n"/>
      <c r="BU1621" s="1392" t="n"/>
      <c r="BV1621" s="1392" t="n"/>
      <c r="BW1621" s="1392" t="n"/>
      <c r="BX1621" s="1392" t="n"/>
      <c r="BY1621" s="1392" t="n"/>
      <c r="BZ1621" s="1392" t="n"/>
      <c r="CA1621" s="1392" t="n"/>
      <c r="CB1621" s="1392" t="n"/>
      <c r="CC1621" s="1392" t="n"/>
      <c r="CD1621" s="1392" t="n"/>
      <c r="CE1621" s="1392" t="n"/>
      <c r="CF1621" s="1392" t="n"/>
      <c r="CG1621" s="1392" t="n"/>
      <c r="CH1621" s="1392" t="n"/>
      <c r="CI1621" s="1392" t="n"/>
      <c r="CJ1621" s="1392" t="n"/>
      <c r="CK1621" s="1392" t="n"/>
      <c r="CL1621" s="1392" t="n"/>
    </row>
    <row r="1622">
      <c r="A1622" s="5" t="inlineStr">
        <is>
          <t>.</t>
        </is>
      </c>
      <c r="B1622" s="5" t="inlineStr">
        <is>
          <t>.</t>
        </is>
      </c>
      <c r="C1622" s="1378">
        <f>IF(raw[[#This Row],[city]]="","-",IF(raw[[#This Row],[city]]="TODAY","-",C1621+1))</f>
        <v/>
      </c>
      <c r="D1622" s="1393" t="inlineStr">
        <is>
          <t>Schonhoven</t>
        </is>
      </c>
      <c r="E1622" s="1394" t="n">
        <v>44739</v>
      </c>
      <c r="F1622" s="1394" t="n">
        <v>44739</v>
      </c>
      <c r="G1622" s="1393" t="inlineStr">
        <is>
          <t>-</t>
        </is>
      </c>
      <c r="H1622" s="1393" t="inlineStr">
        <is>
          <t>Marie-Victorin</t>
        </is>
      </c>
      <c r="I1622" s="1393" t="inlineStr">
        <is>
          <t>Bike Trip</t>
        </is>
      </c>
      <c r="J1622" s="1393" t="inlineStr">
        <is>
          <t>-</t>
        </is>
      </c>
      <c r="K1622" s="1395">
        <f>IF(raw[[#This Row],[city]]&lt;&gt;"",_xlfn.XLOOKUP($D1622,ccc[city],ccc[prov],"-"),"-")</f>
        <v/>
      </c>
      <c r="L1622" s="1395">
        <f>IF(raw[[#This Row],[city]]&lt;&gt;"",_xlfn.XLOOKUP($D1622,ccc[city],ccc[ctry],"-"),"-")</f>
        <v/>
      </c>
      <c r="M1622" s="1395">
        <f>IF(raw[[#This Row],[city]]&lt;&gt;"",_xlfn.XLOOKUP($D1622,ccc[city],ccc[cont],"-"),"-")</f>
        <v/>
      </c>
      <c r="N1622" s="1396">
        <f>IF(raw[[#This Row],[city]]="","-",IF(raw[[#This Row],[cont]]="B",raw[[#This Row],[cont]],"W"))</f>
        <v/>
      </c>
      <c r="O1622" s="1397">
        <f>IF(raw[[#This Row],[out]]=0,0,IF(raw[[#This Row],[out]]=raw[[#This Row],[in]],0.01,raw[[#This Row],[out]]-raw[[#This Row],[in]]))</f>
        <v/>
      </c>
      <c r="P1622" s="1397">
        <f>IF(raw[[#This Row],[in]]=0,0,MONTH(raw[[#This Row],[in]]))</f>
        <v/>
      </c>
      <c r="Q1622" s="1397">
        <f>IF(raw[[#This Row],[in]]=0,0,YEAR(raw[[#This Row],[in]]))</f>
        <v/>
      </c>
      <c r="R1622" s="1397">
        <f>INT(raw[[#This Row],[yr]]/10)*10</f>
        <v/>
      </c>
      <c r="S1622" s="1395">
        <f>IF(raw[[#This Row],[city]]="","-",IF(raw[[#This Row],[city]]&lt;&gt;_xlfn.XLOOKUP(raw[[#This Row],[home]],homes[home],homes[city],"-"),1,0))</f>
        <v/>
      </c>
      <c r="T1622" s="1398" t="inlineStr">
        <is>
          <t>.</t>
        </is>
      </c>
      <c r="U1622" s="1399">
        <f>IF(raw[[#This Row],[wb]]="w",raw[[#This Row],[stay]]+U1621,U1621)</f>
        <v/>
      </c>
      <c r="V1622" s="1400">
        <f>IF(raw[[#This Row],[out]]=0,V1621,(raw[[#This Row],[out]]-E$5))</f>
        <v/>
      </c>
      <c r="W1622" s="1401">
        <f>U1622/V1622</f>
        <v/>
      </c>
      <c r="X1622" s="1392" t="n"/>
      <c r="Y1622" s="1392" t="n"/>
      <c r="Z1622" s="1392" t="n"/>
      <c r="AA1622" s="1392" t="n"/>
      <c r="AB1622" s="1392" t="n"/>
      <c r="AC1622" s="1392" t="n"/>
      <c r="AD1622" s="1392" t="n"/>
      <c r="AE1622" s="1392" t="n"/>
      <c r="AF1622" s="1392" t="n"/>
      <c r="AG1622" s="1392" t="n"/>
      <c r="AH1622" s="1392" t="n"/>
      <c r="AI1622" s="1392" t="n"/>
      <c r="AJ1622" s="1392" t="n"/>
      <c r="AK1622" s="1392" t="n"/>
      <c r="AL1622" s="1392" t="n"/>
      <c r="AM1622" s="1392" t="n"/>
      <c r="AN1622" s="1392" t="n"/>
      <c r="AO1622" s="1392" t="n"/>
      <c r="AP1622" s="1392" t="n"/>
      <c r="AQ1622" s="1392" t="n"/>
      <c r="AR1622" s="1422" t="n"/>
      <c r="AS1622" s="1422" t="n"/>
      <c r="AT1622" s="1392" t="n"/>
      <c r="AU1622" s="1392" t="n"/>
      <c r="AV1622" s="1392" t="n"/>
      <c r="AW1622" s="1392" t="n"/>
      <c r="AX1622" s="1392" t="n"/>
      <c r="AY1622" s="1392" t="n"/>
      <c r="AZ1622" s="1392" t="n"/>
      <c r="BA1622" s="1422" t="n"/>
      <c r="BB1622" s="1422" t="n"/>
      <c r="BC1622" s="1392" t="n"/>
      <c r="BD1622" s="1392" t="n"/>
      <c r="BE1622" s="1392" t="n"/>
      <c r="BF1622" s="1392" t="n"/>
      <c r="BG1622" s="1392" t="n"/>
      <c r="BH1622" s="1392" t="n"/>
      <c r="BI1622" s="1392" t="n"/>
      <c r="BJ1622" s="1392" t="n"/>
      <c r="BK1622" s="1392" t="n"/>
      <c r="BL1622" s="1392" t="n"/>
      <c r="BM1622" s="1392" t="n"/>
      <c r="BN1622" s="1392" t="n"/>
      <c r="BO1622" s="1392" t="n"/>
      <c r="BP1622" s="1392" t="n"/>
      <c r="BQ1622" s="1392" t="n"/>
      <c r="BR1622" s="1392" t="n"/>
      <c r="BS1622" s="1392" t="n"/>
      <c r="BT1622" s="1392" t="n"/>
      <c r="BU1622" s="1392" t="n"/>
      <c r="BV1622" s="1392" t="n"/>
      <c r="BW1622" s="1392" t="n"/>
      <c r="BX1622" s="1392" t="n"/>
      <c r="BY1622" s="1392" t="n"/>
      <c r="BZ1622" s="1392" t="n"/>
      <c r="CA1622" s="1392" t="n"/>
      <c r="CB1622" s="1392" t="n"/>
      <c r="CC1622" s="1392" t="n"/>
      <c r="CD1622" s="1392" t="n"/>
      <c r="CE1622" s="1392" t="n"/>
      <c r="CF1622" s="1392" t="n"/>
      <c r="CG1622" s="1392" t="n"/>
      <c r="CH1622" s="1392" t="n"/>
      <c r="CI1622" s="1392" t="n"/>
      <c r="CJ1622" s="1392" t="n"/>
      <c r="CK1622" s="1392" t="n"/>
      <c r="CL1622" s="1392" t="n"/>
    </row>
    <row r="1623">
      <c r="A1623" s="5" t="inlineStr">
        <is>
          <t>.</t>
        </is>
      </c>
      <c r="B1623" s="5" t="inlineStr">
        <is>
          <t>.</t>
        </is>
      </c>
      <c r="C1623" s="1378">
        <f>IF(raw[[#This Row],[city]]="","-",IF(raw[[#This Row],[city]]="TODAY","-",C1622+1))</f>
        <v/>
      </c>
      <c r="D1623" s="1393" t="inlineStr">
        <is>
          <t>Grocheim</t>
        </is>
      </c>
      <c r="E1623" s="1394" t="n">
        <v>44739</v>
      </c>
      <c r="F1623" s="1394" t="n">
        <v>44739</v>
      </c>
      <c r="G1623" s="1393" t="inlineStr">
        <is>
          <t>-</t>
        </is>
      </c>
      <c r="H1623" s="1393" t="inlineStr">
        <is>
          <t>Marie-Victorin</t>
        </is>
      </c>
      <c r="I1623" s="1393" t="inlineStr">
        <is>
          <t>Bike Trip</t>
        </is>
      </c>
      <c r="J1623" s="1393" t="inlineStr">
        <is>
          <t>-</t>
        </is>
      </c>
      <c r="K1623" s="1395">
        <f>IF(raw[[#This Row],[city]]&lt;&gt;"",_xlfn.XLOOKUP($D1623,ccc[city],ccc[prov],"-"),"-")</f>
        <v/>
      </c>
      <c r="L1623" s="1395">
        <f>IF(raw[[#This Row],[city]]&lt;&gt;"",_xlfn.XLOOKUP($D1623,ccc[city],ccc[ctry],"-"),"-")</f>
        <v/>
      </c>
      <c r="M1623" s="1395">
        <f>IF(raw[[#This Row],[city]]&lt;&gt;"",_xlfn.XLOOKUP($D1623,ccc[city],ccc[cont],"-"),"-")</f>
        <v/>
      </c>
      <c r="N1623" s="1396">
        <f>IF(raw[[#This Row],[city]]="","-",IF(raw[[#This Row],[cont]]="B",raw[[#This Row],[cont]],"W"))</f>
        <v/>
      </c>
      <c r="O1623" s="1397">
        <f>IF(raw[[#This Row],[out]]=0,0,IF(raw[[#This Row],[out]]=raw[[#This Row],[in]],0.01,raw[[#This Row],[out]]-raw[[#This Row],[in]]))</f>
        <v/>
      </c>
      <c r="P1623" s="1397">
        <f>IF(raw[[#This Row],[in]]=0,0,MONTH(raw[[#This Row],[in]]))</f>
        <v/>
      </c>
      <c r="Q1623" s="1397">
        <f>IF(raw[[#This Row],[in]]=0,0,YEAR(raw[[#This Row],[in]]))</f>
        <v/>
      </c>
      <c r="R1623" s="1397">
        <f>INT(raw[[#This Row],[yr]]/10)*10</f>
        <v/>
      </c>
      <c r="S1623" s="1395">
        <f>IF(raw[[#This Row],[city]]="","-",IF(raw[[#This Row],[city]]&lt;&gt;_xlfn.XLOOKUP(raw[[#This Row],[home]],homes[home],homes[city],"-"),1,0))</f>
        <v/>
      </c>
      <c r="T1623" s="1398" t="inlineStr">
        <is>
          <t>.</t>
        </is>
      </c>
      <c r="U1623" s="1399">
        <f>IF(raw[[#This Row],[wb]]="w",raw[[#This Row],[stay]]+U1622,U1622)</f>
        <v/>
      </c>
      <c r="V1623" s="1400">
        <f>IF(raw[[#This Row],[out]]=0,V1622,(raw[[#This Row],[out]]-E$5))</f>
        <v/>
      </c>
      <c r="W1623" s="1401">
        <f>U1623/V1623</f>
        <v/>
      </c>
      <c r="X1623" s="1392" t="n"/>
      <c r="Y1623" s="1392" t="n"/>
      <c r="Z1623" s="1392" t="n"/>
      <c r="AA1623" s="1392" t="n"/>
      <c r="AB1623" s="1392" t="n"/>
      <c r="AC1623" s="1392" t="n"/>
      <c r="AD1623" s="1392" t="n"/>
      <c r="AE1623" s="1392" t="n"/>
      <c r="AF1623" s="1392" t="n"/>
      <c r="AG1623" s="1392" t="n"/>
      <c r="AH1623" s="1392" t="n"/>
      <c r="AI1623" s="1392" t="n"/>
      <c r="AJ1623" s="1392" t="n"/>
      <c r="AK1623" s="1392" t="n"/>
      <c r="AL1623" s="1392" t="n"/>
      <c r="AM1623" s="1392" t="n"/>
      <c r="AN1623" s="1392" t="n"/>
      <c r="AO1623" s="1392" t="n"/>
      <c r="AP1623" s="1392" t="n"/>
      <c r="AQ1623" s="1392" t="n"/>
      <c r="AR1623" s="1422" t="n"/>
      <c r="AS1623" s="1422" t="n"/>
      <c r="AT1623" s="1392" t="n"/>
      <c r="AU1623" s="1392" t="n"/>
      <c r="AV1623" s="1392" t="n"/>
      <c r="AW1623" s="1392" t="n"/>
      <c r="AX1623" s="1392" t="n"/>
      <c r="AY1623" s="1392" t="n"/>
      <c r="AZ1623" s="1392" t="n"/>
      <c r="BA1623" s="1422" t="n"/>
      <c r="BB1623" s="1422" t="n"/>
      <c r="BC1623" s="1392" t="n"/>
      <c r="BD1623" s="1392" t="n"/>
      <c r="BE1623" s="1392" t="n"/>
      <c r="BF1623" s="1392" t="n"/>
      <c r="BG1623" s="1392" t="n"/>
      <c r="BH1623" s="1392" t="n"/>
      <c r="BI1623" s="1392" t="n"/>
      <c r="BJ1623" s="1392" t="n"/>
      <c r="BK1623" s="1392" t="n"/>
      <c r="BL1623" s="1392" t="n"/>
      <c r="BM1623" s="1392" t="n"/>
      <c r="BN1623" s="1392" t="n"/>
      <c r="BO1623" s="1392" t="n"/>
      <c r="BP1623" s="1392" t="n"/>
      <c r="BQ1623" s="1392" t="n"/>
      <c r="BR1623" s="1392" t="n"/>
      <c r="BS1623" s="1392" t="n"/>
      <c r="BT1623" s="1392" t="n"/>
      <c r="BU1623" s="1392" t="n"/>
      <c r="BV1623" s="1392" t="n"/>
      <c r="BW1623" s="1392" t="n"/>
      <c r="BX1623" s="1392" t="n"/>
      <c r="BY1623" s="1392" t="n"/>
      <c r="BZ1623" s="1392" t="n"/>
      <c r="CA1623" s="1392" t="n"/>
      <c r="CB1623" s="1392" t="n"/>
      <c r="CC1623" s="1392" t="n"/>
      <c r="CD1623" s="1392" t="n"/>
      <c r="CE1623" s="1392" t="n"/>
      <c r="CF1623" s="1392" t="n"/>
      <c r="CG1623" s="1392" t="n"/>
      <c r="CH1623" s="1392" t="n"/>
      <c r="CI1623" s="1392" t="n"/>
      <c r="CJ1623" s="1392" t="n"/>
      <c r="CK1623" s="1392" t="n"/>
      <c r="CL1623" s="1392" t="n"/>
    </row>
    <row r="1624">
      <c r="A1624" s="5" t="inlineStr">
        <is>
          <t>.</t>
        </is>
      </c>
      <c r="B1624" s="5" t="inlineStr">
        <is>
          <t>.</t>
        </is>
      </c>
      <c r="C1624" s="1378">
        <f>IF(raw[[#This Row],[city]]="","-",IF(raw[[#This Row],[city]]="TODAY","-",C1623+1))</f>
        <v/>
      </c>
      <c r="D1624" s="1393" t="inlineStr">
        <is>
          <t>Camping De Reekens</t>
        </is>
      </c>
      <c r="E1624" s="1394" t="n">
        <v>44739</v>
      </c>
      <c r="F1624" s="1394" t="n">
        <v>44740</v>
      </c>
      <c r="G1624" s="1393" t="inlineStr">
        <is>
          <t>-</t>
        </is>
      </c>
      <c r="H1624" s="1393" t="inlineStr">
        <is>
          <t>Marie-Victorin</t>
        </is>
      </c>
      <c r="I1624" s="1393" t="inlineStr">
        <is>
          <t>Bike Trip</t>
        </is>
      </c>
      <c r="J1624" s="1393" t="inlineStr">
        <is>
          <t>-</t>
        </is>
      </c>
      <c r="K1624" s="1395">
        <f>IF(raw[[#This Row],[city]]&lt;&gt;"",_xlfn.XLOOKUP($D1624,ccc[city],ccc[prov],"-"),"-")</f>
        <v/>
      </c>
      <c r="L1624" s="1395">
        <f>IF(raw[[#This Row],[city]]&lt;&gt;"",_xlfn.XLOOKUP($D1624,ccc[city],ccc[ctry],"-"),"-")</f>
        <v/>
      </c>
      <c r="M1624" s="1395">
        <f>IF(raw[[#This Row],[city]]&lt;&gt;"",_xlfn.XLOOKUP($D1624,ccc[city],ccc[cont],"-"),"-")</f>
        <v/>
      </c>
      <c r="N1624" s="1396">
        <f>IF(raw[[#This Row],[city]]="","-",IF(raw[[#This Row],[cont]]="B",raw[[#This Row],[cont]],"W"))</f>
        <v/>
      </c>
      <c r="O1624" s="1397">
        <f>IF(raw[[#This Row],[out]]=0,0,IF(raw[[#This Row],[out]]=raw[[#This Row],[in]],0.01,raw[[#This Row],[out]]-raw[[#This Row],[in]]))</f>
        <v/>
      </c>
      <c r="P1624" s="1397">
        <f>IF(raw[[#This Row],[in]]=0,0,MONTH(raw[[#This Row],[in]]))</f>
        <v/>
      </c>
      <c r="Q1624" s="1397">
        <f>IF(raw[[#This Row],[in]]=0,0,YEAR(raw[[#This Row],[in]]))</f>
        <v/>
      </c>
      <c r="R1624" s="1397">
        <f>INT(raw[[#This Row],[yr]]/10)*10</f>
        <v/>
      </c>
      <c r="S1624" s="1395">
        <f>IF(raw[[#This Row],[city]]="","-",IF(raw[[#This Row],[city]]&lt;&gt;_xlfn.XLOOKUP(raw[[#This Row],[home]],homes[home],homes[city],"-"),1,0))</f>
        <v/>
      </c>
      <c r="T1624" s="1398" t="inlineStr">
        <is>
          <t>.</t>
        </is>
      </c>
      <c r="U1624" s="1399">
        <f>IF(raw[[#This Row],[wb]]="w",raw[[#This Row],[stay]]+U1623,U1623)</f>
        <v/>
      </c>
      <c r="V1624" s="1400">
        <f>IF(raw[[#This Row],[out]]=0,V1623,(raw[[#This Row],[out]]-E$5))</f>
        <v/>
      </c>
      <c r="W1624" s="1401">
        <f>U1624/V1624</f>
        <v/>
      </c>
      <c r="X1624" s="1392" t="n"/>
      <c r="Y1624" s="1392" t="n"/>
      <c r="Z1624" s="1392" t="n"/>
      <c r="AA1624" s="1392" t="n"/>
      <c r="AB1624" s="1392" t="n"/>
      <c r="AC1624" s="1392" t="n"/>
      <c r="AD1624" s="1392" t="n"/>
      <c r="AE1624" s="1392" t="n"/>
      <c r="AF1624" s="1392" t="n"/>
      <c r="AG1624" s="1392" t="n"/>
      <c r="AH1624" s="1392" t="n"/>
      <c r="AI1624" s="1392" t="n"/>
      <c r="AJ1624" s="1392" t="n"/>
      <c r="AK1624" s="1392" t="n"/>
      <c r="AL1624" s="1392" t="n"/>
      <c r="AM1624" s="1392" t="n"/>
      <c r="AN1624" s="1392" t="n"/>
      <c r="AO1624" s="1392" t="n"/>
      <c r="AP1624" s="1392" t="n"/>
      <c r="AQ1624" s="1392" t="n"/>
      <c r="AR1624" s="1422" t="n"/>
      <c r="AS1624" s="1422" t="n"/>
      <c r="AT1624" s="1392" t="n"/>
      <c r="AU1624" s="1392" t="n"/>
      <c r="AV1624" s="1392" t="n"/>
      <c r="AW1624" s="1392" t="n"/>
      <c r="AX1624" s="1392" t="n"/>
      <c r="AY1624" s="1392" t="n"/>
      <c r="AZ1624" s="1392" t="n"/>
      <c r="BA1624" s="1422" t="n"/>
      <c r="BB1624" s="1422" t="n"/>
      <c r="BC1624" s="1392" t="n"/>
      <c r="BD1624" s="1392" t="n"/>
      <c r="BE1624" s="1392" t="n"/>
      <c r="BF1624" s="1392" t="n"/>
      <c r="BG1624" s="1392" t="n"/>
      <c r="BH1624" s="1392" t="n"/>
      <c r="BI1624" s="1392" t="n"/>
      <c r="BJ1624" s="1392" t="n"/>
      <c r="BK1624" s="1392" t="n"/>
      <c r="BL1624" s="1392" t="n"/>
      <c r="BM1624" s="1392" t="n"/>
      <c r="BN1624" s="1392" t="n"/>
      <c r="BO1624" s="1392" t="n"/>
      <c r="BP1624" s="1392" t="n"/>
      <c r="BQ1624" s="1392" t="n"/>
      <c r="BR1624" s="1392" t="n"/>
      <c r="BS1624" s="1392" t="n"/>
      <c r="BT1624" s="1392" t="n"/>
      <c r="BU1624" s="1392" t="n"/>
      <c r="BV1624" s="1392" t="n"/>
      <c r="BW1624" s="1392" t="n"/>
      <c r="BX1624" s="1392" t="n"/>
      <c r="BY1624" s="1392" t="n"/>
      <c r="BZ1624" s="1392" t="n"/>
      <c r="CA1624" s="1392" t="n"/>
      <c r="CB1624" s="1392" t="n"/>
      <c r="CC1624" s="1392" t="n"/>
      <c r="CD1624" s="1392" t="n"/>
      <c r="CE1624" s="1392" t="n"/>
      <c r="CF1624" s="1392" t="n"/>
      <c r="CG1624" s="1392" t="n"/>
      <c r="CH1624" s="1392" t="n"/>
      <c r="CI1624" s="1392" t="n"/>
      <c r="CJ1624" s="1392" t="n"/>
      <c r="CK1624" s="1392" t="n"/>
      <c r="CL1624" s="1392" t="n"/>
    </row>
    <row r="1625">
      <c r="A1625" s="5" t="inlineStr">
        <is>
          <t>.</t>
        </is>
      </c>
      <c r="B1625" s="5" t="inlineStr">
        <is>
          <t>.</t>
        </is>
      </c>
      <c r="C1625" s="1378">
        <f>IF(raw[[#This Row],[city]]="","-",IF(raw[[#This Row],[city]]="TODAY","-",C1624+1))</f>
        <v/>
      </c>
      <c r="D1625" s="1393" t="inlineStr">
        <is>
          <t>s'Hertogenbosch</t>
        </is>
      </c>
      <c r="E1625" s="1394" t="n">
        <v>44740</v>
      </c>
      <c r="F1625" s="1394" t="n">
        <v>44740</v>
      </c>
      <c r="G1625" s="1393" t="inlineStr">
        <is>
          <t>-</t>
        </is>
      </c>
      <c r="H1625" s="1393" t="inlineStr">
        <is>
          <t>Marie-Victorin</t>
        </is>
      </c>
      <c r="I1625" s="1393" t="inlineStr">
        <is>
          <t>Bike Trip</t>
        </is>
      </c>
      <c r="J1625" s="1393" t="inlineStr">
        <is>
          <t>-</t>
        </is>
      </c>
      <c r="K1625" s="1395">
        <f>IF(raw[[#This Row],[city]]&lt;&gt;"",_xlfn.XLOOKUP($D1625,ccc[city],ccc[prov],"-"),"-")</f>
        <v/>
      </c>
      <c r="L1625" s="1395">
        <f>IF(raw[[#This Row],[city]]&lt;&gt;"",_xlfn.XLOOKUP($D1625,ccc[city],ccc[ctry],"-"),"-")</f>
        <v/>
      </c>
      <c r="M1625" s="1395">
        <f>IF(raw[[#This Row],[city]]&lt;&gt;"",_xlfn.XLOOKUP($D1625,ccc[city],ccc[cont],"-"),"-")</f>
        <v/>
      </c>
      <c r="N1625" s="1396">
        <f>IF(raw[[#This Row],[city]]="","-",IF(raw[[#This Row],[cont]]="B",raw[[#This Row],[cont]],"W"))</f>
        <v/>
      </c>
      <c r="O1625" s="1397">
        <f>IF(raw[[#This Row],[out]]=0,0,IF(raw[[#This Row],[out]]=raw[[#This Row],[in]],0.01,raw[[#This Row],[out]]-raw[[#This Row],[in]]))</f>
        <v/>
      </c>
      <c r="P1625" s="1397">
        <f>IF(raw[[#This Row],[in]]=0,0,MONTH(raw[[#This Row],[in]]))</f>
        <v/>
      </c>
      <c r="Q1625" s="1397">
        <f>IF(raw[[#This Row],[in]]=0,0,YEAR(raw[[#This Row],[in]]))</f>
        <v/>
      </c>
      <c r="R1625" s="1397">
        <f>INT(raw[[#This Row],[yr]]/10)*10</f>
        <v/>
      </c>
      <c r="S1625" s="1395">
        <f>IF(raw[[#This Row],[city]]="","-",IF(raw[[#This Row],[city]]&lt;&gt;_xlfn.XLOOKUP(raw[[#This Row],[home]],homes[home],homes[city],"-"),1,0))</f>
        <v/>
      </c>
      <c r="T1625" s="1398" t="inlineStr">
        <is>
          <t>.</t>
        </is>
      </c>
      <c r="U1625" s="1399">
        <f>IF(raw[[#This Row],[wb]]="w",raw[[#This Row],[stay]]+U1624,U1624)</f>
        <v/>
      </c>
      <c r="V1625" s="1400">
        <f>IF(raw[[#This Row],[out]]=0,V1624,(raw[[#This Row],[out]]-E$5))</f>
        <v/>
      </c>
      <c r="W1625" s="1401">
        <f>U1625/V1625</f>
        <v/>
      </c>
      <c r="X1625" s="1392" t="n"/>
      <c r="Y1625" s="1392" t="n"/>
      <c r="Z1625" s="1392" t="n"/>
      <c r="AA1625" s="1392" t="n"/>
      <c r="AB1625" s="1392" t="n"/>
      <c r="AC1625" s="1392" t="n"/>
      <c r="AD1625" s="1392" t="n"/>
      <c r="AE1625" s="1392" t="n"/>
      <c r="AF1625" s="1392" t="n"/>
      <c r="AG1625" s="1392" t="n"/>
      <c r="AH1625" s="1392" t="n"/>
      <c r="AI1625" s="1392" t="n"/>
      <c r="AJ1625" s="1392" t="n"/>
      <c r="AK1625" s="1392" t="n"/>
      <c r="AL1625" s="1392" t="n"/>
      <c r="AM1625" s="1392" t="n"/>
      <c r="AN1625" s="1392" t="n"/>
      <c r="AO1625" s="1392" t="n"/>
      <c r="AP1625" s="1392" t="n"/>
      <c r="AQ1625" s="1392" t="n"/>
      <c r="AR1625" s="1422" t="n"/>
      <c r="AS1625" s="1422" t="n"/>
      <c r="AT1625" s="1392" t="n"/>
      <c r="AU1625" s="1392" t="n"/>
      <c r="AV1625" s="1392" t="n"/>
      <c r="AW1625" s="1392" t="n"/>
      <c r="AX1625" s="1392" t="n"/>
      <c r="AY1625" s="1392" t="n"/>
      <c r="AZ1625" s="1392" t="n"/>
      <c r="BA1625" s="1422" t="n"/>
      <c r="BB1625" s="1422" t="n"/>
      <c r="BC1625" s="1392" t="n"/>
      <c r="BD1625" s="1392" t="n"/>
      <c r="BE1625" s="1392" t="n"/>
      <c r="BF1625" s="1392" t="n"/>
      <c r="BG1625" s="1392" t="n"/>
      <c r="BH1625" s="1392" t="n"/>
      <c r="BI1625" s="1392" t="n"/>
      <c r="BJ1625" s="1392" t="n"/>
      <c r="BK1625" s="1392" t="n"/>
      <c r="BL1625" s="1392" t="n"/>
      <c r="BM1625" s="1392" t="n"/>
      <c r="BN1625" s="1392" t="n"/>
      <c r="BO1625" s="1392" t="n"/>
      <c r="BP1625" s="1392" t="n"/>
      <c r="BQ1625" s="1392" t="n"/>
      <c r="BR1625" s="1392" t="n"/>
      <c r="BS1625" s="1392" t="n"/>
      <c r="BT1625" s="1392" t="n"/>
      <c r="BU1625" s="1392" t="n"/>
      <c r="BV1625" s="1392" t="n"/>
      <c r="BW1625" s="1392" t="n"/>
      <c r="BX1625" s="1392" t="n"/>
      <c r="BY1625" s="1392" t="n"/>
      <c r="BZ1625" s="1392" t="n"/>
      <c r="CA1625" s="1392" t="n"/>
      <c r="CB1625" s="1392" t="n"/>
      <c r="CC1625" s="1392" t="n"/>
      <c r="CD1625" s="1392" t="n"/>
      <c r="CE1625" s="1392" t="n"/>
      <c r="CF1625" s="1392" t="n"/>
      <c r="CG1625" s="1392" t="n"/>
      <c r="CH1625" s="1392" t="n"/>
      <c r="CI1625" s="1392" t="n"/>
      <c r="CJ1625" s="1392" t="n"/>
      <c r="CK1625" s="1392" t="n"/>
      <c r="CL1625" s="1392" t="n"/>
    </row>
    <row r="1626">
      <c r="A1626" s="5" t="inlineStr">
        <is>
          <t>.</t>
        </is>
      </c>
      <c r="B1626" s="5" t="inlineStr">
        <is>
          <t>.</t>
        </is>
      </c>
      <c r="C1626" s="1378">
        <f>IF(raw[[#This Row],[city]]="","-",IF(raw[[#This Row],[city]]="TODAY","-",C1625+1))</f>
        <v/>
      </c>
      <c r="D1626" s="1393" t="inlineStr">
        <is>
          <t>Camping</t>
        </is>
      </c>
      <c r="E1626" s="1394" t="n">
        <v>44740</v>
      </c>
      <c r="F1626" s="1394" t="n">
        <v>44741</v>
      </c>
      <c r="G1626" s="1393" t="inlineStr">
        <is>
          <t>-</t>
        </is>
      </c>
      <c r="H1626" s="1393" t="inlineStr">
        <is>
          <t>Marie-Victorin</t>
        </is>
      </c>
      <c r="I1626" s="1393" t="inlineStr">
        <is>
          <t>Bike Trip</t>
        </is>
      </c>
      <c r="J1626" s="1393" t="inlineStr">
        <is>
          <t>-</t>
        </is>
      </c>
      <c r="K1626" s="1395">
        <f>IF(raw[[#This Row],[city]]&lt;&gt;"",_xlfn.XLOOKUP($D1626,ccc[city],ccc[prov],"-"),"-")</f>
        <v/>
      </c>
      <c r="L1626" s="1395">
        <f>IF(raw[[#This Row],[city]]&lt;&gt;"",_xlfn.XLOOKUP($D1626,ccc[city],ccc[ctry],"-"),"-")</f>
        <v/>
      </c>
      <c r="M1626" s="1395">
        <f>IF(raw[[#This Row],[city]]&lt;&gt;"",_xlfn.XLOOKUP($D1626,ccc[city],ccc[cont],"-"),"-")</f>
        <v/>
      </c>
      <c r="N1626" s="1396">
        <f>IF(raw[[#This Row],[city]]="","-",IF(raw[[#This Row],[cont]]="B",raw[[#This Row],[cont]],"W"))</f>
        <v/>
      </c>
      <c r="O1626" s="1397">
        <f>IF(raw[[#This Row],[out]]=0,0,IF(raw[[#This Row],[out]]=raw[[#This Row],[in]],0.01,raw[[#This Row],[out]]-raw[[#This Row],[in]]))</f>
        <v/>
      </c>
      <c r="P1626" s="1397">
        <f>IF(raw[[#This Row],[in]]=0,0,MONTH(raw[[#This Row],[in]]))</f>
        <v/>
      </c>
      <c r="Q1626" s="1397">
        <f>IF(raw[[#This Row],[in]]=0,0,YEAR(raw[[#This Row],[in]]))</f>
        <v/>
      </c>
      <c r="R1626" s="1397">
        <f>INT(raw[[#This Row],[yr]]/10)*10</f>
        <v/>
      </c>
      <c r="S1626" s="1395">
        <f>IF(raw[[#This Row],[city]]="","-",IF(raw[[#This Row],[city]]&lt;&gt;_xlfn.XLOOKUP(raw[[#This Row],[home]],homes[home],homes[city],"-"),1,0))</f>
        <v/>
      </c>
      <c r="T1626" s="1398" t="inlineStr">
        <is>
          <t>.</t>
        </is>
      </c>
      <c r="U1626" s="1399">
        <f>IF(raw[[#This Row],[wb]]="w",raw[[#This Row],[stay]]+U1625,U1625)</f>
        <v/>
      </c>
      <c r="V1626" s="1400">
        <f>IF(raw[[#This Row],[out]]=0,V1625,(raw[[#This Row],[out]]-E$5))</f>
        <v/>
      </c>
      <c r="W1626" s="1401">
        <f>U1626/V1626</f>
        <v/>
      </c>
      <c r="X1626" s="1392" t="n"/>
      <c r="Y1626" s="1392" t="n"/>
      <c r="Z1626" s="1392" t="n"/>
      <c r="AA1626" s="1392" t="n"/>
      <c r="AB1626" s="1392" t="n"/>
      <c r="AC1626" s="1392" t="n"/>
      <c r="AD1626" s="1392" t="n"/>
      <c r="AE1626" s="1392" t="n"/>
      <c r="AF1626" s="1392" t="n"/>
      <c r="AG1626" s="1392" t="n"/>
      <c r="AH1626" s="1392" t="n"/>
      <c r="AI1626" s="1392" t="n"/>
      <c r="AJ1626" s="1392" t="n"/>
      <c r="AK1626" s="1392" t="n"/>
      <c r="AL1626" s="1392" t="n"/>
      <c r="AM1626" s="1392" t="n"/>
      <c r="AN1626" s="1392" t="n"/>
      <c r="AO1626" s="1392" t="n"/>
      <c r="AP1626" s="1392" t="n"/>
      <c r="AQ1626" s="1392" t="n"/>
      <c r="AR1626" s="1422" t="n"/>
      <c r="AS1626" s="1422" t="n"/>
      <c r="AT1626" s="1392" t="n"/>
      <c r="AU1626" s="1392" t="n"/>
      <c r="AV1626" s="1392" t="n"/>
      <c r="AW1626" s="1392" t="n"/>
      <c r="AX1626" s="1392" t="n"/>
      <c r="AY1626" s="1392" t="n"/>
      <c r="AZ1626" s="1392" t="n"/>
      <c r="BA1626" s="1422" t="n"/>
      <c r="BB1626" s="1422" t="n"/>
      <c r="BC1626" s="1392" t="n"/>
      <c r="BD1626" s="1392" t="n"/>
      <c r="BE1626" s="1392" t="n"/>
      <c r="BF1626" s="1392" t="n"/>
      <c r="BG1626" s="1392" t="n"/>
      <c r="BH1626" s="1392" t="n"/>
      <c r="BI1626" s="1392" t="n"/>
      <c r="BJ1626" s="1392" t="n"/>
      <c r="BK1626" s="1392" t="n"/>
      <c r="BL1626" s="1392" t="n"/>
      <c r="BM1626" s="1392" t="n"/>
      <c r="BN1626" s="1392" t="n"/>
      <c r="BO1626" s="1392" t="n"/>
      <c r="BP1626" s="1392" t="n"/>
      <c r="BQ1626" s="1392" t="n"/>
      <c r="BR1626" s="1392" t="n"/>
      <c r="BS1626" s="1392" t="n"/>
      <c r="BT1626" s="1392" t="n"/>
      <c r="BU1626" s="1392" t="n"/>
      <c r="BV1626" s="1392" t="n"/>
      <c r="BW1626" s="1392" t="n"/>
      <c r="BX1626" s="1392" t="n"/>
      <c r="BY1626" s="1392" t="n"/>
      <c r="BZ1626" s="1392" t="n"/>
      <c r="CA1626" s="1392" t="n"/>
      <c r="CB1626" s="1392" t="n"/>
      <c r="CC1626" s="1392" t="n"/>
      <c r="CD1626" s="1392" t="n"/>
      <c r="CE1626" s="1392" t="n"/>
      <c r="CF1626" s="1392" t="n"/>
      <c r="CG1626" s="1392" t="n"/>
      <c r="CH1626" s="1392" t="n"/>
      <c r="CI1626" s="1392" t="n"/>
      <c r="CJ1626" s="1392" t="n"/>
      <c r="CK1626" s="1392" t="n"/>
      <c r="CL1626" s="1392" t="n"/>
    </row>
    <row r="1627">
      <c r="A1627" s="5" t="inlineStr">
        <is>
          <t>.</t>
        </is>
      </c>
      <c r="B1627" s="5" t="inlineStr">
        <is>
          <t>.</t>
        </is>
      </c>
      <c r="C1627" s="1378">
        <f>IF(raw[[#This Row],[city]]="","-",IF(raw[[#This Row],[city]]="TODAY","-",C1626+1))</f>
        <v/>
      </c>
      <c r="D1627" s="1393" t="inlineStr">
        <is>
          <t>Eindhoven</t>
        </is>
      </c>
      <c r="E1627" s="1394" t="n">
        <v>44741</v>
      </c>
      <c r="F1627" s="1394" t="n">
        <v>44741</v>
      </c>
      <c r="G1627" s="1393" t="inlineStr">
        <is>
          <t>-</t>
        </is>
      </c>
      <c r="H1627" s="1393" t="inlineStr">
        <is>
          <t>Marie-Victorin</t>
        </is>
      </c>
      <c r="I1627" s="1393" t="inlineStr">
        <is>
          <t>Bike Trip</t>
        </is>
      </c>
      <c r="J1627" s="1393" t="inlineStr">
        <is>
          <t>-</t>
        </is>
      </c>
      <c r="K1627" s="1395">
        <f>IF(raw[[#This Row],[city]]&lt;&gt;"",_xlfn.XLOOKUP($D1627,ccc[city],ccc[prov],"-"),"-")</f>
        <v/>
      </c>
      <c r="L1627" s="1395">
        <f>IF(raw[[#This Row],[city]]&lt;&gt;"",_xlfn.XLOOKUP($D1627,ccc[city],ccc[ctry],"-"),"-")</f>
        <v/>
      </c>
      <c r="M1627" s="1395">
        <f>IF(raw[[#This Row],[city]]&lt;&gt;"",_xlfn.XLOOKUP($D1627,ccc[city],ccc[cont],"-"),"-")</f>
        <v/>
      </c>
      <c r="N1627" s="1396">
        <f>IF(raw[[#This Row],[city]]="","-",IF(raw[[#This Row],[cont]]="B",raw[[#This Row],[cont]],"W"))</f>
        <v/>
      </c>
      <c r="O1627" s="1397">
        <f>IF(raw[[#This Row],[out]]=0,0,IF(raw[[#This Row],[out]]=raw[[#This Row],[in]],0.01,raw[[#This Row],[out]]-raw[[#This Row],[in]]))</f>
        <v/>
      </c>
      <c r="P1627" s="1397">
        <f>IF(raw[[#This Row],[in]]=0,0,MONTH(raw[[#This Row],[in]]))</f>
        <v/>
      </c>
      <c r="Q1627" s="1397">
        <f>IF(raw[[#This Row],[in]]=0,0,YEAR(raw[[#This Row],[in]]))</f>
        <v/>
      </c>
      <c r="R1627" s="1397">
        <f>INT(raw[[#This Row],[yr]]/10)*10</f>
        <v/>
      </c>
      <c r="S1627" s="1395">
        <f>IF(raw[[#This Row],[city]]="","-",IF(raw[[#This Row],[city]]&lt;&gt;_xlfn.XLOOKUP(raw[[#This Row],[home]],homes[home],homes[city],"-"),1,0))</f>
        <v/>
      </c>
      <c r="T1627" s="1398" t="inlineStr">
        <is>
          <t>.</t>
        </is>
      </c>
      <c r="U1627" s="1399">
        <f>IF(raw[[#This Row],[wb]]="w",raw[[#This Row],[stay]]+U1626,U1626)</f>
        <v/>
      </c>
      <c r="V1627" s="1400">
        <f>IF(raw[[#This Row],[out]]=0,V1626,(raw[[#This Row],[out]]-E$5))</f>
        <v/>
      </c>
      <c r="W1627" s="1401">
        <f>U1627/V1627</f>
        <v/>
      </c>
      <c r="X1627" s="1392" t="n"/>
      <c r="Y1627" s="1392" t="n"/>
      <c r="Z1627" s="1392" t="n"/>
      <c r="AA1627" s="1392" t="n"/>
      <c r="AB1627" s="1392" t="n"/>
      <c r="AC1627" s="1392" t="n"/>
      <c r="AD1627" s="1392" t="n"/>
      <c r="AE1627" s="1392" t="n"/>
      <c r="AF1627" s="1392" t="n"/>
      <c r="AG1627" s="1392" t="n"/>
      <c r="AH1627" s="1392" t="n"/>
      <c r="AI1627" s="1392" t="n"/>
      <c r="AJ1627" s="1392" t="n"/>
      <c r="AK1627" s="1392" t="n"/>
      <c r="AL1627" s="1392" t="n"/>
      <c r="AM1627" s="1392" t="n"/>
      <c r="AN1627" s="1392" t="n"/>
      <c r="AO1627" s="1392" t="n"/>
      <c r="AP1627" s="1392" t="n"/>
      <c r="AQ1627" s="1392" t="n"/>
      <c r="AR1627" s="1422" t="n"/>
      <c r="AS1627" s="1422" t="n"/>
      <c r="AT1627" s="1392" t="n"/>
      <c r="AU1627" s="1392" t="n"/>
      <c r="AV1627" s="1392" t="n"/>
      <c r="AW1627" s="1392" t="n"/>
      <c r="AX1627" s="1392" t="n"/>
      <c r="AY1627" s="1392" t="n"/>
      <c r="AZ1627" s="1392" t="n"/>
      <c r="BA1627" s="1422" t="n"/>
      <c r="BB1627" s="1422" t="n"/>
      <c r="BC1627" s="1392" t="n"/>
      <c r="BD1627" s="1392" t="n"/>
      <c r="BE1627" s="1392" t="n"/>
      <c r="BF1627" s="1392" t="n"/>
      <c r="BG1627" s="1392" t="n"/>
      <c r="BH1627" s="1392" t="n"/>
      <c r="BI1627" s="1392" t="n"/>
      <c r="BJ1627" s="1392" t="n"/>
      <c r="BK1627" s="1392" t="n"/>
      <c r="BL1627" s="1392" t="n"/>
      <c r="BM1627" s="1392" t="n"/>
      <c r="BN1627" s="1392" t="n"/>
      <c r="BO1627" s="1392" t="n"/>
      <c r="BP1627" s="1392" t="n"/>
      <c r="BQ1627" s="1392" t="n"/>
      <c r="BR1627" s="1392" t="n"/>
      <c r="BS1627" s="1392" t="n"/>
      <c r="BT1627" s="1392" t="n"/>
      <c r="BU1627" s="1392" t="n"/>
      <c r="BV1627" s="1392" t="n"/>
      <c r="BW1627" s="1392" t="n"/>
      <c r="BX1627" s="1392" t="n"/>
      <c r="BY1627" s="1392" t="n"/>
      <c r="BZ1627" s="1392" t="n"/>
      <c r="CA1627" s="1392" t="n"/>
      <c r="CB1627" s="1392" t="n"/>
      <c r="CC1627" s="1392" t="n"/>
      <c r="CD1627" s="1392" t="n"/>
      <c r="CE1627" s="1392" t="n"/>
      <c r="CF1627" s="1392" t="n"/>
      <c r="CG1627" s="1392" t="n"/>
      <c r="CH1627" s="1392" t="n"/>
      <c r="CI1627" s="1392" t="n"/>
      <c r="CJ1627" s="1392" t="n"/>
      <c r="CK1627" s="1392" t="n"/>
      <c r="CL1627" s="1392" t="n"/>
    </row>
    <row r="1628">
      <c r="A1628" s="5" t="inlineStr">
        <is>
          <t>.</t>
        </is>
      </c>
      <c r="B1628" s="5" t="inlineStr">
        <is>
          <t>.</t>
        </is>
      </c>
      <c r="C1628" s="1378">
        <f>IF(raw[[#This Row],[city]]="","-",IF(raw[[#This Row],[city]]="TODAY","-",C1627+1))</f>
        <v/>
      </c>
      <c r="D1628" s="1393" t="inlineStr">
        <is>
          <t>Valkenswaard</t>
        </is>
      </c>
      <c r="E1628" s="1394" t="n">
        <v>44741</v>
      </c>
      <c r="F1628" s="1394" t="n">
        <v>44741</v>
      </c>
      <c r="G1628" s="1393" t="inlineStr">
        <is>
          <t>-</t>
        </is>
      </c>
      <c r="H1628" s="1393" t="inlineStr">
        <is>
          <t>Marie-Victorin</t>
        </is>
      </c>
      <c r="I1628" s="1393" t="inlineStr">
        <is>
          <t>Bike Trip</t>
        </is>
      </c>
      <c r="J1628" s="1393" t="inlineStr">
        <is>
          <t>-</t>
        </is>
      </c>
      <c r="K1628" s="1395">
        <f>IF(raw[[#This Row],[city]]&lt;&gt;"",_xlfn.XLOOKUP($D1628,ccc[city],ccc[prov],"-"),"-")</f>
        <v/>
      </c>
      <c r="L1628" s="1395">
        <f>IF(raw[[#This Row],[city]]&lt;&gt;"",_xlfn.XLOOKUP($D1628,ccc[city],ccc[ctry],"-"),"-")</f>
        <v/>
      </c>
      <c r="M1628" s="1395">
        <f>IF(raw[[#This Row],[city]]&lt;&gt;"",_xlfn.XLOOKUP($D1628,ccc[city],ccc[cont],"-"),"-")</f>
        <v/>
      </c>
      <c r="N1628" s="1396">
        <f>IF(raw[[#This Row],[city]]="","-",IF(raw[[#This Row],[cont]]="B",raw[[#This Row],[cont]],"W"))</f>
        <v/>
      </c>
      <c r="O1628" s="1397">
        <f>IF(raw[[#This Row],[out]]=0,0,IF(raw[[#This Row],[out]]=raw[[#This Row],[in]],0.01,raw[[#This Row],[out]]-raw[[#This Row],[in]]))</f>
        <v/>
      </c>
      <c r="P1628" s="1397">
        <f>IF(raw[[#This Row],[in]]=0,0,MONTH(raw[[#This Row],[in]]))</f>
        <v/>
      </c>
      <c r="Q1628" s="1397">
        <f>IF(raw[[#This Row],[in]]=0,0,YEAR(raw[[#This Row],[in]]))</f>
        <v/>
      </c>
      <c r="R1628" s="1397">
        <f>INT(raw[[#This Row],[yr]]/10)*10</f>
        <v/>
      </c>
      <c r="S1628" s="1395">
        <f>IF(raw[[#This Row],[city]]="","-",IF(raw[[#This Row],[city]]&lt;&gt;_xlfn.XLOOKUP(raw[[#This Row],[home]],homes[home],homes[city],"-"),1,0))</f>
        <v/>
      </c>
      <c r="T1628" s="1398" t="inlineStr">
        <is>
          <t>.</t>
        </is>
      </c>
      <c r="U1628" s="1399">
        <f>IF(raw[[#This Row],[wb]]="w",raw[[#This Row],[stay]]+U1627,U1627)</f>
        <v/>
      </c>
      <c r="V1628" s="1400">
        <f>IF(raw[[#This Row],[out]]=0,V1627,(raw[[#This Row],[out]]-E$5))</f>
        <v/>
      </c>
      <c r="W1628" s="1401">
        <f>U1628/V1628</f>
        <v/>
      </c>
      <c r="X1628" s="1392" t="n"/>
      <c r="Y1628" s="1392" t="n"/>
      <c r="Z1628" s="1392" t="n"/>
      <c r="AA1628" s="1392" t="n"/>
      <c r="AB1628" s="1392" t="n"/>
      <c r="AC1628" s="1392" t="n"/>
      <c r="AD1628" s="1392" t="n"/>
      <c r="AE1628" s="1392" t="n"/>
      <c r="AF1628" s="1392" t="n"/>
      <c r="AG1628" s="1392" t="n"/>
      <c r="AH1628" s="1392" t="n"/>
      <c r="AI1628" s="1392" t="n"/>
      <c r="AJ1628" s="1392" t="n"/>
      <c r="AK1628" s="1392" t="n"/>
      <c r="AL1628" s="1392" t="n"/>
      <c r="AM1628" s="1392" t="n"/>
      <c r="AN1628" s="1392" t="n"/>
      <c r="AO1628" s="1392" t="n"/>
      <c r="AP1628" s="1392" t="n"/>
      <c r="AQ1628" s="1392" t="n"/>
      <c r="AR1628" s="1422" t="n"/>
      <c r="AS1628" s="1422" t="n"/>
      <c r="AT1628" s="1392" t="n"/>
      <c r="AU1628" s="1392" t="n"/>
      <c r="AV1628" s="1392" t="n"/>
      <c r="AW1628" s="1392" t="n"/>
      <c r="AX1628" s="1392" t="n"/>
      <c r="AY1628" s="1392" t="n"/>
      <c r="AZ1628" s="1392" t="n"/>
      <c r="BA1628" s="1422" t="n"/>
      <c r="BB1628" s="1422" t="n"/>
      <c r="BC1628" s="1392" t="n"/>
      <c r="BD1628" s="1392" t="n"/>
      <c r="BE1628" s="1392" t="n"/>
      <c r="BF1628" s="1392" t="n"/>
      <c r="BG1628" s="1392" t="n"/>
      <c r="BH1628" s="1392" t="n"/>
      <c r="BI1628" s="1392" t="n"/>
      <c r="BJ1628" s="1392" t="n"/>
      <c r="BK1628" s="1392" t="n"/>
      <c r="BL1628" s="1392" t="n"/>
      <c r="BM1628" s="1392" t="n"/>
      <c r="BN1628" s="1392" t="n"/>
      <c r="BO1628" s="1392" t="n"/>
      <c r="BP1628" s="1392" t="n"/>
      <c r="BQ1628" s="1392" t="n"/>
      <c r="BR1628" s="1392" t="n"/>
      <c r="BS1628" s="1392" t="n"/>
      <c r="BT1628" s="1392" t="n"/>
      <c r="BU1628" s="1392" t="n"/>
      <c r="BV1628" s="1392" t="n"/>
      <c r="BW1628" s="1392" t="n"/>
      <c r="BX1628" s="1392" t="n"/>
      <c r="BY1628" s="1392" t="n"/>
      <c r="BZ1628" s="1392" t="n"/>
      <c r="CA1628" s="1392" t="n"/>
      <c r="CB1628" s="1392" t="n"/>
      <c r="CC1628" s="1392" t="n"/>
      <c r="CD1628" s="1392" t="n"/>
      <c r="CE1628" s="1392" t="n"/>
      <c r="CF1628" s="1392" t="n"/>
      <c r="CG1628" s="1392" t="n"/>
      <c r="CH1628" s="1392" t="n"/>
      <c r="CI1628" s="1392" t="n"/>
      <c r="CJ1628" s="1392" t="n"/>
      <c r="CK1628" s="1392" t="n"/>
      <c r="CL1628" s="1392" t="n"/>
    </row>
    <row r="1629">
      <c r="A1629" s="5" t="inlineStr">
        <is>
          <t>.</t>
        </is>
      </c>
      <c r="B1629" s="5" t="inlineStr">
        <is>
          <t>.</t>
        </is>
      </c>
      <c r="C1629" s="1378">
        <f>IF(raw[[#This Row],[city]]="","-",IF(raw[[#This Row],[city]]="TODAY","-",C1628+1))</f>
        <v/>
      </c>
      <c r="D1629" s="1393" t="inlineStr">
        <is>
          <t>Achel</t>
        </is>
      </c>
      <c r="E1629" s="1394" t="n">
        <v>44741</v>
      </c>
      <c r="F1629" s="1394" t="n">
        <v>44741</v>
      </c>
      <c r="G1629" s="1393" t="inlineStr">
        <is>
          <t>-</t>
        </is>
      </c>
      <c r="H1629" s="1393" t="inlineStr">
        <is>
          <t>Marie-Victorin</t>
        </is>
      </c>
      <c r="I1629" s="1393" t="inlineStr">
        <is>
          <t>Bike Trip</t>
        </is>
      </c>
      <c r="J1629" s="1393" t="inlineStr">
        <is>
          <t>-</t>
        </is>
      </c>
      <c r="K1629" s="1395">
        <f>IF(raw[[#This Row],[city]]&lt;&gt;"",_xlfn.XLOOKUP($D1629,ccc[city],ccc[prov],"-"),"-")</f>
        <v/>
      </c>
      <c r="L1629" s="1395">
        <f>IF(raw[[#This Row],[city]]&lt;&gt;"",_xlfn.XLOOKUP($D1629,ccc[city],ccc[ctry],"-"),"-")</f>
        <v/>
      </c>
      <c r="M1629" s="1395">
        <f>IF(raw[[#This Row],[city]]&lt;&gt;"",_xlfn.XLOOKUP($D1629,ccc[city],ccc[cont],"-"),"-")</f>
        <v/>
      </c>
      <c r="N1629" s="1396">
        <f>IF(raw[[#This Row],[city]]="","-",IF(raw[[#This Row],[cont]]="B",raw[[#This Row],[cont]],"W"))</f>
        <v/>
      </c>
      <c r="O1629" s="1397">
        <f>IF(raw[[#This Row],[out]]=0,0,IF(raw[[#This Row],[out]]=raw[[#This Row],[in]],0.01,raw[[#This Row],[out]]-raw[[#This Row],[in]]))</f>
        <v/>
      </c>
      <c r="P1629" s="1397">
        <f>IF(raw[[#This Row],[in]]=0,0,MONTH(raw[[#This Row],[in]]))</f>
        <v/>
      </c>
      <c r="Q1629" s="1397">
        <f>IF(raw[[#This Row],[in]]=0,0,YEAR(raw[[#This Row],[in]]))</f>
        <v/>
      </c>
      <c r="R1629" s="1397">
        <f>INT(raw[[#This Row],[yr]]/10)*10</f>
        <v/>
      </c>
      <c r="S1629" s="1395">
        <f>IF(raw[[#This Row],[city]]="","-",IF(raw[[#This Row],[city]]&lt;&gt;_xlfn.XLOOKUP(raw[[#This Row],[home]],homes[home],homes[city],"-"),1,0))</f>
        <v/>
      </c>
      <c r="T1629" s="1398" t="inlineStr">
        <is>
          <t>.</t>
        </is>
      </c>
      <c r="U1629" s="1399">
        <f>IF(raw[[#This Row],[wb]]="w",raw[[#This Row],[stay]]+U1628,U1628)</f>
        <v/>
      </c>
      <c r="V1629" s="1400">
        <f>IF(raw[[#This Row],[out]]=0,V1628,(raw[[#This Row],[out]]-E$5))</f>
        <v/>
      </c>
      <c r="W1629" s="1401">
        <f>U1629/V1629</f>
        <v/>
      </c>
      <c r="X1629" s="1392" t="n"/>
      <c r="Y1629" s="1392" t="n"/>
      <c r="Z1629" s="1392" t="n"/>
      <c r="AA1629" s="1392" t="n"/>
      <c r="AB1629" s="1392" t="n"/>
      <c r="AC1629" s="1392" t="n"/>
      <c r="AD1629" s="1392" t="n"/>
      <c r="AE1629" s="1392" t="n"/>
      <c r="AF1629" s="1392" t="n"/>
      <c r="AG1629" s="1392" t="n"/>
      <c r="AH1629" s="1392" t="n"/>
      <c r="AI1629" s="1392" t="n"/>
      <c r="AJ1629" s="1392" t="n"/>
      <c r="AK1629" s="1392" t="n"/>
      <c r="AL1629" s="1392" t="n"/>
      <c r="AM1629" s="1392" t="n"/>
      <c r="AN1629" s="1392" t="n"/>
      <c r="AO1629" s="1392" t="n"/>
      <c r="AP1629" s="1392" t="n"/>
      <c r="AQ1629" s="1392" t="n"/>
      <c r="AR1629" s="1422" t="n"/>
      <c r="AS1629" s="1422" t="n"/>
      <c r="AT1629" s="1392" t="n"/>
      <c r="AU1629" s="1392" t="n"/>
      <c r="AV1629" s="1392" t="n"/>
      <c r="AW1629" s="1392" t="n"/>
      <c r="AX1629" s="1392" t="n"/>
      <c r="AY1629" s="1392" t="n"/>
      <c r="AZ1629" s="1392" t="n"/>
      <c r="BA1629" s="1422" t="n"/>
      <c r="BB1629" s="1422" t="n"/>
      <c r="BC1629" s="1392" t="n"/>
      <c r="BD1629" s="1392" t="n"/>
      <c r="BE1629" s="1392" t="n"/>
      <c r="BF1629" s="1392" t="n"/>
      <c r="BG1629" s="1392" t="n"/>
      <c r="BH1629" s="1392" t="n"/>
      <c r="BI1629" s="1392" t="n"/>
      <c r="BJ1629" s="1392" t="n"/>
      <c r="BK1629" s="1392" t="n"/>
      <c r="BL1629" s="1392" t="n"/>
      <c r="BM1629" s="1392" t="n"/>
      <c r="BN1629" s="1392" t="n"/>
      <c r="BO1629" s="1392" t="n"/>
      <c r="BP1629" s="1392" t="n"/>
      <c r="BQ1629" s="1392" t="n"/>
      <c r="BR1629" s="1392" t="n"/>
      <c r="BS1629" s="1392" t="n"/>
      <c r="BT1629" s="1392" t="n"/>
      <c r="BU1629" s="1392" t="n"/>
      <c r="BV1629" s="1392" t="n"/>
      <c r="BW1629" s="1392" t="n"/>
      <c r="BX1629" s="1392" t="n"/>
      <c r="BY1629" s="1392" t="n"/>
      <c r="BZ1629" s="1392" t="n"/>
      <c r="CA1629" s="1392" t="n"/>
      <c r="CB1629" s="1392" t="n"/>
      <c r="CC1629" s="1392" t="n"/>
      <c r="CD1629" s="1392" t="n"/>
      <c r="CE1629" s="1392" t="n"/>
      <c r="CF1629" s="1392" t="n"/>
      <c r="CG1629" s="1392" t="n"/>
      <c r="CH1629" s="1392" t="n"/>
      <c r="CI1629" s="1392" t="n"/>
      <c r="CJ1629" s="1392" t="n"/>
      <c r="CK1629" s="1392" t="n"/>
      <c r="CL1629" s="1392" t="n"/>
    </row>
    <row r="1630">
      <c r="A1630" s="5" t="inlineStr">
        <is>
          <t>.</t>
        </is>
      </c>
      <c r="B1630" s="5" t="inlineStr">
        <is>
          <t>.</t>
        </is>
      </c>
      <c r="C1630" s="1378">
        <f>IF(raw[[#This Row],[city]]="","-",IF(raw[[#This Row],[city]]="TODAY","-",C1629+1))</f>
        <v/>
      </c>
      <c r="D1630" s="1393" t="inlineStr">
        <is>
          <t>Maastricht</t>
        </is>
      </c>
      <c r="E1630" s="1394" t="n">
        <v>44741</v>
      </c>
      <c r="F1630" s="1394" t="n">
        <v>44742</v>
      </c>
      <c r="G1630" s="1393" t="inlineStr">
        <is>
          <t>-</t>
        </is>
      </c>
      <c r="H1630" s="1393" t="inlineStr">
        <is>
          <t>Marie-Victorin</t>
        </is>
      </c>
      <c r="I1630" s="1393" t="inlineStr">
        <is>
          <t>Bike Trip</t>
        </is>
      </c>
      <c r="J1630" s="1393" t="inlineStr">
        <is>
          <t>-</t>
        </is>
      </c>
      <c r="K1630" s="1395">
        <f>IF(raw[[#This Row],[city]]&lt;&gt;"",_xlfn.XLOOKUP($D1630,ccc[city],ccc[prov],"-"),"-")</f>
        <v/>
      </c>
      <c r="L1630" s="1395">
        <f>IF(raw[[#This Row],[city]]&lt;&gt;"",_xlfn.XLOOKUP($D1630,ccc[city],ccc[ctry],"-"),"-")</f>
        <v/>
      </c>
      <c r="M1630" s="1395">
        <f>IF(raw[[#This Row],[city]]&lt;&gt;"",_xlfn.XLOOKUP($D1630,ccc[city],ccc[cont],"-"),"-")</f>
        <v/>
      </c>
      <c r="N1630" s="1396">
        <f>IF(raw[[#This Row],[city]]="","-",IF(raw[[#This Row],[cont]]="B",raw[[#This Row],[cont]],"W"))</f>
        <v/>
      </c>
      <c r="O1630" s="1397">
        <f>IF(raw[[#This Row],[out]]=0,0,IF(raw[[#This Row],[out]]=raw[[#This Row],[in]],0.01,raw[[#This Row],[out]]-raw[[#This Row],[in]]))</f>
        <v/>
      </c>
      <c r="P1630" s="1397">
        <f>IF(raw[[#This Row],[in]]=0,0,MONTH(raw[[#This Row],[in]]))</f>
        <v/>
      </c>
      <c r="Q1630" s="1397">
        <f>IF(raw[[#This Row],[in]]=0,0,YEAR(raw[[#This Row],[in]]))</f>
        <v/>
      </c>
      <c r="R1630" s="1397">
        <f>INT(raw[[#This Row],[yr]]/10)*10</f>
        <v/>
      </c>
      <c r="S1630" s="1395">
        <f>IF(raw[[#This Row],[city]]="","-",IF(raw[[#This Row],[city]]&lt;&gt;_xlfn.XLOOKUP(raw[[#This Row],[home]],homes[home],homes[city],"-"),1,0))</f>
        <v/>
      </c>
      <c r="T1630" s="1398" t="inlineStr">
        <is>
          <t>.</t>
        </is>
      </c>
      <c r="U1630" s="1399">
        <f>IF(raw[[#This Row],[wb]]="w",raw[[#This Row],[stay]]+U1629,U1629)</f>
        <v/>
      </c>
      <c r="V1630" s="1400">
        <f>IF(raw[[#This Row],[out]]=0,V1629,(raw[[#This Row],[out]]-E$5))</f>
        <v/>
      </c>
      <c r="W1630" s="1401">
        <f>U1630/V1630</f>
        <v/>
      </c>
      <c r="X1630" s="1392" t="n"/>
      <c r="Y1630" s="1392" t="n"/>
      <c r="Z1630" s="1392" t="n"/>
      <c r="AA1630" s="1392" t="n"/>
      <c r="AB1630" s="1392" t="n"/>
      <c r="AC1630" s="1392" t="n"/>
      <c r="AD1630" s="1392" t="n"/>
      <c r="AE1630" s="1392" t="n"/>
      <c r="AF1630" s="1392" t="n"/>
      <c r="AG1630" s="1392" t="n"/>
      <c r="AH1630" s="1392" t="n"/>
      <c r="AI1630" s="1392" t="n"/>
      <c r="AJ1630" s="1392" t="n"/>
      <c r="AK1630" s="1392" t="n"/>
      <c r="AL1630" s="1392" t="n"/>
      <c r="AM1630" s="1392" t="n"/>
      <c r="AN1630" s="1392" t="n"/>
      <c r="AO1630" s="1392" t="n"/>
      <c r="AP1630" s="1392" t="n"/>
      <c r="AQ1630" s="1392" t="n"/>
      <c r="AR1630" s="1422" t="n"/>
      <c r="AS1630" s="1422" t="n"/>
      <c r="AT1630" s="1392" t="n"/>
      <c r="AU1630" s="1392" t="n"/>
      <c r="AV1630" s="1392" t="n"/>
      <c r="AW1630" s="1392" t="n"/>
      <c r="AX1630" s="1392" t="n"/>
      <c r="AY1630" s="1392" t="n"/>
      <c r="AZ1630" s="1392" t="n"/>
      <c r="BA1630" s="1422" t="n"/>
      <c r="BB1630" s="1422" t="n"/>
      <c r="BC1630" s="1392" t="n"/>
      <c r="BD1630" s="1392" t="n"/>
      <c r="BE1630" s="1392" t="n"/>
      <c r="BF1630" s="1392" t="n"/>
      <c r="BG1630" s="1392" t="n"/>
      <c r="BH1630" s="1392" t="n"/>
      <c r="BI1630" s="1392" t="n"/>
      <c r="BJ1630" s="1392" t="n"/>
      <c r="BK1630" s="1392" t="n"/>
      <c r="BL1630" s="1392" t="n"/>
      <c r="BM1630" s="1392" t="n"/>
      <c r="BN1630" s="1392" t="n"/>
      <c r="BO1630" s="1392" t="n"/>
      <c r="BP1630" s="1392" t="n"/>
      <c r="BQ1630" s="1392" t="n"/>
      <c r="BR1630" s="1392" t="n"/>
      <c r="BS1630" s="1392" t="n"/>
      <c r="BT1630" s="1392" t="n"/>
      <c r="BU1630" s="1392" t="n"/>
      <c r="BV1630" s="1392" t="n"/>
      <c r="BW1630" s="1392" t="n"/>
      <c r="BX1630" s="1392" t="n"/>
      <c r="BY1630" s="1392" t="n"/>
      <c r="BZ1630" s="1392" t="n"/>
      <c r="CA1630" s="1392" t="n"/>
      <c r="CB1630" s="1392" t="n"/>
      <c r="CC1630" s="1392" t="n"/>
      <c r="CD1630" s="1392" t="n"/>
      <c r="CE1630" s="1392" t="n"/>
      <c r="CF1630" s="1392" t="n"/>
      <c r="CG1630" s="1392" t="n"/>
      <c r="CH1630" s="1392" t="n"/>
      <c r="CI1630" s="1392" t="n"/>
      <c r="CJ1630" s="1392" t="n"/>
      <c r="CK1630" s="1392" t="n"/>
      <c r="CL1630" s="1392" t="n"/>
    </row>
    <row r="1631">
      <c r="A1631" s="5" t="inlineStr">
        <is>
          <t>.</t>
        </is>
      </c>
      <c r="B1631" s="5" t="inlineStr">
        <is>
          <t>.</t>
        </is>
      </c>
      <c r="C1631" s="1378">
        <f>IF(raw[[#This Row],[city]]="","-",IF(raw[[#This Row],[city]]="TODAY","-",C1630+1))</f>
        <v/>
      </c>
      <c r="D1631" s="1393" t="inlineStr">
        <is>
          <t>Gulpen</t>
        </is>
      </c>
      <c r="E1631" s="1394" t="n">
        <v>44742</v>
      </c>
      <c r="F1631" s="1394" t="n">
        <v>44742</v>
      </c>
      <c r="G1631" s="1393" t="inlineStr">
        <is>
          <t>-</t>
        </is>
      </c>
      <c r="H1631" s="1393" t="inlineStr">
        <is>
          <t>Marie-Victorin</t>
        </is>
      </c>
      <c r="I1631" s="1393" t="inlineStr">
        <is>
          <t>Bike Trip</t>
        </is>
      </c>
      <c r="J1631" s="1393" t="inlineStr">
        <is>
          <t>-</t>
        </is>
      </c>
      <c r="K1631" s="1395">
        <f>IF(raw[[#This Row],[city]]&lt;&gt;"",_xlfn.XLOOKUP($D1631,ccc[city],ccc[prov],"-"),"-")</f>
        <v/>
      </c>
      <c r="L1631" s="1395">
        <f>IF(raw[[#This Row],[city]]&lt;&gt;"",_xlfn.XLOOKUP($D1631,ccc[city],ccc[ctry],"-"),"-")</f>
        <v/>
      </c>
      <c r="M1631" s="1395">
        <f>IF(raw[[#This Row],[city]]&lt;&gt;"",_xlfn.XLOOKUP($D1631,ccc[city],ccc[cont],"-"),"-")</f>
        <v/>
      </c>
      <c r="N1631" s="1396">
        <f>IF(raw[[#This Row],[city]]="","-",IF(raw[[#This Row],[cont]]="B",raw[[#This Row],[cont]],"W"))</f>
        <v/>
      </c>
      <c r="O1631" s="1397">
        <f>IF(raw[[#This Row],[out]]=0,0,IF(raw[[#This Row],[out]]=raw[[#This Row],[in]],0.01,raw[[#This Row],[out]]-raw[[#This Row],[in]]))</f>
        <v/>
      </c>
      <c r="P1631" s="1397">
        <f>IF(raw[[#This Row],[in]]=0,0,MONTH(raw[[#This Row],[in]]))</f>
        <v/>
      </c>
      <c r="Q1631" s="1397">
        <f>IF(raw[[#This Row],[in]]=0,0,YEAR(raw[[#This Row],[in]]))</f>
        <v/>
      </c>
      <c r="R1631" s="1397">
        <f>INT(raw[[#This Row],[yr]]/10)*10</f>
        <v/>
      </c>
      <c r="S1631" s="1395">
        <f>IF(raw[[#This Row],[city]]="","-",IF(raw[[#This Row],[city]]&lt;&gt;_xlfn.XLOOKUP(raw[[#This Row],[home]],homes[home],homes[city],"-"),1,0))</f>
        <v/>
      </c>
      <c r="T1631" s="1398" t="inlineStr">
        <is>
          <t>.</t>
        </is>
      </c>
      <c r="U1631" s="1399">
        <f>IF(raw[[#This Row],[wb]]="w",raw[[#This Row],[stay]]+U1630,U1630)</f>
        <v/>
      </c>
      <c r="V1631" s="1400">
        <f>IF(raw[[#This Row],[out]]=0,V1630,(raw[[#This Row],[out]]-E$5))</f>
        <v/>
      </c>
      <c r="W1631" s="1401">
        <f>U1631/V1631</f>
        <v/>
      </c>
      <c r="X1631" s="1392" t="n"/>
      <c r="Y1631" s="1392" t="n"/>
      <c r="Z1631" s="1392" t="n"/>
      <c r="AA1631" s="1392" t="n"/>
      <c r="AB1631" s="1392" t="n"/>
      <c r="AC1631" s="1392" t="n"/>
      <c r="AD1631" s="1392" t="n"/>
      <c r="AE1631" s="1392" t="n"/>
      <c r="AF1631" s="1392" t="n"/>
      <c r="AG1631" s="1392" t="n"/>
      <c r="AH1631" s="1392" t="n"/>
      <c r="AI1631" s="1392" t="n"/>
      <c r="AJ1631" s="1392" t="n"/>
      <c r="AK1631" s="1392" t="n"/>
      <c r="AL1631" s="1392" t="n"/>
      <c r="AM1631" s="1392" t="n"/>
      <c r="AN1631" s="1392" t="n"/>
      <c r="AO1631" s="1392" t="n"/>
      <c r="AP1631" s="1392" t="n"/>
      <c r="AQ1631" s="1392" t="n"/>
      <c r="AR1631" s="1422" t="n"/>
      <c r="AS1631" s="1422" t="n"/>
      <c r="AT1631" s="1392" t="n"/>
      <c r="AU1631" s="1392" t="n"/>
      <c r="AV1631" s="1392" t="n"/>
      <c r="AW1631" s="1392" t="n"/>
      <c r="AX1631" s="1392" t="n"/>
      <c r="AY1631" s="1392" t="n"/>
      <c r="AZ1631" s="1392" t="n"/>
      <c r="BA1631" s="1422" t="n"/>
      <c r="BB1631" s="1422" t="n"/>
      <c r="BC1631" s="1392" t="n"/>
      <c r="BD1631" s="1392" t="n"/>
      <c r="BE1631" s="1392" t="n"/>
      <c r="BF1631" s="1392" t="n"/>
      <c r="BG1631" s="1392" t="n"/>
      <c r="BH1631" s="1392" t="n"/>
      <c r="BI1631" s="1392" t="n"/>
      <c r="BJ1631" s="1392" t="n"/>
      <c r="BK1631" s="1392" t="n"/>
      <c r="BL1631" s="1392" t="n"/>
      <c r="BM1631" s="1392" t="n"/>
      <c r="BN1631" s="1392" t="n"/>
      <c r="BO1631" s="1392" t="n"/>
      <c r="BP1631" s="1392" t="n"/>
      <c r="BQ1631" s="1392" t="n"/>
      <c r="BR1631" s="1392" t="n"/>
      <c r="BS1631" s="1392" t="n"/>
      <c r="BT1631" s="1392" t="n"/>
      <c r="BU1631" s="1392" t="n"/>
      <c r="BV1631" s="1392" t="n"/>
      <c r="BW1631" s="1392" t="n"/>
      <c r="BX1631" s="1392" t="n"/>
      <c r="BY1631" s="1392" t="n"/>
      <c r="BZ1631" s="1392" t="n"/>
      <c r="CA1631" s="1392" t="n"/>
      <c r="CB1631" s="1392" t="n"/>
      <c r="CC1631" s="1392" t="n"/>
      <c r="CD1631" s="1392" t="n"/>
      <c r="CE1631" s="1392" t="n"/>
      <c r="CF1631" s="1392" t="n"/>
      <c r="CG1631" s="1392" t="n"/>
      <c r="CH1631" s="1392" t="n"/>
      <c r="CI1631" s="1392" t="n"/>
      <c r="CJ1631" s="1392" t="n"/>
      <c r="CK1631" s="1392" t="n"/>
      <c r="CL1631" s="1392" t="n"/>
    </row>
    <row r="1632">
      <c r="A1632" s="5" t="inlineStr">
        <is>
          <t>.</t>
        </is>
      </c>
      <c r="B1632" s="5" t="inlineStr">
        <is>
          <t>.</t>
        </is>
      </c>
      <c r="C1632" s="1378">
        <f>IF(raw[[#This Row],[city]]="","-",IF(raw[[#This Row],[city]]="TODAY","-",C1631+1))</f>
        <v/>
      </c>
      <c r="D1632" s="1393" t="inlineStr">
        <is>
          <t>BORDER DEU</t>
        </is>
      </c>
      <c r="E1632" s="1394" t="n">
        <v>44742</v>
      </c>
      <c r="F1632" s="1394" t="n">
        <v>44742</v>
      </c>
      <c r="G1632" s="1393" t="inlineStr">
        <is>
          <t>-</t>
        </is>
      </c>
      <c r="H1632" s="1393" t="inlineStr">
        <is>
          <t>Marie-Victorin</t>
        </is>
      </c>
      <c r="I1632" s="1393" t="inlineStr">
        <is>
          <t>Bike Trip</t>
        </is>
      </c>
      <c r="J1632" s="1393" t="inlineStr">
        <is>
          <t>-</t>
        </is>
      </c>
      <c r="K1632" s="1395">
        <f>IF(raw[[#This Row],[city]]&lt;&gt;"",_xlfn.XLOOKUP($D1632,ccc[city],ccc[prov],"-"),"-")</f>
        <v/>
      </c>
      <c r="L1632" s="1395">
        <f>IF(raw[[#This Row],[city]]&lt;&gt;"",_xlfn.XLOOKUP($D1632,ccc[city],ccc[ctry],"-"),"-")</f>
        <v/>
      </c>
      <c r="M1632" s="1395">
        <f>IF(raw[[#This Row],[city]]&lt;&gt;"",_xlfn.XLOOKUP($D1632,ccc[city],ccc[cont],"-"),"-")</f>
        <v/>
      </c>
      <c r="N1632" s="1396">
        <f>IF(raw[[#This Row],[city]]="","-",IF(raw[[#This Row],[cont]]="B",raw[[#This Row],[cont]],"W"))</f>
        <v/>
      </c>
      <c r="O1632" s="1397">
        <f>IF(raw[[#This Row],[out]]=0,0,IF(raw[[#This Row],[out]]=raw[[#This Row],[in]],0.01,raw[[#This Row],[out]]-raw[[#This Row],[in]]))</f>
        <v/>
      </c>
      <c r="P1632" s="1397">
        <f>IF(raw[[#This Row],[in]]=0,0,MONTH(raw[[#This Row],[in]]))</f>
        <v/>
      </c>
      <c r="Q1632" s="1397">
        <f>IF(raw[[#This Row],[in]]=0,0,YEAR(raw[[#This Row],[in]]))</f>
        <v/>
      </c>
      <c r="R1632" s="1397">
        <f>INT(raw[[#This Row],[yr]]/10)*10</f>
        <v/>
      </c>
      <c r="S1632" s="1395">
        <f>IF(raw[[#This Row],[city]]="","-",IF(raw[[#This Row],[city]]&lt;&gt;_xlfn.XLOOKUP(raw[[#This Row],[home]],homes[home],homes[city],"-"),1,0))</f>
        <v/>
      </c>
      <c r="T1632" s="1398" t="inlineStr">
        <is>
          <t>.</t>
        </is>
      </c>
      <c r="U1632" s="1399">
        <f>IF(raw[[#This Row],[wb]]="w",raw[[#This Row],[stay]]+U1631,U1631)</f>
        <v/>
      </c>
      <c r="V1632" s="1400">
        <f>IF(raw[[#This Row],[out]]=0,V1631,(raw[[#This Row],[out]]-E$5))</f>
        <v/>
      </c>
      <c r="W1632" s="1401">
        <f>U1632/V1632</f>
        <v/>
      </c>
      <c r="X1632" s="1392" t="n"/>
      <c r="Y1632" s="1392" t="n"/>
      <c r="Z1632" s="1392" t="n"/>
      <c r="AA1632" s="1392" t="n"/>
      <c r="AB1632" s="1392" t="n"/>
      <c r="AC1632" s="1392" t="n"/>
      <c r="AD1632" s="1392" t="n"/>
      <c r="AE1632" s="1392" t="n"/>
      <c r="AF1632" s="1392" t="n"/>
      <c r="AG1632" s="1392" t="n"/>
      <c r="AH1632" s="1392" t="n"/>
      <c r="AI1632" s="1392" t="n"/>
      <c r="AJ1632" s="1392" t="n"/>
      <c r="AK1632" s="1392" t="n"/>
      <c r="AL1632" s="1392" t="n"/>
      <c r="AM1632" s="1392" t="n"/>
      <c r="AN1632" s="1392" t="n"/>
      <c r="AO1632" s="1392" t="n"/>
      <c r="AP1632" s="1392" t="n"/>
      <c r="AQ1632" s="1392" t="n"/>
      <c r="AR1632" s="1422" t="n"/>
      <c r="AS1632" s="1422" t="n"/>
      <c r="AT1632" s="1392" t="n"/>
      <c r="AU1632" s="1392" t="n"/>
      <c r="AV1632" s="1392" t="n"/>
      <c r="AW1632" s="1392" t="n"/>
      <c r="AX1632" s="1392" t="n"/>
      <c r="AY1632" s="1392" t="n"/>
      <c r="AZ1632" s="1392" t="n"/>
      <c r="BA1632" s="1422" t="n"/>
      <c r="BB1632" s="1422" t="n"/>
      <c r="BC1632" s="1392" t="n"/>
      <c r="BD1632" s="1392" t="n"/>
      <c r="BE1632" s="1392" t="n"/>
      <c r="BF1632" s="1392" t="n"/>
      <c r="BG1632" s="1392" t="n"/>
      <c r="BH1632" s="1392" t="n"/>
      <c r="BI1632" s="1392" t="n"/>
      <c r="BJ1632" s="1392" t="n"/>
      <c r="BK1632" s="1392" t="n"/>
      <c r="BL1632" s="1392" t="n"/>
      <c r="BM1632" s="1392" t="n"/>
      <c r="BN1632" s="1392" t="n"/>
      <c r="BO1632" s="1392" t="n"/>
      <c r="BP1632" s="1392" t="n"/>
      <c r="BQ1632" s="1392" t="n"/>
      <c r="BR1632" s="1392" t="n"/>
      <c r="BS1632" s="1392" t="n"/>
      <c r="BT1632" s="1392" t="n"/>
      <c r="BU1632" s="1392" t="n"/>
      <c r="BV1632" s="1392" t="n"/>
      <c r="BW1632" s="1392" t="n"/>
      <c r="BX1632" s="1392" t="n"/>
      <c r="BY1632" s="1392" t="n"/>
      <c r="BZ1632" s="1392" t="n"/>
      <c r="CA1632" s="1392" t="n"/>
      <c r="CB1632" s="1392" t="n"/>
      <c r="CC1632" s="1392" t="n"/>
      <c r="CD1632" s="1392" t="n"/>
      <c r="CE1632" s="1392" t="n"/>
      <c r="CF1632" s="1392" t="n"/>
      <c r="CG1632" s="1392" t="n"/>
      <c r="CH1632" s="1392" t="n"/>
      <c r="CI1632" s="1392" t="n"/>
      <c r="CJ1632" s="1392" t="n"/>
      <c r="CK1632" s="1392" t="n"/>
      <c r="CL1632" s="1392" t="n"/>
    </row>
    <row r="1633">
      <c r="A1633" s="5" t="inlineStr">
        <is>
          <t>.</t>
        </is>
      </c>
      <c r="B1633" s="5" t="inlineStr">
        <is>
          <t>.</t>
        </is>
      </c>
      <c r="C1633" s="1378">
        <f>IF(raw[[#This Row],[city]]="","-",IF(raw[[#This Row],[city]]="TODAY","-",C1632+1))</f>
        <v/>
      </c>
      <c r="D1633" s="1393" t="inlineStr">
        <is>
          <t>BORDER BEL</t>
        </is>
      </c>
      <c r="E1633" s="1394" t="n">
        <v>44742</v>
      </c>
      <c r="F1633" s="1394" t="n">
        <v>44742</v>
      </c>
      <c r="G1633" s="1393" t="inlineStr">
        <is>
          <t>-</t>
        </is>
      </c>
      <c r="H1633" s="1393" t="inlineStr">
        <is>
          <t>Marie-Victorin</t>
        </is>
      </c>
      <c r="I1633" s="1393" t="inlineStr">
        <is>
          <t>Bike Trip</t>
        </is>
      </c>
      <c r="J1633" s="1393" t="inlineStr">
        <is>
          <t>-</t>
        </is>
      </c>
      <c r="K1633" s="1395">
        <f>IF(raw[[#This Row],[city]]&lt;&gt;"",_xlfn.XLOOKUP($D1633,ccc[city],ccc[prov],"-"),"-")</f>
        <v/>
      </c>
      <c r="L1633" s="1395">
        <f>IF(raw[[#This Row],[city]]&lt;&gt;"",_xlfn.XLOOKUP($D1633,ccc[city],ccc[ctry],"-"),"-")</f>
        <v/>
      </c>
      <c r="M1633" s="1395">
        <f>IF(raw[[#This Row],[city]]&lt;&gt;"",_xlfn.XLOOKUP($D1633,ccc[city],ccc[cont],"-"),"-")</f>
        <v/>
      </c>
      <c r="N1633" s="1396">
        <f>IF(raw[[#This Row],[city]]="","-",IF(raw[[#This Row],[cont]]="B",raw[[#This Row],[cont]],"W"))</f>
        <v/>
      </c>
      <c r="O1633" s="1397">
        <f>IF(raw[[#This Row],[out]]=0,0,IF(raw[[#This Row],[out]]=raw[[#This Row],[in]],0.01,raw[[#This Row],[out]]-raw[[#This Row],[in]]))</f>
        <v/>
      </c>
      <c r="P1633" s="1397">
        <f>IF(raw[[#This Row],[in]]=0,0,MONTH(raw[[#This Row],[in]]))</f>
        <v/>
      </c>
      <c r="Q1633" s="1397">
        <f>IF(raw[[#This Row],[in]]=0,0,YEAR(raw[[#This Row],[in]]))</f>
        <v/>
      </c>
      <c r="R1633" s="1397">
        <f>INT(raw[[#This Row],[yr]]/10)*10</f>
        <v/>
      </c>
      <c r="S1633" s="1395">
        <f>IF(raw[[#This Row],[city]]="","-",IF(raw[[#This Row],[city]]&lt;&gt;_xlfn.XLOOKUP(raw[[#This Row],[home]],homes[home],homes[city],"-"),1,0))</f>
        <v/>
      </c>
      <c r="T1633" s="1398" t="inlineStr">
        <is>
          <t>.</t>
        </is>
      </c>
      <c r="U1633" s="1399">
        <f>IF(raw[[#This Row],[wb]]="w",raw[[#This Row],[stay]]+U1632,U1632)</f>
        <v/>
      </c>
      <c r="V1633" s="1400">
        <f>IF(raw[[#This Row],[out]]=0,V1632,(raw[[#This Row],[out]]-E$5))</f>
        <v/>
      </c>
      <c r="W1633" s="1401">
        <f>U1633/V1633</f>
        <v/>
      </c>
      <c r="X1633" s="1392" t="n"/>
      <c r="Y1633" s="1392" t="n"/>
      <c r="Z1633" s="1392" t="n"/>
      <c r="AA1633" s="1392" t="n"/>
      <c r="AB1633" s="1392" t="n"/>
      <c r="AC1633" s="1392" t="n"/>
      <c r="AD1633" s="1392" t="n"/>
      <c r="AE1633" s="1392" t="n"/>
      <c r="AF1633" s="1392" t="n"/>
      <c r="AG1633" s="1392" t="n"/>
      <c r="AH1633" s="1392" t="n"/>
      <c r="AI1633" s="1392" t="n"/>
      <c r="AJ1633" s="1392" t="n"/>
      <c r="AK1633" s="1392" t="n"/>
      <c r="AL1633" s="1392" t="n"/>
      <c r="AM1633" s="1392" t="n"/>
      <c r="AN1633" s="1392" t="n"/>
      <c r="AO1633" s="1392" t="n"/>
      <c r="AP1633" s="1392" t="n"/>
      <c r="AQ1633" s="1392" t="n"/>
      <c r="AR1633" s="1422" t="n"/>
      <c r="AS1633" s="1422" t="n"/>
      <c r="AT1633" s="1392" t="n"/>
      <c r="AU1633" s="1392" t="n"/>
      <c r="AV1633" s="1392" t="n"/>
      <c r="AW1633" s="1392" t="n"/>
      <c r="AX1633" s="1392" t="n"/>
      <c r="AY1633" s="1392" t="n"/>
      <c r="AZ1633" s="1392" t="n"/>
      <c r="BA1633" s="1422" t="n"/>
      <c r="BB1633" s="1422" t="n"/>
      <c r="BC1633" s="1392" t="n"/>
      <c r="BD1633" s="1392" t="n"/>
      <c r="BE1633" s="1392" t="n"/>
      <c r="BF1633" s="1392" t="n"/>
      <c r="BG1633" s="1392" t="n"/>
      <c r="BH1633" s="1392" t="n"/>
      <c r="BI1633" s="1392" t="n"/>
      <c r="BJ1633" s="1392" t="n"/>
      <c r="BK1633" s="1392" t="n"/>
      <c r="BL1633" s="1392" t="n"/>
      <c r="BM1633" s="1392" t="n"/>
      <c r="BN1633" s="1392" t="n"/>
      <c r="BO1633" s="1392" t="n"/>
      <c r="BP1633" s="1392" t="n"/>
      <c r="BQ1633" s="1392" t="n"/>
      <c r="BR1633" s="1392" t="n"/>
      <c r="BS1633" s="1392" t="n"/>
      <c r="BT1633" s="1392" t="n"/>
      <c r="BU1633" s="1392" t="n"/>
      <c r="BV1633" s="1392" t="n"/>
      <c r="BW1633" s="1392" t="n"/>
      <c r="BX1633" s="1392" t="n"/>
      <c r="BY1633" s="1392" t="n"/>
      <c r="BZ1633" s="1392" t="n"/>
      <c r="CA1633" s="1392" t="n"/>
      <c r="CB1633" s="1392" t="n"/>
      <c r="CC1633" s="1392" t="n"/>
      <c r="CD1633" s="1392" t="n"/>
      <c r="CE1633" s="1392" t="n"/>
      <c r="CF1633" s="1392" t="n"/>
      <c r="CG1633" s="1392" t="n"/>
      <c r="CH1633" s="1392" t="n"/>
      <c r="CI1633" s="1392" t="n"/>
      <c r="CJ1633" s="1392" t="n"/>
      <c r="CK1633" s="1392" t="n"/>
      <c r="CL1633" s="1392" t="n"/>
    </row>
    <row r="1634">
      <c r="A1634" s="5" t="inlineStr">
        <is>
          <t>.</t>
        </is>
      </c>
      <c r="B1634" s="5" t="inlineStr">
        <is>
          <t>.</t>
        </is>
      </c>
      <c r="C1634" s="1378">
        <f>IF(raw[[#This Row],[city]]="","-",IF(raw[[#This Row],[city]]="TODAY","-",C1633+1))</f>
        <v/>
      </c>
      <c r="D1634" s="1393" t="inlineStr">
        <is>
          <t>BORDER NED</t>
        </is>
      </c>
      <c r="E1634" s="1394" t="n">
        <v>44742</v>
      </c>
      <c r="F1634" s="1394" t="n">
        <v>44742</v>
      </c>
      <c r="G1634" s="1393" t="inlineStr">
        <is>
          <t>-</t>
        </is>
      </c>
      <c r="H1634" s="1393" t="inlineStr">
        <is>
          <t>Marie-Victorin</t>
        </is>
      </c>
      <c r="I1634" s="1393" t="inlineStr">
        <is>
          <t>Bike Trip</t>
        </is>
      </c>
      <c r="J1634" s="1393" t="inlineStr">
        <is>
          <t>-</t>
        </is>
      </c>
      <c r="K1634" s="1395">
        <f>IF(raw[[#This Row],[city]]&lt;&gt;"",_xlfn.XLOOKUP($D1634,ccc[city],ccc[prov],"-"),"-")</f>
        <v/>
      </c>
      <c r="L1634" s="1395">
        <f>IF(raw[[#This Row],[city]]&lt;&gt;"",_xlfn.XLOOKUP($D1634,ccc[city],ccc[ctry],"-"),"-")</f>
        <v/>
      </c>
      <c r="M1634" s="1395">
        <f>IF(raw[[#This Row],[city]]&lt;&gt;"",_xlfn.XLOOKUP($D1634,ccc[city],ccc[cont],"-"),"-")</f>
        <v/>
      </c>
      <c r="N1634" s="1396">
        <f>IF(raw[[#This Row],[city]]="","-",IF(raw[[#This Row],[cont]]="B",raw[[#This Row],[cont]],"W"))</f>
        <v/>
      </c>
      <c r="O1634" s="1397">
        <f>IF(raw[[#This Row],[out]]=0,0,IF(raw[[#This Row],[out]]=raw[[#This Row],[in]],0.01,raw[[#This Row],[out]]-raw[[#This Row],[in]]))</f>
        <v/>
      </c>
      <c r="P1634" s="1397">
        <f>IF(raw[[#This Row],[in]]=0,0,MONTH(raw[[#This Row],[in]]))</f>
        <v/>
      </c>
      <c r="Q1634" s="1397">
        <f>IF(raw[[#This Row],[in]]=0,0,YEAR(raw[[#This Row],[in]]))</f>
        <v/>
      </c>
      <c r="R1634" s="1397">
        <f>INT(raw[[#This Row],[yr]]/10)*10</f>
        <v/>
      </c>
      <c r="S1634" s="1395">
        <f>IF(raw[[#This Row],[city]]="","-",IF(raw[[#This Row],[city]]&lt;&gt;_xlfn.XLOOKUP(raw[[#This Row],[home]],homes[home],homes[city],"-"),1,0))</f>
        <v/>
      </c>
      <c r="T1634" s="1398" t="inlineStr">
        <is>
          <t>.</t>
        </is>
      </c>
      <c r="U1634" s="1399">
        <f>IF(raw[[#This Row],[wb]]="w",raw[[#This Row],[stay]]+U1633,U1633)</f>
        <v/>
      </c>
      <c r="V1634" s="1400">
        <f>IF(raw[[#This Row],[out]]=0,V1633,(raw[[#This Row],[out]]-E$5))</f>
        <v/>
      </c>
      <c r="W1634" s="1401">
        <f>U1634/V1634</f>
        <v/>
      </c>
      <c r="X1634" s="1392" t="n"/>
      <c r="Y1634" s="1392" t="n"/>
      <c r="Z1634" s="1392" t="n"/>
      <c r="AA1634" s="1392" t="n"/>
      <c r="AB1634" s="1392" t="n"/>
      <c r="AC1634" s="1392" t="n"/>
      <c r="AD1634" s="1392" t="n"/>
      <c r="AE1634" s="1392" t="n"/>
      <c r="AF1634" s="1392" t="n"/>
      <c r="AG1634" s="1392" t="n"/>
      <c r="AH1634" s="1392" t="n"/>
      <c r="AI1634" s="1392" t="n"/>
      <c r="AJ1634" s="1392" t="n"/>
      <c r="AK1634" s="1392" t="n"/>
      <c r="AL1634" s="1392" t="n"/>
      <c r="AM1634" s="1392" t="n"/>
      <c r="AN1634" s="1392" t="n"/>
      <c r="AO1634" s="1392" t="n"/>
      <c r="AP1634" s="1392" t="n"/>
      <c r="AQ1634" s="1392" t="n"/>
      <c r="AR1634" s="1422" t="n"/>
      <c r="AS1634" s="1422" t="n"/>
      <c r="AT1634" s="1392" t="n"/>
      <c r="AU1634" s="1392" t="n"/>
      <c r="AV1634" s="1392" t="n"/>
      <c r="AW1634" s="1392" t="n"/>
      <c r="AX1634" s="1392" t="n"/>
      <c r="AY1634" s="1392" t="n"/>
      <c r="AZ1634" s="1392" t="n"/>
      <c r="BA1634" s="1422" t="n"/>
      <c r="BB1634" s="1422" t="n"/>
      <c r="BC1634" s="1392" t="n"/>
      <c r="BD1634" s="1392" t="n"/>
      <c r="BE1634" s="1392" t="n"/>
      <c r="BF1634" s="1392" t="n"/>
      <c r="BG1634" s="1392" t="n"/>
      <c r="BH1634" s="1392" t="n"/>
      <c r="BI1634" s="1392" t="n"/>
      <c r="BJ1634" s="1392" t="n"/>
      <c r="BK1634" s="1392" t="n"/>
      <c r="BL1634" s="1392" t="n"/>
      <c r="BM1634" s="1392" t="n"/>
      <c r="BN1634" s="1392" t="n"/>
      <c r="BO1634" s="1392" t="n"/>
      <c r="BP1634" s="1392" t="n"/>
      <c r="BQ1634" s="1392" t="n"/>
      <c r="BR1634" s="1392" t="n"/>
      <c r="BS1634" s="1392" t="n"/>
      <c r="BT1634" s="1392" t="n"/>
      <c r="BU1634" s="1392" t="n"/>
      <c r="BV1634" s="1392" t="n"/>
      <c r="BW1634" s="1392" t="n"/>
      <c r="BX1634" s="1392" t="n"/>
      <c r="BY1634" s="1392" t="n"/>
      <c r="BZ1634" s="1392" t="n"/>
      <c r="CA1634" s="1392" t="n"/>
      <c r="CB1634" s="1392" t="n"/>
      <c r="CC1634" s="1392" t="n"/>
      <c r="CD1634" s="1392" t="n"/>
      <c r="CE1634" s="1392" t="n"/>
      <c r="CF1634" s="1392" t="n"/>
      <c r="CG1634" s="1392" t="n"/>
      <c r="CH1634" s="1392" t="n"/>
      <c r="CI1634" s="1392" t="n"/>
      <c r="CJ1634" s="1392" t="n"/>
      <c r="CK1634" s="1392" t="n"/>
      <c r="CL1634" s="1392" t="n"/>
    </row>
    <row r="1635">
      <c r="A1635" s="5" t="inlineStr">
        <is>
          <t>.</t>
        </is>
      </c>
      <c r="B1635" s="5" t="inlineStr">
        <is>
          <t>.</t>
        </is>
      </c>
      <c r="C1635" s="1378">
        <f>IF(raw[[#This Row],[city]]="","-",IF(raw[[#This Row],[city]]="TODAY","-",C1634+1))</f>
        <v/>
      </c>
      <c r="D1635" s="1393" t="inlineStr">
        <is>
          <t>BORDER DEU</t>
        </is>
      </c>
      <c r="E1635" s="1394" t="n">
        <v>44742</v>
      </c>
      <c r="F1635" s="1394" t="n">
        <v>44742</v>
      </c>
      <c r="G1635" s="1393" t="inlineStr">
        <is>
          <t>-</t>
        </is>
      </c>
      <c r="H1635" s="1393" t="inlineStr">
        <is>
          <t>Marie-Victorin</t>
        </is>
      </c>
      <c r="I1635" s="1393" t="inlineStr">
        <is>
          <t>Bike Trip</t>
        </is>
      </c>
      <c r="J1635" s="1393" t="inlineStr">
        <is>
          <t>-</t>
        </is>
      </c>
      <c r="K1635" s="1395">
        <f>IF(raw[[#This Row],[city]]&lt;&gt;"",_xlfn.XLOOKUP($D1635,ccc[city],ccc[prov],"-"),"-")</f>
        <v/>
      </c>
      <c r="L1635" s="1395">
        <f>IF(raw[[#This Row],[city]]&lt;&gt;"",_xlfn.XLOOKUP($D1635,ccc[city],ccc[ctry],"-"),"-")</f>
        <v/>
      </c>
      <c r="M1635" s="1395">
        <f>IF(raw[[#This Row],[city]]&lt;&gt;"",_xlfn.XLOOKUP($D1635,ccc[city],ccc[cont],"-"),"-")</f>
        <v/>
      </c>
      <c r="N1635" s="1396">
        <f>IF(raw[[#This Row],[city]]="","-",IF(raw[[#This Row],[cont]]="B",raw[[#This Row],[cont]],"W"))</f>
        <v/>
      </c>
      <c r="O1635" s="1397">
        <f>IF(raw[[#This Row],[out]]=0,0,IF(raw[[#This Row],[out]]=raw[[#This Row],[in]],0.01,raw[[#This Row],[out]]-raw[[#This Row],[in]]))</f>
        <v/>
      </c>
      <c r="P1635" s="1397">
        <f>IF(raw[[#This Row],[in]]=0,0,MONTH(raw[[#This Row],[in]]))</f>
        <v/>
      </c>
      <c r="Q1635" s="1397">
        <f>IF(raw[[#This Row],[in]]=0,0,YEAR(raw[[#This Row],[in]]))</f>
        <v/>
      </c>
      <c r="R1635" s="1397">
        <f>INT(raw[[#This Row],[yr]]/10)*10</f>
        <v/>
      </c>
      <c r="S1635" s="1395">
        <f>IF(raw[[#This Row],[city]]="","-",IF(raw[[#This Row],[city]]&lt;&gt;_xlfn.XLOOKUP(raw[[#This Row],[home]],homes[home],homes[city],"-"),1,0))</f>
        <v/>
      </c>
      <c r="T1635" s="1398" t="inlineStr">
        <is>
          <t>.</t>
        </is>
      </c>
      <c r="U1635" s="1399">
        <f>IF(raw[[#This Row],[wb]]="w",raw[[#This Row],[stay]]+U1634,U1634)</f>
        <v/>
      </c>
      <c r="V1635" s="1400">
        <f>IF(raw[[#This Row],[out]]=0,V1634,(raw[[#This Row],[out]]-E$5))</f>
        <v/>
      </c>
      <c r="W1635" s="1401">
        <f>U1635/V1635</f>
        <v/>
      </c>
      <c r="X1635" s="1392" t="n"/>
      <c r="Y1635" s="1392" t="n"/>
      <c r="Z1635" s="1392" t="n"/>
      <c r="AA1635" s="1392" t="n"/>
      <c r="AB1635" s="1392" t="n"/>
      <c r="AC1635" s="1392" t="n"/>
      <c r="AD1635" s="1392" t="n"/>
      <c r="AE1635" s="1392" t="n"/>
      <c r="AF1635" s="1392" t="n"/>
      <c r="AG1635" s="1392" t="n"/>
      <c r="AH1635" s="1392" t="n"/>
      <c r="AI1635" s="1392" t="n"/>
      <c r="AJ1635" s="1392" t="n"/>
      <c r="AK1635" s="1392" t="n"/>
      <c r="AL1635" s="1392" t="n"/>
      <c r="AM1635" s="1392" t="n"/>
      <c r="AN1635" s="1392" t="n"/>
      <c r="AO1635" s="1392" t="n"/>
      <c r="AP1635" s="1392" t="n"/>
      <c r="AQ1635" s="1392" t="n"/>
      <c r="AR1635" s="1422" t="n"/>
      <c r="AS1635" s="1422" t="n"/>
      <c r="AT1635" s="1392" t="n"/>
      <c r="AU1635" s="1392" t="n"/>
      <c r="AV1635" s="1392" t="n"/>
      <c r="AW1635" s="1392" t="n"/>
      <c r="AX1635" s="1392" t="n"/>
      <c r="AY1635" s="1392" t="n"/>
      <c r="AZ1635" s="1392" t="n"/>
      <c r="BA1635" s="1422" t="n"/>
      <c r="BB1635" s="1422" t="n"/>
      <c r="BC1635" s="1392" t="n"/>
      <c r="BD1635" s="1392" t="n"/>
      <c r="BE1635" s="1392" t="n"/>
      <c r="BF1635" s="1392" t="n"/>
      <c r="BG1635" s="1392" t="n"/>
      <c r="BH1635" s="1392" t="n"/>
      <c r="BI1635" s="1392" t="n"/>
      <c r="BJ1635" s="1392" t="n"/>
      <c r="BK1635" s="1392" t="n"/>
      <c r="BL1635" s="1392" t="n"/>
      <c r="BM1635" s="1392" t="n"/>
      <c r="BN1635" s="1392" t="n"/>
      <c r="BO1635" s="1392" t="n"/>
      <c r="BP1635" s="1392" t="n"/>
      <c r="BQ1635" s="1392" t="n"/>
      <c r="BR1635" s="1392" t="n"/>
      <c r="BS1635" s="1392" t="n"/>
      <c r="BT1635" s="1392" t="n"/>
      <c r="BU1635" s="1392" t="n"/>
      <c r="BV1635" s="1392" t="n"/>
      <c r="BW1635" s="1392" t="n"/>
      <c r="BX1635" s="1392" t="n"/>
      <c r="BY1635" s="1392" t="n"/>
      <c r="BZ1635" s="1392" t="n"/>
      <c r="CA1635" s="1392" t="n"/>
      <c r="CB1635" s="1392" t="n"/>
      <c r="CC1635" s="1392" t="n"/>
      <c r="CD1635" s="1392" t="n"/>
      <c r="CE1635" s="1392" t="n"/>
      <c r="CF1635" s="1392" t="n"/>
      <c r="CG1635" s="1392" t="n"/>
      <c r="CH1635" s="1392" t="n"/>
      <c r="CI1635" s="1392" t="n"/>
      <c r="CJ1635" s="1392" t="n"/>
      <c r="CK1635" s="1392" t="n"/>
      <c r="CL1635" s="1392" t="n"/>
    </row>
    <row r="1636">
      <c r="A1636" s="5" t="inlineStr">
        <is>
          <t>.</t>
        </is>
      </c>
      <c r="B1636" s="5" t="inlineStr">
        <is>
          <t>.</t>
        </is>
      </c>
      <c r="C1636" s="1378">
        <f>IF(raw[[#This Row],[city]]="","-",IF(raw[[#This Row],[city]]="TODAY","-",C1635+1))</f>
        <v/>
      </c>
      <c r="D1636" s="1393" t="inlineStr">
        <is>
          <t>Aachen</t>
        </is>
      </c>
      <c r="E1636" s="1394" t="n">
        <v>44742</v>
      </c>
      <c r="F1636" s="1394" t="n">
        <v>44743</v>
      </c>
      <c r="G1636" s="1393" t="inlineStr">
        <is>
          <t>-</t>
        </is>
      </c>
      <c r="H1636" s="1393" t="inlineStr">
        <is>
          <t>Marie-Victorin</t>
        </is>
      </c>
      <c r="I1636" s="1393" t="inlineStr">
        <is>
          <t>Bike Trip</t>
        </is>
      </c>
      <c r="J1636" s="1393" t="inlineStr">
        <is>
          <t>-</t>
        </is>
      </c>
      <c r="K1636" s="1395">
        <f>IF(raw[[#This Row],[city]]&lt;&gt;"",_xlfn.XLOOKUP($D1636,ccc[city],ccc[prov],"-"),"-")</f>
        <v/>
      </c>
      <c r="L1636" s="1395">
        <f>IF(raw[[#This Row],[city]]&lt;&gt;"",_xlfn.XLOOKUP($D1636,ccc[city],ccc[ctry],"-"),"-")</f>
        <v/>
      </c>
      <c r="M1636" s="1395">
        <f>IF(raw[[#This Row],[city]]&lt;&gt;"",_xlfn.XLOOKUP($D1636,ccc[city],ccc[cont],"-"),"-")</f>
        <v/>
      </c>
      <c r="N1636" s="1396">
        <f>IF(raw[[#This Row],[city]]="","-",IF(raw[[#This Row],[cont]]="B",raw[[#This Row],[cont]],"W"))</f>
        <v/>
      </c>
      <c r="O1636" s="1397">
        <f>IF(raw[[#This Row],[out]]=0,0,IF(raw[[#This Row],[out]]=raw[[#This Row],[in]],0.01,raw[[#This Row],[out]]-raw[[#This Row],[in]]))</f>
        <v/>
      </c>
      <c r="P1636" s="1397">
        <f>IF(raw[[#This Row],[in]]=0,0,MONTH(raw[[#This Row],[in]]))</f>
        <v/>
      </c>
      <c r="Q1636" s="1397">
        <f>IF(raw[[#This Row],[in]]=0,0,YEAR(raw[[#This Row],[in]]))</f>
        <v/>
      </c>
      <c r="R1636" s="1397">
        <f>INT(raw[[#This Row],[yr]]/10)*10</f>
        <v/>
      </c>
      <c r="S1636" s="1395">
        <f>IF(raw[[#This Row],[city]]="","-",IF(raw[[#This Row],[city]]&lt;&gt;_xlfn.XLOOKUP(raw[[#This Row],[home]],homes[home],homes[city],"-"),1,0))</f>
        <v/>
      </c>
      <c r="T1636" s="1398" t="inlineStr">
        <is>
          <t>.</t>
        </is>
      </c>
      <c r="U1636" s="1399">
        <f>IF(raw[[#This Row],[wb]]="w",raw[[#This Row],[stay]]+U1635,U1635)</f>
        <v/>
      </c>
      <c r="V1636" s="1400">
        <f>IF(raw[[#This Row],[out]]=0,V1635,(raw[[#This Row],[out]]-E$5))</f>
        <v/>
      </c>
      <c r="W1636" s="1401">
        <f>U1636/V1636</f>
        <v/>
      </c>
      <c r="X1636" s="1392" t="n"/>
      <c r="Y1636" s="1392" t="n"/>
      <c r="Z1636" s="1392" t="n"/>
      <c r="AA1636" s="1392" t="n"/>
      <c r="AB1636" s="1392" t="n"/>
      <c r="AC1636" s="1392" t="n"/>
      <c r="AD1636" s="1392" t="n"/>
      <c r="AE1636" s="1392" t="n"/>
      <c r="AF1636" s="1392" t="n"/>
      <c r="AG1636" s="1392" t="n"/>
      <c r="AH1636" s="1392" t="n"/>
      <c r="AI1636" s="1392" t="n"/>
      <c r="AJ1636" s="1392" t="n"/>
      <c r="AK1636" s="1392" t="n"/>
      <c r="AL1636" s="1392" t="n"/>
      <c r="AM1636" s="1392" t="n"/>
      <c r="AN1636" s="1392" t="n"/>
      <c r="AO1636" s="1392" t="n"/>
      <c r="AP1636" s="1392" t="n"/>
      <c r="AQ1636" s="1392" t="n"/>
      <c r="AR1636" s="1422" t="n"/>
      <c r="AS1636" s="1422" t="n"/>
      <c r="AT1636" s="1392" t="n"/>
      <c r="AU1636" s="1392" t="n"/>
      <c r="AV1636" s="1392" t="n"/>
      <c r="AW1636" s="1392" t="n"/>
      <c r="AX1636" s="1392" t="n"/>
      <c r="AY1636" s="1392" t="n"/>
      <c r="AZ1636" s="1392" t="n"/>
      <c r="BA1636" s="1422" t="n"/>
      <c r="BB1636" s="1422" t="n"/>
      <c r="BC1636" s="1392" t="n"/>
      <c r="BD1636" s="1392" t="n"/>
      <c r="BE1636" s="1392" t="n"/>
      <c r="BF1636" s="1392" t="n"/>
      <c r="BG1636" s="1392" t="n"/>
      <c r="BH1636" s="1392" t="n"/>
      <c r="BI1636" s="1392" t="n"/>
      <c r="BJ1636" s="1392" t="n"/>
      <c r="BK1636" s="1392" t="n"/>
      <c r="BL1636" s="1392" t="n"/>
      <c r="BM1636" s="1392" t="n"/>
      <c r="BN1636" s="1392" t="n"/>
      <c r="BO1636" s="1392" t="n"/>
      <c r="BP1636" s="1392" t="n"/>
      <c r="BQ1636" s="1392" t="n"/>
      <c r="BR1636" s="1392" t="n"/>
      <c r="BS1636" s="1392" t="n"/>
      <c r="BT1636" s="1392" t="n"/>
      <c r="BU1636" s="1392" t="n"/>
      <c r="BV1636" s="1392" t="n"/>
      <c r="BW1636" s="1392" t="n"/>
      <c r="BX1636" s="1392" t="n"/>
      <c r="BY1636" s="1392" t="n"/>
      <c r="BZ1636" s="1392" t="n"/>
      <c r="CA1636" s="1392" t="n"/>
      <c r="CB1636" s="1392" t="n"/>
      <c r="CC1636" s="1392" t="n"/>
      <c r="CD1636" s="1392" t="n"/>
      <c r="CE1636" s="1392" t="n"/>
      <c r="CF1636" s="1392" t="n"/>
      <c r="CG1636" s="1392" t="n"/>
      <c r="CH1636" s="1392" t="n"/>
      <c r="CI1636" s="1392" t="n"/>
      <c r="CJ1636" s="1392" t="n"/>
      <c r="CK1636" s="1392" t="n"/>
      <c r="CL1636" s="1392" t="n"/>
    </row>
    <row r="1637">
      <c r="A1637" s="5" t="inlineStr">
        <is>
          <t>.</t>
        </is>
      </c>
      <c r="B1637" s="5" t="inlineStr">
        <is>
          <t>.</t>
        </is>
      </c>
      <c r="C1637" s="1378">
        <f>IF(raw[[#This Row],[city]]="","-",IF(raw[[#This Row],[city]]="TODAY","-",C1636+1))</f>
        <v/>
      </c>
      <c r="D1637" s="1393" t="inlineStr">
        <is>
          <t>Dusseldorf</t>
        </is>
      </c>
      <c r="E1637" s="1394" t="n">
        <v>44743</v>
      </c>
      <c r="F1637" s="1394" t="n">
        <v>44744</v>
      </c>
      <c r="G1637" s="1393" t="inlineStr">
        <is>
          <t>-</t>
        </is>
      </c>
      <c r="H1637" s="1393" t="inlineStr">
        <is>
          <t>Marie-Victorin</t>
        </is>
      </c>
      <c r="I1637" s="1393" t="inlineStr">
        <is>
          <t>Bike Trip</t>
        </is>
      </c>
      <c r="J1637" s="1393" t="inlineStr">
        <is>
          <t>-</t>
        </is>
      </c>
      <c r="K1637" s="1395">
        <f>IF(raw[[#This Row],[city]]&lt;&gt;"",_xlfn.XLOOKUP($D1637,ccc[city],ccc[prov],"-"),"-")</f>
        <v/>
      </c>
      <c r="L1637" s="1395">
        <f>IF(raw[[#This Row],[city]]&lt;&gt;"",_xlfn.XLOOKUP($D1637,ccc[city],ccc[ctry],"-"),"-")</f>
        <v/>
      </c>
      <c r="M1637" s="1395">
        <f>IF(raw[[#This Row],[city]]&lt;&gt;"",_xlfn.XLOOKUP($D1637,ccc[city],ccc[cont],"-"),"-")</f>
        <v/>
      </c>
      <c r="N1637" s="1396">
        <f>IF(raw[[#This Row],[city]]="","-",IF(raw[[#This Row],[cont]]="B",raw[[#This Row],[cont]],"W"))</f>
        <v/>
      </c>
      <c r="O1637" s="1397">
        <f>IF(raw[[#This Row],[out]]=0,0,IF(raw[[#This Row],[out]]=raw[[#This Row],[in]],0.01,raw[[#This Row],[out]]-raw[[#This Row],[in]]))</f>
        <v/>
      </c>
      <c r="P1637" s="1397">
        <f>IF(raw[[#This Row],[in]]=0,0,MONTH(raw[[#This Row],[in]]))</f>
        <v/>
      </c>
      <c r="Q1637" s="1397">
        <f>IF(raw[[#This Row],[in]]=0,0,YEAR(raw[[#This Row],[in]]))</f>
        <v/>
      </c>
      <c r="R1637" s="1397">
        <f>INT(raw[[#This Row],[yr]]/10)*10</f>
        <v/>
      </c>
      <c r="S1637" s="1395">
        <f>IF(raw[[#This Row],[city]]="","-",IF(raw[[#This Row],[city]]&lt;&gt;_xlfn.XLOOKUP(raw[[#This Row],[home]],homes[home],homes[city],"-"),1,0))</f>
        <v/>
      </c>
      <c r="T1637" s="1398" t="inlineStr">
        <is>
          <t>.</t>
        </is>
      </c>
      <c r="U1637" s="1399">
        <f>IF(raw[[#This Row],[wb]]="w",raw[[#This Row],[stay]]+U1636,U1636)</f>
        <v/>
      </c>
      <c r="V1637" s="1400">
        <f>IF(raw[[#This Row],[out]]=0,V1636,(raw[[#This Row],[out]]-E$5))</f>
        <v/>
      </c>
      <c r="W1637" s="1401">
        <f>U1637/V1637</f>
        <v/>
      </c>
      <c r="X1637" s="1392" t="n"/>
      <c r="Y1637" s="1392" t="n"/>
      <c r="Z1637" s="1392" t="n"/>
      <c r="AA1637" s="1392" t="n"/>
      <c r="AB1637" s="1392" t="n"/>
      <c r="AC1637" s="1392" t="n"/>
      <c r="AD1637" s="1392" t="n"/>
      <c r="AE1637" s="1392" t="n"/>
      <c r="AF1637" s="1392" t="n"/>
      <c r="AG1637" s="1392" t="n"/>
      <c r="AH1637" s="1392" t="n"/>
      <c r="AI1637" s="1392" t="n"/>
      <c r="AJ1637" s="1392" t="n"/>
      <c r="AK1637" s="1392" t="n"/>
      <c r="AL1637" s="1392" t="n"/>
      <c r="AM1637" s="1392" t="n"/>
      <c r="AN1637" s="1392" t="n"/>
      <c r="AO1637" s="1392" t="n"/>
      <c r="AP1637" s="1392" t="n"/>
      <c r="AQ1637" s="1392" t="n"/>
      <c r="AR1637" s="1422" t="n"/>
      <c r="AS1637" s="1422" t="n"/>
      <c r="AT1637" s="1392" t="n"/>
      <c r="AU1637" s="1392" t="n"/>
      <c r="AV1637" s="1392" t="n"/>
      <c r="AW1637" s="1392" t="n"/>
      <c r="AX1637" s="1392" t="n"/>
      <c r="AY1637" s="1392" t="n"/>
      <c r="AZ1637" s="1392" t="n"/>
      <c r="BA1637" s="1422" t="n"/>
      <c r="BB1637" s="1422" t="n"/>
      <c r="BC1637" s="1392" t="n"/>
      <c r="BD1637" s="1392" t="n"/>
      <c r="BE1637" s="1392" t="n"/>
      <c r="BF1637" s="1392" t="n"/>
      <c r="BG1637" s="1392" t="n"/>
      <c r="BH1637" s="1392" t="n"/>
      <c r="BI1637" s="1392" t="n"/>
      <c r="BJ1637" s="1392" t="n"/>
      <c r="BK1637" s="1392" t="n"/>
      <c r="BL1637" s="1392" t="n"/>
      <c r="BM1637" s="1392" t="n"/>
      <c r="BN1637" s="1392" t="n"/>
      <c r="BO1637" s="1392" t="n"/>
      <c r="BP1637" s="1392" t="n"/>
      <c r="BQ1637" s="1392" t="n"/>
      <c r="BR1637" s="1392" t="n"/>
      <c r="BS1637" s="1392" t="n"/>
      <c r="BT1637" s="1392" t="n"/>
      <c r="BU1637" s="1392" t="n"/>
      <c r="BV1637" s="1392" t="n"/>
      <c r="BW1637" s="1392" t="n"/>
      <c r="BX1637" s="1392" t="n"/>
      <c r="BY1637" s="1392" t="n"/>
      <c r="BZ1637" s="1392" t="n"/>
      <c r="CA1637" s="1392" t="n"/>
      <c r="CB1637" s="1392" t="n"/>
      <c r="CC1637" s="1392" t="n"/>
      <c r="CD1637" s="1392" t="n"/>
      <c r="CE1637" s="1392" t="n"/>
      <c r="CF1637" s="1392" t="n"/>
      <c r="CG1637" s="1392" t="n"/>
      <c r="CH1637" s="1392" t="n"/>
      <c r="CI1637" s="1392" t="n"/>
      <c r="CJ1637" s="1392" t="n"/>
      <c r="CK1637" s="1392" t="n"/>
      <c r="CL1637" s="1392" t="n"/>
    </row>
    <row r="1638">
      <c r="A1638" s="5" t="inlineStr">
        <is>
          <t>.</t>
        </is>
      </c>
      <c r="B1638" s="5" t="inlineStr">
        <is>
          <t>.</t>
        </is>
      </c>
      <c r="C1638" s="1378">
        <f>IF(raw[[#This Row],[city]]="","-",IF(raw[[#This Row],[city]]="TODAY","-",C1637+1))</f>
        <v/>
      </c>
      <c r="D1638" s="1393" t="inlineStr">
        <is>
          <t>Koln</t>
        </is>
      </c>
      <c r="E1638" s="1394" t="n">
        <v>44744</v>
      </c>
      <c r="F1638" s="1394" t="n">
        <v>44744</v>
      </c>
      <c r="G1638" s="1393" t="inlineStr">
        <is>
          <t>-</t>
        </is>
      </c>
      <c r="H1638" s="1393" t="inlineStr">
        <is>
          <t>Marie-Victorin</t>
        </is>
      </c>
      <c r="I1638" s="1393" t="inlineStr">
        <is>
          <t>Bike Trip</t>
        </is>
      </c>
      <c r="J1638" s="1393" t="inlineStr">
        <is>
          <t>-</t>
        </is>
      </c>
      <c r="K1638" s="1395">
        <f>IF(raw[[#This Row],[city]]&lt;&gt;"",_xlfn.XLOOKUP($D1638,ccc[city],ccc[prov],"-"),"-")</f>
        <v/>
      </c>
      <c r="L1638" s="1395">
        <f>IF(raw[[#This Row],[city]]&lt;&gt;"",_xlfn.XLOOKUP($D1638,ccc[city],ccc[ctry],"-"),"-")</f>
        <v/>
      </c>
      <c r="M1638" s="1395">
        <f>IF(raw[[#This Row],[city]]&lt;&gt;"",_xlfn.XLOOKUP($D1638,ccc[city],ccc[cont],"-"),"-")</f>
        <v/>
      </c>
      <c r="N1638" s="1396">
        <f>IF(raw[[#This Row],[city]]="","-",IF(raw[[#This Row],[cont]]="B",raw[[#This Row],[cont]],"W"))</f>
        <v/>
      </c>
      <c r="O1638" s="1397">
        <f>IF(raw[[#This Row],[out]]=0,0,IF(raw[[#This Row],[out]]=raw[[#This Row],[in]],0.01,raw[[#This Row],[out]]-raw[[#This Row],[in]]))</f>
        <v/>
      </c>
      <c r="P1638" s="1397">
        <f>IF(raw[[#This Row],[in]]=0,0,MONTH(raw[[#This Row],[in]]))</f>
        <v/>
      </c>
      <c r="Q1638" s="1397">
        <f>IF(raw[[#This Row],[in]]=0,0,YEAR(raw[[#This Row],[in]]))</f>
        <v/>
      </c>
      <c r="R1638" s="1397">
        <f>INT(raw[[#This Row],[yr]]/10)*10</f>
        <v/>
      </c>
      <c r="S1638" s="1395">
        <f>IF(raw[[#This Row],[city]]="","-",IF(raw[[#This Row],[city]]&lt;&gt;_xlfn.XLOOKUP(raw[[#This Row],[home]],homes[home],homes[city],"-"),1,0))</f>
        <v/>
      </c>
      <c r="T1638" s="1398" t="inlineStr">
        <is>
          <t>.</t>
        </is>
      </c>
      <c r="U1638" s="1399">
        <f>IF(raw[[#This Row],[wb]]="w",raw[[#This Row],[stay]]+U1637,U1637)</f>
        <v/>
      </c>
      <c r="V1638" s="1400">
        <f>IF(raw[[#This Row],[out]]=0,V1637,(raw[[#This Row],[out]]-E$5))</f>
        <v/>
      </c>
      <c r="W1638" s="1401">
        <f>U1638/V1638</f>
        <v/>
      </c>
      <c r="X1638" s="1392" t="n"/>
      <c r="Y1638" s="1392" t="n"/>
      <c r="Z1638" s="1392" t="n"/>
      <c r="AA1638" s="1392" t="n"/>
      <c r="AB1638" s="1392" t="n"/>
      <c r="AC1638" s="1392" t="n"/>
      <c r="AD1638" s="1392" t="n"/>
      <c r="AE1638" s="1392" t="n"/>
      <c r="AF1638" s="1392" t="n"/>
      <c r="AG1638" s="1392" t="n"/>
      <c r="AH1638" s="1392" t="n"/>
      <c r="AI1638" s="1392" t="n"/>
      <c r="AJ1638" s="1392" t="n"/>
      <c r="AK1638" s="1392" t="n"/>
      <c r="AL1638" s="1392" t="n"/>
      <c r="AM1638" s="1392" t="n"/>
      <c r="AN1638" s="1392" t="n"/>
      <c r="AO1638" s="1392" t="n"/>
      <c r="AP1638" s="1392" t="n"/>
      <c r="AQ1638" s="1392" t="n"/>
      <c r="AR1638" s="1422" t="n"/>
      <c r="AS1638" s="1422" t="n"/>
      <c r="AT1638" s="1392" t="n"/>
      <c r="AU1638" s="1392" t="n"/>
      <c r="AV1638" s="1392" t="n"/>
      <c r="AW1638" s="1392" t="n"/>
      <c r="AX1638" s="1392" t="n"/>
      <c r="AY1638" s="1392" t="n"/>
      <c r="AZ1638" s="1392" t="n"/>
      <c r="BA1638" s="1422" t="n"/>
      <c r="BB1638" s="1422" t="n"/>
      <c r="BC1638" s="1392" t="n"/>
      <c r="BD1638" s="1392" t="n"/>
      <c r="BE1638" s="1392" t="n"/>
      <c r="BF1638" s="1392" t="n"/>
      <c r="BG1638" s="1392" t="n"/>
      <c r="BH1638" s="1392" t="n"/>
      <c r="BI1638" s="1392" t="n"/>
      <c r="BJ1638" s="1392" t="n"/>
      <c r="BK1638" s="1392" t="n"/>
      <c r="BL1638" s="1392" t="n"/>
      <c r="BM1638" s="1392" t="n"/>
      <c r="BN1638" s="1392" t="n"/>
      <c r="BO1638" s="1392" t="n"/>
      <c r="BP1638" s="1392" t="n"/>
      <c r="BQ1638" s="1392" t="n"/>
      <c r="BR1638" s="1392" t="n"/>
      <c r="BS1638" s="1392" t="n"/>
      <c r="BT1638" s="1392" t="n"/>
      <c r="BU1638" s="1392" t="n"/>
      <c r="BV1638" s="1392" t="n"/>
      <c r="BW1638" s="1392" t="n"/>
      <c r="BX1638" s="1392" t="n"/>
      <c r="BY1638" s="1392" t="n"/>
      <c r="BZ1638" s="1392" t="n"/>
      <c r="CA1638" s="1392" t="n"/>
      <c r="CB1638" s="1392" t="n"/>
      <c r="CC1638" s="1392" t="n"/>
      <c r="CD1638" s="1392" t="n"/>
      <c r="CE1638" s="1392" t="n"/>
      <c r="CF1638" s="1392" t="n"/>
      <c r="CG1638" s="1392" t="n"/>
      <c r="CH1638" s="1392" t="n"/>
      <c r="CI1638" s="1392" t="n"/>
      <c r="CJ1638" s="1392" t="n"/>
      <c r="CK1638" s="1392" t="n"/>
      <c r="CL1638" s="1392" t="n"/>
    </row>
    <row r="1639">
      <c r="A1639" s="5" t="inlineStr">
        <is>
          <t>.</t>
        </is>
      </c>
      <c r="B1639" s="5" t="inlineStr">
        <is>
          <t>.</t>
        </is>
      </c>
      <c r="C1639" s="1378">
        <f>IF(raw[[#This Row],[city]]="","-",IF(raw[[#This Row],[city]]="TODAY","-",C1638+1))</f>
        <v/>
      </c>
      <c r="D1639" s="1393" t="inlineStr">
        <is>
          <t>Koblenz</t>
        </is>
      </c>
      <c r="E1639" s="1394" t="n">
        <v>44744</v>
      </c>
      <c r="F1639" s="1394" t="n">
        <v>44745</v>
      </c>
      <c r="G1639" s="1393" t="inlineStr">
        <is>
          <t>-</t>
        </is>
      </c>
      <c r="H1639" s="1393" t="inlineStr">
        <is>
          <t>Marie-Victorin</t>
        </is>
      </c>
      <c r="I1639" s="1393" t="inlineStr">
        <is>
          <t>Bike Trip</t>
        </is>
      </c>
      <c r="J1639" s="1393" t="inlineStr">
        <is>
          <t>-</t>
        </is>
      </c>
      <c r="K1639" s="1395">
        <f>IF(raw[[#This Row],[city]]&lt;&gt;"",_xlfn.XLOOKUP($D1639,ccc[city],ccc[prov],"-"),"-")</f>
        <v/>
      </c>
      <c r="L1639" s="1395">
        <f>IF(raw[[#This Row],[city]]&lt;&gt;"",_xlfn.XLOOKUP($D1639,ccc[city],ccc[ctry],"-"),"-")</f>
        <v/>
      </c>
      <c r="M1639" s="1395">
        <f>IF(raw[[#This Row],[city]]&lt;&gt;"",_xlfn.XLOOKUP($D1639,ccc[city],ccc[cont],"-"),"-")</f>
        <v/>
      </c>
      <c r="N1639" s="1396">
        <f>IF(raw[[#This Row],[city]]="","-",IF(raw[[#This Row],[cont]]="B",raw[[#This Row],[cont]],"W"))</f>
        <v/>
      </c>
      <c r="O1639" s="1397">
        <f>IF(raw[[#This Row],[out]]=0,0,IF(raw[[#This Row],[out]]=raw[[#This Row],[in]],0.01,raw[[#This Row],[out]]-raw[[#This Row],[in]]))</f>
        <v/>
      </c>
      <c r="P1639" s="1397">
        <f>IF(raw[[#This Row],[in]]=0,0,MONTH(raw[[#This Row],[in]]))</f>
        <v/>
      </c>
      <c r="Q1639" s="1397">
        <f>IF(raw[[#This Row],[in]]=0,0,YEAR(raw[[#This Row],[in]]))</f>
        <v/>
      </c>
      <c r="R1639" s="1397">
        <f>INT(raw[[#This Row],[yr]]/10)*10</f>
        <v/>
      </c>
      <c r="S1639" s="1395">
        <f>IF(raw[[#This Row],[city]]="","-",IF(raw[[#This Row],[city]]&lt;&gt;_xlfn.XLOOKUP(raw[[#This Row],[home]],homes[home],homes[city],"-"),1,0))</f>
        <v/>
      </c>
      <c r="T1639" s="1398" t="inlineStr">
        <is>
          <t>.</t>
        </is>
      </c>
      <c r="U1639" s="1399">
        <f>IF(raw[[#This Row],[wb]]="w",raw[[#This Row],[stay]]+U1638,U1638)</f>
        <v/>
      </c>
      <c r="V1639" s="1400">
        <f>IF(raw[[#This Row],[out]]=0,V1638,(raw[[#This Row],[out]]-E$5))</f>
        <v/>
      </c>
      <c r="W1639" s="1401">
        <f>U1639/V1639</f>
        <v/>
      </c>
      <c r="X1639" s="1392" t="n"/>
      <c r="Y1639" s="1392" t="n"/>
      <c r="Z1639" s="1392" t="n"/>
      <c r="AA1639" s="1392" t="n"/>
      <c r="AB1639" s="1392" t="n"/>
      <c r="AC1639" s="1392" t="n"/>
      <c r="AD1639" s="1392" t="n"/>
      <c r="AE1639" s="1392" t="n"/>
      <c r="AF1639" s="1392" t="n"/>
      <c r="AG1639" s="1392" t="n"/>
      <c r="AH1639" s="1392" t="n"/>
      <c r="AI1639" s="1392" t="n"/>
      <c r="AJ1639" s="1392" t="n"/>
      <c r="AK1639" s="1392" t="n"/>
      <c r="AL1639" s="1392" t="n"/>
      <c r="AM1639" s="1392" t="n"/>
      <c r="AN1639" s="1392" t="n"/>
      <c r="AO1639" s="1392" t="n"/>
      <c r="AP1639" s="1392" t="n"/>
      <c r="AQ1639" s="1392" t="n"/>
      <c r="AR1639" s="1422" t="n"/>
      <c r="AS1639" s="1422" t="n"/>
      <c r="AT1639" s="1392" t="n"/>
      <c r="AU1639" s="1392" t="n"/>
      <c r="AV1639" s="1392" t="n"/>
      <c r="AW1639" s="1392" t="n"/>
      <c r="AX1639" s="1392" t="n"/>
      <c r="AY1639" s="1392" t="n"/>
      <c r="AZ1639" s="1392" t="n"/>
      <c r="BA1639" s="1422" t="n"/>
      <c r="BB1639" s="1422" t="n"/>
      <c r="BC1639" s="1392" t="n"/>
      <c r="BD1639" s="1392" t="n"/>
      <c r="BE1639" s="1392" t="n"/>
      <c r="BF1639" s="1392" t="n"/>
      <c r="BG1639" s="1392" t="n"/>
      <c r="BH1639" s="1392" t="n"/>
      <c r="BI1639" s="1392" t="n"/>
      <c r="BJ1639" s="1392" t="n"/>
      <c r="BK1639" s="1392" t="n"/>
      <c r="BL1639" s="1392" t="n"/>
      <c r="BM1639" s="1392" t="n"/>
      <c r="BN1639" s="1392" t="n"/>
      <c r="BO1639" s="1392" t="n"/>
      <c r="BP1639" s="1392" t="n"/>
      <c r="BQ1639" s="1392" t="n"/>
      <c r="BR1639" s="1392" t="n"/>
      <c r="BS1639" s="1392" t="n"/>
      <c r="BT1639" s="1392" t="n"/>
      <c r="BU1639" s="1392" t="n"/>
      <c r="BV1639" s="1392" t="n"/>
      <c r="BW1639" s="1392" t="n"/>
      <c r="BX1639" s="1392" t="n"/>
      <c r="BY1639" s="1392" t="n"/>
      <c r="BZ1639" s="1392" t="n"/>
      <c r="CA1639" s="1392" t="n"/>
      <c r="CB1639" s="1392" t="n"/>
      <c r="CC1639" s="1392" t="n"/>
      <c r="CD1639" s="1392" t="n"/>
      <c r="CE1639" s="1392" t="n"/>
      <c r="CF1639" s="1392" t="n"/>
      <c r="CG1639" s="1392" t="n"/>
      <c r="CH1639" s="1392" t="n"/>
      <c r="CI1639" s="1392" t="n"/>
      <c r="CJ1639" s="1392" t="n"/>
      <c r="CK1639" s="1392" t="n"/>
      <c r="CL1639" s="1392" t="n"/>
    </row>
    <row r="1640">
      <c r="A1640" s="5" t="inlineStr">
        <is>
          <t>.</t>
        </is>
      </c>
      <c r="B1640" s="5" t="inlineStr">
        <is>
          <t>.</t>
        </is>
      </c>
      <c r="C1640" s="1378">
        <f>IF(raw[[#This Row],[city]]="","-",IF(raw[[#This Row],[city]]="TODAY","-",C1639+1))</f>
        <v/>
      </c>
      <c r="D1640" s="1393" t="inlineStr">
        <is>
          <t>Remagen</t>
        </is>
      </c>
      <c r="E1640" s="1394" t="n">
        <v>44745</v>
      </c>
      <c r="F1640" s="1394" t="n">
        <v>44745</v>
      </c>
      <c r="G1640" s="1393" t="inlineStr">
        <is>
          <t>-</t>
        </is>
      </c>
      <c r="H1640" s="1393" t="inlineStr">
        <is>
          <t>Marie-Victorin</t>
        </is>
      </c>
      <c r="I1640" s="1393" t="inlineStr">
        <is>
          <t>Bike Trip</t>
        </is>
      </c>
      <c r="J1640" s="1393" t="inlineStr">
        <is>
          <t>-</t>
        </is>
      </c>
      <c r="K1640" s="1395">
        <f>IF(raw[[#This Row],[city]]&lt;&gt;"",_xlfn.XLOOKUP($D1640,ccc[city],ccc[prov],"-"),"-")</f>
        <v/>
      </c>
      <c r="L1640" s="1395">
        <f>IF(raw[[#This Row],[city]]&lt;&gt;"",_xlfn.XLOOKUP($D1640,ccc[city],ccc[ctry],"-"),"-")</f>
        <v/>
      </c>
      <c r="M1640" s="1395">
        <f>IF(raw[[#This Row],[city]]&lt;&gt;"",_xlfn.XLOOKUP($D1640,ccc[city],ccc[cont],"-"),"-")</f>
        <v/>
      </c>
      <c r="N1640" s="1396">
        <f>IF(raw[[#This Row],[city]]="","-",IF(raw[[#This Row],[cont]]="B",raw[[#This Row],[cont]],"W"))</f>
        <v/>
      </c>
      <c r="O1640" s="1397">
        <f>IF(raw[[#This Row],[out]]=0,0,IF(raw[[#This Row],[out]]=raw[[#This Row],[in]],0.01,raw[[#This Row],[out]]-raw[[#This Row],[in]]))</f>
        <v/>
      </c>
      <c r="P1640" s="1397">
        <f>IF(raw[[#This Row],[in]]=0,0,MONTH(raw[[#This Row],[in]]))</f>
        <v/>
      </c>
      <c r="Q1640" s="1397">
        <f>IF(raw[[#This Row],[in]]=0,0,YEAR(raw[[#This Row],[in]]))</f>
        <v/>
      </c>
      <c r="R1640" s="1397">
        <f>INT(raw[[#This Row],[yr]]/10)*10</f>
        <v/>
      </c>
      <c r="S1640" s="1395">
        <f>IF(raw[[#This Row],[city]]="","-",IF(raw[[#This Row],[city]]&lt;&gt;_xlfn.XLOOKUP(raw[[#This Row],[home]],homes[home],homes[city],"-"),1,0))</f>
        <v/>
      </c>
      <c r="T1640" s="1398" t="inlineStr">
        <is>
          <t>.</t>
        </is>
      </c>
      <c r="U1640" s="1399">
        <f>IF(raw[[#This Row],[wb]]="w",raw[[#This Row],[stay]]+U1639,U1639)</f>
        <v/>
      </c>
      <c r="V1640" s="1400">
        <f>IF(raw[[#This Row],[out]]=0,V1639,(raw[[#This Row],[out]]-E$5))</f>
        <v/>
      </c>
      <c r="W1640" s="1401">
        <f>U1640/V1640</f>
        <v/>
      </c>
      <c r="X1640" s="1392" t="n"/>
      <c r="Y1640" s="1392" t="n"/>
      <c r="Z1640" s="1392" t="n"/>
      <c r="AA1640" s="1392" t="n"/>
      <c r="AB1640" s="1392" t="n"/>
      <c r="AC1640" s="1392" t="n"/>
      <c r="AD1640" s="1392" t="n"/>
      <c r="AE1640" s="1392" t="n"/>
      <c r="AF1640" s="1392" t="n"/>
      <c r="AG1640" s="1392" t="n"/>
      <c r="AH1640" s="1392" t="n"/>
      <c r="AI1640" s="1392" t="n"/>
      <c r="AJ1640" s="1392" t="n"/>
      <c r="AK1640" s="1392" t="n"/>
      <c r="AL1640" s="1392" t="n"/>
      <c r="AM1640" s="1392" t="n"/>
      <c r="AN1640" s="1392" t="n"/>
      <c r="AO1640" s="1392" t="n"/>
      <c r="AP1640" s="1392" t="n"/>
      <c r="AQ1640" s="1392" t="n"/>
      <c r="AR1640" s="1422" t="n"/>
      <c r="AS1640" s="1422" t="n"/>
      <c r="AT1640" s="1392" t="n"/>
      <c r="AU1640" s="1392" t="n"/>
      <c r="AV1640" s="1392" t="n"/>
      <c r="AW1640" s="1392" t="n"/>
      <c r="AX1640" s="1392" t="n"/>
      <c r="AY1640" s="1392" t="n"/>
      <c r="AZ1640" s="1392" t="n"/>
      <c r="BA1640" s="1422" t="n"/>
      <c r="BB1640" s="1422" t="n"/>
      <c r="BC1640" s="1392" t="n"/>
      <c r="BD1640" s="1392" t="n"/>
      <c r="BE1640" s="1392" t="n"/>
      <c r="BF1640" s="1392" t="n"/>
      <c r="BG1640" s="1392" t="n"/>
      <c r="BH1640" s="1392" t="n"/>
      <c r="BI1640" s="1392" t="n"/>
      <c r="BJ1640" s="1392" t="n"/>
      <c r="BK1640" s="1392" t="n"/>
      <c r="BL1640" s="1392" t="n"/>
      <c r="BM1640" s="1392" t="n"/>
      <c r="BN1640" s="1392" t="n"/>
      <c r="BO1640" s="1392" t="n"/>
      <c r="BP1640" s="1392" t="n"/>
      <c r="BQ1640" s="1392" t="n"/>
      <c r="BR1640" s="1392" t="n"/>
      <c r="BS1640" s="1392" t="n"/>
      <c r="BT1640" s="1392" t="n"/>
      <c r="BU1640" s="1392" t="n"/>
      <c r="BV1640" s="1392" t="n"/>
      <c r="BW1640" s="1392" t="n"/>
      <c r="BX1640" s="1392" t="n"/>
      <c r="BY1640" s="1392" t="n"/>
      <c r="BZ1640" s="1392" t="n"/>
      <c r="CA1640" s="1392" t="n"/>
      <c r="CB1640" s="1392" t="n"/>
      <c r="CC1640" s="1392" t="n"/>
      <c r="CD1640" s="1392" t="n"/>
      <c r="CE1640" s="1392" t="n"/>
      <c r="CF1640" s="1392" t="n"/>
      <c r="CG1640" s="1392" t="n"/>
      <c r="CH1640" s="1392" t="n"/>
      <c r="CI1640" s="1392" t="n"/>
      <c r="CJ1640" s="1392" t="n"/>
      <c r="CK1640" s="1392" t="n"/>
      <c r="CL1640" s="1392" t="n"/>
    </row>
    <row r="1641">
      <c r="A1641" s="5" t="inlineStr">
        <is>
          <t>.</t>
        </is>
      </c>
      <c r="B1641" s="5" t="inlineStr">
        <is>
          <t>.</t>
        </is>
      </c>
      <c r="C1641" s="1378">
        <f>IF(raw[[#This Row],[city]]="","-",IF(raw[[#This Row],[city]]="TODAY","-",C1640+1))</f>
        <v/>
      </c>
      <c r="D1641" s="1393" t="inlineStr">
        <is>
          <t>Bonn</t>
        </is>
      </c>
      <c r="E1641" s="1394" t="n">
        <v>44745</v>
      </c>
      <c r="F1641" s="1394" t="n">
        <v>44745</v>
      </c>
      <c r="G1641" s="1393" t="inlineStr">
        <is>
          <t>-</t>
        </is>
      </c>
      <c r="H1641" s="1393" t="inlineStr">
        <is>
          <t>Marie-Victorin</t>
        </is>
      </c>
      <c r="I1641" s="1393" t="inlineStr">
        <is>
          <t>Bike Trip</t>
        </is>
      </c>
      <c r="J1641" s="1393" t="inlineStr">
        <is>
          <t>-</t>
        </is>
      </c>
      <c r="K1641" s="1395">
        <f>IF(raw[[#This Row],[city]]&lt;&gt;"",_xlfn.XLOOKUP($D1641,ccc[city],ccc[prov],"-"),"-")</f>
        <v/>
      </c>
      <c r="L1641" s="1395">
        <f>IF(raw[[#This Row],[city]]&lt;&gt;"",_xlfn.XLOOKUP($D1641,ccc[city],ccc[ctry],"-"),"-")</f>
        <v/>
      </c>
      <c r="M1641" s="1395">
        <f>IF(raw[[#This Row],[city]]&lt;&gt;"",_xlfn.XLOOKUP($D1641,ccc[city],ccc[cont],"-"),"-")</f>
        <v/>
      </c>
      <c r="N1641" s="1396">
        <f>IF(raw[[#This Row],[city]]="","-",IF(raw[[#This Row],[cont]]="B",raw[[#This Row],[cont]],"W"))</f>
        <v/>
      </c>
      <c r="O1641" s="1397">
        <f>IF(raw[[#This Row],[out]]=0,0,IF(raw[[#This Row],[out]]=raw[[#This Row],[in]],0.01,raw[[#This Row],[out]]-raw[[#This Row],[in]]))</f>
        <v/>
      </c>
      <c r="P1641" s="1397">
        <f>IF(raw[[#This Row],[in]]=0,0,MONTH(raw[[#This Row],[in]]))</f>
        <v/>
      </c>
      <c r="Q1641" s="1397">
        <f>IF(raw[[#This Row],[in]]=0,0,YEAR(raw[[#This Row],[in]]))</f>
        <v/>
      </c>
      <c r="R1641" s="1397">
        <f>INT(raw[[#This Row],[yr]]/10)*10</f>
        <v/>
      </c>
      <c r="S1641" s="1395">
        <f>IF(raw[[#This Row],[city]]="","-",IF(raw[[#This Row],[city]]&lt;&gt;_xlfn.XLOOKUP(raw[[#This Row],[home]],homes[home],homes[city],"-"),1,0))</f>
        <v/>
      </c>
      <c r="T1641" s="1398" t="inlineStr">
        <is>
          <t>.</t>
        </is>
      </c>
      <c r="U1641" s="1399">
        <f>IF(raw[[#This Row],[wb]]="w",raw[[#This Row],[stay]]+U1640,U1640)</f>
        <v/>
      </c>
      <c r="V1641" s="1400">
        <f>IF(raw[[#This Row],[out]]=0,V1640,(raw[[#This Row],[out]]-E$5))</f>
        <v/>
      </c>
      <c r="W1641" s="1401">
        <f>U1641/V1641</f>
        <v/>
      </c>
      <c r="X1641" s="1392" t="n"/>
      <c r="Y1641" s="1392" t="n"/>
      <c r="Z1641" s="1392" t="n"/>
      <c r="AA1641" s="1392" t="n"/>
      <c r="AB1641" s="1392" t="n"/>
      <c r="AC1641" s="1392" t="n"/>
      <c r="AD1641" s="1392" t="n"/>
      <c r="AE1641" s="1392" t="n"/>
      <c r="AF1641" s="1392" t="n"/>
      <c r="AG1641" s="1392" t="n"/>
      <c r="AH1641" s="1392" t="n"/>
      <c r="AI1641" s="1392" t="n"/>
      <c r="AJ1641" s="1392" t="n"/>
      <c r="AK1641" s="1392" t="n"/>
      <c r="AL1641" s="1392" t="n"/>
      <c r="AM1641" s="1392" t="n"/>
      <c r="AN1641" s="1392" t="n"/>
      <c r="AO1641" s="1392" t="n"/>
      <c r="AP1641" s="1392" t="n"/>
      <c r="AQ1641" s="1392" t="n"/>
      <c r="AR1641" s="1422" t="n"/>
      <c r="AS1641" s="1422" t="n"/>
      <c r="AT1641" s="1392" t="n"/>
      <c r="AU1641" s="1392" t="n"/>
      <c r="AV1641" s="1392" t="n"/>
      <c r="AW1641" s="1392" t="n"/>
      <c r="AX1641" s="1392" t="n"/>
      <c r="AY1641" s="1392" t="n"/>
      <c r="AZ1641" s="1392" t="n"/>
      <c r="BA1641" s="1422" t="n"/>
      <c r="BB1641" s="1422" t="n"/>
      <c r="BC1641" s="1392" t="n"/>
      <c r="BD1641" s="1392" t="n"/>
      <c r="BE1641" s="1392" t="n"/>
      <c r="BF1641" s="1392" t="n"/>
      <c r="BG1641" s="1392" t="n"/>
      <c r="BH1641" s="1392" t="n"/>
      <c r="BI1641" s="1392" t="n"/>
      <c r="BJ1641" s="1392" t="n"/>
      <c r="BK1641" s="1392" t="n"/>
      <c r="BL1641" s="1392" t="n"/>
      <c r="BM1641" s="1392" t="n"/>
      <c r="BN1641" s="1392" t="n"/>
      <c r="BO1641" s="1392" t="n"/>
      <c r="BP1641" s="1392" t="n"/>
      <c r="BQ1641" s="1392" t="n"/>
      <c r="BR1641" s="1392" t="n"/>
      <c r="BS1641" s="1392" t="n"/>
      <c r="BT1641" s="1392" t="n"/>
      <c r="BU1641" s="1392" t="n"/>
      <c r="BV1641" s="1392" t="n"/>
      <c r="BW1641" s="1392" t="n"/>
      <c r="BX1641" s="1392" t="n"/>
      <c r="BY1641" s="1392" t="n"/>
      <c r="BZ1641" s="1392" t="n"/>
      <c r="CA1641" s="1392" t="n"/>
      <c r="CB1641" s="1392" t="n"/>
      <c r="CC1641" s="1392" t="n"/>
      <c r="CD1641" s="1392" t="n"/>
      <c r="CE1641" s="1392" t="n"/>
      <c r="CF1641" s="1392" t="n"/>
      <c r="CG1641" s="1392" t="n"/>
      <c r="CH1641" s="1392" t="n"/>
      <c r="CI1641" s="1392" t="n"/>
      <c r="CJ1641" s="1392" t="n"/>
      <c r="CK1641" s="1392" t="n"/>
      <c r="CL1641" s="1392" t="n"/>
    </row>
    <row r="1642">
      <c r="A1642" s="5" t="inlineStr">
        <is>
          <t>.</t>
        </is>
      </c>
      <c r="B1642" s="5" t="inlineStr">
        <is>
          <t>.</t>
        </is>
      </c>
      <c r="C1642" s="1378">
        <f>IF(raw[[#This Row],[city]]="","-",IF(raw[[#This Row],[city]]="TODAY","-",C1641+1))</f>
        <v/>
      </c>
      <c r="D1642" s="1393" t="inlineStr">
        <is>
          <t>Dusseldorf</t>
        </is>
      </c>
      <c r="E1642" s="1394" t="n">
        <v>44745</v>
      </c>
      <c r="F1642" s="1394" t="n">
        <v>44746</v>
      </c>
      <c r="G1642" s="1393" t="inlineStr">
        <is>
          <t>-</t>
        </is>
      </c>
      <c r="H1642" s="1393" t="inlineStr">
        <is>
          <t>Marie-Victorin</t>
        </is>
      </c>
      <c r="I1642" s="1393" t="inlineStr">
        <is>
          <t>Bike Trip</t>
        </is>
      </c>
      <c r="J1642" s="1393" t="inlineStr">
        <is>
          <t>-</t>
        </is>
      </c>
      <c r="K1642" s="1395">
        <f>IF(raw[[#This Row],[city]]&lt;&gt;"",_xlfn.XLOOKUP($D1642,ccc[city],ccc[prov],"-"),"-")</f>
        <v/>
      </c>
      <c r="L1642" s="1395">
        <f>IF(raw[[#This Row],[city]]&lt;&gt;"",_xlfn.XLOOKUP($D1642,ccc[city],ccc[ctry],"-"),"-")</f>
        <v/>
      </c>
      <c r="M1642" s="1395">
        <f>IF(raw[[#This Row],[city]]&lt;&gt;"",_xlfn.XLOOKUP($D1642,ccc[city],ccc[cont],"-"),"-")</f>
        <v/>
      </c>
      <c r="N1642" s="1396">
        <f>IF(raw[[#This Row],[city]]="","-",IF(raw[[#This Row],[cont]]="B",raw[[#This Row],[cont]],"W"))</f>
        <v/>
      </c>
      <c r="O1642" s="1397">
        <f>IF(raw[[#This Row],[out]]=0,0,IF(raw[[#This Row],[out]]=raw[[#This Row],[in]],0.01,raw[[#This Row],[out]]-raw[[#This Row],[in]]))</f>
        <v/>
      </c>
      <c r="P1642" s="1397">
        <f>IF(raw[[#This Row],[in]]=0,0,MONTH(raw[[#This Row],[in]]))</f>
        <v/>
      </c>
      <c r="Q1642" s="1397">
        <f>IF(raw[[#This Row],[in]]=0,0,YEAR(raw[[#This Row],[in]]))</f>
        <v/>
      </c>
      <c r="R1642" s="1397">
        <f>INT(raw[[#This Row],[yr]]/10)*10</f>
        <v/>
      </c>
      <c r="S1642" s="1395">
        <f>IF(raw[[#This Row],[city]]="","-",IF(raw[[#This Row],[city]]&lt;&gt;_xlfn.XLOOKUP(raw[[#This Row],[home]],homes[home],homes[city],"-"),1,0))</f>
        <v/>
      </c>
      <c r="T1642" s="1398" t="inlineStr">
        <is>
          <t>.</t>
        </is>
      </c>
      <c r="U1642" s="1399">
        <f>IF(raw[[#This Row],[wb]]="w",raw[[#This Row],[stay]]+U1641,U1641)</f>
        <v/>
      </c>
      <c r="V1642" s="1400">
        <f>IF(raw[[#This Row],[out]]=0,V1641,(raw[[#This Row],[out]]-E$5))</f>
        <v/>
      </c>
      <c r="W1642" s="1401">
        <f>U1642/V1642</f>
        <v/>
      </c>
      <c r="X1642" s="1392" t="n"/>
      <c r="Y1642" s="1392" t="n"/>
      <c r="Z1642" s="1392" t="n"/>
      <c r="AA1642" s="1392" t="n"/>
      <c r="AB1642" s="1392" t="n"/>
      <c r="AC1642" s="1392" t="n"/>
      <c r="AD1642" s="1392" t="n"/>
      <c r="AE1642" s="1392" t="n"/>
      <c r="AF1642" s="1392" t="n"/>
      <c r="AG1642" s="1392" t="n"/>
      <c r="AH1642" s="1392" t="n"/>
      <c r="AI1642" s="1392" t="n"/>
      <c r="AJ1642" s="1392" t="n"/>
      <c r="AK1642" s="1392" t="n"/>
      <c r="AL1642" s="1392" t="n"/>
      <c r="AM1642" s="1392" t="n"/>
      <c r="AN1642" s="1392" t="n"/>
      <c r="AO1642" s="1392" t="n"/>
      <c r="AP1642" s="1392" t="n"/>
      <c r="AQ1642" s="1392" t="n"/>
      <c r="AR1642" s="1422" t="n"/>
      <c r="AS1642" s="1422" t="n"/>
      <c r="AT1642" s="1392" t="n"/>
      <c r="AU1642" s="1392" t="n"/>
      <c r="AV1642" s="1392" t="n"/>
      <c r="AW1642" s="1392" t="n"/>
      <c r="AX1642" s="1392" t="n"/>
      <c r="AY1642" s="1392" t="n"/>
      <c r="AZ1642" s="1392" t="n"/>
      <c r="BA1642" s="1422" t="n"/>
      <c r="BB1642" s="1422" t="n"/>
      <c r="BC1642" s="1392" t="n"/>
      <c r="BD1642" s="1392" t="n"/>
      <c r="BE1642" s="1392" t="n"/>
      <c r="BF1642" s="1392" t="n"/>
      <c r="BG1642" s="1392" t="n"/>
      <c r="BH1642" s="1392" t="n"/>
      <c r="BI1642" s="1392" t="n"/>
      <c r="BJ1642" s="1392" t="n"/>
      <c r="BK1642" s="1392" t="n"/>
      <c r="BL1642" s="1392" t="n"/>
      <c r="BM1642" s="1392" t="n"/>
      <c r="BN1642" s="1392" t="n"/>
      <c r="BO1642" s="1392" t="n"/>
      <c r="BP1642" s="1392" t="n"/>
      <c r="BQ1642" s="1392" t="n"/>
      <c r="BR1642" s="1392" t="n"/>
      <c r="BS1642" s="1392" t="n"/>
      <c r="BT1642" s="1392" t="n"/>
      <c r="BU1642" s="1392" t="n"/>
      <c r="BV1642" s="1392" t="n"/>
      <c r="BW1642" s="1392" t="n"/>
      <c r="BX1642" s="1392" t="n"/>
      <c r="BY1642" s="1392" t="n"/>
      <c r="BZ1642" s="1392" t="n"/>
      <c r="CA1642" s="1392" t="n"/>
      <c r="CB1642" s="1392" t="n"/>
      <c r="CC1642" s="1392" t="n"/>
      <c r="CD1642" s="1392" t="n"/>
      <c r="CE1642" s="1392" t="n"/>
      <c r="CF1642" s="1392" t="n"/>
      <c r="CG1642" s="1392" t="n"/>
      <c r="CH1642" s="1392" t="n"/>
      <c r="CI1642" s="1392" t="n"/>
      <c r="CJ1642" s="1392" t="n"/>
      <c r="CK1642" s="1392" t="n"/>
      <c r="CL1642" s="1392" t="n"/>
    </row>
    <row r="1643">
      <c r="A1643" s="5" t="inlineStr">
        <is>
          <t>.</t>
        </is>
      </c>
      <c r="B1643" s="5" t="inlineStr">
        <is>
          <t>.</t>
        </is>
      </c>
      <c r="C1643" s="1378">
        <f>IF(raw[[#This Row],[city]]="","-",IF(raw[[#This Row],[city]]="TODAY","-",C1642+1))</f>
        <v/>
      </c>
      <c r="D1643" s="1393" t="inlineStr">
        <is>
          <t>Mainz</t>
        </is>
      </c>
      <c r="E1643" s="1394" t="n">
        <v>44746</v>
      </c>
      <c r="F1643" s="1394" t="n">
        <v>44747</v>
      </c>
      <c r="G1643" s="1393" t="inlineStr">
        <is>
          <t>-</t>
        </is>
      </c>
      <c r="H1643" s="1393" t="inlineStr">
        <is>
          <t>Marie-Victorin</t>
        </is>
      </c>
      <c r="I1643" s="1393" t="inlineStr">
        <is>
          <t>Bike Trip</t>
        </is>
      </c>
      <c r="J1643" s="1393" t="inlineStr">
        <is>
          <t>-</t>
        </is>
      </c>
      <c r="K1643" s="1395">
        <f>IF(raw[[#This Row],[city]]&lt;&gt;"",_xlfn.XLOOKUP($D1643,ccc[city],ccc[prov],"-"),"-")</f>
        <v/>
      </c>
      <c r="L1643" s="1395">
        <f>IF(raw[[#This Row],[city]]&lt;&gt;"",_xlfn.XLOOKUP($D1643,ccc[city],ccc[ctry],"-"),"-")</f>
        <v/>
      </c>
      <c r="M1643" s="1395">
        <f>IF(raw[[#This Row],[city]]&lt;&gt;"",_xlfn.XLOOKUP($D1643,ccc[city],ccc[cont],"-"),"-")</f>
        <v/>
      </c>
      <c r="N1643" s="1396">
        <f>IF(raw[[#This Row],[city]]="","-",IF(raw[[#This Row],[cont]]="B",raw[[#This Row],[cont]],"W"))</f>
        <v/>
      </c>
      <c r="O1643" s="1397">
        <f>IF(raw[[#This Row],[out]]=0,0,IF(raw[[#This Row],[out]]=raw[[#This Row],[in]],0.01,raw[[#This Row],[out]]-raw[[#This Row],[in]]))</f>
        <v/>
      </c>
      <c r="P1643" s="1397">
        <f>IF(raw[[#This Row],[in]]=0,0,MONTH(raw[[#This Row],[in]]))</f>
        <v/>
      </c>
      <c r="Q1643" s="1397">
        <f>IF(raw[[#This Row],[in]]=0,0,YEAR(raw[[#This Row],[in]]))</f>
        <v/>
      </c>
      <c r="R1643" s="1397">
        <f>INT(raw[[#This Row],[yr]]/10)*10</f>
        <v/>
      </c>
      <c r="S1643" s="1395">
        <f>IF(raw[[#This Row],[city]]="","-",IF(raw[[#This Row],[city]]&lt;&gt;_xlfn.XLOOKUP(raw[[#This Row],[home]],homes[home],homes[city],"-"),1,0))</f>
        <v/>
      </c>
      <c r="T1643" s="1398" t="inlineStr">
        <is>
          <t>.</t>
        </is>
      </c>
      <c r="U1643" s="1399">
        <f>IF(raw[[#This Row],[wb]]="w",raw[[#This Row],[stay]]+U1642,U1642)</f>
        <v/>
      </c>
      <c r="V1643" s="1400">
        <f>IF(raw[[#This Row],[out]]=0,V1642,(raw[[#This Row],[out]]-E$5))</f>
        <v/>
      </c>
      <c r="W1643" s="1401">
        <f>U1643/V1643</f>
        <v/>
      </c>
      <c r="X1643" s="1392" t="n"/>
      <c r="Y1643" s="1392" t="n"/>
      <c r="Z1643" s="1392" t="n"/>
      <c r="AA1643" s="1392" t="n"/>
      <c r="AB1643" s="1392" t="n"/>
      <c r="AC1643" s="1392" t="n"/>
      <c r="AD1643" s="1392" t="n"/>
      <c r="AE1643" s="1392" t="n"/>
      <c r="AF1643" s="1392" t="n"/>
      <c r="AG1643" s="1392" t="n"/>
      <c r="AH1643" s="1392" t="n"/>
      <c r="AI1643" s="1392" t="n"/>
      <c r="AJ1643" s="1392" t="n"/>
      <c r="AK1643" s="1392" t="n"/>
      <c r="AL1643" s="1392" t="n"/>
      <c r="AM1643" s="1392" t="n"/>
      <c r="AN1643" s="1392" t="n"/>
      <c r="AO1643" s="1392" t="n"/>
      <c r="AP1643" s="1392" t="n"/>
      <c r="AQ1643" s="1392" t="n"/>
      <c r="AR1643" s="1422" t="n"/>
      <c r="AS1643" s="1422" t="n"/>
      <c r="AT1643" s="1392" t="n"/>
      <c r="AU1643" s="1392" t="n"/>
      <c r="AV1643" s="1392" t="n"/>
      <c r="AW1643" s="1392" t="n"/>
      <c r="AX1643" s="1392" t="n"/>
      <c r="AY1643" s="1392" t="n"/>
      <c r="AZ1643" s="1392" t="n"/>
      <c r="BA1643" s="1422" t="n"/>
      <c r="BB1643" s="1422" t="n"/>
      <c r="BC1643" s="1392" t="n"/>
      <c r="BD1643" s="1392" t="n"/>
      <c r="BE1643" s="1392" t="n"/>
      <c r="BF1643" s="1392" t="n"/>
      <c r="BG1643" s="1392" t="n"/>
      <c r="BH1643" s="1392" t="n"/>
      <c r="BI1643" s="1392" t="n"/>
      <c r="BJ1643" s="1392" t="n"/>
      <c r="BK1643" s="1392" t="n"/>
      <c r="BL1643" s="1392" t="n"/>
      <c r="BM1643" s="1392" t="n"/>
      <c r="BN1643" s="1392" t="n"/>
      <c r="BO1643" s="1392" t="n"/>
      <c r="BP1643" s="1392" t="n"/>
      <c r="BQ1643" s="1392" t="n"/>
      <c r="BR1643" s="1392" t="n"/>
      <c r="BS1643" s="1392" t="n"/>
      <c r="BT1643" s="1392" t="n"/>
      <c r="BU1643" s="1392" t="n"/>
      <c r="BV1643" s="1392" t="n"/>
      <c r="BW1643" s="1392" t="n"/>
      <c r="BX1643" s="1392" t="n"/>
      <c r="BY1643" s="1392" t="n"/>
      <c r="BZ1643" s="1392" t="n"/>
      <c r="CA1643" s="1392" t="n"/>
      <c r="CB1643" s="1392" t="n"/>
      <c r="CC1643" s="1392" t="n"/>
      <c r="CD1643" s="1392" t="n"/>
      <c r="CE1643" s="1392" t="n"/>
      <c r="CF1643" s="1392" t="n"/>
      <c r="CG1643" s="1392" t="n"/>
      <c r="CH1643" s="1392" t="n"/>
      <c r="CI1643" s="1392" t="n"/>
      <c r="CJ1643" s="1392" t="n"/>
      <c r="CK1643" s="1392" t="n"/>
      <c r="CL1643" s="1392" t="n"/>
    </row>
    <row r="1644">
      <c r="A1644" s="5" t="inlineStr">
        <is>
          <t>.</t>
        </is>
      </c>
      <c r="B1644" s="5" t="inlineStr">
        <is>
          <t>.</t>
        </is>
      </c>
      <c r="C1644" s="1378">
        <f>IF(raw[[#This Row],[city]]="","-",IF(raw[[#This Row],[city]]="TODAY","-",C1643+1))</f>
        <v/>
      </c>
      <c r="D1644" s="1393" t="inlineStr">
        <is>
          <t>Karlsruhe</t>
        </is>
      </c>
      <c r="E1644" s="1394" t="n">
        <v>44747</v>
      </c>
      <c r="F1644" s="1394" t="n">
        <v>44747</v>
      </c>
      <c r="G1644" s="1393" t="inlineStr">
        <is>
          <t>-</t>
        </is>
      </c>
      <c r="H1644" s="1393" t="inlineStr">
        <is>
          <t>Marie-Victorin</t>
        </is>
      </c>
      <c r="I1644" s="1393" t="inlineStr">
        <is>
          <t>Bike Trip</t>
        </is>
      </c>
      <c r="J1644" s="1393" t="inlineStr">
        <is>
          <t>-</t>
        </is>
      </c>
      <c r="K1644" s="1395">
        <f>IF(raw[[#This Row],[city]]&lt;&gt;"",_xlfn.XLOOKUP($D1644,ccc[city],ccc[prov],"-"),"-")</f>
        <v/>
      </c>
      <c r="L1644" s="1395">
        <f>IF(raw[[#This Row],[city]]&lt;&gt;"",_xlfn.XLOOKUP($D1644,ccc[city],ccc[ctry],"-"),"-")</f>
        <v/>
      </c>
      <c r="M1644" s="1395">
        <f>IF(raw[[#This Row],[city]]&lt;&gt;"",_xlfn.XLOOKUP($D1644,ccc[city],ccc[cont],"-"),"-")</f>
        <v/>
      </c>
      <c r="N1644" s="1396">
        <f>IF(raw[[#This Row],[city]]="","-",IF(raw[[#This Row],[cont]]="B",raw[[#This Row],[cont]],"W"))</f>
        <v/>
      </c>
      <c r="O1644" s="1397">
        <f>IF(raw[[#This Row],[out]]=0,0,IF(raw[[#This Row],[out]]=raw[[#This Row],[in]],0.01,raw[[#This Row],[out]]-raw[[#This Row],[in]]))</f>
        <v/>
      </c>
      <c r="P1644" s="1397">
        <f>IF(raw[[#This Row],[in]]=0,0,MONTH(raw[[#This Row],[in]]))</f>
        <v/>
      </c>
      <c r="Q1644" s="1397">
        <f>IF(raw[[#This Row],[in]]=0,0,YEAR(raw[[#This Row],[in]]))</f>
        <v/>
      </c>
      <c r="R1644" s="1397">
        <f>INT(raw[[#This Row],[yr]]/10)*10</f>
        <v/>
      </c>
      <c r="S1644" s="1395">
        <f>IF(raw[[#This Row],[city]]="","-",IF(raw[[#This Row],[city]]&lt;&gt;_xlfn.XLOOKUP(raw[[#This Row],[home]],homes[home],homes[city],"-"),1,0))</f>
        <v/>
      </c>
      <c r="T1644" s="1398" t="inlineStr">
        <is>
          <t>.</t>
        </is>
      </c>
      <c r="U1644" s="1399">
        <f>IF(raw[[#This Row],[wb]]="w",raw[[#This Row],[stay]]+U1643,U1643)</f>
        <v/>
      </c>
      <c r="V1644" s="1400">
        <f>IF(raw[[#This Row],[out]]=0,V1643,(raw[[#This Row],[out]]-E$5))</f>
        <v/>
      </c>
      <c r="W1644" s="1401">
        <f>U1644/V1644</f>
        <v/>
      </c>
      <c r="X1644" s="1392" t="n"/>
      <c r="Y1644" s="1392" t="n"/>
      <c r="Z1644" s="1392" t="n"/>
      <c r="AA1644" s="1392" t="n"/>
      <c r="AB1644" s="1392" t="n"/>
      <c r="AC1644" s="1392" t="n"/>
      <c r="AD1644" s="1392" t="n"/>
      <c r="AE1644" s="1392" t="n"/>
      <c r="AF1644" s="1392" t="n"/>
      <c r="AG1644" s="1392" t="n"/>
      <c r="AH1644" s="1392" t="n"/>
      <c r="AI1644" s="1392" t="n"/>
      <c r="AJ1644" s="1392" t="n"/>
      <c r="AK1644" s="1392" t="n"/>
      <c r="AL1644" s="1392" t="n"/>
      <c r="AM1644" s="1392" t="n"/>
      <c r="AN1644" s="1392" t="n"/>
      <c r="AO1644" s="1392" t="n"/>
      <c r="AP1644" s="1392" t="n"/>
      <c r="AQ1644" s="1392" t="n"/>
      <c r="AR1644" s="1422" t="n"/>
      <c r="AS1644" s="1422" t="n"/>
      <c r="AT1644" s="1392" t="n"/>
      <c r="AU1644" s="1392" t="n"/>
      <c r="AV1644" s="1392" t="n"/>
      <c r="AW1644" s="1392" t="n"/>
      <c r="AX1644" s="1392" t="n"/>
      <c r="AY1644" s="1392" t="n"/>
      <c r="AZ1644" s="1392" t="n"/>
      <c r="BA1644" s="1422" t="n"/>
      <c r="BB1644" s="1422" t="n"/>
      <c r="BC1644" s="1392" t="n"/>
      <c r="BD1644" s="1392" t="n"/>
      <c r="BE1644" s="1392" t="n"/>
      <c r="BF1644" s="1392" t="n"/>
      <c r="BG1644" s="1392" t="n"/>
      <c r="BH1644" s="1392" t="n"/>
      <c r="BI1644" s="1392" t="n"/>
      <c r="BJ1644" s="1392" t="n"/>
      <c r="BK1644" s="1392" t="n"/>
      <c r="BL1644" s="1392" t="n"/>
      <c r="BM1644" s="1392" t="n"/>
      <c r="BN1644" s="1392" t="n"/>
      <c r="BO1644" s="1392" t="n"/>
      <c r="BP1644" s="1392" t="n"/>
      <c r="BQ1644" s="1392" t="n"/>
      <c r="BR1644" s="1392" t="n"/>
      <c r="BS1644" s="1392" t="n"/>
      <c r="BT1644" s="1392" t="n"/>
      <c r="BU1644" s="1392" t="n"/>
      <c r="BV1644" s="1392" t="n"/>
      <c r="BW1644" s="1392" t="n"/>
      <c r="BX1644" s="1392" t="n"/>
      <c r="BY1644" s="1392" t="n"/>
      <c r="BZ1644" s="1392" t="n"/>
      <c r="CA1644" s="1392" t="n"/>
      <c r="CB1644" s="1392" t="n"/>
      <c r="CC1644" s="1392" t="n"/>
      <c r="CD1644" s="1392" t="n"/>
      <c r="CE1644" s="1392" t="n"/>
      <c r="CF1644" s="1392" t="n"/>
      <c r="CG1644" s="1392" t="n"/>
      <c r="CH1644" s="1392" t="n"/>
      <c r="CI1644" s="1392" t="n"/>
      <c r="CJ1644" s="1392" t="n"/>
      <c r="CK1644" s="1392" t="n"/>
      <c r="CL1644" s="1392" t="n"/>
    </row>
    <row r="1645">
      <c r="A1645" s="5" t="inlineStr">
        <is>
          <t>.</t>
        </is>
      </c>
      <c r="B1645" s="5" t="inlineStr">
        <is>
          <t>.</t>
        </is>
      </c>
      <c r="C1645" s="1378">
        <f>IF(raw[[#This Row],[city]]="","-",IF(raw[[#This Row],[city]]="TODAY","-",C1644+1))</f>
        <v/>
      </c>
      <c r="D1645" s="1393" t="inlineStr">
        <is>
          <t>Basel</t>
        </is>
      </c>
      <c r="E1645" s="1394" t="n">
        <v>44747</v>
      </c>
      <c r="F1645" s="1394" t="n">
        <v>44747</v>
      </c>
      <c r="G1645" s="1393" t="inlineStr">
        <is>
          <t>-</t>
        </is>
      </c>
      <c r="H1645" s="1393" t="inlineStr">
        <is>
          <t>Marie-Victorin</t>
        </is>
      </c>
      <c r="I1645" s="1393" t="inlineStr">
        <is>
          <t>Bike Trip</t>
        </is>
      </c>
      <c r="J1645" s="1393" t="inlineStr">
        <is>
          <t>-</t>
        </is>
      </c>
      <c r="K1645" s="1395">
        <f>IF(raw[[#This Row],[city]]&lt;&gt;"",_xlfn.XLOOKUP($D1645,ccc[city],ccc[prov],"-"),"-")</f>
        <v/>
      </c>
      <c r="L1645" s="1395">
        <f>IF(raw[[#This Row],[city]]&lt;&gt;"",_xlfn.XLOOKUP($D1645,ccc[city],ccc[ctry],"-"),"-")</f>
        <v/>
      </c>
      <c r="M1645" s="1395">
        <f>IF(raw[[#This Row],[city]]&lt;&gt;"",_xlfn.XLOOKUP($D1645,ccc[city],ccc[cont],"-"),"-")</f>
        <v/>
      </c>
      <c r="N1645" s="1396">
        <f>IF(raw[[#This Row],[city]]="","-",IF(raw[[#This Row],[cont]]="B",raw[[#This Row],[cont]],"W"))</f>
        <v/>
      </c>
      <c r="O1645" s="1397">
        <f>IF(raw[[#This Row],[out]]=0,0,IF(raw[[#This Row],[out]]=raw[[#This Row],[in]],0.01,raw[[#This Row],[out]]-raw[[#This Row],[in]]))</f>
        <v/>
      </c>
      <c r="P1645" s="1397">
        <f>IF(raw[[#This Row],[in]]=0,0,MONTH(raw[[#This Row],[in]]))</f>
        <v/>
      </c>
      <c r="Q1645" s="1397">
        <f>IF(raw[[#This Row],[in]]=0,0,YEAR(raw[[#This Row],[in]]))</f>
        <v/>
      </c>
      <c r="R1645" s="1397">
        <f>INT(raw[[#This Row],[yr]]/10)*10</f>
        <v/>
      </c>
      <c r="S1645" s="1395">
        <f>IF(raw[[#This Row],[city]]="","-",IF(raw[[#This Row],[city]]&lt;&gt;_xlfn.XLOOKUP(raw[[#This Row],[home]],homes[home],homes[city],"-"),1,0))</f>
        <v/>
      </c>
      <c r="T1645" s="1398" t="inlineStr">
        <is>
          <t>.</t>
        </is>
      </c>
      <c r="U1645" s="1399">
        <f>IF(raw[[#This Row],[wb]]="w",raw[[#This Row],[stay]]+U1644,U1644)</f>
        <v/>
      </c>
      <c r="V1645" s="1400">
        <f>IF(raw[[#This Row],[out]]=0,V1644,(raw[[#This Row],[out]]-E$5))</f>
        <v/>
      </c>
      <c r="W1645" s="1401">
        <f>U1645/V1645</f>
        <v/>
      </c>
      <c r="X1645" s="1392" t="n"/>
      <c r="Y1645" s="1392" t="n"/>
      <c r="Z1645" s="1392" t="n"/>
      <c r="AA1645" s="1392" t="n"/>
      <c r="AB1645" s="1392" t="n"/>
      <c r="AC1645" s="1392" t="n"/>
      <c r="AD1645" s="1392" t="n"/>
      <c r="AE1645" s="1392" t="n"/>
      <c r="AF1645" s="1392" t="n"/>
      <c r="AG1645" s="1392" t="n"/>
      <c r="AH1645" s="1392" t="n"/>
      <c r="AI1645" s="1392" t="n"/>
      <c r="AJ1645" s="1392" t="n"/>
      <c r="AK1645" s="1392" t="n"/>
      <c r="AL1645" s="1392" t="n"/>
      <c r="AM1645" s="1392" t="n"/>
      <c r="AN1645" s="1392" t="n"/>
      <c r="AO1645" s="1392" t="n"/>
      <c r="AP1645" s="1392" t="n"/>
      <c r="AQ1645" s="1392" t="n"/>
      <c r="AR1645" s="1422" t="n"/>
      <c r="AS1645" s="1422" t="n"/>
      <c r="AT1645" s="1392" t="n"/>
      <c r="AU1645" s="1392" t="n"/>
      <c r="AV1645" s="1392" t="n"/>
      <c r="AW1645" s="1392" t="n"/>
      <c r="AX1645" s="1392" t="n"/>
      <c r="AY1645" s="1392" t="n"/>
      <c r="AZ1645" s="1392" t="n"/>
      <c r="BA1645" s="1422" t="n"/>
      <c r="BB1645" s="1422" t="n"/>
      <c r="BC1645" s="1392" t="n"/>
      <c r="BD1645" s="1392" t="n"/>
      <c r="BE1645" s="1392" t="n"/>
      <c r="BF1645" s="1392" t="n"/>
      <c r="BG1645" s="1392" t="n"/>
      <c r="BH1645" s="1392" t="n"/>
      <c r="BI1645" s="1392" t="n"/>
      <c r="BJ1645" s="1392" t="n"/>
      <c r="BK1645" s="1392" t="n"/>
      <c r="BL1645" s="1392" t="n"/>
      <c r="BM1645" s="1392" t="n"/>
      <c r="BN1645" s="1392" t="n"/>
      <c r="BO1645" s="1392" t="n"/>
      <c r="BP1645" s="1392" t="n"/>
      <c r="BQ1645" s="1392" t="n"/>
      <c r="BR1645" s="1392" t="n"/>
      <c r="BS1645" s="1392" t="n"/>
      <c r="BT1645" s="1392" t="n"/>
      <c r="BU1645" s="1392" t="n"/>
      <c r="BV1645" s="1392" t="n"/>
      <c r="BW1645" s="1392" t="n"/>
      <c r="BX1645" s="1392" t="n"/>
      <c r="BY1645" s="1392" t="n"/>
      <c r="BZ1645" s="1392" t="n"/>
      <c r="CA1645" s="1392" t="n"/>
      <c r="CB1645" s="1392" t="n"/>
      <c r="CC1645" s="1392" t="n"/>
      <c r="CD1645" s="1392" t="n"/>
      <c r="CE1645" s="1392" t="n"/>
      <c r="CF1645" s="1392" t="n"/>
      <c r="CG1645" s="1392" t="n"/>
      <c r="CH1645" s="1392" t="n"/>
      <c r="CI1645" s="1392" t="n"/>
      <c r="CJ1645" s="1392" t="n"/>
      <c r="CK1645" s="1392" t="n"/>
      <c r="CL1645" s="1392" t="n"/>
    </row>
    <row r="1646">
      <c r="A1646" s="5" t="inlineStr">
        <is>
          <t>.</t>
        </is>
      </c>
      <c r="B1646" s="5" t="inlineStr">
        <is>
          <t>.</t>
        </is>
      </c>
      <c r="C1646" s="1378">
        <f>IF(raw[[#This Row],[city]]="","-",IF(raw[[#This Row],[city]]="TODAY","-",C1645+1))</f>
        <v/>
      </c>
      <c r="D1646" s="1393" t="inlineStr">
        <is>
          <t>BUS ITA</t>
        </is>
      </c>
      <c r="E1646" s="1394" t="n">
        <v>44747</v>
      </c>
      <c r="F1646" s="1394" t="n">
        <v>44748</v>
      </c>
      <c r="G1646" s="1393" t="inlineStr">
        <is>
          <t>-</t>
        </is>
      </c>
      <c r="H1646" s="1393" t="inlineStr">
        <is>
          <t>Marie-Victorin</t>
        </is>
      </c>
      <c r="I1646" s="1393" t="inlineStr">
        <is>
          <t>Bike Trip</t>
        </is>
      </c>
      <c r="J1646" s="1393" t="inlineStr">
        <is>
          <t>-</t>
        </is>
      </c>
      <c r="K1646" s="1395">
        <f>IF(raw[[#This Row],[city]]&lt;&gt;"",_xlfn.XLOOKUP($D1646,ccc[city],ccc[prov],"-"),"-")</f>
        <v/>
      </c>
      <c r="L1646" s="1395">
        <f>IF(raw[[#This Row],[city]]&lt;&gt;"",_xlfn.XLOOKUP($D1646,ccc[city],ccc[ctry],"-"),"-")</f>
        <v/>
      </c>
      <c r="M1646" s="1395">
        <f>IF(raw[[#This Row],[city]]&lt;&gt;"",_xlfn.XLOOKUP($D1646,ccc[city],ccc[cont],"-"),"-")</f>
        <v/>
      </c>
      <c r="N1646" s="1396">
        <f>IF(raw[[#This Row],[city]]="","-",IF(raw[[#This Row],[cont]]="B",raw[[#This Row],[cont]],"W"))</f>
        <v/>
      </c>
      <c r="O1646" s="1397">
        <f>IF(raw[[#This Row],[out]]=0,0,IF(raw[[#This Row],[out]]=raw[[#This Row],[in]],0.01,raw[[#This Row],[out]]-raw[[#This Row],[in]]))</f>
        <v/>
      </c>
      <c r="P1646" s="1397">
        <f>IF(raw[[#This Row],[in]]=0,0,MONTH(raw[[#This Row],[in]]))</f>
        <v/>
      </c>
      <c r="Q1646" s="1397">
        <f>IF(raw[[#This Row],[in]]=0,0,YEAR(raw[[#This Row],[in]]))</f>
        <v/>
      </c>
      <c r="R1646" s="1397">
        <f>INT(raw[[#This Row],[yr]]/10)*10</f>
        <v/>
      </c>
      <c r="S1646" s="1395">
        <f>IF(raw[[#This Row],[city]]="","-",IF(raw[[#This Row],[city]]&lt;&gt;_xlfn.XLOOKUP(raw[[#This Row],[home]],homes[home],homes[city],"-"),1,0))</f>
        <v/>
      </c>
      <c r="T1646" s="1398" t="inlineStr">
        <is>
          <t>.</t>
        </is>
      </c>
      <c r="U1646" s="1399">
        <f>IF(raw[[#This Row],[wb]]="w",raw[[#This Row],[stay]]+U1645,U1645)</f>
        <v/>
      </c>
      <c r="V1646" s="1400">
        <f>IF(raw[[#This Row],[out]]=0,V1645,(raw[[#This Row],[out]]-E$5))</f>
        <v/>
      </c>
      <c r="W1646" s="1401">
        <f>U1646/V1646</f>
        <v/>
      </c>
      <c r="X1646" s="1392" t="n"/>
      <c r="Y1646" s="1392" t="n"/>
      <c r="Z1646" s="1392" t="n"/>
      <c r="AA1646" s="1392" t="n"/>
      <c r="AB1646" s="1392" t="n"/>
      <c r="AC1646" s="1392" t="n"/>
      <c r="AD1646" s="1392" t="n"/>
      <c r="AE1646" s="1392" t="n"/>
      <c r="AF1646" s="1392" t="n"/>
      <c r="AG1646" s="1392" t="n"/>
      <c r="AH1646" s="1392" t="n"/>
      <c r="AI1646" s="1392" t="n"/>
      <c r="AJ1646" s="1392" t="n"/>
      <c r="AK1646" s="1392" t="n"/>
      <c r="AL1646" s="1392" t="n"/>
      <c r="AM1646" s="1392" t="n"/>
      <c r="AN1646" s="1392" t="n"/>
      <c r="AO1646" s="1392" t="n"/>
      <c r="AP1646" s="1392" t="n"/>
      <c r="AQ1646" s="1392" t="n"/>
      <c r="AR1646" s="1422" t="n"/>
      <c r="AS1646" s="1422" t="n"/>
      <c r="AT1646" s="1392" t="n"/>
      <c r="AU1646" s="1392" t="n"/>
      <c r="AV1646" s="1392" t="n"/>
      <c r="AW1646" s="1392" t="n"/>
      <c r="AX1646" s="1392" t="n"/>
      <c r="AY1646" s="1392" t="n"/>
      <c r="AZ1646" s="1392" t="n"/>
      <c r="BA1646" s="1422" t="n"/>
      <c r="BB1646" s="1422" t="n"/>
      <c r="BC1646" s="1392" t="n"/>
      <c r="BD1646" s="1392" t="n"/>
      <c r="BE1646" s="1392" t="n"/>
      <c r="BF1646" s="1392" t="n"/>
      <c r="BG1646" s="1392" t="n"/>
      <c r="BH1646" s="1392" t="n"/>
      <c r="BI1646" s="1392" t="n"/>
      <c r="BJ1646" s="1392" t="n"/>
      <c r="BK1646" s="1392" t="n"/>
      <c r="BL1646" s="1392" t="n"/>
      <c r="BM1646" s="1392" t="n"/>
      <c r="BN1646" s="1392" t="n"/>
      <c r="BO1646" s="1392" t="n"/>
      <c r="BP1646" s="1392" t="n"/>
      <c r="BQ1646" s="1392" t="n"/>
      <c r="BR1646" s="1392" t="n"/>
      <c r="BS1646" s="1392" t="n"/>
      <c r="BT1646" s="1392" t="n"/>
      <c r="BU1646" s="1392" t="n"/>
      <c r="BV1646" s="1392" t="n"/>
      <c r="BW1646" s="1392" t="n"/>
      <c r="BX1646" s="1392" t="n"/>
      <c r="BY1646" s="1392" t="n"/>
      <c r="BZ1646" s="1392" t="n"/>
      <c r="CA1646" s="1392" t="n"/>
      <c r="CB1646" s="1392" t="n"/>
      <c r="CC1646" s="1392" t="n"/>
      <c r="CD1646" s="1392" t="n"/>
      <c r="CE1646" s="1392" t="n"/>
      <c r="CF1646" s="1392" t="n"/>
      <c r="CG1646" s="1392" t="n"/>
      <c r="CH1646" s="1392" t="n"/>
      <c r="CI1646" s="1392" t="n"/>
      <c r="CJ1646" s="1392" t="n"/>
      <c r="CK1646" s="1392" t="n"/>
      <c r="CL1646" s="1392" t="n"/>
    </row>
    <row r="1647">
      <c r="A1647" s="5" t="inlineStr">
        <is>
          <t>.</t>
        </is>
      </c>
      <c r="B1647" s="5" t="inlineStr">
        <is>
          <t>.</t>
        </is>
      </c>
      <c r="C1647" s="1378">
        <f>IF(raw[[#This Row],[city]]="","-",IF(raw[[#This Row],[city]]="TODAY","-",C1646+1))</f>
        <v/>
      </c>
      <c r="D1647" s="1393" t="inlineStr">
        <is>
          <t>Firenze</t>
        </is>
      </c>
      <c r="E1647" s="1394" t="n">
        <v>44748</v>
      </c>
      <c r="F1647" s="1394" t="n">
        <v>44751</v>
      </c>
      <c r="G1647" s="1393" t="inlineStr">
        <is>
          <t>-</t>
        </is>
      </c>
      <c r="H1647" s="1393" t="inlineStr">
        <is>
          <t>Marie-Victorin</t>
        </is>
      </c>
      <c r="I1647" s="1393" t="inlineStr">
        <is>
          <t>Bike Trip</t>
        </is>
      </c>
      <c r="J1647" s="1393" t="inlineStr">
        <is>
          <t>-</t>
        </is>
      </c>
      <c r="K1647" s="1395">
        <f>IF(raw[[#This Row],[city]]&lt;&gt;"",_xlfn.XLOOKUP($D1647,ccc[city],ccc[prov],"-"),"-")</f>
        <v/>
      </c>
      <c r="L1647" s="1395">
        <f>IF(raw[[#This Row],[city]]&lt;&gt;"",_xlfn.XLOOKUP($D1647,ccc[city],ccc[ctry],"-"),"-")</f>
        <v/>
      </c>
      <c r="M1647" s="1395">
        <f>IF(raw[[#This Row],[city]]&lt;&gt;"",_xlfn.XLOOKUP($D1647,ccc[city],ccc[cont],"-"),"-")</f>
        <v/>
      </c>
      <c r="N1647" s="1396">
        <f>IF(raw[[#This Row],[city]]="","-",IF(raw[[#This Row],[cont]]="B",raw[[#This Row],[cont]],"W"))</f>
        <v/>
      </c>
      <c r="O1647" s="1397">
        <f>IF(raw[[#This Row],[out]]=0,0,IF(raw[[#This Row],[out]]=raw[[#This Row],[in]],0.01,raw[[#This Row],[out]]-raw[[#This Row],[in]]))</f>
        <v/>
      </c>
      <c r="P1647" s="1397">
        <f>IF(raw[[#This Row],[in]]=0,0,MONTH(raw[[#This Row],[in]]))</f>
        <v/>
      </c>
      <c r="Q1647" s="1397">
        <f>IF(raw[[#This Row],[in]]=0,0,YEAR(raw[[#This Row],[in]]))</f>
        <v/>
      </c>
      <c r="R1647" s="1397">
        <f>INT(raw[[#This Row],[yr]]/10)*10</f>
        <v/>
      </c>
      <c r="S1647" s="1395">
        <f>IF(raw[[#This Row],[city]]="","-",IF(raw[[#This Row],[city]]&lt;&gt;_xlfn.XLOOKUP(raw[[#This Row],[home]],homes[home],homes[city],"-"),1,0))</f>
        <v/>
      </c>
      <c r="T1647" s="1398" t="inlineStr">
        <is>
          <t>.</t>
        </is>
      </c>
      <c r="U1647" s="1399">
        <f>IF(raw[[#This Row],[wb]]="w",raw[[#This Row],[stay]]+U1646,U1646)</f>
        <v/>
      </c>
      <c r="V1647" s="1400">
        <f>IF(raw[[#This Row],[out]]=0,V1646,(raw[[#This Row],[out]]-E$5))</f>
        <v/>
      </c>
      <c r="W1647" s="1401">
        <f>U1647/V1647</f>
        <v/>
      </c>
      <c r="X1647" s="1392" t="n"/>
      <c r="Y1647" s="1392" t="n"/>
      <c r="Z1647" s="1392" t="n"/>
      <c r="AA1647" s="1392" t="n"/>
      <c r="AB1647" s="1392" t="n"/>
      <c r="AC1647" s="1392" t="n"/>
      <c r="AD1647" s="1392" t="n"/>
      <c r="AE1647" s="1392" t="n"/>
      <c r="AF1647" s="1392" t="n"/>
      <c r="AG1647" s="1392" t="n"/>
      <c r="AH1647" s="1392" t="n"/>
      <c r="AI1647" s="1392" t="n"/>
      <c r="AJ1647" s="1392" t="n"/>
      <c r="AK1647" s="1392" t="n"/>
      <c r="AL1647" s="1392" t="n"/>
      <c r="AM1647" s="1392" t="n"/>
      <c r="AN1647" s="1392" t="n"/>
      <c r="AO1647" s="1392" t="n"/>
      <c r="AP1647" s="1392" t="n"/>
      <c r="AQ1647" s="1392" t="n"/>
      <c r="AR1647" s="1422" t="n"/>
      <c r="AS1647" s="1422" t="n"/>
      <c r="AT1647" s="1392" t="n"/>
      <c r="AU1647" s="1392" t="n"/>
      <c r="AV1647" s="1392" t="n"/>
      <c r="AW1647" s="1392" t="n"/>
      <c r="AX1647" s="1392" t="n"/>
      <c r="AY1647" s="1392" t="n"/>
      <c r="AZ1647" s="1392" t="n"/>
      <c r="BA1647" s="1422" t="n"/>
      <c r="BB1647" s="1422" t="n"/>
      <c r="BC1647" s="1392" t="n"/>
      <c r="BD1647" s="1392" t="n"/>
      <c r="BE1647" s="1392" t="n"/>
      <c r="BF1647" s="1392" t="n"/>
      <c r="BG1647" s="1392" t="n"/>
      <c r="BH1647" s="1392" t="n"/>
      <c r="BI1647" s="1392" t="n"/>
      <c r="BJ1647" s="1392" t="n"/>
      <c r="BK1647" s="1392" t="n"/>
      <c r="BL1647" s="1392" t="n"/>
      <c r="BM1647" s="1392" t="n"/>
      <c r="BN1647" s="1392" t="n"/>
      <c r="BO1647" s="1392" t="n"/>
      <c r="BP1647" s="1392" t="n"/>
      <c r="BQ1647" s="1392" t="n"/>
      <c r="BR1647" s="1392" t="n"/>
      <c r="BS1647" s="1392" t="n"/>
      <c r="BT1647" s="1392" t="n"/>
      <c r="BU1647" s="1392" t="n"/>
      <c r="BV1647" s="1392" t="n"/>
      <c r="BW1647" s="1392" t="n"/>
      <c r="BX1647" s="1392" t="n"/>
      <c r="BY1647" s="1392" t="n"/>
      <c r="BZ1647" s="1392" t="n"/>
      <c r="CA1647" s="1392" t="n"/>
      <c r="CB1647" s="1392" t="n"/>
      <c r="CC1647" s="1392" t="n"/>
      <c r="CD1647" s="1392" t="n"/>
      <c r="CE1647" s="1392" t="n"/>
      <c r="CF1647" s="1392" t="n"/>
      <c r="CG1647" s="1392" t="n"/>
      <c r="CH1647" s="1392" t="n"/>
      <c r="CI1647" s="1392" t="n"/>
      <c r="CJ1647" s="1392" t="n"/>
      <c r="CK1647" s="1392" t="n"/>
      <c r="CL1647" s="1392" t="n"/>
    </row>
    <row r="1648">
      <c r="A1648" s="5" t="inlineStr">
        <is>
          <t>.</t>
        </is>
      </c>
      <c r="B1648" s="5" t="inlineStr">
        <is>
          <t>.</t>
        </is>
      </c>
      <c r="C1648" s="1378">
        <f>IF(raw[[#This Row],[city]]="","-",IF(raw[[#This Row],[city]]="TODAY","-",C1647+1))</f>
        <v/>
      </c>
      <c r="D1648" s="1393" t="inlineStr">
        <is>
          <t>Pisa</t>
        </is>
      </c>
      <c r="E1648" s="1394" t="n">
        <v>44750</v>
      </c>
      <c r="F1648" s="1394" t="n">
        <v>44750</v>
      </c>
      <c r="G1648" s="1393" t="inlineStr">
        <is>
          <t>-</t>
        </is>
      </c>
      <c r="H1648" s="1393" t="inlineStr">
        <is>
          <t>Marie-Victorin</t>
        </is>
      </c>
      <c r="I1648" s="1393" t="inlineStr">
        <is>
          <t>Bike Trip</t>
        </is>
      </c>
      <c r="J1648" s="1393" t="inlineStr">
        <is>
          <t>-</t>
        </is>
      </c>
      <c r="K1648" s="1395">
        <f>IF(raw[[#This Row],[city]]&lt;&gt;"",_xlfn.XLOOKUP($D1648,ccc[city],ccc[prov],"-"),"-")</f>
        <v/>
      </c>
      <c r="L1648" s="1395">
        <f>IF(raw[[#This Row],[city]]&lt;&gt;"",_xlfn.XLOOKUP($D1648,ccc[city],ccc[ctry],"-"),"-")</f>
        <v/>
      </c>
      <c r="M1648" s="1395">
        <f>IF(raw[[#This Row],[city]]&lt;&gt;"",_xlfn.XLOOKUP($D1648,ccc[city],ccc[cont],"-"),"-")</f>
        <v/>
      </c>
      <c r="N1648" s="1396">
        <f>IF(raw[[#This Row],[city]]="","-",IF(raw[[#This Row],[cont]]="B",raw[[#This Row],[cont]],"W"))</f>
        <v/>
      </c>
      <c r="O1648" s="1397">
        <f>IF(raw[[#This Row],[out]]=0,0,IF(raw[[#This Row],[out]]=raw[[#This Row],[in]],0.01,raw[[#This Row],[out]]-raw[[#This Row],[in]]))</f>
        <v/>
      </c>
      <c r="P1648" s="1397">
        <f>IF(raw[[#This Row],[in]]=0,0,MONTH(raw[[#This Row],[in]]))</f>
        <v/>
      </c>
      <c r="Q1648" s="1397">
        <f>IF(raw[[#This Row],[in]]=0,0,YEAR(raw[[#This Row],[in]]))</f>
        <v/>
      </c>
      <c r="R1648" s="1397">
        <f>INT(raw[[#This Row],[yr]]/10)*10</f>
        <v/>
      </c>
      <c r="S1648" s="1395">
        <f>IF(raw[[#This Row],[city]]="","-",IF(raw[[#This Row],[city]]&lt;&gt;_xlfn.XLOOKUP(raw[[#This Row],[home]],homes[home],homes[city],"-"),1,0))</f>
        <v/>
      </c>
      <c r="T1648" s="1398" t="inlineStr">
        <is>
          <t>.</t>
        </is>
      </c>
      <c r="U1648" s="1399">
        <f>IF(raw[[#This Row],[wb]]="w",raw[[#This Row],[stay]]+U1647,U1647)</f>
        <v/>
      </c>
      <c r="V1648" s="1400">
        <f>IF(raw[[#This Row],[out]]=0,V1647,(raw[[#This Row],[out]]-E$5))</f>
        <v/>
      </c>
      <c r="W1648" s="1401">
        <f>U1648/V1648</f>
        <v/>
      </c>
      <c r="X1648" s="1392" t="n"/>
      <c r="Y1648" s="1392" t="n"/>
      <c r="Z1648" s="1392" t="n"/>
      <c r="AA1648" s="1392" t="n"/>
      <c r="AB1648" s="1392" t="n"/>
      <c r="AC1648" s="1392" t="n"/>
      <c r="AD1648" s="1392" t="n"/>
      <c r="AE1648" s="1392" t="n"/>
      <c r="AF1648" s="1392" t="n"/>
      <c r="AG1648" s="1392" t="n"/>
      <c r="AH1648" s="1392" t="n"/>
      <c r="AI1648" s="1392" t="n"/>
      <c r="AJ1648" s="1392" t="n"/>
      <c r="AK1648" s="1392" t="n"/>
      <c r="AL1648" s="1392" t="n"/>
      <c r="AM1648" s="1392" t="n"/>
      <c r="AN1648" s="1392" t="n"/>
      <c r="AO1648" s="1392" t="n"/>
      <c r="AP1648" s="1392" t="n"/>
      <c r="AQ1648" s="1392" t="n"/>
      <c r="AR1648" s="1422" t="n"/>
      <c r="AS1648" s="1422" t="n"/>
      <c r="AT1648" s="1392" t="n"/>
      <c r="AU1648" s="1392" t="n"/>
      <c r="AV1648" s="1392" t="n"/>
      <c r="AW1648" s="1392" t="n"/>
      <c r="AX1648" s="1392" t="n"/>
      <c r="AY1648" s="1392" t="n"/>
      <c r="AZ1648" s="1392" t="n"/>
      <c r="BA1648" s="1422" t="n"/>
      <c r="BB1648" s="1422" t="n"/>
      <c r="BC1648" s="1392" t="n"/>
      <c r="BD1648" s="1392" t="n"/>
      <c r="BE1648" s="1392" t="n"/>
      <c r="BF1648" s="1392" t="n"/>
      <c r="BG1648" s="1392" t="n"/>
      <c r="BH1648" s="1392" t="n"/>
      <c r="BI1648" s="1392" t="n"/>
      <c r="BJ1648" s="1392" t="n"/>
      <c r="BK1648" s="1392" t="n"/>
      <c r="BL1648" s="1392" t="n"/>
      <c r="BM1648" s="1392" t="n"/>
      <c r="BN1648" s="1392" t="n"/>
      <c r="BO1648" s="1392" t="n"/>
      <c r="BP1648" s="1392" t="n"/>
      <c r="BQ1648" s="1392" t="n"/>
      <c r="BR1648" s="1392" t="n"/>
      <c r="BS1648" s="1392" t="n"/>
      <c r="BT1648" s="1392" t="n"/>
      <c r="BU1648" s="1392" t="n"/>
      <c r="BV1648" s="1392" t="n"/>
      <c r="BW1648" s="1392" t="n"/>
      <c r="BX1648" s="1392" t="n"/>
      <c r="BY1648" s="1392" t="n"/>
      <c r="BZ1648" s="1392" t="n"/>
      <c r="CA1648" s="1392" t="n"/>
      <c r="CB1648" s="1392" t="n"/>
      <c r="CC1648" s="1392" t="n"/>
      <c r="CD1648" s="1392" t="n"/>
      <c r="CE1648" s="1392" t="n"/>
      <c r="CF1648" s="1392" t="n"/>
      <c r="CG1648" s="1392" t="n"/>
      <c r="CH1648" s="1392" t="n"/>
      <c r="CI1648" s="1392" t="n"/>
      <c r="CJ1648" s="1392" t="n"/>
      <c r="CK1648" s="1392" t="n"/>
      <c r="CL1648" s="1392" t="n"/>
    </row>
    <row r="1649">
      <c r="A1649" s="5" t="inlineStr">
        <is>
          <t>.</t>
        </is>
      </c>
      <c r="B1649" s="5" t="inlineStr">
        <is>
          <t>.</t>
        </is>
      </c>
      <c r="C1649" s="1378">
        <f>IF(raw[[#This Row],[city]]="","-",IF(raw[[#This Row],[city]]="TODAY","-",C1648+1))</f>
        <v/>
      </c>
      <c r="D1649" s="1393" t="inlineStr">
        <is>
          <t>Siena</t>
        </is>
      </c>
      <c r="E1649" s="1394" t="n">
        <v>44751</v>
      </c>
      <c r="F1649" s="1394" t="n">
        <v>44751</v>
      </c>
      <c r="G1649" s="1393" t="inlineStr">
        <is>
          <t>-</t>
        </is>
      </c>
      <c r="H1649" s="1393" t="inlineStr">
        <is>
          <t>Marie-Victorin</t>
        </is>
      </c>
      <c r="I1649" s="1393" t="inlineStr">
        <is>
          <t>Bike Trip</t>
        </is>
      </c>
      <c r="J1649" s="1393" t="inlineStr">
        <is>
          <t>-</t>
        </is>
      </c>
      <c r="K1649" s="1395">
        <f>IF(raw[[#This Row],[city]]&lt;&gt;"",_xlfn.XLOOKUP($D1649,ccc[city],ccc[prov],"-"),"-")</f>
        <v/>
      </c>
      <c r="L1649" s="1395">
        <f>IF(raw[[#This Row],[city]]&lt;&gt;"",_xlfn.XLOOKUP($D1649,ccc[city],ccc[ctry],"-"),"-")</f>
        <v/>
      </c>
      <c r="M1649" s="1395">
        <f>IF(raw[[#This Row],[city]]&lt;&gt;"",_xlfn.XLOOKUP($D1649,ccc[city],ccc[cont],"-"),"-")</f>
        <v/>
      </c>
      <c r="N1649" s="1396">
        <f>IF(raw[[#This Row],[city]]="","-",IF(raw[[#This Row],[cont]]="B",raw[[#This Row],[cont]],"W"))</f>
        <v/>
      </c>
      <c r="O1649" s="1397">
        <f>IF(raw[[#This Row],[out]]=0,0,IF(raw[[#This Row],[out]]=raw[[#This Row],[in]],0.01,raw[[#This Row],[out]]-raw[[#This Row],[in]]))</f>
        <v/>
      </c>
      <c r="P1649" s="1397">
        <f>IF(raw[[#This Row],[in]]=0,0,MONTH(raw[[#This Row],[in]]))</f>
        <v/>
      </c>
      <c r="Q1649" s="1397">
        <f>IF(raw[[#This Row],[in]]=0,0,YEAR(raw[[#This Row],[in]]))</f>
        <v/>
      </c>
      <c r="R1649" s="1397">
        <f>INT(raw[[#This Row],[yr]]/10)*10</f>
        <v/>
      </c>
      <c r="S1649" s="1395">
        <f>IF(raw[[#This Row],[city]]="","-",IF(raw[[#This Row],[city]]&lt;&gt;_xlfn.XLOOKUP(raw[[#This Row],[home]],homes[home],homes[city],"-"),1,0))</f>
        <v/>
      </c>
      <c r="T1649" s="1398" t="inlineStr">
        <is>
          <t>.</t>
        </is>
      </c>
      <c r="U1649" s="1399">
        <f>IF(raw[[#This Row],[wb]]="w",raw[[#This Row],[stay]]+U1648,U1648)</f>
        <v/>
      </c>
      <c r="V1649" s="1400">
        <f>IF(raw[[#This Row],[out]]=0,V1648,(raw[[#This Row],[out]]-E$5))</f>
        <v/>
      </c>
      <c r="W1649" s="1401">
        <f>U1649/V1649</f>
        <v/>
      </c>
      <c r="X1649" s="1392" t="n"/>
      <c r="Y1649" s="1392" t="n"/>
      <c r="Z1649" s="1392" t="n"/>
      <c r="AA1649" s="1392" t="n"/>
      <c r="AB1649" s="1392" t="n"/>
      <c r="AC1649" s="1392" t="n"/>
      <c r="AD1649" s="1392" t="n"/>
      <c r="AE1649" s="1392" t="n"/>
      <c r="AF1649" s="1392" t="n"/>
      <c r="AG1649" s="1392" t="n"/>
      <c r="AH1649" s="1392" t="n"/>
      <c r="AI1649" s="1392" t="n"/>
      <c r="AJ1649" s="1392" t="n"/>
      <c r="AK1649" s="1392" t="n"/>
      <c r="AL1649" s="1392" t="n"/>
      <c r="AM1649" s="1392" t="n"/>
      <c r="AN1649" s="1392" t="n"/>
      <c r="AO1649" s="1392" t="n"/>
      <c r="AP1649" s="1392" t="n"/>
      <c r="AQ1649" s="1392" t="n"/>
      <c r="AR1649" s="1422" t="n"/>
      <c r="AS1649" s="1422" t="n"/>
      <c r="AT1649" s="1392" t="n"/>
      <c r="AU1649" s="1392" t="n"/>
      <c r="AV1649" s="1392" t="n"/>
      <c r="AW1649" s="1392" t="n"/>
      <c r="AX1649" s="1392" t="n"/>
      <c r="AY1649" s="1392" t="n"/>
      <c r="AZ1649" s="1392" t="n"/>
      <c r="BA1649" s="1422" t="n"/>
      <c r="BB1649" s="1422" t="n"/>
      <c r="BC1649" s="1392" t="n"/>
      <c r="BD1649" s="1392" t="n"/>
      <c r="BE1649" s="1392" t="n"/>
      <c r="BF1649" s="1392" t="n"/>
      <c r="BG1649" s="1392" t="n"/>
      <c r="BH1649" s="1392" t="n"/>
      <c r="BI1649" s="1392" t="n"/>
      <c r="BJ1649" s="1392" t="n"/>
      <c r="BK1649" s="1392" t="n"/>
      <c r="BL1649" s="1392" t="n"/>
      <c r="BM1649" s="1392" t="n"/>
      <c r="BN1649" s="1392" t="n"/>
      <c r="BO1649" s="1392" t="n"/>
      <c r="BP1649" s="1392" t="n"/>
      <c r="BQ1649" s="1392" t="n"/>
      <c r="BR1649" s="1392" t="n"/>
      <c r="BS1649" s="1392" t="n"/>
      <c r="BT1649" s="1392" t="n"/>
      <c r="BU1649" s="1392" t="n"/>
      <c r="BV1649" s="1392" t="n"/>
      <c r="BW1649" s="1392" t="n"/>
      <c r="BX1649" s="1392" t="n"/>
      <c r="BY1649" s="1392" t="n"/>
      <c r="BZ1649" s="1392" t="n"/>
      <c r="CA1649" s="1392" t="n"/>
      <c r="CB1649" s="1392" t="n"/>
      <c r="CC1649" s="1392" t="n"/>
      <c r="CD1649" s="1392" t="n"/>
      <c r="CE1649" s="1392" t="n"/>
      <c r="CF1649" s="1392" t="n"/>
      <c r="CG1649" s="1392" t="n"/>
      <c r="CH1649" s="1392" t="n"/>
      <c r="CI1649" s="1392" t="n"/>
      <c r="CJ1649" s="1392" t="n"/>
      <c r="CK1649" s="1392" t="n"/>
      <c r="CL1649" s="1392" t="n"/>
    </row>
    <row r="1650">
      <c r="A1650" s="5" t="inlineStr">
        <is>
          <t>.</t>
        </is>
      </c>
      <c r="B1650" s="5" t="inlineStr">
        <is>
          <t>.</t>
        </is>
      </c>
      <c r="C1650" s="1378">
        <f>IF(raw[[#This Row],[city]]="","-",IF(raw[[#This Row],[city]]="TODAY","-",C1649+1))</f>
        <v/>
      </c>
      <c r="D1650" s="1393" t="inlineStr">
        <is>
          <t>Isola d'Arbia</t>
        </is>
      </c>
      <c r="E1650" s="1394" t="n">
        <v>44751</v>
      </c>
      <c r="F1650" s="1394" t="n">
        <v>44751</v>
      </c>
      <c r="G1650" s="1393" t="inlineStr">
        <is>
          <t>-</t>
        </is>
      </c>
      <c r="H1650" s="1393" t="inlineStr">
        <is>
          <t>Marie-Victorin</t>
        </is>
      </c>
      <c r="I1650" s="1393" t="inlineStr">
        <is>
          <t>Bike Trip</t>
        </is>
      </c>
      <c r="J1650" s="1393" t="inlineStr">
        <is>
          <t>-</t>
        </is>
      </c>
      <c r="K1650" s="1395">
        <f>IF(raw[[#This Row],[city]]&lt;&gt;"",_xlfn.XLOOKUP($D1650,ccc[city],ccc[prov],"-"),"-")</f>
        <v/>
      </c>
      <c r="L1650" s="1395">
        <f>IF(raw[[#This Row],[city]]&lt;&gt;"",_xlfn.XLOOKUP($D1650,ccc[city],ccc[ctry],"-"),"-")</f>
        <v/>
      </c>
      <c r="M1650" s="1395">
        <f>IF(raw[[#This Row],[city]]&lt;&gt;"",_xlfn.XLOOKUP($D1650,ccc[city],ccc[cont],"-"),"-")</f>
        <v/>
      </c>
      <c r="N1650" s="1396">
        <f>IF(raw[[#This Row],[city]]="","-",IF(raw[[#This Row],[cont]]="B",raw[[#This Row],[cont]],"W"))</f>
        <v/>
      </c>
      <c r="O1650" s="1397">
        <f>IF(raw[[#This Row],[out]]=0,0,IF(raw[[#This Row],[out]]=raw[[#This Row],[in]],0.01,raw[[#This Row],[out]]-raw[[#This Row],[in]]))</f>
        <v/>
      </c>
      <c r="P1650" s="1397">
        <f>IF(raw[[#This Row],[in]]=0,0,MONTH(raw[[#This Row],[in]]))</f>
        <v/>
      </c>
      <c r="Q1650" s="1397">
        <f>IF(raw[[#This Row],[in]]=0,0,YEAR(raw[[#This Row],[in]]))</f>
        <v/>
      </c>
      <c r="R1650" s="1397">
        <f>INT(raw[[#This Row],[yr]]/10)*10</f>
        <v/>
      </c>
      <c r="S1650" s="1395">
        <f>IF(raw[[#This Row],[city]]="","-",IF(raw[[#This Row],[city]]&lt;&gt;_xlfn.XLOOKUP(raw[[#This Row],[home]],homes[home],homes[city],"-"),1,0))</f>
        <v/>
      </c>
      <c r="T1650" s="1398" t="inlineStr">
        <is>
          <t>.</t>
        </is>
      </c>
      <c r="U1650" s="1399">
        <f>IF(raw[[#This Row],[wb]]="w",raw[[#This Row],[stay]]+U1649,U1649)</f>
        <v/>
      </c>
      <c r="V1650" s="1400">
        <f>IF(raw[[#This Row],[out]]=0,V1649,(raw[[#This Row],[out]]-E$5))</f>
        <v/>
      </c>
      <c r="W1650" s="1401">
        <f>U1650/V1650</f>
        <v/>
      </c>
      <c r="X1650" s="1392" t="n"/>
      <c r="Y1650" s="1392" t="n"/>
      <c r="Z1650" s="1392" t="n"/>
      <c r="AA1650" s="1392" t="n"/>
      <c r="AB1650" s="1392" t="n"/>
      <c r="AC1650" s="1392" t="n"/>
      <c r="AD1650" s="1392" t="n"/>
      <c r="AE1650" s="1392" t="n"/>
      <c r="AF1650" s="1392" t="n"/>
      <c r="AG1650" s="1392" t="n"/>
      <c r="AH1650" s="1392" t="n"/>
      <c r="AI1650" s="1392" t="n"/>
      <c r="AJ1650" s="1392" t="n"/>
      <c r="AK1650" s="1392" t="n"/>
      <c r="AL1650" s="1392" t="n"/>
      <c r="AM1650" s="1392" t="n"/>
      <c r="AN1650" s="1392" t="n"/>
      <c r="AO1650" s="1392" t="n"/>
      <c r="AP1650" s="1392" t="n"/>
      <c r="AQ1650" s="1392" t="n"/>
      <c r="AR1650" s="1422" t="n"/>
      <c r="AS1650" s="1422" t="n"/>
      <c r="AT1650" s="1392" t="n"/>
      <c r="AU1650" s="1392" t="n"/>
      <c r="AV1650" s="1392" t="n"/>
      <c r="AW1650" s="1392" t="n"/>
      <c r="AX1650" s="1392" t="n"/>
      <c r="AY1650" s="1392" t="n"/>
      <c r="AZ1650" s="1392" t="n"/>
      <c r="BA1650" s="1422" t="n"/>
      <c r="BB1650" s="1422" t="n"/>
      <c r="BC1650" s="1392" t="n"/>
      <c r="BD1650" s="1392" t="n"/>
      <c r="BE1650" s="1392" t="n"/>
      <c r="BF1650" s="1392" t="n"/>
      <c r="BG1650" s="1392" t="n"/>
      <c r="BH1650" s="1392" t="n"/>
      <c r="BI1650" s="1392" t="n"/>
      <c r="BJ1650" s="1392" t="n"/>
      <c r="BK1650" s="1392" t="n"/>
      <c r="BL1650" s="1392" t="n"/>
      <c r="BM1650" s="1392" t="n"/>
      <c r="BN1650" s="1392" t="n"/>
      <c r="BO1650" s="1392" t="n"/>
      <c r="BP1650" s="1392" t="n"/>
      <c r="BQ1650" s="1392" t="n"/>
      <c r="BR1650" s="1392" t="n"/>
      <c r="BS1650" s="1392" t="n"/>
      <c r="BT1650" s="1392" t="n"/>
      <c r="BU1650" s="1392" t="n"/>
      <c r="BV1650" s="1392" t="n"/>
      <c r="BW1650" s="1392" t="n"/>
      <c r="BX1650" s="1392" t="n"/>
      <c r="BY1650" s="1392" t="n"/>
      <c r="BZ1650" s="1392" t="n"/>
      <c r="CA1650" s="1392" t="n"/>
      <c r="CB1650" s="1392" t="n"/>
      <c r="CC1650" s="1392" t="n"/>
      <c r="CD1650" s="1392" t="n"/>
      <c r="CE1650" s="1392" t="n"/>
      <c r="CF1650" s="1392" t="n"/>
      <c r="CG1650" s="1392" t="n"/>
      <c r="CH1650" s="1392" t="n"/>
      <c r="CI1650" s="1392" t="n"/>
      <c r="CJ1650" s="1392" t="n"/>
      <c r="CK1650" s="1392" t="n"/>
      <c r="CL1650" s="1392" t="n"/>
    </row>
    <row r="1651">
      <c r="A1651" s="5" t="inlineStr">
        <is>
          <t>.</t>
        </is>
      </c>
      <c r="B1651" s="5" t="inlineStr">
        <is>
          <t>.</t>
        </is>
      </c>
      <c r="C1651" s="1378">
        <f>IF(raw[[#This Row],[city]]="","-",IF(raw[[#This Row],[city]]="TODAY","-",C1650+1))</f>
        <v/>
      </c>
      <c r="D1651" s="1393" t="inlineStr">
        <is>
          <t>Monteroni d'Arbia</t>
        </is>
      </c>
      <c r="E1651" s="1394" t="n">
        <v>44751</v>
      </c>
      <c r="F1651" s="1394" t="n">
        <v>44751</v>
      </c>
      <c r="G1651" s="1393" t="inlineStr">
        <is>
          <t>-</t>
        </is>
      </c>
      <c r="H1651" s="1393" t="inlineStr">
        <is>
          <t>Marie-Victorin</t>
        </is>
      </c>
      <c r="I1651" s="1393" t="inlineStr">
        <is>
          <t>Bike Trip</t>
        </is>
      </c>
      <c r="J1651" s="1393" t="inlineStr">
        <is>
          <t>-</t>
        </is>
      </c>
      <c r="K1651" s="1395">
        <f>IF(raw[[#This Row],[city]]&lt;&gt;"",_xlfn.XLOOKUP($D1651,ccc[city],ccc[prov],"-"),"-")</f>
        <v/>
      </c>
      <c r="L1651" s="1395">
        <f>IF(raw[[#This Row],[city]]&lt;&gt;"",_xlfn.XLOOKUP($D1651,ccc[city],ccc[ctry],"-"),"-")</f>
        <v/>
      </c>
      <c r="M1651" s="1395">
        <f>IF(raw[[#This Row],[city]]&lt;&gt;"",_xlfn.XLOOKUP($D1651,ccc[city],ccc[cont],"-"),"-")</f>
        <v/>
      </c>
      <c r="N1651" s="1396">
        <f>IF(raw[[#This Row],[city]]="","-",IF(raw[[#This Row],[cont]]="B",raw[[#This Row],[cont]],"W"))</f>
        <v/>
      </c>
      <c r="O1651" s="1397">
        <f>IF(raw[[#This Row],[out]]=0,0,IF(raw[[#This Row],[out]]=raw[[#This Row],[in]],0.01,raw[[#This Row],[out]]-raw[[#This Row],[in]]))</f>
        <v/>
      </c>
      <c r="P1651" s="1397">
        <f>IF(raw[[#This Row],[in]]=0,0,MONTH(raw[[#This Row],[in]]))</f>
        <v/>
      </c>
      <c r="Q1651" s="1397">
        <f>IF(raw[[#This Row],[in]]=0,0,YEAR(raw[[#This Row],[in]]))</f>
        <v/>
      </c>
      <c r="R1651" s="1397">
        <f>INT(raw[[#This Row],[yr]]/10)*10</f>
        <v/>
      </c>
      <c r="S1651" s="1395">
        <f>IF(raw[[#This Row],[city]]="","-",IF(raw[[#This Row],[city]]&lt;&gt;_xlfn.XLOOKUP(raw[[#This Row],[home]],homes[home],homes[city],"-"),1,0))</f>
        <v/>
      </c>
      <c r="T1651" s="1398" t="inlineStr">
        <is>
          <t>.</t>
        </is>
      </c>
      <c r="U1651" s="1399">
        <f>IF(raw[[#This Row],[wb]]="w",raw[[#This Row],[stay]]+U1650,U1650)</f>
        <v/>
      </c>
      <c r="V1651" s="1400">
        <f>IF(raw[[#This Row],[out]]=0,V1650,(raw[[#This Row],[out]]-E$5))</f>
        <v/>
      </c>
      <c r="W1651" s="1401">
        <f>U1651/V1651</f>
        <v/>
      </c>
      <c r="X1651" s="1392" t="n"/>
      <c r="Y1651" s="1392" t="n"/>
      <c r="Z1651" s="1392" t="n"/>
      <c r="AA1651" s="1392" t="n"/>
      <c r="AB1651" s="1392" t="n"/>
      <c r="AC1651" s="1392" t="n"/>
      <c r="AD1651" s="1392" t="n"/>
      <c r="AE1651" s="1392" t="n"/>
      <c r="AF1651" s="1392" t="n"/>
      <c r="AG1651" s="1392" t="n"/>
      <c r="AH1651" s="1392" t="n"/>
      <c r="AI1651" s="1392" t="n"/>
      <c r="AJ1651" s="1392" t="n"/>
      <c r="AK1651" s="1392" t="n"/>
      <c r="AL1651" s="1392" t="n"/>
      <c r="AM1651" s="1392" t="n"/>
      <c r="AN1651" s="1392" t="n"/>
      <c r="AO1651" s="1392" t="n"/>
      <c r="AP1651" s="1392" t="n"/>
      <c r="AQ1651" s="1392" t="n"/>
      <c r="AR1651" s="1422" t="n"/>
      <c r="AS1651" s="1422" t="n"/>
      <c r="AT1651" s="1392" t="n"/>
      <c r="AU1651" s="1392" t="n"/>
      <c r="AV1651" s="1392" t="n"/>
      <c r="AW1651" s="1392" t="n"/>
      <c r="AX1651" s="1392" t="n"/>
      <c r="AY1651" s="1392" t="n"/>
      <c r="AZ1651" s="1392" t="n"/>
      <c r="BA1651" s="1422" t="n"/>
      <c r="BB1651" s="1422" t="n"/>
      <c r="BC1651" s="1392" t="n"/>
      <c r="BD1651" s="1392" t="n"/>
      <c r="BE1651" s="1392" t="n"/>
      <c r="BF1651" s="1392" t="n"/>
      <c r="BG1651" s="1392" t="n"/>
      <c r="BH1651" s="1392" t="n"/>
      <c r="BI1651" s="1392" t="n"/>
      <c r="BJ1651" s="1392" t="n"/>
      <c r="BK1651" s="1392" t="n"/>
      <c r="BL1651" s="1392" t="n"/>
      <c r="BM1651" s="1392" t="n"/>
      <c r="BN1651" s="1392" t="n"/>
      <c r="BO1651" s="1392" t="n"/>
      <c r="BP1651" s="1392" t="n"/>
      <c r="BQ1651" s="1392" t="n"/>
      <c r="BR1651" s="1392" t="n"/>
      <c r="BS1651" s="1392" t="n"/>
      <c r="BT1651" s="1392" t="n"/>
      <c r="BU1651" s="1392" t="n"/>
      <c r="BV1651" s="1392" t="n"/>
      <c r="BW1651" s="1392" t="n"/>
      <c r="BX1651" s="1392" t="n"/>
      <c r="BY1651" s="1392" t="n"/>
      <c r="BZ1651" s="1392" t="n"/>
      <c r="CA1651" s="1392" t="n"/>
      <c r="CB1651" s="1392" t="n"/>
      <c r="CC1651" s="1392" t="n"/>
      <c r="CD1651" s="1392" t="n"/>
      <c r="CE1651" s="1392" t="n"/>
      <c r="CF1651" s="1392" t="n"/>
      <c r="CG1651" s="1392" t="n"/>
      <c r="CH1651" s="1392" t="n"/>
      <c r="CI1651" s="1392" t="n"/>
      <c r="CJ1651" s="1392" t="n"/>
      <c r="CK1651" s="1392" t="n"/>
      <c r="CL1651" s="1392" t="n"/>
    </row>
    <row r="1652">
      <c r="A1652" s="5" t="inlineStr">
        <is>
          <t>.</t>
        </is>
      </c>
      <c r="B1652" s="5" t="inlineStr">
        <is>
          <t>.</t>
        </is>
      </c>
      <c r="C1652" s="1378">
        <f>IF(raw[[#This Row],[city]]="","-",IF(raw[[#This Row],[city]]="TODAY","-",C1651+1))</f>
        <v/>
      </c>
      <c r="D1652" s="1393" t="inlineStr">
        <is>
          <t>Buonconvento</t>
        </is>
      </c>
      <c r="E1652" s="1394" t="n">
        <v>44751</v>
      </c>
      <c r="F1652" s="1394" t="n">
        <v>44753</v>
      </c>
      <c r="G1652" s="1393" t="inlineStr">
        <is>
          <t>-</t>
        </is>
      </c>
      <c r="H1652" s="1393" t="inlineStr">
        <is>
          <t>Marie-Victorin</t>
        </is>
      </c>
      <c r="I1652" s="1393" t="inlineStr">
        <is>
          <t>Bike Trip</t>
        </is>
      </c>
      <c r="J1652" s="1393" t="inlineStr">
        <is>
          <t>-</t>
        </is>
      </c>
      <c r="K1652" s="1395">
        <f>IF(raw[[#This Row],[city]]&lt;&gt;"",_xlfn.XLOOKUP($D1652,ccc[city],ccc[prov],"-"),"-")</f>
        <v/>
      </c>
      <c r="L1652" s="1395">
        <f>IF(raw[[#This Row],[city]]&lt;&gt;"",_xlfn.XLOOKUP($D1652,ccc[city],ccc[ctry],"-"),"-")</f>
        <v/>
      </c>
      <c r="M1652" s="1395">
        <f>IF(raw[[#This Row],[city]]&lt;&gt;"",_xlfn.XLOOKUP($D1652,ccc[city],ccc[cont],"-"),"-")</f>
        <v/>
      </c>
      <c r="N1652" s="1396">
        <f>IF(raw[[#This Row],[city]]="","-",IF(raw[[#This Row],[cont]]="B",raw[[#This Row],[cont]],"W"))</f>
        <v/>
      </c>
      <c r="O1652" s="1397">
        <f>IF(raw[[#This Row],[out]]=0,0,IF(raw[[#This Row],[out]]=raw[[#This Row],[in]],0.01,raw[[#This Row],[out]]-raw[[#This Row],[in]]))</f>
        <v/>
      </c>
      <c r="P1652" s="1397">
        <f>IF(raw[[#This Row],[in]]=0,0,MONTH(raw[[#This Row],[in]]))</f>
        <v/>
      </c>
      <c r="Q1652" s="1397">
        <f>IF(raw[[#This Row],[in]]=0,0,YEAR(raw[[#This Row],[in]]))</f>
        <v/>
      </c>
      <c r="R1652" s="1397">
        <f>INT(raw[[#This Row],[yr]]/10)*10</f>
        <v/>
      </c>
      <c r="S1652" s="1395">
        <f>IF(raw[[#This Row],[city]]="","-",IF(raw[[#This Row],[city]]&lt;&gt;_xlfn.XLOOKUP(raw[[#This Row],[home]],homes[home],homes[city],"-"),1,0))</f>
        <v/>
      </c>
      <c r="T1652" s="1398" t="inlineStr">
        <is>
          <t>.</t>
        </is>
      </c>
      <c r="U1652" s="1399">
        <f>IF(raw[[#This Row],[wb]]="w",raw[[#This Row],[stay]]+U1651,U1651)</f>
        <v/>
      </c>
      <c r="V1652" s="1400">
        <f>IF(raw[[#This Row],[out]]=0,V1651,(raw[[#This Row],[out]]-E$5))</f>
        <v/>
      </c>
      <c r="W1652" s="1401">
        <f>U1652/V1652</f>
        <v/>
      </c>
      <c r="X1652" s="1392" t="n"/>
      <c r="Y1652" s="1392" t="n"/>
      <c r="Z1652" s="1392" t="n"/>
      <c r="AA1652" s="1392" t="n"/>
      <c r="AB1652" s="1392" t="n"/>
      <c r="AC1652" s="1392" t="n"/>
      <c r="AD1652" s="1392" t="n"/>
      <c r="AE1652" s="1392" t="n"/>
      <c r="AF1652" s="1392" t="n"/>
      <c r="AG1652" s="1392" t="n"/>
      <c r="AH1652" s="1392" t="n"/>
      <c r="AI1652" s="1392" t="n"/>
      <c r="AJ1652" s="1392" t="n"/>
      <c r="AK1652" s="1392" t="n"/>
      <c r="AL1652" s="1392" t="n"/>
      <c r="AM1652" s="1392" t="n"/>
      <c r="AN1652" s="1392" t="n"/>
      <c r="AO1652" s="1392" t="n"/>
      <c r="AP1652" s="1392" t="n"/>
      <c r="AQ1652" s="1392" t="n"/>
      <c r="AR1652" s="1422" t="n"/>
      <c r="AS1652" s="1422" t="n"/>
      <c r="AT1652" s="1392" t="n"/>
      <c r="AU1652" s="1392" t="n"/>
      <c r="AV1652" s="1392" t="n"/>
      <c r="AW1652" s="1392" t="n"/>
      <c r="AX1652" s="1392" t="n"/>
      <c r="AY1652" s="1392" t="n"/>
      <c r="AZ1652" s="1392" t="n"/>
      <c r="BA1652" s="1422" t="n"/>
      <c r="BB1652" s="1422" t="n"/>
      <c r="BC1652" s="1392" t="n"/>
      <c r="BD1652" s="1392" t="n"/>
      <c r="BE1652" s="1392" t="n"/>
      <c r="BF1652" s="1392" t="n"/>
      <c r="BG1652" s="1392" t="n"/>
      <c r="BH1652" s="1392" t="n"/>
      <c r="BI1652" s="1392" t="n"/>
      <c r="BJ1652" s="1392" t="n"/>
      <c r="BK1652" s="1392" t="n"/>
      <c r="BL1652" s="1392" t="n"/>
      <c r="BM1652" s="1392" t="n"/>
      <c r="BN1652" s="1392" t="n"/>
      <c r="BO1652" s="1392" t="n"/>
      <c r="BP1652" s="1392" t="n"/>
      <c r="BQ1652" s="1392" t="n"/>
      <c r="BR1652" s="1392" t="n"/>
      <c r="BS1652" s="1392" t="n"/>
      <c r="BT1652" s="1392" t="n"/>
      <c r="BU1652" s="1392" t="n"/>
      <c r="BV1652" s="1392" t="n"/>
      <c r="BW1652" s="1392" t="n"/>
      <c r="BX1652" s="1392" t="n"/>
      <c r="BY1652" s="1392" t="n"/>
      <c r="BZ1652" s="1392" t="n"/>
      <c r="CA1652" s="1392" t="n"/>
      <c r="CB1652" s="1392" t="n"/>
      <c r="CC1652" s="1392" t="n"/>
      <c r="CD1652" s="1392" t="n"/>
      <c r="CE1652" s="1392" t="n"/>
      <c r="CF1652" s="1392" t="n"/>
      <c r="CG1652" s="1392" t="n"/>
      <c r="CH1652" s="1392" t="n"/>
      <c r="CI1652" s="1392" t="n"/>
      <c r="CJ1652" s="1392" t="n"/>
      <c r="CK1652" s="1392" t="n"/>
      <c r="CL1652" s="1392" t="n"/>
    </row>
    <row r="1653">
      <c r="A1653" s="5" t="inlineStr">
        <is>
          <t>.</t>
        </is>
      </c>
      <c r="B1653" s="5" t="inlineStr">
        <is>
          <t>.</t>
        </is>
      </c>
      <c r="C1653" s="1378">
        <f>IF(raw[[#This Row],[city]]="","-",IF(raw[[#This Row],[city]]="TODAY","-",C1652+1))</f>
        <v/>
      </c>
      <c r="D1653" s="1393" t="inlineStr">
        <is>
          <t>Grosseto</t>
        </is>
      </c>
      <c r="E1653" s="1394" t="n">
        <v>44753</v>
      </c>
      <c r="F1653" s="1394" t="n">
        <v>44753</v>
      </c>
      <c r="G1653" s="1393" t="inlineStr">
        <is>
          <t>-</t>
        </is>
      </c>
      <c r="H1653" s="1393" t="inlineStr">
        <is>
          <t>Marie-Victorin</t>
        </is>
      </c>
      <c r="I1653" s="1393" t="inlineStr">
        <is>
          <t>Bike Trip</t>
        </is>
      </c>
      <c r="J1653" s="1393" t="inlineStr">
        <is>
          <t>-</t>
        </is>
      </c>
      <c r="K1653" s="1395">
        <f>IF(raw[[#This Row],[city]]&lt;&gt;"",_xlfn.XLOOKUP($D1653,ccc[city],ccc[prov],"-"),"-")</f>
        <v/>
      </c>
      <c r="L1653" s="1395">
        <f>IF(raw[[#This Row],[city]]&lt;&gt;"",_xlfn.XLOOKUP($D1653,ccc[city],ccc[ctry],"-"),"-")</f>
        <v/>
      </c>
      <c r="M1653" s="1395">
        <f>IF(raw[[#This Row],[city]]&lt;&gt;"",_xlfn.XLOOKUP($D1653,ccc[city],ccc[cont],"-"),"-")</f>
        <v/>
      </c>
      <c r="N1653" s="1396">
        <f>IF(raw[[#This Row],[city]]="","-",IF(raw[[#This Row],[cont]]="B",raw[[#This Row],[cont]],"W"))</f>
        <v/>
      </c>
      <c r="O1653" s="1397">
        <f>IF(raw[[#This Row],[out]]=0,0,IF(raw[[#This Row],[out]]=raw[[#This Row],[in]],0.01,raw[[#This Row],[out]]-raw[[#This Row],[in]]))</f>
        <v/>
      </c>
      <c r="P1653" s="1397">
        <f>IF(raw[[#This Row],[in]]=0,0,MONTH(raw[[#This Row],[in]]))</f>
        <v/>
      </c>
      <c r="Q1653" s="1397">
        <f>IF(raw[[#This Row],[in]]=0,0,YEAR(raw[[#This Row],[in]]))</f>
        <v/>
      </c>
      <c r="R1653" s="1397">
        <f>INT(raw[[#This Row],[yr]]/10)*10</f>
        <v/>
      </c>
      <c r="S1653" s="1395">
        <f>IF(raw[[#This Row],[city]]="","-",IF(raw[[#This Row],[city]]&lt;&gt;_xlfn.XLOOKUP(raw[[#This Row],[home]],homes[home],homes[city],"-"),1,0))</f>
        <v/>
      </c>
      <c r="T1653" s="1398" t="inlineStr">
        <is>
          <t>.</t>
        </is>
      </c>
      <c r="U1653" s="1399">
        <f>IF(raw[[#This Row],[wb]]="w",raw[[#This Row],[stay]]+U1652,U1652)</f>
        <v/>
      </c>
      <c r="V1653" s="1400">
        <f>IF(raw[[#This Row],[out]]=0,V1652,(raw[[#This Row],[out]]-E$5))</f>
        <v/>
      </c>
      <c r="W1653" s="1401">
        <f>U1653/V1653</f>
        <v/>
      </c>
      <c r="X1653" s="1392" t="n"/>
      <c r="Y1653" s="1392" t="n"/>
      <c r="Z1653" s="1392" t="n"/>
      <c r="AA1653" s="1392" t="n"/>
      <c r="AB1653" s="1392" t="n"/>
      <c r="AC1653" s="1392" t="n"/>
      <c r="AD1653" s="1392" t="n"/>
      <c r="AE1653" s="1392" t="n"/>
      <c r="AF1653" s="1392" t="n"/>
      <c r="AG1653" s="1392" t="n"/>
      <c r="AH1653" s="1392" t="n"/>
      <c r="AI1653" s="1392" t="n"/>
      <c r="AJ1653" s="1392" t="n"/>
      <c r="AK1653" s="1392" t="n"/>
      <c r="AL1653" s="1392" t="n"/>
      <c r="AM1653" s="1392" t="n"/>
      <c r="AN1653" s="1392" t="n"/>
      <c r="AO1653" s="1392" t="n"/>
      <c r="AP1653" s="1392" t="n"/>
      <c r="AQ1653" s="1392" t="n"/>
      <c r="AR1653" s="1422" t="n"/>
      <c r="AS1653" s="1422" t="n"/>
      <c r="AT1653" s="1392" t="n"/>
      <c r="AU1653" s="1392" t="n"/>
      <c r="AV1653" s="1392" t="n"/>
      <c r="AW1653" s="1392" t="n"/>
      <c r="AX1653" s="1392" t="n"/>
      <c r="AY1653" s="1392" t="n"/>
      <c r="AZ1653" s="1392" t="n"/>
      <c r="BA1653" s="1422" t="n"/>
      <c r="BB1653" s="1422" t="n"/>
      <c r="BC1653" s="1392" t="n"/>
      <c r="BD1653" s="1392" t="n"/>
      <c r="BE1653" s="1392" t="n"/>
      <c r="BF1653" s="1392" t="n"/>
      <c r="BG1653" s="1392" t="n"/>
      <c r="BH1653" s="1392" t="n"/>
      <c r="BI1653" s="1392" t="n"/>
      <c r="BJ1653" s="1392" t="n"/>
      <c r="BK1653" s="1392" t="n"/>
      <c r="BL1653" s="1392" t="n"/>
      <c r="BM1653" s="1392" t="n"/>
      <c r="BN1653" s="1392" t="n"/>
      <c r="BO1653" s="1392" t="n"/>
      <c r="BP1653" s="1392" t="n"/>
      <c r="BQ1653" s="1392" t="n"/>
      <c r="BR1653" s="1392" t="n"/>
      <c r="BS1653" s="1392" t="n"/>
      <c r="BT1653" s="1392" t="n"/>
      <c r="BU1653" s="1392" t="n"/>
      <c r="BV1653" s="1392" t="n"/>
      <c r="BW1653" s="1392" t="n"/>
      <c r="BX1653" s="1392" t="n"/>
      <c r="BY1653" s="1392" t="n"/>
      <c r="BZ1653" s="1392" t="n"/>
      <c r="CA1653" s="1392" t="n"/>
      <c r="CB1653" s="1392" t="n"/>
      <c r="CC1653" s="1392" t="n"/>
      <c r="CD1653" s="1392" t="n"/>
      <c r="CE1653" s="1392" t="n"/>
      <c r="CF1653" s="1392" t="n"/>
      <c r="CG1653" s="1392" t="n"/>
      <c r="CH1653" s="1392" t="n"/>
      <c r="CI1653" s="1392" t="n"/>
      <c r="CJ1653" s="1392" t="n"/>
      <c r="CK1653" s="1392" t="n"/>
      <c r="CL1653" s="1392" t="n"/>
    </row>
    <row r="1654">
      <c r="A1654" s="5" t="inlineStr">
        <is>
          <t>.</t>
        </is>
      </c>
      <c r="B1654" s="5" t="inlineStr">
        <is>
          <t>.</t>
        </is>
      </c>
      <c r="C1654" s="1378">
        <f>IF(raw[[#This Row],[city]]="","-",IF(raw[[#This Row],[city]]="TODAY","-",C1653+1))</f>
        <v/>
      </c>
      <c r="D1654" s="1393" t="inlineStr">
        <is>
          <t>Rome</t>
        </is>
      </c>
      <c r="E1654" s="1394" t="n">
        <v>44753</v>
      </c>
      <c r="F1654" s="1394" t="n">
        <v>44757</v>
      </c>
      <c r="G1654" s="1393" t="n">
        <v>1</v>
      </c>
      <c r="H1654" s="1393" t="inlineStr">
        <is>
          <t>Marie-Victorin</t>
        </is>
      </c>
      <c r="I1654" s="1393" t="inlineStr">
        <is>
          <t>Bike Trip</t>
        </is>
      </c>
      <c r="J1654" s="1393" t="inlineStr">
        <is>
          <t>-</t>
        </is>
      </c>
      <c r="K1654" s="1395">
        <f>IF(raw[[#This Row],[city]]&lt;&gt;"",_xlfn.XLOOKUP($D1654,ccc[city],ccc[prov],"-"),"-")</f>
        <v/>
      </c>
      <c r="L1654" s="1395">
        <f>IF(raw[[#This Row],[city]]&lt;&gt;"",_xlfn.XLOOKUP($D1654,ccc[city],ccc[ctry],"-"),"-")</f>
        <v/>
      </c>
      <c r="M1654" s="1395">
        <f>IF(raw[[#This Row],[city]]&lt;&gt;"",_xlfn.XLOOKUP($D1654,ccc[city],ccc[cont],"-"),"-")</f>
        <v/>
      </c>
      <c r="N1654" s="1396">
        <f>IF(raw[[#This Row],[city]]="","-",IF(raw[[#This Row],[cont]]="B",raw[[#This Row],[cont]],"W"))</f>
        <v/>
      </c>
      <c r="O1654" s="1397">
        <f>IF(raw[[#This Row],[out]]=0,0,IF(raw[[#This Row],[out]]=raw[[#This Row],[in]],0.01,raw[[#This Row],[out]]-raw[[#This Row],[in]]))</f>
        <v/>
      </c>
      <c r="P1654" s="1397">
        <f>IF(raw[[#This Row],[in]]=0,0,MONTH(raw[[#This Row],[in]]))</f>
        <v/>
      </c>
      <c r="Q1654" s="1397">
        <f>IF(raw[[#This Row],[in]]=0,0,YEAR(raw[[#This Row],[in]]))</f>
        <v/>
      </c>
      <c r="R1654" s="1397">
        <f>INT(raw[[#This Row],[yr]]/10)*10</f>
        <v/>
      </c>
      <c r="S1654" s="1395">
        <f>IF(raw[[#This Row],[city]]="","-",IF(raw[[#This Row],[city]]&lt;&gt;_xlfn.XLOOKUP(raw[[#This Row],[home]],homes[home],homes[city],"-"),1,0))</f>
        <v/>
      </c>
      <c r="T1654" s="1398" t="inlineStr">
        <is>
          <t>.</t>
        </is>
      </c>
      <c r="U1654" s="1399">
        <f>IF(raw[[#This Row],[wb]]="w",raw[[#This Row],[stay]]+U1653,U1653)</f>
        <v/>
      </c>
      <c r="V1654" s="1400">
        <f>IF(raw[[#This Row],[out]]=0,V1653,(raw[[#This Row],[out]]-E$5))</f>
        <v/>
      </c>
      <c r="W1654" s="1401">
        <f>U1654/V1654</f>
        <v/>
      </c>
      <c r="X1654" s="1392" t="n"/>
      <c r="Y1654" s="1392" t="n"/>
      <c r="Z1654" s="1392" t="n"/>
      <c r="AA1654" s="1392" t="n"/>
      <c r="AB1654" s="1392" t="n"/>
      <c r="AC1654" s="1392" t="n"/>
      <c r="AD1654" s="1392" t="n"/>
      <c r="AE1654" s="1392" t="n"/>
      <c r="AF1654" s="1392" t="n"/>
      <c r="AG1654" s="1392" t="n"/>
      <c r="AH1654" s="1392" t="n"/>
      <c r="AI1654" s="1392" t="n"/>
      <c r="AJ1654" s="1392" t="n"/>
      <c r="AK1654" s="1392" t="n"/>
      <c r="AL1654" s="1392" t="n"/>
      <c r="AM1654" s="1392" t="n"/>
      <c r="AN1654" s="1392" t="n"/>
      <c r="AO1654" s="1392" t="n"/>
      <c r="AP1654" s="1392" t="n"/>
      <c r="AQ1654" s="1392" t="n"/>
      <c r="AR1654" s="1422" t="n"/>
      <c r="AS1654" s="1422" t="n"/>
      <c r="AT1654" s="1392" t="n"/>
      <c r="AU1654" s="1392" t="n"/>
      <c r="AV1654" s="1392" t="n"/>
      <c r="AW1654" s="1392" t="n"/>
      <c r="AX1654" s="1392" t="n"/>
      <c r="AY1654" s="1392" t="n"/>
      <c r="AZ1654" s="1392" t="n"/>
      <c r="BA1654" s="1422" t="n"/>
      <c r="BB1654" s="1422" t="n"/>
      <c r="BC1654" s="1392" t="n"/>
      <c r="BD1654" s="1392" t="n"/>
      <c r="BE1654" s="1392" t="n"/>
      <c r="BF1654" s="1392" t="n"/>
      <c r="BG1654" s="1392" t="n"/>
      <c r="BH1654" s="1392" t="n"/>
      <c r="BI1654" s="1392" t="n"/>
      <c r="BJ1654" s="1392" t="n"/>
      <c r="BK1654" s="1392" t="n"/>
      <c r="BL1654" s="1392" t="n"/>
      <c r="BM1654" s="1392" t="n"/>
      <c r="BN1654" s="1392" t="n"/>
      <c r="BO1654" s="1392" t="n"/>
      <c r="BP1654" s="1392" t="n"/>
      <c r="BQ1654" s="1392" t="n"/>
      <c r="BR1654" s="1392" t="n"/>
      <c r="BS1654" s="1392" t="n"/>
      <c r="BT1654" s="1392" t="n"/>
      <c r="BU1654" s="1392" t="n"/>
      <c r="BV1654" s="1392" t="n"/>
      <c r="BW1654" s="1392" t="n"/>
      <c r="BX1654" s="1392" t="n"/>
      <c r="BY1654" s="1392" t="n"/>
      <c r="BZ1654" s="1392" t="n"/>
      <c r="CA1654" s="1392" t="n"/>
      <c r="CB1654" s="1392" t="n"/>
      <c r="CC1654" s="1392" t="n"/>
      <c r="CD1654" s="1392" t="n"/>
      <c r="CE1654" s="1392" t="n"/>
      <c r="CF1654" s="1392" t="n"/>
      <c r="CG1654" s="1392" t="n"/>
      <c r="CH1654" s="1392" t="n"/>
      <c r="CI1654" s="1392" t="n"/>
      <c r="CJ1654" s="1392" t="n"/>
      <c r="CK1654" s="1392" t="n"/>
      <c r="CL1654" s="1392" t="n"/>
    </row>
    <row r="1655">
      <c r="A1655" s="5" t="inlineStr">
        <is>
          <t>.</t>
        </is>
      </c>
      <c r="B1655" s="5" t="inlineStr">
        <is>
          <t>.</t>
        </is>
      </c>
      <c r="C1655" s="1378">
        <f>IF(raw[[#This Row],[city]]="","-",IF(raw[[#This Row],[city]]="TODAY","-",C1654+1))</f>
        <v/>
      </c>
      <c r="D1655" s="1393" t="inlineStr">
        <is>
          <t>Amsterdam</t>
        </is>
      </c>
      <c r="E1655" s="1394" t="n">
        <v>44757</v>
      </c>
      <c r="F1655" s="1394" t="n">
        <v>44759</v>
      </c>
      <c r="G1655" s="1393" t="inlineStr">
        <is>
          <t>-</t>
        </is>
      </c>
      <c r="H1655" s="1393" t="inlineStr">
        <is>
          <t>Marie-Victorin</t>
        </is>
      </c>
      <c r="I1655" s="1393" t="inlineStr">
        <is>
          <t>-</t>
        </is>
      </c>
      <c r="J1655" s="1393" t="inlineStr">
        <is>
          <t>-</t>
        </is>
      </c>
      <c r="K1655" s="1395">
        <f>IF(raw[[#This Row],[city]]&lt;&gt;"",_xlfn.XLOOKUP($D1655,ccc[city],ccc[prov],"-"),"-")</f>
        <v/>
      </c>
      <c r="L1655" s="1395">
        <f>IF(raw[[#This Row],[city]]&lt;&gt;"",_xlfn.XLOOKUP($D1655,ccc[city],ccc[ctry],"-"),"-")</f>
        <v/>
      </c>
      <c r="M1655" s="1395">
        <f>IF(raw[[#This Row],[city]]&lt;&gt;"",_xlfn.XLOOKUP($D1655,ccc[city],ccc[cont],"-"),"-")</f>
        <v/>
      </c>
      <c r="N1655" s="1396">
        <f>IF(raw[[#This Row],[city]]="","-",IF(raw[[#This Row],[cont]]="B",raw[[#This Row],[cont]],"W"))</f>
        <v/>
      </c>
      <c r="O1655" s="1397">
        <f>IF(raw[[#This Row],[out]]=0,0,IF(raw[[#This Row],[out]]=raw[[#This Row],[in]],0.01,raw[[#This Row],[out]]-raw[[#This Row],[in]]))</f>
        <v/>
      </c>
      <c r="P1655" s="1397">
        <f>IF(raw[[#This Row],[in]]=0,0,MONTH(raw[[#This Row],[in]]))</f>
        <v/>
      </c>
      <c r="Q1655" s="1397">
        <f>IF(raw[[#This Row],[in]]=0,0,YEAR(raw[[#This Row],[in]]))</f>
        <v/>
      </c>
      <c r="R1655" s="1397">
        <f>INT(raw[[#This Row],[yr]]/10)*10</f>
        <v/>
      </c>
      <c r="S1655" s="1395">
        <f>IF(raw[[#This Row],[city]]="","-",IF(raw[[#This Row],[city]]&lt;&gt;_xlfn.XLOOKUP(raw[[#This Row],[home]],homes[home],homes[city],"-"),1,0))</f>
        <v/>
      </c>
      <c r="T1655" s="1398" t="inlineStr">
        <is>
          <t>.</t>
        </is>
      </c>
      <c r="U1655" s="1399">
        <f>IF(raw[[#This Row],[wb]]="w",raw[[#This Row],[stay]]+U1654,U1654)</f>
        <v/>
      </c>
      <c r="V1655" s="1400">
        <f>IF(raw[[#This Row],[out]]=0,V1654,(raw[[#This Row],[out]]-E$5))</f>
        <v/>
      </c>
      <c r="W1655" s="1401">
        <f>U1655/V1655</f>
        <v/>
      </c>
      <c r="X1655" s="1392" t="n"/>
      <c r="Y1655" s="1392" t="n"/>
      <c r="Z1655" s="1392" t="n"/>
      <c r="AA1655" s="1392" t="n"/>
      <c r="AB1655" s="1392" t="n"/>
      <c r="AC1655" s="1392" t="n"/>
      <c r="AD1655" s="1392" t="n"/>
      <c r="AE1655" s="1392" t="n"/>
      <c r="AF1655" s="1392" t="n"/>
      <c r="AG1655" s="1392" t="n"/>
      <c r="AH1655" s="1392" t="n"/>
      <c r="AI1655" s="1392" t="n"/>
      <c r="AJ1655" s="1392" t="n"/>
      <c r="AK1655" s="1392" t="n"/>
      <c r="AL1655" s="1392" t="n"/>
      <c r="AM1655" s="1392" t="n"/>
      <c r="AN1655" s="1392" t="n"/>
      <c r="AO1655" s="1392" t="n"/>
      <c r="AP1655" s="1392" t="n"/>
      <c r="AQ1655" s="1392" t="n"/>
      <c r="AR1655" s="1422" t="n"/>
      <c r="AS1655" s="1422" t="n"/>
      <c r="AT1655" s="1392" t="n"/>
      <c r="AU1655" s="1392" t="n"/>
      <c r="AV1655" s="1392" t="n"/>
      <c r="AW1655" s="1392" t="n"/>
      <c r="AX1655" s="1392" t="n"/>
      <c r="AY1655" s="1392" t="n"/>
      <c r="AZ1655" s="1392" t="n"/>
      <c r="BA1655" s="1422" t="n"/>
      <c r="BB1655" s="1422" t="n"/>
      <c r="BC1655" s="1392" t="n"/>
      <c r="BD1655" s="1392" t="n"/>
      <c r="BE1655" s="1392" t="n"/>
      <c r="BF1655" s="1392" t="n"/>
      <c r="BG1655" s="1392" t="n"/>
      <c r="BH1655" s="1392" t="n"/>
      <c r="BI1655" s="1392" t="n"/>
      <c r="BJ1655" s="1392" t="n"/>
      <c r="BK1655" s="1392" t="n"/>
      <c r="BL1655" s="1392" t="n"/>
      <c r="BM1655" s="1392" t="n"/>
      <c r="BN1655" s="1392" t="n"/>
      <c r="BO1655" s="1392" t="n"/>
      <c r="BP1655" s="1392" t="n"/>
      <c r="BQ1655" s="1392" t="n"/>
      <c r="BR1655" s="1392" t="n"/>
      <c r="BS1655" s="1392" t="n"/>
      <c r="BT1655" s="1392" t="n"/>
      <c r="BU1655" s="1392" t="n"/>
      <c r="BV1655" s="1392" t="n"/>
      <c r="BW1655" s="1392" t="n"/>
      <c r="BX1655" s="1392" t="n"/>
      <c r="BY1655" s="1392" t="n"/>
      <c r="BZ1655" s="1392" t="n"/>
      <c r="CA1655" s="1392" t="n"/>
      <c r="CB1655" s="1392" t="n"/>
      <c r="CC1655" s="1392" t="n"/>
      <c r="CD1655" s="1392" t="n"/>
      <c r="CE1655" s="1392" t="n"/>
      <c r="CF1655" s="1392" t="n"/>
      <c r="CG1655" s="1392" t="n"/>
      <c r="CH1655" s="1392" t="n"/>
      <c r="CI1655" s="1392" t="n"/>
      <c r="CJ1655" s="1392" t="n"/>
      <c r="CK1655" s="1392" t="n"/>
      <c r="CL1655" s="1392" t="n"/>
    </row>
    <row r="1656">
      <c r="A1656" s="5" t="inlineStr">
        <is>
          <t>.</t>
        </is>
      </c>
      <c r="B1656" s="5" t="inlineStr">
        <is>
          <t>.</t>
        </is>
      </c>
      <c r="C1656" s="1378">
        <f>IF(raw[[#This Row],[city]]="","-",IF(raw[[#This Row],[city]]="TODAY","-",C1655+1))</f>
        <v/>
      </c>
      <c r="D1656" s="1393" t="inlineStr">
        <is>
          <t>Hoodddorp</t>
        </is>
      </c>
      <c r="E1656" s="1394" t="n">
        <v>44757</v>
      </c>
      <c r="F1656" s="1394" t="n">
        <v>44757</v>
      </c>
      <c r="G1656" s="1393" t="inlineStr">
        <is>
          <t>-</t>
        </is>
      </c>
      <c r="H1656" s="1393" t="inlineStr">
        <is>
          <t>Marie-Victorin</t>
        </is>
      </c>
      <c r="I1656" s="1393" t="n"/>
      <c r="J1656" s="1393" t="inlineStr">
        <is>
          <t>-</t>
        </is>
      </c>
      <c r="K1656" s="1395">
        <f>IF(raw[[#This Row],[city]]&lt;&gt;"",_xlfn.XLOOKUP($D1656,ccc[city],ccc[prov],"-"),"-")</f>
        <v/>
      </c>
      <c r="L1656" s="1395">
        <f>IF(raw[[#This Row],[city]]&lt;&gt;"",_xlfn.XLOOKUP($D1656,ccc[city],ccc[ctry],"-"),"-")</f>
        <v/>
      </c>
      <c r="M1656" s="1395">
        <f>IF(raw[[#This Row],[city]]&lt;&gt;"",_xlfn.XLOOKUP($D1656,ccc[city],ccc[cont],"-"),"-")</f>
        <v/>
      </c>
      <c r="N1656" s="1396">
        <f>IF(raw[[#This Row],[city]]="","-",IF(raw[[#This Row],[cont]]="B",raw[[#This Row],[cont]],"W"))</f>
        <v/>
      </c>
      <c r="O1656" s="1397">
        <f>IF(raw[[#This Row],[out]]=0,0,IF(raw[[#This Row],[out]]=raw[[#This Row],[in]],0.01,raw[[#This Row],[out]]-raw[[#This Row],[in]]))</f>
        <v/>
      </c>
      <c r="P1656" s="1397">
        <f>IF(raw[[#This Row],[in]]=0,0,MONTH(raw[[#This Row],[in]]))</f>
        <v/>
      </c>
      <c r="Q1656" s="1397">
        <f>IF(raw[[#This Row],[in]]=0,0,YEAR(raw[[#This Row],[in]]))</f>
        <v/>
      </c>
      <c r="R1656" s="1397">
        <f>INT(raw[[#This Row],[yr]]/10)*10</f>
        <v/>
      </c>
      <c r="S1656" s="1395">
        <f>IF(raw[[#This Row],[city]]="","-",IF(raw[[#This Row],[city]]&lt;&gt;_xlfn.XLOOKUP(raw[[#This Row],[home]],homes[home],homes[city],"-"),1,0))</f>
        <v/>
      </c>
      <c r="T1656" s="1398" t="inlineStr">
        <is>
          <t>.</t>
        </is>
      </c>
      <c r="U1656" s="1399">
        <f>IF(raw[[#This Row],[wb]]="w",raw[[#This Row],[stay]]+U1655,U1655)</f>
        <v/>
      </c>
      <c r="V1656" s="1400">
        <f>IF(raw[[#This Row],[out]]=0,V1655,(raw[[#This Row],[out]]-E$5))</f>
        <v/>
      </c>
      <c r="W1656" s="1401">
        <f>U1656/V1656</f>
        <v/>
      </c>
      <c r="X1656" s="1392" t="n"/>
      <c r="Y1656" s="1392" t="n"/>
      <c r="Z1656" s="1392" t="n"/>
      <c r="AA1656" s="1392" t="n"/>
      <c r="AB1656" s="1392" t="n"/>
      <c r="AC1656" s="1392" t="n"/>
      <c r="AD1656" s="1392" t="n"/>
      <c r="AE1656" s="1392" t="n"/>
      <c r="AF1656" s="1392" t="n"/>
      <c r="AG1656" s="1392" t="n"/>
      <c r="AH1656" s="1392" t="n"/>
      <c r="AI1656" s="1392" t="n"/>
      <c r="AJ1656" s="1392" t="n"/>
      <c r="AK1656" s="1392" t="n"/>
      <c r="AL1656" s="1392" t="n"/>
      <c r="AM1656" s="1392" t="n"/>
      <c r="AN1656" s="1392" t="n"/>
      <c r="AO1656" s="1392" t="n"/>
      <c r="AP1656" s="1392" t="n"/>
      <c r="AQ1656" s="1392" t="n"/>
      <c r="AR1656" s="1422" t="n"/>
      <c r="AS1656" s="1422" t="n"/>
      <c r="AT1656" s="1392" t="n"/>
      <c r="AU1656" s="1392" t="n"/>
      <c r="AV1656" s="1392" t="n"/>
      <c r="AW1656" s="1392" t="n"/>
      <c r="AX1656" s="1392" t="n"/>
      <c r="AY1656" s="1392" t="n"/>
      <c r="AZ1656" s="1392" t="n"/>
      <c r="BA1656" s="1422" t="n"/>
      <c r="BB1656" s="1422" t="n"/>
      <c r="BC1656" s="1392" t="n"/>
      <c r="BD1656" s="1392" t="n"/>
      <c r="BE1656" s="1392" t="n"/>
      <c r="BF1656" s="1392" t="n"/>
      <c r="BG1656" s="1392" t="n"/>
      <c r="BH1656" s="1392" t="n"/>
      <c r="BI1656" s="1392" t="n"/>
      <c r="BJ1656" s="1392" t="n"/>
      <c r="BK1656" s="1392" t="n"/>
      <c r="BL1656" s="1392" t="n"/>
      <c r="BM1656" s="1392" t="n"/>
      <c r="BN1656" s="1392" t="n"/>
      <c r="BO1656" s="1392" t="n"/>
      <c r="BP1656" s="1392" t="n"/>
      <c r="BQ1656" s="1392" t="n"/>
      <c r="BR1656" s="1392" t="n"/>
      <c r="BS1656" s="1392" t="n"/>
      <c r="BT1656" s="1392" t="n"/>
      <c r="BU1656" s="1392" t="n"/>
      <c r="BV1656" s="1392" t="n"/>
      <c r="BW1656" s="1392" t="n"/>
      <c r="BX1656" s="1392" t="n"/>
      <c r="BY1656" s="1392" t="n"/>
      <c r="BZ1656" s="1392" t="n"/>
      <c r="CA1656" s="1392" t="n"/>
      <c r="CB1656" s="1392" t="n"/>
      <c r="CC1656" s="1392" t="n"/>
      <c r="CD1656" s="1392" t="n"/>
      <c r="CE1656" s="1392" t="n"/>
      <c r="CF1656" s="1392" t="n"/>
      <c r="CG1656" s="1392" t="n"/>
      <c r="CH1656" s="1392" t="n"/>
      <c r="CI1656" s="1392" t="n"/>
      <c r="CJ1656" s="1392" t="n"/>
      <c r="CK1656" s="1392" t="n"/>
      <c r="CL1656" s="1392" t="n"/>
    </row>
    <row r="1657">
      <c r="A1657" s="5" t="inlineStr">
        <is>
          <t>.</t>
        </is>
      </c>
      <c r="B1657" s="5" t="inlineStr">
        <is>
          <t>.</t>
        </is>
      </c>
      <c r="C1657" s="1378">
        <f>IF(raw[[#This Row],[city]]="","-",IF(raw[[#This Row],[city]]="TODAY","-",C1656+1))</f>
        <v/>
      </c>
      <c r="D1657" s="1393" t="inlineStr">
        <is>
          <t>Amsterdam</t>
        </is>
      </c>
      <c r="E1657" s="1394" t="n">
        <v>44759</v>
      </c>
      <c r="F1657" s="1394" t="n">
        <v>44759</v>
      </c>
      <c r="G1657" s="1393" t="n">
        <v>1</v>
      </c>
      <c r="H1657" s="1393" t="inlineStr">
        <is>
          <t>Marie-Victorin</t>
        </is>
      </c>
      <c r="I1657" s="1393" t="n"/>
      <c r="J1657" s="1393" t="inlineStr">
        <is>
          <t>-</t>
        </is>
      </c>
      <c r="K1657" s="1395">
        <f>IF(raw[[#This Row],[city]]&lt;&gt;"",_xlfn.XLOOKUP($D1657,ccc[city],ccc[prov],"-"),"-")</f>
        <v/>
      </c>
      <c r="L1657" s="1395">
        <f>IF(raw[[#This Row],[city]]&lt;&gt;"",_xlfn.XLOOKUP($D1657,ccc[city],ccc[ctry],"-"),"-")</f>
        <v/>
      </c>
      <c r="M1657" s="1395">
        <f>IF(raw[[#This Row],[city]]&lt;&gt;"",_xlfn.XLOOKUP($D1657,ccc[city],ccc[cont],"-"),"-")</f>
        <v/>
      </c>
      <c r="N1657" s="1396">
        <f>IF(raw[[#This Row],[city]]="","-",IF(raw[[#This Row],[cont]]="B",raw[[#This Row],[cont]],"W"))</f>
        <v/>
      </c>
      <c r="O1657" s="1397">
        <f>IF(raw[[#This Row],[out]]=0,0,IF(raw[[#This Row],[out]]=raw[[#This Row],[in]],0.01,raw[[#This Row],[out]]-raw[[#This Row],[in]]))</f>
        <v/>
      </c>
      <c r="P1657" s="1397">
        <f>IF(raw[[#This Row],[in]]=0,0,MONTH(raw[[#This Row],[in]]))</f>
        <v/>
      </c>
      <c r="Q1657" s="1397">
        <f>IF(raw[[#This Row],[in]]=0,0,YEAR(raw[[#This Row],[in]]))</f>
        <v/>
      </c>
      <c r="R1657" s="1397">
        <f>INT(raw[[#This Row],[yr]]/10)*10</f>
        <v/>
      </c>
      <c r="S1657" s="1395">
        <f>IF(raw[[#This Row],[city]]="","-",IF(raw[[#This Row],[city]]&lt;&gt;_xlfn.XLOOKUP(raw[[#This Row],[home]],homes[home],homes[city],"-"),1,0))</f>
        <v/>
      </c>
      <c r="T1657" s="1398" t="inlineStr">
        <is>
          <t>.</t>
        </is>
      </c>
      <c r="U1657" s="1399">
        <f>IF(raw[[#This Row],[wb]]="w",raw[[#This Row],[stay]]+U1656,U1656)</f>
        <v/>
      </c>
      <c r="V1657" s="1400">
        <f>IF(raw[[#This Row],[out]]=0,V1656,(raw[[#This Row],[out]]-E$5))</f>
        <v/>
      </c>
      <c r="W1657" s="1401">
        <f>U1657/V1657</f>
        <v/>
      </c>
      <c r="X1657" s="1392" t="n"/>
      <c r="Y1657" s="1392" t="n"/>
      <c r="Z1657" s="1392" t="n"/>
      <c r="AA1657" s="1392" t="n"/>
      <c r="AB1657" s="1392" t="n"/>
      <c r="AC1657" s="1392" t="n"/>
      <c r="AD1657" s="1392" t="n"/>
      <c r="AE1657" s="1392" t="n"/>
      <c r="AF1657" s="1392" t="n"/>
      <c r="AG1657" s="1392" t="n"/>
      <c r="AH1657" s="1392" t="n"/>
      <c r="AI1657" s="1392" t="n"/>
      <c r="AJ1657" s="1392" t="n"/>
      <c r="AK1657" s="1392" t="n"/>
      <c r="AL1657" s="1392" t="n"/>
      <c r="AM1657" s="1392" t="n"/>
      <c r="AN1657" s="1392" t="n"/>
      <c r="AO1657" s="1392" t="n"/>
      <c r="AP1657" s="1392" t="n"/>
      <c r="AQ1657" s="1392" t="n"/>
      <c r="AR1657" s="1422" t="n"/>
      <c r="AS1657" s="1422" t="n"/>
      <c r="AT1657" s="1392" t="n"/>
      <c r="AU1657" s="1392" t="n"/>
      <c r="AV1657" s="1392" t="n"/>
      <c r="AW1657" s="1392" t="n"/>
      <c r="AX1657" s="1392" t="n"/>
      <c r="AY1657" s="1392" t="n"/>
      <c r="AZ1657" s="1392" t="n"/>
      <c r="BA1657" s="1422" t="n"/>
      <c r="BB1657" s="1422" t="n"/>
      <c r="BC1657" s="1392" t="n"/>
      <c r="BD1657" s="1392" t="n"/>
      <c r="BE1657" s="1392" t="n"/>
      <c r="BF1657" s="1392" t="n"/>
      <c r="BG1657" s="1392" t="n"/>
      <c r="BH1657" s="1392" t="n"/>
      <c r="BI1657" s="1392" t="n"/>
      <c r="BJ1657" s="1392" t="n"/>
      <c r="BK1657" s="1392" t="n"/>
      <c r="BL1657" s="1392" t="n"/>
      <c r="BM1657" s="1392" t="n"/>
      <c r="BN1657" s="1392" t="n"/>
      <c r="BO1657" s="1392" t="n"/>
      <c r="BP1657" s="1392" t="n"/>
      <c r="BQ1657" s="1392" t="n"/>
      <c r="BR1657" s="1392" t="n"/>
      <c r="BS1657" s="1392" t="n"/>
      <c r="BT1657" s="1392" t="n"/>
      <c r="BU1657" s="1392" t="n"/>
      <c r="BV1657" s="1392" t="n"/>
      <c r="BW1657" s="1392" t="n"/>
      <c r="BX1657" s="1392" t="n"/>
      <c r="BY1657" s="1392" t="n"/>
      <c r="BZ1657" s="1392" t="n"/>
      <c r="CA1657" s="1392" t="n"/>
      <c r="CB1657" s="1392" t="n"/>
      <c r="CC1657" s="1392" t="n"/>
      <c r="CD1657" s="1392" t="n"/>
      <c r="CE1657" s="1392" t="n"/>
      <c r="CF1657" s="1392" t="n"/>
      <c r="CG1657" s="1392" t="n"/>
      <c r="CH1657" s="1392" t="n"/>
      <c r="CI1657" s="1392" t="n"/>
      <c r="CJ1657" s="1392" t="n"/>
      <c r="CK1657" s="1392" t="n"/>
      <c r="CL1657" s="1392" t="n"/>
    </row>
    <row r="1658">
      <c r="A1658" s="5" t="inlineStr">
        <is>
          <t>.</t>
        </is>
      </c>
      <c r="B1658" s="5" t="inlineStr">
        <is>
          <t>.</t>
        </is>
      </c>
      <c r="C1658" s="1378">
        <f>IF(raw[[#This Row],[city]]="","-",IF(raw[[#This Row],[city]]="TODAY","-",C1657+1))</f>
        <v/>
      </c>
      <c r="D1658" s="1393" t="inlineStr">
        <is>
          <t>Montreal</t>
        </is>
      </c>
      <c r="E1658" s="1394" t="n">
        <v>44759</v>
      </c>
      <c r="F1658" s="1394" t="n">
        <v>44774</v>
      </c>
      <c r="G1658" s="1393" t="inlineStr">
        <is>
          <t>-</t>
        </is>
      </c>
      <c r="H1658" s="1393" t="inlineStr">
        <is>
          <t>Marie-Victorin</t>
        </is>
      </c>
      <c r="I1658" s="1393" t="inlineStr">
        <is>
          <t>-</t>
        </is>
      </c>
      <c r="J1658" s="1393" t="inlineStr">
        <is>
          <t>-</t>
        </is>
      </c>
      <c r="K1658" s="1395">
        <f>IF(raw[[#This Row],[city]]&lt;&gt;"",_xlfn.XLOOKUP($D1658,ccc[city],ccc[prov],"-"),"-")</f>
        <v/>
      </c>
      <c r="L1658" s="1395">
        <f>IF(raw[[#This Row],[city]]&lt;&gt;"",_xlfn.XLOOKUP($D1658,ccc[city],ccc[ctry],"-"),"-")</f>
        <v/>
      </c>
      <c r="M1658" s="1395">
        <f>IF(raw[[#This Row],[city]]&lt;&gt;"",_xlfn.XLOOKUP($D1658,ccc[city],ccc[cont],"-"),"-")</f>
        <v/>
      </c>
      <c r="N1658" s="1396">
        <f>IF(raw[[#This Row],[city]]="","-",IF(raw[[#This Row],[cont]]="B",raw[[#This Row],[cont]],"W"))</f>
        <v/>
      </c>
      <c r="O1658" s="1397">
        <f>IF(raw[[#This Row],[out]]=0,0,IF(raw[[#This Row],[out]]=raw[[#This Row],[in]],0.01,raw[[#This Row],[out]]-raw[[#This Row],[in]]))</f>
        <v/>
      </c>
      <c r="P1658" s="1397">
        <f>IF(raw[[#This Row],[in]]=0,0,MONTH(raw[[#This Row],[in]]))</f>
        <v/>
      </c>
      <c r="Q1658" s="1397">
        <f>IF(raw[[#This Row],[in]]=0,0,YEAR(raw[[#This Row],[in]]))</f>
        <v/>
      </c>
      <c r="R1658" s="1397">
        <f>INT(raw[[#This Row],[yr]]/10)*10</f>
        <v/>
      </c>
      <c r="S1658" s="1395">
        <f>IF(raw[[#This Row],[city]]="","-",IF(raw[[#This Row],[city]]&lt;&gt;_xlfn.XLOOKUP(raw[[#This Row],[home]],homes[home],homes[city],"-"),1,0))</f>
        <v/>
      </c>
      <c r="T1658" s="1398" t="inlineStr">
        <is>
          <t>.</t>
        </is>
      </c>
      <c r="U1658" s="1399">
        <f>IF(raw[[#This Row],[wb]]="w",raw[[#This Row],[stay]]+U1657,U1657)</f>
        <v/>
      </c>
      <c r="V1658" s="1400">
        <f>IF(raw[[#This Row],[out]]=0,V1657,(raw[[#This Row],[out]]-E$5))</f>
        <v/>
      </c>
      <c r="W1658" s="1401">
        <f>U1658/V1658</f>
        <v/>
      </c>
      <c r="X1658" s="1392" t="n"/>
      <c r="Y1658" s="1392" t="n"/>
      <c r="Z1658" s="1392" t="n"/>
      <c r="AA1658" s="1392" t="n"/>
      <c r="AB1658" s="1392" t="n"/>
      <c r="AC1658" s="1392" t="n"/>
      <c r="AD1658" s="1392" t="n"/>
      <c r="AE1658" s="1392" t="n"/>
      <c r="AF1658" s="1392" t="n"/>
      <c r="AG1658" s="1392" t="n"/>
      <c r="AH1658" s="1392" t="n"/>
      <c r="AI1658" s="1392" t="n"/>
      <c r="AJ1658" s="1392" t="n"/>
      <c r="AK1658" s="1392" t="n"/>
      <c r="AL1658" s="1392" t="n"/>
      <c r="AM1658" s="1392" t="n"/>
      <c r="AN1658" s="1392" t="n"/>
      <c r="AO1658" s="1392" t="n"/>
      <c r="AP1658" s="1392" t="n"/>
      <c r="AQ1658" s="1392" t="n"/>
      <c r="AR1658" s="1422" t="n"/>
      <c r="AS1658" s="1422" t="n"/>
      <c r="AT1658" s="1392" t="n"/>
      <c r="AU1658" s="1392" t="n"/>
      <c r="AV1658" s="1392" t="n"/>
      <c r="AW1658" s="1392" t="n"/>
      <c r="AX1658" s="1392" t="n"/>
      <c r="AY1658" s="1392" t="n"/>
      <c r="AZ1658" s="1392" t="n"/>
      <c r="BA1658" s="1422" t="n"/>
      <c r="BB1658" s="1422" t="n"/>
      <c r="BC1658" s="1392" t="n"/>
      <c r="BD1658" s="1392" t="n"/>
      <c r="BE1658" s="1392" t="n"/>
      <c r="BF1658" s="1392" t="n"/>
      <c r="BG1658" s="1392" t="n"/>
      <c r="BH1658" s="1392" t="n"/>
      <c r="BI1658" s="1392" t="n"/>
      <c r="BJ1658" s="1392" t="n"/>
      <c r="BK1658" s="1392" t="n"/>
      <c r="BL1658" s="1392" t="n"/>
      <c r="BM1658" s="1392" t="n"/>
      <c r="BN1658" s="1392" t="n"/>
      <c r="BO1658" s="1392" t="n"/>
      <c r="BP1658" s="1392" t="n"/>
      <c r="BQ1658" s="1392" t="n"/>
      <c r="BR1658" s="1392" t="n"/>
      <c r="BS1658" s="1392" t="n"/>
      <c r="BT1658" s="1392" t="n"/>
      <c r="BU1658" s="1392" t="n"/>
      <c r="BV1658" s="1392" t="n"/>
      <c r="BW1658" s="1392" t="n"/>
      <c r="BX1658" s="1392" t="n"/>
      <c r="BY1658" s="1392" t="n"/>
      <c r="BZ1658" s="1392" t="n"/>
      <c r="CA1658" s="1392" t="n"/>
      <c r="CB1658" s="1392" t="n"/>
      <c r="CC1658" s="1392" t="n"/>
      <c r="CD1658" s="1392" t="n"/>
      <c r="CE1658" s="1392" t="n"/>
      <c r="CF1658" s="1392" t="n"/>
      <c r="CG1658" s="1392" t="n"/>
      <c r="CH1658" s="1392" t="n"/>
      <c r="CI1658" s="1392" t="n"/>
      <c r="CJ1658" s="1392" t="n"/>
      <c r="CK1658" s="1392" t="n"/>
      <c r="CL1658" s="1392" t="n"/>
    </row>
    <row r="1659">
      <c r="A1659" s="5" t="inlineStr">
        <is>
          <t>.</t>
        </is>
      </c>
      <c r="B1659" s="5" t="inlineStr">
        <is>
          <t>.</t>
        </is>
      </c>
      <c r="C1659" s="1378">
        <f>IF(raw[[#This Row],[city]]="","-",IF(raw[[#This Row],[city]]="TODAY","-",C1658+1))</f>
        <v/>
      </c>
      <c r="D1659" s="1393" t="inlineStr">
        <is>
          <t>Montreal</t>
        </is>
      </c>
      <c r="E1659" s="1394" t="n">
        <v>44774</v>
      </c>
      <c r="F1659" s="1394" t="n">
        <v>44805</v>
      </c>
      <c r="G1659" s="1393" t="inlineStr">
        <is>
          <t>-</t>
        </is>
      </c>
      <c r="H1659" s="1393" t="inlineStr">
        <is>
          <t>Marie-Victorin</t>
        </is>
      </c>
      <c r="I1659" s="1393" t="inlineStr">
        <is>
          <t>-</t>
        </is>
      </c>
      <c r="J1659" s="1393" t="inlineStr">
        <is>
          <t>BDAY</t>
        </is>
      </c>
      <c r="K1659" s="1395">
        <f>IF(raw[[#This Row],[city]]&lt;&gt;"",_xlfn.XLOOKUP($D1659,ccc[city],ccc[prov],"-"),"-")</f>
        <v/>
      </c>
      <c r="L1659" s="1395">
        <f>IF(raw[[#This Row],[city]]&lt;&gt;"",_xlfn.XLOOKUP($D1659,ccc[city],ccc[ctry],"-"),"-")</f>
        <v/>
      </c>
      <c r="M1659" s="1395">
        <f>IF(raw[[#This Row],[city]]&lt;&gt;"",_xlfn.XLOOKUP($D1659,ccc[city],ccc[cont],"-"),"-")</f>
        <v/>
      </c>
      <c r="N1659" s="1396">
        <f>IF(raw[[#This Row],[city]]="","-",IF(raw[[#This Row],[cont]]="B",raw[[#This Row],[cont]],"W"))</f>
        <v/>
      </c>
      <c r="O1659" s="1397">
        <f>IF(raw[[#This Row],[out]]=0,0,IF(raw[[#This Row],[out]]=raw[[#This Row],[in]],0.01,raw[[#This Row],[out]]-raw[[#This Row],[in]]))</f>
        <v/>
      </c>
      <c r="P1659" s="1397">
        <f>IF(raw[[#This Row],[in]]=0,0,MONTH(raw[[#This Row],[in]]))</f>
        <v/>
      </c>
      <c r="Q1659" s="1397">
        <f>IF(raw[[#This Row],[in]]=0,0,YEAR(raw[[#This Row],[in]]))</f>
        <v/>
      </c>
      <c r="R1659" s="1397">
        <f>INT(raw[[#This Row],[yr]]/10)*10</f>
        <v/>
      </c>
      <c r="S1659" s="1395">
        <f>IF(raw[[#This Row],[city]]="","-",IF(raw[[#This Row],[city]]&lt;&gt;_xlfn.XLOOKUP(raw[[#This Row],[home]],homes[home],homes[city],"-"),1,0))</f>
        <v/>
      </c>
      <c r="T1659" s="1398" t="inlineStr">
        <is>
          <t>.</t>
        </is>
      </c>
      <c r="U1659" s="1399">
        <f>IF(raw[[#This Row],[wb]]="w",raw[[#This Row],[stay]]+U1658,U1658)</f>
        <v/>
      </c>
      <c r="V1659" s="1400">
        <f>IF(raw[[#This Row],[out]]=0,V1658,(raw[[#This Row],[out]]-E$5))</f>
        <v/>
      </c>
      <c r="W1659" s="1401">
        <f>U1659/V1659</f>
        <v/>
      </c>
      <c r="X1659" s="1392" t="n"/>
      <c r="Y1659" s="1392" t="n"/>
      <c r="Z1659" s="1392" t="n"/>
      <c r="AA1659" s="1392" t="n"/>
      <c r="AB1659" s="1392" t="n"/>
      <c r="AC1659" s="1392" t="n"/>
      <c r="AD1659" s="1392" t="n"/>
      <c r="AE1659" s="1392" t="n"/>
      <c r="AF1659" s="1392" t="n"/>
      <c r="AG1659" s="1392" t="n"/>
      <c r="AH1659" s="1392" t="n"/>
      <c r="AI1659" s="1392" t="n"/>
      <c r="AJ1659" s="1392" t="n"/>
      <c r="AK1659" s="1392" t="n"/>
      <c r="AL1659" s="1392" t="n"/>
      <c r="AM1659" s="1392" t="n"/>
      <c r="AN1659" s="1392" t="n"/>
      <c r="AO1659" s="1392" t="n"/>
      <c r="AP1659" s="1392" t="n"/>
      <c r="AQ1659" s="1392" t="n"/>
      <c r="AR1659" s="1422" t="n"/>
      <c r="AS1659" s="1422" t="n"/>
      <c r="AT1659" s="1392" t="n"/>
      <c r="AU1659" s="1392" t="n"/>
      <c r="AV1659" s="1392" t="n"/>
      <c r="AW1659" s="1392" t="n"/>
      <c r="AX1659" s="1392" t="n"/>
      <c r="AY1659" s="1392" t="n"/>
      <c r="AZ1659" s="1392" t="n"/>
      <c r="BA1659" s="1422" t="n"/>
      <c r="BB1659" s="1422" t="n"/>
      <c r="BC1659" s="1392" t="n"/>
      <c r="BD1659" s="1392" t="n"/>
      <c r="BE1659" s="1392" t="n"/>
      <c r="BF1659" s="1392" t="n"/>
      <c r="BG1659" s="1392" t="n"/>
      <c r="BH1659" s="1392" t="n"/>
      <c r="BI1659" s="1392" t="n"/>
      <c r="BJ1659" s="1392" t="n"/>
      <c r="BK1659" s="1392" t="n"/>
      <c r="BL1659" s="1392" t="n"/>
      <c r="BM1659" s="1392" t="n"/>
      <c r="BN1659" s="1392" t="n"/>
      <c r="BO1659" s="1392" t="n"/>
      <c r="BP1659" s="1392" t="n"/>
      <c r="BQ1659" s="1392" t="n"/>
      <c r="BR1659" s="1392" t="n"/>
      <c r="BS1659" s="1392" t="n"/>
      <c r="BT1659" s="1392" t="n"/>
      <c r="BU1659" s="1392" t="n"/>
      <c r="BV1659" s="1392" t="n"/>
      <c r="BW1659" s="1392" t="n"/>
      <c r="BX1659" s="1392" t="n"/>
      <c r="BY1659" s="1392" t="n"/>
      <c r="BZ1659" s="1392" t="n"/>
      <c r="CA1659" s="1392" t="n"/>
      <c r="CB1659" s="1392" t="n"/>
      <c r="CC1659" s="1392" t="n"/>
      <c r="CD1659" s="1392" t="n"/>
      <c r="CE1659" s="1392" t="n"/>
      <c r="CF1659" s="1392" t="n"/>
      <c r="CG1659" s="1392" t="n"/>
      <c r="CH1659" s="1392" t="n"/>
      <c r="CI1659" s="1392" t="n"/>
      <c r="CJ1659" s="1392" t="n"/>
      <c r="CK1659" s="1392" t="n"/>
      <c r="CL1659" s="1392" t="n"/>
    </row>
    <row r="1660">
      <c r="A1660" s="5" t="inlineStr">
        <is>
          <t>.</t>
        </is>
      </c>
      <c r="B1660" s="5" t="inlineStr">
        <is>
          <t>.</t>
        </is>
      </c>
      <c r="C1660" s="1378">
        <f>IF(raw[[#This Row],[city]]="","-",IF(raw[[#This Row],[city]]="TODAY","-",C1659+1))</f>
        <v/>
      </c>
      <c r="D1660" s="1393" t="inlineStr">
        <is>
          <t>Montreal</t>
        </is>
      </c>
      <c r="E1660" s="1394" t="n">
        <v>44805</v>
      </c>
      <c r="F1660" s="1394" t="n">
        <v>44827</v>
      </c>
      <c r="G1660" s="1393" t="n">
        <v>1</v>
      </c>
      <c r="H1660" s="1393" t="inlineStr">
        <is>
          <t>Marie-Victorin</t>
        </is>
      </c>
      <c r="I1660" s="1393" t="inlineStr">
        <is>
          <t>-</t>
        </is>
      </c>
      <c r="J1660" s="1393" t="inlineStr">
        <is>
          <t>-</t>
        </is>
      </c>
      <c r="K1660" s="1395">
        <f>IF(raw[[#This Row],[city]]&lt;&gt;"",_xlfn.XLOOKUP($D1660,ccc[city],ccc[prov],"-"),"-")</f>
        <v/>
      </c>
      <c r="L1660" s="1395">
        <f>IF(raw[[#This Row],[city]]&lt;&gt;"",_xlfn.XLOOKUP($D1660,ccc[city],ccc[ctry],"-"),"-")</f>
        <v/>
      </c>
      <c r="M1660" s="1395">
        <f>IF(raw[[#This Row],[city]]&lt;&gt;"",_xlfn.XLOOKUP($D1660,ccc[city],ccc[cont],"-"),"-")</f>
        <v/>
      </c>
      <c r="N1660" s="1396">
        <f>IF(raw[[#This Row],[city]]="","-",IF(raw[[#This Row],[cont]]="B",raw[[#This Row],[cont]],"W"))</f>
        <v/>
      </c>
      <c r="O1660" s="1397">
        <f>IF(raw[[#This Row],[out]]=0,0,IF(raw[[#This Row],[out]]=raw[[#This Row],[in]],0.01,raw[[#This Row],[out]]-raw[[#This Row],[in]]))</f>
        <v/>
      </c>
      <c r="P1660" s="1397">
        <f>IF(raw[[#This Row],[in]]=0,0,MONTH(raw[[#This Row],[in]]))</f>
        <v/>
      </c>
      <c r="Q1660" s="1397">
        <f>IF(raw[[#This Row],[in]]=0,0,YEAR(raw[[#This Row],[in]]))</f>
        <v/>
      </c>
      <c r="R1660" s="1397">
        <f>INT(raw[[#This Row],[yr]]/10)*10</f>
        <v/>
      </c>
      <c r="S1660" s="1395">
        <f>IF(raw[[#This Row],[city]]="","-",IF(raw[[#This Row],[city]]&lt;&gt;_xlfn.XLOOKUP(raw[[#This Row],[home]],homes[home],homes[city],"-"),1,0))</f>
        <v/>
      </c>
      <c r="T1660" s="1398" t="inlineStr">
        <is>
          <t>.</t>
        </is>
      </c>
      <c r="U1660" s="1399">
        <f>IF(raw[[#This Row],[wb]]="w",raw[[#This Row],[stay]]+U1659,U1659)</f>
        <v/>
      </c>
      <c r="V1660" s="1400">
        <f>IF(raw[[#This Row],[out]]=0,V1659,(raw[[#This Row],[out]]-E$5))</f>
        <v/>
      </c>
      <c r="W1660" s="1401">
        <f>U1660/V1660</f>
        <v/>
      </c>
      <c r="X1660" s="1392" t="n"/>
      <c r="Y1660" s="1392" t="n"/>
      <c r="Z1660" s="1392" t="n"/>
      <c r="AA1660" s="1392" t="n"/>
      <c r="AB1660" s="1392" t="n"/>
      <c r="AC1660" s="1392" t="n"/>
      <c r="AD1660" s="1392" t="n"/>
      <c r="AE1660" s="1392" t="n"/>
      <c r="AF1660" s="1392" t="n"/>
      <c r="AG1660" s="1392" t="n"/>
      <c r="AH1660" s="1392" t="n"/>
      <c r="AI1660" s="1392" t="n"/>
      <c r="AJ1660" s="1392" t="n"/>
      <c r="AK1660" s="1392" t="n"/>
      <c r="AL1660" s="1392" t="n"/>
      <c r="AM1660" s="1392" t="n"/>
      <c r="AN1660" s="1392" t="n"/>
      <c r="AO1660" s="1392" t="n"/>
      <c r="AP1660" s="1392" t="n"/>
      <c r="AQ1660" s="1392" t="n"/>
      <c r="AR1660" s="1422" t="n"/>
      <c r="AS1660" s="1422" t="n"/>
      <c r="AT1660" s="1392" t="n"/>
      <c r="AU1660" s="1392" t="n"/>
      <c r="AV1660" s="1392" t="n"/>
      <c r="AW1660" s="1392" t="n"/>
      <c r="AX1660" s="1392" t="n"/>
      <c r="AY1660" s="1392" t="n"/>
      <c r="AZ1660" s="1392" t="n"/>
      <c r="BA1660" s="1422" t="n"/>
      <c r="BB1660" s="1422" t="n"/>
      <c r="BC1660" s="1392" t="n"/>
      <c r="BD1660" s="1392" t="n"/>
      <c r="BE1660" s="1392" t="n"/>
      <c r="BF1660" s="1392" t="n"/>
      <c r="BG1660" s="1392" t="n"/>
      <c r="BH1660" s="1392" t="n"/>
      <c r="BI1660" s="1392" t="n"/>
      <c r="BJ1660" s="1392" t="n"/>
      <c r="BK1660" s="1392" t="n"/>
      <c r="BL1660" s="1392" t="n"/>
      <c r="BM1660" s="1392" t="n"/>
      <c r="BN1660" s="1392" t="n"/>
      <c r="BO1660" s="1392" t="n"/>
      <c r="BP1660" s="1392" t="n"/>
      <c r="BQ1660" s="1392" t="n"/>
      <c r="BR1660" s="1392" t="n"/>
      <c r="BS1660" s="1392" t="n"/>
      <c r="BT1660" s="1392" t="n"/>
      <c r="BU1660" s="1392" t="n"/>
      <c r="BV1660" s="1392" t="n"/>
      <c r="BW1660" s="1392" t="n"/>
      <c r="BX1660" s="1392" t="n"/>
      <c r="BY1660" s="1392" t="n"/>
      <c r="BZ1660" s="1392" t="n"/>
      <c r="CA1660" s="1392" t="n"/>
      <c r="CB1660" s="1392" t="n"/>
      <c r="CC1660" s="1392" t="n"/>
      <c r="CD1660" s="1392" t="n"/>
      <c r="CE1660" s="1392" t="n"/>
      <c r="CF1660" s="1392" t="n"/>
      <c r="CG1660" s="1392" t="n"/>
      <c r="CH1660" s="1392" t="n"/>
      <c r="CI1660" s="1392" t="n"/>
      <c r="CJ1660" s="1392" t="n"/>
      <c r="CK1660" s="1392" t="n"/>
      <c r="CL1660" s="1392" t="n"/>
    </row>
    <row r="1661">
      <c r="A1661" s="5" t="inlineStr">
        <is>
          <t>.</t>
        </is>
      </c>
      <c r="B1661" s="5" t="inlineStr">
        <is>
          <t>.</t>
        </is>
      </c>
      <c r="C1661" s="1378">
        <f>IF(raw[[#This Row],[city]]="","-",IF(raw[[#This Row],[city]]="TODAY","-",C1660+1))</f>
        <v/>
      </c>
      <c r="D1661" s="1393" t="inlineStr">
        <is>
          <t>AIR</t>
        </is>
      </c>
      <c r="E1661" s="1394" t="n">
        <v>44827</v>
      </c>
      <c r="F1661" s="1394" t="n">
        <v>44828</v>
      </c>
      <c r="G1661" s="1393" t="inlineStr">
        <is>
          <t>x</t>
        </is>
      </c>
      <c r="H1661" s="1393" t="inlineStr">
        <is>
          <t>Marie-Victorin</t>
        </is>
      </c>
      <c r="I1661" s="1393" t="inlineStr">
        <is>
          <t>-</t>
        </is>
      </c>
      <c r="J1661" s="1393" t="inlineStr">
        <is>
          <t>-</t>
        </is>
      </c>
      <c r="K1661" s="1395">
        <f>IF(raw[[#This Row],[city]]&lt;&gt;"",_xlfn.XLOOKUP($D1661,ccc[city],ccc[prov],"-"),"-")</f>
        <v/>
      </c>
      <c r="L1661" s="1395">
        <f>IF(raw[[#This Row],[city]]&lt;&gt;"",_xlfn.XLOOKUP($D1661,ccc[city],ccc[ctry],"-"),"-")</f>
        <v/>
      </c>
      <c r="M1661" s="1395">
        <f>IF(raw[[#This Row],[city]]&lt;&gt;"",_xlfn.XLOOKUP($D1661,ccc[city],ccc[cont],"-"),"-")</f>
        <v/>
      </c>
      <c r="N1661" s="1396">
        <f>IF(raw[[#This Row],[city]]="","-",IF(raw[[#This Row],[cont]]="B",raw[[#This Row],[cont]],"W"))</f>
        <v/>
      </c>
      <c r="O1661" s="1397">
        <f>IF(raw[[#This Row],[out]]=0,0,IF(raw[[#This Row],[out]]=raw[[#This Row],[in]],0.01,raw[[#This Row],[out]]-raw[[#This Row],[in]]))</f>
        <v/>
      </c>
      <c r="P1661" s="1397">
        <f>IF(raw[[#This Row],[in]]=0,0,MONTH(raw[[#This Row],[in]]))</f>
        <v/>
      </c>
      <c r="Q1661" s="1397">
        <f>IF(raw[[#This Row],[in]]=0,0,YEAR(raw[[#This Row],[in]]))</f>
        <v/>
      </c>
      <c r="R1661" s="1397">
        <f>INT(raw[[#This Row],[yr]]/10)*10</f>
        <v/>
      </c>
      <c r="S1661" s="1395">
        <f>IF(raw[[#This Row],[city]]="","-",IF(raw[[#This Row],[city]]&lt;&gt;_xlfn.XLOOKUP(raw[[#This Row],[home]],homes[home],homes[city],"-"),1,0))</f>
        <v/>
      </c>
      <c r="T1661" s="1398" t="inlineStr">
        <is>
          <t>.</t>
        </is>
      </c>
      <c r="U1661" s="1399">
        <f>IF(raw[[#This Row],[wb]]="w",raw[[#This Row],[stay]]+U1660,U1660)</f>
        <v/>
      </c>
      <c r="V1661" s="1400">
        <f>IF(raw[[#This Row],[out]]=0,V1660,(raw[[#This Row],[out]]-E$5))</f>
        <v/>
      </c>
      <c r="W1661" s="1401">
        <f>U1661/V1661</f>
        <v/>
      </c>
      <c r="X1661" s="1392" t="n"/>
      <c r="Y1661" s="1392" t="n"/>
      <c r="Z1661" s="1392" t="n"/>
      <c r="AA1661" s="1392" t="n"/>
      <c r="AB1661" s="1392" t="n"/>
      <c r="AC1661" s="1392" t="n"/>
      <c r="AD1661" s="1392" t="n"/>
      <c r="AE1661" s="1392" t="n"/>
      <c r="AF1661" s="1392" t="n"/>
      <c r="AG1661" s="1392" t="n"/>
      <c r="AH1661" s="1392" t="n"/>
      <c r="AI1661" s="1392" t="n"/>
      <c r="AJ1661" s="1392" t="n"/>
      <c r="AK1661" s="1392" t="n"/>
      <c r="AL1661" s="1392" t="n"/>
      <c r="AM1661" s="1392" t="n"/>
      <c r="AN1661" s="1392" t="n"/>
      <c r="AO1661" s="1392" t="n"/>
      <c r="AP1661" s="1392" t="n"/>
      <c r="AQ1661" s="1392" t="n"/>
      <c r="AR1661" s="1422" t="n"/>
      <c r="AS1661" s="1422" t="n"/>
      <c r="AT1661" s="1392" t="n"/>
      <c r="AU1661" s="1392" t="n"/>
      <c r="AV1661" s="1392" t="n"/>
      <c r="AW1661" s="1392" t="n"/>
      <c r="AX1661" s="1392" t="n"/>
      <c r="AY1661" s="1392" t="n"/>
      <c r="AZ1661" s="1392" t="n"/>
      <c r="BA1661" s="1422" t="n"/>
      <c r="BB1661" s="1422" t="n"/>
      <c r="BC1661" s="1392" t="n"/>
      <c r="BD1661" s="1392" t="n"/>
      <c r="BE1661" s="1392" t="n"/>
      <c r="BF1661" s="1392" t="n"/>
      <c r="BG1661" s="1392" t="n"/>
      <c r="BH1661" s="1392" t="n"/>
      <c r="BI1661" s="1392" t="n"/>
      <c r="BJ1661" s="1392" t="n"/>
      <c r="BK1661" s="1392" t="n"/>
      <c r="BL1661" s="1392" t="n"/>
      <c r="BM1661" s="1392" t="n"/>
      <c r="BN1661" s="1392" t="n"/>
      <c r="BO1661" s="1392" t="n"/>
      <c r="BP1661" s="1392" t="n"/>
      <c r="BQ1661" s="1392" t="n"/>
      <c r="BR1661" s="1392" t="n"/>
      <c r="BS1661" s="1392" t="n"/>
      <c r="BT1661" s="1392" t="n"/>
      <c r="BU1661" s="1392" t="n"/>
      <c r="BV1661" s="1392" t="n"/>
      <c r="BW1661" s="1392" t="n"/>
      <c r="BX1661" s="1392" t="n"/>
      <c r="BY1661" s="1392" t="n"/>
      <c r="BZ1661" s="1392" t="n"/>
      <c r="CA1661" s="1392" t="n"/>
      <c r="CB1661" s="1392" t="n"/>
      <c r="CC1661" s="1392" t="n"/>
      <c r="CD1661" s="1392" t="n"/>
      <c r="CE1661" s="1392" t="n"/>
      <c r="CF1661" s="1392" t="n"/>
      <c r="CG1661" s="1392" t="n"/>
      <c r="CH1661" s="1392" t="n"/>
      <c r="CI1661" s="1392" t="n"/>
      <c r="CJ1661" s="1392" t="n"/>
      <c r="CK1661" s="1392" t="n"/>
      <c r="CL1661" s="1392" t="n"/>
    </row>
    <row r="1662">
      <c r="A1662" s="5" t="inlineStr">
        <is>
          <t>.</t>
        </is>
      </c>
      <c r="B1662" s="5" t="inlineStr">
        <is>
          <t>.</t>
        </is>
      </c>
      <c r="C1662" s="1378">
        <f>IF(raw[[#This Row],[city]]="","-",IF(raw[[#This Row],[city]]="TODAY","-",C1661+1))</f>
        <v/>
      </c>
      <c r="D1662" s="1393" t="inlineStr">
        <is>
          <t>SP</t>
        </is>
      </c>
      <c r="E1662" s="1394" t="n">
        <v>44828</v>
      </c>
      <c r="F1662" s="1394" t="n">
        <v>44828</v>
      </c>
      <c r="G1662" s="1393" t="n">
        <v>1</v>
      </c>
      <c r="H1662" s="1393" t="inlineStr">
        <is>
          <t>Marie-Victorin</t>
        </is>
      </c>
      <c r="I1662" s="1393" t="inlineStr">
        <is>
          <t>-</t>
        </is>
      </c>
      <c r="J1662" s="1393" t="inlineStr">
        <is>
          <t>-</t>
        </is>
      </c>
      <c r="K1662" s="1395">
        <f>IF(raw[[#This Row],[city]]&lt;&gt;"",_xlfn.XLOOKUP($D1662,ccc[city],ccc[prov],"-"),"-")</f>
        <v/>
      </c>
      <c r="L1662" s="1395">
        <f>IF(raw[[#This Row],[city]]&lt;&gt;"",_xlfn.XLOOKUP($D1662,ccc[city],ccc[ctry],"-"),"-")</f>
        <v/>
      </c>
      <c r="M1662" s="1395">
        <f>IF(raw[[#This Row],[city]]&lt;&gt;"",_xlfn.XLOOKUP($D1662,ccc[city],ccc[cont],"-"),"-")</f>
        <v/>
      </c>
      <c r="N1662" s="1396">
        <f>IF(raw[[#This Row],[city]]="","-",IF(raw[[#This Row],[cont]]="B",raw[[#This Row],[cont]],"W"))</f>
        <v/>
      </c>
      <c r="O1662" s="1397">
        <f>IF(raw[[#This Row],[out]]=0,0,IF(raw[[#This Row],[out]]=raw[[#This Row],[in]],0.01,raw[[#This Row],[out]]-raw[[#This Row],[in]]))</f>
        <v/>
      </c>
      <c r="P1662" s="1397">
        <f>IF(raw[[#This Row],[in]]=0,0,MONTH(raw[[#This Row],[in]]))</f>
        <v/>
      </c>
      <c r="Q1662" s="1397">
        <f>IF(raw[[#This Row],[in]]=0,0,YEAR(raw[[#This Row],[in]]))</f>
        <v/>
      </c>
      <c r="R1662" s="1397">
        <f>INT(raw[[#This Row],[yr]]/10)*10</f>
        <v/>
      </c>
      <c r="S1662" s="1395">
        <f>IF(raw[[#This Row],[city]]="","-",IF(raw[[#This Row],[city]]&lt;&gt;_xlfn.XLOOKUP(raw[[#This Row],[home]],homes[home],homes[city],"-"),1,0))</f>
        <v/>
      </c>
      <c r="T1662" s="1398" t="inlineStr">
        <is>
          <t>.</t>
        </is>
      </c>
      <c r="U1662" s="1399">
        <f>IF(raw[[#This Row],[wb]]="w",raw[[#This Row],[stay]]+U1661,U1661)</f>
        <v/>
      </c>
      <c r="V1662" s="1400">
        <f>IF(raw[[#This Row],[out]]=0,V1661,(raw[[#This Row],[out]]-E$5))</f>
        <v/>
      </c>
      <c r="W1662" s="1401">
        <f>U1662/V1662</f>
        <v/>
      </c>
      <c r="X1662" s="1392" t="n"/>
      <c r="Y1662" s="1392" t="n"/>
      <c r="Z1662" s="1392" t="n"/>
      <c r="AA1662" s="1392" t="n"/>
      <c r="AB1662" s="1392" t="n"/>
      <c r="AC1662" s="1392" t="n"/>
      <c r="AD1662" s="1392" t="n"/>
      <c r="AE1662" s="1392" t="n"/>
      <c r="AF1662" s="1392" t="n"/>
      <c r="AG1662" s="1392" t="n"/>
      <c r="AH1662" s="1392" t="n"/>
      <c r="AI1662" s="1392" t="n"/>
      <c r="AJ1662" s="1392" t="n"/>
      <c r="AK1662" s="1392" t="n"/>
      <c r="AL1662" s="1392" t="n"/>
      <c r="AM1662" s="1392" t="n"/>
      <c r="AN1662" s="1392" t="n"/>
      <c r="AO1662" s="1392" t="n"/>
      <c r="AP1662" s="1392" t="n"/>
      <c r="AQ1662" s="1392" t="n"/>
      <c r="AR1662" s="1422" t="n"/>
      <c r="AS1662" s="1422" t="n"/>
      <c r="AT1662" s="1392" t="n"/>
      <c r="AU1662" s="1392" t="n"/>
      <c r="AV1662" s="1392" t="n"/>
      <c r="AW1662" s="1392" t="n"/>
      <c r="AX1662" s="1392" t="n"/>
      <c r="AY1662" s="1392" t="n"/>
      <c r="AZ1662" s="1392" t="n"/>
      <c r="BA1662" s="1422" t="n"/>
      <c r="BB1662" s="1422" t="n"/>
      <c r="BC1662" s="1392" t="n"/>
      <c r="BD1662" s="1392" t="n"/>
      <c r="BE1662" s="1392" t="n"/>
      <c r="BF1662" s="1392" t="n"/>
      <c r="BG1662" s="1392" t="n"/>
      <c r="BH1662" s="1392" t="n"/>
      <c r="BI1662" s="1392" t="n"/>
      <c r="BJ1662" s="1392" t="n"/>
      <c r="BK1662" s="1392" t="n"/>
      <c r="BL1662" s="1392" t="n"/>
      <c r="BM1662" s="1392" t="n"/>
      <c r="BN1662" s="1392" t="n"/>
      <c r="BO1662" s="1392" t="n"/>
      <c r="BP1662" s="1392" t="n"/>
      <c r="BQ1662" s="1392" t="n"/>
      <c r="BR1662" s="1392" t="n"/>
      <c r="BS1662" s="1392" t="n"/>
      <c r="BT1662" s="1392" t="n"/>
      <c r="BU1662" s="1392" t="n"/>
      <c r="BV1662" s="1392" t="n"/>
      <c r="BW1662" s="1392" t="n"/>
      <c r="BX1662" s="1392" t="n"/>
      <c r="BY1662" s="1392" t="n"/>
      <c r="BZ1662" s="1392" t="n"/>
      <c r="CA1662" s="1392" t="n"/>
      <c r="CB1662" s="1392" t="n"/>
      <c r="CC1662" s="1392" t="n"/>
      <c r="CD1662" s="1392" t="n"/>
      <c r="CE1662" s="1392" t="n"/>
      <c r="CF1662" s="1392" t="n"/>
      <c r="CG1662" s="1392" t="n"/>
      <c r="CH1662" s="1392" t="n"/>
      <c r="CI1662" s="1392" t="n"/>
      <c r="CJ1662" s="1392" t="n"/>
      <c r="CK1662" s="1392" t="n"/>
      <c r="CL1662" s="1392" t="n"/>
    </row>
    <row r="1663">
      <c r="A1663" s="5" t="inlineStr">
        <is>
          <t>.</t>
        </is>
      </c>
      <c r="B1663" s="5" t="inlineStr">
        <is>
          <t>.</t>
        </is>
      </c>
      <c r="C1663" s="1378">
        <f>IF(raw[[#This Row],[city]]="","-",IF(raw[[#This Row],[city]]="TODAY","-",C1662+1))</f>
        <v/>
      </c>
      <c r="D1663" s="1393" t="inlineStr">
        <is>
          <t>SSA</t>
        </is>
      </c>
      <c r="E1663" s="1394" t="n">
        <v>44828</v>
      </c>
      <c r="F1663" s="1394" t="n">
        <v>44831</v>
      </c>
      <c r="G1663" s="1393" t="inlineStr">
        <is>
          <t>-</t>
        </is>
      </c>
      <c r="H1663" s="1393" t="inlineStr">
        <is>
          <t>Marie-Victorin</t>
        </is>
      </c>
      <c r="I1663" s="1393" t="inlineStr">
        <is>
          <t>Ondina</t>
        </is>
      </c>
      <c r="J1663" s="1393" t="inlineStr">
        <is>
          <t>-</t>
        </is>
      </c>
      <c r="K1663" s="1395">
        <f>IF(raw[[#This Row],[city]]&lt;&gt;"",_xlfn.XLOOKUP($D1663,ccc[city],ccc[prov],"-"),"-")</f>
        <v/>
      </c>
      <c r="L1663" s="1395">
        <f>IF(raw[[#This Row],[city]]&lt;&gt;"",_xlfn.XLOOKUP($D1663,ccc[city],ccc[ctry],"-"),"-")</f>
        <v/>
      </c>
      <c r="M1663" s="1395">
        <f>IF(raw[[#This Row],[city]]&lt;&gt;"",_xlfn.XLOOKUP($D1663,ccc[city],ccc[cont],"-"),"-")</f>
        <v/>
      </c>
      <c r="N1663" s="1396">
        <f>IF(raw[[#This Row],[city]]="","-",IF(raw[[#This Row],[cont]]="B",raw[[#This Row],[cont]],"W"))</f>
        <v/>
      </c>
      <c r="O1663" s="1397">
        <f>IF(raw[[#This Row],[out]]=0,0,IF(raw[[#This Row],[out]]=raw[[#This Row],[in]],0.01,raw[[#This Row],[out]]-raw[[#This Row],[in]]))</f>
        <v/>
      </c>
      <c r="P1663" s="1397">
        <f>IF(raw[[#This Row],[in]]=0,0,MONTH(raw[[#This Row],[in]]))</f>
        <v/>
      </c>
      <c r="Q1663" s="1397">
        <f>IF(raw[[#This Row],[in]]=0,0,YEAR(raw[[#This Row],[in]]))</f>
        <v/>
      </c>
      <c r="R1663" s="1397">
        <f>INT(raw[[#This Row],[yr]]/10)*10</f>
        <v/>
      </c>
      <c r="S1663" s="1395">
        <f>IF(raw[[#This Row],[city]]="","-",IF(raw[[#This Row],[city]]&lt;&gt;_xlfn.XLOOKUP(raw[[#This Row],[home]],homes[home],homes[city],"-"),1,0))</f>
        <v/>
      </c>
      <c r="T1663" s="1398" t="inlineStr">
        <is>
          <t>.</t>
        </is>
      </c>
      <c r="U1663" s="1399">
        <f>IF(raw[[#This Row],[wb]]="w",raw[[#This Row],[stay]]+U1662,U1662)</f>
        <v/>
      </c>
      <c r="V1663" s="1400">
        <f>IF(raw[[#This Row],[out]]=0,V1662,(raw[[#This Row],[out]]-E$5))</f>
        <v/>
      </c>
      <c r="W1663" s="1401">
        <f>U1663/V1663</f>
        <v/>
      </c>
      <c r="X1663" s="1392" t="n"/>
      <c r="Y1663" s="1392" t="n"/>
      <c r="Z1663" s="1392" t="n"/>
      <c r="AA1663" s="1392" t="n"/>
      <c r="AB1663" s="1392" t="n"/>
      <c r="AC1663" s="1392" t="n"/>
      <c r="AD1663" s="1392" t="n"/>
      <c r="AE1663" s="1392" t="n"/>
      <c r="AF1663" s="1392" t="n"/>
      <c r="AG1663" s="1392" t="n"/>
      <c r="AH1663" s="1392" t="n"/>
      <c r="AI1663" s="1392" t="n"/>
      <c r="AJ1663" s="1392" t="n"/>
      <c r="AK1663" s="1392" t="n"/>
      <c r="AL1663" s="1392" t="n"/>
      <c r="AM1663" s="1392" t="n"/>
      <c r="AN1663" s="1392" t="n"/>
      <c r="AO1663" s="1392" t="n"/>
      <c r="AP1663" s="1392" t="n"/>
      <c r="AQ1663" s="1392" t="n"/>
      <c r="AR1663" s="1422" t="n"/>
      <c r="AS1663" s="1422" t="n"/>
      <c r="AT1663" s="1392" t="n"/>
      <c r="AU1663" s="1392" t="n"/>
      <c r="AV1663" s="1392" t="n"/>
      <c r="AW1663" s="1392" t="n"/>
      <c r="AX1663" s="1392" t="n"/>
      <c r="AY1663" s="1392" t="n"/>
      <c r="AZ1663" s="1392" t="n"/>
      <c r="BA1663" s="1422" t="n"/>
      <c r="BB1663" s="1422" t="n"/>
      <c r="BC1663" s="1392" t="n"/>
      <c r="BD1663" s="1392" t="n"/>
      <c r="BE1663" s="1392" t="n"/>
      <c r="BF1663" s="1392" t="n"/>
      <c r="BG1663" s="1392" t="n"/>
      <c r="BH1663" s="1392" t="n"/>
      <c r="BI1663" s="1392" t="n"/>
      <c r="BJ1663" s="1392" t="n"/>
      <c r="BK1663" s="1392" t="n"/>
      <c r="BL1663" s="1392" t="n"/>
      <c r="BM1663" s="1392" t="n"/>
      <c r="BN1663" s="1392" t="n"/>
      <c r="BO1663" s="1392" t="n"/>
      <c r="BP1663" s="1392" t="n"/>
      <c r="BQ1663" s="1392" t="n"/>
      <c r="BR1663" s="1392" t="n"/>
      <c r="BS1663" s="1392" t="n"/>
      <c r="BT1663" s="1392" t="n"/>
      <c r="BU1663" s="1392" t="n"/>
      <c r="BV1663" s="1392" t="n"/>
      <c r="BW1663" s="1392" t="n"/>
      <c r="BX1663" s="1392" t="n"/>
      <c r="BY1663" s="1392" t="n"/>
      <c r="BZ1663" s="1392" t="n"/>
      <c r="CA1663" s="1392" t="n"/>
      <c r="CB1663" s="1392" t="n"/>
      <c r="CC1663" s="1392" t="n"/>
      <c r="CD1663" s="1392" t="n"/>
      <c r="CE1663" s="1392" t="n"/>
      <c r="CF1663" s="1392" t="n"/>
      <c r="CG1663" s="1392" t="n"/>
      <c r="CH1663" s="1392" t="n"/>
      <c r="CI1663" s="1392" t="n"/>
      <c r="CJ1663" s="1392" t="n"/>
      <c r="CK1663" s="1392" t="n"/>
      <c r="CL1663" s="1392" t="n"/>
    </row>
    <row r="1664">
      <c r="A1664" s="5" t="inlineStr">
        <is>
          <t>.</t>
        </is>
      </c>
      <c r="B1664" s="5" t="inlineStr">
        <is>
          <t>.</t>
        </is>
      </c>
      <c r="C1664" s="1378">
        <f>IF(raw[[#This Row],[city]]="","-",IF(raw[[#This Row],[city]]="TODAY","-",C1663+1))</f>
        <v/>
      </c>
      <c r="D1664" s="1393" t="inlineStr">
        <is>
          <t>Rio</t>
        </is>
      </c>
      <c r="E1664" s="1394" t="n">
        <v>44831</v>
      </c>
      <c r="F1664" s="1394" t="n">
        <v>44834</v>
      </c>
      <c r="G1664" s="1393" t="inlineStr">
        <is>
          <t>-</t>
        </is>
      </c>
      <c r="H1664" s="1393" t="inlineStr">
        <is>
          <t>Marie-Victorin</t>
        </is>
      </c>
      <c r="I1664" s="1393" t="inlineStr">
        <is>
          <t>Tatá/Venancio</t>
        </is>
      </c>
      <c r="J1664" s="1393" t="inlineStr">
        <is>
          <t>-</t>
        </is>
      </c>
      <c r="K1664" s="1395">
        <f>IF(raw[[#This Row],[city]]&lt;&gt;"",_xlfn.XLOOKUP($D1664,ccc[city],ccc[prov],"-"),"-")</f>
        <v/>
      </c>
      <c r="L1664" s="1395">
        <f>IF(raw[[#This Row],[city]]&lt;&gt;"",_xlfn.XLOOKUP($D1664,ccc[city],ccc[ctry],"-"),"-")</f>
        <v/>
      </c>
      <c r="M1664" s="1395">
        <f>IF(raw[[#This Row],[city]]&lt;&gt;"",_xlfn.XLOOKUP($D1664,ccc[city],ccc[cont],"-"),"-")</f>
        <v/>
      </c>
      <c r="N1664" s="1396">
        <f>IF(raw[[#This Row],[city]]="","-",IF(raw[[#This Row],[cont]]="B",raw[[#This Row],[cont]],"W"))</f>
        <v/>
      </c>
      <c r="O1664" s="1397">
        <f>IF(raw[[#This Row],[out]]=0,0,IF(raw[[#This Row],[out]]=raw[[#This Row],[in]],0.01,raw[[#This Row],[out]]-raw[[#This Row],[in]]))</f>
        <v/>
      </c>
      <c r="P1664" s="1397">
        <f>IF(raw[[#This Row],[in]]=0,0,MONTH(raw[[#This Row],[in]]))</f>
        <v/>
      </c>
      <c r="Q1664" s="1397">
        <f>IF(raw[[#This Row],[in]]=0,0,YEAR(raw[[#This Row],[in]]))</f>
        <v/>
      </c>
      <c r="R1664" s="1397">
        <f>INT(raw[[#This Row],[yr]]/10)*10</f>
        <v/>
      </c>
      <c r="S1664" s="1395">
        <f>IF(raw[[#This Row],[city]]="","-",IF(raw[[#This Row],[city]]&lt;&gt;_xlfn.XLOOKUP(raw[[#This Row],[home]],homes[home],homes[city],"-"),1,0))</f>
        <v/>
      </c>
      <c r="T1664" s="1398" t="inlineStr">
        <is>
          <t>.</t>
        </is>
      </c>
      <c r="U1664" s="1399">
        <f>IF(raw[[#This Row],[wb]]="w",raw[[#This Row],[stay]]+U1663,U1663)</f>
        <v/>
      </c>
      <c r="V1664" s="1400">
        <f>IF(raw[[#This Row],[out]]=0,V1663,(raw[[#This Row],[out]]-E$5))</f>
        <v/>
      </c>
      <c r="W1664" s="1401">
        <f>U1664/V1664</f>
        <v/>
      </c>
      <c r="X1664" s="1392" t="n"/>
      <c r="Y1664" s="1392" t="n"/>
      <c r="Z1664" s="1392" t="n"/>
      <c r="AA1664" s="1392" t="n"/>
      <c r="AB1664" s="1392" t="n"/>
      <c r="AC1664" s="1392" t="n"/>
      <c r="AD1664" s="1392" t="n"/>
      <c r="AE1664" s="1392" t="n"/>
      <c r="AF1664" s="1392" t="n"/>
      <c r="AG1664" s="1392" t="n"/>
      <c r="AH1664" s="1392" t="n"/>
      <c r="AI1664" s="1392" t="n"/>
      <c r="AJ1664" s="1392" t="n"/>
      <c r="AK1664" s="1392" t="n"/>
      <c r="AL1664" s="1392" t="n"/>
      <c r="AM1664" s="1392" t="n"/>
      <c r="AN1664" s="1392" t="n"/>
      <c r="AO1664" s="1392" t="n"/>
      <c r="AP1664" s="1392" t="n"/>
      <c r="AQ1664" s="1392" t="n"/>
      <c r="AR1664" s="1422" t="n"/>
      <c r="AS1664" s="1422" t="n"/>
      <c r="AT1664" s="1392" t="n"/>
      <c r="AU1664" s="1392" t="n"/>
      <c r="AV1664" s="1392" t="n"/>
      <c r="AW1664" s="1392" t="n"/>
      <c r="AX1664" s="1392" t="n"/>
      <c r="AY1664" s="1392" t="n"/>
      <c r="AZ1664" s="1392" t="n"/>
      <c r="BA1664" s="1422" t="n"/>
      <c r="BB1664" s="1422" t="n"/>
      <c r="BC1664" s="1392" t="n"/>
      <c r="BD1664" s="1392" t="n"/>
      <c r="BE1664" s="1392" t="n"/>
      <c r="BF1664" s="1392" t="n"/>
      <c r="BG1664" s="1392" t="n"/>
      <c r="BH1664" s="1392" t="n"/>
      <c r="BI1664" s="1392" t="n"/>
      <c r="BJ1664" s="1392" t="n"/>
      <c r="BK1664" s="1392" t="n"/>
      <c r="BL1664" s="1392" t="n"/>
      <c r="BM1664" s="1392" t="n"/>
      <c r="BN1664" s="1392" t="n"/>
      <c r="BO1664" s="1392" t="n"/>
      <c r="BP1664" s="1392" t="n"/>
      <c r="BQ1664" s="1392" t="n"/>
      <c r="BR1664" s="1392" t="n"/>
      <c r="BS1664" s="1392" t="n"/>
      <c r="BT1664" s="1392" t="n"/>
      <c r="BU1664" s="1392" t="n"/>
      <c r="BV1664" s="1392" t="n"/>
      <c r="BW1664" s="1392" t="n"/>
      <c r="BX1664" s="1392" t="n"/>
      <c r="BY1664" s="1392" t="n"/>
      <c r="BZ1664" s="1392" t="n"/>
      <c r="CA1664" s="1392" t="n"/>
      <c r="CB1664" s="1392" t="n"/>
      <c r="CC1664" s="1392" t="n"/>
      <c r="CD1664" s="1392" t="n"/>
      <c r="CE1664" s="1392" t="n"/>
      <c r="CF1664" s="1392" t="n"/>
      <c r="CG1664" s="1392" t="n"/>
      <c r="CH1664" s="1392" t="n"/>
      <c r="CI1664" s="1392" t="n"/>
      <c r="CJ1664" s="1392" t="n"/>
      <c r="CK1664" s="1392" t="n"/>
      <c r="CL1664" s="1392" t="n"/>
    </row>
    <row r="1665">
      <c r="A1665" s="5" t="inlineStr">
        <is>
          <t>.</t>
        </is>
      </c>
      <c r="B1665" s="5" t="inlineStr">
        <is>
          <t>.</t>
        </is>
      </c>
      <c r="C1665" s="1378">
        <f>IF(raw[[#This Row],[city]]="","-",IF(raw[[#This Row],[city]]="TODAY","-",C1664+1))</f>
        <v/>
      </c>
      <c r="D1665" s="1393" t="inlineStr">
        <is>
          <t>Petropolis</t>
        </is>
      </c>
      <c r="E1665" s="1394" t="n">
        <v>44834</v>
      </c>
      <c r="F1665" s="1394" t="n">
        <v>44835</v>
      </c>
      <c r="G1665" s="1393" t="inlineStr">
        <is>
          <t>-</t>
        </is>
      </c>
      <c r="H1665" s="1393" t="inlineStr">
        <is>
          <t>Marie-Victorin</t>
        </is>
      </c>
      <c r="I1665" s="1393" t="inlineStr">
        <is>
          <t>Tatá/Araras</t>
        </is>
      </c>
      <c r="J1665" s="1393" t="inlineStr">
        <is>
          <t>-</t>
        </is>
      </c>
      <c r="K1665" s="1395">
        <f>IF(raw[[#This Row],[city]]&lt;&gt;"",_xlfn.XLOOKUP($D1665,ccc[city],ccc[prov],"-"),"-")</f>
        <v/>
      </c>
      <c r="L1665" s="1395">
        <f>IF(raw[[#This Row],[city]]&lt;&gt;"",_xlfn.XLOOKUP($D1665,ccc[city],ccc[ctry],"-"),"-")</f>
        <v/>
      </c>
      <c r="M1665" s="1395">
        <f>IF(raw[[#This Row],[city]]&lt;&gt;"",_xlfn.XLOOKUP($D1665,ccc[city],ccc[cont],"-"),"-")</f>
        <v/>
      </c>
      <c r="N1665" s="1396">
        <f>IF(raw[[#This Row],[city]]="","-",IF(raw[[#This Row],[cont]]="B",raw[[#This Row],[cont]],"W"))</f>
        <v/>
      </c>
      <c r="O1665" s="1397">
        <f>IF(raw[[#This Row],[out]]=0,0,IF(raw[[#This Row],[out]]=raw[[#This Row],[in]],0.01,raw[[#This Row],[out]]-raw[[#This Row],[in]]))</f>
        <v/>
      </c>
      <c r="P1665" s="1397">
        <f>IF(raw[[#This Row],[in]]=0,0,MONTH(raw[[#This Row],[in]]))</f>
        <v/>
      </c>
      <c r="Q1665" s="1397">
        <f>IF(raw[[#This Row],[in]]=0,0,YEAR(raw[[#This Row],[in]]))</f>
        <v/>
      </c>
      <c r="R1665" s="1397">
        <f>INT(raw[[#This Row],[yr]]/10)*10</f>
        <v/>
      </c>
      <c r="S1665" s="1395">
        <f>IF(raw[[#This Row],[city]]="","-",IF(raw[[#This Row],[city]]&lt;&gt;_xlfn.XLOOKUP(raw[[#This Row],[home]],homes[home],homes[city],"-"),1,0))</f>
        <v/>
      </c>
      <c r="T1665" s="1398" t="inlineStr">
        <is>
          <t>.</t>
        </is>
      </c>
      <c r="U1665" s="1399">
        <f>IF(raw[[#This Row],[wb]]="w",raw[[#This Row],[stay]]+U1664,U1664)</f>
        <v/>
      </c>
      <c r="V1665" s="1400">
        <f>IF(raw[[#This Row],[out]]=0,V1664,(raw[[#This Row],[out]]-E$5))</f>
        <v/>
      </c>
      <c r="W1665" s="1401">
        <f>U1665/V1665</f>
        <v/>
      </c>
      <c r="X1665" s="1392" t="n"/>
      <c r="Y1665" s="1392" t="n"/>
      <c r="Z1665" s="1392" t="n"/>
      <c r="AA1665" s="1392" t="n"/>
      <c r="AB1665" s="1392" t="n"/>
      <c r="AC1665" s="1392" t="n"/>
      <c r="AD1665" s="1392" t="n"/>
      <c r="AE1665" s="1392" t="n"/>
      <c r="AF1665" s="1392" t="n"/>
      <c r="AG1665" s="1392" t="n"/>
      <c r="AH1665" s="1392" t="n"/>
      <c r="AI1665" s="1392" t="n"/>
      <c r="AJ1665" s="1392" t="n"/>
      <c r="AK1665" s="1392" t="n"/>
      <c r="AL1665" s="1392" t="n"/>
      <c r="AM1665" s="1392" t="n"/>
      <c r="AN1665" s="1392" t="n"/>
      <c r="AO1665" s="1392" t="n"/>
      <c r="AP1665" s="1392" t="n"/>
      <c r="AQ1665" s="1392" t="n"/>
      <c r="AR1665" s="1422" t="n"/>
      <c r="AS1665" s="1422" t="n"/>
      <c r="AT1665" s="1392" t="n"/>
      <c r="AU1665" s="1392" t="n"/>
      <c r="AV1665" s="1392" t="n"/>
      <c r="AW1665" s="1392" t="n"/>
      <c r="AX1665" s="1392" t="n"/>
      <c r="AY1665" s="1392" t="n"/>
      <c r="AZ1665" s="1392" t="n"/>
      <c r="BA1665" s="1422" t="n"/>
      <c r="BB1665" s="1422" t="n"/>
      <c r="BC1665" s="1392" t="n"/>
      <c r="BD1665" s="1392" t="n"/>
      <c r="BE1665" s="1392" t="n"/>
      <c r="BF1665" s="1392" t="n"/>
      <c r="BG1665" s="1392" t="n"/>
      <c r="BH1665" s="1392" t="n"/>
      <c r="BI1665" s="1392" t="n"/>
      <c r="BJ1665" s="1392" t="n"/>
      <c r="BK1665" s="1392" t="n"/>
      <c r="BL1665" s="1392" t="n"/>
      <c r="BM1665" s="1392" t="n"/>
      <c r="BN1665" s="1392" t="n"/>
      <c r="BO1665" s="1392" t="n"/>
      <c r="BP1665" s="1392" t="n"/>
      <c r="BQ1665" s="1392" t="n"/>
      <c r="BR1665" s="1392" t="n"/>
      <c r="BS1665" s="1392" t="n"/>
      <c r="BT1665" s="1392" t="n"/>
      <c r="BU1665" s="1392" t="n"/>
      <c r="BV1665" s="1392" t="n"/>
      <c r="BW1665" s="1392" t="n"/>
      <c r="BX1665" s="1392" t="n"/>
      <c r="BY1665" s="1392" t="n"/>
      <c r="BZ1665" s="1392" t="n"/>
      <c r="CA1665" s="1392" t="n"/>
      <c r="CB1665" s="1392" t="n"/>
      <c r="CC1665" s="1392" t="n"/>
      <c r="CD1665" s="1392" t="n"/>
      <c r="CE1665" s="1392" t="n"/>
      <c r="CF1665" s="1392" t="n"/>
      <c r="CG1665" s="1392" t="n"/>
      <c r="CH1665" s="1392" t="n"/>
      <c r="CI1665" s="1392" t="n"/>
      <c r="CJ1665" s="1392" t="n"/>
      <c r="CK1665" s="1392" t="n"/>
      <c r="CL1665" s="1392" t="n"/>
    </row>
    <row r="1666">
      <c r="A1666" s="5" t="inlineStr">
        <is>
          <t>.</t>
        </is>
      </c>
      <c r="B1666" s="5" t="inlineStr">
        <is>
          <t>.</t>
        </is>
      </c>
      <c r="C1666" s="1378">
        <f>IF(raw[[#This Row],[city]]="","-",IF(raw[[#This Row],[city]]="TODAY","-",C1665+1))</f>
        <v/>
      </c>
      <c r="D1666" s="1393" t="inlineStr">
        <is>
          <t>Petropolis</t>
        </is>
      </c>
      <c r="E1666" s="1394" t="n">
        <v>44835</v>
      </c>
      <c r="F1666" s="1394" t="n">
        <v>44836</v>
      </c>
      <c r="G1666" s="1393" t="inlineStr">
        <is>
          <t>-</t>
        </is>
      </c>
      <c r="H1666" s="1393" t="inlineStr">
        <is>
          <t>Marie-Victorin</t>
        </is>
      </c>
      <c r="I1666" s="1393" t="inlineStr">
        <is>
          <t>Tatá/Araras</t>
        </is>
      </c>
      <c r="J1666" s="1393" t="inlineStr">
        <is>
          <t>-</t>
        </is>
      </c>
      <c r="K1666" s="1395">
        <f>IF(raw[[#This Row],[city]]&lt;&gt;"",_xlfn.XLOOKUP($D1666,ccc[city],ccc[prov],"-"),"-")</f>
        <v/>
      </c>
      <c r="L1666" s="1395">
        <f>IF(raw[[#This Row],[city]]&lt;&gt;"",_xlfn.XLOOKUP($D1666,ccc[city],ccc[ctry],"-"),"-")</f>
        <v/>
      </c>
      <c r="M1666" s="1395">
        <f>IF(raw[[#This Row],[city]]&lt;&gt;"",_xlfn.XLOOKUP($D1666,ccc[city],ccc[cont],"-"),"-")</f>
        <v/>
      </c>
      <c r="N1666" s="1396">
        <f>IF(raw[[#This Row],[city]]="","-",IF(raw[[#This Row],[cont]]="B",raw[[#This Row],[cont]],"W"))</f>
        <v/>
      </c>
      <c r="O1666" s="1397">
        <f>IF(raw[[#This Row],[out]]=0,0,IF(raw[[#This Row],[out]]=raw[[#This Row],[in]],0.01,raw[[#This Row],[out]]-raw[[#This Row],[in]]))</f>
        <v/>
      </c>
      <c r="P1666" s="1397">
        <f>IF(raw[[#This Row],[in]]=0,0,MONTH(raw[[#This Row],[in]]))</f>
        <v/>
      </c>
      <c r="Q1666" s="1397">
        <f>IF(raw[[#This Row],[in]]=0,0,YEAR(raw[[#This Row],[in]]))</f>
        <v/>
      </c>
      <c r="R1666" s="1397">
        <f>INT(raw[[#This Row],[yr]]/10)*10</f>
        <v/>
      </c>
      <c r="S1666" s="1395">
        <f>IF(raw[[#This Row],[city]]="","-",IF(raw[[#This Row],[city]]&lt;&gt;_xlfn.XLOOKUP(raw[[#This Row],[home]],homes[home],homes[city],"-"),1,0))</f>
        <v/>
      </c>
      <c r="T1666" s="1398" t="inlineStr">
        <is>
          <t>.</t>
        </is>
      </c>
      <c r="U1666" s="1399">
        <f>IF(raw[[#This Row],[wb]]="w",raw[[#This Row],[stay]]+U1665,U1665)</f>
        <v/>
      </c>
      <c r="V1666" s="1400">
        <f>IF(raw[[#This Row],[out]]=0,V1665,(raw[[#This Row],[out]]-E$5))</f>
        <v/>
      </c>
      <c r="W1666" s="1401">
        <f>U1666/V1666</f>
        <v/>
      </c>
      <c r="X1666" s="1392" t="n"/>
      <c r="Y1666" s="1392" t="n"/>
      <c r="Z1666" s="1392" t="n"/>
      <c r="AA1666" s="1392" t="n"/>
      <c r="AB1666" s="1392" t="n"/>
      <c r="AC1666" s="1392" t="n"/>
      <c r="AD1666" s="1392" t="n"/>
      <c r="AE1666" s="1392" t="n"/>
      <c r="AF1666" s="1392" t="n"/>
      <c r="AG1666" s="1392" t="n"/>
      <c r="AH1666" s="1392" t="n"/>
      <c r="AI1666" s="1392" t="n"/>
      <c r="AJ1666" s="1392" t="n"/>
      <c r="AK1666" s="1392" t="n"/>
      <c r="AL1666" s="1392" t="n"/>
      <c r="AM1666" s="1392" t="n"/>
      <c r="AN1666" s="1392" t="n"/>
      <c r="AO1666" s="1392" t="n"/>
      <c r="AP1666" s="1392" t="n"/>
      <c r="AQ1666" s="1392" t="n"/>
      <c r="AR1666" s="1422" t="n"/>
      <c r="AS1666" s="1422" t="n"/>
      <c r="AT1666" s="1392" t="n"/>
      <c r="AU1666" s="1392" t="n"/>
      <c r="AV1666" s="1392" t="n"/>
      <c r="AW1666" s="1392" t="n"/>
      <c r="AX1666" s="1392" t="n"/>
      <c r="AY1666" s="1392" t="n"/>
      <c r="AZ1666" s="1392" t="n"/>
      <c r="BA1666" s="1422" t="n"/>
      <c r="BB1666" s="1422" t="n"/>
      <c r="BC1666" s="1392" t="n"/>
      <c r="BD1666" s="1392" t="n"/>
      <c r="BE1666" s="1392" t="n"/>
      <c r="BF1666" s="1392" t="n"/>
      <c r="BG1666" s="1392" t="n"/>
      <c r="BH1666" s="1392" t="n"/>
      <c r="BI1666" s="1392" t="n"/>
      <c r="BJ1666" s="1392" t="n"/>
      <c r="BK1666" s="1392" t="n"/>
      <c r="BL1666" s="1392" t="n"/>
      <c r="BM1666" s="1392" t="n"/>
      <c r="BN1666" s="1392" t="n"/>
      <c r="BO1666" s="1392" t="n"/>
      <c r="BP1666" s="1392" t="n"/>
      <c r="BQ1666" s="1392" t="n"/>
      <c r="BR1666" s="1392" t="n"/>
      <c r="BS1666" s="1392" t="n"/>
      <c r="BT1666" s="1392" t="n"/>
      <c r="BU1666" s="1392" t="n"/>
      <c r="BV1666" s="1392" t="n"/>
      <c r="BW1666" s="1392" t="n"/>
      <c r="BX1666" s="1392" t="n"/>
      <c r="BY1666" s="1392" t="n"/>
      <c r="BZ1666" s="1392" t="n"/>
      <c r="CA1666" s="1392" t="n"/>
      <c r="CB1666" s="1392" t="n"/>
      <c r="CC1666" s="1392" t="n"/>
      <c r="CD1666" s="1392" t="n"/>
      <c r="CE1666" s="1392" t="n"/>
      <c r="CF1666" s="1392" t="n"/>
      <c r="CG1666" s="1392" t="n"/>
      <c r="CH1666" s="1392" t="n"/>
      <c r="CI1666" s="1392" t="n"/>
      <c r="CJ1666" s="1392" t="n"/>
      <c r="CK1666" s="1392" t="n"/>
      <c r="CL1666" s="1392" t="n"/>
    </row>
    <row r="1667">
      <c r="A1667" s="5" t="inlineStr">
        <is>
          <t>.</t>
        </is>
      </c>
      <c r="B1667" s="5" t="inlineStr">
        <is>
          <t>.</t>
        </is>
      </c>
      <c r="C1667" s="1378">
        <f>IF(raw[[#This Row],[city]]="","-",IF(raw[[#This Row],[city]]="TODAY","-",C1666+1))</f>
        <v/>
      </c>
      <c r="D1667" s="1393" t="inlineStr">
        <is>
          <t>Rio</t>
        </is>
      </c>
      <c r="E1667" s="1394" t="n">
        <v>44836</v>
      </c>
      <c r="F1667" s="1394" t="n">
        <v>44836</v>
      </c>
      <c r="G1667" s="1393" t="n">
        <v>1</v>
      </c>
      <c r="H1667" s="1393" t="inlineStr">
        <is>
          <t>Marie-Victorin</t>
        </is>
      </c>
      <c r="I1667" s="1393" t="n"/>
      <c r="J1667" s="1393" t="inlineStr">
        <is>
          <t>-</t>
        </is>
      </c>
      <c r="K1667" s="1395">
        <f>IF(raw[[#This Row],[city]]&lt;&gt;"",_xlfn.XLOOKUP($D1667,ccc[city],ccc[prov],"-"),"-")</f>
        <v/>
      </c>
      <c r="L1667" s="1395">
        <f>IF(raw[[#This Row],[city]]&lt;&gt;"",_xlfn.XLOOKUP($D1667,ccc[city],ccc[ctry],"-"),"-")</f>
        <v/>
      </c>
      <c r="M1667" s="1395">
        <f>IF(raw[[#This Row],[city]]&lt;&gt;"",_xlfn.XLOOKUP($D1667,ccc[city],ccc[cont],"-"),"-")</f>
        <v/>
      </c>
      <c r="N1667" s="1396">
        <f>IF(raw[[#This Row],[city]]="","-",IF(raw[[#This Row],[cont]]="B",raw[[#This Row],[cont]],"W"))</f>
        <v/>
      </c>
      <c r="O1667" s="1397">
        <f>IF(raw[[#This Row],[out]]=0,0,IF(raw[[#This Row],[out]]=raw[[#This Row],[in]],0.01,raw[[#This Row],[out]]-raw[[#This Row],[in]]))</f>
        <v/>
      </c>
      <c r="P1667" s="1397">
        <f>IF(raw[[#This Row],[in]]=0,0,MONTH(raw[[#This Row],[in]]))</f>
        <v/>
      </c>
      <c r="Q1667" s="1397">
        <f>IF(raw[[#This Row],[in]]=0,0,YEAR(raw[[#This Row],[in]]))</f>
        <v/>
      </c>
      <c r="R1667" s="1397">
        <f>INT(raw[[#This Row],[yr]]/10)*10</f>
        <v/>
      </c>
      <c r="S1667" s="1395">
        <f>IF(raw[[#This Row],[city]]="","-",IF(raw[[#This Row],[city]]&lt;&gt;_xlfn.XLOOKUP(raw[[#This Row],[home]],homes[home],homes[city],"-"),1,0))</f>
        <v/>
      </c>
      <c r="T1667" s="1398" t="inlineStr">
        <is>
          <t>.</t>
        </is>
      </c>
      <c r="U1667" s="1399">
        <f>IF(raw[[#This Row],[wb]]="w",raw[[#This Row],[stay]]+U1666,U1666)</f>
        <v/>
      </c>
      <c r="V1667" s="1400">
        <f>IF(raw[[#This Row],[out]]=0,V1666,(raw[[#This Row],[out]]-E$5))</f>
        <v/>
      </c>
      <c r="W1667" s="1401">
        <f>U1667/V1667</f>
        <v/>
      </c>
      <c r="X1667" s="1392" t="n"/>
      <c r="Y1667" s="1392" t="n"/>
      <c r="Z1667" s="1392" t="n"/>
      <c r="AA1667" s="1392" t="n"/>
      <c r="AB1667" s="1392" t="n"/>
      <c r="AC1667" s="1392" t="n"/>
      <c r="AD1667" s="1392" t="n"/>
      <c r="AE1667" s="1392" t="n"/>
      <c r="AF1667" s="1392" t="n"/>
      <c r="AG1667" s="1392" t="n"/>
      <c r="AH1667" s="1392" t="n"/>
      <c r="AI1667" s="1392" t="n"/>
      <c r="AJ1667" s="1392" t="n"/>
      <c r="AK1667" s="1392" t="n"/>
      <c r="AL1667" s="1392" t="n"/>
      <c r="AM1667" s="1392" t="n"/>
      <c r="AN1667" s="1392" t="n"/>
      <c r="AO1667" s="1392" t="n"/>
      <c r="AP1667" s="1392" t="n"/>
      <c r="AQ1667" s="1392" t="n"/>
      <c r="AR1667" s="1422" t="n"/>
      <c r="AS1667" s="1422" t="n"/>
      <c r="AT1667" s="1392" t="n"/>
      <c r="AU1667" s="1392" t="n"/>
      <c r="AV1667" s="1392" t="n"/>
      <c r="AW1667" s="1392" t="n"/>
      <c r="AX1667" s="1392" t="n"/>
      <c r="AY1667" s="1392" t="n"/>
      <c r="AZ1667" s="1392" t="n"/>
      <c r="BA1667" s="1422" t="n"/>
      <c r="BB1667" s="1422" t="n"/>
      <c r="BC1667" s="1392" t="n"/>
      <c r="BD1667" s="1392" t="n"/>
      <c r="BE1667" s="1392" t="n"/>
      <c r="BF1667" s="1392" t="n"/>
      <c r="BG1667" s="1392" t="n"/>
      <c r="BH1667" s="1392" t="n"/>
      <c r="BI1667" s="1392" t="n"/>
      <c r="BJ1667" s="1392" t="n"/>
      <c r="BK1667" s="1392" t="n"/>
      <c r="BL1667" s="1392" t="n"/>
      <c r="BM1667" s="1392" t="n"/>
      <c r="BN1667" s="1392" t="n"/>
      <c r="BO1667" s="1392" t="n"/>
      <c r="BP1667" s="1392" t="n"/>
      <c r="BQ1667" s="1392" t="n"/>
      <c r="BR1667" s="1392" t="n"/>
      <c r="BS1667" s="1392" t="n"/>
      <c r="BT1667" s="1392" t="n"/>
      <c r="BU1667" s="1392" t="n"/>
      <c r="BV1667" s="1392" t="n"/>
      <c r="BW1667" s="1392" t="n"/>
      <c r="BX1667" s="1392" t="n"/>
      <c r="BY1667" s="1392" t="n"/>
      <c r="BZ1667" s="1392" t="n"/>
      <c r="CA1667" s="1392" t="n"/>
      <c r="CB1667" s="1392" t="n"/>
      <c r="CC1667" s="1392" t="n"/>
      <c r="CD1667" s="1392" t="n"/>
      <c r="CE1667" s="1392" t="n"/>
      <c r="CF1667" s="1392" t="n"/>
      <c r="CG1667" s="1392" t="n"/>
      <c r="CH1667" s="1392" t="n"/>
      <c r="CI1667" s="1392" t="n"/>
      <c r="CJ1667" s="1392" t="n"/>
      <c r="CK1667" s="1392" t="n"/>
      <c r="CL1667" s="1392" t="n"/>
    </row>
    <row r="1668">
      <c r="A1668" s="5" t="inlineStr">
        <is>
          <t>.</t>
        </is>
      </c>
      <c r="B1668" s="5" t="inlineStr">
        <is>
          <t>.</t>
        </is>
      </c>
      <c r="C1668" s="1378">
        <f>IF(raw[[#This Row],[city]]="","-",IF(raw[[#This Row],[city]]="TODAY","-",C1667+1))</f>
        <v/>
      </c>
      <c r="D1668" s="1393" t="inlineStr">
        <is>
          <t>SSA</t>
        </is>
      </c>
      <c r="E1668" s="1394" t="n">
        <v>44836</v>
      </c>
      <c r="F1668" s="1394" t="n">
        <v>44839</v>
      </c>
      <c r="G1668" s="1393" t="inlineStr">
        <is>
          <t>-</t>
        </is>
      </c>
      <c r="H1668" s="1393" t="inlineStr">
        <is>
          <t>Marie-Victorin</t>
        </is>
      </c>
      <c r="I1668" s="1393" t="inlineStr">
        <is>
          <t>Ondina</t>
        </is>
      </c>
      <c r="J1668" s="1393" t="inlineStr">
        <is>
          <t>-</t>
        </is>
      </c>
      <c r="K1668" s="1395">
        <f>IF(raw[[#This Row],[city]]&lt;&gt;"",_xlfn.XLOOKUP($D1668,ccc[city],ccc[prov],"-"),"-")</f>
        <v/>
      </c>
      <c r="L1668" s="1395">
        <f>IF(raw[[#This Row],[city]]&lt;&gt;"",_xlfn.XLOOKUP($D1668,ccc[city],ccc[ctry],"-"),"-")</f>
        <v/>
      </c>
      <c r="M1668" s="1395">
        <f>IF(raw[[#This Row],[city]]&lt;&gt;"",_xlfn.XLOOKUP($D1668,ccc[city],ccc[cont],"-"),"-")</f>
        <v/>
      </c>
      <c r="N1668" s="1396">
        <f>IF(raw[[#This Row],[city]]="","-",IF(raw[[#This Row],[cont]]="B",raw[[#This Row],[cont]],"W"))</f>
        <v/>
      </c>
      <c r="O1668" s="1397">
        <f>IF(raw[[#This Row],[out]]=0,0,IF(raw[[#This Row],[out]]=raw[[#This Row],[in]],0.01,raw[[#This Row],[out]]-raw[[#This Row],[in]]))</f>
        <v/>
      </c>
      <c r="P1668" s="1397">
        <f>IF(raw[[#This Row],[in]]=0,0,MONTH(raw[[#This Row],[in]]))</f>
        <v/>
      </c>
      <c r="Q1668" s="1397">
        <f>IF(raw[[#This Row],[in]]=0,0,YEAR(raw[[#This Row],[in]]))</f>
        <v/>
      </c>
      <c r="R1668" s="1397">
        <f>INT(raw[[#This Row],[yr]]/10)*10</f>
        <v/>
      </c>
      <c r="S1668" s="1395">
        <f>IF(raw[[#This Row],[city]]="","-",IF(raw[[#This Row],[city]]&lt;&gt;_xlfn.XLOOKUP(raw[[#This Row],[home]],homes[home],homes[city],"-"),1,0))</f>
        <v/>
      </c>
      <c r="T1668" s="1398" t="inlineStr">
        <is>
          <t>.</t>
        </is>
      </c>
      <c r="U1668" s="1399">
        <f>IF(raw[[#This Row],[wb]]="w",raw[[#This Row],[stay]]+U1667,U1667)</f>
        <v/>
      </c>
      <c r="V1668" s="1400">
        <f>IF(raw[[#This Row],[out]]=0,V1667,(raw[[#This Row],[out]]-E$5))</f>
        <v/>
      </c>
      <c r="W1668" s="1401">
        <f>U1668/V1668</f>
        <v/>
      </c>
      <c r="X1668" s="1392" t="n"/>
      <c r="Y1668" s="1392" t="n"/>
      <c r="Z1668" s="1392" t="n"/>
      <c r="AA1668" s="1392" t="n"/>
      <c r="AB1668" s="1392" t="n"/>
      <c r="AC1668" s="1392" t="n"/>
      <c r="AD1668" s="1392" t="n"/>
      <c r="AE1668" s="1392" t="n"/>
      <c r="AF1668" s="1392" t="n"/>
      <c r="AG1668" s="1392" t="n"/>
      <c r="AH1668" s="1392" t="n"/>
      <c r="AI1668" s="1392" t="n"/>
      <c r="AJ1668" s="1392" t="n"/>
      <c r="AK1668" s="1392" t="n"/>
      <c r="AL1668" s="1392" t="n"/>
      <c r="AM1668" s="1392" t="n"/>
      <c r="AN1668" s="1392" t="n"/>
      <c r="AO1668" s="1392" t="n"/>
      <c r="AP1668" s="1392" t="n"/>
      <c r="AQ1668" s="1392" t="n"/>
      <c r="AR1668" s="1422" t="n"/>
      <c r="AS1668" s="1422" t="n"/>
      <c r="AT1668" s="1392" t="n"/>
      <c r="AU1668" s="1392" t="n"/>
      <c r="AV1668" s="1392" t="n"/>
      <c r="AW1668" s="1392" t="n"/>
      <c r="AX1668" s="1392" t="n"/>
      <c r="AY1668" s="1392" t="n"/>
      <c r="AZ1668" s="1392" t="n"/>
      <c r="BA1668" s="1422" t="n"/>
      <c r="BB1668" s="1422" t="n"/>
      <c r="BC1668" s="1392" t="n"/>
      <c r="BD1668" s="1392" t="n"/>
      <c r="BE1668" s="1392" t="n"/>
      <c r="BF1668" s="1392" t="n"/>
      <c r="BG1668" s="1392" t="n"/>
      <c r="BH1668" s="1392" t="n"/>
      <c r="BI1668" s="1392" t="n"/>
      <c r="BJ1668" s="1392" t="n"/>
      <c r="BK1668" s="1392" t="n"/>
      <c r="BL1668" s="1392" t="n"/>
      <c r="BM1668" s="1392" t="n"/>
      <c r="BN1668" s="1392" t="n"/>
      <c r="BO1668" s="1392" t="n"/>
      <c r="BP1668" s="1392" t="n"/>
      <c r="BQ1668" s="1392" t="n"/>
      <c r="BR1668" s="1392" t="n"/>
      <c r="BS1668" s="1392" t="n"/>
      <c r="BT1668" s="1392" t="n"/>
      <c r="BU1668" s="1392" t="n"/>
      <c r="BV1668" s="1392" t="n"/>
      <c r="BW1668" s="1392" t="n"/>
      <c r="BX1668" s="1392" t="n"/>
      <c r="BY1668" s="1392" t="n"/>
      <c r="BZ1668" s="1392" t="n"/>
      <c r="CA1668" s="1392" t="n"/>
      <c r="CB1668" s="1392" t="n"/>
      <c r="CC1668" s="1392" t="n"/>
      <c r="CD1668" s="1392" t="n"/>
      <c r="CE1668" s="1392" t="n"/>
      <c r="CF1668" s="1392" t="n"/>
      <c r="CG1668" s="1392" t="n"/>
      <c r="CH1668" s="1392" t="n"/>
      <c r="CI1668" s="1392" t="n"/>
      <c r="CJ1668" s="1392" t="n"/>
      <c r="CK1668" s="1392" t="n"/>
      <c r="CL1668" s="1392" t="n"/>
    </row>
    <row r="1669">
      <c r="A1669" s="5" t="inlineStr">
        <is>
          <t>.</t>
        </is>
      </c>
      <c r="B1669" s="5" t="inlineStr">
        <is>
          <t>.</t>
        </is>
      </c>
      <c r="C1669" s="1378">
        <f>IF(raw[[#This Row],[city]]="","-",IF(raw[[#This Row],[city]]="TODAY","-",C1668+1))</f>
        <v/>
      </c>
      <c r="D1669" s="1393" t="inlineStr">
        <is>
          <t>Aracaju</t>
        </is>
      </c>
      <c r="E1669" s="1394" t="n">
        <v>44839</v>
      </c>
      <c r="F1669" s="1394" t="n">
        <v>44841</v>
      </c>
      <c r="G1669" s="1393" t="inlineStr">
        <is>
          <t>-</t>
        </is>
      </c>
      <c r="H1669" s="1393" t="inlineStr">
        <is>
          <t>Marie-Victorin</t>
        </is>
      </c>
      <c r="I1669" s="1393" t="inlineStr">
        <is>
          <t>Tia Vera/apt</t>
        </is>
      </c>
      <c r="J1669" s="1393" t="inlineStr">
        <is>
          <t>-</t>
        </is>
      </c>
      <c r="K1669" s="1395">
        <f>IF(raw[[#This Row],[city]]&lt;&gt;"",_xlfn.XLOOKUP($D1669,ccc[city],ccc[prov],"-"),"-")</f>
        <v/>
      </c>
      <c r="L1669" s="1395">
        <f>IF(raw[[#This Row],[city]]&lt;&gt;"",_xlfn.XLOOKUP($D1669,ccc[city],ccc[ctry],"-"),"-")</f>
        <v/>
      </c>
      <c r="M1669" s="1395">
        <f>IF(raw[[#This Row],[city]]&lt;&gt;"",_xlfn.XLOOKUP($D1669,ccc[city],ccc[cont],"-"),"-")</f>
        <v/>
      </c>
      <c r="N1669" s="1396">
        <f>IF(raw[[#This Row],[city]]="","-",IF(raw[[#This Row],[cont]]="B",raw[[#This Row],[cont]],"W"))</f>
        <v/>
      </c>
      <c r="O1669" s="1397">
        <f>IF(raw[[#This Row],[out]]=0,0,IF(raw[[#This Row],[out]]=raw[[#This Row],[in]],0.01,raw[[#This Row],[out]]-raw[[#This Row],[in]]))</f>
        <v/>
      </c>
      <c r="P1669" s="1397">
        <f>IF(raw[[#This Row],[in]]=0,0,MONTH(raw[[#This Row],[in]]))</f>
        <v/>
      </c>
      <c r="Q1669" s="1397">
        <f>IF(raw[[#This Row],[in]]=0,0,YEAR(raw[[#This Row],[in]]))</f>
        <v/>
      </c>
      <c r="R1669" s="1397">
        <f>INT(raw[[#This Row],[yr]]/10)*10</f>
        <v/>
      </c>
      <c r="S1669" s="1395">
        <f>IF(raw[[#This Row],[city]]="","-",IF(raw[[#This Row],[city]]&lt;&gt;_xlfn.XLOOKUP(raw[[#This Row],[home]],homes[home],homes[city],"-"),1,0))</f>
        <v/>
      </c>
      <c r="T1669" s="1398" t="inlineStr">
        <is>
          <t>.</t>
        </is>
      </c>
      <c r="U1669" s="1399">
        <f>IF(raw[[#This Row],[wb]]="w",raw[[#This Row],[stay]]+U1668,U1668)</f>
        <v/>
      </c>
      <c r="V1669" s="1400">
        <f>IF(raw[[#This Row],[out]]=0,V1668,(raw[[#This Row],[out]]-E$5))</f>
        <v/>
      </c>
      <c r="W1669" s="1401">
        <f>U1669/V1669</f>
        <v/>
      </c>
      <c r="X1669" s="1392" t="n"/>
      <c r="Y1669" s="1392" t="n"/>
      <c r="Z1669" s="1392" t="n"/>
      <c r="AA1669" s="1392" t="n"/>
      <c r="AB1669" s="1392" t="n"/>
      <c r="AC1669" s="1392" t="n"/>
      <c r="AD1669" s="1392" t="n"/>
      <c r="AE1669" s="1392" t="n"/>
      <c r="AF1669" s="1392" t="n"/>
      <c r="AG1669" s="1392" t="n"/>
      <c r="AH1669" s="1392" t="n"/>
      <c r="AI1669" s="1392" t="n"/>
      <c r="AJ1669" s="1392" t="n"/>
      <c r="AK1669" s="1392" t="n"/>
      <c r="AL1669" s="1392" t="n"/>
      <c r="AM1669" s="1392" t="n"/>
      <c r="AN1669" s="1392" t="n"/>
      <c r="AO1669" s="1392" t="n"/>
      <c r="AP1669" s="1392" t="n"/>
      <c r="AQ1669" s="1392" t="n"/>
      <c r="AR1669" s="1422" t="n"/>
      <c r="AS1669" s="1422" t="n"/>
      <c r="AT1669" s="1392" t="n"/>
      <c r="AU1669" s="1392" t="n"/>
      <c r="AV1669" s="1392" t="n"/>
      <c r="AW1669" s="1392" t="n"/>
      <c r="AX1669" s="1392" t="n"/>
      <c r="AY1669" s="1392" t="n"/>
      <c r="AZ1669" s="1392" t="n"/>
      <c r="BA1669" s="1422" t="n"/>
      <c r="BB1669" s="1422" t="n"/>
      <c r="BC1669" s="1392" t="n"/>
      <c r="BD1669" s="1392" t="n"/>
      <c r="BE1669" s="1392" t="n"/>
      <c r="BF1669" s="1392" t="n"/>
      <c r="BG1669" s="1392" t="n"/>
      <c r="BH1669" s="1392" t="n"/>
      <c r="BI1669" s="1392" t="n"/>
      <c r="BJ1669" s="1392" t="n"/>
      <c r="BK1669" s="1392" t="n"/>
      <c r="BL1669" s="1392" t="n"/>
      <c r="BM1669" s="1392" t="n"/>
      <c r="BN1669" s="1392" t="n"/>
      <c r="BO1669" s="1392" t="n"/>
      <c r="BP1669" s="1392" t="n"/>
      <c r="BQ1669" s="1392" t="n"/>
      <c r="BR1669" s="1392" t="n"/>
      <c r="BS1669" s="1392" t="n"/>
      <c r="BT1669" s="1392" t="n"/>
      <c r="BU1669" s="1392" t="n"/>
      <c r="BV1669" s="1392" t="n"/>
      <c r="BW1669" s="1392" t="n"/>
      <c r="BX1669" s="1392" t="n"/>
      <c r="BY1669" s="1392" t="n"/>
      <c r="BZ1669" s="1392" t="n"/>
      <c r="CA1669" s="1392" t="n"/>
      <c r="CB1669" s="1392" t="n"/>
      <c r="CC1669" s="1392" t="n"/>
      <c r="CD1669" s="1392" t="n"/>
      <c r="CE1669" s="1392" t="n"/>
      <c r="CF1669" s="1392" t="n"/>
      <c r="CG1669" s="1392" t="n"/>
      <c r="CH1669" s="1392" t="n"/>
      <c r="CI1669" s="1392" t="n"/>
      <c r="CJ1669" s="1392" t="n"/>
      <c r="CK1669" s="1392" t="n"/>
      <c r="CL1669" s="1392" t="n"/>
    </row>
    <row r="1670">
      <c r="A1670" s="5" t="inlineStr">
        <is>
          <t>.</t>
        </is>
      </c>
      <c r="B1670" s="5" t="inlineStr">
        <is>
          <t>.</t>
        </is>
      </c>
      <c r="C1670" s="1378">
        <f>IF(raw[[#This Row],[city]]="","-",IF(raw[[#This Row],[city]]="TODAY","-",C1669+1))</f>
        <v/>
      </c>
      <c r="D1670" s="1393" t="inlineStr">
        <is>
          <t>SSA</t>
        </is>
      </c>
      <c r="E1670" s="1394" t="n">
        <v>44841</v>
      </c>
      <c r="F1670" s="1394" t="n">
        <v>44844</v>
      </c>
      <c r="G1670" s="1393" t="n">
        <v>1</v>
      </c>
      <c r="H1670" s="1393" t="inlineStr">
        <is>
          <t>Marie-Victorin</t>
        </is>
      </c>
      <c r="I1670" s="1393" t="inlineStr">
        <is>
          <t>Ondina</t>
        </is>
      </c>
      <c r="J1670" s="1393" t="inlineStr">
        <is>
          <t>-</t>
        </is>
      </c>
      <c r="K1670" s="1395">
        <f>IF(raw[[#This Row],[city]]&lt;&gt;"",_xlfn.XLOOKUP($D1670,ccc[city],ccc[prov],"-"),"-")</f>
        <v/>
      </c>
      <c r="L1670" s="1395">
        <f>IF(raw[[#This Row],[city]]&lt;&gt;"",_xlfn.XLOOKUP($D1670,ccc[city],ccc[ctry],"-"),"-")</f>
        <v/>
      </c>
      <c r="M1670" s="1395">
        <f>IF(raw[[#This Row],[city]]&lt;&gt;"",_xlfn.XLOOKUP($D1670,ccc[city],ccc[cont],"-"),"-")</f>
        <v/>
      </c>
      <c r="N1670" s="1396">
        <f>IF(raw[[#This Row],[city]]="","-",IF(raw[[#This Row],[cont]]="B",raw[[#This Row],[cont]],"W"))</f>
        <v/>
      </c>
      <c r="O1670" s="1397">
        <f>IF(raw[[#This Row],[out]]=0,0,IF(raw[[#This Row],[out]]=raw[[#This Row],[in]],0.01,raw[[#This Row],[out]]-raw[[#This Row],[in]]))</f>
        <v/>
      </c>
      <c r="P1670" s="1397">
        <f>IF(raw[[#This Row],[in]]=0,0,MONTH(raw[[#This Row],[in]]))</f>
        <v/>
      </c>
      <c r="Q1670" s="1397">
        <f>IF(raw[[#This Row],[in]]=0,0,YEAR(raw[[#This Row],[in]]))</f>
        <v/>
      </c>
      <c r="R1670" s="1397">
        <f>INT(raw[[#This Row],[yr]]/10)*10</f>
        <v/>
      </c>
      <c r="S1670" s="1395">
        <f>IF(raw[[#This Row],[city]]="","-",IF(raw[[#This Row],[city]]&lt;&gt;_xlfn.XLOOKUP(raw[[#This Row],[home]],homes[home],homes[city],"-"),1,0))</f>
        <v/>
      </c>
      <c r="T1670" s="1398" t="inlineStr">
        <is>
          <t>.</t>
        </is>
      </c>
      <c r="U1670" s="1399">
        <f>IF(raw[[#This Row],[wb]]="w",raw[[#This Row],[stay]]+U1669,U1669)</f>
        <v/>
      </c>
      <c r="V1670" s="1400">
        <f>IF(raw[[#This Row],[out]]=0,V1669,(raw[[#This Row],[out]]-E$5))</f>
        <v/>
      </c>
      <c r="W1670" s="1401">
        <f>U1670/V1670</f>
        <v/>
      </c>
      <c r="X1670" s="1392" t="n"/>
      <c r="Y1670" s="1392" t="n"/>
      <c r="Z1670" s="1392" t="n"/>
      <c r="AA1670" s="1392" t="n"/>
      <c r="AB1670" s="1392" t="n"/>
      <c r="AC1670" s="1392" t="n"/>
      <c r="AD1670" s="1392" t="n"/>
      <c r="AE1670" s="1392" t="n"/>
      <c r="AF1670" s="1392" t="n"/>
      <c r="AG1670" s="1392" t="n"/>
      <c r="AH1670" s="1392" t="n"/>
      <c r="AI1670" s="1392" t="n"/>
      <c r="AJ1670" s="1392" t="n"/>
      <c r="AK1670" s="1392" t="n"/>
      <c r="AL1670" s="1392" t="n"/>
      <c r="AM1670" s="1392" t="n"/>
      <c r="AN1670" s="1392" t="n"/>
      <c r="AO1670" s="1392" t="n"/>
      <c r="AP1670" s="1392" t="n"/>
      <c r="AQ1670" s="1392" t="n"/>
      <c r="AR1670" s="1422" t="n"/>
      <c r="AS1670" s="1422" t="n"/>
      <c r="AT1670" s="1392" t="n"/>
      <c r="AU1670" s="1392" t="n"/>
      <c r="AV1670" s="1392" t="n"/>
      <c r="AW1670" s="1392" t="n"/>
      <c r="AX1670" s="1392" t="n"/>
      <c r="AY1670" s="1392" t="n"/>
      <c r="AZ1670" s="1392" t="n"/>
      <c r="BA1670" s="1422" t="n"/>
      <c r="BB1670" s="1422" t="n"/>
      <c r="BC1670" s="1392" t="n"/>
      <c r="BD1670" s="1392" t="n"/>
      <c r="BE1670" s="1392" t="n"/>
      <c r="BF1670" s="1392" t="n"/>
      <c r="BG1670" s="1392" t="n"/>
      <c r="BH1670" s="1392" t="n"/>
      <c r="BI1670" s="1392" t="n"/>
      <c r="BJ1670" s="1392" t="n"/>
      <c r="BK1670" s="1392" t="n"/>
      <c r="BL1670" s="1392" t="n"/>
      <c r="BM1670" s="1392" t="n"/>
      <c r="BN1670" s="1392" t="n"/>
      <c r="BO1670" s="1392" t="n"/>
      <c r="BP1670" s="1392" t="n"/>
      <c r="BQ1670" s="1392" t="n"/>
      <c r="BR1670" s="1392" t="n"/>
      <c r="BS1670" s="1392" t="n"/>
      <c r="BT1670" s="1392" t="n"/>
      <c r="BU1670" s="1392" t="n"/>
      <c r="BV1670" s="1392" t="n"/>
      <c r="BW1670" s="1392" t="n"/>
      <c r="BX1670" s="1392" t="n"/>
      <c r="BY1670" s="1392" t="n"/>
      <c r="BZ1670" s="1392" t="n"/>
      <c r="CA1670" s="1392" t="n"/>
      <c r="CB1670" s="1392" t="n"/>
      <c r="CC1670" s="1392" t="n"/>
      <c r="CD1670" s="1392" t="n"/>
      <c r="CE1670" s="1392" t="n"/>
      <c r="CF1670" s="1392" t="n"/>
      <c r="CG1670" s="1392" t="n"/>
      <c r="CH1670" s="1392" t="n"/>
      <c r="CI1670" s="1392" t="n"/>
      <c r="CJ1670" s="1392" t="n"/>
      <c r="CK1670" s="1392" t="n"/>
      <c r="CL1670" s="1392" t="n"/>
    </row>
    <row r="1671">
      <c r="A1671" s="5" t="inlineStr">
        <is>
          <t>.</t>
        </is>
      </c>
      <c r="B1671" s="5" t="inlineStr">
        <is>
          <t>.</t>
        </is>
      </c>
      <c r="C1671" s="1378">
        <f>IF(raw[[#This Row],[city]]="","-",IF(raw[[#This Row],[city]]="TODAY","-",C1670+1))</f>
        <v/>
      </c>
      <c r="D1671" s="1393" t="inlineStr">
        <is>
          <t>SP</t>
        </is>
      </c>
      <c r="E1671" s="1394" t="n">
        <v>44844</v>
      </c>
      <c r="F1671" s="1394" t="n">
        <v>44844</v>
      </c>
      <c r="G1671" s="1393" t="n">
        <v>1</v>
      </c>
      <c r="H1671" s="1393" t="inlineStr">
        <is>
          <t>Marie-Victorin</t>
        </is>
      </c>
      <c r="I1671" s="1393" t="inlineStr">
        <is>
          <t>-</t>
        </is>
      </c>
      <c r="J1671" s="1393" t="inlineStr">
        <is>
          <t>-</t>
        </is>
      </c>
      <c r="K1671" s="1395">
        <f>IF(raw[[#This Row],[city]]&lt;&gt;"",_xlfn.XLOOKUP($D1671,ccc[city],ccc[prov],"-"),"-")</f>
        <v/>
      </c>
      <c r="L1671" s="1395">
        <f>IF(raw[[#This Row],[city]]&lt;&gt;"",_xlfn.XLOOKUP($D1671,ccc[city],ccc[ctry],"-"),"-")</f>
        <v/>
      </c>
      <c r="M1671" s="1395">
        <f>IF(raw[[#This Row],[city]]&lt;&gt;"",_xlfn.XLOOKUP($D1671,ccc[city],ccc[cont],"-"),"-")</f>
        <v/>
      </c>
      <c r="N1671" s="1396">
        <f>IF(raw[[#This Row],[city]]="","-",IF(raw[[#This Row],[cont]]="B",raw[[#This Row],[cont]],"W"))</f>
        <v/>
      </c>
      <c r="O1671" s="1397">
        <f>IF(raw[[#This Row],[out]]=0,0,IF(raw[[#This Row],[out]]=raw[[#This Row],[in]],0.01,raw[[#This Row],[out]]-raw[[#This Row],[in]]))</f>
        <v/>
      </c>
      <c r="P1671" s="1397">
        <f>IF(raw[[#This Row],[in]]=0,0,MONTH(raw[[#This Row],[in]]))</f>
        <v/>
      </c>
      <c r="Q1671" s="1397">
        <f>IF(raw[[#This Row],[in]]=0,0,YEAR(raw[[#This Row],[in]]))</f>
        <v/>
      </c>
      <c r="R1671" s="1397">
        <f>INT(raw[[#This Row],[yr]]/10)*10</f>
        <v/>
      </c>
      <c r="S1671" s="1395">
        <f>IF(raw[[#This Row],[city]]="","-",IF(raw[[#This Row],[city]]&lt;&gt;_xlfn.XLOOKUP(raw[[#This Row],[home]],homes[home],homes[city],"-"),1,0))</f>
        <v/>
      </c>
      <c r="T1671" s="1398" t="inlineStr">
        <is>
          <t>.</t>
        </is>
      </c>
      <c r="U1671" s="1399">
        <f>IF(raw[[#This Row],[wb]]="w",raw[[#This Row],[stay]]+U1670,U1670)</f>
        <v/>
      </c>
      <c r="V1671" s="1400">
        <f>IF(raw[[#This Row],[out]]=0,V1670,(raw[[#This Row],[out]]-E$5))</f>
        <v/>
      </c>
      <c r="W1671" s="1401">
        <f>U1671/V1671</f>
        <v/>
      </c>
      <c r="X1671" s="1392" t="n"/>
      <c r="Y1671" s="1392" t="n"/>
      <c r="Z1671" s="1392" t="n"/>
      <c r="AA1671" s="1392" t="n"/>
      <c r="AB1671" s="1392" t="n"/>
      <c r="AC1671" s="1392" t="n"/>
      <c r="AD1671" s="1392" t="n"/>
      <c r="AE1671" s="1392" t="n"/>
      <c r="AF1671" s="1392" t="n"/>
      <c r="AG1671" s="1392" t="n"/>
      <c r="AH1671" s="1392" t="n"/>
      <c r="AI1671" s="1392" t="n"/>
      <c r="AJ1671" s="1392" t="n"/>
      <c r="AK1671" s="1392" t="n"/>
      <c r="AL1671" s="1392" t="n"/>
      <c r="AM1671" s="1392" t="n"/>
      <c r="AN1671" s="1392" t="n"/>
      <c r="AO1671" s="1392" t="n"/>
      <c r="AP1671" s="1392" t="n"/>
      <c r="AQ1671" s="1392" t="n"/>
      <c r="AR1671" s="1422" t="n"/>
      <c r="AS1671" s="1422" t="n"/>
      <c r="AT1671" s="1392" t="n"/>
      <c r="AU1671" s="1392" t="n"/>
      <c r="AV1671" s="1392" t="n"/>
      <c r="AW1671" s="1392" t="n"/>
      <c r="AX1671" s="1392" t="n"/>
      <c r="AY1671" s="1392" t="n"/>
      <c r="AZ1671" s="1392" t="n"/>
      <c r="BA1671" s="1422" t="n"/>
      <c r="BB1671" s="1422" t="n"/>
      <c r="BC1671" s="1392" t="n"/>
      <c r="BD1671" s="1392" t="n"/>
      <c r="BE1671" s="1392" t="n"/>
      <c r="BF1671" s="1392" t="n"/>
      <c r="BG1671" s="1392" t="n"/>
      <c r="BH1671" s="1392" t="n"/>
      <c r="BI1671" s="1392" t="n"/>
      <c r="BJ1671" s="1392" t="n"/>
      <c r="BK1671" s="1392" t="n"/>
      <c r="BL1671" s="1392" t="n"/>
      <c r="BM1671" s="1392" t="n"/>
      <c r="BN1671" s="1392" t="n"/>
      <c r="BO1671" s="1392" t="n"/>
      <c r="BP1671" s="1392" t="n"/>
      <c r="BQ1671" s="1392" t="n"/>
      <c r="BR1671" s="1392" t="n"/>
      <c r="BS1671" s="1392" t="n"/>
      <c r="BT1671" s="1392" t="n"/>
      <c r="BU1671" s="1392" t="n"/>
      <c r="BV1671" s="1392" t="n"/>
      <c r="BW1671" s="1392" t="n"/>
      <c r="BX1671" s="1392" t="n"/>
      <c r="BY1671" s="1392" t="n"/>
      <c r="BZ1671" s="1392" t="n"/>
      <c r="CA1671" s="1392" t="n"/>
      <c r="CB1671" s="1392" t="n"/>
      <c r="CC1671" s="1392" t="n"/>
      <c r="CD1671" s="1392" t="n"/>
      <c r="CE1671" s="1392" t="n"/>
      <c r="CF1671" s="1392" t="n"/>
      <c r="CG1671" s="1392" t="n"/>
      <c r="CH1671" s="1392" t="n"/>
      <c r="CI1671" s="1392" t="n"/>
      <c r="CJ1671" s="1392" t="n"/>
      <c r="CK1671" s="1392" t="n"/>
      <c r="CL1671" s="1392" t="n"/>
    </row>
    <row r="1672">
      <c r="A1672" s="5" t="inlineStr">
        <is>
          <t>.</t>
        </is>
      </c>
      <c r="B1672" s="5" t="inlineStr">
        <is>
          <t>.</t>
        </is>
      </c>
      <c r="C1672" s="1378">
        <f>IF(raw[[#This Row],[city]]="","-",IF(raw[[#This Row],[city]]="TODAY","-",C1671+1))</f>
        <v/>
      </c>
      <c r="D1672" s="1393" t="inlineStr">
        <is>
          <t>AIR</t>
        </is>
      </c>
      <c r="E1672" s="1394" t="n">
        <v>44844</v>
      </c>
      <c r="F1672" s="1394" t="n">
        <v>44845</v>
      </c>
      <c r="G1672" s="1393" t="inlineStr">
        <is>
          <t>x</t>
        </is>
      </c>
      <c r="H1672" s="1393" t="inlineStr">
        <is>
          <t>Marie-Victorin</t>
        </is>
      </c>
      <c r="I1672" s="1393" t="inlineStr">
        <is>
          <t>-</t>
        </is>
      </c>
      <c r="J1672" s="1393" t="inlineStr">
        <is>
          <t>-</t>
        </is>
      </c>
      <c r="K1672" s="1395">
        <f>IF(raw[[#This Row],[city]]&lt;&gt;"",_xlfn.XLOOKUP($D1672,ccc[city],ccc[prov],"-"),"-")</f>
        <v/>
      </c>
      <c r="L1672" s="1395">
        <f>IF(raw[[#This Row],[city]]&lt;&gt;"",_xlfn.XLOOKUP($D1672,ccc[city],ccc[ctry],"-"),"-")</f>
        <v/>
      </c>
      <c r="M1672" s="1395">
        <f>IF(raw[[#This Row],[city]]&lt;&gt;"",_xlfn.XLOOKUP($D1672,ccc[city],ccc[cont],"-"),"-")</f>
        <v/>
      </c>
      <c r="N1672" s="1396">
        <f>IF(raw[[#This Row],[city]]="","-",IF(raw[[#This Row],[cont]]="B",raw[[#This Row],[cont]],"W"))</f>
        <v/>
      </c>
      <c r="O1672" s="1397">
        <f>IF(raw[[#This Row],[out]]=0,0,IF(raw[[#This Row],[out]]=raw[[#This Row],[in]],0.01,raw[[#This Row],[out]]-raw[[#This Row],[in]]))</f>
        <v/>
      </c>
      <c r="P1672" s="1397">
        <f>IF(raw[[#This Row],[in]]=0,0,MONTH(raw[[#This Row],[in]]))</f>
        <v/>
      </c>
      <c r="Q1672" s="1397">
        <f>IF(raw[[#This Row],[in]]=0,0,YEAR(raw[[#This Row],[in]]))</f>
        <v/>
      </c>
      <c r="R1672" s="1397">
        <f>INT(raw[[#This Row],[yr]]/10)*10</f>
        <v/>
      </c>
      <c r="S1672" s="1395">
        <f>IF(raw[[#This Row],[city]]="","-",IF(raw[[#This Row],[city]]&lt;&gt;_xlfn.XLOOKUP(raw[[#This Row],[home]],homes[home],homes[city],"-"),1,0))</f>
        <v/>
      </c>
      <c r="T1672" s="1398" t="inlineStr">
        <is>
          <t>.</t>
        </is>
      </c>
      <c r="U1672" s="1399">
        <f>IF(raw[[#This Row],[wb]]="w",raw[[#This Row],[stay]]+U1671,U1671)</f>
        <v/>
      </c>
      <c r="V1672" s="1400">
        <f>IF(raw[[#This Row],[out]]=0,V1671,(raw[[#This Row],[out]]-E$5))</f>
        <v/>
      </c>
      <c r="W1672" s="1401">
        <f>U1672/V1672</f>
        <v/>
      </c>
      <c r="X1672" s="1392" t="n"/>
      <c r="Y1672" s="1392" t="n"/>
      <c r="Z1672" s="1392" t="n"/>
      <c r="AA1672" s="1392" t="n"/>
      <c r="AB1672" s="1392" t="n"/>
      <c r="AC1672" s="1392" t="n"/>
      <c r="AD1672" s="1392" t="n"/>
      <c r="AE1672" s="1392" t="n"/>
      <c r="AF1672" s="1392" t="n"/>
      <c r="AG1672" s="1392" t="n"/>
      <c r="AH1672" s="1392" t="n"/>
      <c r="AI1672" s="1392" t="n"/>
      <c r="AJ1672" s="1392" t="n"/>
      <c r="AK1672" s="1392" t="n"/>
      <c r="AL1672" s="1392" t="n"/>
      <c r="AM1672" s="1392" t="n"/>
      <c r="AN1672" s="1392" t="n"/>
      <c r="AO1672" s="1392" t="n"/>
      <c r="AP1672" s="1392" t="n"/>
      <c r="AQ1672" s="1392" t="n"/>
      <c r="AR1672" s="1422" t="n"/>
      <c r="AS1672" s="1422" t="n"/>
      <c r="AT1672" s="1392" t="n"/>
      <c r="AU1672" s="1392" t="n"/>
      <c r="AV1672" s="1392" t="n"/>
      <c r="AW1672" s="1392" t="n"/>
      <c r="AX1672" s="1392" t="n"/>
      <c r="AY1672" s="1392" t="n"/>
      <c r="AZ1672" s="1392" t="n"/>
      <c r="BA1672" s="1422" t="n"/>
      <c r="BB1672" s="1422" t="n"/>
      <c r="BC1672" s="1392" t="n"/>
      <c r="BD1672" s="1392" t="n"/>
      <c r="BE1672" s="1392" t="n"/>
      <c r="BF1672" s="1392" t="n"/>
      <c r="BG1672" s="1392" t="n"/>
      <c r="BH1672" s="1392" t="n"/>
      <c r="BI1672" s="1392" t="n"/>
      <c r="BJ1672" s="1392" t="n"/>
      <c r="BK1672" s="1392" t="n"/>
      <c r="BL1672" s="1392" t="n"/>
      <c r="BM1672" s="1392" t="n"/>
      <c r="BN1672" s="1392" t="n"/>
      <c r="BO1672" s="1392" t="n"/>
      <c r="BP1672" s="1392" t="n"/>
      <c r="BQ1672" s="1392" t="n"/>
      <c r="BR1672" s="1392" t="n"/>
      <c r="BS1672" s="1392" t="n"/>
      <c r="BT1672" s="1392" t="n"/>
      <c r="BU1672" s="1392" t="n"/>
      <c r="BV1672" s="1392" t="n"/>
      <c r="BW1672" s="1392" t="n"/>
      <c r="BX1672" s="1392" t="n"/>
      <c r="BY1672" s="1392" t="n"/>
      <c r="BZ1672" s="1392" t="n"/>
      <c r="CA1672" s="1392" t="n"/>
      <c r="CB1672" s="1392" t="n"/>
      <c r="CC1672" s="1392" t="n"/>
      <c r="CD1672" s="1392" t="n"/>
      <c r="CE1672" s="1392" t="n"/>
      <c r="CF1672" s="1392" t="n"/>
      <c r="CG1672" s="1392" t="n"/>
      <c r="CH1672" s="1392" t="n"/>
      <c r="CI1672" s="1392" t="n"/>
      <c r="CJ1672" s="1392" t="n"/>
      <c r="CK1672" s="1392" t="n"/>
      <c r="CL1672" s="1392" t="n"/>
    </row>
    <row r="1673">
      <c r="A1673" s="5" t="inlineStr">
        <is>
          <t>.</t>
        </is>
      </c>
      <c r="B1673" s="5" t="inlineStr">
        <is>
          <t>.</t>
        </is>
      </c>
      <c r="C1673" s="1378">
        <f>IF(raw[[#This Row],[city]]="","-",IF(raw[[#This Row],[city]]="TODAY","-",C1672+1))</f>
        <v/>
      </c>
      <c r="D1673" s="1393" t="inlineStr">
        <is>
          <t>Montreal</t>
        </is>
      </c>
      <c r="E1673" s="1394" t="n">
        <v>44845</v>
      </c>
      <c r="F1673" s="1394" t="n">
        <v>44866</v>
      </c>
      <c r="G1673" s="1393" t="inlineStr">
        <is>
          <t>-</t>
        </is>
      </c>
      <c r="H1673" s="1393" t="inlineStr">
        <is>
          <t>Marie-Victorin</t>
        </is>
      </c>
      <c r="I1673" s="1393" t="inlineStr">
        <is>
          <t>-</t>
        </is>
      </c>
      <c r="J1673" s="1393" t="inlineStr">
        <is>
          <t>-</t>
        </is>
      </c>
      <c r="K1673" s="1395">
        <f>IF(raw[[#This Row],[city]]&lt;&gt;"",_xlfn.XLOOKUP($D1673,ccc[city],ccc[prov],"-"),"-")</f>
        <v/>
      </c>
      <c r="L1673" s="1395">
        <f>IF(raw[[#This Row],[city]]&lt;&gt;"",_xlfn.XLOOKUP($D1673,ccc[city],ccc[ctry],"-"),"-")</f>
        <v/>
      </c>
      <c r="M1673" s="1395">
        <f>IF(raw[[#This Row],[city]]&lt;&gt;"",_xlfn.XLOOKUP($D1673,ccc[city],ccc[cont],"-"),"-")</f>
        <v/>
      </c>
      <c r="N1673" s="1396">
        <f>IF(raw[[#This Row],[city]]="","-",IF(raw[[#This Row],[cont]]="B",raw[[#This Row],[cont]],"W"))</f>
        <v/>
      </c>
      <c r="O1673" s="1397">
        <f>IF(raw[[#This Row],[out]]=0,0,IF(raw[[#This Row],[out]]=raw[[#This Row],[in]],0.01,raw[[#This Row],[out]]-raw[[#This Row],[in]]))</f>
        <v/>
      </c>
      <c r="P1673" s="1397">
        <f>IF(raw[[#This Row],[in]]=0,0,MONTH(raw[[#This Row],[in]]))</f>
        <v/>
      </c>
      <c r="Q1673" s="1397">
        <f>IF(raw[[#This Row],[in]]=0,0,YEAR(raw[[#This Row],[in]]))</f>
        <v/>
      </c>
      <c r="R1673" s="1397">
        <f>INT(raw[[#This Row],[yr]]/10)*10</f>
        <v/>
      </c>
      <c r="S1673" s="1395">
        <f>IF(raw[[#This Row],[city]]="","-",IF(raw[[#This Row],[city]]&lt;&gt;_xlfn.XLOOKUP(raw[[#This Row],[home]],homes[home],homes[city],"-"),1,0))</f>
        <v/>
      </c>
      <c r="T1673" s="1398" t="inlineStr">
        <is>
          <t>.</t>
        </is>
      </c>
      <c r="U1673" s="1399">
        <f>IF(raw[[#This Row],[wb]]="w",raw[[#This Row],[stay]]+U1672,U1672)</f>
        <v/>
      </c>
      <c r="V1673" s="1400">
        <f>IF(raw[[#This Row],[out]]=0,V1672,(raw[[#This Row],[out]]-E$5))</f>
        <v/>
      </c>
      <c r="W1673" s="1401">
        <f>U1673/V1673</f>
        <v/>
      </c>
      <c r="X1673" s="1392" t="n"/>
      <c r="Y1673" s="1392" t="n"/>
      <c r="Z1673" s="1392" t="n"/>
      <c r="AA1673" s="1392" t="n"/>
      <c r="AB1673" s="1392" t="n"/>
      <c r="AC1673" s="1392" t="n"/>
      <c r="AD1673" s="1392" t="n"/>
      <c r="AE1673" s="1392" t="n"/>
      <c r="AF1673" s="1392" t="n"/>
      <c r="AG1673" s="1392" t="n"/>
      <c r="AH1673" s="1392" t="n"/>
      <c r="AI1673" s="1392" t="n"/>
      <c r="AJ1673" s="1392" t="n"/>
      <c r="AK1673" s="1392" t="n"/>
      <c r="AL1673" s="1392" t="n"/>
      <c r="AM1673" s="1392" t="n"/>
      <c r="AN1673" s="1392" t="n"/>
      <c r="AO1673" s="1392" t="n"/>
      <c r="AP1673" s="1392" t="n"/>
      <c r="AQ1673" s="1392" t="n"/>
      <c r="AR1673" s="1422" t="n"/>
      <c r="AS1673" s="1422" t="n"/>
      <c r="AT1673" s="1392" t="n"/>
      <c r="AU1673" s="1392" t="n"/>
      <c r="AV1673" s="1392" t="n"/>
      <c r="AW1673" s="1392" t="n"/>
      <c r="AX1673" s="1392" t="n"/>
      <c r="AY1673" s="1392" t="n"/>
      <c r="AZ1673" s="1392" t="n"/>
      <c r="BA1673" s="1422" t="n"/>
      <c r="BB1673" s="1422" t="n"/>
      <c r="BC1673" s="1392" t="n"/>
      <c r="BD1673" s="1392" t="n"/>
      <c r="BE1673" s="1392" t="n"/>
      <c r="BF1673" s="1392" t="n"/>
      <c r="BG1673" s="1392" t="n"/>
      <c r="BH1673" s="1392" t="n"/>
      <c r="BI1673" s="1392" t="n"/>
      <c r="BJ1673" s="1392" t="n"/>
      <c r="BK1673" s="1392" t="n"/>
      <c r="BL1673" s="1392" t="n"/>
      <c r="BM1673" s="1392" t="n"/>
      <c r="BN1673" s="1392" t="n"/>
      <c r="BO1673" s="1392" t="n"/>
      <c r="BP1673" s="1392" t="n"/>
      <c r="BQ1673" s="1392" t="n"/>
      <c r="BR1673" s="1392" t="n"/>
      <c r="BS1673" s="1392" t="n"/>
      <c r="BT1673" s="1392" t="n"/>
      <c r="BU1673" s="1392" t="n"/>
      <c r="BV1673" s="1392" t="n"/>
      <c r="BW1673" s="1392" t="n"/>
      <c r="BX1673" s="1392" t="n"/>
      <c r="BY1673" s="1392" t="n"/>
      <c r="BZ1673" s="1392" t="n"/>
      <c r="CA1673" s="1392" t="n"/>
      <c r="CB1673" s="1392" t="n"/>
      <c r="CC1673" s="1392" t="n"/>
      <c r="CD1673" s="1392" t="n"/>
      <c r="CE1673" s="1392" t="n"/>
      <c r="CF1673" s="1392" t="n"/>
      <c r="CG1673" s="1392" t="n"/>
      <c r="CH1673" s="1392" t="n"/>
      <c r="CI1673" s="1392" t="n"/>
      <c r="CJ1673" s="1392" t="n"/>
      <c r="CK1673" s="1392" t="n"/>
      <c r="CL1673" s="1392" t="n"/>
    </row>
    <row r="1674">
      <c r="A1674" s="5" t="inlineStr">
        <is>
          <t>.</t>
        </is>
      </c>
      <c r="B1674" s="5" t="inlineStr">
        <is>
          <t>.</t>
        </is>
      </c>
      <c r="C1674" s="1378">
        <f>IF(raw[[#This Row],[city]]="","-",IF(raw[[#This Row],[city]]="TODAY","-",C1673+1))</f>
        <v/>
      </c>
      <c r="D1674" s="1393" t="inlineStr">
        <is>
          <t>Montreal</t>
        </is>
      </c>
      <c r="E1674" s="1394" t="n">
        <v>44866</v>
      </c>
      <c r="F1674" s="1394" t="n">
        <v>44896</v>
      </c>
      <c r="G1674" s="1393" t="inlineStr">
        <is>
          <t>-</t>
        </is>
      </c>
      <c r="H1674" s="1393" t="inlineStr">
        <is>
          <t>Marie-Victorin</t>
        </is>
      </c>
      <c r="I1674" s="1393" t="inlineStr">
        <is>
          <t>-</t>
        </is>
      </c>
      <c r="J1674" s="1393" t="inlineStr">
        <is>
          <t>-</t>
        </is>
      </c>
      <c r="K1674" s="1395">
        <f>IF(raw[[#This Row],[city]]&lt;&gt;"",_xlfn.XLOOKUP($D1674,ccc[city],ccc[prov],"-"),"-")</f>
        <v/>
      </c>
      <c r="L1674" s="1395">
        <f>IF(raw[[#This Row],[city]]&lt;&gt;"",_xlfn.XLOOKUP($D1674,ccc[city],ccc[ctry],"-"),"-")</f>
        <v/>
      </c>
      <c r="M1674" s="1395">
        <f>IF(raw[[#This Row],[city]]&lt;&gt;"",_xlfn.XLOOKUP($D1674,ccc[city],ccc[cont],"-"),"-")</f>
        <v/>
      </c>
      <c r="N1674" s="1396">
        <f>IF(raw[[#This Row],[city]]="","-",IF(raw[[#This Row],[cont]]="B",raw[[#This Row],[cont]],"W"))</f>
        <v/>
      </c>
      <c r="O1674" s="1397">
        <f>IF(raw[[#This Row],[out]]=0,0,IF(raw[[#This Row],[out]]=raw[[#This Row],[in]],0.01,raw[[#This Row],[out]]-raw[[#This Row],[in]]))</f>
        <v/>
      </c>
      <c r="P1674" s="1397">
        <f>IF(raw[[#This Row],[in]]=0,0,MONTH(raw[[#This Row],[in]]))</f>
        <v/>
      </c>
      <c r="Q1674" s="1397">
        <f>IF(raw[[#This Row],[in]]=0,0,YEAR(raw[[#This Row],[in]]))</f>
        <v/>
      </c>
      <c r="R1674" s="1397">
        <f>INT(raw[[#This Row],[yr]]/10)*10</f>
        <v/>
      </c>
      <c r="S1674" s="1395">
        <f>IF(raw[[#This Row],[city]]="","-",IF(raw[[#This Row],[city]]&lt;&gt;_xlfn.XLOOKUP(raw[[#This Row],[home]],homes[home],homes[city],"-"),1,0))</f>
        <v/>
      </c>
      <c r="T1674" s="1398" t="inlineStr">
        <is>
          <t>.</t>
        </is>
      </c>
      <c r="U1674" s="1399">
        <f>IF(raw[[#This Row],[wb]]="w",raw[[#This Row],[stay]]+U1673,U1673)</f>
        <v/>
      </c>
      <c r="V1674" s="1400">
        <f>IF(raw[[#This Row],[out]]=0,V1673,(raw[[#This Row],[out]]-E$5))</f>
        <v/>
      </c>
      <c r="W1674" s="1401">
        <f>U1674/V1674</f>
        <v/>
      </c>
      <c r="X1674" s="1392" t="n"/>
      <c r="Y1674" s="1392" t="n"/>
      <c r="Z1674" s="1392" t="n"/>
      <c r="AA1674" s="1392" t="n"/>
      <c r="AB1674" s="1392" t="n"/>
      <c r="AC1674" s="1392" t="n"/>
      <c r="AD1674" s="1392" t="n"/>
      <c r="AE1674" s="1392" t="n"/>
      <c r="AF1674" s="1392" t="n"/>
      <c r="AG1674" s="1392" t="n"/>
      <c r="AH1674" s="1392" t="n"/>
      <c r="AI1674" s="1392" t="n"/>
      <c r="AJ1674" s="1392" t="n"/>
      <c r="AK1674" s="1392" t="n"/>
      <c r="AL1674" s="1392" t="n"/>
      <c r="AM1674" s="1392" t="n"/>
      <c r="AN1674" s="1392" t="n"/>
      <c r="AO1674" s="1392" t="n"/>
      <c r="AP1674" s="1392" t="n"/>
      <c r="AQ1674" s="1392" t="n"/>
      <c r="AR1674" s="1422" t="n"/>
      <c r="AS1674" s="1422" t="n"/>
      <c r="AT1674" s="1392" t="n"/>
      <c r="AU1674" s="1392" t="n"/>
      <c r="AV1674" s="1392" t="n"/>
      <c r="AW1674" s="1392" t="n"/>
      <c r="AX1674" s="1392" t="n"/>
      <c r="AY1674" s="1392" t="n"/>
      <c r="AZ1674" s="1392" t="n"/>
      <c r="BA1674" s="1422" t="n"/>
      <c r="BB1674" s="1422" t="n"/>
      <c r="BC1674" s="1392" t="n"/>
      <c r="BD1674" s="1392" t="n"/>
      <c r="BE1674" s="1392" t="n"/>
      <c r="BF1674" s="1392" t="n"/>
      <c r="BG1674" s="1392" t="n"/>
      <c r="BH1674" s="1392" t="n"/>
      <c r="BI1674" s="1392" t="n"/>
      <c r="BJ1674" s="1392" t="n"/>
      <c r="BK1674" s="1392" t="n"/>
      <c r="BL1674" s="1392" t="n"/>
      <c r="BM1674" s="1392" t="n"/>
      <c r="BN1674" s="1392" t="n"/>
      <c r="BO1674" s="1392" t="n"/>
      <c r="BP1674" s="1392" t="n"/>
      <c r="BQ1674" s="1392" t="n"/>
      <c r="BR1674" s="1392" t="n"/>
      <c r="BS1674" s="1392" t="n"/>
      <c r="BT1674" s="1392" t="n"/>
      <c r="BU1674" s="1392" t="n"/>
      <c r="BV1674" s="1392" t="n"/>
      <c r="BW1674" s="1392" t="n"/>
      <c r="BX1674" s="1392" t="n"/>
      <c r="BY1674" s="1392" t="n"/>
      <c r="BZ1674" s="1392" t="n"/>
      <c r="CA1674" s="1392" t="n"/>
      <c r="CB1674" s="1392" t="n"/>
      <c r="CC1674" s="1392" t="n"/>
      <c r="CD1674" s="1392" t="n"/>
      <c r="CE1674" s="1392" t="n"/>
      <c r="CF1674" s="1392" t="n"/>
      <c r="CG1674" s="1392" t="n"/>
      <c r="CH1674" s="1392" t="n"/>
      <c r="CI1674" s="1392" t="n"/>
      <c r="CJ1674" s="1392" t="n"/>
      <c r="CK1674" s="1392" t="n"/>
      <c r="CL1674" s="1392" t="n"/>
    </row>
    <row r="1675">
      <c r="A1675" s="5" t="inlineStr">
        <is>
          <t>.</t>
        </is>
      </c>
      <c r="B1675" s="5" t="inlineStr">
        <is>
          <t>.</t>
        </is>
      </c>
      <c r="C1675" s="1378">
        <f>IF(raw[[#This Row],[city]]="","-",IF(raw[[#This Row],[city]]="TODAY","-",C1674+1))</f>
        <v/>
      </c>
      <c r="D1675" s="1393" t="inlineStr">
        <is>
          <t>Montreal</t>
        </is>
      </c>
      <c r="E1675" s="1394" t="n">
        <v>44896</v>
      </c>
      <c r="F1675" s="1394" t="n">
        <v>44919</v>
      </c>
      <c r="G1675" s="1393" t="inlineStr">
        <is>
          <t>-</t>
        </is>
      </c>
      <c r="H1675" s="1393" t="inlineStr">
        <is>
          <t>Marie-Victorin</t>
        </is>
      </c>
      <c r="I1675" s="1393" t="inlineStr">
        <is>
          <t>-</t>
        </is>
      </c>
      <c r="J1675" s="1393" t="inlineStr">
        <is>
          <t>-</t>
        </is>
      </c>
      <c r="K1675" s="1395">
        <f>IF(raw[[#This Row],[city]]&lt;&gt;"",_xlfn.XLOOKUP($D1675,ccc[city],ccc[prov],"-"),"-")</f>
        <v/>
      </c>
      <c r="L1675" s="1395">
        <f>IF(raw[[#This Row],[city]]&lt;&gt;"",_xlfn.XLOOKUP($D1675,ccc[city],ccc[ctry],"-"),"-")</f>
        <v/>
      </c>
      <c r="M1675" s="1395">
        <f>IF(raw[[#This Row],[city]]&lt;&gt;"",_xlfn.XLOOKUP($D1675,ccc[city],ccc[cont],"-"),"-")</f>
        <v/>
      </c>
      <c r="N1675" s="1396">
        <f>IF(raw[[#This Row],[city]]="","-",IF(raw[[#This Row],[cont]]="B",raw[[#This Row],[cont]],"W"))</f>
        <v/>
      </c>
      <c r="O1675" s="1397">
        <f>IF(raw[[#This Row],[out]]=0,0,IF(raw[[#This Row],[out]]=raw[[#This Row],[in]],0.01,raw[[#This Row],[out]]-raw[[#This Row],[in]]))</f>
        <v/>
      </c>
      <c r="P1675" s="1397">
        <f>IF(raw[[#This Row],[in]]=0,0,MONTH(raw[[#This Row],[in]]))</f>
        <v/>
      </c>
      <c r="Q1675" s="1397">
        <f>IF(raw[[#This Row],[in]]=0,0,YEAR(raw[[#This Row],[in]]))</f>
        <v/>
      </c>
      <c r="R1675" s="1397">
        <f>INT(raw[[#This Row],[yr]]/10)*10</f>
        <v/>
      </c>
      <c r="S1675" s="1395">
        <f>IF(raw[[#This Row],[city]]="","-",IF(raw[[#This Row],[city]]&lt;&gt;_xlfn.XLOOKUP(raw[[#This Row],[home]],homes[home],homes[city],"-"),1,0))</f>
        <v/>
      </c>
      <c r="T1675" s="1398" t="inlineStr">
        <is>
          <t>.</t>
        </is>
      </c>
      <c r="U1675" s="1399">
        <f>IF(raw[[#This Row],[wb]]="w",raw[[#This Row],[stay]]+U1674,U1674)</f>
        <v/>
      </c>
      <c r="V1675" s="1400">
        <f>IF(raw[[#This Row],[out]]=0,V1674,(raw[[#This Row],[out]]-E$5))</f>
        <v/>
      </c>
      <c r="W1675" s="1401">
        <f>U1675/V1675</f>
        <v/>
      </c>
      <c r="X1675" s="1392" t="n"/>
      <c r="Y1675" s="1392" t="n"/>
      <c r="Z1675" s="1392" t="n"/>
      <c r="AA1675" s="1392" t="n"/>
      <c r="AB1675" s="1392" t="n"/>
      <c r="AC1675" s="1392" t="n"/>
      <c r="AD1675" s="1392" t="n"/>
      <c r="AE1675" s="1392" t="n"/>
      <c r="AF1675" s="1392" t="n"/>
      <c r="AG1675" s="1392" t="n"/>
      <c r="AH1675" s="1392" t="n"/>
      <c r="AI1675" s="1392" t="n"/>
      <c r="AJ1675" s="1392" t="n"/>
      <c r="AK1675" s="1392" t="n"/>
      <c r="AL1675" s="1392" t="n"/>
      <c r="AM1675" s="1392" t="n"/>
      <c r="AN1675" s="1392" t="n"/>
      <c r="AO1675" s="1392" t="n"/>
      <c r="AP1675" s="1392" t="n"/>
      <c r="AQ1675" s="1392" t="n"/>
      <c r="AR1675" s="1422" t="n"/>
      <c r="AS1675" s="1422" t="n"/>
      <c r="AT1675" s="1392" t="n"/>
      <c r="AU1675" s="1392" t="n"/>
      <c r="AV1675" s="1392" t="n"/>
      <c r="AW1675" s="1392" t="n"/>
      <c r="AX1675" s="1392" t="n"/>
      <c r="AY1675" s="1392" t="n"/>
      <c r="AZ1675" s="1392" t="n"/>
      <c r="BA1675" s="1422" t="n"/>
      <c r="BB1675" s="1422" t="n"/>
      <c r="BC1675" s="1392" t="n"/>
      <c r="BD1675" s="1392" t="n"/>
      <c r="BE1675" s="1392" t="n"/>
      <c r="BF1675" s="1392" t="n"/>
      <c r="BG1675" s="1392" t="n"/>
      <c r="BH1675" s="1392" t="n"/>
      <c r="BI1675" s="1392" t="n"/>
      <c r="BJ1675" s="1392" t="n"/>
      <c r="BK1675" s="1392" t="n"/>
      <c r="BL1675" s="1392" t="n"/>
      <c r="BM1675" s="1392" t="n"/>
      <c r="BN1675" s="1392" t="n"/>
      <c r="BO1675" s="1392" t="n"/>
      <c r="BP1675" s="1392" t="n"/>
      <c r="BQ1675" s="1392" t="n"/>
      <c r="BR1675" s="1392" t="n"/>
      <c r="BS1675" s="1392" t="n"/>
      <c r="BT1675" s="1392" t="n"/>
      <c r="BU1675" s="1392" t="n"/>
      <c r="BV1675" s="1392" t="n"/>
      <c r="BW1675" s="1392" t="n"/>
      <c r="BX1675" s="1392" t="n"/>
      <c r="BY1675" s="1392" t="n"/>
      <c r="BZ1675" s="1392" t="n"/>
      <c r="CA1675" s="1392" t="n"/>
      <c r="CB1675" s="1392" t="n"/>
      <c r="CC1675" s="1392" t="n"/>
      <c r="CD1675" s="1392" t="n"/>
      <c r="CE1675" s="1392" t="n"/>
      <c r="CF1675" s="1392" t="n"/>
      <c r="CG1675" s="1392" t="n"/>
      <c r="CH1675" s="1392" t="n"/>
      <c r="CI1675" s="1392" t="n"/>
      <c r="CJ1675" s="1392" t="n"/>
      <c r="CK1675" s="1392" t="n"/>
      <c r="CL1675" s="1392" t="n"/>
    </row>
    <row r="1676">
      <c r="A1676" s="5" t="inlineStr">
        <is>
          <t>.</t>
        </is>
      </c>
      <c r="B1676" s="5" t="inlineStr">
        <is>
          <t>.</t>
        </is>
      </c>
      <c r="C1676" s="1378">
        <f>IF(raw[[#This Row],[city]]="","-",IF(raw[[#This Row],[city]]="TODAY","-",C1675+1))</f>
        <v/>
      </c>
      <c r="D1676" s="1393" t="inlineStr">
        <is>
          <t>Montreal</t>
        </is>
      </c>
      <c r="E1676" s="1394" t="n">
        <v>44919</v>
      </c>
      <c r="F1676" s="1394" t="n">
        <v>44920</v>
      </c>
      <c r="G1676" s="1393" t="inlineStr">
        <is>
          <t>-</t>
        </is>
      </c>
      <c r="H1676" s="1393" t="inlineStr">
        <is>
          <t>Marie-Victorin</t>
        </is>
      </c>
      <c r="I1676" s="1393" t="inlineStr">
        <is>
          <t>Gaspé</t>
        </is>
      </c>
      <c r="J1676" s="1393" t="inlineStr">
        <is>
          <t>-</t>
        </is>
      </c>
      <c r="K1676" s="1395">
        <f>IF(raw[[#This Row],[city]]&lt;&gt;"",_xlfn.XLOOKUP($D1676,ccc[city],ccc[prov],"-"),"-")</f>
        <v/>
      </c>
      <c r="L1676" s="1395">
        <f>IF(raw[[#This Row],[city]]&lt;&gt;"",_xlfn.XLOOKUP($D1676,ccc[city],ccc[ctry],"-"),"-")</f>
        <v/>
      </c>
      <c r="M1676" s="1395">
        <f>IF(raw[[#This Row],[city]]&lt;&gt;"",_xlfn.XLOOKUP($D1676,ccc[city],ccc[cont],"-"),"-")</f>
        <v/>
      </c>
      <c r="N1676" s="1396">
        <f>IF(raw[[#This Row],[city]]="","-",IF(raw[[#This Row],[cont]]="B",raw[[#This Row],[cont]],"W"))</f>
        <v/>
      </c>
      <c r="O1676" s="1397">
        <f>IF(raw[[#This Row],[out]]=0,0,IF(raw[[#This Row],[out]]=raw[[#This Row],[in]],0.01,raw[[#This Row],[out]]-raw[[#This Row],[in]]))</f>
        <v/>
      </c>
      <c r="P1676" s="1397">
        <f>IF(raw[[#This Row],[in]]=0,0,MONTH(raw[[#This Row],[in]]))</f>
        <v/>
      </c>
      <c r="Q1676" s="1397">
        <f>IF(raw[[#This Row],[in]]=0,0,YEAR(raw[[#This Row],[in]]))</f>
        <v/>
      </c>
      <c r="R1676" s="1397">
        <f>INT(raw[[#This Row],[yr]]/10)*10</f>
        <v/>
      </c>
      <c r="S1676" s="1395">
        <f>IF(raw[[#This Row],[city]]="","-",IF(raw[[#This Row],[city]]&lt;&gt;_xlfn.XLOOKUP(raw[[#This Row],[home]],homes[home],homes[city],"-"),1,0))</f>
        <v/>
      </c>
      <c r="T1676" s="1398" t="inlineStr">
        <is>
          <t>.</t>
        </is>
      </c>
      <c r="U1676" s="1399">
        <f>IF(raw[[#This Row],[wb]]="w",raw[[#This Row],[stay]]+U1675,U1675)</f>
        <v/>
      </c>
      <c r="V1676" s="1400">
        <f>IF(raw[[#This Row],[out]]=0,V1675,(raw[[#This Row],[out]]-E$5))</f>
        <v/>
      </c>
      <c r="W1676" s="1401">
        <f>U1676/V1676</f>
        <v/>
      </c>
      <c r="X1676" s="1392" t="n"/>
      <c r="Y1676" s="1392" t="n"/>
      <c r="Z1676" s="1392" t="n"/>
      <c r="AA1676" s="1392" t="n"/>
      <c r="AB1676" s="1392" t="n"/>
      <c r="AC1676" s="1392" t="n"/>
      <c r="AD1676" s="1392" t="n"/>
      <c r="AE1676" s="1392" t="n"/>
      <c r="AF1676" s="1392" t="n"/>
      <c r="AG1676" s="1392" t="n"/>
      <c r="AH1676" s="1392" t="n"/>
      <c r="AI1676" s="1392" t="n"/>
      <c r="AJ1676" s="1392" t="n"/>
      <c r="AK1676" s="1392" t="n"/>
      <c r="AL1676" s="1392" t="n"/>
      <c r="AM1676" s="1392" t="n"/>
      <c r="AN1676" s="1392" t="n"/>
      <c r="AO1676" s="1392" t="n"/>
      <c r="AP1676" s="1392" t="n"/>
      <c r="AQ1676" s="1392" t="n"/>
      <c r="AR1676" s="1422" t="n"/>
      <c r="AS1676" s="1422" t="n"/>
      <c r="AT1676" s="1392" t="n"/>
      <c r="AU1676" s="1392" t="n"/>
      <c r="AV1676" s="1392" t="n"/>
      <c r="AW1676" s="1392" t="n"/>
      <c r="AX1676" s="1392" t="n"/>
      <c r="AY1676" s="1392" t="n"/>
      <c r="AZ1676" s="1392" t="n"/>
      <c r="BA1676" s="1422" t="n"/>
      <c r="BB1676" s="1422" t="n"/>
      <c r="BC1676" s="1392" t="n"/>
      <c r="BD1676" s="1392" t="n"/>
      <c r="BE1676" s="1392" t="n"/>
      <c r="BF1676" s="1392" t="n"/>
      <c r="BG1676" s="1392" t="n"/>
      <c r="BH1676" s="1392" t="n"/>
      <c r="BI1676" s="1392" t="n"/>
      <c r="BJ1676" s="1392" t="n"/>
      <c r="BK1676" s="1392" t="n"/>
      <c r="BL1676" s="1392" t="n"/>
      <c r="BM1676" s="1392" t="n"/>
      <c r="BN1676" s="1392" t="n"/>
      <c r="BO1676" s="1392" t="n"/>
      <c r="BP1676" s="1392" t="n"/>
      <c r="BQ1676" s="1392" t="n"/>
      <c r="BR1676" s="1392" t="n"/>
      <c r="BS1676" s="1392" t="n"/>
      <c r="BT1676" s="1392" t="n"/>
      <c r="BU1676" s="1392" t="n"/>
      <c r="BV1676" s="1392" t="n"/>
      <c r="BW1676" s="1392" t="n"/>
      <c r="BX1676" s="1392" t="n"/>
      <c r="BY1676" s="1392" t="n"/>
      <c r="BZ1676" s="1392" t="n"/>
      <c r="CA1676" s="1392" t="n"/>
      <c r="CB1676" s="1392" t="n"/>
      <c r="CC1676" s="1392" t="n"/>
      <c r="CD1676" s="1392" t="n"/>
      <c r="CE1676" s="1392" t="n"/>
      <c r="CF1676" s="1392" t="n"/>
      <c r="CG1676" s="1392" t="n"/>
      <c r="CH1676" s="1392" t="n"/>
      <c r="CI1676" s="1392" t="n"/>
      <c r="CJ1676" s="1392" t="n"/>
      <c r="CK1676" s="1392" t="n"/>
      <c r="CL1676" s="1392" t="n"/>
    </row>
    <row r="1677">
      <c r="A1677" s="5" t="inlineStr">
        <is>
          <t>.</t>
        </is>
      </c>
      <c r="B1677" s="5" t="inlineStr">
        <is>
          <t>.</t>
        </is>
      </c>
      <c r="C1677" s="1378">
        <f>IF(raw[[#This Row],[city]]="","-",IF(raw[[#This Row],[city]]="TODAY","-",C1676+1))</f>
        <v/>
      </c>
      <c r="D1677" s="1393" t="inlineStr">
        <is>
          <t>Montreal</t>
        </is>
      </c>
      <c r="E1677" s="1394" t="n">
        <v>44920</v>
      </c>
      <c r="F1677" s="1394" t="n">
        <v>44926</v>
      </c>
      <c r="G1677" s="1393" t="inlineStr">
        <is>
          <t>-</t>
        </is>
      </c>
      <c r="H1677" s="1393" t="inlineStr">
        <is>
          <t>Marie-Victorin</t>
        </is>
      </c>
      <c r="I1677" s="1393" t="inlineStr">
        <is>
          <t>-</t>
        </is>
      </c>
      <c r="J1677" s="1393" t="inlineStr">
        <is>
          <t>-</t>
        </is>
      </c>
      <c r="K1677" s="1395">
        <f>IF(raw[[#This Row],[city]]&lt;&gt;"",_xlfn.XLOOKUP($D1677,ccc[city],ccc[prov],"-"),"-")</f>
        <v/>
      </c>
      <c r="L1677" s="1395">
        <f>IF(raw[[#This Row],[city]]&lt;&gt;"",_xlfn.XLOOKUP($D1677,ccc[city],ccc[ctry],"-"),"-")</f>
        <v/>
      </c>
      <c r="M1677" s="1395">
        <f>IF(raw[[#This Row],[city]]&lt;&gt;"",_xlfn.XLOOKUP($D1677,ccc[city],ccc[cont],"-"),"-")</f>
        <v/>
      </c>
      <c r="N1677" s="1396">
        <f>IF(raw[[#This Row],[city]]="","-",IF(raw[[#This Row],[cont]]="B",raw[[#This Row],[cont]],"W"))</f>
        <v/>
      </c>
      <c r="O1677" s="1397">
        <f>IF(raw[[#This Row],[out]]=0,0,IF(raw[[#This Row],[out]]=raw[[#This Row],[in]],0.01,raw[[#This Row],[out]]-raw[[#This Row],[in]]))</f>
        <v/>
      </c>
      <c r="P1677" s="1397">
        <f>IF(raw[[#This Row],[in]]=0,0,MONTH(raw[[#This Row],[in]]))</f>
        <v/>
      </c>
      <c r="Q1677" s="1397">
        <f>IF(raw[[#This Row],[in]]=0,0,YEAR(raw[[#This Row],[in]]))</f>
        <v/>
      </c>
      <c r="R1677" s="1397">
        <f>INT(raw[[#This Row],[yr]]/10)*10</f>
        <v/>
      </c>
      <c r="S1677" s="1395">
        <f>IF(raw[[#This Row],[city]]="","-",IF(raw[[#This Row],[city]]&lt;&gt;_xlfn.XLOOKUP(raw[[#This Row],[home]],homes[home],homes[city],"-"),1,0))</f>
        <v/>
      </c>
      <c r="T1677" s="1398" t="inlineStr">
        <is>
          <t>.</t>
        </is>
      </c>
      <c r="U1677" s="1399">
        <f>IF(raw[[#This Row],[wb]]="w",raw[[#This Row],[stay]]+U1676,U1676)</f>
        <v/>
      </c>
      <c r="V1677" s="1400">
        <f>IF(raw[[#This Row],[out]]=0,V1676,(raw[[#This Row],[out]]-E$5))</f>
        <v/>
      </c>
      <c r="W1677" s="1401">
        <f>U1677/V1677</f>
        <v/>
      </c>
      <c r="X1677" s="1392" t="n"/>
      <c r="Y1677" s="1392" t="n"/>
      <c r="Z1677" s="1392" t="n"/>
      <c r="AA1677" s="1392" t="n"/>
      <c r="AB1677" s="1392" t="n"/>
      <c r="AC1677" s="1392" t="n"/>
      <c r="AD1677" s="1392" t="n"/>
      <c r="AE1677" s="1392" t="n"/>
      <c r="AF1677" s="1392" t="n"/>
      <c r="AG1677" s="1392" t="n"/>
      <c r="AH1677" s="1392" t="n"/>
      <c r="AI1677" s="1392" t="n"/>
      <c r="AJ1677" s="1392" t="n"/>
      <c r="AK1677" s="1392" t="n"/>
      <c r="AL1677" s="1392" t="n"/>
      <c r="AM1677" s="1392" t="n"/>
      <c r="AN1677" s="1392" t="n"/>
      <c r="AO1677" s="1392" t="n"/>
      <c r="AP1677" s="1392" t="n"/>
      <c r="AQ1677" s="1392" t="n"/>
      <c r="AR1677" s="1422" t="n"/>
      <c r="AS1677" s="1422" t="n"/>
      <c r="AT1677" s="1392" t="n"/>
      <c r="AU1677" s="1392" t="n"/>
      <c r="AV1677" s="1392" t="n"/>
      <c r="AW1677" s="1392" t="n"/>
      <c r="AX1677" s="1392" t="n"/>
      <c r="AY1677" s="1392" t="n"/>
      <c r="AZ1677" s="1392" t="n"/>
      <c r="BA1677" s="1422" t="n"/>
      <c r="BB1677" s="1422" t="n"/>
      <c r="BC1677" s="1392" t="n"/>
      <c r="BD1677" s="1392" t="n"/>
      <c r="BE1677" s="1392" t="n"/>
      <c r="BF1677" s="1392" t="n"/>
      <c r="BG1677" s="1392" t="n"/>
      <c r="BH1677" s="1392" t="n"/>
      <c r="BI1677" s="1392" t="n"/>
      <c r="BJ1677" s="1392" t="n"/>
      <c r="BK1677" s="1392" t="n"/>
      <c r="BL1677" s="1392" t="n"/>
      <c r="BM1677" s="1392" t="n"/>
      <c r="BN1677" s="1392" t="n"/>
      <c r="BO1677" s="1392" t="n"/>
      <c r="BP1677" s="1392" t="n"/>
      <c r="BQ1677" s="1392" t="n"/>
      <c r="BR1677" s="1392" t="n"/>
      <c r="BS1677" s="1392" t="n"/>
      <c r="BT1677" s="1392" t="n"/>
      <c r="BU1677" s="1392" t="n"/>
      <c r="BV1677" s="1392" t="n"/>
      <c r="BW1677" s="1392" t="n"/>
      <c r="BX1677" s="1392" t="n"/>
      <c r="BY1677" s="1392" t="n"/>
      <c r="BZ1677" s="1392" t="n"/>
      <c r="CA1677" s="1392" t="n"/>
      <c r="CB1677" s="1392" t="n"/>
      <c r="CC1677" s="1392" t="n"/>
      <c r="CD1677" s="1392" t="n"/>
      <c r="CE1677" s="1392" t="n"/>
      <c r="CF1677" s="1392" t="n"/>
      <c r="CG1677" s="1392" t="n"/>
      <c r="CH1677" s="1392" t="n"/>
      <c r="CI1677" s="1392" t="n"/>
      <c r="CJ1677" s="1392" t="n"/>
      <c r="CK1677" s="1392" t="n"/>
      <c r="CL1677" s="1392" t="n"/>
    </row>
    <row r="1678">
      <c r="A1678" s="5" t="inlineStr">
        <is>
          <t>.</t>
        </is>
      </c>
      <c r="B1678" s="5" t="inlineStr">
        <is>
          <t>.</t>
        </is>
      </c>
      <c r="C1678" s="1378">
        <f>IF(raw[[#This Row],[city]]="","-",IF(raw[[#This Row],[city]]="TODAY","-",C1677+1))</f>
        <v/>
      </c>
      <c r="D1678" s="1393" t="inlineStr">
        <is>
          <t>Montreal</t>
        </is>
      </c>
      <c r="E1678" s="1394" t="n">
        <v>44926</v>
      </c>
      <c r="F1678" s="1394" t="n">
        <v>44927</v>
      </c>
      <c r="G1678" s="1393" t="inlineStr">
        <is>
          <t>-</t>
        </is>
      </c>
      <c r="H1678" s="1393" t="inlineStr">
        <is>
          <t>Marie-Victorin</t>
        </is>
      </c>
      <c r="I1678" s="1393" t="inlineStr">
        <is>
          <t>Gaspé</t>
        </is>
      </c>
      <c r="J1678" s="1393" t="inlineStr">
        <is>
          <t>-</t>
        </is>
      </c>
      <c r="K1678" s="1395">
        <f>IF(raw[[#This Row],[city]]&lt;&gt;"",_xlfn.XLOOKUP($D1678,ccc[city],ccc[prov],"-"),"-")</f>
        <v/>
      </c>
      <c r="L1678" s="1395">
        <f>IF(raw[[#This Row],[city]]&lt;&gt;"",_xlfn.XLOOKUP($D1678,ccc[city],ccc[ctry],"-"),"-")</f>
        <v/>
      </c>
      <c r="M1678" s="1395">
        <f>IF(raw[[#This Row],[city]]&lt;&gt;"",_xlfn.XLOOKUP($D1678,ccc[city],ccc[cont],"-"),"-")</f>
        <v/>
      </c>
      <c r="N1678" s="1396">
        <f>IF(raw[[#This Row],[city]]="","-",IF(raw[[#This Row],[cont]]="B",raw[[#This Row],[cont]],"W"))</f>
        <v/>
      </c>
      <c r="O1678" s="1397">
        <f>IF(raw[[#This Row],[out]]=0,0,IF(raw[[#This Row],[out]]=raw[[#This Row],[in]],0.01,raw[[#This Row],[out]]-raw[[#This Row],[in]]))</f>
        <v/>
      </c>
      <c r="P1678" s="1397">
        <f>IF(raw[[#This Row],[in]]=0,0,MONTH(raw[[#This Row],[in]]))</f>
        <v/>
      </c>
      <c r="Q1678" s="1397">
        <f>IF(raw[[#This Row],[in]]=0,0,YEAR(raw[[#This Row],[in]]))</f>
        <v/>
      </c>
      <c r="R1678" s="1397">
        <f>INT(raw[[#This Row],[yr]]/10)*10</f>
        <v/>
      </c>
      <c r="S1678" s="1395">
        <f>IF(raw[[#This Row],[city]]="","-",IF(raw[[#This Row],[city]]&lt;&gt;_xlfn.XLOOKUP(raw[[#This Row],[home]],homes[home],homes[city],"-"),1,0))</f>
        <v/>
      </c>
      <c r="T1678" s="1398" t="inlineStr">
        <is>
          <t>.</t>
        </is>
      </c>
      <c r="U1678" s="1399">
        <f>IF(raw[[#This Row],[wb]]="w",raw[[#This Row],[stay]]+U1677,U1677)</f>
        <v/>
      </c>
      <c r="V1678" s="1400">
        <f>IF(raw[[#This Row],[out]]=0,V1677,(raw[[#This Row],[out]]-E$5))</f>
        <v/>
      </c>
      <c r="W1678" s="1401">
        <f>U1678/V1678</f>
        <v/>
      </c>
      <c r="X1678" s="1392" t="n"/>
      <c r="Y1678" s="1392" t="n"/>
      <c r="Z1678" s="1392" t="n"/>
      <c r="AA1678" s="1392" t="n"/>
      <c r="AB1678" s="1392" t="n"/>
      <c r="AC1678" s="1392" t="n"/>
      <c r="AD1678" s="1392" t="n"/>
      <c r="AE1678" s="1392" t="n"/>
      <c r="AF1678" s="1392" t="n"/>
      <c r="AG1678" s="1392" t="n"/>
      <c r="AH1678" s="1392" t="n"/>
      <c r="AI1678" s="1392" t="n"/>
      <c r="AJ1678" s="1392" t="n"/>
      <c r="AK1678" s="1392" t="n"/>
      <c r="AL1678" s="1392" t="n"/>
      <c r="AM1678" s="1392" t="n"/>
      <c r="AN1678" s="1392" t="n"/>
      <c r="AO1678" s="1392" t="n"/>
      <c r="AP1678" s="1392" t="n"/>
      <c r="AQ1678" s="1392" t="n"/>
      <c r="AR1678" s="1422" t="n"/>
      <c r="AS1678" s="1422" t="n"/>
      <c r="AT1678" s="1392" t="n"/>
      <c r="AU1678" s="1392" t="n"/>
      <c r="AV1678" s="1392" t="n"/>
      <c r="AW1678" s="1392" t="n"/>
      <c r="AX1678" s="1392" t="n"/>
      <c r="AY1678" s="1392" t="n"/>
      <c r="AZ1678" s="1392" t="n"/>
      <c r="BA1678" s="1422" t="n"/>
      <c r="BB1678" s="1422" t="n"/>
      <c r="BC1678" s="1392" t="n"/>
      <c r="BD1678" s="1392" t="n"/>
      <c r="BE1678" s="1392" t="n"/>
      <c r="BF1678" s="1392" t="n"/>
      <c r="BG1678" s="1392" t="n"/>
      <c r="BH1678" s="1392" t="n"/>
      <c r="BI1678" s="1392" t="n"/>
      <c r="BJ1678" s="1392" t="n"/>
      <c r="BK1678" s="1392" t="n"/>
      <c r="BL1678" s="1392" t="n"/>
      <c r="BM1678" s="1392" t="n"/>
      <c r="BN1678" s="1392" t="n"/>
      <c r="BO1678" s="1392" t="n"/>
      <c r="BP1678" s="1392" t="n"/>
      <c r="BQ1678" s="1392" t="n"/>
      <c r="BR1678" s="1392" t="n"/>
      <c r="BS1678" s="1392" t="n"/>
      <c r="BT1678" s="1392" t="n"/>
      <c r="BU1678" s="1392" t="n"/>
      <c r="BV1678" s="1392" t="n"/>
      <c r="BW1678" s="1392" t="n"/>
      <c r="BX1678" s="1392" t="n"/>
      <c r="BY1678" s="1392" t="n"/>
      <c r="BZ1678" s="1392" t="n"/>
      <c r="CA1678" s="1392" t="n"/>
      <c r="CB1678" s="1392" t="n"/>
      <c r="CC1678" s="1392" t="n"/>
      <c r="CD1678" s="1392" t="n"/>
      <c r="CE1678" s="1392" t="n"/>
      <c r="CF1678" s="1392" t="n"/>
      <c r="CG1678" s="1392" t="n"/>
      <c r="CH1678" s="1392" t="n"/>
      <c r="CI1678" s="1392" t="n"/>
      <c r="CJ1678" s="1392" t="n"/>
      <c r="CK1678" s="1392" t="n"/>
      <c r="CL1678" s="1392" t="n"/>
    </row>
    <row r="1679">
      <c r="A1679" s="5" t="inlineStr">
        <is>
          <t>.</t>
        </is>
      </c>
      <c r="B1679" s="5" t="inlineStr">
        <is>
          <t>.</t>
        </is>
      </c>
      <c r="C1679" s="1378">
        <f>IF(raw[[#This Row],[city]]="","-",IF(raw[[#This Row],[city]]="TODAY","-",C1678+1))</f>
        <v/>
      </c>
      <c r="D1679" s="1393" t="inlineStr">
        <is>
          <t>Montreal</t>
        </is>
      </c>
      <c r="E1679" s="1394" t="n">
        <v>44927</v>
      </c>
      <c r="F1679" s="1394" t="n">
        <v>44958</v>
      </c>
      <c r="G1679" s="1393" t="inlineStr">
        <is>
          <t>-</t>
        </is>
      </c>
      <c r="H1679" s="1393" t="inlineStr">
        <is>
          <t>Marie-Victorin</t>
        </is>
      </c>
      <c r="I1679" s="1393" t="n"/>
      <c r="J1679" s="1393" t="inlineStr">
        <is>
          <t>REV</t>
        </is>
      </c>
      <c r="K1679" s="1395">
        <f>IF(raw[[#This Row],[city]]&lt;&gt;"",_xlfn.XLOOKUP($D1679,ccc[city],ccc[prov],"-"),"-")</f>
        <v/>
      </c>
      <c r="L1679" s="1395">
        <f>IF(raw[[#This Row],[city]]&lt;&gt;"",_xlfn.XLOOKUP($D1679,ccc[city],ccc[ctry],"-"),"-")</f>
        <v/>
      </c>
      <c r="M1679" s="1395">
        <f>IF(raw[[#This Row],[city]]&lt;&gt;"",_xlfn.XLOOKUP($D1679,ccc[city],ccc[cont],"-"),"-")</f>
        <v/>
      </c>
      <c r="N1679" s="1396">
        <f>IF(raw[[#This Row],[city]]="","-",IF(raw[[#This Row],[cont]]="B",raw[[#This Row],[cont]],"W"))</f>
        <v/>
      </c>
      <c r="O1679" s="1397">
        <f>IF(raw[[#This Row],[out]]=0,0,IF(raw[[#This Row],[out]]=raw[[#This Row],[in]],0.01,raw[[#This Row],[out]]-raw[[#This Row],[in]]))</f>
        <v/>
      </c>
      <c r="P1679" s="1397">
        <f>IF(raw[[#This Row],[in]]=0,0,MONTH(raw[[#This Row],[in]]))</f>
        <v/>
      </c>
      <c r="Q1679" s="1397">
        <f>IF(raw[[#This Row],[in]]=0,0,YEAR(raw[[#This Row],[in]]))</f>
        <v/>
      </c>
      <c r="R1679" s="1397">
        <f>INT(raw[[#This Row],[yr]]/10)*10</f>
        <v/>
      </c>
      <c r="S1679" s="1395">
        <f>IF(raw[[#This Row],[city]]="","-",IF(raw[[#This Row],[city]]&lt;&gt;_xlfn.XLOOKUP(raw[[#This Row],[home]],homes[home],homes[city],"-"),1,0))</f>
        <v/>
      </c>
      <c r="T1679" s="1398" t="inlineStr">
        <is>
          <t>.</t>
        </is>
      </c>
      <c r="U1679" s="1399">
        <f>IF(raw[[#This Row],[wb]]="w",raw[[#This Row],[stay]]+U1678,U1678)</f>
        <v/>
      </c>
      <c r="V1679" s="1400">
        <f>IF(raw[[#This Row],[out]]=0,V1678,(raw[[#This Row],[out]]-E$5))</f>
        <v/>
      </c>
      <c r="W1679" s="1401">
        <f>U1679/V1679</f>
        <v/>
      </c>
      <c r="X1679" s="1392" t="n"/>
      <c r="Y1679" s="1392" t="n"/>
      <c r="Z1679" s="1392" t="n"/>
      <c r="AA1679" s="1392" t="n"/>
      <c r="AB1679" s="1392" t="n"/>
      <c r="AC1679" s="1392" t="n"/>
      <c r="AD1679" s="1392" t="n"/>
      <c r="AE1679" s="1392" t="n"/>
      <c r="AF1679" s="1392" t="n"/>
      <c r="AG1679" s="1392" t="n"/>
      <c r="AH1679" s="1392" t="n"/>
      <c r="AI1679" s="1392" t="n"/>
      <c r="AJ1679" s="1392" t="n"/>
      <c r="AK1679" s="1392" t="n"/>
      <c r="AL1679" s="1392" t="n"/>
      <c r="AM1679" s="1392" t="n"/>
      <c r="AN1679" s="1392" t="n"/>
      <c r="AO1679" s="1392" t="n"/>
      <c r="AP1679" s="1392" t="n"/>
      <c r="AQ1679" s="1392" t="n"/>
      <c r="AR1679" s="1422" t="n"/>
      <c r="AS1679" s="1422" t="n"/>
      <c r="AT1679" s="1392" t="n"/>
      <c r="AU1679" s="1392" t="n"/>
      <c r="AV1679" s="1392" t="n"/>
      <c r="AW1679" s="1392" t="n"/>
      <c r="AX1679" s="1392" t="n"/>
      <c r="AY1679" s="1392" t="n"/>
      <c r="AZ1679" s="1392" t="n"/>
      <c r="BA1679" s="1422" t="n"/>
      <c r="BB1679" s="1422" t="n"/>
      <c r="BC1679" s="1392" t="n"/>
      <c r="BD1679" s="1392" t="n"/>
      <c r="BE1679" s="1392" t="n"/>
      <c r="BF1679" s="1392" t="n"/>
      <c r="BG1679" s="1392" t="n"/>
      <c r="BH1679" s="1392" t="n"/>
      <c r="BI1679" s="1392" t="n"/>
      <c r="BJ1679" s="1392" t="n"/>
      <c r="BK1679" s="1392" t="n"/>
      <c r="BL1679" s="1392" t="n"/>
      <c r="BM1679" s="1392" t="n"/>
      <c r="BN1679" s="1392" t="n"/>
      <c r="BO1679" s="1392" t="n"/>
      <c r="BP1679" s="1392" t="n"/>
      <c r="BQ1679" s="1392" t="n"/>
      <c r="BR1679" s="1392" t="n"/>
      <c r="BS1679" s="1392" t="n"/>
      <c r="BT1679" s="1392" t="n"/>
      <c r="BU1679" s="1392" t="n"/>
      <c r="BV1679" s="1392" t="n"/>
      <c r="BW1679" s="1392" t="n"/>
      <c r="BX1679" s="1392" t="n"/>
      <c r="BY1679" s="1392" t="n"/>
      <c r="BZ1679" s="1392" t="n"/>
      <c r="CA1679" s="1392" t="n"/>
      <c r="CB1679" s="1392" t="n"/>
      <c r="CC1679" s="1392" t="n"/>
      <c r="CD1679" s="1392" t="n"/>
      <c r="CE1679" s="1392" t="n"/>
      <c r="CF1679" s="1392" t="n"/>
      <c r="CG1679" s="1392" t="n"/>
      <c r="CH1679" s="1392" t="n"/>
      <c r="CI1679" s="1392" t="n"/>
      <c r="CJ1679" s="1392" t="n"/>
      <c r="CK1679" s="1392" t="n"/>
      <c r="CL1679" s="1392" t="n"/>
    </row>
    <row r="1680">
      <c r="A1680" s="5" t="inlineStr">
        <is>
          <t>.</t>
        </is>
      </c>
      <c r="B1680" s="5" t="inlineStr">
        <is>
          <t>.</t>
        </is>
      </c>
      <c r="C1680" s="1378">
        <f>IF(raw[[#This Row],[city]]="","-",IF(raw[[#This Row],[city]]="TODAY","-",C1679+1))</f>
        <v/>
      </c>
      <c r="D1680" s="1393" t="inlineStr">
        <is>
          <t>Montreal</t>
        </is>
      </c>
      <c r="E1680" s="1394" t="n">
        <v>44958</v>
      </c>
      <c r="F1680" s="1394" t="n">
        <v>44986</v>
      </c>
      <c r="G1680" s="1393" t="inlineStr">
        <is>
          <t>-</t>
        </is>
      </c>
      <c r="H1680" s="1393" t="inlineStr">
        <is>
          <t>Marie-Victorin</t>
        </is>
      </c>
      <c r="I1680" s="1393" t="inlineStr">
        <is>
          <t>-</t>
        </is>
      </c>
      <c r="J1680" s="1393" t="inlineStr">
        <is>
          <t>-</t>
        </is>
      </c>
      <c r="K1680" s="1395">
        <f>IF(raw[[#This Row],[city]]&lt;&gt;"",_xlfn.XLOOKUP($D1680,ccc[city],ccc[prov],"-"),"-")</f>
        <v/>
      </c>
      <c r="L1680" s="1395">
        <f>IF(raw[[#This Row],[city]]&lt;&gt;"",_xlfn.XLOOKUP($D1680,ccc[city],ccc[ctry],"-"),"-")</f>
        <v/>
      </c>
      <c r="M1680" s="1395">
        <f>IF(raw[[#This Row],[city]]&lt;&gt;"",_xlfn.XLOOKUP($D1680,ccc[city],ccc[cont],"-"),"-")</f>
        <v/>
      </c>
      <c r="N1680" s="1396">
        <f>IF(raw[[#This Row],[city]]="","-",IF(raw[[#This Row],[cont]]="B",raw[[#This Row],[cont]],"W"))</f>
        <v/>
      </c>
      <c r="O1680" s="1397">
        <f>IF(raw[[#This Row],[out]]=0,0,IF(raw[[#This Row],[out]]=raw[[#This Row],[in]],0.01,raw[[#This Row],[out]]-raw[[#This Row],[in]]))</f>
        <v/>
      </c>
      <c r="P1680" s="1397">
        <f>IF(raw[[#This Row],[in]]=0,0,MONTH(raw[[#This Row],[in]]))</f>
        <v/>
      </c>
      <c r="Q1680" s="1397">
        <f>IF(raw[[#This Row],[in]]=0,0,YEAR(raw[[#This Row],[in]]))</f>
        <v/>
      </c>
      <c r="R1680" s="1397">
        <f>INT(raw[[#This Row],[yr]]/10)*10</f>
        <v/>
      </c>
      <c r="S1680" s="1395">
        <f>IF(raw[[#This Row],[city]]="","-",IF(raw[[#This Row],[city]]&lt;&gt;_xlfn.XLOOKUP(raw[[#This Row],[home]],homes[home],homes[city],"-"),1,0))</f>
        <v/>
      </c>
      <c r="T1680" s="1398" t="inlineStr">
        <is>
          <t>.</t>
        </is>
      </c>
      <c r="U1680" s="1399">
        <f>IF(raw[[#This Row],[wb]]="w",raw[[#This Row],[stay]]+U1679,U1679)</f>
        <v/>
      </c>
      <c r="V1680" s="1400">
        <f>IF(raw[[#This Row],[out]]=0,V1679,(raw[[#This Row],[out]]-E$5))</f>
        <v/>
      </c>
      <c r="W1680" s="1401">
        <f>U1680/V1680</f>
        <v/>
      </c>
      <c r="X1680" s="1392" t="n"/>
      <c r="Y1680" s="1392" t="n"/>
      <c r="Z1680" s="1392" t="n"/>
      <c r="AA1680" s="1392" t="n"/>
      <c r="AB1680" s="1392" t="n"/>
      <c r="AC1680" s="1392" t="n"/>
      <c r="AD1680" s="1392" t="n"/>
      <c r="AE1680" s="1392" t="n"/>
      <c r="AF1680" s="1392" t="n"/>
      <c r="AG1680" s="1392" t="n"/>
      <c r="AH1680" s="1392" t="n"/>
      <c r="AI1680" s="1392" t="n"/>
      <c r="AJ1680" s="1392" t="n"/>
      <c r="AK1680" s="1392" t="n"/>
      <c r="AL1680" s="1392" t="n"/>
      <c r="AM1680" s="1392" t="n"/>
      <c r="AN1680" s="1392" t="n"/>
      <c r="AO1680" s="1392" t="n"/>
      <c r="AP1680" s="1392" t="n"/>
      <c r="AQ1680" s="1392" t="n"/>
      <c r="AR1680" s="1422" t="n"/>
      <c r="AS1680" s="1422" t="n"/>
      <c r="AT1680" s="1392" t="n"/>
      <c r="AU1680" s="1392" t="n"/>
      <c r="AV1680" s="1392" t="n"/>
      <c r="AW1680" s="1392" t="n"/>
      <c r="AX1680" s="1392" t="n"/>
      <c r="AY1680" s="1392" t="n"/>
      <c r="AZ1680" s="1392" t="n"/>
      <c r="BA1680" s="1422" t="n"/>
      <c r="BB1680" s="1422" t="n"/>
      <c r="BC1680" s="1392" t="n"/>
      <c r="BD1680" s="1392" t="n"/>
      <c r="BE1680" s="1392" t="n"/>
      <c r="BF1680" s="1392" t="n"/>
      <c r="BG1680" s="1392" t="n"/>
      <c r="BH1680" s="1392" t="n"/>
      <c r="BI1680" s="1392" t="n"/>
      <c r="BJ1680" s="1392" t="n"/>
      <c r="BK1680" s="1392" t="n"/>
      <c r="BL1680" s="1392" t="n"/>
      <c r="BM1680" s="1392" t="n"/>
      <c r="BN1680" s="1392" t="n"/>
      <c r="BO1680" s="1392" t="n"/>
      <c r="BP1680" s="1392" t="n"/>
      <c r="BQ1680" s="1392" t="n"/>
      <c r="BR1680" s="1392" t="n"/>
      <c r="BS1680" s="1392" t="n"/>
      <c r="BT1680" s="1392" t="n"/>
      <c r="BU1680" s="1392" t="n"/>
      <c r="BV1680" s="1392" t="n"/>
      <c r="BW1680" s="1392" t="n"/>
      <c r="BX1680" s="1392" t="n"/>
      <c r="BY1680" s="1392" t="n"/>
      <c r="BZ1680" s="1392" t="n"/>
      <c r="CA1680" s="1392" t="n"/>
      <c r="CB1680" s="1392" t="n"/>
      <c r="CC1680" s="1392" t="n"/>
      <c r="CD1680" s="1392" t="n"/>
      <c r="CE1680" s="1392" t="n"/>
      <c r="CF1680" s="1392" t="n"/>
      <c r="CG1680" s="1392" t="n"/>
      <c r="CH1680" s="1392" t="n"/>
      <c r="CI1680" s="1392" t="n"/>
      <c r="CJ1680" s="1392" t="n"/>
      <c r="CK1680" s="1392" t="n"/>
      <c r="CL1680" s="1392" t="n"/>
    </row>
    <row r="1681">
      <c r="A1681" s="5" t="inlineStr">
        <is>
          <t>.</t>
        </is>
      </c>
      <c r="B1681" s="5" t="inlineStr">
        <is>
          <t>.</t>
        </is>
      </c>
      <c r="C1681" s="1378">
        <f>IF(raw[[#This Row],[city]]="","-",IF(raw[[#This Row],[city]]="TODAY","-",C1680+1))</f>
        <v/>
      </c>
      <c r="D1681" s="1393" t="inlineStr">
        <is>
          <t>Montreal</t>
        </is>
      </c>
      <c r="E1681" s="1394" t="n">
        <v>44986</v>
      </c>
      <c r="F1681" s="1394" t="n">
        <v>45017</v>
      </c>
      <c r="G1681" s="1393" t="inlineStr">
        <is>
          <t>-</t>
        </is>
      </c>
      <c r="H1681" s="1393" t="inlineStr">
        <is>
          <t>Marie-Victorin</t>
        </is>
      </c>
      <c r="I1681" s="1393" t="inlineStr">
        <is>
          <t>-</t>
        </is>
      </c>
      <c r="J1681" s="1393" t="inlineStr">
        <is>
          <t>-</t>
        </is>
      </c>
      <c r="K1681" s="1395">
        <f>IF(raw[[#This Row],[city]]&lt;&gt;"",_xlfn.XLOOKUP($D1681,ccc[city],ccc[prov],"-"),"-")</f>
        <v/>
      </c>
      <c r="L1681" s="1395">
        <f>IF(raw[[#This Row],[city]]&lt;&gt;"",_xlfn.XLOOKUP($D1681,ccc[city],ccc[ctry],"-"),"-")</f>
        <v/>
      </c>
      <c r="M1681" s="1395">
        <f>IF(raw[[#This Row],[city]]&lt;&gt;"",_xlfn.XLOOKUP($D1681,ccc[city],ccc[cont],"-"),"-")</f>
        <v/>
      </c>
      <c r="N1681" s="1396">
        <f>IF(raw[[#This Row],[city]]="","-",IF(raw[[#This Row],[cont]]="B",raw[[#This Row],[cont]],"W"))</f>
        <v/>
      </c>
      <c r="O1681" s="1397">
        <f>IF(raw[[#This Row],[out]]=0,0,IF(raw[[#This Row],[out]]=raw[[#This Row],[in]],0.01,raw[[#This Row],[out]]-raw[[#This Row],[in]]))</f>
        <v/>
      </c>
      <c r="P1681" s="1397">
        <f>IF(raw[[#This Row],[in]]=0,0,MONTH(raw[[#This Row],[in]]))</f>
        <v/>
      </c>
      <c r="Q1681" s="1397">
        <f>IF(raw[[#This Row],[in]]=0,0,YEAR(raw[[#This Row],[in]]))</f>
        <v/>
      </c>
      <c r="R1681" s="1397">
        <f>INT(raw[[#This Row],[yr]]/10)*10</f>
        <v/>
      </c>
      <c r="S1681" s="1395">
        <f>IF(raw[[#This Row],[city]]="","-",IF(raw[[#This Row],[city]]&lt;&gt;_xlfn.XLOOKUP(raw[[#This Row],[home]],homes[home],homes[city],"-"),1,0))</f>
        <v/>
      </c>
      <c r="T1681" s="1398" t="inlineStr">
        <is>
          <t>.</t>
        </is>
      </c>
      <c r="U1681" s="1399">
        <f>IF(raw[[#This Row],[wb]]="w",raw[[#This Row],[stay]]+U1680,U1680)</f>
        <v/>
      </c>
      <c r="V1681" s="1400">
        <f>IF(raw[[#This Row],[out]]=0,V1680,(raw[[#This Row],[out]]-E$5))</f>
        <v/>
      </c>
      <c r="W1681" s="1401">
        <f>U1681/V1681</f>
        <v/>
      </c>
      <c r="X1681" s="1392" t="n"/>
      <c r="Y1681" s="1392" t="n"/>
      <c r="Z1681" s="1392" t="n"/>
      <c r="AA1681" s="1392" t="n"/>
      <c r="AB1681" s="1392" t="n"/>
      <c r="AC1681" s="1392" t="n"/>
      <c r="AD1681" s="1392" t="n"/>
      <c r="AE1681" s="1392" t="n"/>
      <c r="AF1681" s="1392" t="n"/>
      <c r="AG1681" s="1392" t="n"/>
      <c r="AH1681" s="1392" t="n"/>
      <c r="AI1681" s="1392" t="n"/>
      <c r="AJ1681" s="1392" t="n"/>
      <c r="AK1681" s="1392" t="n"/>
      <c r="AL1681" s="1392" t="n"/>
      <c r="AM1681" s="1392" t="n"/>
      <c r="AN1681" s="1392" t="n"/>
      <c r="AO1681" s="1392" t="n"/>
      <c r="AP1681" s="1392" t="n"/>
      <c r="AQ1681" s="1392" t="n"/>
      <c r="AR1681" s="1422" t="n"/>
      <c r="AS1681" s="1422" t="n"/>
      <c r="AT1681" s="1392" t="n"/>
      <c r="AU1681" s="1392" t="n"/>
      <c r="AV1681" s="1392" t="n"/>
      <c r="AW1681" s="1392" t="n"/>
      <c r="AX1681" s="1392" t="n"/>
      <c r="AY1681" s="1392" t="n"/>
      <c r="AZ1681" s="1392" t="n"/>
      <c r="BA1681" s="1422" t="n"/>
      <c r="BB1681" s="1422" t="n"/>
      <c r="BC1681" s="1392" t="n"/>
      <c r="BD1681" s="1392" t="n"/>
      <c r="BE1681" s="1392" t="n"/>
      <c r="BF1681" s="1392" t="n"/>
      <c r="BG1681" s="1392" t="n"/>
      <c r="BH1681" s="1392" t="n"/>
      <c r="BI1681" s="1392" t="n"/>
      <c r="BJ1681" s="1392" t="n"/>
      <c r="BK1681" s="1392" t="n"/>
      <c r="BL1681" s="1392" t="n"/>
      <c r="BM1681" s="1392" t="n"/>
      <c r="BN1681" s="1392" t="n"/>
      <c r="BO1681" s="1392" t="n"/>
      <c r="BP1681" s="1392" t="n"/>
      <c r="BQ1681" s="1392" t="n"/>
      <c r="BR1681" s="1392" t="n"/>
      <c r="BS1681" s="1392" t="n"/>
      <c r="BT1681" s="1392" t="n"/>
      <c r="BU1681" s="1392" t="n"/>
      <c r="BV1681" s="1392" t="n"/>
      <c r="BW1681" s="1392" t="n"/>
      <c r="BX1681" s="1392" t="n"/>
      <c r="BY1681" s="1392" t="n"/>
      <c r="BZ1681" s="1392" t="n"/>
      <c r="CA1681" s="1392" t="n"/>
      <c r="CB1681" s="1392" t="n"/>
      <c r="CC1681" s="1392" t="n"/>
      <c r="CD1681" s="1392" t="n"/>
      <c r="CE1681" s="1392" t="n"/>
      <c r="CF1681" s="1392" t="n"/>
      <c r="CG1681" s="1392" t="n"/>
      <c r="CH1681" s="1392" t="n"/>
      <c r="CI1681" s="1392" t="n"/>
      <c r="CJ1681" s="1392" t="n"/>
      <c r="CK1681" s="1392" t="n"/>
      <c r="CL1681" s="1392" t="n"/>
    </row>
    <row r="1682">
      <c r="A1682" s="5" t="inlineStr">
        <is>
          <t>.</t>
        </is>
      </c>
      <c r="B1682" s="5" t="inlineStr">
        <is>
          <t>.</t>
        </is>
      </c>
      <c r="C1682" s="1378">
        <f>IF(raw[[#This Row],[city]]="","-",IF(raw[[#This Row],[city]]="TODAY","-",C1681+1))</f>
        <v/>
      </c>
      <c r="D1682" s="1393" t="inlineStr">
        <is>
          <t>Montreal</t>
        </is>
      </c>
      <c r="E1682" s="1394" t="n">
        <v>45017</v>
      </c>
      <c r="F1682" s="1394" t="n">
        <v>45038</v>
      </c>
      <c r="G1682" s="1393" t="n">
        <v>1</v>
      </c>
      <c r="H1682" s="1393" t="inlineStr">
        <is>
          <t>Marie-Victorin</t>
        </is>
      </c>
      <c r="I1682" s="1393" t="inlineStr">
        <is>
          <t>-</t>
        </is>
      </c>
      <c r="J1682" s="1393" t="inlineStr">
        <is>
          <t>-</t>
        </is>
      </c>
      <c r="K1682" s="1395">
        <f>IF(raw[[#This Row],[city]]&lt;&gt;"",_xlfn.XLOOKUP($D1682,ccc[city],ccc[prov],"-"),"-")</f>
        <v/>
      </c>
      <c r="L1682" s="1395">
        <f>IF(raw[[#This Row],[city]]&lt;&gt;"",_xlfn.XLOOKUP($D1682,ccc[city],ccc[ctry],"-"),"-")</f>
        <v/>
      </c>
      <c r="M1682" s="1395">
        <f>IF(raw[[#This Row],[city]]&lt;&gt;"",_xlfn.XLOOKUP($D1682,ccc[city],ccc[cont],"-"),"-")</f>
        <v/>
      </c>
      <c r="N1682" s="1396">
        <f>IF(raw[[#This Row],[city]]="","-",IF(raw[[#This Row],[cont]]="B",raw[[#This Row],[cont]],"W"))</f>
        <v/>
      </c>
      <c r="O1682" s="1397">
        <f>IF(raw[[#This Row],[out]]=0,0,IF(raw[[#This Row],[out]]=raw[[#This Row],[in]],0.01,raw[[#This Row],[out]]-raw[[#This Row],[in]]))</f>
        <v/>
      </c>
      <c r="P1682" s="1397">
        <f>IF(raw[[#This Row],[in]]=0,0,MONTH(raw[[#This Row],[in]]))</f>
        <v/>
      </c>
      <c r="Q1682" s="1397">
        <f>IF(raw[[#This Row],[in]]=0,0,YEAR(raw[[#This Row],[in]]))</f>
        <v/>
      </c>
      <c r="R1682" s="1397">
        <f>INT(raw[[#This Row],[yr]]/10)*10</f>
        <v/>
      </c>
      <c r="S1682" s="1395">
        <f>IF(raw[[#This Row],[city]]="","-",IF(raw[[#This Row],[city]]&lt;&gt;_xlfn.XLOOKUP(raw[[#This Row],[home]],homes[home],homes[city],"-"),1,0))</f>
        <v/>
      </c>
      <c r="T1682" s="1398" t="inlineStr">
        <is>
          <t>.</t>
        </is>
      </c>
      <c r="U1682" s="1399">
        <f>IF(raw[[#This Row],[wb]]="w",raw[[#This Row],[stay]]+U1681,U1681)</f>
        <v/>
      </c>
      <c r="V1682" s="1400">
        <f>IF(raw[[#This Row],[out]]=0,V1681,(raw[[#This Row],[out]]-E$5))</f>
        <v/>
      </c>
      <c r="W1682" s="1401">
        <f>U1682/V1682</f>
        <v/>
      </c>
      <c r="X1682" s="1392" t="n"/>
      <c r="Y1682" s="1392" t="n"/>
      <c r="Z1682" s="1392" t="n"/>
      <c r="AA1682" s="1392" t="n"/>
      <c r="AB1682" s="1392" t="n"/>
      <c r="AC1682" s="1392" t="n"/>
      <c r="AD1682" s="1392" t="n"/>
      <c r="AE1682" s="1392" t="n"/>
      <c r="AF1682" s="1392" t="n"/>
      <c r="AG1682" s="1392" t="n"/>
      <c r="AH1682" s="1392" t="n"/>
      <c r="AI1682" s="1392" t="n"/>
      <c r="AJ1682" s="1392" t="n"/>
      <c r="AK1682" s="1392" t="n"/>
      <c r="AL1682" s="1392" t="n"/>
      <c r="AM1682" s="1392" t="n"/>
      <c r="AN1682" s="1392" t="n"/>
      <c r="AO1682" s="1392" t="n"/>
      <c r="AP1682" s="1392" t="n"/>
      <c r="AQ1682" s="1392" t="n"/>
      <c r="AR1682" s="1422" t="n"/>
      <c r="AS1682" s="1422" t="n"/>
      <c r="AT1682" s="1392" t="n"/>
      <c r="AU1682" s="1392" t="n"/>
      <c r="AV1682" s="1392" t="n"/>
      <c r="AW1682" s="1392" t="n"/>
      <c r="AX1682" s="1392" t="n"/>
      <c r="AY1682" s="1392" t="n"/>
      <c r="AZ1682" s="1392" t="n"/>
      <c r="BA1682" s="1422" t="n"/>
      <c r="BB1682" s="1422" t="n"/>
      <c r="BC1682" s="1392" t="n"/>
      <c r="BD1682" s="1392" t="n"/>
      <c r="BE1682" s="1392" t="n"/>
      <c r="BF1682" s="1392" t="n"/>
      <c r="BG1682" s="1392" t="n"/>
      <c r="BH1682" s="1392" t="n"/>
      <c r="BI1682" s="1392" t="n"/>
      <c r="BJ1682" s="1392" t="n"/>
      <c r="BK1682" s="1392" t="n"/>
      <c r="BL1682" s="1392" t="n"/>
      <c r="BM1682" s="1392" t="n"/>
      <c r="BN1682" s="1392" t="n"/>
      <c r="BO1682" s="1392" t="n"/>
      <c r="BP1682" s="1392" t="n"/>
      <c r="BQ1682" s="1392" t="n"/>
      <c r="BR1682" s="1392" t="n"/>
      <c r="BS1682" s="1392" t="n"/>
      <c r="BT1682" s="1392" t="n"/>
      <c r="BU1682" s="1392" t="n"/>
      <c r="BV1682" s="1392" t="n"/>
      <c r="BW1682" s="1392" t="n"/>
      <c r="BX1682" s="1392" t="n"/>
      <c r="BY1682" s="1392" t="n"/>
      <c r="BZ1682" s="1392" t="n"/>
      <c r="CA1682" s="1392" t="n"/>
      <c r="CB1682" s="1392" t="n"/>
      <c r="CC1682" s="1392" t="n"/>
      <c r="CD1682" s="1392" t="n"/>
      <c r="CE1682" s="1392" t="n"/>
      <c r="CF1682" s="1392" t="n"/>
      <c r="CG1682" s="1392" t="n"/>
      <c r="CH1682" s="1392" t="n"/>
      <c r="CI1682" s="1392" t="n"/>
      <c r="CJ1682" s="1392" t="n"/>
      <c r="CK1682" s="1392" t="n"/>
      <c r="CL1682" s="1392" t="n"/>
    </row>
    <row r="1683">
      <c r="A1683" s="5" t="inlineStr">
        <is>
          <t>.</t>
        </is>
      </c>
      <c r="B1683" s="5" t="inlineStr">
        <is>
          <t>.</t>
        </is>
      </c>
      <c r="C1683" s="1378">
        <f>IF(raw[[#This Row],[city]]="","-",IF(raw[[#This Row],[city]]="TODAY","-",C1682+1))</f>
        <v/>
      </c>
      <c r="D1683" s="1393" t="inlineStr">
        <is>
          <t>Philadelphia</t>
        </is>
      </c>
      <c r="E1683" s="1394" t="n">
        <v>45038</v>
      </c>
      <c r="F1683" s="1394" t="n">
        <v>45038</v>
      </c>
      <c r="G1683" s="1393" t="n">
        <v>0.01</v>
      </c>
      <c r="H1683" s="1393" t="inlineStr">
        <is>
          <t>Marie-Victorin</t>
        </is>
      </c>
      <c r="I1683" s="1393" t="inlineStr">
        <is>
          <t>-</t>
        </is>
      </c>
      <c r="J1683" s="1393" t="inlineStr">
        <is>
          <t>-</t>
        </is>
      </c>
      <c r="K1683" s="1395">
        <f>IF(raw[[#This Row],[city]]&lt;&gt;"",_xlfn.XLOOKUP($D1683,ccc[city],ccc[prov],"-"),"-")</f>
        <v/>
      </c>
      <c r="L1683" s="1395">
        <f>IF(raw[[#This Row],[city]]&lt;&gt;"",_xlfn.XLOOKUP($D1683,ccc[city],ccc[ctry],"-"),"-")</f>
        <v/>
      </c>
      <c r="M1683" s="1395">
        <f>IF(raw[[#This Row],[city]]&lt;&gt;"",_xlfn.XLOOKUP($D1683,ccc[city],ccc[cont],"-"),"-")</f>
        <v/>
      </c>
      <c r="N1683" s="1396">
        <f>IF(raw[[#This Row],[city]]="","-",IF(raw[[#This Row],[cont]]="B",raw[[#This Row],[cont]],"W"))</f>
        <v/>
      </c>
      <c r="O1683" s="1397">
        <f>IF(raw[[#This Row],[out]]=0,0,IF(raw[[#This Row],[out]]=raw[[#This Row],[in]],0.01,raw[[#This Row],[out]]-raw[[#This Row],[in]]))</f>
        <v/>
      </c>
      <c r="P1683" s="1397">
        <f>IF(raw[[#This Row],[in]]=0,0,MONTH(raw[[#This Row],[in]]))</f>
        <v/>
      </c>
      <c r="Q1683" s="1397">
        <f>IF(raw[[#This Row],[in]]=0,0,YEAR(raw[[#This Row],[in]]))</f>
        <v/>
      </c>
      <c r="R1683" s="1397">
        <f>INT(raw[[#This Row],[yr]]/10)*10</f>
        <v/>
      </c>
      <c r="S1683" s="1395">
        <f>IF(raw[[#This Row],[city]]="","-",IF(raw[[#This Row],[city]]&lt;&gt;_xlfn.XLOOKUP(raw[[#This Row],[home]],homes[home],homes[city],"-"),1,0))</f>
        <v/>
      </c>
      <c r="T1683" s="1398" t="inlineStr">
        <is>
          <t>.</t>
        </is>
      </c>
      <c r="U1683" s="1399">
        <f>IF(raw[[#This Row],[wb]]="w",raw[[#This Row],[stay]]+U1682,U1682)</f>
        <v/>
      </c>
      <c r="V1683" s="1400">
        <f>IF(raw[[#This Row],[out]]=0,V1682,(raw[[#This Row],[out]]-E$5))</f>
        <v/>
      </c>
      <c r="W1683" s="1401">
        <f>U1683/V1683</f>
        <v/>
      </c>
      <c r="X1683" s="1392" t="n"/>
      <c r="Y1683" s="1392" t="n"/>
      <c r="Z1683" s="1392" t="n"/>
      <c r="AA1683" s="1392" t="n"/>
      <c r="AB1683" s="1392" t="n"/>
      <c r="AC1683" s="1392" t="n"/>
      <c r="AD1683" s="1392" t="n"/>
      <c r="AE1683" s="1392" t="n"/>
      <c r="AF1683" s="1392" t="n"/>
      <c r="AG1683" s="1392" t="n"/>
      <c r="AH1683" s="1392" t="n"/>
      <c r="AI1683" s="1392" t="n"/>
      <c r="AJ1683" s="1392" t="n"/>
      <c r="AK1683" s="1392" t="n"/>
      <c r="AL1683" s="1392" t="n"/>
      <c r="AM1683" s="1392" t="n"/>
      <c r="AN1683" s="1392" t="n"/>
      <c r="AO1683" s="1392" t="n"/>
      <c r="AP1683" s="1392" t="n"/>
      <c r="AQ1683" s="1392" t="n"/>
      <c r="AR1683" s="1422" t="n"/>
      <c r="AS1683" s="1422" t="n"/>
      <c r="AT1683" s="1392" t="n"/>
      <c r="AU1683" s="1392" t="n"/>
      <c r="AV1683" s="1392" t="n"/>
      <c r="AW1683" s="1392" t="n"/>
      <c r="AX1683" s="1392" t="n"/>
      <c r="AY1683" s="1392" t="n"/>
      <c r="AZ1683" s="1392" t="n"/>
      <c r="BA1683" s="1422" t="n"/>
      <c r="BB1683" s="1422" t="n"/>
      <c r="BC1683" s="1392" t="n"/>
      <c r="BD1683" s="1392" t="n"/>
      <c r="BE1683" s="1392" t="n"/>
      <c r="BF1683" s="1392" t="n"/>
      <c r="BG1683" s="1392" t="n"/>
      <c r="BH1683" s="1392" t="n"/>
      <c r="BI1683" s="1392" t="n"/>
      <c r="BJ1683" s="1392" t="n"/>
      <c r="BK1683" s="1392" t="n"/>
      <c r="BL1683" s="1392" t="n"/>
      <c r="BM1683" s="1392" t="n"/>
      <c r="BN1683" s="1392" t="n"/>
      <c r="BO1683" s="1392" t="n"/>
      <c r="BP1683" s="1392" t="n"/>
      <c r="BQ1683" s="1392" t="n"/>
      <c r="BR1683" s="1392" t="n"/>
      <c r="BS1683" s="1392" t="n"/>
      <c r="BT1683" s="1392" t="n"/>
      <c r="BU1683" s="1392" t="n"/>
      <c r="BV1683" s="1392" t="n"/>
      <c r="BW1683" s="1392" t="n"/>
      <c r="BX1683" s="1392" t="n"/>
      <c r="BY1683" s="1392" t="n"/>
      <c r="BZ1683" s="1392" t="n"/>
      <c r="CA1683" s="1392" t="n"/>
      <c r="CB1683" s="1392" t="n"/>
      <c r="CC1683" s="1392" t="n"/>
      <c r="CD1683" s="1392" t="n"/>
      <c r="CE1683" s="1392" t="n"/>
      <c r="CF1683" s="1392" t="n"/>
      <c r="CG1683" s="1392" t="n"/>
      <c r="CH1683" s="1392" t="n"/>
      <c r="CI1683" s="1392" t="n"/>
      <c r="CJ1683" s="1392" t="n"/>
      <c r="CK1683" s="1392" t="n"/>
      <c r="CL1683" s="1392" t="n"/>
    </row>
    <row r="1684">
      <c r="A1684" s="5" t="inlineStr">
        <is>
          <t>.</t>
        </is>
      </c>
      <c r="B1684" s="5" t="inlineStr">
        <is>
          <t>.</t>
        </is>
      </c>
      <c r="C1684" s="1378">
        <f>IF(raw[[#This Row],[city]]="","-",IF(raw[[#This Row],[city]]="TODAY","-",C1683+1))</f>
        <v/>
      </c>
      <c r="D1684" s="1393" t="inlineStr">
        <is>
          <t>Miami</t>
        </is>
      </c>
      <c r="E1684" s="1394" t="n">
        <v>45038</v>
      </c>
      <c r="F1684" s="1394" t="n">
        <v>45045</v>
      </c>
      <c r="G1684" s="1393" t="n">
        <v>1</v>
      </c>
      <c r="H1684" s="1393" t="inlineStr">
        <is>
          <t>Marie-Victorin</t>
        </is>
      </c>
      <c r="I1684" s="1393" t="inlineStr">
        <is>
          <t>-</t>
        </is>
      </c>
      <c r="J1684" s="1393" t="inlineStr">
        <is>
          <t>-</t>
        </is>
      </c>
      <c r="K1684" s="1395">
        <f>IF(raw[[#This Row],[city]]&lt;&gt;"",_xlfn.XLOOKUP($D1684,ccc[city],ccc[prov],"-"),"-")</f>
        <v/>
      </c>
      <c r="L1684" s="1395">
        <f>IF(raw[[#This Row],[city]]&lt;&gt;"",_xlfn.XLOOKUP($D1684,ccc[city],ccc[ctry],"-"),"-")</f>
        <v/>
      </c>
      <c r="M1684" s="1395">
        <f>IF(raw[[#This Row],[city]]&lt;&gt;"",_xlfn.XLOOKUP($D1684,ccc[city],ccc[cont],"-"),"-")</f>
        <v/>
      </c>
      <c r="N1684" s="1396">
        <f>IF(raw[[#This Row],[city]]="","-",IF(raw[[#This Row],[cont]]="B",raw[[#This Row],[cont]],"W"))</f>
        <v/>
      </c>
      <c r="O1684" s="1397">
        <f>IF(raw[[#This Row],[out]]=0,0,IF(raw[[#This Row],[out]]=raw[[#This Row],[in]],0.01,raw[[#This Row],[out]]-raw[[#This Row],[in]]))</f>
        <v/>
      </c>
      <c r="P1684" s="1397">
        <f>IF(raw[[#This Row],[in]]=0,0,MONTH(raw[[#This Row],[in]]))</f>
        <v/>
      </c>
      <c r="Q1684" s="1397">
        <f>IF(raw[[#This Row],[in]]=0,0,YEAR(raw[[#This Row],[in]]))</f>
        <v/>
      </c>
      <c r="R1684" s="1397">
        <f>INT(raw[[#This Row],[yr]]/10)*10</f>
        <v/>
      </c>
      <c r="S1684" s="1395">
        <f>IF(raw[[#This Row],[city]]="","-",IF(raw[[#This Row],[city]]&lt;&gt;_xlfn.XLOOKUP(raw[[#This Row],[home]],homes[home],homes[city],"-"),1,0))</f>
        <v/>
      </c>
      <c r="T1684" s="1398" t="inlineStr">
        <is>
          <t>.</t>
        </is>
      </c>
      <c r="U1684" s="1399">
        <f>IF(raw[[#This Row],[wb]]="w",raw[[#This Row],[stay]]+U1683,U1683)</f>
        <v/>
      </c>
      <c r="V1684" s="1400">
        <f>IF(raw[[#This Row],[out]]=0,V1683,(raw[[#This Row],[out]]-E$5))</f>
        <v/>
      </c>
      <c r="W1684" s="1401">
        <f>U1684/V1684</f>
        <v/>
      </c>
      <c r="X1684" s="1392" t="n"/>
      <c r="Y1684" s="1392" t="n"/>
      <c r="Z1684" s="1392" t="n"/>
      <c r="AA1684" s="1392" t="n"/>
      <c r="AB1684" s="1392" t="n"/>
      <c r="AC1684" s="1392" t="n"/>
      <c r="AD1684" s="1392" t="n"/>
      <c r="AE1684" s="1392" t="n"/>
      <c r="AF1684" s="1392" t="n"/>
      <c r="AG1684" s="1392" t="n"/>
      <c r="AH1684" s="1392" t="n"/>
      <c r="AI1684" s="1392" t="n"/>
      <c r="AJ1684" s="1392" t="n"/>
      <c r="AK1684" s="1392" t="n"/>
      <c r="AL1684" s="1392" t="n"/>
      <c r="AM1684" s="1392" t="n"/>
      <c r="AN1684" s="1392" t="n"/>
      <c r="AO1684" s="1392" t="n"/>
      <c r="AP1684" s="1392" t="n"/>
      <c r="AQ1684" s="1392" t="n"/>
      <c r="AR1684" s="1422" t="n"/>
      <c r="AS1684" s="1422" t="n"/>
      <c r="AT1684" s="1392" t="n"/>
      <c r="AU1684" s="1392" t="n"/>
      <c r="AV1684" s="1392" t="n"/>
      <c r="AW1684" s="1392" t="n"/>
      <c r="AX1684" s="1392" t="n"/>
      <c r="AY1684" s="1392" t="n"/>
      <c r="AZ1684" s="1392" t="n"/>
      <c r="BA1684" s="1422" t="n"/>
      <c r="BB1684" s="1422" t="n"/>
      <c r="BC1684" s="1392" t="n"/>
      <c r="BD1684" s="1392" t="n"/>
      <c r="BE1684" s="1392" t="n"/>
      <c r="BF1684" s="1392" t="n"/>
      <c r="BG1684" s="1392" t="n"/>
      <c r="BH1684" s="1392" t="n"/>
      <c r="BI1684" s="1392" t="n"/>
      <c r="BJ1684" s="1392" t="n"/>
      <c r="BK1684" s="1392" t="n"/>
      <c r="BL1684" s="1392" t="n"/>
      <c r="BM1684" s="1392" t="n"/>
      <c r="BN1684" s="1392" t="n"/>
      <c r="BO1684" s="1392" t="n"/>
      <c r="BP1684" s="1392" t="n"/>
      <c r="BQ1684" s="1392" t="n"/>
      <c r="BR1684" s="1392" t="n"/>
      <c r="BS1684" s="1392" t="n"/>
      <c r="BT1684" s="1392" t="n"/>
      <c r="BU1684" s="1392" t="n"/>
      <c r="BV1684" s="1392" t="n"/>
      <c r="BW1684" s="1392" t="n"/>
      <c r="BX1684" s="1392" t="n"/>
      <c r="BY1684" s="1392" t="n"/>
      <c r="BZ1684" s="1392" t="n"/>
      <c r="CA1684" s="1392" t="n"/>
      <c r="CB1684" s="1392" t="n"/>
      <c r="CC1684" s="1392" t="n"/>
      <c r="CD1684" s="1392" t="n"/>
      <c r="CE1684" s="1392" t="n"/>
      <c r="CF1684" s="1392" t="n"/>
      <c r="CG1684" s="1392" t="n"/>
      <c r="CH1684" s="1392" t="n"/>
      <c r="CI1684" s="1392" t="n"/>
      <c r="CJ1684" s="1392" t="n"/>
      <c r="CK1684" s="1392" t="n"/>
      <c r="CL1684" s="1392" t="n"/>
    </row>
    <row r="1685">
      <c r="A1685" s="5" t="inlineStr">
        <is>
          <t>.</t>
        </is>
      </c>
      <c r="B1685" s="5" t="inlineStr">
        <is>
          <t>.</t>
        </is>
      </c>
      <c r="C1685" s="1378">
        <f>IF(raw[[#This Row],[city]]="","-",IF(raw[[#This Row],[city]]="TODAY","-",C1684+1))</f>
        <v/>
      </c>
      <c r="D1685" s="1393" t="inlineStr">
        <is>
          <t>Montreal</t>
        </is>
      </c>
      <c r="E1685" s="1394" t="n">
        <v>45045</v>
      </c>
      <c r="F1685" s="1394" t="n">
        <v>45047</v>
      </c>
      <c r="G1685" s="1393" t="inlineStr">
        <is>
          <t>-</t>
        </is>
      </c>
      <c r="H1685" s="1393" t="inlineStr">
        <is>
          <t>Marie-Victorin</t>
        </is>
      </c>
      <c r="I1685" s="1393" t="inlineStr">
        <is>
          <t>-</t>
        </is>
      </c>
      <c r="J1685" s="1393" t="inlineStr">
        <is>
          <t>-</t>
        </is>
      </c>
      <c r="K1685" s="1395">
        <f>IF(raw[[#This Row],[city]]&lt;&gt;"",_xlfn.XLOOKUP($D1685,ccc[city],ccc[prov],"-"),"-")</f>
        <v/>
      </c>
      <c r="L1685" s="1395">
        <f>IF(raw[[#This Row],[city]]&lt;&gt;"",_xlfn.XLOOKUP($D1685,ccc[city],ccc[ctry],"-"),"-")</f>
        <v/>
      </c>
      <c r="M1685" s="1395">
        <f>IF(raw[[#This Row],[city]]&lt;&gt;"",_xlfn.XLOOKUP($D1685,ccc[city],ccc[cont],"-"),"-")</f>
        <v/>
      </c>
      <c r="N1685" s="1396">
        <f>IF(raw[[#This Row],[city]]="","-",IF(raw[[#This Row],[cont]]="B",raw[[#This Row],[cont]],"W"))</f>
        <v/>
      </c>
      <c r="O1685" s="1397">
        <f>IF(raw[[#This Row],[out]]=0,0,IF(raw[[#This Row],[out]]=raw[[#This Row],[in]],0.01,raw[[#This Row],[out]]-raw[[#This Row],[in]]))</f>
        <v/>
      </c>
      <c r="P1685" s="1397">
        <f>IF(raw[[#This Row],[in]]=0,0,MONTH(raw[[#This Row],[in]]))</f>
        <v/>
      </c>
      <c r="Q1685" s="1397">
        <f>IF(raw[[#This Row],[in]]=0,0,YEAR(raw[[#This Row],[in]]))</f>
        <v/>
      </c>
      <c r="R1685" s="1397">
        <f>INT(raw[[#This Row],[yr]]/10)*10</f>
        <v/>
      </c>
      <c r="S1685" s="1395">
        <f>IF(raw[[#This Row],[city]]="","-",IF(raw[[#This Row],[city]]&lt;&gt;_xlfn.XLOOKUP(raw[[#This Row],[home]],homes[home],homes[city],"-"),1,0))</f>
        <v/>
      </c>
      <c r="T1685" s="1398" t="inlineStr">
        <is>
          <t>.</t>
        </is>
      </c>
      <c r="U1685" s="1399">
        <f>IF(raw[[#This Row],[wb]]="w",raw[[#This Row],[stay]]+U1684,U1684)</f>
        <v/>
      </c>
      <c r="V1685" s="1400">
        <f>IF(raw[[#This Row],[out]]=0,V1684,(raw[[#This Row],[out]]-E$5))</f>
        <v/>
      </c>
      <c r="W1685" s="1401">
        <f>U1685/V1685</f>
        <v/>
      </c>
      <c r="X1685" s="1392" t="n"/>
      <c r="Y1685" s="1392" t="n"/>
      <c r="Z1685" s="1392" t="n"/>
      <c r="AA1685" s="1392" t="n"/>
      <c r="AB1685" s="1392" t="n"/>
      <c r="AC1685" s="1392" t="n"/>
      <c r="AD1685" s="1392" t="n"/>
      <c r="AE1685" s="1392" t="n"/>
      <c r="AF1685" s="1392" t="n"/>
      <c r="AG1685" s="1392" t="n"/>
      <c r="AH1685" s="1392" t="n"/>
      <c r="AI1685" s="1392" t="n"/>
      <c r="AJ1685" s="1392" t="n"/>
      <c r="AK1685" s="1392" t="n"/>
      <c r="AL1685" s="1392" t="n"/>
      <c r="AM1685" s="1392" t="n"/>
      <c r="AN1685" s="1392" t="n"/>
      <c r="AO1685" s="1392" t="n"/>
      <c r="AP1685" s="1392" t="n"/>
      <c r="AQ1685" s="1392" t="n"/>
      <c r="AR1685" s="1422" t="n"/>
      <c r="AS1685" s="1422" t="n"/>
      <c r="AT1685" s="1392" t="n"/>
      <c r="AU1685" s="1392" t="n"/>
      <c r="AV1685" s="1392" t="n"/>
      <c r="AW1685" s="1392" t="n"/>
      <c r="AX1685" s="1392" t="n"/>
      <c r="AY1685" s="1392" t="n"/>
      <c r="AZ1685" s="1392" t="n"/>
      <c r="BA1685" s="1422" t="n"/>
      <c r="BB1685" s="1422" t="n"/>
      <c r="BC1685" s="1392" t="n"/>
      <c r="BD1685" s="1392" t="n"/>
      <c r="BE1685" s="1392" t="n"/>
      <c r="BF1685" s="1392" t="n"/>
      <c r="BG1685" s="1392" t="n"/>
      <c r="BH1685" s="1392" t="n"/>
      <c r="BI1685" s="1392" t="n"/>
      <c r="BJ1685" s="1392" t="n"/>
      <c r="BK1685" s="1392" t="n"/>
      <c r="BL1685" s="1392" t="n"/>
      <c r="BM1685" s="1392" t="n"/>
      <c r="BN1685" s="1392" t="n"/>
      <c r="BO1685" s="1392" t="n"/>
      <c r="BP1685" s="1392" t="n"/>
      <c r="BQ1685" s="1392" t="n"/>
      <c r="BR1685" s="1392" t="n"/>
      <c r="BS1685" s="1392" t="n"/>
      <c r="BT1685" s="1392" t="n"/>
      <c r="BU1685" s="1392" t="n"/>
      <c r="BV1685" s="1392" t="n"/>
      <c r="BW1685" s="1392" t="n"/>
      <c r="BX1685" s="1392" t="n"/>
      <c r="BY1685" s="1392" t="n"/>
      <c r="BZ1685" s="1392" t="n"/>
      <c r="CA1685" s="1392" t="n"/>
      <c r="CB1685" s="1392" t="n"/>
      <c r="CC1685" s="1392" t="n"/>
      <c r="CD1685" s="1392" t="n"/>
      <c r="CE1685" s="1392" t="n"/>
      <c r="CF1685" s="1392" t="n"/>
      <c r="CG1685" s="1392" t="n"/>
      <c r="CH1685" s="1392" t="n"/>
      <c r="CI1685" s="1392" t="n"/>
      <c r="CJ1685" s="1392" t="n"/>
      <c r="CK1685" s="1392" t="n"/>
      <c r="CL1685" s="1392" t="n"/>
    </row>
    <row r="1686">
      <c r="A1686" s="5" t="inlineStr">
        <is>
          <t>.</t>
        </is>
      </c>
      <c r="B1686" s="5" t="inlineStr">
        <is>
          <t>.</t>
        </is>
      </c>
      <c r="C1686" s="1378">
        <f>IF(raw[[#This Row],[city]]="","-",IF(raw[[#This Row],[city]]="TODAY","-",C1685+1))</f>
        <v/>
      </c>
      <c r="D1686" s="1393" t="inlineStr">
        <is>
          <t>Montreal</t>
        </is>
      </c>
      <c r="E1686" s="1394" t="n">
        <v>45047</v>
      </c>
      <c r="F1686" s="1394" t="n">
        <v>45078</v>
      </c>
      <c r="G1686" s="1393" t="inlineStr">
        <is>
          <t>-</t>
        </is>
      </c>
      <c r="H1686" s="1393" t="inlineStr">
        <is>
          <t>Marie-Victorin</t>
        </is>
      </c>
      <c r="I1686" s="1393" t="inlineStr">
        <is>
          <t>-</t>
        </is>
      </c>
      <c r="J1686" s="1393" t="inlineStr">
        <is>
          <t>-</t>
        </is>
      </c>
      <c r="K1686" s="1395">
        <f>IF(raw[[#This Row],[city]]&lt;&gt;"",_xlfn.XLOOKUP($D1686,ccc[city],ccc[prov],"-"),"-")</f>
        <v/>
      </c>
      <c r="L1686" s="1395">
        <f>IF(raw[[#This Row],[city]]&lt;&gt;"",_xlfn.XLOOKUP($D1686,ccc[city],ccc[ctry],"-"),"-")</f>
        <v/>
      </c>
      <c r="M1686" s="1395">
        <f>IF(raw[[#This Row],[city]]&lt;&gt;"",_xlfn.XLOOKUP($D1686,ccc[city],ccc[cont],"-"),"-")</f>
        <v/>
      </c>
      <c r="N1686" s="1396">
        <f>IF(raw[[#This Row],[city]]="","-",IF(raw[[#This Row],[cont]]="B",raw[[#This Row],[cont]],"W"))</f>
        <v/>
      </c>
      <c r="O1686" s="1397">
        <f>IF(raw[[#This Row],[out]]=0,0,IF(raw[[#This Row],[out]]=raw[[#This Row],[in]],0.01,raw[[#This Row],[out]]-raw[[#This Row],[in]]))</f>
        <v/>
      </c>
      <c r="P1686" s="1397">
        <f>IF(raw[[#This Row],[in]]=0,0,MONTH(raw[[#This Row],[in]]))</f>
        <v/>
      </c>
      <c r="Q1686" s="1397">
        <f>IF(raw[[#This Row],[in]]=0,0,YEAR(raw[[#This Row],[in]]))</f>
        <v/>
      </c>
      <c r="R1686" s="1397">
        <f>INT(raw[[#This Row],[yr]]/10)*10</f>
        <v/>
      </c>
      <c r="S1686" s="1395">
        <f>IF(raw[[#This Row],[city]]="","-",IF(raw[[#This Row],[city]]&lt;&gt;_xlfn.XLOOKUP(raw[[#This Row],[home]],homes[home],homes[city],"-"),1,0))</f>
        <v/>
      </c>
      <c r="T1686" s="1398" t="inlineStr">
        <is>
          <t>.</t>
        </is>
      </c>
      <c r="U1686" s="1399">
        <f>IF(raw[[#This Row],[wb]]="w",raw[[#This Row],[stay]]+U1685,U1685)</f>
        <v/>
      </c>
      <c r="V1686" s="1400">
        <f>IF(raw[[#This Row],[out]]=0,V1685,(raw[[#This Row],[out]]-E$5))</f>
        <v/>
      </c>
      <c r="W1686" s="1401">
        <f>U1686/V1686</f>
        <v/>
      </c>
      <c r="X1686" s="1392" t="n"/>
      <c r="Y1686" s="1392" t="n"/>
      <c r="Z1686" s="1392" t="n"/>
      <c r="AA1686" s="1392" t="n"/>
      <c r="AB1686" s="1392" t="n"/>
      <c r="AC1686" s="1392" t="n"/>
      <c r="AD1686" s="1392" t="n"/>
      <c r="AE1686" s="1392" t="n"/>
      <c r="AF1686" s="1392" t="n"/>
      <c r="AG1686" s="1392" t="n"/>
      <c r="AH1686" s="1392" t="n"/>
      <c r="AI1686" s="1392" t="n"/>
      <c r="AJ1686" s="1392" t="n"/>
      <c r="AK1686" s="1392" t="n"/>
      <c r="AL1686" s="1392" t="n"/>
      <c r="AM1686" s="1392" t="n"/>
      <c r="AN1686" s="1392" t="n"/>
      <c r="AO1686" s="1392" t="n"/>
      <c r="AP1686" s="1392" t="n"/>
      <c r="AQ1686" s="1392" t="n"/>
      <c r="AR1686" s="1422" t="n"/>
      <c r="AS1686" s="1422" t="n"/>
      <c r="AT1686" s="1392" t="n"/>
      <c r="AU1686" s="1392" t="n"/>
      <c r="AV1686" s="1392" t="n"/>
      <c r="AW1686" s="1392" t="n"/>
      <c r="AX1686" s="1392" t="n"/>
      <c r="AY1686" s="1392" t="n"/>
      <c r="AZ1686" s="1392" t="n"/>
      <c r="BA1686" s="1422" t="n"/>
      <c r="BB1686" s="1422" t="n"/>
      <c r="BC1686" s="1392" t="n"/>
      <c r="BD1686" s="1392" t="n"/>
      <c r="BE1686" s="1392" t="n"/>
      <c r="BF1686" s="1392" t="n"/>
      <c r="BG1686" s="1392" t="n"/>
      <c r="BH1686" s="1392" t="n"/>
      <c r="BI1686" s="1392" t="n"/>
      <c r="BJ1686" s="1392" t="n"/>
      <c r="BK1686" s="1392" t="n"/>
      <c r="BL1686" s="1392" t="n"/>
      <c r="BM1686" s="1392" t="n"/>
      <c r="BN1686" s="1392" t="n"/>
      <c r="BO1686" s="1392" t="n"/>
      <c r="BP1686" s="1392" t="n"/>
      <c r="BQ1686" s="1392" t="n"/>
      <c r="BR1686" s="1392" t="n"/>
      <c r="BS1686" s="1392" t="n"/>
      <c r="BT1686" s="1392" t="n"/>
      <c r="BU1686" s="1392" t="n"/>
      <c r="BV1686" s="1392" t="n"/>
      <c r="BW1686" s="1392" t="n"/>
      <c r="BX1686" s="1392" t="n"/>
      <c r="BY1686" s="1392" t="n"/>
      <c r="BZ1686" s="1392" t="n"/>
      <c r="CA1686" s="1392" t="n"/>
      <c r="CB1686" s="1392" t="n"/>
      <c r="CC1686" s="1392" t="n"/>
      <c r="CD1686" s="1392" t="n"/>
      <c r="CE1686" s="1392" t="n"/>
      <c r="CF1686" s="1392" t="n"/>
      <c r="CG1686" s="1392" t="n"/>
      <c r="CH1686" s="1392" t="n"/>
      <c r="CI1686" s="1392" t="n"/>
      <c r="CJ1686" s="1392" t="n"/>
      <c r="CK1686" s="1392" t="n"/>
      <c r="CL1686" s="1392" t="n"/>
    </row>
    <row r="1687">
      <c r="A1687" s="5" t="inlineStr">
        <is>
          <t>.</t>
        </is>
      </c>
      <c r="B1687" s="5" t="inlineStr">
        <is>
          <t>.</t>
        </is>
      </c>
      <c r="C1687" s="1378">
        <f>IF(raw[[#This Row],[city]]="","-",IF(raw[[#This Row],[city]]="TODAY","-",C1686+1))</f>
        <v/>
      </c>
      <c r="D1687" s="1393" t="inlineStr">
        <is>
          <t>Montreal</t>
        </is>
      </c>
      <c r="E1687" s="1394" t="n">
        <v>45078</v>
      </c>
      <c r="F1687" s="1394" t="n">
        <v>45108</v>
      </c>
      <c r="G1687" s="1393" t="inlineStr">
        <is>
          <t>-</t>
        </is>
      </c>
      <c r="H1687" s="1393" t="inlineStr">
        <is>
          <t>Marie-Victorin</t>
        </is>
      </c>
      <c r="I1687" s="1393" t="inlineStr">
        <is>
          <t>-</t>
        </is>
      </c>
      <c r="J1687" s="1393" t="inlineStr">
        <is>
          <t>-</t>
        </is>
      </c>
      <c r="K1687" s="1395">
        <f>IF(raw[[#This Row],[city]]&lt;&gt;"",_xlfn.XLOOKUP($D1687,ccc[city],ccc[prov],"-"),"-")</f>
        <v/>
      </c>
      <c r="L1687" s="1395">
        <f>IF(raw[[#This Row],[city]]&lt;&gt;"",_xlfn.XLOOKUP($D1687,ccc[city],ccc[ctry],"-"),"-")</f>
        <v/>
      </c>
      <c r="M1687" s="1395">
        <f>IF(raw[[#This Row],[city]]&lt;&gt;"",_xlfn.XLOOKUP($D1687,ccc[city],ccc[cont],"-"),"-")</f>
        <v/>
      </c>
      <c r="N1687" s="1396">
        <f>IF(raw[[#This Row],[city]]="","-",IF(raw[[#This Row],[cont]]="B",raw[[#This Row],[cont]],"W"))</f>
        <v/>
      </c>
      <c r="O1687" s="1397">
        <f>IF(raw[[#This Row],[out]]=0,0,IF(raw[[#This Row],[out]]=raw[[#This Row],[in]],0.01,raw[[#This Row],[out]]-raw[[#This Row],[in]]))</f>
        <v/>
      </c>
      <c r="P1687" s="1397">
        <f>IF(raw[[#This Row],[in]]=0,0,MONTH(raw[[#This Row],[in]]))</f>
        <v/>
      </c>
      <c r="Q1687" s="1397">
        <f>IF(raw[[#This Row],[in]]=0,0,YEAR(raw[[#This Row],[in]]))</f>
        <v/>
      </c>
      <c r="R1687" s="1397">
        <f>INT(raw[[#This Row],[yr]]/10)*10</f>
        <v/>
      </c>
      <c r="S1687" s="1395">
        <f>IF(raw[[#This Row],[city]]="","-",IF(raw[[#This Row],[city]]&lt;&gt;_xlfn.XLOOKUP(raw[[#This Row],[home]],homes[home],homes[city],"-"),1,0))</f>
        <v/>
      </c>
      <c r="T1687" s="1398" t="inlineStr">
        <is>
          <t>.</t>
        </is>
      </c>
      <c r="U1687" s="1399">
        <f>IF(raw[[#This Row],[wb]]="w",raw[[#This Row],[stay]]+U1686,U1686)</f>
        <v/>
      </c>
      <c r="V1687" s="1400">
        <f>IF(raw[[#This Row],[out]]=0,V1686,(raw[[#This Row],[out]]-E$5))</f>
        <v/>
      </c>
      <c r="W1687" s="1401">
        <f>U1687/V1687</f>
        <v/>
      </c>
      <c r="X1687" s="1392" t="n"/>
      <c r="Y1687" s="1392" t="n"/>
      <c r="Z1687" s="1392" t="n"/>
      <c r="AA1687" s="1392" t="n"/>
      <c r="AB1687" s="1392" t="n"/>
      <c r="AC1687" s="1392" t="n"/>
      <c r="AD1687" s="1392" t="n"/>
      <c r="AE1687" s="1392" t="n"/>
      <c r="AF1687" s="1392" t="n"/>
      <c r="AG1687" s="1392" t="n"/>
      <c r="AH1687" s="1392" t="n"/>
      <c r="AI1687" s="1392" t="n"/>
      <c r="AJ1687" s="1392" t="n"/>
      <c r="AK1687" s="1392" t="n"/>
      <c r="AL1687" s="1392" t="n"/>
      <c r="AM1687" s="1392" t="n"/>
      <c r="AN1687" s="1392" t="n"/>
      <c r="AO1687" s="1392" t="n"/>
      <c r="AP1687" s="1392" t="n"/>
      <c r="AQ1687" s="1392" t="n"/>
      <c r="AR1687" s="1422" t="n"/>
      <c r="AS1687" s="1422" t="n"/>
      <c r="AT1687" s="1392" t="n"/>
      <c r="AU1687" s="1392" t="n"/>
      <c r="AV1687" s="1392" t="n"/>
      <c r="AW1687" s="1392" t="n"/>
      <c r="AX1687" s="1392" t="n"/>
      <c r="AY1687" s="1392" t="n"/>
      <c r="AZ1687" s="1392" t="n"/>
      <c r="BA1687" s="1422" t="n"/>
      <c r="BB1687" s="1422" t="n"/>
      <c r="BC1687" s="1392" t="n"/>
      <c r="BD1687" s="1392" t="n"/>
      <c r="BE1687" s="1392" t="n"/>
      <c r="BF1687" s="1392" t="n"/>
      <c r="BG1687" s="1392" t="n"/>
      <c r="BH1687" s="1392" t="n"/>
      <c r="BI1687" s="1392" t="n"/>
      <c r="BJ1687" s="1392" t="n"/>
      <c r="BK1687" s="1392" t="n"/>
      <c r="BL1687" s="1392" t="n"/>
      <c r="BM1687" s="1392" t="n"/>
      <c r="BN1687" s="1392" t="n"/>
      <c r="BO1687" s="1392" t="n"/>
      <c r="BP1687" s="1392" t="n"/>
      <c r="BQ1687" s="1392" t="n"/>
      <c r="BR1687" s="1392" t="n"/>
      <c r="BS1687" s="1392" t="n"/>
      <c r="BT1687" s="1392" t="n"/>
      <c r="BU1687" s="1392" t="n"/>
      <c r="BV1687" s="1392" t="n"/>
      <c r="BW1687" s="1392" t="n"/>
      <c r="BX1687" s="1392" t="n"/>
      <c r="BY1687" s="1392" t="n"/>
      <c r="BZ1687" s="1392" t="n"/>
      <c r="CA1687" s="1392" t="n"/>
      <c r="CB1687" s="1392" t="n"/>
      <c r="CC1687" s="1392" t="n"/>
      <c r="CD1687" s="1392" t="n"/>
      <c r="CE1687" s="1392" t="n"/>
      <c r="CF1687" s="1392" t="n"/>
      <c r="CG1687" s="1392" t="n"/>
      <c r="CH1687" s="1392" t="n"/>
      <c r="CI1687" s="1392" t="n"/>
      <c r="CJ1687" s="1392" t="n"/>
      <c r="CK1687" s="1392" t="n"/>
      <c r="CL1687" s="1392" t="n"/>
    </row>
    <row r="1688">
      <c r="A1688" s="5" t="inlineStr">
        <is>
          <t>.</t>
        </is>
      </c>
      <c r="B1688" s="5" t="inlineStr">
        <is>
          <t>.</t>
        </is>
      </c>
      <c r="C1688" s="1378">
        <f>IF(raw[[#This Row],[city]]="","-",IF(raw[[#This Row],[city]]="TODAY","-",C1687+1))</f>
        <v/>
      </c>
      <c r="D1688" s="1393" t="inlineStr">
        <is>
          <t>Montreal</t>
        </is>
      </c>
      <c r="E1688" s="1394" t="n">
        <v>45108</v>
      </c>
      <c r="F1688" s="1394" t="n">
        <v>45119</v>
      </c>
      <c r="G1688" s="1393" t="n">
        <v>1</v>
      </c>
      <c r="H1688" s="1393" t="inlineStr">
        <is>
          <t>Marie-Victorin</t>
        </is>
      </c>
      <c r="I1688" s="1393" t="inlineStr">
        <is>
          <t>-</t>
        </is>
      </c>
      <c r="J1688" s="1393" t="inlineStr">
        <is>
          <t>-</t>
        </is>
      </c>
      <c r="K1688" s="1395">
        <f>IF(raw[[#This Row],[city]]&lt;&gt;"",_xlfn.XLOOKUP($D1688,ccc[city],ccc[prov],"-"),"-")</f>
        <v/>
      </c>
      <c r="L1688" s="1395">
        <f>IF(raw[[#This Row],[city]]&lt;&gt;"",_xlfn.XLOOKUP($D1688,ccc[city],ccc[ctry],"-"),"-")</f>
        <v/>
      </c>
      <c r="M1688" s="1395">
        <f>IF(raw[[#This Row],[city]]&lt;&gt;"",_xlfn.XLOOKUP($D1688,ccc[city],ccc[cont],"-"),"-")</f>
        <v/>
      </c>
      <c r="N1688" s="1396">
        <f>IF(raw[[#This Row],[city]]="","-",IF(raw[[#This Row],[cont]]="B",raw[[#This Row],[cont]],"W"))</f>
        <v/>
      </c>
      <c r="O1688" s="1397">
        <f>IF(raw[[#This Row],[out]]=0,0,IF(raw[[#This Row],[out]]=raw[[#This Row],[in]],0.01,raw[[#This Row],[out]]-raw[[#This Row],[in]]))</f>
        <v/>
      </c>
      <c r="P1688" s="1397">
        <f>IF(raw[[#This Row],[in]]=0,0,MONTH(raw[[#This Row],[in]]))</f>
        <v/>
      </c>
      <c r="Q1688" s="1397">
        <f>IF(raw[[#This Row],[in]]=0,0,YEAR(raw[[#This Row],[in]]))</f>
        <v/>
      </c>
      <c r="R1688" s="1397">
        <f>INT(raw[[#This Row],[yr]]/10)*10</f>
        <v/>
      </c>
      <c r="S1688" s="1395">
        <f>IF(raw[[#This Row],[city]]="","-",IF(raw[[#This Row],[city]]&lt;&gt;_xlfn.XLOOKUP(raw[[#This Row],[home]],homes[home],homes[city],"-"),1,0))</f>
        <v/>
      </c>
      <c r="T1688" s="1398" t="inlineStr">
        <is>
          <t>.</t>
        </is>
      </c>
      <c r="U1688" s="1399">
        <f>IF(raw[[#This Row],[wb]]="w",raw[[#This Row],[stay]]+U1687,U1687)</f>
        <v/>
      </c>
      <c r="V1688" s="1400">
        <f>IF(raw[[#This Row],[out]]=0,V1687,(raw[[#This Row],[out]]-E$5))</f>
        <v/>
      </c>
      <c r="W1688" s="1401">
        <f>U1688/V1688</f>
        <v/>
      </c>
      <c r="X1688" s="1392" t="n"/>
      <c r="Y1688" s="1392" t="n"/>
      <c r="Z1688" s="1392" t="n"/>
      <c r="AA1688" s="1392" t="n"/>
      <c r="AB1688" s="1392" t="n"/>
      <c r="AC1688" s="1392" t="n"/>
      <c r="AD1688" s="1392" t="n"/>
      <c r="AE1688" s="1392" t="n"/>
      <c r="AF1688" s="1392" t="n"/>
      <c r="AG1688" s="1392" t="n"/>
      <c r="AH1688" s="1392" t="n"/>
      <c r="AI1688" s="1392" t="n"/>
      <c r="AJ1688" s="1392" t="n"/>
      <c r="AK1688" s="1392" t="n"/>
      <c r="AL1688" s="1392" t="n"/>
      <c r="AM1688" s="1392" t="n"/>
      <c r="AN1688" s="1392" t="n"/>
      <c r="AO1688" s="1392" t="n"/>
      <c r="AP1688" s="1392" t="n"/>
      <c r="AQ1688" s="1392" t="n"/>
      <c r="AR1688" s="1422" t="n"/>
      <c r="AS1688" s="1422" t="n"/>
      <c r="AT1688" s="1392" t="n"/>
      <c r="AU1688" s="1392" t="n"/>
      <c r="AV1688" s="1392" t="n"/>
      <c r="AW1688" s="1392" t="n"/>
      <c r="AX1688" s="1392" t="n"/>
      <c r="AY1688" s="1392" t="n"/>
      <c r="AZ1688" s="1392" t="n"/>
      <c r="BA1688" s="1422" t="n"/>
      <c r="BB1688" s="1422" t="n"/>
      <c r="BC1688" s="1392" t="n"/>
      <c r="BD1688" s="1392" t="n"/>
      <c r="BE1688" s="1392" t="n"/>
      <c r="BF1688" s="1392" t="n"/>
      <c r="BG1688" s="1392" t="n"/>
      <c r="BH1688" s="1392" t="n"/>
      <c r="BI1688" s="1392" t="n"/>
      <c r="BJ1688" s="1392" t="n"/>
      <c r="BK1688" s="1392" t="n"/>
      <c r="BL1688" s="1392" t="n"/>
      <c r="BM1688" s="1392" t="n"/>
      <c r="BN1688" s="1392" t="n"/>
      <c r="BO1688" s="1392" t="n"/>
      <c r="BP1688" s="1392" t="n"/>
      <c r="BQ1688" s="1392" t="n"/>
      <c r="BR1688" s="1392" t="n"/>
      <c r="BS1688" s="1392" t="n"/>
      <c r="BT1688" s="1392" t="n"/>
      <c r="BU1688" s="1392" t="n"/>
      <c r="BV1688" s="1392" t="n"/>
      <c r="BW1688" s="1392" t="n"/>
      <c r="BX1688" s="1392" t="n"/>
      <c r="BY1688" s="1392" t="n"/>
      <c r="BZ1688" s="1392" t="n"/>
      <c r="CA1688" s="1392" t="n"/>
      <c r="CB1688" s="1392" t="n"/>
      <c r="CC1688" s="1392" t="n"/>
      <c r="CD1688" s="1392" t="n"/>
      <c r="CE1688" s="1392" t="n"/>
      <c r="CF1688" s="1392" t="n"/>
      <c r="CG1688" s="1392" t="n"/>
      <c r="CH1688" s="1392" t="n"/>
      <c r="CI1688" s="1392" t="n"/>
      <c r="CJ1688" s="1392" t="n"/>
      <c r="CK1688" s="1392" t="n"/>
      <c r="CL1688" s="1392" t="n"/>
    </row>
    <row r="1689">
      <c r="A1689" s="5" t="inlineStr">
        <is>
          <t>.</t>
        </is>
      </c>
      <c r="B1689" s="5" t="inlineStr">
        <is>
          <t>.</t>
        </is>
      </c>
      <c r="C1689" s="1378">
        <f>IF(raw[[#This Row],[city]]="","-",IF(raw[[#This Row],[city]]="TODAY","-",C1688+1))</f>
        <v/>
      </c>
      <c r="D1689" s="1393" t="inlineStr">
        <is>
          <t>AIR</t>
        </is>
      </c>
      <c r="E1689" s="1394" t="n">
        <v>45119</v>
      </c>
      <c r="F1689" s="1394" t="n">
        <v>45120</v>
      </c>
      <c r="G1689" s="1393" t="inlineStr">
        <is>
          <t>x</t>
        </is>
      </c>
      <c r="H1689" s="1393" t="inlineStr">
        <is>
          <t>Marie-Victorin</t>
        </is>
      </c>
      <c r="I1689" s="1393" t="inlineStr">
        <is>
          <t>-</t>
        </is>
      </c>
      <c r="J1689" s="1393" t="inlineStr">
        <is>
          <t>-</t>
        </is>
      </c>
      <c r="K1689" s="1395">
        <f>IF(raw[[#This Row],[city]]&lt;&gt;"",_xlfn.XLOOKUP($D1689,ccc[city],ccc[prov],"-"),"-")</f>
        <v/>
      </c>
      <c r="L1689" s="1395">
        <f>IF(raw[[#This Row],[city]]&lt;&gt;"",_xlfn.XLOOKUP($D1689,ccc[city],ccc[ctry],"-"),"-")</f>
        <v/>
      </c>
      <c r="M1689" s="1395">
        <f>IF(raw[[#This Row],[city]]&lt;&gt;"",_xlfn.XLOOKUP($D1689,ccc[city],ccc[cont],"-"),"-")</f>
        <v/>
      </c>
      <c r="N1689" s="1396">
        <f>IF(raw[[#This Row],[city]]="","-",IF(raw[[#This Row],[cont]]="B",raw[[#This Row],[cont]],"W"))</f>
        <v/>
      </c>
      <c r="O1689" s="1397">
        <f>IF(raw[[#This Row],[out]]=0,0,IF(raw[[#This Row],[out]]=raw[[#This Row],[in]],0.01,raw[[#This Row],[out]]-raw[[#This Row],[in]]))</f>
        <v/>
      </c>
      <c r="P1689" s="1397">
        <f>IF(raw[[#This Row],[in]]=0,0,MONTH(raw[[#This Row],[in]]))</f>
        <v/>
      </c>
      <c r="Q1689" s="1397">
        <f>IF(raw[[#This Row],[in]]=0,0,YEAR(raw[[#This Row],[in]]))</f>
        <v/>
      </c>
      <c r="R1689" s="1397">
        <f>INT(raw[[#This Row],[yr]]/10)*10</f>
        <v/>
      </c>
      <c r="S1689" s="1395">
        <f>IF(raw[[#This Row],[city]]="","-",IF(raw[[#This Row],[city]]&lt;&gt;_xlfn.XLOOKUP(raw[[#This Row],[home]],homes[home],homes[city],"-"),1,0))</f>
        <v/>
      </c>
      <c r="T1689" s="1398" t="inlineStr">
        <is>
          <t>.</t>
        </is>
      </c>
      <c r="U1689" s="1399">
        <f>IF(raw[[#This Row],[wb]]="w",raw[[#This Row],[stay]]+U1688,U1688)</f>
        <v/>
      </c>
      <c r="V1689" s="1400">
        <f>IF(raw[[#This Row],[out]]=0,V1688,(raw[[#This Row],[out]]-E$5))</f>
        <v/>
      </c>
      <c r="W1689" s="1401">
        <f>U1689/V1689</f>
        <v/>
      </c>
      <c r="X1689" s="1392" t="n"/>
      <c r="Y1689" s="1392" t="n"/>
      <c r="Z1689" s="1392" t="n"/>
      <c r="AA1689" s="1392" t="n"/>
      <c r="AB1689" s="1392" t="n"/>
      <c r="AC1689" s="1392" t="n"/>
      <c r="AD1689" s="1392" t="n"/>
      <c r="AE1689" s="1392" t="n"/>
      <c r="AF1689" s="1392" t="n"/>
      <c r="AG1689" s="1392" t="n"/>
      <c r="AH1689" s="1392" t="n"/>
      <c r="AI1689" s="1392" t="n"/>
      <c r="AJ1689" s="1392" t="n"/>
      <c r="AK1689" s="1392" t="n"/>
      <c r="AL1689" s="1392" t="n"/>
      <c r="AM1689" s="1392" t="n"/>
      <c r="AN1689" s="1392" t="n"/>
      <c r="AO1689" s="1392" t="n"/>
      <c r="AP1689" s="1392" t="n"/>
      <c r="AQ1689" s="1392" t="n"/>
      <c r="AR1689" s="1422" t="n"/>
      <c r="AS1689" s="1422" t="n"/>
      <c r="AT1689" s="1392" t="n"/>
      <c r="AU1689" s="1392" t="n"/>
      <c r="AV1689" s="1392" t="n"/>
      <c r="AW1689" s="1392" t="n"/>
      <c r="AX1689" s="1392" t="n"/>
      <c r="AY1689" s="1392" t="n"/>
      <c r="AZ1689" s="1392" t="n"/>
      <c r="BA1689" s="1422" t="n"/>
      <c r="BB1689" s="1422" t="n"/>
      <c r="BC1689" s="1392" t="n"/>
      <c r="BD1689" s="1392" t="n"/>
      <c r="BE1689" s="1392" t="n"/>
      <c r="BF1689" s="1392" t="n"/>
      <c r="BG1689" s="1392" t="n"/>
      <c r="BH1689" s="1392" t="n"/>
      <c r="BI1689" s="1392" t="n"/>
      <c r="BJ1689" s="1392" t="n"/>
      <c r="BK1689" s="1392" t="n"/>
      <c r="BL1689" s="1392" t="n"/>
      <c r="BM1689" s="1392" t="n"/>
      <c r="BN1689" s="1392" t="n"/>
      <c r="BO1689" s="1392" t="n"/>
      <c r="BP1689" s="1392" t="n"/>
      <c r="BQ1689" s="1392" t="n"/>
      <c r="BR1689" s="1392" t="n"/>
      <c r="BS1689" s="1392" t="n"/>
      <c r="BT1689" s="1392" t="n"/>
      <c r="BU1689" s="1392" t="n"/>
      <c r="BV1689" s="1392" t="n"/>
      <c r="BW1689" s="1392" t="n"/>
      <c r="BX1689" s="1392" t="n"/>
      <c r="BY1689" s="1392" t="n"/>
      <c r="BZ1689" s="1392" t="n"/>
      <c r="CA1689" s="1392" t="n"/>
      <c r="CB1689" s="1392" t="n"/>
      <c r="CC1689" s="1392" t="n"/>
      <c r="CD1689" s="1392" t="n"/>
      <c r="CE1689" s="1392" t="n"/>
      <c r="CF1689" s="1392" t="n"/>
      <c r="CG1689" s="1392" t="n"/>
      <c r="CH1689" s="1392" t="n"/>
      <c r="CI1689" s="1392" t="n"/>
      <c r="CJ1689" s="1392" t="n"/>
      <c r="CK1689" s="1392" t="n"/>
      <c r="CL1689" s="1392" t="n"/>
    </row>
    <row r="1690">
      <c r="A1690" s="5" t="inlineStr">
        <is>
          <t>.</t>
        </is>
      </c>
      <c r="B1690" s="5" t="inlineStr">
        <is>
          <t>.</t>
        </is>
      </c>
      <c r="C1690" s="1378">
        <f>IF(raw[[#This Row],[city]]="","-",IF(raw[[#This Row],[city]]="TODAY","-",C1689+1))</f>
        <v/>
      </c>
      <c r="D1690" s="1393" t="inlineStr">
        <is>
          <t>Lisbon</t>
        </is>
      </c>
      <c r="E1690" s="1394" t="n">
        <v>45120</v>
      </c>
      <c r="F1690" s="1394" t="n">
        <v>45120</v>
      </c>
      <c r="G1690" s="1393" t="n">
        <v>0.01</v>
      </c>
      <c r="H1690" s="1393" t="inlineStr">
        <is>
          <t>Marie-Victorin</t>
        </is>
      </c>
      <c r="I1690" s="1393" t="inlineStr">
        <is>
          <t>-</t>
        </is>
      </c>
      <c r="J1690" s="1393" t="inlineStr">
        <is>
          <t>-</t>
        </is>
      </c>
      <c r="K1690" s="1395">
        <f>IF(raw[[#This Row],[city]]&lt;&gt;"",_xlfn.XLOOKUP($D1690,ccc[city],ccc[prov],"-"),"-")</f>
        <v/>
      </c>
      <c r="L1690" s="1395">
        <f>IF(raw[[#This Row],[city]]&lt;&gt;"",_xlfn.XLOOKUP($D1690,ccc[city],ccc[ctry],"-"),"-")</f>
        <v/>
      </c>
      <c r="M1690" s="1395">
        <f>IF(raw[[#This Row],[city]]&lt;&gt;"",_xlfn.XLOOKUP($D1690,ccc[city],ccc[cont],"-"),"-")</f>
        <v/>
      </c>
      <c r="N1690" s="1396">
        <f>IF(raw[[#This Row],[city]]="","-",IF(raw[[#This Row],[cont]]="B",raw[[#This Row],[cont]],"W"))</f>
        <v/>
      </c>
      <c r="O1690" s="1397">
        <f>IF(raw[[#This Row],[out]]=0,0,IF(raw[[#This Row],[out]]=raw[[#This Row],[in]],0.01,raw[[#This Row],[out]]-raw[[#This Row],[in]]))</f>
        <v/>
      </c>
      <c r="P1690" s="1397">
        <f>IF(raw[[#This Row],[in]]=0,0,MONTH(raw[[#This Row],[in]]))</f>
        <v/>
      </c>
      <c r="Q1690" s="1397">
        <f>IF(raw[[#This Row],[in]]=0,0,YEAR(raw[[#This Row],[in]]))</f>
        <v/>
      </c>
      <c r="R1690" s="1397">
        <f>INT(raw[[#This Row],[yr]]/10)*10</f>
        <v/>
      </c>
      <c r="S1690" s="1395">
        <f>IF(raw[[#This Row],[city]]="","-",IF(raw[[#This Row],[city]]&lt;&gt;_xlfn.XLOOKUP(raw[[#This Row],[home]],homes[home],homes[city],"-"),1,0))</f>
        <v/>
      </c>
      <c r="T1690" s="1398" t="inlineStr">
        <is>
          <t>.</t>
        </is>
      </c>
      <c r="U1690" s="1399">
        <f>IF(raw[[#This Row],[wb]]="w",raw[[#This Row],[stay]]+U1689,U1689)</f>
        <v/>
      </c>
      <c r="V1690" s="1400">
        <f>IF(raw[[#This Row],[out]]=0,V1689,(raw[[#This Row],[out]]-E$5))</f>
        <v/>
      </c>
      <c r="W1690" s="1401">
        <f>U1690/V1690</f>
        <v/>
      </c>
      <c r="X1690" s="1392" t="n"/>
      <c r="Y1690" s="1392" t="n"/>
      <c r="Z1690" s="1392" t="n"/>
      <c r="AA1690" s="1392" t="n"/>
      <c r="AB1690" s="1392" t="n"/>
      <c r="AC1690" s="1392" t="n"/>
      <c r="AD1690" s="1392" t="n"/>
      <c r="AE1690" s="1392" t="n"/>
      <c r="AF1690" s="1392" t="n"/>
      <c r="AG1690" s="1392" t="n"/>
      <c r="AH1690" s="1392" t="n"/>
      <c r="AI1690" s="1392" t="n"/>
      <c r="AJ1690" s="1392" t="n"/>
      <c r="AK1690" s="1392" t="n"/>
      <c r="AL1690" s="1392" t="n"/>
      <c r="AM1690" s="1392" t="n"/>
      <c r="AN1690" s="1392" t="n"/>
      <c r="AO1690" s="1392" t="n"/>
      <c r="AP1690" s="1392" t="n"/>
      <c r="AQ1690" s="1392" t="n"/>
      <c r="AR1690" s="1422" t="n"/>
      <c r="AS1690" s="1422" t="n"/>
      <c r="AT1690" s="1392" t="n"/>
      <c r="AU1690" s="1392" t="n"/>
      <c r="AV1690" s="1392" t="n"/>
      <c r="AW1690" s="1392" t="n"/>
      <c r="AX1690" s="1392" t="n"/>
      <c r="AY1690" s="1392" t="n"/>
      <c r="AZ1690" s="1392" t="n"/>
      <c r="BA1690" s="1422" t="n"/>
      <c r="BB1690" s="1422" t="n"/>
      <c r="BC1690" s="1392" t="n"/>
      <c r="BD1690" s="1392" t="n"/>
      <c r="BE1690" s="1392" t="n"/>
      <c r="BF1690" s="1392" t="n"/>
      <c r="BG1690" s="1392" t="n"/>
      <c r="BH1690" s="1392" t="n"/>
      <c r="BI1690" s="1392" t="n"/>
      <c r="BJ1690" s="1392" t="n"/>
      <c r="BK1690" s="1392" t="n"/>
      <c r="BL1690" s="1392" t="n"/>
      <c r="BM1690" s="1392" t="n"/>
      <c r="BN1690" s="1392" t="n"/>
      <c r="BO1690" s="1392" t="n"/>
      <c r="BP1690" s="1392" t="n"/>
      <c r="BQ1690" s="1392" t="n"/>
      <c r="BR1690" s="1392" t="n"/>
      <c r="BS1690" s="1392" t="n"/>
      <c r="BT1690" s="1392" t="n"/>
      <c r="BU1690" s="1392" t="n"/>
      <c r="BV1690" s="1392" t="n"/>
      <c r="BW1690" s="1392" t="n"/>
      <c r="BX1690" s="1392" t="n"/>
      <c r="BY1690" s="1392" t="n"/>
      <c r="BZ1690" s="1392" t="n"/>
      <c r="CA1690" s="1392" t="n"/>
      <c r="CB1690" s="1392" t="n"/>
      <c r="CC1690" s="1392" t="n"/>
      <c r="CD1690" s="1392" t="n"/>
      <c r="CE1690" s="1392" t="n"/>
      <c r="CF1690" s="1392" t="n"/>
      <c r="CG1690" s="1392" t="n"/>
      <c r="CH1690" s="1392" t="n"/>
      <c r="CI1690" s="1392" t="n"/>
      <c r="CJ1690" s="1392" t="n"/>
      <c r="CK1690" s="1392" t="n"/>
      <c r="CL1690" s="1392" t="n"/>
    </row>
    <row r="1691">
      <c r="A1691" s="5" t="inlineStr">
        <is>
          <t>.</t>
        </is>
      </c>
      <c r="B1691" s="5" t="inlineStr">
        <is>
          <t>.</t>
        </is>
      </c>
      <c r="C1691" s="1378">
        <f>IF(raw[[#This Row],[city]]="","-",IF(raw[[#This Row],[city]]="TODAY","-",C1690+1))</f>
        <v/>
      </c>
      <c r="D1691" s="1393" t="inlineStr">
        <is>
          <t>Paris</t>
        </is>
      </c>
      <c r="E1691" s="1394" t="n">
        <v>45120</v>
      </c>
      <c r="F1691" s="1394" t="n">
        <v>45127</v>
      </c>
      <c r="G1691" s="1393" t="inlineStr">
        <is>
          <t>-</t>
        </is>
      </c>
      <c r="H1691" s="1393" t="inlineStr">
        <is>
          <t>Marie-Victorin</t>
        </is>
      </c>
      <c r="I1691" s="1393" t="inlineStr">
        <is>
          <t>-</t>
        </is>
      </c>
      <c r="J1691" s="1393" t="inlineStr">
        <is>
          <t>-</t>
        </is>
      </c>
      <c r="K1691" s="1395">
        <f>IF(raw[[#This Row],[city]]&lt;&gt;"",_xlfn.XLOOKUP($D1691,ccc[city],ccc[prov],"-"),"-")</f>
        <v/>
      </c>
      <c r="L1691" s="1395">
        <f>IF(raw[[#This Row],[city]]&lt;&gt;"",_xlfn.XLOOKUP($D1691,ccc[city],ccc[ctry],"-"),"-")</f>
        <v/>
      </c>
      <c r="M1691" s="1395">
        <f>IF(raw[[#This Row],[city]]&lt;&gt;"",_xlfn.XLOOKUP($D1691,ccc[city],ccc[cont],"-"),"-")</f>
        <v/>
      </c>
      <c r="N1691" s="1396">
        <f>IF(raw[[#This Row],[city]]="","-",IF(raw[[#This Row],[cont]]="B",raw[[#This Row],[cont]],"W"))</f>
        <v/>
      </c>
      <c r="O1691" s="1397">
        <f>IF(raw[[#This Row],[out]]=0,0,IF(raw[[#This Row],[out]]=raw[[#This Row],[in]],0.01,raw[[#This Row],[out]]-raw[[#This Row],[in]]))</f>
        <v/>
      </c>
      <c r="P1691" s="1397">
        <f>IF(raw[[#This Row],[in]]=0,0,MONTH(raw[[#This Row],[in]]))</f>
        <v/>
      </c>
      <c r="Q1691" s="1397">
        <f>IF(raw[[#This Row],[in]]=0,0,YEAR(raw[[#This Row],[in]]))</f>
        <v/>
      </c>
      <c r="R1691" s="1397">
        <f>INT(raw[[#This Row],[yr]]/10)*10</f>
        <v/>
      </c>
      <c r="S1691" s="1395">
        <f>IF(raw[[#This Row],[city]]="","-",IF(raw[[#This Row],[city]]&lt;&gt;_xlfn.XLOOKUP(raw[[#This Row],[home]],homes[home],homes[city],"-"),1,0))</f>
        <v/>
      </c>
      <c r="T1691" s="1398" t="inlineStr">
        <is>
          <t>.</t>
        </is>
      </c>
      <c r="U1691" s="1399">
        <f>IF(raw[[#This Row],[wb]]="w",raw[[#This Row],[stay]]+U1690,U1690)</f>
        <v/>
      </c>
      <c r="V1691" s="1400">
        <f>IF(raw[[#This Row],[out]]=0,V1690,(raw[[#This Row],[out]]-E$5))</f>
        <v/>
      </c>
      <c r="W1691" s="1401">
        <f>U1691/V1691</f>
        <v/>
      </c>
      <c r="X1691" s="1392" t="n"/>
      <c r="Y1691" s="1392" t="n"/>
      <c r="Z1691" s="1392" t="n"/>
      <c r="AA1691" s="1392" t="n"/>
      <c r="AB1691" s="1392" t="n"/>
      <c r="AC1691" s="1392" t="n"/>
      <c r="AD1691" s="1392" t="n"/>
      <c r="AE1691" s="1392" t="n"/>
      <c r="AF1691" s="1392" t="n"/>
      <c r="AG1691" s="1392" t="n"/>
      <c r="AH1691" s="1392" t="n"/>
      <c r="AI1691" s="1392" t="n"/>
      <c r="AJ1691" s="1392" t="n"/>
      <c r="AK1691" s="1392" t="n"/>
      <c r="AL1691" s="1392" t="n"/>
      <c r="AM1691" s="1392" t="n"/>
      <c r="AN1691" s="1392" t="n"/>
      <c r="AO1691" s="1392" t="n"/>
      <c r="AP1691" s="1392" t="n"/>
      <c r="AQ1691" s="1392" t="n"/>
      <c r="AR1691" s="1422" t="n"/>
      <c r="AS1691" s="1422" t="n"/>
      <c r="AT1691" s="1392" t="n"/>
      <c r="AU1691" s="1392" t="n"/>
      <c r="AV1691" s="1392" t="n"/>
      <c r="AW1691" s="1392" t="n"/>
      <c r="AX1691" s="1392" t="n"/>
      <c r="AY1691" s="1392" t="n"/>
      <c r="AZ1691" s="1392" t="n"/>
      <c r="BA1691" s="1422" t="n"/>
      <c r="BB1691" s="1422" t="n"/>
      <c r="BC1691" s="1392" t="n"/>
      <c r="BD1691" s="1392" t="n"/>
      <c r="BE1691" s="1392" t="n"/>
      <c r="BF1691" s="1392" t="n"/>
      <c r="BG1691" s="1392" t="n"/>
      <c r="BH1691" s="1392" t="n"/>
      <c r="BI1691" s="1392" t="n"/>
      <c r="BJ1691" s="1392" t="n"/>
      <c r="BK1691" s="1392" t="n"/>
      <c r="BL1691" s="1392" t="n"/>
      <c r="BM1691" s="1392" t="n"/>
      <c r="BN1691" s="1392" t="n"/>
      <c r="BO1691" s="1392" t="n"/>
      <c r="BP1691" s="1392" t="n"/>
      <c r="BQ1691" s="1392" t="n"/>
      <c r="BR1691" s="1392" t="n"/>
      <c r="BS1691" s="1392" t="n"/>
      <c r="BT1691" s="1392" t="n"/>
      <c r="BU1691" s="1392" t="n"/>
      <c r="BV1691" s="1392" t="n"/>
      <c r="BW1691" s="1392" t="n"/>
      <c r="BX1691" s="1392" t="n"/>
      <c r="BY1691" s="1392" t="n"/>
      <c r="BZ1691" s="1392" t="n"/>
      <c r="CA1691" s="1392" t="n"/>
      <c r="CB1691" s="1392" t="n"/>
      <c r="CC1691" s="1392" t="n"/>
      <c r="CD1691" s="1392" t="n"/>
      <c r="CE1691" s="1392" t="n"/>
      <c r="CF1691" s="1392" t="n"/>
      <c r="CG1691" s="1392" t="n"/>
      <c r="CH1691" s="1392" t="n"/>
      <c r="CI1691" s="1392" t="n"/>
      <c r="CJ1691" s="1392" t="n"/>
      <c r="CK1691" s="1392" t="n"/>
      <c r="CL1691" s="1392" t="n"/>
    </row>
    <row r="1692">
      <c r="A1692" s="5" t="inlineStr">
        <is>
          <t>.</t>
        </is>
      </c>
      <c r="B1692" s="5" t="inlineStr">
        <is>
          <t>.</t>
        </is>
      </c>
      <c r="C1692" s="1378">
        <f>IF(raw[[#This Row],[city]]="","-",IF(raw[[#This Row],[city]]="TODAY","-",C1691+1))</f>
        <v/>
      </c>
      <c r="D1692" s="1393" t="inlineStr">
        <is>
          <t>London</t>
        </is>
      </c>
      <c r="E1692" s="1394" t="n">
        <v>45127</v>
      </c>
      <c r="F1692" s="1394" t="n">
        <v>45133</v>
      </c>
      <c r="G1692" s="1393" t="inlineStr">
        <is>
          <t>-</t>
        </is>
      </c>
      <c r="H1692" s="1393" t="inlineStr">
        <is>
          <t>Marie-Victorin</t>
        </is>
      </c>
      <c r="I1692" s="1393" t="inlineStr">
        <is>
          <t>-</t>
        </is>
      </c>
      <c r="J1692" s="1393" t="inlineStr">
        <is>
          <t>-</t>
        </is>
      </c>
      <c r="K1692" s="1395">
        <f>IF(raw[[#This Row],[city]]&lt;&gt;"",_xlfn.XLOOKUP($D1692,ccc[city],ccc[prov],"-"),"-")</f>
        <v/>
      </c>
      <c r="L1692" s="1395">
        <f>IF(raw[[#This Row],[city]]&lt;&gt;"",_xlfn.XLOOKUP($D1692,ccc[city],ccc[ctry],"-"),"-")</f>
        <v/>
      </c>
      <c r="M1692" s="1395">
        <f>IF(raw[[#This Row],[city]]&lt;&gt;"",_xlfn.XLOOKUP($D1692,ccc[city],ccc[cont],"-"),"-")</f>
        <v/>
      </c>
      <c r="N1692" s="1396">
        <f>IF(raw[[#This Row],[city]]="","-",IF(raw[[#This Row],[cont]]="B",raw[[#This Row],[cont]],"W"))</f>
        <v/>
      </c>
      <c r="O1692" s="1397">
        <f>IF(raw[[#This Row],[out]]=0,0,IF(raw[[#This Row],[out]]=raw[[#This Row],[in]],0.01,raw[[#This Row],[out]]-raw[[#This Row],[in]]))</f>
        <v/>
      </c>
      <c r="P1692" s="1397">
        <f>IF(raw[[#This Row],[in]]=0,0,MONTH(raw[[#This Row],[in]]))</f>
        <v/>
      </c>
      <c r="Q1692" s="1397">
        <f>IF(raw[[#This Row],[in]]=0,0,YEAR(raw[[#This Row],[in]]))</f>
        <v/>
      </c>
      <c r="R1692" s="1397">
        <f>INT(raw[[#This Row],[yr]]/10)*10</f>
        <v/>
      </c>
      <c r="S1692" s="1395">
        <f>IF(raw[[#This Row],[city]]="","-",IF(raw[[#This Row],[city]]&lt;&gt;_xlfn.XLOOKUP(raw[[#This Row],[home]],homes[home],homes[city],"-"),1,0))</f>
        <v/>
      </c>
      <c r="T1692" s="1398" t="inlineStr">
        <is>
          <t>.</t>
        </is>
      </c>
      <c r="U1692" s="1399">
        <f>IF(raw[[#This Row],[wb]]="w",raw[[#This Row],[stay]]+U1691,U1691)</f>
        <v/>
      </c>
      <c r="V1692" s="1400">
        <f>IF(raw[[#This Row],[out]]=0,V1691,(raw[[#This Row],[out]]-E$5))</f>
        <v/>
      </c>
      <c r="W1692" s="1401">
        <f>U1692/V1692</f>
        <v/>
      </c>
      <c r="X1692" s="1392" t="n"/>
      <c r="Y1692" s="1392" t="n"/>
      <c r="Z1692" s="1392" t="n"/>
      <c r="AA1692" s="1392" t="n"/>
      <c r="AB1692" s="1392" t="n"/>
      <c r="AC1692" s="1392" t="n"/>
      <c r="AD1692" s="1392" t="n"/>
      <c r="AE1692" s="1392" t="n"/>
      <c r="AF1692" s="1392" t="n"/>
      <c r="AG1692" s="1392" t="n"/>
      <c r="AH1692" s="1392" t="n"/>
      <c r="AI1692" s="1392" t="n"/>
      <c r="AJ1692" s="1392" t="n"/>
      <c r="AK1692" s="1392" t="n"/>
      <c r="AL1692" s="1392" t="n"/>
      <c r="AM1692" s="1392" t="n"/>
      <c r="AN1692" s="1392" t="n"/>
      <c r="AO1692" s="1392" t="n"/>
      <c r="AP1692" s="1392" t="n"/>
      <c r="AQ1692" s="1392" t="n"/>
      <c r="AR1692" s="1422" t="n"/>
      <c r="AS1692" s="1422" t="n"/>
      <c r="AT1692" s="1392" t="n"/>
      <c r="AU1692" s="1392" t="n"/>
      <c r="AV1692" s="1392" t="n"/>
      <c r="AW1692" s="1392" t="n"/>
      <c r="AX1692" s="1392" t="n"/>
      <c r="AY1692" s="1392" t="n"/>
      <c r="AZ1692" s="1392" t="n"/>
      <c r="BA1692" s="1422" t="n"/>
      <c r="BB1692" s="1422" t="n"/>
      <c r="BC1692" s="1392" t="n"/>
      <c r="BD1692" s="1392" t="n"/>
      <c r="BE1692" s="1392" t="n"/>
      <c r="BF1692" s="1392" t="n"/>
      <c r="BG1692" s="1392" t="n"/>
      <c r="BH1692" s="1392" t="n"/>
      <c r="BI1692" s="1392" t="n"/>
      <c r="BJ1692" s="1392" t="n"/>
      <c r="BK1692" s="1392" t="n"/>
      <c r="BL1692" s="1392" t="n"/>
      <c r="BM1692" s="1392" t="n"/>
      <c r="BN1692" s="1392" t="n"/>
      <c r="BO1692" s="1392" t="n"/>
      <c r="BP1692" s="1392" t="n"/>
      <c r="BQ1692" s="1392" t="n"/>
      <c r="BR1692" s="1392" t="n"/>
      <c r="BS1692" s="1392" t="n"/>
      <c r="BT1692" s="1392" t="n"/>
      <c r="BU1692" s="1392" t="n"/>
      <c r="BV1692" s="1392" t="n"/>
      <c r="BW1692" s="1392" t="n"/>
      <c r="BX1692" s="1392" t="n"/>
      <c r="BY1692" s="1392" t="n"/>
      <c r="BZ1692" s="1392" t="n"/>
      <c r="CA1692" s="1392" t="n"/>
      <c r="CB1692" s="1392" t="n"/>
      <c r="CC1692" s="1392" t="n"/>
      <c r="CD1692" s="1392" t="n"/>
      <c r="CE1692" s="1392" t="n"/>
      <c r="CF1692" s="1392" t="n"/>
      <c r="CG1692" s="1392" t="n"/>
      <c r="CH1692" s="1392" t="n"/>
      <c r="CI1692" s="1392" t="n"/>
      <c r="CJ1692" s="1392" t="n"/>
      <c r="CK1692" s="1392" t="n"/>
      <c r="CL1692" s="1392" t="n"/>
    </row>
    <row r="1693">
      <c r="A1693" s="5" t="inlineStr">
        <is>
          <t>.</t>
        </is>
      </c>
      <c r="B1693" s="5" t="inlineStr">
        <is>
          <t>.</t>
        </is>
      </c>
      <c r="C1693" s="1378">
        <f>IF(raw[[#This Row],[city]]="","-",IF(raw[[#This Row],[city]]="TODAY","-",C1692+1))</f>
        <v/>
      </c>
      <c r="D1693" s="1393" t="inlineStr">
        <is>
          <t>Paris</t>
        </is>
      </c>
      <c r="E1693" s="1394" t="n">
        <v>45133</v>
      </c>
      <c r="F1693" s="1394" t="n">
        <v>45139</v>
      </c>
      <c r="G1693" s="1393" t="n">
        <v>1</v>
      </c>
      <c r="H1693" s="1393" t="inlineStr">
        <is>
          <t>Marie-Victorin</t>
        </is>
      </c>
      <c r="I1693" s="1393" t="inlineStr">
        <is>
          <t>-</t>
        </is>
      </c>
      <c r="J1693" s="1393" t="inlineStr">
        <is>
          <t>-</t>
        </is>
      </c>
      <c r="K1693" s="1395">
        <f>IF(raw[[#This Row],[city]]&lt;&gt;"",_xlfn.XLOOKUP($D1693,ccc[city],ccc[prov],"-"),"-")</f>
        <v/>
      </c>
      <c r="L1693" s="1395">
        <f>IF(raw[[#This Row],[city]]&lt;&gt;"",_xlfn.XLOOKUP($D1693,ccc[city],ccc[ctry],"-"),"-")</f>
        <v/>
      </c>
      <c r="M1693" s="1395">
        <f>IF(raw[[#This Row],[city]]&lt;&gt;"",_xlfn.XLOOKUP($D1693,ccc[city],ccc[cont],"-"),"-")</f>
        <v/>
      </c>
      <c r="N1693" s="1396">
        <f>IF(raw[[#This Row],[city]]="","-",IF(raw[[#This Row],[cont]]="B",raw[[#This Row],[cont]],"W"))</f>
        <v/>
      </c>
      <c r="O1693" s="1397">
        <f>IF(raw[[#This Row],[out]]=0,0,IF(raw[[#This Row],[out]]=raw[[#This Row],[in]],0.01,raw[[#This Row],[out]]-raw[[#This Row],[in]]))</f>
        <v/>
      </c>
      <c r="P1693" s="1397">
        <f>IF(raw[[#This Row],[in]]=0,0,MONTH(raw[[#This Row],[in]]))</f>
        <v/>
      </c>
      <c r="Q1693" s="1397">
        <f>IF(raw[[#This Row],[in]]=0,0,YEAR(raw[[#This Row],[in]]))</f>
        <v/>
      </c>
      <c r="R1693" s="1397">
        <f>INT(raw[[#This Row],[yr]]/10)*10</f>
        <v/>
      </c>
      <c r="S1693" s="1395">
        <f>IF(raw[[#This Row],[city]]="","-",IF(raw[[#This Row],[city]]&lt;&gt;_xlfn.XLOOKUP(raw[[#This Row],[home]],homes[home],homes[city],"-"),1,0))</f>
        <v/>
      </c>
      <c r="T1693" s="1398" t="inlineStr">
        <is>
          <t>.</t>
        </is>
      </c>
      <c r="U1693" s="1399">
        <f>IF(raw[[#This Row],[wb]]="w",raw[[#This Row],[stay]]+U1692,U1692)</f>
        <v/>
      </c>
      <c r="V1693" s="1400">
        <f>IF(raw[[#This Row],[out]]=0,V1692,(raw[[#This Row],[out]]-E$5))</f>
        <v/>
      </c>
      <c r="W1693" s="1401">
        <f>U1693/V1693</f>
        <v/>
      </c>
      <c r="X1693" s="1392" t="n"/>
      <c r="Y1693" s="1392" t="n"/>
      <c r="Z1693" s="1392" t="n"/>
      <c r="AA1693" s="1392" t="n"/>
      <c r="AB1693" s="1392" t="n"/>
      <c r="AC1693" s="1392" t="n"/>
      <c r="AD1693" s="1392" t="n"/>
      <c r="AE1693" s="1392" t="n"/>
      <c r="AF1693" s="1392" t="n"/>
      <c r="AG1693" s="1392" t="n"/>
      <c r="AH1693" s="1392" t="n"/>
      <c r="AI1693" s="1392" t="n"/>
      <c r="AJ1693" s="1392" t="n"/>
      <c r="AK1693" s="1392" t="n"/>
      <c r="AL1693" s="1392" t="n"/>
      <c r="AM1693" s="1392" t="n"/>
      <c r="AN1693" s="1392" t="n"/>
      <c r="AO1693" s="1392" t="n"/>
      <c r="AP1693" s="1392" t="n"/>
      <c r="AQ1693" s="1392" t="n"/>
      <c r="AR1693" s="1422" t="n"/>
      <c r="AS1693" s="1422" t="n"/>
      <c r="AT1693" s="1392" t="n"/>
      <c r="AU1693" s="1392" t="n"/>
      <c r="AV1693" s="1392" t="n"/>
      <c r="AW1693" s="1392" t="n"/>
      <c r="AX1693" s="1392" t="n"/>
      <c r="AY1693" s="1392" t="n"/>
      <c r="AZ1693" s="1392" t="n"/>
      <c r="BA1693" s="1422" t="n"/>
      <c r="BB1693" s="1422" t="n"/>
      <c r="BC1693" s="1392" t="n"/>
      <c r="BD1693" s="1392" t="n"/>
      <c r="BE1693" s="1392" t="n"/>
      <c r="BF1693" s="1392" t="n"/>
      <c r="BG1693" s="1392" t="n"/>
      <c r="BH1693" s="1392" t="n"/>
      <c r="BI1693" s="1392" t="n"/>
      <c r="BJ1693" s="1392" t="n"/>
      <c r="BK1693" s="1392" t="n"/>
      <c r="BL1693" s="1392" t="n"/>
      <c r="BM1693" s="1392" t="n"/>
      <c r="BN1693" s="1392" t="n"/>
      <c r="BO1693" s="1392" t="n"/>
      <c r="BP1693" s="1392" t="n"/>
      <c r="BQ1693" s="1392" t="n"/>
      <c r="BR1693" s="1392" t="n"/>
      <c r="BS1693" s="1392" t="n"/>
      <c r="BT1693" s="1392" t="n"/>
      <c r="BU1693" s="1392" t="n"/>
      <c r="BV1693" s="1392" t="n"/>
      <c r="BW1693" s="1392" t="n"/>
      <c r="BX1693" s="1392" t="n"/>
      <c r="BY1693" s="1392" t="n"/>
      <c r="BZ1693" s="1392" t="n"/>
      <c r="CA1693" s="1392" t="n"/>
      <c r="CB1693" s="1392" t="n"/>
      <c r="CC1693" s="1392" t="n"/>
      <c r="CD1693" s="1392" t="n"/>
      <c r="CE1693" s="1392" t="n"/>
      <c r="CF1693" s="1392" t="n"/>
      <c r="CG1693" s="1392" t="n"/>
      <c r="CH1693" s="1392" t="n"/>
      <c r="CI1693" s="1392" t="n"/>
      <c r="CJ1693" s="1392" t="n"/>
      <c r="CK1693" s="1392" t="n"/>
      <c r="CL1693" s="1392" t="n"/>
    </row>
    <row r="1694">
      <c r="A1694" s="5" t="inlineStr">
        <is>
          <t>.</t>
        </is>
      </c>
      <c r="B1694" s="5" t="inlineStr">
        <is>
          <t>.</t>
        </is>
      </c>
      <c r="C1694" s="1378">
        <f>IF(raw[[#This Row],[city]]="","-",IF(raw[[#This Row],[city]]="TODAY","-",C1693+1))</f>
        <v/>
      </c>
      <c r="D1694" s="1393" t="inlineStr">
        <is>
          <t>Lisbon</t>
        </is>
      </c>
      <c r="E1694" s="1394" t="n">
        <v>45139</v>
      </c>
      <c r="F1694" s="1394" t="n">
        <v>45139</v>
      </c>
      <c r="G1694" s="1393" t="n">
        <v>0.01</v>
      </c>
      <c r="H1694" s="1393" t="inlineStr">
        <is>
          <t>Marie-Victorin</t>
        </is>
      </c>
      <c r="I1694" s="1393" t="inlineStr">
        <is>
          <t>-</t>
        </is>
      </c>
      <c r="J1694" s="1393" t="inlineStr">
        <is>
          <t>-</t>
        </is>
      </c>
      <c r="K1694" s="1395">
        <f>IF(raw[[#This Row],[city]]&lt;&gt;"",_xlfn.XLOOKUP($D1694,ccc[city],ccc[prov],"-"),"-")</f>
        <v/>
      </c>
      <c r="L1694" s="1395">
        <f>IF(raw[[#This Row],[city]]&lt;&gt;"",_xlfn.XLOOKUP($D1694,ccc[city],ccc[ctry],"-"),"-")</f>
        <v/>
      </c>
      <c r="M1694" s="1395">
        <f>IF(raw[[#This Row],[city]]&lt;&gt;"",_xlfn.XLOOKUP($D1694,ccc[city],ccc[cont],"-"),"-")</f>
        <v/>
      </c>
      <c r="N1694" s="1396">
        <f>IF(raw[[#This Row],[city]]="","-",IF(raw[[#This Row],[cont]]="B",raw[[#This Row],[cont]],"W"))</f>
        <v/>
      </c>
      <c r="O1694" s="1397">
        <f>IF(raw[[#This Row],[out]]=0,0,IF(raw[[#This Row],[out]]=raw[[#This Row],[in]],0.01,raw[[#This Row],[out]]-raw[[#This Row],[in]]))</f>
        <v/>
      </c>
      <c r="P1694" s="1397">
        <f>IF(raw[[#This Row],[in]]=0,0,MONTH(raw[[#This Row],[in]]))</f>
        <v/>
      </c>
      <c r="Q1694" s="1397">
        <f>IF(raw[[#This Row],[in]]=0,0,YEAR(raw[[#This Row],[in]]))</f>
        <v/>
      </c>
      <c r="R1694" s="1397">
        <f>INT(raw[[#This Row],[yr]]/10)*10</f>
        <v/>
      </c>
      <c r="S1694" s="1395">
        <f>IF(raw[[#This Row],[city]]="","-",IF(raw[[#This Row],[city]]&lt;&gt;_xlfn.XLOOKUP(raw[[#This Row],[home]],homes[home],homes[city],"-"),1,0))</f>
        <v/>
      </c>
      <c r="T1694" s="1398" t="inlineStr">
        <is>
          <t>.</t>
        </is>
      </c>
      <c r="U1694" s="1399">
        <f>IF(raw[[#This Row],[wb]]="w",raw[[#This Row],[stay]]+U1693,U1693)</f>
        <v/>
      </c>
      <c r="V1694" s="1400">
        <f>IF(raw[[#This Row],[out]]=0,V1693,(raw[[#This Row],[out]]-E$5))</f>
        <v/>
      </c>
      <c r="W1694" s="1401">
        <f>U1694/V1694</f>
        <v/>
      </c>
      <c r="X1694" s="1392" t="n"/>
      <c r="Y1694" s="1392" t="n"/>
      <c r="Z1694" s="1392" t="n"/>
      <c r="AA1694" s="1392" t="n"/>
      <c r="AB1694" s="1392" t="n"/>
      <c r="AC1694" s="1392" t="n"/>
      <c r="AD1694" s="1392" t="n"/>
      <c r="AE1694" s="1392" t="n"/>
      <c r="AF1694" s="1392" t="n"/>
      <c r="AG1694" s="1392" t="n"/>
      <c r="AH1694" s="1392" t="n"/>
      <c r="AI1694" s="1392" t="n"/>
      <c r="AJ1694" s="1392" t="n"/>
      <c r="AK1694" s="1392" t="n"/>
      <c r="AL1694" s="1392" t="n"/>
      <c r="AM1694" s="1392" t="n"/>
      <c r="AN1694" s="1392" t="n"/>
      <c r="AO1694" s="1392" t="n"/>
      <c r="AP1694" s="1392" t="n"/>
      <c r="AQ1694" s="1392" t="n"/>
      <c r="AR1694" s="1422" t="n"/>
      <c r="AS1694" s="1422" t="n"/>
      <c r="AT1694" s="1392" t="n"/>
      <c r="AU1694" s="1392" t="n"/>
      <c r="AV1694" s="1392" t="n"/>
      <c r="AW1694" s="1392" t="n"/>
      <c r="AX1694" s="1392" t="n"/>
      <c r="AY1694" s="1392" t="n"/>
      <c r="AZ1694" s="1392" t="n"/>
      <c r="BA1694" s="1422" t="n"/>
      <c r="BB1694" s="1422" t="n"/>
      <c r="BC1694" s="1392" t="n"/>
      <c r="BD1694" s="1392" t="n"/>
      <c r="BE1694" s="1392" t="n"/>
      <c r="BF1694" s="1392" t="n"/>
      <c r="BG1694" s="1392" t="n"/>
      <c r="BH1694" s="1392" t="n"/>
      <c r="BI1694" s="1392" t="n"/>
      <c r="BJ1694" s="1392" t="n"/>
      <c r="BK1694" s="1392" t="n"/>
      <c r="BL1694" s="1392" t="n"/>
      <c r="BM1694" s="1392" t="n"/>
      <c r="BN1694" s="1392" t="n"/>
      <c r="BO1694" s="1392" t="n"/>
      <c r="BP1694" s="1392" t="n"/>
      <c r="BQ1694" s="1392" t="n"/>
      <c r="BR1694" s="1392" t="n"/>
      <c r="BS1694" s="1392" t="n"/>
      <c r="BT1694" s="1392" t="n"/>
      <c r="BU1694" s="1392" t="n"/>
      <c r="BV1694" s="1392" t="n"/>
      <c r="BW1694" s="1392" t="n"/>
      <c r="BX1694" s="1392" t="n"/>
      <c r="BY1694" s="1392" t="n"/>
      <c r="BZ1694" s="1392" t="n"/>
      <c r="CA1694" s="1392" t="n"/>
      <c r="CB1694" s="1392" t="n"/>
      <c r="CC1694" s="1392" t="n"/>
      <c r="CD1694" s="1392" t="n"/>
      <c r="CE1694" s="1392" t="n"/>
      <c r="CF1694" s="1392" t="n"/>
      <c r="CG1694" s="1392" t="n"/>
      <c r="CH1694" s="1392" t="n"/>
      <c r="CI1694" s="1392" t="n"/>
      <c r="CJ1694" s="1392" t="n"/>
      <c r="CK1694" s="1392" t="n"/>
      <c r="CL1694" s="1392" t="n"/>
    </row>
    <row r="1695">
      <c r="A1695" s="5" t="inlineStr">
        <is>
          <t>.</t>
        </is>
      </c>
      <c r="B1695" s="5" t="inlineStr">
        <is>
          <t>.</t>
        </is>
      </c>
      <c r="C1695" s="1378">
        <f>IF(raw[[#This Row],[city]]="","-",IF(raw[[#This Row],[city]]="TODAY","-",C1694+1))</f>
        <v/>
      </c>
      <c r="D1695" s="1393" t="inlineStr">
        <is>
          <t>SSA</t>
        </is>
      </c>
      <c r="E1695" s="1394" t="n">
        <v>45139</v>
      </c>
      <c r="F1695" s="1394" t="n">
        <v>45170</v>
      </c>
      <c r="G1695" s="1393" t="inlineStr">
        <is>
          <t>-</t>
        </is>
      </c>
      <c r="H1695" s="1393" t="inlineStr">
        <is>
          <t>Marie-Victorin</t>
        </is>
      </c>
      <c r="I1695" s="1393" t="inlineStr">
        <is>
          <t>Ondina</t>
        </is>
      </c>
      <c r="J1695" s="1393" t="inlineStr">
        <is>
          <t>BDAY</t>
        </is>
      </c>
      <c r="K1695" s="1395">
        <f>IF(raw[[#This Row],[city]]&lt;&gt;"",_xlfn.XLOOKUP($D1695,ccc[city],ccc[prov],"-"),"-")</f>
        <v/>
      </c>
      <c r="L1695" s="1395">
        <f>IF(raw[[#This Row],[city]]&lt;&gt;"",_xlfn.XLOOKUP($D1695,ccc[city],ccc[ctry],"-"),"-")</f>
        <v/>
      </c>
      <c r="M1695" s="1395">
        <f>IF(raw[[#This Row],[city]]&lt;&gt;"",_xlfn.XLOOKUP($D1695,ccc[city],ccc[cont],"-"),"-")</f>
        <v/>
      </c>
      <c r="N1695" s="1396">
        <f>IF(raw[[#This Row],[city]]="","-",IF(raw[[#This Row],[cont]]="B",raw[[#This Row],[cont]],"W"))</f>
        <v/>
      </c>
      <c r="O1695" s="1397">
        <f>IF(raw[[#This Row],[out]]=0,0,IF(raw[[#This Row],[out]]=raw[[#This Row],[in]],0.01,raw[[#This Row],[out]]-raw[[#This Row],[in]]))</f>
        <v/>
      </c>
      <c r="P1695" s="1397">
        <f>IF(raw[[#This Row],[in]]=0,0,MONTH(raw[[#This Row],[in]]))</f>
        <v/>
      </c>
      <c r="Q1695" s="1397">
        <f>IF(raw[[#This Row],[in]]=0,0,YEAR(raw[[#This Row],[in]]))</f>
        <v/>
      </c>
      <c r="R1695" s="1397">
        <f>INT(raw[[#This Row],[yr]]/10)*10</f>
        <v/>
      </c>
      <c r="S1695" s="1395">
        <f>IF(raw[[#This Row],[city]]="","-",IF(raw[[#This Row],[city]]&lt;&gt;_xlfn.XLOOKUP(raw[[#This Row],[home]],homes[home],homes[city],"-"),1,0))</f>
        <v/>
      </c>
      <c r="T1695" s="1398" t="inlineStr">
        <is>
          <t>.</t>
        </is>
      </c>
      <c r="U1695" s="1399">
        <f>IF(raw[[#This Row],[wb]]="w",raw[[#This Row],[stay]]+U1694,U1694)</f>
        <v/>
      </c>
      <c r="V1695" s="1400">
        <f>IF(raw[[#This Row],[out]]=0,V1694,(raw[[#This Row],[out]]-E$5))</f>
        <v/>
      </c>
      <c r="W1695" s="1401">
        <f>U1695/V1695</f>
        <v/>
      </c>
      <c r="X1695" s="1392" t="n"/>
      <c r="Y1695" s="1392" t="n"/>
      <c r="Z1695" s="1392" t="n"/>
      <c r="AA1695" s="1392" t="n"/>
      <c r="AB1695" s="1392" t="n"/>
      <c r="AC1695" s="1392" t="n"/>
      <c r="AD1695" s="1392" t="n"/>
      <c r="AE1695" s="1392" t="n"/>
      <c r="AF1695" s="1392" t="n"/>
      <c r="AG1695" s="1392" t="n"/>
      <c r="AH1695" s="1392" t="n"/>
      <c r="AI1695" s="1392" t="n"/>
      <c r="AJ1695" s="1392" t="n"/>
      <c r="AK1695" s="1392" t="n"/>
      <c r="AL1695" s="1392" t="n"/>
      <c r="AM1695" s="1392" t="n"/>
      <c r="AN1695" s="1392" t="n"/>
      <c r="AO1695" s="1392" t="n"/>
      <c r="AP1695" s="1392" t="n"/>
      <c r="AQ1695" s="1392" t="n"/>
      <c r="AR1695" s="1422" t="n"/>
      <c r="AS1695" s="1422" t="n"/>
      <c r="AT1695" s="1392" t="n"/>
      <c r="AU1695" s="1392" t="n"/>
      <c r="AV1695" s="1392" t="n"/>
      <c r="AW1695" s="1392" t="n"/>
      <c r="AX1695" s="1392" t="n"/>
      <c r="AY1695" s="1392" t="n"/>
      <c r="AZ1695" s="1392" t="n"/>
      <c r="BA1695" s="1422" t="n"/>
      <c r="BB1695" s="1422" t="n"/>
      <c r="BC1695" s="1392" t="n"/>
      <c r="BD1695" s="1392" t="n"/>
      <c r="BE1695" s="1392" t="n"/>
      <c r="BF1695" s="1392" t="n"/>
      <c r="BG1695" s="1392" t="n"/>
      <c r="BH1695" s="1392" t="n"/>
      <c r="BI1695" s="1392" t="n"/>
      <c r="BJ1695" s="1392" t="n"/>
      <c r="BK1695" s="1392" t="n"/>
      <c r="BL1695" s="1392" t="n"/>
      <c r="BM1695" s="1392" t="n"/>
      <c r="BN1695" s="1392" t="n"/>
      <c r="BO1695" s="1392" t="n"/>
      <c r="BP1695" s="1392" t="n"/>
      <c r="BQ1695" s="1392" t="n"/>
      <c r="BR1695" s="1392" t="n"/>
      <c r="BS1695" s="1392" t="n"/>
      <c r="BT1695" s="1392" t="n"/>
      <c r="BU1695" s="1392" t="n"/>
      <c r="BV1695" s="1392" t="n"/>
      <c r="BW1695" s="1392" t="n"/>
      <c r="BX1695" s="1392" t="n"/>
      <c r="BY1695" s="1392" t="n"/>
      <c r="BZ1695" s="1392" t="n"/>
      <c r="CA1695" s="1392" t="n"/>
      <c r="CB1695" s="1392" t="n"/>
      <c r="CC1695" s="1392" t="n"/>
      <c r="CD1695" s="1392" t="n"/>
      <c r="CE1695" s="1392" t="n"/>
      <c r="CF1695" s="1392" t="n"/>
      <c r="CG1695" s="1392" t="n"/>
      <c r="CH1695" s="1392" t="n"/>
      <c r="CI1695" s="1392" t="n"/>
      <c r="CJ1695" s="1392" t="n"/>
      <c r="CK1695" s="1392" t="n"/>
      <c r="CL1695" s="1392" t="n"/>
    </row>
    <row r="1696">
      <c r="A1696" s="5" t="inlineStr">
        <is>
          <t>.</t>
        </is>
      </c>
      <c r="B1696" s="5" t="inlineStr">
        <is>
          <t>.</t>
        </is>
      </c>
      <c r="C1696" s="1378">
        <f>IF(raw[[#This Row],[city]]="","-",IF(raw[[#This Row],[city]]="TODAY","-",C1695+1))</f>
        <v/>
      </c>
      <c r="D1696" s="1393" t="inlineStr">
        <is>
          <t>SSA</t>
        </is>
      </c>
      <c r="E1696" s="1394" t="n">
        <v>45170</v>
      </c>
      <c r="F1696" s="1394" t="n">
        <v>45173</v>
      </c>
      <c r="G1696" s="1393" t="n">
        <v>1</v>
      </c>
      <c r="H1696" s="1393" t="inlineStr">
        <is>
          <t>Marie-Victorin</t>
        </is>
      </c>
      <c r="I1696" s="1393" t="inlineStr">
        <is>
          <t>Ondina</t>
        </is>
      </c>
      <c r="J1696" s="1393" t="inlineStr">
        <is>
          <t>-</t>
        </is>
      </c>
      <c r="K1696" s="1395">
        <f>IF(raw[[#This Row],[city]]&lt;&gt;"",_xlfn.XLOOKUP($D1696,ccc[city],ccc[prov],"-"),"-")</f>
        <v/>
      </c>
      <c r="L1696" s="1395">
        <f>IF(raw[[#This Row],[city]]&lt;&gt;"",_xlfn.XLOOKUP($D1696,ccc[city],ccc[ctry],"-"),"-")</f>
        <v/>
      </c>
      <c r="M1696" s="1395">
        <f>IF(raw[[#This Row],[city]]&lt;&gt;"",_xlfn.XLOOKUP($D1696,ccc[city],ccc[cont],"-"),"-")</f>
        <v/>
      </c>
      <c r="N1696" s="1396">
        <f>IF(raw[[#This Row],[city]]="","-",IF(raw[[#This Row],[cont]]="B",raw[[#This Row],[cont]],"W"))</f>
        <v/>
      </c>
      <c r="O1696" s="1397">
        <f>IF(raw[[#This Row],[out]]=0,0,IF(raw[[#This Row],[out]]=raw[[#This Row],[in]],0.01,raw[[#This Row],[out]]-raw[[#This Row],[in]]))</f>
        <v/>
      </c>
      <c r="P1696" s="1397">
        <f>IF(raw[[#This Row],[in]]=0,0,MONTH(raw[[#This Row],[in]]))</f>
        <v/>
      </c>
      <c r="Q1696" s="1397">
        <f>IF(raw[[#This Row],[in]]=0,0,YEAR(raw[[#This Row],[in]]))</f>
        <v/>
      </c>
      <c r="R1696" s="1397">
        <f>INT(raw[[#This Row],[yr]]/10)*10</f>
        <v/>
      </c>
      <c r="S1696" s="1395">
        <f>IF(raw[[#This Row],[city]]="","-",IF(raw[[#This Row],[city]]&lt;&gt;_xlfn.XLOOKUP(raw[[#This Row],[home]],homes[home],homes[city],"-"),1,0))</f>
        <v/>
      </c>
      <c r="T1696" s="1398" t="inlineStr">
        <is>
          <t>.</t>
        </is>
      </c>
      <c r="U1696" s="1399">
        <f>IF(raw[[#This Row],[wb]]="w",raw[[#This Row],[stay]]+U1695,U1695)</f>
        <v/>
      </c>
      <c r="V1696" s="1400">
        <f>IF(raw[[#This Row],[out]]=0,V1695,(raw[[#This Row],[out]]-E$5))</f>
        <v/>
      </c>
      <c r="W1696" s="1401">
        <f>U1696/V1696</f>
        <v/>
      </c>
      <c r="X1696" s="1392" t="n"/>
      <c r="Y1696" s="1392" t="n"/>
      <c r="Z1696" s="1392" t="n"/>
      <c r="AA1696" s="1392" t="n"/>
      <c r="AB1696" s="1392" t="n"/>
      <c r="AC1696" s="1392" t="n"/>
      <c r="AD1696" s="1392" t="n"/>
      <c r="AE1696" s="1392" t="n"/>
      <c r="AF1696" s="1392" t="n"/>
      <c r="AG1696" s="1392" t="n"/>
      <c r="AH1696" s="1392" t="n"/>
      <c r="AI1696" s="1392" t="n"/>
      <c r="AJ1696" s="1392" t="n"/>
      <c r="AK1696" s="1392" t="n"/>
      <c r="AL1696" s="1392" t="n"/>
      <c r="AM1696" s="1392" t="n"/>
      <c r="AN1696" s="1392" t="n"/>
      <c r="AO1696" s="1392" t="n"/>
      <c r="AP1696" s="1392" t="n"/>
      <c r="AQ1696" s="1392" t="n"/>
      <c r="AR1696" s="1422" t="n"/>
      <c r="AS1696" s="1422" t="n"/>
      <c r="AT1696" s="1392" t="n"/>
      <c r="AU1696" s="1392" t="n"/>
      <c r="AV1696" s="1392" t="n"/>
      <c r="AW1696" s="1392" t="n"/>
      <c r="AX1696" s="1392" t="n"/>
      <c r="AY1696" s="1392" t="n"/>
      <c r="AZ1696" s="1392" t="n"/>
      <c r="BA1696" s="1422" t="n"/>
      <c r="BB1696" s="1422" t="n"/>
      <c r="BC1696" s="1392" t="n"/>
      <c r="BD1696" s="1392" t="n"/>
      <c r="BE1696" s="1392" t="n"/>
      <c r="BF1696" s="1392" t="n"/>
      <c r="BG1696" s="1392" t="n"/>
      <c r="BH1696" s="1392" t="n"/>
      <c r="BI1696" s="1392" t="n"/>
      <c r="BJ1696" s="1392" t="n"/>
      <c r="BK1696" s="1392" t="n"/>
      <c r="BL1696" s="1392" t="n"/>
      <c r="BM1696" s="1392" t="n"/>
      <c r="BN1696" s="1392" t="n"/>
      <c r="BO1696" s="1392" t="n"/>
      <c r="BP1696" s="1392" t="n"/>
      <c r="BQ1696" s="1392" t="n"/>
      <c r="BR1696" s="1392" t="n"/>
      <c r="BS1696" s="1392" t="n"/>
      <c r="BT1696" s="1392" t="n"/>
      <c r="BU1696" s="1392" t="n"/>
      <c r="BV1696" s="1392" t="n"/>
      <c r="BW1696" s="1392" t="n"/>
      <c r="BX1696" s="1392" t="n"/>
      <c r="BY1696" s="1392" t="n"/>
      <c r="BZ1696" s="1392" t="n"/>
      <c r="CA1696" s="1392" t="n"/>
      <c r="CB1696" s="1392" t="n"/>
      <c r="CC1696" s="1392" t="n"/>
      <c r="CD1696" s="1392" t="n"/>
      <c r="CE1696" s="1392" t="n"/>
      <c r="CF1696" s="1392" t="n"/>
      <c r="CG1696" s="1392" t="n"/>
      <c r="CH1696" s="1392" t="n"/>
      <c r="CI1696" s="1392" t="n"/>
      <c r="CJ1696" s="1392" t="n"/>
      <c r="CK1696" s="1392" t="n"/>
      <c r="CL1696" s="1392" t="n"/>
    </row>
    <row r="1697">
      <c r="A1697" s="5" t="inlineStr">
        <is>
          <t>.</t>
        </is>
      </c>
      <c r="B1697" s="5" t="inlineStr">
        <is>
          <t>.</t>
        </is>
      </c>
      <c r="C1697" s="1378">
        <f>IF(raw[[#This Row],[city]]="","-",IF(raw[[#This Row],[city]]="TODAY","-",C1696+1))</f>
        <v/>
      </c>
      <c r="D1697" s="1393" t="inlineStr">
        <is>
          <t>SP</t>
        </is>
      </c>
      <c r="E1697" s="1394" t="n">
        <v>45173</v>
      </c>
      <c r="F1697" s="1394" t="n">
        <v>45173</v>
      </c>
      <c r="G1697" s="1393" t="n">
        <v>0.01</v>
      </c>
      <c r="H1697" s="1393" t="inlineStr">
        <is>
          <t>Marie-Victorin</t>
        </is>
      </c>
      <c r="I1697" s="1393" t="inlineStr">
        <is>
          <t>-</t>
        </is>
      </c>
      <c r="J1697" s="1393" t="inlineStr">
        <is>
          <t>-</t>
        </is>
      </c>
      <c r="K1697" s="1395">
        <f>IF(raw[[#This Row],[city]]&lt;&gt;"",_xlfn.XLOOKUP($D1697,ccc[city],ccc[prov],"-"),"-")</f>
        <v/>
      </c>
      <c r="L1697" s="1395">
        <f>IF(raw[[#This Row],[city]]&lt;&gt;"",_xlfn.XLOOKUP($D1697,ccc[city],ccc[ctry],"-"),"-")</f>
        <v/>
      </c>
      <c r="M1697" s="1395">
        <f>IF(raw[[#This Row],[city]]&lt;&gt;"",_xlfn.XLOOKUP($D1697,ccc[city],ccc[cont],"-"),"-")</f>
        <v/>
      </c>
      <c r="N1697" s="1396">
        <f>IF(raw[[#This Row],[city]]="","-",IF(raw[[#This Row],[cont]]="B",raw[[#This Row],[cont]],"W"))</f>
        <v/>
      </c>
      <c r="O1697" s="1397">
        <f>IF(raw[[#This Row],[out]]=0,0,IF(raw[[#This Row],[out]]=raw[[#This Row],[in]],0.01,raw[[#This Row],[out]]-raw[[#This Row],[in]]))</f>
        <v/>
      </c>
      <c r="P1697" s="1397">
        <f>IF(raw[[#This Row],[in]]=0,0,MONTH(raw[[#This Row],[in]]))</f>
        <v/>
      </c>
      <c r="Q1697" s="1397">
        <f>IF(raw[[#This Row],[in]]=0,0,YEAR(raw[[#This Row],[in]]))</f>
        <v/>
      </c>
      <c r="R1697" s="1397">
        <f>INT(raw[[#This Row],[yr]]/10)*10</f>
        <v/>
      </c>
      <c r="S1697" s="1395">
        <f>IF(raw[[#This Row],[city]]="","-",IF(raw[[#This Row],[city]]&lt;&gt;_xlfn.XLOOKUP(raw[[#This Row],[home]],homes[home],homes[city],"-"),1,0))</f>
        <v/>
      </c>
      <c r="T1697" s="1398" t="inlineStr">
        <is>
          <t>.</t>
        </is>
      </c>
      <c r="U1697" s="1399">
        <f>IF(raw[[#This Row],[wb]]="w",raw[[#This Row],[stay]]+U1696,U1696)</f>
        <v/>
      </c>
      <c r="V1697" s="1400">
        <f>IF(raw[[#This Row],[out]]=0,V1696,(raw[[#This Row],[out]]-E$5))</f>
        <v/>
      </c>
      <c r="W1697" s="1401">
        <f>U1697/V1697</f>
        <v/>
      </c>
      <c r="X1697" s="1392" t="n"/>
      <c r="Y1697" s="1392" t="n"/>
      <c r="Z1697" s="1392" t="n"/>
      <c r="AA1697" s="1392" t="n"/>
      <c r="AB1697" s="1392" t="n"/>
      <c r="AC1697" s="1392" t="n"/>
      <c r="AD1697" s="1392" t="n"/>
      <c r="AE1697" s="1392" t="n"/>
      <c r="AF1697" s="1392" t="n"/>
      <c r="AG1697" s="1392" t="n"/>
      <c r="AH1697" s="1392" t="n"/>
      <c r="AI1697" s="1392" t="n"/>
      <c r="AJ1697" s="1392" t="n"/>
      <c r="AK1697" s="1392" t="n"/>
      <c r="AL1697" s="1392" t="n"/>
      <c r="AM1697" s="1392" t="n"/>
      <c r="AN1697" s="1392" t="n"/>
      <c r="AO1697" s="1392" t="n"/>
      <c r="AP1697" s="1392" t="n"/>
      <c r="AQ1697" s="1392" t="n"/>
      <c r="AR1697" s="1422" t="n"/>
      <c r="AS1697" s="1422" t="n"/>
      <c r="AT1697" s="1392" t="n"/>
      <c r="AU1697" s="1392" t="n"/>
      <c r="AV1697" s="1392" t="n"/>
      <c r="AW1697" s="1392" t="n"/>
      <c r="AX1697" s="1392" t="n"/>
      <c r="AY1697" s="1392" t="n"/>
      <c r="AZ1697" s="1392" t="n"/>
      <c r="BA1697" s="1422" t="n"/>
      <c r="BB1697" s="1422" t="n"/>
      <c r="BC1697" s="1392" t="n"/>
      <c r="BD1697" s="1392" t="n"/>
      <c r="BE1697" s="1392" t="n"/>
      <c r="BF1697" s="1392" t="n"/>
      <c r="BG1697" s="1392" t="n"/>
      <c r="BH1697" s="1392" t="n"/>
      <c r="BI1697" s="1392" t="n"/>
      <c r="BJ1697" s="1392" t="n"/>
      <c r="BK1697" s="1392" t="n"/>
      <c r="BL1697" s="1392" t="n"/>
      <c r="BM1697" s="1392" t="n"/>
      <c r="BN1697" s="1392" t="n"/>
      <c r="BO1697" s="1392" t="n"/>
      <c r="BP1697" s="1392" t="n"/>
      <c r="BQ1697" s="1392" t="n"/>
      <c r="BR1697" s="1392" t="n"/>
      <c r="BS1697" s="1392" t="n"/>
      <c r="BT1697" s="1392" t="n"/>
      <c r="BU1697" s="1392" t="n"/>
      <c r="BV1697" s="1392" t="n"/>
      <c r="BW1697" s="1392" t="n"/>
      <c r="BX1697" s="1392" t="n"/>
      <c r="BY1697" s="1392" t="n"/>
      <c r="BZ1697" s="1392" t="n"/>
      <c r="CA1697" s="1392" t="n"/>
      <c r="CB1697" s="1392" t="n"/>
      <c r="CC1697" s="1392" t="n"/>
      <c r="CD1697" s="1392" t="n"/>
      <c r="CE1697" s="1392" t="n"/>
      <c r="CF1697" s="1392" t="n"/>
      <c r="CG1697" s="1392" t="n"/>
      <c r="CH1697" s="1392" t="n"/>
      <c r="CI1697" s="1392" t="n"/>
      <c r="CJ1697" s="1392" t="n"/>
      <c r="CK1697" s="1392" t="n"/>
      <c r="CL1697" s="1392" t="n"/>
    </row>
    <row r="1698">
      <c r="A1698" s="5" t="inlineStr">
        <is>
          <t>.</t>
        </is>
      </c>
      <c r="B1698" s="5" t="inlineStr">
        <is>
          <t>.</t>
        </is>
      </c>
      <c r="C1698" s="1378">
        <f>IF(raw[[#This Row],[city]]="","-",IF(raw[[#This Row],[city]]="TODAY","-",C1697+1))</f>
        <v/>
      </c>
      <c r="D1698" s="1393" t="inlineStr">
        <is>
          <t>AIR</t>
        </is>
      </c>
      <c r="E1698" s="1394" t="n">
        <v>45173</v>
      </c>
      <c r="F1698" s="1394" t="n">
        <v>45174</v>
      </c>
      <c r="G1698" s="1393" t="inlineStr">
        <is>
          <t>x</t>
        </is>
      </c>
      <c r="H1698" s="1393" t="inlineStr">
        <is>
          <t>Marie-Victorin</t>
        </is>
      </c>
      <c r="I1698" s="1393" t="inlineStr">
        <is>
          <t>-</t>
        </is>
      </c>
      <c r="J1698" s="1393" t="inlineStr">
        <is>
          <t>-</t>
        </is>
      </c>
      <c r="K1698" s="1395">
        <f>IF(raw[[#This Row],[city]]&lt;&gt;"",_xlfn.XLOOKUP($D1698,ccc[city],ccc[prov],"-"),"-")</f>
        <v/>
      </c>
      <c r="L1698" s="1395">
        <f>IF(raw[[#This Row],[city]]&lt;&gt;"",_xlfn.XLOOKUP($D1698,ccc[city],ccc[ctry],"-"),"-")</f>
        <v/>
      </c>
      <c r="M1698" s="1395">
        <f>IF(raw[[#This Row],[city]]&lt;&gt;"",_xlfn.XLOOKUP($D1698,ccc[city],ccc[cont],"-"),"-")</f>
        <v/>
      </c>
      <c r="N1698" s="1396">
        <f>IF(raw[[#This Row],[city]]="","-",IF(raw[[#This Row],[cont]]="B",raw[[#This Row],[cont]],"W"))</f>
        <v/>
      </c>
      <c r="O1698" s="1397">
        <f>IF(raw[[#This Row],[out]]=0,0,IF(raw[[#This Row],[out]]=raw[[#This Row],[in]],0.01,raw[[#This Row],[out]]-raw[[#This Row],[in]]))</f>
        <v/>
      </c>
      <c r="P1698" s="1397">
        <f>IF(raw[[#This Row],[in]]=0,0,MONTH(raw[[#This Row],[in]]))</f>
        <v/>
      </c>
      <c r="Q1698" s="1397">
        <f>IF(raw[[#This Row],[in]]=0,0,YEAR(raw[[#This Row],[in]]))</f>
        <v/>
      </c>
      <c r="R1698" s="1397">
        <f>INT(raw[[#This Row],[yr]]/10)*10</f>
        <v/>
      </c>
      <c r="S1698" s="1395">
        <f>IF(raw[[#This Row],[city]]="","-",IF(raw[[#This Row],[city]]&lt;&gt;_xlfn.XLOOKUP(raw[[#This Row],[home]],homes[home],homes[city],"-"),1,0))</f>
        <v/>
      </c>
      <c r="T1698" s="1398" t="inlineStr">
        <is>
          <t>.</t>
        </is>
      </c>
      <c r="U1698" s="1399">
        <f>IF(raw[[#This Row],[wb]]="w",raw[[#This Row],[stay]]+U1697,U1697)</f>
        <v/>
      </c>
      <c r="V1698" s="1400">
        <f>IF(raw[[#This Row],[out]]=0,V1697,(raw[[#This Row],[out]]-E$5))</f>
        <v/>
      </c>
      <c r="W1698" s="1401">
        <f>U1698/V1698</f>
        <v/>
      </c>
      <c r="X1698" s="1392" t="n"/>
      <c r="Y1698" s="1392" t="n"/>
      <c r="Z1698" s="1392" t="n"/>
      <c r="AA1698" s="1392" t="n"/>
      <c r="AB1698" s="1392" t="n"/>
      <c r="AC1698" s="1392" t="n"/>
      <c r="AD1698" s="1392" t="n"/>
      <c r="AE1698" s="1392" t="n"/>
      <c r="AF1698" s="1392" t="n"/>
      <c r="AG1698" s="1392" t="n"/>
      <c r="AH1698" s="1392" t="n"/>
      <c r="AI1698" s="1392" t="n"/>
      <c r="AJ1698" s="1392" t="n"/>
      <c r="AK1698" s="1392" t="n"/>
      <c r="AL1698" s="1392" t="n"/>
      <c r="AM1698" s="1392" t="n"/>
      <c r="AN1698" s="1392" t="n"/>
      <c r="AO1698" s="1392" t="n"/>
      <c r="AP1698" s="1392" t="n"/>
      <c r="AQ1698" s="1392" t="n"/>
      <c r="AR1698" s="1422" t="n"/>
      <c r="AS1698" s="1422" t="n"/>
      <c r="AT1698" s="1392" t="n"/>
      <c r="AU1698" s="1392" t="n"/>
      <c r="AV1698" s="1392" t="n"/>
      <c r="AW1698" s="1392" t="n"/>
      <c r="AX1698" s="1392" t="n"/>
      <c r="AY1698" s="1392" t="n"/>
      <c r="AZ1698" s="1392" t="n"/>
      <c r="BA1698" s="1422" t="n"/>
      <c r="BB1698" s="1422" t="n"/>
      <c r="BC1698" s="1392" t="n"/>
      <c r="BD1698" s="1392" t="n"/>
      <c r="BE1698" s="1392" t="n"/>
      <c r="BF1698" s="1392" t="n"/>
      <c r="BG1698" s="1392" t="n"/>
      <c r="BH1698" s="1392" t="n"/>
      <c r="BI1698" s="1392" t="n"/>
      <c r="BJ1698" s="1392" t="n"/>
      <c r="BK1698" s="1392" t="n"/>
      <c r="BL1698" s="1392" t="n"/>
      <c r="BM1698" s="1392" t="n"/>
      <c r="BN1698" s="1392" t="n"/>
      <c r="BO1698" s="1392" t="n"/>
      <c r="BP1698" s="1392" t="n"/>
      <c r="BQ1698" s="1392" t="n"/>
      <c r="BR1698" s="1392" t="n"/>
      <c r="BS1698" s="1392" t="n"/>
      <c r="BT1698" s="1392" t="n"/>
      <c r="BU1698" s="1392" t="n"/>
      <c r="BV1698" s="1392" t="n"/>
      <c r="BW1698" s="1392" t="n"/>
      <c r="BX1698" s="1392" t="n"/>
      <c r="BY1698" s="1392" t="n"/>
      <c r="BZ1698" s="1392" t="n"/>
      <c r="CA1698" s="1392" t="n"/>
      <c r="CB1698" s="1392" t="n"/>
      <c r="CC1698" s="1392" t="n"/>
      <c r="CD1698" s="1392" t="n"/>
      <c r="CE1698" s="1392" t="n"/>
      <c r="CF1698" s="1392" t="n"/>
      <c r="CG1698" s="1392" t="n"/>
      <c r="CH1698" s="1392" t="n"/>
      <c r="CI1698" s="1392" t="n"/>
      <c r="CJ1698" s="1392" t="n"/>
      <c r="CK1698" s="1392" t="n"/>
      <c r="CL1698" s="1392" t="n"/>
    </row>
    <row r="1699">
      <c r="A1699" s="5" t="inlineStr">
        <is>
          <t>.</t>
        </is>
      </c>
      <c r="B1699" s="5" t="inlineStr">
        <is>
          <t>.</t>
        </is>
      </c>
      <c r="C1699" s="1378">
        <f>IF(raw[[#This Row],[city]]="","-",IF(raw[[#This Row],[city]]="TODAY","-",C1698+1))</f>
        <v/>
      </c>
      <c r="D1699" s="1393" t="inlineStr">
        <is>
          <t>Atlanta</t>
        </is>
      </c>
      <c r="E1699" s="1394" t="n">
        <v>45174</v>
      </c>
      <c r="F1699" s="1394" t="n">
        <v>45174</v>
      </c>
      <c r="G1699" s="1393" t="n">
        <v>0.01</v>
      </c>
      <c r="H1699" s="1393" t="inlineStr">
        <is>
          <t>Marie-Victorin</t>
        </is>
      </c>
      <c r="I1699" s="1393" t="inlineStr">
        <is>
          <t>-</t>
        </is>
      </c>
      <c r="J1699" s="1393" t="inlineStr">
        <is>
          <t>-</t>
        </is>
      </c>
      <c r="K1699" s="1395">
        <f>IF(raw[[#This Row],[city]]&lt;&gt;"",_xlfn.XLOOKUP($D1699,ccc[city],ccc[prov],"-"),"-")</f>
        <v/>
      </c>
      <c r="L1699" s="1395">
        <f>IF(raw[[#This Row],[city]]&lt;&gt;"",_xlfn.XLOOKUP($D1699,ccc[city],ccc[ctry],"-"),"-")</f>
        <v/>
      </c>
      <c r="M1699" s="1395">
        <f>IF(raw[[#This Row],[city]]&lt;&gt;"",_xlfn.XLOOKUP($D1699,ccc[city],ccc[cont],"-"),"-")</f>
        <v/>
      </c>
      <c r="N1699" s="1396">
        <f>IF(raw[[#This Row],[city]]="","-",IF(raw[[#This Row],[cont]]="B",raw[[#This Row],[cont]],"W"))</f>
        <v/>
      </c>
      <c r="O1699" s="1397">
        <f>IF(raw[[#This Row],[out]]=0,0,IF(raw[[#This Row],[out]]=raw[[#This Row],[in]],0.01,raw[[#This Row],[out]]-raw[[#This Row],[in]]))</f>
        <v/>
      </c>
      <c r="P1699" s="1397">
        <f>IF(raw[[#This Row],[in]]=0,0,MONTH(raw[[#This Row],[in]]))</f>
        <v/>
      </c>
      <c r="Q1699" s="1397">
        <f>IF(raw[[#This Row],[in]]=0,0,YEAR(raw[[#This Row],[in]]))</f>
        <v/>
      </c>
      <c r="R1699" s="1397">
        <f>INT(raw[[#This Row],[yr]]/10)*10</f>
        <v/>
      </c>
      <c r="S1699" s="1395">
        <f>IF(raw[[#This Row],[city]]="","-",IF(raw[[#This Row],[city]]&lt;&gt;_xlfn.XLOOKUP(raw[[#This Row],[home]],homes[home],homes[city],"-"),1,0))</f>
        <v/>
      </c>
      <c r="T1699" s="1398" t="inlineStr">
        <is>
          <t>.</t>
        </is>
      </c>
      <c r="U1699" s="1399">
        <f>IF(raw[[#This Row],[wb]]="w",raw[[#This Row],[stay]]+U1698,U1698)</f>
        <v/>
      </c>
      <c r="V1699" s="1400">
        <f>IF(raw[[#This Row],[out]]=0,V1698,(raw[[#This Row],[out]]-E$5))</f>
        <v/>
      </c>
      <c r="W1699" s="1401">
        <f>U1699/V1699</f>
        <v/>
      </c>
      <c r="X1699" s="1392" t="n"/>
      <c r="Y1699" s="1392" t="n"/>
      <c r="Z1699" s="1392" t="n"/>
      <c r="AA1699" s="1392" t="n"/>
      <c r="AB1699" s="1392" t="n"/>
      <c r="AC1699" s="1392" t="n"/>
      <c r="AD1699" s="1392" t="n"/>
      <c r="AE1699" s="1392" t="n"/>
      <c r="AF1699" s="1392" t="n"/>
      <c r="AG1699" s="1392" t="n"/>
      <c r="AH1699" s="1392" t="n"/>
      <c r="AI1699" s="1392" t="n"/>
      <c r="AJ1699" s="1392" t="n"/>
      <c r="AK1699" s="1392" t="n"/>
      <c r="AL1699" s="1392" t="n"/>
      <c r="AM1699" s="1392" t="n"/>
      <c r="AN1699" s="1392" t="n"/>
      <c r="AO1699" s="1392" t="n"/>
      <c r="AP1699" s="1392" t="n"/>
      <c r="AQ1699" s="1392" t="n"/>
      <c r="AR1699" s="1422" t="n"/>
      <c r="AS1699" s="1422" t="n"/>
      <c r="AT1699" s="1392" t="n"/>
      <c r="AU1699" s="1392" t="n"/>
      <c r="AV1699" s="1392" t="n"/>
      <c r="AW1699" s="1392" t="n"/>
      <c r="AX1699" s="1392" t="n"/>
      <c r="AY1699" s="1392" t="n"/>
      <c r="AZ1699" s="1392" t="n"/>
      <c r="BA1699" s="1422" t="n"/>
      <c r="BB1699" s="1422" t="n"/>
      <c r="BC1699" s="1392" t="n"/>
      <c r="BD1699" s="1392" t="n"/>
      <c r="BE1699" s="1392" t="n"/>
      <c r="BF1699" s="1392" t="n"/>
      <c r="BG1699" s="1392" t="n"/>
      <c r="BH1699" s="1392" t="n"/>
      <c r="BI1699" s="1392" t="n"/>
      <c r="BJ1699" s="1392" t="n"/>
      <c r="BK1699" s="1392" t="n"/>
      <c r="BL1699" s="1392" t="n"/>
      <c r="BM1699" s="1392" t="n"/>
      <c r="BN1699" s="1392" t="n"/>
      <c r="BO1699" s="1392" t="n"/>
      <c r="BP1699" s="1392" t="n"/>
      <c r="BQ1699" s="1392" t="n"/>
      <c r="BR1699" s="1392" t="n"/>
      <c r="BS1699" s="1392" t="n"/>
      <c r="BT1699" s="1392" t="n"/>
      <c r="BU1699" s="1392" t="n"/>
      <c r="BV1699" s="1392" t="n"/>
      <c r="BW1699" s="1392" t="n"/>
      <c r="BX1699" s="1392" t="n"/>
      <c r="BY1699" s="1392" t="n"/>
      <c r="BZ1699" s="1392" t="n"/>
      <c r="CA1699" s="1392" t="n"/>
      <c r="CB1699" s="1392" t="n"/>
      <c r="CC1699" s="1392" t="n"/>
      <c r="CD1699" s="1392" t="n"/>
      <c r="CE1699" s="1392" t="n"/>
      <c r="CF1699" s="1392" t="n"/>
      <c r="CG1699" s="1392" t="n"/>
      <c r="CH1699" s="1392" t="n"/>
      <c r="CI1699" s="1392" t="n"/>
      <c r="CJ1699" s="1392" t="n"/>
      <c r="CK1699" s="1392" t="n"/>
      <c r="CL1699" s="1392" t="n"/>
    </row>
    <row r="1700">
      <c r="A1700" s="5" t="inlineStr">
        <is>
          <t>.</t>
        </is>
      </c>
      <c r="B1700" s="5" t="inlineStr">
        <is>
          <t>.</t>
        </is>
      </c>
      <c r="C1700" s="1378">
        <f>IF(raw[[#This Row],[city]]="","-",IF(raw[[#This Row],[city]]="TODAY","-",C1699+1))</f>
        <v/>
      </c>
      <c r="D1700" s="1393" t="inlineStr">
        <is>
          <t>Montreal</t>
        </is>
      </c>
      <c r="E1700" s="1394" t="n">
        <v>45174</v>
      </c>
      <c r="F1700" s="1394" t="n">
        <v>45200</v>
      </c>
      <c r="G1700" s="1393" t="inlineStr">
        <is>
          <t>-</t>
        </is>
      </c>
      <c r="H1700" s="1393" t="inlineStr">
        <is>
          <t>Gaspé</t>
        </is>
      </c>
      <c r="I1700" s="1393" t="inlineStr">
        <is>
          <t>-</t>
        </is>
      </c>
      <c r="J1700" s="1393" t="inlineStr">
        <is>
          <t>-</t>
        </is>
      </c>
      <c r="K1700" s="1395">
        <f>IF(raw[[#This Row],[city]]&lt;&gt;"",_xlfn.XLOOKUP($D1700,ccc[city],ccc[prov],"-"),"-")</f>
        <v/>
      </c>
      <c r="L1700" s="1395">
        <f>IF(raw[[#This Row],[city]]&lt;&gt;"",_xlfn.XLOOKUP($D1700,ccc[city],ccc[ctry],"-"),"-")</f>
        <v/>
      </c>
      <c r="M1700" s="1395">
        <f>IF(raw[[#This Row],[city]]&lt;&gt;"",_xlfn.XLOOKUP($D1700,ccc[city],ccc[cont],"-"),"-")</f>
        <v/>
      </c>
      <c r="N1700" s="1396">
        <f>IF(raw[[#This Row],[city]]="","-",IF(raw[[#This Row],[cont]]="B",raw[[#This Row],[cont]],"W"))</f>
        <v/>
      </c>
      <c r="O1700" s="1397">
        <f>IF(raw[[#This Row],[out]]=0,0,IF(raw[[#This Row],[out]]=raw[[#This Row],[in]],0.01,raw[[#This Row],[out]]-raw[[#This Row],[in]]))</f>
        <v/>
      </c>
      <c r="P1700" s="1397">
        <f>IF(raw[[#This Row],[in]]=0,0,MONTH(raw[[#This Row],[in]]))</f>
        <v/>
      </c>
      <c r="Q1700" s="1397">
        <f>IF(raw[[#This Row],[in]]=0,0,YEAR(raw[[#This Row],[in]]))</f>
        <v/>
      </c>
      <c r="R1700" s="1397">
        <f>INT(raw[[#This Row],[yr]]/10)*10</f>
        <v/>
      </c>
      <c r="S1700" s="1395">
        <f>IF(raw[[#This Row],[city]]="","-",IF(raw[[#This Row],[city]]&lt;&gt;_xlfn.XLOOKUP(raw[[#This Row],[home]],homes[home],homes[city],"-"),1,0))</f>
        <v/>
      </c>
      <c r="T1700" s="1398" t="inlineStr">
        <is>
          <t>.</t>
        </is>
      </c>
      <c r="U1700" s="1399">
        <f>IF(raw[[#This Row],[wb]]="w",raw[[#This Row],[stay]]+U1699,U1699)</f>
        <v/>
      </c>
      <c r="V1700" s="1400">
        <f>IF(raw[[#This Row],[out]]=0,V1699,(raw[[#This Row],[out]]-E$5))</f>
        <v/>
      </c>
      <c r="W1700" s="1401">
        <f>U1700/V1700</f>
        <v/>
      </c>
      <c r="X1700" s="1392" t="n"/>
      <c r="Y1700" s="1392" t="n"/>
      <c r="Z1700" s="1392" t="n"/>
      <c r="AA1700" s="1392" t="n"/>
      <c r="AB1700" s="1392" t="n"/>
      <c r="AC1700" s="1392" t="n"/>
      <c r="AD1700" s="1392" t="n"/>
      <c r="AE1700" s="1392" t="n"/>
      <c r="AF1700" s="1392" t="n"/>
      <c r="AG1700" s="1392" t="n"/>
      <c r="AH1700" s="1392" t="n"/>
      <c r="AI1700" s="1392" t="n"/>
      <c r="AJ1700" s="1392" t="n"/>
      <c r="AK1700" s="1392" t="n"/>
      <c r="AL1700" s="1392" t="n"/>
      <c r="AM1700" s="1392" t="n"/>
      <c r="AN1700" s="1392" t="n"/>
      <c r="AO1700" s="1392" t="n"/>
      <c r="AP1700" s="1392" t="n"/>
      <c r="AQ1700" s="1392" t="n"/>
      <c r="AR1700" s="1422" t="n"/>
      <c r="AS1700" s="1422" t="n"/>
      <c r="AT1700" s="1392" t="n"/>
      <c r="AU1700" s="1392" t="n"/>
      <c r="AV1700" s="1392" t="n"/>
      <c r="AW1700" s="1392" t="n"/>
      <c r="AX1700" s="1392" t="n"/>
      <c r="AY1700" s="1392" t="n"/>
      <c r="AZ1700" s="1392" t="n"/>
      <c r="BA1700" s="1422" t="n"/>
      <c r="BB1700" s="1422" t="n"/>
      <c r="BC1700" s="1392" t="n"/>
      <c r="BD1700" s="1392" t="n"/>
      <c r="BE1700" s="1392" t="n"/>
      <c r="BF1700" s="1392" t="n"/>
      <c r="BG1700" s="1392" t="n"/>
      <c r="BH1700" s="1392" t="n"/>
      <c r="BI1700" s="1392" t="n"/>
      <c r="BJ1700" s="1392" t="n"/>
      <c r="BK1700" s="1392" t="n"/>
      <c r="BL1700" s="1392" t="n"/>
      <c r="BM1700" s="1392" t="n"/>
      <c r="BN1700" s="1392" t="n"/>
      <c r="BO1700" s="1392" t="n"/>
      <c r="BP1700" s="1392" t="n"/>
      <c r="BQ1700" s="1392" t="n"/>
      <c r="BR1700" s="1392" t="n"/>
      <c r="BS1700" s="1392" t="n"/>
      <c r="BT1700" s="1392" t="n"/>
      <c r="BU1700" s="1392" t="n"/>
      <c r="BV1700" s="1392" t="n"/>
      <c r="BW1700" s="1392" t="n"/>
      <c r="BX1700" s="1392" t="n"/>
      <c r="BY1700" s="1392" t="n"/>
      <c r="BZ1700" s="1392" t="n"/>
      <c r="CA1700" s="1392" t="n"/>
      <c r="CB1700" s="1392" t="n"/>
      <c r="CC1700" s="1392" t="n"/>
      <c r="CD1700" s="1392" t="n"/>
      <c r="CE1700" s="1392" t="n"/>
      <c r="CF1700" s="1392" t="n"/>
      <c r="CG1700" s="1392" t="n"/>
      <c r="CH1700" s="1392" t="n"/>
      <c r="CI1700" s="1392" t="n"/>
      <c r="CJ1700" s="1392" t="n"/>
      <c r="CK1700" s="1392" t="n"/>
      <c r="CL1700" s="1392" t="n"/>
    </row>
    <row r="1701">
      <c r="A1701" s="5" t="inlineStr">
        <is>
          <t>.</t>
        </is>
      </c>
      <c r="B1701" s="5" t="inlineStr">
        <is>
          <t>.</t>
        </is>
      </c>
      <c r="C1701" s="1378">
        <f>IF(raw[[#This Row],[city]]="","-",IF(raw[[#This Row],[city]]="TODAY","-",C1700+1))</f>
        <v/>
      </c>
      <c r="D1701" s="1393" t="inlineStr">
        <is>
          <t>Montreal</t>
        </is>
      </c>
      <c r="E1701" s="1394" t="n">
        <v>45200</v>
      </c>
      <c r="F1701" s="1394" t="n">
        <v>45231</v>
      </c>
      <c r="G1701" s="1393" t="inlineStr">
        <is>
          <t>-</t>
        </is>
      </c>
      <c r="H1701" s="1393" t="inlineStr">
        <is>
          <t>Gaspé</t>
        </is>
      </c>
      <c r="I1701" s="1393" t="inlineStr">
        <is>
          <t>-</t>
        </is>
      </c>
      <c r="J1701" s="1393" t="inlineStr">
        <is>
          <t>-</t>
        </is>
      </c>
      <c r="K1701" s="1395">
        <f>IF(raw[[#This Row],[city]]&lt;&gt;"",_xlfn.XLOOKUP($D1701,ccc[city],ccc[prov],"-"),"-")</f>
        <v/>
      </c>
      <c r="L1701" s="1395">
        <f>IF(raw[[#This Row],[city]]&lt;&gt;"",_xlfn.XLOOKUP($D1701,ccc[city],ccc[ctry],"-"),"-")</f>
        <v/>
      </c>
      <c r="M1701" s="1395">
        <f>IF(raw[[#This Row],[city]]&lt;&gt;"",_xlfn.XLOOKUP($D1701,ccc[city],ccc[cont],"-"),"-")</f>
        <v/>
      </c>
      <c r="N1701" s="1396">
        <f>IF(raw[[#This Row],[city]]="","-",IF(raw[[#This Row],[cont]]="B",raw[[#This Row],[cont]],"W"))</f>
        <v/>
      </c>
      <c r="O1701" s="1397">
        <f>IF(raw[[#This Row],[out]]=0,0,IF(raw[[#This Row],[out]]=raw[[#This Row],[in]],0.01,raw[[#This Row],[out]]-raw[[#This Row],[in]]))</f>
        <v/>
      </c>
      <c r="P1701" s="1397">
        <f>IF(raw[[#This Row],[in]]=0,0,MONTH(raw[[#This Row],[in]]))</f>
        <v/>
      </c>
      <c r="Q1701" s="1397">
        <f>IF(raw[[#This Row],[in]]=0,0,YEAR(raw[[#This Row],[in]]))</f>
        <v/>
      </c>
      <c r="R1701" s="1397">
        <f>INT(raw[[#This Row],[yr]]/10)*10</f>
        <v/>
      </c>
      <c r="S1701" s="1395">
        <f>IF(raw[[#This Row],[city]]="","-",IF(raw[[#This Row],[city]]&lt;&gt;_xlfn.XLOOKUP(raw[[#This Row],[home]],homes[home],homes[city],"-"),1,0))</f>
        <v/>
      </c>
      <c r="T1701" s="1398" t="inlineStr">
        <is>
          <t>.</t>
        </is>
      </c>
      <c r="U1701" s="1399">
        <f>IF(raw[[#This Row],[wb]]="w",raw[[#This Row],[stay]]+U1700,U1700)</f>
        <v/>
      </c>
      <c r="V1701" s="1400">
        <f>IF(raw[[#This Row],[out]]=0,V1700,(raw[[#This Row],[out]]-E$5))</f>
        <v/>
      </c>
      <c r="W1701" s="1401">
        <f>U1701/V1701</f>
        <v/>
      </c>
      <c r="X1701" s="1392" t="n"/>
      <c r="Y1701" s="1392" t="n"/>
      <c r="Z1701" s="1392" t="n"/>
      <c r="AA1701" s="1392" t="n"/>
      <c r="AB1701" s="1392" t="n"/>
      <c r="AC1701" s="1392" t="n"/>
      <c r="AD1701" s="1392" t="n"/>
      <c r="AE1701" s="1392" t="n"/>
      <c r="AF1701" s="1392" t="n"/>
      <c r="AG1701" s="1392" t="n"/>
      <c r="AH1701" s="1392" t="n"/>
      <c r="AI1701" s="1392" t="n"/>
      <c r="AJ1701" s="1392" t="n"/>
      <c r="AK1701" s="1392" t="n"/>
      <c r="AL1701" s="1392" t="n"/>
      <c r="AM1701" s="1392" t="n"/>
      <c r="AN1701" s="1392" t="n"/>
      <c r="AO1701" s="1392" t="n"/>
      <c r="AP1701" s="1392" t="n"/>
      <c r="AQ1701" s="1392" t="n"/>
      <c r="AR1701" s="1422" t="n"/>
      <c r="AS1701" s="1422" t="n"/>
      <c r="AT1701" s="1392" t="n"/>
      <c r="AU1701" s="1392" t="n"/>
      <c r="AV1701" s="1392" t="n"/>
      <c r="AW1701" s="1392" t="n"/>
      <c r="AX1701" s="1392" t="n"/>
      <c r="AY1701" s="1392" t="n"/>
      <c r="AZ1701" s="1392" t="n"/>
      <c r="BA1701" s="1422" t="n"/>
      <c r="BB1701" s="1422" t="n"/>
      <c r="BC1701" s="1392" t="n"/>
      <c r="BD1701" s="1392" t="n"/>
      <c r="BE1701" s="1392" t="n"/>
      <c r="BF1701" s="1392" t="n"/>
      <c r="BG1701" s="1392" t="n"/>
      <c r="BH1701" s="1392" t="n"/>
      <c r="BI1701" s="1392" t="n"/>
      <c r="BJ1701" s="1392" t="n"/>
      <c r="BK1701" s="1392" t="n"/>
      <c r="BL1701" s="1392" t="n"/>
      <c r="BM1701" s="1392" t="n"/>
      <c r="BN1701" s="1392" t="n"/>
      <c r="BO1701" s="1392" t="n"/>
      <c r="BP1701" s="1392" t="n"/>
      <c r="BQ1701" s="1392" t="n"/>
      <c r="BR1701" s="1392" t="n"/>
      <c r="BS1701" s="1392" t="n"/>
      <c r="BT1701" s="1392" t="n"/>
      <c r="BU1701" s="1392" t="n"/>
      <c r="BV1701" s="1392" t="n"/>
      <c r="BW1701" s="1392" t="n"/>
      <c r="BX1701" s="1392" t="n"/>
      <c r="BY1701" s="1392" t="n"/>
      <c r="BZ1701" s="1392" t="n"/>
      <c r="CA1701" s="1392" t="n"/>
      <c r="CB1701" s="1392" t="n"/>
      <c r="CC1701" s="1392" t="n"/>
      <c r="CD1701" s="1392" t="n"/>
      <c r="CE1701" s="1392" t="n"/>
      <c r="CF1701" s="1392" t="n"/>
      <c r="CG1701" s="1392" t="n"/>
      <c r="CH1701" s="1392" t="n"/>
      <c r="CI1701" s="1392" t="n"/>
      <c r="CJ1701" s="1392" t="n"/>
      <c r="CK1701" s="1392" t="n"/>
      <c r="CL1701" s="1392" t="n"/>
    </row>
    <row r="1702">
      <c r="A1702" s="5" t="inlineStr">
        <is>
          <t>.</t>
        </is>
      </c>
      <c r="B1702" s="5" t="inlineStr">
        <is>
          <t>.</t>
        </is>
      </c>
      <c r="C1702" s="1378">
        <f>IF(raw[[#This Row],[city]]="","-",IF(raw[[#This Row],[city]]="TODAY","-",C1701+1))</f>
        <v/>
      </c>
      <c r="D1702" s="1393" t="inlineStr">
        <is>
          <t>Montreal</t>
        </is>
      </c>
      <c r="E1702" s="1394" t="n">
        <v>45231</v>
      </c>
      <c r="F1702" s="1394" t="n">
        <v>45261</v>
      </c>
      <c r="G1702" s="1393" t="inlineStr">
        <is>
          <t>-</t>
        </is>
      </c>
      <c r="H1702" s="1393" t="inlineStr">
        <is>
          <t>Gaspé</t>
        </is>
      </c>
      <c r="I1702" s="1393" t="inlineStr">
        <is>
          <t>-</t>
        </is>
      </c>
      <c r="J1702" s="1393" t="inlineStr">
        <is>
          <t>-</t>
        </is>
      </c>
      <c r="K1702" s="1395">
        <f>IF(raw[[#This Row],[city]]&lt;&gt;"",_xlfn.XLOOKUP($D1702,ccc[city],ccc[prov],"-"),"-")</f>
        <v/>
      </c>
      <c r="L1702" s="1395">
        <f>IF(raw[[#This Row],[city]]&lt;&gt;"",_xlfn.XLOOKUP($D1702,ccc[city],ccc[ctry],"-"),"-")</f>
        <v/>
      </c>
      <c r="M1702" s="1395">
        <f>IF(raw[[#This Row],[city]]&lt;&gt;"",_xlfn.XLOOKUP($D1702,ccc[city],ccc[cont],"-"),"-")</f>
        <v/>
      </c>
      <c r="N1702" s="1396">
        <f>IF(raw[[#This Row],[city]]="","-",IF(raw[[#This Row],[cont]]="B",raw[[#This Row],[cont]],"W"))</f>
        <v/>
      </c>
      <c r="O1702" s="1397">
        <f>IF(raw[[#This Row],[out]]=0,0,IF(raw[[#This Row],[out]]=raw[[#This Row],[in]],0.01,raw[[#This Row],[out]]-raw[[#This Row],[in]]))</f>
        <v/>
      </c>
      <c r="P1702" s="1397">
        <f>IF(raw[[#This Row],[in]]=0,0,MONTH(raw[[#This Row],[in]]))</f>
        <v/>
      </c>
      <c r="Q1702" s="1397">
        <f>IF(raw[[#This Row],[in]]=0,0,YEAR(raw[[#This Row],[in]]))</f>
        <v/>
      </c>
      <c r="R1702" s="1397">
        <f>INT(raw[[#This Row],[yr]]/10)*10</f>
        <v/>
      </c>
      <c r="S1702" s="1395">
        <f>IF(raw[[#This Row],[city]]="","-",IF(raw[[#This Row],[city]]&lt;&gt;_xlfn.XLOOKUP(raw[[#This Row],[home]],homes[home],homes[city],"-"),1,0))</f>
        <v/>
      </c>
      <c r="T1702" s="1398" t="inlineStr">
        <is>
          <t>.</t>
        </is>
      </c>
      <c r="U1702" s="1399">
        <f>IF(raw[[#This Row],[wb]]="w",raw[[#This Row],[stay]]+U1701,U1701)</f>
        <v/>
      </c>
      <c r="V1702" s="1400">
        <f>IF(raw[[#This Row],[out]]=0,V1701,(raw[[#This Row],[out]]-E$5))</f>
        <v/>
      </c>
      <c r="W1702" s="1401">
        <f>U1702/V1702</f>
        <v/>
      </c>
      <c r="X1702" s="1392" t="n"/>
      <c r="Y1702" s="1392" t="n"/>
      <c r="Z1702" s="1392" t="n"/>
      <c r="AA1702" s="1392" t="n"/>
      <c r="AB1702" s="1392" t="n"/>
      <c r="AC1702" s="1392" t="n"/>
      <c r="AD1702" s="1392" t="n"/>
      <c r="AE1702" s="1392" t="n"/>
      <c r="AF1702" s="1392" t="n"/>
      <c r="AG1702" s="1392" t="n"/>
      <c r="AH1702" s="1392" t="n"/>
      <c r="AI1702" s="1392" t="n"/>
      <c r="AJ1702" s="1392" t="n"/>
      <c r="AK1702" s="1392" t="n"/>
      <c r="AL1702" s="1392" t="n"/>
      <c r="AM1702" s="1392" t="n"/>
      <c r="AN1702" s="1392" t="n"/>
      <c r="AO1702" s="1392" t="n"/>
      <c r="AP1702" s="1392" t="n"/>
      <c r="AQ1702" s="1392" t="n"/>
      <c r="AR1702" s="1422" t="n"/>
      <c r="AS1702" s="1422" t="n"/>
      <c r="AT1702" s="1392" t="n"/>
      <c r="AU1702" s="1392" t="n"/>
      <c r="AV1702" s="1392" t="n"/>
      <c r="AW1702" s="1392" t="n"/>
      <c r="AX1702" s="1392" t="n"/>
      <c r="AY1702" s="1392" t="n"/>
      <c r="AZ1702" s="1392" t="n"/>
      <c r="BA1702" s="1422" t="n"/>
      <c r="BB1702" s="1422" t="n"/>
      <c r="BC1702" s="1392" t="n"/>
      <c r="BD1702" s="1392" t="n"/>
      <c r="BE1702" s="1392" t="n"/>
      <c r="BF1702" s="1392" t="n"/>
      <c r="BG1702" s="1392" t="n"/>
      <c r="BH1702" s="1392" t="n"/>
      <c r="BI1702" s="1392" t="n"/>
      <c r="BJ1702" s="1392" t="n"/>
      <c r="BK1702" s="1392" t="n"/>
      <c r="BL1702" s="1392" t="n"/>
      <c r="BM1702" s="1392" t="n"/>
      <c r="BN1702" s="1392" t="n"/>
      <c r="BO1702" s="1392" t="n"/>
      <c r="BP1702" s="1392" t="n"/>
      <c r="BQ1702" s="1392" t="n"/>
      <c r="BR1702" s="1392" t="n"/>
      <c r="BS1702" s="1392" t="n"/>
      <c r="BT1702" s="1392" t="n"/>
      <c r="BU1702" s="1392" t="n"/>
      <c r="BV1702" s="1392" t="n"/>
      <c r="BW1702" s="1392" t="n"/>
      <c r="BX1702" s="1392" t="n"/>
      <c r="BY1702" s="1392" t="n"/>
      <c r="BZ1702" s="1392" t="n"/>
      <c r="CA1702" s="1392" t="n"/>
      <c r="CB1702" s="1392" t="n"/>
      <c r="CC1702" s="1392" t="n"/>
      <c r="CD1702" s="1392" t="n"/>
      <c r="CE1702" s="1392" t="n"/>
      <c r="CF1702" s="1392" t="n"/>
      <c r="CG1702" s="1392" t="n"/>
      <c r="CH1702" s="1392" t="n"/>
      <c r="CI1702" s="1392" t="n"/>
      <c r="CJ1702" s="1392" t="n"/>
      <c r="CK1702" s="1392" t="n"/>
      <c r="CL1702" s="1392" t="n"/>
    </row>
    <row r="1703">
      <c r="A1703" s="5" t="inlineStr">
        <is>
          <t>.</t>
        </is>
      </c>
      <c r="B1703" s="5" t="inlineStr">
        <is>
          <t>.</t>
        </is>
      </c>
      <c r="C1703" s="1378">
        <f>IF(raw[[#This Row],[city]]="","-",IF(raw[[#This Row],[city]]="TODAY","-",C1702+1))</f>
        <v/>
      </c>
      <c r="D1703" s="1393" t="inlineStr">
        <is>
          <t>Montreal</t>
        </is>
      </c>
      <c r="E1703" s="1394" t="n">
        <v>45261</v>
      </c>
      <c r="F1703" s="1394" t="n">
        <v>45283</v>
      </c>
      <c r="G1703" s="1393" t="inlineStr">
        <is>
          <t>-</t>
        </is>
      </c>
      <c r="H1703" s="1393" t="inlineStr">
        <is>
          <t>Gaspé</t>
        </is>
      </c>
      <c r="I1703" s="1393" t="inlineStr">
        <is>
          <t>-</t>
        </is>
      </c>
      <c r="J1703" s="1393" t="inlineStr">
        <is>
          <t>-</t>
        </is>
      </c>
      <c r="K1703" s="1395">
        <f>IF(raw[[#This Row],[city]]&lt;&gt;"",_xlfn.XLOOKUP($D1703,ccc[city],ccc[prov],"-"),"-")</f>
        <v/>
      </c>
      <c r="L1703" s="1395">
        <f>IF(raw[[#This Row],[city]]&lt;&gt;"",_xlfn.XLOOKUP($D1703,ccc[city],ccc[ctry],"-"),"-")</f>
        <v/>
      </c>
      <c r="M1703" s="1395">
        <f>IF(raw[[#This Row],[city]]&lt;&gt;"",_xlfn.XLOOKUP($D1703,ccc[city],ccc[cont],"-"),"-")</f>
        <v/>
      </c>
      <c r="N1703" s="1396">
        <f>IF(raw[[#This Row],[city]]="","-",IF(raw[[#This Row],[cont]]="B",raw[[#This Row],[cont]],"W"))</f>
        <v/>
      </c>
      <c r="O1703" s="1397">
        <f>IF(raw[[#This Row],[out]]=0,0,IF(raw[[#This Row],[out]]=raw[[#This Row],[in]],0.01,raw[[#This Row],[out]]-raw[[#This Row],[in]]))</f>
        <v/>
      </c>
      <c r="P1703" s="1397">
        <f>IF(raw[[#This Row],[in]]=0,0,MONTH(raw[[#This Row],[in]]))</f>
        <v/>
      </c>
      <c r="Q1703" s="1397">
        <f>IF(raw[[#This Row],[in]]=0,0,YEAR(raw[[#This Row],[in]]))</f>
        <v/>
      </c>
      <c r="R1703" s="1397">
        <f>INT(raw[[#This Row],[yr]]/10)*10</f>
        <v/>
      </c>
      <c r="S1703" s="1395">
        <f>IF(raw[[#This Row],[city]]="","-",IF(raw[[#This Row],[city]]&lt;&gt;_xlfn.XLOOKUP(raw[[#This Row],[home]],homes[home],homes[city],"-"),1,0))</f>
        <v/>
      </c>
      <c r="T1703" s="1398" t="inlineStr">
        <is>
          <t>.</t>
        </is>
      </c>
      <c r="U1703" s="1399">
        <f>IF(raw[[#This Row],[wb]]="w",raw[[#This Row],[stay]]+U1702,U1702)</f>
        <v/>
      </c>
      <c r="V1703" s="1400">
        <f>IF(raw[[#This Row],[out]]=0,V1702,(raw[[#This Row],[out]]-E$5))</f>
        <v/>
      </c>
      <c r="W1703" s="1401">
        <f>U1703/V1703</f>
        <v/>
      </c>
      <c r="X1703" s="1392" t="n"/>
      <c r="Y1703" s="1392" t="n"/>
      <c r="Z1703" s="1392" t="n"/>
      <c r="AA1703" s="1392" t="n"/>
      <c r="AB1703" s="1392" t="n"/>
      <c r="AC1703" s="1392" t="n"/>
      <c r="AD1703" s="1392" t="n"/>
      <c r="AE1703" s="1392" t="n"/>
      <c r="AF1703" s="1392" t="n"/>
      <c r="AG1703" s="1392" t="n"/>
      <c r="AH1703" s="1392" t="n"/>
      <c r="AI1703" s="1392" t="n"/>
      <c r="AJ1703" s="1392" t="n"/>
      <c r="AK1703" s="1392" t="n"/>
      <c r="AL1703" s="1392" t="n"/>
      <c r="AM1703" s="1392" t="n"/>
      <c r="AN1703" s="1392" t="n"/>
      <c r="AO1703" s="1392" t="n"/>
      <c r="AP1703" s="1392" t="n"/>
      <c r="AQ1703" s="1392" t="n"/>
      <c r="AR1703" s="1422" t="n"/>
      <c r="AS1703" s="1422" t="n"/>
      <c r="AT1703" s="1392" t="n"/>
      <c r="AU1703" s="1392" t="n"/>
      <c r="AV1703" s="1392" t="n"/>
      <c r="AW1703" s="1392" t="n"/>
      <c r="AX1703" s="1392" t="n"/>
      <c r="AY1703" s="1392" t="n"/>
      <c r="AZ1703" s="1392" t="n"/>
      <c r="BA1703" s="1422" t="n"/>
      <c r="BB1703" s="1422" t="n"/>
      <c r="BC1703" s="1392" t="n"/>
      <c r="BD1703" s="1392" t="n"/>
      <c r="BE1703" s="1392" t="n"/>
      <c r="BF1703" s="1392" t="n"/>
      <c r="BG1703" s="1392" t="n"/>
      <c r="BH1703" s="1392" t="n"/>
      <c r="BI1703" s="1392" t="n"/>
      <c r="BJ1703" s="1392" t="n"/>
      <c r="BK1703" s="1392" t="n"/>
      <c r="BL1703" s="1392" t="n"/>
      <c r="BM1703" s="1392" t="n"/>
      <c r="BN1703" s="1392" t="n"/>
      <c r="BO1703" s="1392" t="n"/>
      <c r="BP1703" s="1392" t="n"/>
      <c r="BQ1703" s="1392" t="n"/>
      <c r="BR1703" s="1392" t="n"/>
      <c r="BS1703" s="1392" t="n"/>
      <c r="BT1703" s="1392" t="n"/>
      <c r="BU1703" s="1392" t="n"/>
      <c r="BV1703" s="1392" t="n"/>
      <c r="BW1703" s="1392" t="n"/>
      <c r="BX1703" s="1392" t="n"/>
      <c r="BY1703" s="1392" t="n"/>
      <c r="BZ1703" s="1392" t="n"/>
      <c r="CA1703" s="1392" t="n"/>
      <c r="CB1703" s="1392" t="n"/>
      <c r="CC1703" s="1392" t="n"/>
      <c r="CD1703" s="1392" t="n"/>
      <c r="CE1703" s="1392" t="n"/>
      <c r="CF1703" s="1392" t="n"/>
      <c r="CG1703" s="1392" t="n"/>
      <c r="CH1703" s="1392" t="n"/>
      <c r="CI1703" s="1392" t="n"/>
      <c r="CJ1703" s="1392" t="n"/>
      <c r="CK1703" s="1392" t="n"/>
      <c r="CL1703" s="1392" t="n"/>
    </row>
    <row r="1704">
      <c r="A1704" s="5" t="inlineStr">
        <is>
          <t>.</t>
        </is>
      </c>
      <c r="B1704" s="5" t="inlineStr">
        <is>
          <t>.</t>
        </is>
      </c>
      <c r="C1704" s="1378">
        <f>IF(raw[[#This Row],[city]]="","-",IF(raw[[#This Row],[city]]="TODAY","-",C1703+1))</f>
        <v/>
      </c>
      <c r="D1704" s="1393" t="inlineStr">
        <is>
          <t>Sainte-Julienne</t>
        </is>
      </c>
      <c r="E1704" s="1394" t="n">
        <v>45283</v>
      </c>
      <c r="F1704" s="1394" t="n">
        <v>45285</v>
      </c>
      <c r="G1704" s="1393" t="inlineStr">
        <is>
          <t>-</t>
        </is>
      </c>
      <c r="H1704" s="1393" t="inlineStr">
        <is>
          <t>Gaspé</t>
        </is>
      </c>
      <c r="I1704" s="1393" t="inlineStr">
        <is>
          <t>Mike</t>
        </is>
      </c>
      <c r="J1704" s="1393" t="inlineStr">
        <is>
          <t>-</t>
        </is>
      </c>
      <c r="K1704" s="1395">
        <f>IF(raw[[#This Row],[city]]&lt;&gt;"",_xlfn.XLOOKUP($D1704,ccc[city],ccc[prov],"-"),"-")</f>
        <v/>
      </c>
      <c r="L1704" s="1395">
        <f>IF(raw[[#This Row],[city]]&lt;&gt;"",_xlfn.XLOOKUP($D1704,ccc[city],ccc[ctry],"-"),"-")</f>
        <v/>
      </c>
      <c r="M1704" s="1395">
        <f>IF(raw[[#This Row],[city]]&lt;&gt;"",_xlfn.XLOOKUP($D1704,ccc[city],ccc[cont],"-"),"-")</f>
        <v/>
      </c>
      <c r="N1704" s="1396">
        <f>IF(raw[[#This Row],[city]]="","-",IF(raw[[#This Row],[cont]]="B",raw[[#This Row],[cont]],"W"))</f>
        <v/>
      </c>
      <c r="O1704" s="1397">
        <f>IF(raw[[#This Row],[out]]=0,0,IF(raw[[#This Row],[out]]=raw[[#This Row],[in]],0.01,raw[[#This Row],[out]]-raw[[#This Row],[in]]))</f>
        <v/>
      </c>
      <c r="P1704" s="1397">
        <f>IF(raw[[#This Row],[in]]=0,0,MONTH(raw[[#This Row],[in]]))</f>
        <v/>
      </c>
      <c r="Q1704" s="1397">
        <f>IF(raw[[#This Row],[in]]=0,0,YEAR(raw[[#This Row],[in]]))</f>
        <v/>
      </c>
      <c r="R1704" s="1397">
        <f>INT(raw[[#This Row],[yr]]/10)*10</f>
        <v/>
      </c>
      <c r="S1704" s="1395">
        <f>IF(raw[[#This Row],[city]]="","-",IF(raw[[#This Row],[city]]&lt;&gt;_xlfn.XLOOKUP(raw[[#This Row],[home]],homes[home],homes[city],"-"),1,0))</f>
        <v/>
      </c>
      <c r="T1704" s="1398" t="inlineStr">
        <is>
          <t>.</t>
        </is>
      </c>
      <c r="U1704" s="1399">
        <f>IF(raw[[#This Row],[wb]]="w",raw[[#This Row],[stay]]+U1703,U1703)</f>
        <v/>
      </c>
      <c r="V1704" s="1400">
        <f>IF(raw[[#This Row],[out]]=0,V1703,(raw[[#This Row],[out]]-E$5))</f>
        <v/>
      </c>
      <c r="W1704" s="1401">
        <f>U1704/V1704</f>
        <v/>
      </c>
      <c r="X1704" s="1392" t="n"/>
      <c r="Y1704" s="1392" t="n"/>
      <c r="Z1704" s="1392" t="n"/>
      <c r="AA1704" s="1392" t="n"/>
      <c r="AB1704" s="1392" t="n"/>
      <c r="AC1704" s="1392" t="n"/>
      <c r="AD1704" s="1392" t="n"/>
      <c r="AE1704" s="1392" t="n"/>
      <c r="AF1704" s="1392" t="n"/>
      <c r="AG1704" s="1392" t="n"/>
      <c r="AH1704" s="1392" t="n"/>
      <c r="AI1704" s="1392" t="n"/>
      <c r="AJ1704" s="1392" t="n"/>
      <c r="AK1704" s="1392" t="n"/>
      <c r="AL1704" s="1392" t="n"/>
      <c r="AM1704" s="1392" t="n"/>
      <c r="AN1704" s="1392" t="n"/>
      <c r="AO1704" s="1392" t="n"/>
      <c r="AP1704" s="1392" t="n"/>
      <c r="AQ1704" s="1392" t="n"/>
      <c r="AR1704" s="1422" t="n"/>
      <c r="AS1704" s="1422" t="n"/>
      <c r="AT1704" s="1392" t="n"/>
      <c r="AU1704" s="1392" t="n"/>
      <c r="AV1704" s="1392" t="n"/>
      <c r="AW1704" s="1392" t="n"/>
      <c r="AX1704" s="1392" t="n"/>
      <c r="AY1704" s="1392" t="n"/>
      <c r="AZ1704" s="1392" t="n"/>
      <c r="BA1704" s="1422" t="n"/>
      <c r="BB1704" s="1422" t="n"/>
      <c r="BC1704" s="1392" t="n"/>
      <c r="BD1704" s="1392" t="n"/>
      <c r="BE1704" s="1392" t="n"/>
      <c r="BF1704" s="1392" t="n"/>
      <c r="BG1704" s="1392" t="n"/>
      <c r="BH1704" s="1392" t="n"/>
      <c r="BI1704" s="1392" t="n"/>
      <c r="BJ1704" s="1392" t="n"/>
      <c r="BK1704" s="1392" t="n"/>
      <c r="BL1704" s="1392" t="n"/>
      <c r="BM1704" s="1392" t="n"/>
      <c r="BN1704" s="1392" t="n"/>
      <c r="BO1704" s="1392" t="n"/>
      <c r="BP1704" s="1392" t="n"/>
      <c r="BQ1704" s="1392" t="n"/>
      <c r="BR1704" s="1392" t="n"/>
      <c r="BS1704" s="1392" t="n"/>
      <c r="BT1704" s="1392" t="n"/>
      <c r="BU1704" s="1392" t="n"/>
      <c r="BV1704" s="1392" t="n"/>
      <c r="BW1704" s="1392" t="n"/>
      <c r="BX1704" s="1392" t="n"/>
      <c r="BY1704" s="1392" t="n"/>
      <c r="BZ1704" s="1392" t="n"/>
      <c r="CA1704" s="1392" t="n"/>
      <c r="CB1704" s="1392" t="n"/>
      <c r="CC1704" s="1392" t="n"/>
      <c r="CD1704" s="1392" t="n"/>
      <c r="CE1704" s="1392" t="n"/>
      <c r="CF1704" s="1392" t="n"/>
      <c r="CG1704" s="1392" t="n"/>
      <c r="CH1704" s="1392" t="n"/>
      <c r="CI1704" s="1392" t="n"/>
      <c r="CJ1704" s="1392" t="n"/>
      <c r="CK1704" s="1392" t="n"/>
      <c r="CL1704" s="1392" t="n"/>
    </row>
    <row r="1705">
      <c r="A1705" s="5" t="inlineStr">
        <is>
          <t>.</t>
        </is>
      </c>
      <c r="B1705" s="5" t="inlineStr">
        <is>
          <t>.</t>
        </is>
      </c>
      <c r="C1705" s="1378">
        <f>IF(raw[[#This Row],[city]]="","-",IF(raw[[#This Row],[city]]="TODAY","-",C1704+1))</f>
        <v/>
      </c>
      <c r="D1705" s="1393" t="inlineStr">
        <is>
          <t>Montreal</t>
        </is>
      </c>
      <c r="E1705" s="1394" t="n">
        <v>45285</v>
      </c>
      <c r="F1705" s="1394" t="n">
        <v>45292</v>
      </c>
      <c r="G1705" s="1393" t="inlineStr">
        <is>
          <t>-</t>
        </is>
      </c>
      <c r="H1705" s="1393" t="inlineStr">
        <is>
          <t>Gaspé</t>
        </is>
      </c>
      <c r="I1705" s="1393" t="inlineStr">
        <is>
          <t>-</t>
        </is>
      </c>
      <c r="J1705" s="1393" t="inlineStr">
        <is>
          <t>-</t>
        </is>
      </c>
      <c r="K1705" s="1395">
        <f>IF(raw[[#This Row],[city]]&lt;&gt;"",_xlfn.XLOOKUP($D1705,ccc[city],ccc[prov],"-"),"-")</f>
        <v/>
      </c>
      <c r="L1705" s="1395">
        <f>IF(raw[[#This Row],[city]]&lt;&gt;"",_xlfn.XLOOKUP($D1705,ccc[city],ccc[ctry],"-"),"-")</f>
        <v/>
      </c>
      <c r="M1705" s="1395">
        <f>IF(raw[[#This Row],[city]]&lt;&gt;"",_xlfn.XLOOKUP($D1705,ccc[city],ccc[cont],"-"),"-")</f>
        <v/>
      </c>
      <c r="N1705" s="1396">
        <f>IF(raw[[#This Row],[city]]="","-",IF(raw[[#This Row],[cont]]="B",raw[[#This Row],[cont]],"W"))</f>
        <v/>
      </c>
      <c r="O1705" s="1397">
        <f>IF(raw[[#This Row],[out]]=0,0,IF(raw[[#This Row],[out]]=raw[[#This Row],[in]],0.01,raw[[#This Row],[out]]-raw[[#This Row],[in]]))</f>
        <v/>
      </c>
      <c r="P1705" s="1397">
        <f>IF(raw[[#This Row],[in]]=0,0,MONTH(raw[[#This Row],[in]]))</f>
        <v/>
      </c>
      <c r="Q1705" s="1397">
        <f>IF(raw[[#This Row],[in]]=0,0,YEAR(raw[[#This Row],[in]]))</f>
        <v/>
      </c>
      <c r="R1705" s="1397">
        <f>INT(raw[[#This Row],[yr]]/10)*10</f>
        <v/>
      </c>
      <c r="S1705" s="1395">
        <f>IF(raw[[#This Row],[city]]="","-",IF(raw[[#This Row],[city]]&lt;&gt;_xlfn.XLOOKUP(raw[[#This Row],[home]],homes[home],homes[city],"-"),1,0))</f>
        <v/>
      </c>
      <c r="T1705" s="1398" t="inlineStr">
        <is>
          <t>.</t>
        </is>
      </c>
      <c r="U1705" s="1399">
        <f>IF(raw[[#This Row],[wb]]="w",raw[[#This Row],[stay]]+U1704,U1704)</f>
        <v/>
      </c>
      <c r="V1705" s="1400">
        <f>IF(raw[[#This Row],[out]]=0,V1704,(raw[[#This Row],[out]]-E$5))</f>
        <v/>
      </c>
      <c r="W1705" s="1401">
        <f>U1705/V1705</f>
        <v/>
      </c>
      <c r="X1705" s="1392" t="n"/>
      <c r="Y1705" s="1392" t="n"/>
      <c r="Z1705" s="1392" t="n"/>
      <c r="AA1705" s="1392" t="n"/>
      <c r="AB1705" s="1392" t="n"/>
      <c r="AC1705" s="1392" t="n"/>
      <c r="AD1705" s="1392" t="n"/>
      <c r="AE1705" s="1392" t="n"/>
      <c r="AF1705" s="1392" t="n"/>
      <c r="AG1705" s="1392" t="n"/>
      <c r="AH1705" s="1392" t="n"/>
      <c r="AI1705" s="1392" t="n"/>
      <c r="AJ1705" s="1392" t="n"/>
      <c r="AK1705" s="1392" t="n"/>
      <c r="AL1705" s="1392" t="n"/>
      <c r="AM1705" s="1392" t="n"/>
      <c r="AN1705" s="1392" t="n"/>
      <c r="AO1705" s="1392" t="n"/>
      <c r="AP1705" s="1392" t="n"/>
      <c r="AQ1705" s="1392" t="n"/>
      <c r="AR1705" s="1422" t="n"/>
      <c r="AS1705" s="1422" t="n"/>
      <c r="AT1705" s="1392" t="n"/>
      <c r="AU1705" s="1392" t="n"/>
      <c r="AV1705" s="1392" t="n"/>
      <c r="AW1705" s="1392" t="n"/>
      <c r="AX1705" s="1392" t="n"/>
      <c r="AY1705" s="1392" t="n"/>
      <c r="AZ1705" s="1392" t="n"/>
      <c r="BA1705" s="1422" t="n"/>
      <c r="BB1705" s="1422" t="n"/>
      <c r="BC1705" s="1392" t="n"/>
      <c r="BD1705" s="1392" t="n"/>
      <c r="BE1705" s="1392" t="n"/>
      <c r="BF1705" s="1392" t="n"/>
      <c r="BG1705" s="1392" t="n"/>
      <c r="BH1705" s="1392" t="n"/>
      <c r="BI1705" s="1392" t="n"/>
      <c r="BJ1705" s="1392" t="n"/>
      <c r="BK1705" s="1392" t="n"/>
      <c r="BL1705" s="1392" t="n"/>
      <c r="BM1705" s="1392" t="n"/>
      <c r="BN1705" s="1392" t="n"/>
      <c r="BO1705" s="1392" t="n"/>
      <c r="BP1705" s="1392" t="n"/>
      <c r="BQ1705" s="1392" t="n"/>
      <c r="BR1705" s="1392" t="n"/>
      <c r="BS1705" s="1392" t="n"/>
      <c r="BT1705" s="1392" t="n"/>
      <c r="BU1705" s="1392" t="n"/>
      <c r="BV1705" s="1392" t="n"/>
      <c r="BW1705" s="1392" t="n"/>
      <c r="BX1705" s="1392" t="n"/>
      <c r="BY1705" s="1392" t="n"/>
      <c r="BZ1705" s="1392" t="n"/>
      <c r="CA1705" s="1392" t="n"/>
      <c r="CB1705" s="1392" t="n"/>
      <c r="CC1705" s="1392" t="n"/>
      <c r="CD1705" s="1392" t="n"/>
      <c r="CE1705" s="1392" t="n"/>
      <c r="CF1705" s="1392" t="n"/>
      <c r="CG1705" s="1392" t="n"/>
      <c r="CH1705" s="1392" t="n"/>
      <c r="CI1705" s="1392" t="n"/>
      <c r="CJ1705" s="1392" t="n"/>
      <c r="CK1705" s="1392" t="n"/>
      <c r="CL1705" s="1392" t="n"/>
    </row>
    <row r="1706">
      <c r="A1706" s="5" t="inlineStr">
        <is>
          <t>.</t>
        </is>
      </c>
      <c r="B1706" s="5" t="inlineStr">
        <is>
          <t>.</t>
        </is>
      </c>
      <c r="C1706" s="1378">
        <f>IF(raw[[#This Row],[city]]="","-",IF(raw[[#This Row],[city]]="TODAY","-",C1705+1))</f>
        <v/>
      </c>
      <c r="D1706" s="1393" t="inlineStr">
        <is>
          <t>Montreal</t>
        </is>
      </c>
      <c r="E1706" s="1394" t="n">
        <v>45292</v>
      </c>
      <c r="F1706" s="1394" t="n">
        <v>45323</v>
      </c>
      <c r="G1706" s="1393" t="inlineStr">
        <is>
          <t>-</t>
        </is>
      </c>
      <c r="H1706" s="1393" t="inlineStr">
        <is>
          <t>Gaspé</t>
        </is>
      </c>
      <c r="I1706" s="1393" t="inlineStr">
        <is>
          <t>-</t>
        </is>
      </c>
      <c r="J1706" s="1393" t="inlineStr">
        <is>
          <t>REV</t>
        </is>
      </c>
      <c r="K1706" s="1395">
        <f>IF(raw[[#This Row],[city]]&lt;&gt;"",_xlfn.XLOOKUP($D1706,ccc[city],ccc[prov],"-"),"-")</f>
        <v/>
      </c>
      <c r="L1706" s="1395">
        <f>IF(raw[[#This Row],[city]]&lt;&gt;"",_xlfn.XLOOKUP($D1706,ccc[city],ccc[ctry],"-"),"-")</f>
        <v/>
      </c>
      <c r="M1706" s="1395">
        <f>IF(raw[[#This Row],[city]]&lt;&gt;"",_xlfn.XLOOKUP($D1706,ccc[city],ccc[cont],"-"),"-")</f>
        <v/>
      </c>
      <c r="N1706" s="1396">
        <f>IF(raw[[#This Row],[city]]="","-",IF(raw[[#This Row],[cont]]="B",raw[[#This Row],[cont]],"W"))</f>
        <v/>
      </c>
      <c r="O1706" s="1397">
        <f>IF(raw[[#This Row],[out]]=0,0,IF(raw[[#This Row],[out]]=raw[[#This Row],[in]],0.01,raw[[#This Row],[out]]-raw[[#This Row],[in]]))</f>
        <v/>
      </c>
      <c r="P1706" s="1397">
        <f>IF(raw[[#This Row],[in]]=0,0,MONTH(raw[[#This Row],[in]]))</f>
        <v/>
      </c>
      <c r="Q1706" s="1397">
        <f>IF(raw[[#This Row],[in]]=0,0,YEAR(raw[[#This Row],[in]]))</f>
        <v/>
      </c>
      <c r="R1706" s="1397">
        <f>INT(raw[[#This Row],[yr]]/10)*10</f>
        <v/>
      </c>
      <c r="S1706" s="1395">
        <f>IF(raw[[#This Row],[city]]="","-",IF(raw[[#This Row],[city]]&lt;&gt;_xlfn.XLOOKUP(raw[[#This Row],[home]],homes[home],homes[city],"-"),1,0))</f>
        <v/>
      </c>
      <c r="T1706" s="1398" t="inlineStr">
        <is>
          <t>.</t>
        </is>
      </c>
      <c r="U1706" s="1399">
        <f>IF(raw[[#This Row],[wb]]="w",raw[[#This Row],[stay]]+U1705,U1705)</f>
        <v/>
      </c>
      <c r="V1706" s="1400">
        <f>IF(raw[[#This Row],[out]]=0,V1705,(raw[[#This Row],[out]]-E$5))</f>
        <v/>
      </c>
      <c r="W1706" s="1401">
        <f>U1706/V1706</f>
        <v/>
      </c>
      <c r="X1706" s="1392" t="n"/>
      <c r="Y1706" s="1392" t="n"/>
      <c r="Z1706" s="1392" t="n"/>
      <c r="AA1706" s="1392" t="n"/>
      <c r="AB1706" s="1392" t="n"/>
      <c r="AC1706" s="1392" t="n"/>
      <c r="AD1706" s="1392" t="n"/>
      <c r="AE1706" s="1392" t="n"/>
      <c r="AF1706" s="1392" t="n"/>
      <c r="AG1706" s="1392" t="n"/>
      <c r="AH1706" s="1392" t="n"/>
      <c r="AI1706" s="1392" t="n"/>
      <c r="AJ1706" s="1392" t="n"/>
      <c r="AK1706" s="1392" t="n"/>
      <c r="AL1706" s="1392" t="n"/>
      <c r="AM1706" s="1392" t="n"/>
      <c r="AN1706" s="1392" t="n"/>
      <c r="AO1706" s="1392" t="n"/>
      <c r="AP1706" s="1392" t="n"/>
      <c r="AQ1706" s="1392" t="n"/>
      <c r="AR1706" s="1422" t="n"/>
      <c r="AS1706" s="1422" t="n"/>
      <c r="AT1706" s="1392" t="n"/>
      <c r="AU1706" s="1392" t="n"/>
      <c r="AV1706" s="1392" t="n"/>
      <c r="AW1706" s="1392" t="n"/>
      <c r="AX1706" s="1392" t="n"/>
      <c r="AY1706" s="1392" t="n"/>
      <c r="AZ1706" s="1392" t="n"/>
      <c r="BA1706" s="1422" t="n"/>
      <c r="BB1706" s="1422" t="n"/>
      <c r="BC1706" s="1392" t="n"/>
      <c r="BD1706" s="1392" t="n"/>
      <c r="BE1706" s="1392" t="n"/>
      <c r="BF1706" s="1392" t="n"/>
      <c r="BG1706" s="1392" t="n"/>
      <c r="BH1706" s="1392" t="n"/>
      <c r="BI1706" s="1392" t="n"/>
      <c r="BJ1706" s="1392" t="n"/>
      <c r="BK1706" s="1392" t="n"/>
      <c r="BL1706" s="1392" t="n"/>
      <c r="BM1706" s="1392" t="n"/>
      <c r="BN1706" s="1392" t="n"/>
      <c r="BO1706" s="1392" t="n"/>
      <c r="BP1706" s="1392" t="n"/>
      <c r="BQ1706" s="1392" t="n"/>
      <c r="BR1706" s="1392" t="n"/>
      <c r="BS1706" s="1392" t="n"/>
      <c r="BT1706" s="1392" t="n"/>
      <c r="BU1706" s="1392" t="n"/>
      <c r="BV1706" s="1392" t="n"/>
      <c r="BW1706" s="1392" t="n"/>
      <c r="BX1706" s="1392" t="n"/>
      <c r="BY1706" s="1392" t="n"/>
      <c r="BZ1706" s="1392" t="n"/>
      <c r="CA1706" s="1392" t="n"/>
      <c r="CB1706" s="1392" t="n"/>
      <c r="CC1706" s="1392" t="n"/>
      <c r="CD1706" s="1392" t="n"/>
      <c r="CE1706" s="1392" t="n"/>
      <c r="CF1706" s="1392" t="n"/>
      <c r="CG1706" s="1392" t="n"/>
      <c r="CH1706" s="1392" t="n"/>
      <c r="CI1706" s="1392" t="n"/>
      <c r="CJ1706" s="1392" t="n"/>
      <c r="CK1706" s="1392" t="n"/>
      <c r="CL1706" s="1392" t="n"/>
    </row>
    <row r="1707">
      <c r="A1707" s="5" t="inlineStr">
        <is>
          <t>.</t>
        </is>
      </c>
      <c r="B1707" s="5" t="inlineStr">
        <is>
          <t>.</t>
        </is>
      </c>
      <c r="C1707" s="1378">
        <f>IF(raw[[#This Row],[city]]="","-",IF(raw[[#This Row],[city]]="TODAY","-",C1706+1))</f>
        <v/>
      </c>
      <c r="D1707" s="1393" t="inlineStr">
        <is>
          <t>Montreal</t>
        </is>
      </c>
      <c r="E1707" s="1394" t="n">
        <v>45323</v>
      </c>
      <c r="F1707" s="1394" t="n">
        <v>45330</v>
      </c>
      <c r="G1707" s="1393" t="inlineStr">
        <is>
          <t>-</t>
        </is>
      </c>
      <c r="H1707" s="1393" t="inlineStr">
        <is>
          <t>Gaspé</t>
        </is>
      </c>
      <c r="I1707" s="1393" t="inlineStr">
        <is>
          <t>-</t>
        </is>
      </c>
      <c r="J1707" s="1393" t="inlineStr">
        <is>
          <t>-</t>
        </is>
      </c>
      <c r="K1707" s="1395">
        <f>IF(raw[[#This Row],[city]]&lt;&gt;"",_xlfn.XLOOKUP($D1707,ccc[city],ccc[prov],"-"),"-")</f>
        <v/>
      </c>
      <c r="L1707" s="1395">
        <f>IF(raw[[#This Row],[city]]&lt;&gt;"",_xlfn.XLOOKUP($D1707,ccc[city],ccc[ctry],"-"),"-")</f>
        <v/>
      </c>
      <c r="M1707" s="1395">
        <f>IF(raw[[#This Row],[city]]&lt;&gt;"",_xlfn.XLOOKUP($D1707,ccc[city],ccc[cont],"-"),"-")</f>
        <v/>
      </c>
      <c r="N1707" s="1396">
        <f>IF(raw[[#This Row],[city]]="","-",IF(raw[[#This Row],[cont]]="B",raw[[#This Row],[cont]],"W"))</f>
        <v/>
      </c>
      <c r="O1707" s="1397">
        <f>IF(raw[[#This Row],[out]]=0,0,IF(raw[[#This Row],[out]]=raw[[#This Row],[in]],0.01,raw[[#This Row],[out]]-raw[[#This Row],[in]]))</f>
        <v/>
      </c>
      <c r="P1707" s="1397">
        <f>IF(raw[[#This Row],[in]]=0,0,MONTH(raw[[#This Row],[in]]))</f>
        <v/>
      </c>
      <c r="Q1707" s="1397">
        <f>IF(raw[[#This Row],[in]]=0,0,YEAR(raw[[#This Row],[in]]))</f>
        <v/>
      </c>
      <c r="R1707" s="1397">
        <f>INT(raw[[#This Row],[yr]]/10)*10</f>
        <v/>
      </c>
      <c r="S1707" s="1395">
        <f>IF(raw[[#This Row],[city]]="","-",IF(raw[[#This Row],[city]]&lt;&gt;_xlfn.XLOOKUP(raw[[#This Row],[home]],homes[home],homes[city],"-"),1,0))</f>
        <v/>
      </c>
      <c r="T1707" s="1398" t="inlineStr">
        <is>
          <t>.</t>
        </is>
      </c>
      <c r="U1707" s="1399">
        <f>IF(raw[[#This Row],[wb]]="w",raw[[#This Row],[stay]]+U1706,U1706)</f>
        <v/>
      </c>
      <c r="V1707" s="1400">
        <f>IF(raw[[#This Row],[out]]=0,V1706,(raw[[#This Row],[out]]-E$5))</f>
        <v/>
      </c>
      <c r="W1707" s="1401">
        <f>U1707/V1707</f>
        <v/>
      </c>
      <c r="X1707" s="1392" t="n"/>
      <c r="Y1707" s="1392" t="n"/>
      <c r="Z1707" s="1392" t="n"/>
      <c r="AA1707" s="1392" t="n"/>
      <c r="AB1707" s="1392" t="n"/>
      <c r="AC1707" s="1392" t="n"/>
      <c r="AD1707" s="1392" t="n"/>
      <c r="AE1707" s="1392" t="n"/>
      <c r="AF1707" s="1392" t="n"/>
      <c r="AG1707" s="1392" t="n"/>
      <c r="AH1707" s="1392" t="n"/>
      <c r="AI1707" s="1392" t="n"/>
      <c r="AJ1707" s="1392" t="n"/>
      <c r="AK1707" s="1392" t="n"/>
      <c r="AL1707" s="1392" t="n"/>
      <c r="AM1707" s="1392" t="n"/>
      <c r="AN1707" s="1392" t="n"/>
      <c r="AO1707" s="1392" t="n"/>
      <c r="AP1707" s="1392" t="n"/>
      <c r="AQ1707" s="1392" t="n"/>
      <c r="AR1707" s="1422" t="n"/>
      <c r="AS1707" s="1422" t="n"/>
      <c r="AT1707" s="1392" t="n"/>
      <c r="AU1707" s="1392" t="n"/>
      <c r="AV1707" s="1392" t="n"/>
      <c r="AW1707" s="1392" t="n"/>
      <c r="AX1707" s="1392" t="n"/>
      <c r="AY1707" s="1392" t="n"/>
      <c r="AZ1707" s="1392" t="n"/>
      <c r="BA1707" s="1422" t="n"/>
      <c r="BB1707" s="1422" t="n"/>
      <c r="BC1707" s="1392" t="n"/>
      <c r="BD1707" s="1392" t="n"/>
      <c r="BE1707" s="1392" t="n"/>
      <c r="BF1707" s="1392" t="n"/>
      <c r="BG1707" s="1392" t="n"/>
      <c r="BH1707" s="1392" t="n"/>
      <c r="BI1707" s="1392" t="n"/>
      <c r="BJ1707" s="1392" t="n"/>
      <c r="BK1707" s="1392" t="n"/>
      <c r="BL1707" s="1392" t="n"/>
      <c r="BM1707" s="1392" t="n"/>
      <c r="BN1707" s="1392" t="n"/>
      <c r="BO1707" s="1392" t="n"/>
      <c r="BP1707" s="1392" t="n"/>
      <c r="BQ1707" s="1392" t="n"/>
      <c r="BR1707" s="1392" t="n"/>
      <c r="BS1707" s="1392" t="n"/>
      <c r="BT1707" s="1392" t="n"/>
      <c r="BU1707" s="1392" t="n"/>
      <c r="BV1707" s="1392" t="n"/>
      <c r="BW1707" s="1392" t="n"/>
      <c r="BX1707" s="1392" t="n"/>
      <c r="BY1707" s="1392" t="n"/>
      <c r="BZ1707" s="1392" t="n"/>
      <c r="CA1707" s="1392" t="n"/>
      <c r="CB1707" s="1392" t="n"/>
      <c r="CC1707" s="1392" t="n"/>
      <c r="CD1707" s="1392" t="n"/>
      <c r="CE1707" s="1392" t="n"/>
      <c r="CF1707" s="1392" t="n"/>
      <c r="CG1707" s="1392" t="n"/>
      <c r="CH1707" s="1392" t="n"/>
      <c r="CI1707" s="1392" t="n"/>
      <c r="CJ1707" s="1392" t="n"/>
      <c r="CK1707" s="1392" t="n"/>
      <c r="CL1707" s="1392" t="n"/>
    </row>
    <row r="1708">
      <c r="A1708" s="5" t="inlineStr">
        <is>
          <t>.</t>
        </is>
      </c>
      <c r="B1708" s="5" t="inlineStr">
        <is>
          <t>.</t>
        </is>
      </c>
      <c r="C1708" s="1378">
        <f>IF(raw[[#This Row],[city]]="","-",IF(raw[[#This Row],[city]]="TODAY","-",C1707+1))</f>
        <v/>
      </c>
      <c r="D1708" s="1393" t="inlineStr">
        <is>
          <t>Sainte-Julienne</t>
        </is>
      </c>
      <c r="E1708" s="1394" t="n">
        <v>45330</v>
      </c>
      <c r="F1708" s="1394" t="n">
        <v>45332</v>
      </c>
      <c r="G1708" s="1393" t="inlineStr">
        <is>
          <t>-</t>
        </is>
      </c>
      <c r="H1708" s="1393" t="inlineStr">
        <is>
          <t>Gaspé</t>
        </is>
      </c>
      <c r="I1708" s="1393" t="inlineStr">
        <is>
          <t>Mike</t>
        </is>
      </c>
      <c r="J1708" s="1393" t="inlineStr">
        <is>
          <t>-</t>
        </is>
      </c>
      <c r="K1708" s="1395">
        <f>IF(raw[[#This Row],[city]]&lt;&gt;"",_xlfn.XLOOKUP($D1708,ccc[city],ccc[prov],"-"),"-")</f>
        <v/>
      </c>
      <c r="L1708" s="1395">
        <f>IF(raw[[#This Row],[city]]&lt;&gt;"",_xlfn.XLOOKUP($D1708,ccc[city],ccc[ctry],"-"),"-")</f>
        <v/>
      </c>
      <c r="M1708" s="1395">
        <f>IF(raw[[#This Row],[city]]&lt;&gt;"",_xlfn.XLOOKUP($D1708,ccc[city],ccc[cont],"-"),"-")</f>
        <v/>
      </c>
      <c r="N1708" s="1396">
        <f>IF(raw[[#This Row],[city]]="","-",IF(raw[[#This Row],[cont]]="B",raw[[#This Row],[cont]],"W"))</f>
        <v/>
      </c>
      <c r="O1708" s="1397">
        <f>IF(raw[[#This Row],[out]]=0,0,IF(raw[[#This Row],[out]]=raw[[#This Row],[in]],0.01,raw[[#This Row],[out]]-raw[[#This Row],[in]]))</f>
        <v/>
      </c>
      <c r="P1708" s="1397">
        <f>IF(raw[[#This Row],[in]]=0,0,MONTH(raw[[#This Row],[in]]))</f>
        <v/>
      </c>
      <c r="Q1708" s="1397">
        <f>IF(raw[[#This Row],[in]]=0,0,YEAR(raw[[#This Row],[in]]))</f>
        <v/>
      </c>
      <c r="R1708" s="1397">
        <f>INT(raw[[#This Row],[yr]]/10)*10</f>
        <v/>
      </c>
      <c r="S1708" s="1395">
        <f>IF(raw[[#This Row],[city]]="","-",IF(raw[[#This Row],[city]]&lt;&gt;_xlfn.XLOOKUP(raw[[#This Row],[home]],homes[home],homes[city],"-"),1,0))</f>
        <v/>
      </c>
      <c r="T1708" s="1398" t="inlineStr">
        <is>
          <t>.</t>
        </is>
      </c>
      <c r="U1708" s="1399">
        <f>IF(raw[[#This Row],[wb]]="w",raw[[#This Row],[stay]]+U1707,U1707)</f>
        <v/>
      </c>
      <c r="V1708" s="1400">
        <f>IF(raw[[#This Row],[out]]=0,V1707,(raw[[#This Row],[out]]-E$5))</f>
        <v/>
      </c>
      <c r="W1708" s="1401">
        <f>U1708/V1708</f>
        <v/>
      </c>
      <c r="X1708" s="1392" t="n"/>
      <c r="Y1708" s="1392" t="n"/>
      <c r="Z1708" s="1392" t="n"/>
      <c r="AA1708" s="1392" t="n"/>
      <c r="AB1708" s="1392" t="n"/>
      <c r="AC1708" s="1392" t="n"/>
      <c r="AD1708" s="1392" t="n"/>
      <c r="AE1708" s="1392" t="n"/>
      <c r="AF1708" s="1392" t="n"/>
      <c r="AG1708" s="1392" t="n"/>
      <c r="AH1708" s="1392" t="n"/>
      <c r="AI1708" s="1392" t="n"/>
      <c r="AJ1708" s="1392" t="n"/>
      <c r="AK1708" s="1392" t="n"/>
      <c r="AL1708" s="1392" t="n"/>
      <c r="AM1708" s="1392" t="n"/>
      <c r="AN1708" s="1392" t="n"/>
      <c r="AO1708" s="1392" t="n"/>
      <c r="AP1708" s="1392" t="n"/>
      <c r="AQ1708" s="1392" t="n"/>
      <c r="AR1708" s="1422" t="n"/>
      <c r="AS1708" s="1422" t="n"/>
      <c r="AT1708" s="1392" t="n"/>
      <c r="AU1708" s="1392" t="n"/>
      <c r="AV1708" s="1392" t="n"/>
      <c r="AW1708" s="1392" t="n"/>
      <c r="AX1708" s="1392" t="n"/>
      <c r="AY1708" s="1392" t="n"/>
      <c r="AZ1708" s="1392" t="n"/>
      <c r="BA1708" s="1422" t="n"/>
      <c r="BB1708" s="1422" t="n"/>
      <c r="BC1708" s="1392" t="n"/>
      <c r="BD1708" s="1392" t="n"/>
      <c r="BE1708" s="1392" t="n"/>
      <c r="BF1708" s="1392" t="n"/>
      <c r="BG1708" s="1392" t="n"/>
      <c r="BH1708" s="1392" t="n"/>
      <c r="BI1708" s="1392" t="n"/>
      <c r="BJ1708" s="1392" t="n"/>
      <c r="BK1708" s="1392" t="n"/>
      <c r="BL1708" s="1392" t="n"/>
      <c r="BM1708" s="1392" t="n"/>
      <c r="BN1708" s="1392" t="n"/>
      <c r="BO1708" s="1392" t="n"/>
      <c r="BP1708" s="1392" t="n"/>
      <c r="BQ1708" s="1392" t="n"/>
      <c r="BR1708" s="1392" t="n"/>
      <c r="BS1708" s="1392" t="n"/>
      <c r="BT1708" s="1392" t="n"/>
      <c r="BU1708" s="1392" t="n"/>
      <c r="BV1708" s="1392" t="n"/>
      <c r="BW1708" s="1392" t="n"/>
      <c r="BX1708" s="1392" t="n"/>
      <c r="BY1708" s="1392" t="n"/>
      <c r="BZ1708" s="1392" t="n"/>
      <c r="CA1708" s="1392" t="n"/>
      <c r="CB1708" s="1392" t="n"/>
      <c r="CC1708" s="1392" t="n"/>
      <c r="CD1708" s="1392" t="n"/>
      <c r="CE1708" s="1392" t="n"/>
      <c r="CF1708" s="1392" t="n"/>
      <c r="CG1708" s="1392" t="n"/>
      <c r="CH1708" s="1392" t="n"/>
      <c r="CI1708" s="1392" t="n"/>
      <c r="CJ1708" s="1392" t="n"/>
      <c r="CK1708" s="1392" t="n"/>
      <c r="CL1708" s="1392" t="n"/>
    </row>
    <row r="1709">
      <c r="A1709" s="5" t="inlineStr">
        <is>
          <t>.</t>
        </is>
      </c>
      <c r="B1709" s="5" t="inlineStr">
        <is>
          <t>.</t>
        </is>
      </c>
      <c r="C1709" s="1378">
        <f>IF(raw[[#This Row],[city]]="","-",IF(raw[[#This Row],[city]]="TODAY","-",C1708+1))</f>
        <v/>
      </c>
      <c r="D1709" s="1393" t="inlineStr">
        <is>
          <t>Montreal</t>
        </is>
      </c>
      <c r="E1709" s="1394" t="n">
        <v>45332</v>
      </c>
      <c r="F1709" s="1394" t="n">
        <v>45352</v>
      </c>
      <c r="G1709" s="1393" t="inlineStr">
        <is>
          <t>-</t>
        </is>
      </c>
      <c r="H1709" s="1393" t="inlineStr">
        <is>
          <t>Gaspé</t>
        </is>
      </c>
      <c r="I1709" s="1393" t="inlineStr">
        <is>
          <t>-</t>
        </is>
      </c>
      <c r="J1709" s="1393" t="inlineStr">
        <is>
          <t>-</t>
        </is>
      </c>
      <c r="K1709" s="1395">
        <f>IF(raw[[#This Row],[city]]&lt;&gt;"",_xlfn.XLOOKUP($D1709,ccc[city],ccc[prov],"-"),"-")</f>
        <v/>
      </c>
      <c r="L1709" s="1395">
        <f>IF(raw[[#This Row],[city]]&lt;&gt;"",_xlfn.XLOOKUP($D1709,ccc[city],ccc[ctry],"-"),"-")</f>
        <v/>
      </c>
      <c r="M1709" s="1395">
        <f>IF(raw[[#This Row],[city]]&lt;&gt;"",_xlfn.XLOOKUP($D1709,ccc[city],ccc[cont],"-"),"-")</f>
        <v/>
      </c>
      <c r="N1709" s="1396">
        <f>IF(raw[[#This Row],[city]]="","-",IF(raw[[#This Row],[cont]]="B",raw[[#This Row],[cont]],"W"))</f>
        <v/>
      </c>
      <c r="O1709" s="1397">
        <f>IF(raw[[#This Row],[out]]=0,0,IF(raw[[#This Row],[out]]=raw[[#This Row],[in]],0.01,raw[[#This Row],[out]]-raw[[#This Row],[in]]))</f>
        <v/>
      </c>
      <c r="P1709" s="1397">
        <f>IF(raw[[#This Row],[in]]=0,0,MONTH(raw[[#This Row],[in]]))</f>
        <v/>
      </c>
      <c r="Q1709" s="1397">
        <f>IF(raw[[#This Row],[in]]=0,0,YEAR(raw[[#This Row],[in]]))</f>
        <v/>
      </c>
      <c r="R1709" s="1397">
        <f>INT(raw[[#This Row],[yr]]/10)*10</f>
        <v/>
      </c>
      <c r="S1709" s="1395">
        <f>IF(raw[[#This Row],[city]]="","-",IF(raw[[#This Row],[city]]&lt;&gt;_xlfn.XLOOKUP(raw[[#This Row],[home]],homes[home],homes[city],"-"),1,0))</f>
        <v/>
      </c>
      <c r="T1709" s="1398" t="inlineStr">
        <is>
          <t>.</t>
        </is>
      </c>
      <c r="U1709" s="1399">
        <f>IF(raw[[#This Row],[wb]]="w",raw[[#This Row],[stay]]+U1708,U1708)</f>
        <v/>
      </c>
      <c r="V1709" s="1400">
        <f>IF(raw[[#This Row],[out]]=0,V1708,(raw[[#This Row],[out]]-E$5))</f>
        <v/>
      </c>
      <c r="W1709" s="1401">
        <f>U1709/V1709</f>
        <v/>
      </c>
      <c r="X1709" s="1392" t="n"/>
      <c r="Y1709" s="1392" t="n"/>
      <c r="Z1709" s="1392" t="n"/>
      <c r="AA1709" s="1392" t="n"/>
      <c r="AB1709" s="1392" t="n"/>
      <c r="AC1709" s="1392" t="n"/>
      <c r="AD1709" s="1392" t="n"/>
      <c r="AE1709" s="1392" t="n"/>
      <c r="AF1709" s="1392" t="n"/>
      <c r="AG1709" s="1392" t="n"/>
      <c r="AH1709" s="1392" t="n"/>
      <c r="AI1709" s="1392" t="n"/>
      <c r="AJ1709" s="1392" t="n"/>
      <c r="AK1709" s="1392" t="n"/>
      <c r="AL1709" s="1392" t="n"/>
      <c r="AM1709" s="1392" t="n"/>
      <c r="AN1709" s="1392" t="n"/>
      <c r="AO1709" s="1392" t="n"/>
      <c r="AP1709" s="1392" t="n"/>
      <c r="AQ1709" s="1392" t="n"/>
      <c r="AR1709" s="1422" t="n"/>
      <c r="AS1709" s="1422" t="n"/>
      <c r="AT1709" s="1392" t="n"/>
      <c r="AU1709" s="1392" t="n"/>
      <c r="AV1709" s="1392" t="n"/>
      <c r="AW1709" s="1392" t="n"/>
      <c r="AX1709" s="1392" t="n"/>
      <c r="AY1709" s="1392" t="n"/>
      <c r="AZ1709" s="1392" t="n"/>
      <c r="BA1709" s="1422" t="n"/>
      <c r="BB1709" s="1422" t="n"/>
      <c r="BC1709" s="1392" t="n"/>
      <c r="BD1709" s="1392" t="n"/>
      <c r="BE1709" s="1392" t="n"/>
      <c r="BF1709" s="1392" t="n"/>
      <c r="BG1709" s="1392" t="n"/>
      <c r="BH1709" s="1392" t="n"/>
      <c r="BI1709" s="1392" t="n"/>
      <c r="BJ1709" s="1392" t="n"/>
      <c r="BK1709" s="1392" t="n"/>
      <c r="BL1709" s="1392" t="n"/>
      <c r="BM1709" s="1392" t="n"/>
      <c r="BN1709" s="1392" t="n"/>
      <c r="BO1709" s="1392" t="n"/>
      <c r="BP1709" s="1392" t="n"/>
      <c r="BQ1709" s="1392" t="n"/>
      <c r="BR1709" s="1392" t="n"/>
      <c r="BS1709" s="1392" t="n"/>
      <c r="BT1709" s="1392" t="n"/>
      <c r="BU1709" s="1392" t="n"/>
      <c r="BV1709" s="1392" t="n"/>
      <c r="BW1709" s="1392" t="n"/>
      <c r="BX1709" s="1392" t="n"/>
      <c r="BY1709" s="1392" t="n"/>
      <c r="BZ1709" s="1392" t="n"/>
      <c r="CA1709" s="1392" t="n"/>
      <c r="CB1709" s="1392" t="n"/>
      <c r="CC1709" s="1392" t="n"/>
      <c r="CD1709" s="1392" t="n"/>
      <c r="CE1709" s="1392" t="n"/>
      <c r="CF1709" s="1392" t="n"/>
      <c r="CG1709" s="1392" t="n"/>
      <c r="CH1709" s="1392" t="n"/>
      <c r="CI1709" s="1392" t="n"/>
      <c r="CJ1709" s="1392" t="n"/>
      <c r="CK1709" s="1392" t="n"/>
      <c r="CL1709" s="1392" t="n"/>
    </row>
    <row r="1710">
      <c r="A1710" s="5" t="inlineStr">
        <is>
          <t>.</t>
        </is>
      </c>
      <c r="B1710" s="5" t="inlineStr">
        <is>
          <t>.</t>
        </is>
      </c>
      <c r="C1710" s="1378">
        <f>IF(raw[[#This Row],[city]]="","-",IF(raw[[#This Row],[city]]="TODAY","-",C1709+1))</f>
        <v/>
      </c>
      <c r="D1710" s="1393" t="inlineStr">
        <is>
          <t>Montreal</t>
        </is>
      </c>
      <c r="E1710" s="1394" t="n">
        <v>45352</v>
      </c>
      <c r="F1710" s="1394" t="n">
        <v>45381</v>
      </c>
      <c r="G1710" s="1393" t="inlineStr">
        <is>
          <t>-</t>
        </is>
      </c>
      <c r="H1710" s="1393" t="inlineStr">
        <is>
          <t>Gaspé</t>
        </is>
      </c>
      <c r="I1710" s="1393" t="inlineStr">
        <is>
          <t>-</t>
        </is>
      </c>
      <c r="J1710" s="1393" t="inlineStr">
        <is>
          <t>-</t>
        </is>
      </c>
      <c r="K1710" s="1395">
        <f>IF(raw[[#This Row],[city]]&lt;&gt;"",_xlfn.XLOOKUP($D1710,ccc[city],ccc[prov],"-"),"-")</f>
        <v/>
      </c>
      <c r="L1710" s="1395">
        <f>IF(raw[[#This Row],[city]]&lt;&gt;"",_xlfn.XLOOKUP($D1710,ccc[city],ccc[ctry],"-"),"-")</f>
        <v/>
      </c>
      <c r="M1710" s="1395">
        <f>IF(raw[[#This Row],[city]]&lt;&gt;"",_xlfn.XLOOKUP($D1710,ccc[city],ccc[cont],"-"),"-")</f>
        <v/>
      </c>
      <c r="N1710" s="1396">
        <f>IF(raw[[#This Row],[city]]="","-",IF(raw[[#This Row],[cont]]="B",raw[[#This Row],[cont]],"W"))</f>
        <v/>
      </c>
      <c r="O1710" s="1397">
        <f>IF(raw[[#This Row],[out]]=0,0,IF(raw[[#This Row],[out]]=raw[[#This Row],[in]],0.01,raw[[#This Row],[out]]-raw[[#This Row],[in]]))</f>
        <v/>
      </c>
      <c r="P1710" s="1397">
        <f>IF(raw[[#This Row],[in]]=0,0,MONTH(raw[[#This Row],[in]]))</f>
        <v/>
      </c>
      <c r="Q1710" s="1397">
        <f>IF(raw[[#This Row],[in]]=0,0,YEAR(raw[[#This Row],[in]]))</f>
        <v/>
      </c>
      <c r="R1710" s="1397">
        <f>INT(raw[[#This Row],[yr]]/10)*10</f>
        <v/>
      </c>
      <c r="S1710" s="1395">
        <f>IF(raw[[#This Row],[city]]="","-",IF(raw[[#This Row],[city]]&lt;&gt;_xlfn.XLOOKUP(raw[[#This Row],[home]],homes[home],homes[city],"-"),1,0))</f>
        <v/>
      </c>
      <c r="T1710" s="1398" t="inlineStr">
        <is>
          <t>.</t>
        </is>
      </c>
      <c r="U1710" s="1399">
        <f>IF(raw[[#This Row],[wb]]="w",raw[[#This Row],[stay]]+U1709,U1709)</f>
        <v/>
      </c>
      <c r="V1710" s="1400">
        <f>IF(raw[[#This Row],[out]]=0,V1709,(raw[[#This Row],[out]]-E$5))</f>
        <v/>
      </c>
      <c r="W1710" s="1401">
        <f>U1710/V1710</f>
        <v/>
      </c>
      <c r="X1710" s="1392" t="n"/>
      <c r="Y1710" s="1392" t="n"/>
      <c r="Z1710" s="1392" t="n"/>
      <c r="AA1710" s="1392" t="n"/>
      <c r="AB1710" s="1392" t="n"/>
      <c r="AC1710" s="1392" t="n"/>
      <c r="AD1710" s="1392" t="n"/>
      <c r="AE1710" s="1392" t="n"/>
      <c r="AF1710" s="1392" t="n"/>
      <c r="AG1710" s="1392" t="n"/>
      <c r="AH1710" s="1392" t="n"/>
      <c r="AI1710" s="1392" t="n"/>
      <c r="AJ1710" s="1392" t="n"/>
      <c r="AK1710" s="1392" t="n"/>
      <c r="AL1710" s="1392" t="n"/>
      <c r="AM1710" s="1392" t="n"/>
      <c r="AN1710" s="1392" t="n"/>
      <c r="AO1710" s="1392" t="n"/>
      <c r="AP1710" s="1392" t="n"/>
      <c r="AQ1710" s="1392" t="n"/>
      <c r="AR1710" s="1422" t="n"/>
      <c r="AS1710" s="1422" t="n"/>
      <c r="AT1710" s="1392" t="n"/>
      <c r="AU1710" s="1392" t="n"/>
      <c r="AV1710" s="1392" t="n"/>
      <c r="AW1710" s="1392" t="n"/>
      <c r="AX1710" s="1392" t="n"/>
      <c r="AY1710" s="1392" t="n"/>
      <c r="AZ1710" s="1392" t="n"/>
      <c r="BA1710" s="1422" t="n"/>
      <c r="BB1710" s="1422" t="n"/>
      <c r="BC1710" s="1392" t="n"/>
      <c r="BD1710" s="1392" t="n"/>
      <c r="BE1710" s="1392" t="n"/>
      <c r="BF1710" s="1392" t="n"/>
      <c r="BG1710" s="1392" t="n"/>
      <c r="BH1710" s="1392" t="n"/>
      <c r="BI1710" s="1392" t="n"/>
      <c r="BJ1710" s="1392" t="n"/>
      <c r="BK1710" s="1392" t="n"/>
      <c r="BL1710" s="1392" t="n"/>
      <c r="BM1710" s="1392" t="n"/>
      <c r="BN1710" s="1392" t="n"/>
      <c r="BO1710" s="1392" t="n"/>
      <c r="BP1710" s="1392" t="n"/>
      <c r="BQ1710" s="1392" t="n"/>
      <c r="BR1710" s="1392" t="n"/>
      <c r="BS1710" s="1392" t="n"/>
      <c r="BT1710" s="1392" t="n"/>
      <c r="BU1710" s="1392" t="n"/>
      <c r="BV1710" s="1392" t="n"/>
      <c r="BW1710" s="1392" t="n"/>
      <c r="BX1710" s="1392" t="n"/>
      <c r="BY1710" s="1392" t="n"/>
      <c r="BZ1710" s="1392" t="n"/>
      <c r="CA1710" s="1392" t="n"/>
      <c r="CB1710" s="1392" t="n"/>
      <c r="CC1710" s="1392" t="n"/>
      <c r="CD1710" s="1392" t="n"/>
      <c r="CE1710" s="1392" t="n"/>
      <c r="CF1710" s="1392" t="n"/>
      <c r="CG1710" s="1392" t="n"/>
      <c r="CH1710" s="1392" t="n"/>
      <c r="CI1710" s="1392" t="n"/>
      <c r="CJ1710" s="1392" t="n"/>
      <c r="CK1710" s="1392" t="n"/>
      <c r="CL1710" s="1392" t="n"/>
    </row>
    <row r="1711">
      <c r="A1711" s="5" t="inlineStr">
        <is>
          <t>.</t>
        </is>
      </c>
      <c r="B1711" s="5" t="inlineStr">
        <is>
          <t>.</t>
        </is>
      </c>
      <c r="C1711" s="1378">
        <f>IF(raw[[#This Row],[city]]="","-",IF(raw[[#This Row],[city]]="TODAY","-",C1710+1))</f>
        <v/>
      </c>
      <c r="D1711" s="1393" t="inlineStr">
        <is>
          <t>Sainte-Julienne</t>
        </is>
      </c>
      <c r="E1711" s="1394" t="n">
        <v>45381</v>
      </c>
      <c r="F1711" s="1394" t="n">
        <v>45382</v>
      </c>
      <c r="G1711" s="1393" t="inlineStr">
        <is>
          <t>-</t>
        </is>
      </c>
      <c r="H1711" s="1393" t="inlineStr">
        <is>
          <t>Gaspé</t>
        </is>
      </c>
      <c r="I1711" s="1393" t="inlineStr">
        <is>
          <t>Mike</t>
        </is>
      </c>
      <c r="J1711" s="1393" t="inlineStr">
        <is>
          <t>-</t>
        </is>
      </c>
      <c r="K1711" s="1395">
        <f>IF(raw[[#This Row],[city]]&lt;&gt;"",_xlfn.XLOOKUP($D1711,ccc[city],ccc[prov],"-"),"-")</f>
        <v/>
      </c>
      <c r="L1711" s="1395">
        <f>IF(raw[[#This Row],[city]]&lt;&gt;"",_xlfn.XLOOKUP($D1711,ccc[city],ccc[ctry],"-"),"-")</f>
        <v/>
      </c>
      <c r="M1711" s="1395">
        <f>IF(raw[[#This Row],[city]]&lt;&gt;"",_xlfn.XLOOKUP($D1711,ccc[city],ccc[cont],"-"),"-")</f>
        <v/>
      </c>
      <c r="N1711" s="1396">
        <f>IF(raw[[#This Row],[city]]="","-",IF(raw[[#This Row],[cont]]="B",raw[[#This Row],[cont]],"W"))</f>
        <v/>
      </c>
      <c r="O1711" s="1397">
        <f>IF(raw[[#This Row],[out]]=0,0,IF(raw[[#This Row],[out]]=raw[[#This Row],[in]],0.01,raw[[#This Row],[out]]-raw[[#This Row],[in]]))</f>
        <v/>
      </c>
      <c r="P1711" s="1397">
        <f>IF(raw[[#This Row],[in]]=0,0,MONTH(raw[[#This Row],[in]]))</f>
        <v/>
      </c>
      <c r="Q1711" s="1397">
        <f>IF(raw[[#This Row],[in]]=0,0,YEAR(raw[[#This Row],[in]]))</f>
        <v/>
      </c>
      <c r="R1711" s="1397">
        <f>INT(raw[[#This Row],[yr]]/10)*10</f>
        <v/>
      </c>
      <c r="S1711" s="1395">
        <f>IF(raw[[#This Row],[city]]="","-",IF(raw[[#This Row],[city]]&lt;&gt;_xlfn.XLOOKUP(raw[[#This Row],[home]],homes[home],homes[city],"-"),1,0))</f>
        <v/>
      </c>
      <c r="T1711" s="1398" t="inlineStr">
        <is>
          <t>.</t>
        </is>
      </c>
      <c r="U1711" s="1399">
        <f>IF(raw[[#This Row],[wb]]="w",raw[[#This Row],[stay]]+U1710,U1710)</f>
        <v/>
      </c>
      <c r="V1711" s="1400">
        <f>IF(raw[[#This Row],[out]]=0,V1710,(raw[[#This Row],[out]]-E$5))</f>
        <v/>
      </c>
      <c r="W1711" s="1401">
        <f>U1711/V1711</f>
        <v/>
      </c>
      <c r="X1711" s="1392" t="n"/>
      <c r="Y1711" s="1392" t="n"/>
      <c r="Z1711" s="1392" t="n"/>
      <c r="AA1711" s="1392" t="n"/>
      <c r="AB1711" s="1392" t="n"/>
      <c r="AC1711" s="1392" t="n"/>
      <c r="AD1711" s="1392" t="n"/>
      <c r="AE1711" s="1392" t="n"/>
      <c r="AF1711" s="1392" t="n"/>
      <c r="AG1711" s="1392" t="n"/>
      <c r="AH1711" s="1392" t="n"/>
      <c r="AI1711" s="1392" t="n"/>
      <c r="AJ1711" s="1392" t="n"/>
      <c r="AK1711" s="1392" t="n"/>
      <c r="AL1711" s="1392" t="n"/>
      <c r="AM1711" s="1392" t="n"/>
      <c r="AN1711" s="1392" t="n"/>
      <c r="AO1711" s="1392" t="n"/>
      <c r="AP1711" s="1392" t="n"/>
      <c r="AQ1711" s="1392" t="n"/>
      <c r="AR1711" s="1422" t="n"/>
      <c r="AS1711" s="1422" t="n"/>
      <c r="AT1711" s="1392" t="n"/>
      <c r="AU1711" s="1392" t="n"/>
      <c r="AV1711" s="1392" t="n"/>
      <c r="AW1711" s="1392" t="n"/>
      <c r="AX1711" s="1392" t="n"/>
      <c r="AY1711" s="1392" t="n"/>
      <c r="AZ1711" s="1392" t="n"/>
      <c r="BA1711" s="1422" t="n"/>
      <c r="BB1711" s="1422" t="n"/>
      <c r="BC1711" s="1392" t="n"/>
      <c r="BD1711" s="1392" t="n"/>
      <c r="BE1711" s="1392" t="n"/>
      <c r="BF1711" s="1392" t="n"/>
      <c r="BG1711" s="1392" t="n"/>
      <c r="BH1711" s="1392" t="n"/>
      <c r="BI1711" s="1392" t="n"/>
      <c r="BJ1711" s="1392" t="n"/>
      <c r="BK1711" s="1392" t="n"/>
      <c r="BL1711" s="1392" t="n"/>
      <c r="BM1711" s="1392" t="n"/>
      <c r="BN1711" s="1392" t="n"/>
      <c r="BO1711" s="1392" t="n"/>
      <c r="BP1711" s="1392" t="n"/>
      <c r="BQ1711" s="1392" t="n"/>
      <c r="BR1711" s="1392" t="n"/>
      <c r="BS1711" s="1392" t="n"/>
      <c r="BT1711" s="1392" t="n"/>
      <c r="BU1711" s="1392" t="n"/>
      <c r="BV1711" s="1392" t="n"/>
      <c r="BW1711" s="1392" t="n"/>
      <c r="BX1711" s="1392" t="n"/>
      <c r="BY1711" s="1392" t="n"/>
      <c r="BZ1711" s="1392" t="n"/>
      <c r="CA1711" s="1392" t="n"/>
      <c r="CB1711" s="1392" t="n"/>
      <c r="CC1711" s="1392" t="n"/>
      <c r="CD1711" s="1392" t="n"/>
      <c r="CE1711" s="1392" t="n"/>
      <c r="CF1711" s="1392" t="n"/>
      <c r="CG1711" s="1392" t="n"/>
      <c r="CH1711" s="1392" t="n"/>
      <c r="CI1711" s="1392" t="n"/>
      <c r="CJ1711" s="1392" t="n"/>
      <c r="CK1711" s="1392" t="n"/>
      <c r="CL1711" s="1392" t="n"/>
    </row>
    <row r="1712">
      <c r="A1712" s="5" t="inlineStr">
        <is>
          <t>.</t>
        </is>
      </c>
      <c r="B1712" s="5" t="inlineStr">
        <is>
          <t>.</t>
        </is>
      </c>
      <c r="C1712" s="1378">
        <f>IF(raw[[#This Row],[city]]="","-",IF(raw[[#This Row],[city]]="TODAY","-",C1711+1))</f>
        <v/>
      </c>
      <c r="D1712" s="1393" t="inlineStr">
        <is>
          <t>Montreal</t>
        </is>
      </c>
      <c r="E1712" s="1394" t="n">
        <v>45382</v>
      </c>
      <c r="F1712" s="1394" t="n">
        <v>45383</v>
      </c>
      <c r="G1712" s="1393" t="inlineStr">
        <is>
          <t>-</t>
        </is>
      </c>
      <c r="H1712" s="1393" t="inlineStr">
        <is>
          <t>Gaspé</t>
        </is>
      </c>
      <c r="I1712" s="1393" t="inlineStr">
        <is>
          <t>-</t>
        </is>
      </c>
      <c r="J1712" s="1393" t="inlineStr">
        <is>
          <t>-</t>
        </is>
      </c>
      <c r="K1712" s="1395">
        <f>IF(raw[[#This Row],[city]]&lt;&gt;"",_xlfn.XLOOKUP($D1712,ccc[city],ccc[prov],"-"),"-")</f>
        <v/>
      </c>
      <c r="L1712" s="1395">
        <f>IF(raw[[#This Row],[city]]&lt;&gt;"",_xlfn.XLOOKUP($D1712,ccc[city],ccc[ctry],"-"),"-")</f>
        <v/>
      </c>
      <c r="M1712" s="1395">
        <f>IF(raw[[#This Row],[city]]&lt;&gt;"",_xlfn.XLOOKUP($D1712,ccc[city],ccc[cont],"-"),"-")</f>
        <v/>
      </c>
      <c r="N1712" s="1396">
        <f>IF(raw[[#This Row],[city]]="","-",IF(raw[[#This Row],[cont]]="B",raw[[#This Row],[cont]],"W"))</f>
        <v/>
      </c>
      <c r="O1712" s="1397">
        <f>IF(raw[[#This Row],[out]]=0,0,IF(raw[[#This Row],[out]]=raw[[#This Row],[in]],0.01,raw[[#This Row],[out]]-raw[[#This Row],[in]]))</f>
        <v/>
      </c>
      <c r="P1712" s="1397">
        <f>IF(raw[[#This Row],[in]]=0,0,MONTH(raw[[#This Row],[in]]))</f>
        <v/>
      </c>
      <c r="Q1712" s="1397">
        <f>IF(raw[[#This Row],[in]]=0,0,YEAR(raw[[#This Row],[in]]))</f>
        <v/>
      </c>
      <c r="R1712" s="1397">
        <f>INT(raw[[#This Row],[yr]]/10)*10</f>
        <v/>
      </c>
      <c r="S1712" s="1395">
        <f>IF(raw[[#This Row],[city]]="","-",IF(raw[[#This Row],[city]]&lt;&gt;_xlfn.XLOOKUP(raw[[#This Row],[home]],homes[home],homes[city],"-"),1,0))</f>
        <v/>
      </c>
      <c r="T1712" s="1398" t="inlineStr">
        <is>
          <t>.</t>
        </is>
      </c>
      <c r="U1712" s="1399">
        <f>IF(raw[[#This Row],[wb]]="w",raw[[#This Row],[stay]]+U1711,U1711)</f>
        <v/>
      </c>
      <c r="V1712" s="1400">
        <f>IF(raw[[#This Row],[out]]=0,V1711,(raw[[#This Row],[out]]-E$5))</f>
        <v/>
      </c>
      <c r="W1712" s="1401">
        <f>U1712/V1712</f>
        <v/>
      </c>
      <c r="X1712" s="1392" t="n"/>
      <c r="Y1712" s="1392" t="n"/>
      <c r="Z1712" s="1392" t="n"/>
      <c r="AA1712" s="1392" t="n"/>
      <c r="AB1712" s="1392" t="n"/>
      <c r="AC1712" s="1392" t="n"/>
      <c r="AD1712" s="1392" t="n"/>
      <c r="AE1712" s="1392" t="n"/>
      <c r="AF1712" s="1392" t="n"/>
      <c r="AG1712" s="1392" t="n"/>
      <c r="AH1712" s="1392" t="n"/>
      <c r="AI1712" s="1392" t="n"/>
      <c r="AJ1712" s="1392" t="n"/>
      <c r="AK1712" s="1392" t="n"/>
      <c r="AL1712" s="1392" t="n"/>
      <c r="AM1712" s="1392" t="n"/>
      <c r="AN1712" s="1392" t="n"/>
      <c r="AO1712" s="1392" t="n"/>
      <c r="AP1712" s="1392" t="n"/>
      <c r="AQ1712" s="1392" t="n"/>
      <c r="AR1712" s="1422" t="n"/>
      <c r="AS1712" s="1422" t="n"/>
      <c r="AT1712" s="1392" t="n"/>
      <c r="AU1712" s="1392" t="n"/>
      <c r="AV1712" s="1392" t="n"/>
      <c r="AW1712" s="1392" t="n"/>
      <c r="AX1712" s="1392" t="n"/>
      <c r="AY1712" s="1392" t="n"/>
      <c r="AZ1712" s="1392" t="n"/>
      <c r="BA1712" s="1422" t="n"/>
      <c r="BB1712" s="1422" t="n"/>
      <c r="BC1712" s="1392" t="n"/>
      <c r="BD1712" s="1392" t="n"/>
      <c r="BE1712" s="1392" t="n"/>
      <c r="BF1712" s="1392" t="n"/>
      <c r="BG1712" s="1392" t="n"/>
      <c r="BH1712" s="1392" t="n"/>
      <c r="BI1712" s="1392" t="n"/>
      <c r="BJ1712" s="1392" t="n"/>
      <c r="BK1712" s="1392" t="n"/>
      <c r="BL1712" s="1392" t="n"/>
      <c r="BM1712" s="1392" t="n"/>
      <c r="BN1712" s="1392" t="n"/>
      <c r="BO1712" s="1392" t="n"/>
      <c r="BP1712" s="1392" t="n"/>
      <c r="BQ1712" s="1392" t="n"/>
      <c r="BR1712" s="1392" t="n"/>
      <c r="BS1712" s="1392" t="n"/>
      <c r="BT1712" s="1392" t="n"/>
      <c r="BU1712" s="1392" t="n"/>
      <c r="BV1712" s="1392" t="n"/>
      <c r="BW1712" s="1392" t="n"/>
      <c r="BX1712" s="1392" t="n"/>
      <c r="BY1712" s="1392" t="n"/>
      <c r="BZ1712" s="1392" t="n"/>
      <c r="CA1712" s="1392" t="n"/>
      <c r="CB1712" s="1392" t="n"/>
      <c r="CC1712" s="1392" t="n"/>
      <c r="CD1712" s="1392" t="n"/>
      <c r="CE1712" s="1392" t="n"/>
      <c r="CF1712" s="1392" t="n"/>
      <c r="CG1712" s="1392" t="n"/>
      <c r="CH1712" s="1392" t="n"/>
      <c r="CI1712" s="1392" t="n"/>
      <c r="CJ1712" s="1392" t="n"/>
      <c r="CK1712" s="1392" t="n"/>
      <c r="CL1712" s="1392" t="n"/>
    </row>
    <row r="1713">
      <c r="A1713" s="5" t="inlineStr">
        <is>
          <t>.</t>
        </is>
      </c>
      <c r="B1713" s="5" t="inlineStr">
        <is>
          <t>.</t>
        </is>
      </c>
      <c r="C1713" s="1378">
        <f>IF(raw[[#This Row],[city]]="","-",IF(raw[[#This Row],[city]]="TODAY","-",C1712+1))</f>
        <v/>
      </c>
      <c r="D1713" s="1393" t="inlineStr">
        <is>
          <t>Montreal</t>
        </is>
      </c>
      <c r="E1713" s="1394" t="n">
        <v>45383</v>
      </c>
      <c r="F1713" s="1394" t="n">
        <v>45413</v>
      </c>
      <c r="G1713" s="1393" t="inlineStr">
        <is>
          <t>-</t>
        </is>
      </c>
      <c r="H1713" s="1393" t="inlineStr">
        <is>
          <t>Gaspé</t>
        </is>
      </c>
      <c r="I1713" s="1393" t="inlineStr">
        <is>
          <t>-</t>
        </is>
      </c>
      <c r="J1713" s="1393" t="inlineStr">
        <is>
          <t>-</t>
        </is>
      </c>
      <c r="K1713" s="1395">
        <f>IF(raw[[#This Row],[city]]&lt;&gt;"",_xlfn.XLOOKUP($D1713,ccc[city],ccc[prov],"-"),"-")</f>
        <v/>
      </c>
      <c r="L1713" s="1395">
        <f>IF(raw[[#This Row],[city]]&lt;&gt;"",_xlfn.XLOOKUP($D1713,ccc[city],ccc[ctry],"-"),"-")</f>
        <v/>
      </c>
      <c r="M1713" s="1395">
        <f>IF(raw[[#This Row],[city]]&lt;&gt;"",_xlfn.XLOOKUP($D1713,ccc[city],ccc[cont],"-"),"-")</f>
        <v/>
      </c>
      <c r="N1713" s="1396">
        <f>IF(raw[[#This Row],[city]]="","-",IF(raw[[#This Row],[cont]]="B",raw[[#This Row],[cont]],"W"))</f>
        <v/>
      </c>
      <c r="O1713" s="1397">
        <f>IF(raw[[#This Row],[out]]=0,0,IF(raw[[#This Row],[out]]=raw[[#This Row],[in]],0.01,raw[[#This Row],[out]]-raw[[#This Row],[in]]))</f>
        <v/>
      </c>
      <c r="P1713" s="1397">
        <f>IF(raw[[#This Row],[in]]=0,0,MONTH(raw[[#This Row],[in]]))</f>
        <v/>
      </c>
      <c r="Q1713" s="1397">
        <f>IF(raw[[#This Row],[in]]=0,0,YEAR(raw[[#This Row],[in]]))</f>
        <v/>
      </c>
      <c r="R1713" s="1397">
        <f>INT(raw[[#This Row],[yr]]/10)*10</f>
        <v/>
      </c>
      <c r="S1713" s="1395">
        <f>IF(raw[[#This Row],[city]]="","-",IF(raw[[#This Row],[city]]&lt;&gt;_xlfn.XLOOKUP(raw[[#This Row],[home]],homes[home],homes[city],"-"),1,0))</f>
        <v/>
      </c>
      <c r="T1713" s="1398" t="inlineStr">
        <is>
          <t>.</t>
        </is>
      </c>
      <c r="U1713" s="1399">
        <f>IF(raw[[#This Row],[wb]]="w",raw[[#This Row],[stay]]+U1712,U1712)</f>
        <v/>
      </c>
      <c r="V1713" s="1400">
        <f>IF(raw[[#This Row],[out]]=0,V1712,(raw[[#This Row],[out]]-E$5))</f>
        <v/>
      </c>
      <c r="W1713" s="1401">
        <f>U1713/V1713</f>
        <v/>
      </c>
      <c r="X1713" s="1392" t="n"/>
      <c r="Y1713" s="1392" t="n"/>
      <c r="Z1713" s="1392" t="n"/>
      <c r="AA1713" s="1392" t="n"/>
      <c r="AB1713" s="1392" t="n"/>
      <c r="AC1713" s="1392" t="n"/>
      <c r="AD1713" s="1392" t="n"/>
      <c r="AE1713" s="1392" t="n"/>
      <c r="AF1713" s="1392" t="n"/>
      <c r="AG1713" s="1392" t="n"/>
      <c r="AH1713" s="1392" t="n"/>
      <c r="AI1713" s="1392" t="n"/>
      <c r="AJ1713" s="1392" t="n"/>
      <c r="AK1713" s="1392" t="n"/>
      <c r="AL1713" s="1392" t="n"/>
      <c r="AM1713" s="1392" t="n"/>
      <c r="AN1713" s="1392" t="n"/>
      <c r="AO1713" s="1392" t="n"/>
      <c r="AP1713" s="1392" t="n"/>
      <c r="AQ1713" s="1392" t="n"/>
      <c r="AR1713" s="1422" t="n"/>
      <c r="AS1713" s="1422" t="n"/>
      <c r="AT1713" s="1392" t="n"/>
      <c r="AU1713" s="1392" t="n"/>
      <c r="AV1713" s="1392" t="n"/>
      <c r="AW1713" s="1392" t="n"/>
      <c r="AX1713" s="1392" t="n"/>
      <c r="AY1713" s="1392" t="n"/>
      <c r="AZ1713" s="1392" t="n"/>
      <c r="BA1713" s="1422" t="n"/>
      <c r="BB1713" s="1422" t="n"/>
      <c r="BC1713" s="1392" t="n"/>
      <c r="BD1713" s="1392" t="n"/>
      <c r="BE1713" s="1392" t="n"/>
      <c r="BF1713" s="1392" t="n"/>
      <c r="BG1713" s="1392" t="n"/>
      <c r="BH1713" s="1392" t="n"/>
      <c r="BI1713" s="1392" t="n"/>
      <c r="BJ1713" s="1392" t="n"/>
      <c r="BK1713" s="1392" t="n"/>
      <c r="BL1713" s="1392" t="n"/>
      <c r="BM1713" s="1392" t="n"/>
      <c r="BN1713" s="1392" t="n"/>
      <c r="BO1713" s="1392" t="n"/>
      <c r="BP1713" s="1392" t="n"/>
      <c r="BQ1713" s="1392" t="n"/>
      <c r="BR1713" s="1392" t="n"/>
      <c r="BS1713" s="1392" t="n"/>
      <c r="BT1713" s="1392" t="n"/>
      <c r="BU1713" s="1392" t="n"/>
      <c r="BV1713" s="1392" t="n"/>
      <c r="BW1713" s="1392" t="n"/>
      <c r="BX1713" s="1392" t="n"/>
      <c r="BY1713" s="1392" t="n"/>
      <c r="BZ1713" s="1392" t="n"/>
      <c r="CA1713" s="1392" t="n"/>
      <c r="CB1713" s="1392" t="n"/>
      <c r="CC1713" s="1392" t="n"/>
      <c r="CD1713" s="1392" t="n"/>
      <c r="CE1713" s="1392" t="n"/>
      <c r="CF1713" s="1392" t="n"/>
      <c r="CG1713" s="1392" t="n"/>
      <c r="CH1713" s="1392" t="n"/>
      <c r="CI1713" s="1392" t="n"/>
      <c r="CJ1713" s="1392" t="n"/>
      <c r="CK1713" s="1392" t="n"/>
      <c r="CL1713" s="1392" t="n"/>
    </row>
    <row r="1714">
      <c r="A1714" s="5" t="inlineStr">
        <is>
          <t>.</t>
        </is>
      </c>
      <c r="B1714" s="5" t="inlineStr">
        <is>
          <t>.</t>
        </is>
      </c>
      <c r="C1714" s="1378">
        <f>IF(raw[[#This Row],[city]]="","-",IF(raw[[#This Row],[city]]="TODAY","-",C1713+1))</f>
        <v/>
      </c>
      <c r="D1714" s="1393" t="inlineStr">
        <is>
          <t>Montreal</t>
        </is>
      </c>
      <c r="E1714" s="1394" t="n">
        <v>45413</v>
      </c>
      <c r="F1714" s="1394" t="n">
        <v>45444</v>
      </c>
      <c r="G1714" s="1393" t="inlineStr">
        <is>
          <t>-</t>
        </is>
      </c>
      <c r="H1714" s="1393" t="inlineStr">
        <is>
          <t>Gaspé</t>
        </is>
      </c>
      <c r="I1714" s="1393" t="inlineStr">
        <is>
          <t>-</t>
        </is>
      </c>
      <c r="J1714" s="1393" t="inlineStr">
        <is>
          <t>-</t>
        </is>
      </c>
      <c r="K1714" s="1395">
        <f>IF(raw[[#This Row],[city]]&lt;&gt;"",_xlfn.XLOOKUP($D1714,ccc[city],ccc[prov],"-"),"-")</f>
        <v/>
      </c>
      <c r="L1714" s="1395">
        <f>IF(raw[[#This Row],[city]]&lt;&gt;"",_xlfn.XLOOKUP($D1714,ccc[city],ccc[ctry],"-"),"-")</f>
        <v/>
      </c>
      <c r="M1714" s="1395">
        <f>IF(raw[[#This Row],[city]]&lt;&gt;"",_xlfn.XLOOKUP($D1714,ccc[city],ccc[cont],"-"),"-")</f>
        <v/>
      </c>
      <c r="N1714" s="1396">
        <f>IF(raw[[#This Row],[city]]="","-",IF(raw[[#This Row],[cont]]="B",raw[[#This Row],[cont]],"W"))</f>
        <v/>
      </c>
      <c r="O1714" s="1397">
        <f>IF(raw[[#This Row],[out]]=0,0,IF(raw[[#This Row],[out]]=raw[[#This Row],[in]],0.01,raw[[#This Row],[out]]-raw[[#This Row],[in]]))</f>
        <v/>
      </c>
      <c r="P1714" s="1397">
        <f>IF(raw[[#This Row],[in]]=0,0,MONTH(raw[[#This Row],[in]]))</f>
        <v/>
      </c>
      <c r="Q1714" s="1397">
        <f>IF(raw[[#This Row],[in]]=0,0,YEAR(raw[[#This Row],[in]]))</f>
        <v/>
      </c>
      <c r="R1714" s="1397">
        <f>INT(raw[[#This Row],[yr]]/10)*10</f>
        <v/>
      </c>
      <c r="S1714" s="1395">
        <f>IF(raw[[#This Row],[city]]="","-",IF(raw[[#This Row],[city]]&lt;&gt;_xlfn.XLOOKUP(raw[[#This Row],[home]],homes[home],homes[city],"-"),1,0))</f>
        <v/>
      </c>
      <c r="T1714" s="1398" t="inlineStr">
        <is>
          <t>.</t>
        </is>
      </c>
      <c r="U1714" s="1399">
        <f>IF(raw[[#This Row],[wb]]="w",raw[[#This Row],[stay]]+U1713,U1713)</f>
        <v/>
      </c>
      <c r="V1714" s="1400">
        <f>IF(raw[[#This Row],[out]]=0,V1713,(raw[[#This Row],[out]]-E$5))</f>
        <v/>
      </c>
      <c r="W1714" s="1401">
        <f>U1714/V1714</f>
        <v/>
      </c>
      <c r="X1714" s="1392" t="n"/>
      <c r="Y1714" s="1392" t="n"/>
      <c r="Z1714" s="1392" t="n"/>
      <c r="AA1714" s="1392" t="n"/>
      <c r="AB1714" s="1392" t="n"/>
      <c r="AC1714" s="1392" t="n"/>
      <c r="AD1714" s="1392" t="n"/>
      <c r="AE1714" s="1392" t="n"/>
      <c r="AF1714" s="1392" t="n"/>
      <c r="AG1714" s="1392" t="n"/>
      <c r="AH1714" s="1392" t="n"/>
      <c r="AI1714" s="1392" t="n"/>
      <c r="AJ1714" s="1392" t="n"/>
      <c r="AK1714" s="1392" t="n"/>
      <c r="AL1714" s="1392" t="n"/>
      <c r="AM1714" s="1392" t="n"/>
      <c r="AN1714" s="1392" t="n"/>
      <c r="AO1714" s="1392" t="n"/>
      <c r="AP1714" s="1392" t="n"/>
      <c r="AQ1714" s="1392" t="n"/>
      <c r="AR1714" s="1422" t="n"/>
      <c r="AS1714" s="1422" t="n"/>
      <c r="AT1714" s="1392" t="n"/>
      <c r="AU1714" s="1392" t="n"/>
      <c r="AV1714" s="1392" t="n"/>
      <c r="AW1714" s="1392" t="n"/>
      <c r="AX1714" s="1392" t="n"/>
      <c r="AY1714" s="1392" t="n"/>
      <c r="AZ1714" s="1392" t="n"/>
      <c r="BA1714" s="1422" t="n"/>
      <c r="BB1714" s="1422" t="n"/>
      <c r="BC1714" s="1392" t="n"/>
      <c r="BD1714" s="1392" t="n"/>
      <c r="BE1714" s="1392" t="n"/>
      <c r="BF1714" s="1392" t="n"/>
      <c r="BG1714" s="1392" t="n"/>
      <c r="BH1714" s="1392" t="n"/>
      <c r="BI1714" s="1392" t="n"/>
      <c r="BJ1714" s="1392" t="n"/>
      <c r="BK1714" s="1392" t="n"/>
      <c r="BL1714" s="1392" t="n"/>
      <c r="BM1714" s="1392" t="n"/>
      <c r="BN1714" s="1392" t="n"/>
      <c r="BO1714" s="1392" t="n"/>
      <c r="BP1714" s="1392" t="n"/>
      <c r="BQ1714" s="1392" t="n"/>
      <c r="BR1714" s="1392" t="n"/>
      <c r="BS1714" s="1392" t="n"/>
      <c r="BT1714" s="1392" t="n"/>
      <c r="BU1714" s="1392" t="n"/>
      <c r="BV1714" s="1392" t="n"/>
      <c r="BW1714" s="1392" t="n"/>
      <c r="BX1714" s="1392" t="n"/>
      <c r="BY1714" s="1392" t="n"/>
      <c r="BZ1714" s="1392" t="n"/>
      <c r="CA1714" s="1392" t="n"/>
      <c r="CB1714" s="1392" t="n"/>
      <c r="CC1714" s="1392" t="n"/>
      <c r="CD1714" s="1392" t="n"/>
      <c r="CE1714" s="1392" t="n"/>
      <c r="CF1714" s="1392" t="n"/>
      <c r="CG1714" s="1392" t="n"/>
      <c r="CH1714" s="1392" t="n"/>
      <c r="CI1714" s="1392" t="n"/>
      <c r="CJ1714" s="1392" t="n"/>
      <c r="CK1714" s="1392" t="n"/>
      <c r="CL1714" s="1392" t="n"/>
    </row>
    <row r="1715">
      <c r="A1715" s="5" t="inlineStr">
        <is>
          <t>.</t>
        </is>
      </c>
      <c r="B1715" s="5" t="inlineStr">
        <is>
          <t>.</t>
        </is>
      </c>
      <c r="C1715" s="1378">
        <f>IF(raw[[#This Row],[city]]="","-",IF(raw[[#This Row],[city]]="TODAY","-",C1714+1))</f>
        <v/>
      </c>
      <c r="D1715" s="1393" t="inlineStr">
        <is>
          <t>Montreal</t>
        </is>
      </c>
      <c r="E1715" s="1394" t="n">
        <v>45444</v>
      </c>
      <c r="F1715" s="1394" t="n">
        <v>45450</v>
      </c>
      <c r="G1715" s="1393" t="inlineStr">
        <is>
          <t>-</t>
        </is>
      </c>
      <c r="H1715" s="1393" t="inlineStr">
        <is>
          <t>Gaspé</t>
        </is>
      </c>
      <c r="I1715" s="1393" t="inlineStr">
        <is>
          <t>-</t>
        </is>
      </c>
      <c r="J1715" s="1393" t="inlineStr">
        <is>
          <t>-</t>
        </is>
      </c>
      <c r="K1715" s="1395">
        <f>IF(raw[[#This Row],[city]]&lt;&gt;"",_xlfn.XLOOKUP($D1715,ccc[city],ccc[prov],"-"),"-")</f>
        <v/>
      </c>
      <c r="L1715" s="1395">
        <f>IF(raw[[#This Row],[city]]&lt;&gt;"",_xlfn.XLOOKUP($D1715,ccc[city],ccc[ctry],"-"),"-")</f>
        <v/>
      </c>
      <c r="M1715" s="1395">
        <f>IF(raw[[#This Row],[city]]&lt;&gt;"",_xlfn.XLOOKUP($D1715,ccc[city],ccc[cont],"-"),"-")</f>
        <v/>
      </c>
      <c r="N1715" s="1396">
        <f>IF(raw[[#This Row],[city]]="","-",IF(raw[[#This Row],[cont]]="B",raw[[#This Row],[cont]],"W"))</f>
        <v/>
      </c>
      <c r="O1715" s="1397">
        <f>IF(raw[[#This Row],[out]]=0,0,IF(raw[[#This Row],[out]]=raw[[#This Row],[in]],0.01,raw[[#This Row],[out]]-raw[[#This Row],[in]]))</f>
        <v/>
      </c>
      <c r="P1715" s="1397">
        <f>IF(raw[[#This Row],[in]]=0,0,MONTH(raw[[#This Row],[in]]))</f>
        <v/>
      </c>
      <c r="Q1715" s="1397">
        <f>IF(raw[[#This Row],[in]]=0,0,YEAR(raw[[#This Row],[in]]))</f>
        <v/>
      </c>
      <c r="R1715" s="1397">
        <f>INT(raw[[#This Row],[yr]]/10)*10</f>
        <v/>
      </c>
      <c r="S1715" s="1395">
        <f>IF(raw[[#This Row],[city]]="","-",IF(raw[[#This Row],[city]]&lt;&gt;_xlfn.XLOOKUP(raw[[#This Row],[home]],homes[home],homes[city],"-"),1,0))</f>
        <v/>
      </c>
      <c r="T1715" s="1398" t="inlineStr">
        <is>
          <t>.</t>
        </is>
      </c>
      <c r="U1715" s="1399">
        <f>IF(raw[[#This Row],[wb]]="w",raw[[#This Row],[stay]]+U1714,U1714)</f>
        <v/>
      </c>
      <c r="V1715" s="1400">
        <f>IF(raw[[#This Row],[out]]=0,V1714,(raw[[#This Row],[out]]-E$5))</f>
        <v/>
      </c>
      <c r="W1715" s="1401">
        <f>U1715/V1715</f>
        <v/>
      </c>
      <c r="X1715" s="1392" t="n"/>
      <c r="Y1715" s="1392" t="n"/>
      <c r="Z1715" s="1392" t="n"/>
      <c r="AA1715" s="1392" t="n"/>
      <c r="AB1715" s="1392" t="n"/>
      <c r="AC1715" s="1392" t="n"/>
      <c r="AD1715" s="1392" t="n"/>
      <c r="AE1715" s="1392" t="n"/>
      <c r="AF1715" s="1392" t="n"/>
      <c r="AG1715" s="1392" t="n"/>
      <c r="AH1715" s="1392" t="n"/>
      <c r="AI1715" s="1392" t="n"/>
      <c r="AJ1715" s="1392" t="n"/>
      <c r="AK1715" s="1392" t="n"/>
      <c r="AL1715" s="1392" t="n"/>
      <c r="AM1715" s="1392" t="n"/>
      <c r="AN1715" s="1392" t="n"/>
      <c r="AO1715" s="1392" t="n"/>
      <c r="AP1715" s="1392" t="n"/>
      <c r="AQ1715" s="1392" t="n"/>
      <c r="AR1715" s="1422" t="n"/>
      <c r="AS1715" s="1422" t="n"/>
      <c r="AT1715" s="1392" t="n"/>
      <c r="AU1715" s="1392" t="n"/>
      <c r="AV1715" s="1392" t="n"/>
      <c r="AW1715" s="1392" t="n"/>
      <c r="AX1715" s="1392" t="n"/>
      <c r="AY1715" s="1392" t="n"/>
      <c r="AZ1715" s="1392" t="n"/>
      <c r="BA1715" s="1422" t="n"/>
      <c r="BB1715" s="1422" t="n"/>
      <c r="BC1715" s="1392" t="n"/>
      <c r="BD1715" s="1392" t="n"/>
      <c r="BE1715" s="1392" t="n"/>
      <c r="BF1715" s="1392" t="n"/>
      <c r="BG1715" s="1392" t="n"/>
      <c r="BH1715" s="1392" t="n"/>
      <c r="BI1715" s="1392" t="n"/>
      <c r="BJ1715" s="1392" t="n"/>
      <c r="BK1715" s="1392" t="n"/>
      <c r="BL1715" s="1392" t="n"/>
      <c r="BM1715" s="1392" t="n"/>
      <c r="BN1715" s="1392" t="n"/>
      <c r="BO1715" s="1392" t="n"/>
      <c r="BP1715" s="1392" t="n"/>
      <c r="BQ1715" s="1392" t="n"/>
      <c r="BR1715" s="1392" t="n"/>
      <c r="BS1715" s="1392" t="n"/>
      <c r="BT1715" s="1392" t="n"/>
      <c r="BU1715" s="1392" t="n"/>
      <c r="BV1715" s="1392" t="n"/>
      <c r="BW1715" s="1392" t="n"/>
      <c r="BX1715" s="1392" t="n"/>
      <c r="BY1715" s="1392" t="n"/>
      <c r="BZ1715" s="1392" t="n"/>
      <c r="CA1715" s="1392" t="n"/>
      <c r="CB1715" s="1392" t="n"/>
      <c r="CC1715" s="1392" t="n"/>
      <c r="CD1715" s="1392" t="n"/>
      <c r="CE1715" s="1392" t="n"/>
      <c r="CF1715" s="1392" t="n"/>
      <c r="CG1715" s="1392" t="n"/>
      <c r="CH1715" s="1392" t="n"/>
      <c r="CI1715" s="1392" t="n"/>
      <c r="CJ1715" s="1392" t="n"/>
      <c r="CK1715" s="1392" t="n"/>
      <c r="CL1715" s="1392" t="n"/>
    </row>
    <row r="1716">
      <c r="A1716" s="5" t="inlineStr">
        <is>
          <t>.</t>
        </is>
      </c>
      <c r="B1716" s="5" t="inlineStr">
        <is>
          <t>.</t>
        </is>
      </c>
      <c r="C1716" s="1378">
        <f>IF(raw[[#This Row],[city]]="","-",IF(raw[[#This Row],[city]]="TODAY","-",C1715+1))</f>
        <v/>
      </c>
      <c r="D1716" s="1393" t="inlineStr">
        <is>
          <t>Carignan</t>
        </is>
      </c>
      <c r="E1716" s="1394" t="n">
        <v>45450</v>
      </c>
      <c r="F1716" s="1394" t="n">
        <v>45452</v>
      </c>
      <c r="G1716" s="1393" t="inlineStr">
        <is>
          <t>-</t>
        </is>
      </c>
      <c r="H1716" s="1393" t="inlineStr">
        <is>
          <t>Gaspé</t>
        </is>
      </c>
      <c r="I1716" s="1393" t="inlineStr">
        <is>
          <t>Marcelo/Carignan</t>
        </is>
      </c>
      <c r="J1716" s="1393" t="inlineStr">
        <is>
          <t>com Canedo</t>
        </is>
      </c>
      <c r="K1716" s="1395">
        <f>IF(raw[[#This Row],[city]]&lt;&gt;"",_xlfn.XLOOKUP($D1716,ccc[city],ccc[prov],"-"),"-")</f>
        <v/>
      </c>
      <c r="L1716" s="1395">
        <f>IF(raw[[#This Row],[city]]&lt;&gt;"",_xlfn.XLOOKUP($D1716,ccc[city],ccc[ctry],"-"),"-")</f>
        <v/>
      </c>
      <c r="M1716" s="1395">
        <f>IF(raw[[#This Row],[city]]&lt;&gt;"",_xlfn.XLOOKUP($D1716,ccc[city],ccc[cont],"-"),"-")</f>
        <v/>
      </c>
      <c r="N1716" s="1396">
        <f>IF(raw[[#This Row],[city]]="","-",IF(raw[[#This Row],[cont]]="B",raw[[#This Row],[cont]],"W"))</f>
        <v/>
      </c>
      <c r="O1716" s="1397">
        <f>IF(raw[[#This Row],[out]]=0,0,IF(raw[[#This Row],[out]]=raw[[#This Row],[in]],0.01,raw[[#This Row],[out]]-raw[[#This Row],[in]]))</f>
        <v/>
      </c>
      <c r="P1716" s="1397">
        <f>IF(raw[[#This Row],[in]]=0,0,MONTH(raw[[#This Row],[in]]))</f>
        <v/>
      </c>
      <c r="Q1716" s="1397">
        <f>IF(raw[[#This Row],[in]]=0,0,YEAR(raw[[#This Row],[in]]))</f>
        <v/>
      </c>
      <c r="R1716" s="1397">
        <f>INT(raw[[#This Row],[yr]]/10)*10</f>
        <v/>
      </c>
      <c r="S1716" s="1395">
        <f>IF(raw[[#This Row],[city]]="","-",IF(raw[[#This Row],[city]]&lt;&gt;_xlfn.XLOOKUP(raw[[#This Row],[home]],homes[home],homes[city],"-"),1,0))</f>
        <v/>
      </c>
      <c r="T1716" s="1398" t="inlineStr">
        <is>
          <t>.</t>
        </is>
      </c>
      <c r="U1716" s="1399">
        <f>IF(raw[[#This Row],[wb]]="w",raw[[#This Row],[stay]]+U1715,U1715)</f>
        <v/>
      </c>
      <c r="V1716" s="1400">
        <f>IF(raw[[#This Row],[out]]=0,V1715,(raw[[#This Row],[out]]-E$5))</f>
        <v/>
      </c>
      <c r="W1716" s="1401">
        <f>U1716/V1716</f>
        <v/>
      </c>
      <c r="X1716" s="1392" t="n"/>
      <c r="Y1716" s="1392" t="n"/>
      <c r="Z1716" s="1392" t="n"/>
      <c r="AA1716" s="1392" t="n"/>
      <c r="AB1716" s="1392" t="n"/>
      <c r="AC1716" s="1392" t="n"/>
      <c r="AD1716" s="1392" t="n"/>
      <c r="AE1716" s="1392" t="n"/>
      <c r="AF1716" s="1392" t="n"/>
      <c r="AG1716" s="1392" t="n"/>
      <c r="AH1716" s="1392" t="n"/>
      <c r="AI1716" s="1392" t="n"/>
      <c r="AJ1716" s="1392" t="n"/>
      <c r="AK1716" s="1392" t="n"/>
      <c r="AL1716" s="1392" t="n"/>
      <c r="AM1716" s="1392" t="n"/>
      <c r="AN1716" s="1392" t="n"/>
      <c r="AO1716" s="1392" t="n"/>
      <c r="AP1716" s="1392" t="n"/>
      <c r="AQ1716" s="1392" t="n"/>
      <c r="AR1716" s="1422" t="n"/>
      <c r="AS1716" s="1422" t="n"/>
      <c r="AT1716" s="1392" t="n"/>
      <c r="AU1716" s="1392" t="n"/>
      <c r="AV1716" s="1392" t="n"/>
      <c r="AW1716" s="1392" t="n"/>
      <c r="AX1716" s="1392" t="n"/>
      <c r="AY1716" s="1392" t="n"/>
      <c r="AZ1716" s="1392" t="n"/>
      <c r="BA1716" s="1422" t="n"/>
      <c r="BB1716" s="1422" t="n"/>
      <c r="BC1716" s="1392" t="n"/>
      <c r="BD1716" s="1392" t="n"/>
      <c r="BE1716" s="1392" t="n"/>
      <c r="BF1716" s="1392" t="n"/>
      <c r="BG1716" s="1392" t="n"/>
      <c r="BH1716" s="1392" t="n"/>
      <c r="BI1716" s="1392" t="n"/>
      <c r="BJ1716" s="1392" t="n"/>
      <c r="BK1716" s="1392" t="n"/>
      <c r="BL1716" s="1392" t="n"/>
      <c r="BM1716" s="1392" t="n"/>
      <c r="BN1716" s="1392" t="n"/>
      <c r="BO1716" s="1392" t="n"/>
      <c r="BP1716" s="1392" t="n"/>
      <c r="BQ1716" s="1392" t="n"/>
      <c r="BR1716" s="1392" t="n"/>
      <c r="BS1716" s="1392" t="n"/>
      <c r="BT1716" s="1392" t="n"/>
      <c r="BU1716" s="1392" t="n"/>
      <c r="BV1716" s="1392" t="n"/>
      <c r="BW1716" s="1392" t="n"/>
      <c r="BX1716" s="1392" t="n"/>
      <c r="BY1716" s="1392" t="n"/>
      <c r="BZ1716" s="1392" t="n"/>
      <c r="CA1716" s="1392" t="n"/>
      <c r="CB1716" s="1392" t="n"/>
      <c r="CC1716" s="1392" t="n"/>
      <c r="CD1716" s="1392" t="n"/>
      <c r="CE1716" s="1392" t="n"/>
      <c r="CF1716" s="1392" t="n"/>
      <c r="CG1716" s="1392" t="n"/>
      <c r="CH1716" s="1392" t="n"/>
      <c r="CI1716" s="1392" t="n"/>
      <c r="CJ1716" s="1392" t="n"/>
      <c r="CK1716" s="1392" t="n"/>
      <c r="CL1716" s="1392" t="n"/>
    </row>
    <row r="1717">
      <c r="A1717" s="5" t="inlineStr">
        <is>
          <t>.</t>
        </is>
      </c>
      <c r="B1717" s="5" t="inlineStr">
        <is>
          <t>.</t>
        </is>
      </c>
      <c r="C1717" s="1378">
        <f>IF(raw[[#This Row],[city]]="","-",IF(raw[[#This Row],[city]]="TODAY","-",C1716+1))</f>
        <v/>
      </c>
      <c r="D1717" s="1393" t="inlineStr">
        <is>
          <t>Montreal</t>
        </is>
      </c>
      <c r="E1717" s="1394" t="n">
        <v>45452</v>
      </c>
      <c r="F1717" s="1394" t="n">
        <v>45468</v>
      </c>
      <c r="G1717" s="1393" t="n">
        <v>1</v>
      </c>
      <c r="H1717" s="1393" t="inlineStr">
        <is>
          <t>Gaspé</t>
        </is>
      </c>
      <c r="I1717" s="1393" t="inlineStr">
        <is>
          <t>-</t>
        </is>
      </c>
      <c r="J1717" s="1393" t="inlineStr">
        <is>
          <t>-</t>
        </is>
      </c>
      <c r="K1717" s="1395">
        <f>IF(raw[[#This Row],[city]]&lt;&gt;"",_xlfn.XLOOKUP($D1717,ccc[city],ccc[prov],"-"),"-")</f>
        <v/>
      </c>
      <c r="L1717" s="1395">
        <f>IF(raw[[#This Row],[city]]&lt;&gt;"",_xlfn.XLOOKUP($D1717,ccc[city],ccc[ctry],"-"),"-")</f>
        <v/>
      </c>
      <c r="M1717" s="1395">
        <f>IF(raw[[#This Row],[city]]&lt;&gt;"",_xlfn.XLOOKUP($D1717,ccc[city],ccc[cont],"-"),"-")</f>
        <v/>
      </c>
      <c r="N1717" s="1396">
        <f>IF(raw[[#This Row],[city]]="","-",IF(raw[[#This Row],[cont]]="B",raw[[#This Row],[cont]],"W"))</f>
        <v/>
      </c>
      <c r="O1717" s="1397">
        <f>IF(raw[[#This Row],[out]]=0,0,IF(raw[[#This Row],[out]]=raw[[#This Row],[in]],0.01,raw[[#This Row],[out]]-raw[[#This Row],[in]]))</f>
        <v/>
      </c>
      <c r="P1717" s="1397">
        <f>IF(raw[[#This Row],[in]]=0,0,MONTH(raw[[#This Row],[in]]))</f>
        <v/>
      </c>
      <c r="Q1717" s="1397">
        <f>IF(raw[[#This Row],[in]]=0,0,YEAR(raw[[#This Row],[in]]))</f>
        <v/>
      </c>
      <c r="R1717" s="1397">
        <f>INT(raw[[#This Row],[yr]]/10)*10</f>
        <v/>
      </c>
      <c r="S1717" s="1395">
        <f>IF(raw[[#This Row],[city]]="","-",IF(raw[[#This Row],[city]]&lt;&gt;_xlfn.XLOOKUP(raw[[#This Row],[home]],homes[home],homes[city],"-"),1,0))</f>
        <v/>
      </c>
      <c r="T1717" s="1398" t="inlineStr">
        <is>
          <t>.</t>
        </is>
      </c>
      <c r="U1717" s="1399">
        <f>IF(raw[[#This Row],[wb]]="w",raw[[#This Row],[stay]]+U1716,U1716)</f>
        <v/>
      </c>
      <c r="V1717" s="1400">
        <f>IF(raw[[#This Row],[out]]=0,V1716,(raw[[#This Row],[out]]-E$5))</f>
        <v/>
      </c>
      <c r="W1717" s="1401">
        <f>U1717/V1717</f>
        <v/>
      </c>
      <c r="X1717" s="1392" t="n"/>
      <c r="Y1717" s="1392" t="n"/>
      <c r="Z1717" s="1392" t="n"/>
      <c r="AA1717" s="1392" t="n"/>
      <c r="AB1717" s="1392" t="n"/>
      <c r="AC1717" s="1392" t="n"/>
      <c r="AD1717" s="1392" t="n"/>
      <c r="AE1717" s="1392" t="n"/>
      <c r="AF1717" s="1392" t="n"/>
      <c r="AG1717" s="1392" t="n"/>
      <c r="AH1717" s="1392" t="n"/>
      <c r="AI1717" s="1392" t="n"/>
      <c r="AJ1717" s="1392" t="n"/>
      <c r="AK1717" s="1392" t="n"/>
      <c r="AL1717" s="1392" t="n"/>
      <c r="AM1717" s="1392" t="n"/>
      <c r="AN1717" s="1392" t="n"/>
      <c r="AO1717" s="1392" t="n"/>
      <c r="AP1717" s="1392" t="n"/>
      <c r="AQ1717" s="1392" t="n"/>
      <c r="AR1717" s="1422" t="n"/>
      <c r="AS1717" s="1422" t="n"/>
      <c r="AT1717" s="1392" t="n"/>
      <c r="AU1717" s="1392" t="n"/>
      <c r="AV1717" s="1392" t="n"/>
      <c r="AW1717" s="1392" t="n"/>
      <c r="AX1717" s="1392" t="n"/>
      <c r="AY1717" s="1392" t="n"/>
      <c r="AZ1717" s="1392" t="n"/>
      <c r="BA1717" s="1422" t="n"/>
      <c r="BB1717" s="1422" t="n"/>
      <c r="BC1717" s="1392" t="n"/>
      <c r="BD1717" s="1392" t="n"/>
      <c r="BE1717" s="1392" t="n"/>
      <c r="BF1717" s="1392" t="n"/>
      <c r="BG1717" s="1392" t="n"/>
      <c r="BH1717" s="1392" t="n"/>
      <c r="BI1717" s="1392" t="n"/>
      <c r="BJ1717" s="1392" t="n"/>
      <c r="BK1717" s="1392" t="n"/>
      <c r="BL1717" s="1392" t="n"/>
      <c r="BM1717" s="1392" t="n"/>
      <c r="BN1717" s="1392" t="n"/>
      <c r="BO1717" s="1392" t="n"/>
      <c r="BP1717" s="1392" t="n"/>
      <c r="BQ1717" s="1392" t="n"/>
      <c r="BR1717" s="1392" t="n"/>
      <c r="BS1717" s="1392" t="n"/>
      <c r="BT1717" s="1392" t="n"/>
      <c r="BU1717" s="1392" t="n"/>
      <c r="BV1717" s="1392" t="n"/>
      <c r="BW1717" s="1392" t="n"/>
      <c r="BX1717" s="1392" t="n"/>
      <c r="BY1717" s="1392" t="n"/>
      <c r="BZ1717" s="1392" t="n"/>
      <c r="CA1717" s="1392" t="n"/>
      <c r="CB1717" s="1392" t="n"/>
      <c r="CC1717" s="1392" t="n"/>
      <c r="CD1717" s="1392" t="n"/>
      <c r="CE1717" s="1392" t="n"/>
      <c r="CF1717" s="1392" t="n"/>
      <c r="CG1717" s="1392" t="n"/>
      <c r="CH1717" s="1392" t="n"/>
      <c r="CI1717" s="1392" t="n"/>
      <c r="CJ1717" s="1392" t="n"/>
      <c r="CK1717" s="1392" t="n"/>
      <c r="CL1717" s="1392" t="n"/>
    </row>
    <row r="1718">
      <c r="A1718" s="5" t="inlineStr">
        <is>
          <t>.</t>
        </is>
      </c>
      <c r="B1718" s="5" t="inlineStr">
        <is>
          <t>.</t>
        </is>
      </c>
      <c r="C1718" s="1378">
        <f>IF(raw[[#This Row],[city]]="","-",IF(raw[[#This Row],[city]]="TODAY","-",C1717+1))</f>
        <v/>
      </c>
      <c r="D1718" s="1393" t="inlineStr">
        <is>
          <t>Chicago</t>
        </is>
      </c>
      <c r="E1718" s="1394" t="n">
        <v>45468</v>
      </c>
      <c r="F1718" s="1394" t="n">
        <v>45468</v>
      </c>
      <c r="G1718" s="1393" t="n">
        <v>0.01</v>
      </c>
      <c r="H1718" s="1393" t="inlineStr">
        <is>
          <t>Gaspé</t>
        </is>
      </c>
      <c r="I1718" s="1393" t="inlineStr">
        <is>
          <t>-</t>
        </is>
      </c>
      <c r="J1718" s="1393" t="inlineStr">
        <is>
          <t>-</t>
        </is>
      </c>
      <c r="K1718" s="1395">
        <f>IF(raw[[#This Row],[city]]&lt;&gt;"",_xlfn.XLOOKUP($D1718,ccc[city],ccc[prov],"-"),"-")</f>
        <v/>
      </c>
      <c r="L1718" s="1395">
        <f>IF(raw[[#This Row],[city]]&lt;&gt;"",_xlfn.XLOOKUP($D1718,ccc[city],ccc[ctry],"-"),"-")</f>
        <v/>
      </c>
      <c r="M1718" s="1395">
        <f>IF(raw[[#This Row],[city]]&lt;&gt;"",_xlfn.XLOOKUP($D1718,ccc[city],ccc[cont],"-"),"-")</f>
        <v/>
      </c>
      <c r="N1718" s="1396">
        <f>IF(raw[[#This Row],[city]]="","-",IF(raw[[#This Row],[cont]]="B",raw[[#This Row],[cont]],"W"))</f>
        <v/>
      </c>
      <c r="O1718" s="1397">
        <f>IF(raw[[#This Row],[out]]=0,0,IF(raw[[#This Row],[out]]=raw[[#This Row],[in]],0.01,raw[[#This Row],[out]]-raw[[#This Row],[in]]))</f>
        <v/>
      </c>
      <c r="P1718" s="1397">
        <f>IF(raw[[#This Row],[in]]=0,0,MONTH(raw[[#This Row],[in]]))</f>
        <v/>
      </c>
      <c r="Q1718" s="1397">
        <f>IF(raw[[#This Row],[in]]=0,0,YEAR(raw[[#This Row],[in]]))</f>
        <v/>
      </c>
      <c r="R1718" s="1397">
        <f>INT(raw[[#This Row],[yr]]/10)*10</f>
        <v/>
      </c>
      <c r="S1718" s="1395">
        <f>IF(raw[[#This Row],[city]]="","-",IF(raw[[#This Row],[city]]&lt;&gt;_xlfn.XLOOKUP(raw[[#This Row],[home]],homes[home],homes[city],"-"),1,0))</f>
        <v/>
      </c>
      <c r="T1718" s="1398" t="inlineStr">
        <is>
          <t>.</t>
        </is>
      </c>
      <c r="U1718" s="1399">
        <f>IF(raw[[#This Row],[wb]]="w",raw[[#This Row],[stay]]+U1717,U1717)</f>
        <v/>
      </c>
      <c r="V1718" s="1400">
        <f>IF(raw[[#This Row],[out]]=0,V1717,(raw[[#This Row],[out]]-E$5))</f>
        <v/>
      </c>
      <c r="W1718" s="1401">
        <f>U1718/V1718</f>
        <v/>
      </c>
      <c r="X1718" s="1392" t="n"/>
      <c r="Y1718" s="1392" t="n"/>
      <c r="Z1718" s="1392" t="n"/>
      <c r="AA1718" s="1392" t="n"/>
      <c r="AB1718" s="1392" t="n"/>
      <c r="AC1718" s="1392" t="n"/>
      <c r="AD1718" s="1392" t="n"/>
      <c r="AE1718" s="1392" t="n"/>
      <c r="AF1718" s="1392" t="n"/>
      <c r="AG1718" s="1392" t="n"/>
      <c r="AH1718" s="1392" t="n"/>
      <c r="AI1718" s="1392" t="n"/>
      <c r="AJ1718" s="1392" t="n"/>
      <c r="AK1718" s="1392" t="n"/>
      <c r="AL1718" s="1392" t="n"/>
      <c r="AM1718" s="1392" t="n"/>
      <c r="AN1718" s="1392" t="n"/>
      <c r="AO1718" s="1392" t="n"/>
      <c r="AP1718" s="1392" t="n"/>
      <c r="AQ1718" s="1392" t="n"/>
      <c r="AR1718" s="1422" t="n"/>
      <c r="AS1718" s="1422" t="n"/>
      <c r="AT1718" s="1392" t="n"/>
      <c r="AU1718" s="1392" t="n"/>
      <c r="AV1718" s="1392" t="n"/>
      <c r="AW1718" s="1392" t="n"/>
      <c r="AX1718" s="1392" t="n"/>
      <c r="AY1718" s="1392" t="n"/>
      <c r="AZ1718" s="1392" t="n"/>
      <c r="BA1718" s="1422" t="n"/>
      <c r="BB1718" s="1422" t="n"/>
      <c r="BC1718" s="1392" t="n"/>
      <c r="BD1718" s="1392" t="n"/>
      <c r="BE1718" s="1392" t="n"/>
      <c r="BF1718" s="1392" t="n"/>
      <c r="BG1718" s="1392" t="n"/>
      <c r="BH1718" s="1392" t="n"/>
      <c r="BI1718" s="1392" t="n"/>
      <c r="BJ1718" s="1392" t="n"/>
      <c r="BK1718" s="1392" t="n"/>
      <c r="BL1718" s="1392" t="n"/>
      <c r="BM1718" s="1392" t="n"/>
      <c r="BN1718" s="1392" t="n"/>
      <c r="BO1718" s="1392" t="n"/>
      <c r="BP1718" s="1392" t="n"/>
      <c r="BQ1718" s="1392" t="n"/>
      <c r="BR1718" s="1392" t="n"/>
      <c r="BS1718" s="1392" t="n"/>
      <c r="BT1718" s="1392" t="n"/>
      <c r="BU1718" s="1392" t="n"/>
      <c r="BV1718" s="1392" t="n"/>
      <c r="BW1718" s="1392" t="n"/>
      <c r="BX1718" s="1392" t="n"/>
      <c r="BY1718" s="1392" t="n"/>
      <c r="BZ1718" s="1392" t="n"/>
      <c r="CA1718" s="1392" t="n"/>
      <c r="CB1718" s="1392" t="n"/>
      <c r="CC1718" s="1392" t="n"/>
      <c r="CD1718" s="1392" t="n"/>
      <c r="CE1718" s="1392" t="n"/>
      <c r="CF1718" s="1392" t="n"/>
      <c r="CG1718" s="1392" t="n"/>
      <c r="CH1718" s="1392" t="n"/>
      <c r="CI1718" s="1392" t="n"/>
      <c r="CJ1718" s="1392" t="n"/>
      <c r="CK1718" s="1392" t="n"/>
      <c r="CL1718" s="1392" t="n"/>
    </row>
    <row r="1719">
      <c r="A1719" s="5" t="inlineStr">
        <is>
          <t>.</t>
        </is>
      </c>
      <c r="B1719" s="5" t="inlineStr">
        <is>
          <t>.</t>
        </is>
      </c>
      <c r="C1719" s="1378">
        <f>IF(raw[[#This Row],[city]]="","-",IF(raw[[#This Row],[city]]="TODAY","-",C1718+1))</f>
        <v/>
      </c>
      <c r="D1719" s="1393" t="inlineStr">
        <is>
          <t>AIR</t>
        </is>
      </c>
      <c r="E1719" s="1394" t="n">
        <v>45468</v>
      </c>
      <c r="F1719" s="1394" t="n">
        <v>45469</v>
      </c>
      <c r="G1719" s="1393" t="inlineStr">
        <is>
          <t>x</t>
        </is>
      </c>
      <c r="H1719" s="1393" t="inlineStr">
        <is>
          <t>Gaspé</t>
        </is>
      </c>
      <c r="I1719" s="1393" t="inlineStr">
        <is>
          <t>-</t>
        </is>
      </c>
      <c r="J1719" s="1393" t="inlineStr">
        <is>
          <t>-</t>
        </is>
      </c>
      <c r="K1719" s="1395">
        <f>IF(raw[[#This Row],[city]]&lt;&gt;"",_xlfn.XLOOKUP($D1719,ccc[city],ccc[prov],"-"),"-")</f>
        <v/>
      </c>
      <c r="L1719" s="1395">
        <f>IF(raw[[#This Row],[city]]&lt;&gt;"",_xlfn.XLOOKUP($D1719,ccc[city],ccc[ctry],"-"),"-")</f>
        <v/>
      </c>
      <c r="M1719" s="1395">
        <f>IF(raw[[#This Row],[city]]&lt;&gt;"",_xlfn.XLOOKUP($D1719,ccc[city],ccc[cont],"-"),"-")</f>
        <v/>
      </c>
      <c r="N1719" s="1396">
        <f>IF(raw[[#This Row],[city]]="","-",IF(raw[[#This Row],[cont]]="B",raw[[#This Row],[cont]],"W"))</f>
        <v/>
      </c>
      <c r="O1719" s="1397">
        <f>IF(raw[[#This Row],[out]]=0,0,IF(raw[[#This Row],[out]]=raw[[#This Row],[in]],0.01,raw[[#This Row],[out]]-raw[[#This Row],[in]]))</f>
        <v/>
      </c>
      <c r="P1719" s="1397">
        <f>IF(raw[[#This Row],[in]]=0,0,MONTH(raw[[#This Row],[in]]))</f>
        <v/>
      </c>
      <c r="Q1719" s="1397">
        <f>IF(raw[[#This Row],[in]]=0,0,YEAR(raw[[#This Row],[in]]))</f>
        <v/>
      </c>
      <c r="R1719" s="1397">
        <f>INT(raw[[#This Row],[yr]]/10)*10</f>
        <v/>
      </c>
      <c r="S1719" s="1395">
        <f>IF(raw[[#This Row],[city]]="","-",IF(raw[[#This Row],[city]]&lt;&gt;_xlfn.XLOOKUP(raw[[#This Row],[home]],homes[home],homes[city],"-"),1,0))</f>
        <v/>
      </c>
      <c r="T1719" s="1398" t="inlineStr">
        <is>
          <t>.</t>
        </is>
      </c>
      <c r="U1719" s="1399">
        <f>IF(raw[[#This Row],[wb]]="w",raw[[#This Row],[stay]]+U1718,U1718)</f>
        <v/>
      </c>
      <c r="V1719" s="1400">
        <f>IF(raw[[#This Row],[out]]=0,V1718,(raw[[#This Row],[out]]-E$5))</f>
        <v/>
      </c>
      <c r="W1719" s="1401">
        <f>U1719/V1719</f>
        <v/>
      </c>
      <c r="X1719" s="1392" t="n"/>
      <c r="Y1719" s="1392" t="n"/>
      <c r="Z1719" s="1392" t="n"/>
      <c r="AA1719" s="1392" t="n"/>
      <c r="AB1719" s="1392" t="n"/>
      <c r="AC1719" s="1392" t="n"/>
      <c r="AD1719" s="1392" t="n"/>
      <c r="AE1719" s="1392" t="n"/>
      <c r="AF1719" s="1392" t="n"/>
      <c r="AG1719" s="1392" t="n"/>
      <c r="AH1719" s="1392" t="n"/>
      <c r="AI1719" s="1392" t="n"/>
      <c r="AJ1719" s="1392" t="n"/>
      <c r="AK1719" s="1392" t="n"/>
      <c r="AL1719" s="1392" t="n"/>
      <c r="AM1719" s="1392" t="n"/>
      <c r="AN1719" s="1392" t="n"/>
      <c r="AO1719" s="1392" t="n"/>
      <c r="AP1719" s="1392" t="n"/>
      <c r="AQ1719" s="1392" t="n"/>
      <c r="AR1719" s="1422" t="n"/>
      <c r="AS1719" s="1422" t="n"/>
      <c r="AT1719" s="1392" t="n"/>
      <c r="AU1719" s="1392" t="n"/>
      <c r="AV1719" s="1392" t="n"/>
      <c r="AW1719" s="1392" t="n"/>
      <c r="AX1719" s="1392" t="n"/>
      <c r="AY1719" s="1392" t="n"/>
      <c r="AZ1719" s="1392" t="n"/>
      <c r="BA1719" s="1422" t="n"/>
      <c r="BB1719" s="1422" t="n"/>
      <c r="BC1719" s="1392" t="n"/>
      <c r="BD1719" s="1392" t="n"/>
      <c r="BE1719" s="1392" t="n"/>
      <c r="BF1719" s="1392" t="n"/>
      <c r="BG1719" s="1392" t="n"/>
      <c r="BH1719" s="1392" t="n"/>
      <c r="BI1719" s="1392" t="n"/>
      <c r="BJ1719" s="1392" t="n"/>
      <c r="BK1719" s="1392" t="n"/>
      <c r="BL1719" s="1392" t="n"/>
      <c r="BM1719" s="1392" t="n"/>
      <c r="BN1719" s="1392" t="n"/>
      <c r="BO1719" s="1392" t="n"/>
      <c r="BP1719" s="1392" t="n"/>
      <c r="BQ1719" s="1392" t="n"/>
      <c r="BR1719" s="1392" t="n"/>
      <c r="BS1719" s="1392" t="n"/>
      <c r="BT1719" s="1392" t="n"/>
      <c r="BU1719" s="1392" t="n"/>
      <c r="BV1719" s="1392" t="n"/>
      <c r="BW1719" s="1392" t="n"/>
      <c r="BX1719" s="1392" t="n"/>
      <c r="BY1719" s="1392" t="n"/>
      <c r="BZ1719" s="1392" t="n"/>
      <c r="CA1719" s="1392" t="n"/>
      <c r="CB1719" s="1392" t="n"/>
      <c r="CC1719" s="1392" t="n"/>
      <c r="CD1719" s="1392" t="n"/>
      <c r="CE1719" s="1392" t="n"/>
      <c r="CF1719" s="1392" t="n"/>
      <c r="CG1719" s="1392" t="n"/>
      <c r="CH1719" s="1392" t="n"/>
      <c r="CI1719" s="1392" t="n"/>
      <c r="CJ1719" s="1392" t="n"/>
      <c r="CK1719" s="1392" t="n"/>
      <c r="CL1719" s="1392" t="n"/>
    </row>
    <row r="1720">
      <c r="A1720" s="5" t="inlineStr">
        <is>
          <t>.</t>
        </is>
      </c>
      <c r="B1720" s="5" t="inlineStr">
        <is>
          <t>.</t>
        </is>
      </c>
      <c r="C1720" s="1378">
        <f>IF(raw[[#This Row],[city]]="","-",IF(raw[[#This Row],[city]]="TODAY","-",C1719+1))</f>
        <v/>
      </c>
      <c r="D1720" s="1393" t="inlineStr">
        <is>
          <t>SP</t>
        </is>
      </c>
      <c r="E1720" s="1394" t="n">
        <v>45469</v>
      </c>
      <c r="F1720" s="1394" t="n">
        <v>45469</v>
      </c>
      <c r="G1720" s="1393" t="n">
        <v>1</v>
      </c>
      <c r="H1720" s="1393" t="inlineStr">
        <is>
          <t>Gaspé</t>
        </is>
      </c>
      <c r="I1720" s="1393" t="inlineStr">
        <is>
          <t>-</t>
        </is>
      </c>
      <c r="J1720" s="1393" t="inlineStr">
        <is>
          <t>-</t>
        </is>
      </c>
      <c r="K1720" s="1395">
        <f>IF(raw[[#This Row],[city]]&lt;&gt;"",_xlfn.XLOOKUP($D1720,ccc[city],ccc[prov],"-"),"-")</f>
        <v/>
      </c>
      <c r="L1720" s="1395">
        <f>IF(raw[[#This Row],[city]]&lt;&gt;"",_xlfn.XLOOKUP($D1720,ccc[city],ccc[ctry],"-"),"-")</f>
        <v/>
      </c>
      <c r="M1720" s="1395">
        <f>IF(raw[[#This Row],[city]]&lt;&gt;"",_xlfn.XLOOKUP($D1720,ccc[city],ccc[cont],"-"),"-")</f>
        <v/>
      </c>
      <c r="N1720" s="1396">
        <f>IF(raw[[#This Row],[city]]="","-",IF(raw[[#This Row],[cont]]="B",raw[[#This Row],[cont]],"W"))</f>
        <v/>
      </c>
      <c r="O1720" s="1397">
        <f>IF(raw[[#This Row],[out]]=0,0,IF(raw[[#This Row],[out]]=raw[[#This Row],[in]],0.01,raw[[#This Row],[out]]-raw[[#This Row],[in]]))</f>
        <v/>
      </c>
      <c r="P1720" s="1397">
        <f>IF(raw[[#This Row],[in]]=0,0,MONTH(raw[[#This Row],[in]]))</f>
        <v/>
      </c>
      <c r="Q1720" s="1397">
        <f>IF(raw[[#This Row],[in]]=0,0,YEAR(raw[[#This Row],[in]]))</f>
        <v/>
      </c>
      <c r="R1720" s="1397">
        <f>INT(raw[[#This Row],[yr]]/10)*10</f>
        <v/>
      </c>
      <c r="S1720" s="1395">
        <f>IF(raw[[#This Row],[city]]="","-",IF(raw[[#This Row],[city]]&lt;&gt;_xlfn.XLOOKUP(raw[[#This Row],[home]],homes[home],homes[city],"-"),1,0))</f>
        <v/>
      </c>
      <c r="T1720" s="1398" t="inlineStr">
        <is>
          <t>.</t>
        </is>
      </c>
      <c r="U1720" s="1399">
        <f>IF(raw[[#This Row],[wb]]="w",raw[[#This Row],[stay]]+U1719,U1719)</f>
        <v/>
      </c>
      <c r="V1720" s="1400">
        <f>IF(raw[[#This Row],[out]]=0,V1719,(raw[[#This Row],[out]]-E$5))</f>
        <v/>
      </c>
      <c r="W1720" s="1401">
        <f>U1720/V1720</f>
        <v/>
      </c>
      <c r="X1720" s="1392" t="n"/>
      <c r="Y1720" s="1392" t="n"/>
      <c r="Z1720" s="1392" t="n"/>
      <c r="AA1720" s="1392" t="n"/>
      <c r="AB1720" s="1392" t="n"/>
      <c r="AC1720" s="1392" t="n"/>
      <c r="AD1720" s="1392" t="n"/>
      <c r="AE1720" s="1392" t="n"/>
      <c r="AF1720" s="1392" t="n"/>
      <c r="AG1720" s="1392" t="n"/>
      <c r="AH1720" s="1392" t="n"/>
      <c r="AI1720" s="1392" t="n"/>
      <c r="AJ1720" s="1392" t="n"/>
      <c r="AK1720" s="1392" t="n"/>
      <c r="AL1720" s="1392" t="n"/>
      <c r="AM1720" s="1392" t="n"/>
      <c r="AN1720" s="1392" t="n"/>
      <c r="AO1720" s="1392" t="n"/>
      <c r="AP1720" s="1392" t="n"/>
      <c r="AQ1720" s="1392" t="n"/>
      <c r="AR1720" s="1422" t="n"/>
      <c r="AS1720" s="1422" t="n"/>
      <c r="AT1720" s="1392" t="n"/>
      <c r="AU1720" s="1392" t="n"/>
      <c r="AV1720" s="1392" t="n"/>
      <c r="AW1720" s="1392" t="n"/>
      <c r="AX1720" s="1392" t="n"/>
      <c r="AY1720" s="1392" t="n"/>
      <c r="AZ1720" s="1392" t="n"/>
      <c r="BA1720" s="1422" t="n"/>
      <c r="BB1720" s="1422" t="n"/>
      <c r="BC1720" s="1392" t="n"/>
      <c r="BD1720" s="1392" t="n"/>
      <c r="BE1720" s="1392" t="n"/>
      <c r="BF1720" s="1392" t="n"/>
      <c r="BG1720" s="1392" t="n"/>
      <c r="BH1720" s="1392" t="n"/>
      <c r="BI1720" s="1392" t="n"/>
      <c r="BJ1720" s="1392" t="n"/>
      <c r="BK1720" s="1392" t="n"/>
      <c r="BL1720" s="1392" t="n"/>
      <c r="BM1720" s="1392" t="n"/>
      <c r="BN1720" s="1392" t="n"/>
      <c r="BO1720" s="1392" t="n"/>
      <c r="BP1720" s="1392" t="n"/>
      <c r="BQ1720" s="1392" t="n"/>
      <c r="BR1720" s="1392" t="n"/>
      <c r="BS1720" s="1392" t="n"/>
      <c r="BT1720" s="1392" t="n"/>
      <c r="BU1720" s="1392" t="n"/>
      <c r="BV1720" s="1392" t="n"/>
      <c r="BW1720" s="1392" t="n"/>
      <c r="BX1720" s="1392" t="n"/>
      <c r="BY1720" s="1392" t="n"/>
      <c r="BZ1720" s="1392" t="n"/>
      <c r="CA1720" s="1392" t="n"/>
      <c r="CB1720" s="1392" t="n"/>
      <c r="CC1720" s="1392" t="n"/>
      <c r="CD1720" s="1392" t="n"/>
      <c r="CE1720" s="1392" t="n"/>
      <c r="CF1720" s="1392" t="n"/>
      <c r="CG1720" s="1392" t="n"/>
      <c r="CH1720" s="1392" t="n"/>
      <c r="CI1720" s="1392" t="n"/>
      <c r="CJ1720" s="1392" t="n"/>
      <c r="CK1720" s="1392" t="n"/>
      <c r="CL1720" s="1392" t="n"/>
    </row>
    <row r="1721">
      <c r="A1721" s="5" t="inlineStr">
        <is>
          <t>.</t>
        </is>
      </c>
      <c r="B1721" s="5" t="inlineStr">
        <is>
          <t>.</t>
        </is>
      </c>
      <c r="C1721" s="1378">
        <f>IF(raw[[#This Row],[city]]="","-",IF(raw[[#This Row],[city]]="TODAY","-",C1720+1))</f>
        <v/>
      </c>
      <c r="D1721" s="1393" t="inlineStr">
        <is>
          <t>BH</t>
        </is>
      </c>
      <c r="E1721" s="1394" t="n">
        <v>45469</v>
      </c>
      <c r="F1721" s="1394" t="n">
        <v>45471</v>
      </c>
      <c r="G1721" s="1393" t="n">
        <v>1</v>
      </c>
      <c r="H1721" s="1393" t="inlineStr">
        <is>
          <t>Gaspé</t>
        </is>
      </c>
      <c r="I1721" s="1393" t="inlineStr">
        <is>
          <t>-</t>
        </is>
      </c>
      <c r="J1721" s="1393" t="inlineStr">
        <is>
          <t>-</t>
        </is>
      </c>
      <c r="K1721" s="1395">
        <f>IF(raw[[#This Row],[city]]&lt;&gt;"",_xlfn.XLOOKUP($D1721,ccc[city],ccc[prov],"-"),"-")</f>
        <v/>
      </c>
      <c r="L1721" s="1395">
        <f>IF(raw[[#This Row],[city]]&lt;&gt;"",_xlfn.XLOOKUP($D1721,ccc[city],ccc[ctry],"-"),"-")</f>
        <v/>
      </c>
      <c r="M1721" s="1395">
        <f>IF(raw[[#This Row],[city]]&lt;&gt;"",_xlfn.XLOOKUP($D1721,ccc[city],ccc[cont],"-"),"-")</f>
        <v/>
      </c>
      <c r="N1721" s="1396">
        <f>IF(raw[[#This Row],[city]]="","-",IF(raw[[#This Row],[cont]]="B",raw[[#This Row],[cont]],"W"))</f>
        <v/>
      </c>
      <c r="O1721" s="1397">
        <f>IF(raw[[#This Row],[out]]=0,0,IF(raw[[#This Row],[out]]=raw[[#This Row],[in]],0.01,raw[[#This Row],[out]]-raw[[#This Row],[in]]))</f>
        <v/>
      </c>
      <c r="P1721" s="1397">
        <f>IF(raw[[#This Row],[in]]=0,0,MONTH(raw[[#This Row],[in]]))</f>
        <v/>
      </c>
      <c r="Q1721" s="1397">
        <f>IF(raw[[#This Row],[in]]=0,0,YEAR(raw[[#This Row],[in]]))</f>
        <v/>
      </c>
      <c r="R1721" s="1397">
        <f>INT(raw[[#This Row],[yr]]/10)*10</f>
        <v/>
      </c>
      <c r="S1721" s="1395">
        <f>IF(raw[[#This Row],[city]]="","-",IF(raw[[#This Row],[city]]&lt;&gt;_xlfn.XLOOKUP(raw[[#This Row],[home]],homes[home],homes[city],"-"),1,0))</f>
        <v/>
      </c>
      <c r="T1721" s="1398" t="inlineStr">
        <is>
          <t>.</t>
        </is>
      </c>
      <c r="U1721" s="1399">
        <f>IF(raw[[#This Row],[wb]]="w",raw[[#This Row],[stay]]+U1720,U1720)</f>
        <v/>
      </c>
      <c r="V1721" s="1400">
        <f>IF(raw[[#This Row],[out]]=0,V1720,(raw[[#This Row],[out]]-E$5))</f>
        <v/>
      </c>
      <c r="W1721" s="1401">
        <f>U1721/V1721</f>
        <v/>
      </c>
      <c r="X1721" s="1392" t="n"/>
      <c r="Y1721" s="1392" t="n"/>
      <c r="Z1721" s="1392" t="n"/>
      <c r="AA1721" s="1392" t="n"/>
      <c r="AB1721" s="1392" t="n"/>
      <c r="AC1721" s="1392" t="n"/>
      <c r="AD1721" s="1392" t="n"/>
      <c r="AE1721" s="1392" t="n"/>
      <c r="AF1721" s="1392" t="n"/>
      <c r="AG1721" s="1392" t="n"/>
      <c r="AH1721" s="1392" t="n"/>
      <c r="AI1721" s="1392" t="n"/>
      <c r="AJ1721" s="1392" t="n"/>
      <c r="AK1721" s="1392" t="n"/>
      <c r="AL1721" s="1392" t="n"/>
      <c r="AM1721" s="1392" t="n"/>
      <c r="AN1721" s="1392" t="n"/>
      <c r="AO1721" s="1392" t="n"/>
      <c r="AP1721" s="1392" t="n"/>
      <c r="AQ1721" s="1392" t="n"/>
      <c r="AR1721" s="1422" t="n"/>
      <c r="AS1721" s="1422" t="n"/>
      <c r="AT1721" s="1392" t="n"/>
      <c r="AU1721" s="1392" t="n"/>
      <c r="AV1721" s="1392" t="n"/>
      <c r="AW1721" s="1392" t="n"/>
      <c r="AX1721" s="1392" t="n"/>
      <c r="AY1721" s="1392" t="n"/>
      <c r="AZ1721" s="1392" t="n"/>
      <c r="BA1721" s="1422" t="n"/>
      <c r="BB1721" s="1422" t="n"/>
      <c r="BC1721" s="1392" t="n"/>
      <c r="BD1721" s="1392" t="n"/>
      <c r="BE1721" s="1392" t="n"/>
      <c r="BF1721" s="1392" t="n"/>
      <c r="BG1721" s="1392" t="n"/>
      <c r="BH1721" s="1392" t="n"/>
      <c r="BI1721" s="1392" t="n"/>
      <c r="BJ1721" s="1392" t="n"/>
      <c r="BK1721" s="1392" t="n"/>
      <c r="BL1721" s="1392" t="n"/>
      <c r="BM1721" s="1392" t="n"/>
      <c r="BN1721" s="1392" t="n"/>
      <c r="BO1721" s="1392" t="n"/>
      <c r="BP1721" s="1392" t="n"/>
      <c r="BQ1721" s="1392" t="n"/>
      <c r="BR1721" s="1392" t="n"/>
      <c r="BS1721" s="1392" t="n"/>
      <c r="BT1721" s="1392" t="n"/>
      <c r="BU1721" s="1392" t="n"/>
      <c r="BV1721" s="1392" t="n"/>
      <c r="BW1721" s="1392" t="n"/>
      <c r="BX1721" s="1392" t="n"/>
      <c r="BY1721" s="1392" t="n"/>
      <c r="BZ1721" s="1392" t="n"/>
      <c r="CA1721" s="1392" t="n"/>
      <c r="CB1721" s="1392" t="n"/>
      <c r="CC1721" s="1392" t="n"/>
      <c r="CD1721" s="1392" t="n"/>
      <c r="CE1721" s="1392" t="n"/>
      <c r="CF1721" s="1392" t="n"/>
      <c r="CG1721" s="1392" t="n"/>
      <c r="CH1721" s="1392" t="n"/>
      <c r="CI1721" s="1392" t="n"/>
      <c r="CJ1721" s="1392" t="n"/>
      <c r="CK1721" s="1392" t="n"/>
      <c r="CL1721" s="1392" t="n"/>
    </row>
    <row r="1722">
      <c r="A1722" s="5" t="inlineStr">
        <is>
          <t>.</t>
        </is>
      </c>
      <c r="B1722" s="5" t="inlineStr">
        <is>
          <t>.</t>
        </is>
      </c>
      <c r="C1722" s="1378">
        <f>IF(raw[[#This Row],[city]]="","-",IF(raw[[#This Row],[city]]="TODAY","-",C1721+1))</f>
        <v/>
      </c>
      <c r="D1722" s="1393" t="inlineStr">
        <is>
          <t>SSA</t>
        </is>
      </c>
      <c r="E1722" s="1394" t="n">
        <v>45471</v>
      </c>
      <c r="F1722" s="1394" t="n">
        <v>45489</v>
      </c>
      <c r="G1722" s="1393" t="n">
        <v>1</v>
      </c>
      <c r="H1722" s="1393" t="inlineStr">
        <is>
          <t>Gaspé</t>
        </is>
      </c>
      <c r="I1722" s="1393" t="inlineStr">
        <is>
          <t>Ondina</t>
        </is>
      </c>
      <c r="J1722" s="1393" t="inlineStr">
        <is>
          <t>-</t>
        </is>
      </c>
      <c r="K1722" s="1395">
        <f>IF(raw[[#This Row],[city]]&lt;&gt;"",_xlfn.XLOOKUP($D1722,ccc[city],ccc[prov],"-"),"-")</f>
        <v/>
      </c>
      <c r="L1722" s="1395">
        <f>IF(raw[[#This Row],[city]]&lt;&gt;"",_xlfn.XLOOKUP($D1722,ccc[city],ccc[ctry],"-"),"-")</f>
        <v/>
      </c>
      <c r="M1722" s="1395">
        <f>IF(raw[[#This Row],[city]]&lt;&gt;"",_xlfn.XLOOKUP($D1722,ccc[city],ccc[cont],"-"),"-")</f>
        <v/>
      </c>
      <c r="N1722" s="1396">
        <f>IF(raw[[#This Row],[city]]="","-",IF(raw[[#This Row],[cont]]="B",raw[[#This Row],[cont]],"W"))</f>
        <v/>
      </c>
      <c r="O1722" s="1397">
        <f>IF(raw[[#This Row],[out]]=0,0,IF(raw[[#This Row],[out]]=raw[[#This Row],[in]],0.01,raw[[#This Row],[out]]-raw[[#This Row],[in]]))</f>
        <v/>
      </c>
      <c r="P1722" s="1397">
        <f>IF(raw[[#This Row],[in]]=0,0,MONTH(raw[[#This Row],[in]]))</f>
        <v/>
      </c>
      <c r="Q1722" s="1397">
        <f>IF(raw[[#This Row],[in]]=0,0,YEAR(raw[[#This Row],[in]]))</f>
        <v/>
      </c>
      <c r="R1722" s="1397">
        <f>INT(raw[[#This Row],[yr]]/10)*10</f>
        <v/>
      </c>
      <c r="S1722" s="1395">
        <f>IF(raw[[#This Row],[city]]="","-",IF(raw[[#This Row],[city]]&lt;&gt;_xlfn.XLOOKUP(raw[[#This Row],[home]],homes[home],homes[city],"-"),1,0))</f>
        <v/>
      </c>
      <c r="T1722" s="1398" t="inlineStr">
        <is>
          <t>.</t>
        </is>
      </c>
      <c r="U1722" s="1399">
        <f>IF(raw[[#This Row],[wb]]="w",raw[[#This Row],[stay]]+U1721,U1721)</f>
        <v/>
      </c>
      <c r="V1722" s="1400">
        <f>IF(raw[[#This Row],[out]]=0,V1721,(raw[[#This Row],[out]]-E$5))</f>
        <v/>
      </c>
      <c r="W1722" s="1401">
        <f>U1722/V1722</f>
        <v/>
      </c>
      <c r="X1722" s="1392" t="n"/>
      <c r="Y1722" s="1392" t="n"/>
      <c r="Z1722" s="1392" t="n"/>
      <c r="AA1722" s="1392" t="n"/>
      <c r="AB1722" s="1392" t="n"/>
      <c r="AC1722" s="1392" t="n"/>
      <c r="AD1722" s="1392" t="n"/>
      <c r="AE1722" s="1392" t="n"/>
      <c r="AF1722" s="1392" t="n"/>
      <c r="AG1722" s="1392" t="n"/>
      <c r="AH1722" s="1392" t="n"/>
      <c r="AI1722" s="1392" t="n"/>
      <c r="AJ1722" s="1392" t="n"/>
      <c r="AK1722" s="1392" t="n"/>
      <c r="AL1722" s="1392" t="n"/>
      <c r="AM1722" s="1392" t="n"/>
      <c r="AN1722" s="1392" t="n"/>
      <c r="AO1722" s="1392" t="n"/>
      <c r="AP1722" s="1392" t="n"/>
      <c r="AQ1722" s="1392" t="n"/>
      <c r="AR1722" s="1422" t="n"/>
      <c r="AS1722" s="1422" t="n"/>
      <c r="AT1722" s="1392" t="n"/>
      <c r="AU1722" s="1392" t="n"/>
      <c r="AV1722" s="1392" t="n"/>
      <c r="AW1722" s="1392" t="n"/>
      <c r="AX1722" s="1392" t="n"/>
      <c r="AY1722" s="1392" t="n"/>
      <c r="AZ1722" s="1392" t="n"/>
      <c r="BA1722" s="1422" t="n"/>
      <c r="BB1722" s="1422" t="n"/>
      <c r="BC1722" s="1392" t="n"/>
      <c r="BD1722" s="1392" t="n"/>
      <c r="BE1722" s="1392" t="n"/>
      <c r="BF1722" s="1392" t="n"/>
      <c r="BG1722" s="1392" t="n"/>
      <c r="BH1722" s="1392" t="n"/>
      <c r="BI1722" s="1392" t="n"/>
      <c r="BJ1722" s="1392" t="n"/>
      <c r="BK1722" s="1392" t="n"/>
      <c r="BL1722" s="1392" t="n"/>
      <c r="BM1722" s="1392" t="n"/>
      <c r="BN1722" s="1392" t="n"/>
      <c r="BO1722" s="1392" t="n"/>
      <c r="BP1722" s="1392" t="n"/>
      <c r="BQ1722" s="1392" t="n"/>
      <c r="BR1722" s="1392" t="n"/>
      <c r="BS1722" s="1392" t="n"/>
      <c r="BT1722" s="1392" t="n"/>
      <c r="BU1722" s="1392" t="n"/>
      <c r="BV1722" s="1392" t="n"/>
      <c r="BW1722" s="1392" t="n"/>
      <c r="BX1722" s="1392" t="n"/>
      <c r="BY1722" s="1392" t="n"/>
      <c r="BZ1722" s="1392" t="n"/>
      <c r="CA1722" s="1392" t="n"/>
      <c r="CB1722" s="1392" t="n"/>
      <c r="CC1722" s="1392" t="n"/>
      <c r="CD1722" s="1392" t="n"/>
      <c r="CE1722" s="1392" t="n"/>
      <c r="CF1722" s="1392" t="n"/>
      <c r="CG1722" s="1392" t="n"/>
      <c r="CH1722" s="1392" t="n"/>
      <c r="CI1722" s="1392" t="n"/>
      <c r="CJ1722" s="1392" t="n"/>
      <c r="CK1722" s="1392" t="n"/>
      <c r="CL1722" s="1392" t="n"/>
    </row>
    <row r="1723">
      <c r="A1723" s="5" t="inlineStr">
        <is>
          <t>.</t>
        </is>
      </c>
      <c r="B1723" s="5" t="inlineStr">
        <is>
          <t>.</t>
        </is>
      </c>
      <c r="C1723" s="1378">
        <f>IF(raw[[#This Row],[city]]="","-",IF(raw[[#This Row],[city]]="TODAY","-",C1722+1))</f>
        <v/>
      </c>
      <c r="D1723" s="1393" t="inlineStr">
        <is>
          <t>SP</t>
        </is>
      </c>
      <c r="E1723" s="1394" t="n">
        <v>45489</v>
      </c>
      <c r="F1723" s="1394" t="n">
        <v>45489</v>
      </c>
      <c r="G1723" s="1393" t="n">
        <v>1</v>
      </c>
      <c r="H1723" s="1393" t="inlineStr">
        <is>
          <t>Gaspé</t>
        </is>
      </c>
      <c r="I1723" s="1393" t="inlineStr">
        <is>
          <t>-</t>
        </is>
      </c>
      <c r="J1723" s="1393" t="inlineStr">
        <is>
          <t>-</t>
        </is>
      </c>
      <c r="K1723" s="1395">
        <f>IF(raw[[#This Row],[city]]&lt;&gt;"",_xlfn.XLOOKUP($D1723,ccc[city],ccc[prov],"-"),"-")</f>
        <v/>
      </c>
      <c r="L1723" s="1395">
        <f>IF(raw[[#This Row],[city]]&lt;&gt;"",_xlfn.XLOOKUP($D1723,ccc[city],ccc[ctry],"-"),"-")</f>
        <v/>
      </c>
      <c r="M1723" s="1395">
        <f>IF(raw[[#This Row],[city]]&lt;&gt;"",_xlfn.XLOOKUP($D1723,ccc[city],ccc[cont],"-"),"-")</f>
        <v/>
      </c>
      <c r="N1723" s="1396">
        <f>IF(raw[[#This Row],[city]]="","-",IF(raw[[#This Row],[cont]]="B",raw[[#This Row],[cont]],"W"))</f>
        <v/>
      </c>
      <c r="O1723" s="1397">
        <f>IF(raw[[#This Row],[out]]=0,0,IF(raw[[#This Row],[out]]=raw[[#This Row],[in]],0.01,raw[[#This Row],[out]]-raw[[#This Row],[in]]))</f>
        <v/>
      </c>
      <c r="P1723" s="1397">
        <f>IF(raw[[#This Row],[in]]=0,0,MONTH(raw[[#This Row],[in]]))</f>
        <v/>
      </c>
      <c r="Q1723" s="1397">
        <f>IF(raw[[#This Row],[in]]=0,0,YEAR(raw[[#This Row],[in]]))</f>
        <v/>
      </c>
      <c r="R1723" s="1397">
        <f>INT(raw[[#This Row],[yr]]/10)*10</f>
        <v/>
      </c>
      <c r="S1723" s="1395">
        <f>IF(raw[[#This Row],[city]]="","-",IF(raw[[#This Row],[city]]&lt;&gt;_xlfn.XLOOKUP(raw[[#This Row],[home]],homes[home],homes[city],"-"),1,0))</f>
        <v/>
      </c>
      <c r="T1723" s="1398" t="inlineStr">
        <is>
          <t>.</t>
        </is>
      </c>
      <c r="U1723" s="1399">
        <f>IF(raw[[#This Row],[wb]]="w",raw[[#This Row],[stay]]+U1722,U1722)</f>
        <v/>
      </c>
      <c r="V1723" s="1400">
        <f>IF(raw[[#This Row],[out]]=0,V1722,(raw[[#This Row],[out]]-E$5))</f>
        <v/>
      </c>
      <c r="W1723" s="1401">
        <f>U1723/V1723</f>
        <v/>
      </c>
      <c r="X1723" s="1392" t="n"/>
      <c r="Y1723" s="1392" t="n"/>
      <c r="Z1723" s="1392" t="n"/>
      <c r="AA1723" s="1392" t="n"/>
      <c r="AB1723" s="1392" t="n"/>
      <c r="AC1723" s="1392" t="n"/>
      <c r="AD1723" s="1392" t="n"/>
      <c r="AE1723" s="1392" t="n"/>
      <c r="AF1723" s="1392" t="n"/>
      <c r="AG1723" s="1392" t="n"/>
      <c r="AH1723" s="1392" t="n"/>
      <c r="AI1723" s="1392" t="n"/>
      <c r="AJ1723" s="1392" t="n"/>
      <c r="AK1723" s="1392" t="n"/>
      <c r="AL1723" s="1392" t="n"/>
      <c r="AM1723" s="1392" t="n"/>
      <c r="AN1723" s="1392" t="n"/>
      <c r="AO1723" s="1392" t="n"/>
      <c r="AP1723" s="1392" t="n"/>
      <c r="AQ1723" s="1392" t="n"/>
      <c r="AR1723" s="1422" t="n"/>
      <c r="AS1723" s="1422" t="n"/>
      <c r="AT1723" s="1392" t="n"/>
      <c r="AU1723" s="1392" t="n"/>
      <c r="AV1723" s="1392" t="n"/>
      <c r="AW1723" s="1392" t="n"/>
      <c r="AX1723" s="1392" t="n"/>
      <c r="AY1723" s="1392" t="n"/>
      <c r="AZ1723" s="1392" t="n"/>
      <c r="BA1723" s="1422" t="n"/>
      <c r="BB1723" s="1422" t="n"/>
      <c r="BC1723" s="1392" t="n"/>
      <c r="BD1723" s="1392" t="n"/>
      <c r="BE1723" s="1392" t="n"/>
      <c r="BF1723" s="1392" t="n"/>
      <c r="BG1723" s="1392" t="n"/>
      <c r="BH1723" s="1392" t="n"/>
      <c r="BI1723" s="1392" t="n"/>
      <c r="BJ1723" s="1392" t="n"/>
      <c r="BK1723" s="1392" t="n"/>
      <c r="BL1723" s="1392" t="n"/>
      <c r="BM1723" s="1392" t="n"/>
      <c r="BN1723" s="1392" t="n"/>
      <c r="BO1723" s="1392" t="n"/>
      <c r="BP1723" s="1392" t="n"/>
      <c r="BQ1723" s="1392" t="n"/>
      <c r="BR1723" s="1392" t="n"/>
      <c r="BS1723" s="1392" t="n"/>
      <c r="BT1723" s="1392" t="n"/>
      <c r="BU1723" s="1392" t="n"/>
      <c r="BV1723" s="1392" t="n"/>
      <c r="BW1723" s="1392" t="n"/>
      <c r="BX1723" s="1392" t="n"/>
      <c r="BY1723" s="1392" t="n"/>
      <c r="BZ1723" s="1392" t="n"/>
      <c r="CA1723" s="1392" t="n"/>
      <c r="CB1723" s="1392" t="n"/>
      <c r="CC1723" s="1392" t="n"/>
      <c r="CD1723" s="1392" t="n"/>
      <c r="CE1723" s="1392" t="n"/>
      <c r="CF1723" s="1392" t="n"/>
      <c r="CG1723" s="1392" t="n"/>
      <c r="CH1723" s="1392" t="n"/>
      <c r="CI1723" s="1392" t="n"/>
      <c r="CJ1723" s="1392" t="n"/>
      <c r="CK1723" s="1392" t="n"/>
      <c r="CL1723" s="1392" t="n"/>
    </row>
    <row r="1724">
      <c r="A1724" s="5" t="inlineStr">
        <is>
          <t>.</t>
        </is>
      </c>
      <c r="B1724" s="5" t="inlineStr">
        <is>
          <t>.</t>
        </is>
      </c>
      <c r="C1724" s="1378">
        <f>IF(raw[[#This Row],[city]]="","-",IF(raw[[#This Row],[city]]="TODAY","-",C1723+1))</f>
        <v/>
      </c>
      <c r="D1724" s="1393" t="inlineStr">
        <is>
          <t>AIR</t>
        </is>
      </c>
      <c r="E1724" s="1394" t="n">
        <v>45489</v>
      </c>
      <c r="F1724" s="1394" t="n">
        <v>45490</v>
      </c>
      <c r="G1724" s="1393" t="inlineStr">
        <is>
          <t>x</t>
        </is>
      </c>
      <c r="H1724" s="1393" t="inlineStr">
        <is>
          <t>Gaspé</t>
        </is>
      </c>
      <c r="I1724" s="1393" t="inlineStr">
        <is>
          <t>-</t>
        </is>
      </c>
      <c r="J1724" s="1393" t="inlineStr">
        <is>
          <t>-</t>
        </is>
      </c>
      <c r="K1724" s="1395">
        <f>IF(raw[[#This Row],[city]]&lt;&gt;"",_xlfn.XLOOKUP($D1724,ccc[city],ccc[prov],"-"),"-")</f>
        <v/>
      </c>
      <c r="L1724" s="1395">
        <f>IF(raw[[#This Row],[city]]&lt;&gt;"",_xlfn.XLOOKUP($D1724,ccc[city],ccc[ctry],"-"),"-")</f>
        <v/>
      </c>
      <c r="M1724" s="1395">
        <f>IF(raw[[#This Row],[city]]&lt;&gt;"",_xlfn.XLOOKUP($D1724,ccc[city],ccc[cont],"-"),"-")</f>
        <v/>
      </c>
      <c r="N1724" s="1396">
        <f>IF(raw[[#This Row],[city]]="","-",IF(raw[[#This Row],[cont]]="B",raw[[#This Row],[cont]],"W"))</f>
        <v/>
      </c>
      <c r="O1724" s="1397">
        <f>IF(raw[[#This Row],[out]]=0,0,IF(raw[[#This Row],[out]]=raw[[#This Row],[in]],0.01,raw[[#This Row],[out]]-raw[[#This Row],[in]]))</f>
        <v/>
      </c>
      <c r="P1724" s="1397">
        <f>IF(raw[[#This Row],[in]]=0,0,MONTH(raw[[#This Row],[in]]))</f>
        <v/>
      </c>
      <c r="Q1724" s="1397">
        <f>IF(raw[[#This Row],[in]]=0,0,YEAR(raw[[#This Row],[in]]))</f>
        <v/>
      </c>
      <c r="R1724" s="1397">
        <f>INT(raw[[#This Row],[yr]]/10)*10</f>
        <v/>
      </c>
      <c r="S1724" s="1395">
        <f>IF(raw[[#This Row],[city]]="","-",IF(raw[[#This Row],[city]]&lt;&gt;_xlfn.XLOOKUP(raw[[#This Row],[home]],homes[home],homes[city],"-"),1,0))</f>
        <v/>
      </c>
      <c r="T1724" s="1398" t="inlineStr">
        <is>
          <t>.</t>
        </is>
      </c>
      <c r="U1724" s="1399">
        <f>IF(raw[[#This Row],[wb]]="w",raw[[#This Row],[stay]]+U1723,U1723)</f>
        <v/>
      </c>
      <c r="V1724" s="1400">
        <f>IF(raw[[#This Row],[out]]=0,V1723,(raw[[#This Row],[out]]-E$5))</f>
        <v/>
      </c>
      <c r="W1724" s="1401">
        <f>U1724/V1724</f>
        <v/>
      </c>
      <c r="X1724" s="1392" t="n"/>
      <c r="Y1724" s="1392" t="n"/>
      <c r="Z1724" s="1392" t="n"/>
      <c r="AA1724" s="1392" t="n"/>
      <c r="AB1724" s="1392" t="n"/>
      <c r="AC1724" s="1392" t="n"/>
      <c r="AD1724" s="1392" t="n"/>
      <c r="AE1724" s="1392" t="n"/>
      <c r="AF1724" s="1392" t="n"/>
      <c r="AG1724" s="1392" t="n"/>
      <c r="AH1724" s="1392" t="n"/>
      <c r="AI1724" s="1392" t="n"/>
      <c r="AJ1724" s="1392" t="n"/>
      <c r="AK1724" s="1392" t="n"/>
      <c r="AL1724" s="1392" t="n"/>
      <c r="AM1724" s="1392" t="n"/>
      <c r="AN1724" s="1392" t="n"/>
      <c r="AO1724" s="1392" t="n"/>
      <c r="AP1724" s="1392" t="n"/>
      <c r="AQ1724" s="1392" t="n"/>
      <c r="AR1724" s="1422" t="n"/>
      <c r="AS1724" s="1422" t="n"/>
      <c r="AT1724" s="1392" t="n"/>
      <c r="AU1724" s="1392" t="n"/>
      <c r="AV1724" s="1392" t="n"/>
      <c r="AW1724" s="1392" t="n"/>
      <c r="AX1724" s="1392" t="n"/>
      <c r="AY1724" s="1392" t="n"/>
      <c r="AZ1724" s="1392" t="n"/>
      <c r="BA1724" s="1422" t="n"/>
      <c r="BB1724" s="1422" t="n"/>
      <c r="BC1724" s="1392" t="n"/>
      <c r="BD1724" s="1392" t="n"/>
      <c r="BE1724" s="1392" t="n"/>
      <c r="BF1724" s="1392" t="n"/>
      <c r="BG1724" s="1392" t="n"/>
      <c r="BH1724" s="1392" t="n"/>
      <c r="BI1724" s="1392" t="n"/>
      <c r="BJ1724" s="1392" t="n"/>
      <c r="BK1724" s="1392" t="n"/>
      <c r="BL1724" s="1392" t="n"/>
      <c r="BM1724" s="1392" t="n"/>
      <c r="BN1724" s="1392" t="n"/>
      <c r="BO1724" s="1392" t="n"/>
      <c r="BP1724" s="1392" t="n"/>
      <c r="BQ1724" s="1392" t="n"/>
      <c r="BR1724" s="1392" t="n"/>
      <c r="BS1724" s="1392" t="n"/>
      <c r="BT1724" s="1392" t="n"/>
      <c r="BU1724" s="1392" t="n"/>
      <c r="BV1724" s="1392" t="n"/>
      <c r="BW1724" s="1392" t="n"/>
      <c r="BX1724" s="1392" t="n"/>
      <c r="BY1724" s="1392" t="n"/>
      <c r="BZ1724" s="1392" t="n"/>
      <c r="CA1724" s="1392" t="n"/>
      <c r="CB1724" s="1392" t="n"/>
      <c r="CC1724" s="1392" t="n"/>
      <c r="CD1724" s="1392" t="n"/>
      <c r="CE1724" s="1392" t="n"/>
      <c r="CF1724" s="1392" t="n"/>
      <c r="CG1724" s="1392" t="n"/>
      <c r="CH1724" s="1392" t="n"/>
      <c r="CI1724" s="1392" t="n"/>
      <c r="CJ1724" s="1392" t="n"/>
      <c r="CK1724" s="1392" t="n"/>
      <c r="CL1724" s="1392" t="n"/>
    </row>
    <row r="1725">
      <c r="A1725" s="5" t="inlineStr">
        <is>
          <t>.</t>
        </is>
      </c>
      <c r="B1725" s="5" t="inlineStr">
        <is>
          <t>.</t>
        </is>
      </c>
      <c r="C1725" s="1378">
        <f>IF(raw[[#This Row],[city]]="","-",IF(raw[[#This Row],[city]]="TODAY","-",C1724+1))</f>
        <v/>
      </c>
      <c r="D1725" s="1393" t="inlineStr">
        <is>
          <t>Washington</t>
        </is>
      </c>
      <c r="E1725" s="1394" t="n">
        <v>45490</v>
      </c>
      <c r="F1725" s="1394" t="n">
        <v>45490</v>
      </c>
      <c r="G1725" s="1393" t="n">
        <v>1</v>
      </c>
      <c r="H1725" s="1393" t="inlineStr">
        <is>
          <t>Gaspé</t>
        </is>
      </c>
      <c r="I1725" s="1393" t="inlineStr">
        <is>
          <t>-</t>
        </is>
      </c>
      <c r="J1725" s="1393" t="inlineStr">
        <is>
          <t>-</t>
        </is>
      </c>
      <c r="K1725" s="1395">
        <f>IF(raw[[#This Row],[city]]&lt;&gt;"",_xlfn.XLOOKUP($D1725,ccc[city],ccc[prov],"-"),"-")</f>
        <v/>
      </c>
      <c r="L1725" s="1395">
        <f>IF(raw[[#This Row],[city]]&lt;&gt;"",_xlfn.XLOOKUP($D1725,ccc[city],ccc[ctry],"-"),"-")</f>
        <v/>
      </c>
      <c r="M1725" s="1395">
        <f>IF(raw[[#This Row],[city]]&lt;&gt;"",_xlfn.XLOOKUP($D1725,ccc[city],ccc[cont],"-"),"-")</f>
        <v/>
      </c>
      <c r="N1725" s="1396">
        <f>IF(raw[[#This Row],[city]]="","-",IF(raw[[#This Row],[cont]]="B",raw[[#This Row],[cont]],"W"))</f>
        <v/>
      </c>
      <c r="O1725" s="1397">
        <f>IF(raw[[#This Row],[out]]=0,0,IF(raw[[#This Row],[out]]=raw[[#This Row],[in]],0.01,raw[[#This Row],[out]]-raw[[#This Row],[in]]))</f>
        <v/>
      </c>
      <c r="P1725" s="1397">
        <f>IF(raw[[#This Row],[in]]=0,0,MONTH(raw[[#This Row],[in]]))</f>
        <v/>
      </c>
      <c r="Q1725" s="1397">
        <f>IF(raw[[#This Row],[in]]=0,0,YEAR(raw[[#This Row],[in]]))</f>
        <v/>
      </c>
      <c r="R1725" s="1397">
        <f>INT(raw[[#This Row],[yr]]/10)*10</f>
        <v/>
      </c>
      <c r="S1725" s="1395">
        <f>IF(raw[[#This Row],[city]]="","-",IF(raw[[#This Row],[city]]&lt;&gt;_xlfn.XLOOKUP(raw[[#This Row],[home]],homes[home],homes[city],"-"),1,0))</f>
        <v/>
      </c>
      <c r="T1725" s="1398" t="inlineStr">
        <is>
          <t>.</t>
        </is>
      </c>
      <c r="U1725" s="1399">
        <f>IF(raw[[#This Row],[wb]]="w",raw[[#This Row],[stay]]+U1724,U1724)</f>
        <v/>
      </c>
      <c r="V1725" s="1400">
        <f>IF(raw[[#This Row],[out]]=0,V1724,(raw[[#This Row],[out]]-E$5))</f>
        <v/>
      </c>
      <c r="W1725" s="1401">
        <f>U1725/V1725</f>
        <v/>
      </c>
      <c r="X1725" s="1392" t="n"/>
      <c r="Y1725" s="1392" t="n"/>
      <c r="Z1725" s="1392" t="n"/>
      <c r="AA1725" s="1392" t="n"/>
      <c r="AB1725" s="1392" t="n"/>
      <c r="AC1725" s="1392" t="n"/>
      <c r="AD1725" s="1392" t="n"/>
      <c r="AE1725" s="1392" t="n"/>
      <c r="AF1725" s="1392" t="n"/>
      <c r="AG1725" s="1392" t="n"/>
      <c r="AH1725" s="1392" t="n"/>
      <c r="AI1725" s="1392" t="n"/>
      <c r="AJ1725" s="1392" t="n"/>
      <c r="AK1725" s="1392" t="n"/>
      <c r="AL1725" s="1392" t="n"/>
      <c r="AM1725" s="1392" t="n"/>
      <c r="AN1725" s="1392" t="n"/>
      <c r="AO1725" s="1392" t="n"/>
      <c r="AP1725" s="1392" t="n"/>
      <c r="AQ1725" s="1392" t="n"/>
      <c r="AR1725" s="1422" t="n"/>
      <c r="AS1725" s="1422" t="n"/>
      <c r="AT1725" s="1392" t="n"/>
      <c r="AU1725" s="1392" t="n"/>
      <c r="AV1725" s="1392" t="n"/>
      <c r="AW1725" s="1392" t="n"/>
      <c r="AX1725" s="1392" t="n"/>
      <c r="AY1725" s="1392" t="n"/>
      <c r="AZ1725" s="1392" t="n"/>
      <c r="BA1725" s="1422" t="n"/>
      <c r="BB1725" s="1422" t="n"/>
      <c r="BC1725" s="1392" t="n"/>
      <c r="BD1725" s="1392" t="n"/>
      <c r="BE1725" s="1392" t="n"/>
      <c r="BF1725" s="1392" t="n"/>
      <c r="BG1725" s="1392" t="n"/>
      <c r="BH1725" s="1392" t="n"/>
      <c r="BI1725" s="1392" t="n"/>
      <c r="BJ1725" s="1392" t="n"/>
      <c r="BK1725" s="1392" t="n"/>
      <c r="BL1725" s="1392" t="n"/>
      <c r="BM1725" s="1392" t="n"/>
      <c r="BN1725" s="1392" t="n"/>
      <c r="BO1725" s="1392" t="n"/>
      <c r="BP1725" s="1392" t="n"/>
      <c r="BQ1725" s="1392" t="n"/>
      <c r="BR1725" s="1392" t="n"/>
      <c r="BS1725" s="1392" t="n"/>
      <c r="BT1725" s="1392" t="n"/>
      <c r="BU1725" s="1392" t="n"/>
      <c r="BV1725" s="1392" t="n"/>
      <c r="BW1725" s="1392" t="n"/>
      <c r="BX1725" s="1392" t="n"/>
      <c r="BY1725" s="1392" t="n"/>
      <c r="BZ1725" s="1392" t="n"/>
      <c r="CA1725" s="1392" t="n"/>
      <c r="CB1725" s="1392" t="n"/>
      <c r="CC1725" s="1392" t="n"/>
      <c r="CD1725" s="1392" t="n"/>
      <c r="CE1725" s="1392" t="n"/>
      <c r="CF1725" s="1392" t="n"/>
      <c r="CG1725" s="1392" t="n"/>
      <c r="CH1725" s="1392" t="n"/>
      <c r="CI1725" s="1392" t="n"/>
      <c r="CJ1725" s="1392" t="n"/>
      <c r="CK1725" s="1392" t="n"/>
      <c r="CL1725" s="1392" t="n"/>
    </row>
    <row r="1726">
      <c r="A1726" s="5" t="inlineStr">
        <is>
          <t>.</t>
        </is>
      </c>
      <c r="B1726" s="5" t="inlineStr">
        <is>
          <t>.</t>
        </is>
      </c>
      <c r="C1726" s="1378">
        <f>IF(raw[[#This Row],[city]]="","-",IF(raw[[#This Row],[city]]="TODAY","-",C1725+1))</f>
        <v/>
      </c>
      <c r="D1726" s="1393" t="inlineStr">
        <is>
          <t>Montreal</t>
        </is>
      </c>
      <c r="E1726" s="1394" t="n">
        <v>45490</v>
      </c>
      <c r="F1726" s="1394" t="n">
        <v>45505</v>
      </c>
      <c r="G1726" s="1393" t="inlineStr">
        <is>
          <t>-</t>
        </is>
      </c>
      <c r="H1726" s="1393" t="inlineStr">
        <is>
          <t>Gaspé</t>
        </is>
      </c>
      <c r="I1726" s="1393" t="inlineStr">
        <is>
          <t>-</t>
        </is>
      </c>
      <c r="J1726" s="1393" t="inlineStr">
        <is>
          <t>-</t>
        </is>
      </c>
      <c r="K1726" s="1395">
        <f>IF(raw[[#This Row],[city]]&lt;&gt;"",_xlfn.XLOOKUP($D1726,ccc[city],ccc[prov],"-"),"-")</f>
        <v/>
      </c>
      <c r="L1726" s="1395">
        <f>IF(raw[[#This Row],[city]]&lt;&gt;"",_xlfn.XLOOKUP($D1726,ccc[city],ccc[ctry],"-"),"-")</f>
        <v/>
      </c>
      <c r="M1726" s="1395">
        <f>IF(raw[[#This Row],[city]]&lt;&gt;"",_xlfn.XLOOKUP($D1726,ccc[city],ccc[cont],"-"),"-")</f>
        <v/>
      </c>
      <c r="N1726" s="1396">
        <f>IF(raw[[#This Row],[city]]="","-",IF(raw[[#This Row],[cont]]="B",raw[[#This Row],[cont]],"W"))</f>
        <v/>
      </c>
      <c r="O1726" s="1397">
        <f>IF(raw[[#This Row],[out]]=0,0,IF(raw[[#This Row],[out]]=raw[[#This Row],[in]],0.01,raw[[#This Row],[out]]-raw[[#This Row],[in]]))</f>
        <v/>
      </c>
      <c r="P1726" s="1397">
        <f>IF(raw[[#This Row],[in]]=0,0,MONTH(raw[[#This Row],[in]]))</f>
        <v/>
      </c>
      <c r="Q1726" s="1397">
        <f>IF(raw[[#This Row],[in]]=0,0,YEAR(raw[[#This Row],[in]]))</f>
        <v/>
      </c>
      <c r="R1726" s="1397">
        <f>INT(raw[[#This Row],[yr]]/10)*10</f>
        <v/>
      </c>
      <c r="S1726" s="1395">
        <f>IF(raw[[#This Row],[city]]="","-",IF(raw[[#This Row],[city]]&lt;&gt;_xlfn.XLOOKUP(raw[[#This Row],[home]],homes[home],homes[city],"-"),1,0))</f>
        <v/>
      </c>
      <c r="T1726" s="1398" t="inlineStr">
        <is>
          <t>.</t>
        </is>
      </c>
      <c r="U1726" s="1399">
        <f>IF(raw[[#This Row],[wb]]="w",raw[[#This Row],[stay]]+U1725,U1725)</f>
        <v/>
      </c>
      <c r="V1726" s="1400">
        <f>IF(raw[[#This Row],[out]]=0,V1725,(raw[[#This Row],[out]]-E$5))</f>
        <v/>
      </c>
      <c r="W1726" s="1401">
        <f>U1726/V1726</f>
        <v/>
      </c>
      <c r="X1726" s="1392" t="n"/>
      <c r="Y1726" s="1392" t="n"/>
      <c r="Z1726" s="1392" t="n"/>
      <c r="AA1726" s="1392" t="n"/>
      <c r="AB1726" s="1392" t="n"/>
      <c r="AC1726" s="1392" t="n"/>
      <c r="AD1726" s="1392" t="n"/>
      <c r="AE1726" s="1392" t="n"/>
      <c r="AF1726" s="1392" t="n"/>
      <c r="AG1726" s="1392" t="n"/>
      <c r="AH1726" s="1392" t="n"/>
      <c r="AI1726" s="1392" t="n"/>
      <c r="AJ1726" s="1392" t="n"/>
      <c r="AK1726" s="1392" t="n"/>
      <c r="AL1726" s="1392" t="n"/>
      <c r="AM1726" s="1392" t="n"/>
      <c r="AN1726" s="1392" t="n"/>
      <c r="AO1726" s="1392" t="n"/>
      <c r="AP1726" s="1392" t="n"/>
      <c r="AQ1726" s="1392" t="n"/>
      <c r="AR1726" s="1422" t="n"/>
      <c r="AS1726" s="1422" t="n"/>
      <c r="AT1726" s="1392" t="n"/>
      <c r="AU1726" s="1392" t="n"/>
      <c r="AV1726" s="1392" t="n"/>
      <c r="AW1726" s="1392" t="n"/>
      <c r="AX1726" s="1392" t="n"/>
      <c r="AY1726" s="1392" t="n"/>
      <c r="AZ1726" s="1392" t="n"/>
      <c r="BA1726" s="1422" t="n"/>
      <c r="BB1726" s="1422" t="n"/>
      <c r="BC1726" s="1392" t="n"/>
      <c r="BD1726" s="1392" t="n"/>
      <c r="BE1726" s="1392" t="n"/>
      <c r="BF1726" s="1392" t="n"/>
      <c r="BG1726" s="1392" t="n"/>
      <c r="BH1726" s="1392" t="n"/>
      <c r="BI1726" s="1392" t="n"/>
      <c r="BJ1726" s="1392" t="n"/>
      <c r="BK1726" s="1392" t="n"/>
      <c r="BL1726" s="1392" t="n"/>
      <c r="BM1726" s="1392" t="n"/>
      <c r="BN1726" s="1392" t="n"/>
      <c r="BO1726" s="1392" t="n"/>
      <c r="BP1726" s="1392" t="n"/>
      <c r="BQ1726" s="1392" t="n"/>
      <c r="BR1726" s="1392" t="n"/>
      <c r="BS1726" s="1392" t="n"/>
      <c r="BT1726" s="1392" t="n"/>
      <c r="BU1726" s="1392" t="n"/>
      <c r="BV1726" s="1392" t="n"/>
      <c r="BW1726" s="1392" t="n"/>
      <c r="BX1726" s="1392" t="n"/>
      <c r="BY1726" s="1392" t="n"/>
      <c r="BZ1726" s="1392" t="n"/>
      <c r="CA1726" s="1392" t="n"/>
      <c r="CB1726" s="1392" t="n"/>
      <c r="CC1726" s="1392" t="n"/>
      <c r="CD1726" s="1392" t="n"/>
      <c r="CE1726" s="1392" t="n"/>
      <c r="CF1726" s="1392" t="n"/>
      <c r="CG1726" s="1392" t="n"/>
      <c r="CH1726" s="1392" t="n"/>
      <c r="CI1726" s="1392" t="n"/>
      <c r="CJ1726" s="1392" t="n"/>
      <c r="CK1726" s="1392" t="n"/>
      <c r="CL1726" s="1392" t="n"/>
    </row>
    <row r="1727">
      <c r="A1727" s="5" t="inlineStr">
        <is>
          <t>.</t>
        </is>
      </c>
      <c r="B1727" s="5" t="inlineStr">
        <is>
          <t>.</t>
        </is>
      </c>
      <c r="C1727" s="1378">
        <f>IF(raw[[#This Row],[city]]="","-",IF(raw[[#This Row],[city]]="TODAY","-",C1726+1))</f>
        <v/>
      </c>
      <c r="D1727" s="1393" t="inlineStr">
        <is>
          <t>Montreal</t>
        </is>
      </c>
      <c r="E1727" s="1394" t="n">
        <v>45505</v>
      </c>
      <c r="F1727" s="1394" t="n">
        <v>45519</v>
      </c>
      <c r="G1727" s="1393" t="n">
        <v>1</v>
      </c>
      <c r="H1727" s="1393" t="inlineStr">
        <is>
          <t>Gaspé</t>
        </is>
      </c>
      <c r="I1727" s="1393" t="inlineStr">
        <is>
          <t>-</t>
        </is>
      </c>
      <c r="J1727" s="1393" t="inlineStr">
        <is>
          <t>-</t>
        </is>
      </c>
      <c r="K1727" s="1395">
        <f>IF(raw[[#This Row],[city]]&lt;&gt;"",_xlfn.XLOOKUP($D1727,ccc[city],ccc[prov],"-"),"-")</f>
        <v/>
      </c>
      <c r="L1727" s="1395">
        <f>IF(raw[[#This Row],[city]]&lt;&gt;"",_xlfn.XLOOKUP($D1727,ccc[city],ccc[ctry],"-"),"-")</f>
        <v/>
      </c>
      <c r="M1727" s="1395">
        <f>IF(raw[[#This Row],[city]]&lt;&gt;"",_xlfn.XLOOKUP($D1727,ccc[city],ccc[cont],"-"),"-")</f>
        <v/>
      </c>
      <c r="N1727" s="1396">
        <f>IF(raw[[#This Row],[city]]="","-",IF(raw[[#This Row],[cont]]="B",raw[[#This Row],[cont]],"W"))</f>
        <v/>
      </c>
      <c r="O1727" s="1397">
        <f>IF(raw[[#This Row],[out]]=0,0,IF(raw[[#This Row],[out]]=raw[[#This Row],[in]],0.01,raw[[#This Row],[out]]-raw[[#This Row],[in]]))</f>
        <v/>
      </c>
      <c r="P1727" s="1397">
        <f>IF(raw[[#This Row],[in]]=0,0,MONTH(raw[[#This Row],[in]]))</f>
        <v/>
      </c>
      <c r="Q1727" s="1397">
        <f>IF(raw[[#This Row],[in]]=0,0,YEAR(raw[[#This Row],[in]]))</f>
        <v/>
      </c>
      <c r="R1727" s="1397">
        <f>INT(raw[[#This Row],[yr]]/10)*10</f>
        <v/>
      </c>
      <c r="S1727" s="1395">
        <f>IF(raw[[#This Row],[city]]="","-",IF(raw[[#This Row],[city]]&lt;&gt;_xlfn.XLOOKUP(raw[[#This Row],[home]],homes[home],homes[city],"-"),1,0))</f>
        <v/>
      </c>
      <c r="T1727" s="1398" t="inlineStr">
        <is>
          <t>.</t>
        </is>
      </c>
      <c r="U1727" s="1399">
        <f>IF(raw[[#This Row],[wb]]="w",raw[[#This Row],[stay]]+U1726,U1726)</f>
        <v/>
      </c>
      <c r="V1727" s="1400">
        <f>IF(raw[[#This Row],[out]]=0,V1726,(raw[[#This Row],[out]]-E$5))</f>
        <v/>
      </c>
      <c r="W1727" s="1401">
        <f>U1727/V1727</f>
        <v/>
      </c>
      <c r="X1727" s="1392" t="n"/>
      <c r="Y1727" s="1392" t="n"/>
      <c r="Z1727" s="1392" t="n"/>
      <c r="AA1727" s="1392" t="n"/>
      <c r="AB1727" s="1392" t="n"/>
      <c r="AC1727" s="1392" t="n"/>
      <c r="AD1727" s="1392" t="n"/>
      <c r="AE1727" s="1392" t="n"/>
      <c r="AF1727" s="1392" t="n"/>
      <c r="AG1727" s="1392" t="n"/>
      <c r="AH1727" s="1392" t="n"/>
      <c r="AI1727" s="1392" t="n"/>
      <c r="AJ1727" s="1392" t="n"/>
      <c r="AK1727" s="1392" t="n"/>
      <c r="AL1727" s="1392" t="n"/>
      <c r="AM1727" s="1392" t="n"/>
      <c r="AN1727" s="1392" t="n"/>
      <c r="AO1727" s="1392" t="n"/>
      <c r="AP1727" s="1392" t="n"/>
      <c r="AQ1727" s="1392" t="n"/>
      <c r="AR1727" s="1422" t="n"/>
      <c r="AS1727" s="1422" t="n"/>
      <c r="AT1727" s="1392" t="n"/>
      <c r="AU1727" s="1392" t="n"/>
      <c r="AV1727" s="1392" t="n"/>
      <c r="AW1727" s="1392" t="n"/>
      <c r="AX1727" s="1392" t="n"/>
      <c r="AY1727" s="1392" t="n"/>
      <c r="AZ1727" s="1392" t="n"/>
      <c r="BA1727" s="1422" t="n"/>
      <c r="BB1727" s="1422" t="n"/>
      <c r="BC1727" s="1392" t="n"/>
      <c r="BD1727" s="1392" t="n"/>
      <c r="BE1727" s="1392" t="n"/>
      <c r="BF1727" s="1392" t="n"/>
      <c r="BG1727" s="1392" t="n"/>
      <c r="BH1727" s="1392" t="n"/>
      <c r="BI1727" s="1392" t="n"/>
      <c r="BJ1727" s="1392" t="n"/>
      <c r="BK1727" s="1392" t="n"/>
      <c r="BL1727" s="1392" t="n"/>
      <c r="BM1727" s="1392" t="n"/>
      <c r="BN1727" s="1392" t="n"/>
      <c r="BO1727" s="1392" t="n"/>
      <c r="BP1727" s="1392" t="n"/>
      <c r="BQ1727" s="1392" t="n"/>
      <c r="BR1727" s="1392" t="n"/>
      <c r="BS1727" s="1392" t="n"/>
      <c r="BT1727" s="1392" t="n"/>
      <c r="BU1727" s="1392" t="n"/>
      <c r="BV1727" s="1392" t="n"/>
      <c r="BW1727" s="1392" t="n"/>
      <c r="BX1727" s="1392" t="n"/>
      <c r="BY1727" s="1392" t="n"/>
      <c r="BZ1727" s="1392" t="n"/>
      <c r="CA1727" s="1392" t="n"/>
      <c r="CB1727" s="1392" t="n"/>
      <c r="CC1727" s="1392" t="n"/>
      <c r="CD1727" s="1392" t="n"/>
      <c r="CE1727" s="1392" t="n"/>
      <c r="CF1727" s="1392" t="n"/>
      <c r="CG1727" s="1392" t="n"/>
      <c r="CH1727" s="1392" t="n"/>
      <c r="CI1727" s="1392" t="n"/>
      <c r="CJ1727" s="1392" t="n"/>
      <c r="CK1727" s="1392" t="n"/>
      <c r="CL1727" s="1392" t="n"/>
    </row>
    <row r="1728">
      <c r="A1728" s="5" t="inlineStr">
        <is>
          <t>.</t>
        </is>
      </c>
      <c r="B1728" s="5" t="inlineStr">
        <is>
          <t>.</t>
        </is>
      </c>
      <c r="C1728" s="1378">
        <f>IF(raw[[#This Row],[city]]="","-",IF(raw[[#This Row],[city]]="TODAY","-",C1727+1))</f>
        <v/>
      </c>
      <c r="D1728" s="1393" t="inlineStr">
        <is>
          <t>AIR</t>
        </is>
      </c>
      <c r="E1728" s="1394" t="n">
        <v>45519</v>
      </c>
      <c r="F1728" s="1394" t="n">
        <v>45520</v>
      </c>
      <c r="G1728" s="1393" t="inlineStr">
        <is>
          <t>x</t>
        </is>
      </c>
      <c r="H1728" s="1393" t="inlineStr">
        <is>
          <t>Gaspé</t>
        </is>
      </c>
      <c r="I1728" s="1393" t="inlineStr">
        <is>
          <t>-</t>
        </is>
      </c>
      <c r="J1728" s="1393" t="inlineStr">
        <is>
          <t>-</t>
        </is>
      </c>
      <c r="K1728" s="1395">
        <f>IF(raw[[#This Row],[city]]&lt;&gt;"",_xlfn.XLOOKUP($D1728,ccc[city],ccc[prov],"-"),"-")</f>
        <v/>
      </c>
      <c r="L1728" s="1395">
        <f>IF(raw[[#This Row],[city]]&lt;&gt;"",_xlfn.XLOOKUP($D1728,ccc[city],ccc[ctry],"-"),"-")</f>
        <v/>
      </c>
      <c r="M1728" s="1395">
        <f>IF(raw[[#This Row],[city]]&lt;&gt;"",_xlfn.XLOOKUP($D1728,ccc[city],ccc[cont],"-"),"-")</f>
        <v/>
      </c>
      <c r="N1728" s="1396">
        <f>IF(raw[[#This Row],[city]]="","-",IF(raw[[#This Row],[cont]]="B",raw[[#This Row],[cont]],"W"))</f>
        <v/>
      </c>
      <c r="O1728" s="1397">
        <f>IF(raw[[#This Row],[out]]=0,0,IF(raw[[#This Row],[out]]=raw[[#This Row],[in]],0.01,raw[[#This Row],[out]]-raw[[#This Row],[in]]))</f>
        <v/>
      </c>
      <c r="P1728" s="1397">
        <f>IF(raw[[#This Row],[in]]=0,0,MONTH(raw[[#This Row],[in]]))</f>
        <v/>
      </c>
      <c r="Q1728" s="1397">
        <f>IF(raw[[#This Row],[in]]=0,0,YEAR(raw[[#This Row],[in]]))</f>
        <v/>
      </c>
      <c r="R1728" s="1397">
        <f>INT(raw[[#This Row],[yr]]/10)*10</f>
        <v/>
      </c>
      <c r="S1728" s="1395">
        <f>IF(raw[[#This Row],[city]]="","-",IF(raw[[#This Row],[city]]&lt;&gt;_xlfn.XLOOKUP(raw[[#This Row],[home]],homes[home],homes[city],"-"),1,0))</f>
        <v/>
      </c>
      <c r="T1728" s="1398" t="inlineStr">
        <is>
          <t>.</t>
        </is>
      </c>
      <c r="U1728" s="1399">
        <f>IF(raw[[#This Row],[wb]]="w",raw[[#This Row],[stay]]+U1727,U1727)</f>
        <v/>
      </c>
      <c r="V1728" s="1400">
        <f>IF(raw[[#This Row],[out]]=0,V1727,(raw[[#This Row],[out]]-E$5))</f>
        <v/>
      </c>
      <c r="W1728" s="1401">
        <f>U1728/V1728</f>
        <v/>
      </c>
      <c r="X1728" s="1392" t="n"/>
      <c r="Y1728" s="1392" t="n"/>
      <c r="Z1728" s="1392" t="n"/>
      <c r="AA1728" s="1392" t="n"/>
      <c r="AB1728" s="1392" t="n"/>
      <c r="AC1728" s="1392" t="n"/>
      <c r="AD1728" s="1392" t="n"/>
      <c r="AE1728" s="1392" t="n"/>
      <c r="AF1728" s="1392" t="n"/>
      <c r="AG1728" s="1392" t="n"/>
      <c r="AH1728" s="1392" t="n"/>
      <c r="AI1728" s="1392" t="n"/>
      <c r="AJ1728" s="1392" t="n"/>
      <c r="AK1728" s="1392" t="n"/>
      <c r="AL1728" s="1392" t="n"/>
      <c r="AM1728" s="1392" t="n"/>
      <c r="AN1728" s="1392" t="n"/>
      <c r="AO1728" s="1392" t="n"/>
      <c r="AP1728" s="1392" t="n"/>
      <c r="AQ1728" s="1392" t="n"/>
      <c r="AR1728" s="1422" t="n"/>
      <c r="AS1728" s="1422" t="n"/>
      <c r="AT1728" s="1392" t="n"/>
      <c r="AU1728" s="1392" t="n"/>
      <c r="AV1728" s="1392" t="n"/>
      <c r="AW1728" s="1392" t="n"/>
      <c r="AX1728" s="1392" t="n"/>
      <c r="AY1728" s="1392" t="n"/>
      <c r="AZ1728" s="1392" t="n"/>
      <c r="BA1728" s="1422" t="n"/>
      <c r="BB1728" s="1422" t="n"/>
      <c r="BC1728" s="1392" t="n"/>
      <c r="BD1728" s="1392" t="n"/>
      <c r="BE1728" s="1392" t="n"/>
      <c r="BF1728" s="1392" t="n"/>
      <c r="BG1728" s="1392" t="n"/>
      <c r="BH1728" s="1392" t="n"/>
      <c r="BI1728" s="1392" t="n"/>
      <c r="BJ1728" s="1392" t="n"/>
      <c r="BK1728" s="1392" t="n"/>
      <c r="BL1728" s="1392" t="n"/>
      <c r="BM1728" s="1392" t="n"/>
      <c r="BN1728" s="1392" t="n"/>
      <c r="BO1728" s="1392" t="n"/>
      <c r="BP1728" s="1392" t="n"/>
      <c r="BQ1728" s="1392" t="n"/>
      <c r="BR1728" s="1392" t="n"/>
      <c r="BS1728" s="1392" t="n"/>
      <c r="BT1728" s="1392" t="n"/>
      <c r="BU1728" s="1392" t="n"/>
      <c r="BV1728" s="1392" t="n"/>
      <c r="BW1728" s="1392" t="n"/>
      <c r="BX1728" s="1392" t="n"/>
      <c r="BY1728" s="1392" t="n"/>
      <c r="BZ1728" s="1392" t="n"/>
      <c r="CA1728" s="1392" t="n"/>
      <c r="CB1728" s="1392" t="n"/>
      <c r="CC1728" s="1392" t="n"/>
      <c r="CD1728" s="1392" t="n"/>
      <c r="CE1728" s="1392" t="n"/>
      <c r="CF1728" s="1392" t="n"/>
      <c r="CG1728" s="1392" t="n"/>
      <c r="CH1728" s="1392" t="n"/>
      <c r="CI1728" s="1392" t="n"/>
      <c r="CJ1728" s="1392" t="n"/>
      <c r="CK1728" s="1392" t="n"/>
      <c r="CL1728" s="1392" t="n"/>
    </row>
    <row r="1729">
      <c r="A1729" s="5" t="inlineStr">
        <is>
          <t>.</t>
        </is>
      </c>
      <c r="B1729" s="5" t="inlineStr">
        <is>
          <t>.</t>
        </is>
      </c>
      <c r="C1729" s="1378">
        <f>IF(raw[[#This Row],[city]]="","-",IF(raw[[#This Row],[city]]="TODAY","-",C1728+1))</f>
        <v/>
      </c>
      <c r="D1729" s="1393" t="inlineStr">
        <is>
          <t>Madrid</t>
        </is>
      </c>
      <c r="E1729" s="1394" t="n">
        <v>45520</v>
      </c>
      <c r="F1729" s="1394" t="n">
        <v>45527</v>
      </c>
      <c r="G1729" s="1393" t="inlineStr">
        <is>
          <t>-</t>
        </is>
      </c>
      <c r="H1729" s="1393" t="inlineStr">
        <is>
          <t>Gaspé</t>
        </is>
      </c>
      <c r="I1729" s="1393" t="inlineStr">
        <is>
          <t>-</t>
        </is>
      </c>
      <c r="J1729" s="1393" t="inlineStr">
        <is>
          <t>-</t>
        </is>
      </c>
      <c r="K1729" s="1395">
        <f>IF(raw[[#This Row],[city]]&lt;&gt;"",_xlfn.XLOOKUP($D1729,ccc[city],ccc[prov],"-"),"-")</f>
        <v/>
      </c>
      <c r="L1729" s="1395">
        <f>IF(raw[[#This Row],[city]]&lt;&gt;"",_xlfn.XLOOKUP($D1729,ccc[city],ccc[ctry],"-"),"-")</f>
        <v/>
      </c>
      <c r="M1729" s="1395">
        <f>IF(raw[[#This Row],[city]]&lt;&gt;"",_xlfn.XLOOKUP($D1729,ccc[city],ccc[cont],"-"),"-")</f>
        <v/>
      </c>
      <c r="N1729" s="1396">
        <f>IF(raw[[#This Row],[city]]="","-",IF(raw[[#This Row],[cont]]="B",raw[[#This Row],[cont]],"W"))</f>
        <v/>
      </c>
      <c r="O1729" s="1397">
        <f>IF(raw[[#This Row],[out]]=0,0,IF(raw[[#This Row],[out]]=raw[[#This Row],[in]],0.01,raw[[#This Row],[out]]-raw[[#This Row],[in]]))</f>
        <v/>
      </c>
      <c r="P1729" s="1397">
        <f>IF(raw[[#This Row],[in]]=0,0,MONTH(raw[[#This Row],[in]]))</f>
        <v/>
      </c>
      <c r="Q1729" s="1397">
        <f>IF(raw[[#This Row],[in]]=0,0,YEAR(raw[[#This Row],[in]]))</f>
        <v/>
      </c>
      <c r="R1729" s="1397">
        <f>INT(raw[[#This Row],[yr]]/10)*10</f>
        <v/>
      </c>
      <c r="S1729" s="1395">
        <f>IF(raw[[#This Row],[city]]="","-",IF(raw[[#This Row],[city]]&lt;&gt;_xlfn.XLOOKUP(raw[[#This Row],[home]],homes[home],homes[city],"-"),1,0))</f>
        <v/>
      </c>
      <c r="T1729" s="1398" t="inlineStr">
        <is>
          <t>.</t>
        </is>
      </c>
      <c r="U1729" s="1399">
        <f>IF(raw[[#This Row],[wb]]="w",raw[[#This Row],[stay]]+U1728,U1728)</f>
        <v/>
      </c>
      <c r="V1729" s="1400">
        <f>IF(raw[[#This Row],[out]]=0,V1728,(raw[[#This Row],[out]]-E$5))</f>
        <v/>
      </c>
      <c r="W1729" s="1401">
        <f>U1729/V1729</f>
        <v/>
      </c>
      <c r="X1729" s="1392" t="n"/>
      <c r="Y1729" s="1392" t="n"/>
      <c r="Z1729" s="1392" t="n"/>
      <c r="AA1729" s="1392" t="n"/>
      <c r="AB1729" s="1392" t="n"/>
      <c r="AC1729" s="1392" t="n"/>
      <c r="AD1729" s="1392" t="n"/>
      <c r="AE1729" s="1392" t="n"/>
      <c r="AF1729" s="1392" t="n"/>
      <c r="AG1729" s="1392" t="n"/>
      <c r="AH1729" s="1392" t="n"/>
      <c r="AI1729" s="1392" t="n"/>
      <c r="AJ1729" s="1392" t="n"/>
      <c r="AK1729" s="1392" t="n"/>
      <c r="AL1729" s="1392" t="n"/>
      <c r="AM1729" s="1392" t="n"/>
      <c r="AN1729" s="1392" t="n"/>
      <c r="AO1729" s="1392" t="n"/>
      <c r="AP1729" s="1392" t="n"/>
      <c r="AQ1729" s="1392" t="n"/>
      <c r="AR1729" s="1422" t="n"/>
      <c r="AS1729" s="1422" t="n"/>
      <c r="AT1729" s="1392" t="n"/>
      <c r="AU1729" s="1392" t="n"/>
      <c r="AV1729" s="1392" t="n"/>
      <c r="AW1729" s="1392" t="n"/>
      <c r="AX1729" s="1392" t="n"/>
      <c r="AY1729" s="1392" t="n"/>
      <c r="AZ1729" s="1392" t="n"/>
      <c r="BA1729" s="1422" t="n"/>
      <c r="BB1729" s="1422" t="n"/>
      <c r="BC1729" s="1392" t="n"/>
      <c r="BD1729" s="1392" t="n"/>
      <c r="BE1729" s="1392" t="n"/>
      <c r="BF1729" s="1392" t="n"/>
      <c r="BG1729" s="1392" t="n"/>
      <c r="BH1729" s="1392" t="n"/>
      <c r="BI1729" s="1392" t="n"/>
      <c r="BJ1729" s="1392" t="n"/>
      <c r="BK1729" s="1392" t="n"/>
      <c r="BL1729" s="1392" t="n"/>
      <c r="BM1729" s="1392" t="n"/>
      <c r="BN1729" s="1392" t="n"/>
      <c r="BO1729" s="1392" t="n"/>
      <c r="BP1729" s="1392" t="n"/>
      <c r="BQ1729" s="1392" t="n"/>
      <c r="BR1729" s="1392" t="n"/>
      <c r="BS1729" s="1392" t="n"/>
      <c r="BT1729" s="1392" t="n"/>
      <c r="BU1729" s="1392" t="n"/>
      <c r="BV1729" s="1392" t="n"/>
      <c r="BW1729" s="1392" t="n"/>
      <c r="BX1729" s="1392" t="n"/>
      <c r="BY1729" s="1392" t="n"/>
      <c r="BZ1729" s="1392" t="n"/>
      <c r="CA1729" s="1392" t="n"/>
      <c r="CB1729" s="1392" t="n"/>
      <c r="CC1729" s="1392" t="n"/>
      <c r="CD1729" s="1392" t="n"/>
      <c r="CE1729" s="1392" t="n"/>
      <c r="CF1729" s="1392" t="n"/>
      <c r="CG1729" s="1392" t="n"/>
      <c r="CH1729" s="1392" t="n"/>
      <c r="CI1729" s="1392" t="n"/>
      <c r="CJ1729" s="1392" t="n"/>
      <c r="CK1729" s="1392" t="n"/>
      <c r="CL1729" s="1392" t="n"/>
    </row>
    <row r="1730">
      <c r="A1730" s="5" t="inlineStr">
        <is>
          <t>.</t>
        </is>
      </c>
      <c r="B1730" s="5" t="inlineStr">
        <is>
          <t>.</t>
        </is>
      </c>
      <c r="C1730" s="1378">
        <f>IF(raw[[#This Row],[city]]="","-",IF(raw[[#This Row],[city]]="TODAY","-",C1729+1))</f>
        <v/>
      </c>
      <c r="D1730" s="1393" t="inlineStr">
        <is>
          <t>Segovia</t>
        </is>
      </c>
      <c r="E1730" s="1394" t="n">
        <v>45525</v>
      </c>
      <c r="F1730" s="1394" t="n">
        <v>45525</v>
      </c>
      <c r="G1730" s="1393" t="inlineStr">
        <is>
          <t>-</t>
        </is>
      </c>
      <c r="H1730" s="1393" t="inlineStr">
        <is>
          <t>Gaspé</t>
        </is>
      </c>
      <c r="I1730" s="1393" t="inlineStr">
        <is>
          <t>-</t>
        </is>
      </c>
      <c r="J1730" s="1393" t="inlineStr">
        <is>
          <t>-</t>
        </is>
      </c>
      <c r="K1730" s="1395">
        <f>IF(raw[[#This Row],[city]]&lt;&gt;"",_xlfn.XLOOKUP($D1730,ccc[city],ccc[prov],"-"),"-")</f>
        <v/>
      </c>
      <c r="L1730" s="1395">
        <f>IF(raw[[#This Row],[city]]&lt;&gt;"",_xlfn.XLOOKUP($D1730,ccc[city],ccc[ctry],"-"),"-")</f>
        <v/>
      </c>
      <c r="M1730" s="1395">
        <f>IF(raw[[#This Row],[city]]&lt;&gt;"",_xlfn.XLOOKUP($D1730,ccc[city],ccc[cont],"-"),"-")</f>
        <v/>
      </c>
      <c r="N1730" s="1396">
        <f>IF(raw[[#This Row],[city]]="","-",IF(raw[[#This Row],[cont]]="B",raw[[#This Row],[cont]],"W"))</f>
        <v/>
      </c>
      <c r="O1730" s="1397">
        <f>IF(raw[[#This Row],[out]]=0,0,IF(raw[[#This Row],[out]]=raw[[#This Row],[in]],0.01,raw[[#This Row],[out]]-raw[[#This Row],[in]]))</f>
        <v/>
      </c>
      <c r="P1730" s="1397">
        <f>IF(raw[[#This Row],[in]]=0,0,MONTH(raw[[#This Row],[in]]))</f>
        <v/>
      </c>
      <c r="Q1730" s="1397">
        <f>IF(raw[[#This Row],[in]]=0,0,YEAR(raw[[#This Row],[in]]))</f>
        <v/>
      </c>
      <c r="R1730" s="1397">
        <f>INT(raw[[#This Row],[yr]]/10)*10</f>
        <v/>
      </c>
      <c r="S1730" s="1395">
        <f>IF(raw[[#This Row],[city]]="","-",IF(raw[[#This Row],[city]]&lt;&gt;_xlfn.XLOOKUP(raw[[#This Row],[home]],homes[home],homes[city],"-"),1,0))</f>
        <v/>
      </c>
      <c r="T1730" s="1398" t="inlineStr">
        <is>
          <t>.</t>
        </is>
      </c>
      <c r="U1730" s="1399">
        <f>IF(raw[[#This Row],[wb]]="w",raw[[#This Row],[stay]]+U1729,U1729)</f>
        <v/>
      </c>
      <c r="V1730" s="1400">
        <f>IF(raw[[#This Row],[out]]=0,V1729,(raw[[#This Row],[out]]-E$5))</f>
        <v/>
      </c>
      <c r="W1730" s="1401">
        <f>U1730/V1730</f>
        <v/>
      </c>
      <c r="X1730" s="1392" t="n"/>
      <c r="Y1730" s="1392" t="n"/>
      <c r="Z1730" s="1392" t="n"/>
      <c r="AA1730" s="1392" t="n"/>
      <c r="AB1730" s="1392" t="n"/>
      <c r="AC1730" s="1392" t="n"/>
      <c r="AD1730" s="1392" t="n"/>
      <c r="AE1730" s="1392" t="n"/>
      <c r="AF1730" s="1392" t="n"/>
      <c r="AG1730" s="1392" t="n"/>
      <c r="AH1730" s="1392" t="n"/>
      <c r="AI1730" s="1392" t="n"/>
      <c r="AJ1730" s="1392" t="n"/>
      <c r="AK1730" s="1392" t="n"/>
      <c r="AL1730" s="1392" t="n"/>
      <c r="AM1730" s="1392" t="n"/>
      <c r="AN1730" s="1392" t="n"/>
      <c r="AO1730" s="1392" t="n"/>
      <c r="AP1730" s="1392" t="n"/>
      <c r="AQ1730" s="1392" t="n"/>
      <c r="AR1730" s="1422" t="n"/>
      <c r="AS1730" s="1422" t="n"/>
      <c r="AT1730" s="1392" t="n"/>
      <c r="AU1730" s="1392" t="n"/>
      <c r="AV1730" s="1392" t="n"/>
      <c r="AW1730" s="1392" t="n"/>
      <c r="AX1730" s="1392" t="n"/>
      <c r="AY1730" s="1392" t="n"/>
      <c r="AZ1730" s="1392" t="n"/>
      <c r="BA1730" s="1422" t="n"/>
      <c r="BB1730" s="1422" t="n"/>
      <c r="BC1730" s="1392" t="n"/>
      <c r="BD1730" s="1392" t="n"/>
      <c r="BE1730" s="1392" t="n"/>
      <c r="BF1730" s="1392" t="n"/>
      <c r="BG1730" s="1392" t="n"/>
      <c r="BH1730" s="1392" t="n"/>
      <c r="BI1730" s="1392" t="n"/>
      <c r="BJ1730" s="1392" t="n"/>
      <c r="BK1730" s="1392" t="n"/>
      <c r="BL1730" s="1392" t="n"/>
      <c r="BM1730" s="1392" t="n"/>
      <c r="BN1730" s="1392" t="n"/>
      <c r="BO1730" s="1392" t="n"/>
      <c r="BP1730" s="1392" t="n"/>
      <c r="BQ1730" s="1392" t="n"/>
      <c r="BR1730" s="1392" t="n"/>
      <c r="BS1730" s="1392" t="n"/>
      <c r="BT1730" s="1392" t="n"/>
      <c r="BU1730" s="1392" t="n"/>
      <c r="BV1730" s="1392" t="n"/>
      <c r="BW1730" s="1392" t="n"/>
      <c r="BX1730" s="1392" t="n"/>
      <c r="BY1730" s="1392" t="n"/>
      <c r="BZ1730" s="1392" t="n"/>
      <c r="CA1730" s="1392" t="n"/>
      <c r="CB1730" s="1392" t="n"/>
      <c r="CC1730" s="1392" t="n"/>
      <c r="CD1730" s="1392" t="n"/>
      <c r="CE1730" s="1392" t="n"/>
      <c r="CF1730" s="1392" t="n"/>
      <c r="CG1730" s="1392" t="n"/>
      <c r="CH1730" s="1392" t="n"/>
      <c r="CI1730" s="1392" t="n"/>
      <c r="CJ1730" s="1392" t="n"/>
      <c r="CK1730" s="1392" t="n"/>
      <c r="CL1730" s="1392" t="n"/>
    </row>
    <row r="1731">
      <c r="A1731" s="5" t="inlineStr">
        <is>
          <t>.</t>
        </is>
      </c>
      <c r="B1731" s="5" t="inlineStr">
        <is>
          <t>.</t>
        </is>
      </c>
      <c r="C1731" s="1378">
        <f>IF(raw[[#This Row],[city]]="","-",IF(raw[[#This Row],[city]]="TODAY","-",C1730+1))</f>
        <v/>
      </c>
      <c r="D1731" s="1393" t="inlineStr">
        <is>
          <t>Avila</t>
        </is>
      </c>
      <c r="E1731" s="1394" t="n">
        <v>45525</v>
      </c>
      <c r="F1731" s="1394" t="n">
        <v>45525</v>
      </c>
      <c r="G1731" s="1393" t="inlineStr">
        <is>
          <t>-</t>
        </is>
      </c>
      <c r="H1731" s="1393" t="inlineStr">
        <is>
          <t>Gaspé</t>
        </is>
      </c>
      <c r="I1731" s="1393" t="n"/>
      <c r="J1731" s="1393" t="inlineStr">
        <is>
          <t>-</t>
        </is>
      </c>
      <c r="K1731" s="1395">
        <f>IF(raw[[#This Row],[city]]&lt;&gt;"",_xlfn.XLOOKUP($D1731,ccc[city],ccc[prov],"-"),"-")</f>
        <v/>
      </c>
      <c r="L1731" s="1395">
        <f>IF(raw[[#This Row],[city]]&lt;&gt;"",_xlfn.XLOOKUP($D1731,ccc[city],ccc[ctry],"-"),"-")</f>
        <v/>
      </c>
      <c r="M1731" s="1395">
        <f>IF(raw[[#This Row],[city]]&lt;&gt;"",_xlfn.XLOOKUP($D1731,ccc[city],ccc[cont],"-"),"-")</f>
        <v/>
      </c>
      <c r="N1731" s="1396">
        <f>IF(raw[[#This Row],[city]]="","-",IF(raw[[#This Row],[cont]]="B",raw[[#This Row],[cont]],"W"))</f>
        <v/>
      </c>
      <c r="O1731" s="1397">
        <f>IF(raw[[#This Row],[out]]=0,0,IF(raw[[#This Row],[out]]=raw[[#This Row],[in]],0.01,raw[[#This Row],[out]]-raw[[#This Row],[in]]))</f>
        <v/>
      </c>
      <c r="P1731" s="1397">
        <f>IF(raw[[#This Row],[in]]=0,0,MONTH(raw[[#This Row],[in]]))</f>
        <v/>
      </c>
      <c r="Q1731" s="1397">
        <f>IF(raw[[#This Row],[in]]=0,0,YEAR(raw[[#This Row],[in]]))</f>
        <v/>
      </c>
      <c r="R1731" s="1397">
        <f>INT(raw[[#This Row],[yr]]/10)*10</f>
        <v/>
      </c>
      <c r="S1731" s="1395">
        <f>IF(raw[[#This Row],[city]]="","-",IF(raw[[#This Row],[city]]&lt;&gt;_xlfn.XLOOKUP(raw[[#This Row],[home]],homes[home],homes[city],"-"),1,0))</f>
        <v/>
      </c>
      <c r="T1731" s="1398" t="inlineStr">
        <is>
          <t>.</t>
        </is>
      </c>
      <c r="U1731" s="1399">
        <f>IF(raw[[#This Row],[wb]]="w",raw[[#This Row],[stay]]+U1730,U1730)</f>
        <v/>
      </c>
      <c r="V1731" s="1400">
        <f>IF(raw[[#This Row],[out]]=0,V1730,(raw[[#This Row],[out]]-E$5))</f>
        <v/>
      </c>
      <c r="W1731" s="1401">
        <f>U1731/V1731</f>
        <v/>
      </c>
      <c r="X1731" s="1392" t="n"/>
      <c r="Y1731" s="1392" t="n"/>
      <c r="Z1731" s="1392" t="n"/>
      <c r="AA1731" s="1392" t="n"/>
      <c r="AB1731" s="1392" t="n"/>
      <c r="AC1731" s="1392" t="n"/>
      <c r="AD1731" s="1392" t="n"/>
      <c r="AE1731" s="1392" t="n"/>
      <c r="AF1731" s="1392" t="n"/>
      <c r="AG1731" s="1392" t="n"/>
      <c r="AH1731" s="1392" t="n"/>
      <c r="AI1731" s="1392" t="n"/>
      <c r="AJ1731" s="1392" t="n"/>
      <c r="AK1731" s="1392" t="n"/>
      <c r="AL1731" s="1392" t="n"/>
      <c r="AM1731" s="1392" t="n"/>
      <c r="AN1731" s="1392" t="n"/>
      <c r="AO1731" s="1392" t="n"/>
      <c r="AP1731" s="1392" t="n"/>
      <c r="AQ1731" s="1392" t="n"/>
      <c r="AR1731" s="1422" t="n"/>
      <c r="AS1731" s="1422" t="n"/>
      <c r="AT1731" s="1392" t="n"/>
      <c r="AU1731" s="1392" t="n"/>
      <c r="AV1731" s="1392" t="n"/>
      <c r="AW1731" s="1392" t="n"/>
      <c r="AX1731" s="1392" t="n"/>
      <c r="AY1731" s="1392" t="n"/>
      <c r="AZ1731" s="1392" t="n"/>
      <c r="BA1731" s="1422" t="n"/>
      <c r="BB1731" s="1422" t="n"/>
      <c r="BC1731" s="1392" t="n"/>
      <c r="BD1731" s="1392" t="n"/>
      <c r="BE1731" s="1392" t="n"/>
      <c r="BF1731" s="1392" t="n"/>
      <c r="BG1731" s="1392" t="n"/>
      <c r="BH1731" s="1392" t="n"/>
      <c r="BI1731" s="1392" t="n"/>
      <c r="BJ1731" s="1392" t="n"/>
      <c r="BK1731" s="1392" t="n"/>
      <c r="BL1731" s="1392" t="n"/>
      <c r="BM1731" s="1392" t="n"/>
      <c r="BN1731" s="1392" t="n"/>
      <c r="BO1731" s="1392" t="n"/>
      <c r="BP1731" s="1392" t="n"/>
      <c r="BQ1731" s="1392" t="n"/>
      <c r="BR1731" s="1392" t="n"/>
      <c r="BS1731" s="1392" t="n"/>
      <c r="BT1731" s="1392" t="n"/>
      <c r="BU1731" s="1392" t="n"/>
      <c r="BV1731" s="1392" t="n"/>
      <c r="BW1731" s="1392" t="n"/>
      <c r="BX1731" s="1392" t="n"/>
      <c r="BY1731" s="1392" t="n"/>
      <c r="BZ1731" s="1392" t="n"/>
      <c r="CA1731" s="1392" t="n"/>
      <c r="CB1731" s="1392" t="n"/>
      <c r="CC1731" s="1392" t="n"/>
      <c r="CD1731" s="1392" t="n"/>
      <c r="CE1731" s="1392" t="n"/>
      <c r="CF1731" s="1392" t="n"/>
      <c r="CG1731" s="1392" t="n"/>
      <c r="CH1731" s="1392" t="n"/>
      <c r="CI1731" s="1392" t="n"/>
      <c r="CJ1731" s="1392" t="n"/>
      <c r="CK1731" s="1392" t="n"/>
      <c r="CL1731" s="1392" t="n"/>
    </row>
    <row r="1732">
      <c r="A1732" s="5" t="inlineStr">
        <is>
          <t>.</t>
        </is>
      </c>
      <c r="B1732" s="5" t="inlineStr">
        <is>
          <t>.</t>
        </is>
      </c>
      <c r="C1732" s="1378">
        <f>IF(raw[[#This Row],[city]]="","-",IF(raw[[#This Row],[city]]="TODAY","-",C1731+1))</f>
        <v/>
      </c>
      <c r="D1732" s="1393" t="inlineStr">
        <is>
          <t>Madrid</t>
        </is>
      </c>
      <c r="E1732" s="1394" t="n">
        <v>45527</v>
      </c>
      <c r="F1732" s="1394" t="n">
        <v>45527</v>
      </c>
      <c r="G1732" s="1393" t="n">
        <v>1</v>
      </c>
      <c r="H1732" s="1393" t="inlineStr">
        <is>
          <t>Gaspé</t>
        </is>
      </c>
      <c r="I1732" s="1393" t="inlineStr">
        <is>
          <t>-</t>
        </is>
      </c>
      <c r="J1732" s="1393" t="inlineStr">
        <is>
          <t>-</t>
        </is>
      </c>
      <c r="K1732" s="1395">
        <f>IF(raw[[#This Row],[city]]&lt;&gt;"",_xlfn.XLOOKUP($D1732,ccc[city],ccc[prov],"-"),"-")</f>
        <v/>
      </c>
      <c r="L1732" s="1395">
        <f>IF(raw[[#This Row],[city]]&lt;&gt;"",_xlfn.XLOOKUP($D1732,ccc[city],ccc[ctry],"-"),"-")</f>
        <v/>
      </c>
      <c r="M1732" s="1395">
        <f>IF(raw[[#This Row],[city]]&lt;&gt;"",_xlfn.XLOOKUP($D1732,ccc[city],ccc[cont],"-"),"-")</f>
        <v/>
      </c>
      <c r="N1732" s="1396">
        <f>IF(raw[[#This Row],[city]]="","-",IF(raw[[#This Row],[cont]]="B",raw[[#This Row],[cont]],"W"))</f>
        <v/>
      </c>
      <c r="O1732" s="1397">
        <f>IF(raw[[#This Row],[out]]=0,0,IF(raw[[#This Row],[out]]=raw[[#This Row],[in]],0.01,raw[[#This Row],[out]]-raw[[#This Row],[in]]))</f>
        <v/>
      </c>
      <c r="P1732" s="1397">
        <f>IF(raw[[#This Row],[in]]=0,0,MONTH(raw[[#This Row],[in]]))</f>
        <v/>
      </c>
      <c r="Q1732" s="1397">
        <f>IF(raw[[#This Row],[in]]=0,0,YEAR(raw[[#This Row],[in]]))</f>
        <v/>
      </c>
      <c r="R1732" s="1397">
        <f>INT(raw[[#This Row],[yr]]/10)*10</f>
        <v/>
      </c>
      <c r="S1732" s="1395">
        <f>IF(raw[[#This Row],[city]]="","-",IF(raw[[#This Row],[city]]&lt;&gt;_xlfn.XLOOKUP(raw[[#This Row],[home]],homes[home],homes[city],"-"),1,0))</f>
        <v/>
      </c>
      <c r="T1732" s="1398" t="inlineStr">
        <is>
          <t>.</t>
        </is>
      </c>
      <c r="U1732" s="1399">
        <f>IF(raw[[#This Row],[wb]]="w",raw[[#This Row],[stay]]+U1731,U1731)</f>
        <v/>
      </c>
      <c r="V1732" s="1400">
        <f>IF(raw[[#This Row],[out]]=0,V1731,(raw[[#This Row],[out]]-E$5))</f>
        <v/>
      </c>
      <c r="W1732" s="1401">
        <f>U1732/V1732</f>
        <v/>
      </c>
      <c r="X1732" s="1392" t="n"/>
      <c r="Y1732" s="1392" t="n"/>
      <c r="Z1732" s="1392" t="n"/>
      <c r="AA1732" s="1392" t="n"/>
      <c r="AB1732" s="1392" t="n"/>
      <c r="AC1732" s="1392" t="n"/>
      <c r="AD1732" s="1392" t="n"/>
      <c r="AE1732" s="1392" t="n"/>
      <c r="AF1732" s="1392" t="n"/>
      <c r="AG1732" s="1392" t="n"/>
      <c r="AH1732" s="1392" t="n"/>
      <c r="AI1732" s="1392" t="n"/>
      <c r="AJ1732" s="1392" t="n"/>
      <c r="AK1732" s="1392" t="n"/>
      <c r="AL1732" s="1392" t="n"/>
      <c r="AM1732" s="1392" t="n"/>
      <c r="AN1732" s="1392" t="n"/>
      <c r="AO1732" s="1392" t="n"/>
      <c r="AP1732" s="1392" t="n"/>
      <c r="AQ1732" s="1392" t="n"/>
      <c r="AR1732" s="1422" t="n"/>
      <c r="AS1732" s="1422" t="n"/>
      <c r="AT1732" s="1392" t="n"/>
      <c r="AU1732" s="1392" t="n"/>
      <c r="AV1732" s="1392" t="n"/>
      <c r="AW1732" s="1392" t="n"/>
      <c r="AX1732" s="1392" t="n"/>
      <c r="AY1732" s="1392" t="n"/>
      <c r="AZ1732" s="1392" t="n"/>
      <c r="BA1732" s="1422" t="n"/>
      <c r="BB1732" s="1422" t="n"/>
      <c r="BC1732" s="1392" t="n"/>
      <c r="BD1732" s="1392" t="n"/>
      <c r="BE1732" s="1392" t="n"/>
      <c r="BF1732" s="1392" t="n"/>
      <c r="BG1732" s="1392" t="n"/>
      <c r="BH1732" s="1392" t="n"/>
      <c r="BI1732" s="1392" t="n"/>
      <c r="BJ1732" s="1392" t="n"/>
      <c r="BK1732" s="1392" t="n"/>
      <c r="BL1732" s="1392" t="n"/>
      <c r="BM1732" s="1392" t="n"/>
      <c r="BN1732" s="1392" t="n"/>
      <c r="BO1732" s="1392" t="n"/>
      <c r="BP1732" s="1392" t="n"/>
      <c r="BQ1732" s="1392" t="n"/>
      <c r="BR1732" s="1392" t="n"/>
      <c r="BS1732" s="1392" t="n"/>
      <c r="BT1732" s="1392" t="n"/>
      <c r="BU1732" s="1392" t="n"/>
      <c r="BV1732" s="1392" t="n"/>
      <c r="BW1732" s="1392" t="n"/>
      <c r="BX1732" s="1392" t="n"/>
      <c r="BY1732" s="1392" t="n"/>
      <c r="BZ1732" s="1392" t="n"/>
      <c r="CA1732" s="1392" t="n"/>
      <c r="CB1732" s="1392" t="n"/>
      <c r="CC1732" s="1392" t="n"/>
      <c r="CD1732" s="1392" t="n"/>
      <c r="CE1732" s="1392" t="n"/>
      <c r="CF1732" s="1392" t="n"/>
      <c r="CG1732" s="1392" t="n"/>
      <c r="CH1732" s="1392" t="n"/>
      <c r="CI1732" s="1392" t="n"/>
      <c r="CJ1732" s="1392" t="n"/>
      <c r="CK1732" s="1392" t="n"/>
      <c r="CL1732" s="1392" t="n"/>
    </row>
    <row r="1733">
      <c r="A1733" s="5" t="inlineStr">
        <is>
          <t>.</t>
        </is>
      </c>
      <c r="B1733" s="5" t="inlineStr">
        <is>
          <t>.</t>
        </is>
      </c>
      <c r="C1733" s="1378">
        <f>IF(raw[[#This Row],[city]]="","-",IF(raw[[#This Row],[city]]="TODAY","-",C1732+1))</f>
        <v/>
      </c>
      <c r="D1733" s="1393" t="inlineStr">
        <is>
          <t>Lisbon</t>
        </is>
      </c>
      <c r="E1733" s="1394" t="n">
        <v>45527</v>
      </c>
      <c r="F1733" s="1394" t="n">
        <v>45530</v>
      </c>
      <c r="G1733" s="1393" t="inlineStr">
        <is>
          <t>-</t>
        </is>
      </c>
      <c r="H1733" s="1393" t="inlineStr">
        <is>
          <t>Gaspé</t>
        </is>
      </c>
      <c r="I1733" s="1393" t="inlineStr">
        <is>
          <t>-</t>
        </is>
      </c>
      <c r="J1733" s="1393" t="inlineStr">
        <is>
          <t>BDAY</t>
        </is>
      </c>
      <c r="K1733" s="1395">
        <f>IF(raw[[#This Row],[city]]&lt;&gt;"",_xlfn.XLOOKUP($D1733,ccc[city],ccc[prov],"-"),"-")</f>
        <v/>
      </c>
      <c r="L1733" s="1395">
        <f>IF(raw[[#This Row],[city]]&lt;&gt;"",_xlfn.XLOOKUP($D1733,ccc[city],ccc[ctry],"-"),"-")</f>
        <v/>
      </c>
      <c r="M1733" s="1395">
        <f>IF(raw[[#This Row],[city]]&lt;&gt;"",_xlfn.XLOOKUP($D1733,ccc[city],ccc[cont],"-"),"-")</f>
        <v/>
      </c>
      <c r="N1733" s="1396">
        <f>IF(raw[[#This Row],[city]]="","-",IF(raw[[#This Row],[cont]]="B",raw[[#This Row],[cont]],"W"))</f>
        <v/>
      </c>
      <c r="O1733" s="1397">
        <f>IF(raw[[#This Row],[out]]=0,0,IF(raw[[#This Row],[out]]=raw[[#This Row],[in]],0.01,raw[[#This Row],[out]]-raw[[#This Row],[in]]))</f>
        <v/>
      </c>
      <c r="P1733" s="1397">
        <f>IF(raw[[#This Row],[in]]=0,0,MONTH(raw[[#This Row],[in]]))</f>
        <v/>
      </c>
      <c r="Q1733" s="1397">
        <f>IF(raw[[#This Row],[in]]=0,0,YEAR(raw[[#This Row],[in]]))</f>
        <v/>
      </c>
      <c r="R1733" s="1397">
        <f>INT(raw[[#This Row],[yr]]/10)*10</f>
        <v/>
      </c>
      <c r="S1733" s="1395">
        <f>IF(raw[[#This Row],[city]]="","-",IF(raw[[#This Row],[city]]&lt;&gt;_xlfn.XLOOKUP(raw[[#This Row],[home]],homes[home],homes[city],"-"),1,0))</f>
        <v/>
      </c>
      <c r="T1733" s="1398" t="inlineStr">
        <is>
          <t>.</t>
        </is>
      </c>
      <c r="U1733" s="1399">
        <f>IF(raw[[#This Row],[wb]]="w",raw[[#This Row],[stay]]+U1732,U1732)</f>
        <v/>
      </c>
      <c r="V1733" s="1400">
        <f>IF(raw[[#This Row],[out]]=0,V1732,(raw[[#This Row],[out]]-E$5))</f>
        <v/>
      </c>
      <c r="W1733" s="1401">
        <f>U1733/V1733</f>
        <v/>
      </c>
      <c r="X1733" s="1392" t="n"/>
      <c r="Y1733" s="1392" t="n"/>
      <c r="Z1733" s="1392" t="n"/>
      <c r="AA1733" s="1392" t="n"/>
      <c r="AB1733" s="1392" t="n"/>
      <c r="AC1733" s="1392" t="n"/>
      <c r="AD1733" s="1392" t="n"/>
      <c r="AE1733" s="1392" t="n"/>
      <c r="AF1733" s="1392" t="n"/>
      <c r="AG1733" s="1392" t="n"/>
      <c r="AH1733" s="1392" t="n"/>
      <c r="AI1733" s="1392" t="n"/>
      <c r="AJ1733" s="1392" t="n"/>
      <c r="AK1733" s="1392" t="n"/>
      <c r="AL1733" s="1392" t="n"/>
      <c r="AM1733" s="1392" t="n"/>
      <c r="AN1733" s="1392" t="n"/>
      <c r="AO1733" s="1392" t="n"/>
      <c r="AP1733" s="1392" t="n"/>
      <c r="AQ1733" s="1392" t="n"/>
      <c r="AR1733" s="1422" t="n"/>
      <c r="AS1733" s="1422" t="n"/>
      <c r="AT1733" s="1392" t="n"/>
      <c r="AU1733" s="1392" t="n"/>
      <c r="AV1733" s="1392" t="n"/>
      <c r="AW1733" s="1392" t="n"/>
      <c r="AX1733" s="1392" t="n"/>
      <c r="AY1733" s="1392" t="n"/>
      <c r="AZ1733" s="1392" t="n"/>
      <c r="BA1733" s="1422" t="n"/>
      <c r="BB1733" s="1422" t="n"/>
      <c r="BC1733" s="1392" t="n"/>
      <c r="BD1733" s="1392" t="n"/>
      <c r="BE1733" s="1392" t="n"/>
      <c r="BF1733" s="1392" t="n"/>
      <c r="BG1733" s="1392" t="n"/>
      <c r="BH1733" s="1392" t="n"/>
      <c r="BI1733" s="1392" t="n"/>
      <c r="BJ1733" s="1392" t="n"/>
      <c r="BK1733" s="1392" t="n"/>
      <c r="BL1733" s="1392" t="n"/>
      <c r="BM1733" s="1392" t="n"/>
      <c r="BN1733" s="1392" t="n"/>
      <c r="BO1733" s="1392" t="n"/>
      <c r="BP1733" s="1392" t="n"/>
      <c r="BQ1733" s="1392" t="n"/>
      <c r="BR1733" s="1392" t="n"/>
      <c r="BS1733" s="1392" t="n"/>
      <c r="BT1733" s="1392" t="n"/>
      <c r="BU1733" s="1392" t="n"/>
      <c r="BV1733" s="1392" t="n"/>
      <c r="BW1733" s="1392" t="n"/>
      <c r="BX1733" s="1392" t="n"/>
      <c r="BY1733" s="1392" t="n"/>
      <c r="BZ1733" s="1392" t="n"/>
      <c r="CA1733" s="1392" t="n"/>
      <c r="CB1733" s="1392" t="n"/>
      <c r="CC1733" s="1392" t="n"/>
      <c r="CD1733" s="1392" t="n"/>
      <c r="CE1733" s="1392" t="n"/>
      <c r="CF1733" s="1392" t="n"/>
      <c r="CG1733" s="1392" t="n"/>
      <c r="CH1733" s="1392" t="n"/>
      <c r="CI1733" s="1392" t="n"/>
      <c r="CJ1733" s="1392" t="n"/>
      <c r="CK1733" s="1392" t="n"/>
      <c r="CL1733" s="1392" t="n"/>
    </row>
    <row r="1734">
      <c r="A1734" s="5" t="inlineStr">
        <is>
          <t>.</t>
        </is>
      </c>
      <c r="B1734" s="5" t="inlineStr">
        <is>
          <t>.</t>
        </is>
      </c>
      <c r="C1734" s="1378">
        <f>IF(raw[[#This Row],[city]]="","-",IF(raw[[#This Row],[city]]="TODAY","-",C1733+1))</f>
        <v/>
      </c>
      <c r="D1734" s="1393" t="inlineStr">
        <is>
          <t>Porto</t>
        </is>
      </c>
      <c r="E1734" s="1394" t="n">
        <v>45530</v>
      </c>
      <c r="F1734" s="1394" t="n">
        <v>45534</v>
      </c>
      <c r="G1734" s="1393" t="inlineStr">
        <is>
          <t>-</t>
        </is>
      </c>
      <c r="H1734" s="1393" t="inlineStr">
        <is>
          <t>Gaspé</t>
        </is>
      </c>
      <c r="I1734" s="1393" t="inlineStr">
        <is>
          <t>-</t>
        </is>
      </c>
      <c r="J1734" s="1393" t="inlineStr">
        <is>
          <t>-</t>
        </is>
      </c>
      <c r="K1734" s="1395">
        <f>IF(raw[[#This Row],[city]]&lt;&gt;"",_xlfn.XLOOKUP($D1734,ccc[city],ccc[prov],"-"),"-")</f>
        <v/>
      </c>
      <c r="L1734" s="1395">
        <f>IF(raw[[#This Row],[city]]&lt;&gt;"",_xlfn.XLOOKUP($D1734,ccc[city],ccc[ctry],"-"),"-")</f>
        <v/>
      </c>
      <c r="M1734" s="1395">
        <f>IF(raw[[#This Row],[city]]&lt;&gt;"",_xlfn.XLOOKUP($D1734,ccc[city],ccc[cont],"-"),"-")</f>
        <v/>
      </c>
      <c r="N1734" s="1396">
        <f>IF(raw[[#This Row],[city]]="","-",IF(raw[[#This Row],[cont]]="B",raw[[#This Row],[cont]],"W"))</f>
        <v/>
      </c>
      <c r="O1734" s="1397">
        <f>IF(raw[[#This Row],[out]]=0,0,IF(raw[[#This Row],[out]]=raw[[#This Row],[in]],0.01,raw[[#This Row],[out]]-raw[[#This Row],[in]]))</f>
        <v/>
      </c>
      <c r="P1734" s="1397">
        <f>IF(raw[[#This Row],[in]]=0,0,MONTH(raw[[#This Row],[in]]))</f>
        <v/>
      </c>
      <c r="Q1734" s="1397">
        <f>IF(raw[[#This Row],[in]]=0,0,YEAR(raw[[#This Row],[in]]))</f>
        <v/>
      </c>
      <c r="R1734" s="1397">
        <f>INT(raw[[#This Row],[yr]]/10)*10</f>
        <v/>
      </c>
      <c r="S1734" s="1395">
        <f>IF(raw[[#This Row],[city]]="","-",IF(raw[[#This Row],[city]]&lt;&gt;_xlfn.XLOOKUP(raw[[#This Row],[home]],homes[home],homes[city],"-"),1,0))</f>
        <v/>
      </c>
      <c r="T1734" s="1398" t="inlineStr">
        <is>
          <t>.</t>
        </is>
      </c>
      <c r="U1734" s="1399">
        <f>IF(raw[[#This Row],[wb]]="w",raw[[#This Row],[stay]]+U1733,U1733)</f>
        <v/>
      </c>
      <c r="V1734" s="1400">
        <f>IF(raw[[#This Row],[out]]=0,V1733,(raw[[#This Row],[out]]-E$5))</f>
        <v/>
      </c>
      <c r="W1734" s="1401">
        <f>U1734/V1734</f>
        <v/>
      </c>
      <c r="X1734" s="1392" t="n"/>
      <c r="Y1734" s="1392" t="n"/>
      <c r="Z1734" s="1392" t="n"/>
      <c r="AA1734" s="1392" t="n"/>
      <c r="AB1734" s="1392" t="n"/>
      <c r="AC1734" s="1392" t="n"/>
      <c r="AD1734" s="1392" t="n"/>
      <c r="AE1734" s="1392" t="n"/>
      <c r="AF1734" s="1392" t="n"/>
      <c r="AG1734" s="1392" t="n"/>
      <c r="AH1734" s="1392" t="n"/>
      <c r="AI1734" s="1392" t="n"/>
      <c r="AJ1734" s="1392" t="n"/>
      <c r="AK1734" s="1392" t="n"/>
      <c r="AL1734" s="1392" t="n"/>
      <c r="AM1734" s="1392" t="n"/>
      <c r="AN1734" s="1392" t="n"/>
      <c r="AO1734" s="1392" t="n"/>
      <c r="AP1734" s="1392" t="n"/>
      <c r="AQ1734" s="1392" t="n"/>
      <c r="AR1734" s="1422" t="n"/>
      <c r="AS1734" s="1422" t="n"/>
      <c r="AT1734" s="1392" t="n"/>
      <c r="AU1734" s="1392" t="n"/>
      <c r="AV1734" s="1392" t="n"/>
      <c r="AW1734" s="1392" t="n"/>
      <c r="AX1734" s="1392" t="n"/>
      <c r="AY1734" s="1392" t="n"/>
      <c r="AZ1734" s="1392" t="n"/>
      <c r="BA1734" s="1422" t="n"/>
      <c r="BB1734" s="1422" t="n"/>
      <c r="BC1734" s="1392" t="n"/>
      <c r="BD1734" s="1392" t="n"/>
      <c r="BE1734" s="1392" t="n"/>
      <c r="BF1734" s="1392" t="n"/>
      <c r="BG1734" s="1392" t="n"/>
      <c r="BH1734" s="1392" t="n"/>
      <c r="BI1734" s="1392" t="n"/>
      <c r="BJ1734" s="1392" t="n"/>
      <c r="BK1734" s="1392" t="n"/>
      <c r="BL1734" s="1392" t="n"/>
      <c r="BM1734" s="1392" t="n"/>
      <c r="BN1734" s="1392" t="n"/>
      <c r="BO1734" s="1392" t="n"/>
      <c r="BP1734" s="1392" t="n"/>
      <c r="BQ1734" s="1392" t="n"/>
      <c r="BR1734" s="1392" t="n"/>
      <c r="BS1734" s="1392" t="n"/>
      <c r="BT1734" s="1392" t="n"/>
      <c r="BU1734" s="1392" t="n"/>
      <c r="BV1734" s="1392" t="n"/>
      <c r="BW1734" s="1392" t="n"/>
      <c r="BX1734" s="1392" t="n"/>
      <c r="BY1734" s="1392" t="n"/>
      <c r="BZ1734" s="1392" t="n"/>
      <c r="CA1734" s="1392" t="n"/>
      <c r="CB1734" s="1392" t="n"/>
      <c r="CC1734" s="1392" t="n"/>
      <c r="CD1734" s="1392" t="n"/>
      <c r="CE1734" s="1392" t="n"/>
      <c r="CF1734" s="1392" t="n"/>
      <c r="CG1734" s="1392" t="n"/>
      <c r="CH1734" s="1392" t="n"/>
      <c r="CI1734" s="1392" t="n"/>
      <c r="CJ1734" s="1392" t="n"/>
      <c r="CK1734" s="1392" t="n"/>
      <c r="CL1734" s="1392" t="n"/>
    </row>
    <row r="1735">
      <c r="A1735" s="5" t="inlineStr">
        <is>
          <t>.</t>
        </is>
      </c>
      <c r="B1735" s="5" t="inlineStr">
        <is>
          <t>.</t>
        </is>
      </c>
      <c r="C1735" s="1378">
        <f>IF(raw[[#This Row],[city]]="","-",IF(raw[[#This Row],[city]]="TODAY","-",C1734+1))</f>
        <v/>
      </c>
      <c r="D1735" s="1393" t="inlineStr">
        <is>
          <t>Vila Nova de Gaia</t>
        </is>
      </c>
      <c r="E1735" s="1394" t="n">
        <v>45530</v>
      </c>
      <c r="F1735" s="1394" t="n">
        <v>45530</v>
      </c>
      <c r="G1735" s="1393" t="inlineStr">
        <is>
          <t>-</t>
        </is>
      </c>
      <c r="H1735" s="1393" t="inlineStr">
        <is>
          <t>Gaspé</t>
        </is>
      </c>
      <c r="I1735" s="1393" t="inlineStr">
        <is>
          <t>-</t>
        </is>
      </c>
      <c r="J1735" s="1393" t="inlineStr">
        <is>
          <t>-</t>
        </is>
      </c>
      <c r="K1735" s="1395">
        <f>IF(raw[[#This Row],[city]]&lt;&gt;"",_xlfn.XLOOKUP($D1735,ccc[city],ccc[prov],"-"),"-")</f>
        <v/>
      </c>
      <c r="L1735" s="1395">
        <f>IF(raw[[#This Row],[city]]&lt;&gt;"",_xlfn.XLOOKUP($D1735,ccc[city],ccc[ctry],"-"),"-")</f>
        <v/>
      </c>
      <c r="M1735" s="1395">
        <f>IF(raw[[#This Row],[city]]&lt;&gt;"",_xlfn.XLOOKUP($D1735,ccc[city],ccc[cont],"-"),"-")</f>
        <v/>
      </c>
      <c r="N1735" s="1396">
        <f>IF(raw[[#This Row],[city]]="","-",IF(raw[[#This Row],[cont]]="B",raw[[#This Row],[cont]],"W"))</f>
        <v/>
      </c>
      <c r="O1735" s="1397">
        <f>IF(raw[[#This Row],[out]]=0,0,IF(raw[[#This Row],[out]]=raw[[#This Row],[in]],0.01,raw[[#This Row],[out]]-raw[[#This Row],[in]]))</f>
        <v/>
      </c>
      <c r="P1735" s="1397">
        <f>IF(raw[[#This Row],[in]]=0,0,MONTH(raw[[#This Row],[in]]))</f>
        <v/>
      </c>
      <c r="Q1735" s="1397">
        <f>IF(raw[[#This Row],[in]]=0,0,YEAR(raw[[#This Row],[in]]))</f>
        <v/>
      </c>
      <c r="R1735" s="1397">
        <f>INT(raw[[#This Row],[yr]]/10)*10</f>
        <v/>
      </c>
      <c r="S1735" s="1395">
        <f>IF(raw[[#This Row],[city]]="","-",IF(raw[[#This Row],[city]]&lt;&gt;_xlfn.XLOOKUP(raw[[#This Row],[home]],homes[home],homes[city],"-"),1,0))</f>
        <v/>
      </c>
      <c r="T1735" s="1398" t="inlineStr">
        <is>
          <t>.</t>
        </is>
      </c>
      <c r="U1735" s="1399">
        <f>IF(raw[[#This Row],[wb]]="w",raw[[#This Row],[stay]]+U1734,U1734)</f>
        <v/>
      </c>
      <c r="V1735" s="1400">
        <f>IF(raw[[#This Row],[out]]=0,V1734,(raw[[#This Row],[out]]-E$5))</f>
        <v/>
      </c>
      <c r="W1735" s="1401">
        <f>U1735/V1735</f>
        <v/>
      </c>
      <c r="X1735" s="1392" t="n"/>
      <c r="Y1735" s="1392" t="n"/>
      <c r="Z1735" s="1392" t="n"/>
      <c r="AA1735" s="1392" t="n"/>
      <c r="AB1735" s="1392" t="n"/>
      <c r="AC1735" s="1392" t="n"/>
      <c r="AD1735" s="1392" t="n"/>
      <c r="AE1735" s="1392" t="n"/>
      <c r="AF1735" s="1392" t="n"/>
      <c r="AG1735" s="1392" t="n"/>
      <c r="AH1735" s="1392" t="n"/>
      <c r="AI1735" s="1392" t="n"/>
      <c r="AJ1735" s="1392" t="n"/>
      <c r="AK1735" s="1392" t="n"/>
      <c r="AL1735" s="1392" t="n"/>
      <c r="AM1735" s="1392" t="n"/>
      <c r="AN1735" s="1392" t="n"/>
      <c r="AO1735" s="1392" t="n"/>
      <c r="AP1735" s="1392" t="n"/>
      <c r="AQ1735" s="1392" t="n"/>
      <c r="AR1735" s="1422" t="n"/>
      <c r="AS1735" s="1422" t="n"/>
      <c r="AT1735" s="1392" t="n"/>
      <c r="AU1735" s="1392" t="n"/>
      <c r="AV1735" s="1392" t="n"/>
      <c r="AW1735" s="1392" t="n"/>
      <c r="AX1735" s="1392" t="n"/>
      <c r="AY1735" s="1392" t="n"/>
      <c r="AZ1735" s="1392" t="n"/>
      <c r="BA1735" s="1422" t="n"/>
      <c r="BB1735" s="1422" t="n"/>
      <c r="BC1735" s="1392" t="n"/>
      <c r="BD1735" s="1392" t="n"/>
      <c r="BE1735" s="1392" t="n"/>
      <c r="BF1735" s="1392" t="n"/>
      <c r="BG1735" s="1392" t="n"/>
      <c r="BH1735" s="1392" t="n"/>
      <c r="BI1735" s="1392" t="n"/>
      <c r="BJ1735" s="1392" t="n"/>
      <c r="BK1735" s="1392" t="n"/>
      <c r="BL1735" s="1392" t="n"/>
      <c r="BM1735" s="1392" t="n"/>
      <c r="BN1735" s="1392" t="n"/>
      <c r="BO1735" s="1392" t="n"/>
      <c r="BP1735" s="1392" t="n"/>
      <c r="BQ1735" s="1392" t="n"/>
      <c r="BR1735" s="1392" t="n"/>
      <c r="BS1735" s="1392" t="n"/>
      <c r="BT1735" s="1392" t="n"/>
      <c r="BU1735" s="1392" t="n"/>
      <c r="BV1735" s="1392" t="n"/>
      <c r="BW1735" s="1392" t="n"/>
      <c r="BX1735" s="1392" t="n"/>
      <c r="BY1735" s="1392" t="n"/>
      <c r="BZ1735" s="1392" t="n"/>
      <c r="CA1735" s="1392" t="n"/>
      <c r="CB1735" s="1392" t="n"/>
      <c r="CC1735" s="1392" t="n"/>
      <c r="CD1735" s="1392" t="n"/>
      <c r="CE1735" s="1392" t="n"/>
      <c r="CF1735" s="1392" t="n"/>
      <c r="CG1735" s="1392" t="n"/>
      <c r="CH1735" s="1392" t="n"/>
      <c r="CI1735" s="1392" t="n"/>
      <c r="CJ1735" s="1392" t="n"/>
      <c r="CK1735" s="1392" t="n"/>
      <c r="CL1735" s="1392" t="n"/>
    </row>
    <row r="1736">
      <c r="A1736" s="5" t="inlineStr">
        <is>
          <t>.</t>
        </is>
      </c>
      <c r="B1736" s="5" t="inlineStr">
        <is>
          <t>.</t>
        </is>
      </c>
      <c r="C1736" s="1378">
        <f>IF(raw[[#This Row],[city]]="","-",IF(raw[[#This Row],[city]]="TODAY","-",C1735+1))</f>
        <v/>
      </c>
      <c r="D1736" s="1393" t="inlineStr">
        <is>
          <t>Lisbon</t>
        </is>
      </c>
      <c r="E1736" s="1394" t="n">
        <v>45534</v>
      </c>
      <c r="F1736" s="1394" t="n">
        <v>45535</v>
      </c>
      <c r="G1736" s="1393" t="n">
        <v>1</v>
      </c>
      <c r="H1736" s="1393" t="inlineStr">
        <is>
          <t>Gaspé</t>
        </is>
      </c>
      <c r="I1736" s="1393" t="inlineStr">
        <is>
          <t>-</t>
        </is>
      </c>
      <c r="J1736" s="1393" t="inlineStr">
        <is>
          <t>-</t>
        </is>
      </c>
      <c r="K1736" s="1395">
        <f>IF(raw[[#This Row],[city]]&lt;&gt;"",_xlfn.XLOOKUP($D1736,ccc[city],ccc[prov],"-"),"-")</f>
        <v/>
      </c>
      <c r="L1736" s="1395">
        <f>IF(raw[[#This Row],[city]]&lt;&gt;"",_xlfn.XLOOKUP($D1736,ccc[city],ccc[ctry],"-"),"-")</f>
        <v/>
      </c>
      <c r="M1736" s="1395">
        <f>IF(raw[[#This Row],[city]]&lt;&gt;"",_xlfn.XLOOKUP($D1736,ccc[city],ccc[cont],"-"),"-")</f>
        <v/>
      </c>
      <c r="N1736" s="1396">
        <f>IF(raw[[#This Row],[city]]="","-",IF(raw[[#This Row],[cont]]="B",raw[[#This Row],[cont]],"W"))</f>
        <v/>
      </c>
      <c r="O1736" s="1397">
        <f>IF(raw[[#This Row],[out]]=0,0,IF(raw[[#This Row],[out]]=raw[[#This Row],[in]],0.01,raw[[#This Row],[out]]-raw[[#This Row],[in]]))</f>
        <v/>
      </c>
      <c r="P1736" s="1397">
        <f>IF(raw[[#This Row],[in]]=0,0,MONTH(raw[[#This Row],[in]]))</f>
        <v/>
      </c>
      <c r="Q1736" s="1397">
        <f>IF(raw[[#This Row],[in]]=0,0,YEAR(raw[[#This Row],[in]]))</f>
        <v/>
      </c>
      <c r="R1736" s="1397">
        <f>INT(raw[[#This Row],[yr]]/10)*10</f>
        <v/>
      </c>
      <c r="S1736" s="1395">
        <f>IF(raw[[#This Row],[city]]="","-",IF(raw[[#This Row],[city]]&lt;&gt;_xlfn.XLOOKUP(raw[[#This Row],[home]],homes[home],homes[city],"-"),1,0))</f>
        <v/>
      </c>
      <c r="T1736" s="1398" t="inlineStr">
        <is>
          <t>.</t>
        </is>
      </c>
      <c r="U1736" s="1399">
        <f>IF(raw[[#This Row],[wb]]="w",raw[[#This Row],[stay]]+U1735,U1735)</f>
        <v/>
      </c>
      <c r="V1736" s="1400">
        <f>IF(raw[[#This Row],[out]]=0,V1735,(raw[[#This Row],[out]]-E$5))</f>
        <v/>
      </c>
      <c r="W1736" s="1401">
        <f>U1736/V1736</f>
        <v/>
      </c>
      <c r="X1736" s="1392" t="n"/>
      <c r="Y1736" s="1392" t="n"/>
      <c r="Z1736" s="1392" t="n"/>
      <c r="AA1736" s="1392" t="n"/>
      <c r="AB1736" s="1392" t="n"/>
      <c r="AC1736" s="1392" t="n"/>
      <c r="AD1736" s="1392" t="n"/>
      <c r="AE1736" s="1392" t="n"/>
      <c r="AF1736" s="1392" t="n"/>
      <c r="AG1736" s="1392" t="n"/>
      <c r="AH1736" s="1392" t="n"/>
      <c r="AI1736" s="1392" t="n"/>
      <c r="AJ1736" s="1392" t="n"/>
      <c r="AK1736" s="1392" t="n"/>
      <c r="AL1736" s="1392" t="n"/>
      <c r="AM1736" s="1392" t="n"/>
      <c r="AN1736" s="1392" t="n"/>
      <c r="AO1736" s="1392" t="n"/>
      <c r="AP1736" s="1392" t="n"/>
      <c r="AQ1736" s="1392" t="n"/>
      <c r="AR1736" s="1422" t="n"/>
      <c r="AS1736" s="1422" t="n"/>
      <c r="AT1736" s="1392" t="n"/>
      <c r="AU1736" s="1392" t="n"/>
      <c r="AV1736" s="1392" t="n"/>
      <c r="AW1736" s="1392" t="n"/>
      <c r="AX1736" s="1392" t="n"/>
      <c r="AY1736" s="1392" t="n"/>
      <c r="AZ1736" s="1392" t="n"/>
      <c r="BA1736" s="1422" t="n"/>
      <c r="BB1736" s="1422" t="n"/>
      <c r="BC1736" s="1392" t="n"/>
      <c r="BD1736" s="1392" t="n"/>
      <c r="BE1736" s="1392" t="n"/>
      <c r="BF1736" s="1392" t="n"/>
      <c r="BG1736" s="1392" t="n"/>
      <c r="BH1736" s="1392" t="n"/>
      <c r="BI1736" s="1392" t="n"/>
      <c r="BJ1736" s="1392" t="n"/>
      <c r="BK1736" s="1392" t="n"/>
      <c r="BL1736" s="1392" t="n"/>
      <c r="BM1736" s="1392" t="n"/>
      <c r="BN1736" s="1392" t="n"/>
      <c r="BO1736" s="1392" t="n"/>
      <c r="BP1736" s="1392" t="n"/>
      <c r="BQ1736" s="1392" t="n"/>
      <c r="BR1736" s="1392" t="n"/>
      <c r="BS1736" s="1392" t="n"/>
      <c r="BT1736" s="1392" t="n"/>
      <c r="BU1736" s="1392" t="n"/>
      <c r="BV1736" s="1392" t="n"/>
      <c r="BW1736" s="1392" t="n"/>
      <c r="BX1736" s="1392" t="n"/>
      <c r="BY1736" s="1392" t="n"/>
      <c r="BZ1736" s="1392" t="n"/>
      <c r="CA1736" s="1392" t="n"/>
      <c r="CB1736" s="1392" t="n"/>
      <c r="CC1736" s="1392" t="n"/>
      <c r="CD1736" s="1392" t="n"/>
      <c r="CE1736" s="1392" t="n"/>
      <c r="CF1736" s="1392" t="n"/>
      <c r="CG1736" s="1392" t="n"/>
      <c r="CH1736" s="1392" t="n"/>
      <c r="CI1736" s="1392" t="n"/>
      <c r="CJ1736" s="1392" t="n"/>
      <c r="CK1736" s="1392" t="n"/>
      <c r="CL1736" s="1392" t="n"/>
    </row>
    <row r="1737">
      <c r="A1737" s="5" t="inlineStr">
        <is>
          <t>.</t>
        </is>
      </c>
      <c r="B1737" s="5" t="inlineStr">
        <is>
          <t>.</t>
        </is>
      </c>
      <c r="C1737" s="1378">
        <f>IF(raw[[#This Row],[city]]="","-",IF(raw[[#This Row],[city]]="TODAY","-",C1736+1))</f>
        <v/>
      </c>
      <c r="D1737" s="1393" t="inlineStr">
        <is>
          <t>Montreal</t>
        </is>
      </c>
      <c r="E1737" s="1394" t="n">
        <v>45535</v>
      </c>
      <c r="F1737" s="1394" t="n">
        <v>45536</v>
      </c>
      <c r="G1737" s="1393" t="inlineStr">
        <is>
          <t>-</t>
        </is>
      </c>
      <c r="H1737" s="1393" t="inlineStr">
        <is>
          <t>Gaspé</t>
        </is>
      </c>
      <c r="I1737" s="1393" t="inlineStr">
        <is>
          <t>-</t>
        </is>
      </c>
      <c r="J1737" s="1393" t="inlineStr">
        <is>
          <t>-</t>
        </is>
      </c>
      <c r="K1737" s="1395">
        <f>IF(raw[[#This Row],[city]]&lt;&gt;"",_xlfn.XLOOKUP($D1737,ccc[city],ccc[prov],"-"),"-")</f>
        <v/>
      </c>
      <c r="L1737" s="1395">
        <f>IF(raw[[#This Row],[city]]&lt;&gt;"",_xlfn.XLOOKUP($D1737,ccc[city],ccc[ctry],"-"),"-")</f>
        <v/>
      </c>
      <c r="M1737" s="1395">
        <f>IF(raw[[#This Row],[city]]&lt;&gt;"",_xlfn.XLOOKUP($D1737,ccc[city],ccc[cont],"-"),"-")</f>
        <v/>
      </c>
      <c r="N1737" s="1396">
        <f>IF(raw[[#This Row],[city]]="","-",IF(raw[[#This Row],[cont]]="B",raw[[#This Row],[cont]],"W"))</f>
        <v/>
      </c>
      <c r="O1737" s="1397">
        <f>IF(raw[[#This Row],[out]]=0,0,IF(raw[[#This Row],[out]]=raw[[#This Row],[in]],0.01,raw[[#This Row],[out]]-raw[[#This Row],[in]]))</f>
        <v/>
      </c>
      <c r="P1737" s="1397">
        <f>IF(raw[[#This Row],[in]]=0,0,MONTH(raw[[#This Row],[in]]))</f>
        <v/>
      </c>
      <c r="Q1737" s="1397">
        <f>IF(raw[[#This Row],[in]]=0,0,YEAR(raw[[#This Row],[in]]))</f>
        <v/>
      </c>
      <c r="R1737" s="1397">
        <f>INT(raw[[#This Row],[yr]]/10)*10</f>
        <v/>
      </c>
      <c r="S1737" s="1395">
        <f>IF(raw[[#This Row],[city]]="","-",IF(raw[[#This Row],[city]]&lt;&gt;_xlfn.XLOOKUP(raw[[#This Row],[home]],homes[home],homes[city],"-"),1,0))</f>
        <v/>
      </c>
      <c r="T1737" s="1398" t="inlineStr">
        <is>
          <t>.</t>
        </is>
      </c>
      <c r="U1737" s="1399">
        <f>IF(raw[[#This Row],[wb]]="w",raw[[#This Row],[stay]]+U1736,U1736)</f>
        <v/>
      </c>
      <c r="V1737" s="1400">
        <f>IF(raw[[#This Row],[out]]=0,V1736,(raw[[#This Row],[out]]-E$5))</f>
        <v/>
      </c>
      <c r="W1737" s="1401">
        <f>U1737/V1737</f>
        <v/>
      </c>
      <c r="X1737" s="1392" t="n"/>
      <c r="Y1737" s="1392" t="n"/>
      <c r="Z1737" s="1392" t="n"/>
      <c r="AA1737" s="1392" t="n"/>
      <c r="AB1737" s="1392" t="n"/>
      <c r="AC1737" s="1392" t="n"/>
      <c r="AD1737" s="1392" t="n"/>
      <c r="AE1737" s="1392" t="n"/>
      <c r="AF1737" s="1392" t="n"/>
      <c r="AG1737" s="1392" t="n"/>
      <c r="AH1737" s="1392" t="n"/>
      <c r="AI1737" s="1392" t="n"/>
      <c r="AJ1737" s="1392" t="n"/>
      <c r="AK1737" s="1392" t="n"/>
      <c r="AL1737" s="1392" t="n"/>
      <c r="AM1737" s="1392" t="n"/>
      <c r="AN1737" s="1392" t="n"/>
      <c r="AO1737" s="1392" t="n"/>
      <c r="AP1737" s="1392" t="n"/>
      <c r="AQ1737" s="1392" t="n"/>
      <c r="AR1737" s="1422" t="n"/>
      <c r="AS1737" s="1422" t="n"/>
      <c r="AT1737" s="1392" t="n"/>
      <c r="AU1737" s="1392" t="n"/>
      <c r="AV1737" s="1392" t="n"/>
      <c r="AW1737" s="1392" t="n"/>
      <c r="AX1737" s="1392" t="n"/>
      <c r="AY1737" s="1392" t="n"/>
      <c r="AZ1737" s="1392" t="n"/>
      <c r="BA1737" s="1422" t="n"/>
      <c r="BB1737" s="1422" t="n"/>
      <c r="BC1737" s="1392" t="n"/>
      <c r="BD1737" s="1392" t="n"/>
      <c r="BE1737" s="1392" t="n"/>
      <c r="BF1737" s="1392" t="n"/>
      <c r="BG1737" s="1392" t="n"/>
      <c r="BH1737" s="1392" t="n"/>
      <c r="BI1737" s="1392" t="n"/>
      <c r="BJ1737" s="1392" t="n"/>
      <c r="BK1737" s="1392" t="n"/>
      <c r="BL1737" s="1392" t="n"/>
      <c r="BM1737" s="1392" t="n"/>
      <c r="BN1737" s="1392" t="n"/>
      <c r="BO1737" s="1392" t="n"/>
      <c r="BP1737" s="1392" t="n"/>
      <c r="BQ1737" s="1392" t="n"/>
      <c r="BR1737" s="1392" t="n"/>
      <c r="BS1737" s="1392" t="n"/>
      <c r="BT1737" s="1392" t="n"/>
      <c r="BU1737" s="1392" t="n"/>
      <c r="BV1737" s="1392" t="n"/>
      <c r="BW1737" s="1392" t="n"/>
      <c r="BX1737" s="1392" t="n"/>
      <c r="BY1737" s="1392" t="n"/>
      <c r="BZ1737" s="1392" t="n"/>
      <c r="CA1737" s="1392" t="n"/>
      <c r="CB1737" s="1392" t="n"/>
      <c r="CC1737" s="1392" t="n"/>
      <c r="CD1737" s="1392" t="n"/>
      <c r="CE1737" s="1392" t="n"/>
      <c r="CF1737" s="1392" t="n"/>
      <c r="CG1737" s="1392" t="n"/>
      <c r="CH1737" s="1392" t="n"/>
      <c r="CI1737" s="1392" t="n"/>
      <c r="CJ1737" s="1392" t="n"/>
      <c r="CK1737" s="1392" t="n"/>
      <c r="CL1737" s="1392" t="n"/>
    </row>
    <row r="1738">
      <c r="A1738" s="5" t="inlineStr">
        <is>
          <t>.</t>
        </is>
      </c>
      <c r="B1738" s="5" t="inlineStr">
        <is>
          <t>.</t>
        </is>
      </c>
      <c r="C1738" s="1378">
        <f>IF(raw[[#This Row],[city]]="","-",IF(raw[[#This Row],[city]]="TODAY","-",C1737+1))</f>
        <v/>
      </c>
      <c r="D1738" s="1393" t="inlineStr">
        <is>
          <t>Montreal</t>
        </is>
      </c>
      <c r="E1738" s="1394" t="n">
        <v>45536</v>
      </c>
      <c r="F1738" s="1394" t="n">
        <v>45539</v>
      </c>
      <c r="G1738" s="1393" t="n">
        <v>1</v>
      </c>
      <c r="H1738" s="1393" t="inlineStr">
        <is>
          <t>Gaspé</t>
        </is>
      </c>
      <c r="I1738" s="1393" t="inlineStr">
        <is>
          <t>-</t>
        </is>
      </c>
      <c r="J1738" s="1393" t="inlineStr">
        <is>
          <t>-</t>
        </is>
      </c>
      <c r="K1738" s="1395">
        <f>IF(raw[[#This Row],[city]]&lt;&gt;"",_xlfn.XLOOKUP($D1738,ccc[city],ccc[prov],"-"),"-")</f>
        <v/>
      </c>
      <c r="L1738" s="1395">
        <f>IF(raw[[#This Row],[city]]&lt;&gt;"",_xlfn.XLOOKUP($D1738,ccc[city],ccc[ctry],"-"),"-")</f>
        <v/>
      </c>
      <c r="M1738" s="1395">
        <f>IF(raw[[#This Row],[city]]&lt;&gt;"",_xlfn.XLOOKUP($D1738,ccc[city],ccc[cont],"-"),"-")</f>
        <v/>
      </c>
      <c r="N1738" s="1396">
        <f>IF(raw[[#This Row],[city]]="","-",IF(raw[[#This Row],[cont]]="B",raw[[#This Row],[cont]],"W"))</f>
        <v/>
      </c>
      <c r="O1738" s="1397">
        <f>IF(raw[[#This Row],[out]]=0,0,IF(raw[[#This Row],[out]]=raw[[#This Row],[in]],0.01,raw[[#This Row],[out]]-raw[[#This Row],[in]]))</f>
        <v/>
      </c>
      <c r="P1738" s="1397">
        <f>IF(raw[[#This Row],[in]]=0,0,MONTH(raw[[#This Row],[in]]))</f>
        <v/>
      </c>
      <c r="Q1738" s="1397">
        <f>IF(raw[[#This Row],[in]]=0,0,YEAR(raw[[#This Row],[in]]))</f>
        <v/>
      </c>
      <c r="R1738" s="1397">
        <f>INT(raw[[#This Row],[yr]]/10)*10</f>
        <v/>
      </c>
      <c r="S1738" s="1395">
        <f>IF(raw[[#This Row],[city]]="","-",IF(raw[[#This Row],[city]]&lt;&gt;_xlfn.XLOOKUP(raw[[#This Row],[home]],homes[home],homes[city],"-"),1,0))</f>
        <v/>
      </c>
      <c r="T1738" s="1398" t="inlineStr">
        <is>
          <t>.</t>
        </is>
      </c>
      <c r="U1738" s="1399">
        <f>IF(raw[[#This Row],[wb]]="w",raw[[#This Row],[stay]]+U1737,U1737)</f>
        <v/>
      </c>
      <c r="V1738" s="1400">
        <f>IF(raw[[#This Row],[out]]=0,V1737,(raw[[#This Row],[out]]-E$5))</f>
        <v/>
      </c>
      <c r="W1738" s="1401">
        <f>U1738/V1738</f>
        <v/>
      </c>
      <c r="X1738" s="1392" t="n"/>
      <c r="Y1738" s="1392" t="n"/>
      <c r="Z1738" s="1392" t="n"/>
      <c r="AA1738" s="1392" t="n"/>
      <c r="AB1738" s="1392" t="n"/>
      <c r="AC1738" s="1392" t="n"/>
      <c r="AD1738" s="1392" t="n"/>
      <c r="AE1738" s="1392" t="n"/>
      <c r="AF1738" s="1392" t="n"/>
      <c r="AG1738" s="1392" t="n"/>
      <c r="AH1738" s="1392" t="n"/>
      <c r="AI1738" s="1392" t="n"/>
      <c r="AJ1738" s="1392" t="n"/>
      <c r="AK1738" s="1392" t="n"/>
      <c r="AL1738" s="1392" t="n"/>
      <c r="AM1738" s="1392" t="n"/>
      <c r="AN1738" s="1392" t="n"/>
      <c r="AO1738" s="1392" t="n"/>
      <c r="AP1738" s="1392" t="n"/>
      <c r="AQ1738" s="1392" t="n"/>
      <c r="AR1738" s="1422" t="n"/>
      <c r="AS1738" s="1422" t="n"/>
      <c r="AT1738" s="1392" t="n"/>
      <c r="AU1738" s="1392" t="n"/>
      <c r="AV1738" s="1392" t="n"/>
      <c r="AW1738" s="1392" t="n"/>
      <c r="AX1738" s="1392" t="n"/>
      <c r="AY1738" s="1392" t="n"/>
      <c r="AZ1738" s="1392" t="n"/>
      <c r="BA1738" s="1422" t="n"/>
      <c r="BB1738" s="1422" t="n"/>
      <c r="BC1738" s="1392" t="n"/>
      <c r="BD1738" s="1392" t="n"/>
      <c r="BE1738" s="1392" t="n"/>
      <c r="BF1738" s="1392" t="n"/>
      <c r="BG1738" s="1392" t="n"/>
      <c r="BH1738" s="1392" t="n"/>
      <c r="BI1738" s="1392" t="n"/>
      <c r="BJ1738" s="1392" t="n"/>
      <c r="BK1738" s="1392" t="n"/>
      <c r="BL1738" s="1392" t="n"/>
      <c r="BM1738" s="1392" t="n"/>
      <c r="BN1738" s="1392" t="n"/>
      <c r="BO1738" s="1392" t="n"/>
      <c r="BP1738" s="1392" t="n"/>
      <c r="BQ1738" s="1392" t="n"/>
      <c r="BR1738" s="1392" t="n"/>
      <c r="BS1738" s="1392" t="n"/>
      <c r="BT1738" s="1392" t="n"/>
      <c r="BU1738" s="1392" t="n"/>
      <c r="BV1738" s="1392" t="n"/>
      <c r="BW1738" s="1392" t="n"/>
      <c r="BX1738" s="1392" t="n"/>
      <c r="BY1738" s="1392" t="n"/>
      <c r="BZ1738" s="1392" t="n"/>
      <c r="CA1738" s="1392" t="n"/>
      <c r="CB1738" s="1392" t="n"/>
      <c r="CC1738" s="1392" t="n"/>
      <c r="CD1738" s="1392" t="n"/>
      <c r="CE1738" s="1392" t="n"/>
      <c r="CF1738" s="1392" t="n"/>
      <c r="CG1738" s="1392" t="n"/>
      <c r="CH1738" s="1392" t="n"/>
      <c r="CI1738" s="1392" t="n"/>
      <c r="CJ1738" s="1392" t="n"/>
      <c r="CK1738" s="1392" t="n"/>
      <c r="CL1738" s="1392" t="n"/>
    </row>
    <row r="1739">
      <c r="A1739" s="5" t="inlineStr">
        <is>
          <t>.</t>
        </is>
      </c>
      <c r="B1739" s="5" t="inlineStr">
        <is>
          <t>.</t>
        </is>
      </c>
      <c r="C1739" s="1378">
        <f>IF(raw[[#This Row],[city]]="","-",IF(raw[[#This Row],[city]]="TODAY","-",C1738+1))</f>
        <v/>
      </c>
      <c r="D1739" s="1393" t="inlineStr">
        <is>
          <t>AIR</t>
        </is>
      </c>
      <c r="E1739" s="1394" t="n">
        <v>45539</v>
      </c>
      <c r="F1739" s="1394" t="n">
        <v>45540</v>
      </c>
      <c r="G1739" s="1393" t="inlineStr">
        <is>
          <t>x</t>
        </is>
      </c>
      <c r="H1739" s="1393" t="inlineStr">
        <is>
          <t>Gaspé</t>
        </is>
      </c>
      <c r="I1739" s="1393" t="inlineStr">
        <is>
          <t>-</t>
        </is>
      </c>
      <c r="J1739" s="1393" t="inlineStr">
        <is>
          <t>-</t>
        </is>
      </c>
      <c r="K1739" s="1395">
        <f>IF(raw[[#This Row],[city]]&lt;&gt;"",_xlfn.XLOOKUP($D1739,ccc[city],ccc[prov],"-"),"-")</f>
        <v/>
      </c>
      <c r="L1739" s="1395">
        <f>IF(raw[[#This Row],[city]]&lt;&gt;"",_xlfn.XLOOKUP($D1739,ccc[city],ccc[ctry],"-"),"-")</f>
        <v/>
      </c>
      <c r="M1739" s="1395">
        <f>IF(raw[[#This Row],[city]]&lt;&gt;"",_xlfn.XLOOKUP($D1739,ccc[city],ccc[cont],"-"),"-")</f>
        <v/>
      </c>
      <c r="N1739" s="1396">
        <f>IF(raw[[#This Row],[city]]="","-",IF(raw[[#This Row],[cont]]="B",raw[[#This Row],[cont]],"W"))</f>
        <v/>
      </c>
      <c r="O1739" s="1397">
        <f>IF(raw[[#This Row],[out]]=0,0,IF(raw[[#This Row],[out]]=raw[[#This Row],[in]],0.01,raw[[#This Row],[out]]-raw[[#This Row],[in]]))</f>
        <v/>
      </c>
      <c r="P1739" s="1397">
        <f>IF(raw[[#This Row],[in]]=0,0,MONTH(raw[[#This Row],[in]]))</f>
        <v/>
      </c>
      <c r="Q1739" s="1397">
        <f>IF(raw[[#This Row],[in]]=0,0,YEAR(raw[[#This Row],[in]]))</f>
        <v/>
      </c>
      <c r="R1739" s="1397">
        <f>INT(raw[[#This Row],[yr]]/10)*10</f>
        <v/>
      </c>
      <c r="S1739" s="1395">
        <f>IF(raw[[#This Row],[city]]="","-",IF(raw[[#This Row],[city]]&lt;&gt;_xlfn.XLOOKUP(raw[[#This Row],[home]],homes[home],homes[city],"-"),1,0))</f>
        <v/>
      </c>
      <c r="T1739" s="1398" t="inlineStr">
        <is>
          <t>.</t>
        </is>
      </c>
      <c r="U1739" s="1399">
        <f>IF(raw[[#This Row],[wb]]="w",raw[[#This Row],[stay]]+U1738,U1738)</f>
        <v/>
      </c>
      <c r="V1739" s="1400">
        <f>IF(raw[[#This Row],[out]]=0,V1738,(raw[[#This Row],[out]]-E$5))</f>
        <v/>
      </c>
      <c r="W1739" s="1401">
        <f>U1739/V1739</f>
        <v/>
      </c>
      <c r="X1739" s="1392" t="n"/>
      <c r="Y1739" s="1392" t="n"/>
      <c r="Z1739" s="1392" t="n"/>
      <c r="AA1739" s="1392" t="n"/>
      <c r="AB1739" s="1392" t="n"/>
      <c r="AC1739" s="1392" t="n"/>
      <c r="AD1739" s="1392" t="n"/>
      <c r="AE1739" s="1392" t="n"/>
      <c r="AF1739" s="1392" t="n"/>
      <c r="AG1739" s="1392" t="n"/>
      <c r="AH1739" s="1392" t="n"/>
      <c r="AI1739" s="1392" t="n"/>
      <c r="AJ1739" s="1392" t="n"/>
      <c r="AK1739" s="1392" t="n"/>
      <c r="AL1739" s="1392" t="n"/>
      <c r="AM1739" s="1392" t="n"/>
      <c r="AN1739" s="1392" t="n"/>
      <c r="AO1739" s="1392" t="n"/>
      <c r="AP1739" s="1392" t="n"/>
      <c r="AQ1739" s="1392" t="n"/>
      <c r="AR1739" s="1422" t="n"/>
      <c r="AS1739" s="1422" t="n"/>
      <c r="AT1739" s="1392" t="n"/>
      <c r="AU1739" s="1392" t="n"/>
      <c r="AV1739" s="1392" t="n"/>
      <c r="AW1739" s="1392" t="n"/>
      <c r="AX1739" s="1392" t="n"/>
      <c r="AY1739" s="1392" t="n"/>
      <c r="AZ1739" s="1392" t="n"/>
      <c r="BA1739" s="1422" t="n"/>
      <c r="BB1739" s="1422" t="n"/>
      <c r="BC1739" s="1392" t="n"/>
      <c r="BD1739" s="1392" t="n"/>
      <c r="BE1739" s="1392" t="n"/>
      <c r="BF1739" s="1392" t="n"/>
      <c r="BG1739" s="1392" t="n"/>
      <c r="BH1739" s="1392" t="n"/>
      <c r="BI1739" s="1392" t="n"/>
      <c r="BJ1739" s="1392" t="n"/>
      <c r="BK1739" s="1392" t="n"/>
      <c r="BL1739" s="1392" t="n"/>
      <c r="BM1739" s="1392" t="n"/>
      <c r="BN1739" s="1392" t="n"/>
      <c r="BO1739" s="1392" t="n"/>
      <c r="BP1739" s="1392" t="n"/>
      <c r="BQ1739" s="1392" t="n"/>
      <c r="BR1739" s="1392" t="n"/>
      <c r="BS1739" s="1392" t="n"/>
      <c r="BT1739" s="1392" t="n"/>
      <c r="BU1739" s="1392" t="n"/>
      <c r="BV1739" s="1392" t="n"/>
      <c r="BW1739" s="1392" t="n"/>
      <c r="BX1739" s="1392" t="n"/>
      <c r="BY1739" s="1392" t="n"/>
      <c r="BZ1739" s="1392" t="n"/>
      <c r="CA1739" s="1392" t="n"/>
      <c r="CB1739" s="1392" t="n"/>
      <c r="CC1739" s="1392" t="n"/>
      <c r="CD1739" s="1392" t="n"/>
      <c r="CE1739" s="1392" t="n"/>
      <c r="CF1739" s="1392" t="n"/>
      <c r="CG1739" s="1392" t="n"/>
      <c r="CH1739" s="1392" t="n"/>
      <c r="CI1739" s="1392" t="n"/>
      <c r="CJ1739" s="1392" t="n"/>
      <c r="CK1739" s="1392" t="n"/>
      <c r="CL1739" s="1392" t="n"/>
    </row>
    <row r="1740">
      <c r="A1740" s="5" t="inlineStr">
        <is>
          <t>.</t>
        </is>
      </c>
      <c r="B1740" s="5" t="inlineStr">
        <is>
          <t>.</t>
        </is>
      </c>
      <c r="C1740" s="1378">
        <f>IF(raw[[#This Row],[city]]="","-",IF(raw[[#This Row],[city]]="TODAY","-",C1739+1))</f>
        <v/>
      </c>
      <c r="D1740" s="1393" t="inlineStr">
        <is>
          <t>London</t>
        </is>
      </c>
      <c r="E1740" s="1394" t="n">
        <v>45540</v>
      </c>
      <c r="F1740" s="1394" t="n">
        <v>45543</v>
      </c>
      <c r="G1740" s="1393" t="inlineStr">
        <is>
          <t>-</t>
        </is>
      </c>
      <c r="H1740" s="1393" t="inlineStr">
        <is>
          <t>Gaspé</t>
        </is>
      </c>
      <c r="I1740" s="1393" t="inlineStr">
        <is>
          <t>Stu</t>
        </is>
      </c>
      <c r="J1740" s="1393" t="inlineStr">
        <is>
          <t>-</t>
        </is>
      </c>
      <c r="K1740" s="1395">
        <f>IF(raw[[#This Row],[city]]&lt;&gt;"",_xlfn.XLOOKUP($D1740,ccc[city],ccc[prov],"-"),"-")</f>
        <v/>
      </c>
      <c r="L1740" s="1395">
        <f>IF(raw[[#This Row],[city]]&lt;&gt;"",_xlfn.XLOOKUP($D1740,ccc[city],ccc[ctry],"-"),"-")</f>
        <v/>
      </c>
      <c r="M1740" s="1395">
        <f>IF(raw[[#This Row],[city]]&lt;&gt;"",_xlfn.XLOOKUP($D1740,ccc[city],ccc[cont],"-"),"-")</f>
        <v/>
      </c>
      <c r="N1740" s="1396">
        <f>IF(raw[[#This Row],[city]]="","-",IF(raw[[#This Row],[cont]]="B",raw[[#This Row],[cont]],"W"))</f>
        <v/>
      </c>
      <c r="O1740" s="1397">
        <f>IF(raw[[#This Row],[out]]=0,0,IF(raw[[#This Row],[out]]=raw[[#This Row],[in]],0.01,raw[[#This Row],[out]]-raw[[#This Row],[in]]))</f>
        <v/>
      </c>
      <c r="P1740" s="1397">
        <f>IF(raw[[#This Row],[in]]=0,0,MONTH(raw[[#This Row],[in]]))</f>
        <v/>
      </c>
      <c r="Q1740" s="1397">
        <f>IF(raw[[#This Row],[in]]=0,0,YEAR(raw[[#This Row],[in]]))</f>
        <v/>
      </c>
      <c r="R1740" s="1397">
        <f>INT(raw[[#This Row],[yr]]/10)*10</f>
        <v/>
      </c>
      <c r="S1740" s="1395">
        <f>IF(raw[[#This Row],[city]]="","-",IF(raw[[#This Row],[city]]&lt;&gt;_xlfn.XLOOKUP(raw[[#This Row],[home]],homes[home],homes[city],"-"),1,0))</f>
        <v/>
      </c>
      <c r="T1740" s="1398" t="inlineStr">
        <is>
          <t>.</t>
        </is>
      </c>
      <c r="U1740" s="1399">
        <f>IF(raw[[#This Row],[wb]]="w",raw[[#This Row],[stay]]+U1739,U1739)</f>
        <v/>
      </c>
      <c r="V1740" s="1400">
        <f>IF(raw[[#This Row],[out]]=0,V1739,(raw[[#This Row],[out]]-E$5))</f>
        <v/>
      </c>
      <c r="W1740" s="1401">
        <f>U1740/V1740</f>
        <v/>
      </c>
      <c r="X1740" s="1392" t="n"/>
      <c r="Y1740" s="1392" t="n"/>
      <c r="Z1740" s="1392" t="n"/>
      <c r="AA1740" s="1392" t="n"/>
      <c r="AB1740" s="1392" t="n"/>
      <c r="AC1740" s="1392" t="n"/>
      <c r="AD1740" s="1392" t="n"/>
      <c r="AE1740" s="1392" t="n"/>
      <c r="AF1740" s="1392" t="n"/>
      <c r="AG1740" s="1392" t="n"/>
      <c r="AH1740" s="1392" t="n"/>
      <c r="AI1740" s="1392" t="n"/>
      <c r="AJ1740" s="1392" t="n"/>
      <c r="AK1740" s="1392" t="n"/>
      <c r="AL1740" s="1392" t="n"/>
      <c r="AM1740" s="1392" t="n"/>
      <c r="AN1740" s="1392" t="n"/>
      <c r="AO1740" s="1392" t="n"/>
      <c r="AP1740" s="1392" t="n"/>
      <c r="AQ1740" s="1392" t="n"/>
      <c r="AR1740" s="1422" t="n"/>
      <c r="AS1740" s="1422" t="n"/>
      <c r="AT1740" s="1392" t="n"/>
      <c r="AU1740" s="1392" t="n"/>
      <c r="AV1740" s="1392" t="n"/>
      <c r="AW1740" s="1392" t="n"/>
      <c r="AX1740" s="1392" t="n"/>
      <c r="AY1740" s="1392" t="n"/>
      <c r="AZ1740" s="1392" t="n"/>
      <c r="BA1740" s="1422" t="n"/>
      <c r="BB1740" s="1422" t="n"/>
      <c r="BC1740" s="1392" t="n"/>
      <c r="BD1740" s="1392" t="n"/>
      <c r="BE1740" s="1392" t="n"/>
      <c r="BF1740" s="1392" t="n"/>
      <c r="BG1740" s="1392" t="n"/>
      <c r="BH1740" s="1392" t="n"/>
      <c r="BI1740" s="1392" t="n"/>
      <c r="BJ1740" s="1392" t="n"/>
      <c r="BK1740" s="1392" t="n"/>
      <c r="BL1740" s="1392" t="n"/>
      <c r="BM1740" s="1392" t="n"/>
      <c r="BN1740" s="1392" t="n"/>
      <c r="BO1740" s="1392" t="n"/>
      <c r="BP1740" s="1392" t="n"/>
      <c r="BQ1740" s="1392" t="n"/>
      <c r="BR1740" s="1392" t="n"/>
      <c r="BS1740" s="1392" t="n"/>
      <c r="BT1740" s="1392" t="n"/>
      <c r="BU1740" s="1392" t="n"/>
      <c r="BV1740" s="1392" t="n"/>
      <c r="BW1740" s="1392" t="n"/>
      <c r="BX1740" s="1392" t="n"/>
      <c r="BY1740" s="1392" t="n"/>
      <c r="BZ1740" s="1392" t="n"/>
      <c r="CA1740" s="1392" t="n"/>
      <c r="CB1740" s="1392" t="n"/>
      <c r="CC1740" s="1392" t="n"/>
      <c r="CD1740" s="1392" t="n"/>
      <c r="CE1740" s="1392" t="n"/>
      <c r="CF1740" s="1392" t="n"/>
      <c r="CG1740" s="1392" t="n"/>
      <c r="CH1740" s="1392" t="n"/>
      <c r="CI1740" s="1392" t="n"/>
      <c r="CJ1740" s="1392" t="n"/>
      <c r="CK1740" s="1392" t="n"/>
      <c r="CL1740" s="1392" t="n"/>
    </row>
    <row r="1741">
      <c r="A1741" s="5" t="inlineStr">
        <is>
          <t>.</t>
        </is>
      </c>
      <c r="B1741" s="5" t="inlineStr">
        <is>
          <t>.</t>
        </is>
      </c>
      <c r="C1741" s="1378">
        <f>IF(raw[[#This Row],[city]]="","-",IF(raw[[#This Row],[city]]="TODAY","-",C1740+1))</f>
        <v/>
      </c>
      <c r="D1741" s="1393" t="inlineStr">
        <is>
          <t>London</t>
        </is>
      </c>
      <c r="E1741" s="1394" t="n">
        <v>45543</v>
      </c>
      <c r="F1741" s="1394" t="n">
        <v>45548</v>
      </c>
      <c r="G1741" s="1393" t="n">
        <v>1</v>
      </c>
      <c r="H1741" s="1393" t="inlineStr">
        <is>
          <t>Gaspé</t>
        </is>
      </c>
      <c r="I1741" s="1393" t="inlineStr">
        <is>
          <t>Thomas/Leslie</t>
        </is>
      </c>
      <c r="J1741" s="1393" t="inlineStr">
        <is>
          <t>-</t>
        </is>
      </c>
      <c r="K1741" s="1395">
        <f>IF(raw[[#This Row],[city]]&lt;&gt;"",_xlfn.XLOOKUP($D1741,ccc[city],ccc[prov],"-"),"-")</f>
        <v/>
      </c>
      <c r="L1741" s="1395">
        <f>IF(raw[[#This Row],[city]]&lt;&gt;"",_xlfn.XLOOKUP($D1741,ccc[city],ccc[ctry],"-"),"-")</f>
        <v/>
      </c>
      <c r="M1741" s="1395">
        <f>IF(raw[[#This Row],[city]]&lt;&gt;"",_xlfn.XLOOKUP($D1741,ccc[city],ccc[cont],"-"),"-")</f>
        <v/>
      </c>
      <c r="N1741" s="1396">
        <f>IF(raw[[#This Row],[city]]="","-",IF(raw[[#This Row],[cont]]="B",raw[[#This Row],[cont]],"W"))</f>
        <v/>
      </c>
      <c r="O1741" s="1397">
        <f>IF(raw[[#This Row],[out]]=0,0,IF(raw[[#This Row],[out]]=raw[[#This Row],[in]],0.01,raw[[#This Row],[out]]-raw[[#This Row],[in]]))</f>
        <v/>
      </c>
      <c r="P1741" s="1397">
        <f>IF(raw[[#This Row],[in]]=0,0,MONTH(raw[[#This Row],[in]]))</f>
        <v/>
      </c>
      <c r="Q1741" s="1397">
        <f>IF(raw[[#This Row],[in]]=0,0,YEAR(raw[[#This Row],[in]]))</f>
        <v/>
      </c>
      <c r="R1741" s="1397">
        <f>INT(raw[[#This Row],[yr]]/10)*10</f>
        <v/>
      </c>
      <c r="S1741" s="1395">
        <f>IF(raw[[#This Row],[city]]="","-",IF(raw[[#This Row],[city]]&lt;&gt;_xlfn.XLOOKUP(raw[[#This Row],[home]],homes[home],homes[city],"-"),1,0))</f>
        <v/>
      </c>
      <c r="T1741" s="1398" t="inlineStr">
        <is>
          <t>.</t>
        </is>
      </c>
      <c r="U1741" s="1399">
        <f>IF(raw[[#This Row],[wb]]="w",raw[[#This Row],[stay]]+U1740,U1740)</f>
        <v/>
      </c>
      <c r="V1741" s="1400">
        <f>IF(raw[[#This Row],[out]]=0,V1740,(raw[[#This Row],[out]]-E$5))</f>
        <v/>
      </c>
      <c r="W1741" s="1401">
        <f>U1741/V1741</f>
        <v/>
      </c>
      <c r="X1741" s="1392" t="n"/>
      <c r="Y1741" s="1392" t="n"/>
      <c r="Z1741" s="1392" t="n"/>
      <c r="AA1741" s="1392" t="n"/>
      <c r="AB1741" s="1392" t="n"/>
      <c r="AC1741" s="1392" t="n"/>
      <c r="AD1741" s="1392" t="n"/>
      <c r="AE1741" s="1392" t="n"/>
      <c r="AF1741" s="1392" t="n"/>
      <c r="AG1741" s="1392" t="n"/>
      <c r="AH1741" s="1392" t="n"/>
      <c r="AI1741" s="1392" t="n"/>
      <c r="AJ1741" s="1392" t="n"/>
      <c r="AK1741" s="1392" t="n"/>
      <c r="AL1741" s="1392" t="n"/>
      <c r="AM1741" s="1392" t="n"/>
      <c r="AN1741" s="1392" t="n"/>
      <c r="AO1741" s="1392" t="n"/>
      <c r="AP1741" s="1392" t="n"/>
      <c r="AQ1741" s="1392" t="n"/>
      <c r="AR1741" s="1422" t="n"/>
      <c r="AS1741" s="1422" t="n"/>
      <c r="AT1741" s="1392" t="n"/>
      <c r="AU1741" s="1392" t="n"/>
      <c r="AV1741" s="1392" t="n"/>
      <c r="AW1741" s="1392" t="n"/>
      <c r="AX1741" s="1392" t="n"/>
      <c r="AY1741" s="1392" t="n"/>
      <c r="AZ1741" s="1392" t="n"/>
      <c r="BA1741" s="1422" t="n"/>
      <c r="BB1741" s="1422" t="n"/>
      <c r="BC1741" s="1392" t="n"/>
      <c r="BD1741" s="1392" t="n"/>
      <c r="BE1741" s="1392" t="n"/>
      <c r="BF1741" s="1392" t="n"/>
      <c r="BG1741" s="1392" t="n"/>
      <c r="BH1741" s="1392" t="n"/>
      <c r="BI1741" s="1392" t="n"/>
      <c r="BJ1741" s="1392" t="n"/>
      <c r="BK1741" s="1392" t="n"/>
      <c r="BL1741" s="1392" t="n"/>
      <c r="BM1741" s="1392" t="n"/>
      <c r="BN1741" s="1392" t="n"/>
      <c r="BO1741" s="1392" t="n"/>
      <c r="BP1741" s="1392" t="n"/>
      <c r="BQ1741" s="1392" t="n"/>
      <c r="BR1741" s="1392" t="n"/>
      <c r="BS1741" s="1392" t="n"/>
      <c r="BT1741" s="1392" t="n"/>
      <c r="BU1741" s="1392" t="n"/>
      <c r="BV1741" s="1392" t="n"/>
      <c r="BW1741" s="1392" t="n"/>
      <c r="BX1741" s="1392" t="n"/>
      <c r="BY1741" s="1392" t="n"/>
      <c r="BZ1741" s="1392" t="n"/>
      <c r="CA1741" s="1392" t="n"/>
      <c r="CB1741" s="1392" t="n"/>
      <c r="CC1741" s="1392" t="n"/>
      <c r="CD1741" s="1392" t="n"/>
      <c r="CE1741" s="1392" t="n"/>
      <c r="CF1741" s="1392" t="n"/>
      <c r="CG1741" s="1392" t="n"/>
      <c r="CH1741" s="1392" t="n"/>
      <c r="CI1741" s="1392" t="n"/>
      <c r="CJ1741" s="1392" t="n"/>
      <c r="CK1741" s="1392" t="n"/>
      <c r="CL1741" s="1392" t="n"/>
    </row>
    <row r="1742">
      <c r="A1742" s="5" t="inlineStr">
        <is>
          <t>.</t>
        </is>
      </c>
      <c r="B1742" s="5" t="inlineStr">
        <is>
          <t>.</t>
        </is>
      </c>
      <c r="C1742" s="1378">
        <f>IF(raw[[#This Row],[city]]="","-",IF(raw[[#This Row],[city]]="TODAY","-",C1741+1))</f>
        <v/>
      </c>
      <c r="D1742" s="1393" t="inlineStr">
        <is>
          <t>Montreal</t>
        </is>
      </c>
      <c r="E1742" s="1394" t="n">
        <v>45548</v>
      </c>
      <c r="F1742" s="1394" t="n">
        <v>45566</v>
      </c>
      <c r="G1742" s="1393" t="inlineStr">
        <is>
          <t>-</t>
        </is>
      </c>
      <c r="H1742" s="1393" t="inlineStr">
        <is>
          <t>Gaspé</t>
        </is>
      </c>
      <c r="I1742" s="1393" t="inlineStr">
        <is>
          <t>-</t>
        </is>
      </c>
      <c r="J1742" s="1393" t="inlineStr">
        <is>
          <t>-</t>
        </is>
      </c>
      <c r="K1742" s="1395">
        <f>IF(raw[[#This Row],[city]]&lt;&gt;"",_xlfn.XLOOKUP($D1742,ccc[city],ccc[prov],"-"),"-")</f>
        <v/>
      </c>
      <c r="L1742" s="1395">
        <f>IF(raw[[#This Row],[city]]&lt;&gt;"",_xlfn.XLOOKUP($D1742,ccc[city],ccc[ctry],"-"),"-")</f>
        <v/>
      </c>
      <c r="M1742" s="1395">
        <f>IF(raw[[#This Row],[city]]&lt;&gt;"",_xlfn.XLOOKUP($D1742,ccc[city],ccc[cont],"-"),"-")</f>
        <v/>
      </c>
      <c r="N1742" s="1396">
        <f>IF(raw[[#This Row],[city]]="","-",IF(raw[[#This Row],[cont]]="B",raw[[#This Row],[cont]],"W"))</f>
        <v/>
      </c>
      <c r="O1742" s="1397">
        <f>IF(raw[[#This Row],[out]]=0,0,IF(raw[[#This Row],[out]]=raw[[#This Row],[in]],0.01,raw[[#This Row],[out]]-raw[[#This Row],[in]]))</f>
        <v/>
      </c>
      <c r="P1742" s="1397">
        <f>IF(raw[[#This Row],[in]]=0,0,MONTH(raw[[#This Row],[in]]))</f>
        <v/>
      </c>
      <c r="Q1742" s="1397">
        <f>IF(raw[[#This Row],[in]]=0,0,YEAR(raw[[#This Row],[in]]))</f>
        <v/>
      </c>
      <c r="R1742" s="1397">
        <f>INT(raw[[#This Row],[yr]]/10)*10</f>
        <v/>
      </c>
      <c r="S1742" s="1395">
        <f>IF(raw[[#This Row],[city]]="","-",IF(raw[[#This Row],[city]]&lt;&gt;_xlfn.XLOOKUP(raw[[#This Row],[home]],homes[home],homes[city],"-"),1,0))</f>
        <v/>
      </c>
      <c r="T1742" s="1398" t="inlineStr">
        <is>
          <t>.</t>
        </is>
      </c>
      <c r="U1742" s="1399">
        <f>IF(raw[[#This Row],[wb]]="w",raw[[#This Row],[stay]]+U1741,U1741)</f>
        <v/>
      </c>
      <c r="V1742" s="1400">
        <f>IF(raw[[#This Row],[out]]=0,V1741,(raw[[#This Row],[out]]-E$5))</f>
        <v/>
      </c>
      <c r="W1742" s="1401">
        <f>U1742/V1742</f>
        <v/>
      </c>
      <c r="X1742" s="1392" t="n"/>
      <c r="Y1742" s="1392" t="n"/>
      <c r="Z1742" s="1392" t="n"/>
      <c r="AA1742" s="1392" t="n"/>
      <c r="AB1742" s="1392" t="n"/>
      <c r="AC1742" s="1392" t="n"/>
      <c r="AD1742" s="1392" t="n"/>
      <c r="AE1742" s="1392" t="n"/>
      <c r="AF1742" s="1392" t="n"/>
      <c r="AG1742" s="1392" t="n"/>
      <c r="AH1742" s="1392" t="n"/>
      <c r="AI1742" s="1392" t="n"/>
      <c r="AJ1742" s="1392" t="n"/>
      <c r="AK1742" s="1392" t="n"/>
      <c r="AL1742" s="1392" t="n"/>
      <c r="AM1742" s="1392" t="n"/>
      <c r="AN1742" s="1392" t="n"/>
      <c r="AO1742" s="1392" t="n"/>
      <c r="AP1742" s="1392" t="n"/>
      <c r="AQ1742" s="1392" t="n"/>
      <c r="AR1742" s="1422" t="n"/>
      <c r="AS1742" s="1422" t="n"/>
      <c r="AT1742" s="1392" t="n"/>
      <c r="AU1742" s="1392" t="n"/>
      <c r="AV1742" s="1392" t="n"/>
      <c r="AW1742" s="1392" t="n"/>
      <c r="AX1742" s="1392" t="n"/>
      <c r="AY1742" s="1392" t="n"/>
      <c r="AZ1742" s="1392" t="n"/>
      <c r="BA1742" s="1422" t="n"/>
      <c r="BB1742" s="1422" t="n"/>
      <c r="BC1742" s="1392" t="n"/>
      <c r="BD1742" s="1392" t="n"/>
      <c r="BE1742" s="1392" t="n"/>
      <c r="BF1742" s="1392" t="n"/>
      <c r="BG1742" s="1392" t="n"/>
      <c r="BH1742" s="1392" t="n"/>
      <c r="BI1742" s="1392" t="n"/>
      <c r="BJ1742" s="1392" t="n"/>
      <c r="BK1742" s="1392" t="n"/>
      <c r="BL1742" s="1392" t="n"/>
      <c r="BM1742" s="1392" t="n"/>
      <c r="BN1742" s="1392" t="n"/>
      <c r="BO1742" s="1392" t="n"/>
      <c r="BP1742" s="1392" t="n"/>
      <c r="BQ1742" s="1392" t="n"/>
      <c r="BR1742" s="1392" t="n"/>
      <c r="BS1742" s="1392" t="n"/>
      <c r="BT1742" s="1392" t="n"/>
      <c r="BU1742" s="1392" t="n"/>
      <c r="BV1742" s="1392" t="n"/>
      <c r="BW1742" s="1392" t="n"/>
      <c r="BX1742" s="1392" t="n"/>
      <c r="BY1742" s="1392" t="n"/>
      <c r="BZ1742" s="1392" t="n"/>
      <c r="CA1742" s="1392" t="n"/>
      <c r="CB1742" s="1392" t="n"/>
      <c r="CC1742" s="1392" t="n"/>
      <c r="CD1742" s="1392" t="n"/>
      <c r="CE1742" s="1392" t="n"/>
      <c r="CF1742" s="1392" t="n"/>
      <c r="CG1742" s="1392" t="n"/>
      <c r="CH1742" s="1392" t="n"/>
      <c r="CI1742" s="1392" t="n"/>
      <c r="CJ1742" s="1392" t="n"/>
      <c r="CK1742" s="1392" t="n"/>
      <c r="CL1742" s="1392" t="n"/>
    </row>
    <row r="1743">
      <c r="A1743" s="5" t="inlineStr">
        <is>
          <t>.</t>
        </is>
      </c>
      <c r="B1743" s="5" t="inlineStr">
        <is>
          <t>.</t>
        </is>
      </c>
      <c r="C1743" s="1378">
        <f>IF(raw[[#This Row],[city]]="","-",IF(raw[[#This Row],[city]]="TODAY","-",C1742+1))</f>
        <v/>
      </c>
      <c r="D1743" s="1393" t="inlineStr">
        <is>
          <t>Montreal</t>
        </is>
      </c>
      <c r="E1743" s="1394" t="n">
        <v>45566</v>
      </c>
      <c r="F1743" s="1394" t="n">
        <v>45579</v>
      </c>
      <c r="G1743" s="1393" t="n">
        <v>1</v>
      </c>
      <c r="H1743" s="1393" t="inlineStr">
        <is>
          <t>Gaspé</t>
        </is>
      </c>
      <c r="I1743" s="1393" t="inlineStr">
        <is>
          <t>-</t>
        </is>
      </c>
      <c r="J1743" s="1393" t="inlineStr">
        <is>
          <t>-</t>
        </is>
      </c>
      <c r="K1743" s="1395">
        <f>IF(raw[[#This Row],[city]]&lt;&gt;"",_xlfn.XLOOKUP($D1743,ccc[city],ccc[prov],"-"),"-")</f>
        <v/>
      </c>
      <c r="L1743" s="1395">
        <f>IF(raw[[#This Row],[city]]&lt;&gt;"",_xlfn.XLOOKUP($D1743,ccc[city],ccc[ctry],"-"),"-")</f>
        <v/>
      </c>
      <c r="M1743" s="1395">
        <f>IF(raw[[#This Row],[city]]&lt;&gt;"",_xlfn.XLOOKUP($D1743,ccc[city],ccc[cont],"-"),"-")</f>
        <v/>
      </c>
      <c r="N1743" s="1396">
        <f>IF(raw[[#This Row],[city]]="","-",IF(raw[[#This Row],[cont]]="B",raw[[#This Row],[cont]],"W"))</f>
        <v/>
      </c>
      <c r="O1743" s="1397">
        <f>IF(raw[[#This Row],[out]]=0,0,IF(raw[[#This Row],[out]]=raw[[#This Row],[in]],0.01,raw[[#This Row],[out]]-raw[[#This Row],[in]]))</f>
        <v/>
      </c>
      <c r="P1743" s="1397">
        <f>IF(raw[[#This Row],[in]]=0,0,MONTH(raw[[#This Row],[in]]))</f>
        <v/>
      </c>
      <c r="Q1743" s="1397">
        <f>IF(raw[[#This Row],[in]]=0,0,YEAR(raw[[#This Row],[in]]))</f>
        <v/>
      </c>
      <c r="R1743" s="1397">
        <f>INT(raw[[#This Row],[yr]]/10)*10</f>
        <v/>
      </c>
      <c r="S1743" s="1395">
        <f>IF(raw[[#This Row],[city]]="","-",IF(raw[[#This Row],[city]]&lt;&gt;_xlfn.XLOOKUP(raw[[#This Row],[home]],homes[home],homes[city],"-"),1,0))</f>
        <v/>
      </c>
      <c r="T1743" s="1398" t="inlineStr">
        <is>
          <t>.</t>
        </is>
      </c>
      <c r="U1743" s="1399">
        <f>IF(raw[[#This Row],[wb]]="w",raw[[#This Row],[stay]]+U1742,U1742)</f>
        <v/>
      </c>
      <c r="V1743" s="1400">
        <f>IF(raw[[#This Row],[out]]=0,V1742,(raw[[#This Row],[out]]-E$5))</f>
        <v/>
      </c>
      <c r="W1743" s="1401">
        <f>U1743/V1743</f>
        <v/>
      </c>
      <c r="X1743" s="1392" t="n"/>
      <c r="Y1743" s="1392" t="n"/>
      <c r="Z1743" s="1392" t="n"/>
      <c r="AA1743" s="1392" t="n"/>
      <c r="AB1743" s="1392" t="n"/>
      <c r="AC1743" s="1392" t="n"/>
      <c r="AD1743" s="1392" t="n"/>
      <c r="AE1743" s="1392" t="n"/>
      <c r="AF1743" s="1392" t="n"/>
      <c r="AG1743" s="1392" t="n"/>
      <c r="AH1743" s="1392" t="n"/>
      <c r="AI1743" s="1392" t="n"/>
      <c r="AJ1743" s="1392" t="n"/>
      <c r="AK1743" s="1392" t="n"/>
      <c r="AL1743" s="1392" t="n"/>
      <c r="AM1743" s="1392" t="n"/>
      <c r="AN1743" s="1392" t="n"/>
      <c r="AO1743" s="1392" t="n"/>
      <c r="AP1743" s="1392" t="n"/>
      <c r="AQ1743" s="1392" t="n"/>
      <c r="AR1743" s="1422" t="n"/>
      <c r="AS1743" s="1422" t="n"/>
      <c r="AT1743" s="1392" t="n"/>
      <c r="AU1743" s="1392" t="n"/>
      <c r="AV1743" s="1392" t="n"/>
      <c r="AW1743" s="1392" t="n"/>
      <c r="AX1743" s="1392" t="n"/>
      <c r="AY1743" s="1392" t="n"/>
      <c r="AZ1743" s="1392" t="n"/>
      <c r="BA1743" s="1422" t="n"/>
      <c r="BB1743" s="1422" t="n"/>
      <c r="BC1743" s="1392" t="n"/>
      <c r="BD1743" s="1392" t="n"/>
      <c r="BE1743" s="1392" t="n"/>
      <c r="BF1743" s="1392" t="n"/>
      <c r="BG1743" s="1392" t="n"/>
      <c r="BH1743" s="1392" t="n"/>
      <c r="BI1743" s="1392" t="n"/>
      <c r="BJ1743" s="1392" t="n"/>
      <c r="BK1743" s="1392" t="n"/>
      <c r="BL1743" s="1392" t="n"/>
      <c r="BM1743" s="1392" t="n"/>
      <c r="BN1743" s="1392" t="n"/>
      <c r="BO1743" s="1392" t="n"/>
      <c r="BP1743" s="1392" t="n"/>
      <c r="BQ1743" s="1392" t="n"/>
      <c r="BR1743" s="1392" t="n"/>
      <c r="BS1743" s="1392" t="n"/>
      <c r="BT1743" s="1392" t="n"/>
      <c r="BU1743" s="1392" t="n"/>
      <c r="BV1743" s="1392" t="n"/>
      <c r="BW1743" s="1392" t="n"/>
      <c r="BX1743" s="1392" t="n"/>
      <c r="BY1743" s="1392" t="n"/>
      <c r="BZ1743" s="1392" t="n"/>
      <c r="CA1743" s="1392" t="n"/>
      <c r="CB1743" s="1392" t="n"/>
      <c r="CC1743" s="1392" t="n"/>
      <c r="CD1743" s="1392" t="n"/>
      <c r="CE1743" s="1392" t="n"/>
      <c r="CF1743" s="1392" t="n"/>
      <c r="CG1743" s="1392" t="n"/>
      <c r="CH1743" s="1392" t="n"/>
      <c r="CI1743" s="1392" t="n"/>
      <c r="CJ1743" s="1392" t="n"/>
      <c r="CK1743" s="1392" t="n"/>
      <c r="CL1743" s="1392" t="n"/>
    </row>
    <row r="1744">
      <c r="A1744" s="5" t="inlineStr">
        <is>
          <t>.</t>
        </is>
      </c>
      <c r="B1744" s="5" t="inlineStr">
        <is>
          <t>.</t>
        </is>
      </c>
      <c r="C1744" s="1378">
        <f>IF(raw[[#This Row],[city]]="","-",IF(raw[[#This Row],[city]]="TODAY","-",C1743+1))</f>
        <v/>
      </c>
      <c r="D1744" s="1393" t="inlineStr">
        <is>
          <t>Chicago</t>
        </is>
      </c>
      <c r="E1744" s="1394" t="n">
        <v>45579</v>
      </c>
      <c r="F1744" s="1394" t="n">
        <v>45579</v>
      </c>
      <c r="G1744" s="1393" t="n">
        <v>1</v>
      </c>
      <c r="H1744" s="1393" t="inlineStr">
        <is>
          <t>Gaspé</t>
        </is>
      </c>
      <c r="I1744" s="1393" t="inlineStr">
        <is>
          <t>-</t>
        </is>
      </c>
      <c r="J1744" s="1393" t="inlineStr">
        <is>
          <t>-</t>
        </is>
      </c>
      <c r="K1744" s="1395">
        <f>IF(raw[[#This Row],[city]]&lt;&gt;"",_xlfn.XLOOKUP($D1744,ccc[city],ccc[prov],"-"),"-")</f>
        <v/>
      </c>
      <c r="L1744" s="1395">
        <f>IF(raw[[#This Row],[city]]&lt;&gt;"",_xlfn.XLOOKUP($D1744,ccc[city],ccc[ctry],"-"),"-")</f>
        <v/>
      </c>
      <c r="M1744" s="1395">
        <f>IF(raw[[#This Row],[city]]&lt;&gt;"",_xlfn.XLOOKUP($D1744,ccc[city],ccc[cont],"-"),"-")</f>
        <v/>
      </c>
      <c r="N1744" s="1396">
        <f>IF(raw[[#This Row],[city]]="","-",IF(raw[[#This Row],[cont]]="B",raw[[#This Row],[cont]],"W"))</f>
        <v/>
      </c>
      <c r="O1744" s="1397">
        <f>IF(raw[[#This Row],[out]]=0,0,IF(raw[[#This Row],[out]]=raw[[#This Row],[in]],0.01,raw[[#This Row],[out]]-raw[[#This Row],[in]]))</f>
        <v/>
      </c>
      <c r="P1744" s="1397">
        <f>IF(raw[[#This Row],[in]]=0,0,MONTH(raw[[#This Row],[in]]))</f>
        <v/>
      </c>
      <c r="Q1744" s="1397">
        <f>IF(raw[[#This Row],[in]]=0,0,YEAR(raw[[#This Row],[in]]))</f>
        <v/>
      </c>
      <c r="R1744" s="1397">
        <f>INT(raw[[#This Row],[yr]]/10)*10</f>
        <v/>
      </c>
      <c r="S1744" s="1395">
        <f>IF(raw[[#This Row],[city]]="","-",IF(raw[[#This Row],[city]]&lt;&gt;_xlfn.XLOOKUP(raw[[#This Row],[home]],homes[home],homes[city],"-"),1,0))</f>
        <v/>
      </c>
      <c r="T1744" s="1398" t="inlineStr">
        <is>
          <t>.</t>
        </is>
      </c>
      <c r="U1744" s="1399">
        <f>IF(raw[[#This Row],[wb]]="w",raw[[#This Row],[stay]]+U1743,U1743)</f>
        <v/>
      </c>
      <c r="V1744" s="1400">
        <f>IF(raw[[#This Row],[out]]=0,V1743,(raw[[#This Row],[out]]-E$5))</f>
        <v/>
      </c>
      <c r="W1744" s="1401">
        <f>U1744/V1744</f>
        <v/>
      </c>
      <c r="X1744" s="1392" t="n"/>
      <c r="Y1744" s="1392" t="n"/>
      <c r="Z1744" s="1392" t="n"/>
      <c r="AA1744" s="1392" t="n"/>
      <c r="AB1744" s="1392" t="n"/>
      <c r="AC1744" s="1392" t="n"/>
      <c r="AD1744" s="1392" t="n"/>
      <c r="AE1744" s="1392" t="n"/>
      <c r="AF1744" s="1392" t="n"/>
      <c r="AG1744" s="1392" t="n"/>
      <c r="AH1744" s="1392" t="n"/>
      <c r="AI1744" s="1392" t="n"/>
      <c r="AJ1744" s="1392" t="n"/>
      <c r="AK1744" s="1392" t="n"/>
      <c r="AL1744" s="1392" t="n"/>
      <c r="AM1744" s="1392" t="n"/>
      <c r="AN1744" s="1392" t="n"/>
      <c r="AO1744" s="1392" t="n"/>
      <c r="AP1744" s="1392" t="n"/>
      <c r="AQ1744" s="1392" t="n"/>
      <c r="AR1744" s="1422" t="n"/>
      <c r="AS1744" s="1422" t="n"/>
      <c r="AT1744" s="1392" t="n"/>
      <c r="AU1744" s="1392" t="n"/>
      <c r="AV1744" s="1392" t="n"/>
      <c r="AW1744" s="1392" t="n"/>
      <c r="AX1744" s="1392" t="n"/>
      <c r="AY1744" s="1392" t="n"/>
      <c r="AZ1744" s="1392" t="n"/>
      <c r="BA1744" s="1422" t="n"/>
      <c r="BB1744" s="1422" t="n"/>
      <c r="BC1744" s="1392" t="n"/>
      <c r="BD1744" s="1392" t="n"/>
      <c r="BE1744" s="1392" t="n"/>
      <c r="BF1744" s="1392" t="n"/>
      <c r="BG1744" s="1392" t="n"/>
      <c r="BH1744" s="1392" t="n"/>
      <c r="BI1744" s="1392" t="n"/>
      <c r="BJ1744" s="1392" t="n"/>
      <c r="BK1744" s="1392" t="n"/>
      <c r="BL1744" s="1392" t="n"/>
      <c r="BM1744" s="1392" t="n"/>
      <c r="BN1744" s="1392" t="n"/>
      <c r="BO1744" s="1392" t="n"/>
      <c r="BP1744" s="1392" t="n"/>
      <c r="BQ1744" s="1392" t="n"/>
      <c r="BR1744" s="1392" t="n"/>
      <c r="BS1744" s="1392" t="n"/>
      <c r="BT1744" s="1392" t="n"/>
      <c r="BU1744" s="1392" t="n"/>
      <c r="BV1744" s="1392" t="n"/>
      <c r="BW1744" s="1392" t="n"/>
      <c r="BX1744" s="1392" t="n"/>
      <c r="BY1744" s="1392" t="n"/>
      <c r="BZ1744" s="1392" t="n"/>
      <c r="CA1744" s="1392" t="n"/>
      <c r="CB1744" s="1392" t="n"/>
      <c r="CC1744" s="1392" t="n"/>
      <c r="CD1744" s="1392" t="n"/>
      <c r="CE1744" s="1392" t="n"/>
      <c r="CF1744" s="1392" t="n"/>
      <c r="CG1744" s="1392" t="n"/>
      <c r="CH1744" s="1392" t="n"/>
      <c r="CI1744" s="1392" t="n"/>
      <c r="CJ1744" s="1392" t="n"/>
      <c r="CK1744" s="1392" t="n"/>
      <c r="CL1744" s="1392" t="n"/>
    </row>
    <row r="1745">
      <c r="A1745" s="5" t="inlineStr">
        <is>
          <t>.</t>
        </is>
      </c>
      <c r="B1745" s="5" t="inlineStr">
        <is>
          <t>.</t>
        </is>
      </c>
      <c r="C1745" s="1378">
        <f>IF(raw[[#This Row],[city]]="","-",IF(raw[[#This Row],[city]]="TODAY","-",C1744+1))</f>
        <v/>
      </c>
      <c r="D1745" s="1393" t="inlineStr">
        <is>
          <t>AIR</t>
        </is>
      </c>
      <c r="E1745" s="1394" t="n">
        <v>45579</v>
      </c>
      <c r="F1745" s="1394" t="n">
        <v>45580</v>
      </c>
      <c r="G1745" s="1393" t="inlineStr">
        <is>
          <t>x</t>
        </is>
      </c>
      <c r="H1745" s="1393" t="inlineStr">
        <is>
          <t>Gaspé</t>
        </is>
      </c>
      <c r="I1745" s="1393" t="inlineStr">
        <is>
          <t>-</t>
        </is>
      </c>
      <c r="J1745" s="1393" t="inlineStr">
        <is>
          <t>-</t>
        </is>
      </c>
      <c r="K1745" s="1395">
        <f>IF(raw[[#This Row],[city]]&lt;&gt;"",_xlfn.XLOOKUP($D1745,ccc[city],ccc[prov],"-"),"-")</f>
        <v/>
      </c>
      <c r="L1745" s="1395">
        <f>IF(raw[[#This Row],[city]]&lt;&gt;"",_xlfn.XLOOKUP($D1745,ccc[city],ccc[ctry],"-"),"-")</f>
        <v/>
      </c>
      <c r="M1745" s="1395">
        <f>IF(raw[[#This Row],[city]]&lt;&gt;"",_xlfn.XLOOKUP($D1745,ccc[city],ccc[cont],"-"),"-")</f>
        <v/>
      </c>
      <c r="N1745" s="1396">
        <f>IF(raw[[#This Row],[city]]="","-",IF(raw[[#This Row],[cont]]="B",raw[[#This Row],[cont]],"W"))</f>
        <v/>
      </c>
      <c r="O1745" s="1397">
        <f>IF(raw[[#This Row],[out]]=0,0,IF(raw[[#This Row],[out]]=raw[[#This Row],[in]],0.01,raw[[#This Row],[out]]-raw[[#This Row],[in]]))</f>
        <v/>
      </c>
      <c r="P1745" s="1397">
        <f>IF(raw[[#This Row],[in]]=0,0,MONTH(raw[[#This Row],[in]]))</f>
        <v/>
      </c>
      <c r="Q1745" s="1397">
        <f>IF(raw[[#This Row],[in]]=0,0,YEAR(raw[[#This Row],[in]]))</f>
        <v/>
      </c>
      <c r="R1745" s="1397">
        <f>INT(raw[[#This Row],[yr]]/10)*10</f>
        <v/>
      </c>
      <c r="S1745" s="1395">
        <f>IF(raw[[#This Row],[city]]="","-",IF(raw[[#This Row],[city]]&lt;&gt;_xlfn.XLOOKUP(raw[[#This Row],[home]],homes[home],homes[city],"-"),1,0))</f>
        <v/>
      </c>
      <c r="T1745" s="1398" t="inlineStr">
        <is>
          <t>.</t>
        </is>
      </c>
      <c r="U1745" s="1399">
        <f>IF(raw[[#This Row],[wb]]="w",raw[[#This Row],[stay]]+U1744,U1744)</f>
        <v/>
      </c>
      <c r="V1745" s="1400">
        <f>IF(raw[[#This Row],[out]]=0,V1744,(raw[[#This Row],[out]]-E$5))</f>
        <v/>
      </c>
      <c r="W1745" s="1401">
        <f>U1745/V1745</f>
        <v/>
      </c>
      <c r="X1745" s="1392" t="n"/>
      <c r="Y1745" s="1392" t="n"/>
      <c r="Z1745" s="1392" t="n"/>
      <c r="AA1745" s="1392" t="n"/>
      <c r="AB1745" s="1392" t="n"/>
      <c r="AC1745" s="1392" t="n"/>
      <c r="AD1745" s="1392" t="n"/>
      <c r="AE1745" s="1392" t="n"/>
      <c r="AF1745" s="1392" t="n"/>
      <c r="AG1745" s="1392" t="n"/>
      <c r="AH1745" s="1392" t="n"/>
      <c r="AI1745" s="1392" t="n"/>
      <c r="AJ1745" s="1392" t="n"/>
      <c r="AK1745" s="1392" t="n"/>
      <c r="AL1745" s="1392" t="n"/>
      <c r="AM1745" s="1392" t="n"/>
      <c r="AN1745" s="1392" t="n"/>
      <c r="AO1745" s="1392" t="n"/>
      <c r="AP1745" s="1392" t="n"/>
      <c r="AQ1745" s="1392" t="n"/>
      <c r="AR1745" s="1422" t="n"/>
      <c r="AS1745" s="1422" t="n"/>
      <c r="AT1745" s="1392" t="n"/>
      <c r="AU1745" s="1392" t="n"/>
      <c r="AV1745" s="1392" t="n"/>
      <c r="AW1745" s="1392" t="n"/>
      <c r="AX1745" s="1392" t="n"/>
      <c r="AY1745" s="1392" t="n"/>
      <c r="AZ1745" s="1392" t="n"/>
      <c r="BA1745" s="1422" t="n"/>
      <c r="BB1745" s="1422" t="n"/>
      <c r="BC1745" s="1392" t="n"/>
      <c r="BD1745" s="1392" t="n"/>
      <c r="BE1745" s="1392" t="n"/>
      <c r="BF1745" s="1392" t="n"/>
      <c r="BG1745" s="1392" t="n"/>
      <c r="BH1745" s="1392" t="n"/>
      <c r="BI1745" s="1392" t="n"/>
      <c r="BJ1745" s="1392" t="n"/>
      <c r="BK1745" s="1392" t="n"/>
      <c r="BL1745" s="1392" t="n"/>
      <c r="BM1745" s="1392" t="n"/>
      <c r="BN1745" s="1392" t="n"/>
      <c r="BO1745" s="1392" t="n"/>
      <c r="BP1745" s="1392" t="n"/>
      <c r="BQ1745" s="1392" t="n"/>
      <c r="BR1745" s="1392" t="n"/>
      <c r="BS1745" s="1392" t="n"/>
      <c r="BT1745" s="1392" t="n"/>
      <c r="BU1745" s="1392" t="n"/>
      <c r="BV1745" s="1392" t="n"/>
      <c r="BW1745" s="1392" t="n"/>
      <c r="BX1745" s="1392" t="n"/>
      <c r="BY1745" s="1392" t="n"/>
      <c r="BZ1745" s="1392" t="n"/>
      <c r="CA1745" s="1392" t="n"/>
      <c r="CB1745" s="1392" t="n"/>
      <c r="CC1745" s="1392" t="n"/>
      <c r="CD1745" s="1392" t="n"/>
      <c r="CE1745" s="1392" t="n"/>
      <c r="CF1745" s="1392" t="n"/>
      <c r="CG1745" s="1392" t="n"/>
      <c r="CH1745" s="1392" t="n"/>
      <c r="CI1745" s="1392" t="n"/>
      <c r="CJ1745" s="1392" t="n"/>
      <c r="CK1745" s="1392" t="n"/>
      <c r="CL1745" s="1392" t="n"/>
    </row>
    <row r="1746">
      <c r="A1746" s="5" t="inlineStr">
        <is>
          <t>.</t>
        </is>
      </c>
      <c r="B1746" s="5" t="inlineStr">
        <is>
          <t>.</t>
        </is>
      </c>
      <c r="C1746" s="1378">
        <f>IF(raw[[#This Row],[city]]="","-",IF(raw[[#This Row],[city]]="TODAY","-",C1745+1))</f>
        <v/>
      </c>
      <c r="D1746" s="1393" t="inlineStr">
        <is>
          <t>SP</t>
        </is>
      </c>
      <c r="E1746" s="1394" t="n">
        <v>45580</v>
      </c>
      <c r="F1746" s="1394" t="n">
        <v>45580</v>
      </c>
      <c r="G1746" s="1393" t="n">
        <v>1</v>
      </c>
      <c r="H1746" s="1393" t="inlineStr">
        <is>
          <t>Gaspé</t>
        </is>
      </c>
      <c r="I1746" s="1393" t="inlineStr">
        <is>
          <t>-</t>
        </is>
      </c>
      <c r="J1746" s="1393" t="inlineStr">
        <is>
          <t>-</t>
        </is>
      </c>
      <c r="K1746" s="1395">
        <f>IF(raw[[#This Row],[city]]&lt;&gt;"",_xlfn.XLOOKUP($D1746,ccc[city],ccc[prov],"-"),"-")</f>
        <v/>
      </c>
      <c r="L1746" s="1395">
        <f>IF(raw[[#This Row],[city]]&lt;&gt;"",_xlfn.XLOOKUP($D1746,ccc[city],ccc[ctry],"-"),"-")</f>
        <v/>
      </c>
      <c r="M1746" s="1395">
        <f>IF(raw[[#This Row],[city]]&lt;&gt;"",_xlfn.XLOOKUP($D1746,ccc[city],ccc[cont],"-"),"-")</f>
        <v/>
      </c>
      <c r="N1746" s="1396">
        <f>IF(raw[[#This Row],[city]]="","-",IF(raw[[#This Row],[cont]]="B",raw[[#This Row],[cont]],"W"))</f>
        <v/>
      </c>
      <c r="O1746" s="1397">
        <f>IF(raw[[#This Row],[out]]=0,0,IF(raw[[#This Row],[out]]=raw[[#This Row],[in]],0.01,raw[[#This Row],[out]]-raw[[#This Row],[in]]))</f>
        <v/>
      </c>
      <c r="P1746" s="1397">
        <f>IF(raw[[#This Row],[in]]=0,0,MONTH(raw[[#This Row],[in]]))</f>
        <v/>
      </c>
      <c r="Q1746" s="1397">
        <f>IF(raw[[#This Row],[in]]=0,0,YEAR(raw[[#This Row],[in]]))</f>
        <v/>
      </c>
      <c r="R1746" s="1397">
        <f>INT(raw[[#This Row],[yr]]/10)*10</f>
        <v/>
      </c>
      <c r="S1746" s="1395">
        <f>IF(raw[[#This Row],[city]]="","-",IF(raw[[#This Row],[city]]&lt;&gt;_xlfn.XLOOKUP(raw[[#This Row],[home]],homes[home],homes[city],"-"),1,0))</f>
        <v/>
      </c>
      <c r="T1746" s="1398" t="inlineStr">
        <is>
          <t>.</t>
        </is>
      </c>
      <c r="U1746" s="1399">
        <f>IF(raw[[#This Row],[wb]]="w",raw[[#This Row],[stay]]+U1745,U1745)</f>
        <v/>
      </c>
      <c r="V1746" s="1400">
        <f>IF(raw[[#This Row],[out]]=0,V1745,(raw[[#This Row],[out]]-E$5))</f>
        <v/>
      </c>
      <c r="W1746" s="1401">
        <f>U1746/V1746</f>
        <v/>
      </c>
      <c r="X1746" s="1392" t="n"/>
      <c r="Y1746" s="1392" t="n"/>
      <c r="Z1746" s="1392" t="n"/>
      <c r="AA1746" s="1392" t="n"/>
      <c r="AB1746" s="1392" t="n"/>
      <c r="AC1746" s="1392" t="n"/>
      <c r="AD1746" s="1392" t="n"/>
      <c r="AE1746" s="1392" t="n"/>
      <c r="AF1746" s="1392" t="n"/>
      <c r="AG1746" s="1392" t="n"/>
      <c r="AH1746" s="1392" t="n"/>
      <c r="AI1746" s="1392" t="n"/>
      <c r="AJ1746" s="1392" t="n"/>
      <c r="AK1746" s="1392" t="n"/>
      <c r="AL1746" s="1392" t="n"/>
      <c r="AM1746" s="1392" t="n"/>
      <c r="AN1746" s="1392" t="n"/>
      <c r="AO1746" s="1392" t="n"/>
      <c r="AP1746" s="1392" t="n"/>
      <c r="AQ1746" s="1392" t="n"/>
      <c r="AR1746" s="1422" t="n"/>
      <c r="AS1746" s="1422" t="n"/>
      <c r="AT1746" s="1392" t="n"/>
      <c r="AU1746" s="1392" t="n"/>
      <c r="AV1746" s="1392" t="n"/>
      <c r="AW1746" s="1392" t="n"/>
      <c r="AX1746" s="1392" t="n"/>
      <c r="AY1746" s="1392" t="n"/>
      <c r="AZ1746" s="1392" t="n"/>
      <c r="BA1746" s="1422" t="n"/>
      <c r="BB1746" s="1422" t="n"/>
      <c r="BC1746" s="1392" t="n"/>
      <c r="BD1746" s="1392" t="n"/>
      <c r="BE1746" s="1392" t="n"/>
      <c r="BF1746" s="1392" t="n"/>
      <c r="BG1746" s="1392" t="n"/>
      <c r="BH1746" s="1392" t="n"/>
      <c r="BI1746" s="1392" t="n"/>
      <c r="BJ1746" s="1392" t="n"/>
      <c r="BK1746" s="1392" t="n"/>
      <c r="BL1746" s="1392" t="n"/>
      <c r="BM1746" s="1392" t="n"/>
      <c r="BN1746" s="1392" t="n"/>
      <c r="BO1746" s="1392" t="n"/>
      <c r="BP1746" s="1392" t="n"/>
      <c r="BQ1746" s="1392" t="n"/>
      <c r="BR1746" s="1392" t="n"/>
      <c r="BS1746" s="1392" t="n"/>
      <c r="BT1746" s="1392" t="n"/>
      <c r="BU1746" s="1392" t="n"/>
      <c r="BV1746" s="1392" t="n"/>
      <c r="BW1746" s="1392" t="n"/>
      <c r="BX1746" s="1392" t="n"/>
      <c r="BY1746" s="1392" t="n"/>
      <c r="BZ1746" s="1392" t="n"/>
      <c r="CA1746" s="1392" t="n"/>
      <c r="CB1746" s="1392" t="n"/>
      <c r="CC1746" s="1392" t="n"/>
      <c r="CD1746" s="1392" t="n"/>
      <c r="CE1746" s="1392" t="n"/>
      <c r="CF1746" s="1392" t="n"/>
      <c r="CG1746" s="1392" t="n"/>
      <c r="CH1746" s="1392" t="n"/>
      <c r="CI1746" s="1392" t="n"/>
      <c r="CJ1746" s="1392" t="n"/>
      <c r="CK1746" s="1392" t="n"/>
      <c r="CL1746" s="1392" t="n"/>
    </row>
    <row r="1747">
      <c r="A1747" s="5" t="inlineStr">
        <is>
          <t>.</t>
        </is>
      </c>
      <c r="B1747" s="5" t="inlineStr">
        <is>
          <t>.</t>
        </is>
      </c>
      <c r="C1747" s="1378">
        <f>IF(raw[[#This Row],[city]]="","-",IF(raw[[#This Row],[city]]="TODAY","-",C1746+1))</f>
        <v/>
      </c>
      <c r="D1747" s="1393" t="inlineStr">
        <is>
          <t>SSA</t>
        </is>
      </c>
      <c r="E1747" s="1394" t="n">
        <v>45580</v>
      </c>
      <c r="F1747" s="1394" t="n">
        <v>45597</v>
      </c>
      <c r="G1747" s="1393" t="inlineStr">
        <is>
          <t>-</t>
        </is>
      </c>
      <c r="H1747" s="1393" t="inlineStr">
        <is>
          <t>Gaspé</t>
        </is>
      </c>
      <c r="I1747" s="1393" t="inlineStr">
        <is>
          <t>Ondina</t>
        </is>
      </c>
      <c r="J1747" s="1393" t="inlineStr">
        <is>
          <t>-</t>
        </is>
      </c>
      <c r="K1747" s="1395">
        <f>IF(raw[[#This Row],[city]]&lt;&gt;"",_xlfn.XLOOKUP($D1747,ccc[city],ccc[prov],"-"),"-")</f>
        <v/>
      </c>
      <c r="L1747" s="1395">
        <f>IF(raw[[#This Row],[city]]&lt;&gt;"",_xlfn.XLOOKUP($D1747,ccc[city],ccc[ctry],"-"),"-")</f>
        <v/>
      </c>
      <c r="M1747" s="1395">
        <f>IF(raw[[#This Row],[city]]&lt;&gt;"",_xlfn.XLOOKUP($D1747,ccc[city],ccc[cont],"-"),"-")</f>
        <v/>
      </c>
      <c r="N1747" s="1396">
        <f>IF(raw[[#This Row],[city]]="","-",IF(raw[[#This Row],[cont]]="B",raw[[#This Row],[cont]],"W"))</f>
        <v/>
      </c>
      <c r="O1747" s="1397">
        <f>IF(raw[[#This Row],[out]]=0,0,IF(raw[[#This Row],[out]]=raw[[#This Row],[in]],0.01,raw[[#This Row],[out]]-raw[[#This Row],[in]]))</f>
        <v/>
      </c>
      <c r="P1747" s="1397">
        <f>IF(raw[[#This Row],[in]]=0,0,MONTH(raw[[#This Row],[in]]))</f>
        <v/>
      </c>
      <c r="Q1747" s="1397">
        <f>IF(raw[[#This Row],[in]]=0,0,YEAR(raw[[#This Row],[in]]))</f>
        <v/>
      </c>
      <c r="R1747" s="1397">
        <f>INT(raw[[#This Row],[yr]]/10)*10</f>
        <v/>
      </c>
      <c r="S1747" s="1395">
        <f>IF(raw[[#This Row],[city]]="","-",IF(raw[[#This Row],[city]]&lt;&gt;_xlfn.XLOOKUP(raw[[#This Row],[home]],homes[home],homes[city],"-"),1,0))</f>
        <v/>
      </c>
      <c r="T1747" s="1398" t="inlineStr">
        <is>
          <t>.</t>
        </is>
      </c>
      <c r="U1747" s="1399">
        <f>IF(raw[[#This Row],[wb]]="w",raw[[#This Row],[stay]]+U1746,U1746)</f>
        <v/>
      </c>
      <c r="V1747" s="1400">
        <f>IF(raw[[#This Row],[out]]=0,V1746,(raw[[#This Row],[out]]-E$5))</f>
        <v/>
      </c>
      <c r="W1747" s="1401">
        <f>U1747/V1747</f>
        <v/>
      </c>
      <c r="X1747" s="1392" t="n"/>
      <c r="Y1747" s="1392" t="n"/>
      <c r="Z1747" s="1392" t="n"/>
      <c r="AA1747" s="1392" t="n"/>
      <c r="AB1747" s="1392" t="n"/>
      <c r="AC1747" s="1392" t="n"/>
      <c r="AD1747" s="1392" t="n"/>
      <c r="AE1747" s="1392" t="n"/>
      <c r="AF1747" s="1392" t="n"/>
      <c r="AG1747" s="1392" t="n"/>
      <c r="AH1747" s="1392" t="n"/>
      <c r="AI1747" s="1392" t="n"/>
      <c r="AJ1747" s="1392" t="n"/>
      <c r="AK1747" s="1392" t="n"/>
      <c r="AL1747" s="1392" t="n"/>
      <c r="AM1747" s="1392" t="n"/>
      <c r="AN1747" s="1392" t="n"/>
      <c r="AO1747" s="1392" t="n"/>
      <c r="AP1747" s="1392" t="n"/>
      <c r="AQ1747" s="1392" t="n"/>
      <c r="AR1747" s="1422" t="n"/>
      <c r="AS1747" s="1422" t="n"/>
      <c r="AT1747" s="1392" t="n"/>
      <c r="AU1747" s="1392" t="n"/>
      <c r="AV1747" s="1392" t="n"/>
      <c r="AW1747" s="1392" t="n"/>
      <c r="AX1747" s="1392" t="n"/>
      <c r="AY1747" s="1392" t="n"/>
      <c r="AZ1747" s="1392" t="n"/>
      <c r="BA1747" s="1422" t="n"/>
      <c r="BB1747" s="1422" t="n"/>
      <c r="BC1747" s="1392" t="n"/>
      <c r="BD1747" s="1392" t="n"/>
      <c r="BE1747" s="1392" t="n"/>
      <c r="BF1747" s="1392" t="n"/>
      <c r="BG1747" s="1392" t="n"/>
      <c r="BH1747" s="1392" t="n"/>
      <c r="BI1747" s="1392" t="n"/>
      <c r="BJ1747" s="1392" t="n"/>
      <c r="BK1747" s="1392" t="n"/>
      <c r="BL1747" s="1392" t="n"/>
      <c r="BM1747" s="1392" t="n"/>
      <c r="BN1747" s="1392" t="n"/>
      <c r="BO1747" s="1392" t="n"/>
      <c r="BP1747" s="1392" t="n"/>
      <c r="BQ1747" s="1392" t="n"/>
      <c r="BR1747" s="1392" t="n"/>
      <c r="BS1747" s="1392" t="n"/>
      <c r="BT1747" s="1392" t="n"/>
      <c r="BU1747" s="1392" t="n"/>
      <c r="BV1747" s="1392" t="n"/>
      <c r="BW1747" s="1392" t="n"/>
      <c r="BX1747" s="1392" t="n"/>
      <c r="BY1747" s="1392" t="n"/>
      <c r="BZ1747" s="1392" t="n"/>
      <c r="CA1747" s="1392" t="n"/>
      <c r="CB1747" s="1392" t="n"/>
      <c r="CC1747" s="1392" t="n"/>
      <c r="CD1747" s="1392" t="n"/>
      <c r="CE1747" s="1392" t="n"/>
      <c r="CF1747" s="1392" t="n"/>
      <c r="CG1747" s="1392" t="n"/>
      <c r="CH1747" s="1392" t="n"/>
      <c r="CI1747" s="1392" t="n"/>
      <c r="CJ1747" s="1392" t="n"/>
      <c r="CK1747" s="1392" t="n"/>
      <c r="CL1747" s="1392" t="n"/>
    </row>
    <row r="1748">
      <c r="A1748" s="5" t="inlineStr">
        <is>
          <t>.</t>
        </is>
      </c>
      <c r="B1748" s="5" t="inlineStr">
        <is>
          <t>.</t>
        </is>
      </c>
      <c r="C1748" s="1378">
        <f>IF(raw[[#This Row],[city]]="","-",IF(raw[[#This Row],[city]]="TODAY","-",C1747+1))</f>
        <v/>
      </c>
      <c r="D1748" s="1393" t="inlineStr">
        <is>
          <t>SSA</t>
        </is>
      </c>
      <c r="E1748" s="1394" t="n">
        <v>45597</v>
      </c>
      <c r="F1748" s="1394" t="n">
        <v>45598</v>
      </c>
      <c r="G1748" s="1393" t="n">
        <v>1</v>
      </c>
      <c r="H1748" s="1393" t="inlineStr">
        <is>
          <t>Gaspé</t>
        </is>
      </c>
      <c r="I1748" s="1393" t="inlineStr">
        <is>
          <t>Ondina</t>
        </is>
      </c>
      <c r="J1748" s="1393" t="inlineStr">
        <is>
          <t>-</t>
        </is>
      </c>
      <c r="K1748" s="1395">
        <f>IF(raw[[#This Row],[city]]&lt;&gt;"",_xlfn.XLOOKUP($D1748,ccc[city],ccc[prov],"-"),"-")</f>
        <v/>
      </c>
      <c r="L1748" s="1395">
        <f>IF(raw[[#This Row],[city]]&lt;&gt;"",_xlfn.XLOOKUP($D1748,ccc[city],ccc[ctry],"-"),"-")</f>
        <v/>
      </c>
      <c r="M1748" s="1395">
        <f>IF(raw[[#This Row],[city]]&lt;&gt;"",_xlfn.XLOOKUP($D1748,ccc[city],ccc[cont],"-"),"-")</f>
        <v/>
      </c>
      <c r="N1748" s="1396">
        <f>IF(raw[[#This Row],[city]]="","-",IF(raw[[#This Row],[cont]]="B",raw[[#This Row],[cont]],"W"))</f>
        <v/>
      </c>
      <c r="O1748" s="1397">
        <f>IF(raw[[#This Row],[out]]=0,0,IF(raw[[#This Row],[out]]=raw[[#This Row],[in]],0.01,raw[[#This Row],[out]]-raw[[#This Row],[in]]))</f>
        <v/>
      </c>
      <c r="P1748" s="1397">
        <f>IF(raw[[#This Row],[in]]=0,0,MONTH(raw[[#This Row],[in]]))</f>
        <v/>
      </c>
      <c r="Q1748" s="1397">
        <f>IF(raw[[#This Row],[in]]=0,0,YEAR(raw[[#This Row],[in]]))</f>
        <v/>
      </c>
      <c r="R1748" s="1397">
        <f>INT(raw[[#This Row],[yr]]/10)*10</f>
        <v/>
      </c>
      <c r="S1748" s="1395">
        <f>IF(raw[[#This Row],[city]]="","-",IF(raw[[#This Row],[city]]&lt;&gt;_xlfn.XLOOKUP(raw[[#This Row],[home]],homes[home],homes[city],"-"),1,0))</f>
        <v/>
      </c>
      <c r="T1748" s="1398" t="inlineStr">
        <is>
          <t>.</t>
        </is>
      </c>
      <c r="U1748" s="1399">
        <f>IF(raw[[#This Row],[wb]]="w",raw[[#This Row],[stay]]+U1747,U1747)</f>
        <v/>
      </c>
      <c r="V1748" s="1400">
        <f>IF(raw[[#This Row],[out]]=0,V1747,(raw[[#This Row],[out]]-E$5))</f>
        <v/>
      </c>
      <c r="W1748" s="1401">
        <f>U1748/V1748</f>
        <v/>
      </c>
      <c r="X1748" s="1392" t="n"/>
      <c r="Y1748" s="1392" t="n"/>
      <c r="Z1748" s="1392" t="n"/>
      <c r="AA1748" s="1392" t="n"/>
      <c r="AB1748" s="1392" t="n"/>
      <c r="AC1748" s="1392" t="n"/>
      <c r="AD1748" s="1392" t="n"/>
      <c r="AE1748" s="1392" t="n"/>
      <c r="AF1748" s="1392" t="n"/>
      <c r="AG1748" s="1392" t="n"/>
      <c r="AH1748" s="1392" t="n"/>
      <c r="AI1748" s="1392" t="n"/>
      <c r="AJ1748" s="1392" t="n"/>
      <c r="AK1748" s="1392" t="n"/>
      <c r="AL1748" s="1392" t="n"/>
      <c r="AM1748" s="1392" t="n"/>
      <c r="AN1748" s="1392" t="n"/>
      <c r="AO1748" s="1392" t="n"/>
      <c r="AP1748" s="1392" t="n"/>
      <c r="AQ1748" s="1392" t="n"/>
      <c r="AR1748" s="1422" t="n"/>
      <c r="AS1748" s="1422" t="n"/>
      <c r="AT1748" s="1392" t="n"/>
      <c r="AU1748" s="1392" t="n"/>
      <c r="AV1748" s="1392" t="n"/>
      <c r="AW1748" s="1392" t="n"/>
      <c r="AX1748" s="1392" t="n"/>
      <c r="AY1748" s="1392" t="n"/>
      <c r="AZ1748" s="1392" t="n"/>
      <c r="BA1748" s="1422" t="n"/>
      <c r="BB1748" s="1422" t="n"/>
      <c r="BC1748" s="1392" t="n"/>
      <c r="BD1748" s="1392" t="n"/>
      <c r="BE1748" s="1392" t="n"/>
      <c r="BF1748" s="1392" t="n"/>
      <c r="BG1748" s="1392" t="n"/>
      <c r="BH1748" s="1392" t="n"/>
      <c r="BI1748" s="1392" t="n"/>
      <c r="BJ1748" s="1392" t="n"/>
      <c r="BK1748" s="1392" t="n"/>
      <c r="BL1748" s="1392" t="n"/>
      <c r="BM1748" s="1392" t="n"/>
      <c r="BN1748" s="1392" t="n"/>
      <c r="BO1748" s="1392" t="n"/>
      <c r="BP1748" s="1392" t="n"/>
      <c r="BQ1748" s="1392" t="n"/>
      <c r="BR1748" s="1392" t="n"/>
      <c r="BS1748" s="1392" t="n"/>
      <c r="BT1748" s="1392" t="n"/>
      <c r="BU1748" s="1392" t="n"/>
      <c r="BV1748" s="1392" t="n"/>
      <c r="BW1748" s="1392" t="n"/>
      <c r="BX1748" s="1392" t="n"/>
      <c r="BY1748" s="1392" t="n"/>
      <c r="BZ1748" s="1392" t="n"/>
      <c r="CA1748" s="1392" t="n"/>
      <c r="CB1748" s="1392" t="n"/>
      <c r="CC1748" s="1392" t="n"/>
      <c r="CD1748" s="1392" t="n"/>
      <c r="CE1748" s="1392" t="n"/>
      <c r="CF1748" s="1392" t="n"/>
      <c r="CG1748" s="1392" t="n"/>
      <c r="CH1748" s="1392" t="n"/>
      <c r="CI1748" s="1392" t="n"/>
      <c r="CJ1748" s="1392" t="n"/>
      <c r="CK1748" s="1392" t="n"/>
      <c r="CL1748" s="1392" t="n"/>
    </row>
    <row r="1749">
      <c r="A1749" s="5" t="inlineStr">
        <is>
          <t>.</t>
        </is>
      </c>
      <c r="B1749" s="5" t="inlineStr">
        <is>
          <t>.</t>
        </is>
      </c>
      <c r="C1749" s="1378">
        <f>IF(raw[[#This Row],[city]]="","-",IF(raw[[#This Row],[city]]="TODAY","-",C1748+1))</f>
        <v/>
      </c>
      <c r="D1749" s="1393" t="inlineStr">
        <is>
          <t>SP</t>
        </is>
      </c>
      <c r="E1749" s="1394" t="n">
        <v>45598</v>
      </c>
      <c r="F1749" s="1394" t="n">
        <v>45598</v>
      </c>
      <c r="G1749" s="1393" t="n">
        <v>1</v>
      </c>
      <c r="H1749" s="1393" t="inlineStr">
        <is>
          <t>Gaspé</t>
        </is>
      </c>
      <c r="I1749" s="1393" t="inlineStr">
        <is>
          <t>-</t>
        </is>
      </c>
      <c r="J1749" s="1393" t="inlineStr">
        <is>
          <t>-</t>
        </is>
      </c>
      <c r="K1749" s="1395">
        <f>IF(raw[[#This Row],[city]]&lt;&gt;"",_xlfn.XLOOKUP($D1749,ccc[city],ccc[prov],"-"),"-")</f>
        <v/>
      </c>
      <c r="L1749" s="1395">
        <f>IF(raw[[#This Row],[city]]&lt;&gt;"",_xlfn.XLOOKUP($D1749,ccc[city],ccc[ctry],"-"),"-")</f>
        <v/>
      </c>
      <c r="M1749" s="1395">
        <f>IF(raw[[#This Row],[city]]&lt;&gt;"",_xlfn.XLOOKUP($D1749,ccc[city],ccc[cont],"-"),"-")</f>
        <v/>
      </c>
      <c r="N1749" s="1396">
        <f>IF(raw[[#This Row],[city]]="","-",IF(raw[[#This Row],[cont]]="B",raw[[#This Row],[cont]],"W"))</f>
        <v/>
      </c>
      <c r="O1749" s="1397">
        <f>IF(raw[[#This Row],[out]]=0,0,IF(raw[[#This Row],[out]]=raw[[#This Row],[in]],0.01,raw[[#This Row],[out]]-raw[[#This Row],[in]]))</f>
        <v/>
      </c>
      <c r="P1749" s="1397">
        <f>IF(raw[[#This Row],[in]]=0,0,MONTH(raw[[#This Row],[in]]))</f>
        <v/>
      </c>
      <c r="Q1749" s="1397">
        <f>IF(raw[[#This Row],[in]]=0,0,YEAR(raw[[#This Row],[in]]))</f>
        <v/>
      </c>
      <c r="R1749" s="1397">
        <f>INT(raw[[#This Row],[yr]]/10)*10</f>
        <v/>
      </c>
      <c r="S1749" s="1395">
        <f>IF(raw[[#This Row],[city]]="","-",IF(raw[[#This Row],[city]]&lt;&gt;_xlfn.XLOOKUP(raw[[#This Row],[home]],homes[home],homes[city],"-"),1,0))</f>
        <v/>
      </c>
      <c r="T1749" s="1398" t="inlineStr">
        <is>
          <t>.</t>
        </is>
      </c>
      <c r="U1749" s="1399">
        <f>IF(raw[[#This Row],[wb]]="w",raw[[#This Row],[stay]]+U1748,U1748)</f>
        <v/>
      </c>
      <c r="V1749" s="1400">
        <f>IF(raw[[#This Row],[out]]=0,V1748,(raw[[#This Row],[out]]-E$5))</f>
        <v/>
      </c>
      <c r="W1749" s="1401">
        <f>U1749/V1749</f>
        <v/>
      </c>
      <c r="X1749" s="1392" t="n"/>
      <c r="Y1749" s="1392" t="n"/>
      <c r="Z1749" s="1392" t="n"/>
      <c r="AA1749" s="1392" t="n"/>
      <c r="AB1749" s="1392" t="n"/>
      <c r="AC1749" s="1392" t="n"/>
      <c r="AD1749" s="1392" t="n"/>
      <c r="AE1749" s="1392" t="n"/>
      <c r="AF1749" s="1392" t="n"/>
      <c r="AG1749" s="1392" t="n"/>
      <c r="AH1749" s="1392" t="n"/>
      <c r="AI1749" s="1392" t="n"/>
      <c r="AJ1749" s="1392" t="n"/>
      <c r="AK1749" s="1392" t="n"/>
      <c r="AL1749" s="1392" t="n"/>
      <c r="AM1749" s="1392" t="n"/>
      <c r="AN1749" s="1392" t="n"/>
      <c r="AO1749" s="1392" t="n"/>
      <c r="AP1749" s="1392" t="n"/>
      <c r="AQ1749" s="1392" t="n"/>
      <c r="AR1749" s="1422" t="n"/>
      <c r="AS1749" s="1422" t="n"/>
      <c r="AT1749" s="1392" t="n"/>
      <c r="AU1749" s="1392" t="n"/>
      <c r="AV1749" s="1392" t="n"/>
      <c r="AW1749" s="1392" t="n"/>
      <c r="AX1749" s="1392" t="n"/>
      <c r="AY1749" s="1392" t="n"/>
      <c r="AZ1749" s="1392" t="n"/>
      <c r="BA1749" s="1422" t="n"/>
      <c r="BB1749" s="1422" t="n"/>
      <c r="BC1749" s="1392" t="n"/>
      <c r="BD1749" s="1392" t="n"/>
      <c r="BE1749" s="1392" t="n"/>
      <c r="BF1749" s="1392" t="n"/>
      <c r="BG1749" s="1392" t="n"/>
      <c r="BH1749" s="1392" t="n"/>
      <c r="BI1749" s="1392" t="n"/>
      <c r="BJ1749" s="1392" t="n"/>
      <c r="BK1749" s="1392" t="n"/>
      <c r="BL1749" s="1392" t="n"/>
      <c r="BM1749" s="1392" t="n"/>
      <c r="BN1749" s="1392" t="n"/>
      <c r="BO1749" s="1392" t="n"/>
      <c r="BP1749" s="1392" t="n"/>
      <c r="BQ1749" s="1392" t="n"/>
      <c r="BR1749" s="1392" t="n"/>
      <c r="BS1749" s="1392" t="n"/>
      <c r="BT1749" s="1392" t="n"/>
      <c r="BU1749" s="1392" t="n"/>
      <c r="BV1749" s="1392" t="n"/>
      <c r="BW1749" s="1392" t="n"/>
      <c r="BX1749" s="1392" t="n"/>
      <c r="BY1749" s="1392" t="n"/>
      <c r="BZ1749" s="1392" t="n"/>
      <c r="CA1749" s="1392" t="n"/>
      <c r="CB1749" s="1392" t="n"/>
      <c r="CC1749" s="1392" t="n"/>
      <c r="CD1749" s="1392" t="n"/>
      <c r="CE1749" s="1392" t="n"/>
      <c r="CF1749" s="1392" t="n"/>
      <c r="CG1749" s="1392" t="n"/>
      <c r="CH1749" s="1392" t="n"/>
      <c r="CI1749" s="1392" t="n"/>
      <c r="CJ1749" s="1392" t="n"/>
      <c r="CK1749" s="1392" t="n"/>
      <c r="CL1749" s="1392" t="n"/>
    </row>
    <row r="1750">
      <c r="A1750" s="5" t="inlineStr">
        <is>
          <t>.</t>
        </is>
      </c>
      <c r="B1750" s="5" t="inlineStr">
        <is>
          <t>.</t>
        </is>
      </c>
      <c r="C1750" s="1378">
        <f>IF(raw[[#This Row],[city]]="","-",IF(raw[[#This Row],[city]]="TODAY","-",C1749+1))</f>
        <v/>
      </c>
      <c r="D1750" s="1393" t="inlineStr">
        <is>
          <t>AIR</t>
        </is>
      </c>
      <c r="E1750" s="1394" t="n">
        <v>45598</v>
      </c>
      <c r="F1750" s="1394" t="n">
        <v>45599</v>
      </c>
      <c r="G1750" s="1393" t="inlineStr">
        <is>
          <t>x</t>
        </is>
      </c>
      <c r="H1750" s="1393" t="inlineStr">
        <is>
          <t>Gaspé</t>
        </is>
      </c>
      <c r="I1750" s="1393" t="inlineStr">
        <is>
          <t>-</t>
        </is>
      </c>
      <c r="J1750" s="1393" t="inlineStr">
        <is>
          <t>-</t>
        </is>
      </c>
      <c r="K1750" s="1395">
        <f>IF(raw[[#This Row],[city]]&lt;&gt;"",_xlfn.XLOOKUP($D1750,ccc[city],ccc[prov],"-"),"-")</f>
        <v/>
      </c>
      <c r="L1750" s="1395">
        <f>IF(raw[[#This Row],[city]]&lt;&gt;"",_xlfn.XLOOKUP($D1750,ccc[city],ccc[ctry],"-"),"-")</f>
        <v/>
      </c>
      <c r="M1750" s="1395">
        <f>IF(raw[[#This Row],[city]]&lt;&gt;"",_xlfn.XLOOKUP($D1750,ccc[city],ccc[cont],"-"),"-")</f>
        <v/>
      </c>
      <c r="N1750" s="1396">
        <f>IF(raw[[#This Row],[city]]="","-",IF(raw[[#This Row],[cont]]="B",raw[[#This Row],[cont]],"W"))</f>
        <v/>
      </c>
      <c r="O1750" s="1397">
        <f>IF(raw[[#This Row],[out]]=0,0,IF(raw[[#This Row],[out]]=raw[[#This Row],[in]],0.01,raw[[#This Row],[out]]-raw[[#This Row],[in]]))</f>
        <v/>
      </c>
      <c r="P1750" s="1397">
        <f>IF(raw[[#This Row],[in]]=0,0,MONTH(raw[[#This Row],[in]]))</f>
        <v/>
      </c>
      <c r="Q1750" s="1397">
        <f>IF(raw[[#This Row],[in]]=0,0,YEAR(raw[[#This Row],[in]]))</f>
        <v/>
      </c>
      <c r="R1750" s="1397">
        <f>INT(raw[[#This Row],[yr]]/10)*10</f>
        <v/>
      </c>
      <c r="S1750" s="1395">
        <f>IF(raw[[#This Row],[city]]="","-",IF(raw[[#This Row],[city]]&lt;&gt;_xlfn.XLOOKUP(raw[[#This Row],[home]],homes[home],homes[city],"-"),1,0))</f>
        <v/>
      </c>
      <c r="T1750" s="1398" t="inlineStr">
        <is>
          <t>.</t>
        </is>
      </c>
      <c r="U1750" s="1399">
        <f>IF(raw[[#This Row],[wb]]="w",raw[[#This Row],[stay]]+U1749,U1749)</f>
        <v/>
      </c>
      <c r="V1750" s="1400">
        <f>IF(raw[[#This Row],[out]]=0,V1749,(raw[[#This Row],[out]]-E$5))</f>
        <v/>
      </c>
      <c r="W1750" s="1401">
        <f>U1750/V1750</f>
        <v/>
      </c>
      <c r="X1750" s="1392" t="n"/>
      <c r="Y1750" s="1392" t="n"/>
      <c r="Z1750" s="1392" t="n"/>
      <c r="AA1750" s="1392" t="n"/>
      <c r="AB1750" s="1392" t="n"/>
      <c r="AC1750" s="1392" t="n"/>
      <c r="AD1750" s="1392" t="n"/>
      <c r="AE1750" s="1392" t="n"/>
      <c r="AF1750" s="1392" t="n"/>
      <c r="AG1750" s="1392" t="n"/>
      <c r="AH1750" s="1392" t="n"/>
      <c r="AI1750" s="1392" t="n"/>
      <c r="AJ1750" s="1392" t="n"/>
      <c r="AK1750" s="1392" t="n"/>
      <c r="AL1750" s="1392" t="n"/>
      <c r="AM1750" s="1392" t="n"/>
      <c r="AN1750" s="1392" t="n"/>
      <c r="AO1750" s="1392" t="n"/>
      <c r="AP1750" s="1392" t="n"/>
      <c r="AQ1750" s="1392" t="n"/>
      <c r="AR1750" s="1422" t="n"/>
      <c r="AS1750" s="1422" t="n"/>
      <c r="AT1750" s="1392" t="n"/>
      <c r="AU1750" s="1392" t="n"/>
      <c r="AV1750" s="1392" t="n"/>
      <c r="AW1750" s="1392" t="n"/>
      <c r="AX1750" s="1392" t="n"/>
      <c r="AY1750" s="1392" t="n"/>
      <c r="AZ1750" s="1392" t="n"/>
      <c r="BA1750" s="1422" t="n"/>
      <c r="BB1750" s="1422" t="n"/>
      <c r="BC1750" s="1392" t="n"/>
      <c r="BD1750" s="1392" t="n"/>
      <c r="BE1750" s="1392" t="n"/>
      <c r="BF1750" s="1392" t="n"/>
      <c r="BG1750" s="1392" t="n"/>
      <c r="BH1750" s="1392" t="n"/>
      <c r="BI1750" s="1392" t="n"/>
      <c r="BJ1750" s="1392" t="n"/>
      <c r="BK1750" s="1392" t="n"/>
      <c r="BL1750" s="1392" t="n"/>
      <c r="BM1750" s="1392" t="n"/>
      <c r="BN1750" s="1392" t="n"/>
      <c r="BO1750" s="1392" t="n"/>
      <c r="BP1750" s="1392" t="n"/>
      <c r="BQ1750" s="1392" t="n"/>
      <c r="BR1750" s="1392" t="n"/>
      <c r="BS1750" s="1392" t="n"/>
      <c r="BT1750" s="1392" t="n"/>
      <c r="BU1750" s="1392" t="n"/>
      <c r="BV1750" s="1392" t="n"/>
      <c r="BW1750" s="1392" t="n"/>
      <c r="BX1750" s="1392" t="n"/>
      <c r="BY1750" s="1392" t="n"/>
      <c r="BZ1750" s="1392" t="n"/>
      <c r="CA1750" s="1392" t="n"/>
      <c r="CB1750" s="1392" t="n"/>
      <c r="CC1750" s="1392" t="n"/>
      <c r="CD1750" s="1392" t="n"/>
      <c r="CE1750" s="1392" t="n"/>
      <c r="CF1750" s="1392" t="n"/>
      <c r="CG1750" s="1392" t="n"/>
      <c r="CH1750" s="1392" t="n"/>
      <c r="CI1750" s="1392" t="n"/>
      <c r="CJ1750" s="1392" t="n"/>
      <c r="CK1750" s="1392" t="n"/>
      <c r="CL1750" s="1392" t="n"/>
    </row>
    <row r="1751">
      <c r="A1751" s="5" t="inlineStr">
        <is>
          <t>.</t>
        </is>
      </c>
      <c r="B1751" s="5" t="inlineStr">
        <is>
          <t>.</t>
        </is>
      </c>
      <c r="C1751" s="1378">
        <f>IF(raw[[#This Row],[city]]="","-",IF(raw[[#This Row],[city]]="TODAY","-",C1750+1))</f>
        <v/>
      </c>
      <c r="D1751" s="1393" t="inlineStr">
        <is>
          <t>Washington</t>
        </is>
      </c>
      <c r="E1751" s="1394" t="n">
        <v>45599</v>
      </c>
      <c r="F1751" s="1394" t="n">
        <v>45599</v>
      </c>
      <c r="G1751" s="1393" t="n">
        <v>1</v>
      </c>
      <c r="H1751" s="1393" t="inlineStr">
        <is>
          <t>Gaspé</t>
        </is>
      </c>
      <c r="I1751" s="1393" t="inlineStr">
        <is>
          <t>-</t>
        </is>
      </c>
      <c r="J1751" s="1393" t="inlineStr">
        <is>
          <t>-</t>
        </is>
      </c>
      <c r="K1751" s="1395">
        <f>IF(raw[[#This Row],[city]]&lt;&gt;"",_xlfn.XLOOKUP($D1751,ccc[city],ccc[prov],"-"),"-")</f>
        <v/>
      </c>
      <c r="L1751" s="1395">
        <f>IF(raw[[#This Row],[city]]&lt;&gt;"",_xlfn.XLOOKUP($D1751,ccc[city],ccc[ctry],"-"),"-")</f>
        <v/>
      </c>
      <c r="M1751" s="1395">
        <f>IF(raw[[#This Row],[city]]&lt;&gt;"",_xlfn.XLOOKUP($D1751,ccc[city],ccc[cont],"-"),"-")</f>
        <v/>
      </c>
      <c r="N1751" s="1396">
        <f>IF(raw[[#This Row],[city]]="","-",IF(raw[[#This Row],[cont]]="B",raw[[#This Row],[cont]],"W"))</f>
        <v/>
      </c>
      <c r="O1751" s="1397">
        <f>IF(raw[[#This Row],[out]]=0,0,IF(raw[[#This Row],[out]]=raw[[#This Row],[in]],0.01,raw[[#This Row],[out]]-raw[[#This Row],[in]]))</f>
        <v/>
      </c>
      <c r="P1751" s="1397">
        <f>IF(raw[[#This Row],[in]]=0,0,MONTH(raw[[#This Row],[in]]))</f>
        <v/>
      </c>
      <c r="Q1751" s="1397">
        <f>IF(raw[[#This Row],[in]]=0,0,YEAR(raw[[#This Row],[in]]))</f>
        <v/>
      </c>
      <c r="R1751" s="1397">
        <f>INT(raw[[#This Row],[yr]]/10)*10</f>
        <v/>
      </c>
      <c r="S1751" s="1395">
        <f>IF(raw[[#This Row],[city]]="","-",IF(raw[[#This Row],[city]]&lt;&gt;_xlfn.XLOOKUP(raw[[#This Row],[home]],homes[home],homes[city],"-"),1,0))</f>
        <v/>
      </c>
      <c r="T1751" s="1398" t="inlineStr">
        <is>
          <t>.</t>
        </is>
      </c>
      <c r="U1751" s="1399">
        <f>IF(raw[[#This Row],[wb]]="w",raw[[#This Row],[stay]]+U1750,U1750)</f>
        <v/>
      </c>
      <c r="V1751" s="1400">
        <f>IF(raw[[#This Row],[out]]=0,V1750,(raw[[#This Row],[out]]-E$5))</f>
        <v/>
      </c>
      <c r="W1751" s="1401">
        <f>U1751/V1751</f>
        <v/>
      </c>
      <c r="X1751" s="1392" t="n"/>
      <c r="Y1751" s="1392" t="n"/>
      <c r="Z1751" s="1392" t="n"/>
      <c r="AA1751" s="1392" t="n"/>
      <c r="AB1751" s="1392" t="n"/>
      <c r="AC1751" s="1392" t="n"/>
      <c r="AD1751" s="1392" t="n"/>
      <c r="AE1751" s="1392" t="n"/>
      <c r="AF1751" s="1392" t="n"/>
      <c r="AG1751" s="1392" t="n"/>
      <c r="AH1751" s="1392" t="n"/>
      <c r="AI1751" s="1392" t="n"/>
      <c r="AJ1751" s="1392" t="n"/>
      <c r="AK1751" s="1392" t="n"/>
      <c r="AL1751" s="1392" t="n"/>
      <c r="AM1751" s="1392" t="n"/>
      <c r="AN1751" s="1392" t="n"/>
      <c r="AO1751" s="1392" t="n"/>
      <c r="AP1751" s="1392" t="n"/>
      <c r="AQ1751" s="1392" t="n"/>
      <c r="AR1751" s="1422" t="n"/>
      <c r="AS1751" s="1422" t="n"/>
      <c r="AT1751" s="1392" t="n"/>
      <c r="AU1751" s="1392" t="n"/>
      <c r="AV1751" s="1392" t="n"/>
      <c r="AW1751" s="1392" t="n"/>
      <c r="AX1751" s="1392" t="n"/>
      <c r="AY1751" s="1392" t="n"/>
      <c r="AZ1751" s="1392" t="n"/>
      <c r="BA1751" s="1422" t="n"/>
      <c r="BB1751" s="1422" t="n"/>
      <c r="BC1751" s="1392" t="n"/>
      <c r="BD1751" s="1392" t="n"/>
      <c r="BE1751" s="1392" t="n"/>
      <c r="BF1751" s="1392" t="n"/>
      <c r="BG1751" s="1392" t="n"/>
      <c r="BH1751" s="1392" t="n"/>
      <c r="BI1751" s="1392" t="n"/>
      <c r="BJ1751" s="1392" t="n"/>
      <c r="BK1751" s="1392" t="n"/>
      <c r="BL1751" s="1392" t="n"/>
      <c r="BM1751" s="1392" t="n"/>
      <c r="BN1751" s="1392" t="n"/>
      <c r="BO1751" s="1392" t="n"/>
      <c r="BP1751" s="1392" t="n"/>
      <c r="BQ1751" s="1392" t="n"/>
      <c r="BR1751" s="1392" t="n"/>
      <c r="BS1751" s="1392" t="n"/>
      <c r="BT1751" s="1392" t="n"/>
      <c r="BU1751" s="1392" t="n"/>
      <c r="BV1751" s="1392" t="n"/>
      <c r="BW1751" s="1392" t="n"/>
      <c r="BX1751" s="1392" t="n"/>
      <c r="BY1751" s="1392" t="n"/>
      <c r="BZ1751" s="1392" t="n"/>
      <c r="CA1751" s="1392" t="n"/>
      <c r="CB1751" s="1392" t="n"/>
      <c r="CC1751" s="1392" t="n"/>
      <c r="CD1751" s="1392" t="n"/>
      <c r="CE1751" s="1392" t="n"/>
      <c r="CF1751" s="1392" t="n"/>
      <c r="CG1751" s="1392" t="n"/>
      <c r="CH1751" s="1392" t="n"/>
      <c r="CI1751" s="1392" t="n"/>
      <c r="CJ1751" s="1392" t="n"/>
      <c r="CK1751" s="1392" t="n"/>
      <c r="CL1751" s="1392" t="n"/>
    </row>
    <row r="1752">
      <c r="A1752" s="5" t="inlineStr">
        <is>
          <t>.</t>
        </is>
      </c>
      <c r="B1752" s="5" t="inlineStr">
        <is>
          <t>.</t>
        </is>
      </c>
      <c r="C1752" s="1378">
        <f>IF(raw[[#This Row],[city]]="","-",IF(raw[[#This Row],[city]]="TODAY","-",C1751+1))</f>
        <v/>
      </c>
      <c r="D1752" s="1393" t="inlineStr">
        <is>
          <t>Montreal</t>
        </is>
      </c>
      <c r="E1752" s="1394" t="n">
        <v>45599</v>
      </c>
      <c r="F1752" s="1394" t="n">
        <v>45627</v>
      </c>
      <c r="G1752" s="1393" t="inlineStr">
        <is>
          <t>-</t>
        </is>
      </c>
      <c r="H1752" s="1393" t="inlineStr">
        <is>
          <t>Gaspé</t>
        </is>
      </c>
      <c r="I1752" s="1393" t="inlineStr">
        <is>
          <t>-</t>
        </is>
      </c>
      <c r="J1752" s="1393" t="inlineStr">
        <is>
          <t>-</t>
        </is>
      </c>
      <c r="K1752" s="1395">
        <f>IF(raw[[#This Row],[city]]&lt;&gt;"",_xlfn.XLOOKUP($D1752,ccc[city],ccc[prov],"-"),"-")</f>
        <v/>
      </c>
      <c r="L1752" s="1395">
        <f>IF(raw[[#This Row],[city]]&lt;&gt;"",_xlfn.XLOOKUP($D1752,ccc[city],ccc[ctry],"-"),"-")</f>
        <v/>
      </c>
      <c r="M1752" s="1395">
        <f>IF(raw[[#This Row],[city]]&lt;&gt;"",_xlfn.XLOOKUP($D1752,ccc[city],ccc[cont],"-"),"-")</f>
        <v/>
      </c>
      <c r="N1752" s="1396">
        <f>IF(raw[[#This Row],[city]]="","-",IF(raw[[#This Row],[cont]]="B",raw[[#This Row],[cont]],"W"))</f>
        <v/>
      </c>
      <c r="O1752" s="1397">
        <f>IF(raw[[#This Row],[out]]=0,0,IF(raw[[#This Row],[out]]=raw[[#This Row],[in]],0.01,raw[[#This Row],[out]]-raw[[#This Row],[in]]))</f>
        <v/>
      </c>
      <c r="P1752" s="1397">
        <f>IF(raw[[#This Row],[in]]=0,0,MONTH(raw[[#This Row],[in]]))</f>
        <v/>
      </c>
      <c r="Q1752" s="1397">
        <f>IF(raw[[#This Row],[in]]=0,0,YEAR(raw[[#This Row],[in]]))</f>
        <v/>
      </c>
      <c r="R1752" s="1397">
        <f>INT(raw[[#This Row],[yr]]/10)*10</f>
        <v/>
      </c>
      <c r="S1752" s="1395">
        <f>IF(raw[[#This Row],[city]]="","-",IF(raw[[#This Row],[city]]&lt;&gt;_xlfn.XLOOKUP(raw[[#This Row],[home]],homes[home],homes[city],"-"),1,0))</f>
        <v/>
      </c>
      <c r="T1752" s="1398" t="inlineStr">
        <is>
          <t>.</t>
        </is>
      </c>
      <c r="U1752" s="1399">
        <f>IF(raw[[#This Row],[wb]]="w",raw[[#This Row],[stay]]+U1751,U1751)</f>
        <v/>
      </c>
      <c r="V1752" s="1400">
        <f>IF(raw[[#This Row],[out]]=0,V1751,(raw[[#This Row],[out]]-E$5))</f>
        <v/>
      </c>
      <c r="W1752" s="1401">
        <f>U1752/V1752</f>
        <v/>
      </c>
      <c r="X1752" s="1392" t="n"/>
      <c r="Y1752" s="1392" t="n"/>
      <c r="Z1752" s="1392" t="n"/>
      <c r="AA1752" s="1392" t="n"/>
      <c r="AB1752" s="1392" t="n"/>
      <c r="AC1752" s="1392" t="n"/>
      <c r="AD1752" s="1392" t="n"/>
      <c r="AE1752" s="1392" t="n"/>
      <c r="AF1752" s="1392" t="n"/>
      <c r="AG1752" s="1392" t="n"/>
      <c r="AH1752" s="1392" t="n"/>
      <c r="AI1752" s="1392" t="n"/>
      <c r="AJ1752" s="1392" t="n"/>
      <c r="AK1752" s="1392" t="n"/>
      <c r="AL1752" s="1392" t="n"/>
      <c r="AM1752" s="1392" t="n"/>
      <c r="AN1752" s="1392" t="n"/>
      <c r="AO1752" s="1392" t="n"/>
      <c r="AP1752" s="1392" t="n"/>
      <c r="AQ1752" s="1392" t="n"/>
      <c r="AR1752" s="1422" t="n"/>
      <c r="AS1752" s="1422" t="n"/>
      <c r="AT1752" s="1392" t="n"/>
      <c r="AU1752" s="1392" t="n"/>
      <c r="AV1752" s="1392" t="n"/>
      <c r="AW1752" s="1392" t="n"/>
      <c r="AX1752" s="1392" t="n"/>
      <c r="AY1752" s="1392" t="n"/>
      <c r="AZ1752" s="1392" t="n"/>
      <c r="BA1752" s="1422" t="n"/>
      <c r="BB1752" s="1422" t="n"/>
      <c r="BC1752" s="1392" t="n"/>
      <c r="BD1752" s="1392" t="n"/>
      <c r="BE1752" s="1392" t="n"/>
      <c r="BF1752" s="1392" t="n"/>
      <c r="BG1752" s="1392" t="n"/>
      <c r="BH1752" s="1392" t="n"/>
      <c r="BI1752" s="1392" t="n"/>
      <c r="BJ1752" s="1392" t="n"/>
      <c r="BK1752" s="1392" t="n"/>
      <c r="BL1752" s="1392" t="n"/>
      <c r="BM1752" s="1392" t="n"/>
      <c r="BN1752" s="1392" t="n"/>
      <c r="BO1752" s="1392" t="n"/>
      <c r="BP1752" s="1392" t="n"/>
      <c r="BQ1752" s="1392" t="n"/>
      <c r="BR1752" s="1392" t="n"/>
      <c r="BS1752" s="1392" t="n"/>
      <c r="BT1752" s="1392" t="n"/>
      <c r="BU1752" s="1392" t="n"/>
      <c r="BV1752" s="1392" t="n"/>
      <c r="BW1752" s="1392" t="n"/>
      <c r="BX1752" s="1392" t="n"/>
      <c r="BY1752" s="1392" t="n"/>
      <c r="BZ1752" s="1392" t="n"/>
      <c r="CA1752" s="1392" t="n"/>
      <c r="CB1752" s="1392" t="n"/>
      <c r="CC1752" s="1392" t="n"/>
      <c r="CD1752" s="1392" t="n"/>
      <c r="CE1752" s="1392" t="n"/>
      <c r="CF1752" s="1392" t="n"/>
      <c r="CG1752" s="1392" t="n"/>
      <c r="CH1752" s="1392" t="n"/>
      <c r="CI1752" s="1392" t="n"/>
      <c r="CJ1752" s="1392" t="n"/>
      <c r="CK1752" s="1392" t="n"/>
      <c r="CL1752" s="1392" t="n"/>
    </row>
    <row r="1753">
      <c r="A1753" s="5" t="inlineStr">
        <is>
          <t>.</t>
        </is>
      </c>
      <c r="B1753" s="5" t="inlineStr">
        <is>
          <t>.</t>
        </is>
      </c>
      <c r="C1753" s="1378">
        <f>IF(raw[[#This Row],[city]]="","-",IF(raw[[#This Row],[city]]="TODAY","-",C1752+1))</f>
        <v/>
      </c>
      <c r="D1753" s="1393" t="inlineStr">
        <is>
          <t>Montreal</t>
        </is>
      </c>
      <c r="E1753" s="1394" t="n">
        <v>45627</v>
      </c>
      <c r="F1753" s="1394" t="n">
        <v>45649</v>
      </c>
      <c r="G1753" s="1393" t="inlineStr">
        <is>
          <t>-</t>
        </is>
      </c>
      <c r="H1753" s="1393" t="inlineStr">
        <is>
          <t>Gaspé</t>
        </is>
      </c>
      <c r="I1753" s="1393" t="inlineStr">
        <is>
          <t>-</t>
        </is>
      </c>
      <c r="J1753" s="1393" t="inlineStr">
        <is>
          <t>-</t>
        </is>
      </c>
      <c r="K1753" s="1395">
        <f>IF(raw[[#This Row],[city]]&lt;&gt;"",_xlfn.XLOOKUP($D1753,ccc[city],ccc[prov],"-"),"-")</f>
        <v/>
      </c>
      <c r="L1753" s="1395">
        <f>IF(raw[[#This Row],[city]]&lt;&gt;"",_xlfn.XLOOKUP($D1753,ccc[city],ccc[ctry],"-"),"-")</f>
        <v/>
      </c>
      <c r="M1753" s="1395">
        <f>IF(raw[[#This Row],[city]]&lt;&gt;"",_xlfn.XLOOKUP($D1753,ccc[city],ccc[cont],"-"),"-")</f>
        <v/>
      </c>
      <c r="N1753" s="1396">
        <f>IF(raw[[#This Row],[city]]="","-",IF(raw[[#This Row],[cont]]="B",raw[[#This Row],[cont]],"W"))</f>
        <v/>
      </c>
      <c r="O1753" s="1397">
        <f>IF(raw[[#This Row],[out]]=0,0,IF(raw[[#This Row],[out]]=raw[[#This Row],[in]],0.01,raw[[#This Row],[out]]-raw[[#This Row],[in]]))</f>
        <v/>
      </c>
      <c r="P1753" s="1397">
        <f>IF(raw[[#This Row],[in]]=0,0,MONTH(raw[[#This Row],[in]]))</f>
        <v/>
      </c>
      <c r="Q1753" s="1397">
        <f>IF(raw[[#This Row],[in]]=0,0,YEAR(raw[[#This Row],[in]]))</f>
        <v/>
      </c>
      <c r="R1753" s="1397">
        <f>INT(raw[[#This Row],[yr]]/10)*10</f>
        <v/>
      </c>
      <c r="S1753" s="1395">
        <f>IF(raw[[#This Row],[city]]="","-",IF(raw[[#This Row],[city]]&lt;&gt;_xlfn.XLOOKUP(raw[[#This Row],[home]],homes[home],homes[city],"-"),1,0))</f>
        <v/>
      </c>
      <c r="T1753" s="1398" t="inlineStr">
        <is>
          <t>.</t>
        </is>
      </c>
      <c r="U1753" s="1399">
        <f>IF(raw[[#This Row],[wb]]="w",raw[[#This Row],[stay]]+U1752,U1752)</f>
        <v/>
      </c>
      <c r="V1753" s="1400">
        <f>IF(raw[[#This Row],[out]]=0,V1752,(raw[[#This Row],[out]]-E$5))</f>
        <v/>
      </c>
      <c r="W1753" s="1401">
        <f>U1753/V1753</f>
        <v/>
      </c>
      <c r="X1753" s="1392" t="n"/>
      <c r="Y1753" s="1392" t="n"/>
      <c r="Z1753" s="1392" t="n"/>
      <c r="AA1753" s="1392" t="n"/>
      <c r="AB1753" s="1392" t="n"/>
      <c r="AC1753" s="1392" t="n"/>
      <c r="AD1753" s="1392" t="n"/>
      <c r="AE1753" s="1392" t="n"/>
      <c r="AF1753" s="1392" t="n"/>
      <c r="AG1753" s="1392" t="n"/>
      <c r="AH1753" s="1392" t="n"/>
      <c r="AI1753" s="1392" t="n"/>
      <c r="AJ1753" s="1392" t="n"/>
      <c r="AK1753" s="1392" t="n"/>
      <c r="AL1753" s="1392" t="n"/>
      <c r="AM1753" s="1392" t="n"/>
      <c r="AN1753" s="1392" t="n"/>
      <c r="AO1753" s="1392" t="n"/>
      <c r="AP1753" s="1392" t="n"/>
      <c r="AQ1753" s="1392" t="n"/>
      <c r="AR1753" s="1422" t="n"/>
      <c r="AS1753" s="1422" t="n"/>
      <c r="AT1753" s="1392" t="n"/>
      <c r="AU1753" s="1392" t="n"/>
      <c r="AV1753" s="1392" t="n"/>
      <c r="AW1753" s="1392" t="n"/>
      <c r="AX1753" s="1392" t="n"/>
      <c r="AY1753" s="1392" t="n"/>
      <c r="AZ1753" s="1392" t="n"/>
      <c r="BA1753" s="1422" t="n"/>
      <c r="BB1753" s="1422" t="n"/>
      <c r="BC1753" s="1392" t="n"/>
      <c r="BD1753" s="1392" t="n"/>
      <c r="BE1753" s="1392" t="n"/>
      <c r="BF1753" s="1392" t="n"/>
      <c r="BG1753" s="1392" t="n"/>
      <c r="BH1753" s="1392" t="n"/>
      <c r="BI1753" s="1392" t="n"/>
      <c r="BJ1753" s="1392" t="n"/>
      <c r="BK1753" s="1392" t="n"/>
      <c r="BL1753" s="1392" t="n"/>
      <c r="BM1753" s="1392" t="n"/>
      <c r="BN1753" s="1392" t="n"/>
      <c r="BO1753" s="1392" t="n"/>
      <c r="BP1753" s="1392" t="n"/>
      <c r="BQ1753" s="1392" t="n"/>
      <c r="BR1753" s="1392" t="n"/>
      <c r="BS1753" s="1392" t="n"/>
      <c r="BT1753" s="1392" t="n"/>
      <c r="BU1753" s="1392" t="n"/>
      <c r="BV1753" s="1392" t="n"/>
      <c r="BW1753" s="1392" t="n"/>
      <c r="BX1753" s="1392" t="n"/>
      <c r="BY1753" s="1392" t="n"/>
      <c r="BZ1753" s="1392" t="n"/>
      <c r="CA1753" s="1392" t="n"/>
      <c r="CB1753" s="1392" t="n"/>
      <c r="CC1753" s="1392" t="n"/>
      <c r="CD1753" s="1392" t="n"/>
      <c r="CE1753" s="1392" t="n"/>
      <c r="CF1753" s="1392" t="n"/>
      <c r="CG1753" s="1392" t="n"/>
      <c r="CH1753" s="1392" t="n"/>
      <c r="CI1753" s="1392" t="n"/>
      <c r="CJ1753" s="1392" t="n"/>
      <c r="CK1753" s="1392" t="n"/>
      <c r="CL1753" s="1392" t="n"/>
    </row>
    <row r="1754">
      <c r="A1754" s="5" t="inlineStr">
        <is>
          <t>.</t>
        </is>
      </c>
      <c r="B1754" s="5" t="inlineStr">
        <is>
          <t>.</t>
        </is>
      </c>
      <c r="C1754" s="1378">
        <f>IF(raw[[#This Row],[city]]="","-",IF(raw[[#This Row],[city]]="TODAY","-",C1753+1))</f>
        <v/>
      </c>
      <c r="D1754" s="1393" t="inlineStr">
        <is>
          <t>Sainte-Julienne</t>
        </is>
      </c>
      <c r="E1754" s="1394" t="n">
        <v>45649</v>
      </c>
      <c r="F1754" s="1394" t="n">
        <v>45651</v>
      </c>
      <c r="G1754" s="1393" t="inlineStr">
        <is>
          <t>-</t>
        </is>
      </c>
      <c r="H1754" s="1393" t="inlineStr">
        <is>
          <t>Gaspé</t>
        </is>
      </c>
      <c r="I1754" s="1393" t="inlineStr">
        <is>
          <t>Mike</t>
        </is>
      </c>
      <c r="J1754" s="1393" t="inlineStr">
        <is>
          <t>-</t>
        </is>
      </c>
      <c r="K1754" s="1395">
        <f>IF(raw[[#This Row],[city]]&lt;&gt;"",_xlfn.XLOOKUP($D1754,ccc[city],ccc[prov],"-"),"-")</f>
        <v/>
      </c>
      <c r="L1754" s="1395">
        <f>IF(raw[[#This Row],[city]]&lt;&gt;"",_xlfn.XLOOKUP($D1754,ccc[city],ccc[ctry],"-"),"-")</f>
        <v/>
      </c>
      <c r="M1754" s="1395">
        <f>IF(raw[[#This Row],[city]]&lt;&gt;"",_xlfn.XLOOKUP($D1754,ccc[city],ccc[cont],"-"),"-")</f>
        <v/>
      </c>
      <c r="N1754" s="1396">
        <f>IF(raw[[#This Row],[city]]="","-",IF(raw[[#This Row],[cont]]="B",raw[[#This Row],[cont]],"W"))</f>
        <v/>
      </c>
      <c r="O1754" s="1397">
        <f>IF(raw[[#This Row],[out]]=0,0,IF(raw[[#This Row],[out]]=raw[[#This Row],[in]],0.01,raw[[#This Row],[out]]-raw[[#This Row],[in]]))</f>
        <v/>
      </c>
      <c r="P1754" s="1397">
        <f>IF(raw[[#This Row],[in]]=0,0,MONTH(raw[[#This Row],[in]]))</f>
        <v/>
      </c>
      <c r="Q1754" s="1397">
        <f>IF(raw[[#This Row],[in]]=0,0,YEAR(raw[[#This Row],[in]]))</f>
        <v/>
      </c>
      <c r="R1754" s="1397">
        <f>INT(raw[[#This Row],[yr]]/10)*10</f>
        <v/>
      </c>
      <c r="S1754" s="1395">
        <f>IF(raw[[#This Row],[city]]="","-",IF(raw[[#This Row],[city]]&lt;&gt;_xlfn.XLOOKUP(raw[[#This Row],[home]],homes[home],homes[city],"-"),1,0))</f>
        <v/>
      </c>
      <c r="T1754" s="1398" t="inlineStr">
        <is>
          <t>.</t>
        </is>
      </c>
      <c r="U1754" s="1399">
        <f>IF(raw[[#This Row],[wb]]="w",raw[[#This Row],[stay]]+U1753,U1753)</f>
        <v/>
      </c>
      <c r="V1754" s="1400">
        <f>IF(raw[[#This Row],[out]]=0,V1753,(raw[[#This Row],[out]]-E$5))</f>
        <v/>
      </c>
      <c r="W1754" s="1401">
        <f>U1754/V1754</f>
        <v/>
      </c>
      <c r="X1754" s="1392" t="n"/>
      <c r="Y1754" s="1392" t="n"/>
      <c r="Z1754" s="1392" t="n"/>
      <c r="AA1754" s="1392" t="n"/>
      <c r="AB1754" s="1392" t="n"/>
      <c r="AC1754" s="1392" t="n"/>
      <c r="AD1754" s="1392" t="n"/>
      <c r="AE1754" s="1392" t="n"/>
      <c r="AF1754" s="1392" t="n"/>
      <c r="AG1754" s="1392" t="n"/>
      <c r="AH1754" s="1392" t="n"/>
      <c r="AI1754" s="1392" t="n"/>
      <c r="AJ1754" s="1392" t="n"/>
      <c r="AK1754" s="1392" t="n"/>
      <c r="AL1754" s="1392" t="n"/>
      <c r="AM1754" s="1392" t="n"/>
      <c r="AN1754" s="1392" t="n"/>
      <c r="AO1754" s="1392" t="n"/>
      <c r="AP1754" s="1392" t="n"/>
      <c r="AQ1754" s="1392" t="n"/>
      <c r="AR1754" s="1422" t="n"/>
      <c r="AS1754" s="1422" t="n"/>
      <c r="AT1754" s="1392" t="n"/>
      <c r="AU1754" s="1392" t="n"/>
      <c r="AV1754" s="1392" t="n"/>
      <c r="AW1754" s="1392" t="n"/>
      <c r="AX1754" s="1392" t="n"/>
      <c r="AY1754" s="1392" t="n"/>
      <c r="AZ1754" s="1392" t="n"/>
      <c r="BA1754" s="1422" t="n"/>
      <c r="BB1754" s="1422" t="n"/>
      <c r="BC1754" s="1392" t="n"/>
      <c r="BD1754" s="1392" t="n"/>
      <c r="BE1754" s="1392" t="n"/>
      <c r="BF1754" s="1392" t="n"/>
      <c r="BG1754" s="1392" t="n"/>
      <c r="BH1754" s="1392" t="n"/>
      <c r="BI1754" s="1392" t="n"/>
      <c r="BJ1754" s="1392" t="n"/>
      <c r="BK1754" s="1392" t="n"/>
      <c r="BL1754" s="1392" t="n"/>
      <c r="BM1754" s="1392" t="n"/>
      <c r="BN1754" s="1392" t="n"/>
      <c r="BO1754" s="1392" t="n"/>
      <c r="BP1754" s="1392" t="n"/>
      <c r="BQ1754" s="1392" t="n"/>
      <c r="BR1754" s="1392" t="n"/>
      <c r="BS1754" s="1392" t="n"/>
      <c r="BT1754" s="1392" t="n"/>
      <c r="BU1754" s="1392" t="n"/>
      <c r="BV1754" s="1392" t="n"/>
      <c r="BW1754" s="1392" t="n"/>
      <c r="BX1754" s="1392" t="n"/>
      <c r="BY1754" s="1392" t="n"/>
      <c r="BZ1754" s="1392" t="n"/>
      <c r="CA1754" s="1392" t="n"/>
      <c r="CB1754" s="1392" t="n"/>
      <c r="CC1754" s="1392" t="n"/>
      <c r="CD1754" s="1392" t="n"/>
      <c r="CE1754" s="1392" t="n"/>
      <c r="CF1754" s="1392" t="n"/>
      <c r="CG1754" s="1392" t="n"/>
      <c r="CH1754" s="1392" t="n"/>
      <c r="CI1754" s="1392" t="n"/>
      <c r="CJ1754" s="1392" t="n"/>
      <c r="CK1754" s="1392" t="n"/>
      <c r="CL1754" s="1392" t="n"/>
    </row>
    <row r="1755">
      <c r="A1755" s="5" t="inlineStr">
        <is>
          <t>.</t>
        </is>
      </c>
      <c r="B1755" s="5" t="inlineStr">
        <is>
          <t>.</t>
        </is>
      </c>
      <c r="C1755" s="1378">
        <f>IF(raw[[#This Row],[city]]="","-",IF(raw[[#This Row],[city]]="TODAY","-",C1754+1))</f>
        <v/>
      </c>
      <c r="D1755" s="1393" t="inlineStr">
        <is>
          <t>Montreal</t>
        </is>
      </c>
      <c r="E1755" s="1394" t="n">
        <v>45651</v>
      </c>
      <c r="F1755" s="1394" t="n">
        <v>45658</v>
      </c>
      <c r="G1755" s="1393" t="inlineStr">
        <is>
          <t>-</t>
        </is>
      </c>
      <c r="H1755" s="1393" t="inlineStr">
        <is>
          <t>Gaspé</t>
        </is>
      </c>
      <c r="I1755" s="1393" t="inlineStr">
        <is>
          <t>-</t>
        </is>
      </c>
      <c r="J1755" s="1393" t="inlineStr">
        <is>
          <t>-</t>
        </is>
      </c>
      <c r="K1755" s="1395">
        <f>IF(raw[[#This Row],[city]]&lt;&gt;"",_xlfn.XLOOKUP($D1755,ccc[city],ccc[prov],"-"),"-")</f>
        <v/>
      </c>
      <c r="L1755" s="1395">
        <f>IF(raw[[#This Row],[city]]&lt;&gt;"",_xlfn.XLOOKUP($D1755,ccc[city],ccc[ctry],"-"),"-")</f>
        <v/>
      </c>
      <c r="M1755" s="1395">
        <f>IF(raw[[#This Row],[city]]&lt;&gt;"",_xlfn.XLOOKUP($D1755,ccc[city],ccc[cont],"-"),"-")</f>
        <v/>
      </c>
      <c r="N1755" s="1396">
        <f>IF(raw[[#This Row],[city]]="","-",IF(raw[[#This Row],[cont]]="B",raw[[#This Row],[cont]],"W"))</f>
        <v/>
      </c>
      <c r="O1755" s="1397">
        <f>IF(raw[[#This Row],[out]]=0,0,IF(raw[[#This Row],[out]]=raw[[#This Row],[in]],0.01,raw[[#This Row],[out]]-raw[[#This Row],[in]]))</f>
        <v/>
      </c>
      <c r="P1755" s="1397">
        <f>IF(raw[[#This Row],[in]]=0,0,MONTH(raw[[#This Row],[in]]))</f>
        <v/>
      </c>
      <c r="Q1755" s="1397">
        <f>IF(raw[[#This Row],[in]]=0,0,YEAR(raw[[#This Row],[in]]))</f>
        <v/>
      </c>
      <c r="R1755" s="1397">
        <f>INT(raw[[#This Row],[yr]]/10)*10</f>
        <v/>
      </c>
      <c r="S1755" s="1395">
        <f>IF(raw[[#This Row],[city]]="","-",IF(raw[[#This Row],[city]]&lt;&gt;_xlfn.XLOOKUP(raw[[#This Row],[home]],homes[home],homes[city],"-"),1,0))</f>
        <v/>
      </c>
      <c r="T1755" s="1398" t="inlineStr">
        <is>
          <t>.</t>
        </is>
      </c>
      <c r="U1755" s="1399">
        <f>IF(raw[[#This Row],[wb]]="w",raw[[#This Row],[stay]]+U1754,U1754)</f>
        <v/>
      </c>
      <c r="V1755" s="1400">
        <f>IF(raw[[#This Row],[out]]=0,V1754,(raw[[#This Row],[out]]-E$5))</f>
        <v/>
      </c>
      <c r="W1755" s="1401">
        <f>U1755/V1755</f>
        <v/>
      </c>
      <c r="X1755" s="1392" t="n"/>
      <c r="Y1755" s="1392" t="n"/>
      <c r="Z1755" s="1392" t="n"/>
      <c r="AA1755" s="1392" t="n"/>
      <c r="AB1755" s="1392" t="n"/>
      <c r="AC1755" s="1392" t="n"/>
      <c r="AD1755" s="1392" t="n"/>
      <c r="AE1755" s="1392" t="n"/>
      <c r="AF1755" s="1392" t="n"/>
      <c r="AG1755" s="1392" t="n"/>
      <c r="AH1755" s="1392" t="n"/>
      <c r="AI1755" s="1392" t="n"/>
      <c r="AJ1755" s="1392" t="n"/>
      <c r="AK1755" s="1392" t="n"/>
      <c r="AL1755" s="1392" t="n"/>
      <c r="AM1755" s="1392" t="n"/>
      <c r="AN1755" s="1392" t="n"/>
      <c r="AO1755" s="1392" t="n"/>
      <c r="AP1755" s="1392" t="n"/>
      <c r="AQ1755" s="1392" t="n"/>
      <c r="AR1755" s="1422" t="n"/>
      <c r="AS1755" s="1422" t="n"/>
      <c r="AT1755" s="1392" t="n"/>
      <c r="AU1755" s="1392" t="n"/>
      <c r="AV1755" s="1392" t="n"/>
      <c r="AW1755" s="1392" t="n"/>
      <c r="AX1755" s="1392" t="n"/>
      <c r="AY1755" s="1392" t="n"/>
      <c r="AZ1755" s="1392" t="n"/>
      <c r="BA1755" s="1422" t="n"/>
      <c r="BB1755" s="1422" t="n"/>
      <c r="BC1755" s="1392" t="n"/>
      <c r="BD1755" s="1392" t="n"/>
      <c r="BE1755" s="1392" t="n"/>
      <c r="BF1755" s="1392" t="n"/>
      <c r="BG1755" s="1392" t="n"/>
      <c r="BH1755" s="1392" t="n"/>
      <c r="BI1755" s="1392" t="n"/>
      <c r="BJ1755" s="1392" t="n"/>
      <c r="BK1755" s="1392" t="n"/>
      <c r="BL1755" s="1392" t="n"/>
      <c r="BM1755" s="1392" t="n"/>
      <c r="BN1755" s="1392" t="n"/>
      <c r="BO1755" s="1392" t="n"/>
      <c r="BP1755" s="1392" t="n"/>
      <c r="BQ1755" s="1392" t="n"/>
      <c r="BR1755" s="1392" t="n"/>
      <c r="BS1755" s="1392" t="n"/>
      <c r="BT1755" s="1392" t="n"/>
      <c r="BU1755" s="1392" t="n"/>
      <c r="BV1755" s="1392" t="n"/>
      <c r="BW1755" s="1392" t="n"/>
      <c r="BX1755" s="1392" t="n"/>
      <c r="BY1755" s="1392" t="n"/>
      <c r="BZ1755" s="1392" t="n"/>
      <c r="CA1755" s="1392" t="n"/>
      <c r="CB1755" s="1392" t="n"/>
      <c r="CC1755" s="1392" t="n"/>
      <c r="CD1755" s="1392" t="n"/>
      <c r="CE1755" s="1392" t="n"/>
      <c r="CF1755" s="1392" t="n"/>
      <c r="CG1755" s="1392" t="n"/>
      <c r="CH1755" s="1392" t="n"/>
      <c r="CI1755" s="1392" t="n"/>
      <c r="CJ1755" s="1392" t="n"/>
      <c r="CK1755" s="1392" t="n"/>
      <c r="CL1755" s="1392" t="n"/>
    </row>
    <row r="1756">
      <c r="A1756" s="5" t="inlineStr">
        <is>
          <t>.</t>
        </is>
      </c>
      <c r="B1756" s="5" t="inlineStr">
        <is>
          <t>.</t>
        </is>
      </c>
      <c r="C1756" s="1378">
        <f>IF(raw[[#This Row],[city]]="","-",IF(raw[[#This Row],[city]]="TODAY","-",C1755+1))</f>
        <v/>
      </c>
      <c r="D1756" s="1393" t="inlineStr">
        <is>
          <t>Montreal</t>
        </is>
      </c>
      <c r="E1756" s="1394" t="n">
        <v>45658</v>
      </c>
      <c r="F1756" s="1394" t="n">
        <v>45689</v>
      </c>
      <c r="G1756" s="1393" t="inlineStr">
        <is>
          <t>-</t>
        </is>
      </c>
      <c r="H1756" s="1393" t="inlineStr">
        <is>
          <t>Gaspé</t>
        </is>
      </c>
      <c r="I1756" s="1393" t="inlineStr">
        <is>
          <t>-</t>
        </is>
      </c>
      <c r="J1756" s="1393" t="inlineStr">
        <is>
          <t>REV</t>
        </is>
      </c>
      <c r="K1756" s="1395">
        <f>IF(raw[[#This Row],[city]]&lt;&gt;"",_xlfn.XLOOKUP($D1756,ccc[city],ccc[prov],"-"),"-")</f>
        <v/>
      </c>
      <c r="L1756" s="1395">
        <f>IF(raw[[#This Row],[city]]&lt;&gt;"",_xlfn.XLOOKUP($D1756,ccc[city],ccc[ctry],"-"),"-")</f>
        <v/>
      </c>
      <c r="M1756" s="1395">
        <f>IF(raw[[#This Row],[city]]&lt;&gt;"",_xlfn.XLOOKUP($D1756,ccc[city],ccc[cont],"-"),"-")</f>
        <v/>
      </c>
      <c r="N1756" s="1396">
        <f>IF(raw[[#This Row],[city]]="","-",IF(raw[[#This Row],[cont]]="B",raw[[#This Row],[cont]],"W"))</f>
        <v/>
      </c>
      <c r="O1756" s="1397">
        <f>IF(raw[[#This Row],[out]]=0,0,IF(raw[[#This Row],[out]]=raw[[#This Row],[in]],0.01,raw[[#This Row],[out]]-raw[[#This Row],[in]]))</f>
        <v/>
      </c>
      <c r="P1756" s="1397">
        <f>IF(raw[[#This Row],[in]]=0,0,MONTH(raw[[#This Row],[in]]))</f>
        <v/>
      </c>
      <c r="Q1756" s="1397">
        <f>IF(raw[[#This Row],[in]]=0,0,YEAR(raw[[#This Row],[in]]))</f>
        <v/>
      </c>
      <c r="R1756" s="1397">
        <f>INT(raw[[#This Row],[yr]]/10)*10</f>
        <v/>
      </c>
      <c r="S1756" s="1395">
        <f>IF(raw[[#This Row],[city]]="","-",IF(raw[[#This Row],[city]]&lt;&gt;_xlfn.XLOOKUP(raw[[#This Row],[home]],homes[home],homes[city],"-"),1,0))</f>
        <v/>
      </c>
      <c r="T1756" s="1398" t="inlineStr">
        <is>
          <t>.</t>
        </is>
      </c>
      <c r="U1756" s="1399">
        <f>IF(raw[[#This Row],[wb]]="w",raw[[#This Row],[stay]]+U1755,U1755)</f>
        <v/>
      </c>
      <c r="V1756" s="1400">
        <f>IF(raw[[#This Row],[out]]=0,V1755,(raw[[#This Row],[out]]-E$5))</f>
        <v/>
      </c>
      <c r="W1756" s="1401">
        <f>U1756/V1756</f>
        <v/>
      </c>
      <c r="X1756" s="1392" t="n"/>
      <c r="Y1756" s="1392" t="n"/>
      <c r="Z1756" s="1392" t="n"/>
      <c r="AA1756" s="1392" t="n"/>
      <c r="AB1756" s="1392" t="n"/>
      <c r="AC1756" s="1392" t="n"/>
      <c r="AD1756" s="1392" t="n"/>
      <c r="AE1756" s="1392" t="n"/>
      <c r="AF1756" s="1392" t="n"/>
      <c r="AG1756" s="1392" t="n"/>
      <c r="AH1756" s="1392" t="n"/>
      <c r="AI1756" s="1392" t="n"/>
      <c r="AJ1756" s="1392" t="n"/>
      <c r="AK1756" s="1392" t="n"/>
      <c r="AL1756" s="1392" t="n"/>
      <c r="AM1756" s="1392" t="n"/>
      <c r="AN1756" s="1392" t="n"/>
      <c r="AO1756" s="1392" t="n"/>
      <c r="AP1756" s="1392" t="n"/>
      <c r="AQ1756" s="1392" t="n"/>
      <c r="AR1756" s="1422" t="n"/>
      <c r="AS1756" s="1422" t="n"/>
      <c r="AT1756" s="1392" t="n"/>
      <c r="AU1756" s="1392" t="n"/>
      <c r="AV1756" s="1392" t="n"/>
      <c r="AW1756" s="1392" t="n"/>
      <c r="AX1756" s="1392" t="n"/>
      <c r="AY1756" s="1392" t="n"/>
      <c r="AZ1756" s="1392" t="n"/>
      <c r="BA1756" s="1422" t="n"/>
      <c r="BB1756" s="1422" t="n"/>
      <c r="BC1756" s="1392" t="n"/>
      <c r="BD1756" s="1392" t="n"/>
      <c r="BE1756" s="1392" t="n"/>
      <c r="BF1756" s="1392" t="n"/>
      <c r="BG1756" s="1392" t="n"/>
      <c r="BH1756" s="1392" t="n"/>
      <c r="BI1756" s="1392" t="n"/>
      <c r="BJ1756" s="1392" t="n"/>
      <c r="BK1756" s="1392" t="n"/>
      <c r="BL1756" s="1392" t="n"/>
      <c r="BM1756" s="1392" t="n"/>
      <c r="BN1756" s="1392" t="n"/>
      <c r="BO1756" s="1392" t="n"/>
      <c r="BP1756" s="1392" t="n"/>
      <c r="BQ1756" s="1392" t="n"/>
      <c r="BR1756" s="1392" t="n"/>
      <c r="BS1756" s="1392" t="n"/>
      <c r="BT1756" s="1392" t="n"/>
      <c r="BU1756" s="1392" t="n"/>
      <c r="BV1756" s="1392" t="n"/>
      <c r="BW1756" s="1392" t="n"/>
      <c r="BX1756" s="1392" t="n"/>
      <c r="BY1756" s="1392" t="n"/>
      <c r="BZ1756" s="1392" t="n"/>
      <c r="CA1756" s="1392" t="n"/>
      <c r="CB1756" s="1392" t="n"/>
      <c r="CC1756" s="1392" t="n"/>
      <c r="CD1756" s="1392" t="n"/>
      <c r="CE1756" s="1392" t="n"/>
      <c r="CF1756" s="1392" t="n"/>
      <c r="CG1756" s="1392" t="n"/>
      <c r="CH1756" s="1392" t="n"/>
      <c r="CI1756" s="1392" t="n"/>
      <c r="CJ1756" s="1392" t="n"/>
      <c r="CK1756" s="1392" t="n"/>
      <c r="CL1756" s="1392" t="n"/>
    </row>
    <row r="1757">
      <c r="A1757" s="5" t="inlineStr">
        <is>
          <t>.</t>
        </is>
      </c>
      <c r="B1757" s="5" t="inlineStr">
        <is>
          <t>.</t>
        </is>
      </c>
      <c r="C1757" s="1378">
        <f>IF(raw[[#This Row],[city]]="","-",IF(raw[[#This Row],[city]]="TODAY","-",C1756+1))</f>
        <v/>
      </c>
      <c r="D1757" s="1393" t="inlineStr">
        <is>
          <t>Montreal</t>
        </is>
      </c>
      <c r="E1757" s="1394" t="n">
        <v>45689</v>
      </c>
      <c r="F1757" s="1394" t="n">
        <v>45717</v>
      </c>
      <c r="G1757" s="1393" t="inlineStr">
        <is>
          <t>-</t>
        </is>
      </c>
      <c r="H1757" s="1393" t="inlineStr">
        <is>
          <t>Gaspé</t>
        </is>
      </c>
      <c r="I1757" s="1393" t="inlineStr">
        <is>
          <t>-</t>
        </is>
      </c>
      <c r="J1757" s="1393" t="inlineStr">
        <is>
          <t>-</t>
        </is>
      </c>
      <c r="K1757" s="1395">
        <f>IF(raw[[#This Row],[city]]&lt;&gt;"",_xlfn.XLOOKUP($D1757,ccc[city],ccc[prov],"-"),"-")</f>
        <v/>
      </c>
      <c r="L1757" s="1395">
        <f>IF(raw[[#This Row],[city]]&lt;&gt;"",_xlfn.XLOOKUP($D1757,ccc[city],ccc[ctry],"-"),"-")</f>
        <v/>
      </c>
      <c r="M1757" s="1395">
        <f>IF(raw[[#This Row],[city]]&lt;&gt;"",_xlfn.XLOOKUP($D1757,ccc[city],ccc[cont],"-"),"-")</f>
        <v/>
      </c>
      <c r="N1757" s="1396">
        <f>IF(raw[[#This Row],[city]]="","-",IF(raw[[#This Row],[cont]]="B",raw[[#This Row],[cont]],"W"))</f>
        <v/>
      </c>
      <c r="O1757" s="1397">
        <f>IF(raw[[#This Row],[out]]=0,0,IF(raw[[#This Row],[out]]=raw[[#This Row],[in]],0.01,raw[[#This Row],[out]]-raw[[#This Row],[in]]))</f>
        <v/>
      </c>
      <c r="P1757" s="1397">
        <f>IF(raw[[#This Row],[in]]=0,0,MONTH(raw[[#This Row],[in]]))</f>
        <v/>
      </c>
      <c r="Q1757" s="1397">
        <f>IF(raw[[#This Row],[in]]=0,0,YEAR(raw[[#This Row],[in]]))</f>
        <v/>
      </c>
      <c r="R1757" s="1397">
        <f>INT(raw[[#This Row],[yr]]/10)*10</f>
        <v/>
      </c>
      <c r="S1757" s="1395">
        <f>IF(raw[[#This Row],[city]]="","-",IF(raw[[#This Row],[city]]&lt;&gt;_xlfn.XLOOKUP(raw[[#This Row],[home]],homes[home],homes[city],"-"),1,0))</f>
        <v/>
      </c>
      <c r="T1757" s="1398" t="inlineStr">
        <is>
          <t>.</t>
        </is>
      </c>
      <c r="U1757" s="1399">
        <f>IF(raw[[#This Row],[wb]]="w",raw[[#This Row],[stay]]+U1756,U1756)</f>
        <v/>
      </c>
      <c r="V1757" s="1400">
        <f>IF(raw[[#This Row],[out]]=0,V1756,(raw[[#This Row],[out]]-E$5))</f>
        <v/>
      </c>
      <c r="W1757" s="1401">
        <f>U1757/V1757</f>
        <v/>
      </c>
      <c r="X1757" s="1392" t="n"/>
      <c r="Y1757" s="1392" t="n"/>
      <c r="Z1757" s="1392" t="n"/>
      <c r="AA1757" s="1392" t="n"/>
      <c r="AB1757" s="1392" t="n"/>
      <c r="AC1757" s="1392" t="n"/>
      <c r="AD1757" s="1392" t="n"/>
      <c r="AE1757" s="1392" t="n"/>
      <c r="AF1757" s="1392" t="n"/>
      <c r="AG1757" s="1392" t="n"/>
      <c r="AH1757" s="1392" t="n"/>
      <c r="AI1757" s="1392" t="n"/>
      <c r="AJ1757" s="1392" t="n"/>
      <c r="AK1757" s="1392" t="n"/>
      <c r="AL1757" s="1392" t="n"/>
      <c r="AM1757" s="1392" t="n"/>
      <c r="AN1757" s="1392" t="n"/>
      <c r="AO1757" s="1392" t="n"/>
      <c r="AP1757" s="1392" t="n"/>
      <c r="AQ1757" s="1392" t="n"/>
      <c r="AR1757" s="1422" t="n"/>
      <c r="AS1757" s="1422" t="n"/>
      <c r="AT1757" s="1392" t="n"/>
      <c r="AU1757" s="1392" t="n"/>
      <c r="AV1757" s="1392" t="n"/>
      <c r="AW1757" s="1392" t="n"/>
      <c r="AX1757" s="1392" t="n"/>
      <c r="AY1757" s="1392" t="n"/>
      <c r="AZ1757" s="1392" t="n"/>
      <c r="BA1757" s="1422" t="n"/>
      <c r="BB1757" s="1422" t="n"/>
      <c r="BC1757" s="1392" t="n"/>
      <c r="BD1757" s="1392" t="n"/>
      <c r="BE1757" s="1392" t="n"/>
      <c r="BF1757" s="1392" t="n"/>
      <c r="BG1757" s="1392" t="n"/>
      <c r="BH1757" s="1392" t="n"/>
      <c r="BI1757" s="1392" t="n"/>
      <c r="BJ1757" s="1392" t="n"/>
      <c r="BK1757" s="1392" t="n"/>
      <c r="BL1757" s="1392" t="n"/>
      <c r="BM1757" s="1392" t="n"/>
      <c r="BN1757" s="1392" t="n"/>
      <c r="BO1757" s="1392" t="n"/>
      <c r="BP1757" s="1392" t="n"/>
      <c r="BQ1757" s="1392" t="n"/>
      <c r="BR1757" s="1392" t="n"/>
      <c r="BS1757" s="1392" t="n"/>
      <c r="BT1757" s="1392" t="n"/>
      <c r="BU1757" s="1392" t="n"/>
      <c r="BV1757" s="1392" t="n"/>
      <c r="BW1757" s="1392" t="n"/>
      <c r="BX1757" s="1392" t="n"/>
      <c r="BY1757" s="1392" t="n"/>
      <c r="BZ1757" s="1392" t="n"/>
      <c r="CA1757" s="1392" t="n"/>
      <c r="CB1757" s="1392" t="n"/>
      <c r="CC1757" s="1392" t="n"/>
      <c r="CD1757" s="1392" t="n"/>
      <c r="CE1757" s="1392" t="n"/>
      <c r="CF1757" s="1392" t="n"/>
      <c r="CG1757" s="1392" t="n"/>
      <c r="CH1757" s="1392" t="n"/>
      <c r="CI1757" s="1392" t="n"/>
      <c r="CJ1757" s="1392" t="n"/>
      <c r="CK1757" s="1392" t="n"/>
      <c r="CL1757" s="1392" t="n"/>
    </row>
    <row r="1758">
      <c r="A1758" s="5" t="inlineStr">
        <is>
          <t>.</t>
        </is>
      </c>
      <c r="B1758" s="5" t="inlineStr">
        <is>
          <t>.</t>
        </is>
      </c>
      <c r="C1758" s="1378">
        <f>IF(raw[[#This Row],[city]]="","-",IF(raw[[#This Row],[city]]="TODAY","-",C1757+1))</f>
        <v/>
      </c>
      <c r="D1758" s="1393" t="inlineStr">
        <is>
          <t>Montreal</t>
        </is>
      </c>
      <c r="E1758" s="1394" t="n">
        <v>45717</v>
      </c>
      <c r="F1758" s="1394" t="n">
        <v>45748</v>
      </c>
      <c r="G1758" s="1393" t="inlineStr">
        <is>
          <t>-</t>
        </is>
      </c>
      <c r="H1758" s="1393" t="inlineStr">
        <is>
          <t>Gaspé</t>
        </is>
      </c>
      <c r="I1758" s="1393" t="inlineStr">
        <is>
          <t>-</t>
        </is>
      </c>
      <c r="J1758" s="1393" t="inlineStr">
        <is>
          <t>-</t>
        </is>
      </c>
      <c r="K1758" s="1395">
        <f>IF(raw[[#This Row],[city]]&lt;&gt;"",_xlfn.XLOOKUP($D1758,ccc[city],ccc[prov],"-"),"-")</f>
        <v/>
      </c>
      <c r="L1758" s="1395">
        <f>IF(raw[[#This Row],[city]]&lt;&gt;"",_xlfn.XLOOKUP($D1758,ccc[city],ccc[ctry],"-"),"-")</f>
        <v/>
      </c>
      <c r="M1758" s="1395">
        <f>IF(raw[[#This Row],[city]]&lt;&gt;"",_xlfn.XLOOKUP($D1758,ccc[city],ccc[cont],"-"),"-")</f>
        <v/>
      </c>
      <c r="N1758" s="1396">
        <f>IF(raw[[#This Row],[city]]="","-",IF(raw[[#This Row],[cont]]="B",raw[[#This Row],[cont]],"W"))</f>
        <v/>
      </c>
      <c r="O1758" s="1397">
        <f>IF(raw[[#This Row],[out]]=0,0,IF(raw[[#This Row],[out]]=raw[[#This Row],[in]],0.01,raw[[#This Row],[out]]-raw[[#This Row],[in]]))</f>
        <v/>
      </c>
      <c r="P1758" s="1397">
        <f>IF(raw[[#This Row],[in]]=0,0,MONTH(raw[[#This Row],[in]]))</f>
        <v/>
      </c>
      <c r="Q1758" s="1397">
        <f>IF(raw[[#This Row],[in]]=0,0,YEAR(raw[[#This Row],[in]]))</f>
        <v/>
      </c>
      <c r="R1758" s="1397">
        <f>INT(raw[[#This Row],[yr]]/10)*10</f>
        <v/>
      </c>
      <c r="S1758" s="1395">
        <f>IF(raw[[#This Row],[city]]="","-",IF(raw[[#This Row],[city]]&lt;&gt;_xlfn.XLOOKUP(raw[[#This Row],[home]],homes[home],homes[city],"-"),1,0))</f>
        <v/>
      </c>
      <c r="T1758" s="1398" t="inlineStr">
        <is>
          <t>.</t>
        </is>
      </c>
      <c r="U1758" s="1399">
        <f>IF(raw[[#This Row],[wb]]="w",raw[[#This Row],[stay]]+U1757,U1757)</f>
        <v/>
      </c>
      <c r="V1758" s="1400">
        <f>IF(raw[[#This Row],[out]]=0,V1757,(raw[[#This Row],[out]]-E$5))</f>
        <v/>
      </c>
      <c r="W1758" s="1401">
        <f>U1758/V1758</f>
        <v/>
      </c>
      <c r="X1758" s="1392" t="n"/>
      <c r="Y1758" s="1392" t="n"/>
      <c r="Z1758" s="1392" t="n"/>
      <c r="AA1758" s="1392" t="n"/>
      <c r="AB1758" s="1392" t="n"/>
      <c r="AC1758" s="1392" t="n"/>
      <c r="AD1758" s="1392" t="n"/>
      <c r="AE1758" s="1392" t="n"/>
      <c r="AF1758" s="1392" t="n"/>
      <c r="AG1758" s="1392" t="n"/>
      <c r="AH1758" s="1392" t="n"/>
      <c r="AI1758" s="1392" t="n"/>
      <c r="AJ1758" s="1392" t="n"/>
      <c r="AK1758" s="1392" t="n"/>
      <c r="AL1758" s="1392" t="n"/>
      <c r="AM1758" s="1392" t="n"/>
      <c r="AN1758" s="1392" t="n"/>
      <c r="AO1758" s="1392" t="n"/>
      <c r="AP1758" s="1392" t="n"/>
      <c r="AQ1758" s="1392" t="n"/>
      <c r="AR1758" s="1422" t="n"/>
      <c r="AS1758" s="1422" t="n"/>
      <c r="AT1758" s="1392" t="n"/>
      <c r="AU1758" s="1392" t="n"/>
      <c r="AV1758" s="1392" t="n"/>
      <c r="AW1758" s="1392" t="n"/>
      <c r="AX1758" s="1392" t="n"/>
      <c r="AY1758" s="1392" t="n"/>
      <c r="AZ1758" s="1392" t="n"/>
      <c r="BA1758" s="1422" t="n"/>
      <c r="BB1758" s="1422" t="n"/>
      <c r="BC1758" s="1392" t="n"/>
      <c r="BD1758" s="1392" t="n"/>
      <c r="BE1758" s="1392" t="n"/>
      <c r="BF1758" s="1392" t="n"/>
      <c r="BG1758" s="1392" t="n"/>
      <c r="BH1758" s="1392" t="n"/>
      <c r="BI1758" s="1392" t="n"/>
      <c r="BJ1758" s="1392" t="n"/>
      <c r="BK1758" s="1392" t="n"/>
      <c r="BL1758" s="1392" t="n"/>
      <c r="BM1758" s="1392" t="n"/>
      <c r="BN1758" s="1392" t="n"/>
      <c r="BO1758" s="1392" t="n"/>
      <c r="BP1758" s="1392" t="n"/>
      <c r="BQ1758" s="1392" t="n"/>
      <c r="BR1758" s="1392" t="n"/>
      <c r="BS1758" s="1392" t="n"/>
      <c r="BT1758" s="1392" t="n"/>
      <c r="BU1758" s="1392" t="n"/>
      <c r="BV1758" s="1392" t="n"/>
      <c r="BW1758" s="1392" t="n"/>
      <c r="BX1758" s="1392" t="n"/>
      <c r="BY1758" s="1392" t="n"/>
      <c r="BZ1758" s="1392" t="n"/>
      <c r="CA1758" s="1392" t="n"/>
      <c r="CB1758" s="1392" t="n"/>
      <c r="CC1758" s="1392" t="n"/>
      <c r="CD1758" s="1392" t="n"/>
      <c r="CE1758" s="1392" t="n"/>
      <c r="CF1758" s="1392" t="n"/>
      <c r="CG1758" s="1392" t="n"/>
      <c r="CH1758" s="1392" t="n"/>
      <c r="CI1758" s="1392" t="n"/>
      <c r="CJ1758" s="1392" t="n"/>
      <c r="CK1758" s="1392" t="n"/>
      <c r="CL1758" s="1392" t="n"/>
    </row>
    <row r="1759">
      <c r="A1759" s="5" t="inlineStr">
        <is>
          <t>.</t>
        </is>
      </c>
      <c r="B1759" s="5" t="inlineStr">
        <is>
          <t>.</t>
        </is>
      </c>
      <c r="C1759" s="1378">
        <f>IF(raw[[#This Row],[city]]="","-",IF(raw[[#This Row],[city]]="TODAY","-",C1758+1))</f>
        <v/>
      </c>
      <c r="D1759" s="1393" t="inlineStr">
        <is>
          <t>Montreal</t>
        </is>
      </c>
      <c r="E1759" s="1394" t="n">
        <v>45748</v>
      </c>
      <c r="F1759" s="1394" t="n">
        <v>45778</v>
      </c>
      <c r="G1759" s="1393" t="inlineStr">
        <is>
          <t>-</t>
        </is>
      </c>
      <c r="H1759" s="1393" t="inlineStr">
        <is>
          <t>Gaspé</t>
        </is>
      </c>
      <c r="I1759" s="1393" t="inlineStr">
        <is>
          <t>-</t>
        </is>
      </c>
      <c r="J1759" s="1393" t="inlineStr">
        <is>
          <t>-</t>
        </is>
      </c>
      <c r="K1759" s="1395">
        <f>IF(raw[[#This Row],[city]]&lt;&gt;"",_xlfn.XLOOKUP($D1759,ccc[city],ccc[prov],"-"),"-")</f>
        <v/>
      </c>
      <c r="L1759" s="1395">
        <f>IF(raw[[#This Row],[city]]&lt;&gt;"",_xlfn.XLOOKUP($D1759,ccc[city],ccc[ctry],"-"),"-")</f>
        <v/>
      </c>
      <c r="M1759" s="1395">
        <f>IF(raw[[#This Row],[city]]&lt;&gt;"",_xlfn.XLOOKUP($D1759,ccc[city],ccc[cont],"-"),"-")</f>
        <v/>
      </c>
      <c r="N1759" s="1396">
        <f>IF(raw[[#This Row],[city]]="","-",IF(raw[[#This Row],[cont]]="B",raw[[#This Row],[cont]],"W"))</f>
        <v/>
      </c>
      <c r="O1759" s="1397">
        <f>IF(raw[[#This Row],[out]]=0,0,IF(raw[[#This Row],[out]]=raw[[#This Row],[in]],0.01,raw[[#This Row],[out]]-raw[[#This Row],[in]]))</f>
        <v/>
      </c>
      <c r="P1759" s="1397">
        <f>IF(raw[[#This Row],[in]]=0,0,MONTH(raw[[#This Row],[in]]))</f>
        <v/>
      </c>
      <c r="Q1759" s="1397">
        <f>IF(raw[[#This Row],[in]]=0,0,YEAR(raw[[#This Row],[in]]))</f>
        <v/>
      </c>
      <c r="R1759" s="1397">
        <f>INT(raw[[#This Row],[yr]]/10)*10</f>
        <v/>
      </c>
      <c r="S1759" s="1395">
        <f>IF(raw[[#This Row],[city]]="","-",IF(raw[[#This Row],[city]]&lt;&gt;_xlfn.XLOOKUP(raw[[#This Row],[home]],homes[home],homes[city],"-"),1,0))</f>
        <v/>
      </c>
      <c r="T1759" s="1398" t="inlineStr">
        <is>
          <t>.</t>
        </is>
      </c>
      <c r="U1759" s="1399">
        <f>IF(raw[[#This Row],[wb]]="w",raw[[#This Row],[stay]]+U1758,U1758)</f>
        <v/>
      </c>
      <c r="V1759" s="1400">
        <f>IF(raw[[#This Row],[out]]=0,V1758,(raw[[#This Row],[out]]-E$5))</f>
        <v/>
      </c>
      <c r="W1759" s="1401">
        <f>U1759/V1759</f>
        <v/>
      </c>
      <c r="X1759" s="1392" t="n"/>
      <c r="Y1759" s="1392" t="n"/>
      <c r="Z1759" s="1392" t="n"/>
      <c r="AA1759" s="1392" t="n"/>
      <c r="AB1759" s="1392" t="n"/>
      <c r="AC1759" s="1392" t="n"/>
      <c r="AD1759" s="1392" t="n"/>
      <c r="AE1759" s="1392" t="n"/>
      <c r="AF1759" s="1392" t="n"/>
      <c r="AG1759" s="1392" t="n"/>
      <c r="AH1759" s="1392" t="n"/>
      <c r="AI1759" s="1392" t="n"/>
      <c r="AJ1759" s="1392" t="n"/>
      <c r="AK1759" s="1392" t="n"/>
      <c r="AL1759" s="1392" t="n"/>
      <c r="AM1759" s="1392" t="n"/>
      <c r="AN1759" s="1392" t="n"/>
      <c r="AO1759" s="1392" t="n"/>
      <c r="AP1759" s="1392" t="n"/>
      <c r="AQ1759" s="1392" t="n"/>
      <c r="AR1759" s="1422" t="n"/>
      <c r="AS1759" s="1422" t="n"/>
      <c r="AT1759" s="1392" t="n"/>
      <c r="AU1759" s="1392" t="n"/>
      <c r="AV1759" s="1392" t="n"/>
      <c r="AW1759" s="1392" t="n"/>
      <c r="AX1759" s="1392" t="n"/>
      <c r="AY1759" s="1392" t="n"/>
      <c r="AZ1759" s="1392" t="n"/>
      <c r="BA1759" s="1422" t="n"/>
      <c r="BB1759" s="1422" t="n"/>
      <c r="BC1759" s="1392" t="n"/>
      <c r="BD1759" s="1392" t="n"/>
      <c r="BE1759" s="1392" t="n"/>
      <c r="BF1759" s="1392" t="n"/>
      <c r="BG1759" s="1392" t="n"/>
      <c r="BH1759" s="1392" t="n"/>
      <c r="BI1759" s="1392" t="n"/>
      <c r="BJ1759" s="1392" t="n"/>
      <c r="BK1759" s="1392" t="n"/>
      <c r="BL1759" s="1392" t="n"/>
      <c r="BM1759" s="1392" t="n"/>
      <c r="BN1759" s="1392" t="n"/>
      <c r="BO1759" s="1392" t="n"/>
      <c r="BP1759" s="1392" t="n"/>
      <c r="BQ1759" s="1392" t="n"/>
      <c r="BR1759" s="1392" t="n"/>
      <c r="BS1759" s="1392" t="n"/>
      <c r="BT1759" s="1392" t="n"/>
      <c r="BU1759" s="1392" t="n"/>
      <c r="BV1759" s="1392" t="n"/>
      <c r="BW1759" s="1392" t="n"/>
      <c r="BX1759" s="1392" t="n"/>
      <c r="BY1759" s="1392" t="n"/>
      <c r="BZ1759" s="1392" t="n"/>
      <c r="CA1759" s="1392" t="n"/>
      <c r="CB1759" s="1392" t="n"/>
      <c r="CC1759" s="1392" t="n"/>
      <c r="CD1759" s="1392" t="n"/>
      <c r="CE1759" s="1392" t="n"/>
      <c r="CF1759" s="1392" t="n"/>
      <c r="CG1759" s="1392" t="n"/>
      <c r="CH1759" s="1392" t="n"/>
      <c r="CI1759" s="1392" t="n"/>
      <c r="CJ1759" s="1392" t="n"/>
      <c r="CK1759" s="1392" t="n"/>
      <c r="CL1759" s="1392" t="n"/>
    </row>
    <row r="1760">
      <c r="A1760" s="5" t="inlineStr">
        <is>
          <t>.</t>
        </is>
      </c>
      <c r="B1760" s="5" t="inlineStr">
        <is>
          <t>.</t>
        </is>
      </c>
      <c r="C1760" s="1378">
        <f>IF(raw[[#This Row],[city]]="","-",IF(raw[[#This Row],[city]]="TODAY","-",C1759+1))</f>
        <v/>
      </c>
      <c r="D1760" s="1393" t="inlineStr">
        <is>
          <t>Montreal</t>
        </is>
      </c>
      <c r="E1760" s="1394" t="n">
        <v>45778</v>
      </c>
      <c r="F1760" s="1394" t="n">
        <v>45809</v>
      </c>
      <c r="G1760" s="1393" t="inlineStr">
        <is>
          <t>-</t>
        </is>
      </c>
      <c r="H1760" s="1393" t="inlineStr">
        <is>
          <t>Gaspé</t>
        </is>
      </c>
      <c r="I1760" s="1393" t="inlineStr">
        <is>
          <t>-</t>
        </is>
      </c>
      <c r="J1760" s="1393" t="inlineStr">
        <is>
          <t>-</t>
        </is>
      </c>
      <c r="K1760" s="1395">
        <f>IF(raw[[#This Row],[city]]&lt;&gt;"",_xlfn.XLOOKUP($D1760,ccc[city],ccc[prov],"-"),"-")</f>
        <v/>
      </c>
      <c r="L1760" s="1395">
        <f>IF(raw[[#This Row],[city]]&lt;&gt;"",_xlfn.XLOOKUP($D1760,ccc[city],ccc[ctry],"-"),"-")</f>
        <v/>
      </c>
      <c r="M1760" s="1395">
        <f>IF(raw[[#This Row],[city]]&lt;&gt;"",_xlfn.XLOOKUP($D1760,ccc[city],ccc[cont],"-"),"-")</f>
        <v/>
      </c>
      <c r="N1760" s="1396">
        <f>IF(raw[[#This Row],[city]]="","-",IF(raw[[#This Row],[cont]]="B",raw[[#This Row],[cont]],"W"))</f>
        <v/>
      </c>
      <c r="O1760" s="1397">
        <f>IF(raw[[#This Row],[out]]=0,0,IF(raw[[#This Row],[out]]=raw[[#This Row],[in]],0.01,raw[[#This Row],[out]]-raw[[#This Row],[in]]))</f>
        <v/>
      </c>
      <c r="P1760" s="1397">
        <f>IF(raw[[#This Row],[in]]=0,0,MONTH(raw[[#This Row],[in]]))</f>
        <v/>
      </c>
      <c r="Q1760" s="1397">
        <f>IF(raw[[#This Row],[in]]=0,0,YEAR(raw[[#This Row],[in]]))</f>
        <v/>
      </c>
      <c r="R1760" s="1397">
        <f>INT(raw[[#This Row],[yr]]/10)*10</f>
        <v/>
      </c>
      <c r="S1760" s="1395">
        <f>IF(raw[[#This Row],[city]]="","-",IF(raw[[#This Row],[city]]&lt;&gt;_xlfn.XLOOKUP(raw[[#This Row],[home]],homes[home],homes[city],"-"),1,0))</f>
        <v/>
      </c>
      <c r="T1760" s="1398" t="inlineStr">
        <is>
          <t>.</t>
        </is>
      </c>
      <c r="U1760" s="1399">
        <f>IF(raw[[#This Row],[wb]]="w",raw[[#This Row],[stay]]+U1759,U1759)</f>
        <v/>
      </c>
      <c r="V1760" s="1400">
        <f>IF(raw[[#This Row],[out]]=0,V1759,(raw[[#This Row],[out]]-E$5))</f>
        <v/>
      </c>
      <c r="W1760" s="1401">
        <f>U1760/V1760</f>
        <v/>
      </c>
      <c r="X1760" s="1392" t="n"/>
      <c r="Y1760" s="1392" t="n"/>
      <c r="Z1760" s="1392" t="n"/>
      <c r="AA1760" s="1392" t="n"/>
      <c r="AB1760" s="1392" t="n"/>
      <c r="AC1760" s="1392" t="n"/>
      <c r="AD1760" s="1392" t="n"/>
      <c r="AE1760" s="1392" t="n"/>
      <c r="AF1760" s="1392" t="n"/>
      <c r="AG1760" s="1392" t="n"/>
      <c r="AH1760" s="1392" t="n"/>
      <c r="AI1760" s="1392" t="n"/>
      <c r="AJ1760" s="1392" t="n"/>
      <c r="AK1760" s="1392" t="n"/>
      <c r="AL1760" s="1392" t="n"/>
      <c r="AM1760" s="1392" t="n"/>
      <c r="AN1760" s="1392" t="n"/>
      <c r="AO1760" s="1392" t="n"/>
      <c r="AP1760" s="1392" t="n"/>
      <c r="AQ1760" s="1392" t="n"/>
      <c r="AR1760" s="1422" t="n"/>
      <c r="AS1760" s="1422" t="n"/>
      <c r="AT1760" s="1392" t="n"/>
      <c r="AU1760" s="1392" t="n"/>
      <c r="AV1760" s="1392" t="n"/>
      <c r="AW1760" s="1392" t="n"/>
      <c r="AX1760" s="1392" t="n"/>
      <c r="AY1760" s="1392" t="n"/>
      <c r="AZ1760" s="1392" t="n"/>
      <c r="BA1760" s="1422" t="n"/>
      <c r="BB1760" s="1422" t="n"/>
      <c r="BC1760" s="1392" t="n"/>
      <c r="BD1760" s="1392" t="n"/>
      <c r="BE1760" s="1392" t="n"/>
      <c r="BF1760" s="1392" t="n"/>
      <c r="BG1760" s="1392" t="n"/>
      <c r="BH1760" s="1392" t="n"/>
      <c r="BI1760" s="1392" t="n"/>
      <c r="BJ1760" s="1392" t="n"/>
      <c r="BK1760" s="1392" t="n"/>
      <c r="BL1760" s="1392" t="n"/>
      <c r="BM1760" s="1392" t="n"/>
      <c r="BN1760" s="1392" t="n"/>
      <c r="BO1760" s="1392" t="n"/>
      <c r="BP1760" s="1392" t="n"/>
      <c r="BQ1760" s="1392" t="n"/>
      <c r="BR1760" s="1392" t="n"/>
      <c r="BS1760" s="1392" t="n"/>
      <c r="BT1760" s="1392" t="n"/>
      <c r="BU1760" s="1392" t="n"/>
      <c r="BV1760" s="1392" t="n"/>
      <c r="BW1760" s="1392" t="n"/>
      <c r="BX1760" s="1392" t="n"/>
      <c r="BY1760" s="1392" t="n"/>
      <c r="BZ1760" s="1392" t="n"/>
      <c r="CA1760" s="1392" t="n"/>
      <c r="CB1760" s="1392" t="n"/>
      <c r="CC1760" s="1392" t="n"/>
      <c r="CD1760" s="1392" t="n"/>
      <c r="CE1760" s="1392" t="n"/>
      <c r="CF1760" s="1392" t="n"/>
      <c r="CG1760" s="1392" t="n"/>
      <c r="CH1760" s="1392" t="n"/>
      <c r="CI1760" s="1392" t="n"/>
      <c r="CJ1760" s="1392" t="n"/>
      <c r="CK1760" s="1392" t="n"/>
      <c r="CL1760" s="1392" t="n"/>
    </row>
    <row r="1761">
      <c r="A1761" s="5" t="inlineStr">
        <is>
          <t>.</t>
        </is>
      </c>
      <c r="B1761" s="5" t="inlineStr">
        <is>
          <t>.</t>
        </is>
      </c>
      <c r="C1761" s="1378">
        <f>IF(raw[[#This Row],[city]]="","-",IF(raw[[#This Row],[city]]="TODAY","-",C1760+1))</f>
        <v/>
      </c>
      <c r="D1761" s="1393" t="inlineStr">
        <is>
          <t>Montreal</t>
        </is>
      </c>
      <c r="E1761" s="1394" t="n">
        <v>45809</v>
      </c>
      <c r="F1761" s="1394" t="n">
        <v>45838</v>
      </c>
      <c r="G1761" s="1393" t="n">
        <v>1</v>
      </c>
      <c r="H1761" s="1393" t="inlineStr">
        <is>
          <t>Gaspé</t>
        </is>
      </c>
      <c r="I1761" s="1393" t="inlineStr">
        <is>
          <t>-</t>
        </is>
      </c>
      <c r="J1761" s="1393" t="inlineStr">
        <is>
          <t>-</t>
        </is>
      </c>
      <c r="K1761" s="1395">
        <f>IF(raw[[#This Row],[city]]&lt;&gt;"",_xlfn.XLOOKUP($D1761,ccc[city],ccc[prov],"-"),"-")</f>
        <v/>
      </c>
      <c r="L1761" s="1395">
        <f>IF(raw[[#This Row],[city]]&lt;&gt;"",_xlfn.XLOOKUP($D1761,ccc[city],ccc[ctry],"-"),"-")</f>
        <v/>
      </c>
      <c r="M1761" s="1395">
        <f>IF(raw[[#This Row],[city]]&lt;&gt;"",_xlfn.XLOOKUP($D1761,ccc[city],ccc[cont],"-"),"-")</f>
        <v/>
      </c>
      <c r="N1761" s="1396">
        <f>IF(raw[[#This Row],[city]]="","-",IF(raw[[#This Row],[cont]]="B",raw[[#This Row],[cont]],"W"))</f>
        <v/>
      </c>
      <c r="O1761" s="1397">
        <f>IF(raw[[#This Row],[out]]=0,0,IF(raw[[#This Row],[out]]=raw[[#This Row],[in]],0.01,raw[[#This Row],[out]]-raw[[#This Row],[in]]))</f>
        <v/>
      </c>
      <c r="P1761" s="1397">
        <f>IF(raw[[#This Row],[in]]=0,0,MONTH(raw[[#This Row],[in]]))</f>
        <v/>
      </c>
      <c r="Q1761" s="1397">
        <f>IF(raw[[#This Row],[in]]=0,0,YEAR(raw[[#This Row],[in]]))</f>
        <v/>
      </c>
      <c r="R1761" s="1397">
        <f>INT(raw[[#This Row],[yr]]/10)*10</f>
        <v/>
      </c>
      <c r="S1761" s="1395">
        <f>IF(raw[[#This Row],[city]]="","-",IF(raw[[#This Row],[city]]&lt;&gt;_xlfn.XLOOKUP(raw[[#This Row],[home]],homes[home],homes[city],"-"),1,0))</f>
        <v/>
      </c>
      <c r="T1761" s="1398" t="inlineStr">
        <is>
          <t>.</t>
        </is>
      </c>
      <c r="U1761" s="1399">
        <f>IF(raw[[#This Row],[wb]]="w",raw[[#This Row],[stay]]+U1760,U1760)</f>
        <v/>
      </c>
      <c r="V1761" s="1400">
        <f>IF(raw[[#This Row],[out]]=0,V1760,(raw[[#This Row],[out]]-E$5))</f>
        <v/>
      </c>
      <c r="W1761" s="1401">
        <f>U1761/V1761</f>
        <v/>
      </c>
      <c r="X1761" s="1392" t="n"/>
      <c r="Y1761" s="1392" t="n"/>
      <c r="Z1761" s="1392" t="n"/>
      <c r="AA1761" s="1392" t="n"/>
      <c r="AB1761" s="1392" t="n"/>
      <c r="AC1761" s="1392" t="n"/>
      <c r="AD1761" s="1392" t="n"/>
      <c r="AE1761" s="1392" t="n"/>
      <c r="AF1761" s="1392" t="n"/>
      <c r="AG1761" s="1392" t="n"/>
      <c r="AH1761" s="1392" t="n"/>
      <c r="AI1761" s="1392" t="n"/>
      <c r="AJ1761" s="1392" t="n"/>
      <c r="AK1761" s="1392" t="n"/>
      <c r="AL1761" s="1392" t="n"/>
      <c r="AM1761" s="1392" t="n"/>
      <c r="AN1761" s="1392" t="n"/>
      <c r="AO1761" s="1392" t="n"/>
      <c r="AP1761" s="1392" t="n"/>
      <c r="AQ1761" s="1392" t="n"/>
      <c r="AR1761" s="1422" t="n"/>
      <c r="AS1761" s="1422" t="n"/>
      <c r="AT1761" s="1392" t="n"/>
      <c r="AU1761" s="1392" t="n"/>
      <c r="AV1761" s="1392" t="n"/>
      <c r="AW1761" s="1392" t="n"/>
      <c r="AX1761" s="1392" t="n"/>
      <c r="AY1761" s="1392" t="n"/>
      <c r="AZ1761" s="1392" t="n"/>
      <c r="BA1761" s="1422" t="n"/>
      <c r="BB1761" s="1422" t="n"/>
      <c r="BC1761" s="1392" t="n"/>
      <c r="BD1761" s="1392" t="n"/>
      <c r="BE1761" s="1392" t="n"/>
      <c r="BF1761" s="1392" t="n"/>
      <c r="BG1761" s="1392" t="n"/>
      <c r="BH1761" s="1392" t="n"/>
      <c r="BI1761" s="1392" t="n"/>
      <c r="BJ1761" s="1392" t="n"/>
      <c r="BK1761" s="1392" t="n"/>
      <c r="BL1761" s="1392" t="n"/>
      <c r="BM1761" s="1392" t="n"/>
      <c r="BN1761" s="1392" t="n"/>
      <c r="BO1761" s="1392" t="n"/>
      <c r="BP1761" s="1392" t="n"/>
      <c r="BQ1761" s="1392" t="n"/>
      <c r="BR1761" s="1392" t="n"/>
      <c r="BS1761" s="1392" t="n"/>
      <c r="BT1761" s="1392" t="n"/>
      <c r="BU1761" s="1392" t="n"/>
      <c r="BV1761" s="1392" t="n"/>
      <c r="BW1761" s="1392" t="n"/>
      <c r="BX1761" s="1392" t="n"/>
      <c r="BY1761" s="1392" t="n"/>
      <c r="BZ1761" s="1392" t="n"/>
      <c r="CA1761" s="1392" t="n"/>
      <c r="CB1761" s="1392" t="n"/>
      <c r="CC1761" s="1392" t="n"/>
      <c r="CD1761" s="1392" t="n"/>
      <c r="CE1761" s="1392" t="n"/>
      <c r="CF1761" s="1392" t="n"/>
      <c r="CG1761" s="1392" t="n"/>
      <c r="CH1761" s="1392" t="n"/>
      <c r="CI1761" s="1392" t="n"/>
      <c r="CJ1761" s="1392" t="n"/>
      <c r="CK1761" s="1392" t="n"/>
      <c r="CL1761" s="1392" t="n"/>
    </row>
    <row r="1762">
      <c r="A1762" s="5" t="inlineStr">
        <is>
          <t>.</t>
        </is>
      </c>
      <c r="B1762" s="5" t="inlineStr">
        <is>
          <t>.</t>
        </is>
      </c>
      <c r="C1762" s="1378">
        <f>IF(raw[[#This Row],[city]]="","-",IF(raw[[#This Row],[city]]="TODAY","-",C1761+1))</f>
        <v/>
      </c>
      <c r="D1762" s="1393" t="inlineStr">
        <is>
          <t>AIR</t>
        </is>
      </c>
      <c r="E1762" s="1394" t="n">
        <v>45838</v>
      </c>
      <c r="F1762" s="1394" t="n">
        <v>45839</v>
      </c>
      <c r="G1762" s="1393" t="inlineStr">
        <is>
          <t>x</t>
        </is>
      </c>
      <c r="H1762" s="1393" t="inlineStr">
        <is>
          <t>Transit</t>
        </is>
      </c>
      <c r="I1762" s="1393" t="inlineStr">
        <is>
          <t>-</t>
        </is>
      </c>
      <c r="J1762" s="1393" t="inlineStr">
        <is>
          <t>-</t>
        </is>
      </c>
      <c r="K1762" s="1395">
        <f>IF(raw[[#This Row],[city]]&lt;&gt;"",_xlfn.XLOOKUP($D1762,ccc[city],ccc[prov],"-"),"-")</f>
        <v/>
      </c>
      <c r="L1762" s="1395">
        <f>IF(raw[[#This Row],[city]]&lt;&gt;"",_xlfn.XLOOKUP($D1762,ccc[city],ccc[ctry],"-"),"-")</f>
        <v/>
      </c>
      <c r="M1762" s="1395">
        <f>IF(raw[[#This Row],[city]]&lt;&gt;"",_xlfn.XLOOKUP($D1762,ccc[city],ccc[cont],"-"),"-")</f>
        <v/>
      </c>
      <c r="N1762" s="1396">
        <f>IF(raw[[#This Row],[city]]="","-",IF(raw[[#This Row],[cont]]="B",raw[[#This Row],[cont]],"W"))</f>
        <v/>
      </c>
      <c r="O1762" s="1397">
        <f>IF(raw[[#This Row],[out]]=0,0,IF(raw[[#This Row],[out]]=raw[[#This Row],[in]],0.01,raw[[#This Row],[out]]-raw[[#This Row],[in]]))</f>
        <v/>
      </c>
      <c r="P1762" s="1397">
        <f>IF(raw[[#This Row],[in]]=0,0,MONTH(raw[[#This Row],[in]]))</f>
        <v/>
      </c>
      <c r="Q1762" s="1397">
        <f>IF(raw[[#This Row],[in]]=0,0,YEAR(raw[[#This Row],[in]]))</f>
        <v/>
      </c>
      <c r="R1762" s="1397">
        <f>INT(raw[[#This Row],[yr]]/10)*10</f>
        <v/>
      </c>
      <c r="S1762" s="1395">
        <f>IF(raw[[#This Row],[city]]="","-",IF(raw[[#This Row],[city]]&lt;&gt;_xlfn.XLOOKUP(raw[[#This Row],[home]],homes[home],homes[city],"-"),1,0))</f>
        <v/>
      </c>
      <c r="T1762" s="1398" t="inlineStr">
        <is>
          <t>.</t>
        </is>
      </c>
      <c r="U1762" s="1399">
        <f>IF(raw[[#This Row],[wb]]="w",raw[[#This Row],[stay]]+U1761,U1761)</f>
        <v/>
      </c>
      <c r="V1762" s="1400">
        <f>IF(raw[[#This Row],[out]]=0,V1761,(raw[[#This Row],[out]]-E$5))</f>
        <v/>
      </c>
      <c r="W1762" s="1401">
        <f>U1762/V1762</f>
        <v/>
      </c>
      <c r="X1762" s="1392" t="n"/>
      <c r="Y1762" s="1392" t="n"/>
      <c r="Z1762" s="1392" t="n"/>
      <c r="AA1762" s="1392" t="n"/>
      <c r="AB1762" s="1392" t="n"/>
      <c r="AC1762" s="1392" t="n"/>
      <c r="AD1762" s="1392" t="n"/>
      <c r="AE1762" s="1392" t="n"/>
      <c r="AF1762" s="1392" t="n"/>
      <c r="AG1762" s="1392" t="n"/>
      <c r="AH1762" s="1392" t="n"/>
      <c r="AI1762" s="1392" t="n"/>
      <c r="AJ1762" s="1392" t="n"/>
      <c r="AK1762" s="1392" t="n"/>
      <c r="AL1762" s="1392" t="n"/>
      <c r="AM1762" s="1392" t="n"/>
      <c r="AN1762" s="1392" t="n"/>
      <c r="AO1762" s="1392" t="n"/>
      <c r="AP1762" s="1392" t="n"/>
      <c r="AQ1762" s="1392" t="n"/>
      <c r="AR1762" s="1422" t="n"/>
      <c r="AS1762" s="1422" t="n"/>
      <c r="AT1762" s="1392" t="n"/>
      <c r="AU1762" s="1392" t="n"/>
      <c r="AV1762" s="1392" t="n"/>
      <c r="AW1762" s="1392" t="n"/>
      <c r="AX1762" s="1392" t="n"/>
      <c r="AY1762" s="1392" t="n"/>
      <c r="AZ1762" s="1392" t="n"/>
      <c r="BA1762" s="1422" t="n"/>
      <c r="BB1762" s="1422" t="n"/>
      <c r="BC1762" s="1392" t="n"/>
      <c r="BD1762" s="1392" t="n"/>
      <c r="BE1762" s="1392" t="n"/>
      <c r="BF1762" s="1392" t="n"/>
      <c r="BG1762" s="1392" t="n"/>
      <c r="BH1762" s="1392" t="n"/>
      <c r="BI1762" s="1392" t="n"/>
      <c r="BJ1762" s="1392" t="n"/>
      <c r="BK1762" s="1392" t="n"/>
      <c r="BL1762" s="1392" t="n"/>
      <c r="BM1762" s="1392" t="n"/>
      <c r="BN1762" s="1392" t="n"/>
      <c r="BO1762" s="1392" t="n"/>
      <c r="BP1762" s="1392" t="n"/>
      <c r="BQ1762" s="1392" t="n"/>
      <c r="BR1762" s="1392" t="n"/>
      <c r="BS1762" s="1392" t="n"/>
      <c r="BT1762" s="1392" t="n"/>
      <c r="BU1762" s="1392" t="n"/>
      <c r="BV1762" s="1392" t="n"/>
      <c r="BW1762" s="1392" t="n"/>
      <c r="BX1762" s="1392" t="n"/>
      <c r="BY1762" s="1392" t="n"/>
      <c r="BZ1762" s="1392" t="n"/>
      <c r="CA1762" s="1392" t="n"/>
      <c r="CB1762" s="1392" t="n"/>
      <c r="CC1762" s="1392" t="n"/>
      <c r="CD1762" s="1392" t="n"/>
      <c r="CE1762" s="1392" t="n"/>
      <c r="CF1762" s="1392" t="n"/>
      <c r="CG1762" s="1392" t="n"/>
      <c r="CH1762" s="1392" t="n"/>
      <c r="CI1762" s="1392" t="n"/>
      <c r="CJ1762" s="1392" t="n"/>
      <c r="CK1762" s="1392" t="n"/>
      <c r="CL1762" s="1392" t="n"/>
    </row>
    <row r="1763">
      <c r="A1763" s="5" t="inlineStr">
        <is>
          <t>.</t>
        </is>
      </c>
      <c r="B1763" s="5" t="inlineStr">
        <is>
          <t>.</t>
        </is>
      </c>
      <c r="C1763" s="1378">
        <f>IF(raw[[#This Row],[city]]="","-",IF(raw[[#This Row],[city]]="TODAY","-",C1762+1))</f>
        <v/>
      </c>
      <c r="D1763" s="1393" t="inlineStr">
        <is>
          <t>Porto</t>
        </is>
      </c>
      <c r="E1763" s="1394" t="n">
        <v>45839</v>
      </c>
      <c r="F1763" s="1394" t="n">
        <v>45845</v>
      </c>
      <c r="G1763" s="1393" t="inlineStr">
        <is>
          <t>-</t>
        </is>
      </c>
      <c r="H1763" s="1393" t="inlineStr">
        <is>
          <t>Joao I</t>
        </is>
      </c>
      <c r="I1763" s="1393" t="inlineStr">
        <is>
          <t>Holiday Inn/Airbnb</t>
        </is>
      </c>
      <c r="J1763" s="1393" t="inlineStr">
        <is>
          <t>-</t>
        </is>
      </c>
      <c r="K1763" s="1395">
        <f>IF(raw[[#This Row],[city]]&lt;&gt;"",_xlfn.XLOOKUP($D1763,ccc[city],ccc[prov],"-"),"-")</f>
        <v/>
      </c>
      <c r="L1763" s="1395">
        <f>IF(raw[[#This Row],[city]]&lt;&gt;"",_xlfn.XLOOKUP($D1763,ccc[city],ccc[ctry],"-"),"-")</f>
        <v/>
      </c>
      <c r="M1763" s="1395">
        <f>IF(raw[[#This Row],[city]]&lt;&gt;"",_xlfn.XLOOKUP($D1763,ccc[city],ccc[cont],"-"),"-")</f>
        <v/>
      </c>
      <c r="N1763" s="1396">
        <f>IF(raw[[#This Row],[city]]="","-",IF(raw[[#This Row],[cont]]="B",raw[[#This Row],[cont]],"W"))</f>
        <v/>
      </c>
      <c r="O1763" s="1397">
        <f>IF(raw[[#This Row],[out]]=0,0,IF(raw[[#This Row],[out]]=raw[[#This Row],[in]],0.01,raw[[#This Row],[out]]-raw[[#This Row],[in]]))</f>
        <v/>
      </c>
      <c r="P1763" s="1397">
        <f>IF(raw[[#This Row],[in]]=0,0,MONTH(raw[[#This Row],[in]]))</f>
        <v/>
      </c>
      <c r="Q1763" s="1397">
        <f>IF(raw[[#This Row],[in]]=0,0,YEAR(raw[[#This Row],[in]]))</f>
        <v/>
      </c>
      <c r="R1763" s="1397">
        <f>INT(raw[[#This Row],[yr]]/10)*10</f>
        <v/>
      </c>
      <c r="S1763" s="1395">
        <f>IF(raw[[#This Row],[city]]="","-",IF(raw[[#This Row],[city]]&lt;&gt;_xlfn.XLOOKUP(raw[[#This Row],[home]],homes[home],homes[city],"-"),1,0))</f>
        <v/>
      </c>
      <c r="T1763" s="1398" t="inlineStr">
        <is>
          <t>.</t>
        </is>
      </c>
      <c r="U1763" s="1399">
        <f>IF(raw[[#This Row],[wb]]="w",raw[[#This Row],[stay]]+U1762,U1762)</f>
        <v/>
      </c>
      <c r="V1763" s="1400">
        <f>IF(raw[[#This Row],[out]]=0,V1762,(raw[[#This Row],[out]]-E$5))</f>
        <v/>
      </c>
      <c r="W1763" s="1401">
        <f>U1763/V1763</f>
        <v/>
      </c>
      <c r="X1763" s="1392" t="n"/>
      <c r="Y1763" s="1392" t="n"/>
      <c r="Z1763" s="1392" t="n"/>
      <c r="AA1763" s="1392" t="n"/>
      <c r="AB1763" s="1392" t="n"/>
      <c r="AC1763" s="1392" t="n"/>
      <c r="AD1763" s="1392" t="n"/>
      <c r="AE1763" s="1392" t="n"/>
      <c r="AF1763" s="1392" t="n"/>
      <c r="AG1763" s="1392" t="n"/>
      <c r="AH1763" s="1392" t="n"/>
      <c r="AI1763" s="1392" t="n"/>
      <c r="AJ1763" s="1392" t="n"/>
      <c r="AK1763" s="1392" t="n"/>
      <c r="AL1763" s="1392" t="n"/>
      <c r="AM1763" s="1392" t="n"/>
      <c r="AN1763" s="1392" t="n"/>
      <c r="AO1763" s="1392" t="n"/>
      <c r="AP1763" s="1392" t="n"/>
      <c r="AQ1763" s="1392" t="n"/>
      <c r="AR1763" s="1422" t="n"/>
      <c r="AS1763" s="1422" t="n"/>
      <c r="AT1763" s="1392" t="n"/>
      <c r="AU1763" s="1392" t="n"/>
      <c r="AV1763" s="1392" t="n"/>
      <c r="AW1763" s="1392" t="n"/>
      <c r="AX1763" s="1392" t="n"/>
      <c r="AY1763" s="1392" t="n"/>
      <c r="AZ1763" s="1392" t="n"/>
      <c r="BA1763" s="1422" t="n"/>
      <c r="BB1763" s="1422" t="n"/>
      <c r="BC1763" s="1392" t="n"/>
      <c r="BD1763" s="1392" t="n"/>
      <c r="BE1763" s="1392" t="n"/>
      <c r="BF1763" s="1392" t="n"/>
      <c r="BG1763" s="1392" t="n"/>
      <c r="BH1763" s="1392" t="n"/>
      <c r="BI1763" s="1392" t="n"/>
      <c r="BJ1763" s="1392" t="n"/>
      <c r="BK1763" s="1392" t="n"/>
      <c r="BL1763" s="1392" t="n"/>
      <c r="BM1763" s="1392" t="n"/>
      <c r="BN1763" s="1392" t="n"/>
      <c r="BO1763" s="1392" t="n"/>
      <c r="BP1763" s="1392" t="n"/>
      <c r="BQ1763" s="1392" t="n"/>
      <c r="BR1763" s="1392" t="n"/>
      <c r="BS1763" s="1392" t="n"/>
      <c r="BT1763" s="1392" t="n"/>
      <c r="BU1763" s="1392" t="n"/>
      <c r="BV1763" s="1392" t="n"/>
      <c r="BW1763" s="1392" t="n"/>
      <c r="BX1763" s="1392" t="n"/>
      <c r="BY1763" s="1392" t="n"/>
      <c r="BZ1763" s="1392" t="n"/>
      <c r="CA1763" s="1392" t="n"/>
      <c r="CB1763" s="1392" t="n"/>
      <c r="CC1763" s="1392" t="n"/>
      <c r="CD1763" s="1392" t="n"/>
      <c r="CE1763" s="1392" t="n"/>
      <c r="CF1763" s="1392" t="n"/>
      <c r="CG1763" s="1392" t="n"/>
      <c r="CH1763" s="1392" t="n"/>
      <c r="CI1763" s="1392" t="n"/>
      <c r="CJ1763" s="1392" t="n"/>
      <c r="CK1763" s="1392" t="n"/>
      <c r="CL1763" s="1392" t="n"/>
    </row>
    <row r="1764">
      <c r="A1764" s="5" t="inlineStr">
        <is>
          <t>.</t>
        </is>
      </c>
      <c r="B1764" s="5" t="inlineStr">
        <is>
          <t>.</t>
        </is>
      </c>
      <c r="C1764" s="1378">
        <f>IF(raw[[#This Row],[city]]="","-",IF(raw[[#This Row],[city]]="TODAY","-",C1763+1))</f>
        <v/>
      </c>
      <c r="D1764" s="1393" t="inlineStr">
        <is>
          <t>Porto</t>
        </is>
      </c>
      <c r="E1764" s="1394" t="n">
        <v>45845</v>
      </c>
      <c r="F1764" s="1394" t="n">
        <v>45870</v>
      </c>
      <c r="G1764" s="1393" t="inlineStr">
        <is>
          <t>-</t>
        </is>
      </c>
      <c r="H1764" s="1393" t="inlineStr">
        <is>
          <t>Joao I</t>
        </is>
      </c>
      <c r="I1764" s="1423" t="inlineStr">
        <is>
          <t>-</t>
        </is>
      </c>
      <c r="J1764" s="1393" t="n"/>
      <c r="K1764" s="1395">
        <f>IF(raw[[#This Row],[city]]&lt;&gt;"",_xlfn.XLOOKUP($D1764,ccc[city],ccc[prov],"-"),"-")</f>
        <v/>
      </c>
      <c r="L1764" s="1395">
        <f>IF(raw[[#This Row],[city]]&lt;&gt;"",_xlfn.XLOOKUP($D1764,ccc[city],ccc[ctry],"-"),"-")</f>
        <v/>
      </c>
      <c r="M1764" s="1395">
        <f>IF(raw[[#This Row],[city]]&lt;&gt;"",_xlfn.XLOOKUP($D1764,ccc[city],ccc[cont],"-"),"-")</f>
        <v/>
      </c>
      <c r="N1764" s="1396">
        <f>IF(raw[[#This Row],[city]]="","-",IF(raw[[#This Row],[cont]]="B",raw[[#This Row],[cont]],"W"))</f>
        <v/>
      </c>
      <c r="O1764" s="1397">
        <f>IF(raw[[#This Row],[out]]=0,0,IF(raw[[#This Row],[out]]=raw[[#This Row],[in]],0.01,raw[[#This Row],[out]]-raw[[#This Row],[in]]))</f>
        <v/>
      </c>
      <c r="P1764" s="1397">
        <f>IF(raw[[#This Row],[in]]=0,0,MONTH(raw[[#This Row],[in]]))</f>
        <v/>
      </c>
      <c r="Q1764" s="1397">
        <f>IF(raw[[#This Row],[in]]=0,0,YEAR(raw[[#This Row],[in]]))</f>
        <v/>
      </c>
      <c r="R1764" s="1397">
        <f>INT(raw[[#This Row],[yr]]/10)*10</f>
        <v/>
      </c>
      <c r="S1764" s="1395">
        <f>IF(raw[[#This Row],[city]]="","-",IF(raw[[#This Row],[city]]&lt;&gt;_xlfn.XLOOKUP(raw[[#This Row],[home]],homes[home],homes[city],"-"),1,0))</f>
        <v/>
      </c>
      <c r="T1764" s="1398" t="inlineStr">
        <is>
          <t>.</t>
        </is>
      </c>
      <c r="U1764" s="1399">
        <f>IF(raw[[#This Row],[wb]]="w",raw[[#This Row],[stay]]+U1763,U1763)</f>
        <v/>
      </c>
      <c r="V1764" s="1400">
        <f>IF(raw[[#This Row],[out]]=0,V1763,(raw[[#This Row],[out]]-E$5))</f>
        <v/>
      </c>
      <c r="W1764" s="1401">
        <f>U1764/V1764</f>
        <v/>
      </c>
      <c r="X1764" s="1392" t="n"/>
      <c r="Y1764" s="1392" t="n"/>
      <c r="Z1764" s="1392" t="n"/>
      <c r="AA1764" s="1392" t="n"/>
      <c r="AB1764" s="1392" t="n"/>
      <c r="AC1764" s="1392" t="n"/>
      <c r="AD1764" s="1392" t="n"/>
      <c r="AE1764" s="1392" t="n"/>
      <c r="AF1764" s="1392" t="n"/>
      <c r="AG1764" s="1392" t="n"/>
      <c r="AH1764" s="1392" t="n"/>
      <c r="AI1764" s="1392" t="n"/>
      <c r="AJ1764" s="1392" t="n"/>
      <c r="AK1764" s="1392" t="n"/>
      <c r="AL1764" s="1392" t="n"/>
      <c r="AM1764" s="1392" t="n"/>
      <c r="AN1764" s="1392" t="n"/>
      <c r="AO1764" s="1392" t="n"/>
      <c r="AP1764" s="1392" t="n"/>
      <c r="AQ1764" s="1392" t="n"/>
      <c r="AR1764" s="1422" t="n"/>
      <c r="AS1764" s="1422" t="n"/>
      <c r="AT1764" s="1392" t="n"/>
      <c r="AU1764" s="1392" t="n"/>
      <c r="AV1764" s="1392" t="n"/>
      <c r="AW1764" s="1392" t="n"/>
      <c r="AX1764" s="1392" t="n"/>
      <c r="AY1764" s="1392" t="n"/>
      <c r="AZ1764" s="1392" t="n"/>
      <c r="BA1764" s="1422" t="n"/>
      <c r="BB1764" s="1422" t="n"/>
      <c r="BC1764" s="1392" t="n"/>
      <c r="BD1764" s="1392" t="n"/>
      <c r="BE1764" s="1392" t="n"/>
      <c r="BF1764" s="1392" t="n"/>
      <c r="BG1764" s="1392" t="n"/>
      <c r="BH1764" s="1392" t="n"/>
      <c r="BI1764" s="1392" t="n"/>
      <c r="BJ1764" s="1392" t="n"/>
      <c r="BK1764" s="1392" t="n"/>
      <c r="BL1764" s="1392" t="n"/>
      <c r="BM1764" s="1392" t="n"/>
      <c r="BN1764" s="1392" t="n"/>
      <c r="BO1764" s="1392" t="n"/>
      <c r="BP1764" s="1392" t="n"/>
      <c r="BQ1764" s="1392" t="n"/>
      <c r="BR1764" s="1392" t="n"/>
      <c r="BS1764" s="1392" t="n"/>
      <c r="BT1764" s="1392" t="n"/>
      <c r="BU1764" s="1392" t="n"/>
      <c r="BV1764" s="1392" t="n"/>
      <c r="BW1764" s="1392" t="n"/>
      <c r="BX1764" s="1392" t="n"/>
      <c r="BY1764" s="1392" t="n"/>
      <c r="BZ1764" s="1392" t="n"/>
      <c r="CA1764" s="1392" t="n"/>
      <c r="CB1764" s="1392" t="n"/>
      <c r="CC1764" s="1392" t="n"/>
      <c r="CD1764" s="1392" t="n"/>
      <c r="CE1764" s="1392" t="n"/>
      <c r="CF1764" s="1392" t="n"/>
      <c r="CG1764" s="1392" t="n"/>
      <c r="CH1764" s="1392" t="n"/>
      <c r="CI1764" s="1392" t="n"/>
      <c r="CJ1764" s="1392" t="n"/>
      <c r="CK1764" s="1392" t="n"/>
      <c r="CL1764" s="1392" t="n"/>
    </row>
    <row r="1765">
      <c r="A1765" s="5" t="inlineStr">
        <is>
          <t>.</t>
        </is>
      </c>
      <c r="B1765" s="5" t="inlineStr">
        <is>
          <t>.</t>
        </is>
      </c>
      <c r="C1765" s="1378">
        <f>IF(raw[[#This Row],[city]]="","-",IF(raw[[#This Row],[city]]="TODAY","-",C1764+1))</f>
        <v/>
      </c>
      <c r="D1765" s="1393" t="inlineStr">
        <is>
          <t>Leça da Palmeira</t>
        </is>
      </c>
      <c r="E1765" s="1394" t="n">
        <v>45839</v>
      </c>
      <c r="F1765" s="1394" t="n">
        <v>45839</v>
      </c>
      <c r="G1765" s="1393" t="inlineStr">
        <is>
          <t>-</t>
        </is>
      </c>
      <c r="H1765" s="1393" t="inlineStr">
        <is>
          <t>Joao I</t>
        </is>
      </c>
      <c r="I1765" s="1393" t="inlineStr">
        <is>
          <t>-</t>
        </is>
      </c>
      <c r="J1765" s="1393" t="inlineStr">
        <is>
          <t>-</t>
        </is>
      </c>
      <c r="K1765" s="1395">
        <f>IF(raw[[#This Row],[city]]&lt;&gt;"",_xlfn.XLOOKUP($D1765,ccc[city],ccc[prov],"-"),"-")</f>
        <v/>
      </c>
      <c r="L1765" s="1395">
        <f>IF(raw[[#This Row],[city]]&lt;&gt;"",_xlfn.XLOOKUP($D1765,ccc[city],ccc[ctry],"-"),"-")</f>
        <v/>
      </c>
      <c r="M1765" s="1395">
        <f>IF(raw[[#This Row],[city]]&lt;&gt;"",_xlfn.XLOOKUP($D1765,ccc[city],ccc[cont],"-"),"-")</f>
        <v/>
      </c>
      <c r="N1765" s="1396">
        <f>IF(raw[[#This Row],[city]]="","-",IF(raw[[#This Row],[cont]]="B",raw[[#This Row],[cont]],"W"))</f>
        <v/>
      </c>
      <c r="O1765" s="1397">
        <f>IF(raw[[#This Row],[out]]=0,0,IF(raw[[#This Row],[out]]=raw[[#This Row],[in]],0.01,raw[[#This Row],[out]]-raw[[#This Row],[in]]))</f>
        <v/>
      </c>
      <c r="P1765" s="1397">
        <f>IF(raw[[#This Row],[in]]=0,0,MONTH(raw[[#This Row],[in]]))</f>
        <v/>
      </c>
      <c r="Q1765" s="1397">
        <f>IF(raw[[#This Row],[in]]=0,0,YEAR(raw[[#This Row],[in]]))</f>
        <v/>
      </c>
      <c r="R1765" s="1397">
        <f>INT(raw[[#This Row],[yr]]/10)*10</f>
        <v/>
      </c>
      <c r="S1765" s="1395">
        <f>IF(raw[[#This Row],[city]]="","-",IF(raw[[#This Row],[city]]&lt;&gt;_xlfn.XLOOKUP(raw[[#This Row],[home]],homes[home],homes[city],"-"),1,0))</f>
        <v/>
      </c>
      <c r="T1765" s="1398" t="inlineStr">
        <is>
          <t>.</t>
        </is>
      </c>
      <c r="U1765" s="1399">
        <f>IF(raw[[#This Row],[wb]]="w",raw[[#This Row],[stay]]+U1764,U1764)</f>
        <v/>
      </c>
      <c r="V1765" s="1400">
        <f>IF(raw[[#This Row],[out]]=0,V1764,(raw[[#This Row],[out]]-E$5))</f>
        <v/>
      </c>
      <c r="W1765" s="1401">
        <f>U1765/V1765</f>
        <v/>
      </c>
      <c r="X1765" s="1392" t="n"/>
      <c r="Y1765" s="1392" t="n"/>
      <c r="Z1765" s="1392" t="n"/>
      <c r="AA1765" s="1392" t="n"/>
      <c r="AB1765" s="1392" t="n"/>
      <c r="AC1765" s="1392" t="n"/>
      <c r="AD1765" s="1392" t="n"/>
      <c r="AE1765" s="1392" t="n"/>
      <c r="AF1765" s="1392" t="n"/>
      <c r="AG1765" s="1392" t="n"/>
      <c r="AH1765" s="1392" t="n"/>
      <c r="AI1765" s="1392" t="n"/>
      <c r="AJ1765" s="1392" t="n"/>
      <c r="AK1765" s="1392" t="n"/>
      <c r="AL1765" s="1392" t="n"/>
      <c r="AM1765" s="1392" t="n"/>
      <c r="AN1765" s="1392" t="n"/>
      <c r="AO1765" s="1392" t="n"/>
      <c r="AP1765" s="1392" t="n"/>
      <c r="AQ1765" s="1392" t="n"/>
      <c r="AR1765" s="1422" t="n"/>
      <c r="AS1765" s="1422" t="n"/>
      <c r="AT1765" s="1392" t="n"/>
      <c r="AU1765" s="1392" t="n"/>
      <c r="AV1765" s="1392" t="n"/>
      <c r="AW1765" s="1392" t="n"/>
      <c r="AX1765" s="1392" t="n"/>
      <c r="AY1765" s="1392" t="n"/>
      <c r="AZ1765" s="1392" t="n"/>
      <c r="BA1765" s="1422" t="n"/>
      <c r="BB1765" s="1422" t="n"/>
      <c r="BC1765" s="1392" t="n"/>
      <c r="BD1765" s="1392" t="n"/>
      <c r="BE1765" s="1392" t="n"/>
      <c r="BF1765" s="1392" t="n"/>
      <c r="BG1765" s="1392" t="n"/>
      <c r="BH1765" s="1392" t="n"/>
      <c r="BI1765" s="1392" t="n"/>
      <c r="BJ1765" s="1392" t="n"/>
      <c r="BK1765" s="1392" t="n"/>
      <c r="BL1765" s="1392" t="n"/>
      <c r="BM1765" s="1392" t="n"/>
      <c r="BN1765" s="1392" t="n"/>
      <c r="BO1765" s="1392" t="n"/>
      <c r="BP1765" s="1392" t="n"/>
      <c r="BQ1765" s="1392" t="n"/>
      <c r="BR1765" s="1392" t="n"/>
      <c r="BS1765" s="1392" t="n"/>
      <c r="BT1765" s="1392" t="n"/>
      <c r="BU1765" s="1392" t="n"/>
      <c r="BV1765" s="1392" t="n"/>
      <c r="BW1765" s="1392" t="n"/>
      <c r="BX1765" s="1392" t="n"/>
      <c r="BY1765" s="1392" t="n"/>
      <c r="BZ1765" s="1392" t="n"/>
      <c r="CA1765" s="1392" t="n"/>
      <c r="CB1765" s="1392" t="n"/>
      <c r="CC1765" s="1392" t="n"/>
      <c r="CD1765" s="1392" t="n"/>
      <c r="CE1765" s="1392" t="n"/>
      <c r="CF1765" s="1392" t="n"/>
      <c r="CG1765" s="1392" t="n"/>
      <c r="CH1765" s="1392" t="n"/>
      <c r="CI1765" s="1392" t="n"/>
      <c r="CJ1765" s="1392" t="n"/>
      <c r="CK1765" s="1392" t="n"/>
      <c r="CL1765" s="1392" t="n"/>
    </row>
    <row r="1766">
      <c r="A1766" s="5" t="inlineStr">
        <is>
          <t>.</t>
        </is>
      </c>
      <c r="B1766" s="5" t="inlineStr">
        <is>
          <t>.</t>
        </is>
      </c>
      <c r="C1766" s="1378">
        <f>IF(raw[[#This Row],[city]]="","-",IF(raw[[#This Row],[city]]="TODAY","-",C1765+1))</f>
        <v/>
      </c>
      <c r="D1766" s="1393" t="inlineStr">
        <is>
          <t>Matosinhos</t>
        </is>
      </c>
      <c r="E1766" s="1394" t="n">
        <v>45840</v>
      </c>
      <c r="F1766" s="1394" t="n">
        <v>45840</v>
      </c>
      <c r="G1766" s="1393" t="inlineStr">
        <is>
          <t>-</t>
        </is>
      </c>
      <c r="H1766" s="1393" t="inlineStr">
        <is>
          <t>Joao I</t>
        </is>
      </c>
      <c r="I1766" s="1393" t="inlineStr">
        <is>
          <t>-</t>
        </is>
      </c>
      <c r="J1766" s="1393" t="inlineStr">
        <is>
          <t>-</t>
        </is>
      </c>
      <c r="K1766" s="1395">
        <f>IF(raw[[#This Row],[city]]&lt;&gt;"",_xlfn.XLOOKUP($D1766,ccc[city],ccc[prov],"-"),"-")</f>
        <v/>
      </c>
      <c r="L1766" s="1395">
        <f>IF(raw[[#This Row],[city]]&lt;&gt;"",_xlfn.XLOOKUP($D1766,ccc[city],ccc[ctry],"-"),"-")</f>
        <v/>
      </c>
      <c r="M1766" s="1395">
        <f>IF(raw[[#This Row],[city]]&lt;&gt;"",_xlfn.XLOOKUP($D1766,ccc[city],ccc[cont],"-"),"-")</f>
        <v/>
      </c>
      <c r="N1766" s="1396">
        <f>IF(raw[[#This Row],[city]]="","-",IF(raw[[#This Row],[cont]]="B",raw[[#This Row],[cont]],"W"))</f>
        <v/>
      </c>
      <c r="O1766" s="1397">
        <f>IF(raw[[#This Row],[out]]=0,0,IF(raw[[#This Row],[out]]=raw[[#This Row],[in]],0.01,raw[[#This Row],[out]]-raw[[#This Row],[in]]))</f>
        <v/>
      </c>
      <c r="P1766" s="1397">
        <f>IF(raw[[#This Row],[in]]=0,0,MONTH(raw[[#This Row],[in]]))</f>
        <v/>
      </c>
      <c r="Q1766" s="1397">
        <f>IF(raw[[#This Row],[in]]=0,0,YEAR(raw[[#This Row],[in]]))</f>
        <v/>
      </c>
      <c r="R1766" s="1397">
        <f>INT(raw[[#This Row],[yr]]/10)*10</f>
        <v/>
      </c>
      <c r="S1766" s="1395">
        <f>IF(raw[[#This Row],[city]]="","-",IF(raw[[#This Row],[city]]&lt;&gt;_xlfn.XLOOKUP(raw[[#This Row],[home]],homes[home],homes[city],"-"),1,0))</f>
        <v/>
      </c>
      <c r="T1766" s="1398" t="inlineStr">
        <is>
          <t>.</t>
        </is>
      </c>
      <c r="U1766" s="1399">
        <f>IF(raw[[#This Row],[wb]]="w",raw[[#This Row],[stay]]+U1765,U1765)</f>
        <v/>
      </c>
      <c r="V1766" s="1400">
        <f>IF(raw[[#This Row],[out]]=0,V1765,(raw[[#This Row],[out]]-E$5))</f>
        <v/>
      </c>
      <c r="W1766" s="1401">
        <f>U1766/V1766</f>
        <v/>
      </c>
      <c r="X1766" s="1392" t="n"/>
      <c r="Y1766" s="1392" t="n"/>
      <c r="Z1766" s="1392" t="n"/>
      <c r="AA1766" s="1392" t="n"/>
      <c r="AB1766" s="1392" t="n"/>
      <c r="AC1766" s="1392" t="n"/>
      <c r="AD1766" s="1392" t="n"/>
      <c r="AE1766" s="1392" t="n"/>
      <c r="AF1766" s="1392" t="n"/>
      <c r="AG1766" s="1392" t="n"/>
      <c r="AH1766" s="1392" t="n"/>
      <c r="AI1766" s="1392" t="n"/>
      <c r="AJ1766" s="1392" t="n"/>
      <c r="AK1766" s="1392" t="n"/>
      <c r="AL1766" s="1392" t="n"/>
      <c r="AM1766" s="1392" t="n"/>
      <c r="AN1766" s="1392" t="n"/>
      <c r="AO1766" s="1392" t="n"/>
      <c r="AP1766" s="1392" t="n"/>
      <c r="AQ1766" s="1392" t="n"/>
      <c r="AR1766" s="1422" t="n"/>
      <c r="AS1766" s="1422" t="n"/>
      <c r="AT1766" s="1392" t="n"/>
      <c r="AU1766" s="1392" t="n"/>
      <c r="AV1766" s="1392" t="n"/>
      <c r="AW1766" s="1392" t="n"/>
      <c r="AX1766" s="1392" t="n"/>
      <c r="AY1766" s="1392" t="n"/>
      <c r="AZ1766" s="1392" t="n"/>
      <c r="BA1766" s="1422" t="n"/>
      <c r="BB1766" s="1422" t="n"/>
      <c r="BC1766" s="1392" t="n"/>
      <c r="BD1766" s="1392" t="n"/>
      <c r="BE1766" s="1392" t="n"/>
      <c r="BF1766" s="1392" t="n"/>
      <c r="BG1766" s="1392" t="n"/>
      <c r="BH1766" s="1392" t="n"/>
      <c r="BI1766" s="1392" t="n"/>
      <c r="BJ1766" s="1392" t="n"/>
      <c r="BK1766" s="1392" t="n"/>
      <c r="BL1766" s="1392" t="n"/>
      <c r="BM1766" s="1392" t="n"/>
      <c r="BN1766" s="1392" t="n"/>
      <c r="BO1766" s="1392" t="n"/>
      <c r="BP1766" s="1392" t="n"/>
      <c r="BQ1766" s="1392" t="n"/>
      <c r="BR1766" s="1392" t="n"/>
      <c r="BS1766" s="1392" t="n"/>
      <c r="BT1766" s="1392" t="n"/>
      <c r="BU1766" s="1392" t="n"/>
      <c r="BV1766" s="1392" t="n"/>
      <c r="BW1766" s="1392" t="n"/>
      <c r="BX1766" s="1392" t="n"/>
      <c r="BY1766" s="1392" t="n"/>
      <c r="BZ1766" s="1392" t="n"/>
      <c r="CA1766" s="1392" t="n"/>
      <c r="CB1766" s="1392" t="n"/>
      <c r="CC1766" s="1392" t="n"/>
      <c r="CD1766" s="1392" t="n"/>
      <c r="CE1766" s="1392" t="n"/>
      <c r="CF1766" s="1392" t="n"/>
      <c r="CG1766" s="1392" t="n"/>
      <c r="CH1766" s="1392" t="n"/>
      <c r="CI1766" s="1392" t="n"/>
      <c r="CJ1766" s="1392" t="n"/>
      <c r="CK1766" s="1392" t="n"/>
      <c r="CL1766" s="1392" t="n"/>
    </row>
    <row r="1767">
      <c r="A1767" s="5" t="inlineStr">
        <is>
          <t>.</t>
        </is>
      </c>
      <c r="B1767" s="5" t="inlineStr">
        <is>
          <t>.</t>
        </is>
      </c>
      <c r="C1767" s="1378">
        <f>IF(raw[[#This Row],[city]]="","-",IF(raw[[#This Row],[city]]="TODAY","-",C1766+1))</f>
        <v/>
      </c>
      <c r="D1767" s="1393" t="inlineStr">
        <is>
          <t>Porto</t>
        </is>
      </c>
      <c r="E1767" s="1394" t="n">
        <v>45870</v>
      </c>
      <c r="F1767" s="1394" t="n">
        <v>45893</v>
      </c>
      <c r="G1767" s="1393" t="n">
        <v>1</v>
      </c>
      <c r="H1767" s="1393" t="inlineStr">
        <is>
          <t>Joao I</t>
        </is>
      </c>
      <c r="I1767" s="1393" t="n"/>
      <c r="J1767" s="1393" t="n"/>
      <c r="K1767" s="1395">
        <f>IF(raw[[#This Row],[city]]&lt;&gt;"",_xlfn.XLOOKUP($D1767,ccc[city],ccc[prov],"-"),"-")</f>
        <v/>
      </c>
      <c r="L1767" s="1395">
        <f>IF(raw[[#This Row],[city]]&lt;&gt;"",_xlfn.XLOOKUP($D1767,ccc[city],ccc[ctry],"-"),"-")</f>
        <v/>
      </c>
      <c r="M1767" s="1395">
        <f>IF(raw[[#This Row],[city]]&lt;&gt;"",_xlfn.XLOOKUP($D1767,ccc[city],ccc[cont],"-"),"-")</f>
        <v/>
      </c>
      <c r="N1767" s="1396">
        <f>IF(raw[[#This Row],[city]]="","-",IF(raw[[#This Row],[cont]]="B",raw[[#This Row],[cont]],"W"))</f>
        <v/>
      </c>
      <c r="O1767" s="1397">
        <f>IF(raw[[#This Row],[out]]=0,0,IF(raw[[#This Row],[out]]=raw[[#This Row],[in]],0.01,raw[[#This Row],[out]]-raw[[#This Row],[in]]))</f>
        <v/>
      </c>
      <c r="P1767" s="1397">
        <f>IF(raw[[#This Row],[in]]=0,0,MONTH(raw[[#This Row],[in]]))</f>
        <v/>
      </c>
      <c r="Q1767" s="1397">
        <f>IF(raw[[#This Row],[in]]=0,0,YEAR(raw[[#This Row],[in]]))</f>
        <v/>
      </c>
      <c r="R1767" s="1397">
        <f>INT(raw[[#This Row],[yr]]/10)*10</f>
        <v/>
      </c>
      <c r="S1767" s="1395">
        <f>IF(raw[[#This Row],[city]]="","-",IF(raw[[#This Row],[city]]&lt;&gt;_xlfn.XLOOKUP(raw[[#This Row],[home]],homes[home],homes[city],"-"),1,0))</f>
        <v/>
      </c>
      <c r="T1767" s="1398" t="inlineStr">
        <is>
          <t>.</t>
        </is>
      </c>
      <c r="U1767" s="1399">
        <f>IF(raw[[#This Row],[wb]]="w",raw[[#This Row],[stay]]+U1766,U1766)</f>
        <v/>
      </c>
      <c r="V1767" s="1400">
        <f>IF(raw[[#This Row],[out]]=0,V1766,(raw[[#This Row],[out]]-E$5))</f>
        <v/>
      </c>
      <c r="W1767" s="1401">
        <f>U1767/V1767</f>
        <v/>
      </c>
      <c r="X1767" s="1392" t="n"/>
      <c r="Y1767" s="1392" t="n"/>
      <c r="Z1767" s="1392" t="n"/>
      <c r="AA1767" s="1392" t="n"/>
      <c r="AB1767" s="1392" t="n"/>
      <c r="AC1767" s="1392" t="n"/>
      <c r="AD1767" s="1392" t="n"/>
      <c r="AE1767" s="1392" t="n"/>
      <c r="AF1767" s="1392" t="n"/>
      <c r="AG1767" s="1392" t="n"/>
      <c r="AH1767" s="1392" t="n"/>
      <c r="AI1767" s="1392" t="n"/>
      <c r="AJ1767" s="1392" t="n"/>
      <c r="AK1767" s="1392" t="n"/>
      <c r="AL1767" s="1392" t="n"/>
      <c r="AM1767" s="1392" t="n"/>
      <c r="AN1767" s="1392" t="n"/>
      <c r="AO1767" s="1392" t="n"/>
      <c r="AP1767" s="1392" t="n"/>
      <c r="AQ1767" s="1392" t="n"/>
      <c r="AR1767" s="1422" t="n"/>
      <c r="AS1767" s="1422" t="n"/>
      <c r="AT1767" s="1392" t="n"/>
      <c r="AU1767" s="1392" t="n"/>
      <c r="AV1767" s="1392" t="n"/>
      <c r="AW1767" s="1392" t="n"/>
      <c r="AX1767" s="1392" t="n"/>
      <c r="AY1767" s="1392" t="n"/>
      <c r="AZ1767" s="1392" t="n"/>
      <c r="BA1767" s="1422" t="n"/>
      <c r="BB1767" s="1422" t="n"/>
      <c r="BC1767" s="1392" t="n"/>
      <c r="BD1767" s="1392" t="n"/>
      <c r="BE1767" s="1392" t="n"/>
      <c r="BF1767" s="1392" t="n"/>
      <c r="BG1767" s="1392" t="n"/>
      <c r="BH1767" s="1392" t="n"/>
      <c r="BI1767" s="1392" t="n"/>
      <c r="BJ1767" s="1392" t="n"/>
      <c r="BK1767" s="1392" t="n"/>
      <c r="BL1767" s="1392" t="n"/>
      <c r="BM1767" s="1392" t="n"/>
      <c r="BN1767" s="1392" t="n"/>
      <c r="BO1767" s="1392" t="n"/>
      <c r="BP1767" s="1392" t="n"/>
      <c r="BQ1767" s="1392" t="n"/>
      <c r="BR1767" s="1392" t="n"/>
      <c r="BS1767" s="1392" t="n"/>
      <c r="BT1767" s="1392" t="n"/>
      <c r="BU1767" s="1392" t="n"/>
      <c r="BV1767" s="1392" t="n"/>
      <c r="BW1767" s="1392" t="n"/>
      <c r="BX1767" s="1392" t="n"/>
      <c r="BY1767" s="1392" t="n"/>
      <c r="BZ1767" s="1392" t="n"/>
      <c r="CA1767" s="1392" t="n"/>
      <c r="CB1767" s="1392" t="n"/>
      <c r="CC1767" s="1392" t="n"/>
      <c r="CD1767" s="1392" t="n"/>
      <c r="CE1767" s="1392" t="n"/>
      <c r="CF1767" s="1392" t="n"/>
      <c r="CG1767" s="1392" t="n"/>
      <c r="CH1767" s="1392" t="n"/>
      <c r="CI1767" s="1392" t="n"/>
      <c r="CJ1767" s="1392" t="n"/>
      <c r="CK1767" s="1392" t="n"/>
      <c r="CL1767" s="1392" t="n"/>
    </row>
    <row r="1768">
      <c r="A1768" s="5" t="inlineStr">
        <is>
          <t>.</t>
        </is>
      </c>
      <c r="B1768" s="5" t="inlineStr">
        <is>
          <t>.</t>
        </is>
      </c>
      <c r="C1768" s="1378">
        <f>IF(raw[[#This Row],[city]]="","-",IF(raw[[#This Row],[city]]="TODAY","-",C1767+1))</f>
        <v/>
      </c>
      <c r="D1768" s="1393" t="inlineStr">
        <is>
          <t>London</t>
        </is>
      </c>
      <c r="E1768" s="1394" t="n">
        <v>45893</v>
      </c>
      <c r="F1768" s="1394" t="n">
        <v>45898</v>
      </c>
      <c r="G1768" s="1393" t="n">
        <v>1</v>
      </c>
      <c r="H1768" s="1393" t="inlineStr">
        <is>
          <t>Joao I</t>
        </is>
      </c>
      <c r="I1768" s="1393" t="n"/>
      <c r="J1768" s="1393" t="inlineStr">
        <is>
          <t>BDAY</t>
        </is>
      </c>
      <c r="K1768" s="1395">
        <f>IF(raw[[#This Row],[city]]&lt;&gt;"",_xlfn.XLOOKUP($D1768,ccc[city],ccc[prov],"-"),"-")</f>
        <v/>
      </c>
      <c r="L1768" s="1395">
        <f>IF(raw[[#This Row],[city]]&lt;&gt;"",_xlfn.XLOOKUP($D1768,ccc[city],ccc[ctry],"-"),"-")</f>
        <v/>
      </c>
      <c r="M1768" s="1395">
        <f>IF(raw[[#This Row],[city]]&lt;&gt;"",_xlfn.XLOOKUP($D1768,ccc[city],ccc[cont],"-"),"-")</f>
        <v/>
      </c>
      <c r="N1768" s="1396">
        <f>IF(raw[[#This Row],[city]]="","-",IF(raw[[#This Row],[cont]]="B",raw[[#This Row],[cont]],"W"))</f>
        <v/>
      </c>
      <c r="O1768" s="1397">
        <f>IF(raw[[#This Row],[out]]=0,0,IF(raw[[#This Row],[out]]=raw[[#This Row],[in]],0.01,raw[[#This Row],[out]]-raw[[#This Row],[in]]))</f>
        <v/>
      </c>
      <c r="P1768" s="1397">
        <f>IF(raw[[#This Row],[in]]=0,0,MONTH(raw[[#This Row],[in]]))</f>
        <v/>
      </c>
      <c r="Q1768" s="1397">
        <f>IF(raw[[#This Row],[in]]=0,0,YEAR(raw[[#This Row],[in]]))</f>
        <v/>
      </c>
      <c r="R1768" s="1397">
        <f>INT(raw[[#This Row],[yr]]/10)*10</f>
        <v/>
      </c>
      <c r="S1768" s="1395">
        <f>IF(raw[[#This Row],[city]]="","-",IF(raw[[#This Row],[city]]&lt;&gt;_xlfn.XLOOKUP(raw[[#This Row],[home]],homes[home],homes[city],"-"),1,0))</f>
        <v/>
      </c>
      <c r="T1768" s="1398" t="inlineStr">
        <is>
          <t>.</t>
        </is>
      </c>
      <c r="U1768" s="1399">
        <f>IF(raw[[#This Row],[wb]]="w",raw[[#This Row],[stay]]+U1767,U1767)</f>
        <v/>
      </c>
      <c r="V1768" s="1400">
        <f>IF(raw[[#This Row],[out]]=0,V1767,(raw[[#This Row],[out]]-E$5))</f>
        <v/>
      </c>
      <c r="W1768" s="1401">
        <f>U1768/V1768</f>
        <v/>
      </c>
      <c r="X1768" s="1392" t="n"/>
      <c r="Y1768" s="1392" t="n"/>
      <c r="Z1768" s="1392" t="n"/>
      <c r="AA1768" s="1392" t="n"/>
      <c r="AB1768" s="1392" t="n"/>
      <c r="AC1768" s="1392" t="n"/>
      <c r="AD1768" s="1392" t="n"/>
      <c r="AE1768" s="1392" t="n"/>
      <c r="AF1768" s="1392" t="n"/>
      <c r="AG1768" s="1392" t="n"/>
      <c r="AH1768" s="1392" t="n"/>
      <c r="AI1768" s="1392" t="n"/>
      <c r="AJ1768" s="1392" t="n"/>
      <c r="AK1768" s="1392" t="n"/>
      <c r="AL1768" s="1392" t="n"/>
      <c r="AM1768" s="1392" t="n"/>
      <c r="AN1768" s="1392" t="n"/>
      <c r="AO1768" s="1392" t="n"/>
      <c r="AP1768" s="1392" t="n"/>
      <c r="AQ1768" s="1392" t="n"/>
      <c r="AR1768" s="1422" t="n"/>
      <c r="AS1768" s="1422" t="n"/>
      <c r="AT1768" s="1392" t="n"/>
      <c r="AU1768" s="1392" t="n"/>
      <c r="AV1768" s="1392" t="n"/>
      <c r="AW1768" s="1392" t="n"/>
      <c r="AX1768" s="1392" t="n"/>
      <c r="AY1768" s="1392" t="n"/>
      <c r="AZ1768" s="1392" t="n"/>
      <c r="BA1768" s="1422" t="n"/>
      <c r="BB1768" s="1422" t="n"/>
      <c r="BC1768" s="1392" t="n"/>
      <c r="BD1768" s="1392" t="n"/>
      <c r="BE1768" s="1392" t="n"/>
      <c r="BF1768" s="1392" t="n"/>
      <c r="BG1768" s="1392" t="n"/>
      <c r="BH1768" s="1392" t="n"/>
      <c r="BI1768" s="1392" t="n"/>
      <c r="BJ1768" s="1392" t="n"/>
      <c r="BK1768" s="1392" t="n"/>
      <c r="BL1768" s="1392" t="n"/>
      <c r="BM1768" s="1392" t="n"/>
      <c r="BN1768" s="1392" t="n"/>
      <c r="BO1768" s="1392" t="n"/>
      <c r="BP1768" s="1392" t="n"/>
      <c r="BQ1768" s="1392" t="n"/>
      <c r="BR1768" s="1392" t="n"/>
      <c r="BS1768" s="1392" t="n"/>
      <c r="BT1768" s="1392" t="n"/>
      <c r="BU1768" s="1392" t="n"/>
      <c r="BV1768" s="1392" t="n"/>
      <c r="BW1768" s="1392" t="n"/>
      <c r="BX1768" s="1392" t="n"/>
      <c r="BY1768" s="1392" t="n"/>
      <c r="BZ1768" s="1392" t="n"/>
      <c r="CA1768" s="1392" t="n"/>
      <c r="CB1768" s="1392" t="n"/>
      <c r="CC1768" s="1392" t="n"/>
      <c r="CD1768" s="1392" t="n"/>
      <c r="CE1768" s="1392" t="n"/>
      <c r="CF1768" s="1392" t="n"/>
      <c r="CG1768" s="1392" t="n"/>
      <c r="CH1768" s="1392" t="n"/>
      <c r="CI1768" s="1392" t="n"/>
      <c r="CJ1768" s="1392" t="n"/>
      <c r="CK1768" s="1392" t="n"/>
      <c r="CL1768" s="1392" t="n"/>
    </row>
    <row r="1769">
      <c r="A1769" s="5" t="inlineStr">
        <is>
          <t>.</t>
        </is>
      </c>
      <c r="B1769" s="5" t="inlineStr">
        <is>
          <t>.</t>
        </is>
      </c>
      <c r="C1769" s="1378">
        <f>IF(raw[[#This Row],[city]]="","-",IF(raw[[#This Row],[city]]="TODAY","-",C1768+1))</f>
        <v/>
      </c>
      <c r="D1769" s="1393" t="inlineStr">
        <is>
          <t>Porto</t>
        </is>
      </c>
      <c r="E1769" s="1394" t="n">
        <v>45898</v>
      </c>
      <c r="F1769" s="1394" t="n">
        <v>45901</v>
      </c>
      <c r="G1769" s="1393" t="inlineStr">
        <is>
          <t>-</t>
        </is>
      </c>
      <c r="H1769" s="1393" t="inlineStr">
        <is>
          <t>Joao I</t>
        </is>
      </c>
      <c r="I1769" s="1393" t="n"/>
      <c r="J1769" s="1393" t="n"/>
      <c r="K1769" s="1395">
        <f>IF(raw[[#This Row],[city]]&lt;&gt;"",_xlfn.XLOOKUP($D1769,ccc[city],ccc[prov],"-"),"-")</f>
        <v/>
      </c>
      <c r="L1769" s="1395">
        <f>IF(raw[[#This Row],[city]]&lt;&gt;"",_xlfn.XLOOKUP($D1769,ccc[city],ccc[ctry],"-"),"-")</f>
        <v/>
      </c>
      <c r="M1769" s="1395">
        <f>IF(raw[[#This Row],[city]]&lt;&gt;"",_xlfn.XLOOKUP($D1769,ccc[city],ccc[cont],"-"),"-")</f>
        <v/>
      </c>
      <c r="N1769" s="1396">
        <f>IF(raw[[#This Row],[city]]="","-",IF(raw[[#This Row],[cont]]="B",raw[[#This Row],[cont]],"W"))</f>
        <v/>
      </c>
      <c r="O1769" s="1397">
        <f>IF(raw[[#This Row],[out]]=0,0,IF(raw[[#This Row],[out]]=raw[[#This Row],[in]],0.01,raw[[#This Row],[out]]-raw[[#This Row],[in]]))</f>
        <v/>
      </c>
      <c r="P1769" s="1397">
        <f>IF(raw[[#This Row],[in]]=0,0,MONTH(raw[[#This Row],[in]]))</f>
        <v/>
      </c>
      <c r="Q1769" s="1397">
        <f>IF(raw[[#This Row],[in]]=0,0,YEAR(raw[[#This Row],[in]]))</f>
        <v/>
      </c>
      <c r="R1769" s="1397">
        <f>INT(raw[[#This Row],[yr]]/10)*10</f>
        <v/>
      </c>
      <c r="S1769" s="1395">
        <f>IF(raw[[#This Row],[city]]="","-",IF(raw[[#This Row],[city]]&lt;&gt;_xlfn.XLOOKUP(raw[[#This Row],[home]],homes[home],homes[city],"-"),1,0))</f>
        <v/>
      </c>
      <c r="T1769" s="1398" t="inlineStr">
        <is>
          <t>.</t>
        </is>
      </c>
      <c r="U1769" s="1399">
        <f>IF(raw[[#This Row],[wb]]="w",raw[[#This Row],[stay]]+U1768,U1768)</f>
        <v/>
      </c>
      <c r="V1769" s="1400">
        <f>IF(raw[[#This Row],[out]]=0,V1768,(raw[[#This Row],[out]]-E$5))</f>
        <v/>
      </c>
      <c r="W1769" s="1401">
        <f>U1769/V1769</f>
        <v/>
      </c>
      <c r="X1769" s="1392" t="n"/>
      <c r="Y1769" s="1392" t="n"/>
      <c r="Z1769" s="1392" t="n"/>
      <c r="AA1769" s="1392" t="n"/>
      <c r="AB1769" s="1392" t="n"/>
      <c r="AC1769" s="1392" t="n"/>
      <c r="AD1769" s="1392" t="n"/>
      <c r="AE1769" s="1392" t="n"/>
      <c r="AF1769" s="1392" t="n"/>
      <c r="AG1769" s="1392" t="n"/>
      <c r="AH1769" s="1392" t="n"/>
      <c r="AI1769" s="1392" t="n"/>
      <c r="AJ1769" s="1392" t="n"/>
      <c r="AK1769" s="1392" t="n"/>
      <c r="AL1769" s="1392" t="n"/>
      <c r="AM1769" s="1392" t="n"/>
      <c r="AN1769" s="1392" t="n"/>
      <c r="AO1769" s="1392" t="n"/>
      <c r="AP1769" s="1392" t="n"/>
      <c r="AQ1769" s="1392" t="n"/>
      <c r="AR1769" s="1422" t="n"/>
      <c r="AS1769" s="1422" t="n"/>
      <c r="AT1769" s="1392" t="n"/>
      <c r="AU1769" s="1392" t="n"/>
      <c r="AV1769" s="1392" t="n"/>
      <c r="AW1769" s="1392" t="n"/>
      <c r="AX1769" s="1392" t="n"/>
      <c r="AY1769" s="1392" t="n"/>
      <c r="AZ1769" s="1392" t="n"/>
      <c r="BA1769" s="1422" t="n"/>
      <c r="BB1769" s="1422" t="n"/>
      <c r="BC1769" s="1392" t="n"/>
      <c r="BD1769" s="1392" t="n"/>
      <c r="BE1769" s="1392" t="n"/>
      <c r="BF1769" s="1392" t="n"/>
      <c r="BG1769" s="1392" t="n"/>
      <c r="BH1769" s="1392" t="n"/>
      <c r="BI1769" s="1392" t="n"/>
      <c r="BJ1769" s="1392" t="n"/>
      <c r="BK1769" s="1392" t="n"/>
      <c r="BL1769" s="1392" t="n"/>
      <c r="BM1769" s="1392" t="n"/>
      <c r="BN1769" s="1392" t="n"/>
      <c r="BO1769" s="1392" t="n"/>
      <c r="BP1769" s="1392" t="n"/>
      <c r="BQ1769" s="1392" t="n"/>
      <c r="BR1769" s="1392" t="n"/>
      <c r="BS1769" s="1392" t="n"/>
      <c r="BT1769" s="1392" t="n"/>
      <c r="BU1769" s="1392" t="n"/>
      <c r="BV1769" s="1392" t="n"/>
      <c r="BW1769" s="1392" t="n"/>
      <c r="BX1769" s="1392" t="n"/>
      <c r="BY1769" s="1392" t="n"/>
      <c r="BZ1769" s="1392" t="n"/>
      <c r="CA1769" s="1392" t="n"/>
      <c r="CB1769" s="1392" t="n"/>
      <c r="CC1769" s="1392" t="n"/>
      <c r="CD1769" s="1392" t="n"/>
      <c r="CE1769" s="1392" t="n"/>
      <c r="CF1769" s="1392" t="n"/>
      <c r="CG1769" s="1392" t="n"/>
      <c r="CH1769" s="1392" t="n"/>
      <c r="CI1769" s="1392" t="n"/>
      <c r="CJ1769" s="1392" t="n"/>
      <c r="CK1769" s="1392" t="n"/>
      <c r="CL1769" s="1392" t="n"/>
    </row>
    <row r="1770">
      <c r="A1770" s="5" t="inlineStr">
        <is>
          <t>.</t>
        </is>
      </c>
      <c r="B1770" s="5" t="inlineStr">
        <is>
          <t>.</t>
        </is>
      </c>
      <c r="C1770" s="1378">
        <f>IF(raw[[#This Row],[city]]="","-",IF(raw[[#This Row],[city]]="TODAY","-",C1769+1))</f>
        <v/>
      </c>
      <c r="D1770" s="1393" t="inlineStr">
        <is>
          <t>Porto</t>
        </is>
      </c>
      <c r="E1770" s="1394">
        <f>F1769</f>
        <v/>
      </c>
      <c r="F1770" s="1394" t="n">
        <v>45914</v>
      </c>
      <c r="G1770" s="1393" t="n">
        <v>1</v>
      </c>
      <c r="H1770" s="1393" t="inlineStr">
        <is>
          <t>Joao I</t>
        </is>
      </c>
      <c r="I1770" s="1393" t="n"/>
      <c r="J1770" s="1393" t="n"/>
      <c r="K1770" s="1395">
        <f>IF(raw[[#This Row],[city]]&lt;&gt;"",_xlfn.XLOOKUP($D1770,ccc[city],ccc[prov],"-"),"-")</f>
        <v/>
      </c>
      <c r="L1770" s="1395">
        <f>IF(raw[[#This Row],[city]]&lt;&gt;"",_xlfn.XLOOKUP($D1770,ccc[city],ccc[ctry],"-"),"-")</f>
        <v/>
      </c>
      <c r="M1770" s="1395">
        <f>IF(raw[[#This Row],[city]]&lt;&gt;"",_xlfn.XLOOKUP($D1770,ccc[city],ccc[cont],"-"),"-")</f>
        <v/>
      </c>
      <c r="N1770" s="1396">
        <f>IF(raw[[#This Row],[city]]="","-",IF(raw[[#This Row],[cont]]="B",raw[[#This Row],[cont]],"W"))</f>
        <v/>
      </c>
      <c r="O1770" s="1397">
        <f>IF(raw[[#This Row],[out]]=0,0,IF(raw[[#This Row],[out]]=raw[[#This Row],[in]],0.01,raw[[#This Row],[out]]-raw[[#This Row],[in]]))</f>
        <v/>
      </c>
      <c r="P1770" s="1397">
        <f>IF(raw[[#This Row],[in]]=0,0,MONTH(raw[[#This Row],[in]]))</f>
        <v/>
      </c>
      <c r="Q1770" s="1397">
        <f>IF(raw[[#This Row],[in]]=0,0,YEAR(raw[[#This Row],[in]]))</f>
        <v/>
      </c>
      <c r="R1770" s="1397">
        <f>INT(raw[[#This Row],[yr]]/10)*10</f>
        <v/>
      </c>
      <c r="S1770" s="1395">
        <f>IF(raw[[#This Row],[city]]="","-",IF(raw[[#This Row],[city]]&lt;&gt;_xlfn.XLOOKUP(raw[[#This Row],[home]],homes[home],homes[city],"-"),1,0))</f>
        <v/>
      </c>
      <c r="T1770" s="1398" t="inlineStr">
        <is>
          <t>.</t>
        </is>
      </c>
      <c r="U1770" s="1399">
        <f>IF(raw[[#This Row],[wb]]="w",raw[[#This Row],[stay]]+U1769,U1769)</f>
        <v/>
      </c>
      <c r="V1770" s="1400">
        <f>IF(raw[[#This Row],[out]]=0,V1769,(raw[[#This Row],[out]]-E$5))</f>
        <v/>
      </c>
      <c r="W1770" s="1401">
        <f>U1770/V1770</f>
        <v/>
      </c>
      <c r="X1770" s="1392" t="n"/>
      <c r="Y1770" s="1392" t="n"/>
      <c r="Z1770" s="1392" t="n"/>
      <c r="AA1770" s="1392" t="n"/>
      <c r="AB1770" s="1392" t="n"/>
      <c r="AC1770" s="1392" t="n"/>
      <c r="AD1770" s="1392" t="n"/>
      <c r="AE1770" s="1392" t="n"/>
      <c r="AF1770" s="1392" t="n"/>
      <c r="AG1770" s="1392" t="n"/>
      <c r="AH1770" s="1392" t="n"/>
      <c r="AI1770" s="1392" t="n"/>
      <c r="AJ1770" s="1392" t="n"/>
      <c r="AK1770" s="1392" t="n"/>
      <c r="AL1770" s="1392" t="n"/>
      <c r="AM1770" s="1392" t="n"/>
      <c r="AN1770" s="1392" t="n"/>
      <c r="AO1770" s="1392" t="n"/>
      <c r="AP1770" s="1392" t="n"/>
      <c r="AQ1770" s="1392" t="n"/>
      <c r="AR1770" s="1422" t="n"/>
      <c r="AS1770" s="1422" t="n"/>
      <c r="AT1770" s="1392" t="n"/>
      <c r="AU1770" s="1392" t="n"/>
      <c r="AV1770" s="1392" t="n"/>
      <c r="AW1770" s="1392" t="n"/>
      <c r="AX1770" s="1392" t="n"/>
      <c r="AY1770" s="1392" t="n"/>
      <c r="AZ1770" s="1392" t="n"/>
      <c r="BA1770" s="1422" t="n"/>
      <c r="BB1770" s="1422" t="n"/>
      <c r="BC1770" s="1392" t="n"/>
      <c r="BD1770" s="1392" t="n"/>
      <c r="BE1770" s="1392" t="n"/>
      <c r="BF1770" s="1392" t="n"/>
      <c r="BG1770" s="1392" t="n"/>
      <c r="BH1770" s="1392" t="n"/>
      <c r="BI1770" s="1392" t="n"/>
      <c r="BJ1770" s="1392" t="n"/>
      <c r="BK1770" s="1392" t="n"/>
      <c r="BL1770" s="1392" t="n"/>
      <c r="BM1770" s="1392" t="n"/>
      <c r="BN1770" s="1392" t="n"/>
      <c r="BO1770" s="1392" t="n"/>
      <c r="BP1770" s="1392" t="n"/>
      <c r="BQ1770" s="1392" t="n"/>
      <c r="BR1770" s="1392" t="n"/>
      <c r="BS1770" s="1392" t="n"/>
      <c r="BT1770" s="1392" t="n"/>
      <c r="BU1770" s="1392" t="n"/>
      <c r="BV1770" s="1392" t="n"/>
      <c r="BW1770" s="1392" t="n"/>
      <c r="BX1770" s="1392" t="n"/>
      <c r="BY1770" s="1392" t="n"/>
      <c r="BZ1770" s="1392" t="n"/>
      <c r="CA1770" s="1392" t="n"/>
      <c r="CB1770" s="1392" t="n"/>
      <c r="CC1770" s="1392" t="n"/>
      <c r="CD1770" s="1392" t="n"/>
      <c r="CE1770" s="1392" t="n"/>
      <c r="CF1770" s="1392" t="n"/>
      <c r="CG1770" s="1392" t="n"/>
      <c r="CH1770" s="1392" t="n"/>
      <c r="CI1770" s="1392" t="n"/>
      <c r="CJ1770" s="1392" t="n"/>
      <c r="CK1770" s="1392" t="n"/>
      <c r="CL1770" s="1392" t="n"/>
    </row>
    <row r="1771">
      <c r="A1771" s="5" t="inlineStr">
        <is>
          <t>.</t>
        </is>
      </c>
      <c r="B1771" s="5" t="inlineStr">
        <is>
          <t>.</t>
        </is>
      </c>
      <c r="C1771" s="1378">
        <f>IF(raw[[#This Row],[city]]="","-",IF(raw[[#This Row],[city]]="TODAY","-",C1770+1))</f>
        <v/>
      </c>
      <c r="D1771" s="1393" t="inlineStr">
        <is>
          <t>Montreal</t>
        </is>
      </c>
      <c r="E1771" s="1394">
        <f>F1770</f>
        <v/>
      </c>
      <c r="F1771" s="1394" t="n">
        <v>45920</v>
      </c>
      <c r="G1771" s="1393" t="n">
        <v>1</v>
      </c>
      <c r="H1771" s="1393" t="inlineStr">
        <is>
          <t>Joao I</t>
        </is>
      </c>
      <c r="I1771" s="1393" t="n"/>
      <c r="J1771" s="1393" t="n"/>
      <c r="K1771" s="1395">
        <f>IF(raw[[#This Row],[city]]&lt;&gt;"",_xlfn.XLOOKUP($D1771,ccc[city],ccc[prov],"-"),"-")</f>
        <v/>
      </c>
      <c r="L1771" s="1395">
        <f>IF(raw[[#This Row],[city]]&lt;&gt;"",_xlfn.XLOOKUP($D1771,ccc[city],ccc[ctry],"-"),"-")</f>
        <v/>
      </c>
      <c r="M1771" s="1395">
        <f>IF(raw[[#This Row],[city]]&lt;&gt;"",_xlfn.XLOOKUP($D1771,ccc[city],ccc[cont],"-"),"-")</f>
        <v/>
      </c>
      <c r="N1771" s="1396">
        <f>IF(raw[[#This Row],[city]]="","-",IF(raw[[#This Row],[cont]]="B",raw[[#This Row],[cont]],"W"))</f>
        <v/>
      </c>
      <c r="O1771" s="1397">
        <f>IF(raw[[#This Row],[out]]=0,0,IF(raw[[#This Row],[out]]=raw[[#This Row],[in]],0.01,raw[[#This Row],[out]]-raw[[#This Row],[in]]))</f>
        <v/>
      </c>
      <c r="P1771" s="1397">
        <f>IF(raw[[#This Row],[in]]=0,0,MONTH(raw[[#This Row],[in]]))</f>
        <v/>
      </c>
      <c r="Q1771" s="1397">
        <f>IF(raw[[#This Row],[in]]=0,0,YEAR(raw[[#This Row],[in]]))</f>
        <v/>
      </c>
      <c r="R1771" s="1397">
        <f>INT(raw[[#This Row],[yr]]/10)*10</f>
        <v/>
      </c>
      <c r="S1771" s="1395">
        <f>IF(raw[[#This Row],[city]]="","-",IF(raw[[#This Row],[city]]&lt;&gt;_xlfn.XLOOKUP(raw[[#This Row],[home]],homes[home],homes[city],"-"),1,0))</f>
        <v/>
      </c>
      <c r="T1771" s="1398" t="inlineStr">
        <is>
          <t>.</t>
        </is>
      </c>
      <c r="U1771" s="1399">
        <f>IF(raw[[#This Row],[wb]]="w",raw[[#This Row],[stay]]+U1770,U1770)</f>
        <v/>
      </c>
      <c r="V1771" s="1400">
        <f>IF(raw[[#This Row],[out]]=0,V1770,(raw[[#This Row],[out]]-E$5))</f>
        <v/>
      </c>
      <c r="W1771" s="1401">
        <f>U1771/V1771</f>
        <v/>
      </c>
      <c r="X1771" s="1392" t="n"/>
      <c r="Y1771" s="1392" t="n"/>
      <c r="Z1771" s="1392" t="n"/>
      <c r="AA1771" s="1392" t="n"/>
      <c r="AB1771" s="1392" t="n"/>
      <c r="AC1771" s="1392" t="n"/>
      <c r="AD1771" s="1392" t="n"/>
      <c r="AE1771" s="1392" t="n"/>
      <c r="AF1771" s="1392" t="n"/>
      <c r="AG1771" s="1392" t="n"/>
      <c r="AH1771" s="1392" t="n"/>
      <c r="AI1771" s="1392" t="n"/>
      <c r="AJ1771" s="1392" t="n"/>
      <c r="AK1771" s="1392" t="n"/>
      <c r="AL1771" s="1392" t="n"/>
      <c r="AM1771" s="1392" t="n"/>
      <c r="AN1771" s="1392" t="n"/>
      <c r="AO1771" s="1392" t="n"/>
      <c r="AP1771" s="1392" t="n"/>
      <c r="AQ1771" s="1392" t="n"/>
      <c r="AR1771" s="1422" t="n"/>
      <c r="AS1771" s="1422" t="n"/>
      <c r="AT1771" s="1392" t="n"/>
      <c r="AU1771" s="1392" t="n"/>
      <c r="AV1771" s="1392" t="n"/>
      <c r="AW1771" s="1392" t="n"/>
      <c r="AX1771" s="1392" t="n"/>
      <c r="AY1771" s="1392" t="n"/>
      <c r="AZ1771" s="1392" t="n"/>
      <c r="BA1771" s="1422" t="n"/>
      <c r="BB1771" s="1422" t="n"/>
      <c r="BC1771" s="1392" t="n"/>
      <c r="BD1771" s="1392" t="n"/>
      <c r="BE1771" s="1392" t="n"/>
      <c r="BF1771" s="1392" t="n"/>
      <c r="BG1771" s="1392" t="n"/>
      <c r="BH1771" s="1392" t="n"/>
      <c r="BI1771" s="1392" t="n"/>
      <c r="BJ1771" s="1392" t="n"/>
      <c r="BK1771" s="1392" t="n"/>
      <c r="BL1771" s="1392" t="n"/>
      <c r="BM1771" s="1392" t="n"/>
      <c r="BN1771" s="1392" t="n"/>
      <c r="BO1771" s="1392" t="n"/>
      <c r="BP1771" s="1392" t="n"/>
      <c r="BQ1771" s="1392" t="n"/>
      <c r="BR1771" s="1392" t="n"/>
      <c r="BS1771" s="1392" t="n"/>
      <c r="BT1771" s="1392" t="n"/>
      <c r="BU1771" s="1392" t="n"/>
      <c r="BV1771" s="1392" t="n"/>
      <c r="BW1771" s="1392" t="n"/>
      <c r="BX1771" s="1392" t="n"/>
      <c r="BY1771" s="1392" t="n"/>
      <c r="BZ1771" s="1392" t="n"/>
      <c r="CA1771" s="1392" t="n"/>
      <c r="CB1771" s="1392" t="n"/>
      <c r="CC1771" s="1392" t="n"/>
      <c r="CD1771" s="1392" t="n"/>
      <c r="CE1771" s="1392" t="n"/>
      <c r="CF1771" s="1392" t="n"/>
      <c r="CG1771" s="1392" t="n"/>
      <c r="CH1771" s="1392" t="n"/>
      <c r="CI1771" s="1392" t="n"/>
      <c r="CJ1771" s="1392" t="n"/>
      <c r="CK1771" s="1392" t="n"/>
      <c r="CL1771" s="1392" t="n"/>
    </row>
    <row r="1772">
      <c r="A1772" s="5" t="inlineStr">
        <is>
          <t>.</t>
        </is>
      </c>
      <c r="B1772" s="5" t="inlineStr">
        <is>
          <t>.</t>
        </is>
      </c>
      <c r="C1772" s="1378">
        <f>IF(raw[[#This Row],[city]]="","-",IF(raw[[#This Row],[city]]="TODAY","-",C1771+1))</f>
        <v/>
      </c>
      <c r="D1772" s="1393" t="inlineStr">
        <is>
          <t>Porto</t>
        </is>
      </c>
      <c r="E1772" s="1394" t="n">
        <v>45920</v>
      </c>
      <c r="F1772" s="1394" t="n">
        <v>45931</v>
      </c>
      <c r="G1772" s="1393" t="n"/>
      <c r="H1772" s="1393" t="inlineStr">
        <is>
          <t>Joao I</t>
        </is>
      </c>
      <c r="I1772" s="1393" t="n"/>
      <c r="J1772" s="1393" t="n"/>
      <c r="K1772" s="1395">
        <f>IF(raw[[#This Row],[city]]&lt;&gt;"",_xlfn.XLOOKUP($D1772,ccc[city],ccc[prov],"-"),"-")</f>
        <v/>
      </c>
      <c r="L1772" s="1395">
        <f>IF(raw[[#This Row],[city]]&lt;&gt;"",_xlfn.XLOOKUP($D1772,ccc[city],ccc[ctry],"-"),"-")</f>
        <v/>
      </c>
      <c r="M1772" s="1395">
        <f>IF(raw[[#This Row],[city]]&lt;&gt;"",_xlfn.XLOOKUP($D1772,ccc[city],ccc[cont],"-"),"-")</f>
        <v/>
      </c>
      <c r="N1772" s="1396">
        <f>IF(raw[[#This Row],[city]]="","-",IF(raw[[#This Row],[cont]]="B",raw[[#This Row],[cont]],"W"))</f>
        <v/>
      </c>
      <c r="O1772" s="1397">
        <f>IF(raw[[#This Row],[out]]=0,0,IF(raw[[#This Row],[out]]=raw[[#This Row],[in]],0.01,raw[[#This Row],[out]]-raw[[#This Row],[in]]))</f>
        <v/>
      </c>
      <c r="P1772" s="1397">
        <f>IF(raw[[#This Row],[in]]=0,0,MONTH(raw[[#This Row],[in]]))</f>
        <v/>
      </c>
      <c r="Q1772" s="1397">
        <f>IF(raw[[#This Row],[in]]=0,0,YEAR(raw[[#This Row],[in]]))</f>
        <v/>
      </c>
      <c r="R1772" s="1397">
        <f>INT(raw[[#This Row],[yr]]/10)*10</f>
        <v/>
      </c>
      <c r="S1772" s="1395">
        <f>IF(raw[[#This Row],[city]]="","-",IF(raw[[#This Row],[city]]&lt;&gt;_xlfn.XLOOKUP(raw[[#This Row],[home]],homes[home],homes[city],"-"),1,0))</f>
        <v/>
      </c>
      <c r="T1772" s="1398" t="inlineStr">
        <is>
          <t>.</t>
        </is>
      </c>
      <c r="U1772" s="1399">
        <f>IF(raw[[#This Row],[wb]]="w",raw[[#This Row],[stay]]+U1771,U1771)</f>
        <v/>
      </c>
      <c r="V1772" s="1400">
        <f>IF(raw[[#This Row],[out]]=0,V1771,(raw[[#This Row],[out]]-E$5))</f>
        <v/>
      </c>
      <c r="W1772" s="1401">
        <f>U1772/V1772</f>
        <v/>
      </c>
      <c r="X1772" s="1392" t="n"/>
      <c r="Y1772" s="1392" t="n"/>
      <c r="Z1772" s="1392" t="n"/>
      <c r="AA1772" s="1392" t="n"/>
      <c r="AB1772" s="1392" t="n"/>
      <c r="AC1772" s="1392" t="n"/>
      <c r="AD1772" s="1392" t="n"/>
      <c r="AE1772" s="1392" t="n"/>
      <c r="AF1772" s="1392" t="n"/>
      <c r="AG1772" s="1392" t="n"/>
      <c r="AH1772" s="1392" t="n"/>
      <c r="AI1772" s="1392" t="n"/>
      <c r="AJ1772" s="1392" t="n"/>
      <c r="AK1772" s="1392" t="n"/>
      <c r="AL1772" s="1392" t="n"/>
      <c r="AM1772" s="1392" t="n"/>
      <c r="AN1772" s="1392" t="n"/>
      <c r="AO1772" s="1392" t="n"/>
      <c r="AP1772" s="1392" t="n"/>
      <c r="AQ1772" s="1392" t="n"/>
      <c r="AR1772" s="1422" t="n"/>
      <c r="AS1772" s="1422" t="n"/>
      <c r="AT1772" s="1392" t="n"/>
      <c r="AU1772" s="1392" t="n"/>
      <c r="AV1772" s="1392" t="n"/>
      <c r="AW1772" s="1392" t="n"/>
      <c r="AX1772" s="1392" t="n"/>
      <c r="AY1772" s="1392" t="n"/>
      <c r="AZ1772" s="1392" t="n"/>
      <c r="BA1772" s="1422" t="n"/>
      <c r="BB1772" s="1422" t="n"/>
      <c r="BC1772" s="1392" t="n"/>
      <c r="BD1772" s="1392" t="n"/>
      <c r="BE1772" s="1392" t="n"/>
      <c r="BF1772" s="1392" t="n"/>
      <c r="BG1772" s="1392" t="n"/>
      <c r="BH1772" s="1392" t="n"/>
      <c r="BI1772" s="1392" t="n"/>
      <c r="BJ1772" s="1392" t="n"/>
      <c r="BK1772" s="1392" t="n"/>
      <c r="BL1772" s="1392" t="n"/>
      <c r="BM1772" s="1392" t="n"/>
      <c r="BN1772" s="1392" t="n"/>
      <c r="BO1772" s="1392" t="n"/>
      <c r="BP1772" s="1392" t="n"/>
      <c r="BQ1772" s="1392" t="n"/>
      <c r="BR1772" s="1392" t="n"/>
      <c r="BS1772" s="1392" t="n"/>
      <c r="BT1772" s="1392" t="n"/>
      <c r="BU1772" s="1392" t="n"/>
      <c r="BV1772" s="1392" t="n"/>
      <c r="BW1772" s="1392" t="n"/>
      <c r="BX1772" s="1392" t="n"/>
      <c r="BY1772" s="1392" t="n"/>
      <c r="BZ1772" s="1392" t="n"/>
      <c r="CA1772" s="1392" t="n"/>
      <c r="CB1772" s="1392" t="n"/>
      <c r="CC1772" s="1392" t="n"/>
      <c r="CD1772" s="1392" t="n"/>
      <c r="CE1772" s="1392" t="n"/>
      <c r="CF1772" s="1392" t="n"/>
      <c r="CG1772" s="1392" t="n"/>
      <c r="CH1772" s="1392" t="n"/>
      <c r="CI1772" s="1392" t="n"/>
      <c r="CJ1772" s="1392" t="n"/>
      <c r="CK1772" s="1392" t="n"/>
      <c r="CL1772" s="1392" t="n"/>
    </row>
    <row r="1773">
      <c r="A1773" s="5" t="inlineStr">
        <is>
          <t>.</t>
        </is>
      </c>
      <c r="B1773" s="5" t="inlineStr">
        <is>
          <t>.</t>
        </is>
      </c>
      <c r="C1773" s="1378">
        <f>IF(raw[[#This Row],[city]]="","-",IF(raw[[#This Row],[city]]="TODAY","-",C1772+1))</f>
        <v/>
      </c>
      <c r="D1773" s="1393" t="inlineStr">
        <is>
          <t>Lisbon</t>
        </is>
      </c>
      <c r="E1773" s="1394" t="n">
        <v>45923</v>
      </c>
      <c r="F1773" s="1394" t="n">
        <v>45923</v>
      </c>
      <c r="G1773" s="1393" t="n"/>
      <c r="H1773" s="1393" t="inlineStr">
        <is>
          <t>Joao I</t>
        </is>
      </c>
      <c r="I1773" s="1393" t="n"/>
      <c r="J1773" s="1393" t="n"/>
      <c r="K1773" s="1395">
        <f>IF(raw[[#This Row],[city]]&lt;&gt;"",_xlfn.XLOOKUP($D1773,ccc[city],ccc[prov],"-"),"-")</f>
        <v/>
      </c>
      <c r="L1773" s="1395">
        <f>IF(raw[[#This Row],[city]]&lt;&gt;"",_xlfn.XLOOKUP($D1773,ccc[city],ccc[ctry],"-"),"-")</f>
        <v/>
      </c>
      <c r="M1773" s="1395">
        <f>IF(raw[[#This Row],[city]]&lt;&gt;"",_xlfn.XLOOKUP($D1773,ccc[city],ccc[cont],"-"),"-")</f>
        <v/>
      </c>
      <c r="N1773" s="1396">
        <f>IF(raw[[#This Row],[city]]="","-",IF(raw[[#This Row],[cont]]="B",raw[[#This Row],[cont]],"W"))</f>
        <v/>
      </c>
      <c r="O1773" s="1397">
        <f>IF(raw[[#This Row],[out]]=0,0,IF(raw[[#This Row],[out]]=raw[[#This Row],[in]],0.01,raw[[#This Row],[out]]-raw[[#This Row],[in]]))</f>
        <v/>
      </c>
      <c r="P1773" s="1397">
        <f>IF(raw[[#This Row],[in]]=0,0,MONTH(raw[[#This Row],[in]]))</f>
        <v/>
      </c>
      <c r="Q1773" s="1397">
        <f>IF(raw[[#This Row],[in]]=0,0,YEAR(raw[[#This Row],[in]]))</f>
        <v/>
      </c>
      <c r="R1773" s="1397">
        <f>INT(raw[[#This Row],[yr]]/10)*10</f>
        <v/>
      </c>
      <c r="S1773" s="1395">
        <f>IF(raw[[#This Row],[city]]="","-",IF(raw[[#This Row],[city]]&lt;&gt;_xlfn.XLOOKUP(raw[[#This Row],[home]],homes[home],homes[city],"-"),1,0))</f>
        <v/>
      </c>
      <c r="T1773" s="1398" t="inlineStr">
        <is>
          <t>.</t>
        </is>
      </c>
      <c r="U1773" s="1399">
        <f>IF(raw[[#This Row],[wb]]="w",raw[[#This Row],[stay]]+U1772,U1772)</f>
        <v/>
      </c>
      <c r="V1773" s="1400">
        <f>IF(raw[[#This Row],[out]]=0,V1772,(raw[[#This Row],[out]]-E$5))</f>
        <v/>
      </c>
      <c r="W1773" s="1401">
        <f>U1773/V1773</f>
        <v/>
      </c>
      <c r="X1773" s="1392" t="n"/>
      <c r="Y1773" s="1392" t="n"/>
      <c r="Z1773" s="1392" t="n"/>
      <c r="AA1773" s="1392" t="n"/>
      <c r="AB1773" s="1392" t="n"/>
      <c r="AC1773" s="1392" t="n"/>
      <c r="AD1773" s="1392" t="n"/>
      <c r="AE1773" s="1392" t="n"/>
      <c r="AF1773" s="1392" t="n"/>
      <c r="AG1773" s="1392" t="n"/>
      <c r="AH1773" s="1392" t="n"/>
      <c r="AI1773" s="1392" t="n"/>
      <c r="AJ1773" s="1392" t="n"/>
      <c r="AK1773" s="1392" t="n"/>
      <c r="AL1773" s="1392" t="n"/>
      <c r="AM1773" s="1392" t="n"/>
      <c r="AN1773" s="1392" t="n"/>
      <c r="AO1773" s="1392" t="n"/>
      <c r="AP1773" s="1392" t="n"/>
      <c r="AQ1773" s="1392" t="n"/>
      <c r="AR1773" s="1422" t="n"/>
      <c r="AS1773" s="1422" t="n"/>
      <c r="AT1773" s="1392" t="n"/>
      <c r="AU1773" s="1392" t="n"/>
      <c r="AV1773" s="1392" t="n"/>
      <c r="AW1773" s="1392" t="n"/>
      <c r="AX1773" s="1392" t="n"/>
      <c r="AY1773" s="1392" t="n"/>
      <c r="AZ1773" s="1392" t="n"/>
      <c r="BA1773" s="1422" t="n"/>
      <c r="BB1773" s="1422" t="n"/>
      <c r="BC1773" s="1392" t="n"/>
      <c r="BD1773" s="1392" t="n"/>
      <c r="BE1773" s="1392" t="n"/>
      <c r="BF1773" s="1392" t="n"/>
      <c r="BG1773" s="1392" t="n"/>
      <c r="BH1773" s="1392" t="n"/>
      <c r="BI1773" s="1392" t="n"/>
      <c r="BJ1773" s="1392" t="n"/>
      <c r="BK1773" s="1392" t="n"/>
      <c r="BL1773" s="1392" t="n"/>
      <c r="BM1773" s="1392" t="n"/>
      <c r="BN1773" s="1392" t="n"/>
      <c r="BO1773" s="1392" t="n"/>
      <c r="BP1773" s="1392" t="n"/>
      <c r="BQ1773" s="1392" t="n"/>
      <c r="BR1773" s="1392" t="n"/>
      <c r="BS1773" s="1392" t="n"/>
      <c r="BT1773" s="1392" t="n"/>
      <c r="BU1773" s="1392" t="n"/>
      <c r="BV1773" s="1392" t="n"/>
      <c r="BW1773" s="1392" t="n"/>
      <c r="BX1773" s="1392" t="n"/>
      <c r="BY1773" s="1392" t="n"/>
      <c r="BZ1773" s="1392" t="n"/>
      <c r="CA1773" s="1392" t="n"/>
      <c r="CB1773" s="1392" t="n"/>
      <c r="CC1773" s="1392" t="n"/>
      <c r="CD1773" s="1392" t="n"/>
      <c r="CE1773" s="1392" t="n"/>
      <c r="CF1773" s="1392" t="n"/>
      <c r="CG1773" s="1392" t="n"/>
      <c r="CH1773" s="1392" t="n"/>
      <c r="CI1773" s="1392" t="n"/>
      <c r="CJ1773" s="1392" t="n"/>
      <c r="CK1773" s="1392" t="n"/>
      <c r="CL1773" s="1392" t="n"/>
    </row>
    <row r="1774">
      <c r="A1774" s="5" t="inlineStr">
        <is>
          <t>.</t>
        </is>
      </c>
      <c r="B1774" s="5" t="inlineStr">
        <is>
          <t>.</t>
        </is>
      </c>
      <c r="C1774" s="1378">
        <f>IF(raw[[#This Row],[city]]="","-",IF(raw[[#This Row],[city]]="TODAY","-",C1773+1))</f>
        <v/>
      </c>
      <c r="D1774" s="1393" t="inlineStr">
        <is>
          <t>Porto</t>
        </is>
      </c>
      <c r="E1774" s="1394" t="n">
        <v>45931</v>
      </c>
      <c r="F1774" s="1394" t="n">
        <v>45962</v>
      </c>
      <c r="G1774" s="1393" t="n"/>
      <c r="H1774" s="1393" t="inlineStr">
        <is>
          <t>Joao I</t>
        </is>
      </c>
      <c r="I1774" s="1393" t="n"/>
      <c r="J1774" s="1393" t="n"/>
      <c r="K1774" s="1395">
        <f>IF(raw[[#This Row],[city]]&lt;&gt;"",_xlfn.XLOOKUP($D1774,ccc[city],ccc[prov],"-"),"-")</f>
        <v/>
      </c>
      <c r="L1774" s="1395">
        <f>IF(raw[[#This Row],[city]]&lt;&gt;"",_xlfn.XLOOKUP($D1774,ccc[city],ccc[ctry],"-"),"-")</f>
        <v/>
      </c>
      <c r="M1774" s="1395">
        <f>IF(raw[[#This Row],[city]]&lt;&gt;"",_xlfn.XLOOKUP($D1774,ccc[city],ccc[cont],"-"),"-")</f>
        <v/>
      </c>
      <c r="N1774" s="1396">
        <f>IF(raw[[#This Row],[city]]="","-",IF(raw[[#This Row],[cont]]="B",raw[[#This Row],[cont]],"W"))</f>
        <v/>
      </c>
      <c r="O1774" s="1397">
        <f>IF(raw[[#This Row],[out]]=0,0,IF(raw[[#This Row],[out]]=raw[[#This Row],[in]],0.01,raw[[#This Row],[out]]-raw[[#This Row],[in]]))</f>
        <v/>
      </c>
      <c r="P1774" s="1397">
        <f>IF(raw[[#This Row],[in]]=0,0,MONTH(raw[[#This Row],[in]]))</f>
        <v/>
      </c>
      <c r="Q1774" s="1397">
        <f>IF(raw[[#This Row],[in]]=0,0,YEAR(raw[[#This Row],[in]]))</f>
        <v/>
      </c>
      <c r="R1774" s="1397">
        <f>INT(raw[[#This Row],[yr]]/10)*10</f>
        <v/>
      </c>
      <c r="S1774" s="1395">
        <f>IF(raw[[#This Row],[city]]="","-",IF(raw[[#This Row],[city]]&lt;&gt;_xlfn.XLOOKUP(raw[[#This Row],[home]],homes[home],homes[city],"-"),1,0))</f>
        <v/>
      </c>
      <c r="T1774" s="1398" t="inlineStr">
        <is>
          <t>.</t>
        </is>
      </c>
      <c r="U1774" s="1399">
        <f>IF(raw[[#This Row],[wb]]="w",raw[[#This Row],[stay]]+U1773,U1773)</f>
        <v/>
      </c>
      <c r="V1774" s="1400">
        <f>IF(raw[[#This Row],[out]]=0,V1773,(raw[[#This Row],[out]]-E$5))</f>
        <v/>
      </c>
      <c r="W1774" s="1401">
        <f>U1774/V1774</f>
        <v/>
      </c>
      <c r="X1774" s="1392" t="n"/>
      <c r="Y1774" s="1392" t="n"/>
      <c r="Z1774" s="1392" t="n"/>
      <c r="AA1774" s="1392" t="n"/>
      <c r="AB1774" s="1392" t="n"/>
      <c r="AC1774" s="1392" t="n"/>
      <c r="AD1774" s="1392" t="n"/>
      <c r="AE1774" s="1392" t="n"/>
      <c r="AF1774" s="1392" t="n"/>
      <c r="AG1774" s="1392" t="n"/>
      <c r="AH1774" s="1392" t="n"/>
      <c r="AI1774" s="1392" t="n"/>
      <c r="AJ1774" s="1392" t="n"/>
      <c r="AK1774" s="1392" t="n"/>
      <c r="AL1774" s="1392" t="n"/>
      <c r="AM1774" s="1392" t="n"/>
      <c r="AN1774" s="1392" t="n"/>
      <c r="AO1774" s="1392" t="n"/>
      <c r="AP1774" s="1392" t="n"/>
      <c r="AQ1774" s="1392" t="n"/>
      <c r="AR1774" s="1422" t="n"/>
      <c r="AS1774" s="1422" t="n"/>
      <c r="AT1774" s="1392" t="n"/>
      <c r="AU1774" s="1392" t="n"/>
      <c r="AV1774" s="1392" t="n"/>
      <c r="AW1774" s="1392" t="n"/>
      <c r="AX1774" s="1392" t="n"/>
      <c r="AY1774" s="1392" t="n"/>
      <c r="AZ1774" s="1392" t="n"/>
      <c r="BA1774" s="1422" t="n"/>
      <c r="BB1774" s="1422" t="n"/>
      <c r="BC1774" s="1392" t="n"/>
      <c r="BD1774" s="1392" t="n"/>
      <c r="BE1774" s="1392" t="n"/>
      <c r="BF1774" s="1392" t="n"/>
      <c r="BG1774" s="1392" t="n"/>
      <c r="BH1774" s="1392" t="n"/>
      <c r="BI1774" s="1392" t="n"/>
      <c r="BJ1774" s="1392" t="n"/>
      <c r="BK1774" s="1392" t="n"/>
      <c r="BL1774" s="1392" t="n"/>
      <c r="BM1774" s="1392" t="n"/>
      <c r="BN1774" s="1392" t="n"/>
      <c r="BO1774" s="1392" t="n"/>
      <c r="BP1774" s="1392" t="n"/>
      <c r="BQ1774" s="1392" t="n"/>
      <c r="BR1774" s="1392" t="n"/>
      <c r="BS1774" s="1392" t="n"/>
      <c r="BT1774" s="1392" t="n"/>
      <c r="BU1774" s="1392" t="n"/>
      <c r="BV1774" s="1392" t="n"/>
      <c r="BW1774" s="1392" t="n"/>
      <c r="BX1774" s="1392" t="n"/>
      <c r="BY1774" s="1392" t="n"/>
      <c r="BZ1774" s="1392" t="n"/>
      <c r="CA1774" s="1392" t="n"/>
      <c r="CB1774" s="1392" t="n"/>
      <c r="CC1774" s="1392" t="n"/>
      <c r="CD1774" s="1392" t="n"/>
      <c r="CE1774" s="1392" t="n"/>
      <c r="CF1774" s="1392" t="n"/>
      <c r="CG1774" s="1392" t="n"/>
      <c r="CH1774" s="1392" t="n"/>
      <c r="CI1774" s="1392" t="n"/>
      <c r="CJ1774" s="1392" t="n"/>
      <c r="CK1774" s="1392" t="n"/>
      <c r="CL1774" s="1392" t="n"/>
    </row>
    <row r="1775">
      <c r="A1775" s="5" t="inlineStr">
        <is>
          <t>.</t>
        </is>
      </c>
      <c r="B1775" s="5" t="inlineStr">
        <is>
          <t>.</t>
        </is>
      </c>
      <c r="C1775" s="1378">
        <f>IF(raw[[#This Row],[city]]="","-",IF(raw[[#This Row],[city]]="TODAY","-",C1774+1))</f>
        <v/>
      </c>
      <c r="D1775" s="1393" t="inlineStr">
        <is>
          <t>Lisbon</t>
        </is>
      </c>
      <c r="E1775" s="1394" t="n">
        <v>45932</v>
      </c>
      <c r="F1775" s="1394">
        <f>raw[[#This Row],[in]]</f>
        <v/>
      </c>
      <c r="G1775" s="1393" t="n"/>
      <c r="H1775" s="1393" t="inlineStr">
        <is>
          <t>Joao I</t>
        </is>
      </c>
      <c r="I1775" s="1393" t="n"/>
      <c r="J1775" s="1393" t="n"/>
      <c r="K1775" s="1395">
        <f>IF(raw[[#This Row],[city]]&lt;&gt;"",_xlfn.XLOOKUP($D1775,ccc[city],ccc[prov],"-"),"-")</f>
        <v/>
      </c>
      <c r="L1775" s="1395">
        <f>IF(raw[[#This Row],[city]]&lt;&gt;"",_xlfn.XLOOKUP($D1775,ccc[city],ccc[ctry],"-"),"-")</f>
        <v/>
      </c>
      <c r="M1775" s="1395">
        <f>IF(raw[[#This Row],[city]]&lt;&gt;"",_xlfn.XLOOKUP($D1775,ccc[city],ccc[cont],"-"),"-")</f>
        <v/>
      </c>
      <c r="N1775" s="1396">
        <f>IF(raw[[#This Row],[city]]="","-",IF(raw[[#This Row],[cont]]="B",raw[[#This Row],[cont]],"W"))</f>
        <v/>
      </c>
      <c r="O1775" s="1397">
        <f>IF(raw[[#This Row],[out]]=0,0,IF(raw[[#This Row],[out]]=raw[[#This Row],[in]],0.01,raw[[#This Row],[out]]-raw[[#This Row],[in]]))</f>
        <v/>
      </c>
      <c r="P1775" s="1397">
        <f>IF(raw[[#This Row],[in]]=0,0,MONTH(raw[[#This Row],[in]]))</f>
        <v/>
      </c>
      <c r="Q1775" s="1397">
        <f>IF(raw[[#This Row],[in]]=0,0,YEAR(raw[[#This Row],[in]]))</f>
        <v/>
      </c>
      <c r="R1775" s="1397">
        <f>INT(raw[[#This Row],[yr]]/10)*10</f>
        <v/>
      </c>
      <c r="S1775" s="1395">
        <f>IF(raw[[#This Row],[city]]="","-",IF(raw[[#This Row],[city]]&lt;&gt;_xlfn.XLOOKUP(raw[[#This Row],[home]],homes[home],homes[city],"-"),1,0))</f>
        <v/>
      </c>
      <c r="T1775" s="1398" t="inlineStr">
        <is>
          <t>.</t>
        </is>
      </c>
      <c r="U1775" s="1399">
        <f>IF(raw[[#This Row],[wb]]="w",raw[[#This Row],[stay]]+U1774,U1774)</f>
        <v/>
      </c>
      <c r="V1775" s="1400">
        <f>IF(raw[[#This Row],[out]]=0,V1774,(raw[[#This Row],[out]]-E$5))</f>
        <v/>
      </c>
      <c r="W1775" s="1401">
        <f>U1775/V1775</f>
        <v/>
      </c>
      <c r="X1775" s="1392" t="n"/>
      <c r="Y1775" s="1392" t="n"/>
      <c r="Z1775" s="1392" t="n"/>
      <c r="AA1775" s="1392" t="n"/>
      <c r="AB1775" s="1392" t="n"/>
      <c r="AC1775" s="1392" t="n"/>
      <c r="AD1775" s="1392" t="n"/>
      <c r="AE1775" s="1392" t="n"/>
      <c r="AF1775" s="1392" t="n"/>
      <c r="AG1775" s="1392" t="n"/>
      <c r="AH1775" s="1392" t="n"/>
      <c r="AI1775" s="1392" t="n"/>
      <c r="AJ1775" s="1392" t="n"/>
      <c r="AK1775" s="1392" t="n"/>
      <c r="AL1775" s="1392" t="n"/>
      <c r="AM1775" s="1392" t="n"/>
      <c r="AN1775" s="1392" t="n"/>
      <c r="AO1775" s="1392" t="n"/>
      <c r="AP1775" s="1392" t="n"/>
      <c r="AQ1775" s="1392" t="n"/>
      <c r="AR1775" s="1422" t="n"/>
      <c r="AS1775" s="1422" t="n"/>
      <c r="AT1775" s="1392" t="n"/>
      <c r="AU1775" s="1392" t="n"/>
      <c r="AV1775" s="1392" t="n"/>
      <c r="AW1775" s="1392" t="n"/>
      <c r="AX1775" s="1392" t="n"/>
      <c r="AY1775" s="1392" t="n"/>
      <c r="AZ1775" s="1392" t="n"/>
      <c r="BA1775" s="1422" t="n"/>
      <c r="BB1775" s="1422" t="n"/>
      <c r="BC1775" s="1392" t="n"/>
      <c r="BD1775" s="1392" t="n"/>
      <c r="BE1775" s="1392" t="n"/>
      <c r="BF1775" s="1392" t="n"/>
      <c r="BG1775" s="1392" t="n"/>
      <c r="BH1775" s="1392" t="n"/>
      <c r="BI1775" s="1392" t="n"/>
      <c r="BJ1775" s="1392" t="n"/>
      <c r="BK1775" s="1392" t="n"/>
      <c r="BL1775" s="1392" t="n"/>
      <c r="BM1775" s="1392" t="n"/>
      <c r="BN1775" s="1392" t="n"/>
      <c r="BO1775" s="1392" t="n"/>
      <c r="BP1775" s="1392" t="n"/>
      <c r="BQ1775" s="1392" t="n"/>
      <c r="BR1775" s="1392" t="n"/>
      <c r="BS1775" s="1392" t="n"/>
      <c r="BT1775" s="1392" t="n"/>
      <c r="BU1775" s="1392" t="n"/>
      <c r="BV1775" s="1392" t="n"/>
      <c r="BW1775" s="1392" t="n"/>
      <c r="BX1775" s="1392" t="n"/>
      <c r="BY1775" s="1392" t="n"/>
      <c r="BZ1775" s="1392" t="n"/>
      <c r="CA1775" s="1392" t="n"/>
      <c r="CB1775" s="1392" t="n"/>
      <c r="CC1775" s="1392" t="n"/>
      <c r="CD1775" s="1392" t="n"/>
      <c r="CE1775" s="1392" t="n"/>
      <c r="CF1775" s="1392" t="n"/>
      <c r="CG1775" s="1392" t="n"/>
      <c r="CH1775" s="1392" t="n"/>
      <c r="CI1775" s="1392" t="n"/>
      <c r="CJ1775" s="1392" t="n"/>
      <c r="CK1775" s="1392" t="n"/>
      <c r="CL1775" s="1392" t="n"/>
    </row>
    <row r="1776">
      <c r="A1776" s="5" t="inlineStr">
        <is>
          <t>.</t>
        </is>
      </c>
      <c r="B1776" s="5" t="inlineStr">
        <is>
          <t>.</t>
        </is>
      </c>
      <c r="C1776" s="1378">
        <f>IF(raw[[#This Row],[city]]="","-",IF(raw[[#This Row],[city]]="TODAY","-",C1775+1))</f>
        <v/>
      </c>
      <c r="D1776" s="1393" t="inlineStr">
        <is>
          <t>Porto</t>
        </is>
      </c>
      <c r="E1776" s="1394" t="n">
        <v>45962</v>
      </c>
      <c r="F1776" s="1394" t="n">
        <v>45992</v>
      </c>
      <c r="G1776" s="1393" t="n"/>
      <c r="H1776" s="1393" t="inlineStr">
        <is>
          <t>Joao I</t>
        </is>
      </c>
      <c r="I1776" s="1393" t="n"/>
      <c r="J1776" s="1393" t="n"/>
      <c r="K1776" s="1395">
        <f>IF(raw[[#This Row],[city]]&lt;&gt;"",_xlfn.XLOOKUP($D1776,ccc[city],ccc[prov],"-"),"-")</f>
        <v/>
      </c>
      <c r="L1776" s="1395">
        <f>IF(raw[[#This Row],[city]]&lt;&gt;"",_xlfn.XLOOKUP($D1776,ccc[city],ccc[ctry],"-"),"-")</f>
        <v/>
      </c>
      <c r="M1776" s="1395">
        <f>IF(raw[[#This Row],[city]]&lt;&gt;"",_xlfn.XLOOKUP($D1776,ccc[city],ccc[cont],"-"),"-")</f>
        <v/>
      </c>
      <c r="N1776" s="1396">
        <f>IF(raw[[#This Row],[city]]="","-",IF(raw[[#This Row],[cont]]="B",raw[[#This Row],[cont]],"W"))</f>
        <v/>
      </c>
      <c r="O1776" s="1397">
        <f>IF(raw[[#This Row],[out]]=0,0,IF(raw[[#This Row],[out]]=raw[[#This Row],[in]],0.01,raw[[#This Row],[out]]-raw[[#This Row],[in]]))</f>
        <v/>
      </c>
      <c r="P1776" s="1397">
        <f>IF(raw[[#This Row],[in]]=0,0,MONTH(raw[[#This Row],[in]]))</f>
        <v/>
      </c>
      <c r="Q1776" s="1397">
        <f>IF(raw[[#This Row],[in]]=0,0,YEAR(raw[[#This Row],[in]]))</f>
        <v/>
      </c>
      <c r="R1776" s="1397">
        <f>INT(raw[[#This Row],[yr]]/10)*10</f>
        <v/>
      </c>
      <c r="S1776" s="1395">
        <f>IF(raw[[#This Row],[city]]="","-",IF(raw[[#This Row],[city]]&lt;&gt;_xlfn.XLOOKUP(raw[[#This Row],[home]],homes[home],homes[city],"-"),1,0))</f>
        <v/>
      </c>
      <c r="T1776" s="1398" t="inlineStr">
        <is>
          <t>.</t>
        </is>
      </c>
      <c r="U1776" s="1399">
        <f>IF(raw[[#This Row],[wb]]="w",raw[[#This Row],[stay]]+U1775,U1775)</f>
        <v/>
      </c>
      <c r="V1776" s="1400">
        <f>IF(raw[[#This Row],[out]]=0,V1775,(raw[[#This Row],[out]]-E$5))</f>
        <v/>
      </c>
      <c r="W1776" s="1401">
        <f>U1776/V1776</f>
        <v/>
      </c>
      <c r="X1776" s="1392" t="n"/>
      <c r="Y1776" s="1392" t="n"/>
      <c r="Z1776" s="1392" t="n"/>
      <c r="AA1776" s="1392" t="n"/>
      <c r="AB1776" s="1392" t="n"/>
      <c r="AC1776" s="1392" t="n"/>
      <c r="AD1776" s="1392" t="n"/>
      <c r="AE1776" s="1392" t="n"/>
      <c r="AF1776" s="1392" t="n"/>
      <c r="AG1776" s="1392" t="n"/>
      <c r="AH1776" s="1392" t="n"/>
      <c r="AI1776" s="1392" t="n"/>
      <c r="AJ1776" s="1392" t="n"/>
      <c r="AK1776" s="1392" t="n"/>
      <c r="AL1776" s="1392" t="n"/>
      <c r="AM1776" s="1392" t="n"/>
      <c r="AN1776" s="1392" t="n"/>
      <c r="AO1776" s="1392" t="n"/>
      <c r="AP1776" s="1392" t="n"/>
      <c r="AQ1776" s="1392" t="n"/>
      <c r="AR1776" s="1422" t="n"/>
      <c r="AS1776" s="1422" t="n"/>
      <c r="AT1776" s="1392" t="n"/>
      <c r="AU1776" s="1392" t="n"/>
      <c r="AV1776" s="1392" t="n"/>
      <c r="AW1776" s="1392" t="n"/>
      <c r="AX1776" s="1392" t="n"/>
      <c r="AY1776" s="1392" t="n"/>
      <c r="AZ1776" s="1392" t="n"/>
      <c r="BA1776" s="1422" t="n"/>
      <c r="BB1776" s="1422" t="n"/>
      <c r="BC1776" s="1392" t="n"/>
      <c r="BD1776" s="1392" t="n"/>
      <c r="BE1776" s="1392" t="n"/>
      <c r="BF1776" s="1392" t="n"/>
      <c r="BG1776" s="1392" t="n"/>
      <c r="BH1776" s="1392" t="n"/>
      <c r="BI1776" s="1392" t="n"/>
      <c r="BJ1776" s="1392" t="n"/>
      <c r="BK1776" s="1392" t="n"/>
      <c r="BL1776" s="1392" t="n"/>
      <c r="BM1776" s="1392" t="n"/>
      <c r="BN1776" s="1392" t="n"/>
      <c r="BO1776" s="1392" t="n"/>
      <c r="BP1776" s="1392" t="n"/>
      <c r="BQ1776" s="1392" t="n"/>
      <c r="BR1776" s="1392" t="n"/>
      <c r="BS1776" s="1392" t="n"/>
      <c r="BT1776" s="1392" t="n"/>
      <c r="BU1776" s="1392" t="n"/>
      <c r="BV1776" s="1392" t="n"/>
      <c r="BW1776" s="1392" t="n"/>
      <c r="BX1776" s="1392" t="n"/>
      <c r="BY1776" s="1392" t="n"/>
      <c r="BZ1776" s="1392" t="n"/>
      <c r="CA1776" s="1392" t="n"/>
      <c r="CB1776" s="1392" t="n"/>
      <c r="CC1776" s="1392" t="n"/>
      <c r="CD1776" s="1392" t="n"/>
      <c r="CE1776" s="1392" t="n"/>
      <c r="CF1776" s="1392" t="n"/>
      <c r="CG1776" s="1392" t="n"/>
      <c r="CH1776" s="1392" t="n"/>
      <c r="CI1776" s="1392" t="n"/>
      <c r="CJ1776" s="1392" t="n"/>
      <c r="CK1776" s="1392" t="n"/>
      <c r="CL1776" s="1392" t="n"/>
    </row>
    <row r="1777">
      <c r="A1777" s="5" t="inlineStr">
        <is>
          <t>.</t>
        </is>
      </c>
      <c r="B1777" s="5" t="inlineStr">
        <is>
          <t>.</t>
        </is>
      </c>
      <c r="C1777" s="1378">
        <f>IF(raw[[#This Row],[city]]="","-",IF(raw[[#This Row],[city]]="TODAY","-",C1776+1))</f>
        <v/>
      </c>
      <c r="D1777" s="1393" t="inlineStr">
        <is>
          <t>Porto</t>
        </is>
      </c>
      <c r="E1777" s="1394" t="n">
        <v>45992</v>
      </c>
      <c r="F1777" s="1394" t="n">
        <v>46023</v>
      </c>
      <c r="G1777" s="1393" t="n"/>
      <c r="H1777" s="1393" t="inlineStr">
        <is>
          <t>Joao I</t>
        </is>
      </c>
      <c r="I1777" s="1393" t="n"/>
      <c r="J1777" s="1393" t="n"/>
      <c r="K1777" s="1395">
        <f>IF(raw[[#This Row],[city]]&lt;&gt;"",_xlfn.XLOOKUP($D1777,ccc[city],ccc[prov],"-"),"-")</f>
        <v/>
      </c>
      <c r="L1777" s="1395">
        <f>IF(raw[[#This Row],[city]]&lt;&gt;"",_xlfn.XLOOKUP($D1777,ccc[city],ccc[ctry],"-"),"-")</f>
        <v/>
      </c>
      <c r="M1777" s="1395">
        <f>IF(raw[[#This Row],[city]]&lt;&gt;"",_xlfn.XLOOKUP($D1777,ccc[city],ccc[cont],"-"),"-")</f>
        <v/>
      </c>
      <c r="N1777" s="1396">
        <f>IF(raw[[#This Row],[city]]="","-",IF(raw[[#This Row],[cont]]="B",raw[[#This Row],[cont]],"W"))</f>
        <v/>
      </c>
      <c r="O1777" s="1397">
        <f>IF(raw[[#This Row],[out]]=0,0,IF(raw[[#This Row],[out]]=raw[[#This Row],[in]],0.01,raw[[#This Row],[out]]-raw[[#This Row],[in]]))</f>
        <v/>
      </c>
      <c r="P1777" s="1397">
        <f>IF(raw[[#This Row],[in]]=0,0,MONTH(raw[[#This Row],[in]]))</f>
        <v/>
      </c>
      <c r="Q1777" s="1397">
        <f>IF(raw[[#This Row],[in]]=0,0,YEAR(raw[[#This Row],[in]]))</f>
        <v/>
      </c>
      <c r="R1777" s="1397">
        <f>INT(raw[[#This Row],[yr]]/10)*10</f>
        <v/>
      </c>
      <c r="S1777" s="1395">
        <f>IF(raw[[#This Row],[city]]="","-",IF(raw[[#This Row],[city]]&lt;&gt;_xlfn.XLOOKUP(raw[[#This Row],[home]],homes[home],homes[city],"-"),1,0))</f>
        <v/>
      </c>
      <c r="T1777" s="1398" t="inlineStr">
        <is>
          <t>.</t>
        </is>
      </c>
      <c r="U1777" s="1399">
        <f>IF(raw[[#This Row],[wb]]="w",raw[[#This Row],[stay]]+U1776,U1776)</f>
        <v/>
      </c>
      <c r="V1777" s="1400">
        <f>IF(raw[[#This Row],[out]]=0,V1776,(raw[[#This Row],[out]]-E$5))</f>
        <v/>
      </c>
      <c r="W1777" s="1401">
        <f>U1777/V1777</f>
        <v/>
      </c>
      <c r="X1777" s="1392" t="n"/>
      <c r="Y1777" s="1392" t="n"/>
      <c r="Z1777" s="1392" t="n"/>
      <c r="AA1777" s="1392" t="n"/>
      <c r="AB1777" s="1392" t="n"/>
      <c r="AC1777" s="1392" t="n"/>
      <c r="AD1777" s="1392" t="n"/>
      <c r="AE1777" s="1392" t="n"/>
      <c r="AF1777" s="1392" t="n"/>
      <c r="AG1777" s="1392" t="n"/>
      <c r="AH1777" s="1392" t="n"/>
      <c r="AI1777" s="1392" t="n"/>
      <c r="AJ1777" s="1392" t="n"/>
      <c r="AK1777" s="1392" t="n"/>
      <c r="AL1777" s="1392" t="n"/>
      <c r="AM1777" s="1392" t="n"/>
      <c r="AN1777" s="1392" t="n"/>
      <c r="AO1777" s="1392" t="n"/>
      <c r="AP1777" s="1392" t="n"/>
      <c r="AQ1777" s="1392" t="n"/>
      <c r="AR1777" s="1422" t="n"/>
      <c r="AS1777" s="1422" t="n"/>
      <c r="AT1777" s="1392" t="n"/>
      <c r="AU1777" s="1392" t="n"/>
      <c r="AV1777" s="1392" t="n"/>
      <c r="AW1777" s="1392" t="n"/>
      <c r="AX1777" s="1392" t="n"/>
      <c r="AY1777" s="1392" t="n"/>
      <c r="AZ1777" s="1392" t="n"/>
      <c r="BA1777" s="1422" t="n"/>
      <c r="BB1777" s="1422" t="n"/>
      <c r="BC1777" s="1392" t="n"/>
      <c r="BD1777" s="1392" t="n"/>
      <c r="BE1777" s="1392" t="n"/>
      <c r="BF1777" s="1392" t="n"/>
      <c r="BG1777" s="1392" t="n"/>
      <c r="BH1777" s="1392" t="n"/>
      <c r="BI1777" s="1392" t="n"/>
      <c r="BJ1777" s="1392" t="n"/>
      <c r="BK1777" s="1392" t="n"/>
      <c r="BL1777" s="1392" t="n"/>
      <c r="BM1777" s="1392" t="n"/>
      <c r="BN1777" s="1392" t="n"/>
      <c r="BO1777" s="1392" t="n"/>
      <c r="BP1777" s="1392" t="n"/>
      <c r="BQ1777" s="1392" t="n"/>
      <c r="BR1777" s="1392" t="n"/>
      <c r="BS1777" s="1392" t="n"/>
      <c r="BT1777" s="1392" t="n"/>
      <c r="BU1777" s="1392" t="n"/>
      <c r="BV1777" s="1392" t="n"/>
      <c r="BW1777" s="1392" t="n"/>
      <c r="BX1777" s="1392" t="n"/>
      <c r="BY1777" s="1392" t="n"/>
      <c r="BZ1777" s="1392" t="n"/>
      <c r="CA1777" s="1392" t="n"/>
      <c r="CB1777" s="1392" t="n"/>
      <c r="CC1777" s="1392" t="n"/>
      <c r="CD1777" s="1392" t="n"/>
      <c r="CE1777" s="1392" t="n"/>
      <c r="CF1777" s="1392" t="n"/>
      <c r="CG1777" s="1392" t="n"/>
      <c r="CH1777" s="1392" t="n"/>
      <c r="CI1777" s="1392" t="n"/>
      <c r="CJ1777" s="1392" t="n"/>
      <c r="CK1777" s="1392" t="n"/>
      <c r="CL1777" s="1392" t="n"/>
    </row>
    <row r="1778">
      <c r="A1778" s="5" t="inlineStr">
        <is>
          <t>.</t>
        </is>
      </c>
      <c r="B1778" s="5" t="inlineStr">
        <is>
          <t>.</t>
        </is>
      </c>
      <c r="C1778" s="1378">
        <f>IF(raw[[#This Row],[city]]="","-",IF(raw[[#This Row],[city]]="TODAY","-",C1777+1))</f>
        <v/>
      </c>
      <c r="D1778" s="1393" t="inlineStr">
        <is>
          <t>Felgueiras</t>
        </is>
      </c>
      <c r="E1778" s="1394" t="n">
        <v>46014</v>
      </c>
      <c r="F1778" s="1394" t="n">
        <v>46014</v>
      </c>
      <c r="G1778" s="1393" t="n"/>
      <c r="H1778" s="1393" t="inlineStr">
        <is>
          <t>Joao I</t>
        </is>
      </c>
      <c r="I1778" s="1393" t="n"/>
      <c r="J1778" s="1393" t="n"/>
      <c r="K1778" s="1395">
        <f>IF(raw[[#This Row],[city]]&lt;&gt;"",_xlfn.XLOOKUP($D1778,ccc[city],ccc[prov],"-"),"-")</f>
        <v/>
      </c>
      <c r="L1778" s="1395">
        <f>IF(raw[[#This Row],[city]]&lt;&gt;"",_xlfn.XLOOKUP($D1778,ccc[city],ccc[ctry],"-"),"-")</f>
        <v/>
      </c>
      <c r="M1778" s="1395">
        <f>IF(raw[[#This Row],[city]]&lt;&gt;"",_xlfn.XLOOKUP($D1778,ccc[city],ccc[cont],"-"),"-")</f>
        <v/>
      </c>
      <c r="N1778" s="1396">
        <f>IF(raw[[#This Row],[city]]="","-",IF(raw[[#This Row],[cont]]="B",raw[[#This Row],[cont]],"W"))</f>
        <v/>
      </c>
      <c r="O1778" s="1397">
        <f>IF(raw[[#This Row],[out]]=0,0,IF(raw[[#This Row],[out]]=raw[[#This Row],[in]],0.01,raw[[#This Row],[out]]-raw[[#This Row],[in]]))</f>
        <v/>
      </c>
      <c r="P1778" s="1397">
        <f>IF(raw[[#This Row],[in]]=0,0,MONTH(raw[[#This Row],[in]]))</f>
        <v/>
      </c>
      <c r="Q1778" s="1397">
        <f>IF(raw[[#This Row],[in]]=0,0,YEAR(raw[[#This Row],[in]]))</f>
        <v/>
      </c>
      <c r="R1778" s="1397">
        <f>INT(raw[[#This Row],[yr]]/10)*10</f>
        <v/>
      </c>
      <c r="S1778" s="1395">
        <f>IF(raw[[#This Row],[city]]="","-",IF(raw[[#This Row],[city]]&lt;&gt;_xlfn.XLOOKUP(raw[[#This Row],[home]],homes[home],homes[city],"-"),1,0))</f>
        <v/>
      </c>
      <c r="T1778" s="1398" t="inlineStr">
        <is>
          <t>.</t>
        </is>
      </c>
      <c r="U1778" s="1399">
        <f>IF(raw[[#This Row],[wb]]="w",raw[[#This Row],[stay]]+U1777,U1777)</f>
        <v/>
      </c>
      <c r="V1778" s="1400">
        <f>IF(raw[[#This Row],[out]]=0,V1777,(raw[[#This Row],[out]]-E$5))</f>
        <v/>
      </c>
      <c r="W1778" s="1401">
        <f>U1778/V1778</f>
        <v/>
      </c>
      <c r="X1778" s="1392" t="n"/>
      <c r="Y1778" s="1392" t="n"/>
      <c r="Z1778" s="1392" t="n"/>
      <c r="AA1778" s="1392" t="n"/>
      <c r="AB1778" s="1392" t="n"/>
      <c r="AC1778" s="1392" t="n"/>
      <c r="AD1778" s="1392" t="n"/>
      <c r="AE1778" s="1392" t="n"/>
      <c r="AF1778" s="1392" t="n"/>
      <c r="AG1778" s="1392" t="n"/>
      <c r="AH1778" s="1392" t="n"/>
      <c r="AI1778" s="1392" t="n"/>
      <c r="AJ1778" s="1392" t="n"/>
      <c r="AK1778" s="1392" t="n"/>
      <c r="AL1778" s="1392" t="n"/>
      <c r="AM1778" s="1392" t="n"/>
      <c r="AN1778" s="1392" t="n"/>
      <c r="AO1778" s="1392" t="n"/>
      <c r="AP1778" s="1392" t="n"/>
      <c r="AQ1778" s="1392" t="n"/>
      <c r="AR1778" s="1422" t="n"/>
      <c r="AS1778" s="1422" t="n"/>
      <c r="AT1778" s="1392" t="n"/>
      <c r="AU1778" s="1392" t="n"/>
      <c r="AV1778" s="1392" t="n"/>
      <c r="AW1778" s="1392" t="n"/>
      <c r="AX1778" s="1392" t="n"/>
      <c r="AY1778" s="1392" t="n"/>
      <c r="AZ1778" s="1392" t="n"/>
      <c r="BA1778" s="1422" t="n"/>
      <c r="BB1778" s="1422" t="n"/>
      <c r="BC1778" s="1392" t="n"/>
      <c r="BD1778" s="1392" t="n"/>
      <c r="BE1778" s="1392" t="n"/>
      <c r="BF1778" s="1392" t="n"/>
      <c r="BG1778" s="1392" t="n"/>
      <c r="BH1778" s="1392" t="n"/>
      <c r="BI1778" s="1392" t="n"/>
      <c r="BJ1778" s="1392" t="n"/>
      <c r="BK1778" s="1392" t="n"/>
      <c r="BL1778" s="1392" t="n"/>
      <c r="BM1778" s="1392" t="n"/>
      <c r="BN1778" s="1392" t="n"/>
      <c r="BO1778" s="1392" t="n"/>
      <c r="BP1778" s="1392" t="n"/>
      <c r="BQ1778" s="1392" t="n"/>
      <c r="BR1778" s="1392" t="n"/>
      <c r="BS1778" s="1392" t="n"/>
      <c r="BT1778" s="1392" t="n"/>
      <c r="BU1778" s="1392" t="n"/>
      <c r="BV1778" s="1392" t="n"/>
      <c r="BW1778" s="1392" t="n"/>
      <c r="BX1778" s="1392" t="n"/>
      <c r="BY1778" s="1392" t="n"/>
      <c r="BZ1778" s="1392" t="n"/>
      <c r="CA1778" s="1392" t="n"/>
      <c r="CB1778" s="1392" t="n"/>
      <c r="CC1778" s="1392" t="n"/>
      <c r="CD1778" s="1392" t="n"/>
      <c r="CE1778" s="1392" t="n"/>
      <c r="CF1778" s="1392" t="n"/>
      <c r="CG1778" s="1392" t="n"/>
      <c r="CH1778" s="1392" t="n"/>
      <c r="CI1778" s="1392" t="n"/>
      <c r="CJ1778" s="1392" t="n"/>
      <c r="CK1778" s="1392" t="n"/>
      <c r="CL1778" s="1392" t="n"/>
    </row>
    <row r="1779">
      <c r="A1779" s="5" t="inlineStr">
        <is>
          <t>.</t>
        </is>
      </c>
      <c r="B1779" s="5" t="inlineStr">
        <is>
          <t>.</t>
        </is>
      </c>
      <c r="C1779" s="1378">
        <f>IF(raw[[#This Row],[city]]="","-",IF(raw[[#This Row],[city]]="TODAY","-",C1778+1))</f>
        <v/>
      </c>
      <c r="D1779" s="1393" t="inlineStr">
        <is>
          <t>Ferreira</t>
        </is>
      </c>
      <c r="E1779" s="1394" t="n">
        <v>46014</v>
      </c>
      <c r="F1779" s="1394" t="n">
        <v>46014</v>
      </c>
      <c r="G1779" s="1393" t="n"/>
      <c r="H1779" s="1393" t="inlineStr">
        <is>
          <t>Joao I</t>
        </is>
      </c>
      <c r="I1779" s="1393" t="n"/>
      <c r="J1779" s="1393" t="n"/>
      <c r="K1779" s="1395">
        <f>IF(raw[[#This Row],[city]]&lt;&gt;"",_xlfn.XLOOKUP($D1779,ccc[city],ccc[prov],"-"),"-")</f>
        <v/>
      </c>
      <c r="L1779" s="1395">
        <f>IF(raw[[#This Row],[city]]&lt;&gt;"",_xlfn.XLOOKUP($D1779,ccc[city],ccc[ctry],"-"),"-")</f>
        <v/>
      </c>
      <c r="M1779" s="1395">
        <f>IF(raw[[#This Row],[city]]&lt;&gt;"",_xlfn.XLOOKUP($D1779,ccc[city],ccc[cont],"-"),"-")</f>
        <v/>
      </c>
      <c r="N1779" s="1396">
        <f>IF(raw[[#This Row],[city]]="","-",IF(raw[[#This Row],[cont]]="B",raw[[#This Row],[cont]],"W"))</f>
        <v/>
      </c>
      <c r="O1779" s="1397">
        <f>IF(raw[[#This Row],[out]]=0,0,IF(raw[[#This Row],[out]]=raw[[#This Row],[in]],0.01,raw[[#This Row],[out]]-raw[[#This Row],[in]]))</f>
        <v/>
      </c>
      <c r="P1779" s="1397">
        <f>IF(raw[[#This Row],[in]]=0,0,MONTH(raw[[#This Row],[in]]))</f>
        <v/>
      </c>
      <c r="Q1779" s="1397">
        <f>IF(raw[[#This Row],[in]]=0,0,YEAR(raw[[#This Row],[in]]))</f>
        <v/>
      </c>
      <c r="R1779" s="1397">
        <f>INT(raw[[#This Row],[yr]]/10)*10</f>
        <v/>
      </c>
      <c r="S1779" s="1395">
        <f>IF(raw[[#This Row],[city]]="","-",IF(raw[[#This Row],[city]]&lt;&gt;_xlfn.XLOOKUP(raw[[#This Row],[home]],homes[home],homes[city],"-"),1,0))</f>
        <v/>
      </c>
      <c r="T1779" s="1398" t="inlineStr">
        <is>
          <t>.</t>
        </is>
      </c>
      <c r="U1779" s="1399">
        <f>IF(raw[[#This Row],[wb]]="w",raw[[#This Row],[stay]]+U1778,U1778)</f>
        <v/>
      </c>
      <c r="V1779" s="1400">
        <f>IF(raw[[#This Row],[out]]=0,V1778,(raw[[#This Row],[out]]-E$5))</f>
        <v/>
      </c>
      <c r="W1779" s="1401">
        <f>U1779/V1779</f>
        <v/>
      </c>
      <c r="X1779" s="1392" t="n"/>
      <c r="Y1779" s="1392" t="n"/>
      <c r="Z1779" s="1392" t="n"/>
      <c r="AA1779" s="1392" t="n"/>
      <c r="AB1779" s="1392" t="n"/>
      <c r="AC1779" s="1392" t="n"/>
      <c r="AD1779" s="1392" t="n"/>
      <c r="AE1779" s="1392" t="n"/>
      <c r="AF1779" s="1392" t="n"/>
      <c r="AG1779" s="1392" t="n"/>
      <c r="AH1779" s="1392" t="n"/>
      <c r="AI1779" s="1392" t="n"/>
      <c r="AJ1779" s="1392" t="n"/>
      <c r="AK1779" s="1392" t="n"/>
      <c r="AL1779" s="1392" t="n"/>
      <c r="AM1779" s="1392" t="n"/>
      <c r="AN1779" s="1392" t="n"/>
      <c r="AO1779" s="1392" t="n"/>
      <c r="AP1779" s="1392" t="n"/>
      <c r="AQ1779" s="1392" t="n"/>
      <c r="AR1779" s="1422" t="n"/>
      <c r="AS1779" s="1422" t="n"/>
      <c r="AT1779" s="1392" t="n"/>
      <c r="AU1779" s="1392" t="n"/>
      <c r="AV1779" s="1392" t="n"/>
      <c r="AW1779" s="1392" t="n"/>
      <c r="AX1779" s="1392" t="n"/>
      <c r="AY1779" s="1392" t="n"/>
      <c r="AZ1779" s="1392" t="n"/>
      <c r="BA1779" s="1422" t="n"/>
      <c r="BB1779" s="1422" t="n"/>
      <c r="BC1779" s="1392" t="n"/>
      <c r="BD1779" s="1392" t="n"/>
      <c r="BE1779" s="1392" t="n"/>
      <c r="BF1779" s="1392" t="n"/>
      <c r="BG1779" s="1392" t="n"/>
      <c r="BH1779" s="1392" t="n"/>
      <c r="BI1779" s="1392" t="n"/>
      <c r="BJ1779" s="1392" t="n"/>
      <c r="BK1779" s="1392" t="n"/>
      <c r="BL1779" s="1392" t="n"/>
      <c r="BM1779" s="1392" t="n"/>
      <c r="BN1779" s="1392" t="n"/>
      <c r="BO1779" s="1392" t="n"/>
      <c r="BP1779" s="1392" t="n"/>
      <c r="BQ1779" s="1392" t="n"/>
      <c r="BR1779" s="1392" t="n"/>
      <c r="BS1779" s="1392" t="n"/>
      <c r="BT1779" s="1392" t="n"/>
      <c r="BU1779" s="1392" t="n"/>
      <c r="BV1779" s="1392" t="n"/>
      <c r="BW1779" s="1392" t="n"/>
      <c r="BX1779" s="1392" t="n"/>
      <c r="BY1779" s="1392" t="n"/>
      <c r="BZ1779" s="1392" t="n"/>
      <c r="CA1779" s="1392" t="n"/>
      <c r="CB1779" s="1392" t="n"/>
      <c r="CC1779" s="1392" t="n"/>
      <c r="CD1779" s="1392" t="n"/>
      <c r="CE1779" s="1392" t="n"/>
      <c r="CF1779" s="1392" t="n"/>
      <c r="CG1779" s="1392" t="n"/>
      <c r="CH1779" s="1392" t="n"/>
      <c r="CI1779" s="1392" t="n"/>
      <c r="CJ1779" s="1392" t="n"/>
      <c r="CK1779" s="1392" t="n"/>
      <c r="CL1779" s="1392" t="n"/>
    </row>
    <row r="1780">
      <c r="A1780" s="5" t="inlineStr">
        <is>
          <t>.</t>
        </is>
      </c>
      <c r="B1780" s="5" t="inlineStr">
        <is>
          <t>.</t>
        </is>
      </c>
      <c r="C1780" s="1378">
        <f>IF(raw[[#This Row],[city]]="","-",IF(raw[[#This Row],[city]]="TODAY","-",C1779+1))</f>
        <v/>
      </c>
      <c r="D1780" s="1393" t="inlineStr">
        <is>
          <t>Porto</t>
        </is>
      </c>
      <c r="E1780" s="1394" t="n">
        <v>46023</v>
      </c>
      <c r="F1780" s="1394" t="n">
        <v>46054</v>
      </c>
      <c r="G1780" s="1393" t="n"/>
      <c r="H1780" s="1393" t="inlineStr">
        <is>
          <t>Joao I</t>
        </is>
      </c>
      <c r="I1780" s="1393" t="n"/>
      <c r="J1780" s="1393" t="inlineStr">
        <is>
          <t>REV</t>
        </is>
      </c>
      <c r="K1780" s="1395">
        <f>IF(raw[[#This Row],[city]]&lt;&gt;"",_xlfn.XLOOKUP($D1780,ccc[city],ccc[prov],"-"),"-")</f>
        <v/>
      </c>
      <c r="L1780" s="1395">
        <f>IF(raw[[#This Row],[city]]&lt;&gt;"",_xlfn.XLOOKUP($D1780,ccc[city],ccc[ctry],"-"),"-")</f>
        <v/>
      </c>
      <c r="M1780" s="1395">
        <f>IF(raw[[#This Row],[city]]&lt;&gt;"",_xlfn.XLOOKUP($D1780,ccc[city],ccc[cont],"-"),"-")</f>
        <v/>
      </c>
      <c r="N1780" s="1396">
        <f>IF(raw[[#This Row],[city]]="","-",IF(raw[[#This Row],[cont]]="B",raw[[#This Row],[cont]],"W"))</f>
        <v/>
      </c>
      <c r="O1780" s="1397">
        <f>IF(raw[[#This Row],[out]]=0,0,IF(raw[[#This Row],[out]]=raw[[#This Row],[in]],0.01,raw[[#This Row],[out]]-raw[[#This Row],[in]]))</f>
        <v/>
      </c>
      <c r="P1780" s="1397">
        <f>IF(raw[[#This Row],[in]]=0,0,MONTH(raw[[#This Row],[in]]))</f>
        <v/>
      </c>
      <c r="Q1780" s="1397">
        <f>IF(raw[[#This Row],[in]]=0,0,YEAR(raw[[#This Row],[in]]))</f>
        <v/>
      </c>
      <c r="R1780" s="1397">
        <f>INT(raw[[#This Row],[yr]]/10)*10</f>
        <v/>
      </c>
      <c r="S1780" s="1395">
        <f>IF(raw[[#This Row],[city]]="","-",IF(raw[[#This Row],[city]]&lt;&gt;_xlfn.XLOOKUP(raw[[#This Row],[home]],homes[home],homes[city],"-"),1,0))</f>
        <v/>
      </c>
      <c r="T1780" s="1398" t="inlineStr">
        <is>
          <t>.</t>
        </is>
      </c>
      <c r="U1780" s="1399">
        <f>IF(raw[[#This Row],[wb]]="w",raw[[#This Row],[stay]]+U1779,U1779)</f>
        <v/>
      </c>
      <c r="V1780" s="1400">
        <f>IF(raw[[#This Row],[out]]=0,V1779,(raw[[#This Row],[out]]-E$5))</f>
        <v/>
      </c>
      <c r="W1780" s="1401">
        <f>U1780/V1780</f>
        <v/>
      </c>
      <c r="X1780" s="1392" t="n"/>
      <c r="Y1780" s="1392" t="n"/>
      <c r="Z1780" s="1392" t="n"/>
      <c r="AA1780" s="1392" t="n"/>
      <c r="AB1780" s="1392" t="n"/>
      <c r="AC1780" s="1392" t="n"/>
      <c r="AD1780" s="1392" t="n"/>
      <c r="AE1780" s="1392" t="n"/>
      <c r="AF1780" s="1392" t="n"/>
      <c r="AG1780" s="1392" t="n"/>
      <c r="AH1780" s="1392" t="n"/>
      <c r="AI1780" s="1392" t="n"/>
      <c r="AJ1780" s="1392" t="n"/>
      <c r="AK1780" s="1392" t="n"/>
      <c r="AL1780" s="1392" t="n"/>
      <c r="AM1780" s="1392" t="n"/>
      <c r="AN1780" s="1392" t="n"/>
      <c r="AO1780" s="1392" t="n"/>
      <c r="AP1780" s="1392" t="n"/>
      <c r="AQ1780" s="1392" t="n"/>
      <c r="AR1780" s="1422" t="n"/>
      <c r="AS1780" s="1422" t="n"/>
      <c r="AT1780" s="1392" t="n"/>
      <c r="AU1780" s="1392" t="n"/>
      <c r="AV1780" s="1392" t="n"/>
      <c r="AW1780" s="1392" t="n"/>
      <c r="AX1780" s="1392" t="n"/>
      <c r="AY1780" s="1392" t="n"/>
      <c r="AZ1780" s="1392" t="n"/>
      <c r="BA1780" s="1422" t="n"/>
      <c r="BB1780" s="1422" t="n"/>
      <c r="BC1780" s="1392" t="n"/>
      <c r="BD1780" s="1392" t="n"/>
      <c r="BE1780" s="1392" t="n"/>
      <c r="BF1780" s="1392" t="n"/>
      <c r="BG1780" s="1392" t="n"/>
      <c r="BH1780" s="1392" t="n"/>
      <c r="BI1780" s="1392" t="n"/>
      <c r="BJ1780" s="1392" t="n"/>
      <c r="BK1780" s="1392" t="n"/>
      <c r="BL1780" s="1392" t="n"/>
      <c r="BM1780" s="1392" t="n"/>
      <c r="BN1780" s="1392" t="n"/>
      <c r="BO1780" s="1392" t="n"/>
      <c r="BP1780" s="1392" t="n"/>
      <c r="BQ1780" s="1392" t="n"/>
      <c r="BR1780" s="1392" t="n"/>
      <c r="BS1780" s="1392" t="n"/>
      <c r="BT1780" s="1392" t="n"/>
      <c r="BU1780" s="1392" t="n"/>
      <c r="BV1780" s="1392" t="n"/>
      <c r="BW1780" s="1392" t="n"/>
      <c r="BX1780" s="1392" t="n"/>
      <c r="BY1780" s="1392" t="n"/>
      <c r="BZ1780" s="1392" t="n"/>
      <c r="CA1780" s="1392" t="n"/>
      <c r="CB1780" s="1392" t="n"/>
      <c r="CC1780" s="1392" t="n"/>
      <c r="CD1780" s="1392" t="n"/>
      <c r="CE1780" s="1392" t="n"/>
      <c r="CF1780" s="1392" t="n"/>
      <c r="CG1780" s="1392" t="n"/>
      <c r="CH1780" s="1392" t="n"/>
      <c r="CI1780" s="1392" t="n"/>
      <c r="CJ1780" s="1392" t="n"/>
      <c r="CK1780" s="1392" t="n"/>
      <c r="CL1780" s="1392" t="n"/>
    </row>
    <row r="1781">
      <c r="A1781" s="5" t="inlineStr">
        <is>
          <t>.</t>
        </is>
      </c>
      <c r="B1781" s="5" t="inlineStr">
        <is>
          <t>.</t>
        </is>
      </c>
      <c r="C1781" s="1378">
        <f>IF(raw[[#This Row],[city]]="","-",IF(raw[[#This Row],[city]]="TODAY","-",C1780+1))</f>
        <v/>
      </c>
      <c r="D1781" s="1393" t="inlineStr">
        <is>
          <t>Porto</t>
        </is>
      </c>
      <c r="E1781" s="1394">
        <f>F1780</f>
        <v/>
      </c>
      <c r="F1781" s="1394" t="n">
        <v>46082</v>
      </c>
      <c r="G1781" s="1393" t="n"/>
      <c r="H1781" s="1393" t="inlineStr">
        <is>
          <t>Joao I</t>
        </is>
      </c>
      <c r="I1781" s="1393" t="n"/>
      <c r="J1781" s="1393" t="n"/>
      <c r="K1781" s="1395">
        <f>IF(raw[[#This Row],[city]]&lt;&gt;"",_xlfn.XLOOKUP($D1781,ccc[city],ccc[prov],"-"),"-")</f>
        <v/>
      </c>
      <c r="L1781" s="1395">
        <f>IF(raw[[#This Row],[city]]&lt;&gt;"",_xlfn.XLOOKUP($D1781,ccc[city],ccc[ctry],"-"),"-")</f>
        <v/>
      </c>
      <c r="M1781" s="1395">
        <f>IF(raw[[#This Row],[city]]&lt;&gt;"",_xlfn.XLOOKUP($D1781,ccc[city],ccc[cont],"-"),"-")</f>
        <v/>
      </c>
      <c r="N1781" s="1396">
        <f>IF(raw[[#This Row],[city]]="","-",IF(raw[[#This Row],[cont]]="B",raw[[#This Row],[cont]],"W"))</f>
        <v/>
      </c>
      <c r="O1781" s="1397">
        <f>IF(raw[[#This Row],[out]]=0,0,IF(raw[[#This Row],[out]]=raw[[#This Row],[in]],0.01,raw[[#This Row],[out]]-raw[[#This Row],[in]]))</f>
        <v/>
      </c>
      <c r="P1781" s="1397">
        <f>IF(raw[[#This Row],[in]]=0,0,MONTH(raw[[#This Row],[in]]))</f>
        <v/>
      </c>
      <c r="Q1781" s="1397">
        <f>IF(raw[[#This Row],[in]]=0,0,YEAR(raw[[#This Row],[in]]))</f>
        <v/>
      </c>
      <c r="R1781" s="1397">
        <f>INT(raw[[#This Row],[yr]]/10)*10</f>
        <v/>
      </c>
      <c r="S1781" s="1395">
        <f>IF(raw[[#This Row],[city]]="","-",IF(raw[[#This Row],[city]]&lt;&gt;_xlfn.XLOOKUP(raw[[#This Row],[home]],homes[home],homes[city],"-"),1,0))</f>
        <v/>
      </c>
      <c r="T1781" s="1398" t="inlineStr">
        <is>
          <t>.</t>
        </is>
      </c>
      <c r="U1781" s="1399">
        <f>IF(raw[[#This Row],[wb]]="w",raw[[#This Row],[stay]]+U1780,U1780)</f>
        <v/>
      </c>
      <c r="V1781" s="1400">
        <f>IF(raw[[#This Row],[out]]=0,V1780,(raw[[#This Row],[out]]-E$5))</f>
        <v/>
      </c>
      <c r="W1781" s="1401">
        <f>U1781/V1781</f>
        <v/>
      </c>
      <c r="X1781" s="1392" t="n"/>
      <c r="Y1781" s="1392" t="n"/>
      <c r="Z1781" s="1392" t="n"/>
      <c r="AA1781" s="1392" t="n"/>
      <c r="AB1781" s="1392" t="n"/>
      <c r="AC1781" s="1392" t="n"/>
      <c r="AD1781" s="1392" t="n"/>
      <c r="AE1781" s="1392" t="n"/>
      <c r="AF1781" s="1392" t="n"/>
      <c r="AG1781" s="1392" t="n"/>
      <c r="AH1781" s="1392" t="n"/>
      <c r="AI1781" s="1392" t="n"/>
      <c r="AJ1781" s="1392" t="n"/>
      <c r="AK1781" s="1392" t="n"/>
      <c r="AL1781" s="1392" t="n"/>
      <c r="AM1781" s="1392" t="n"/>
      <c r="AN1781" s="1392" t="n"/>
      <c r="AO1781" s="1392" t="n"/>
      <c r="AP1781" s="1392" t="n"/>
      <c r="AQ1781" s="1392" t="n"/>
      <c r="AR1781" s="1422" t="n"/>
      <c r="AS1781" s="1422" t="n"/>
      <c r="AT1781" s="1392" t="n"/>
      <c r="AU1781" s="1392" t="n"/>
      <c r="AV1781" s="1392" t="n"/>
      <c r="AW1781" s="1392" t="n"/>
      <c r="AX1781" s="1392" t="n"/>
      <c r="AY1781" s="1392" t="n"/>
      <c r="AZ1781" s="1392" t="n"/>
      <c r="BA1781" s="1422" t="n"/>
      <c r="BB1781" s="1422" t="n"/>
      <c r="BC1781" s="1392" t="n"/>
      <c r="BD1781" s="1392" t="n"/>
      <c r="BE1781" s="1392" t="n"/>
      <c r="BF1781" s="1392" t="n"/>
      <c r="BG1781" s="1392" t="n"/>
      <c r="BH1781" s="1392" t="n"/>
      <c r="BI1781" s="1392" t="n"/>
      <c r="BJ1781" s="1392" t="n"/>
      <c r="BK1781" s="1392" t="n"/>
      <c r="BL1781" s="1392" t="n"/>
      <c r="BM1781" s="1392" t="n"/>
      <c r="BN1781" s="1392" t="n"/>
      <c r="BO1781" s="1392" t="n"/>
      <c r="BP1781" s="1392" t="n"/>
      <c r="BQ1781" s="1392" t="n"/>
      <c r="BR1781" s="1392" t="n"/>
      <c r="BS1781" s="1392" t="n"/>
      <c r="BT1781" s="1392" t="n"/>
      <c r="BU1781" s="1392" t="n"/>
      <c r="BV1781" s="1392" t="n"/>
      <c r="BW1781" s="1392" t="n"/>
      <c r="BX1781" s="1392" t="n"/>
      <c r="BY1781" s="1392" t="n"/>
      <c r="BZ1781" s="1392" t="n"/>
      <c r="CA1781" s="1392" t="n"/>
      <c r="CB1781" s="1392" t="n"/>
      <c r="CC1781" s="1392" t="n"/>
      <c r="CD1781" s="1392" t="n"/>
      <c r="CE1781" s="1392" t="n"/>
      <c r="CF1781" s="1392" t="n"/>
      <c r="CG1781" s="1392" t="n"/>
      <c r="CH1781" s="1392" t="n"/>
      <c r="CI1781" s="1392" t="n"/>
      <c r="CJ1781" s="1392" t="n"/>
      <c r="CK1781" s="1392" t="n"/>
      <c r="CL1781" s="1392" t="n"/>
    </row>
    <row r="1782">
      <c r="A1782" s="5" t="inlineStr">
        <is>
          <t>.</t>
        </is>
      </c>
      <c r="B1782" s="5" t="inlineStr">
        <is>
          <t>.</t>
        </is>
      </c>
      <c r="C1782" s="1378">
        <f>IF(raw[[#This Row],[city]]="","-",IF(raw[[#This Row],[city]]="TODAY","-",C1781+1))</f>
        <v/>
      </c>
      <c r="D1782" s="1393" t="inlineStr">
        <is>
          <t>Porto</t>
        </is>
      </c>
      <c r="E1782" s="1394">
        <f>F1781</f>
        <v/>
      </c>
      <c r="F1782" s="1394" t="n">
        <v>46085</v>
      </c>
      <c r="G1782" s="1393" t="n">
        <v>1</v>
      </c>
      <c r="H1782" s="1393" t="inlineStr">
        <is>
          <t>Joao I</t>
        </is>
      </c>
      <c r="I1782" s="1393" t="n"/>
      <c r="J1782" s="1393" t="n"/>
      <c r="K1782" s="1395">
        <f>IF(raw[[#This Row],[city]]&lt;&gt;"",_xlfn.XLOOKUP($D1782,ccc[city],ccc[prov],"-"),"-")</f>
        <v/>
      </c>
      <c r="L1782" s="1395">
        <f>IF(raw[[#This Row],[city]]&lt;&gt;"",_xlfn.XLOOKUP($D1782,ccc[city],ccc[ctry],"-"),"-")</f>
        <v/>
      </c>
      <c r="M1782" s="1395">
        <f>IF(raw[[#This Row],[city]]&lt;&gt;"",_xlfn.XLOOKUP($D1782,ccc[city],ccc[cont],"-"),"-")</f>
        <v/>
      </c>
      <c r="N1782" s="1396">
        <f>IF(raw[[#This Row],[city]]="","-",IF(raw[[#This Row],[cont]]="B",raw[[#This Row],[cont]],"W"))</f>
        <v/>
      </c>
      <c r="O1782" s="1397">
        <f>IF(raw[[#This Row],[out]]=0,0,IF(raw[[#This Row],[out]]=raw[[#This Row],[in]],0.01,raw[[#This Row],[out]]-raw[[#This Row],[in]]))</f>
        <v/>
      </c>
      <c r="P1782" s="1397">
        <f>IF(raw[[#This Row],[in]]=0,0,MONTH(raw[[#This Row],[in]]))</f>
        <v/>
      </c>
      <c r="Q1782" s="1397">
        <f>IF(raw[[#This Row],[in]]=0,0,YEAR(raw[[#This Row],[in]]))</f>
        <v/>
      </c>
      <c r="R1782" s="1397">
        <f>INT(raw[[#This Row],[yr]]/10)*10</f>
        <v/>
      </c>
      <c r="S1782" s="1395">
        <f>IF(raw[[#This Row],[city]]="","-",IF(raw[[#This Row],[city]]&lt;&gt;_xlfn.XLOOKUP(raw[[#This Row],[home]],homes[home],homes[city],"-"),1,0))</f>
        <v/>
      </c>
      <c r="T1782" s="1398" t="inlineStr">
        <is>
          <t>.</t>
        </is>
      </c>
      <c r="U1782" s="1399">
        <f>IF(raw[[#This Row],[wb]]="w",raw[[#This Row],[stay]]+U1781,U1781)</f>
        <v/>
      </c>
      <c r="V1782" s="1400">
        <f>IF(raw[[#This Row],[out]]=0,V1781,(raw[[#This Row],[out]]-E$5))</f>
        <v/>
      </c>
      <c r="W1782" s="1401">
        <f>U1782/V1782</f>
        <v/>
      </c>
      <c r="X1782" s="1392" t="n"/>
      <c r="Y1782" s="1392" t="n"/>
      <c r="Z1782" s="1392" t="n"/>
      <c r="AA1782" s="1392" t="n"/>
      <c r="AB1782" s="1392" t="n"/>
      <c r="AC1782" s="1392" t="n"/>
      <c r="AD1782" s="1392" t="n"/>
      <c r="AE1782" s="1392" t="n"/>
      <c r="AF1782" s="1392" t="n"/>
      <c r="AG1782" s="1392" t="n"/>
      <c r="AH1782" s="1392" t="n"/>
      <c r="AI1782" s="1392" t="n"/>
      <c r="AJ1782" s="1392" t="n"/>
      <c r="AK1782" s="1392" t="n"/>
      <c r="AL1782" s="1392" t="n"/>
      <c r="AM1782" s="1392" t="n"/>
      <c r="AN1782" s="1392" t="n"/>
      <c r="AO1782" s="1392" t="n"/>
      <c r="AP1782" s="1392" t="n"/>
      <c r="AQ1782" s="1392" t="n"/>
      <c r="AR1782" s="1422" t="n"/>
      <c r="AS1782" s="1422" t="n"/>
      <c r="AT1782" s="1392" t="n"/>
      <c r="AU1782" s="1392" t="n"/>
      <c r="AV1782" s="1392" t="n"/>
      <c r="AW1782" s="1392" t="n"/>
      <c r="AX1782" s="1392" t="n"/>
      <c r="AY1782" s="1392" t="n"/>
      <c r="AZ1782" s="1392" t="n"/>
      <c r="BA1782" s="1422" t="n"/>
      <c r="BB1782" s="1422" t="n"/>
      <c r="BC1782" s="1392" t="n"/>
      <c r="BD1782" s="1392" t="n"/>
      <c r="BE1782" s="1392" t="n"/>
      <c r="BF1782" s="1392" t="n"/>
      <c r="BG1782" s="1392" t="n"/>
      <c r="BH1782" s="1392" t="n"/>
      <c r="BI1782" s="1392" t="n"/>
      <c r="BJ1782" s="1392" t="n"/>
      <c r="BK1782" s="1392" t="n"/>
      <c r="BL1782" s="1392" t="n"/>
      <c r="BM1782" s="1392" t="n"/>
      <c r="BN1782" s="1392" t="n"/>
      <c r="BO1782" s="1392" t="n"/>
      <c r="BP1782" s="1392" t="n"/>
      <c r="BQ1782" s="1392" t="n"/>
      <c r="BR1782" s="1392" t="n"/>
      <c r="BS1782" s="1392" t="n"/>
      <c r="BT1782" s="1392" t="n"/>
      <c r="BU1782" s="1392" t="n"/>
      <c r="BV1782" s="1392" t="n"/>
      <c r="BW1782" s="1392" t="n"/>
      <c r="BX1782" s="1392" t="n"/>
      <c r="BY1782" s="1392" t="n"/>
      <c r="BZ1782" s="1392" t="n"/>
      <c r="CA1782" s="1392" t="n"/>
      <c r="CB1782" s="1392" t="n"/>
      <c r="CC1782" s="1392" t="n"/>
      <c r="CD1782" s="1392" t="n"/>
      <c r="CE1782" s="1392" t="n"/>
      <c r="CF1782" s="1392" t="n"/>
      <c r="CG1782" s="1392" t="n"/>
      <c r="CH1782" s="1392" t="n"/>
      <c r="CI1782" s="1392" t="n"/>
      <c r="CJ1782" s="1392" t="n"/>
      <c r="CK1782" s="1392" t="n"/>
      <c r="CL1782" s="1392" t="n"/>
    </row>
    <row r="1783">
      <c r="A1783" s="5" t="inlineStr">
        <is>
          <t>.</t>
        </is>
      </c>
      <c r="B1783" s="5" t="inlineStr">
        <is>
          <t>.</t>
        </is>
      </c>
      <c r="C1783" s="1378">
        <f>IF(raw[[#This Row],[city]]="","-",IF(raw[[#This Row],[city]]="TODAY","-",C1782+1))</f>
        <v/>
      </c>
      <c r="D1783" s="1393" t="inlineStr">
        <is>
          <t>Paris</t>
        </is>
      </c>
      <c r="E1783" s="1394" t="n">
        <v>46085</v>
      </c>
      <c r="F1783" s="1394" t="n">
        <v>46088</v>
      </c>
      <c r="G1783" s="1393" t="n">
        <v>1</v>
      </c>
      <c r="H1783" s="1393" t="inlineStr">
        <is>
          <t>Joao I</t>
        </is>
      </c>
      <c r="I1783" s="1393" t="n"/>
      <c r="J1783" s="1393" t="n"/>
      <c r="K1783" s="1395">
        <f>IF(raw[[#This Row],[city]]&lt;&gt;"",_xlfn.XLOOKUP($D1783,ccc[city],ccc[prov],"-"),"-")</f>
        <v/>
      </c>
      <c r="L1783" s="1395">
        <f>IF(raw[[#This Row],[city]]&lt;&gt;"",_xlfn.XLOOKUP($D1783,ccc[city],ccc[ctry],"-"),"-")</f>
        <v/>
      </c>
      <c r="M1783" s="1395">
        <f>IF(raw[[#This Row],[city]]&lt;&gt;"",_xlfn.XLOOKUP($D1783,ccc[city],ccc[cont],"-"),"-")</f>
        <v/>
      </c>
      <c r="N1783" s="1396">
        <f>IF(raw[[#This Row],[city]]="","-",IF(raw[[#This Row],[cont]]="B",raw[[#This Row],[cont]],"W"))</f>
        <v/>
      </c>
      <c r="O1783" s="1397">
        <f>IF(raw[[#This Row],[out]]=0,0,IF(raw[[#This Row],[out]]=raw[[#This Row],[in]],0.01,raw[[#This Row],[out]]-raw[[#This Row],[in]]))</f>
        <v/>
      </c>
      <c r="P1783" s="1397">
        <f>IF(raw[[#This Row],[in]]=0,0,MONTH(raw[[#This Row],[in]]))</f>
        <v/>
      </c>
      <c r="Q1783" s="1397">
        <f>IF(raw[[#This Row],[in]]=0,0,YEAR(raw[[#This Row],[in]]))</f>
        <v/>
      </c>
      <c r="R1783" s="1397">
        <f>INT(raw[[#This Row],[yr]]/10)*10</f>
        <v/>
      </c>
      <c r="S1783" s="1395">
        <f>IF(raw[[#This Row],[city]]="","-",IF(raw[[#This Row],[city]]&lt;&gt;_xlfn.XLOOKUP(raw[[#This Row],[home]],homes[home],homes[city],"-"),1,0))</f>
        <v/>
      </c>
      <c r="T1783" s="1398" t="inlineStr">
        <is>
          <t>.</t>
        </is>
      </c>
      <c r="U1783" s="1399">
        <f>IF(raw[[#This Row],[wb]]="w",raw[[#This Row],[stay]]+U1782,U1782)</f>
        <v/>
      </c>
      <c r="V1783" s="1400">
        <f>IF(raw[[#This Row],[out]]=0,V1782,(raw[[#This Row],[out]]-E$5))</f>
        <v/>
      </c>
      <c r="W1783" s="1401">
        <f>U1783/V1783</f>
        <v/>
      </c>
      <c r="X1783" s="1392" t="n"/>
      <c r="Y1783" s="1392" t="n"/>
      <c r="Z1783" s="1392" t="n"/>
      <c r="AA1783" s="1392" t="n"/>
      <c r="AB1783" s="1392" t="n"/>
      <c r="AC1783" s="1392" t="n"/>
      <c r="AD1783" s="1392" t="n"/>
      <c r="AE1783" s="1392" t="n"/>
      <c r="AF1783" s="1392" t="n"/>
      <c r="AG1783" s="1392" t="n"/>
      <c r="AH1783" s="1392" t="n"/>
      <c r="AI1783" s="1392" t="n"/>
      <c r="AJ1783" s="1392" t="n"/>
      <c r="AK1783" s="1392" t="n"/>
      <c r="AL1783" s="1392" t="n"/>
      <c r="AM1783" s="1392" t="n"/>
      <c r="AN1783" s="1392" t="n"/>
      <c r="AO1783" s="1392" t="n"/>
      <c r="AP1783" s="1392" t="n"/>
      <c r="AQ1783" s="1392" t="n"/>
      <c r="AR1783" s="1422" t="n"/>
      <c r="AS1783" s="1422" t="n"/>
      <c r="AT1783" s="1392" t="n"/>
      <c r="AU1783" s="1392" t="n"/>
      <c r="AV1783" s="1392" t="n"/>
      <c r="AW1783" s="1392" t="n"/>
      <c r="AX1783" s="1392" t="n"/>
      <c r="AY1783" s="1392" t="n"/>
      <c r="AZ1783" s="1392" t="n"/>
      <c r="BA1783" s="1422" t="n"/>
      <c r="BB1783" s="1422" t="n"/>
      <c r="BC1783" s="1392" t="n"/>
      <c r="BD1783" s="1392" t="n"/>
      <c r="BE1783" s="1392" t="n"/>
      <c r="BF1783" s="1392" t="n"/>
      <c r="BG1783" s="1392" t="n"/>
      <c r="BH1783" s="1392" t="n"/>
      <c r="BI1783" s="1392" t="n"/>
      <c r="BJ1783" s="1392" t="n"/>
      <c r="BK1783" s="1392" t="n"/>
      <c r="BL1783" s="1392" t="n"/>
      <c r="BM1783" s="1392" t="n"/>
      <c r="BN1783" s="1392" t="n"/>
      <c r="BO1783" s="1392" t="n"/>
      <c r="BP1783" s="1392" t="n"/>
      <c r="BQ1783" s="1392" t="n"/>
      <c r="BR1783" s="1392" t="n"/>
      <c r="BS1783" s="1392" t="n"/>
      <c r="BT1783" s="1392" t="n"/>
      <c r="BU1783" s="1392" t="n"/>
      <c r="BV1783" s="1392" t="n"/>
      <c r="BW1783" s="1392" t="n"/>
      <c r="BX1783" s="1392" t="n"/>
      <c r="BY1783" s="1392" t="n"/>
      <c r="BZ1783" s="1392" t="n"/>
      <c r="CA1783" s="1392" t="n"/>
      <c r="CB1783" s="1392" t="n"/>
      <c r="CC1783" s="1392" t="n"/>
      <c r="CD1783" s="1392" t="n"/>
      <c r="CE1783" s="1392" t="n"/>
      <c r="CF1783" s="1392" t="n"/>
      <c r="CG1783" s="1392" t="n"/>
      <c r="CH1783" s="1392" t="n"/>
      <c r="CI1783" s="1392" t="n"/>
      <c r="CJ1783" s="1392" t="n"/>
      <c r="CK1783" s="1392" t="n"/>
      <c r="CL1783" s="1392" t="n"/>
    </row>
    <row r="1784">
      <c r="A1784" s="5" t="inlineStr">
        <is>
          <t>.</t>
        </is>
      </c>
      <c r="B1784" s="5" t="inlineStr">
        <is>
          <t>.</t>
        </is>
      </c>
      <c r="C1784" s="1378">
        <f>IF(raw[[#This Row],[city]]="","-",IF(raw[[#This Row],[city]]="TODAY","-",C1783+1))</f>
        <v/>
      </c>
      <c r="D1784" s="1393" t="inlineStr">
        <is>
          <t>Porto</t>
        </is>
      </c>
      <c r="E1784" s="1394" t="n">
        <v>46088</v>
      </c>
      <c r="F1784" s="1394" t="n">
        <v>46106</v>
      </c>
      <c r="G1784" s="1393" t="n">
        <v>1</v>
      </c>
      <c r="H1784" s="1393" t="inlineStr">
        <is>
          <t>Joao I</t>
        </is>
      </c>
      <c r="I1784" s="1393" t="n"/>
      <c r="J1784" s="1393" t="n"/>
      <c r="K1784" s="1395">
        <f>IF(raw[[#This Row],[city]]&lt;&gt;"",_xlfn.XLOOKUP($D1784,ccc[city],ccc[prov],"-"),"-")</f>
        <v/>
      </c>
      <c r="L1784" s="1395">
        <f>IF(raw[[#This Row],[city]]&lt;&gt;"",_xlfn.XLOOKUP($D1784,ccc[city],ccc[ctry],"-"),"-")</f>
        <v/>
      </c>
      <c r="M1784" s="1395">
        <f>IF(raw[[#This Row],[city]]&lt;&gt;"",_xlfn.XLOOKUP($D1784,ccc[city],ccc[cont],"-"),"-")</f>
        <v/>
      </c>
      <c r="N1784" s="1396">
        <f>IF(raw[[#This Row],[city]]="","-",IF(raw[[#This Row],[cont]]="B",raw[[#This Row],[cont]],"W"))</f>
        <v/>
      </c>
      <c r="O1784" s="1397">
        <f>IF(raw[[#This Row],[out]]=0,0,IF(raw[[#This Row],[out]]=raw[[#This Row],[in]],0.01,raw[[#This Row],[out]]-raw[[#This Row],[in]]))</f>
        <v/>
      </c>
      <c r="P1784" s="1397">
        <f>IF(raw[[#This Row],[in]]=0,0,MONTH(raw[[#This Row],[in]]))</f>
        <v/>
      </c>
      <c r="Q1784" s="1397">
        <f>IF(raw[[#This Row],[in]]=0,0,YEAR(raw[[#This Row],[in]]))</f>
        <v/>
      </c>
      <c r="R1784" s="1397">
        <f>INT(raw[[#This Row],[yr]]/10)*10</f>
        <v/>
      </c>
      <c r="S1784" s="1395">
        <f>IF(raw[[#This Row],[city]]="","-",IF(raw[[#This Row],[city]]&lt;&gt;_xlfn.XLOOKUP(raw[[#This Row],[home]],homes[home],homes[city],"-"),1,0))</f>
        <v/>
      </c>
      <c r="T1784" s="1398" t="inlineStr">
        <is>
          <t>.</t>
        </is>
      </c>
      <c r="U1784" s="1399">
        <f>IF(raw[[#This Row],[wb]]="w",raw[[#This Row],[stay]]+U1783,U1783)</f>
        <v/>
      </c>
      <c r="V1784" s="1400">
        <f>IF(raw[[#This Row],[out]]=0,V1783,(raw[[#This Row],[out]]-E$5))</f>
        <v/>
      </c>
      <c r="W1784" s="1401">
        <f>U1784/V1784</f>
        <v/>
      </c>
      <c r="X1784" s="1392" t="n"/>
      <c r="Y1784" s="1392" t="n"/>
      <c r="Z1784" s="1392" t="n"/>
      <c r="AA1784" s="1392" t="n"/>
      <c r="AB1784" s="1392" t="n"/>
      <c r="AC1784" s="1392" t="n"/>
      <c r="AD1784" s="1392" t="n"/>
      <c r="AE1784" s="1392" t="n"/>
      <c r="AF1784" s="1392" t="n"/>
      <c r="AG1784" s="1392" t="n"/>
      <c r="AH1784" s="1392" t="n"/>
      <c r="AI1784" s="1392" t="n"/>
      <c r="AJ1784" s="1392" t="n"/>
      <c r="AK1784" s="1392" t="n"/>
      <c r="AL1784" s="1392" t="n"/>
      <c r="AM1784" s="1392" t="n"/>
      <c r="AN1784" s="1392" t="n"/>
      <c r="AO1784" s="1392" t="n"/>
      <c r="AP1784" s="1392" t="n"/>
      <c r="AQ1784" s="1392" t="n"/>
      <c r="AR1784" s="1422" t="n"/>
      <c r="AS1784" s="1422" t="n"/>
      <c r="AT1784" s="1392" t="n"/>
      <c r="AU1784" s="1392" t="n"/>
      <c r="AV1784" s="1392" t="n"/>
      <c r="AW1784" s="1392" t="n"/>
      <c r="AX1784" s="1392" t="n"/>
      <c r="AY1784" s="1392" t="n"/>
      <c r="AZ1784" s="1392" t="n"/>
      <c r="BA1784" s="1422" t="n"/>
      <c r="BB1784" s="1422" t="n"/>
      <c r="BC1784" s="1392" t="n"/>
      <c r="BD1784" s="1392" t="n"/>
      <c r="BE1784" s="1392" t="n"/>
      <c r="BF1784" s="1392" t="n"/>
      <c r="BG1784" s="1392" t="n"/>
      <c r="BH1784" s="1392" t="n"/>
      <c r="BI1784" s="1392" t="n"/>
      <c r="BJ1784" s="1392" t="n"/>
      <c r="BK1784" s="1392" t="n"/>
      <c r="BL1784" s="1392" t="n"/>
      <c r="BM1784" s="1392" t="n"/>
      <c r="BN1784" s="1392" t="n"/>
      <c r="BO1784" s="1392" t="n"/>
      <c r="BP1784" s="1392" t="n"/>
      <c r="BQ1784" s="1392" t="n"/>
      <c r="BR1784" s="1392" t="n"/>
      <c r="BS1784" s="1392" t="n"/>
      <c r="BT1784" s="1392" t="n"/>
      <c r="BU1784" s="1392" t="n"/>
      <c r="BV1784" s="1392" t="n"/>
      <c r="BW1784" s="1392" t="n"/>
      <c r="BX1784" s="1392" t="n"/>
      <c r="BY1784" s="1392" t="n"/>
      <c r="BZ1784" s="1392" t="n"/>
      <c r="CA1784" s="1392" t="n"/>
      <c r="CB1784" s="1392" t="n"/>
      <c r="CC1784" s="1392" t="n"/>
      <c r="CD1784" s="1392" t="n"/>
      <c r="CE1784" s="1392" t="n"/>
      <c r="CF1784" s="1392" t="n"/>
      <c r="CG1784" s="1392" t="n"/>
      <c r="CH1784" s="1392" t="n"/>
      <c r="CI1784" s="1392" t="n"/>
      <c r="CJ1784" s="1392" t="n"/>
      <c r="CK1784" s="1392" t="n"/>
      <c r="CL1784" s="1392" t="n"/>
    </row>
    <row r="1785">
      <c r="A1785" s="5" t="inlineStr">
        <is>
          <t>.</t>
        </is>
      </c>
      <c r="B1785" s="5" t="inlineStr">
        <is>
          <t>.</t>
        </is>
      </c>
      <c r="C1785" s="1378">
        <f>IF(raw[[#This Row],[city]]="","-",IF(raw[[#This Row],[city]]="TODAY","-",C1784+1))</f>
        <v/>
      </c>
      <c r="D1785" s="1393" t="inlineStr">
        <is>
          <t>Rome</t>
        </is>
      </c>
      <c r="E1785" s="1394" t="n">
        <v>46106</v>
      </c>
      <c r="F1785" s="1394" t="n">
        <v>46111</v>
      </c>
      <c r="G1785" s="1393" t="n"/>
      <c r="H1785" s="1393" t="inlineStr">
        <is>
          <t>Joao I</t>
        </is>
      </c>
      <c r="I1785" s="1393" t="n"/>
      <c r="J1785" s="1393" t="n"/>
      <c r="K1785" s="1395">
        <f>IF(raw[[#This Row],[city]]&lt;&gt;"",_xlfn.XLOOKUP($D1785,ccc[city],ccc[prov],"-"),"-")</f>
        <v/>
      </c>
      <c r="L1785" s="1395">
        <f>IF(raw[[#This Row],[city]]&lt;&gt;"",_xlfn.XLOOKUP($D1785,ccc[city],ccc[ctry],"-"),"-")</f>
        <v/>
      </c>
      <c r="M1785" s="1395">
        <f>IF(raw[[#This Row],[city]]&lt;&gt;"",_xlfn.XLOOKUP($D1785,ccc[city],ccc[cont],"-"),"-")</f>
        <v/>
      </c>
      <c r="N1785" s="1396">
        <f>IF(raw[[#This Row],[city]]="","-",IF(raw[[#This Row],[cont]]="B",raw[[#This Row],[cont]],"W"))</f>
        <v/>
      </c>
      <c r="O1785" s="1397">
        <f>IF(raw[[#This Row],[out]]=0,0,IF(raw[[#This Row],[out]]=raw[[#This Row],[in]],0.01,raw[[#This Row],[out]]-raw[[#This Row],[in]]))</f>
        <v/>
      </c>
      <c r="P1785" s="1397">
        <f>IF(raw[[#This Row],[in]]=0,0,MONTH(raw[[#This Row],[in]]))</f>
        <v/>
      </c>
      <c r="Q1785" s="1397">
        <f>IF(raw[[#This Row],[in]]=0,0,YEAR(raw[[#This Row],[in]]))</f>
        <v/>
      </c>
      <c r="R1785" s="1397">
        <f>INT(raw[[#This Row],[yr]]/10)*10</f>
        <v/>
      </c>
      <c r="S1785" s="1395">
        <f>IF(raw[[#This Row],[city]]="","-",IF(raw[[#This Row],[city]]&lt;&gt;_xlfn.XLOOKUP(raw[[#This Row],[home]],homes[home],homes[city],"-"),1,0))</f>
        <v/>
      </c>
      <c r="T1785" s="1398" t="inlineStr">
        <is>
          <t>.</t>
        </is>
      </c>
      <c r="U1785" s="1399">
        <f>IF(raw[[#This Row],[wb]]="w",raw[[#This Row],[stay]]+U1784,U1784)</f>
        <v/>
      </c>
      <c r="V1785" s="1400">
        <f>IF(raw[[#This Row],[out]]=0,V1784,(raw[[#This Row],[out]]-E$5))</f>
        <v/>
      </c>
      <c r="W1785" s="1401">
        <f>U1785/V1785</f>
        <v/>
      </c>
      <c r="X1785" s="1392" t="n"/>
      <c r="Y1785" s="1392" t="n"/>
      <c r="Z1785" s="1392" t="n"/>
      <c r="AA1785" s="1392" t="n"/>
      <c r="AB1785" s="1392" t="n"/>
      <c r="AC1785" s="1392" t="n"/>
      <c r="AD1785" s="1392" t="n"/>
      <c r="AE1785" s="1392" t="n"/>
      <c r="AF1785" s="1392" t="n"/>
      <c r="AG1785" s="1392" t="n"/>
      <c r="AH1785" s="1392" t="n"/>
      <c r="AI1785" s="1392" t="n"/>
      <c r="AJ1785" s="1392" t="n"/>
      <c r="AK1785" s="1392" t="n"/>
      <c r="AL1785" s="1392" t="n"/>
      <c r="AM1785" s="1392" t="n"/>
      <c r="AN1785" s="1392" t="n"/>
      <c r="AO1785" s="1392" t="n"/>
      <c r="AP1785" s="1392" t="n"/>
      <c r="AQ1785" s="1392" t="n"/>
      <c r="AR1785" s="1422" t="n"/>
      <c r="AS1785" s="1422" t="n"/>
      <c r="AT1785" s="1392" t="n"/>
      <c r="AU1785" s="1392" t="n"/>
      <c r="AV1785" s="1392" t="n"/>
      <c r="AW1785" s="1392" t="n"/>
      <c r="AX1785" s="1392" t="n"/>
      <c r="AY1785" s="1392" t="n"/>
      <c r="AZ1785" s="1392" t="n"/>
      <c r="BA1785" s="1422" t="n"/>
      <c r="BB1785" s="1422" t="n"/>
      <c r="BC1785" s="1392" t="n"/>
      <c r="BD1785" s="1392" t="n"/>
      <c r="BE1785" s="1392" t="n"/>
      <c r="BF1785" s="1392" t="n"/>
      <c r="BG1785" s="1392" t="n"/>
      <c r="BH1785" s="1392" t="n"/>
      <c r="BI1785" s="1392" t="n"/>
      <c r="BJ1785" s="1392" t="n"/>
      <c r="BK1785" s="1392" t="n"/>
      <c r="BL1785" s="1392" t="n"/>
      <c r="BM1785" s="1392" t="n"/>
      <c r="BN1785" s="1392" t="n"/>
      <c r="BO1785" s="1392" t="n"/>
      <c r="BP1785" s="1392" t="n"/>
      <c r="BQ1785" s="1392" t="n"/>
      <c r="BR1785" s="1392" t="n"/>
      <c r="BS1785" s="1392" t="n"/>
      <c r="BT1785" s="1392" t="n"/>
      <c r="BU1785" s="1392" t="n"/>
      <c r="BV1785" s="1392" t="n"/>
      <c r="BW1785" s="1392" t="n"/>
      <c r="BX1785" s="1392" t="n"/>
      <c r="BY1785" s="1392" t="n"/>
      <c r="BZ1785" s="1392" t="n"/>
      <c r="CA1785" s="1392" t="n"/>
      <c r="CB1785" s="1392" t="n"/>
      <c r="CC1785" s="1392" t="n"/>
      <c r="CD1785" s="1392" t="n"/>
      <c r="CE1785" s="1392" t="n"/>
      <c r="CF1785" s="1392" t="n"/>
      <c r="CG1785" s="1392" t="n"/>
      <c r="CH1785" s="1392" t="n"/>
      <c r="CI1785" s="1392" t="n"/>
      <c r="CJ1785" s="1392" t="n"/>
      <c r="CK1785" s="1392" t="n"/>
      <c r="CL1785" s="1392" t="n"/>
    </row>
    <row r="1786">
      <c r="A1786" s="5" t="inlineStr">
        <is>
          <t>.</t>
        </is>
      </c>
      <c r="B1786" s="5" t="inlineStr">
        <is>
          <t>.</t>
        </is>
      </c>
      <c r="C1786" s="1378">
        <f>IF(raw[[#This Row],[city]]="","-",IF(raw[[#This Row],[city]]="TODAY","-",C1785+1))</f>
        <v/>
      </c>
      <c r="D1786" s="1393" t="inlineStr">
        <is>
          <t>Sorrento</t>
        </is>
      </c>
      <c r="E1786" s="1394" t="n">
        <v>46110</v>
      </c>
      <c r="F1786" s="1394" t="n">
        <v>46110</v>
      </c>
      <c r="G1786" s="1393" t="n"/>
      <c r="H1786" s="1393" t="inlineStr">
        <is>
          <t>Joao I</t>
        </is>
      </c>
      <c r="I1786" s="1393" t="n"/>
      <c r="J1786" s="1393" t="n"/>
      <c r="K1786" s="1395">
        <f>IF(raw[[#This Row],[city]]&lt;&gt;"",_xlfn.XLOOKUP($D1786,ccc[city],ccc[prov],"-"),"-")</f>
        <v/>
      </c>
      <c r="L1786" s="1395">
        <f>IF(raw[[#This Row],[city]]&lt;&gt;"",_xlfn.XLOOKUP($D1786,ccc[city],ccc[ctry],"-"),"-")</f>
        <v/>
      </c>
      <c r="M1786" s="1395">
        <f>IF(raw[[#This Row],[city]]&lt;&gt;"",_xlfn.XLOOKUP($D1786,ccc[city],ccc[cont],"-"),"-")</f>
        <v/>
      </c>
      <c r="N1786" s="1396">
        <f>IF(raw[[#This Row],[city]]="","-",IF(raw[[#This Row],[cont]]="B",raw[[#This Row],[cont]],"W"))</f>
        <v/>
      </c>
      <c r="O1786" s="1397">
        <f>IF(raw[[#This Row],[out]]=0,0,IF(raw[[#This Row],[out]]=raw[[#This Row],[in]],0.01,raw[[#This Row],[out]]-raw[[#This Row],[in]]))</f>
        <v/>
      </c>
      <c r="P1786" s="1397">
        <f>IF(raw[[#This Row],[in]]=0,0,MONTH(raw[[#This Row],[in]]))</f>
        <v/>
      </c>
      <c r="Q1786" s="1397">
        <f>IF(raw[[#This Row],[in]]=0,0,YEAR(raw[[#This Row],[in]]))</f>
        <v/>
      </c>
      <c r="R1786" s="1397">
        <f>INT(raw[[#This Row],[yr]]/10)*10</f>
        <v/>
      </c>
      <c r="S1786" s="1395">
        <f>IF(raw[[#This Row],[city]]="","-",IF(raw[[#This Row],[city]]&lt;&gt;_xlfn.XLOOKUP(raw[[#This Row],[home]],homes[home],homes[city],"-"),1,0))</f>
        <v/>
      </c>
      <c r="T1786" s="1398" t="inlineStr">
        <is>
          <t>.</t>
        </is>
      </c>
      <c r="U1786" s="1399">
        <f>IF(raw[[#This Row],[wb]]="w",raw[[#This Row],[stay]]+U1785,U1785)</f>
        <v/>
      </c>
      <c r="V1786" s="1400">
        <f>IF(raw[[#This Row],[out]]=0,V1785,(raw[[#This Row],[out]]-E$5))</f>
        <v/>
      </c>
      <c r="W1786" s="1401">
        <f>U1786/V1786</f>
        <v/>
      </c>
      <c r="X1786" s="1392" t="n"/>
      <c r="Y1786" s="1392" t="n"/>
      <c r="Z1786" s="1392" t="n"/>
      <c r="AA1786" s="1392" t="n"/>
      <c r="AB1786" s="1392" t="n"/>
      <c r="AC1786" s="1392" t="n"/>
      <c r="AD1786" s="1392" t="n"/>
      <c r="AE1786" s="1392" t="n"/>
      <c r="AF1786" s="1392" t="n"/>
      <c r="AG1786" s="1392" t="n"/>
      <c r="AH1786" s="1392" t="n"/>
      <c r="AI1786" s="1392" t="n"/>
      <c r="AJ1786" s="1392" t="n"/>
      <c r="AK1786" s="1392" t="n"/>
      <c r="AL1786" s="1392" t="n"/>
      <c r="AM1786" s="1392" t="n"/>
      <c r="AN1786" s="1392" t="n"/>
      <c r="AO1786" s="1392" t="n"/>
      <c r="AP1786" s="1392" t="n"/>
      <c r="AQ1786" s="1392" t="n"/>
      <c r="AR1786" s="1422" t="n"/>
      <c r="AS1786" s="1422" t="n"/>
      <c r="AT1786" s="1392" t="n"/>
      <c r="AU1786" s="1392" t="n"/>
      <c r="AV1786" s="1392" t="n"/>
      <c r="AW1786" s="1392" t="n"/>
      <c r="AX1786" s="1392" t="n"/>
      <c r="AY1786" s="1392" t="n"/>
      <c r="AZ1786" s="1392" t="n"/>
      <c r="BA1786" s="1422" t="n"/>
      <c r="BB1786" s="1422" t="n"/>
      <c r="BC1786" s="1392" t="n"/>
      <c r="BD1786" s="1392" t="n"/>
      <c r="BE1786" s="1392" t="n"/>
      <c r="BF1786" s="1392" t="n"/>
      <c r="BG1786" s="1392" t="n"/>
      <c r="BH1786" s="1392" t="n"/>
      <c r="BI1786" s="1392" t="n"/>
      <c r="BJ1786" s="1392" t="n"/>
      <c r="BK1786" s="1392" t="n"/>
      <c r="BL1786" s="1392" t="n"/>
      <c r="BM1786" s="1392" t="n"/>
      <c r="BN1786" s="1392" t="n"/>
      <c r="BO1786" s="1392" t="n"/>
      <c r="BP1786" s="1392" t="n"/>
      <c r="BQ1786" s="1392" t="n"/>
      <c r="BR1786" s="1392" t="n"/>
      <c r="BS1786" s="1392" t="n"/>
      <c r="BT1786" s="1392" t="n"/>
      <c r="BU1786" s="1392" t="n"/>
      <c r="BV1786" s="1392" t="n"/>
      <c r="BW1786" s="1392" t="n"/>
      <c r="BX1786" s="1392" t="n"/>
      <c r="BY1786" s="1392" t="n"/>
      <c r="BZ1786" s="1392" t="n"/>
      <c r="CA1786" s="1392" t="n"/>
      <c r="CB1786" s="1392" t="n"/>
      <c r="CC1786" s="1392" t="n"/>
      <c r="CD1786" s="1392" t="n"/>
      <c r="CE1786" s="1392" t="n"/>
      <c r="CF1786" s="1392" t="n"/>
      <c r="CG1786" s="1392" t="n"/>
      <c r="CH1786" s="1392" t="n"/>
      <c r="CI1786" s="1392" t="n"/>
      <c r="CJ1786" s="1392" t="n"/>
      <c r="CK1786" s="1392" t="n"/>
      <c r="CL1786" s="1392" t="n"/>
    </row>
    <row r="1787">
      <c r="A1787" s="5" t="inlineStr">
        <is>
          <t>.</t>
        </is>
      </c>
      <c r="B1787" s="5" t="inlineStr">
        <is>
          <t>.</t>
        </is>
      </c>
      <c r="C1787" s="1378">
        <f>IF(raw[[#This Row],[city]]="","-",IF(raw[[#This Row],[city]]="TODAY","-",C1786+1))</f>
        <v/>
      </c>
      <c r="D1787" s="1393" t="inlineStr">
        <is>
          <t>Pompeii</t>
        </is>
      </c>
      <c r="E1787" s="1394" t="n">
        <v>46110</v>
      </c>
      <c r="F1787" s="1394" t="n">
        <v>46110</v>
      </c>
      <c r="G1787" s="1393" t="n"/>
      <c r="H1787" s="1393" t="inlineStr">
        <is>
          <t>Joao I</t>
        </is>
      </c>
      <c r="I1787" s="1393" t="n"/>
      <c r="J1787" s="1393" t="n"/>
      <c r="K1787" s="1395">
        <f>IF(raw[[#This Row],[city]]&lt;&gt;"",_xlfn.XLOOKUP($D1787,ccc[city],ccc[prov],"-"),"-")</f>
        <v/>
      </c>
      <c r="L1787" s="1395">
        <f>IF(raw[[#This Row],[city]]&lt;&gt;"",_xlfn.XLOOKUP($D1787,ccc[city],ccc[ctry],"-"),"-")</f>
        <v/>
      </c>
      <c r="M1787" s="1395">
        <f>IF(raw[[#This Row],[city]]&lt;&gt;"",_xlfn.XLOOKUP($D1787,ccc[city],ccc[cont],"-"),"-")</f>
        <v/>
      </c>
      <c r="N1787" s="1396">
        <f>IF(raw[[#This Row],[city]]="","-",IF(raw[[#This Row],[cont]]="B",raw[[#This Row],[cont]],"W"))</f>
        <v/>
      </c>
      <c r="O1787" s="1397">
        <f>IF(raw[[#This Row],[out]]=0,0,IF(raw[[#This Row],[out]]=raw[[#This Row],[in]],0.01,raw[[#This Row],[out]]-raw[[#This Row],[in]]))</f>
        <v/>
      </c>
      <c r="P1787" s="1397">
        <f>IF(raw[[#This Row],[in]]=0,0,MONTH(raw[[#This Row],[in]]))</f>
        <v/>
      </c>
      <c r="Q1787" s="1397">
        <f>IF(raw[[#This Row],[in]]=0,0,YEAR(raw[[#This Row],[in]]))</f>
        <v/>
      </c>
      <c r="R1787" s="1397">
        <f>INT(raw[[#This Row],[yr]]/10)*10</f>
        <v/>
      </c>
      <c r="S1787" s="1395">
        <f>IF(raw[[#This Row],[city]]="","-",IF(raw[[#This Row],[city]]&lt;&gt;_xlfn.XLOOKUP(raw[[#This Row],[home]],homes[home],homes[city],"-"),1,0))</f>
        <v/>
      </c>
      <c r="T1787" s="1398" t="inlineStr">
        <is>
          <t>.</t>
        </is>
      </c>
      <c r="U1787" s="1399">
        <f>IF(raw[[#This Row],[wb]]="w",raw[[#This Row],[stay]]+U1786,U1786)</f>
        <v/>
      </c>
      <c r="V1787" s="1400">
        <f>IF(raw[[#This Row],[out]]=0,V1786,(raw[[#This Row],[out]]-E$5))</f>
        <v/>
      </c>
      <c r="W1787" s="1401">
        <f>U1787/V1787</f>
        <v/>
      </c>
      <c r="X1787" s="1392" t="n"/>
      <c r="Y1787" s="1392" t="n"/>
      <c r="Z1787" s="1392" t="n"/>
      <c r="AA1787" s="1392" t="n"/>
      <c r="AB1787" s="1392" t="n"/>
      <c r="AC1787" s="1392" t="n"/>
      <c r="AD1787" s="1392" t="n"/>
      <c r="AE1787" s="1392" t="n"/>
      <c r="AF1787" s="1392" t="n"/>
      <c r="AG1787" s="1392" t="n"/>
      <c r="AH1787" s="1392" t="n"/>
      <c r="AI1787" s="1392" t="n"/>
      <c r="AJ1787" s="1392" t="n"/>
      <c r="AK1787" s="1392" t="n"/>
      <c r="AL1787" s="1392" t="n"/>
      <c r="AM1787" s="1392" t="n"/>
      <c r="AN1787" s="1392" t="n"/>
      <c r="AO1787" s="1392" t="n"/>
      <c r="AP1787" s="1392" t="n"/>
      <c r="AQ1787" s="1392" t="n"/>
      <c r="AR1787" s="1422" t="n"/>
      <c r="AS1787" s="1422" t="n"/>
      <c r="AT1787" s="1392" t="n"/>
      <c r="AU1787" s="1392" t="n"/>
      <c r="AV1787" s="1392" t="n"/>
      <c r="AW1787" s="1392" t="n"/>
      <c r="AX1787" s="1392" t="n"/>
      <c r="AY1787" s="1392" t="n"/>
      <c r="AZ1787" s="1392" t="n"/>
      <c r="BA1787" s="1422" t="n"/>
      <c r="BB1787" s="1422" t="n"/>
      <c r="BC1787" s="1392" t="n"/>
      <c r="BD1787" s="1392" t="n"/>
      <c r="BE1787" s="1392" t="n"/>
      <c r="BF1787" s="1392" t="n"/>
      <c r="BG1787" s="1392" t="n"/>
      <c r="BH1787" s="1392" t="n"/>
      <c r="BI1787" s="1392" t="n"/>
      <c r="BJ1787" s="1392" t="n"/>
      <c r="BK1787" s="1392" t="n"/>
      <c r="BL1787" s="1392" t="n"/>
      <c r="BM1787" s="1392" t="n"/>
      <c r="BN1787" s="1392" t="n"/>
      <c r="BO1787" s="1392" t="n"/>
      <c r="BP1787" s="1392" t="n"/>
      <c r="BQ1787" s="1392" t="n"/>
      <c r="BR1787" s="1392" t="n"/>
      <c r="BS1787" s="1392" t="n"/>
      <c r="BT1787" s="1392" t="n"/>
      <c r="BU1787" s="1392" t="n"/>
      <c r="BV1787" s="1392" t="n"/>
      <c r="BW1787" s="1392" t="n"/>
      <c r="BX1787" s="1392" t="n"/>
      <c r="BY1787" s="1392" t="n"/>
      <c r="BZ1787" s="1392" t="n"/>
      <c r="CA1787" s="1392" t="n"/>
      <c r="CB1787" s="1392" t="n"/>
      <c r="CC1787" s="1392" t="n"/>
      <c r="CD1787" s="1392" t="n"/>
      <c r="CE1787" s="1392" t="n"/>
      <c r="CF1787" s="1392" t="n"/>
      <c r="CG1787" s="1392" t="n"/>
      <c r="CH1787" s="1392" t="n"/>
      <c r="CI1787" s="1392" t="n"/>
      <c r="CJ1787" s="1392" t="n"/>
      <c r="CK1787" s="1392" t="n"/>
      <c r="CL1787" s="1392" t="n"/>
    </row>
    <row r="1788">
      <c r="A1788" s="5" t="inlineStr">
        <is>
          <t>.</t>
        </is>
      </c>
      <c r="B1788" s="5" t="inlineStr">
        <is>
          <t>.</t>
        </is>
      </c>
      <c r="C1788" s="1378">
        <f>IF(raw[[#This Row],[city]]="","-",IF(raw[[#This Row],[city]]="TODAY","-",C1787+1))</f>
        <v/>
      </c>
      <c r="D1788" s="1393" t="inlineStr">
        <is>
          <t>Rome</t>
        </is>
      </c>
      <c r="E1788" s="1394" t="n">
        <v>46111</v>
      </c>
      <c r="F1788" s="1394" t="n">
        <v>46111</v>
      </c>
      <c r="G1788" s="1393" t="n">
        <v>1</v>
      </c>
      <c r="H1788" s="1393" t="inlineStr">
        <is>
          <t>Joao I</t>
        </is>
      </c>
      <c r="I1788" s="1393" t="n"/>
      <c r="J1788" s="1393" t="n"/>
      <c r="K1788" s="1395">
        <f>IF(raw[[#This Row],[city]]&lt;&gt;"",_xlfn.XLOOKUP($D1788,ccc[city],ccc[prov],"-"),"-")</f>
        <v/>
      </c>
      <c r="L1788" s="1395">
        <f>IF(raw[[#This Row],[city]]&lt;&gt;"",_xlfn.XLOOKUP($D1788,ccc[city],ccc[ctry],"-"),"-")</f>
        <v/>
      </c>
      <c r="M1788" s="1395">
        <f>IF(raw[[#This Row],[city]]&lt;&gt;"",_xlfn.XLOOKUP($D1788,ccc[city],ccc[cont],"-"),"-")</f>
        <v/>
      </c>
      <c r="N1788" s="1396">
        <f>IF(raw[[#This Row],[city]]="","-",IF(raw[[#This Row],[cont]]="B",raw[[#This Row],[cont]],"W"))</f>
        <v/>
      </c>
      <c r="O1788" s="1397">
        <f>IF(raw[[#This Row],[out]]=0,0,IF(raw[[#This Row],[out]]=raw[[#This Row],[in]],0.01,raw[[#This Row],[out]]-raw[[#This Row],[in]]))</f>
        <v/>
      </c>
      <c r="P1788" s="1397">
        <f>IF(raw[[#This Row],[in]]=0,0,MONTH(raw[[#This Row],[in]]))</f>
        <v/>
      </c>
      <c r="Q1788" s="1397">
        <f>IF(raw[[#This Row],[in]]=0,0,YEAR(raw[[#This Row],[in]]))</f>
        <v/>
      </c>
      <c r="R1788" s="1397">
        <f>INT(raw[[#This Row],[yr]]/10)*10</f>
        <v/>
      </c>
      <c r="S1788" s="1395">
        <f>IF(raw[[#This Row],[city]]="","-",IF(raw[[#This Row],[city]]&lt;&gt;_xlfn.XLOOKUP(raw[[#This Row],[home]],homes[home],homes[city],"-"),1,0))</f>
        <v/>
      </c>
      <c r="T1788" s="1398" t="inlineStr">
        <is>
          <t>.</t>
        </is>
      </c>
      <c r="U1788" s="1399">
        <f>IF(raw[[#This Row],[wb]]="w",raw[[#This Row],[stay]]+U1787,U1787)</f>
        <v/>
      </c>
      <c r="V1788" s="1400">
        <f>IF(raw[[#This Row],[out]]=0,V1787,(raw[[#This Row],[out]]-E$5))</f>
        <v/>
      </c>
      <c r="W1788" s="1401">
        <f>U1788/V1788</f>
        <v/>
      </c>
      <c r="X1788" s="1392" t="n"/>
      <c r="Y1788" s="1392" t="n"/>
      <c r="Z1788" s="1392" t="n"/>
      <c r="AA1788" s="1392" t="n"/>
      <c r="AB1788" s="1392" t="n"/>
      <c r="AC1788" s="1392" t="n"/>
      <c r="AD1788" s="1392" t="n"/>
      <c r="AE1788" s="1392" t="n"/>
      <c r="AF1788" s="1392" t="n"/>
      <c r="AG1788" s="1392" t="n"/>
      <c r="AH1788" s="1392" t="n"/>
      <c r="AI1788" s="1392" t="n"/>
      <c r="AJ1788" s="1392" t="n"/>
      <c r="AK1788" s="1392" t="n"/>
      <c r="AL1788" s="1392" t="n"/>
      <c r="AM1788" s="1392" t="n"/>
      <c r="AN1788" s="1392" t="n"/>
      <c r="AO1788" s="1392" t="n"/>
      <c r="AP1788" s="1392" t="n"/>
      <c r="AQ1788" s="1392" t="n"/>
      <c r="AR1788" s="1422" t="n"/>
      <c r="AS1788" s="1422" t="n"/>
      <c r="AT1788" s="1392" t="n"/>
      <c r="AU1788" s="1392" t="n"/>
      <c r="AV1788" s="1392" t="n"/>
      <c r="AW1788" s="1392" t="n"/>
      <c r="AX1788" s="1392" t="n"/>
      <c r="AY1788" s="1392" t="n"/>
      <c r="AZ1788" s="1392" t="n"/>
      <c r="BA1788" s="1422" t="n"/>
      <c r="BB1788" s="1422" t="n"/>
      <c r="BC1788" s="1392" t="n"/>
      <c r="BD1788" s="1392" t="n"/>
      <c r="BE1788" s="1392" t="n"/>
      <c r="BF1788" s="1392" t="n"/>
      <c r="BG1788" s="1392" t="n"/>
      <c r="BH1788" s="1392" t="n"/>
      <c r="BI1788" s="1392" t="n"/>
      <c r="BJ1788" s="1392" t="n"/>
      <c r="BK1788" s="1392" t="n"/>
      <c r="BL1788" s="1392" t="n"/>
      <c r="BM1788" s="1392" t="n"/>
      <c r="BN1788" s="1392" t="n"/>
      <c r="BO1788" s="1392" t="n"/>
      <c r="BP1788" s="1392" t="n"/>
      <c r="BQ1788" s="1392" t="n"/>
      <c r="BR1788" s="1392" t="n"/>
      <c r="BS1788" s="1392" t="n"/>
      <c r="BT1788" s="1392" t="n"/>
      <c r="BU1788" s="1392" t="n"/>
      <c r="BV1788" s="1392" t="n"/>
      <c r="BW1788" s="1392" t="n"/>
      <c r="BX1788" s="1392" t="n"/>
      <c r="BY1788" s="1392" t="n"/>
      <c r="BZ1788" s="1392" t="n"/>
      <c r="CA1788" s="1392" t="n"/>
      <c r="CB1788" s="1392" t="n"/>
      <c r="CC1788" s="1392" t="n"/>
      <c r="CD1788" s="1392" t="n"/>
      <c r="CE1788" s="1392" t="n"/>
      <c r="CF1788" s="1392" t="n"/>
      <c r="CG1788" s="1392" t="n"/>
      <c r="CH1788" s="1392" t="n"/>
      <c r="CI1788" s="1392" t="n"/>
      <c r="CJ1788" s="1392" t="n"/>
      <c r="CK1788" s="1392" t="n"/>
      <c r="CL1788" s="1392" t="n"/>
    </row>
    <row r="1789">
      <c r="A1789" s="5" t="inlineStr">
        <is>
          <t>.</t>
        </is>
      </c>
      <c r="B1789" s="5" t="inlineStr">
        <is>
          <t>.</t>
        </is>
      </c>
      <c r="C1789" s="1378">
        <f>IF(raw[[#This Row],[city]]="","-",IF(raw[[#This Row],[city]]="TODAY","-",C1788+1))</f>
        <v/>
      </c>
      <c r="D1789" s="1393" t="inlineStr">
        <is>
          <t>Porto</t>
        </is>
      </c>
      <c r="E1789" s="1394" t="n">
        <v>46111</v>
      </c>
      <c r="F1789" s="1394" t="n">
        <v>46113</v>
      </c>
      <c r="G1789" s="1393" t="n"/>
      <c r="H1789" s="1393" t="inlineStr">
        <is>
          <t>Joao I</t>
        </is>
      </c>
      <c r="I1789" s="1393" t="n"/>
      <c r="J1789" s="1393" t="n"/>
      <c r="K1789" s="1395">
        <f>IF(raw[[#This Row],[city]]&lt;&gt;"",_xlfn.XLOOKUP($D1789,ccc[city],ccc[prov],"-"),"-")</f>
        <v/>
      </c>
      <c r="L1789" s="1395">
        <f>IF(raw[[#This Row],[city]]&lt;&gt;"",_xlfn.XLOOKUP($D1789,ccc[city],ccc[ctry],"-"),"-")</f>
        <v/>
      </c>
      <c r="M1789" s="1395">
        <f>IF(raw[[#This Row],[city]]&lt;&gt;"",_xlfn.XLOOKUP($D1789,ccc[city],ccc[cont],"-"),"-")</f>
        <v/>
      </c>
      <c r="N1789" s="1396">
        <f>IF(raw[[#This Row],[city]]="","-",IF(raw[[#This Row],[cont]]="B",raw[[#This Row],[cont]],"W"))</f>
        <v/>
      </c>
      <c r="O1789" s="1397">
        <f>IF(raw[[#This Row],[out]]=0,0,IF(raw[[#This Row],[out]]=raw[[#This Row],[in]],0.01,raw[[#This Row],[out]]-raw[[#This Row],[in]]))</f>
        <v/>
      </c>
      <c r="P1789" s="1397">
        <f>IF(raw[[#This Row],[in]]=0,0,MONTH(raw[[#This Row],[in]]))</f>
        <v/>
      </c>
      <c r="Q1789" s="1397">
        <f>IF(raw[[#This Row],[in]]=0,0,YEAR(raw[[#This Row],[in]]))</f>
        <v/>
      </c>
      <c r="R1789" s="1397">
        <f>INT(raw[[#This Row],[yr]]/10)*10</f>
        <v/>
      </c>
      <c r="S1789" s="1395">
        <f>IF(raw[[#This Row],[city]]="","-",IF(raw[[#This Row],[city]]&lt;&gt;_xlfn.XLOOKUP(raw[[#This Row],[home]],homes[home],homes[city],"-"),1,0))</f>
        <v/>
      </c>
      <c r="T1789" s="1398" t="inlineStr">
        <is>
          <t>.</t>
        </is>
      </c>
      <c r="U1789" s="1399">
        <f>IF(raw[[#This Row],[wb]]="w",raw[[#This Row],[stay]]+U1788,U1788)</f>
        <v/>
      </c>
      <c r="V1789" s="1400">
        <f>IF(raw[[#This Row],[out]]=0,V1788,(raw[[#This Row],[out]]-E$5))</f>
        <v/>
      </c>
      <c r="W1789" s="1401">
        <f>U1789/V1789</f>
        <v/>
      </c>
      <c r="X1789" s="1392" t="n"/>
      <c r="Y1789" s="1392" t="n"/>
      <c r="Z1789" s="1392" t="n"/>
      <c r="AA1789" s="1392" t="n"/>
      <c r="AB1789" s="1392" t="n"/>
      <c r="AC1789" s="1392" t="n"/>
      <c r="AD1789" s="1392" t="n"/>
      <c r="AE1789" s="1392" t="n"/>
      <c r="AF1789" s="1392" t="n"/>
      <c r="AG1789" s="1392" t="n"/>
      <c r="AH1789" s="1392" t="n"/>
      <c r="AI1789" s="1392" t="n"/>
      <c r="AJ1789" s="1392" t="n"/>
      <c r="AK1789" s="1392" t="n"/>
      <c r="AL1789" s="1392" t="n"/>
      <c r="AM1789" s="1392" t="n"/>
      <c r="AN1789" s="1392" t="n"/>
      <c r="AO1789" s="1392" t="n"/>
      <c r="AP1789" s="1392" t="n"/>
      <c r="AQ1789" s="1392" t="n"/>
      <c r="AR1789" s="1422" t="n"/>
      <c r="AS1789" s="1422" t="n"/>
      <c r="AT1789" s="1392" t="n"/>
      <c r="AU1789" s="1392" t="n"/>
      <c r="AV1789" s="1392" t="n"/>
      <c r="AW1789" s="1392" t="n"/>
      <c r="AX1789" s="1392" t="n"/>
      <c r="AY1789" s="1392" t="n"/>
      <c r="AZ1789" s="1392" t="n"/>
      <c r="BA1789" s="1422" t="n"/>
      <c r="BB1789" s="1422" t="n"/>
      <c r="BC1789" s="1392" t="n"/>
      <c r="BD1789" s="1392" t="n"/>
      <c r="BE1789" s="1392" t="n"/>
      <c r="BF1789" s="1392" t="n"/>
      <c r="BG1789" s="1392" t="n"/>
      <c r="BH1789" s="1392" t="n"/>
      <c r="BI1789" s="1392" t="n"/>
      <c r="BJ1789" s="1392" t="n"/>
      <c r="BK1789" s="1392" t="n"/>
      <c r="BL1789" s="1392" t="n"/>
      <c r="BM1789" s="1392" t="n"/>
      <c r="BN1789" s="1392" t="n"/>
      <c r="BO1789" s="1392" t="n"/>
      <c r="BP1789" s="1392" t="n"/>
      <c r="BQ1789" s="1392" t="n"/>
      <c r="BR1789" s="1392" t="n"/>
      <c r="BS1789" s="1392" t="n"/>
      <c r="BT1789" s="1392" t="n"/>
      <c r="BU1789" s="1392" t="n"/>
      <c r="BV1789" s="1392" t="n"/>
      <c r="BW1789" s="1392" t="n"/>
      <c r="BX1789" s="1392" t="n"/>
      <c r="BY1789" s="1392" t="n"/>
      <c r="BZ1789" s="1392" t="n"/>
      <c r="CA1789" s="1392" t="n"/>
      <c r="CB1789" s="1392" t="n"/>
      <c r="CC1789" s="1392" t="n"/>
      <c r="CD1789" s="1392" t="n"/>
      <c r="CE1789" s="1392" t="n"/>
      <c r="CF1789" s="1392" t="n"/>
      <c r="CG1789" s="1392" t="n"/>
      <c r="CH1789" s="1392" t="n"/>
      <c r="CI1789" s="1392" t="n"/>
      <c r="CJ1789" s="1392" t="n"/>
      <c r="CK1789" s="1392" t="n"/>
      <c r="CL1789" s="1392" t="n"/>
    </row>
    <row r="1790">
      <c r="A1790" s="5" t="inlineStr">
        <is>
          <t>.</t>
        </is>
      </c>
      <c r="B1790" s="5" t="inlineStr">
        <is>
          <t>.</t>
        </is>
      </c>
      <c r="C1790" s="1378">
        <f>IF(raw[[#This Row],[city]]="","-",IF(raw[[#This Row],[city]]="TODAY","-",C1789+1))</f>
        <v/>
      </c>
      <c r="D1790" s="1393" t="inlineStr">
        <is>
          <t>Porto</t>
        </is>
      </c>
      <c r="E1790" s="1394">
        <f>F1789</f>
        <v/>
      </c>
      <c r="F1790" s="1394" t="n">
        <v>46119</v>
      </c>
      <c r="G1790" s="1393" t="n"/>
      <c r="H1790" s="1393" t="inlineStr">
        <is>
          <t>Joao I</t>
        </is>
      </c>
      <c r="I1790" s="1393" t="n"/>
      <c r="J1790" s="1393" t="n"/>
      <c r="K1790" s="1395">
        <f>IF(raw[[#This Row],[city]]&lt;&gt;"",_xlfn.XLOOKUP($D1790,ccc[city],ccc[prov],"-"),"-")</f>
        <v/>
      </c>
      <c r="L1790" s="1395">
        <f>IF(raw[[#This Row],[city]]&lt;&gt;"",_xlfn.XLOOKUP($D1790,ccc[city],ccc[ctry],"-"),"-")</f>
        <v/>
      </c>
      <c r="M1790" s="1395">
        <f>IF(raw[[#This Row],[city]]&lt;&gt;"",_xlfn.XLOOKUP($D1790,ccc[city],ccc[cont],"-"),"-")</f>
        <v/>
      </c>
      <c r="N1790" s="1396">
        <f>IF(raw[[#This Row],[city]]="","-",IF(raw[[#This Row],[cont]]="B",raw[[#This Row],[cont]],"W"))</f>
        <v/>
      </c>
      <c r="O1790" s="1397">
        <f>IF(raw[[#This Row],[out]]=0,0,IF(raw[[#This Row],[out]]=raw[[#This Row],[in]],0.01,raw[[#This Row],[out]]-raw[[#This Row],[in]]))</f>
        <v/>
      </c>
      <c r="P1790" s="1397">
        <f>IF(raw[[#This Row],[in]]=0,0,MONTH(raw[[#This Row],[in]]))</f>
        <v/>
      </c>
      <c r="Q1790" s="1397">
        <f>IF(raw[[#This Row],[in]]=0,0,YEAR(raw[[#This Row],[in]]))</f>
        <v/>
      </c>
      <c r="R1790" s="1397">
        <f>INT(raw[[#This Row],[yr]]/10)*10</f>
        <v/>
      </c>
      <c r="S1790" s="1395">
        <f>IF(raw[[#This Row],[city]]="","-",IF(raw[[#This Row],[city]]&lt;&gt;_xlfn.XLOOKUP(raw[[#This Row],[home]],homes[home],homes[city],"-"),1,0))</f>
        <v/>
      </c>
      <c r="T1790" s="1398" t="inlineStr">
        <is>
          <t>.</t>
        </is>
      </c>
      <c r="U1790" s="1399">
        <f>IF(raw[[#This Row],[wb]]="w",raw[[#This Row],[stay]]+U1789,U1789)</f>
        <v/>
      </c>
      <c r="V1790" s="1400">
        <f>IF(raw[[#This Row],[out]]=0,V1789,(raw[[#This Row],[out]]-E$5))</f>
        <v/>
      </c>
      <c r="W1790" s="1401">
        <f>U1790/V1790</f>
        <v/>
      </c>
      <c r="X1790" s="1392" t="n"/>
      <c r="Y1790" s="1392" t="n"/>
      <c r="Z1790" s="1392" t="n"/>
      <c r="AA1790" s="1392" t="n"/>
      <c r="AB1790" s="1392" t="n"/>
      <c r="AC1790" s="1392" t="n"/>
      <c r="AD1790" s="1392" t="n"/>
      <c r="AE1790" s="1392" t="n"/>
      <c r="AF1790" s="1392" t="n"/>
      <c r="AG1790" s="1392" t="n"/>
      <c r="AH1790" s="1392" t="n"/>
      <c r="AI1790" s="1392" t="n"/>
      <c r="AJ1790" s="1392" t="n"/>
      <c r="AK1790" s="1392" t="n"/>
      <c r="AL1790" s="1392" t="n"/>
      <c r="AM1790" s="1392" t="n"/>
      <c r="AN1790" s="1392" t="n"/>
      <c r="AO1790" s="1392" t="n"/>
      <c r="AP1790" s="1392" t="n"/>
      <c r="AQ1790" s="1392" t="n"/>
      <c r="AR1790" s="1422" t="n"/>
      <c r="AS1790" s="1422" t="n"/>
      <c r="AT1790" s="1392" t="n"/>
      <c r="AU1790" s="1392" t="n"/>
      <c r="AV1790" s="1392" t="n"/>
      <c r="AW1790" s="1392" t="n"/>
      <c r="AX1790" s="1392" t="n"/>
      <c r="AY1790" s="1392" t="n"/>
      <c r="AZ1790" s="1392" t="n"/>
      <c r="BA1790" s="1422" t="n"/>
      <c r="BB1790" s="1422" t="n"/>
      <c r="BC1790" s="1392" t="n"/>
      <c r="BD1790" s="1392" t="n"/>
      <c r="BE1790" s="1392" t="n"/>
      <c r="BF1790" s="1392" t="n"/>
      <c r="BG1790" s="1392" t="n"/>
      <c r="BH1790" s="1392" t="n"/>
      <c r="BI1790" s="1392" t="n"/>
      <c r="BJ1790" s="1392" t="n"/>
      <c r="BK1790" s="1392" t="n"/>
      <c r="BL1790" s="1392" t="n"/>
      <c r="BM1790" s="1392" t="n"/>
      <c r="BN1790" s="1392" t="n"/>
      <c r="BO1790" s="1392" t="n"/>
      <c r="BP1790" s="1392" t="n"/>
      <c r="BQ1790" s="1392" t="n"/>
      <c r="BR1790" s="1392" t="n"/>
      <c r="BS1790" s="1392" t="n"/>
      <c r="BT1790" s="1392" t="n"/>
      <c r="BU1790" s="1392" t="n"/>
      <c r="BV1790" s="1392" t="n"/>
      <c r="BW1790" s="1392" t="n"/>
      <c r="BX1790" s="1392" t="n"/>
      <c r="BY1790" s="1392" t="n"/>
      <c r="BZ1790" s="1392" t="n"/>
      <c r="CA1790" s="1392" t="n"/>
      <c r="CB1790" s="1392" t="n"/>
      <c r="CC1790" s="1392" t="n"/>
      <c r="CD1790" s="1392" t="n"/>
      <c r="CE1790" s="1392" t="n"/>
      <c r="CF1790" s="1392" t="n"/>
      <c r="CG1790" s="1392" t="n"/>
      <c r="CH1790" s="1392" t="n"/>
      <c r="CI1790" s="1392" t="n"/>
      <c r="CJ1790" s="1392" t="n"/>
      <c r="CK1790" s="1392" t="n"/>
      <c r="CL1790" s="1392" t="n"/>
    </row>
    <row r="1791">
      <c r="A1791" s="5" t="inlineStr">
        <is>
          <t>.</t>
        </is>
      </c>
      <c r="B1791" s="5" t="inlineStr">
        <is>
          <t>.</t>
        </is>
      </c>
      <c r="C1791" s="1378">
        <f>IF(raw[[#This Row],[city]]="","-",IF(raw[[#This Row],[city]]="TODAY","-",C1790+1))</f>
        <v/>
      </c>
      <c r="D1791" s="1393" t="inlineStr">
        <is>
          <t>Figueira da Foz</t>
        </is>
      </c>
      <c r="E1791" s="1394">
        <f>F1790</f>
        <v/>
      </c>
      <c r="F1791" s="1394" t="n">
        <v>46120</v>
      </c>
      <c r="G1791" s="1393" t="n"/>
      <c r="H1791" s="1393" t="inlineStr">
        <is>
          <t>Joao I</t>
        </is>
      </c>
      <c r="I1791" s="1393" t="n"/>
      <c r="J1791" s="1393" t="n"/>
      <c r="K1791" s="1395">
        <f>IF(raw[[#This Row],[city]]&lt;&gt;"",_xlfn.XLOOKUP($D1791,ccc[city],ccc[prov],"-"),"-")</f>
        <v/>
      </c>
      <c r="L1791" s="1395">
        <f>IF(raw[[#This Row],[city]]&lt;&gt;"",_xlfn.XLOOKUP($D1791,ccc[city],ccc[ctry],"-"),"-")</f>
        <v/>
      </c>
      <c r="M1791" s="1395">
        <f>IF(raw[[#This Row],[city]]&lt;&gt;"",_xlfn.XLOOKUP($D1791,ccc[city],ccc[cont],"-"),"-")</f>
        <v/>
      </c>
      <c r="N1791" s="1396">
        <f>IF(raw[[#This Row],[city]]="","-",IF(raw[[#This Row],[cont]]="B",raw[[#This Row],[cont]],"W"))</f>
        <v/>
      </c>
      <c r="O1791" s="1397">
        <f>IF(raw[[#This Row],[out]]=0,0,IF(raw[[#This Row],[out]]=raw[[#This Row],[in]],0.01,raw[[#This Row],[out]]-raw[[#This Row],[in]]))</f>
        <v/>
      </c>
      <c r="P1791" s="1397">
        <f>IF(raw[[#This Row],[in]]=0,0,MONTH(raw[[#This Row],[in]]))</f>
        <v/>
      </c>
      <c r="Q1791" s="1397">
        <f>IF(raw[[#This Row],[in]]=0,0,YEAR(raw[[#This Row],[in]]))</f>
        <v/>
      </c>
      <c r="R1791" s="1397">
        <f>INT(raw[[#This Row],[yr]]/10)*10</f>
        <v/>
      </c>
      <c r="S1791" s="1395">
        <f>IF(raw[[#This Row],[city]]="","-",IF(raw[[#This Row],[city]]&lt;&gt;_xlfn.XLOOKUP(raw[[#This Row],[home]],homes[home],homes[city],"-"),1,0))</f>
        <v/>
      </c>
      <c r="T1791" s="1398" t="inlineStr">
        <is>
          <t>.</t>
        </is>
      </c>
      <c r="U1791" s="1399">
        <f>IF(raw[[#This Row],[wb]]="w",raw[[#This Row],[stay]]+U1790,U1790)</f>
        <v/>
      </c>
      <c r="V1791" s="1400">
        <f>IF(raw[[#This Row],[out]]=0,V1790,(raw[[#This Row],[out]]-E$5))</f>
        <v/>
      </c>
      <c r="W1791" s="1401">
        <f>U1791/V1791</f>
        <v/>
      </c>
      <c r="X1791" s="1392" t="n"/>
      <c r="Y1791" s="1392" t="n"/>
      <c r="Z1791" s="1392" t="n"/>
      <c r="AA1791" s="1392" t="n"/>
      <c r="AB1791" s="1392" t="n"/>
      <c r="AC1791" s="1392" t="n"/>
      <c r="AD1791" s="1392" t="n"/>
      <c r="AE1791" s="1392" t="n"/>
      <c r="AF1791" s="1392" t="n"/>
      <c r="AG1791" s="1392" t="n"/>
      <c r="AH1791" s="1392" t="n"/>
      <c r="AI1791" s="1392" t="n"/>
      <c r="AJ1791" s="1392" t="n"/>
      <c r="AK1791" s="1392" t="n"/>
      <c r="AL1791" s="1392" t="n"/>
      <c r="AM1791" s="1392" t="n"/>
      <c r="AN1791" s="1392" t="n"/>
      <c r="AO1791" s="1392" t="n"/>
      <c r="AP1791" s="1392" t="n"/>
      <c r="AQ1791" s="1392" t="n"/>
      <c r="AR1791" s="1422" t="n"/>
      <c r="AS1791" s="1422" t="n"/>
      <c r="AT1791" s="1392" t="n"/>
      <c r="AU1791" s="1392" t="n"/>
      <c r="AV1791" s="1392" t="n"/>
      <c r="AW1791" s="1392" t="n"/>
      <c r="AX1791" s="1392" t="n"/>
      <c r="AY1791" s="1392" t="n"/>
      <c r="AZ1791" s="1392" t="n"/>
      <c r="BA1791" s="1422" t="n"/>
      <c r="BB1791" s="1422" t="n"/>
      <c r="BC1791" s="1392" t="n"/>
      <c r="BD1791" s="1392" t="n"/>
      <c r="BE1791" s="1392" t="n"/>
      <c r="BF1791" s="1392" t="n"/>
      <c r="BG1791" s="1392" t="n"/>
      <c r="BH1791" s="1392" t="n"/>
      <c r="BI1791" s="1392" t="n"/>
      <c r="BJ1791" s="1392" t="n"/>
      <c r="BK1791" s="1392" t="n"/>
      <c r="BL1791" s="1392" t="n"/>
      <c r="BM1791" s="1392" t="n"/>
      <c r="BN1791" s="1392" t="n"/>
      <c r="BO1791" s="1392" t="n"/>
      <c r="BP1791" s="1392" t="n"/>
      <c r="BQ1791" s="1392" t="n"/>
      <c r="BR1791" s="1392" t="n"/>
      <c r="BS1791" s="1392" t="n"/>
      <c r="BT1791" s="1392" t="n"/>
      <c r="BU1791" s="1392" t="n"/>
      <c r="BV1791" s="1392" t="n"/>
      <c r="BW1791" s="1392" t="n"/>
      <c r="BX1791" s="1392" t="n"/>
      <c r="BY1791" s="1392" t="n"/>
      <c r="BZ1791" s="1392" t="n"/>
      <c r="CA1791" s="1392" t="n"/>
      <c r="CB1791" s="1392" t="n"/>
      <c r="CC1791" s="1392" t="n"/>
      <c r="CD1791" s="1392" t="n"/>
      <c r="CE1791" s="1392" t="n"/>
      <c r="CF1791" s="1392" t="n"/>
      <c r="CG1791" s="1392" t="n"/>
      <c r="CH1791" s="1392" t="n"/>
      <c r="CI1791" s="1392" t="n"/>
      <c r="CJ1791" s="1392" t="n"/>
      <c r="CK1791" s="1392" t="n"/>
      <c r="CL1791" s="1392" t="n"/>
    </row>
    <row r="1792">
      <c r="A1792" s="5" t="inlineStr">
        <is>
          <t>.</t>
        </is>
      </c>
      <c r="B1792" s="5" t="inlineStr">
        <is>
          <t>.</t>
        </is>
      </c>
      <c r="C1792" s="1378">
        <f>IF(raw[[#This Row],[city]]="","-",IF(raw[[#This Row],[city]]="TODAY","-",C1791+1))</f>
        <v/>
      </c>
      <c r="D1792" s="1393" t="inlineStr">
        <is>
          <t>Porto</t>
        </is>
      </c>
      <c r="E1792" s="1394">
        <f>F1791</f>
        <v/>
      </c>
      <c r="F1792" s="1394" t="n">
        <v>46143</v>
      </c>
      <c r="G1792" s="1393" t="n"/>
      <c r="H1792" s="1393" t="inlineStr">
        <is>
          <t>Joao I</t>
        </is>
      </c>
      <c r="I1792" s="1393" t="n"/>
      <c r="J1792" s="1393" t="n"/>
      <c r="K1792" s="1395">
        <f>IF(raw[[#This Row],[city]]&lt;&gt;"",_xlfn.XLOOKUP($D1792,ccc[city],ccc[prov],"-"),"-")</f>
        <v/>
      </c>
      <c r="L1792" s="1395">
        <f>IF(raw[[#This Row],[city]]&lt;&gt;"",_xlfn.XLOOKUP($D1792,ccc[city],ccc[ctry],"-"),"-")</f>
        <v/>
      </c>
      <c r="M1792" s="1395">
        <f>IF(raw[[#This Row],[city]]&lt;&gt;"",_xlfn.XLOOKUP($D1792,ccc[city],ccc[cont],"-"),"-")</f>
        <v/>
      </c>
      <c r="N1792" s="1396">
        <f>IF(raw[[#This Row],[city]]="","-",IF(raw[[#This Row],[cont]]="B",raw[[#This Row],[cont]],"W"))</f>
        <v/>
      </c>
      <c r="O1792" s="1397">
        <f>IF(raw[[#This Row],[out]]=0,0,IF(raw[[#This Row],[out]]=raw[[#This Row],[in]],0.01,raw[[#This Row],[out]]-raw[[#This Row],[in]]))</f>
        <v/>
      </c>
      <c r="P1792" s="1397">
        <f>IF(raw[[#This Row],[in]]=0,0,MONTH(raw[[#This Row],[in]]))</f>
        <v/>
      </c>
      <c r="Q1792" s="1397">
        <f>IF(raw[[#This Row],[in]]=0,0,YEAR(raw[[#This Row],[in]]))</f>
        <v/>
      </c>
      <c r="R1792" s="1397">
        <f>INT(raw[[#This Row],[yr]]/10)*10</f>
        <v/>
      </c>
      <c r="S1792" s="1395">
        <f>IF(raw[[#This Row],[city]]="","-",IF(raw[[#This Row],[city]]&lt;&gt;_xlfn.XLOOKUP(raw[[#This Row],[home]],homes[home],homes[city],"-"),1,0))</f>
        <v/>
      </c>
      <c r="T1792" s="1398" t="inlineStr">
        <is>
          <t>.</t>
        </is>
      </c>
      <c r="U1792" s="1399">
        <f>IF(raw[[#This Row],[wb]]="w",raw[[#This Row],[stay]]+U1791,U1791)</f>
        <v/>
      </c>
      <c r="V1792" s="1400">
        <f>IF(raw[[#This Row],[out]]=0,V1791,(raw[[#This Row],[out]]-E$5))</f>
        <v/>
      </c>
      <c r="W1792" s="1401">
        <f>U1792/V1792</f>
        <v/>
      </c>
      <c r="X1792" s="1392" t="n"/>
      <c r="Y1792" s="1392" t="n"/>
      <c r="Z1792" s="1392" t="n"/>
      <c r="AA1792" s="1392" t="n"/>
      <c r="AB1792" s="1392" t="n"/>
      <c r="AC1792" s="1392" t="n"/>
      <c r="AD1792" s="1392" t="n"/>
      <c r="AE1792" s="1392" t="n"/>
      <c r="AF1792" s="1392" t="n"/>
      <c r="AG1792" s="1392" t="n"/>
      <c r="AH1792" s="1392" t="n"/>
      <c r="AI1792" s="1392" t="n"/>
      <c r="AJ1792" s="1392" t="n"/>
      <c r="AK1792" s="1392" t="n"/>
      <c r="AL1792" s="1392" t="n"/>
      <c r="AM1792" s="1392" t="n"/>
      <c r="AN1792" s="1392" t="n"/>
      <c r="AO1792" s="1392" t="n"/>
      <c r="AP1792" s="1392" t="n"/>
      <c r="AQ1792" s="1392" t="n"/>
      <c r="AR1792" s="1422" t="n"/>
      <c r="AS1792" s="1422" t="n"/>
      <c r="AT1792" s="1392" t="n"/>
      <c r="AU1792" s="1392" t="n"/>
      <c r="AV1792" s="1392" t="n"/>
      <c r="AW1792" s="1392" t="n"/>
      <c r="AX1792" s="1392" t="n"/>
      <c r="AY1792" s="1392" t="n"/>
      <c r="AZ1792" s="1392" t="n"/>
      <c r="BA1792" s="1422" t="n"/>
      <c r="BB1792" s="1422" t="n"/>
      <c r="BC1792" s="1392" t="n"/>
      <c r="BD1792" s="1392" t="n"/>
      <c r="BE1792" s="1392" t="n"/>
      <c r="BF1792" s="1392" t="n"/>
      <c r="BG1792" s="1392" t="n"/>
      <c r="BH1792" s="1392" t="n"/>
      <c r="BI1792" s="1392" t="n"/>
      <c r="BJ1792" s="1392" t="n"/>
      <c r="BK1792" s="1392" t="n"/>
      <c r="BL1792" s="1392" t="n"/>
      <c r="BM1792" s="1392" t="n"/>
      <c r="BN1792" s="1392" t="n"/>
      <c r="BO1792" s="1392" t="n"/>
      <c r="BP1792" s="1392" t="n"/>
      <c r="BQ1792" s="1392" t="n"/>
      <c r="BR1792" s="1392" t="n"/>
      <c r="BS1792" s="1392" t="n"/>
      <c r="BT1792" s="1392" t="n"/>
      <c r="BU1792" s="1392" t="n"/>
      <c r="BV1792" s="1392" t="n"/>
      <c r="BW1792" s="1392" t="n"/>
      <c r="BX1792" s="1392" t="n"/>
      <c r="BY1792" s="1392" t="n"/>
      <c r="BZ1792" s="1392" t="n"/>
      <c r="CA1792" s="1392" t="n"/>
      <c r="CB1792" s="1392" t="n"/>
      <c r="CC1792" s="1392" t="n"/>
      <c r="CD1792" s="1392" t="n"/>
      <c r="CE1792" s="1392" t="n"/>
      <c r="CF1792" s="1392" t="n"/>
      <c r="CG1792" s="1392" t="n"/>
      <c r="CH1792" s="1392" t="n"/>
      <c r="CI1792" s="1392" t="n"/>
      <c r="CJ1792" s="1392" t="n"/>
      <c r="CK1792" s="1392" t="n"/>
      <c r="CL1792" s="1392" t="n"/>
    </row>
    <row r="1793">
      <c r="A1793" s="5" t="inlineStr">
        <is>
          <t>.</t>
        </is>
      </c>
      <c r="B1793" s="5" t="inlineStr">
        <is>
          <t>.</t>
        </is>
      </c>
      <c r="C1793" s="1378">
        <f>IF(raw[[#This Row],[city]]="","-",IF(raw[[#This Row],[city]]="TODAY","-",C1792+1))</f>
        <v/>
      </c>
      <c r="D1793" s="1393" t="inlineStr">
        <is>
          <t>Porto</t>
        </is>
      </c>
      <c r="E1793" s="1394">
        <f>F1792</f>
        <v/>
      </c>
      <c r="F1793" s="1394" t="n">
        <v>46152</v>
      </c>
      <c r="G1793" s="1393" t="n">
        <v>1</v>
      </c>
      <c r="H1793" s="1393" t="inlineStr">
        <is>
          <t>Joao I</t>
        </is>
      </c>
      <c r="I1793" s="1393" t="n"/>
      <c r="J1793" s="1393" t="n"/>
      <c r="K1793" s="1395">
        <f>IF(raw[[#This Row],[city]]&lt;&gt;"",_xlfn.XLOOKUP($D1793,ccc[city],ccc[prov],"-"),"-")</f>
        <v/>
      </c>
      <c r="L1793" s="1395">
        <f>IF(raw[[#This Row],[city]]&lt;&gt;"",_xlfn.XLOOKUP($D1793,ccc[city],ccc[ctry],"-"),"-")</f>
        <v/>
      </c>
      <c r="M1793" s="1395">
        <f>IF(raw[[#This Row],[city]]&lt;&gt;"",_xlfn.XLOOKUP($D1793,ccc[city],ccc[cont],"-"),"-")</f>
        <v/>
      </c>
      <c r="N1793" s="1396">
        <f>IF(raw[[#This Row],[city]]="","-",IF(raw[[#This Row],[cont]]="B",raw[[#This Row],[cont]],"W"))</f>
        <v/>
      </c>
      <c r="O1793" s="1397">
        <f>IF(raw[[#This Row],[out]]=0,0,IF(raw[[#This Row],[out]]=raw[[#This Row],[in]],0.01,raw[[#This Row],[out]]-raw[[#This Row],[in]]))</f>
        <v/>
      </c>
      <c r="P1793" s="1397">
        <f>IF(raw[[#This Row],[in]]=0,0,MONTH(raw[[#This Row],[in]]))</f>
        <v/>
      </c>
      <c r="Q1793" s="1397">
        <f>IF(raw[[#This Row],[in]]=0,0,YEAR(raw[[#This Row],[in]]))</f>
        <v/>
      </c>
      <c r="R1793" s="1397">
        <f>INT(raw[[#This Row],[yr]]/10)*10</f>
        <v/>
      </c>
      <c r="S1793" s="1395">
        <f>IF(raw[[#This Row],[city]]="","-",IF(raw[[#This Row],[city]]&lt;&gt;_xlfn.XLOOKUP(raw[[#This Row],[home]],homes[home],homes[city],"-"),1,0))</f>
        <v/>
      </c>
      <c r="T1793" s="1398" t="inlineStr">
        <is>
          <t>.</t>
        </is>
      </c>
      <c r="U1793" s="1399">
        <f>IF(raw[[#This Row],[wb]]="w",raw[[#This Row],[stay]]+U1792,U1792)</f>
        <v/>
      </c>
      <c r="V1793" s="1400">
        <f>IF(raw[[#This Row],[out]]=0,V1792,(raw[[#This Row],[out]]-E$5))</f>
        <v/>
      </c>
      <c r="W1793" s="1401">
        <f>U1793/V1793</f>
        <v/>
      </c>
      <c r="X1793" s="1392" t="n"/>
      <c r="Y1793" s="1392" t="n"/>
      <c r="Z1793" s="1392" t="n"/>
      <c r="AA1793" s="1392" t="n"/>
      <c r="AB1793" s="1392" t="n"/>
      <c r="AC1793" s="1392" t="n"/>
      <c r="AD1793" s="1392" t="n"/>
      <c r="AE1793" s="1392" t="n"/>
      <c r="AF1793" s="1392" t="n"/>
      <c r="AG1793" s="1392" t="n"/>
      <c r="AH1793" s="1392" t="n"/>
      <c r="AI1793" s="1392" t="n"/>
      <c r="AJ1793" s="1392" t="n"/>
      <c r="AK1793" s="1392" t="n"/>
      <c r="AL1793" s="1392" t="n"/>
      <c r="AM1793" s="1392" t="n"/>
      <c r="AN1793" s="1392" t="n"/>
      <c r="AO1793" s="1392" t="n"/>
      <c r="AP1793" s="1392" t="n"/>
      <c r="AQ1793" s="1392" t="n"/>
      <c r="AR1793" s="1422" t="n"/>
      <c r="AS1793" s="1422" t="n"/>
      <c r="AT1793" s="1392" t="n"/>
      <c r="AU1793" s="1392" t="n"/>
      <c r="AV1793" s="1392" t="n"/>
      <c r="AW1793" s="1392" t="n"/>
      <c r="AX1793" s="1392" t="n"/>
      <c r="AY1793" s="1392" t="n"/>
      <c r="AZ1793" s="1392" t="n"/>
      <c r="BA1793" s="1422" t="n"/>
      <c r="BB1793" s="1422" t="n"/>
      <c r="BC1793" s="1392" t="n"/>
      <c r="BD1793" s="1392" t="n"/>
      <c r="BE1793" s="1392" t="n"/>
      <c r="BF1793" s="1392" t="n"/>
      <c r="BG1793" s="1392" t="n"/>
      <c r="BH1793" s="1392" t="n"/>
      <c r="BI1793" s="1392" t="n"/>
      <c r="BJ1793" s="1392" t="n"/>
      <c r="BK1793" s="1392" t="n"/>
      <c r="BL1793" s="1392" t="n"/>
      <c r="BM1793" s="1392" t="n"/>
      <c r="BN1793" s="1392" t="n"/>
      <c r="BO1793" s="1392" t="n"/>
      <c r="BP1793" s="1392" t="n"/>
      <c r="BQ1793" s="1392" t="n"/>
      <c r="BR1793" s="1392" t="n"/>
      <c r="BS1793" s="1392" t="n"/>
      <c r="BT1793" s="1392" t="n"/>
      <c r="BU1793" s="1392" t="n"/>
      <c r="BV1793" s="1392" t="n"/>
      <c r="BW1793" s="1392" t="n"/>
      <c r="BX1793" s="1392" t="n"/>
      <c r="BY1793" s="1392" t="n"/>
      <c r="BZ1793" s="1392" t="n"/>
      <c r="CA1793" s="1392" t="n"/>
      <c r="CB1793" s="1392" t="n"/>
      <c r="CC1793" s="1392" t="n"/>
      <c r="CD1793" s="1392" t="n"/>
      <c r="CE1793" s="1392" t="n"/>
      <c r="CF1793" s="1392" t="n"/>
      <c r="CG1793" s="1392" t="n"/>
      <c r="CH1793" s="1392" t="n"/>
      <c r="CI1793" s="1392" t="n"/>
      <c r="CJ1793" s="1392" t="n"/>
      <c r="CK1793" s="1392" t="n"/>
      <c r="CL1793" s="1392" t="n"/>
    </row>
    <row r="1794">
      <c r="A1794" s="5" t="inlineStr">
        <is>
          <t>.</t>
        </is>
      </c>
      <c r="B1794" s="5" t="inlineStr">
        <is>
          <t>.</t>
        </is>
      </c>
      <c r="C1794" s="1378">
        <f>IF(raw[[#This Row],[city]]="","-",IF(raw[[#This Row],[city]]="TODAY","-",C1793+1))</f>
        <v/>
      </c>
      <c r="D1794" s="1393" t="inlineStr">
        <is>
          <t>Paris</t>
        </is>
      </c>
      <c r="E1794" s="1394">
        <f>F1793</f>
        <v/>
      </c>
      <c r="F1794" s="1394" t="n">
        <v>46153</v>
      </c>
      <c r="G1794" s="1393" t="n"/>
      <c r="H1794" s="1393" t="inlineStr">
        <is>
          <t>Joao I</t>
        </is>
      </c>
      <c r="I1794" s="1393" t="n"/>
      <c r="J1794" s="1393" t="n"/>
      <c r="K1794" s="1395">
        <f>IF(raw[[#This Row],[city]]&lt;&gt;"",_xlfn.XLOOKUP($D1794,ccc[city],ccc[prov],"-"),"-")</f>
        <v/>
      </c>
      <c r="L1794" s="1395">
        <f>IF(raw[[#This Row],[city]]&lt;&gt;"",_xlfn.XLOOKUP($D1794,ccc[city],ccc[ctry],"-"),"-")</f>
        <v/>
      </c>
      <c r="M1794" s="1395">
        <f>IF(raw[[#This Row],[city]]&lt;&gt;"",_xlfn.XLOOKUP($D1794,ccc[city],ccc[cont],"-"),"-")</f>
        <v/>
      </c>
      <c r="N1794" s="1396">
        <f>IF(raw[[#This Row],[city]]="","-",IF(raw[[#This Row],[cont]]="B",raw[[#This Row],[cont]],"W"))</f>
        <v/>
      </c>
      <c r="O1794" s="1397">
        <f>IF(raw[[#This Row],[out]]=0,0,IF(raw[[#This Row],[out]]=raw[[#This Row],[in]],0.01,raw[[#This Row],[out]]-raw[[#This Row],[in]]))</f>
        <v/>
      </c>
      <c r="P1794" s="1397">
        <f>IF(raw[[#This Row],[in]]=0,0,MONTH(raw[[#This Row],[in]]))</f>
        <v/>
      </c>
      <c r="Q1794" s="1397">
        <f>IF(raw[[#This Row],[in]]=0,0,YEAR(raw[[#This Row],[in]]))</f>
        <v/>
      </c>
      <c r="R1794" s="1397">
        <f>INT(raw[[#This Row],[yr]]/10)*10</f>
        <v/>
      </c>
      <c r="S1794" s="1395">
        <f>IF(raw[[#This Row],[city]]="","-",IF(raw[[#This Row],[city]]&lt;&gt;_xlfn.XLOOKUP(raw[[#This Row],[home]],homes[home],homes[city],"-"),1,0))</f>
        <v/>
      </c>
      <c r="T1794" s="1398" t="inlineStr">
        <is>
          <t>.</t>
        </is>
      </c>
      <c r="U1794" s="1399">
        <f>IF(raw[[#This Row],[wb]]="w",raw[[#This Row],[stay]]+U1793,U1793)</f>
        <v/>
      </c>
      <c r="V1794" s="1400">
        <f>IF(raw[[#This Row],[out]]=0,V1793,(raw[[#This Row],[out]]-E$5))</f>
        <v/>
      </c>
      <c r="W1794" s="1401">
        <f>U1794/V1794</f>
        <v/>
      </c>
      <c r="X1794" s="1392" t="n"/>
      <c r="Y1794" s="1392" t="n"/>
      <c r="Z1794" s="1392" t="n"/>
      <c r="AA1794" s="1392" t="n"/>
      <c r="AB1794" s="1392" t="n"/>
      <c r="AC1794" s="1392" t="n"/>
      <c r="AD1794" s="1392" t="n"/>
      <c r="AE1794" s="1392" t="n"/>
      <c r="AF1794" s="1392" t="n"/>
      <c r="AG1794" s="1392" t="n"/>
      <c r="AH1794" s="1392" t="n"/>
      <c r="AI1794" s="1392" t="n"/>
      <c r="AJ1794" s="1392" t="n"/>
      <c r="AK1794" s="1392" t="n"/>
      <c r="AL1794" s="1392" t="n"/>
      <c r="AM1794" s="1392" t="n"/>
      <c r="AN1794" s="1392" t="n"/>
      <c r="AO1794" s="1392" t="n"/>
      <c r="AP1794" s="1392" t="n"/>
      <c r="AQ1794" s="1392" t="n"/>
      <c r="AR1794" s="1422" t="n"/>
      <c r="AS1794" s="1422" t="n"/>
      <c r="AT1794" s="1392" t="n"/>
      <c r="AU1794" s="1392" t="n"/>
      <c r="AV1794" s="1392" t="n"/>
      <c r="AW1794" s="1392" t="n"/>
      <c r="AX1794" s="1392" t="n"/>
      <c r="AY1794" s="1392" t="n"/>
      <c r="AZ1794" s="1392" t="n"/>
      <c r="BA1794" s="1422" t="n"/>
      <c r="BB1794" s="1422" t="n"/>
      <c r="BC1794" s="1392" t="n"/>
      <c r="BD1794" s="1392" t="n"/>
      <c r="BE1794" s="1392" t="n"/>
      <c r="BF1794" s="1392" t="n"/>
      <c r="BG1794" s="1392" t="n"/>
      <c r="BH1794" s="1392" t="n"/>
      <c r="BI1794" s="1392" t="n"/>
      <c r="BJ1794" s="1392" t="n"/>
      <c r="BK1794" s="1392" t="n"/>
      <c r="BL1794" s="1392" t="n"/>
      <c r="BM1794" s="1392" t="n"/>
      <c r="BN1794" s="1392" t="n"/>
      <c r="BO1794" s="1392" t="n"/>
      <c r="BP1794" s="1392" t="n"/>
      <c r="BQ1794" s="1392" t="n"/>
      <c r="BR1794" s="1392" t="n"/>
      <c r="BS1794" s="1392" t="n"/>
      <c r="BT1794" s="1392" t="n"/>
      <c r="BU1794" s="1392" t="n"/>
      <c r="BV1794" s="1392" t="n"/>
      <c r="BW1794" s="1392" t="n"/>
      <c r="BX1794" s="1392" t="n"/>
      <c r="BY1794" s="1392" t="n"/>
      <c r="BZ1794" s="1392" t="n"/>
      <c r="CA1794" s="1392" t="n"/>
      <c r="CB1794" s="1392" t="n"/>
      <c r="CC1794" s="1392" t="n"/>
      <c r="CD1794" s="1392" t="n"/>
      <c r="CE1794" s="1392" t="n"/>
      <c r="CF1794" s="1392" t="n"/>
      <c r="CG1794" s="1392" t="n"/>
      <c r="CH1794" s="1392" t="n"/>
      <c r="CI1794" s="1392" t="n"/>
      <c r="CJ1794" s="1392" t="n"/>
      <c r="CK1794" s="1392" t="n"/>
      <c r="CL1794" s="1392" t="n"/>
    </row>
    <row r="1795">
      <c r="A1795" s="5" t="inlineStr">
        <is>
          <t>.</t>
        </is>
      </c>
      <c r="B1795" s="5" t="inlineStr">
        <is>
          <t>.</t>
        </is>
      </c>
      <c r="C1795" s="1378">
        <f>IF(raw[[#This Row],[city]]="","-",IF(raw[[#This Row],[city]]="TODAY","-",C1794+1))</f>
        <v/>
      </c>
      <c r="D1795" s="1393" t="inlineStr">
        <is>
          <t>Roissy</t>
        </is>
      </c>
      <c r="E1795" s="1394" t="n">
        <v>46153</v>
      </c>
      <c r="F1795" s="1394" t="n">
        <v>46153</v>
      </c>
      <c r="G1795" s="1393" t="n"/>
      <c r="H1795" s="1393" t="inlineStr">
        <is>
          <t>Joao I</t>
        </is>
      </c>
      <c r="I1795" s="1393" t="n"/>
      <c r="J1795" s="1393" t="n"/>
      <c r="K1795" s="1395">
        <f>IF(raw[[#This Row],[city]]&lt;&gt;"",_xlfn.XLOOKUP($D1795,ccc[city],ccc[prov],"-"),"-")</f>
        <v/>
      </c>
      <c r="L1795" s="1395">
        <f>IF(raw[[#This Row],[city]]&lt;&gt;"",_xlfn.XLOOKUP($D1795,ccc[city],ccc[ctry],"-"),"-")</f>
        <v/>
      </c>
      <c r="M1795" s="1395">
        <f>IF(raw[[#This Row],[city]]&lt;&gt;"",_xlfn.XLOOKUP($D1795,ccc[city],ccc[cont],"-"),"-")</f>
        <v/>
      </c>
      <c r="N1795" s="1396">
        <f>IF(raw[[#This Row],[city]]="","-",IF(raw[[#This Row],[cont]]="B",raw[[#This Row],[cont]],"W"))</f>
        <v/>
      </c>
      <c r="O1795" s="1397">
        <f>IF(raw[[#This Row],[out]]=0,0,IF(raw[[#This Row],[out]]=raw[[#This Row],[in]],0.01,raw[[#This Row],[out]]-raw[[#This Row],[in]]))</f>
        <v/>
      </c>
      <c r="P1795" s="1397">
        <f>IF(raw[[#This Row],[in]]=0,0,MONTH(raw[[#This Row],[in]]))</f>
        <v/>
      </c>
      <c r="Q1795" s="1397">
        <f>IF(raw[[#This Row],[in]]=0,0,YEAR(raw[[#This Row],[in]]))</f>
        <v/>
      </c>
      <c r="R1795" s="1397">
        <f>INT(raw[[#This Row],[yr]]/10)*10</f>
        <v/>
      </c>
      <c r="S1795" s="1395">
        <f>IF(raw[[#This Row],[city]]="","-",IF(raw[[#This Row],[city]]&lt;&gt;_xlfn.XLOOKUP(raw[[#This Row],[home]],homes[home],homes[city],"-"),1,0))</f>
        <v/>
      </c>
      <c r="T1795" s="1398" t="inlineStr">
        <is>
          <t>.</t>
        </is>
      </c>
      <c r="U1795" s="1399">
        <f>IF(raw[[#This Row],[wb]]="w",raw[[#This Row],[stay]]+U1794,U1794)</f>
        <v/>
      </c>
      <c r="V1795" s="1400">
        <f>IF(raw[[#This Row],[out]]=0,V1794,(raw[[#This Row],[out]]-E$5))</f>
        <v/>
      </c>
      <c r="W1795" s="1401">
        <f>U1795/V1795</f>
        <v/>
      </c>
      <c r="X1795" s="1392" t="n"/>
      <c r="Y1795" s="1392" t="n"/>
      <c r="Z1795" s="1392" t="n"/>
      <c r="AA1795" s="1392" t="n"/>
      <c r="AB1795" s="1392" t="n"/>
      <c r="AC1795" s="1392" t="n"/>
      <c r="AD1795" s="1392" t="n"/>
      <c r="AE1795" s="1392" t="n"/>
      <c r="AF1795" s="1392" t="n"/>
      <c r="AG1795" s="1392" t="n"/>
      <c r="AH1795" s="1392" t="n"/>
      <c r="AI1795" s="1392" t="n"/>
      <c r="AJ1795" s="1392" t="n"/>
      <c r="AK1795" s="1392" t="n"/>
      <c r="AL1795" s="1392" t="n"/>
      <c r="AM1795" s="1392" t="n"/>
      <c r="AN1795" s="1392" t="n"/>
      <c r="AO1795" s="1392" t="n"/>
      <c r="AP1795" s="1392" t="n"/>
      <c r="AQ1795" s="1392" t="n"/>
      <c r="AR1795" s="1422" t="n"/>
      <c r="AS1795" s="1422" t="n"/>
      <c r="AT1795" s="1392" t="n"/>
      <c r="AU1795" s="1392" t="n"/>
      <c r="AV1795" s="1392" t="n"/>
      <c r="AW1795" s="1392" t="n"/>
      <c r="AX1795" s="1392" t="n"/>
      <c r="AY1795" s="1392" t="n"/>
      <c r="AZ1795" s="1392" t="n"/>
      <c r="BA1795" s="1422" t="n"/>
      <c r="BB1795" s="1422" t="n"/>
      <c r="BC1795" s="1392" t="n"/>
      <c r="BD1795" s="1392" t="n"/>
      <c r="BE1795" s="1392" t="n"/>
      <c r="BF1795" s="1392" t="n"/>
      <c r="BG1795" s="1392" t="n"/>
      <c r="BH1795" s="1392" t="n"/>
      <c r="BI1795" s="1392" t="n"/>
      <c r="BJ1795" s="1392" t="n"/>
      <c r="BK1795" s="1392" t="n"/>
      <c r="BL1795" s="1392" t="n"/>
      <c r="BM1795" s="1392" t="n"/>
      <c r="BN1795" s="1392" t="n"/>
      <c r="BO1795" s="1392" t="n"/>
      <c r="BP1795" s="1392" t="n"/>
      <c r="BQ1795" s="1392" t="n"/>
      <c r="BR1795" s="1392" t="n"/>
      <c r="BS1795" s="1392" t="n"/>
      <c r="BT1795" s="1392" t="n"/>
      <c r="BU1795" s="1392" t="n"/>
      <c r="BV1795" s="1392" t="n"/>
      <c r="BW1795" s="1392" t="n"/>
      <c r="BX1795" s="1392" t="n"/>
      <c r="BY1795" s="1392" t="n"/>
      <c r="BZ1795" s="1392" t="n"/>
      <c r="CA1795" s="1392" t="n"/>
      <c r="CB1795" s="1392" t="n"/>
      <c r="CC1795" s="1392" t="n"/>
      <c r="CD1795" s="1392" t="n"/>
      <c r="CE1795" s="1392" t="n"/>
      <c r="CF1795" s="1392" t="n"/>
      <c r="CG1795" s="1392" t="n"/>
      <c r="CH1795" s="1392" t="n"/>
      <c r="CI1795" s="1392" t="n"/>
      <c r="CJ1795" s="1392" t="n"/>
      <c r="CK1795" s="1392" t="n"/>
      <c r="CL1795" s="1392" t="n"/>
    </row>
    <row r="1796">
      <c r="A1796" s="5" t="inlineStr">
        <is>
          <t>.</t>
        </is>
      </c>
      <c r="B1796" s="5" t="inlineStr">
        <is>
          <t>.</t>
        </is>
      </c>
      <c r="C1796" s="1378">
        <f>IF(raw[[#This Row],[city]]="","-",IF(raw[[#This Row],[city]]="TODAY","-",C1795+1))</f>
        <v/>
      </c>
      <c r="D1796" s="1393" t="inlineStr">
        <is>
          <t>Paris</t>
        </is>
      </c>
      <c r="E1796" s="1394" t="n">
        <v>46153</v>
      </c>
      <c r="F1796" s="1394" t="n">
        <v>46153</v>
      </c>
      <c r="G1796" s="1393" t="n">
        <v>1</v>
      </c>
      <c r="H1796" s="1393" t="inlineStr">
        <is>
          <t>Joao I</t>
        </is>
      </c>
      <c r="I1796" s="1393" t="n"/>
      <c r="J1796" s="1393" t="n"/>
      <c r="K1796" s="1395">
        <f>IF(raw[[#This Row],[city]]&lt;&gt;"",_xlfn.XLOOKUP($D1796,ccc[city],ccc[prov],"-"),"-")</f>
        <v/>
      </c>
      <c r="L1796" s="1395">
        <f>IF(raw[[#This Row],[city]]&lt;&gt;"",_xlfn.XLOOKUP($D1796,ccc[city],ccc[ctry],"-"),"-")</f>
        <v/>
      </c>
      <c r="M1796" s="1395">
        <f>IF(raw[[#This Row],[city]]&lt;&gt;"",_xlfn.XLOOKUP($D1796,ccc[city],ccc[cont],"-"),"-")</f>
        <v/>
      </c>
      <c r="N1796" s="1396">
        <f>IF(raw[[#This Row],[city]]="","-",IF(raw[[#This Row],[cont]]="B",raw[[#This Row],[cont]],"W"))</f>
        <v/>
      </c>
      <c r="O1796" s="1397">
        <f>IF(raw[[#This Row],[out]]=0,0,IF(raw[[#This Row],[out]]=raw[[#This Row],[in]],0.01,raw[[#This Row],[out]]-raw[[#This Row],[in]]))</f>
        <v/>
      </c>
      <c r="P1796" s="1397">
        <f>IF(raw[[#This Row],[in]]=0,0,MONTH(raw[[#This Row],[in]]))</f>
        <v/>
      </c>
      <c r="Q1796" s="1397">
        <f>IF(raw[[#This Row],[in]]=0,0,YEAR(raw[[#This Row],[in]]))</f>
        <v/>
      </c>
      <c r="R1796" s="1397">
        <f>INT(raw[[#This Row],[yr]]/10)*10</f>
        <v/>
      </c>
      <c r="S1796" s="1395">
        <f>IF(raw[[#This Row],[city]]="","-",IF(raw[[#This Row],[city]]&lt;&gt;_xlfn.XLOOKUP(raw[[#This Row],[home]],homes[home],homes[city],"-"),1,0))</f>
        <v/>
      </c>
      <c r="T1796" s="1398" t="inlineStr">
        <is>
          <t>.</t>
        </is>
      </c>
      <c r="U1796" s="1399">
        <f>IF(raw[[#This Row],[wb]]="w",raw[[#This Row],[stay]]+U1795,U1795)</f>
        <v/>
      </c>
      <c r="V1796" s="1400">
        <f>IF(raw[[#This Row],[out]]=0,V1795,(raw[[#This Row],[out]]-E$5))</f>
        <v/>
      </c>
      <c r="W1796" s="1401">
        <f>U1796/V1796</f>
        <v/>
      </c>
      <c r="X1796" s="1392" t="n"/>
      <c r="Y1796" s="1392" t="n"/>
      <c r="Z1796" s="1392" t="n"/>
      <c r="AA1796" s="1392" t="n"/>
      <c r="AB1796" s="1392" t="n"/>
      <c r="AC1796" s="1392" t="n"/>
      <c r="AD1796" s="1392" t="n"/>
      <c r="AE1796" s="1392" t="n"/>
      <c r="AF1796" s="1392" t="n"/>
      <c r="AG1796" s="1392" t="n"/>
      <c r="AH1796" s="1392" t="n"/>
      <c r="AI1796" s="1392" t="n"/>
      <c r="AJ1796" s="1392" t="n"/>
      <c r="AK1796" s="1392" t="n"/>
      <c r="AL1796" s="1392" t="n"/>
      <c r="AM1796" s="1392" t="n"/>
      <c r="AN1796" s="1392" t="n"/>
      <c r="AO1796" s="1392" t="n"/>
      <c r="AP1796" s="1392" t="n"/>
      <c r="AQ1796" s="1392" t="n"/>
      <c r="AR1796" s="1422" t="n"/>
      <c r="AS1796" s="1422" t="n"/>
      <c r="AT1796" s="1392" t="n"/>
      <c r="AU1796" s="1392" t="n"/>
      <c r="AV1796" s="1392" t="n"/>
      <c r="AW1796" s="1392" t="n"/>
      <c r="AX1796" s="1392" t="n"/>
      <c r="AY1796" s="1392" t="n"/>
      <c r="AZ1796" s="1392" t="n"/>
      <c r="BA1796" s="1422" t="n"/>
      <c r="BB1796" s="1422" t="n"/>
      <c r="BC1796" s="1392" t="n"/>
      <c r="BD1796" s="1392" t="n"/>
      <c r="BE1796" s="1392" t="n"/>
      <c r="BF1796" s="1392" t="n"/>
      <c r="BG1796" s="1392" t="n"/>
      <c r="BH1796" s="1392" t="n"/>
      <c r="BI1796" s="1392" t="n"/>
      <c r="BJ1796" s="1392" t="n"/>
      <c r="BK1796" s="1392" t="n"/>
      <c r="BL1796" s="1392" t="n"/>
      <c r="BM1796" s="1392" t="n"/>
      <c r="BN1796" s="1392" t="n"/>
      <c r="BO1796" s="1392" t="n"/>
      <c r="BP1796" s="1392" t="n"/>
      <c r="BQ1796" s="1392" t="n"/>
      <c r="BR1796" s="1392" t="n"/>
      <c r="BS1796" s="1392" t="n"/>
      <c r="BT1796" s="1392" t="n"/>
      <c r="BU1796" s="1392" t="n"/>
      <c r="BV1796" s="1392" t="n"/>
      <c r="BW1796" s="1392" t="n"/>
      <c r="BX1796" s="1392" t="n"/>
      <c r="BY1796" s="1392" t="n"/>
      <c r="BZ1796" s="1392" t="n"/>
      <c r="CA1796" s="1392" t="n"/>
      <c r="CB1796" s="1392" t="n"/>
      <c r="CC1796" s="1392" t="n"/>
      <c r="CD1796" s="1392" t="n"/>
      <c r="CE1796" s="1392" t="n"/>
      <c r="CF1796" s="1392" t="n"/>
      <c r="CG1796" s="1392" t="n"/>
      <c r="CH1796" s="1392" t="n"/>
      <c r="CI1796" s="1392" t="n"/>
      <c r="CJ1796" s="1392" t="n"/>
      <c r="CK1796" s="1392" t="n"/>
      <c r="CL1796" s="1392" t="n"/>
    </row>
    <row r="1797">
      <c r="A1797" s="5" t="inlineStr">
        <is>
          <t>.</t>
        </is>
      </c>
      <c r="B1797" s="5" t="inlineStr">
        <is>
          <t>.</t>
        </is>
      </c>
      <c r="C1797" s="1378">
        <f>IF(raw[[#This Row],[city]]="","-",IF(raw[[#This Row],[city]]="TODAY","-",C1796+1))</f>
        <v/>
      </c>
      <c r="D1797" s="1393" t="inlineStr">
        <is>
          <t>SSA</t>
        </is>
      </c>
      <c r="E1797" s="1394" t="n">
        <v>46153</v>
      </c>
      <c r="F1797" s="1394" t="n">
        <v>46160</v>
      </c>
      <c r="G1797" s="1393" t="n">
        <v>1</v>
      </c>
      <c r="H1797" s="1393" t="inlineStr">
        <is>
          <t>Joao I</t>
        </is>
      </c>
      <c r="I1797" s="1393" t="n"/>
      <c r="J1797" s="1393" t="n"/>
      <c r="K1797" s="1395">
        <f>IF(raw[[#This Row],[city]]&lt;&gt;"",_xlfn.XLOOKUP($D1797,ccc[city],ccc[prov],"-"),"-")</f>
        <v/>
      </c>
      <c r="L1797" s="1395">
        <f>IF(raw[[#This Row],[city]]&lt;&gt;"",_xlfn.XLOOKUP($D1797,ccc[city],ccc[ctry],"-"),"-")</f>
        <v/>
      </c>
      <c r="M1797" s="1395">
        <f>IF(raw[[#This Row],[city]]&lt;&gt;"",_xlfn.XLOOKUP($D1797,ccc[city],ccc[cont],"-"),"-")</f>
        <v/>
      </c>
      <c r="N1797" s="1396">
        <f>IF(raw[[#This Row],[city]]="","-",IF(raw[[#This Row],[cont]]="B",raw[[#This Row],[cont]],"W"))</f>
        <v/>
      </c>
      <c r="O1797" s="1397">
        <f>IF(raw[[#This Row],[out]]=0,0,IF(raw[[#This Row],[out]]=raw[[#This Row],[in]],0.01,raw[[#This Row],[out]]-raw[[#This Row],[in]]))</f>
        <v/>
      </c>
      <c r="P1797" s="1397">
        <f>IF(raw[[#This Row],[in]]=0,0,MONTH(raw[[#This Row],[in]]))</f>
        <v/>
      </c>
      <c r="Q1797" s="1397">
        <f>IF(raw[[#This Row],[in]]=0,0,YEAR(raw[[#This Row],[in]]))</f>
        <v/>
      </c>
      <c r="R1797" s="1397">
        <f>INT(raw[[#This Row],[yr]]/10)*10</f>
        <v/>
      </c>
      <c r="S1797" s="1395">
        <f>IF(raw[[#This Row],[city]]="","-",IF(raw[[#This Row],[city]]&lt;&gt;_xlfn.XLOOKUP(raw[[#This Row],[home]],homes[home],homes[city],"-"),1,0))</f>
        <v/>
      </c>
      <c r="T1797" s="1398" t="inlineStr">
        <is>
          <t>.</t>
        </is>
      </c>
      <c r="U1797" s="1399">
        <f>IF(raw[[#This Row],[wb]]="w",raw[[#This Row],[stay]]+U1796,U1796)</f>
        <v/>
      </c>
      <c r="V1797" s="1400">
        <f>IF(raw[[#This Row],[out]]=0,V1796,(raw[[#This Row],[out]]-E$5))</f>
        <v/>
      </c>
      <c r="W1797" s="1401">
        <f>U1797/V1797</f>
        <v/>
      </c>
      <c r="X1797" s="1392" t="n"/>
      <c r="Y1797" s="1392" t="n"/>
      <c r="Z1797" s="1392" t="n"/>
      <c r="AA1797" s="1392" t="n"/>
      <c r="AB1797" s="1392" t="n"/>
      <c r="AC1797" s="1392" t="n"/>
      <c r="AD1797" s="1392" t="n"/>
      <c r="AE1797" s="1392" t="n"/>
      <c r="AF1797" s="1392" t="n"/>
      <c r="AG1797" s="1392" t="n"/>
      <c r="AH1797" s="1392" t="n"/>
      <c r="AI1797" s="1392" t="n"/>
      <c r="AJ1797" s="1392" t="n"/>
      <c r="AK1797" s="1392" t="n"/>
      <c r="AL1797" s="1392" t="n"/>
      <c r="AM1797" s="1392" t="n"/>
      <c r="AN1797" s="1392" t="n"/>
      <c r="AO1797" s="1392" t="n"/>
      <c r="AP1797" s="1392" t="n"/>
      <c r="AQ1797" s="1392" t="n"/>
      <c r="AR1797" s="1422" t="n"/>
      <c r="AS1797" s="1422" t="n"/>
      <c r="AT1797" s="1392" t="n"/>
      <c r="AU1797" s="1392" t="n"/>
      <c r="AV1797" s="1392" t="n"/>
      <c r="AW1797" s="1392" t="n"/>
      <c r="AX1797" s="1392" t="n"/>
      <c r="AY1797" s="1392" t="n"/>
      <c r="AZ1797" s="1392" t="n"/>
      <c r="BA1797" s="1422" t="n"/>
      <c r="BB1797" s="1422" t="n"/>
      <c r="BC1797" s="1392" t="n"/>
      <c r="BD1797" s="1392" t="n"/>
      <c r="BE1797" s="1392" t="n"/>
      <c r="BF1797" s="1392" t="n"/>
      <c r="BG1797" s="1392" t="n"/>
      <c r="BH1797" s="1392" t="n"/>
      <c r="BI1797" s="1392" t="n"/>
      <c r="BJ1797" s="1392" t="n"/>
      <c r="BK1797" s="1392" t="n"/>
      <c r="BL1797" s="1392" t="n"/>
      <c r="BM1797" s="1392" t="n"/>
      <c r="BN1797" s="1392" t="n"/>
      <c r="BO1797" s="1392" t="n"/>
      <c r="BP1797" s="1392" t="n"/>
      <c r="BQ1797" s="1392" t="n"/>
      <c r="BR1797" s="1392" t="n"/>
      <c r="BS1797" s="1392" t="n"/>
      <c r="BT1797" s="1392" t="n"/>
      <c r="BU1797" s="1392" t="n"/>
      <c r="BV1797" s="1392" t="n"/>
      <c r="BW1797" s="1392" t="n"/>
      <c r="BX1797" s="1392" t="n"/>
      <c r="BY1797" s="1392" t="n"/>
      <c r="BZ1797" s="1392" t="n"/>
      <c r="CA1797" s="1392" t="n"/>
      <c r="CB1797" s="1392" t="n"/>
      <c r="CC1797" s="1392" t="n"/>
      <c r="CD1797" s="1392" t="n"/>
      <c r="CE1797" s="1392" t="n"/>
      <c r="CF1797" s="1392" t="n"/>
      <c r="CG1797" s="1392" t="n"/>
      <c r="CH1797" s="1392" t="n"/>
      <c r="CI1797" s="1392" t="n"/>
      <c r="CJ1797" s="1392" t="n"/>
      <c r="CK1797" s="1392" t="n"/>
      <c r="CL1797" s="1392" t="n"/>
    </row>
    <row r="1798">
      <c r="A1798" s="5" t="inlineStr">
        <is>
          <t>.</t>
        </is>
      </c>
      <c r="B1798" s="5" t="inlineStr">
        <is>
          <t>.</t>
        </is>
      </c>
      <c r="C1798" s="1378">
        <f>IF(raw[[#This Row],[city]]="","-",IF(raw[[#This Row],[city]]="TODAY","-",C1797+1))</f>
        <v/>
      </c>
      <c r="D1798" s="1393" t="inlineStr">
        <is>
          <t>AIR</t>
        </is>
      </c>
      <c r="E1798" s="1394" t="n">
        <v>46160</v>
      </c>
      <c r="F1798" s="1394" t="n">
        <v>46161</v>
      </c>
      <c r="G1798" s="1393" t="inlineStr">
        <is>
          <t>x</t>
        </is>
      </c>
      <c r="H1798" s="1393" t="inlineStr">
        <is>
          <t>Joao I</t>
        </is>
      </c>
      <c r="I1798" s="1393" t="n"/>
      <c r="J1798" s="1393" t="n"/>
      <c r="K1798" s="1395">
        <f>IF(raw[[#This Row],[city]]&lt;&gt;"",_xlfn.XLOOKUP($D1798,ccc[city],ccc[prov],"-"),"-")</f>
        <v/>
      </c>
      <c r="L1798" s="1395">
        <f>IF(raw[[#This Row],[city]]&lt;&gt;"",_xlfn.XLOOKUP($D1798,ccc[city],ccc[ctry],"-"),"-")</f>
        <v/>
      </c>
      <c r="M1798" s="1395">
        <f>IF(raw[[#This Row],[city]]&lt;&gt;"",_xlfn.XLOOKUP($D1798,ccc[city],ccc[cont],"-"),"-")</f>
        <v/>
      </c>
      <c r="N1798" s="1396">
        <f>IF(raw[[#This Row],[city]]="","-",IF(raw[[#This Row],[cont]]="B",raw[[#This Row],[cont]],"W"))</f>
        <v/>
      </c>
      <c r="O1798" s="1397">
        <f>IF(raw[[#This Row],[out]]=0,0,IF(raw[[#This Row],[out]]=raw[[#This Row],[in]],0.01,raw[[#This Row],[out]]-raw[[#This Row],[in]]))</f>
        <v/>
      </c>
      <c r="P1798" s="1397">
        <f>IF(raw[[#This Row],[in]]=0,0,MONTH(raw[[#This Row],[in]]))</f>
        <v/>
      </c>
      <c r="Q1798" s="1397">
        <f>IF(raw[[#This Row],[in]]=0,0,YEAR(raw[[#This Row],[in]]))</f>
        <v/>
      </c>
      <c r="R1798" s="1397">
        <f>INT(raw[[#This Row],[yr]]/10)*10</f>
        <v/>
      </c>
      <c r="S1798" s="1395">
        <f>IF(raw[[#This Row],[city]]="","-",IF(raw[[#This Row],[city]]&lt;&gt;_xlfn.XLOOKUP(raw[[#This Row],[home]],homes[home],homes[city],"-"),1,0))</f>
        <v/>
      </c>
      <c r="T1798" s="1398" t="inlineStr">
        <is>
          <t>.</t>
        </is>
      </c>
      <c r="U1798" s="1399">
        <f>IF(raw[[#This Row],[wb]]="w",raw[[#This Row],[stay]]+U1797,U1797)</f>
        <v/>
      </c>
      <c r="V1798" s="1400">
        <f>IF(raw[[#This Row],[out]]=0,V1797,(raw[[#This Row],[out]]-E$5))</f>
        <v/>
      </c>
      <c r="W1798" s="1401">
        <f>U1798/V1798</f>
        <v/>
      </c>
      <c r="X1798" s="1392" t="n"/>
      <c r="Y1798" s="1392" t="n"/>
      <c r="Z1798" s="1392" t="n"/>
      <c r="AA1798" s="1392" t="n"/>
      <c r="AB1798" s="1392" t="n"/>
      <c r="AC1798" s="1392" t="n"/>
      <c r="AD1798" s="1392" t="n"/>
      <c r="AE1798" s="1392" t="n"/>
      <c r="AF1798" s="1392" t="n"/>
      <c r="AG1798" s="1392" t="n"/>
      <c r="AH1798" s="1392" t="n"/>
      <c r="AI1798" s="1392" t="n"/>
      <c r="AJ1798" s="1392" t="n"/>
      <c r="AK1798" s="1392" t="n"/>
      <c r="AL1798" s="1392" t="n"/>
      <c r="AM1798" s="1392" t="n"/>
      <c r="AN1798" s="1392" t="n"/>
      <c r="AO1798" s="1392" t="n"/>
      <c r="AP1798" s="1392" t="n"/>
      <c r="AQ1798" s="1392" t="n"/>
      <c r="AR1798" s="1422" t="n"/>
      <c r="AS1798" s="1422" t="n"/>
      <c r="AT1798" s="1392" t="n"/>
      <c r="AU1798" s="1392" t="n"/>
      <c r="AV1798" s="1392" t="n"/>
      <c r="AW1798" s="1392" t="n"/>
      <c r="AX1798" s="1392" t="n"/>
      <c r="AY1798" s="1392" t="n"/>
      <c r="AZ1798" s="1392" t="n"/>
      <c r="BA1798" s="1422" t="n"/>
      <c r="BB1798" s="1422" t="n"/>
      <c r="BC1798" s="1392" t="n"/>
      <c r="BD1798" s="1392" t="n"/>
      <c r="BE1798" s="1392" t="n"/>
      <c r="BF1798" s="1392" t="n"/>
      <c r="BG1798" s="1392" t="n"/>
      <c r="BH1798" s="1392" t="n"/>
      <c r="BI1798" s="1392" t="n"/>
      <c r="BJ1798" s="1392" t="n"/>
      <c r="BK1798" s="1392" t="n"/>
      <c r="BL1798" s="1392" t="n"/>
      <c r="BM1798" s="1392" t="n"/>
      <c r="BN1798" s="1392" t="n"/>
      <c r="BO1798" s="1392" t="n"/>
      <c r="BP1798" s="1392" t="n"/>
      <c r="BQ1798" s="1392" t="n"/>
      <c r="BR1798" s="1392" t="n"/>
      <c r="BS1798" s="1392" t="n"/>
      <c r="BT1798" s="1392" t="n"/>
      <c r="BU1798" s="1392" t="n"/>
      <c r="BV1798" s="1392" t="n"/>
      <c r="BW1798" s="1392" t="n"/>
      <c r="BX1798" s="1392" t="n"/>
      <c r="BY1798" s="1392" t="n"/>
      <c r="BZ1798" s="1392" t="n"/>
      <c r="CA1798" s="1392" t="n"/>
      <c r="CB1798" s="1392" t="n"/>
      <c r="CC1798" s="1392" t="n"/>
      <c r="CD1798" s="1392" t="n"/>
      <c r="CE1798" s="1392" t="n"/>
      <c r="CF1798" s="1392" t="n"/>
      <c r="CG1798" s="1392" t="n"/>
      <c r="CH1798" s="1392" t="n"/>
      <c r="CI1798" s="1392" t="n"/>
      <c r="CJ1798" s="1392" t="n"/>
      <c r="CK1798" s="1392" t="n"/>
      <c r="CL1798" s="1392" t="n"/>
    </row>
    <row r="1799">
      <c r="A1799" s="5" t="inlineStr">
        <is>
          <t>.</t>
        </is>
      </c>
      <c r="B1799" s="5" t="inlineStr">
        <is>
          <t>.</t>
        </is>
      </c>
      <c r="C1799" s="1378">
        <f>IF(raw[[#This Row],[city]]="","-",IF(raw[[#This Row],[city]]="TODAY","-",C1798+1))</f>
        <v/>
      </c>
      <c r="D1799" s="1393" t="inlineStr">
        <is>
          <t>Paris</t>
        </is>
      </c>
      <c r="E1799" s="1394" t="n">
        <v>46161</v>
      </c>
      <c r="F1799" s="1394" t="n">
        <v>46161</v>
      </c>
      <c r="G1799" s="1393" t="n">
        <v>1</v>
      </c>
      <c r="H1799" s="1393" t="inlineStr">
        <is>
          <t>Joao I</t>
        </is>
      </c>
      <c r="I1799" s="1393" t="n"/>
      <c r="J1799" s="1393" t="n"/>
      <c r="K1799" s="1395">
        <f>IF(raw[[#This Row],[city]]&lt;&gt;"",_xlfn.XLOOKUP($D1799,ccc[city],ccc[prov],"-"),"-")</f>
        <v/>
      </c>
      <c r="L1799" s="1395">
        <f>IF(raw[[#This Row],[city]]&lt;&gt;"",_xlfn.XLOOKUP($D1799,ccc[city],ccc[ctry],"-"),"-")</f>
        <v/>
      </c>
      <c r="M1799" s="1395">
        <f>IF(raw[[#This Row],[city]]&lt;&gt;"",_xlfn.XLOOKUP($D1799,ccc[city],ccc[cont],"-"),"-")</f>
        <v/>
      </c>
      <c r="N1799" s="1396">
        <f>IF(raw[[#This Row],[city]]="","-",IF(raw[[#This Row],[cont]]="B",raw[[#This Row],[cont]],"W"))</f>
        <v/>
      </c>
      <c r="O1799" s="1397">
        <f>IF(raw[[#This Row],[out]]=0,0,IF(raw[[#This Row],[out]]=raw[[#This Row],[in]],0.01,raw[[#This Row],[out]]-raw[[#This Row],[in]]))</f>
        <v/>
      </c>
      <c r="P1799" s="1397">
        <f>IF(raw[[#This Row],[in]]=0,0,MONTH(raw[[#This Row],[in]]))</f>
        <v/>
      </c>
      <c r="Q1799" s="1397">
        <f>IF(raw[[#This Row],[in]]=0,0,YEAR(raw[[#This Row],[in]]))</f>
        <v/>
      </c>
      <c r="R1799" s="1397">
        <f>INT(raw[[#This Row],[yr]]/10)*10</f>
        <v/>
      </c>
      <c r="S1799" s="1395">
        <f>IF(raw[[#This Row],[city]]="","-",IF(raw[[#This Row],[city]]&lt;&gt;_xlfn.XLOOKUP(raw[[#This Row],[home]],homes[home],homes[city],"-"),1,0))</f>
        <v/>
      </c>
      <c r="T1799" s="1398" t="inlineStr">
        <is>
          <t>.</t>
        </is>
      </c>
      <c r="U1799" s="1399">
        <f>IF(raw[[#This Row],[wb]]="w",raw[[#This Row],[stay]]+U1798,U1798)</f>
        <v/>
      </c>
      <c r="V1799" s="1400">
        <f>IF(raw[[#This Row],[out]]=0,V1798,(raw[[#This Row],[out]]-E$5))</f>
        <v/>
      </c>
      <c r="W1799" s="1401">
        <f>U1799/V1799</f>
        <v/>
      </c>
      <c r="X1799" s="1392" t="n"/>
      <c r="Y1799" s="1392" t="n"/>
      <c r="Z1799" s="1392" t="n"/>
      <c r="AA1799" s="1392" t="n"/>
      <c r="AB1799" s="1392" t="n"/>
      <c r="AC1799" s="1392" t="n"/>
      <c r="AD1799" s="1392" t="n"/>
      <c r="AE1799" s="1392" t="n"/>
      <c r="AF1799" s="1392" t="n"/>
      <c r="AG1799" s="1392" t="n"/>
      <c r="AH1799" s="1392" t="n"/>
      <c r="AI1799" s="1392" t="n"/>
      <c r="AJ1799" s="1392" t="n"/>
      <c r="AK1799" s="1392" t="n"/>
      <c r="AL1799" s="1392" t="n"/>
      <c r="AM1799" s="1392" t="n"/>
      <c r="AN1799" s="1392" t="n"/>
      <c r="AO1799" s="1392" t="n"/>
      <c r="AP1799" s="1392" t="n"/>
      <c r="AQ1799" s="1392" t="n"/>
      <c r="AR1799" s="1422" t="n"/>
      <c r="AS1799" s="1422" t="n"/>
      <c r="AT1799" s="1392" t="n"/>
      <c r="AU1799" s="1392" t="n"/>
      <c r="AV1799" s="1392" t="n"/>
      <c r="AW1799" s="1392" t="n"/>
      <c r="AX1799" s="1392" t="n"/>
      <c r="AY1799" s="1392" t="n"/>
      <c r="AZ1799" s="1392" t="n"/>
      <c r="BA1799" s="1422" t="n"/>
      <c r="BB1799" s="1422" t="n"/>
      <c r="BC1799" s="1392" t="n"/>
      <c r="BD1799" s="1392" t="n"/>
      <c r="BE1799" s="1392" t="n"/>
      <c r="BF1799" s="1392" t="n"/>
      <c r="BG1799" s="1392" t="n"/>
      <c r="BH1799" s="1392" t="n"/>
      <c r="BI1799" s="1392" t="n"/>
      <c r="BJ1799" s="1392" t="n"/>
      <c r="BK1799" s="1392" t="n"/>
      <c r="BL1799" s="1392" t="n"/>
      <c r="BM1799" s="1392" t="n"/>
      <c r="BN1799" s="1392" t="n"/>
      <c r="BO1799" s="1392" t="n"/>
      <c r="BP1799" s="1392" t="n"/>
      <c r="BQ1799" s="1392" t="n"/>
      <c r="BR1799" s="1392" t="n"/>
      <c r="BS1799" s="1392" t="n"/>
      <c r="BT1799" s="1392" t="n"/>
      <c r="BU1799" s="1392" t="n"/>
      <c r="BV1799" s="1392" t="n"/>
      <c r="BW1799" s="1392" t="n"/>
      <c r="BX1799" s="1392" t="n"/>
      <c r="BY1799" s="1392" t="n"/>
      <c r="BZ1799" s="1392" t="n"/>
      <c r="CA1799" s="1392" t="n"/>
      <c r="CB1799" s="1392" t="n"/>
      <c r="CC1799" s="1392" t="n"/>
      <c r="CD1799" s="1392" t="n"/>
      <c r="CE1799" s="1392" t="n"/>
      <c r="CF1799" s="1392" t="n"/>
      <c r="CG1799" s="1392" t="n"/>
      <c r="CH1799" s="1392" t="n"/>
      <c r="CI1799" s="1392" t="n"/>
      <c r="CJ1799" s="1392" t="n"/>
      <c r="CK1799" s="1392" t="n"/>
      <c r="CL1799" s="1392" t="n"/>
    </row>
    <row r="1800">
      <c r="A1800" s="5" t="inlineStr">
        <is>
          <t>.</t>
        </is>
      </c>
      <c r="B1800" s="5" t="inlineStr">
        <is>
          <t>.</t>
        </is>
      </c>
      <c r="C1800" s="1378">
        <f>IF(raw[[#This Row],[city]]="","-",IF(raw[[#This Row],[city]]="TODAY","-",C1799+1))</f>
        <v/>
      </c>
      <c r="D1800" s="1393" t="inlineStr">
        <is>
          <t>Porto</t>
        </is>
      </c>
      <c r="E1800" s="1394" t="n">
        <v>46161</v>
      </c>
      <c r="F1800" s="1394" t="n">
        <v>46174</v>
      </c>
      <c r="G1800" s="1393" t="n"/>
      <c r="H1800" s="1393" t="inlineStr">
        <is>
          <t>Joao I</t>
        </is>
      </c>
      <c r="I1800" s="1393" t="n"/>
      <c r="J1800" s="1393" t="n"/>
      <c r="K1800" s="1395">
        <f>IF(raw[[#This Row],[city]]&lt;&gt;"",_xlfn.XLOOKUP($D1800,ccc[city],ccc[prov],"-"),"-")</f>
        <v/>
      </c>
      <c r="L1800" s="1395">
        <f>IF(raw[[#This Row],[city]]&lt;&gt;"",_xlfn.XLOOKUP($D1800,ccc[city],ccc[ctry],"-"),"-")</f>
        <v/>
      </c>
      <c r="M1800" s="1395">
        <f>IF(raw[[#This Row],[city]]&lt;&gt;"",_xlfn.XLOOKUP($D1800,ccc[city],ccc[cont],"-"),"-")</f>
        <v/>
      </c>
      <c r="N1800" s="1396">
        <f>IF(raw[[#This Row],[city]]="","-",IF(raw[[#This Row],[cont]]="B",raw[[#This Row],[cont]],"W"))</f>
        <v/>
      </c>
      <c r="O1800" s="1397">
        <f>IF(raw[[#This Row],[out]]=0,0,IF(raw[[#This Row],[out]]=raw[[#This Row],[in]],0.01,raw[[#This Row],[out]]-raw[[#This Row],[in]]))</f>
        <v/>
      </c>
      <c r="P1800" s="1397">
        <f>IF(raw[[#This Row],[in]]=0,0,MONTH(raw[[#This Row],[in]]))</f>
        <v/>
      </c>
      <c r="Q1800" s="1397">
        <f>IF(raw[[#This Row],[in]]=0,0,YEAR(raw[[#This Row],[in]]))</f>
        <v/>
      </c>
      <c r="R1800" s="1397">
        <f>INT(raw[[#This Row],[yr]]/10)*10</f>
        <v/>
      </c>
      <c r="S1800" s="1395">
        <f>IF(raw[[#This Row],[city]]="","-",IF(raw[[#This Row],[city]]&lt;&gt;_xlfn.XLOOKUP(raw[[#This Row],[home]],homes[home],homes[city],"-"),1,0))</f>
        <v/>
      </c>
      <c r="T1800" s="1398" t="inlineStr">
        <is>
          <t>.</t>
        </is>
      </c>
      <c r="U1800" s="1399">
        <f>IF(raw[[#This Row],[wb]]="w",raw[[#This Row],[stay]]+U1799,U1799)</f>
        <v/>
      </c>
      <c r="V1800" s="1400">
        <f>IF(raw[[#This Row],[out]]=0,V1799,(raw[[#This Row],[out]]-E$5))</f>
        <v/>
      </c>
      <c r="W1800" s="1401">
        <f>U1800/V1800</f>
        <v/>
      </c>
      <c r="X1800" s="1392" t="n"/>
      <c r="Y1800" s="1392" t="n"/>
      <c r="Z1800" s="1392" t="n"/>
      <c r="AA1800" s="1392" t="n"/>
      <c r="AB1800" s="1392" t="n"/>
      <c r="AC1800" s="1392" t="n"/>
      <c r="AD1800" s="1392" t="n"/>
      <c r="AE1800" s="1392" t="n"/>
      <c r="AF1800" s="1392" t="n"/>
      <c r="AG1800" s="1392" t="n"/>
      <c r="AH1800" s="1392" t="n"/>
      <c r="AI1800" s="1392" t="n"/>
      <c r="AJ1800" s="1392" t="n"/>
      <c r="AK1800" s="1392" t="n"/>
      <c r="AL1800" s="1392" t="n"/>
      <c r="AM1800" s="1392" t="n"/>
      <c r="AN1800" s="1392" t="n"/>
      <c r="AO1800" s="1392" t="n"/>
      <c r="AP1800" s="1392" t="n"/>
      <c r="AQ1800" s="1392" t="n"/>
      <c r="AR1800" s="1422" t="n"/>
      <c r="AS1800" s="1422" t="n"/>
      <c r="AT1800" s="1392" t="n"/>
      <c r="AU1800" s="1392" t="n"/>
      <c r="AV1800" s="1392" t="n"/>
      <c r="AW1800" s="1392" t="n"/>
      <c r="AX1800" s="1392" t="n"/>
      <c r="AY1800" s="1392" t="n"/>
      <c r="AZ1800" s="1392" t="n"/>
      <c r="BA1800" s="1422" t="n"/>
      <c r="BB1800" s="1422" t="n"/>
      <c r="BC1800" s="1392" t="n"/>
      <c r="BD1800" s="1392" t="n"/>
      <c r="BE1800" s="1392" t="n"/>
      <c r="BF1800" s="1392" t="n"/>
      <c r="BG1800" s="1392" t="n"/>
      <c r="BH1800" s="1392" t="n"/>
      <c r="BI1800" s="1392" t="n"/>
      <c r="BJ1800" s="1392" t="n"/>
      <c r="BK1800" s="1392" t="n"/>
      <c r="BL1800" s="1392" t="n"/>
      <c r="BM1800" s="1392" t="n"/>
      <c r="BN1800" s="1392" t="n"/>
      <c r="BO1800" s="1392" t="n"/>
      <c r="BP1800" s="1392" t="n"/>
      <c r="BQ1800" s="1392" t="n"/>
      <c r="BR1800" s="1392" t="n"/>
      <c r="BS1800" s="1392" t="n"/>
      <c r="BT1800" s="1392" t="n"/>
      <c r="BU1800" s="1392" t="n"/>
      <c r="BV1800" s="1392" t="n"/>
      <c r="BW1800" s="1392" t="n"/>
      <c r="BX1800" s="1392" t="n"/>
      <c r="BY1800" s="1392" t="n"/>
      <c r="BZ1800" s="1392" t="n"/>
      <c r="CA1800" s="1392" t="n"/>
      <c r="CB1800" s="1392" t="n"/>
      <c r="CC1800" s="1392" t="n"/>
      <c r="CD1800" s="1392" t="n"/>
      <c r="CE1800" s="1392" t="n"/>
      <c r="CF1800" s="1392" t="n"/>
      <c r="CG1800" s="1392" t="n"/>
      <c r="CH1800" s="1392" t="n"/>
      <c r="CI1800" s="1392" t="n"/>
      <c r="CJ1800" s="1392" t="n"/>
      <c r="CK1800" s="1392" t="n"/>
      <c r="CL1800" s="1392" t="n"/>
    </row>
    <row r="1801">
      <c r="A1801" s="5" t="inlineStr">
        <is>
          <t>.</t>
        </is>
      </c>
      <c r="B1801" s="5" t="inlineStr">
        <is>
          <t>.</t>
        </is>
      </c>
      <c r="C1801" s="1378">
        <f>IF(raw[[#This Row],[city]]="","-",IF(raw[[#This Row],[city]]="TODAY","-",C1800+1))</f>
        <v/>
      </c>
      <c r="D1801" s="1393" t="inlineStr">
        <is>
          <t>Porto</t>
        </is>
      </c>
      <c r="E1801" s="1394">
        <f>F1800</f>
        <v/>
      </c>
      <c r="F1801" s="1394">
        <f>TODAY()</f>
        <v/>
      </c>
      <c r="G1801" s="1393" t="n"/>
      <c r="H1801" s="1393" t="inlineStr">
        <is>
          <t>Joao I</t>
        </is>
      </c>
      <c r="I1801" s="1393" t="n"/>
      <c r="J1801" s="1393" t="n"/>
      <c r="K1801" s="1395">
        <f>IF(raw[[#This Row],[city]]&lt;&gt;"",_xlfn.XLOOKUP($D1801,ccc[city],ccc[prov],"-"),"-")</f>
        <v/>
      </c>
      <c r="L1801" s="1395">
        <f>IF(raw[[#This Row],[city]]&lt;&gt;"",_xlfn.XLOOKUP($D1801,ccc[city],ccc[ctry],"-"),"-")</f>
        <v/>
      </c>
      <c r="M1801" s="1395">
        <f>IF(raw[[#This Row],[city]]&lt;&gt;"",_xlfn.XLOOKUP($D1801,ccc[city],ccc[cont],"-"),"-")</f>
        <v/>
      </c>
      <c r="N1801" s="1396">
        <f>IF(raw[[#This Row],[city]]="","-",IF(raw[[#This Row],[cont]]="B",raw[[#This Row],[cont]],"W"))</f>
        <v/>
      </c>
      <c r="O1801" s="1397">
        <f>IF(raw[[#This Row],[out]]=0,0,IF(raw[[#This Row],[out]]=raw[[#This Row],[in]],0.01,raw[[#This Row],[out]]-raw[[#This Row],[in]]))</f>
        <v/>
      </c>
      <c r="P1801" s="1397">
        <f>IF(raw[[#This Row],[in]]=0,0,MONTH(raw[[#This Row],[in]]))</f>
        <v/>
      </c>
      <c r="Q1801" s="1397">
        <f>IF(raw[[#This Row],[in]]=0,0,YEAR(raw[[#This Row],[in]]))</f>
        <v/>
      </c>
      <c r="R1801" s="1397">
        <f>INT(raw[[#This Row],[yr]]/10)*10</f>
        <v/>
      </c>
      <c r="S1801" s="1395">
        <f>IF(raw[[#This Row],[city]]="","-",IF(raw[[#This Row],[city]]&lt;&gt;_xlfn.XLOOKUP(raw[[#This Row],[home]],homes[home],homes[city],"-"),1,0))</f>
        <v/>
      </c>
      <c r="T1801" s="1398" t="inlineStr">
        <is>
          <t>.</t>
        </is>
      </c>
      <c r="U1801" s="1399">
        <f>IF(raw[[#This Row],[wb]]="w",raw[[#This Row],[stay]]+U1800,U1800)</f>
        <v/>
      </c>
      <c r="V1801" s="1400">
        <f>IF(raw[[#This Row],[out]]=0,V1800,(raw[[#This Row],[out]]-E$5))</f>
        <v/>
      </c>
      <c r="W1801" s="1401">
        <f>U1801/V1801</f>
        <v/>
      </c>
      <c r="X1801" s="1392" t="n"/>
      <c r="Y1801" s="1392" t="n"/>
      <c r="Z1801" s="1392" t="n"/>
      <c r="AA1801" s="1392" t="n"/>
      <c r="AB1801" s="1392" t="n"/>
      <c r="AC1801" s="1392" t="n"/>
      <c r="AD1801" s="1392" t="n"/>
      <c r="AE1801" s="1392" t="n"/>
      <c r="AF1801" s="1392" t="n"/>
      <c r="AG1801" s="1392" t="n"/>
      <c r="AH1801" s="1392" t="n"/>
      <c r="AI1801" s="1392" t="n"/>
      <c r="AJ1801" s="1392" t="n"/>
      <c r="AK1801" s="1392" t="n"/>
      <c r="AL1801" s="1392" t="n"/>
      <c r="AM1801" s="1392" t="n"/>
      <c r="AN1801" s="1392" t="n"/>
      <c r="AO1801" s="1392" t="n"/>
      <c r="AP1801" s="1392" t="n"/>
      <c r="AQ1801" s="1392" t="n"/>
      <c r="AR1801" s="1422" t="n"/>
      <c r="AS1801" s="1422" t="n"/>
      <c r="AT1801" s="1392" t="n"/>
      <c r="AU1801" s="1392" t="n"/>
      <c r="AV1801" s="1392" t="n"/>
      <c r="AW1801" s="1392" t="n"/>
      <c r="AX1801" s="1392" t="n"/>
      <c r="AY1801" s="1392" t="n"/>
      <c r="AZ1801" s="1392" t="n"/>
      <c r="BA1801" s="1422" t="n"/>
      <c r="BB1801" s="1422" t="n"/>
      <c r="BC1801" s="1392" t="n"/>
      <c r="BD1801" s="1392" t="n"/>
      <c r="BE1801" s="1392" t="n"/>
      <c r="BF1801" s="1392" t="n"/>
      <c r="BG1801" s="1392" t="n"/>
      <c r="BH1801" s="1392" t="n"/>
      <c r="BI1801" s="1392" t="n"/>
      <c r="BJ1801" s="1392" t="n"/>
      <c r="BK1801" s="1392" t="n"/>
      <c r="BL1801" s="1392" t="n"/>
      <c r="BM1801" s="1392" t="n"/>
      <c r="BN1801" s="1392" t="n"/>
      <c r="BO1801" s="1392" t="n"/>
      <c r="BP1801" s="1392" t="n"/>
      <c r="BQ1801" s="1392" t="n"/>
      <c r="BR1801" s="1392" t="n"/>
      <c r="BS1801" s="1392" t="n"/>
      <c r="BT1801" s="1392" t="n"/>
      <c r="BU1801" s="1392" t="n"/>
      <c r="BV1801" s="1392" t="n"/>
      <c r="BW1801" s="1392" t="n"/>
      <c r="BX1801" s="1392" t="n"/>
      <c r="BY1801" s="1392" t="n"/>
      <c r="BZ1801" s="1392" t="n"/>
      <c r="CA1801" s="1392" t="n"/>
      <c r="CB1801" s="1392" t="n"/>
      <c r="CC1801" s="1392" t="n"/>
      <c r="CD1801" s="1392" t="n"/>
      <c r="CE1801" s="1392" t="n"/>
      <c r="CF1801" s="1392" t="n"/>
      <c r="CG1801" s="1392" t="n"/>
      <c r="CH1801" s="1392" t="n"/>
      <c r="CI1801" s="1392" t="n"/>
      <c r="CJ1801" s="1392" t="n"/>
      <c r="CK1801" s="1392" t="n"/>
      <c r="CL1801" s="1392" t="n"/>
    </row>
    <row r="1802">
      <c r="A1802" s="5" t="inlineStr">
        <is>
          <t>.</t>
        </is>
      </c>
      <c r="B1802" s="5" t="inlineStr">
        <is>
          <t>.</t>
        </is>
      </c>
      <c r="C1802" s="1378">
        <f>IF(raw[[#This Row],[city]]="","-",IF(raw[[#This Row],[city]]="TODAY","-",C1801+1))</f>
        <v/>
      </c>
      <c r="D1802" s="1393" t="inlineStr">
        <is>
          <t>TODAY</t>
        </is>
      </c>
      <c r="E1802" s="1394">
        <f>F1801</f>
        <v/>
      </c>
      <c r="F1802" s="1394">
        <f>TODAY()</f>
        <v/>
      </c>
      <c r="G1802" s="1393" t="n"/>
      <c r="H1802" s="1393" t="inlineStr">
        <is>
          <t>Joao I</t>
        </is>
      </c>
      <c r="I1802" s="1393" t="n"/>
      <c r="J1802" s="1393" t="n"/>
      <c r="K1802" s="1395">
        <f>IF(raw[[#This Row],[city]]&lt;&gt;"",_xlfn.XLOOKUP($D1802,ccc[city],ccc[prov],"-"),"-")</f>
        <v/>
      </c>
      <c r="L1802" s="1395">
        <f>IF(raw[[#This Row],[city]]&lt;&gt;"",_xlfn.XLOOKUP($D1802,ccc[city],ccc[ctry],"-"),"-")</f>
        <v/>
      </c>
      <c r="M1802" s="1395">
        <f>IF(raw[[#This Row],[city]]&lt;&gt;"",_xlfn.XLOOKUP($D1802,ccc[city],ccc[cont],"-"),"-")</f>
        <v/>
      </c>
      <c r="N1802" s="1396">
        <f>IF(raw[[#This Row],[city]]="","-",IF(raw[[#This Row],[cont]]="B",raw[[#This Row],[cont]],"W"))</f>
        <v/>
      </c>
      <c r="O1802" s="1397">
        <f>IF(raw[[#This Row],[out]]=0,0,IF(raw[[#This Row],[out]]=raw[[#This Row],[in]],0.01,raw[[#This Row],[out]]-raw[[#This Row],[in]]))</f>
        <v/>
      </c>
      <c r="P1802" s="1397">
        <f>IF(raw[[#This Row],[in]]=0,0,MONTH(raw[[#This Row],[in]]))</f>
        <v/>
      </c>
      <c r="Q1802" s="1397">
        <f>IF(raw[[#This Row],[in]]=0,0,YEAR(raw[[#This Row],[in]]))</f>
        <v/>
      </c>
      <c r="R1802" s="1397">
        <f>INT(raw[[#This Row],[yr]]/10)*10</f>
        <v/>
      </c>
      <c r="S1802" s="1395">
        <f>IF(raw[[#This Row],[city]]="","-",IF(raw[[#This Row],[city]]&lt;&gt;_xlfn.XLOOKUP(raw[[#This Row],[home]],homes[home],homes[city],"-"),1,0))</f>
        <v/>
      </c>
      <c r="T1802" s="1398" t="inlineStr">
        <is>
          <t>.</t>
        </is>
      </c>
      <c r="U1802" s="1399">
        <f>IF(raw[[#This Row],[wb]]="w",raw[[#This Row],[stay]]+U1801,U1801)</f>
        <v/>
      </c>
      <c r="V1802" s="1400">
        <f>IF(raw[[#This Row],[out]]=0,V1801,(raw[[#This Row],[out]]-E$5))</f>
        <v/>
      </c>
      <c r="W1802" s="1401">
        <f>U1802/V1802</f>
        <v/>
      </c>
      <c r="X1802" s="1392" t="n"/>
      <c r="Y1802" s="1392" t="n"/>
      <c r="Z1802" s="1392" t="n"/>
      <c r="AA1802" s="1392" t="n"/>
      <c r="AB1802" s="1392" t="n"/>
      <c r="AC1802" s="1392" t="n"/>
      <c r="AD1802" s="1392" t="n"/>
      <c r="AE1802" s="1392" t="n"/>
      <c r="AF1802" s="1392" t="n"/>
      <c r="AG1802" s="1392" t="n"/>
      <c r="AH1802" s="1392" t="n"/>
      <c r="AI1802" s="1392" t="n"/>
      <c r="AJ1802" s="1392" t="n"/>
      <c r="AK1802" s="1392" t="n"/>
      <c r="AL1802" s="1392" t="n"/>
      <c r="AM1802" s="1392" t="n"/>
      <c r="AN1802" s="1392" t="n"/>
      <c r="AO1802" s="1392" t="n"/>
      <c r="AP1802" s="1392" t="n"/>
      <c r="AQ1802" s="1392" t="n"/>
      <c r="AR1802" s="1422" t="n"/>
      <c r="AS1802" s="1422" t="n"/>
      <c r="AT1802" s="1392" t="n"/>
      <c r="AU1802" s="1392" t="n"/>
      <c r="AV1802" s="1392" t="n"/>
      <c r="AW1802" s="1392" t="n"/>
      <c r="AX1802" s="1392" t="n"/>
      <c r="AY1802" s="1392" t="n"/>
      <c r="AZ1802" s="1392" t="n"/>
      <c r="BA1802" s="1422" t="n"/>
      <c r="BB1802" s="1422" t="n"/>
      <c r="BC1802" s="1392" t="n"/>
      <c r="BD1802" s="1392" t="n"/>
      <c r="BE1802" s="1392" t="n"/>
      <c r="BF1802" s="1392" t="n"/>
      <c r="BG1802" s="1392" t="n"/>
      <c r="BH1802" s="1392" t="n"/>
      <c r="BI1802" s="1392" t="n"/>
      <c r="BJ1802" s="1392" t="n"/>
      <c r="BK1802" s="1392" t="n"/>
      <c r="BL1802" s="1392" t="n"/>
      <c r="BM1802" s="1392" t="n"/>
      <c r="BN1802" s="1392" t="n"/>
      <c r="BO1802" s="1392" t="n"/>
      <c r="BP1802" s="1392" t="n"/>
      <c r="BQ1802" s="1392" t="n"/>
      <c r="BR1802" s="1392" t="n"/>
      <c r="BS1802" s="1392" t="n"/>
      <c r="BT1802" s="1392" t="n"/>
      <c r="BU1802" s="1392" t="n"/>
      <c r="BV1802" s="1392" t="n"/>
      <c r="BW1802" s="1392" t="n"/>
      <c r="BX1802" s="1392" t="n"/>
      <c r="BY1802" s="1392" t="n"/>
      <c r="BZ1802" s="1392" t="n"/>
      <c r="CA1802" s="1392" t="n"/>
      <c r="CB1802" s="1392" t="n"/>
      <c r="CC1802" s="1392" t="n"/>
      <c r="CD1802" s="1392" t="n"/>
      <c r="CE1802" s="1392" t="n"/>
      <c r="CF1802" s="1392" t="n"/>
      <c r="CG1802" s="1392" t="n"/>
      <c r="CH1802" s="1392" t="n"/>
      <c r="CI1802" s="1392" t="n"/>
      <c r="CJ1802" s="1392" t="n"/>
      <c r="CK1802" s="1392" t="n"/>
      <c r="CL1802" s="1392" t="n"/>
    </row>
    <row r="1803">
      <c r="A1803" s="5" t="inlineStr">
        <is>
          <t>.</t>
        </is>
      </c>
      <c r="B1803" s="5" t="inlineStr">
        <is>
          <t>.</t>
        </is>
      </c>
      <c r="C1803" s="1378">
        <f>IF(raw[[#This Row],[city]]="","-",IF(raw[[#This Row],[city]]="TODAY","-",C1802+1))</f>
        <v/>
      </c>
      <c r="D1803" s="1393" t="n"/>
      <c r="E1803" s="1394" t="n"/>
      <c r="F1803" s="1394" t="n"/>
      <c r="G1803" s="1393" t="n"/>
      <c r="H1803" s="1393" t="n"/>
      <c r="I1803" s="1393" t="n"/>
      <c r="J1803" s="1393" t="n"/>
      <c r="K1803" s="1395">
        <f>IF(raw[[#This Row],[city]]&lt;&gt;"",_xlfn.XLOOKUP($D1803,ccc[city],ccc[prov],"-"),"-")</f>
        <v/>
      </c>
      <c r="L1803" s="1395">
        <f>IF(raw[[#This Row],[city]]&lt;&gt;"",_xlfn.XLOOKUP($D1803,ccc[city],ccc[ctry],"-"),"-")</f>
        <v/>
      </c>
      <c r="M1803" s="1395">
        <f>IF(raw[[#This Row],[city]]&lt;&gt;"",_xlfn.XLOOKUP($D1803,ccc[city],ccc[cont],"-"),"-")</f>
        <v/>
      </c>
      <c r="N1803" s="1396">
        <f>IF(raw[[#This Row],[city]]="","-",IF(raw[[#This Row],[cont]]="B",raw[[#This Row],[cont]],"W"))</f>
        <v/>
      </c>
      <c r="O1803" s="1397">
        <f>IF(raw[[#This Row],[out]]=0,0,IF(raw[[#This Row],[out]]=raw[[#This Row],[in]],0.01,raw[[#This Row],[out]]-raw[[#This Row],[in]]))</f>
        <v/>
      </c>
      <c r="P1803" s="1397">
        <f>IF(raw[[#This Row],[in]]=0,0,MONTH(raw[[#This Row],[in]]))</f>
        <v/>
      </c>
      <c r="Q1803" s="1397">
        <f>IF(raw[[#This Row],[in]]=0,0,YEAR(raw[[#This Row],[in]]))</f>
        <v/>
      </c>
      <c r="R1803" s="1397">
        <f>INT(raw[[#This Row],[yr]]/10)*10</f>
        <v/>
      </c>
      <c r="S1803" s="1395">
        <f>IF(raw[[#This Row],[city]]="","-",IF(raw[[#This Row],[city]]&lt;&gt;_xlfn.XLOOKUP(raw[[#This Row],[home]],homes[home],homes[city],"-"),1,0))</f>
        <v/>
      </c>
      <c r="T1803" s="1398" t="inlineStr">
        <is>
          <t>.</t>
        </is>
      </c>
      <c r="U1803" s="1399">
        <f>IF(raw[[#This Row],[wb]]="w",raw[[#This Row],[stay]]+U1802,U1802)</f>
        <v/>
      </c>
      <c r="V1803" s="1400">
        <f>IF(raw[[#This Row],[out]]=0,V1802,(raw[[#This Row],[out]]-E$5))</f>
        <v/>
      </c>
      <c r="W1803" s="1401">
        <f>U1803/V1803</f>
        <v/>
      </c>
      <c r="X1803" s="1392" t="n"/>
      <c r="Y1803" s="1392" t="n"/>
      <c r="Z1803" s="1392" t="n"/>
      <c r="AA1803" s="1392" t="n"/>
      <c r="AB1803" s="1392" t="n"/>
      <c r="AC1803" s="1392" t="n"/>
      <c r="AD1803" s="1392" t="n"/>
      <c r="AE1803" s="1392" t="n"/>
      <c r="AF1803" s="1392" t="n"/>
      <c r="AG1803" s="1392" t="n"/>
      <c r="AH1803" s="1392" t="n"/>
      <c r="AI1803" s="1392" t="n"/>
      <c r="AJ1803" s="1392" t="n"/>
      <c r="AK1803" s="1392" t="n"/>
      <c r="AL1803" s="1392" t="n"/>
      <c r="AM1803" s="1392" t="n"/>
      <c r="AN1803" s="1392" t="n"/>
      <c r="AO1803" s="1392" t="n"/>
      <c r="AP1803" s="1392" t="n"/>
      <c r="AQ1803" s="1392" t="n"/>
      <c r="AR1803" s="1422" t="n"/>
      <c r="AS1803" s="1422" t="n"/>
      <c r="AT1803" s="1392" t="n"/>
      <c r="AU1803" s="1392" t="n"/>
      <c r="AV1803" s="1392" t="n"/>
      <c r="AW1803" s="1392" t="n"/>
      <c r="AX1803" s="1392" t="n"/>
      <c r="AY1803" s="1392" t="n"/>
      <c r="AZ1803" s="1392" t="n"/>
      <c r="BA1803" s="1422" t="n"/>
      <c r="BB1803" s="1422" t="n"/>
      <c r="BC1803" s="1392" t="n"/>
      <c r="BD1803" s="1392" t="n"/>
      <c r="BE1803" s="1392" t="n"/>
      <c r="BF1803" s="1392" t="n"/>
      <c r="BG1803" s="1392" t="n"/>
      <c r="BH1803" s="1392" t="n"/>
      <c r="BI1803" s="1392" t="n"/>
      <c r="BJ1803" s="1392" t="n"/>
      <c r="BK1803" s="1392" t="n"/>
      <c r="BL1803" s="1392" t="n"/>
      <c r="BM1803" s="1392" t="n"/>
      <c r="BN1803" s="1392" t="n"/>
      <c r="BO1803" s="1392" t="n"/>
      <c r="BP1803" s="1392" t="n"/>
      <c r="BQ1803" s="1392" t="n"/>
      <c r="BR1803" s="1392" t="n"/>
      <c r="BS1803" s="1392" t="n"/>
      <c r="BT1803" s="1392" t="n"/>
      <c r="BU1803" s="1392" t="n"/>
      <c r="BV1803" s="1392" t="n"/>
      <c r="BW1803" s="1392" t="n"/>
      <c r="BX1803" s="1392" t="n"/>
      <c r="BY1803" s="1392" t="n"/>
      <c r="BZ1803" s="1392" t="n"/>
      <c r="CA1803" s="1392" t="n"/>
      <c r="CB1803" s="1392" t="n"/>
      <c r="CC1803" s="1392" t="n"/>
      <c r="CD1803" s="1392" t="n"/>
      <c r="CE1803" s="1392" t="n"/>
      <c r="CF1803" s="1392" t="n"/>
      <c r="CG1803" s="1392" t="n"/>
      <c r="CH1803" s="1392" t="n"/>
      <c r="CI1803" s="1392" t="n"/>
      <c r="CJ1803" s="1392" t="n"/>
      <c r="CK1803" s="1392" t="n"/>
      <c r="CL1803" s="1392" t="n"/>
    </row>
    <row r="1804">
      <c r="A1804" s="5" t="inlineStr">
        <is>
          <t>.</t>
        </is>
      </c>
      <c r="B1804" s="5" t="inlineStr">
        <is>
          <t>.</t>
        </is>
      </c>
      <c r="C1804" s="1378">
        <f>IF(raw[[#This Row],[city]]="","-",IF(raw[[#This Row],[city]]="TODAY","-",C1803+1))</f>
        <v/>
      </c>
      <c r="D1804" s="1393" t="n"/>
      <c r="E1804" s="1394" t="n"/>
      <c r="F1804" s="1394" t="n"/>
      <c r="G1804" s="1393" t="n"/>
      <c r="H1804" s="1393" t="n"/>
      <c r="I1804" s="1393" t="n"/>
      <c r="J1804" s="1393" t="n"/>
      <c r="K1804" s="1395">
        <f>IF(raw[[#This Row],[city]]&lt;&gt;"",_xlfn.XLOOKUP($D1804,ccc[city],ccc[prov],"-"),"-")</f>
        <v/>
      </c>
      <c r="L1804" s="1395">
        <f>IF(raw[[#This Row],[city]]&lt;&gt;"",_xlfn.XLOOKUP($D1804,ccc[city],ccc[ctry],"-"),"-")</f>
        <v/>
      </c>
      <c r="M1804" s="1395">
        <f>IF(raw[[#This Row],[city]]&lt;&gt;"",_xlfn.XLOOKUP($D1804,ccc[city],ccc[cont],"-"),"-")</f>
        <v/>
      </c>
      <c r="N1804" s="1396">
        <f>IF(raw[[#This Row],[city]]="","-",IF(raw[[#This Row],[cont]]="B",raw[[#This Row],[cont]],"W"))</f>
        <v/>
      </c>
      <c r="O1804" s="1397">
        <f>IF(raw[[#This Row],[out]]=0,0,IF(raw[[#This Row],[out]]=raw[[#This Row],[in]],0.01,raw[[#This Row],[out]]-raw[[#This Row],[in]]))</f>
        <v/>
      </c>
      <c r="P1804" s="1397">
        <f>IF(raw[[#This Row],[in]]=0,0,MONTH(raw[[#This Row],[in]]))</f>
        <v/>
      </c>
      <c r="Q1804" s="1397">
        <f>IF(raw[[#This Row],[in]]=0,0,YEAR(raw[[#This Row],[in]]))</f>
        <v/>
      </c>
      <c r="R1804" s="1397">
        <f>INT(raw[[#This Row],[yr]]/10)*10</f>
        <v/>
      </c>
      <c r="S1804" s="1395">
        <f>IF(raw[[#This Row],[city]]="","-",IF(raw[[#This Row],[city]]&lt;&gt;_xlfn.XLOOKUP(raw[[#This Row],[home]],homes[home],homes[city],"-"),1,0))</f>
        <v/>
      </c>
      <c r="T1804" s="1398" t="inlineStr">
        <is>
          <t>.</t>
        </is>
      </c>
      <c r="U1804" s="1399">
        <f>IF(raw[[#This Row],[wb]]="w",raw[[#This Row],[stay]]+U1803,U1803)</f>
        <v/>
      </c>
      <c r="V1804" s="1400">
        <f>IF(raw[[#This Row],[out]]=0,V1803,(raw[[#This Row],[out]]-E$5))</f>
        <v/>
      </c>
      <c r="W1804" s="1401">
        <f>U1804/V1804</f>
        <v/>
      </c>
      <c r="X1804" s="1392" t="n"/>
      <c r="Y1804" s="1392" t="n"/>
      <c r="Z1804" s="1392" t="n"/>
      <c r="AA1804" s="1392" t="n"/>
      <c r="AB1804" s="1392" t="n"/>
      <c r="AC1804" s="1392" t="n"/>
      <c r="AD1804" s="1392" t="n"/>
      <c r="AE1804" s="1392" t="n"/>
      <c r="AF1804" s="1392" t="n"/>
      <c r="AG1804" s="1392" t="n"/>
      <c r="AH1804" s="1392" t="n"/>
      <c r="AI1804" s="1392" t="n"/>
      <c r="AJ1804" s="1392" t="n"/>
      <c r="AK1804" s="1392" t="n"/>
      <c r="AL1804" s="1392" t="n"/>
      <c r="AM1804" s="1392" t="n"/>
      <c r="AN1804" s="1392" t="n"/>
      <c r="AO1804" s="1392" t="n"/>
      <c r="AP1804" s="1392" t="n"/>
      <c r="AQ1804" s="1392" t="n"/>
      <c r="AR1804" s="1422" t="n"/>
      <c r="AS1804" s="1422" t="n"/>
      <c r="AT1804" s="1392" t="n"/>
      <c r="AU1804" s="1392" t="n"/>
      <c r="AV1804" s="1392" t="n"/>
      <c r="AW1804" s="1392" t="n"/>
      <c r="AX1804" s="1392" t="n"/>
      <c r="AY1804" s="1392" t="n"/>
      <c r="AZ1804" s="1392" t="n"/>
      <c r="BA1804" s="1422" t="n"/>
      <c r="BB1804" s="1422" t="n"/>
      <c r="BC1804" s="1392" t="n"/>
      <c r="BD1804" s="1392" t="n"/>
      <c r="BE1804" s="1392" t="n"/>
      <c r="BF1804" s="1392" t="n"/>
      <c r="BG1804" s="1392" t="n"/>
      <c r="BH1804" s="1392" t="n"/>
      <c r="BI1804" s="1392" t="n"/>
      <c r="BJ1804" s="1392" t="n"/>
      <c r="BK1804" s="1392" t="n"/>
      <c r="BL1804" s="1392" t="n"/>
      <c r="BM1804" s="1392" t="n"/>
      <c r="BN1804" s="1392" t="n"/>
      <c r="BO1804" s="1392" t="n"/>
      <c r="BP1804" s="1392" t="n"/>
      <c r="BQ1804" s="1392" t="n"/>
      <c r="BR1804" s="1392" t="n"/>
      <c r="BS1804" s="1392" t="n"/>
      <c r="BT1804" s="1392" t="n"/>
      <c r="BU1804" s="1392" t="n"/>
      <c r="BV1804" s="1392" t="n"/>
      <c r="BW1804" s="1392" t="n"/>
      <c r="BX1804" s="1392" t="n"/>
      <c r="BY1804" s="1392" t="n"/>
      <c r="BZ1804" s="1392" t="n"/>
      <c r="CA1804" s="1392" t="n"/>
      <c r="CB1804" s="1392" t="n"/>
      <c r="CC1804" s="1392" t="n"/>
      <c r="CD1804" s="1392" t="n"/>
      <c r="CE1804" s="1392" t="n"/>
      <c r="CF1804" s="1392" t="n"/>
      <c r="CG1804" s="1392" t="n"/>
      <c r="CH1804" s="1392" t="n"/>
      <c r="CI1804" s="1392" t="n"/>
      <c r="CJ1804" s="1392" t="n"/>
      <c r="CK1804" s="1392" t="n"/>
      <c r="CL1804" s="1392" t="n"/>
    </row>
    <row r="1805">
      <c r="A1805" s="5" t="inlineStr">
        <is>
          <t>.</t>
        </is>
      </c>
      <c r="B1805" s="5" t="inlineStr">
        <is>
          <t>.</t>
        </is>
      </c>
      <c r="C1805" s="1378">
        <f>IF(raw[[#This Row],[city]]="","-",IF(raw[[#This Row],[city]]="TODAY","-",C1804+1))</f>
        <v/>
      </c>
      <c r="D1805" s="1393" t="n"/>
      <c r="E1805" s="1394" t="n"/>
      <c r="F1805" s="1394" t="n"/>
      <c r="G1805" s="1393" t="n"/>
      <c r="H1805" s="1393" t="n"/>
      <c r="I1805" s="1393" t="n"/>
      <c r="J1805" s="1393" t="n"/>
      <c r="K1805" s="1395">
        <f>IF(raw[[#This Row],[city]]&lt;&gt;"",_xlfn.XLOOKUP($D1805,ccc[city],ccc[prov],"-"),"-")</f>
        <v/>
      </c>
      <c r="L1805" s="1395">
        <f>IF(raw[[#This Row],[city]]&lt;&gt;"",_xlfn.XLOOKUP($D1805,ccc[city],ccc[ctry],"-"),"-")</f>
        <v/>
      </c>
      <c r="M1805" s="1395">
        <f>IF(raw[[#This Row],[city]]&lt;&gt;"",_xlfn.XLOOKUP($D1805,ccc[city],ccc[cont],"-"),"-")</f>
        <v/>
      </c>
      <c r="N1805" s="1396">
        <f>IF(raw[[#This Row],[city]]="","-",IF(raw[[#This Row],[cont]]="B",raw[[#This Row],[cont]],"W"))</f>
        <v/>
      </c>
      <c r="O1805" s="1397">
        <f>IF(raw[[#This Row],[out]]=0,0,IF(raw[[#This Row],[out]]=raw[[#This Row],[in]],0.01,raw[[#This Row],[out]]-raw[[#This Row],[in]]))</f>
        <v/>
      </c>
      <c r="P1805" s="1397">
        <f>IF(raw[[#This Row],[in]]=0,0,MONTH(raw[[#This Row],[in]]))</f>
        <v/>
      </c>
      <c r="Q1805" s="1397">
        <f>IF(raw[[#This Row],[in]]=0,0,YEAR(raw[[#This Row],[in]]))</f>
        <v/>
      </c>
      <c r="R1805" s="1397">
        <f>INT(raw[[#This Row],[yr]]/10)*10</f>
        <v/>
      </c>
      <c r="S1805" s="1395">
        <f>IF(raw[[#This Row],[city]]="","-",IF(raw[[#This Row],[city]]&lt;&gt;_xlfn.XLOOKUP(raw[[#This Row],[home]],homes[home],homes[city],"-"),1,0))</f>
        <v/>
      </c>
      <c r="T1805" s="1398" t="inlineStr">
        <is>
          <t>.</t>
        </is>
      </c>
      <c r="U1805" s="1399">
        <f>IF(raw[[#This Row],[wb]]="w",raw[[#This Row],[stay]]+U1804,U1804)</f>
        <v/>
      </c>
      <c r="V1805" s="1400">
        <f>IF(raw[[#This Row],[out]]=0,V1804,(raw[[#This Row],[out]]-E$5))</f>
        <v/>
      </c>
      <c r="W1805" s="1401">
        <f>U1805/V1805</f>
        <v/>
      </c>
      <c r="X1805" s="1392" t="n"/>
      <c r="Y1805" s="1392" t="n"/>
      <c r="Z1805" s="1392" t="n"/>
      <c r="AA1805" s="1392" t="n"/>
      <c r="AB1805" s="1392" t="n"/>
      <c r="AC1805" s="1392" t="n"/>
      <c r="AD1805" s="1392" t="n"/>
      <c r="AE1805" s="1392" t="n"/>
      <c r="AF1805" s="1392" t="n"/>
      <c r="AG1805" s="1392" t="n"/>
      <c r="AH1805" s="1392" t="n"/>
      <c r="AI1805" s="1392" t="n"/>
      <c r="AJ1805" s="1392" t="n"/>
      <c r="AK1805" s="1392" t="n"/>
      <c r="AL1805" s="1392" t="n"/>
      <c r="AM1805" s="1392" t="n"/>
      <c r="AN1805" s="1392" t="n"/>
      <c r="AO1805" s="1392" t="n"/>
      <c r="AP1805" s="1392" t="n"/>
      <c r="AQ1805" s="1392" t="n"/>
      <c r="AR1805" s="1422" t="n"/>
      <c r="AS1805" s="1422" t="n"/>
      <c r="AT1805" s="1392" t="n"/>
      <c r="AU1805" s="1392" t="n"/>
      <c r="AV1805" s="1392" t="n"/>
      <c r="AW1805" s="1392" t="n"/>
      <c r="AX1805" s="1392" t="n"/>
      <c r="AY1805" s="1392" t="n"/>
      <c r="AZ1805" s="1392" t="n"/>
      <c r="BA1805" s="1422" t="n"/>
      <c r="BB1805" s="1422" t="n"/>
      <c r="BC1805" s="1392" t="n"/>
      <c r="BD1805" s="1392" t="n"/>
      <c r="BE1805" s="1392" t="n"/>
      <c r="BF1805" s="1392" t="n"/>
      <c r="BG1805" s="1392" t="n"/>
      <c r="BH1805" s="1392" t="n"/>
      <c r="BI1805" s="1392" t="n"/>
      <c r="BJ1805" s="1392" t="n"/>
      <c r="BK1805" s="1392" t="n"/>
      <c r="BL1805" s="1392" t="n"/>
      <c r="BM1805" s="1392" t="n"/>
      <c r="BN1805" s="1392" t="n"/>
      <c r="BO1805" s="1392" t="n"/>
      <c r="BP1805" s="1392" t="n"/>
      <c r="BQ1805" s="1392" t="n"/>
      <c r="BR1805" s="1392" t="n"/>
      <c r="BS1805" s="1392" t="n"/>
      <c r="BT1805" s="1392" t="n"/>
      <c r="BU1805" s="1392" t="n"/>
      <c r="BV1805" s="1392" t="n"/>
      <c r="BW1805" s="1392" t="n"/>
      <c r="BX1805" s="1392" t="n"/>
      <c r="BY1805" s="1392" t="n"/>
      <c r="BZ1805" s="1392" t="n"/>
      <c r="CA1805" s="1392" t="n"/>
      <c r="CB1805" s="1392" t="n"/>
      <c r="CC1805" s="1392" t="n"/>
      <c r="CD1805" s="1392" t="n"/>
      <c r="CE1805" s="1392" t="n"/>
      <c r="CF1805" s="1392" t="n"/>
      <c r="CG1805" s="1392" t="n"/>
      <c r="CH1805" s="1392" t="n"/>
      <c r="CI1805" s="1392" t="n"/>
      <c r="CJ1805" s="1392" t="n"/>
      <c r="CK1805" s="1392" t="n"/>
      <c r="CL1805" s="1392" t="n"/>
    </row>
    <row r="1806">
      <c r="A1806" s="5" t="inlineStr">
        <is>
          <t>.</t>
        </is>
      </c>
      <c r="B1806" s="5" t="inlineStr">
        <is>
          <t>.</t>
        </is>
      </c>
      <c r="C1806" s="1378">
        <f>IF(raw[[#This Row],[city]]="","-",IF(raw[[#This Row],[city]]="TODAY","-",C1805+1))</f>
        <v/>
      </c>
      <c r="D1806" s="1393" t="n"/>
      <c r="E1806" s="1394" t="n"/>
      <c r="F1806" s="1394" t="n"/>
      <c r="G1806" s="1393" t="n"/>
      <c r="H1806" s="1393" t="n"/>
      <c r="I1806" s="1393" t="n"/>
      <c r="J1806" s="1393" t="n"/>
      <c r="K1806" s="1395">
        <f>IF(raw[[#This Row],[city]]&lt;&gt;"",_xlfn.XLOOKUP($D1806,ccc[city],ccc[prov],"-"),"-")</f>
        <v/>
      </c>
      <c r="L1806" s="1395">
        <f>IF(raw[[#This Row],[city]]&lt;&gt;"",_xlfn.XLOOKUP($D1806,ccc[city],ccc[ctry],"-"),"-")</f>
        <v/>
      </c>
      <c r="M1806" s="1395">
        <f>IF(raw[[#This Row],[city]]&lt;&gt;"",_xlfn.XLOOKUP($D1806,ccc[city],ccc[cont],"-"),"-")</f>
        <v/>
      </c>
      <c r="N1806" s="1396">
        <f>IF(raw[[#This Row],[city]]="","-",IF(raw[[#This Row],[cont]]="B",raw[[#This Row],[cont]],"W"))</f>
        <v/>
      </c>
      <c r="O1806" s="1397">
        <f>IF(raw[[#This Row],[out]]=0,0,IF(raw[[#This Row],[out]]=raw[[#This Row],[in]],0.01,raw[[#This Row],[out]]-raw[[#This Row],[in]]))</f>
        <v/>
      </c>
      <c r="P1806" s="1397">
        <f>IF(raw[[#This Row],[in]]=0,0,MONTH(raw[[#This Row],[in]]))</f>
        <v/>
      </c>
      <c r="Q1806" s="1397">
        <f>IF(raw[[#This Row],[in]]=0,0,YEAR(raw[[#This Row],[in]]))</f>
        <v/>
      </c>
      <c r="R1806" s="1397">
        <f>INT(raw[[#This Row],[yr]]/10)*10</f>
        <v/>
      </c>
      <c r="S1806" s="1395">
        <f>IF(raw[[#This Row],[city]]="","-",IF(raw[[#This Row],[city]]&lt;&gt;_xlfn.XLOOKUP(raw[[#This Row],[home]],homes[home],homes[city],"-"),1,0))</f>
        <v/>
      </c>
      <c r="T1806" s="1398" t="inlineStr">
        <is>
          <t>.</t>
        </is>
      </c>
      <c r="U1806" s="1399">
        <f>IF(raw[[#This Row],[wb]]="w",raw[[#This Row],[stay]]+U1805,U1805)</f>
        <v/>
      </c>
      <c r="V1806" s="1400">
        <f>IF(raw[[#This Row],[out]]=0,V1805,(raw[[#This Row],[out]]-E$5))</f>
        <v/>
      </c>
      <c r="W1806" s="1401">
        <f>U1806/V1806</f>
        <v/>
      </c>
      <c r="X1806" s="1392" t="n"/>
      <c r="Y1806" s="1392" t="n"/>
      <c r="Z1806" s="1392" t="n"/>
      <c r="AA1806" s="1392" t="n"/>
      <c r="AB1806" s="1392" t="n"/>
      <c r="AC1806" s="1392" t="n"/>
      <c r="AD1806" s="1392" t="n"/>
      <c r="AE1806" s="1392" t="n"/>
      <c r="AF1806" s="1392" t="n"/>
      <c r="AG1806" s="1392" t="n"/>
      <c r="AH1806" s="1392" t="n"/>
      <c r="AI1806" s="1392" t="n"/>
      <c r="AJ1806" s="1392" t="n"/>
      <c r="AK1806" s="1392" t="n"/>
      <c r="AL1806" s="1392" t="n"/>
      <c r="AM1806" s="1392" t="n"/>
      <c r="AN1806" s="1392" t="n"/>
      <c r="AO1806" s="1392" t="n"/>
      <c r="AP1806" s="1392" t="n"/>
      <c r="AQ1806" s="1392" t="n"/>
      <c r="AR1806" s="1422" t="n"/>
      <c r="AS1806" s="1422" t="n"/>
      <c r="AT1806" s="1392" t="n"/>
      <c r="AU1806" s="1392" t="n"/>
      <c r="AV1806" s="1392" t="n"/>
      <c r="AW1806" s="1392" t="n"/>
      <c r="AX1806" s="1392" t="n"/>
      <c r="AY1806" s="1392" t="n"/>
      <c r="AZ1806" s="1392" t="n"/>
      <c r="BA1806" s="1422" t="n"/>
      <c r="BB1806" s="1422" t="n"/>
      <c r="BC1806" s="1392" t="n"/>
      <c r="BD1806" s="1392" t="n"/>
      <c r="BE1806" s="1392" t="n"/>
      <c r="BF1806" s="1392" t="n"/>
      <c r="BG1806" s="1392" t="n"/>
      <c r="BH1806" s="1392" t="n"/>
      <c r="BI1806" s="1392" t="n"/>
      <c r="BJ1806" s="1392" t="n"/>
      <c r="BK1806" s="1392" t="n"/>
      <c r="BL1806" s="1392" t="n"/>
      <c r="BM1806" s="1392" t="n"/>
      <c r="BN1806" s="1392" t="n"/>
      <c r="BO1806" s="1392" t="n"/>
      <c r="BP1806" s="1392" t="n"/>
      <c r="BQ1806" s="1392" t="n"/>
      <c r="BR1806" s="1392" t="n"/>
      <c r="BS1806" s="1392" t="n"/>
      <c r="BT1806" s="1392" t="n"/>
      <c r="BU1806" s="1392" t="n"/>
      <c r="BV1806" s="1392" t="n"/>
      <c r="BW1806" s="1392" t="n"/>
      <c r="BX1806" s="1392" t="n"/>
      <c r="BY1806" s="1392" t="n"/>
      <c r="BZ1806" s="1392" t="n"/>
      <c r="CA1806" s="1392" t="n"/>
      <c r="CB1806" s="1392" t="n"/>
      <c r="CC1806" s="1392" t="n"/>
      <c r="CD1806" s="1392" t="n"/>
      <c r="CE1806" s="1392" t="n"/>
      <c r="CF1806" s="1392" t="n"/>
      <c r="CG1806" s="1392" t="n"/>
      <c r="CH1806" s="1392" t="n"/>
      <c r="CI1806" s="1392" t="n"/>
      <c r="CJ1806" s="1392" t="n"/>
      <c r="CK1806" s="1392" t="n"/>
      <c r="CL1806" s="1392" t="n"/>
    </row>
    <row r="1807">
      <c r="A1807" s="5" t="inlineStr">
        <is>
          <t>.</t>
        </is>
      </c>
      <c r="B1807" s="5" t="inlineStr">
        <is>
          <t>.</t>
        </is>
      </c>
      <c r="C1807" s="1378">
        <f>IF(raw[[#This Row],[city]]="","-",IF(raw[[#This Row],[city]]="TODAY","-",C1806+1))</f>
        <v/>
      </c>
      <c r="D1807" s="1393" t="n"/>
      <c r="E1807" s="1394" t="n"/>
      <c r="F1807" s="1394" t="n"/>
      <c r="G1807" s="1393" t="n"/>
      <c r="H1807" s="1393" t="n"/>
      <c r="I1807" s="1393" t="n"/>
      <c r="J1807" s="1393" t="n"/>
      <c r="K1807" s="1395">
        <f>IF(raw[[#This Row],[city]]&lt;&gt;"",_xlfn.XLOOKUP($D1807,ccc[city],ccc[prov],"-"),"-")</f>
        <v/>
      </c>
      <c r="L1807" s="1395">
        <f>IF(raw[[#This Row],[city]]&lt;&gt;"",_xlfn.XLOOKUP($D1807,ccc[city],ccc[ctry],"-"),"-")</f>
        <v/>
      </c>
      <c r="M1807" s="1395">
        <f>IF(raw[[#This Row],[city]]&lt;&gt;"",_xlfn.XLOOKUP($D1807,ccc[city],ccc[cont],"-"),"-")</f>
        <v/>
      </c>
      <c r="N1807" s="1396">
        <f>IF(raw[[#This Row],[city]]="","-",IF(raw[[#This Row],[cont]]="B",raw[[#This Row],[cont]],"W"))</f>
        <v/>
      </c>
      <c r="O1807" s="1397">
        <f>IF(raw[[#This Row],[out]]=0,0,IF(raw[[#This Row],[out]]=raw[[#This Row],[in]],0.01,raw[[#This Row],[out]]-raw[[#This Row],[in]]))</f>
        <v/>
      </c>
      <c r="P1807" s="1397">
        <f>IF(raw[[#This Row],[in]]=0,0,MONTH(raw[[#This Row],[in]]))</f>
        <v/>
      </c>
      <c r="Q1807" s="1397">
        <f>IF(raw[[#This Row],[in]]=0,0,YEAR(raw[[#This Row],[in]]))</f>
        <v/>
      </c>
      <c r="R1807" s="1397">
        <f>INT(raw[[#This Row],[yr]]/10)*10</f>
        <v/>
      </c>
      <c r="S1807" s="1395">
        <f>IF(raw[[#This Row],[city]]="","-",IF(raw[[#This Row],[city]]&lt;&gt;_xlfn.XLOOKUP(raw[[#This Row],[home]],homes[home],homes[city],"-"),1,0))</f>
        <v/>
      </c>
      <c r="T1807" s="1398" t="inlineStr">
        <is>
          <t>.</t>
        </is>
      </c>
      <c r="U1807" s="1399">
        <f>IF(raw[[#This Row],[wb]]="w",raw[[#This Row],[stay]]+U1806,U1806)</f>
        <v/>
      </c>
      <c r="V1807" s="1400">
        <f>IF(raw[[#This Row],[out]]=0,V1806,(raw[[#This Row],[out]]-E$5))</f>
        <v/>
      </c>
      <c r="W1807" s="1401">
        <f>U1807/V1807</f>
        <v/>
      </c>
      <c r="X1807" s="1392" t="n"/>
      <c r="Y1807" s="1392" t="n"/>
      <c r="Z1807" s="1392" t="n"/>
      <c r="AA1807" s="1392" t="n"/>
      <c r="AB1807" s="1392" t="n"/>
      <c r="AC1807" s="1392" t="n"/>
      <c r="AD1807" s="1392" t="n"/>
      <c r="AE1807" s="1392" t="n"/>
      <c r="AF1807" s="1392" t="n"/>
      <c r="AG1807" s="1392" t="n"/>
      <c r="AH1807" s="1392" t="n"/>
      <c r="AI1807" s="1392" t="n"/>
      <c r="AJ1807" s="1392" t="n"/>
      <c r="AK1807" s="1392" t="n"/>
      <c r="AL1807" s="1392" t="n"/>
      <c r="AM1807" s="1392" t="n"/>
      <c r="AN1807" s="1392" t="n"/>
      <c r="AO1807" s="1392" t="n"/>
      <c r="AP1807" s="1392" t="n"/>
      <c r="AQ1807" s="1392" t="n"/>
      <c r="AR1807" s="1422" t="n"/>
      <c r="AS1807" s="1422" t="n"/>
      <c r="AT1807" s="1392" t="n"/>
      <c r="AU1807" s="1392" t="n"/>
      <c r="AV1807" s="1392" t="n"/>
      <c r="AW1807" s="1392" t="n"/>
      <c r="AX1807" s="1392" t="n"/>
      <c r="AY1807" s="1392" t="n"/>
      <c r="AZ1807" s="1392" t="n"/>
      <c r="BA1807" s="1422" t="n"/>
      <c r="BB1807" s="1422" t="n"/>
      <c r="BC1807" s="1392" t="n"/>
      <c r="BD1807" s="1392" t="n"/>
      <c r="BE1807" s="1392" t="n"/>
      <c r="BF1807" s="1392" t="n"/>
      <c r="BG1807" s="1392" t="n"/>
      <c r="BH1807" s="1392" t="n"/>
      <c r="BI1807" s="1392" t="n"/>
      <c r="BJ1807" s="1392" t="n"/>
      <c r="BK1807" s="1392" t="n"/>
      <c r="BL1807" s="1392" t="n"/>
      <c r="BM1807" s="1392" t="n"/>
      <c r="BN1807" s="1392" t="n"/>
      <c r="BO1807" s="1392" t="n"/>
      <c r="BP1807" s="1392" t="n"/>
      <c r="BQ1807" s="1392" t="n"/>
      <c r="BR1807" s="1392" t="n"/>
      <c r="BS1807" s="1392" t="n"/>
      <c r="BT1807" s="1392" t="n"/>
      <c r="BU1807" s="1392" t="n"/>
      <c r="BV1807" s="1392" t="n"/>
      <c r="BW1807" s="1392" t="n"/>
      <c r="BX1807" s="1392" t="n"/>
      <c r="BY1807" s="1392" t="n"/>
      <c r="BZ1807" s="1392" t="n"/>
      <c r="CA1807" s="1392" t="n"/>
      <c r="CB1807" s="1392" t="n"/>
      <c r="CC1807" s="1392" t="n"/>
      <c r="CD1807" s="1392" t="n"/>
      <c r="CE1807" s="1392" t="n"/>
      <c r="CF1807" s="1392" t="n"/>
      <c r="CG1807" s="1392" t="n"/>
      <c r="CH1807" s="1392" t="n"/>
      <c r="CI1807" s="1392" t="n"/>
      <c r="CJ1807" s="1392" t="n"/>
      <c r="CK1807" s="1392" t="n"/>
      <c r="CL1807" s="1392" t="n"/>
    </row>
    <row r="1808">
      <c r="A1808" s="5" t="inlineStr">
        <is>
          <t>.</t>
        </is>
      </c>
      <c r="B1808" s="5" t="inlineStr">
        <is>
          <t>.</t>
        </is>
      </c>
      <c r="C1808" s="1378">
        <f>IF(raw[[#This Row],[city]]="","-",IF(raw[[#This Row],[city]]="TODAY","-",C1807+1))</f>
        <v/>
      </c>
      <c r="D1808" s="1393" t="n"/>
      <c r="E1808" s="1394" t="n"/>
      <c r="F1808" s="1394" t="n"/>
      <c r="G1808" s="1393" t="n"/>
      <c r="H1808" s="1393" t="n"/>
      <c r="I1808" s="1393" t="n"/>
      <c r="J1808" s="1393" t="n"/>
      <c r="K1808" s="1395">
        <f>IF(raw[[#This Row],[city]]&lt;&gt;"",_xlfn.XLOOKUP($D1808,ccc[city],ccc[prov],"-"),"-")</f>
        <v/>
      </c>
      <c r="L1808" s="1395">
        <f>IF(raw[[#This Row],[city]]&lt;&gt;"",_xlfn.XLOOKUP($D1808,ccc[city],ccc[ctry],"-"),"-")</f>
        <v/>
      </c>
      <c r="M1808" s="1395">
        <f>IF(raw[[#This Row],[city]]&lt;&gt;"",_xlfn.XLOOKUP($D1808,ccc[city],ccc[cont],"-"),"-")</f>
        <v/>
      </c>
      <c r="N1808" s="1396">
        <f>IF(raw[[#This Row],[city]]="","-",IF(raw[[#This Row],[cont]]="B",raw[[#This Row],[cont]],"W"))</f>
        <v/>
      </c>
      <c r="O1808" s="1397">
        <f>IF(raw[[#This Row],[out]]=0,0,IF(raw[[#This Row],[out]]=raw[[#This Row],[in]],0.01,raw[[#This Row],[out]]-raw[[#This Row],[in]]))</f>
        <v/>
      </c>
      <c r="P1808" s="1397">
        <f>IF(raw[[#This Row],[in]]=0,0,MONTH(raw[[#This Row],[in]]))</f>
        <v/>
      </c>
      <c r="Q1808" s="1397">
        <f>IF(raw[[#This Row],[in]]=0,0,YEAR(raw[[#This Row],[in]]))</f>
        <v/>
      </c>
      <c r="R1808" s="1397">
        <f>INT(raw[[#This Row],[yr]]/10)*10</f>
        <v/>
      </c>
      <c r="S1808" s="1395">
        <f>IF(raw[[#This Row],[city]]="","-",IF(raw[[#This Row],[city]]&lt;&gt;_xlfn.XLOOKUP(raw[[#This Row],[home]],homes[home],homes[city],"-"),1,0))</f>
        <v/>
      </c>
      <c r="T1808" s="1398" t="inlineStr">
        <is>
          <t>.</t>
        </is>
      </c>
      <c r="U1808" s="1399">
        <f>IF(raw[[#This Row],[wb]]="w",raw[[#This Row],[stay]]+U1807,U1807)</f>
        <v/>
      </c>
      <c r="V1808" s="1400">
        <f>IF(raw[[#This Row],[out]]=0,V1807,(raw[[#This Row],[out]]-E$5))</f>
        <v/>
      </c>
      <c r="W1808" s="1401">
        <f>U1808/V1808</f>
        <v/>
      </c>
      <c r="X1808" s="1392" t="n"/>
      <c r="Y1808" s="1392" t="n"/>
      <c r="Z1808" s="1392" t="n"/>
      <c r="AA1808" s="1392" t="n"/>
      <c r="AB1808" s="1392" t="n"/>
      <c r="AC1808" s="1392" t="n"/>
      <c r="AD1808" s="1392" t="n"/>
      <c r="AE1808" s="1392" t="n"/>
      <c r="AF1808" s="1392" t="n"/>
      <c r="AG1808" s="1392" t="n"/>
      <c r="AH1808" s="1392" t="n"/>
      <c r="AI1808" s="1392" t="n"/>
      <c r="AJ1808" s="1392" t="n"/>
      <c r="AK1808" s="1392" t="n"/>
      <c r="AL1808" s="1392" t="n"/>
      <c r="AM1808" s="1392" t="n"/>
      <c r="AN1808" s="1392" t="n"/>
      <c r="AO1808" s="1392" t="n"/>
      <c r="AP1808" s="1392" t="n"/>
      <c r="AQ1808" s="1392" t="n"/>
      <c r="AR1808" s="1422" t="n"/>
      <c r="AS1808" s="1422" t="n"/>
      <c r="AT1808" s="1392" t="n"/>
      <c r="AU1808" s="1392" t="n"/>
      <c r="AV1808" s="1392" t="n"/>
      <c r="AW1808" s="1392" t="n"/>
      <c r="AX1808" s="1392" t="n"/>
      <c r="AY1808" s="1392" t="n"/>
      <c r="AZ1808" s="1392" t="n"/>
      <c r="BA1808" s="1422" t="n"/>
      <c r="BB1808" s="1422" t="n"/>
      <c r="BC1808" s="1392" t="n"/>
      <c r="BD1808" s="1392" t="n"/>
      <c r="BE1808" s="1392" t="n"/>
      <c r="BF1808" s="1392" t="n"/>
      <c r="BG1808" s="1392" t="n"/>
      <c r="BH1808" s="1392" t="n"/>
      <c r="BI1808" s="1392" t="n"/>
      <c r="BJ1808" s="1392" t="n"/>
      <c r="BK1808" s="1392" t="n"/>
      <c r="BL1808" s="1392" t="n"/>
      <c r="BM1808" s="1392" t="n"/>
      <c r="BN1808" s="1392" t="n"/>
      <c r="BO1808" s="1392" t="n"/>
      <c r="BP1808" s="1392" t="n"/>
      <c r="BQ1808" s="1392" t="n"/>
      <c r="BR1808" s="1392" t="n"/>
      <c r="BS1808" s="1392" t="n"/>
      <c r="BT1808" s="1392" t="n"/>
      <c r="BU1808" s="1392" t="n"/>
      <c r="BV1808" s="1392" t="n"/>
      <c r="BW1808" s="1392" t="n"/>
      <c r="BX1808" s="1392" t="n"/>
      <c r="BY1808" s="1392" t="n"/>
      <c r="BZ1808" s="1392" t="n"/>
      <c r="CA1808" s="1392" t="n"/>
      <c r="CB1808" s="1392" t="n"/>
      <c r="CC1808" s="1392" t="n"/>
      <c r="CD1808" s="1392" t="n"/>
      <c r="CE1808" s="1392" t="n"/>
      <c r="CF1808" s="1392" t="n"/>
      <c r="CG1808" s="1392" t="n"/>
      <c r="CH1808" s="1392" t="n"/>
      <c r="CI1808" s="1392" t="n"/>
      <c r="CJ1808" s="1392" t="n"/>
      <c r="CK1808" s="1392" t="n"/>
      <c r="CL1808" s="1392" t="n"/>
    </row>
    <row r="1809">
      <c r="A1809" s="5" t="inlineStr">
        <is>
          <t>.</t>
        </is>
      </c>
      <c r="B1809" s="5" t="inlineStr">
        <is>
          <t>.</t>
        </is>
      </c>
      <c r="C1809" s="1378">
        <f>IF(raw[[#This Row],[city]]="","-",IF(raw[[#This Row],[city]]="TODAY","-",C1808+1))</f>
        <v/>
      </c>
      <c r="D1809" s="1393" t="n"/>
      <c r="E1809" s="1394" t="n"/>
      <c r="F1809" s="1394" t="n"/>
      <c r="G1809" s="1393" t="n"/>
      <c r="H1809" s="1393" t="n"/>
      <c r="I1809" s="1393" t="n"/>
      <c r="J1809" s="1393" t="n"/>
      <c r="K1809" s="1395">
        <f>IF(raw[[#This Row],[city]]&lt;&gt;"",_xlfn.XLOOKUP($D1809,ccc[city],ccc[prov],"-"),"-")</f>
        <v/>
      </c>
      <c r="L1809" s="1395">
        <f>IF(raw[[#This Row],[city]]&lt;&gt;"",_xlfn.XLOOKUP($D1809,ccc[city],ccc[ctry],"-"),"-")</f>
        <v/>
      </c>
      <c r="M1809" s="1395">
        <f>IF(raw[[#This Row],[city]]&lt;&gt;"",_xlfn.XLOOKUP($D1809,ccc[city],ccc[cont],"-"),"-")</f>
        <v/>
      </c>
      <c r="N1809" s="1396">
        <f>IF(raw[[#This Row],[city]]="","-",IF(raw[[#This Row],[cont]]="B",raw[[#This Row],[cont]],"W"))</f>
        <v/>
      </c>
      <c r="O1809" s="1397">
        <f>IF(raw[[#This Row],[out]]=0,0,IF(raw[[#This Row],[out]]=raw[[#This Row],[in]],0.01,raw[[#This Row],[out]]-raw[[#This Row],[in]]))</f>
        <v/>
      </c>
      <c r="P1809" s="1397">
        <f>IF(raw[[#This Row],[in]]=0,0,MONTH(raw[[#This Row],[in]]))</f>
        <v/>
      </c>
      <c r="Q1809" s="1397">
        <f>IF(raw[[#This Row],[in]]=0,0,YEAR(raw[[#This Row],[in]]))</f>
        <v/>
      </c>
      <c r="R1809" s="1397">
        <f>INT(raw[[#This Row],[yr]]/10)*10</f>
        <v/>
      </c>
      <c r="S1809" s="1395">
        <f>IF(raw[[#This Row],[city]]="","-",IF(raw[[#This Row],[city]]&lt;&gt;_xlfn.XLOOKUP(raw[[#This Row],[home]],homes[home],homes[city],"-"),1,0))</f>
        <v/>
      </c>
      <c r="T1809" s="1398" t="inlineStr">
        <is>
          <t>.</t>
        </is>
      </c>
      <c r="U1809" s="1399">
        <f>IF(raw[[#This Row],[wb]]="w",raw[[#This Row],[stay]]+U1808,U1808)</f>
        <v/>
      </c>
      <c r="V1809" s="1400">
        <f>IF(raw[[#This Row],[out]]=0,V1808,(raw[[#This Row],[out]]-E$5))</f>
        <v/>
      </c>
      <c r="W1809" s="1401">
        <f>U1809/V1809</f>
        <v/>
      </c>
      <c r="X1809" s="1392" t="n"/>
      <c r="Y1809" s="1392" t="n"/>
      <c r="Z1809" s="1392" t="n"/>
      <c r="AA1809" s="1392" t="n"/>
      <c r="AB1809" s="1392" t="n"/>
      <c r="AC1809" s="1392" t="n"/>
      <c r="AD1809" s="1392" t="n"/>
      <c r="AE1809" s="1392" t="n"/>
      <c r="AF1809" s="1392" t="n"/>
      <c r="AG1809" s="1392" t="n"/>
      <c r="AH1809" s="1392" t="n"/>
      <c r="AI1809" s="1392" t="n"/>
      <c r="AJ1809" s="1392" t="n"/>
      <c r="AK1809" s="1392" t="n"/>
      <c r="AL1809" s="1392" t="n"/>
      <c r="AM1809" s="1392" t="n"/>
      <c r="AN1809" s="1392" t="n"/>
      <c r="AO1809" s="1392" t="n"/>
      <c r="AP1809" s="1392" t="n"/>
      <c r="AQ1809" s="1392" t="n"/>
      <c r="AR1809" s="1422" t="n"/>
      <c r="AS1809" s="1422" t="n"/>
      <c r="AT1809" s="1392" t="n"/>
      <c r="AU1809" s="1392" t="n"/>
      <c r="AV1809" s="1392" t="n"/>
      <c r="AW1809" s="1392" t="n"/>
      <c r="AX1809" s="1392" t="n"/>
      <c r="AY1809" s="1392" t="n"/>
      <c r="AZ1809" s="1392" t="n"/>
      <c r="BA1809" s="1422" t="n"/>
      <c r="BB1809" s="1422" t="n"/>
      <c r="BC1809" s="1392" t="n"/>
      <c r="BD1809" s="1392" t="n"/>
      <c r="BE1809" s="1392" t="n"/>
      <c r="BF1809" s="1392" t="n"/>
      <c r="BG1809" s="1392" t="n"/>
      <c r="BH1809" s="1392" t="n"/>
      <c r="BI1809" s="1392" t="n"/>
      <c r="BJ1809" s="1392" t="n"/>
      <c r="BK1809" s="1392" t="n"/>
      <c r="BL1809" s="1392" t="n"/>
      <c r="BM1809" s="1392" t="n"/>
      <c r="BN1809" s="1392" t="n"/>
      <c r="BO1809" s="1392" t="n"/>
      <c r="BP1809" s="1392" t="n"/>
      <c r="BQ1809" s="1392" t="n"/>
      <c r="BR1809" s="1392" t="n"/>
      <c r="BS1809" s="1392" t="n"/>
      <c r="BT1809" s="1392" t="n"/>
      <c r="BU1809" s="1392" t="n"/>
      <c r="BV1809" s="1392" t="n"/>
      <c r="BW1809" s="1392" t="n"/>
      <c r="BX1809" s="1392" t="n"/>
      <c r="BY1809" s="1392" t="n"/>
      <c r="BZ1809" s="1392" t="n"/>
      <c r="CA1809" s="1392" t="n"/>
      <c r="CB1809" s="1392" t="n"/>
      <c r="CC1809" s="1392" t="n"/>
      <c r="CD1809" s="1392" t="n"/>
      <c r="CE1809" s="1392" t="n"/>
      <c r="CF1809" s="1392" t="n"/>
      <c r="CG1809" s="1392" t="n"/>
      <c r="CH1809" s="1392" t="n"/>
      <c r="CI1809" s="1392" t="n"/>
      <c r="CJ1809" s="1392" t="n"/>
      <c r="CK1809" s="1392" t="n"/>
      <c r="CL1809" s="1392" t="n"/>
    </row>
    <row r="1810">
      <c r="A1810" s="5" t="inlineStr">
        <is>
          <t>.</t>
        </is>
      </c>
      <c r="B1810" s="5" t="inlineStr">
        <is>
          <t>.</t>
        </is>
      </c>
      <c r="C1810" s="1378">
        <f>IF(raw[[#This Row],[city]]="","-",IF(raw[[#This Row],[city]]="TODAY","-",C1809+1))</f>
        <v/>
      </c>
      <c r="D1810" s="1393" t="n"/>
      <c r="E1810" s="1394" t="n"/>
      <c r="F1810" s="1394" t="n"/>
      <c r="G1810" s="1393" t="n"/>
      <c r="H1810" s="1393" t="n"/>
      <c r="I1810" s="1393" t="n"/>
      <c r="J1810" s="1393" t="n"/>
      <c r="K1810" s="1395">
        <f>IF(raw[[#This Row],[city]]&lt;&gt;"",_xlfn.XLOOKUP($D1810,ccc[city],ccc[prov],"-"),"-")</f>
        <v/>
      </c>
      <c r="L1810" s="1395">
        <f>IF(raw[[#This Row],[city]]&lt;&gt;"",_xlfn.XLOOKUP($D1810,ccc[city],ccc[ctry],"-"),"-")</f>
        <v/>
      </c>
      <c r="M1810" s="1395">
        <f>IF(raw[[#This Row],[city]]&lt;&gt;"",_xlfn.XLOOKUP($D1810,ccc[city],ccc[cont],"-"),"-")</f>
        <v/>
      </c>
      <c r="N1810" s="1396">
        <f>IF(raw[[#This Row],[city]]="","-",IF(raw[[#This Row],[cont]]="B",raw[[#This Row],[cont]],"W"))</f>
        <v/>
      </c>
      <c r="O1810" s="1397">
        <f>IF(raw[[#This Row],[out]]=0,0,IF(raw[[#This Row],[out]]=raw[[#This Row],[in]],0.01,raw[[#This Row],[out]]-raw[[#This Row],[in]]))</f>
        <v/>
      </c>
      <c r="P1810" s="1397">
        <f>IF(raw[[#This Row],[in]]=0,0,MONTH(raw[[#This Row],[in]]))</f>
        <v/>
      </c>
      <c r="Q1810" s="1397">
        <f>IF(raw[[#This Row],[in]]=0,0,YEAR(raw[[#This Row],[in]]))</f>
        <v/>
      </c>
      <c r="R1810" s="1397">
        <f>INT(raw[[#This Row],[yr]]/10)*10</f>
        <v/>
      </c>
      <c r="S1810" s="1395">
        <f>IF(raw[[#This Row],[city]]="","-",IF(raw[[#This Row],[city]]&lt;&gt;_xlfn.XLOOKUP(raw[[#This Row],[home]],homes[home],homes[city],"-"),1,0))</f>
        <v/>
      </c>
      <c r="T1810" s="1398" t="inlineStr">
        <is>
          <t>.</t>
        </is>
      </c>
      <c r="U1810" s="1399">
        <f>IF(raw[[#This Row],[wb]]="w",raw[[#This Row],[stay]]+U1809,U1809)</f>
        <v/>
      </c>
      <c r="V1810" s="1400">
        <f>IF(raw[[#This Row],[out]]=0,V1809,(raw[[#This Row],[out]]-E$5))</f>
        <v/>
      </c>
      <c r="W1810" s="1401">
        <f>U1810/V1810</f>
        <v/>
      </c>
      <c r="X1810" s="1392" t="n"/>
      <c r="Y1810" s="1392" t="n"/>
      <c r="Z1810" s="1392" t="n"/>
      <c r="AA1810" s="1392" t="n"/>
      <c r="AB1810" s="1392" t="n"/>
      <c r="AC1810" s="1392" t="n"/>
      <c r="AD1810" s="1392" t="n"/>
      <c r="AE1810" s="1392" t="n"/>
      <c r="AF1810" s="1392" t="n"/>
      <c r="AG1810" s="1392" t="n"/>
      <c r="AH1810" s="1392" t="n"/>
      <c r="AI1810" s="1392" t="n"/>
      <c r="AJ1810" s="1392" t="n"/>
      <c r="AK1810" s="1392" t="n"/>
      <c r="AL1810" s="1392" t="n"/>
      <c r="AM1810" s="1392" t="n"/>
      <c r="AN1810" s="1392" t="n"/>
      <c r="AO1810" s="1392" t="n"/>
      <c r="AP1810" s="1392" t="n"/>
      <c r="AQ1810" s="1392" t="n"/>
      <c r="AR1810" s="1422" t="n"/>
      <c r="AS1810" s="1422" t="n"/>
      <c r="AT1810" s="1392" t="n"/>
      <c r="AU1810" s="1392" t="n"/>
      <c r="AV1810" s="1392" t="n"/>
      <c r="AW1810" s="1392" t="n"/>
      <c r="AX1810" s="1392" t="n"/>
      <c r="AY1810" s="1392" t="n"/>
      <c r="AZ1810" s="1392" t="n"/>
      <c r="BA1810" s="1422" t="n"/>
      <c r="BB1810" s="1422" t="n"/>
      <c r="BC1810" s="1392" t="n"/>
      <c r="BD1810" s="1392" t="n"/>
      <c r="BE1810" s="1392" t="n"/>
      <c r="BF1810" s="1392" t="n"/>
      <c r="BG1810" s="1392" t="n"/>
      <c r="BH1810" s="1392" t="n"/>
      <c r="BI1810" s="1392" t="n"/>
      <c r="BJ1810" s="1392" t="n"/>
      <c r="BK1810" s="1392" t="n"/>
      <c r="BL1810" s="1392" t="n"/>
      <c r="BM1810" s="1392" t="n"/>
      <c r="BN1810" s="1392" t="n"/>
      <c r="BO1810" s="1392" t="n"/>
      <c r="BP1810" s="1392" t="n"/>
      <c r="BQ1810" s="1392" t="n"/>
      <c r="BR1810" s="1392" t="n"/>
      <c r="BS1810" s="1392" t="n"/>
      <c r="BT1810" s="1392" t="n"/>
      <c r="BU1810" s="1392" t="n"/>
      <c r="BV1810" s="1392" t="n"/>
      <c r="BW1810" s="1392" t="n"/>
      <c r="BX1810" s="1392" t="n"/>
      <c r="BY1810" s="1392" t="n"/>
      <c r="BZ1810" s="1392" t="n"/>
      <c r="CA1810" s="1392" t="n"/>
      <c r="CB1810" s="1392" t="n"/>
      <c r="CC1810" s="1392" t="n"/>
      <c r="CD1810" s="1392" t="n"/>
      <c r="CE1810" s="1392" t="n"/>
      <c r="CF1810" s="1392" t="n"/>
      <c r="CG1810" s="1392" t="n"/>
      <c r="CH1810" s="1392" t="n"/>
      <c r="CI1810" s="1392" t="n"/>
      <c r="CJ1810" s="1392" t="n"/>
      <c r="CK1810" s="1392" t="n"/>
      <c r="CL1810" s="1392" t="n"/>
    </row>
    <row r="1811">
      <c r="A1811" s="5" t="inlineStr">
        <is>
          <t>.</t>
        </is>
      </c>
      <c r="B1811" s="5" t="inlineStr">
        <is>
          <t>.</t>
        </is>
      </c>
      <c r="C1811" s="1378">
        <f>IF(raw[[#This Row],[city]]="","-",IF(raw[[#This Row],[city]]="TODAY","-",C1810+1))</f>
        <v/>
      </c>
      <c r="D1811" s="1393" t="n"/>
      <c r="E1811" s="1394" t="n"/>
      <c r="F1811" s="1394" t="n"/>
      <c r="G1811" s="1393" t="n"/>
      <c r="H1811" s="1393" t="n"/>
      <c r="I1811" s="1393" t="n"/>
      <c r="J1811" s="1393" t="n"/>
      <c r="K1811" s="1395">
        <f>IF(raw[[#This Row],[city]]&lt;&gt;"",_xlfn.XLOOKUP($D1811,ccc[city],ccc[prov],"-"),"-")</f>
        <v/>
      </c>
      <c r="L1811" s="1395">
        <f>IF(raw[[#This Row],[city]]&lt;&gt;"",_xlfn.XLOOKUP($D1811,ccc[city],ccc[ctry],"-"),"-")</f>
        <v/>
      </c>
      <c r="M1811" s="1395">
        <f>IF(raw[[#This Row],[city]]&lt;&gt;"",_xlfn.XLOOKUP($D1811,ccc[city],ccc[cont],"-"),"-")</f>
        <v/>
      </c>
      <c r="N1811" s="1396">
        <f>IF(raw[[#This Row],[city]]="","-",IF(raw[[#This Row],[cont]]="B",raw[[#This Row],[cont]],"W"))</f>
        <v/>
      </c>
      <c r="O1811" s="1397">
        <f>IF(raw[[#This Row],[out]]=0,0,IF(raw[[#This Row],[out]]=raw[[#This Row],[in]],0.01,raw[[#This Row],[out]]-raw[[#This Row],[in]]))</f>
        <v/>
      </c>
      <c r="P1811" s="1397">
        <f>IF(raw[[#This Row],[in]]=0,0,MONTH(raw[[#This Row],[in]]))</f>
        <v/>
      </c>
      <c r="Q1811" s="1397">
        <f>IF(raw[[#This Row],[in]]=0,0,YEAR(raw[[#This Row],[in]]))</f>
        <v/>
      </c>
      <c r="R1811" s="1397">
        <f>INT(raw[[#This Row],[yr]]/10)*10</f>
        <v/>
      </c>
      <c r="S1811" s="1395">
        <f>IF(raw[[#This Row],[city]]="","-",IF(raw[[#This Row],[city]]&lt;&gt;_xlfn.XLOOKUP(raw[[#This Row],[home]],homes[home],homes[city],"-"),1,0))</f>
        <v/>
      </c>
      <c r="T1811" s="1398" t="inlineStr">
        <is>
          <t>.</t>
        </is>
      </c>
      <c r="U1811" s="1399">
        <f>IF(raw[[#This Row],[wb]]="w",raw[[#This Row],[stay]]+U1810,U1810)</f>
        <v/>
      </c>
      <c r="V1811" s="1400">
        <f>IF(raw[[#This Row],[out]]=0,V1810,(raw[[#This Row],[out]]-E$5))</f>
        <v/>
      </c>
      <c r="W1811" s="1401">
        <f>U1811/V1811</f>
        <v/>
      </c>
      <c r="X1811" s="1392" t="n"/>
      <c r="Y1811" s="1392" t="n"/>
      <c r="Z1811" s="1392" t="n"/>
      <c r="AA1811" s="1392" t="n"/>
      <c r="AB1811" s="1392" t="n"/>
      <c r="AC1811" s="1392" t="n"/>
      <c r="AD1811" s="1392" t="n"/>
      <c r="AE1811" s="1392" t="n"/>
      <c r="AF1811" s="1392" t="n"/>
      <c r="AG1811" s="1392" t="n"/>
      <c r="AH1811" s="1392" t="n"/>
      <c r="AI1811" s="1392" t="n"/>
      <c r="AJ1811" s="1392" t="n"/>
      <c r="AK1811" s="1392" t="n"/>
      <c r="AL1811" s="1392" t="n"/>
      <c r="AM1811" s="1392" t="n"/>
      <c r="AN1811" s="1392" t="n"/>
      <c r="AO1811" s="1392" t="n"/>
      <c r="AP1811" s="1392" t="n"/>
      <c r="AQ1811" s="1392" t="n"/>
      <c r="AR1811" s="1422" t="n"/>
      <c r="AS1811" s="1422" t="n"/>
      <c r="AT1811" s="1392" t="n"/>
      <c r="AU1811" s="1392" t="n"/>
      <c r="AV1811" s="1392" t="n"/>
      <c r="AW1811" s="1392" t="n"/>
      <c r="AX1811" s="1392" t="n"/>
      <c r="AY1811" s="1392" t="n"/>
      <c r="AZ1811" s="1392" t="n"/>
      <c r="BA1811" s="1422" t="n"/>
      <c r="BB1811" s="1422" t="n"/>
      <c r="BC1811" s="1392" t="n"/>
      <c r="BD1811" s="1392" t="n"/>
      <c r="BE1811" s="1392" t="n"/>
      <c r="BF1811" s="1392" t="n"/>
      <c r="BG1811" s="1392" t="n"/>
      <c r="BH1811" s="1392" t="n"/>
      <c r="BI1811" s="1392" t="n"/>
      <c r="BJ1811" s="1392" t="n"/>
      <c r="BK1811" s="1392" t="n"/>
      <c r="BL1811" s="1392" t="n"/>
      <c r="BM1811" s="1392" t="n"/>
      <c r="BN1811" s="1392" t="n"/>
      <c r="BO1811" s="1392" t="n"/>
      <c r="BP1811" s="1392" t="n"/>
      <c r="BQ1811" s="1392" t="n"/>
      <c r="BR1811" s="1392" t="n"/>
      <c r="BS1811" s="1392" t="n"/>
      <c r="BT1811" s="1392" t="n"/>
      <c r="BU1811" s="1392" t="n"/>
      <c r="BV1811" s="1392" t="n"/>
      <c r="BW1811" s="1392" t="n"/>
      <c r="BX1811" s="1392" t="n"/>
      <c r="BY1811" s="1392" t="n"/>
      <c r="BZ1811" s="1392" t="n"/>
      <c r="CA1811" s="1392" t="n"/>
      <c r="CB1811" s="1392" t="n"/>
      <c r="CC1811" s="1392" t="n"/>
      <c r="CD1811" s="1392" t="n"/>
      <c r="CE1811" s="1392" t="n"/>
      <c r="CF1811" s="1392" t="n"/>
      <c r="CG1811" s="1392" t="n"/>
      <c r="CH1811" s="1392" t="n"/>
      <c r="CI1811" s="1392" t="n"/>
      <c r="CJ1811" s="1392" t="n"/>
      <c r="CK1811" s="1392" t="n"/>
      <c r="CL1811" s="1392" t="n"/>
    </row>
    <row r="1812">
      <c r="A1812" s="5" t="inlineStr">
        <is>
          <t>.</t>
        </is>
      </c>
      <c r="B1812" s="5" t="inlineStr">
        <is>
          <t>.</t>
        </is>
      </c>
      <c r="C1812" s="1378">
        <f>IF(raw[[#This Row],[city]]="","-",IF(raw[[#This Row],[city]]="TODAY","-",C1811+1))</f>
        <v/>
      </c>
      <c r="D1812" s="1393" t="n"/>
      <c r="E1812" s="1394" t="n"/>
      <c r="F1812" s="1394" t="n"/>
      <c r="G1812" s="1393" t="n"/>
      <c r="H1812" s="1393" t="n"/>
      <c r="I1812" s="1393" t="n"/>
      <c r="J1812" s="1393" t="n"/>
      <c r="K1812" s="1395">
        <f>IF(raw[[#This Row],[city]]&lt;&gt;"",_xlfn.XLOOKUP($D1812,ccc[city],ccc[prov],"-"),"-")</f>
        <v/>
      </c>
      <c r="L1812" s="1395">
        <f>IF(raw[[#This Row],[city]]&lt;&gt;"",_xlfn.XLOOKUP($D1812,ccc[city],ccc[ctry],"-"),"-")</f>
        <v/>
      </c>
      <c r="M1812" s="1395">
        <f>IF(raw[[#This Row],[city]]&lt;&gt;"",_xlfn.XLOOKUP($D1812,ccc[city],ccc[cont],"-"),"-")</f>
        <v/>
      </c>
      <c r="N1812" s="1396">
        <f>IF(raw[[#This Row],[city]]="","-",IF(raw[[#This Row],[cont]]="B",raw[[#This Row],[cont]],"W"))</f>
        <v/>
      </c>
      <c r="O1812" s="1397">
        <f>IF(raw[[#This Row],[out]]=0,0,IF(raw[[#This Row],[out]]=raw[[#This Row],[in]],0.01,raw[[#This Row],[out]]-raw[[#This Row],[in]]))</f>
        <v/>
      </c>
      <c r="P1812" s="1397">
        <f>IF(raw[[#This Row],[in]]=0,0,MONTH(raw[[#This Row],[in]]))</f>
        <v/>
      </c>
      <c r="Q1812" s="1397">
        <f>IF(raw[[#This Row],[in]]=0,0,YEAR(raw[[#This Row],[in]]))</f>
        <v/>
      </c>
      <c r="R1812" s="1397">
        <f>INT(raw[[#This Row],[yr]]/10)*10</f>
        <v/>
      </c>
      <c r="S1812" s="1395">
        <f>IF(raw[[#This Row],[city]]="","-",IF(raw[[#This Row],[city]]&lt;&gt;_xlfn.XLOOKUP(raw[[#This Row],[home]],homes[home],homes[city],"-"),1,0))</f>
        <v/>
      </c>
      <c r="T1812" s="1398" t="inlineStr">
        <is>
          <t>.</t>
        </is>
      </c>
      <c r="U1812" s="1399">
        <f>IF(raw[[#This Row],[wb]]="w",raw[[#This Row],[stay]]+U1811,U1811)</f>
        <v/>
      </c>
      <c r="V1812" s="1400">
        <f>IF(raw[[#This Row],[out]]=0,V1811,(raw[[#This Row],[out]]-E$5))</f>
        <v/>
      </c>
      <c r="W1812" s="1401">
        <f>U1812/V1812</f>
        <v/>
      </c>
      <c r="X1812" s="1392" t="n"/>
      <c r="Y1812" s="1392" t="n"/>
      <c r="Z1812" s="1392" t="n"/>
      <c r="AA1812" s="1392" t="n"/>
      <c r="AB1812" s="1392" t="n"/>
      <c r="AC1812" s="1392" t="n"/>
      <c r="AD1812" s="1392" t="n"/>
      <c r="AE1812" s="1392" t="n"/>
      <c r="AF1812" s="1392" t="n"/>
      <c r="AG1812" s="1392" t="n"/>
      <c r="AH1812" s="1392" t="n"/>
      <c r="AI1812" s="1392" t="n"/>
      <c r="AJ1812" s="1392" t="n"/>
      <c r="AK1812" s="1392" t="n"/>
      <c r="AL1812" s="1392" t="n"/>
      <c r="AM1812" s="1392" t="n"/>
      <c r="AN1812" s="1392" t="n"/>
      <c r="AO1812" s="1392" t="n"/>
      <c r="AP1812" s="1392" t="n"/>
      <c r="AQ1812" s="1392" t="n"/>
      <c r="AR1812" s="1422" t="n"/>
      <c r="AS1812" s="1422" t="n"/>
      <c r="AT1812" s="1392" t="n"/>
      <c r="AU1812" s="1392" t="n"/>
      <c r="AV1812" s="1392" t="n"/>
      <c r="AW1812" s="1392" t="n"/>
      <c r="AX1812" s="1392" t="n"/>
      <c r="AY1812" s="1392" t="n"/>
      <c r="AZ1812" s="1392" t="n"/>
      <c r="BA1812" s="1422" t="n"/>
      <c r="BB1812" s="1422" t="n"/>
      <c r="BC1812" s="1392" t="n"/>
      <c r="BD1812" s="1392" t="n"/>
      <c r="BE1812" s="1392" t="n"/>
      <c r="BF1812" s="1392" t="n"/>
      <c r="BG1812" s="1392" t="n"/>
      <c r="BH1812" s="1392" t="n"/>
      <c r="BI1812" s="1392" t="n"/>
      <c r="BJ1812" s="1392" t="n"/>
      <c r="BK1812" s="1392" t="n"/>
      <c r="BL1812" s="1392" t="n"/>
      <c r="BM1812" s="1392" t="n"/>
      <c r="BN1812" s="1392" t="n"/>
      <c r="BO1812" s="1392" t="n"/>
      <c r="BP1812" s="1392" t="n"/>
      <c r="BQ1812" s="1392" t="n"/>
      <c r="BR1812" s="1392" t="n"/>
      <c r="BS1812" s="1392" t="n"/>
      <c r="BT1812" s="1392" t="n"/>
      <c r="BU1812" s="1392" t="n"/>
      <c r="BV1812" s="1392" t="n"/>
      <c r="BW1812" s="1392" t="n"/>
      <c r="BX1812" s="1392" t="n"/>
      <c r="BY1812" s="1392" t="n"/>
      <c r="BZ1812" s="1392" t="n"/>
      <c r="CA1812" s="1392" t="n"/>
      <c r="CB1812" s="1392" t="n"/>
      <c r="CC1812" s="1392" t="n"/>
      <c r="CD1812" s="1392" t="n"/>
      <c r="CE1812" s="1392" t="n"/>
      <c r="CF1812" s="1392" t="n"/>
      <c r="CG1812" s="1392" t="n"/>
      <c r="CH1812" s="1392" t="n"/>
      <c r="CI1812" s="1392" t="n"/>
      <c r="CJ1812" s="1392" t="n"/>
      <c r="CK1812" s="1392" t="n"/>
      <c r="CL1812" s="1392" t="n"/>
    </row>
    <row r="1813">
      <c r="A1813" s="5" t="inlineStr">
        <is>
          <t>.</t>
        </is>
      </c>
      <c r="B1813" s="5" t="inlineStr">
        <is>
          <t>.</t>
        </is>
      </c>
      <c r="C1813" s="1378">
        <f>IF(raw[[#This Row],[city]]="","-",IF(raw[[#This Row],[city]]="TODAY","-",C1812+1))</f>
        <v/>
      </c>
      <c r="D1813" s="1393" t="n"/>
      <c r="E1813" s="1394" t="n"/>
      <c r="F1813" s="1394" t="n"/>
      <c r="G1813" s="1393" t="n"/>
      <c r="H1813" s="1393" t="n"/>
      <c r="I1813" s="1393" t="n"/>
      <c r="J1813" s="1393" t="n"/>
      <c r="K1813" s="1395">
        <f>IF(raw[[#This Row],[city]]&lt;&gt;"",_xlfn.XLOOKUP($D1813,ccc[city],ccc[prov],"-"),"-")</f>
        <v/>
      </c>
      <c r="L1813" s="1395">
        <f>IF(raw[[#This Row],[city]]&lt;&gt;"",_xlfn.XLOOKUP($D1813,ccc[city],ccc[ctry],"-"),"-")</f>
        <v/>
      </c>
      <c r="M1813" s="1395">
        <f>IF(raw[[#This Row],[city]]&lt;&gt;"",_xlfn.XLOOKUP($D1813,ccc[city],ccc[cont],"-"),"-")</f>
        <v/>
      </c>
      <c r="N1813" s="1396">
        <f>IF(raw[[#This Row],[city]]="","-",IF(raw[[#This Row],[cont]]="B",raw[[#This Row],[cont]],"W"))</f>
        <v/>
      </c>
      <c r="O1813" s="1397">
        <f>IF(raw[[#This Row],[out]]=0,0,IF(raw[[#This Row],[out]]=raw[[#This Row],[in]],0.01,raw[[#This Row],[out]]-raw[[#This Row],[in]]))</f>
        <v/>
      </c>
      <c r="P1813" s="1397">
        <f>IF(raw[[#This Row],[in]]=0,0,MONTH(raw[[#This Row],[in]]))</f>
        <v/>
      </c>
      <c r="Q1813" s="1397">
        <f>IF(raw[[#This Row],[in]]=0,0,YEAR(raw[[#This Row],[in]]))</f>
        <v/>
      </c>
      <c r="R1813" s="1397">
        <f>INT(raw[[#This Row],[yr]]/10)*10</f>
        <v/>
      </c>
      <c r="S1813" s="1395">
        <f>IF(raw[[#This Row],[city]]="","-",IF(raw[[#This Row],[city]]&lt;&gt;_xlfn.XLOOKUP(raw[[#This Row],[home]],homes[home],homes[city],"-"),1,0))</f>
        <v/>
      </c>
      <c r="T1813" s="1398" t="inlineStr">
        <is>
          <t>.</t>
        </is>
      </c>
      <c r="U1813" s="1399">
        <f>IF(raw[[#This Row],[wb]]="w",raw[[#This Row],[stay]]+U1812,U1812)</f>
        <v/>
      </c>
      <c r="V1813" s="1400">
        <f>IF(raw[[#This Row],[out]]=0,V1812,(raw[[#This Row],[out]]-E$5))</f>
        <v/>
      </c>
      <c r="W1813" s="1401">
        <f>U1813/V1813</f>
        <v/>
      </c>
      <c r="X1813" s="1392" t="n"/>
      <c r="Y1813" s="1392" t="n"/>
      <c r="Z1813" s="1392" t="n"/>
      <c r="AA1813" s="1392" t="n"/>
      <c r="AB1813" s="1392" t="n"/>
      <c r="AC1813" s="1392" t="n"/>
      <c r="AD1813" s="1392" t="n"/>
      <c r="AE1813" s="1392" t="n"/>
      <c r="AF1813" s="1392" t="n"/>
      <c r="AG1813" s="1392" t="n"/>
      <c r="AH1813" s="1392" t="n"/>
      <c r="AI1813" s="1392" t="n"/>
      <c r="AJ1813" s="1392" t="n"/>
      <c r="AK1813" s="1392" t="n"/>
      <c r="AL1813" s="1392" t="n"/>
      <c r="AM1813" s="1392" t="n"/>
      <c r="AN1813" s="1392" t="n"/>
      <c r="AO1813" s="1392" t="n"/>
      <c r="AP1813" s="1392" t="n"/>
      <c r="AQ1813" s="1392" t="n"/>
      <c r="AR1813" s="1422" t="n"/>
      <c r="AS1813" s="1422" t="n"/>
      <c r="AT1813" s="1392" t="n"/>
      <c r="AU1813" s="1392" t="n"/>
      <c r="AV1813" s="1392" t="n"/>
      <c r="AW1813" s="1392" t="n"/>
      <c r="AX1813" s="1392" t="n"/>
      <c r="AY1813" s="1392" t="n"/>
      <c r="AZ1813" s="1392" t="n"/>
      <c r="BA1813" s="1422" t="n"/>
      <c r="BB1813" s="1422" t="n"/>
      <c r="BC1813" s="1392" t="n"/>
      <c r="BD1813" s="1392" t="n"/>
      <c r="BE1813" s="1392" t="n"/>
      <c r="BF1813" s="1392" t="n"/>
      <c r="BG1813" s="1392" t="n"/>
      <c r="BH1813" s="1392" t="n"/>
      <c r="BI1813" s="1392" t="n"/>
      <c r="BJ1813" s="1392" t="n"/>
      <c r="BK1813" s="1392" t="n"/>
      <c r="BL1813" s="1392" t="n"/>
      <c r="BM1813" s="1392" t="n"/>
      <c r="BN1813" s="1392" t="n"/>
      <c r="BO1813" s="1392" t="n"/>
      <c r="BP1813" s="1392" t="n"/>
      <c r="BQ1813" s="1392" t="n"/>
      <c r="BR1813" s="1392" t="n"/>
      <c r="BS1813" s="1392" t="n"/>
      <c r="BT1813" s="1392" t="n"/>
      <c r="BU1813" s="1392" t="n"/>
      <c r="BV1813" s="1392" t="n"/>
      <c r="BW1813" s="1392" t="n"/>
      <c r="BX1813" s="1392" t="n"/>
      <c r="BY1813" s="1392" t="n"/>
      <c r="BZ1813" s="1392" t="n"/>
      <c r="CA1813" s="1392" t="n"/>
      <c r="CB1813" s="1392" t="n"/>
      <c r="CC1813" s="1392" t="n"/>
      <c r="CD1813" s="1392" t="n"/>
      <c r="CE1813" s="1392" t="n"/>
      <c r="CF1813" s="1392" t="n"/>
      <c r="CG1813" s="1392" t="n"/>
      <c r="CH1813" s="1392" t="n"/>
      <c r="CI1813" s="1392" t="n"/>
      <c r="CJ1813" s="1392" t="n"/>
      <c r="CK1813" s="1392" t="n"/>
      <c r="CL1813" s="1392" t="n"/>
    </row>
    <row r="1814">
      <c r="A1814" s="5" t="inlineStr">
        <is>
          <t>.</t>
        </is>
      </c>
      <c r="B1814" s="5" t="inlineStr">
        <is>
          <t>.</t>
        </is>
      </c>
      <c r="C1814" s="1378">
        <f>IF(raw[[#This Row],[city]]="","-",IF(raw[[#This Row],[city]]="TODAY","-",C1813+1))</f>
        <v/>
      </c>
      <c r="D1814" s="1393" t="n"/>
      <c r="E1814" s="1394" t="n"/>
      <c r="F1814" s="1394" t="n"/>
      <c r="G1814" s="1393" t="n"/>
      <c r="H1814" s="1393" t="n"/>
      <c r="I1814" s="1393" t="n"/>
      <c r="J1814" s="1393" t="n"/>
      <c r="K1814" s="1395">
        <f>IF(raw[[#This Row],[city]]&lt;&gt;"",_xlfn.XLOOKUP($D1814,ccc[city],ccc[prov],"-"),"-")</f>
        <v/>
      </c>
      <c r="L1814" s="1395">
        <f>IF(raw[[#This Row],[city]]&lt;&gt;"",_xlfn.XLOOKUP($D1814,ccc[city],ccc[ctry],"-"),"-")</f>
        <v/>
      </c>
      <c r="M1814" s="1395">
        <f>IF(raw[[#This Row],[city]]&lt;&gt;"",_xlfn.XLOOKUP($D1814,ccc[city],ccc[cont],"-"),"-")</f>
        <v/>
      </c>
      <c r="N1814" s="1396">
        <f>IF(raw[[#This Row],[city]]="","-",IF(raw[[#This Row],[cont]]="B",raw[[#This Row],[cont]],"W"))</f>
        <v/>
      </c>
      <c r="O1814" s="1397">
        <f>IF(raw[[#This Row],[out]]=0,0,IF(raw[[#This Row],[out]]=raw[[#This Row],[in]],0.01,raw[[#This Row],[out]]-raw[[#This Row],[in]]))</f>
        <v/>
      </c>
      <c r="P1814" s="1397">
        <f>IF(raw[[#This Row],[in]]=0,0,MONTH(raw[[#This Row],[in]]))</f>
        <v/>
      </c>
      <c r="Q1814" s="1397">
        <f>IF(raw[[#This Row],[in]]=0,0,YEAR(raw[[#This Row],[in]]))</f>
        <v/>
      </c>
      <c r="R1814" s="1397">
        <f>INT(raw[[#This Row],[yr]]/10)*10</f>
        <v/>
      </c>
      <c r="S1814" s="1395">
        <f>IF(raw[[#This Row],[city]]="","-",IF(raw[[#This Row],[city]]&lt;&gt;_xlfn.XLOOKUP(raw[[#This Row],[home]],homes[home],homes[city],"-"),1,0))</f>
        <v/>
      </c>
      <c r="T1814" s="1398" t="inlineStr">
        <is>
          <t>.</t>
        </is>
      </c>
      <c r="U1814" s="1399">
        <f>IF(raw[[#This Row],[wb]]="w",raw[[#This Row],[stay]]+U1813,U1813)</f>
        <v/>
      </c>
      <c r="V1814" s="1400">
        <f>IF(raw[[#This Row],[out]]=0,V1813,(raw[[#This Row],[out]]-E$5))</f>
        <v/>
      </c>
      <c r="W1814" s="1401">
        <f>U1814/V1814</f>
        <v/>
      </c>
      <c r="X1814" s="1392" t="n"/>
      <c r="Y1814" s="1392" t="n"/>
      <c r="Z1814" s="1392" t="n"/>
      <c r="AA1814" s="1392" t="n"/>
      <c r="AB1814" s="1392" t="n"/>
      <c r="AC1814" s="1392" t="n"/>
      <c r="AD1814" s="1392" t="n"/>
      <c r="AE1814" s="1392" t="n"/>
      <c r="AF1814" s="1392" t="n"/>
      <c r="AG1814" s="1392" t="n"/>
      <c r="AH1814" s="1392" t="n"/>
      <c r="AI1814" s="1392" t="n"/>
      <c r="AJ1814" s="1392" t="n"/>
      <c r="AK1814" s="1392" t="n"/>
      <c r="AL1814" s="1392" t="n"/>
      <c r="AM1814" s="1392" t="n"/>
      <c r="AN1814" s="1392" t="n"/>
      <c r="AO1814" s="1392" t="n"/>
      <c r="AP1814" s="1392" t="n"/>
      <c r="AQ1814" s="1392" t="n"/>
      <c r="AR1814" s="1422" t="n"/>
      <c r="AS1814" s="1422" t="n"/>
      <c r="AT1814" s="1392" t="n"/>
      <c r="AU1814" s="1392" t="n"/>
      <c r="AV1814" s="1392" t="n"/>
      <c r="AW1814" s="1392" t="n"/>
      <c r="AX1814" s="1392" t="n"/>
      <c r="AY1814" s="1392" t="n"/>
      <c r="AZ1814" s="1392" t="n"/>
      <c r="BA1814" s="1422" t="n"/>
      <c r="BB1814" s="1422" t="n"/>
      <c r="BC1814" s="1392" t="n"/>
      <c r="BD1814" s="1392" t="n"/>
      <c r="BE1814" s="1392" t="n"/>
      <c r="BF1814" s="1392" t="n"/>
      <c r="BG1814" s="1392" t="n"/>
      <c r="BH1814" s="1392" t="n"/>
      <c r="BI1814" s="1392" t="n"/>
      <c r="BJ1814" s="1392" t="n"/>
      <c r="BK1814" s="1392" t="n"/>
      <c r="BL1814" s="1392" t="n"/>
      <c r="BM1814" s="1392" t="n"/>
      <c r="BN1814" s="1392" t="n"/>
      <c r="BO1814" s="1392" t="n"/>
      <c r="BP1814" s="1392" t="n"/>
      <c r="BQ1814" s="1392" t="n"/>
      <c r="BR1814" s="1392" t="n"/>
      <c r="BS1814" s="1392" t="n"/>
      <c r="BT1814" s="1392" t="n"/>
      <c r="BU1814" s="1392" t="n"/>
      <c r="BV1814" s="1392" t="n"/>
      <c r="BW1814" s="1392" t="n"/>
      <c r="BX1814" s="1392" t="n"/>
      <c r="BY1814" s="1392" t="n"/>
      <c r="BZ1814" s="1392" t="n"/>
      <c r="CA1814" s="1392" t="n"/>
      <c r="CB1814" s="1392" t="n"/>
      <c r="CC1814" s="1392" t="n"/>
      <c r="CD1814" s="1392" t="n"/>
      <c r="CE1814" s="1392" t="n"/>
      <c r="CF1814" s="1392" t="n"/>
      <c r="CG1814" s="1392" t="n"/>
      <c r="CH1814" s="1392" t="n"/>
      <c r="CI1814" s="1392" t="n"/>
      <c r="CJ1814" s="1392" t="n"/>
      <c r="CK1814" s="1392" t="n"/>
      <c r="CL1814" s="1392" t="n"/>
    </row>
    <row r="1815">
      <c r="A1815" s="5" t="inlineStr">
        <is>
          <t>.</t>
        </is>
      </c>
      <c r="B1815" s="5" t="inlineStr">
        <is>
          <t>.</t>
        </is>
      </c>
      <c r="C1815" s="1378">
        <f>IF(raw[[#This Row],[city]]="","-",IF(raw[[#This Row],[city]]="TODAY","-",C1814+1))</f>
        <v/>
      </c>
      <c r="D1815" s="1393" t="n"/>
      <c r="E1815" s="1394" t="n"/>
      <c r="F1815" s="1394" t="n"/>
      <c r="G1815" s="1393" t="n"/>
      <c r="H1815" s="1393" t="n"/>
      <c r="I1815" s="1393" t="n"/>
      <c r="J1815" s="1393" t="n"/>
      <c r="K1815" s="1395">
        <f>IF(raw[[#This Row],[city]]&lt;&gt;"",_xlfn.XLOOKUP($D1815,ccc[city],ccc[prov],"-"),"-")</f>
        <v/>
      </c>
      <c r="L1815" s="1395">
        <f>IF(raw[[#This Row],[city]]&lt;&gt;"",_xlfn.XLOOKUP($D1815,ccc[city],ccc[ctry],"-"),"-")</f>
        <v/>
      </c>
      <c r="M1815" s="1395">
        <f>IF(raw[[#This Row],[city]]&lt;&gt;"",_xlfn.XLOOKUP($D1815,ccc[city],ccc[cont],"-"),"-")</f>
        <v/>
      </c>
      <c r="N1815" s="1396">
        <f>IF(raw[[#This Row],[city]]="","-",IF(raw[[#This Row],[cont]]="B",raw[[#This Row],[cont]],"W"))</f>
        <v/>
      </c>
      <c r="O1815" s="1397">
        <f>IF(raw[[#This Row],[out]]=0,0,IF(raw[[#This Row],[out]]=raw[[#This Row],[in]],0.01,raw[[#This Row],[out]]-raw[[#This Row],[in]]))</f>
        <v/>
      </c>
      <c r="P1815" s="1397">
        <f>IF(raw[[#This Row],[in]]=0,0,MONTH(raw[[#This Row],[in]]))</f>
        <v/>
      </c>
      <c r="Q1815" s="1397">
        <f>IF(raw[[#This Row],[in]]=0,0,YEAR(raw[[#This Row],[in]]))</f>
        <v/>
      </c>
      <c r="R1815" s="1397">
        <f>INT(raw[[#This Row],[yr]]/10)*10</f>
        <v/>
      </c>
      <c r="S1815" s="1395">
        <f>IF(raw[[#This Row],[city]]="","-",IF(raw[[#This Row],[city]]&lt;&gt;_xlfn.XLOOKUP(raw[[#This Row],[home]],homes[home],homes[city],"-"),1,0))</f>
        <v/>
      </c>
      <c r="T1815" s="1398" t="inlineStr">
        <is>
          <t>.</t>
        </is>
      </c>
      <c r="U1815" s="1399">
        <f>IF(raw[[#This Row],[wb]]="w",raw[[#This Row],[stay]]+U1814,U1814)</f>
        <v/>
      </c>
      <c r="V1815" s="1400">
        <f>IF(raw[[#This Row],[out]]=0,V1814,(raw[[#This Row],[out]]-E$5))</f>
        <v/>
      </c>
      <c r="W1815" s="1401">
        <f>U1815/V1815</f>
        <v/>
      </c>
      <c r="X1815" s="1392" t="n"/>
      <c r="Y1815" s="1392" t="n"/>
      <c r="Z1815" s="1392" t="n"/>
      <c r="AA1815" s="1392" t="n"/>
      <c r="AB1815" s="1392" t="n"/>
      <c r="AC1815" s="1392" t="n"/>
      <c r="AD1815" s="1392" t="n"/>
      <c r="AE1815" s="1392" t="n"/>
      <c r="AF1815" s="1392" t="n"/>
      <c r="AG1815" s="1392" t="n"/>
      <c r="AH1815" s="1392" t="n"/>
      <c r="AI1815" s="1392" t="n"/>
      <c r="AJ1815" s="1392" t="n"/>
      <c r="AK1815" s="1392" t="n"/>
      <c r="AL1815" s="1392" t="n"/>
      <c r="AM1815" s="1392" t="n"/>
      <c r="AN1815" s="1392" t="n"/>
      <c r="AO1815" s="1392" t="n"/>
      <c r="AP1815" s="1392" t="n"/>
      <c r="AQ1815" s="1392" t="n"/>
      <c r="AR1815" s="1422" t="n"/>
      <c r="AS1815" s="1422" t="n"/>
      <c r="AT1815" s="1392" t="n"/>
      <c r="AU1815" s="1392" t="n"/>
      <c r="AV1815" s="1392" t="n"/>
      <c r="AW1815" s="1392" t="n"/>
      <c r="AX1815" s="1392" t="n"/>
      <c r="AY1815" s="1392" t="n"/>
      <c r="AZ1815" s="1392" t="n"/>
      <c r="BA1815" s="1422" t="n"/>
      <c r="BB1815" s="1422" t="n"/>
      <c r="BC1815" s="1392" t="n"/>
      <c r="BD1815" s="1392" t="n"/>
      <c r="BE1815" s="1392" t="n"/>
      <c r="BF1815" s="1392" t="n"/>
      <c r="BG1815" s="1392" t="n"/>
      <c r="BH1815" s="1392" t="n"/>
      <c r="BI1815" s="1392" t="n"/>
      <c r="BJ1815" s="1392" t="n"/>
      <c r="BK1815" s="1392" t="n"/>
      <c r="BL1815" s="1392" t="n"/>
      <c r="BM1815" s="1392" t="n"/>
      <c r="BN1815" s="1392" t="n"/>
      <c r="BO1815" s="1392" t="n"/>
      <c r="BP1815" s="1392" t="n"/>
      <c r="BQ1815" s="1392" t="n"/>
      <c r="BR1815" s="1392" t="n"/>
      <c r="BS1815" s="1392" t="n"/>
      <c r="BT1815" s="1392" t="n"/>
      <c r="BU1815" s="1392" t="n"/>
      <c r="BV1815" s="1392" t="n"/>
      <c r="BW1815" s="1392" t="n"/>
      <c r="BX1815" s="1392" t="n"/>
      <c r="BY1815" s="1392" t="n"/>
      <c r="BZ1815" s="1392" t="n"/>
      <c r="CA1815" s="1392" t="n"/>
      <c r="CB1815" s="1392" t="n"/>
      <c r="CC1815" s="1392" t="n"/>
      <c r="CD1815" s="1392" t="n"/>
      <c r="CE1815" s="1392" t="n"/>
      <c r="CF1815" s="1392" t="n"/>
      <c r="CG1815" s="1392" t="n"/>
      <c r="CH1815" s="1392" t="n"/>
      <c r="CI1815" s="1392" t="n"/>
      <c r="CJ1815" s="1392" t="n"/>
      <c r="CK1815" s="1392" t="n"/>
      <c r="CL1815" s="1392" t="n"/>
    </row>
    <row r="1816">
      <c r="A1816" s="5" t="inlineStr">
        <is>
          <t>.</t>
        </is>
      </c>
      <c r="B1816" s="5" t="inlineStr">
        <is>
          <t>.</t>
        </is>
      </c>
      <c r="C1816" s="1378">
        <f>IF(raw[[#This Row],[city]]="","-",IF(raw[[#This Row],[city]]="TODAY","-",C1815+1))</f>
        <v/>
      </c>
      <c r="D1816" s="1393" t="n"/>
      <c r="E1816" s="1394" t="n"/>
      <c r="F1816" s="1394" t="n"/>
      <c r="G1816" s="1393" t="n"/>
      <c r="H1816" s="1393" t="n"/>
      <c r="I1816" s="1393" t="n"/>
      <c r="J1816" s="1393" t="n"/>
      <c r="K1816" s="1395">
        <f>IF(raw[[#This Row],[city]]&lt;&gt;"",_xlfn.XLOOKUP($D1816,ccc[city],ccc[prov],"-"),"-")</f>
        <v/>
      </c>
      <c r="L1816" s="1395">
        <f>IF(raw[[#This Row],[city]]&lt;&gt;"",_xlfn.XLOOKUP($D1816,ccc[city],ccc[ctry],"-"),"-")</f>
        <v/>
      </c>
      <c r="M1816" s="1395">
        <f>IF(raw[[#This Row],[city]]&lt;&gt;"",_xlfn.XLOOKUP($D1816,ccc[city],ccc[cont],"-"),"-")</f>
        <v/>
      </c>
      <c r="N1816" s="1396">
        <f>IF(raw[[#This Row],[city]]="","-",IF(raw[[#This Row],[cont]]="B",raw[[#This Row],[cont]],"W"))</f>
        <v/>
      </c>
      <c r="O1816" s="1397">
        <f>IF(raw[[#This Row],[out]]=0,0,IF(raw[[#This Row],[out]]=raw[[#This Row],[in]],0.01,raw[[#This Row],[out]]-raw[[#This Row],[in]]))</f>
        <v/>
      </c>
      <c r="P1816" s="1397">
        <f>IF(raw[[#This Row],[in]]=0,0,MONTH(raw[[#This Row],[in]]))</f>
        <v/>
      </c>
      <c r="Q1816" s="1397">
        <f>IF(raw[[#This Row],[in]]=0,0,YEAR(raw[[#This Row],[in]]))</f>
        <v/>
      </c>
      <c r="R1816" s="1397">
        <f>INT(raw[[#This Row],[yr]]/10)*10</f>
        <v/>
      </c>
      <c r="S1816" s="1395">
        <f>IF(raw[[#This Row],[city]]="","-",IF(raw[[#This Row],[city]]&lt;&gt;_xlfn.XLOOKUP(raw[[#This Row],[home]],homes[home],homes[city],"-"),1,0))</f>
        <v/>
      </c>
      <c r="T1816" s="1398" t="inlineStr">
        <is>
          <t>.</t>
        </is>
      </c>
      <c r="U1816" s="1399">
        <f>IF(raw[[#This Row],[wb]]="w",raw[[#This Row],[stay]]+U1815,U1815)</f>
        <v/>
      </c>
      <c r="V1816" s="1400">
        <f>IF(raw[[#This Row],[out]]=0,V1815,(raw[[#This Row],[out]]-E$5))</f>
        <v/>
      </c>
      <c r="W1816" s="1401">
        <f>U1816/V1816</f>
        <v/>
      </c>
      <c r="X1816" s="1392" t="n"/>
      <c r="Y1816" s="1392" t="n"/>
      <c r="Z1816" s="1392" t="n"/>
      <c r="AA1816" s="1392" t="n"/>
      <c r="AB1816" s="1392" t="n"/>
      <c r="AC1816" s="1392" t="n"/>
      <c r="AD1816" s="1392" t="n"/>
      <c r="AE1816" s="1392" t="n"/>
      <c r="AF1816" s="1392" t="n"/>
      <c r="AG1816" s="1392" t="n"/>
      <c r="AH1816" s="1392" t="n"/>
      <c r="AI1816" s="1392" t="n"/>
      <c r="AJ1816" s="1392" t="n"/>
      <c r="AK1816" s="1392" t="n"/>
      <c r="AL1816" s="1392" t="n"/>
      <c r="AM1816" s="1392" t="n"/>
      <c r="AN1816" s="1392" t="n"/>
      <c r="AO1816" s="1392" t="n"/>
      <c r="AP1816" s="1392" t="n"/>
      <c r="AQ1816" s="1392" t="n"/>
      <c r="AR1816" s="1422" t="n"/>
      <c r="AS1816" s="1422" t="n"/>
      <c r="AT1816" s="1392" t="n"/>
      <c r="AU1816" s="1392" t="n"/>
      <c r="AV1816" s="1392" t="n"/>
      <c r="AW1816" s="1392" t="n"/>
      <c r="AX1816" s="1392" t="n"/>
      <c r="AY1816" s="1392" t="n"/>
      <c r="AZ1816" s="1392" t="n"/>
      <c r="BA1816" s="1422" t="n"/>
      <c r="BB1816" s="1422" t="n"/>
      <c r="BC1816" s="1392" t="n"/>
      <c r="BD1816" s="1392" t="n"/>
      <c r="BE1816" s="1392" t="n"/>
      <c r="BF1816" s="1392" t="n"/>
      <c r="BG1816" s="1392" t="n"/>
      <c r="BH1816" s="1392" t="n"/>
      <c r="BI1816" s="1392" t="n"/>
      <c r="BJ1816" s="1392" t="n"/>
      <c r="BK1816" s="1392" t="n"/>
      <c r="BL1816" s="1392" t="n"/>
      <c r="BM1816" s="1392" t="n"/>
      <c r="BN1816" s="1392" t="n"/>
      <c r="BO1816" s="1392" t="n"/>
      <c r="BP1816" s="1392" t="n"/>
      <c r="BQ1816" s="1392" t="n"/>
      <c r="BR1816" s="1392" t="n"/>
      <c r="BS1816" s="1392" t="n"/>
      <c r="BT1816" s="1392" t="n"/>
      <c r="BU1816" s="1392" t="n"/>
      <c r="BV1816" s="1392" t="n"/>
      <c r="BW1816" s="1392" t="n"/>
      <c r="BX1816" s="1392" t="n"/>
      <c r="BY1816" s="1392" t="n"/>
      <c r="BZ1816" s="1392" t="n"/>
      <c r="CA1816" s="1392" t="n"/>
      <c r="CB1816" s="1392" t="n"/>
      <c r="CC1816" s="1392" t="n"/>
      <c r="CD1816" s="1392" t="n"/>
      <c r="CE1816" s="1392" t="n"/>
      <c r="CF1816" s="1392" t="n"/>
      <c r="CG1816" s="1392" t="n"/>
      <c r="CH1816" s="1392" t="n"/>
      <c r="CI1816" s="1392" t="n"/>
      <c r="CJ1816" s="1392" t="n"/>
      <c r="CK1816" s="1392" t="n"/>
      <c r="CL1816" s="1392" t="n"/>
    </row>
    <row r="1817">
      <c r="A1817" s="5" t="inlineStr">
        <is>
          <t>.</t>
        </is>
      </c>
      <c r="B1817" s="5" t="inlineStr">
        <is>
          <t>.</t>
        </is>
      </c>
      <c r="C1817" s="1378">
        <f>IF(raw[[#This Row],[city]]="","-",IF(raw[[#This Row],[city]]="TODAY","-",C1816+1))</f>
        <v/>
      </c>
      <c r="D1817" s="1393" t="n"/>
      <c r="E1817" s="1394" t="n"/>
      <c r="F1817" s="1394" t="n"/>
      <c r="G1817" s="1393" t="n"/>
      <c r="H1817" s="1393" t="n"/>
      <c r="I1817" s="1393" t="n"/>
      <c r="J1817" s="1393" t="n"/>
      <c r="K1817" s="1395">
        <f>IF(raw[[#This Row],[city]]&lt;&gt;"",_xlfn.XLOOKUP($D1817,ccc[city],ccc[prov],"-"),"-")</f>
        <v/>
      </c>
      <c r="L1817" s="1395">
        <f>IF(raw[[#This Row],[city]]&lt;&gt;"",_xlfn.XLOOKUP($D1817,ccc[city],ccc[ctry],"-"),"-")</f>
        <v/>
      </c>
      <c r="M1817" s="1395">
        <f>IF(raw[[#This Row],[city]]&lt;&gt;"",_xlfn.XLOOKUP($D1817,ccc[city],ccc[cont],"-"),"-")</f>
        <v/>
      </c>
      <c r="N1817" s="1396">
        <f>IF(raw[[#This Row],[city]]="","-",IF(raw[[#This Row],[cont]]="B",raw[[#This Row],[cont]],"W"))</f>
        <v/>
      </c>
      <c r="O1817" s="1397">
        <f>IF(raw[[#This Row],[out]]=0,0,IF(raw[[#This Row],[out]]=raw[[#This Row],[in]],0.01,raw[[#This Row],[out]]-raw[[#This Row],[in]]))</f>
        <v/>
      </c>
      <c r="P1817" s="1397">
        <f>IF(raw[[#This Row],[in]]=0,0,MONTH(raw[[#This Row],[in]]))</f>
        <v/>
      </c>
      <c r="Q1817" s="1397">
        <f>IF(raw[[#This Row],[in]]=0,0,YEAR(raw[[#This Row],[in]]))</f>
        <v/>
      </c>
      <c r="R1817" s="1397">
        <f>INT(raw[[#This Row],[yr]]/10)*10</f>
        <v/>
      </c>
      <c r="S1817" s="1395">
        <f>IF(raw[[#This Row],[city]]="","-",IF(raw[[#This Row],[city]]&lt;&gt;_xlfn.XLOOKUP(raw[[#This Row],[home]],homes[home],homes[city],"-"),1,0))</f>
        <v/>
      </c>
      <c r="T1817" s="1398" t="inlineStr">
        <is>
          <t>.</t>
        </is>
      </c>
      <c r="U1817" s="1399">
        <f>IF(raw[[#This Row],[wb]]="w",raw[[#This Row],[stay]]+U1816,U1816)</f>
        <v/>
      </c>
      <c r="V1817" s="1400">
        <f>IF(raw[[#This Row],[out]]=0,V1816,(raw[[#This Row],[out]]-E$5))</f>
        <v/>
      </c>
      <c r="W1817" s="1401">
        <f>U1817/V1817</f>
        <v/>
      </c>
      <c r="X1817" s="1392" t="n"/>
      <c r="Y1817" s="1392" t="n"/>
      <c r="Z1817" s="1392" t="n"/>
      <c r="AA1817" s="1392" t="n"/>
      <c r="AB1817" s="1392" t="n"/>
      <c r="AC1817" s="1392" t="n"/>
      <c r="AD1817" s="1392" t="n"/>
      <c r="AE1817" s="1392" t="n"/>
      <c r="AF1817" s="1392" t="n"/>
      <c r="AG1817" s="1392" t="n"/>
      <c r="AH1817" s="1392" t="n"/>
      <c r="AI1817" s="1392" t="n"/>
      <c r="AJ1817" s="1392" t="n"/>
      <c r="AK1817" s="1392" t="n"/>
      <c r="AL1817" s="1392" t="n"/>
      <c r="AM1817" s="1392" t="n"/>
      <c r="AN1817" s="1392" t="n"/>
      <c r="AO1817" s="1392" t="n"/>
      <c r="AP1817" s="1392" t="n"/>
      <c r="AQ1817" s="1392" t="n"/>
      <c r="AR1817" s="1422" t="n"/>
      <c r="AS1817" s="1422" t="n"/>
      <c r="AT1817" s="1392" t="n"/>
      <c r="AU1817" s="1392" t="n"/>
      <c r="AV1817" s="1392" t="n"/>
      <c r="AW1817" s="1392" t="n"/>
      <c r="AX1817" s="1392" t="n"/>
      <c r="AY1817" s="1392" t="n"/>
      <c r="AZ1817" s="1392" t="n"/>
      <c r="BA1817" s="1422" t="n"/>
      <c r="BB1817" s="1422" t="n"/>
      <c r="BC1817" s="1392" t="n"/>
      <c r="BD1817" s="1392" t="n"/>
      <c r="BE1817" s="1392" t="n"/>
      <c r="BF1817" s="1392" t="n"/>
      <c r="BG1817" s="1392" t="n"/>
      <c r="BH1817" s="1392" t="n"/>
      <c r="BI1817" s="1392" t="n"/>
      <c r="BJ1817" s="1392" t="n"/>
      <c r="BK1817" s="1392" t="n"/>
      <c r="BL1817" s="1392" t="n"/>
      <c r="BM1817" s="1392" t="n"/>
      <c r="BN1817" s="1392" t="n"/>
      <c r="BO1817" s="1392" t="n"/>
      <c r="BP1817" s="1392" t="n"/>
      <c r="BQ1817" s="1392" t="n"/>
      <c r="BR1817" s="1392" t="n"/>
      <c r="BS1817" s="1392" t="n"/>
      <c r="BT1817" s="1392" t="n"/>
      <c r="BU1817" s="1392" t="n"/>
      <c r="BV1817" s="1392" t="n"/>
      <c r="BW1817" s="1392" t="n"/>
      <c r="BX1817" s="1392" t="n"/>
      <c r="BY1817" s="1392" t="n"/>
      <c r="BZ1817" s="1392" t="n"/>
      <c r="CA1817" s="1392" t="n"/>
      <c r="CB1817" s="1392" t="n"/>
      <c r="CC1817" s="1392" t="n"/>
      <c r="CD1817" s="1392" t="n"/>
      <c r="CE1817" s="1392" t="n"/>
      <c r="CF1817" s="1392" t="n"/>
      <c r="CG1817" s="1392" t="n"/>
      <c r="CH1817" s="1392" t="n"/>
      <c r="CI1817" s="1392" t="n"/>
      <c r="CJ1817" s="1392" t="n"/>
      <c r="CK1817" s="1392" t="n"/>
      <c r="CL1817" s="1392" t="n"/>
    </row>
    <row r="1818">
      <c r="A1818" s="5" t="inlineStr">
        <is>
          <t>.</t>
        </is>
      </c>
      <c r="B1818" s="5" t="inlineStr">
        <is>
          <t>.</t>
        </is>
      </c>
      <c r="C1818" s="1378">
        <f>IF(raw[[#This Row],[city]]="","-",IF(raw[[#This Row],[city]]="TODAY","-",C1817+1))</f>
        <v/>
      </c>
      <c r="D1818" s="1393" t="n"/>
      <c r="E1818" s="1394" t="n"/>
      <c r="F1818" s="1394" t="n"/>
      <c r="G1818" s="1393" t="n"/>
      <c r="H1818" s="1393" t="n"/>
      <c r="I1818" s="1393" t="n"/>
      <c r="J1818" s="1393" t="n"/>
      <c r="K1818" s="1395">
        <f>IF(raw[[#This Row],[city]]&lt;&gt;"",_xlfn.XLOOKUP($D1818,ccc[city],ccc[prov],"-"),"-")</f>
        <v/>
      </c>
      <c r="L1818" s="1395">
        <f>IF(raw[[#This Row],[city]]&lt;&gt;"",_xlfn.XLOOKUP($D1818,ccc[city],ccc[ctry],"-"),"-")</f>
        <v/>
      </c>
      <c r="M1818" s="1395">
        <f>IF(raw[[#This Row],[city]]&lt;&gt;"",_xlfn.XLOOKUP($D1818,ccc[city],ccc[cont],"-"),"-")</f>
        <v/>
      </c>
      <c r="N1818" s="1396">
        <f>IF(raw[[#This Row],[city]]="","-",IF(raw[[#This Row],[cont]]="B",raw[[#This Row],[cont]],"W"))</f>
        <v/>
      </c>
      <c r="O1818" s="1397">
        <f>IF(raw[[#This Row],[out]]=0,0,IF(raw[[#This Row],[out]]=raw[[#This Row],[in]],0.01,raw[[#This Row],[out]]-raw[[#This Row],[in]]))</f>
        <v/>
      </c>
      <c r="P1818" s="1397">
        <f>IF(raw[[#This Row],[in]]=0,0,MONTH(raw[[#This Row],[in]]))</f>
        <v/>
      </c>
      <c r="Q1818" s="1397">
        <f>IF(raw[[#This Row],[in]]=0,0,YEAR(raw[[#This Row],[in]]))</f>
        <v/>
      </c>
      <c r="R1818" s="1397">
        <f>INT(raw[[#This Row],[yr]]/10)*10</f>
        <v/>
      </c>
      <c r="S1818" s="1395">
        <f>IF(raw[[#This Row],[city]]="","-",IF(raw[[#This Row],[city]]&lt;&gt;_xlfn.XLOOKUP(raw[[#This Row],[home]],homes[home],homes[city],"-"),1,0))</f>
        <v/>
      </c>
      <c r="T1818" s="1398" t="inlineStr">
        <is>
          <t>.</t>
        </is>
      </c>
      <c r="U1818" s="1399">
        <f>IF(raw[[#This Row],[wb]]="w",raw[[#This Row],[stay]]+U1817,U1817)</f>
        <v/>
      </c>
      <c r="V1818" s="1400">
        <f>IF(raw[[#This Row],[out]]=0,V1817,(raw[[#This Row],[out]]-E$5))</f>
        <v/>
      </c>
      <c r="W1818" s="1401">
        <f>U1818/V1818</f>
        <v/>
      </c>
      <c r="X1818" s="1392" t="n"/>
      <c r="Y1818" s="1392" t="n"/>
      <c r="Z1818" s="1392" t="n"/>
      <c r="AA1818" s="1392" t="n"/>
      <c r="AB1818" s="1392" t="n"/>
      <c r="AC1818" s="1392" t="n"/>
      <c r="AD1818" s="1392" t="n"/>
      <c r="AE1818" s="1392" t="n"/>
      <c r="AF1818" s="1392" t="n"/>
      <c r="AG1818" s="1392" t="n"/>
      <c r="AH1818" s="1392" t="n"/>
      <c r="AI1818" s="1392" t="n"/>
      <c r="AJ1818" s="1392" t="n"/>
      <c r="AK1818" s="1392" t="n"/>
      <c r="AL1818" s="1392" t="n"/>
      <c r="AM1818" s="1392" t="n"/>
      <c r="AN1818" s="1392" t="n"/>
      <c r="AO1818" s="1392" t="n"/>
      <c r="AP1818" s="1392" t="n"/>
      <c r="AQ1818" s="1392" t="n"/>
      <c r="AR1818" s="1422" t="n"/>
      <c r="AS1818" s="1422" t="n"/>
      <c r="AT1818" s="1392" t="n"/>
      <c r="AU1818" s="1392" t="n"/>
      <c r="AV1818" s="1392" t="n"/>
      <c r="AW1818" s="1392" t="n"/>
      <c r="AX1818" s="1392" t="n"/>
      <c r="AY1818" s="1392" t="n"/>
      <c r="AZ1818" s="1392" t="n"/>
      <c r="BA1818" s="1422" t="n"/>
      <c r="BB1818" s="1422" t="n"/>
      <c r="BC1818" s="1392" t="n"/>
      <c r="BD1818" s="1392" t="n"/>
      <c r="BE1818" s="1392" t="n"/>
      <c r="BF1818" s="1392" t="n"/>
      <c r="BG1818" s="1392" t="n"/>
      <c r="BH1818" s="1392" t="n"/>
      <c r="BI1818" s="1392" t="n"/>
      <c r="BJ1818" s="1392" t="n"/>
      <c r="BK1818" s="1392" t="n"/>
      <c r="BL1818" s="1392" t="n"/>
      <c r="BM1818" s="1392" t="n"/>
      <c r="BN1818" s="1392" t="n"/>
      <c r="BO1818" s="1392" t="n"/>
      <c r="BP1818" s="1392" t="n"/>
      <c r="BQ1818" s="1392" t="n"/>
      <c r="BR1818" s="1392" t="n"/>
      <c r="BS1818" s="1392" t="n"/>
      <c r="BT1818" s="1392" t="n"/>
      <c r="BU1818" s="1392" t="n"/>
      <c r="BV1818" s="1392" t="n"/>
      <c r="BW1818" s="1392" t="n"/>
      <c r="BX1818" s="1392" t="n"/>
      <c r="BY1818" s="1392" t="n"/>
      <c r="BZ1818" s="1392" t="n"/>
      <c r="CA1818" s="1392" t="n"/>
      <c r="CB1818" s="1392" t="n"/>
      <c r="CC1818" s="1392" t="n"/>
      <c r="CD1818" s="1392" t="n"/>
      <c r="CE1818" s="1392" t="n"/>
      <c r="CF1818" s="1392" t="n"/>
      <c r="CG1818" s="1392" t="n"/>
      <c r="CH1818" s="1392" t="n"/>
      <c r="CI1818" s="1392" t="n"/>
      <c r="CJ1818" s="1392" t="n"/>
      <c r="CK1818" s="1392" t="n"/>
      <c r="CL1818" s="1392" t="n"/>
    </row>
    <row r="1819">
      <c r="A1819" s="5" t="inlineStr">
        <is>
          <t>.</t>
        </is>
      </c>
      <c r="B1819" s="5" t="inlineStr">
        <is>
          <t>.</t>
        </is>
      </c>
      <c r="C1819" s="1378">
        <f>IF(raw[[#This Row],[city]]="","-",IF(raw[[#This Row],[city]]="TODAY","-",C1818+1))</f>
        <v/>
      </c>
      <c r="D1819" s="1393" t="n"/>
      <c r="E1819" s="1394" t="n"/>
      <c r="F1819" s="1394" t="n"/>
      <c r="G1819" s="1393" t="n"/>
      <c r="H1819" s="1393" t="n"/>
      <c r="I1819" s="1393" t="n"/>
      <c r="J1819" s="1393" t="n"/>
      <c r="K1819" s="1395">
        <f>IF(raw[[#This Row],[city]]&lt;&gt;"",_xlfn.XLOOKUP($D1819,ccc[city],ccc[prov],"-"),"-")</f>
        <v/>
      </c>
      <c r="L1819" s="1395">
        <f>IF(raw[[#This Row],[city]]&lt;&gt;"",_xlfn.XLOOKUP($D1819,ccc[city],ccc[ctry],"-"),"-")</f>
        <v/>
      </c>
      <c r="M1819" s="1395">
        <f>IF(raw[[#This Row],[city]]&lt;&gt;"",_xlfn.XLOOKUP($D1819,ccc[city],ccc[cont],"-"),"-")</f>
        <v/>
      </c>
      <c r="N1819" s="1396">
        <f>IF(raw[[#This Row],[city]]="","-",IF(raw[[#This Row],[cont]]="B",raw[[#This Row],[cont]],"W"))</f>
        <v/>
      </c>
      <c r="O1819" s="1397">
        <f>IF(raw[[#This Row],[out]]=0,0,IF(raw[[#This Row],[out]]=raw[[#This Row],[in]],0.01,raw[[#This Row],[out]]-raw[[#This Row],[in]]))</f>
        <v/>
      </c>
      <c r="P1819" s="1397">
        <f>IF(raw[[#This Row],[in]]=0,0,MONTH(raw[[#This Row],[in]]))</f>
        <v/>
      </c>
      <c r="Q1819" s="1397">
        <f>IF(raw[[#This Row],[in]]=0,0,YEAR(raw[[#This Row],[in]]))</f>
        <v/>
      </c>
      <c r="R1819" s="1397">
        <f>INT(raw[[#This Row],[yr]]/10)*10</f>
        <v/>
      </c>
      <c r="S1819" s="1395">
        <f>IF(raw[[#This Row],[city]]="","-",IF(raw[[#This Row],[city]]&lt;&gt;_xlfn.XLOOKUP(raw[[#This Row],[home]],homes[home],homes[city],"-"),1,0))</f>
        <v/>
      </c>
      <c r="T1819" s="1398" t="inlineStr">
        <is>
          <t>.</t>
        </is>
      </c>
      <c r="U1819" s="1399">
        <f>IF(raw[[#This Row],[wb]]="w",raw[[#This Row],[stay]]+U1818,U1818)</f>
        <v/>
      </c>
      <c r="V1819" s="1400">
        <f>IF(raw[[#This Row],[out]]=0,V1818,(raw[[#This Row],[out]]-E$5))</f>
        <v/>
      </c>
      <c r="W1819" s="1401">
        <f>U1819/V1819</f>
        <v/>
      </c>
      <c r="X1819" s="1392" t="n"/>
      <c r="Y1819" s="1392" t="n"/>
      <c r="Z1819" s="1392" t="n"/>
      <c r="AA1819" s="1392" t="n"/>
      <c r="AB1819" s="1392" t="n"/>
      <c r="AC1819" s="1392" t="n"/>
      <c r="AD1819" s="1392" t="n"/>
      <c r="AE1819" s="1392" t="n"/>
      <c r="AF1819" s="1392" t="n"/>
      <c r="AG1819" s="1392" t="n"/>
      <c r="AH1819" s="1392" t="n"/>
      <c r="AI1819" s="1392" t="n"/>
      <c r="AJ1819" s="1392" t="n"/>
      <c r="AK1819" s="1392" t="n"/>
      <c r="AL1819" s="1392" t="n"/>
      <c r="AM1819" s="1392" t="n"/>
      <c r="AN1819" s="1392" t="n"/>
      <c r="AO1819" s="1392" t="n"/>
      <c r="AP1819" s="1392" t="n"/>
      <c r="AQ1819" s="1392" t="n"/>
      <c r="AR1819" s="1422" t="n"/>
      <c r="AS1819" s="1422" t="n"/>
      <c r="AT1819" s="1392" t="n"/>
      <c r="AU1819" s="1392" t="n"/>
      <c r="AV1819" s="1392" t="n"/>
      <c r="AW1819" s="1392" t="n"/>
      <c r="AX1819" s="1392" t="n"/>
      <c r="AY1819" s="1392" t="n"/>
      <c r="AZ1819" s="1392" t="n"/>
      <c r="BA1819" s="1422" t="n"/>
      <c r="BB1819" s="1422" t="n"/>
      <c r="BC1819" s="1392" t="n"/>
      <c r="BD1819" s="1392" t="n"/>
      <c r="BE1819" s="1392" t="n"/>
      <c r="BF1819" s="1392" t="n"/>
      <c r="BG1819" s="1392" t="n"/>
      <c r="BH1819" s="1392" t="n"/>
      <c r="BI1819" s="1392" t="n"/>
      <c r="BJ1819" s="1392" t="n"/>
      <c r="BK1819" s="1392" t="n"/>
      <c r="BL1819" s="1392" t="n"/>
      <c r="BM1819" s="1392" t="n"/>
      <c r="BN1819" s="1392" t="n"/>
      <c r="BO1819" s="1392" t="n"/>
      <c r="BP1819" s="1392" t="n"/>
      <c r="BQ1819" s="1392" t="n"/>
      <c r="BR1819" s="1392" t="n"/>
      <c r="BS1819" s="1392" t="n"/>
      <c r="BT1819" s="1392" t="n"/>
      <c r="BU1819" s="1392" t="n"/>
      <c r="BV1819" s="1392" t="n"/>
      <c r="BW1819" s="1392" t="n"/>
      <c r="BX1819" s="1392" t="n"/>
      <c r="BY1819" s="1392" t="n"/>
      <c r="BZ1819" s="1392" t="n"/>
      <c r="CA1819" s="1392" t="n"/>
      <c r="CB1819" s="1392" t="n"/>
      <c r="CC1819" s="1392" t="n"/>
      <c r="CD1819" s="1392" t="n"/>
      <c r="CE1819" s="1392" t="n"/>
      <c r="CF1819" s="1392" t="n"/>
      <c r="CG1819" s="1392" t="n"/>
      <c r="CH1819" s="1392" t="n"/>
      <c r="CI1819" s="1392" t="n"/>
      <c r="CJ1819" s="1392" t="n"/>
      <c r="CK1819" s="1392" t="n"/>
      <c r="CL1819" s="1392" t="n"/>
    </row>
    <row r="1820">
      <c r="A1820" s="5" t="inlineStr">
        <is>
          <t>.</t>
        </is>
      </c>
      <c r="B1820" s="5" t="inlineStr">
        <is>
          <t>.</t>
        </is>
      </c>
      <c r="C1820" s="1378">
        <f>IF(raw[[#This Row],[city]]="","-",IF(raw[[#This Row],[city]]="TODAY","-",C1819+1))</f>
        <v/>
      </c>
      <c r="D1820" s="1393" t="n"/>
      <c r="E1820" s="1394" t="n"/>
      <c r="F1820" s="1394" t="n"/>
      <c r="G1820" s="1393" t="n"/>
      <c r="H1820" s="1393" t="n"/>
      <c r="I1820" s="1393" t="n"/>
      <c r="J1820" s="1393" t="n"/>
      <c r="K1820" s="1395">
        <f>IF(raw[[#This Row],[city]]&lt;&gt;"",_xlfn.XLOOKUP($D1820,ccc[city],ccc[prov],"-"),"-")</f>
        <v/>
      </c>
      <c r="L1820" s="1395">
        <f>IF(raw[[#This Row],[city]]&lt;&gt;"",_xlfn.XLOOKUP($D1820,ccc[city],ccc[ctry],"-"),"-")</f>
        <v/>
      </c>
      <c r="M1820" s="1395">
        <f>IF(raw[[#This Row],[city]]&lt;&gt;"",_xlfn.XLOOKUP($D1820,ccc[city],ccc[cont],"-"),"-")</f>
        <v/>
      </c>
      <c r="N1820" s="1396">
        <f>IF(raw[[#This Row],[city]]="","-",IF(raw[[#This Row],[cont]]="B",raw[[#This Row],[cont]],"W"))</f>
        <v/>
      </c>
      <c r="O1820" s="1397">
        <f>IF(raw[[#This Row],[out]]=0,0,IF(raw[[#This Row],[out]]=raw[[#This Row],[in]],0.01,raw[[#This Row],[out]]-raw[[#This Row],[in]]))</f>
        <v/>
      </c>
      <c r="P1820" s="1397">
        <f>IF(raw[[#This Row],[in]]=0,0,MONTH(raw[[#This Row],[in]]))</f>
        <v/>
      </c>
      <c r="Q1820" s="1397">
        <f>IF(raw[[#This Row],[in]]=0,0,YEAR(raw[[#This Row],[in]]))</f>
        <v/>
      </c>
      <c r="R1820" s="1397">
        <f>INT(raw[[#This Row],[yr]]/10)*10</f>
        <v/>
      </c>
      <c r="S1820" s="1395">
        <f>IF(raw[[#This Row],[city]]="","-",IF(raw[[#This Row],[city]]&lt;&gt;_xlfn.XLOOKUP(raw[[#This Row],[home]],homes[home],homes[city],"-"),1,0))</f>
        <v/>
      </c>
      <c r="T1820" s="1398" t="inlineStr">
        <is>
          <t>.</t>
        </is>
      </c>
      <c r="U1820" s="1399">
        <f>IF(raw[[#This Row],[wb]]="w",raw[[#This Row],[stay]]+U1819,U1819)</f>
        <v/>
      </c>
      <c r="V1820" s="1400">
        <f>IF(raw[[#This Row],[out]]=0,V1819,(raw[[#This Row],[out]]-E$5))</f>
        <v/>
      </c>
      <c r="W1820" s="1401">
        <f>U1820/V1820</f>
        <v/>
      </c>
      <c r="X1820" s="1392" t="n"/>
      <c r="Y1820" s="1392" t="n"/>
      <c r="Z1820" s="1392" t="n"/>
      <c r="AA1820" s="1392" t="n"/>
      <c r="AB1820" s="1392" t="n"/>
      <c r="AC1820" s="1392" t="n"/>
      <c r="AD1820" s="1392" t="n"/>
      <c r="AE1820" s="1392" t="n"/>
      <c r="AF1820" s="1392" t="n"/>
      <c r="AG1820" s="1392" t="n"/>
      <c r="AH1820" s="1392" t="n"/>
      <c r="AI1820" s="1392" t="n"/>
      <c r="AJ1820" s="1392" t="n"/>
      <c r="AK1820" s="1392" t="n"/>
      <c r="AL1820" s="1392" t="n"/>
      <c r="AM1820" s="1392" t="n"/>
      <c r="AN1820" s="1392" t="n"/>
      <c r="AO1820" s="1392" t="n"/>
      <c r="AP1820" s="1392" t="n"/>
      <c r="AQ1820" s="1392" t="n"/>
      <c r="AR1820" s="1422" t="n"/>
      <c r="AS1820" s="1422" t="n"/>
      <c r="AT1820" s="1392" t="n"/>
      <c r="AU1820" s="1392" t="n"/>
      <c r="AV1820" s="1392" t="n"/>
      <c r="AW1820" s="1392" t="n"/>
      <c r="AX1820" s="1392" t="n"/>
      <c r="AY1820" s="1392" t="n"/>
      <c r="AZ1820" s="1392" t="n"/>
      <c r="BA1820" s="1422" t="n"/>
      <c r="BB1820" s="1422" t="n"/>
      <c r="BC1820" s="1392" t="n"/>
      <c r="BD1820" s="1392" t="n"/>
      <c r="BE1820" s="1392" t="n"/>
      <c r="BF1820" s="1392" t="n"/>
      <c r="BG1820" s="1392" t="n"/>
      <c r="BH1820" s="1392" t="n"/>
      <c r="BI1820" s="1392" t="n"/>
      <c r="BJ1820" s="1392" t="n"/>
      <c r="BK1820" s="1392" t="n"/>
      <c r="BL1820" s="1392" t="n"/>
      <c r="BM1820" s="1392" t="n"/>
      <c r="BN1820" s="1392" t="n"/>
      <c r="BO1820" s="1392" t="n"/>
      <c r="BP1820" s="1392" t="n"/>
      <c r="BQ1820" s="1392" t="n"/>
      <c r="BR1820" s="1392" t="n"/>
      <c r="BS1820" s="1392" t="n"/>
      <c r="BT1820" s="1392" t="n"/>
      <c r="BU1820" s="1392" t="n"/>
      <c r="BV1820" s="1392" t="n"/>
      <c r="BW1820" s="1392" t="n"/>
      <c r="BX1820" s="1392" t="n"/>
      <c r="BY1820" s="1392" t="n"/>
      <c r="BZ1820" s="1392" t="n"/>
      <c r="CA1820" s="1392" t="n"/>
      <c r="CB1820" s="1392" t="n"/>
      <c r="CC1820" s="1392" t="n"/>
      <c r="CD1820" s="1392" t="n"/>
      <c r="CE1820" s="1392" t="n"/>
      <c r="CF1820" s="1392" t="n"/>
      <c r="CG1820" s="1392" t="n"/>
      <c r="CH1820" s="1392" t="n"/>
      <c r="CI1820" s="1392" t="n"/>
      <c r="CJ1820" s="1392" t="n"/>
      <c r="CK1820" s="1392" t="n"/>
      <c r="CL1820" s="1392" t="n"/>
    </row>
    <row r="1821">
      <c r="A1821" s="5" t="inlineStr">
        <is>
          <t>.</t>
        </is>
      </c>
      <c r="B1821" s="5" t="inlineStr">
        <is>
          <t>.</t>
        </is>
      </c>
      <c r="C1821" s="1378">
        <f>IF(raw[[#This Row],[city]]="","-",IF(raw[[#This Row],[city]]="TODAY","-",C1820+1))</f>
        <v/>
      </c>
      <c r="D1821" s="1393" t="n"/>
      <c r="E1821" s="1394" t="n"/>
      <c r="F1821" s="1394" t="n"/>
      <c r="G1821" s="1393" t="n"/>
      <c r="H1821" s="1393" t="n"/>
      <c r="I1821" s="1393" t="n"/>
      <c r="J1821" s="1393" t="n"/>
      <c r="K1821" s="1395">
        <f>IF(raw[[#This Row],[city]]&lt;&gt;"",_xlfn.XLOOKUP($D1821,ccc[city],ccc[prov],"-"),"-")</f>
        <v/>
      </c>
      <c r="L1821" s="1395">
        <f>IF(raw[[#This Row],[city]]&lt;&gt;"",_xlfn.XLOOKUP($D1821,ccc[city],ccc[ctry],"-"),"-")</f>
        <v/>
      </c>
      <c r="M1821" s="1395">
        <f>IF(raw[[#This Row],[city]]&lt;&gt;"",_xlfn.XLOOKUP($D1821,ccc[city],ccc[cont],"-"),"-")</f>
        <v/>
      </c>
      <c r="N1821" s="1396">
        <f>IF(raw[[#This Row],[city]]="","-",IF(raw[[#This Row],[cont]]="B",raw[[#This Row],[cont]],"W"))</f>
        <v/>
      </c>
      <c r="O1821" s="1397">
        <f>IF(raw[[#This Row],[out]]=0,0,IF(raw[[#This Row],[out]]=raw[[#This Row],[in]],0.01,raw[[#This Row],[out]]-raw[[#This Row],[in]]))</f>
        <v/>
      </c>
      <c r="P1821" s="1397">
        <f>IF(raw[[#This Row],[in]]=0,0,MONTH(raw[[#This Row],[in]]))</f>
        <v/>
      </c>
      <c r="Q1821" s="1397">
        <f>IF(raw[[#This Row],[in]]=0,0,YEAR(raw[[#This Row],[in]]))</f>
        <v/>
      </c>
      <c r="R1821" s="1397">
        <f>INT(raw[[#This Row],[yr]]/10)*10</f>
        <v/>
      </c>
      <c r="S1821" s="1395">
        <f>IF(raw[[#This Row],[city]]="","-",IF(raw[[#This Row],[city]]&lt;&gt;_xlfn.XLOOKUP(raw[[#This Row],[home]],homes[home],homes[city],"-"),1,0))</f>
        <v/>
      </c>
      <c r="T1821" s="1398" t="inlineStr">
        <is>
          <t>.</t>
        </is>
      </c>
      <c r="U1821" s="1399">
        <f>IF(raw[[#This Row],[wb]]="w",raw[[#This Row],[stay]]+U1820,U1820)</f>
        <v/>
      </c>
      <c r="V1821" s="1400">
        <f>IF(raw[[#This Row],[out]]=0,V1820,(raw[[#This Row],[out]]-E$5))</f>
        <v/>
      </c>
      <c r="W1821" s="1401">
        <f>U1821/V1821</f>
        <v/>
      </c>
      <c r="X1821" s="1392" t="n"/>
      <c r="Y1821" s="1392" t="n"/>
      <c r="Z1821" s="1392" t="n"/>
      <c r="AA1821" s="1392" t="n"/>
      <c r="AB1821" s="1392" t="n"/>
      <c r="AC1821" s="1392" t="n"/>
      <c r="AD1821" s="1392" t="n"/>
      <c r="AE1821" s="1392" t="n"/>
      <c r="AF1821" s="1392" t="n"/>
      <c r="AG1821" s="1392" t="n"/>
      <c r="AH1821" s="1392" t="n"/>
      <c r="AI1821" s="1392" t="n"/>
      <c r="AJ1821" s="1392" t="n"/>
      <c r="AK1821" s="1392" t="n"/>
      <c r="AL1821" s="1392" t="n"/>
      <c r="AM1821" s="1392" t="n"/>
      <c r="AN1821" s="1392" t="n"/>
      <c r="AO1821" s="1392" t="n"/>
      <c r="AP1821" s="1392" t="n"/>
      <c r="AQ1821" s="1392" t="n"/>
      <c r="AR1821" s="1422" t="n"/>
      <c r="AS1821" s="1422" t="n"/>
      <c r="AT1821" s="1392" t="n"/>
      <c r="AU1821" s="1392" t="n"/>
      <c r="AV1821" s="1392" t="n"/>
      <c r="AW1821" s="1392" t="n"/>
      <c r="AX1821" s="1392" t="n"/>
      <c r="AY1821" s="1392" t="n"/>
      <c r="AZ1821" s="1392" t="n"/>
      <c r="BA1821" s="1422" t="n"/>
      <c r="BB1821" s="1422" t="n"/>
      <c r="BC1821" s="1392" t="n"/>
      <c r="BD1821" s="1392" t="n"/>
      <c r="BE1821" s="1392" t="n"/>
      <c r="BF1821" s="1392" t="n"/>
      <c r="BG1821" s="1392" t="n"/>
      <c r="BH1821" s="1392" t="n"/>
      <c r="BI1821" s="1392" t="n"/>
      <c r="BJ1821" s="1392" t="n"/>
      <c r="BK1821" s="1392" t="n"/>
      <c r="BL1821" s="1392" t="n"/>
      <c r="BM1821" s="1392" t="n"/>
      <c r="BN1821" s="1392" t="n"/>
      <c r="BO1821" s="1392" t="n"/>
      <c r="BP1821" s="1392" t="n"/>
      <c r="BQ1821" s="1392" t="n"/>
      <c r="BR1821" s="1392" t="n"/>
      <c r="BS1821" s="1392" t="n"/>
      <c r="BT1821" s="1392" t="n"/>
      <c r="BU1821" s="1392" t="n"/>
      <c r="BV1821" s="1392" t="n"/>
      <c r="BW1821" s="1392" t="n"/>
      <c r="BX1821" s="1392" t="n"/>
      <c r="BY1821" s="1392" t="n"/>
      <c r="BZ1821" s="1392" t="n"/>
      <c r="CA1821" s="1392" t="n"/>
      <c r="CB1821" s="1392" t="n"/>
      <c r="CC1821" s="1392" t="n"/>
      <c r="CD1821" s="1392" t="n"/>
      <c r="CE1821" s="1392" t="n"/>
      <c r="CF1821" s="1392" t="n"/>
      <c r="CG1821" s="1392" t="n"/>
      <c r="CH1821" s="1392" t="n"/>
      <c r="CI1821" s="1392" t="n"/>
      <c r="CJ1821" s="1392" t="n"/>
      <c r="CK1821" s="1392" t="n"/>
      <c r="CL1821" s="1392" t="n"/>
    </row>
    <row r="1822">
      <c r="A1822" s="5" t="inlineStr">
        <is>
          <t>.</t>
        </is>
      </c>
      <c r="B1822" s="5" t="inlineStr">
        <is>
          <t>.</t>
        </is>
      </c>
      <c r="C1822" s="1378">
        <f>IF(raw[[#This Row],[city]]="","-",IF(raw[[#This Row],[city]]="TODAY","-",C1821+1))</f>
        <v/>
      </c>
      <c r="D1822" s="1393" t="n"/>
      <c r="E1822" s="1394" t="n"/>
      <c r="F1822" s="1394" t="n"/>
      <c r="G1822" s="1393" t="n"/>
      <c r="H1822" s="1393" t="n"/>
      <c r="I1822" s="1393" t="n"/>
      <c r="J1822" s="1393" t="n"/>
      <c r="K1822" s="1395">
        <f>IF(raw[[#This Row],[city]]&lt;&gt;"",_xlfn.XLOOKUP($D1822,ccc[city],ccc[prov],"-"),"-")</f>
        <v/>
      </c>
      <c r="L1822" s="1395">
        <f>IF(raw[[#This Row],[city]]&lt;&gt;"",_xlfn.XLOOKUP($D1822,ccc[city],ccc[ctry],"-"),"-")</f>
        <v/>
      </c>
      <c r="M1822" s="1395">
        <f>IF(raw[[#This Row],[city]]&lt;&gt;"",_xlfn.XLOOKUP($D1822,ccc[city],ccc[cont],"-"),"-")</f>
        <v/>
      </c>
      <c r="N1822" s="1396">
        <f>IF(raw[[#This Row],[city]]="","-",IF(raw[[#This Row],[cont]]="B",raw[[#This Row],[cont]],"W"))</f>
        <v/>
      </c>
      <c r="O1822" s="1397">
        <f>IF(raw[[#This Row],[out]]=0,0,IF(raw[[#This Row],[out]]=raw[[#This Row],[in]],0.01,raw[[#This Row],[out]]-raw[[#This Row],[in]]))</f>
        <v/>
      </c>
      <c r="P1822" s="1397">
        <f>IF(raw[[#This Row],[in]]=0,0,MONTH(raw[[#This Row],[in]]))</f>
        <v/>
      </c>
      <c r="Q1822" s="1397">
        <f>IF(raw[[#This Row],[in]]=0,0,YEAR(raw[[#This Row],[in]]))</f>
        <v/>
      </c>
      <c r="R1822" s="1397">
        <f>INT(raw[[#This Row],[yr]]/10)*10</f>
        <v/>
      </c>
      <c r="S1822" s="1395">
        <f>IF(raw[[#This Row],[city]]="","-",IF(raw[[#This Row],[city]]&lt;&gt;_xlfn.XLOOKUP(raw[[#This Row],[home]],homes[home],homes[city],"-"),1,0))</f>
        <v/>
      </c>
      <c r="T1822" s="1398" t="inlineStr">
        <is>
          <t>.</t>
        </is>
      </c>
      <c r="U1822" s="1399">
        <f>IF(raw[[#This Row],[wb]]="w",raw[[#This Row],[stay]]+U1821,U1821)</f>
        <v/>
      </c>
      <c r="V1822" s="1400">
        <f>IF(raw[[#This Row],[out]]=0,V1821,(raw[[#This Row],[out]]-E$5))</f>
        <v/>
      </c>
      <c r="W1822" s="1401">
        <f>U1822/V1822</f>
        <v/>
      </c>
      <c r="X1822" s="1392" t="n"/>
      <c r="Y1822" s="1392" t="n"/>
      <c r="Z1822" s="1392" t="n"/>
      <c r="AA1822" s="1392" t="n"/>
      <c r="AB1822" s="1392" t="n"/>
      <c r="AC1822" s="1392" t="n"/>
      <c r="AD1822" s="1392" t="n"/>
      <c r="AE1822" s="1392" t="n"/>
      <c r="AF1822" s="1392" t="n"/>
      <c r="AG1822" s="1392" t="n"/>
      <c r="AH1822" s="1392" t="n"/>
      <c r="AI1822" s="1392" t="n"/>
      <c r="AJ1822" s="1392" t="n"/>
      <c r="AK1822" s="1392" t="n"/>
      <c r="AL1822" s="1392" t="n"/>
      <c r="AM1822" s="1392" t="n"/>
      <c r="AN1822" s="1392" t="n"/>
      <c r="AO1822" s="1392" t="n"/>
      <c r="AP1822" s="1392" t="n"/>
      <c r="AQ1822" s="1392" t="n"/>
      <c r="AR1822" s="1422" t="n"/>
      <c r="AS1822" s="1422" t="n"/>
      <c r="AT1822" s="1392" t="n"/>
      <c r="AU1822" s="1392" t="n"/>
      <c r="AV1822" s="1392" t="n"/>
      <c r="AW1822" s="1392" t="n"/>
      <c r="AX1822" s="1392" t="n"/>
      <c r="AY1822" s="1392" t="n"/>
      <c r="AZ1822" s="1392" t="n"/>
      <c r="BA1822" s="1422" t="n"/>
      <c r="BB1822" s="1422" t="n"/>
      <c r="BC1822" s="1392" t="n"/>
      <c r="BD1822" s="1392" t="n"/>
      <c r="BE1822" s="1392" t="n"/>
      <c r="BF1822" s="1392" t="n"/>
      <c r="BG1822" s="1392" t="n"/>
      <c r="BH1822" s="1392" t="n"/>
      <c r="BI1822" s="1392" t="n"/>
      <c r="BJ1822" s="1392" t="n"/>
      <c r="BK1822" s="1392" t="n"/>
      <c r="BL1822" s="1392" t="n"/>
      <c r="BM1822" s="1392" t="n"/>
      <c r="BN1822" s="1392" t="n"/>
      <c r="BO1822" s="1392" t="n"/>
      <c r="BP1822" s="1392" t="n"/>
      <c r="BQ1822" s="1392" t="n"/>
      <c r="BR1822" s="1392" t="n"/>
      <c r="BS1822" s="1392" t="n"/>
      <c r="BT1822" s="1392" t="n"/>
      <c r="BU1822" s="1392" t="n"/>
      <c r="BV1822" s="1392" t="n"/>
      <c r="BW1822" s="1392" t="n"/>
      <c r="BX1822" s="1392" t="n"/>
      <c r="BY1822" s="1392" t="n"/>
      <c r="BZ1822" s="1392" t="n"/>
      <c r="CA1822" s="1392" t="n"/>
      <c r="CB1822" s="1392" t="n"/>
      <c r="CC1822" s="1392" t="n"/>
      <c r="CD1822" s="1392" t="n"/>
      <c r="CE1822" s="1392" t="n"/>
      <c r="CF1822" s="1392" t="n"/>
      <c r="CG1822" s="1392" t="n"/>
      <c r="CH1822" s="1392" t="n"/>
      <c r="CI1822" s="1392" t="n"/>
      <c r="CJ1822" s="1392" t="n"/>
      <c r="CK1822" s="1392" t="n"/>
      <c r="CL1822" s="1392" t="n"/>
    </row>
    <row r="1823">
      <c r="A1823" s="5" t="inlineStr">
        <is>
          <t>.</t>
        </is>
      </c>
      <c r="B1823" s="5" t="inlineStr">
        <is>
          <t>.</t>
        </is>
      </c>
      <c r="C1823" s="1378">
        <f>IF(raw[[#This Row],[city]]="","-",IF(raw[[#This Row],[city]]="TODAY","-",C1822+1))</f>
        <v/>
      </c>
      <c r="D1823" s="1393" t="n"/>
      <c r="E1823" s="1394" t="n"/>
      <c r="F1823" s="1394" t="n"/>
      <c r="G1823" s="1393" t="n"/>
      <c r="H1823" s="1393" t="n"/>
      <c r="I1823" s="1393" t="n"/>
      <c r="J1823" s="1393" t="n"/>
      <c r="K1823" s="1395">
        <f>IF(raw[[#This Row],[city]]&lt;&gt;"",_xlfn.XLOOKUP($D1823,ccc[city],ccc[prov],"-"),"-")</f>
        <v/>
      </c>
      <c r="L1823" s="1395">
        <f>IF(raw[[#This Row],[city]]&lt;&gt;"",_xlfn.XLOOKUP($D1823,ccc[city],ccc[ctry],"-"),"-")</f>
        <v/>
      </c>
      <c r="M1823" s="1395">
        <f>IF(raw[[#This Row],[city]]&lt;&gt;"",_xlfn.XLOOKUP($D1823,ccc[city],ccc[cont],"-"),"-")</f>
        <v/>
      </c>
      <c r="N1823" s="1396">
        <f>IF(raw[[#This Row],[city]]="","-",IF(raw[[#This Row],[cont]]="B",raw[[#This Row],[cont]],"W"))</f>
        <v/>
      </c>
      <c r="O1823" s="1397">
        <f>IF(raw[[#This Row],[out]]=0,0,IF(raw[[#This Row],[out]]=raw[[#This Row],[in]],0.01,raw[[#This Row],[out]]-raw[[#This Row],[in]]))</f>
        <v/>
      </c>
      <c r="P1823" s="1397">
        <f>IF(raw[[#This Row],[in]]=0,0,MONTH(raw[[#This Row],[in]]))</f>
        <v/>
      </c>
      <c r="Q1823" s="1397">
        <f>IF(raw[[#This Row],[in]]=0,0,YEAR(raw[[#This Row],[in]]))</f>
        <v/>
      </c>
      <c r="R1823" s="1397">
        <f>INT(raw[[#This Row],[yr]]/10)*10</f>
        <v/>
      </c>
      <c r="S1823" s="1395">
        <f>IF(raw[[#This Row],[city]]="","-",IF(raw[[#This Row],[city]]&lt;&gt;_xlfn.XLOOKUP(raw[[#This Row],[home]],homes[home],homes[city],"-"),1,0))</f>
        <v/>
      </c>
      <c r="T1823" s="1398" t="inlineStr">
        <is>
          <t>.</t>
        </is>
      </c>
      <c r="U1823" s="1399">
        <f>IF(raw[[#This Row],[wb]]="w",raw[[#This Row],[stay]]+U1822,U1822)</f>
        <v/>
      </c>
      <c r="V1823" s="1400">
        <f>IF(raw[[#This Row],[out]]=0,V1822,(raw[[#This Row],[out]]-E$5))</f>
        <v/>
      </c>
      <c r="W1823" s="1401">
        <f>U1823/V1823</f>
        <v/>
      </c>
      <c r="X1823" s="1392" t="n"/>
      <c r="Y1823" s="1392" t="n"/>
      <c r="Z1823" s="1392" t="n"/>
      <c r="AA1823" s="1392" t="n"/>
      <c r="AB1823" s="1392" t="n"/>
      <c r="AC1823" s="1392" t="n"/>
      <c r="AD1823" s="1392" t="n"/>
      <c r="AE1823" s="1392" t="n"/>
      <c r="AF1823" s="1392" t="n"/>
      <c r="AG1823" s="1392" t="n"/>
      <c r="AH1823" s="1392" t="n"/>
      <c r="AI1823" s="1392" t="n"/>
      <c r="AJ1823" s="1392" t="n"/>
      <c r="AK1823" s="1392" t="n"/>
      <c r="AL1823" s="1392" t="n"/>
      <c r="AM1823" s="1392" t="n"/>
      <c r="AN1823" s="1392" t="n"/>
      <c r="AO1823" s="1392" t="n"/>
      <c r="AP1823" s="1392" t="n"/>
      <c r="AQ1823" s="1392" t="n"/>
      <c r="AR1823" s="1422" t="n"/>
      <c r="AS1823" s="1422" t="n"/>
      <c r="AT1823" s="1392" t="n"/>
      <c r="AU1823" s="1392" t="n"/>
      <c r="AV1823" s="1392" t="n"/>
      <c r="AW1823" s="1392" t="n"/>
      <c r="AX1823" s="1392" t="n"/>
      <c r="AY1823" s="1392" t="n"/>
      <c r="AZ1823" s="1392" t="n"/>
      <c r="BA1823" s="1422" t="n"/>
      <c r="BB1823" s="1422" t="n"/>
      <c r="BC1823" s="1392" t="n"/>
      <c r="BD1823" s="1392" t="n"/>
      <c r="BE1823" s="1392" t="n"/>
      <c r="BF1823" s="1392" t="n"/>
      <c r="BG1823" s="1392" t="n"/>
      <c r="BH1823" s="1392" t="n"/>
      <c r="BI1823" s="1392" t="n"/>
      <c r="BJ1823" s="1392" t="n"/>
      <c r="BK1823" s="1392" t="n"/>
      <c r="BL1823" s="1392" t="n"/>
      <c r="BM1823" s="1392" t="n"/>
      <c r="BN1823" s="1392" t="n"/>
      <c r="BO1823" s="1392" t="n"/>
      <c r="BP1823" s="1392" t="n"/>
      <c r="BQ1823" s="1392" t="n"/>
      <c r="BR1823" s="1392" t="n"/>
      <c r="BS1823" s="1392" t="n"/>
      <c r="BT1823" s="1392" t="n"/>
      <c r="BU1823" s="1392" t="n"/>
      <c r="BV1823" s="1392" t="n"/>
      <c r="BW1823" s="1392" t="n"/>
      <c r="BX1823" s="1392" t="n"/>
      <c r="BY1823" s="1392" t="n"/>
      <c r="BZ1823" s="1392" t="n"/>
      <c r="CA1823" s="1392" t="n"/>
      <c r="CB1823" s="1392" t="n"/>
      <c r="CC1823" s="1392" t="n"/>
      <c r="CD1823" s="1392" t="n"/>
      <c r="CE1823" s="1392" t="n"/>
      <c r="CF1823" s="1392" t="n"/>
      <c r="CG1823" s="1392" t="n"/>
      <c r="CH1823" s="1392" t="n"/>
      <c r="CI1823" s="1392" t="n"/>
      <c r="CJ1823" s="1392" t="n"/>
      <c r="CK1823" s="1392" t="n"/>
      <c r="CL1823" s="1392" t="n"/>
    </row>
    <row r="1824">
      <c r="A1824" s="5" t="inlineStr">
        <is>
          <t>.</t>
        </is>
      </c>
      <c r="B1824" s="5" t="inlineStr">
        <is>
          <t>.</t>
        </is>
      </c>
      <c r="C1824" s="1378">
        <f>IF(raw[[#This Row],[city]]="","-",IF(raw[[#This Row],[city]]="TODAY","-",C1823+1))</f>
        <v/>
      </c>
      <c r="D1824" s="1393" t="n"/>
      <c r="E1824" s="1394" t="n"/>
      <c r="F1824" s="1394" t="n"/>
      <c r="G1824" s="1393" t="n"/>
      <c r="H1824" s="1393" t="n"/>
      <c r="I1824" s="1393" t="n"/>
      <c r="J1824" s="1393" t="n"/>
      <c r="K1824" s="1395">
        <f>IF(raw[[#This Row],[city]]&lt;&gt;"",_xlfn.XLOOKUP($D1824,ccc[city],ccc[prov],"-"),"-")</f>
        <v/>
      </c>
      <c r="L1824" s="1395">
        <f>IF(raw[[#This Row],[city]]&lt;&gt;"",_xlfn.XLOOKUP($D1824,ccc[city],ccc[ctry],"-"),"-")</f>
        <v/>
      </c>
      <c r="M1824" s="1395">
        <f>IF(raw[[#This Row],[city]]&lt;&gt;"",_xlfn.XLOOKUP($D1824,ccc[city],ccc[cont],"-"),"-")</f>
        <v/>
      </c>
      <c r="N1824" s="1396">
        <f>IF(raw[[#This Row],[city]]="","-",IF(raw[[#This Row],[cont]]="B",raw[[#This Row],[cont]],"W"))</f>
        <v/>
      </c>
      <c r="O1824" s="1397">
        <f>IF(raw[[#This Row],[out]]=0,0,IF(raw[[#This Row],[out]]=raw[[#This Row],[in]],0.01,raw[[#This Row],[out]]-raw[[#This Row],[in]]))</f>
        <v/>
      </c>
      <c r="P1824" s="1397">
        <f>IF(raw[[#This Row],[in]]=0,0,MONTH(raw[[#This Row],[in]]))</f>
        <v/>
      </c>
      <c r="Q1824" s="1397">
        <f>IF(raw[[#This Row],[in]]=0,0,YEAR(raw[[#This Row],[in]]))</f>
        <v/>
      </c>
      <c r="R1824" s="1397">
        <f>INT(raw[[#This Row],[yr]]/10)*10</f>
        <v/>
      </c>
      <c r="S1824" s="1395">
        <f>IF(raw[[#This Row],[city]]="","-",IF(raw[[#This Row],[city]]&lt;&gt;_xlfn.XLOOKUP(raw[[#This Row],[home]],homes[home],homes[city],"-"),1,0))</f>
        <v/>
      </c>
      <c r="T1824" s="1398" t="inlineStr">
        <is>
          <t>.</t>
        </is>
      </c>
      <c r="U1824" s="1399">
        <f>IF(raw[[#This Row],[wb]]="w",raw[[#This Row],[stay]]+U1823,U1823)</f>
        <v/>
      </c>
      <c r="V1824" s="1400">
        <f>IF(raw[[#This Row],[out]]=0,V1823,(raw[[#This Row],[out]]-E$5))</f>
        <v/>
      </c>
      <c r="W1824" s="1401">
        <f>U1824/V1824</f>
        <v/>
      </c>
      <c r="X1824" s="1392" t="n"/>
      <c r="Y1824" s="1392" t="n"/>
      <c r="Z1824" s="1422" t="n"/>
      <c r="AA1824" s="1422" t="n"/>
      <c r="AB1824" s="1392" t="n"/>
      <c r="AC1824" s="1392" t="n"/>
      <c r="AD1824" s="1392" t="n"/>
      <c r="AE1824" s="1392" t="n"/>
      <c r="AF1824" s="1392" t="n"/>
      <c r="AG1824" s="1392" t="n"/>
      <c r="AH1824" s="1392" t="n"/>
      <c r="AI1824" s="1392" t="n"/>
      <c r="AJ1824" s="1392" t="n"/>
      <c r="AK1824" s="1392" t="n"/>
      <c r="AL1824" s="1392" t="n"/>
      <c r="AM1824" s="1392" t="n"/>
      <c r="AN1824" s="1392" t="n"/>
      <c r="AO1824" s="1392" t="n"/>
      <c r="AP1824" s="1392" t="n"/>
      <c r="AQ1824" s="1392" t="n"/>
      <c r="AR1824" s="1392" t="n"/>
      <c r="AS1824" s="1422" t="n"/>
      <c r="AT1824" s="1392" t="n"/>
      <c r="AU1824" s="1392" t="n"/>
      <c r="AV1824" s="1392" t="n"/>
      <c r="AW1824" s="1392" t="n"/>
      <c r="AX1824" s="1392" t="n"/>
      <c r="AY1824" s="1392" t="n"/>
      <c r="AZ1824" s="1392" t="n"/>
      <c r="BA1824" s="1392" t="n"/>
      <c r="BB1824" s="1422" t="n"/>
      <c r="BC1824" s="1392" t="n"/>
      <c r="BD1824" s="1392" t="n"/>
      <c r="BE1824" s="1392" t="n"/>
      <c r="BF1824" s="1392" t="n"/>
      <c r="BG1824" s="1392" t="n"/>
      <c r="BH1824" s="1392" t="n"/>
      <c r="BI1824" s="1392" t="n"/>
      <c r="BJ1824" s="1392" t="n"/>
      <c r="BK1824" s="1392" t="n"/>
      <c r="BL1824" s="1392" t="n"/>
      <c r="BM1824" s="1392" t="n"/>
      <c r="BN1824" s="1392" t="n"/>
      <c r="BO1824" s="1392" t="n"/>
      <c r="BP1824" s="1392" t="n"/>
      <c r="BQ1824" s="1392" t="n"/>
      <c r="BR1824" s="1392" t="n"/>
      <c r="BS1824" s="1392" t="n"/>
      <c r="BT1824" s="1392" t="n"/>
      <c r="BU1824" s="1416" t="n"/>
      <c r="BV1824" s="1392" t="n"/>
      <c r="BW1824" s="1392" t="n"/>
      <c r="BX1824" s="1392" t="n"/>
      <c r="BY1824" s="1392" t="n"/>
      <c r="BZ1824" s="1416" t="n"/>
      <c r="CA1824" s="1392" t="n"/>
      <c r="CB1824" s="1392" t="n"/>
      <c r="CC1824" s="1392" t="n"/>
      <c r="CD1824" s="1392" t="n"/>
      <c r="CE1824" s="1392" t="n"/>
      <c r="CF1824" s="1392" t="n"/>
      <c r="CG1824" s="1392" t="n"/>
      <c r="CH1824" s="1392" t="n"/>
      <c r="CI1824" s="1392" t="n"/>
      <c r="CJ1824" s="1392" t="n"/>
      <c r="CK1824" s="1392" t="n"/>
      <c r="CL1824" s="1392" t="n"/>
    </row>
    <row r="1825">
      <c r="A1825" s="5" t="inlineStr">
        <is>
          <t>.</t>
        </is>
      </c>
      <c r="B1825" s="5" t="inlineStr">
        <is>
          <t>.</t>
        </is>
      </c>
      <c r="C1825" s="1378">
        <f>IF(raw[[#This Row],[city]]="","-",IF(raw[[#This Row],[city]]="TODAY","-",C1824+1))</f>
        <v/>
      </c>
      <c r="D1825" s="1393" t="n"/>
      <c r="E1825" s="1394" t="n"/>
      <c r="F1825" s="1394" t="n"/>
      <c r="G1825" s="1393" t="n"/>
      <c r="H1825" s="1393" t="n"/>
      <c r="I1825" s="1393" t="n"/>
      <c r="J1825" s="1393" t="n"/>
      <c r="K1825" s="1395">
        <f>IF(raw[[#This Row],[city]]&lt;&gt;"",_xlfn.XLOOKUP($D1825,ccc[city],ccc[prov],"-"),"-")</f>
        <v/>
      </c>
      <c r="L1825" s="1395">
        <f>IF(raw[[#This Row],[city]]&lt;&gt;"",_xlfn.XLOOKUP($D1825,ccc[city],ccc[ctry],"-"),"-")</f>
        <v/>
      </c>
      <c r="M1825" s="1395">
        <f>IF(raw[[#This Row],[city]]&lt;&gt;"",_xlfn.XLOOKUP($D1825,ccc[city],ccc[cont],"-"),"-")</f>
        <v/>
      </c>
      <c r="N1825" s="1396">
        <f>IF(raw[[#This Row],[city]]="","-",IF(raw[[#This Row],[cont]]="B",raw[[#This Row],[cont]],"W"))</f>
        <v/>
      </c>
      <c r="O1825" s="1397">
        <f>IF(raw[[#This Row],[out]]=0,0,IF(raw[[#This Row],[out]]=raw[[#This Row],[in]],0.01,raw[[#This Row],[out]]-raw[[#This Row],[in]]))</f>
        <v/>
      </c>
      <c r="P1825" s="1397">
        <f>IF(raw[[#This Row],[in]]=0,0,MONTH(raw[[#This Row],[in]]))</f>
        <v/>
      </c>
      <c r="Q1825" s="1397">
        <f>IF(raw[[#This Row],[in]]=0,0,YEAR(raw[[#This Row],[in]]))</f>
        <v/>
      </c>
      <c r="R1825" s="1397">
        <f>INT(raw[[#This Row],[yr]]/10)*10</f>
        <v/>
      </c>
      <c r="S1825" s="1395">
        <f>IF(raw[[#This Row],[city]]="","-",IF(raw[[#This Row],[city]]&lt;&gt;_xlfn.XLOOKUP(raw[[#This Row],[home]],homes[home],homes[city],"-"),1,0))</f>
        <v/>
      </c>
      <c r="T1825" s="1398" t="inlineStr">
        <is>
          <t>.</t>
        </is>
      </c>
      <c r="U1825" s="1399">
        <f>IF(raw[[#This Row],[wb]]="w",raw[[#This Row],[stay]]+U1824,U1824)</f>
        <v/>
      </c>
      <c r="V1825" s="1400">
        <f>IF(raw[[#This Row],[out]]=0,V1824,(raw[[#This Row],[out]]-E$5))</f>
        <v/>
      </c>
      <c r="W1825" s="1401">
        <f>U1825/V1825</f>
        <v/>
      </c>
      <c r="X1825" s="1392" t="n"/>
      <c r="Y1825" s="1392" t="n"/>
      <c r="Z1825" s="1422" t="n"/>
      <c r="AA1825" s="1422" t="n"/>
      <c r="AB1825" s="1392" t="n"/>
      <c r="AC1825" s="1392" t="n"/>
      <c r="AD1825" s="1392" t="n"/>
      <c r="AE1825" s="1392" t="n"/>
      <c r="AF1825" s="1392" t="n"/>
      <c r="AG1825" s="1392" t="n"/>
      <c r="AH1825" s="1392" t="n"/>
      <c r="AI1825" s="1392" t="n"/>
      <c r="AJ1825" s="1392" t="n"/>
      <c r="AK1825" s="1392" t="n"/>
      <c r="AL1825" s="1392" t="n"/>
      <c r="AM1825" s="1392" t="n"/>
      <c r="AN1825" s="1392" t="n"/>
      <c r="AO1825" s="1392" t="n"/>
      <c r="AP1825" s="1392" t="n"/>
      <c r="AQ1825" s="1392" t="n"/>
      <c r="AR1825" s="1392" t="n"/>
      <c r="AS1825" s="1422" t="n"/>
      <c r="AT1825" s="1392" t="n"/>
      <c r="AU1825" s="1392" t="n"/>
      <c r="AV1825" s="1392" t="n"/>
      <c r="AW1825" s="1392" t="n"/>
      <c r="AX1825" s="1392" t="n"/>
      <c r="AY1825" s="1392" t="n"/>
      <c r="AZ1825" s="1392" t="n"/>
      <c r="BA1825" s="1392" t="n"/>
      <c r="BB1825" s="1422" t="n"/>
      <c r="BC1825" s="1392" t="n"/>
      <c r="BD1825" s="1392" t="n"/>
      <c r="BE1825" s="1392" t="n"/>
      <c r="BF1825" s="1392" t="n"/>
      <c r="BG1825" s="1392" t="n"/>
      <c r="BH1825" s="1392" t="n"/>
      <c r="BI1825" s="1392" t="n"/>
      <c r="BJ1825" s="1392" t="n"/>
      <c r="BK1825" s="1392" t="n"/>
      <c r="BL1825" s="1392" t="n"/>
      <c r="BM1825" s="1392" t="n"/>
      <c r="BN1825" s="1392" t="n"/>
      <c r="BO1825" s="1392" t="n"/>
      <c r="BP1825" s="1392" t="n"/>
      <c r="BQ1825" s="1392" t="n"/>
      <c r="BR1825" s="1392" t="n"/>
      <c r="BS1825" s="1392" t="n"/>
      <c r="BT1825" s="1392" t="n"/>
      <c r="BU1825" s="1416" t="n"/>
      <c r="BV1825" s="1392" t="n"/>
      <c r="BW1825" s="1392" t="n"/>
      <c r="BX1825" s="1392" t="n"/>
      <c r="BY1825" s="1392" t="n"/>
      <c r="BZ1825" s="1416" t="n"/>
      <c r="CA1825" s="1392" t="n"/>
      <c r="CB1825" s="1392" t="n"/>
      <c r="CC1825" s="1392" t="n"/>
      <c r="CD1825" s="1392" t="n"/>
      <c r="CE1825" s="1392" t="n"/>
      <c r="CF1825" s="1392" t="n"/>
      <c r="CG1825" s="1392" t="n"/>
      <c r="CH1825" s="1392" t="n"/>
      <c r="CI1825" s="1392" t="n"/>
      <c r="CJ1825" s="1392" t="n"/>
      <c r="CK1825" s="1392" t="n"/>
      <c r="CL1825" s="1392" t="n"/>
    </row>
    <row r="1826">
      <c r="A1826" s="5" t="inlineStr">
        <is>
          <t>.</t>
        </is>
      </c>
      <c r="B1826" s="5" t="inlineStr">
        <is>
          <t>.</t>
        </is>
      </c>
      <c r="C1826" s="1378">
        <f>IF(raw[[#This Row],[city]]="","-",IF(raw[[#This Row],[city]]="TODAY","-",C1825+1))</f>
        <v/>
      </c>
      <c r="D1826" s="1393" t="n"/>
      <c r="E1826" s="1394" t="n"/>
      <c r="F1826" s="1394" t="n"/>
      <c r="G1826" s="1393" t="n"/>
      <c r="H1826" s="1393" t="n"/>
      <c r="I1826" s="1393" t="n"/>
      <c r="J1826" s="1393" t="n"/>
      <c r="K1826" s="1395">
        <f>IF(raw[[#This Row],[city]]&lt;&gt;"",_xlfn.XLOOKUP($D1826,ccc[city],ccc[prov],"-"),"-")</f>
        <v/>
      </c>
      <c r="L1826" s="1395">
        <f>IF(raw[[#This Row],[city]]&lt;&gt;"",_xlfn.XLOOKUP($D1826,ccc[city],ccc[ctry],"-"),"-")</f>
        <v/>
      </c>
      <c r="M1826" s="1395">
        <f>IF(raw[[#This Row],[city]]&lt;&gt;"",_xlfn.XLOOKUP($D1826,ccc[city],ccc[cont],"-"),"-")</f>
        <v/>
      </c>
      <c r="N1826" s="1396">
        <f>IF(raw[[#This Row],[city]]="","-",IF(raw[[#This Row],[cont]]="B",raw[[#This Row],[cont]],"W"))</f>
        <v/>
      </c>
      <c r="O1826" s="1397">
        <f>IF(raw[[#This Row],[out]]=0,0,IF(raw[[#This Row],[out]]=raw[[#This Row],[in]],0.01,raw[[#This Row],[out]]-raw[[#This Row],[in]]))</f>
        <v/>
      </c>
      <c r="P1826" s="1397">
        <f>IF(raw[[#This Row],[in]]=0,0,MONTH(raw[[#This Row],[in]]))</f>
        <v/>
      </c>
      <c r="Q1826" s="1397">
        <f>IF(raw[[#This Row],[in]]=0,0,YEAR(raw[[#This Row],[in]]))</f>
        <v/>
      </c>
      <c r="R1826" s="1397">
        <f>INT(raw[[#This Row],[yr]]/10)*10</f>
        <v/>
      </c>
      <c r="S1826" s="1395">
        <f>IF(raw[[#This Row],[city]]="","-",IF(raw[[#This Row],[city]]&lt;&gt;_xlfn.XLOOKUP(raw[[#This Row],[home]],homes[home],homes[city],"-"),1,0))</f>
        <v/>
      </c>
      <c r="T1826" s="1398" t="inlineStr">
        <is>
          <t>.</t>
        </is>
      </c>
      <c r="U1826" s="1399">
        <f>IF(raw[[#This Row],[wb]]="w",raw[[#This Row],[stay]]+U1825,U1825)</f>
        <v/>
      </c>
      <c r="V1826" s="1400">
        <f>IF(raw[[#This Row],[out]]=0,V1825,(raw[[#This Row],[out]]-E$5))</f>
        <v/>
      </c>
      <c r="W1826" s="1401">
        <f>U1826/V1826</f>
        <v/>
      </c>
      <c r="X1826" s="1392" t="n"/>
      <c r="Y1826" s="1392" t="n"/>
      <c r="Z1826" s="1422" t="n"/>
      <c r="AA1826" s="1422" t="n"/>
      <c r="AB1826" s="1392" t="n"/>
      <c r="AC1826" s="1392" t="n"/>
      <c r="AD1826" s="1392" t="n"/>
      <c r="AE1826" s="1392" t="n"/>
      <c r="AF1826" s="1392" t="n"/>
      <c r="AG1826" s="1392" t="n"/>
      <c r="AH1826" s="1392" t="n"/>
      <c r="AI1826" s="1392" t="n"/>
      <c r="AJ1826" s="1392" t="n"/>
      <c r="AK1826" s="1392" t="n"/>
      <c r="AL1826" s="1392" t="n"/>
      <c r="AM1826" s="1392" t="n"/>
      <c r="AN1826" s="1392" t="n"/>
      <c r="AO1826" s="1392" t="n"/>
      <c r="AP1826" s="1392" t="n"/>
      <c r="AQ1826" s="1392" t="n"/>
      <c r="AR1826" s="1392" t="n"/>
      <c r="AS1826" s="1422" t="n"/>
      <c r="AT1826" s="1392" t="n"/>
      <c r="AU1826" s="1392" t="n"/>
      <c r="AV1826" s="1392" t="n"/>
      <c r="AW1826" s="1392" t="n"/>
      <c r="AX1826" s="1392" t="n"/>
      <c r="AY1826" s="1392" t="n"/>
      <c r="AZ1826" s="1392" t="n"/>
      <c r="BA1826" s="1392" t="n"/>
      <c r="BB1826" s="1422" t="n"/>
      <c r="BC1826" s="1392" t="n"/>
      <c r="BD1826" s="1392" t="n"/>
      <c r="BE1826" s="1392" t="n"/>
      <c r="BF1826" s="1392" t="n"/>
      <c r="BG1826" s="1392" t="n"/>
      <c r="BH1826" s="1392" t="n"/>
      <c r="BI1826" s="1392" t="n"/>
      <c r="BJ1826" s="1392" t="n"/>
      <c r="BK1826" s="1392" t="n"/>
      <c r="BL1826" s="1392" t="n"/>
      <c r="BM1826" s="1392" t="n"/>
      <c r="BN1826" s="1392" t="n"/>
      <c r="BO1826" s="1392" t="n"/>
      <c r="BP1826" s="1392" t="n"/>
      <c r="BQ1826" s="1392" t="n"/>
      <c r="BR1826" s="1392" t="n"/>
      <c r="BS1826" s="1392" t="n"/>
      <c r="BT1826" s="1392" t="n"/>
      <c r="BU1826" s="1416" t="n"/>
      <c r="BV1826" s="1392" t="n"/>
      <c r="BW1826" s="1392" t="n"/>
      <c r="BX1826" s="1392" t="n"/>
      <c r="BY1826" s="1392" t="n"/>
      <c r="BZ1826" s="1416" t="n"/>
      <c r="CA1826" s="1392" t="n"/>
      <c r="CB1826" s="1392" t="n"/>
      <c r="CC1826" s="1392" t="n"/>
      <c r="CD1826" s="1392" t="n"/>
      <c r="CE1826" s="1392" t="n"/>
      <c r="CF1826" s="1392" t="n"/>
      <c r="CG1826" s="1392" t="n"/>
      <c r="CH1826" s="1392" t="n"/>
      <c r="CI1826" s="1392" t="n"/>
      <c r="CJ1826" s="1392" t="n"/>
      <c r="CK1826" s="1392" t="n"/>
      <c r="CL1826" s="1392" t="n"/>
    </row>
    <row r="1827">
      <c r="A1827" s="5" t="inlineStr">
        <is>
          <t>.</t>
        </is>
      </c>
      <c r="B1827" s="5" t="inlineStr">
        <is>
          <t>.</t>
        </is>
      </c>
      <c r="C1827" s="1378">
        <f>IF(raw[[#This Row],[city]]="","-",IF(raw[[#This Row],[city]]="TODAY","-",C1826+1))</f>
        <v/>
      </c>
      <c r="D1827" s="1393" t="n"/>
      <c r="E1827" s="1394" t="n"/>
      <c r="F1827" s="1394" t="n"/>
      <c r="G1827" s="1393" t="n"/>
      <c r="H1827" s="1393" t="n"/>
      <c r="I1827" s="1393" t="n"/>
      <c r="J1827" s="1393" t="n"/>
      <c r="K1827" s="1395">
        <f>IF(raw[[#This Row],[city]]&lt;&gt;"",_xlfn.XLOOKUP($D1827,ccc[city],ccc[prov],"-"),"-")</f>
        <v/>
      </c>
      <c r="L1827" s="1395">
        <f>IF(raw[[#This Row],[city]]&lt;&gt;"",_xlfn.XLOOKUP($D1827,ccc[city],ccc[ctry],"-"),"-")</f>
        <v/>
      </c>
      <c r="M1827" s="1395">
        <f>IF(raw[[#This Row],[city]]&lt;&gt;"",_xlfn.XLOOKUP($D1827,ccc[city],ccc[cont],"-"),"-")</f>
        <v/>
      </c>
      <c r="N1827" s="1396">
        <f>IF(raw[[#This Row],[city]]="","-",IF(raw[[#This Row],[cont]]="B",raw[[#This Row],[cont]],"W"))</f>
        <v/>
      </c>
      <c r="O1827" s="1397">
        <f>IF(raw[[#This Row],[out]]=0,0,IF(raw[[#This Row],[out]]=raw[[#This Row],[in]],0.01,raw[[#This Row],[out]]-raw[[#This Row],[in]]))</f>
        <v/>
      </c>
      <c r="P1827" s="1397">
        <f>IF(raw[[#This Row],[in]]=0,0,MONTH(raw[[#This Row],[in]]))</f>
        <v/>
      </c>
      <c r="Q1827" s="1397">
        <f>IF(raw[[#This Row],[in]]=0,0,YEAR(raw[[#This Row],[in]]))</f>
        <v/>
      </c>
      <c r="R1827" s="1397">
        <f>INT(raw[[#This Row],[yr]]/10)*10</f>
        <v/>
      </c>
      <c r="S1827" s="1395">
        <f>IF(raw[[#This Row],[city]]="","-",IF(raw[[#This Row],[city]]&lt;&gt;_xlfn.XLOOKUP(raw[[#This Row],[home]],homes[home],homes[city],"-"),1,0))</f>
        <v/>
      </c>
      <c r="T1827" s="1398" t="inlineStr">
        <is>
          <t>.</t>
        </is>
      </c>
      <c r="U1827" s="1399">
        <f>IF(raw[[#This Row],[wb]]="w",raw[[#This Row],[stay]]+U1826,U1826)</f>
        <v/>
      </c>
      <c r="V1827" s="1400">
        <f>IF(raw[[#This Row],[out]]=0,V1826,(raw[[#This Row],[out]]-E$5))</f>
        <v/>
      </c>
      <c r="W1827" s="1401">
        <f>U1827/V1827</f>
        <v/>
      </c>
      <c r="X1827" s="1392" t="n"/>
      <c r="Y1827" s="1392" t="n"/>
      <c r="Z1827" s="1422" t="n"/>
      <c r="AA1827" s="1422" t="n"/>
      <c r="AB1827" s="1392" t="n"/>
      <c r="AC1827" s="1392" t="n"/>
      <c r="AD1827" s="1392" t="n"/>
      <c r="AE1827" s="1392" t="n"/>
      <c r="AF1827" s="1392" t="n"/>
      <c r="AG1827" s="1392" t="n"/>
      <c r="AH1827" s="1392" t="n"/>
      <c r="AI1827" s="1392" t="n"/>
      <c r="AJ1827" s="1392" t="n"/>
      <c r="AK1827" s="1392" t="n"/>
      <c r="AL1827" s="1392" t="n"/>
      <c r="AM1827" s="1392" t="n"/>
      <c r="AN1827" s="1392" t="n"/>
      <c r="AO1827" s="1392" t="n"/>
      <c r="AP1827" s="1392" t="n"/>
      <c r="AQ1827" s="1392" t="n"/>
      <c r="AR1827" s="1392" t="n"/>
      <c r="AS1827" s="1422" t="n"/>
      <c r="AT1827" s="1392" t="n"/>
      <c r="AU1827" s="1392" t="n"/>
      <c r="AV1827" s="1392" t="n"/>
      <c r="AW1827" s="1392" t="n"/>
      <c r="AX1827" s="1392" t="n"/>
      <c r="AY1827" s="1392" t="n"/>
      <c r="AZ1827" s="1392" t="n"/>
      <c r="BA1827" s="1392" t="n"/>
      <c r="BB1827" s="1422" t="n"/>
      <c r="BC1827" s="1392" t="n"/>
      <c r="BD1827" s="1392" t="n"/>
      <c r="BE1827" s="1392" t="n"/>
      <c r="BF1827" s="1392" t="n"/>
      <c r="BG1827" s="1392" t="n"/>
      <c r="BH1827" s="1392" t="n"/>
      <c r="BI1827" s="1392" t="n"/>
      <c r="BJ1827" s="1392" t="n"/>
      <c r="BK1827" s="1392" t="n"/>
      <c r="BL1827" s="1392" t="n"/>
      <c r="BM1827" s="1392" t="n"/>
      <c r="BN1827" s="1392" t="n"/>
      <c r="BO1827" s="1392" t="n"/>
      <c r="BP1827" s="1392" t="n"/>
      <c r="BQ1827" s="1392" t="n"/>
      <c r="BR1827" s="1392" t="n"/>
      <c r="BS1827" s="1392" t="n"/>
      <c r="BT1827" s="1392" t="n"/>
      <c r="BU1827" s="1416" t="n"/>
      <c r="BV1827" s="1392" t="n"/>
      <c r="BW1827" s="1392" t="n"/>
      <c r="BX1827" s="1392" t="n"/>
      <c r="BY1827" s="1392" t="n"/>
      <c r="BZ1827" s="1416" t="n"/>
      <c r="CA1827" s="1392" t="n"/>
      <c r="CB1827" s="1392" t="n"/>
      <c r="CC1827" s="1392" t="n"/>
      <c r="CD1827" s="1392" t="n"/>
      <c r="CE1827" s="1392" t="n"/>
      <c r="CF1827" s="1392" t="n"/>
      <c r="CG1827" s="1392" t="n"/>
      <c r="CH1827" s="1392" t="n"/>
      <c r="CI1827" s="1392" t="n"/>
      <c r="CJ1827" s="1392" t="n"/>
      <c r="CK1827" s="1392" t="n"/>
      <c r="CL1827" s="1392" t="n"/>
    </row>
    <row r="1828">
      <c r="A1828" s="5" t="inlineStr">
        <is>
          <t>.</t>
        </is>
      </c>
      <c r="B1828" s="5" t="inlineStr">
        <is>
          <t>.</t>
        </is>
      </c>
      <c r="C1828" s="1378">
        <f>IF(raw[[#This Row],[city]]="","-",IF(raw[[#This Row],[city]]="TODAY","-",C1827+1))</f>
        <v/>
      </c>
      <c r="D1828" s="1393" t="n"/>
      <c r="E1828" s="1394" t="n"/>
      <c r="F1828" s="1394" t="n"/>
      <c r="G1828" s="1393" t="n"/>
      <c r="H1828" s="1393" t="n"/>
      <c r="I1828" s="1393" t="n"/>
      <c r="J1828" s="1393" t="n"/>
      <c r="K1828" s="1395">
        <f>IF(raw[[#This Row],[city]]&lt;&gt;"",_xlfn.XLOOKUP($D1828,ccc[city],ccc[prov],"-"),"-")</f>
        <v/>
      </c>
      <c r="L1828" s="1395">
        <f>IF(raw[[#This Row],[city]]&lt;&gt;"",_xlfn.XLOOKUP($D1828,ccc[city],ccc[ctry],"-"),"-")</f>
        <v/>
      </c>
      <c r="M1828" s="1395">
        <f>IF(raw[[#This Row],[city]]&lt;&gt;"",_xlfn.XLOOKUP($D1828,ccc[city],ccc[cont],"-"),"-")</f>
        <v/>
      </c>
      <c r="N1828" s="1396">
        <f>IF(raw[[#This Row],[city]]="","-",IF(raw[[#This Row],[cont]]="B",raw[[#This Row],[cont]],"W"))</f>
        <v/>
      </c>
      <c r="O1828" s="1397">
        <f>IF(raw[[#This Row],[out]]=0,0,IF(raw[[#This Row],[out]]=raw[[#This Row],[in]],0.01,raw[[#This Row],[out]]-raw[[#This Row],[in]]))</f>
        <v/>
      </c>
      <c r="P1828" s="1397">
        <f>IF(raw[[#This Row],[in]]=0,0,MONTH(raw[[#This Row],[in]]))</f>
        <v/>
      </c>
      <c r="Q1828" s="1397">
        <f>IF(raw[[#This Row],[in]]=0,0,YEAR(raw[[#This Row],[in]]))</f>
        <v/>
      </c>
      <c r="R1828" s="1397">
        <f>INT(raw[[#This Row],[yr]]/10)*10</f>
        <v/>
      </c>
      <c r="S1828" s="1395">
        <f>IF(raw[[#This Row],[city]]="","-",IF(raw[[#This Row],[city]]&lt;&gt;_xlfn.XLOOKUP(raw[[#This Row],[home]],homes[home],homes[city],"-"),1,0))</f>
        <v/>
      </c>
      <c r="T1828" s="1398" t="inlineStr">
        <is>
          <t>.</t>
        </is>
      </c>
      <c r="U1828" s="1399">
        <f>IF(raw[[#This Row],[wb]]="w",raw[[#This Row],[stay]]+U1827,U1827)</f>
        <v/>
      </c>
      <c r="V1828" s="1400">
        <f>IF(raw[[#This Row],[out]]=0,V1827,(raw[[#This Row],[out]]-E$5))</f>
        <v/>
      </c>
      <c r="W1828" s="1401">
        <f>U1828/V1828</f>
        <v/>
      </c>
      <c r="X1828" s="1392" t="n"/>
      <c r="Y1828" s="1392" t="n"/>
      <c r="Z1828" s="1422" t="n"/>
      <c r="AA1828" s="1422" t="n"/>
      <c r="AB1828" s="1392" t="n"/>
      <c r="AC1828" s="1392" t="n"/>
      <c r="AD1828" s="1392" t="n"/>
      <c r="AE1828" s="1392" t="n"/>
      <c r="AF1828" s="1392" t="n"/>
      <c r="AG1828" s="1392" t="n"/>
      <c r="AH1828" s="1392" t="n"/>
      <c r="AI1828" s="1392" t="n"/>
      <c r="AJ1828" s="1392" t="n"/>
      <c r="AK1828" s="1392" t="n"/>
      <c r="AL1828" s="1392" t="n"/>
      <c r="AM1828" s="1392" t="n"/>
      <c r="AN1828" s="1392" t="n"/>
      <c r="AO1828" s="1392" t="n"/>
      <c r="AP1828" s="1392" t="n"/>
      <c r="AQ1828" s="1392" t="n"/>
      <c r="AR1828" s="1392" t="n"/>
      <c r="AS1828" s="1422" t="n"/>
      <c r="AT1828" s="1392" t="n"/>
      <c r="AU1828" s="1392" t="n"/>
      <c r="AV1828" s="1392" t="n"/>
      <c r="AW1828" s="1392" t="n"/>
      <c r="AX1828" s="1392" t="n"/>
      <c r="AY1828" s="1392" t="n"/>
      <c r="AZ1828" s="1392" t="n"/>
      <c r="BA1828" s="1392" t="n"/>
      <c r="BB1828" s="1422" t="n"/>
      <c r="BC1828" s="1392" t="n"/>
      <c r="BD1828" s="1392" t="n"/>
      <c r="BE1828" s="1392" t="n"/>
      <c r="BF1828" s="1392" t="n"/>
      <c r="BG1828" s="1392" t="n"/>
      <c r="BH1828" s="1392" t="n"/>
      <c r="BI1828" s="1392" t="n"/>
      <c r="BJ1828" s="1392" t="n"/>
      <c r="BK1828" s="1392" t="n"/>
      <c r="BL1828" s="1392" t="n"/>
      <c r="BM1828" s="1392" t="n"/>
      <c r="BN1828" s="1392" t="n"/>
      <c r="BO1828" s="1392" t="n"/>
      <c r="BP1828" s="1392" t="n"/>
      <c r="BQ1828" s="1392" t="n"/>
      <c r="BR1828" s="1392" t="n"/>
      <c r="BS1828" s="1392" t="n"/>
      <c r="BT1828" s="1392" t="n"/>
      <c r="BU1828" s="1416" t="n"/>
      <c r="BV1828" s="1392" t="n"/>
      <c r="BW1828" s="1392" t="n"/>
      <c r="BX1828" s="1392" t="n"/>
      <c r="BY1828" s="1392" t="n"/>
      <c r="BZ1828" s="1416" t="n"/>
      <c r="CA1828" s="1392" t="n"/>
      <c r="CB1828" s="1392" t="n"/>
      <c r="CC1828" s="1392" t="n"/>
      <c r="CD1828" s="1392" t="n"/>
      <c r="CE1828" s="1392" t="n"/>
      <c r="CF1828" s="1392" t="n"/>
      <c r="CG1828" s="1392" t="n"/>
      <c r="CH1828" s="1392" t="n"/>
      <c r="CI1828" s="1392" t="n"/>
      <c r="CJ1828" s="1392" t="n"/>
      <c r="CK1828" s="1392" t="n"/>
      <c r="CL1828" s="1392" t="n"/>
    </row>
    <row r="1829">
      <c r="A1829" s="5" t="inlineStr">
        <is>
          <t>.</t>
        </is>
      </c>
      <c r="B1829" s="5" t="inlineStr">
        <is>
          <t>.</t>
        </is>
      </c>
      <c r="C1829" s="1378">
        <f>IF(raw[[#This Row],[city]]="","-",IF(raw[[#This Row],[city]]="TODAY","-",C1828+1))</f>
        <v/>
      </c>
      <c r="D1829" s="1393" t="n"/>
      <c r="E1829" s="1394" t="n"/>
      <c r="F1829" s="1394" t="n"/>
      <c r="G1829" s="1393" t="n"/>
      <c r="H1829" s="1393" t="n"/>
      <c r="I1829" s="1393" t="n"/>
      <c r="J1829" s="1393" t="n"/>
      <c r="K1829" s="1395">
        <f>IF(raw[[#This Row],[city]]&lt;&gt;"",_xlfn.XLOOKUP($D1829,ccc[city],ccc[prov],"-"),"-")</f>
        <v/>
      </c>
      <c r="L1829" s="1395">
        <f>IF(raw[[#This Row],[city]]&lt;&gt;"",_xlfn.XLOOKUP($D1829,ccc[city],ccc[ctry],"-"),"-")</f>
        <v/>
      </c>
      <c r="M1829" s="1395">
        <f>IF(raw[[#This Row],[city]]&lt;&gt;"",_xlfn.XLOOKUP($D1829,ccc[city],ccc[cont],"-"),"-")</f>
        <v/>
      </c>
      <c r="N1829" s="1396">
        <f>IF(raw[[#This Row],[city]]="","-",IF(raw[[#This Row],[cont]]="B",raw[[#This Row],[cont]],"W"))</f>
        <v/>
      </c>
      <c r="O1829" s="1397">
        <f>IF(raw[[#This Row],[out]]=0,0,IF(raw[[#This Row],[out]]=raw[[#This Row],[in]],0.01,raw[[#This Row],[out]]-raw[[#This Row],[in]]))</f>
        <v/>
      </c>
      <c r="P1829" s="1397">
        <f>IF(raw[[#This Row],[in]]=0,0,MONTH(raw[[#This Row],[in]]))</f>
        <v/>
      </c>
      <c r="Q1829" s="1397">
        <f>IF(raw[[#This Row],[in]]=0,0,YEAR(raw[[#This Row],[in]]))</f>
        <v/>
      </c>
      <c r="R1829" s="1397">
        <f>INT(raw[[#This Row],[yr]]/10)*10</f>
        <v/>
      </c>
      <c r="S1829" s="1395">
        <f>IF(raw[[#This Row],[city]]="","-",IF(raw[[#This Row],[city]]&lt;&gt;_xlfn.XLOOKUP(raw[[#This Row],[home]],homes[home],homes[city],"-"),1,0))</f>
        <v/>
      </c>
      <c r="T1829" s="1398" t="inlineStr">
        <is>
          <t>.</t>
        </is>
      </c>
      <c r="U1829" s="1399">
        <f>IF(raw[[#This Row],[wb]]="w",raw[[#This Row],[stay]]+U1828,U1828)</f>
        <v/>
      </c>
      <c r="V1829" s="1400">
        <f>IF(raw[[#This Row],[out]]=0,V1828,(raw[[#This Row],[out]]-E$5))</f>
        <v/>
      </c>
      <c r="W1829" s="1401">
        <f>U1829/V1829</f>
        <v/>
      </c>
      <c r="X1829" s="1392" t="n"/>
      <c r="Y1829" s="1392" t="n"/>
      <c r="Z1829" s="1422" t="n"/>
      <c r="AA1829" s="1422" t="n"/>
      <c r="AB1829" s="1392" t="n"/>
      <c r="AC1829" s="1392" t="n"/>
      <c r="AD1829" s="1392" t="n"/>
      <c r="AE1829" s="1392" t="n"/>
      <c r="AF1829" s="1392" t="n"/>
      <c r="AG1829" s="1392" t="n"/>
      <c r="AH1829" s="1392" t="n"/>
      <c r="AI1829" s="1392" t="n"/>
      <c r="AJ1829" s="1392" t="n"/>
      <c r="AK1829" s="1392" t="n"/>
      <c r="AL1829" s="1392" t="n"/>
      <c r="AM1829" s="1392" t="n"/>
      <c r="AN1829" s="1392" t="n"/>
      <c r="AO1829" s="1392" t="n"/>
      <c r="AP1829" s="1392" t="n"/>
      <c r="AQ1829" s="1392" t="n"/>
      <c r="AR1829" s="1392" t="n"/>
      <c r="AS1829" s="1422" t="n"/>
      <c r="AT1829" s="1392" t="n"/>
      <c r="AU1829" s="1392" t="n"/>
      <c r="AV1829" s="1392" t="n"/>
      <c r="AW1829" s="1392" t="n"/>
      <c r="AX1829" s="1392" t="n"/>
      <c r="AY1829" s="1392" t="n"/>
      <c r="AZ1829" s="1392" t="n"/>
      <c r="BA1829" s="1392" t="n"/>
      <c r="BB1829" s="1422" t="n"/>
      <c r="BC1829" s="1392" t="n"/>
      <c r="BD1829" s="1392" t="n"/>
      <c r="BE1829" s="1392" t="n"/>
      <c r="BF1829" s="1392" t="n"/>
      <c r="BG1829" s="1392" t="n"/>
      <c r="BH1829" s="1392" t="n"/>
      <c r="BI1829" s="1392" t="n"/>
      <c r="BJ1829" s="1392" t="n"/>
      <c r="BK1829" s="1392" t="n"/>
      <c r="BL1829" s="1392" t="n"/>
      <c r="BM1829" s="1392" t="n"/>
      <c r="BN1829" s="1392" t="n"/>
      <c r="BO1829" s="1392" t="n"/>
      <c r="BP1829" s="1392" t="n"/>
      <c r="BQ1829" s="1392" t="n"/>
      <c r="BR1829" s="1392" t="n"/>
      <c r="BS1829" s="1392" t="n"/>
      <c r="BT1829" s="1392" t="n"/>
      <c r="BU1829" s="1416" t="n"/>
      <c r="BV1829" s="1392" t="n"/>
      <c r="BW1829" s="1392" t="n"/>
      <c r="BX1829" s="1392" t="n"/>
      <c r="BY1829" s="1392" t="n"/>
      <c r="BZ1829" s="1416" t="n"/>
      <c r="CA1829" s="1392" t="n"/>
      <c r="CB1829" s="1392" t="n"/>
      <c r="CC1829" s="1392" t="n"/>
      <c r="CD1829" s="1392" t="n"/>
      <c r="CE1829" s="1392" t="n"/>
      <c r="CF1829" s="1392" t="n"/>
      <c r="CG1829" s="1392" t="n"/>
      <c r="CH1829" s="1392" t="n"/>
      <c r="CI1829" s="1392" t="n"/>
      <c r="CJ1829" s="1392" t="n"/>
      <c r="CK1829" s="1392" t="n"/>
      <c r="CL1829" s="1392" t="n"/>
    </row>
    <row r="1830">
      <c r="A1830" s="5" t="inlineStr">
        <is>
          <t>.</t>
        </is>
      </c>
      <c r="B1830" s="5" t="inlineStr">
        <is>
          <t>.</t>
        </is>
      </c>
      <c r="C1830" s="1378">
        <f>IF(raw[[#This Row],[city]]="","-",IF(raw[[#This Row],[city]]="TODAY","-",C1829+1))</f>
        <v/>
      </c>
      <c r="D1830" s="1393" t="n"/>
      <c r="E1830" s="1394" t="n"/>
      <c r="F1830" s="1394" t="n"/>
      <c r="G1830" s="1393" t="n"/>
      <c r="H1830" s="1393" t="n"/>
      <c r="I1830" s="1393" t="n"/>
      <c r="J1830" s="1393" t="n"/>
      <c r="K1830" s="1395">
        <f>IF(raw[[#This Row],[city]]&lt;&gt;"",_xlfn.XLOOKUP($D1830,ccc[city],ccc[prov],"-"),"-")</f>
        <v/>
      </c>
      <c r="L1830" s="1395">
        <f>IF(raw[[#This Row],[city]]&lt;&gt;"",_xlfn.XLOOKUP($D1830,ccc[city],ccc[ctry],"-"),"-")</f>
        <v/>
      </c>
      <c r="M1830" s="1395">
        <f>IF(raw[[#This Row],[city]]&lt;&gt;"",_xlfn.XLOOKUP($D1830,ccc[city],ccc[cont],"-"),"-")</f>
        <v/>
      </c>
      <c r="N1830" s="1396">
        <f>IF(raw[[#This Row],[city]]="","-",IF(raw[[#This Row],[cont]]="B",raw[[#This Row],[cont]],"W"))</f>
        <v/>
      </c>
      <c r="O1830" s="1397">
        <f>IF(raw[[#This Row],[out]]=0,0,IF(raw[[#This Row],[out]]=raw[[#This Row],[in]],0.01,raw[[#This Row],[out]]-raw[[#This Row],[in]]))</f>
        <v/>
      </c>
      <c r="P1830" s="1397">
        <f>IF(raw[[#This Row],[in]]=0,0,MONTH(raw[[#This Row],[in]]))</f>
        <v/>
      </c>
      <c r="Q1830" s="1397">
        <f>IF(raw[[#This Row],[in]]=0,0,YEAR(raw[[#This Row],[in]]))</f>
        <v/>
      </c>
      <c r="R1830" s="1397">
        <f>INT(raw[[#This Row],[yr]]/10)*10</f>
        <v/>
      </c>
      <c r="S1830" s="1395">
        <f>IF(raw[[#This Row],[city]]="","-",IF(raw[[#This Row],[city]]&lt;&gt;_xlfn.XLOOKUP(raw[[#This Row],[home]],homes[home],homes[city],"-"),1,0))</f>
        <v/>
      </c>
      <c r="T1830" s="1398" t="inlineStr">
        <is>
          <t>.</t>
        </is>
      </c>
      <c r="U1830" s="1399">
        <f>IF(raw[[#This Row],[wb]]="w",raw[[#This Row],[stay]]+U1829,U1829)</f>
        <v/>
      </c>
      <c r="V1830" s="1400">
        <f>IF(raw[[#This Row],[out]]=0,V1829,(raw[[#This Row],[out]]-E$5))</f>
        <v/>
      </c>
      <c r="W1830" s="1401">
        <f>U1830/V1830</f>
        <v/>
      </c>
      <c r="X1830" s="1392" t="n"/>
      <c r="Y1830" s="1392" t="n"/>
      <c r="Z1830" s="1422" t="n"/>
      <c r="AA1830" s="1422" t="n"/>
      <c r="AB1830" s="1392" t="n"/>
      <c r="AC1830" s="1392" t="n"/>
      <c r="AD1830" s="1392" t="n"/>
      <c r="AE1830" s="1392" t="n"/>
      <c r="AF1830" s="1392" t="n"/>
      <c r="AG1830" s="1392" t="n"/>
      <c r="AH1830" s="1392" t="n"/>
      <c r="AI1830" s="1392" t="n"/>
      <c r="AJ1830" s="1392" t="n"/>
      <c r="AK1830" s="1392" t="n"/>
      <c r="AL1830" s="1392" t="n"/>
      <c r="AM1830" s="1392" t="n"/>
      <c r="AN1830" s="1392" t="n"/>
      <c r="AO1830" s="1392" t="n"/>
      <c r="AP1830" s="1392" t="n"/>
      <c r="AQ1830" s="1392" t="n"/>
      <c r="AR1830" s="1392" t="n"/>
      <c r="AS1830" s="1422" t="n"/>
      <c r="AT1830" s="1392" t="n"/>
      <c r="AU1830" s="1392" t="n"/>
      <c r="AV1830" s="1392" t="n"/>
      <c r="AW1830" s="1392" t="n"/>
      <c r="AX1830" s="1392" t="n"/>
      <c r="AY1830" s="1392" t="n"/>
      <c r="AZ1830" s="1392" t="n"/>
      <c r="BA1830" s="1392" t="n"/>
      <c r="BB1830" s="1422" t="n"/>
      <c r="BC1830" s="1392" t="n"/>
      <c r="BD1830" s="1392" t="n"/>
      <c r="BE1830" s="1392" t="n"/>
      <c r="BF1830" s="1392" t="n"/>
      <c r="BG1830" s="1392" t="n"/>
      <c r="BH1830" s="1392" t="n"/>
      <c r="BI1830" s="1392" t="n"/>
      <c r="BJ1830" s="1392" t="n"/>
      <c r="BK1830" s="1392" t="n"/>
      <c r="BL1830" s="1392" t="n"/>
      <c r="BM1830" s="1392" t="n"/>
      <c r="BN1830" s="1392" t="n"/>
      <c r="BO1830" s="1392" t="n"/>
      <c r="BP1830" s="1392" t="n"/>
      <c r="BQ1830" s="1392" t="n"/>
      <c r="BR1830" s="1392" t="n"/>
      <c r="BS1830" s="1392" t="n"/>
      <c r="BT1830" s="1392" t="n"/>
      <c r="BU1830" s="1416" t="n"/>
      <c r="BV1830" s="1392" t="n"/>
      <c r="BW1830" s="1392" t="n"/>
      <c r="BX1830" s="1392" t="n"/>
      <c r="BY1830" s="1392" t="n"/>
      <c r="BZ1830" s="1416" t="n"/>
      <c r="CA1830" s="1392" t="n"/>
      <c r="CB1830" s="1392" t="n"/>
      <c r="CC1830" s="1392" t="n"/>
      <c r="CD1830" s="1392" t="n"/>
      <c r="CE1830" s="1392" t="n"/>
      <c r="CF1830" s="1392" t="n"/>
      <c r="CG1830" s="1392" t="n"/>
      <c r="CH1830" s="1392" t="n"/>
      <c r="CI1830" s="1392" t="n"/>
      <c r="CJ1830" s="1392" t="n"/>
      <c r="CK1830" s="1392" t="n"/>
      <c r="CL1830" s="1392" t="n"/>
    </row>
    <row r="1831">
      <c r="A1831" s="5" t="inlineStr">
        <is>
          <t>.</t>
        </is>
      </c>
      <c r="B1831" s="5" t="inlineStr">
        <is>
          <t>.</t>
        </is>
      </c>
      <c r="C1831" s="1378">
        <f>IF(raw[[#This Row],[city]]="","-",IF(raw[[#This Row],[city]]="TODAY","-",C1830+1))</f>
        <v/>
      </c>
      <c r="D1831" s="1393" t="n"/>
      <c r="E1831" s="1394" t="n"/>
      <c r="F1831" s="1394" t="n"/>
      <c r="G1831" s="1393" t="n"/>
      <c r="H1831" s="1393" t="n"/>
      <c r="I1831" s="1393" t="n"/>
      <c r="J1831" s="1393" t="n"/>
      <c r="K1831" s="1395">
        <f>IF(raw[[#This Row],[city]]&lt;&gt;"",_xlfn.XLOOKUP($D1831,ccc[city],ccc[prov],"-"),"-")</f>
        <v/>
      </c>
      <c r="L1831" s="1395">
        <f>IF(raw[[#This Row],[city]]&lt;&gt;"",_xlfn.XLOOKUP($D1831,ccc[city],ccc[ctry],"-"),"-")</f>
        <v/>
      </c>
      <c r="M1831" s="1395">
        <f>IF(raw[[#This Row],[city]]&lt;&gt;"",_xlfn.XLOOKUP($D1831,ccc[city],ccc[cont],"-"),"-")</f>
        <v/>
      </c>
      <c r="N1831" s="1396">
        <f>IF(raw[[#This Row],[city]]="","-",IF(raw[[#This Row],[cont]]="B",raw[[#This Row],[cont]],"W"))</f>
        <v/>
      </c>
      <c r="O1831" s="1397">
        <f>IF(raw[[#This Row],[out]]=0,0,IF(raw[[#This Row],[out]]=raw[[#This Row],[in]],0.01,raw[[#This Row],[out]]-raw[[#This Row],[in]]))</f>
        <v/>
      </c>
      <c r="P1831" s="1397">
        <f>IF(raw[[#This Row],[in]]=0,0,MONTH(raw[[#This Row],[in]]))</f>
        <v/>
      </c>
      <c r="Q1831" s="1397">
        <f>IF(raw[[#This Row],[in]]=0,0,YEAR(raw[[#This Row],[in]]))</f>
        <v/>
      </c>
      <c r="R1831" s="1397">
        <f>INT(raw[[#This Row],[yr]]/10)*10</f>
        <v/>
      </c>
      <c r="S1831" s="1395">
        <f>IF(raw[[#This Row],[city]]="","-",IF(raw[[#This Row],[city]]&lt;&gt;_xlfn.XLOOKUP(raw[[#This Row],[home]],homes[home],homes[city],"-"),1,0))</f>
        <v/>
      </c>
      <c r="T1831" s="1398" t="inlineStr">
        <is>
          <t>.</t>
        </is>
      </c>
      <c r="U1831" s="1399">
        <f>IF(raw[[#This Row],[wb]]="w",raw[[#This Row],[stay]]+U1830,U1830)</f>
        <v/>
      </c>
      <c r="V1831" s="1400">
        <f>IF(raw[[#This Row],[out]]=0,V1830,(raw[[#This Row],[out]]-E$5))</f>
        <v/>
      </c>
      <c r="W1831" s="1401">
        <f>U1831/V1831</f>
        <v/>
      </c>
      <c r="X1831" s="1392" t="n"/>
      <c r="Y1831" s="1392" t="n"/>
      <c r="Z1831" s="1422" t="n"/>
      <c r="AA1831" s="1422" t="n"/>
      <c r="AB1831" s="1392" t="n"/>
      <c r="AC1831" s="1392" t="n"/>
      <c r="AD1831" s="1392" t="n"/>
      <c r="AE1831" s="1392" t="n"/>
      <c r="AF1831" s="1392" t="n"/>
      <c r="AG1831" s="1392" t="n"/>
      <c r="AH1831" s="1392" t="n"/>
      <c r="AI1831" s="1392" t="n"/>
      <c r="AJ1831" s="1392" t="n"/>
      <c r="AK1831" s="1392" t="n"/>
      <c r="AL1831" s="1392" t="n"/>
      <c r="AM1831" s="1392" t="n"/>
      <c r="AN1831" s="1392" t="n"/>
      <c r="AO1831" s="1392" t="n"/>
      <c r="AP1831" s="1392" t="n"/>
      <c r="AQ1831" s="1392" t="n"/>
      <c r="AR1831" s="1392" t="n"/>
      <c r="AS1831" s="1422" t="n"/>
      <c r="AT1831" s="1392" t="n"/>
      <c r="AU1831" s="1392" t="n"/>
      <c r="AV1831" s="1392" t="n"/>
      <c r="AW1831" s="1392" t="n"/>
      <c r="AX1831" s="1392" t="n"/>
      <c r="AY1831" s="1392" t="n"/>
      <c r="AZ1831" s="1392" t="n"/>
      <c r="BA1831" s="1392" t="n"/>
      <c r="BB1831" s="1422" t="n"/>
      <c r="BC1831" s="1392" t="n"/>
      <c r="BD1831" s="1392" t="n"/>
      <c r="BE1831" s="1392" t="n"/>
      <c r="BF1831" s="1392" t="n"/>
      <c r="BG1831" s="1392" t="n"/>
      <c r="BH1831" s="1392" t="n"/>
      <c r="BI1831" s="1392" t="n"/>
      <c r="BJ1831" s="1392" t="n"/>
      <c r="BK1831" s="1392" t="n"/>
      <c r="BL1831" s="1392" t="n"/>
      <c r="BM1831" s="1392" t="n"/>
      <c r="BN1831" s="1392" t="n"/>
      <c r="BO1831" s="1392" t="n"/>
      <c r="BP1831" s="1392" t="n"/>
      <c r="BQ1831" s="1392" t="n"/>
      <c r="BR1831" s="1392" t="n"/>
      <c r="BS1831" s="1392" t="n"/>
      <c r="BT1831" s="1392" t="n"/>
      <c r="BU1831" s="1416" t="n"/>
      <c r="BV1831" s="1392" t="n"/>
      <c r="BW1831" s="1392" t="n"/>
      <c r="BX1831" s="1392" t="n"/>
      <c r="BY1831" s="1392" t="n"/>
      <c r="BZ1831" s="1416" t="n"/>
      <c r="CA1831" s="1392" t="n"/>
      <c r="CB1831" s="1392" t="n"/>
      <c r="CC1831" s="1392" t="n"/>
      <c r="CD1831" s="1392" t="n"/>
      <c r="CE1831" s="1392" t="n"/>
      <c r="CF1831" s="1392" t="n"/>
      <c r="CG1831" s="1392" t="n"/>
      <c r="CH1831" s="1392" t="n"/>
      <c r="CI1831" s="1392" t="n"/>
      <c r="CJ1831" s="1392" t="n"/>
      <c r="CK1831" s="1392" t="n"/>
      <c r="CL1831" s="1392" t="n"/>
    </row>
    <row r="1832">
      <c r="A1832" s="5" t="inlineStr">
        <is>
          <t>.</t>
        </is>
      </c>
      <c r="B1832" s="5" t="inlineStr">
        <is>
          <t>.</t>
        </is>
      </c>
      <c r="C1832" s="1378">
        <f>IF(raw[[#This Row],[city]]="","-",IF(raw[[#This Row],[city]]="TODAY","-",C1831+1))</f>
        <v/>
      </c>
      <c r="D1832" s="1393" t="n"/>
      <c r="E1832" s="1394" t="n"/>
      <c r="F1832" s="1394" t="n"/>
      <c r="G1832" s="1393" t="n"/>
      <c r="H1832" s="1393" t="n"/>
      <c r="I1832" s="1393" t="n"/>
      <c r="J1832" s="1393" t="n"/>
      <c r="K1832" s="1395">
        <f>IF(raw[[#This Row],[city]]&lt;&gt;"",_xlfn.XLOOKUP($D1832,ccc[city],ccc[prov],"-"),"-")</f>
        <v/>
      </c>
      <c r="L1832" s="1395">
        <f>IF(raw[[#This Row],[city]]&lt;&gt;"",_xlfn.XLOOKUP($D1832,ccc[city],ccc[ctry],"-"),"-")</f>
        <v/>
      </c>
      <c r="M1832" s="1395">
        <f>IF(raw[[#This Row],[city]]&lt;&gt;"",_xlfn.XLOOKUP($D1832,ccc[city],ccc[cont],"-"),"-")</f>
        <v/>
      </c>
      <c r="N1832" s="1396">
        <f>IF(raw[[#This Row],[city]]="","-",IF(raw[[#This Row],[cont]]="B",raw[[#This Row],[cont]],"W"))</f>
        <v/>
      </c>
      <c r="O1832" s="1397">
        <f>IF(raw[[#This Row],[out]]=0,0,IF(raw[[#This Row],[out]]=raw[[#This Row],[in]],0.01,raw[[#This Row],[out]]-raw[[#This Row],[in]]))</f>
        <v/>
      </c>
      <c r="P1832" s="1397">
        <f>IF(raw[[#This Row],[in]]=0,0,MONTH(raw[[#This Row],[in]]))</f>
        <v/>
      </c>
      <c r="Q1832" s="1397">
        <f>IF(raw[[#This Row],[in]]=0,0,YEAR(raw[[#This Row],[in]]))</f>
        <v/>
      </c>
      <c r="R1832" s="1397">
        <f>INT(raw[[#This Row],[yr]]/10)*10</f>
        <v/>
      </c>
      <c r="S1832" s="1395">
        <f>IF(raw[[#This Row],[city]]="","-",IF(raw[[#This Row],[city]]&lt;&gt;_xlfn.XLOOKUP(raw[[#This Row],[home]],homes[home],homes[city],"-"),1,0))</f>
        <v/>
      </c>
      <c r="T1832" s="1398" t="inlineStr">
        <is>
          <t>.</t>
        </is>
      </c>
      <c r="U1832" s="1399">
        <f>IF(raw[[#This Row],[wb]]="w",raw[[#This Row],[stay]]+U1831,U1831)</f>
        <v/>
      </c>
      <c r="V1832" s="1400">
        <f>IF(raw[[#This Row],[out]]=0,V1831,(raw[[#This Row],[out]]-E$5))</f>
        <v/>
      </c>
      <c r="W1832" s="1401">
        <f>U1832/V1832</f>
        <v/>
      </c>
      <c r="X1832" s="1392" t="n"/>
      <c r="Y1832" s="1392" t="n"/>
      <c r="Z1832" s="1422" t="n"/>
      <c r="AA1832" s="1422" t="n"/>
      <c r="AB1832" s="1392" t="n"/>
      <c r="AC1832" s="1392" t="n"/>
      <c r="AD1832" s="1392" t="n"/>
      <c r="AE1832" s="1392" t="n"/>
      <c r="AF1832" s="1392" t="n"/>
      <c r="AG1832" s="1392" t="n"/>
      <c r="AH1832" s="1392" t="n"/>
      <c r="AI1832" s="1392" t="n"/>
      <c r="AJ1832" s="1392" t="n"/>
      <c r="AK1832" s="1392" t="n"/>
      <c r="AL1832" s="1392" t="n"/>
      <c r="AM1832" s="1392" t="n"/>
      <c r="AN1832" s="1392" t="n"/>
      <c r="AO1832" s="1392" t="n"/>
      <c r="AP1832" s="1392" t="n"/>
      <c r="AQ1832" s="1392" t="n"/>
      <c r="AR1832" s="1392" t="n"/>
      <c r="AS1832" s="1422" t="n"/>
      <c r="AT1832" s="1392" t="n"/>
      <c r="AU1832" s="1392" t="n"/>
      <c r="AV1832" s="1392" t="n"/>
      <c r="AW1832" s="1392" t="n"/>
      <c r="AX1832" s="1392" t="n"/>
      <c r="AY1832" s="1392" t="n"/>
      <c r="AZ1832" s="1392" t="n"/>
      <c r="BA1832" s="1392" t="n"/>
      <c r="BB1832" s="1422" t="n"/>
      <c r="BC1832" s="1392" t="n"/>
      <c r="BD1832" s="1392" t="n"/>
      <c r="BE1832" s="1392" t="n"/>
      <c r="BF1832" s="1392" t="n"/>
      <c r="BG1832" s="1392" t="n"/>
      <c r="BH1832" s="1392" t="n"/>
      <c r="BI1832" s="1392" t="n"/>
      <c r="BJ1832" s="1392" t="n"/>
      <c r="BK1832" s="1392" t="n"/>
      <c r="BL1832" s="1392" t="n"/>
      <c r="BM1832" s="1392" t="n"/>
      <c r="BN1832" s="1392" t="n"/>
      <c r="BO1832" s="1392" t="n"/>
      <c r="BP1832" s="1392" t="n"/>
      <c r="BQ1832" s="1392" t="n"/>
      <c r="BR1832" s="1392" t="n"/>
      <c r="BS1832" s="1392" t="n"/>
      <c r="BT1832" s="1392" t="n"/>
      <c r="BU1832" s="1416" t="n"/>
      <c r="BV1832" s="1392" t="n"/>
      <c r="BW1832" s="1392" t="n"/>
      <c r="BX1832" s="1392" t="n"/>
      <c r="BY1832" s="1392" t="n"/>
      <c r="BZ1832" s="1416" t="n"/>
      <c r="CA1832" s="1392" t="n"/>
      <c r="CB1832" s="1392" t="n"/>
      <c r="CC1832" s="1392" t="n"/>
      <c r="CD1832" s="1392" t="n"/>
      <c r="CE1832" s="1392" t="n"/>
      <c r="CF1832" s="1392" t="n"/>
      <c r="CG1832" s="1392" t="n"/>
      <c r="CH1832" s="1392" t="n"/>
      <c r="CI1832" s="1392" t="n"/>
      <c r="CJ1832" s="1392" t="n"/>
      <c r="CK1832" s="1392" t="n"/>
      <c r="CL1832" s="1392" t="n"/>
    </row>
    <row r="1833">
      <c r="A1833" s="5" t="inlineStr">
        <is>
          <t>.</t>
        </is>
      </c>
      <c r="B1833" s="5" t="inlineStr">
        <is>
          <t>.</t>
        </is>
      </c>
      <c r="C1833" s="1378">
        <f>IF(raw[[#This Row],[city]]="","-",IF(raw[[#This Row],[city]]="TODAY","-",C1832+1))</f>
        <v/>
      </c>
      <c r="D1833" s="1393" t="n"/>
      <c r="E1833" s="1394" t="n"/>
      <c r="F1833" s="1394" t="n"/>
      <c r="G1833" s="1393" t="n"/>
      <c r="H1833" s="1393" t="n"/>
      <c r="I1833" s="1393" t="n"/>
      <c r="J1833" s="1393" t="n"/>
      <c r="K1833" s="1395">
        <f>IF(raw[[#This Row],[city]]&lt;&gt;"",_xlfn.XLOOKUP($D1833,ccc[city],ccc[prov],"-"),"-")</f>
        <v/>
      </c>
      <c r="L1833" s="1395">
        <f>IF(raw[[#This Row],[city]]&lt;&gt;"",_xlfn.XLOOKUP($D1833,ccc[city],ccc[ctry],"-"),"-")</f>
        <v/>
      </c>
      <c r="M1833" s="1395">
        <f>IF(raw[[#This Row],[city]]&lt;&gt;"",_xlfn.XLOOKUP($D1833,ccc[city],ccc[cont],"-"),"-")</f>
        <v/>
      </c>
      <c r="N1833" s="1396">
        <f>IF(raw[[#This Row],[city]]="","-",IF(raw[[#This Row],[cont]]="B",raw[[#This Row],[cont]],"W"))</f>
        <v/>
      </c>
      <c r="O1833" s="1397">
        <f>IF(raw[[#This Row],[out]]=0,0,IF(raw[[#This Row],[out]]=raw[[#This Row],[in]],0.01,raw[[#This Row],[out]]-raw[[#This Row],[in]]))</f>
        <v/>
      </c>
      <c r="P1833" s="1397">
        <f>IF(raw[[#This Row],[in]]=0,0,MONTH(raw[[#This Row],[in]]))</f>
        <v/>
      </c>
      <c r="Q1833" s="1397">
        <f>IF(raw[[#This Row],[in]]=0,0,YEAR(raw[[#This Row],[in]]))</f>
        <v/>
      </c>
      <c r="R1833" s="1397">
        <f>INT(raw[[#This Row],[yr]]/10)*10</f>
        <v/>
      </c>
      <c r="S1833" s="1395">
        <f>IF(raw[[#This Row],[city]]="","-",IF(raw[[#This Row],[city]]&lt;&gt;_xlfn.XLOOKUP(raw[[#This Row],[home]],homes[home],homes[city],"-"),1,0))</f>
        <v/>
      </c>
      <c r="T1833" s="1398" t="inlineStr">
        <is>
          <t>.</t>
        </is>
      </c>
      <c r="U1833" s="1399">
        <f>IF(raw[[#This Row],[wb]]="w",raw[[#This Row],[stay]]+U1832,U1832)</f>
        <v/>
      </c>
      <c r="V1833" s="1400">
        <f>IF(raw[[#This Row],[out]]=0,V1832,(raw[[#This Row],[out]]-E$5))</f>
        <v/>
      </c>
      <c r="W1833" s="1401">
        <f>U1833/V1833</f>
        <v/>
      </c>
      <c r="X1833" s="1392" t="n"/>
      <c r="Y1833" s="1392" t="n"/>
      <c r="Z1833" s="1422" t="n"/>
      <c r="AA1833" s="1422" t="n"/>
      <c r="AB1833" s="1392" t="n"/>
      <c r="AC1833" s="1392" t="n"/>
      <c r="AD1833" s="1392" t="n"/>
      <c r="AE1833" s="1392" t="n"/>
      <c r="AF1833" s="1392" t="n"/>
      <c r="AG1833" s="1392" t="n"/>
      <c r="AH1833" s="1392" t="n"/>
      <c r="AI1833" s="1392" t="n"/>
      <c r="AJ1833" s="1392" t="n"/>
      <c r="AK1833" s="1392" t="n"/>
      <c r="AL1833" s="1392" t="n"/>
      <c r="AM1833" s="1392" t="n"/>
      <c r="AN1833" s="1392" t="n"/>
      <c r="AO1833" s="1392" t="n"/>
      <c r="AP1833" s="1392" t="n"/>
      <c r="AQ1833" s="1392" t="n"/>
      <c r="AR1833" s="1392" t="n"/>
      <c r="AS1833" s="1422" t="n"/>
      <c r="AT1833" s="1392" t="n"/>
      <c r="AU1833" s="1392" t="n"/>
      <c r="AV1833" s="1392" t="n"/>
      <c r="AW1833" s="1392" t="n"/>
      <c r="AX1833" s="1392" t="n"/>
      <c r="AY1833" s="1392" t="n"/>
      <c r="AZ1833" s="1392" t="n"/>
      <c r="BA1833" s="1392" t="n"/>
      <c r="BB1833" s="1422" t="n"/>
      <c r="BC1833" s="1392" t="n"/>
      <c r="BD1833" s="1392" t="n"/>
      <c r="BE1833" s="1392" t="n"/>
      <c r="BF1833" s="1392" t="n"/>
      <c r="BG1833" s="1392" t="n"/>
      <c r="BH1833" s="1392" t="n"/>
      <c r="BI1833" s="1392" t="n"/>
      <c r="BJ1833" s="1392" t="n"/>
      <c r="BK1833" s="1392" t="n"/>
      <c r="BL1833" s="1392" t="n"/>
      <c r="BM1833" s="1392" t="n"/>
      <c r="BN1833" s="1392" t="n"/>
      <c r="BO1833" s="1392" t="n"/>
      <c r="BP1833" s="1392" t="n"/>
      <c r="BQ1833" s="1392" t="n"/>
      <c r="BR1833" s="1392" t="n"/>
      <c r="BS1833" s="1392" t="n"/>
      <c r="BT1833" s="1392" t="n"/>
      <c r="BU1833" s="1416" t="n"/>
      <c r="BV1833" s="1392" t="n"/>
      <c r="BW1833" s="1392" t="n"/>
      <c r="BX1833" s="1392" t="n"/>
      <c r="BY1833" s="1392" t="n"/>
      <c r="BZ1833" s="1416" t="n"/>
      <c r="CA1833" s="1392" t="n"/>
      <c r="CB1833" s="1392" t="n"/>
      <c r="CC1833" s="1392" t="n"/>
      <c r="CD1833" s="1392" t="n"/>
      <c r="CE1833" s="1392" t="n"/>
      <c r="CF1833" s="1392" t="n"/>
      <c r="CG1833" s="1392" t="n"/>
      <c r="CH1833" s="1392" t="n"/>
      <c r="CI1833" s="1392" t="n"/>
      <c r="CJ1833" s="1392" t="n"/>
      <c r="CK1833" s="1392" t="n"/>
      <c r="CL1833" s="1392" t="n"/>
    </row>
    <row r="1834">
      <c r="A1834" s="5" t="inlineStr">
        <is>
          <t>.</t>
        </is>
      </c>
      <c r="B1834" s="5" t="inlineStr">
        <is>
          <t>.</t>
        </is>
      </c>
      <c r="C1834" s="1378">
        <f>IF(raw[[#This Row],[city]]="","-",IF(raw[[#This Row],[city]]="TODAY","-",C1833+1))</f>
        <v/>
      </c>
      <c r="D1834" s="1393" t="n"/>
      <c r="E1834" s="1394" t="n"/>
      <c r="F1834" s="1394" t="n"/>
      <c r="G1834" s="1393" t="n"/>
      <c r="H1834" s="1393" t="n"/>
      <c r="I1834" s="1393" t="n"/>
      <c r="J1834" s="1393" t="n"/>
      <c r="K1834" s="1395">
        <f>IF(raw[[#This Row],[city]]&lt;&gt;"",_xlfn.XLOOKUP($D1834,ccc[city],ccc[prov],"-"),"-")</f>
        <v/>
      </c>
      <c r="L1834" s="1395">
        <f>IF(raw[[#This Row],[city]]&lt;&gt;"",_xlfn.XLOOKUP($D1834,ccc[city],ccc[ctry],"-"),"-")</f>
        <v/>
      </c>
      <c r="M1834" s="1395">
        <f>IF(raw[[#This Row],[city]]&lt;&gt;"",_xlfn.XLOOKUP($D1834,ccc[city],ccc[cont],"-"),"-")</f>
        <v/>
      </c>
      <c r="N1834" s="1396">
        <f>IF(raw[[#This Row],[city]]="","-",IF(raw[[#This Row],[cont]]="B",raw[[#This Row],[cont]],"W"))</f>
        <v/>
      </c>
      <c r="O1834" s="1397">
        <f>IF(raw[[#This Row],[out]]=0,0,IF(raw[[#This Row],[out]]=raw[[#This Row],[in]],0.01,raw[[#This Row],[out]]-raw[[#This Row],[in]]))</f>
        <v/>
      </c>
      <c r="P1834" s="1397">
        <f>IF(raw[[#This Row],[in]]=0,0,MONTH(raw[[#This Row],[in]]))</f>
        <v/>
      </c>
      <c r="Q1834" s="1397">
        <f>IF(raw[[#This Row],[in]]=0,0,YEAR(raw[[#This Row],[in]]))</f>
        <v/>
      </c>
      <c r="R1834" s="1397">
        <f>INT(raw[[#This Row],[yr]]/10)*10</f>
        <v/>
      </c>
      <c r="S1834" s="1395">
        <f>IF(raw[[#This Row],[city]]="","-",IF(raw[[#This Row],[city]]&lt;&gt;_xlfn.XLOOKUP(raw[[#This Row],[home]],homes[home],homes[city],"-"),1,0))</f>
        <v/>
      </c>
      <c r="T1834" s="1398" t="inlineStr">
        <is>
          <t>.</t>
        </is>
      </c>
      <c r="U1834" s="1399">
        <f>IF(raw[[#This Row],[wb]]="w",raw[[#This Row],[stay]]+U1833,U1833)</f>
        <v/>
      </c>
      <c r="V1834" s="1400">
        <f>IF(raw[[#This Row],[out]]=0,V1833,(raw[[#This Row],[out]]-E$5))</f>
        <v/>
      </c>
      <c r="W1834" s="1401">
        <f>U1834/V1834</f>
        <v/>
      </c>
      <c r="X1834" s="1392" t="n"/>
      <c r="Y1834" s="1392" t="n"/>
      <c r="Z1834" s="1422" t="n"/>
      <c r="AA1834" s="1422" t="n"/>
      <c r="AB1834" s="1392" t="n"/>
      <c r="AC1834" s="1392" t="n"/>
      <c r="AD1834" s="1392" t="n"/>
      <c r="AE1834" s="1392" t="n"/>
      <c r="AF1834" s="1392" t="n"/>
      <c r="AG1834" s="1392" t="n"/>
      <c r="AH1834" s="1392" t="n"/>
      <c r="AI1834" s="1392" t="n"/>
      <c r="AJ1834" s="1392" t="n"/>
      <c r="AK1834" s="1392" t="n"/>
      <c r="AL1834" s="1392" t="n"/>
      <c r="AM1834" s="1392" t="n"/>
      <c r="AN1834" s="1392" t="n"/>
      <c r="AO1834" s="1392" t="n"/>
      <c r="AP1834" s="1392" t="n"/>
      <c r="AQ1834" s="1392" t="n"/>
      <c r="AR1834" s="1392" t="n"/>
      <c r="AS1834" s="1422" t="n"/>
      <c r="AT1834" s="1392" t="n"/>
      <c r="AU1834" s="1392" t="n"/>
      <c r="AV1834" s="1392" t="n"/>
      <c r="AW1834" s="1392" t="n"/>
      <c r="AX1834" s="1392" t="n"/>
      <c r="AY1834" s="1392" t="n"/>
      <c r="AZ1834" s="1392" t="n"/>
      <c r="BA1834" s="1392" t="n"/>
      <c r="BB1834" s="1422" t="n"/>
      <c r="BC1834" s="1392" t="n"/>
      <c r="BD1834" s="1392" t="n"/>
      <c r="BE1834" s="1392" t="n"/>
      <c r="BF1834" s="1392" t="n"/>
      <c r="BG1834" s="1392" t="n"/>
      <c r="BH1834" s="1392" t="n"/>
      <c r="BI1834" s="1392" t="n"/>
      <c r="BJ1834" s="1392" t="n"/>
      <c r="BK1834" s="1392" t="n"/>
      <c r="BL1834" s="1392" t="n"/>
      <c r="BM1834" s="1392" t="n"/>
      <c r="BN1834" s="1392" t="n"/>
      <c r="BO1834" s="1392" t="n"/>
      <c r="BP1834" s="1392" t="n"/>
      <c r="BQ1834" s="1392" t="n"/>
      <c r="BR1834" s="1392" t="n"/>
      <c r="BS1834" s="1392" t="n"/>
      <c r="BT1834" s="1392" t="n"/>
      <c r="BU1834" s="1416" t="n"/>
      <c r="BV1834" s="1392" t="n"/>
      <c r="BW1834" s="1392" t="n"/>
      <c r="BX1834" s="1392" t="n"/>
      <c r="BY1834" s="1392" t="n"/>
      <c r="BZ1834" s="1416" t="n"/>
      <c r="CA1834" s="1392" t="n"/>
      <c r="CB1834" s="1392" t="n"/>
      <c r="CC1834" s="1392" t="n"/>
      <c r="CD1834" s="1392" t="n"/>
      <c r="CE1834" s="1392" t="n"/>
      <c r="CF1834" s="1392" t="n"/>
      <c r="CG1834" s="1392" t="n"/>
      <c r="CH1834" s="1392" t="n"/>
      <c r="CI1834" s="1392" t="n"/>
      <c r="CJ1834" s="1392" t="n"/>
      <c r="CK1834" s="1392" t="n"/>
      <c r="CL1834" s="1392" t="n"/>
    </row>
    <row r="1835">
      <c r="A1835" s="5" t="inlineStr">
        <is>
          <t>.</t>
        </is>
      </c>
      <c r="B1835" s="5" t="inlineStr">
        <is>
          <t>.</t>
        </is>
      </c>
      <c r="C1835" s="1378">
        <f>IF(raw[[#This Row],[city]]="","-",IF(raw[[#This Row],[city]]="TODAY","-",C1834+1))</f>
        <v/>
      </c>
      <c r="D1835" s="1393" t="n"/>
      <c r="E1835" s="1394" t="n"/>
      <c r="F1835" s="1394" t="n"/>
      <c r="G1835" s="1393" t="n"/>
      <c r="H1835" s="1393" t="n"/>
      <c r="I1835" s="1393" t="n"/>
      <c r="J1835" s="1393" t="n"/>
      <c r="K1835" s="1395">
        <f>IF(raw[[#This Row],[city]]&lt;&gt;"",_xlfn.XLOOKUP($D1835,ccc[city],ccc[prov],"-"),"-")</f>
        <v/>
      </c>
      <c r="L1835" s="1395">
        <f>IF(raw[[#This Row],[city]]&lt;&gt;"",_xlfn.XLOOKUP($D1835,ccc[city],ccc[ctry],"-"),"-")</f>
        <v/>
      </c>
      <c r="M1835" s="1395">
        <f>IF(raw[[#This Row],[city]]&lt;&gt;"",_xlfn.XLOOKUP($D1835,ccc[city],ccc[cont],"-"),"-")</f>
        <v/>
      </c>
      <c r="N1835" s="1396">
        <f>IF(raw[[#This Row],[city]]="","-",IF(raw[[#This Row],[cont]]="B",raw[[#This Row],[cont]],"W"))</f>
        <v/>
      </c>
      <c r="O1835" s="1397">
        <f>IF(raw[[#This Row],[out]]=0,0,IF(raw[[#This Row],[out]]=raw[[#This Row],[in]],0.01,raw[[#This Row],[out]]-raw[[#This Row],[in]]))</f>
        <v/>
      </c>
      <c r="P1835" s="1397">
        <f>IF(raw[[#This Row],[in]]=0,0,MONTH(raw[[#This Row],[in]]))</f>
        <v/>
      </c>
      <c r="Q1835" s="1397">
        <f>IF(raw[[#This Row],[in]]=0,0,YEAR(raw[[#This Row],[in]]))</f>
        <v/>
      </c>
      <c r="R1835" s="1397">
        <f>INT(raw[[#This Row],[yr]]/10)*10</f>
        <v/>
      </c>
      <c r="S1835" s="1395">
        <f>IF(raw[[#This Row],[city]]="","-",IF(raw[[#This Row],[city]]&lt;&gt;_xlfn.XLOOKUP(raw[[#This Row],[home]],homes[home],homes[city],"-"),1,0))</f>
        <v/>
      </c>
      <c r="T1835" s="1398" t="inlineStr">
        <is>
          <t>.</t>
        </is>
      </c>
      <c r="U1835" s="1399">
        <f>IF(raw[[#This Row],[wb]]="w",raw[[#This Row],[stay]]+U1834,U1834)</f>
        <v/>
      </c>
      <c r="V1835" s="1400">
        <f>IF(raw[[#This Row],[out]]=0,V1834,(raw[[#This Row],[out]]-E$5))</f>
        <v/>
      </c>
      <c r="W1835" s="1401">
        <f>U1835/V1835</f>
        <v/>
      </c>
      <c r="X1835" s="1392" t="n"/>
      <c r="Y1835" s="1392" t="n"/>
      <c r="Z1835" s="1422" t="n"/>
      <c r="AA1835" s="1422" t="n"/>
      <c r="AB1835" s="1392" t="n"/>
      <c r="AC1835" s="1392" t="n"/>
      <c r="AD1835" s="1392" t="n"/>
      <c r="AE1835" s="1392" t="n"/>
      <c r="AF1835" s="1392" t="n"/>
      <c r="AG1835" s="1392" t="n"/>
      <c r="AH1835" s="1392" t="n"/>
      <c r="AI1835" s="1392" t="n"/>
      <c r="AJ1835" s="1392" t="n"/>
      <c r="AK1835" s="1392" t="n"/>
      <c r="AL1835" s="1392" t="n"/>
      <c r="AM1835" s="1392" t="n"/>
      <c r="AN1835" s="1392" t="n"/>
      <c r="AO1835" s="1392" t="n"/>
      <c r="AP1835" s="1392" t="n"/>
      <c r="AQ1835" s="1392" t="n"/>
      <c r="AR1835" s="1392" t="n"/>
      <c r="AS1835" s="1422" t="n"/>
      <c r="AT1835" s="1392" t="n"/>
      <c r="AU1835" s="1392" t="n"/>
      <c r="AV1835" s="1392" t="n"/>
      <c r="AW1835" s="1392" t="n"/>
      <c r="AX1835" s="1392" t="n"/>
      <c r="AY1835" s="1392" t="n"/>
      <c r="AZ1835" s="1392" t="n"/>
      <c r="BA1835" s="1392" t="n"/>
      <c r="BB1835" s="1422" t="n"/>
      <c r="BC1835" s="1392" t="n"/>
      <c r="BD1835" s="1392" t="n"/>
      <c r="BE1835" s="1392" t="n"/>
      <c r="BF1835" s="1392" t="n"/>
      <c r="BG1835" s="1392" t="n"/>
      <c r="BH1835" s="1392" t="n"/>
      <c r="BI1835" s="1392" t="n"/>
      <c r="BJ1835" s="1392" t="n"/>
      <c r="BK1835" s="1392" t="n"/>
      <c r="BL1835" s="1392" t="n"/>
      <c r="BM1835" s="1392" t="n"/>
      <c r="BN1835" s="1392" t="n"/>
      <c r="BO1835" s="1392" t="n"/>
      <c r="BP1835" s="1392" t="n"/>
      <c r="BQ1835" s="1392" t="n"/>
      <c r="BR1835" s="1392" t="n"/>
      <c r="BS1835" s="1392" t="n"/>
      <c r="BT1835" s="1392" t="n"/>
      <c r="BU1835" s="1416" t="n"/>
      <c r="BV1835" s="1392" t="n"/>
      <c r="BW1835" s="1392" t="n"/>
      <c r="BX1835" s="1392" t="n"/>
      <c r="BY1835" s="1392" t="n"/>
      <c r="BZ1835" s="1416" t="n"/>
      <c r="CA1835" s="1392" t="n"/>
      <c r="CB1835" s="1392" t="n"/>
      <c r="CC1835" s="1392" t="n"/>
      <c r="CD1835" s="1392" t="n"/>
      <c r="CE1835" s="1392" t="n"/>
      <c r="CF1835" s="1392" t="n"/>
      <c r="CG1835" s="1392" t="n"/>
      <c r="CH1835" s="1392" t="n"/>
      <c r="CI1835" s="1392" t="n"/>
      <c r="CJ1835" s="1392" t="n"/>
      <c r="CK1835" s="1392" t="n"/>
      <c r="CL1835" s="1392" t="n"/>
    </row>
    <row r="1836">
      <c r="A1836" s="5" t="inlineStr">
        <is>
          <t>.</t>
        </is>
      </c>
      <c r="B1836" s="5" t="inlineStr">
        <is>
          <t>.</t>
        </is>
      </c>
      <c r="C1836" s="1378">
        <f>IF(raw[[#This Row],[city]]="","-",IF(raw[[#This Row],[city]]="TODAY","-",C1835+1))</f>
        <v/>
      </c>
      <c r="D1836" s="1393" t="n"/>
      <c r="E1836" s="1394" t="n"/>
      <c r="F1836" s="1394" t="n"/>
      <c r="G1836" s="1393" t="n"/>
      <c r="H1836" s="1393" t="n"/>
      <c r="I1836" s="1393" t="n"/>
      <c r="J1836" s="1393" t="n"/>
      <c r="K1836" s="1395">
        <f>IF(raw[[#This Row],[city]]&lt;&gt;"",_xlfn.XLOOKUP($D1836,ccc[city],ccc[prov],"-"),"-")</f>
        <v/>
      </c>
      <c r="L1836" s="1395">
        <f>IF(raw[[#This Row],[city]]&lt;&gt;"",_xlfn.XLOOKUP($D1836,ccc[city],ccc[ctry],"-"),"-")</f>
        <v/>
      </c>
      <c r="M1836" s="1395">
        <f>IF(raw[[#This Row],[city]]&lt;&gt;"",_xlfn.XLOOKUP($D1836,ccc[city],ccc[cont],"-"),"-")</f>
        <v/>
      </c>
      <c r="N1836" s="1396">
        <f>IF(raw[[#This Row],[city]]="","-",IF(raw[[#This Row],[cont]]="B",raw[[#This Row],[cont]],"W"))</f>
        <v/>
      </c>
      <c r="O1836" s="1397">
        <f>IF(raw[[#This Row],[out]]=0,0,IF(raw[[#This Row],[out]]=raw[[#This Row],[in]],0.01,raw[[#This Row],[out]]-raw[[#This Row],[in]]))</f>
        <v/>
      </c>
      <c r="P1836" s="1397">
        <f>IF(raw[[#This Row],[in]]=0,0,MONTH(raw[[#This Row],[in]]))</f>
        <v/>
      </c>
      <c r="Q1836" s="1397">
        <f>IF(raw[[#This Row],[in]]=0,0,YEAR(raw[[#This Row],[in]]))</f>
        <v/>
      </c>
      <c r="R1836" s="1397">
        <f>INT(raw[[#This Row],[yr]]/10)*10</f>
        <v/>
      </c>
      <c r="S1836" s="1395">
        <f>IF(raw[[#This Row],[city]]="","-",IF(raw[[#This Row],[city]]&lt;&gt;_xlfn.XLOOKUP(raw[[#This Row],[home]],homes[home],homes[city],"-"),1,0))</f>
        <v/>
      </c>
      <c r="T1836" s="1398" t="inlineStr">
        <is>
          <t>.</t>
        </is>
      </c>
      <c r="U1836" s="1399">
        <f>IF(raw[[#This Row],[wb]]="w",raw[[#This Row],[stay]]+U1835,U1835)</f>
        <v/>
      </c>
      <c r="V1836" s="1400">
        <f>IF(raw[[#This Row],[out]]=0,V1835,(raw[[#This Row],[out]]-E$5))</f>
        <v/>
      </c>
      <c r="W1836" s="1401">
        <f>U1836/V1836</f>
        <v/>
      </c>
      <c r="X1836" s="1392" t="n"/>
      <c r="Y1836" s="1392" t="n"/>
      <c r="Z1836" s="1422" t="n"/>
      <c r="AA1836" s="1422" t="n"/>
      <c r="AB1836" s="1392" t="n"/>
      <c r="AC1836" s="1392" t="n"/>
      <c r="AD1836" s="1392" t="n"/>
      <c r="AE1836" s="1392" t="n"/>
      <c r="AF1836" s="1392" t="n"/>
      <c r="AG1836" s="1392" t="n"/>
      <c r="AH1836" s="1392" t="n"/>
      <c r="AI1836" s="1392" t="n"/>
      <c r="AJ1836" s="1392" t="n"/>
      <c r="AK1836" s="1392" t="n"/>
      <c r="AL1836" s="1392" t="n"/>
      <c r="AM1836" s="1392" t="n"/>
      <c r="AN1836" s="1392" t="n"/>
      <c r="AO1836" s="1392" t="n"/>
      <c r="AP1836" s="1392" t="n"/>
      <c r="AQ1836" s="1392" t="n"/>
      <c r="AR1836" s="1392" t="n"/>
      <c r="AS1836" s="1422" t="n"/>
      <c r="AT1836" s="1392" t="n"/>
      <c r="AU1836" s="1392" t="n"/>
      <c r="AV1836" s="1392" t="n"/>
      <c r="AW1836" s="1392" t="n"/>
      <c r="AX1836" s="1392" t="n"/>
      <c r="AY1836" s="1392" t="n"/>
      <c r="AZ1836" s="1392" t="n"/>
      <c r="BA1836" s="1392" t="n"/>
      <c r="BB1836" s="1422" t="n"/>
      <c r="BC1836" s="1392" t="n"/>
      <c r="BD1836" s="1392" t="n"/>
      <c r="BE1836" s="1392" t="n"/>
      <c r="BF1836" s="1392" t="n"/>
      <c r="BG1836" s="1392" t="n"/>
      <c r="BH1836" s="1392" t="n"/>
      <c r="BI1836" s="1392" t="n"/>
      <c r="BJ1836" s="1392" t="n"/>
      <c r="BK1836" s="1392" t="n"/>
      <c r="BL1836" s="1392" t="n"/>
      <c r="BM1836" s="1392" t="n"/>
      <c r="BN1836" s="1392" t="n"/>
      <c r="BO1836" s="1392" t="n"/>
      <c r="BP1836" s="1392" t="n"/>
      <c r="BQ1836" s="1392" t="n"/>
      <c r="BR1836" s="1392" t="n"/>
      <c r="BS1836" s="1392" t="n"/>
      <c r="BT1836" s="1392" t="n"/>
      <c r="BU1836" s="1416" t="n"/>
      <c r="BV1836" s="1392" t="n"/>
      <c r="BW1836" s="1392" t="n"/>
      <c r="BX1836" s="1392" t="n"/>
      <c r="BY1836" s="1392" t="n"/>
      <c r="BZ1836" s="1416" t="n"/>
      <c r="CA1836" s="1392" t="n"/>
      <c r="CB1836" s="1392" t="n"/>
      <c r="CC1836" s="1392" t="n"/>
      <c r="CD1836" s="1392" t="n"/>
      <c r="CE1836" s="1392" t="n"/>
      <c r="CF1836" s="1392" t="n"/>
      <c r="CG1836" s="1392" t="n"/>
      <c r="CH1836" s="1392" t="n"/>
      <c r="CI1836" s="1392" t="n"/>
      <c r="CJ1836" s="1392" t="n"/>
      <c r="CK1836" s="1392" t="n"/>
      <c r="CL1836" s="1392" t="n"/>
    </row>
    <row r="1837">
      <c r="A1837" s="5" t="inlineStr">
        <is>
          <t>.</t>
        </is>
      </c>
      <c r="B1837" s="5" t="inlineStr">
        <is>
          <t>.</t>
        </is>
      </c>
      <c r="C1837" s="1378">
        <f>IF(raw[[#This Row],[city]]="","-",IF(raw[[#This Row],[city]]="TODAY","-",C1836+1))</f>
        <v/>
      </c>
      <c r="D1837" s="1393" t="n"/>
      <c r="E1837" s="1394" t="n"/>
      <c r="F1837" s="1394" t="n"/>
      <c r="G1837" s="1393" t="n"/>
      <c r="H1837" s="1393" t="n"/>
      <c r="I1837" s="1393" t="n"/>
      <c r="J1837" s="1393" t="n"/>
      <c r="K1837" s="1395">
        <f>IF(raw[[#This Row],[city]]&lt;&gt;"",_xlfn.XLOOKUP($D1837,ccc[city],ccc[prov],"-"),"-")</f>
        <v/>
      </c>
      <c r="L1837" s="1395">
        <f>IF(raw[[#This Row],[city]]&lt;&gt;"",_xlfn.XLOOKUP($D1837,ccc[city],ccc[ctry],"-"),"-")</f>
        <v/>
      </c>
      <c r="M1837" s="1395">
        <f>IF(raw[[#This Row],[city]]&lt;&gt;"",_xlfn.XLOOKUP($D1837,ccc[city],ccc[cont],"-"),"-")</f>
        <v/>
      </c>
      <c r="N1837" s="1396">
        <f>IF(raw[[#This Row],[city]]="","-",IF(raw[[#This Row],[cont]]="B",raw[[#This Row],[cont]],"W"))</f>
        <v/>
      </c>
      <c r="O1837" s="1397">
        <f>IF(raw[[#This Row],[out]]=0,0,IF(raw[[#This Row],[out]]=raw[[#This Row],[in]],0.01,raw[[#This Row],[out]]-raw[[#This Row],[in]]))</f>
        <v/>
      </c>
      <c r="P1837" s="1397">
        <f>IF(raw[[#This Row],[in]]=0,0,MONTH(raw[[#This Row],[in]]))</f>
        <v/>
      </c>
      <c r="Q1837" s="1397">
        <f>IF(raw[[#This Row],[in]]=0,0,YEAR(raw[[#This Row],[in]]))</f>
        <v/>
      </c>
      <c r="R1837" s="1397">
        <f>INT(raw[[#This Row],[yr]]/10)*10</f>
        <v/>
      </c>
      <c r="S1837" s="1395">
        <f>IF(raw[[#This Row],[city]]="","-",IF(raw[[#This Row],[city]]&lt;&gt;_xlfn.XLOOKUP(raw[[#This Row],[home]],homes[home],homes[city],"-"),1,0))</f>
        <v/>
      </c>
      <c r="T1837" s="1398" t="inlineStr">
        <is>
          <t>.</t>
        </is>
      </c>
      <c r="U1837" s="1399">
        <f>IF(raw[[#This Row],[wb]]="w",raw[[#This Row],[stay]]+U1836,U1836)</f>
        <v/>
      </c>
      <c r="V1837" s="1400">
        <f>IF(raw[[#This Row],[out]]=0,V1836,(raw[[#This Row],[out]]-E$5))</f>
        <v/>
      </c>
      <c r="W1837" s="1401">
        <f>U1837/V1837</f>
        <v/>
      </c>
      <c r="X1837" s="1392" t="n"/>
      <c r="Y1837" s="1392" t="n"/>
      <c r="Z1837" s="1422" t="n"/>
      <c r="AA1837" s="1422" t="n"/>
      <c r="AB1837" s="1392" t="n"/>
      <c r="AC1837" s="1392" t="n"/>
      <c r="AD1837" s="1392" t="n"/>
      <c r="AE1837" s="1392" t="n"/>
      <c r="AF1837" s="1392" t="n"/>
      <c r="AG1837" s="1392" t="n"/>
      <c r="AH1837" s="1392" t="n"/>
      <c r="AI1837" s="1392" t="n"/>
      <c r="AJ1837" s="1392" t="n"/>
      <c r="AK1837" s="1392" t="n"/>
      <c r="AL1837" s="1392" t="n"/>
      <c r="AM1837" s="1392" t="n"/>
      <c r="AN1837" s="1392" t="n"/>
      <c r="AO1837" s="1392" t="n"/>
      <c r="AP1837" s="1392" t="n"/>
      <c r="AQ1837" s="1392" t="n"/>
      <c r="AR1837" s="1392" t="n"/>
      <c r="AS1837" s="1422" t="n"/>
      <c r="AT1837" s="1392" t="n"/>
      <c r="AU1837" s="1392" t="n"/>
      <c r="AV1837" s="1392" t="n"/>
      <c r="AW1837" s="1392" t="n"/>
      <c r="AX1837" s="1392" t="n"/>
      <c r="AY1837" s="1392" t="n"/>
      <c r="AZ1837" s="1392" t="n"/>
      <c r="BA1837" s="1392" t="n"/>
      <c r="BB1837" s="1422" t="n"/>
      <c r="BC1837" s="1392" t="n"/>
      <c r="BD1837" s="1392" t="n"/>
      <c r="BE1837" s="1392" t="n"/>
      <c r="BF1837" s="1392" t="n"/>
      <c r="BG1837" s="1392" t="n"/>
      <c r="BH1837" s="1392" t="n"/>
      <c r="BI1837" s="1392" t="n"/>
      <c r="BJ1837" s="1392" t="n"/>
      <c r="BK1837" s="1392" t="n"/>
      <c r="BL1837" s="1392" t="n"/>
      <c r="BM1837" s="1392" t="n"/>
      <c r="BN1837" s="1392" t="n"/>
      <c r="BO1837" s="1392" t="n"/>
      <c r="BP1837" s="1392" t="n"/>
      <c r="BQ1837" s="1392" t="n"/>
      <c r="BR1837" s="1392" t="n"/>
      <c r="BS1837" s="1392" t="n"/>
      <c r="BT1837" s="1392" t="n"/>
      <c r="BU1837" s="1416" t="n"/>
      <c r="BV1837" s="1392" t="n"/>
      <c r="BW1837" s="1392" t="n"/>
      <c r="BX1837" s="1392" t="n"/>
      <c r="BY1837" s="1392" t="n"/>
      <c r="BZ1837" s="1416" t="n"/>
      <c r="CA1837" s="1392" t="n"/>
      <c r="CB1837" s="1392" t="n"/>
      <c r="CC1837" s="1392" t="n"/>
      <c r="CD1837" s="1392" t="n"/>
      <c r="CE1837" s="1392" t="n"/>
      <c r="CF1837" s="1392" t="n"/>
      <c r="CG1837" s="1392" t="n"/>
      <c r="CH1837" s="1392" t="n"/>
      <c r="CI1837" s="1392" t="n"/>
      <c r="CJ1837" s="1392" t="n"/>
      <c r="CK1837" s="1392" t="n"/>
      <c r="CL1837" s="1392" t="n"/>
    </row>
    <row r="1838">
      <c r="A1838" s="5" t="inlineStr">
        <is>
          <t>.</t>
        </is>
      </c>
      <c r="B1838" s="5" t="inlineStr">
        <is>
          <t>.</t>
        </is>
      </c>
      <c r="C1838" s="1378">
        <f>IF(raw[[#This Row],[city]]="","-",IF(raw[[#This Row],[city]]="TODAY","-",C1837+1))</f>
        <v/>
      </c>
      <c r="D1838" s="1393" t="n"/>
      <c r="E1838" s="1394" t="n"/>
      <c r="F1838" s="1394" t="n"/>
      <c r="G1838" s="1393" t="n"/>
      <c r="H1838" s="1393" t="n"/>
      <c r="I1838" s="1393" t="n"/>
      <c r="J1838" s="1393" t="n"/>
      <c r="K1838" s="1395">
        <f>IF(raw[[#This Row],[city]]&lt;&gt;"",_xlfn.XLOOKUP($D1838,ccc[city],ccc[prov],"-"),"-")</f>
        <v/>
      </c>
      <c r="L1838" s="1395">
        <f>IF(raw[[#This Row],[city]]&lt;&gt;"",_xlfn.XLOOKUP($D1838,ccc[city],ccc[ctry],"-"),"-")</f>
        <v/>
      </c>
      <c r="M1838" s="1395">
        <f>IF(raw[[#This Row],[city]]&lt;&gt;"",_xlfn.XLOOKUP($D1838,ccc[city],ccc[cont],"-"),"-")</f>
        <v/>
      </c>
      <c r="N1838" s="1396">
        <f>IF(raw[[#This Row],[city]]="","-",IF(raw[[#This Row],[cont]]="B",raw[[#This Row],[cont]],"W"))</f>
        <v/>
      </c>
      <c r="O1838" s="1397">
        <f>IF(raw[[#This Row],[out]]=0,0,IF(raw[[#This Row],[out]]=raw[[#This Row],[in]],0.01,raw[[#This Row],[out]]-raw[[#This Row],[in]]))</f>
        <v/>
      </c>
      <c r="P1838" s="1397">
        <f>IF(raw[[#This Row],[in]]=0,0,MONTH(raw[[#This Row],[in]]))</f>
        <v/>
      </c>
      <c r="Q1838" s="1397">
        <f>IF(raw[[#This Row],[in]]=0,0,YEAR(raw[[#This Row],[in]]))</f>
        <v/>
      </c>
      <c r="R1838" s="1397">
        <f>INT(raw[[#This Row],[yr]]/10)*10</f>
        <v/>
      </c>
      <c r="S1838" s="1395">
        <f>IF(raw[[#This Row],[city]]="","-",IF(raw[[#This Row],[city]]&lt;&gt;_xlfn.XLOOKUP(raw[[#This Row],[home]],homes[home],homes[city],"-"),1,0))</f>
        <v/>
      </c>
      <c r="T1838" s="1398" t="inlineStr">
        <is>
          <t>.</t>
        </is>
      </c>
      <c r="U1838" s="1399">
        <f>IF(raw[[#This Row],[wb]]="w",raw[[#This Row],[stay]]+U1837,U1837)</f>
        <v/>
      </c>
      <c r="V1838" s="1400">
        <f>IF(raw[[#This Row],[out]]=0,V1837,(raw[[#This Row],[out]]-E$5))</f>
        <v/>
      </c>
      <c r="W1838" s="1401">
        <f>U1838/V1838</f>
        <v/>
      </c>
      <c r="X1838" s="1392" t="n"/>
      <c r="Y1838" s="1392" t="n"/>
      <c r="Z1838" s="1422" t="n"/>
      <c r="AA1838" s="1422" t="n"/>
      <c r="AB1838" s="1392" t="n"/>
      <c r="AC1838" s="1392" t="n"/>
      <c r="AD1838" s="1392" t="n"/>
      <c r="AE1838" s="1392" t="n"/>
      <c r="AF1838" s="1392" t="n"/>
      <c r="AG1838" s="1392" t="n"/>
      <c r="AH1838" s="1392" t="n"/>
      <c r="AI1838" s="1392" t="n"/>
      <c r="AJ1838" s="1392" t="n"/>
      <c r="AK1838" s="1392" t="n"/>
      <c r="AL1838" s="1392" t="n"/>
      <c r="AM1838" s="1392" t="n"/>
      <c r="AN1838" s="1392" t="n"/>
      <c r="AO1838" s="1392" t="n"/>
      <c r="AP1838" s="1392" t="n"/>
      <c r="AQ1838" s="1392" t="n"/>
      <c r="AR1838" s="1392" t="n"/>
      <c r="AS1838" s="1422" t="n"/>
      <c r="AT1838" s="1392" t="n"/>
      <c r="AU1838" s="1392" t="n"/>
      <c r="AV1838" s="1392" t="n"/>
      <c r="AW1838" s="1392" t="n"/>
      <c r="AX1838" s="1392" t="n"/>
      <c r="AY1838" s="1392" t="n"/>
      <c r="AZ1838" s="1392" t="n"/>
      <c r="BA1838" s="1392" t="n"/>
      <c r="BB1838" s="1422" t="n"/>
      <c r="BC1838" s="1392" t="n"/>
      <c r="BD1838" s="1392" t="n"/>
      <c r="BE1838" s="1392" t="n"/>
      <c r="BF1838" s="1392" t="n"/>
      <c r="BG1838" s="1392" t="n"/>
      <c r="BH1838" s="1392" t="n"/>
      <c r="BI1838" s="1392" t="n"/>
      <c r="BJ1838" s="1392" t="n"/>
      <c r="BK1838" s="1392" t="n"/>
      <c r="BL1838" s="1392" t="n"/>
      <c r="BM1838" s="1392" t="n"/>
      <c r="BN1838" s="1392" t="n"/>
      <c r="BO1838" s="1392" t="n"/>
      <c r="BP1838" s="1392" t="n"/>
      <c r="BQ1838" s="1392" t="n"/>
      <c r="BR1838" s="1392" t="n"/>
      <c r="BS1838" s="1392" t="n"/>
      <c r="BT1838" s="1392" t="n"/>
      <c r="BU1838" s="1416" t="n"/>
      <c r="BV1838" s="1392" t="n"/>
      <c r="BW1838" s="1392" t="n"/>
      <c r="BX1838" s="1392" t="n"/>
      <c r="BY1838" s="1392" t="n"/>
      <c r="BZ1838" s="1416" t="n"/>
      <c r="CA1838" s="1392" t="n"/>
      <c r="CB1838" s="1392" t="n"/>
      <c r="CC1838" s="1392" t="n"/>
      <c r="CD1838" s="1392" t="n"/>
      <c r="CE1838" s="1392" t="n"/>
      <c r="CF1838" s="1392" t="n"/>
      <c r="CG1838" s="1392" t="n"/>
      <c r="CH1838" s="1392" t="n"/>
      <c r="CI1838" s="1392" t="n"/>
      <c r="CJ1838" s="1392" t="n"/>
      <c r="CK1838" s="1392" t="n"/>
      <c r="CL1838" s="1392" t="n"/>
    </row>
    <row r="1839">
      <c r="A1839" s="5" t="inlineStr">
        <is>
          <t>.</t>
        </is>
      </c>
      <c r="B1839" s="5" t="inlineStr">
        <is>
          <t>.</t>
        </is>
      </c>
      <c r="C1839" s="1378">
        <f>IF(raw[[#This Row],[city]]="","-",IF(raw[[#This Row],[city]]="TODAY","-",C1838+1))</f>
        <v/>
      </c>
      <c r="D1839" s="1393" t="n"/>
      <c r="E1839" s="1394" t="n"/>
      <c r="F1839" s="1394" t="n"/>
      <c r="G1839" s="1393" t="n"/>
      <c r="H1839" s="1393" t="n"/>
      <c r="I1839" s="1393" t="n"/>
      <c r="J1839" s="1393" t="n"/>
      <c r="K1839" s="1395">
        <f>IF(raw[[#This Row],[city]]&lt;&gt;"",_xlfn.XLOOKUP($D1839,ccc[city],ccc[prov],"-"),"-")</f>
        <v/>
      </c>
      <c r="L1839" s="1395">
        <f>IF(raw[[#This Row],[city]]&lt;&gt;"",_xlfn.XLOOKUP($D1839,ccc[city],ccc[ctry],"-"),"-")</f>
        <v/>
      </c>
      <c r="M1839" s="1395">
        <f>IF(raw[[#This Row],[city]]&lt;&gt;"",_xlfn.XLOOKUP($D1839,ccc[city],ccc[cont],"-"),"-")</f>
        <v/>
      </c>
      <c r="N1839" s="1396">
        <f>IF(raw[[#This Row],[city]]="","-",IF(raw[[#This Row],[cont]]="B",raw[[#This Row],[cont]],"W"))</f>
        <v/>
      </c>
      <c r="O1839" s="1397">
        <f>IF(raw[[#This Row],[out]]=0,0,IF(raw[[#This Row],[out]]=raw[[#This Row],[in]],0.01,raw[[#This Row],[out]]-raw[[#This Row],[in]]))</f>
        <v/>
      </c>
      <c r="P1839" s="1397">
        <f>IF(raw[[#This Row],[in]]=0,0,MONTH(raw[[#This Row],[in]]))</f>
        <v/>
      </c>
      <c r="Q1839" s="1397">
        <f>IF(raw[[#This Row],[in]]=0,0,YEAR(raw[[#This Row],[in]]))</f>
        <v/>
      </c>
      <c r="R1839" s="1397">
        <f>INT(raw[[#This Row],[yr]]/10)*10</f>
        <v/>
      </c>
      <c r="S1839" s="1395">
        <f>IF(raw[[#This Row],[city]]="","-",IF(raw[[#This Row],[city]]&lt;&gt;_xlfn.XLOOKUP(raw[[#This Row],[home]],homes[home],homes[city],"-"),1,0))</f>
        <v/>
      </c>
      <c r="T1839" s="1398" t="inlineStr">
        <is>
          <t>.</t>
        </is>
      </c>
      <c r="U1839" s="1399">
        <f>IF(raw[[#This Row],[wb]]="w",raw[[#This Row],[stay]]+U1838,U1838)</f>
        <v/>
      </c>
      <c r="V1839" s="1400">
        <f>IF(raw[[#This Row],[out]]=0,V1838,(raw[[#This Row],[out]]-E$5))</f>
        <v/>
      </c>
      <c r="W1839" s="1401">
        <f>U1839/V1839</f>
        <v/>
      </c>
      <c r="X1839" s="1392" t="n"/>
      <c r="Y1839" s="1392" t="n"/>
      <c r="Z1839" s="1422" t="n"/>
      <c r="AA1839" s="1422" t="n"/>
      <c r="AB1839" s="1392" t="n"/>
      <c r="AC1839" s="1392" t="n"/>
      <c r="AD1839" s="1392" t="n"/>
      <c r="AE1839" s="1392" t="n"/>
      <c r="AF1839" s="1392" t="n"/>
      <c r="AG1839" s="1392" t="n"/>
      <c r="AH1839" s="1392" t="n"/>
      <c r="AI1839" s="1392" t="n"/>
      <c r="AJ1839" s="1392" t="n"/>
      <c r="AK1839" s="1392" t="n"/>
      <c r="AL1839" s="1392" t="n"/>
      <c r="AM1839" s="1392" t="n"/>
      <c r="AN1839" s="1392" t="n"/>
      <c r="AO1839" s="1392" t="n"/>
      <c r="AP1839" s="1392" t="n"/>
      <c r="AQ1839" s="1392" t="n"/>
      <c r="AR1839" s="1392" t="n"/>
      <c r="AS1839" s="1422" t="n"/>
      <c r="AT1839" s="1392" t="n"/>
      <c r="AU1839" s="1392" t="n"/>
      <c r="AV1839" s="1392" t="n"/>
      <c r="AW1839" s="1392" t="n"/>
      <c r="AX1839" s="1392" t="n"/>
      <c r="AY1839" s="1392" t="n"/>
      <c r="AZ1839" s="1392" t="n"/>
      <c r="BA1839" s="1392" t="n"/>
      <c r="BB1839" s="1422" t="n"/>
      <c r="BC1839" s="1392" t="n"/>
      <c r="BD1839" s="1392" t="n"/>
      <c r="BE1839" s="1392" t="n"/>
      <c r="BF1839" s="1392" t="n"/>
      <c r="BG1839" s="1392" t="n"/>
      <c r="BH1839" s="1392" t="n"/>
      <c r="BI1839" s="1392" t="n"/>
      <c r="BJ1839" s="1392" t="n"/>
      <c r="BK1839" s="1392" t="n"/>
      <c r="BL1839" s="1392" t="n"/>
      <c r="BM1839" s="1392" t="n"/>
      <c r="BN1839" s="1392" t="n"/>
      <c r="BO1839" s="1392" t="n"/>
      <c r="BP1839" s="1392" t="n"/>
      <c r="BQ1839" s="1392" t="n"/>
      <c r="BR1839" s="1392" t="n"/>
      <c r="BS1839" s="1392" t="n"/>
      <c r="BT1839" s="1392" t="n"/>
      <c r="BU1839" s="1416" t="n"/>
      <c r="BV1839" s="1392" t="n"/>
      <c r="BW1839" s="1392" t="n"/>
      <c r="BX1839" s="1392" t="n"/>
      <c r="BY1839" s="1392" t="n"/>
      <c r="BZ1839" s="1416" t="n"/>
      <c r="CA1839" s="1392" t="n"/>
      <c r="CB1839" s="1392" t="n"/>
      <c r="CC1839" s="1392" t="n"/>
      <c r="CD1839" s="1392" t="n"/>
      <c r="CE1839" s="1392" t="n"/>
      <c r="CF1839" s="1392" t="n"/>
      <c r="CG1839" s="1392" t="n"/>
      <c r="CH1839" s="1392" t="n"/>
      <c r="CI1839" s="1392" t="n"/>
      <c r="CJ1839" s="1392" t="n"/>
      <c r="CK1839" s="1392" t="n"/>
      <c r="CL1839" s="1392" t="n"/>
    </row>
    <row r="1840">
      <c r="A1840" s="5" t="inlineStr">
        <is>
          <t>.</t>
        </is>
      </c>
      <c r="B1840" s="5" t="inlineStr">
        <is>
          <t>.</t>
        </is>
      </c>
      <c r="C1840" s="1378">
        <f>IF(raw[[#This Row],[city]]="","-",IF(raw[[#This Row],[city]]="TODAY","-",C1839+1))</f>
        <v/>
      </c>
      <c r="D1840" s="1393" t="n"/>
      <c r="E1840" s="1394" t="n"/>
      <c r="F1840" s="1394" t="n"/>
      <c r="G1840" s="1393" t="n"/>
      <c r="H1840" s="1393" t="n"/>
      <c r="I1840" s="1393" t="n"/>
      <c r="J1840" s="1393" t="n"/>
      <c r="K1840" s="1395">
        <f>IF(raw[[#This Row],[city]]&lt;&gt;"",_xlfn.XLOOKUP($D1840,ccc[city],ccc[prov],"-"),"-")</f>
        <v/>
      </c>
      <c r="L1840" s="1395">
        <f>IF(raw[[#This Row],[city]]&lt;&gt;"",_xlfn.XLOOKUP($D1840,ccc[city],ccc[ctry],"-"),"-")</f>
        <v/>
      </c>
      <c r="M1840" s="1395">
        <f>IF(raw[[#This Row],[city]]&lt;&gt;"",_xlfn.XLOOKUP($D1840,ccc[city],ccc[cont],"-"),"-")</f>
        <v/>
      </c>
      <c r="N1840" s="1396">
        <f>IF(raw[[#This Row],[city]]="","-",IF(raw[[#This Row],[cont]]="B",raw[[#This Row],[cont]],"W"))</f>
        <v/>
      </c>
      <c r="O1840" s="1397">
        <f>IF(raw[[#This Row],[out]]=0,0,IF(raw[[#This Row],[out]]=raw[[#This Row],[in]],0.01,raw[[#This Row],[out]]-raw[[#This Row],[in]]))</f>
        <v/>
      </c>
      <c r="P1840" s="1397">
        <f>IF(raw[[#This Row],[in]]=0,0,MONTH(raw[[#This Row],[in]]))</f>
        <v/>
      </c>
      <c r="Q1840" s="1397">
        <f>IF(raw[[#This Row],[in]]=0,0,YEAR(raw[[#This Row],[in]]))</f>
        <v/>
      </c>
      <c r="R1840" s="1397">
        <f>INT(raw[[#This Row],[yr]]/10)*10</f>
        <v/>
      </c>
      <c r="S1840" s="1395">
        <f>IF(raw[[#This Row],[city]]="","-",IF(raw[[#This Row],[city]]&lt;&gt;_xlfn.XLOOKUP(raw[[#This Row],[home]],homes[home],homes[city],"-"),1,0))</f>
        <v/>
      </c>
      <c r="T1840" s="1398" t="inlineStr">
        <is>
          <t>.</t>
        </is>
      </c>
      <c r="U1840" s="1399">
        <f>IF(raw[[#This Row],[wb]]="w",raw[[#This Row],[stay]]+U1839,U1839)</f>
        <v/>
      </c>
      <c r="V1840" s="1400">
        <f>IF(raw[[#This Row],[out]]=0,V1839,(raw[[#This Row],[out]]-E$5))</f>
        <v/>
      </c>
      <c r="W1840" s="1401">
        <f>U1840/V1840</f>
        <v/>
      </c>
      <c r="X1840" s="1392" t="n"/>
      <c r="Y1840" s="1392" t="n"/>
      <c r="Z1840" s="1422" t="n"/>
      <c r="AA1840" s="1422" t="n"/>
      <c r="AB1840" s="1392" t="n"/>
      <c r="AC1840" s="1392" t="n"/>
      <c r="AD1840" s="1392" t="n"/>
      <c r="AE1840" s="1392" t="n"/>
      <c r="AF1840" s="1392" t="n"/>
      <c r="AG1840" s="1392" t="n"/>
      <c r="AH1840" s="1392" t="n"/>
      <c r="AI1840" s="1392" t="n"/>
      <c r="AJ1840" s="1392" t="n"/>
      <c r="AK1840" s="1392" t="n"/>
      <c r="AL1840" s="1392" t="n"/>
      <c r="AM1840" s="1392" t="n"/>
      <c r="AN1840" s="1392" t="n"/>
      <c r="AO1840" s="1392" t="n"/>
      <c r="AP1840" s="1392" t="n"/>
      <c r="AQ1840" s="1392" t="n"/>
      <c r="AR1840" s="1392" t="n"/>
      <c r="AS1840" s="1422" t="n"/>
      <c r="AT1840" s="1392" t="n"/>
      <c r="AU1840" s="1392" t="n"/>
      <c r="AV1840" s="1392" t="n"/>
      <c r="AW1840" s="1392" t="n"/>
      <c r="AX1840" s="1392" t="n"/>
      <c r="AY1840" s="1392" t="n"/>
      <c r="AZ1840" s="1392" t="n"/>
      <c r="BA1840" s="1392" t="n"/>
      <c r="BB1840" s="1422" t="n"/>
      <c r="BC1840" s="1392" t="n"/>
      <c r="BD1840" s="1392" t="n"/>
      <c r="BE1840" s="1392" t="n"/>
      <c r="BF1840" s="1392" t="n"/>
      <c r="BG1840" s="1392" t="n"/>
      <c r="BH1840" s="1392" t="n"/>
      <c r="BI1840" s="1392" t="n"/>
      <c r="BJ1840" s="1392" t="n"/>
      <c r="BK1840" s="1392" t="n"/>
      <c r="BL1840" s="1392" t="n"/>
      <c r="BM1840" s="1392" t="n"/>
      <c r="BN1840" s="1392" t="n"/>
      <c r="BO1840" s="1392" t="n"/>
      <c r="BP1840" s="1392" t="n"/>
      <c r="BQ1840" s="1392" t="n"/>
      <c r="BR1840" s="1392" t="n"/>
      <c r="BS1840" s="1392" t="n"/>
      <c r="BT1840" s="1392" t="n"/>
      <c r="BU1840" s="1416" t="n"/>
      <c r="BV1840" s="1392" t="n"/>
      <c r="BW1840" s="1392" t="n"/>
      <c r="BX1840" s="1392" t="n"/>
      <c r="BY1840" s="1392" t="n"/>
      <c r="BZ1840" s="1416" t="n"/>
      <c r="CA1840" s="1392" t="n"/>
      <c r="CB1840" s="1392" t="n"/>
      <c r="CC1840" s="1392" t="n"/>
      <c r="CD1840" s="1392" t="n"/>
      <c r="CE1840" s="1392" t="n"/>
      <c r="CF1840" s="1392" t="n"/>
      <c r="CG1840" s="1392" t="n"/>
      <c r="CH1840" s="1392" t="n"/>
      <c r="CI1840" s="1392" t="n"/>
      <c r="CJ1840" s="1392" t="n"/>
      <c r="CK1840" s="1392" t="n"/>
      <c r="CL1840" s="1392" t="n"/>
    </row>
    <row r="1841">
      <c r="A1841" s="5" t="inlineStr">
        <is>
          <t>.</t>
        </is>
      </c>
      <c r="B1841" s="5" t="inlineStr">
        <is>
          <t>.</t>
        </is>
      </c>
      <c r="C1841" s="1378">
        <f>IF(raw[[#This Row],[city]]="","-",IF(raw[[#This Row],[city]]="TODAY","-",C1840+1))</f>
        <v/>
      </c>
      <c r="D1841" s="1393" t="n"/>
      <c r="E1841" s="1394" t="n"/>
      <c r="F1841" s="1394" t="n"/>
      <c r="G1841" s="1393" t="n"/>
      <c r="H1841" s="1393" t="n"/>
      <c r="I1841" s="1393" t="n"/>
      <c r="J1841" s="1393" t="n"/>
      <c r="K1841" s="1395">
        <f>IF(raw[[#This Row],[city]]&lt;&gt;"",_xlfn.XLOOKUP($D1841,ccc[city],ccc[prov],"-"),"-")</f>
        <v/>
      </c>
      <c r="L1841" s="1395">
        <f>IF(raw[[#This Row],[city]]&lt;&gt;"",_xlfn.XLOOKUP($D1841,ccc[city],ccc[ctry],"-"),"-")</f>
        <v/>
      </c>
      <c r="M1841" s="1395">
        <f>IF(raw[[#This Row],[city]]&lt;&gt;"",_xlfn.XLOOKUP($D1841,ccc[city],ccc[cont],"-"),"-")</f>
        <v/>
      </c>
      <c r="N1841" s="1396">
        <f>IF(raw[[#This Row],[city]]="","-",IF(raw[[#This Row],[cont]]="B",raw[[#This Row],[cont]],"W"))</f>
        <v/>
      </c>
      <c r="O1841" s="1397">
        <f>IF(raw[[#This Row],[out]]=0,0,IF(raw[[#This Row],[out]]=raw[[#This Row],[in]],0.01,raw[[#This Row],[out]]-raw[[#This Row],[in]]))</f>
        <v/>
      </c>
      <c r="P1841" s="1397">
        <f>IF(raw[[#This Row],[in]]=0,0,MONTH(raw[[#This Row],[in]]))</f>
        <v/>
      </c>
      <c r="Q1841" s="1397">
        <f>IF(raw[[#This Row],[in]]=0,0,YEAR(raw[[#This Row],[in]]))</f>
        <v/>
      </c>
      <c r="R1841" s="1397">
        <f>INT(raw[[#This Row],[yr]]/10)*10</f>
        <v/>
      </c>
      <c r="S1841" s="1395">
        <f>IF(raw[[#This Row],[city]]="","-",IF(raw[[#This Row],[city]]&lt;&gt;_xlfn.XLOOKUP(raw[[#This Row],[home]],homes[home],homes[city],"-"),1,0))</f>
        <v/>
      </c>
      <c r="T1841" s="1398" t="inlineStr">
        <is>
          <t>.</t>
        </is>
      </c>
      <c r="U1841" s="1399">
        <f>IF(raw[[#This Row],[wb]]="w",raw[[#This Row],[stay]]+U1840,U1840)</f>
        <v/>
      </c>
      <c r="V1841" s="1400">
        <f>IF(raw[[#This Row],[out]]=0,V1840,(raw[[#This Row],[out]]-E$5))</f>
        <v/>
      </c>
      <c r="W1841" s="1401">
        <f>U1841/V1841</f>
        <v/>
      </c>
      <c r="X1841" s="1392" t="n"/>
      <c r="Y1841" s="1392" t="n"/>
      <c r="Z1841" s="1422" t="n"/>
      <c r="AA1841" s="1422" t="n"/>
      <c r="AB1841" s="1392" t="n"/>
      <c r="AC1841" s="1392" t="n"/>
      <c r="AD1841" s="1392" t="n"/>
      <c r="AE1841" s="1392" t="n"/>
      <c r="AF1841" s="1392" t="n"/>
      <c r="AG1841" s="1392" t="n"/>
      <c r="AH1841" s="1392" t="n"/>
      <c r="AI1841" s="1392" t="n"/>
      <c r="AJ1841" s="1392" t="n"/>
      <c r="AK1841" s="1392" t="n"/>
      <c r="AL1841" s="1392" t="n"/>
      <c r="AM1841" s="1392" t="n"/>
      <c r="AN1841" s="1392" t="n"/>
      <c r="AO1841" s="1392" t="n"/>
      <c r="AP1841" s="1392" t="n"/>
      <c r="AQ1841" s="1392" t="n"/>
      <c r="AR1841" s="1392" t="n"/>
      <c r="AS1841" s="1422" t="n"/>
      <c r="AT1841" s="1392" t="n"/>
      <c r="AU1841" s="1392" t="n"/>
      <c r="AV1841" s="1392" t="n"/>
      <c r="AW1841" s="1392" t="n"/>
      <c r="AX1841" s="1392" t="n"/>
      <c r="AY1841" s="1392" t="n"/>
      <c r="AZ1841" s="1392" t="n"/>
      <c r="BA1841" s="1392" t="n"/>
      <c r="BB1841" s="1422" t="n"/>
      <c r="BC1841" s="1392" t="n"/>
      <c r="BD1841" s="1392" t="n"/>
      <c r="BE1841" s="1392" t="n"/>
      <c r="BF1841" s="1392" t="n"/>
      <c r="BG1841" s="1392" t="n"/>
      <c r="BH1841" s="1392" t="n"/>
      <c r="BI1841" s="1392" t="n"/>
      <c r="BJ1841" s="1392" t="n"/>
      <c r="BK1841" s="1392" t="n"/>
      <c r="BL1841" s="1392" t="n"/>
      <c r="BM1841" s="1392" t="n"/>
      <c r="BN1841" s="1392" t="n"/>
      <c r="BO1841" s="1392" t="n"/>
      <c r="BP1841" s="1392" t="n"/>
      <c r="BQ1841" s="1392" t="n"/>
      <c r="BR1841" s="1392" t="n"/>
      <c r="BS1841" s="1392" t="n"/>
      <c r="BT1841" s="1392" t="n"/>
      <c r="BU1841" s="1416" t="n"/>
      <c r="BV1841" s="1392" t="n"/>
      <c r="BW1841" s="1392" t="n"/>
      <c r="BX1841" s="1392" t="n"/>
      <c r="BY1841" s="1392" t="n"/>
      <c r="BZ1841" s="1416" t="n"/>
      <c r="CA1841" s="1392" t="n"/>
      <c r="CB1841" s="1392" t="n"/>
      <c r="CC1841" s="1392" t="n"/>
      <c r="CD1841" s="1392" t="n"/>
      <c r="CE1841" s="1392" t="n"/>
      <c r="CF1841" s="1392" t="n"/>
      <c r="CG1841" s="1392" t="n"/>
      <c r="CH1841" s="1392" t="n"/>
      <c r="CI1841" s="1392" t="n"/>
      <c r="CJ1841" s="1392" t="n"/>
      <c r="CK1841" s="1392" t="n"/>
      <c r="CL1841" s="1392" t="n"/>
    </row>
    <row r="1842">
      <c r="A1842" s="5" t="inlineStr">
        <is>
          <t>.</t>
        </is>
      </c>
      <c r="B1842" s="5" t="inlineStr">
        <is>
          <t>.</t>
        </is>
      </c>
      <c r="C1842" s="1378">
        <f>IF(raw[[#This Row],[city]]="","-",IF(raw[[#This Row],[city]]="TODAY","-",C1841+1))</f>
        <v/>
      </c>
      <c r="D1842" s="1393" t="n"/>
      <c r="E1842" s="1394" t="n"/>
      <c r="F1842" s="1394" t="n"/>
      <c r="G1842" s="1393" t="n"/>
      <c r="H1842" s="1393" t="n"/>
      <c r="I1842" s="1393" t="n"/>
      <c r="J1842" s="1393" t="n"/>
      <c r="K1842" s="1395">
        <f>IF(raw[[#This Row],[city]]&lt;&gt;"",_xlfn.XLOOKUP($D1842,ccc[city],ccc[prov],"-"),"-")</f>
        <v/>
      </c>
      <c r="L1842" s="1395">
        <f>IF(raw[[#This Row],[city]]&lt;&gt;"",_xlfn.XLOOKUP($D1842,ccc[city],ccc[ctry],"-"),"-")</f>
        <v/>
      </c>
      <c r="M1842" s="1395">
        <f>IF(raw[[#This Row],[city]]&lt;&gt;"",_xlfn.XLOOKUP($D1842,ccc[city],ccc[cont],"-"),"-")</f>
        <v/>
      </c>
      <c r="N1842" s="1396">
        <f>IF(raw[[#This Row],[city]]="","-",IF(raw[[#This Row],[cont]]="B",raw[[#This Row],[cont]],"W"))</f>
        <v/>
      </c>
      <c r="O1842" s="1397">
        <f>IF(raw[[#This Row],[out]]=0,0,IF(raw[[#This Row],[out]]=raw[[#This Row],[in]],0.01,raw[[#This Row],[out]]-raw[[#This Row],[in]]))</f>
        <v/>
      </c>
      <c r="P1842" s="1397">
        <f>IF(raw[[#This Row],[in]]=0,0,MONTH(raw[[#This Row],[in]]))</f>
        <v/>
      </c>
      <c r="Q1842" s="1397">
        <f>IF(raw[[#This Row],[in]]=0,0,YEAR(raw[[#This Row],[in]]))</f>
        <v/>
      </c>
      <c r="R1842" s="1397">
        <f>INT(raw[[#This Row],[yr]]/10)*10</f>
        <v/>
      </c>
      <c r="S1842" s="1395">
        <f>IF(raw[[#This Row],[city]]="","-",IF(raw[[#This Row],[city]]&lt;&gt;_xlfn.XLOOKUP(raw[[#This Row],[home]],homes[home],homes[city],"-"),1,0))</f>
        <v/>
      </c>
      <c r="T1842" s="1398" t="inlineStr">
        <is>
          <t>.</t>
        </is>
      </c>
      <c r="U1842" s="1399">
        <f>IF(raw[[#This Row],[wb]]="w",raw[[#This Row],[stay]]+U1841,U1841)</f>
        <v/>
      </c>
      <c r="V1842" s="1400">
        <f>IF(raw[[#This Row],[out]]=0,V1841,(raw[[#This Row],[out]]-E$5))</f>
        <v/>
      </c>
      <c r="W1842" s="1401">
        <f>U1842/V1842</f>
        <v/>
      </c>
      <c r="X1842" s="1392" t="n"/>
      <c r="Y1842" s="1392" t="n"/>
      <c r="Z1842" s="1422" t="n"/>
      <c r="AA1842" s="1422" t="n"/>
      <c r="AB1842" s="1392" t="n"/>
      <c r="AC1842" s="1392" t="n"/>
      <c r="AD1842" s="1392" t="n"/>
      <c r="AE1842" s="1392" t="n"/>
      <c r="AF1842" s="1392" t="n"/>
      <c r="AG1842" s="1392" t="n"/>
      <c r="AH1842" s="1392" t="n"/>
      <c r="AI1842" s="1392" t="n"/>
      <c r="AJ1842" s="1392" t="n"/>
      <c r="AK1842" s="1392" t="n"/>
      <c r="AL1842" s="1392" t="n"/>
      <c r="AM1842" s="1392" t="n"/>
      <c r="AN1842" s="1392" t="n"/>
      <c r="AO1842" s="1392" t="n"/>
      <c r="AP1842" s="1392" t="n"/>
      <c r="AQ1842" s="1392" t="n"/>
      <c r="AR1842" s="1392" t="n"/>
      <c r="AS1842" s="1422" t="n"/>
      <c r="AT1842" s="1392" t="n"/>
      <c r="AU1842" s="1392" t="n"/>
      <c r="AV1842" s="1392" t="n"/>
      <c r="AW1842" s="1392" t="n"/>
      <c r="AX1842" s="1392" t="n"/>
      <c r="AY1842" s="1392" t="n"/>
      <c r="AZ1842" s="1392" t="n"/>
      <c r="BA1842" s="1392" t="n"/>
      <c r="BB1842" s="1422" t="n"/>
      <c r="BC1842" s="1392" t="n"/>
      <c r="BD1842" s="1392" t="n"/>
      <c r="BE1842" s="1392" t="n"/>
      <c r="BF1842" s="1392" t="n"/>
      <c r="BG1842" s="1392" t="n"/>
      <c r="BH1842" s="1392" t="n"/>
      <c r="BI1842" s="1392" t="n"/>
      <c r="BJ1842" s="1392" t="n"/>
      <c r="BK1842" s="1392" t="n"/>
      <c r="BL1842" s="1392" t="n"/>
      <c r="BM1842" s="1392" t="n"/>
      <c r="BN1842" s="1392" t="n"/>
      <c r="BO1842" s="1392" t="n"/>
      <c r="BP1842" s="1392" t="n"/>
      <c r="BQ1842" s="1392" t="n"/>
      <c r="BR1842" s="1392" t="n"/>
      <c r="BS1842" s="1392" t="n"/>
      <c r="BT1842" s="1392" t="n"/>
      <c r="BU1842" s="1416" t="n"/>
      <c r="BV1842" s="1392" t="n"/>
      <c r="BW1842" s="1392" t="n"/>
      <c r="BX1842" s="1392" t="n"/>
      <c r="BY1842" s="1392" t="n"/>
      <c r="BZ1842" s="1416" t="n"/>
      <c r="CA1842" s="1392" t="n"/>
      <c r="CB1842" s="1392" t="n"/>
      <c r="CC1842" s="1392" t="n"/>
      <c r="CD1842" s="1392" t="n"/>
      <c r="CE1842" s="1392" t="n"/>
      <c r="CF1842" s="1392" t="n"/>
      <c r="CG1842" s="1392" t="n"/>
      <c r="CH1842" s="1392" t="n"/>
      <c r="CI1842" s="1392" t="n"/>
      <c r="CJ1842" s="1392" t="n"/>
      <c r="CK1842" s="1392" t="n"/>
      <c r="CL1842" s="1392" t="n"/>
    </row>
    <row r="1843">
      <c r="A1843" s="5" t="inlineStr">
        <is>
          <t>.</t>
        </is>
      </c>
      <c r="B1843" s="5" t="inlineStr">
        <is>
          <t>.</t>
        </is>
      </c>
      <c r="C1843" s="1378">
        <f>IF(raw[[#This Row],[city]]="","-",IF(raw[[#This Row],[city]]="TODAY","-",C1842+1))</f>
        <v/>
      </c>
      <c r="D1843" s="1393" t="n"/>
      <c r="E1843" s="1394" t="n"/>
      <c r="F1843" s="1394" t="n"/>
      <c r="G1843" s="1393" t="n"/>
      <c r="H1843" s="1393" t="n"/>
      <c r="I1843" s="1393" t="n"/>
      <c r="J1843" s="1393" t="n"/>
      <c r="K1843" s="1395">
        <f>IF(raw[[#This Row],[city]]&lt;&gt;"",_xlfn.XLOOKUP($D1843,ccc[city],ccc[prov],"-"),"-")</f>
        <v/>
      </c>
      <c r="L1843" s="1395">
        <f>IF(raw[[#This Row],[city]]&lt;&gt;"",_xlfn.XLOOKUP($D1843,ccc[city],ccc[ctry],"-"),"-")</f>
        <v/>
      </c>
      <c r="M1843" s="1395">
        <f>IF(raw[[#This Row],[city]]&lt;&gt;"",_xlfn.XLOOKUP($D1843,ccc[city],ccc[cont],"-"),"-")</f>
        <v/>
      </c>
      <c r="N1843" s="1396">
        <f>IF(raw[[#This Row],[city]]="","-",IF(raw[[#This Row],[cont]]="B",raw[[#This Row],[cont]],"W"))</f>
        <v/>
      </c>
      <c r="O1843" s="1397">
        <f>IF(raw[[#This Row],[out]]=0,0,IF(raw[[#This Row],[out]]=raw[[#This Row],[in]],0.01,raw[[#This Row],[out]]-raw[[#This Row],[in]]))</f>
        <v/>
      </c>
      <c r="P1843" s="1397">
        <f>IF(raw[[#This Row],[in]]=0,0,MONTH(raw[[#This Row],[in]]))</f>
        <v/>
      </c>
      <c r="Q1843" s="1397">
        <f>IF(raw[[#This Row],[in]]=0,0,YEAR(raw[[#This Row],[in]]))</f>
        <v/>
      </c>
      <c r="R1843" s="1397">
        <f>INT(raw[[#This Row],[yr]]/10)*10</f>
        <v/>
      </c>
      <c r="S1843" s="1395">
        <f>IF(raw[[#This Row],[city]]="","-",IF(raw[[#This Row],[city]]&lt;&gt;_xlfn.XLOOKUP(raw[[#This Row],[home]],homes[home],homes[city],"-"),1,0))</f>
        <v/>
      </c>
      <c r="T1843" s="1398" t="inlineStr">
        <is>
          <t>.</t>
        </is>
      </c>
      <c r="U1843" s="1399">
        <f>IF(raw[[#This Row],[wb]]="w",raw[[#This Row],[stay]]+U1842,U1842)</f>
        <v/>
      </c>
      <c r="V1843" s="1400">
        <f>IF(raw[[#This Row],[out]]=0,V1842,(raw[[#This Row],[out]]-E$5))</f>
        <v/>
      </c>
      <c r="W1843" s="1401">
        <f>U1843/V1843</f>
        <v/>
      </c>
      <c r="X1843" s="1392" t="n"/>
      <c r="Y1843" s="1392" t="n"/>
      <c r="Z1843" s="1422" t="n"/>
      <c r="AA1843" s="1422" t="n"/>
      <c r="AB1843" s="1392" t="n"/>
      <c r="AC1843" s="1392" t="n"/>
      <c r="AD1843" s="1392" t="n"/>
      <c r="AE1843" s="1392" t="n"/>
      <c r="AF1843" s="1392" t="n"/>
      <c r="AG1843" s="1392" t="n"/>
      <c r="AH1843" s="1392" t="n"/>
      <c r="AI1843" s="1392" t="n"/>
      <c r="AJ1843" s="1392" t="n"/>
      <c r="AK1843" s="1392" t="n"/>
      <c r="AL1843" s="1392" t="n"/>
      <c r="AM1843" s="1392" t="n"/>
      <c r="AN1843" s="1392" t="n"/>
      <c r="AO1843" s="1392" t="n"/>
      <c r="AP1843" s="1392" t="n"/>
      <c r="AQ1843" s="1392" t="n"/>
      <c r="AR1843" s="1392" t="n"/>
      <c r="AS1843" s="1422" t="n"/>
      <c r="AT1843" s="1392" t="n"/>
      <c r="AU1843" s="1392" t="n"/>
      <c r="AV1843" s="1392" t="n"/>
      <c r="AW1843" s="1392" t="n"/>
      <c r="AX1843" s="1392" t="n"/>
      <c r="AY1843" s="1392" t="n"/>
      <c r="AZ1843" s="1392" t="n"/>
      <c r="BA1843" s="1392" t="n"/>
      <c r="BB1843" s="1422" t="n"/>
      <c r="BC1843" s="1392" t="n"/>
      <c r="BD1843" s="1392" t="n"/>
      <c r="BE1843" s="1392" t="n"/>
      <c r="BF1843" s="1392" t="n"/>
      <c r="BG1843" s="1392" t="n"/>
      <c r="BH1843" s="1392" t="n"/>
      <c r="BI1843" s="1392" t="n"/>
      <c r="BJ1843" s="1392" t="n"/>
      <c r="BK1843" s="1392" t="n"/>
      <c r="BL1843" s="1392" t="n"/>
      <c r="BM1843" s="1392" t="n"/>
      <c r="BN1843" s="1392" t="n"/>
      <c r="BO1843" s="1392" t="n"/>
      <c r="BP1843" s="1392" t="n"/>
      <c r="BQ1843" s="1392" t="n"/>
      <c r="BR1843" s="1392" t="n"/>
      <c r="BS1843" s="1392" t="n"/>
      <c r="BT1843" s="1392" t="n"/>
      <c r="BU1843" s="1416" t="n"/>
      <c r="BV1843" s="1392" t="n"/>
      <c r="BW1843" s="1392" t="n"/>
      <c r="BX1843" s="1392" t="n"/>
      <c r="BY1843" s="1392" t="n"/>
      <c r="BZ1843" s="1416" t="n"/>
      <c r="CA1843" s="1392" t="n"/>
      <c r="CB1843" s="1392" t="n"/>
      <c r="CC1843" s="1392" t="n"/>
      <c r="CD1843" s="1392" t="n"/>
      <c r="CE1843" s="1392" t="n"/>
      <c r="CF1843" s="1392" t="n"/>
      <c r="CG1843" s="1392" t="n"/>
      <c r="CH1843" s="1392" t="n"/>
      <c r="CI1843" s="1392" t="n"/>
      <c r="CJ1843" s="1392" t="n"/>
      <c r="CK1843" s="1392" t="n"/>
      <c r="CL1843" s="1392" t="n"/>
    </row>
    <row r="1844">
      <c r="A1844" s="5" t="inlineStr">
        <is>
          <t>.</t>
        </is>
      </c>
      <c r="B1844" s="5" t="inlineStr">
        <is>
          <t>.</t>
        </is>
      </c>
      <c r="C1844" s="1378">
        <f>IF(raw[[#This Row],[city]]="","-",IF(raw[[#This Row],[city]]="TODAY","-",C1843+1))</f>
        <v/>
      </c>
      <c r="D1844" s="1393" t="n"/>
      <c r="E1844" s="1394" t="n"/>
      <c r="F1844" s="1394" t="n"/>
      <c r="G1844" s="1393" t="n"/>
      <c r="H1844" s="1393" t="n"/>
      <c r="I1844" s="1393" t="n"/>
      <c r="J1844" s="1393" t="n"/>
      <c r="K1844" s="1395">
        <f>IF(raw[[#This Row],[city]]&lt;&gt;"",_xlfn.XLOOKUP($D1844,ccc[city],ccc[prov],"-"),"-")</f>
        <v/>
      </c>
      <c r="L1844" s="1395">
        <f>IF(raw[[#This Row],[city]]&lt;&gt;"",_xlfn.XLOOKUP($D1844,ccc[city],ccc[ctry],"-"),"-")</f>
        <v/>
      </c>
      <c r="M1844" s="1395">
        <f>IF(raw[[#This Row],[city]]&lt;&gt;"",_xlfn.XLOOKUP($D1844,ccc[city],ccc[cont],"-"),"-")</f>
        <v/>
      </c>
      <c r="N1844" s="1396">
        <f>IF(raw[[#This Row],[city]]="","-",IF(raw[[#This Row],[cont]]="B",raw[[#This Row],[cont]],"W"))</f>
        <v/>
      </c>
      <c r="O1844" s="1397">
        <f>IF(raw[[#This Row],[out]]=0,0,IF(raw[[#This Row],[out]]=raw[[#This Row],[in]],0.01,raw[[#This Row],[out]]-raw[[#This Row],[in]]))</f>
        <v/>
      </c>
      <c r="P1844" s="1397">
        <f>IF(raw[[#This Row],[in]]=0,0,MONTH(raw[[#This Row],[in]]))</f>
        <v/>
      </c>
      <c r="Q1844" s="1397">
        <f>IF(raw[[#This Row],[in]]=0,0,YEAR(raw[[#This Row],[in]]))</f>
        <v/>
      </c>
      <c r="R1844" s="1397">
        <f>INT(raw[[#This Row],[yr]]/10)*10</f>
        <v/>
      </c>
      <c r="S1844" s="1395">
        <f>IF(raw[[#This Row],[city]]="","-",IF(raw[[#This Row],[city]]&lt;&gt;_xlfn.XLOOKUP(raw[[#This Row],[home]],homes[home],homes[city],"-"),1,0))</f>
        <v/>
      </c>
      <c r="T1844" s="1398" t="inlineStr">
        <is>
          <t>.</t>
        </is>
      </c>
      <c r="U1844" s="1399">
        <f>IF(raw[[#This Row],[wb]]="w",raw[[#This Row],[stay]]+U1843,U1843)</f>
        <v/>
      </c>
      <c r="V1844" s="1400">
        <f>IF(raw[[#This Row],[out]]=0,V1843,(raw[[#This Row],[out]]-E$5))</f>
        <v/>
      </c>
      <c r="W1844" s="1401">
        <f>U1844/V1844</f>
        <v/>
      </c>
      <c r="X1844" s="1392" t="n"/>
      <c r="Y1844" s="1392" t="n"/>
      <c r="Z1844" s="1422" t="n"/>
      <c r="AA1844" s="1422" t="n"/>
      <c r="AB1844" s="1392" t="n"/>
      <c r="AC1844" s="1392" t="n"/>
      <c r="AD1844" s="1392" t="n"/>
      <c r="AE1844" s="1392" t="n"/>
      <c r="AF1844" s="1392" t="n"/>
      <c r="AG1844" s="1392" t="n"/>
      <c r="AH1844" s="1392" t="n"/>
      <c r="AI1844" s="1392" t="n"/>
      <c r="AJ1844" s="1392" t="n"/>
      <c r="AK1844" s="1392" t="n"/>
      <c r="AL1844" s="1392" t="n"/>
      <c r="AM1844" s="1392" t="n"/>
      <c r="AN1844" s="1392" t="n"/>
      <c r="AO1844" s="1392" t="n"/>
      <c r="AP1844" s="1392" t="n"/>
      <c r="AQ1844" s="1392" t="n"/>
      <c r="AR1844" s="1392" t="n"/>
      <c r="AS1844" s="1422" t="n"/>
      <c r="AT1844" s="1392" t="n"/>
      <c r="AU1844" s="1392" t="n"/>
      <c r="AV1844" s="1392" t="n"/>
      <c r="AW1844" s="1392" t="n"/>
      <c r="AX1844" s="1392" t="n"/>
      <c r="AY1844" s="1392" t="n"/>
      <c r="AZ1844" s="1392" t="n"/>
      <c r="BA1844" s="1392" t="n"/>
      <c r="BB1844" s="1422" t="n"/>
      <c r="BC1844" s="1392" t="n"/>
      <c r="BD1844" s="1392" t="n"/>
      <c r="BE1844" s="1392" t="n"/>
      <c r="BF1844" s="1392" t="n"/>
      <c r="BG1844" s="1392" t="n"/>
      <c r="BH1844" s="1392" t="n"/>
      <c r="BI1844" s="1392" t="n"/>
      <c r="BJ1844" s="1392" t="n"/>
      <c r="BK1844" s="1392" t="n"/>
      <c r="BL1844" s="1392" t="n"/>
      <c r="BM1844" s="1392" t="n"/>
      <c r="BN1844" s="1392" t="n"/>
      <c r="BO1844" s="1392" t="n"/>
      <c r="BP1844" s="1392" t="n"/>
      <c r="BQ1844" s="1392" t="n"/>
      <c r="BR1844" s="1392" t="n"/>
      <c r="BS1844" s="1392" t="n"/>
      <c r="BT1844" s="1392" t="n"/>
      <c r="BU1844" s="1416" t="n"/>
      <c r="BV1844" s="1392" t="n"/>
      <c r="BW1844" s="1392" t="n"/>
      <c r="BX1844" s="1392" t="n"/>
      <c r="BY1844" s="1392" t="n"/>
      <c r="BZ1844" s="1416" t="n"/>
      <c r="CA1844" s="1392" t="n"/>
      <c r="CB1844" s="1392" t="n"/>
      <c r="CC1844" s="1392" t="n"/>
      <c r="CD1844" s="1392" t="n"/>
      <c r="CE1844" s="1392" t="n"/>
      <c r="CF1844" s="1392" t="n"/>
      <c r="CG1844" s="1392" t="n"/>
      <c r="CH1844" s="1392" t="n"/>
      <c r="CI1844" s="1392" t="n"/>
      <c r="CJ1844" s="1392" t="n"/>
      <c r="CK1844" s="1392" t="n"/>
      <c r="CL1844" s="1392" t="n"/>
    </row>
    <row r="1845">
      <c r="A1845" s="5" t="inlineStr">
        <is>
          <t>.</t>
        </is>
      </c>
      <c r="B1845" s="5" t="inlineStr">
        <is>
          <t>.</t>
        </is>
      </c>
      <c r="C1845" s="1378">
        <f>IF(raw[[#This Row],[city]]="","-",IF(raw[[#This Row],[city]]="TODAY","-",C1844+1))</f>
        <v/>
      </c>
      <c r="D1845" s="1393" t="n"/>
      <c r="E1845" s="1394" t="n"/>
      <c r="F1845" s="1394" t="n"/>
      <c r="G1845" s="1393" t="n"/>
      <c r="H1845" s="1393" t="n"/>
      <c r="I1845" s="1393" t="n"/>
      <c r="J1845" s="1393" t="n"/>
      <c r="K1845" s="1395">
        <f>IF(raw[[#This Row],[city]]&lt;&gt;"",_xlfn.XLOOKUP($D1845,ccc[city],ccc[prov],"-"),"-")</f>
        <v/>
      </c>
      <c r="L1845" s="1395">
        <f>IF(raw[[#This Row],[city]]&lt;&gt;"",_xlfn.XLOOKUP($D1845,ccc[city],ccc[ctry],"-"),"-")</f>
        <v/>
      </c>
      <c r="M1845" s="1395">
        <f>IF(raw[[#This Row],[city]]&lt;&gt;"",_xlfn.XLOOKUP($D1845,ccc[city],ccc[cont],"-"),"-")</f>
        <v/>
      </c>
      <c r="N1845" s="1396">
        <f>IF(raw[[#This Row],[city]]="","-",IF(raw[[#This Row],[cont]]="B",raw[[#This Row],[cont]],"W"))</f>
        <v/>
      </c>
      <c r="O1845" s="1397">
        <f>IF(raw[[#This Row],[out]]=0,0,IF(raw[[#This Row],[out]]=raw[[#This Row],[in]],0.01,raw[[#This Row],[out]]-raw[[#This Row],[in]]))</f>
        <v/>
      </c>
      <c r="P1845" s="1397">
        <f>IF(raw[[#This Row],[in]]=0,0,MONTH(raw[[#This Row],[in]]))</f>
        <v/>
      </c>
      <c r="Q1845" s="1397">
        <f>IF(raw[[#This Row],[in]]=0,0,YEAR(raw[[#This Row],[in]]))</f>
        <v/>
      </c>
      <c r="R1845" s="1397">
        <f>INT(raw[[#This Row],[yr]]/10)*10</f>
        <v/>
      </c>
      <c r="S1845" s="1395">
        <f>IF(raw[[#This Row],[city]]="","-",IF(raw[[#This Row],[city]]&lt;&gt;_xlfn.XLOOKUP(raw[[#This Row],[home]],homes[home],homes[city],"-"),1,0))</f>
        <v/>
      </c>
      <c r="T1845" s="1398" t="inlineStr">
        <is>
          <t>.</t>
        </is>
      </c>
      <c r="U1845" s="1399">
        <f>IF(raw[[#This Row],[wb]]="w",raw[[#This Row],[stay]]+U1844,U1844)</f>
        <v/>
      </c>
      <c r="V1845" s="1400">
        <f>IF(raw[[#This Row],[out]]=0,V1844,(raw[[#This Row],[out]]-E$5))</f>
        <v/>
      </c>
      <c r="W1845" s="1401">
        <f>U1845/V1845</f>
        <v/>
      </c>
      <c r="X1845" s="1392" t="n"/>
      <c r="Y1845" s="1392" t="n"/>
      <c r="Z1845" s="1422" t="n"/>
      <c r="AA1845" s="1422" t="n"/>
      <c r="AB1845" s="1392" t="n"/>
      <c r="AC1845" s="1392" t="n"/>
      <c r="AD1845" s="1392" t="n"/>
      <c r="AE1845" s="1392" t="n"/>
      <c r="AF1845" s="1392" t="n"/>
      <c r="AG1845" s="1392" t="n"/>
      <c r="AH1845" s="1392" t="n"/>
      <c r="AI1845" s="1392" t="n"/>
      <c r="AJ1845" s="1392" t="n"/>
      <c r="AK1845" s="1392" t="n"/>
      <c r="AL1845" s="1392" t="n"/>
      <c r="AM1845" s="1392" t="n"/>
      <c r="AN1845" s="1392" t="n"/>
      <c r="AO1845" s="1392" t="n"/>
      <c r="AP1845" s="1392" t="n"/>
      <c r="AQ1845" s="1392" t="n"/>
      <c r="AR1845" s="1392" t="n"/>
      <c r="AS1845" s="1422" t="n"/>
      <c r="AT1845" s="1392" t="n"/>
      <c r="AU1845" s="1392" t="n"/>
      <c r="AV1845" s="1392" t="n"/>
      <c r="AW1845" s="1392" t="n"/>
      <c r="AX1845" s="1392" t="n"/>
      <c r="AY1845" s="1392" t="n"/>
      <c r="AZ1845" s="1392" t="n"/>
      <c r="BA1845" s="1392" t="n"/>
      <c r="BB1845" s="1422" t="n"/>
      <c r="BC1845" s="1392" t="n"/>
      <c r="BD1845" s="1392" t="n"/>
      <c r="BE1845" s="1392" t="n"/>
      <c r="BF1845" s="1392" t="n"/>
      <c r="BG1845" s="1392" t="n"/>
      <c r="BH1845" s="1392" t="n"/>
      <c r="BI1845" s="1392" t="n"/>
      <c r="BJ1845" s="1392" t="n"/>
      <c r="BK1845" s="1392" t="n"/>
      <c r="BL1845" s="1392" t="n"/>
      <c r="BM1845" s="1392" t="n"/>
      <c r="BN1845" s="1392" t="n"/>
      <c r="BO1845" s="1392" t="n"/>
      <c r="BP1845" s="1392" t="n"/>
      <c r="BQ1845" s="1392" t="n"/>
      <c r="BR1845" s="1392" t="n"/>
      <c r="BS1845" s="1392" t="n"/>
      <c r="BT1845" s="1392" t="n"/>
      <c r="BU1845" s="1416" t="n"/>
      <c r="BV1845" s="1392" t="n"/>
      <c r="BW1845" s="1392" t="n"/>
      <c r="BX1845" s="1392" t="n"/>
      <c r="BY1845" s="1392" t="n"/>
      <c r="BZ1845" s="1416" t="n"/>
      <c r="CA1845" s="1392" t="n"/>
      <c r="CB1845" s="1392" t="n"/>
      <c r="CC1845" s="1392" t="n"/>
      <c r="CD1845" s="1392" t="n"/>
      <c r="CE1845" s="1392" t="n"/>
      <c r="CF1845" s="1392" t="n"/>
      <c r="CG1845" s="1392" t="n"/>
      <c r="CH1845" s="1392" t="n"/>
      <c r="CI1845" s="1392" t="n"/>
      <c r="CJ1845" s="1392" t="n"/>
      <c r="CK1845" s="1392" t="n"/>
      <c r="CL1845" s="1392" t="n"/>
    </row>
    <row r="1846">
      <c r="A1846" s="5" t="inlineStr">
        <is>
          <t>.</t>
        </is>
      </c>
      <c r="B1846" s="5" t="inlineStr">
        <is>
          <t>.</t>
        </is>
      </c>
      <c r="C1846" s="1378">
        <f>IF(raw[[#This Row],[city]]="","-",IF(raw[[#This Row],[city]]="TODAY","-",C1845+1))</f>
        <v/>
      </c>
      <c r="D1846" s="1393" t="n"/>
      <c r="E1846" s="1394" t="n"/>
      <c r="F1846" s="1394" t="n"/>
      <c r="G1846" s="1393" t="n"/>
      <c r="H1846" s="1393" t="n"/>
      <c r="I1846" s="1393" t="n"/>
      <c r="J1846" s="1393" t="n"/>
      <c r="K1846" s="1395">
        <f>IF(raw[[#This Row],[city]]&lt;&gt;"",_xlfn.XLOOKUP($D1846,ccc[city],ccc[prov],"-"),"-")</f>
        <v/>
      </c>
      <c r="L1846" s="1395">
        <f>IF(raw[[#This Row],[city]]&lt;&gt;"",_xlfn.XLOOKUP($D1846,ccc[city],ccc[ctry],"-"),"-")</f>
        <v/>
      </c>
      <c r="M1846" s="1395">
        <f>IF(raw[[#This Row],[city]]&lt;&gt;"",_xlfn.XLOOKUP($D1846,ccc[city],ccc[cont],"-"),"-")</f>
        <v/>
      </c>
      <c r="N1846" s="1396">
        <f>IF(raw[[#This Row],[city]]="","-",IF(raw[[#This Row],[cont]]="B",raw[[#This Row],[cont]],"W"))</f>
        <v/>
      </c>
      <c r="O1846" s="1397">
        <f>IF(raw[[#This Row],[out]]=0,0,IF(raw[[#This Row],[out]]=raw[[#This Row],[in]],0.01,raw[[#This Row],[out]]-raw[[#This Row],[in]]))</f>
        <v/>
      </c>
      <c r="P1846" s="1397">
        <f>IF(raw[[#This Row],[in]]=0,0,MONTH(raw[[#This Row],[in]]))</f>
        <v/>
      </c>
      <c r="Q1846" s="1397">
        <f>IF(raw[[#This Row],[in]]=0,0,YEAR(raw[[#This Row],[in]]))</f>
        <v/>
      </c>
      <c r="R1846" s="1397">
        <f>INT(raw[[#This Row],[yr]]/10)*10</f>
        <v/>
      </c>
      <c r="S1846" s="1395">
        <f>IF(raw[[#This Row],[city]]="","-",IF(raw[[#This Row],[city]]&lt;&gt;_xlfn.XLOOKUP(raw[[#This Row],[home]],homes[home],homes[city],"-"),1,0))</f>
        <v/>
      </c>
      <c r="T1846" s="1398" t="inlineStr">
        <is>
          <t>.</t>
        </is>
      </c>
      <c r="U1846" s="1399">
        <f>IF(raw[[#This Row],[wb]]="w",raw[[#This Row],[stay]]+U1845,U1845)</f>
        <v/>
      </c>
      <c r="V1846" s="1400">
        <f>IF(raw[[#This Row],[out]]=0,V1845,(raw[[#This Row],[out]]-E$5))</f>
        <v/>
      </c>
      <c r="W1846" s="1401">
        <f>U1846/V1846</f>
        <v/>
      </c>
      <c r="X1846" s="1392" t="n"/>
      <c r="Y1846" s="1392" t="n"/>
      <c r="Z1846" s="1422" t="n"/>
      <c r="AA1846" s="1422" t="n"/>
      <c r="AB1846" s="1392" t="n"/>
      <c r="AC1846" s="1392" t="n"/>
      <c r="AD1846" s="1392" t="n"/>
      <c r="AE1846" s="1392" t="n"/>
      <c r="AF1846" s="1392" t="n"/>
      <c r="AG1846" s="1392" t="n"/>
      <c r="AH1846" s="1392" t="n"/>
      <c r="AI1846" s="1392" t="n"/>
      <c r="AJ1846" s="1392" t="n"/>
      <c r="AK1846" s="1392" t="n"/>
      <c r="AL1846" s="1392" t="n"/>
      <c r="AM1846" s="1392" t="n"/>
      <c r="AN1846" s="1392" t="n"/>
      <c r="AO1846" s="1392" t="n"/>
      <c r="AP1846" s="1392" t="n"/>
      <c r="AQ1846" s="1392" t="n"/>
      <c r="AR1846" s="1392" t="n"/>
      <c r="AS1846" s="1422" t="n"/>
      <c r="AT1846" s="1392" t="n"/>
      <c r="AU1846" s="1392" t="n"/>
      <c r="AV1846" s="1392" t="n"/>
      <c r="AW1846" s="1392" t="n"/>
      <c r="AX1846" s="1392" t="n"/>
      <c r="AY1846" s="1392" t="n"/>
      <c r="AZ1846" s="1392" t="n"/>
      <c r="BA1846" s="1392" t="n"/>
      <c r="BB1846" s="1422" t="n"/>
      <c r="BC1846" s="1392" t="n"/>
      <c r="BD1846" s="1392" t="n"/>
      <c r="BE1846" s="1392" t="n"/>
      <c r="BF1846" s="1392" t="n"/>
      <c r="BG1846" s="1392" t="n"/>
      <c r="BH1846" s="1392" t="n"/>
      <c r="BI1846" s="1392" t="n"/>
      <c r="BJ1846" s="1392" t="n"/>
      <c r="BK1846" s="1392" t="n"/>
      <c r="BL1846" s="1392" t="n"/>
      <c r="BM1846" s="1392" t="n"/>
      <c r="BN1846" s="1392" t="n"/>
      <c r="BO1846" s="1392" t="n"/>
      <c r="BP1846" s="1392" t="n"/>
      <c r="BQ1846" s="1392" t="n"/>
      <c r="BR1846" s="1392" t="n"/>
      <c r="BS1846" s="1392" t="n"/>
      <c r="BT1846" s="1392" t="n"/>
      <c r="BU1846" s="1416" t="n"/>
      <c r="BV1846" s="1392" t="n"/>
      <c r="BW1846" s="1392" t="n"/>
      <c r="BX1846" s="1392" t="n"/>
      <c r="BY1846" s="1392" t="n"/>
      <c r="BZ1846" s="1416" t="n"/>
      <c r="CA1846" s="1392" t="n"/>
      <c r="CB1846" s="1392" t="n"/>
      <c r="CC1846" s="1392" t="n"/>
      <c r="CD1846" s="1392" t="n"/>
      <c r="CE1846" s="1392" t="n"/>
      <c r="CF1846" s="1392" t="n"/>
      <c r="CG1846" s="1392" t="n"/>
      <c r="CH1846" s="1392" t="n"/>
      <c r="CI1846" s="1392" t="n"/>
      <c r="CJ1846" s="1392" t="n"/>
      <c r="CK1846" s="1392" t="n"/>
      <c r="CL1846" s="1392" t="n"/>
    </row>
    <row r="1847">
      <c r="A1847" s="5" t="inlineStr">
        <is>
          <t>.</t>
        </is>
      </c>
      <c r="B1847" s="5" t="inlineStr">
        <is>
          <t>.</t>
        </is>
      </c>
      <c r="C1847" s="1378">
        <f>IF(raw[[#This Row],[city]]="","-",IF(raw[[#This Row],[city]]="TODAY","-",C1846+1))</f>
        <v/>
      </c>
      <c r="D1847" s="1393" t="n"/>
      <c r="E1847" s="1394" t="n"/>
      <c r="F1847" s="1394" t="n"/>
      <c r="G1847" s="1393" t="n"/>
      <c r="H1847" s="1393" t="n"/>
      <c r="I1847" s="1393" t="n"/>
      <c r="J1847" s="1393" t="n"/>
      <c r="K1847" s="1395">
        <f>IF(raw[[#This Row],[city]]&lt;&gt;"",_xlfn.XLOOKUP($D1847,ccc[city],ccc[prov],"-"),"-")</f>
        <v/>
      </c>
      <c r="L1847" s="1395">
        <f>IF(raw[[#This Row],[city]]&lt;&gt;"",_xlfn.XLOOKUP($D1847,ccc[city],ccc[ctry],"-"),"-")</f>
        <v/>
      </c>
      <c r="M1847" s="1395">
        <f>IF(raw[[#This Row],[city]]&lt;&gt;"",_xlfn.XLOOKUP($D1847,ccc[city],ccc[cont],"-"),"-")</f>
        <v/>
      </c>
      <c r="N1847" s="1396">
        <f>IF(raw[[#This Row],[city]]="","-",IF(raw[[#This Row],[cont]]="B",raw[[#This Row],[cont]],"W"))</f>
        <v/>
      </c>
      <c r="O1847" s="1397">
        <f>IF(raw[[#This Row],[out]]=0,0,IF(raw[[#This Row],[out]]=raw[[#This Row],[in]],0.01,raw[[#This Row],[out]]-raw[[#This Row],[in]]))</f>
        <v/>
      </c>
      <c r="P1847" s="1397">
        <f>IF(raw[[#This Row],[in]]=0,0,MONTH(raw[[#This Row],[in]]))</f>
        <v/>
      </c>
      <c r="Q1847" s="1397">
        <f>IF(raw[[#This Row],[in]]=0,0,YEAR(raw[[#This Row],[in]]))</f>
        <v/>
      </c>
      <c r="R1847" s="1397">
        <f>INT(raw[[#This Row],[yr]]/10)*10</f>
        <v/>
      </c>
      <c r="S1847" s="1395">
        <f>IF(raw[[#This Row],[city]]="","-",IF(raw[[#This Row],[city]]&lt;&gt;_xlfn.XLOOKUP(raw[[#This Row],[home]],homes[home],homes[city],"-"),1,0))</f>
        <v/>
      </c>
      <c r="T1847" s="1398" t="inlineStr">
        <is>
          <t>.</t>
        </is>
      </c>
      <c r="U1847" s="1399">
        <f>IF(raw[[#This Row],[wb]]="w",raw[[#This Row],[stay]]+U1846,U1846)</f>
        <v/>
      </c>
      <c r="V1847" s="1400">
        <f>IF(raw[[#This Row],[out]]=0,V1846,(raw[[#This Row],[out]]-E$5))</f>
        <v/>
      </c>
      <c r="W1847" s="1401">
        <f>U1847/V1847</f>
        <v/>
      </c>
      <c r="X1847" s="1392" t="n"/>
      <c r="Y1847" s="1392" t="n"/>
      <c r="Z1847" s="1422" t="n"/>
      <c r="AA1847" s="1422" t="n"/>
      <c r="AB1847" s="1392" t="n"/>
      <c r="AC1847" s="1392" t="n"/>
      <c r="AD1847" s="1392" t="n"/>
      <c r="AE1847" s="1392" t="n"/>
      <c r="AF1847" s="1392" t="n"/>
      <c r="AG1847" s="1392" t="n"/>
      <c r="AH1847" s="1392" t="n"/>
      <c r="AI1847" s="1392" t="n"/>
      <c r="AJ1847" s="1392" t="n"/>
      <c r="AK1847" s="1392" t="n"/>
      <c r="AL1847" s="1392" t="n"/>
      <c r="AM1847" s="1392" t="n"/>
      <c r="AN1847" s="1392" t="n"/>
      <c r="AO1847" s="1392" t="n"/>
      <c r="AP1847" s="1392" t="n"/>
      <c r="AQ1847" s="1392" t="n"/>
      <c r="AR1847" s="1392" t="n"/>
      <c r="AS1847" s="1422" t="n"/>
      <c r="AT1847" s="1392" t="n"/>
      <c r="AU1847" s="1392" t="n"/>
      <c r="AV1847" s="1392" t="n"/>
      <c r="AW1847" s="1392" t="n"/>
      <c r="AX1847" s="1392" t="n"/>
      <c r="AY1847" s="1392" t="n"/>
      <c r="AZ1847" s="1392" t="n"/>
      <c r="BA1847" s="1392" t="n"/>
      <c r="BB1847" s="1422" t="n"/>
      <c r="BC1847" s="1392" t="n"/>
      <c r="BD1847" s="1392" t="n"/>
      <c r="BE1847" s="1392" t="n"/>
      <c r="BF1847" s="1392" t="n"/>
      <c r="BG1847" s="1392" t="n"/>
      <c r="BH1847" s="1392" t="n"/>
      <c r="BI1847" s="1392" t="n"/>
      <c r="BJ1847" s="1392" t="n"/>
      <c r="BK1847" s="1392" t="n"/>
      <c r="BL1847" s="1392" t="n"/>
      <c r="BM1847" s="1392" t="n"/>
      <c r="BN1847" s="1392" t="n"/>
      <c r="BO1847" s="1392" t="n"/>
      <c r="BP1847" s="1392" t="n"/>
      <c r="BQ1847" s="1392" t="n"/>
      <c r="BR1847" s="1392" t="n"/>
      <c r="BS1847" s="1392" t="n"/>
      <c r="BT1847" s="1392" t="n"/>
      <c r="BU1847" s="1416" t="n"/>
      <c r="BV1847" s="1392" t="n"/>
      <c r="BW1847" s="1392" t="n"/>
      <c r="BX1847" s="1392" t="n"/>
      <c r="BY1847" s="1392" t="n"/>
      <c r="BZ1847" s="1416" t="n"/>
      <c r="CA1847" s="1392" t="n"/>
      <c r="CB1847" s="1392" t="n"/>
      <c r="CC1847" s="1392" t="n"/>
      <c r="CD1847" s="1392" t="n"/>
      <c r="CE1847" s="1392" t="n"/>
      <c r="CF1847" s="1392" t="n"/>
      <c r="CG1847" s="1392" t="n"/>
      <c r="CH1847" s="1392" t="n"/>
      <c r="CI1847" s="1392" t="n"/>
      <c r="CJ1847" s="1392" t="n"/>
      <c r="CK1847" s="1392" t="n"/>
      <c r="CL1847" s="1392" t="n"/>
    </row>
    <row r="1848">
      <c r="A1848" s="5" t="inlineStr">
        <is>
          <t>.</t>
        </is>
      </c>
      <c r="B1848" s="5" t="inlineStr">
        <is>
          <t>.</t>
        </is>
      </c>
      <c r="C1848" s="1378">
        <f>IF(raw[[#This Row],[city]]="","-",IF(raw[[#This Row],[city]]="TODAY","-",C1847+1))</f>
        <v/>
      </c>
      <c r="D1848" s="1393" t="n"/>
      <c r="E1848" s="1394" t="n"/>
      <c r="F1848" s="1394" t="n"/>
      <c r="G1848" s="1393" t="n"/>
      <c r="H1848" s="1393" t="n"/>
      <c r="I1848" s="1393" t="n"/>
      <c r="J1848" s="1393" t="n"/>
      <c r="K1848" s="1395">
        <f>IF(raw[[#This Row],[city]]&lt;&gt;"",_xlfn.XLOOKUP($D1848,ccc[city],ccc[prov],"-"),"-")</f>
        <v/>
      </c>
      <c r="L1848" s="1395">
        <f>IF(raw[[#This Row],[city]]&lt;&gt;"",_xlfn.XLOOKUP($D1848,ccc[city],ccc[ctry],"-"),"-")</f>
        <v/>
      </c>
      <c r="M1848" s="1395">
        <f>IF(raw[[#This Row],[city]]&lt;&gt;"",_xlfn.XLOOKUP($D1848,ccc[city],ccc[cont],"-"),"-")</f>
        <v/>
      </c>
      <c r="N1848" s="1396">
        <f>IF(raw[[#This Row],[city]]="","-",IF(raw[[#This Row],[cont]]="B",raw[[#This Row],[cont]],"W"))</f>
        <v/>
      </c>
      <c r="O1848" s="1397">
        <f>IF(raw[[#This Row],[out]]=0,0,IF(raw[[#This Row],[out]]=raw[[#This Row],[in]],0.01,raw[[#This Row],[out]]-raw[[#This Row],[in]]))</f>
        <v/>
      </c>
      <c r="P1848" s="1397">
        <f>IF(raw[[#This Row],[in]]=0,0,MONTH(raw[[#This Row],[in]]))</f>
        <v/>
      </c>
      <c r="Q1848" s="1397">
        <f>IF(raw[[#This Row],[in]]=0,0,YEAR(raw[[#This Row],[in]]))</f>
        <v/>
      </c>
      <c r="R1848" s="1397">
        <f>INT(raw[[#This Row],[yr]]/10)*10</f>
        <v/>
      </c>
      <c r="S1848" s="1395">
        <f>IF(raw[[#This Row],[city]]="","-",IF(raw[[#This Row],[city]]&lt;&gt;_xlfn.XLOOKUP(raw[[#This Row],[home]],homes[home],homes[city],"-"),1,0))</f>
        <v/>
      </c>
      <c r="T1848" s="1398" t="inlineStr">
        <is>
          <t>.</t>
        </is>
      </c>
      <c r="U1848" s="1399">
        <f>IF(raw[[#This Row],[wb]]="w",raw[[#This Row],[stay]]+U1847,U1847)</f>
        <v/>
      </c>
      <c r="V1848" s="1400">
        <f>IF(raw[[#This Row],[out]]=0,V1847,(raw[[#This Row],[out]]-E$5))</f>
        <v/>
      </c>
      <c r="W1848" s="1401">
        <f>U1848/V1848</f>
        <v/>
      </c>
      <c r="X1848" s="1392" t="n"/>
      <c r="Y1848" s="1392" t="n"/>
      <c r="Z1848" s="1422" t="n"/>
      <c r="AA1848" s="1422" t="n"/>
      <c r="AB1848" s="1392" t="n"/>
      <c r="AC1848" s="1392" t="n"/>
      <c r="AD1848" s="1392" t="n"/>
      <c r="AE1848" s="1392" t="n"/>
      <c r="AF1848" s="1392" t="n"/>
      <c r="AG1848" s="1392" t="n"/>
      <c r="AH1848" s="1392" t="n"/>
      <c r="AI1848" s="1392" t="n"/>
      <c r="AJ1848" s="1392" t="n"/>
      <c r="AK1848" s="1392" t="n"/>
      <c r="AL1848" s="1392" t="n"/>
      <c r="AM1848" s="1392" t="n"/>
      <c r="AN1848" s="1392" t="n"/>
      <c r="AO1848" s="1392" t="n"/>
      <c r="AP1848" s="1392" t="n"/>
      <c r="AQ1848" s="1392" t="n"/>
      <c r="AR1848" s="1392" t="n"/>
      <c r="AS1848" s="1422" t="n"/>
      <c r="AT1848" s="1392" t="n"/>
      <c r="AU1848" s="1392" t="n"/>
      <c r="AV1848" s="1392" t="n"/>
      <c r="AW1848" s="1392" t="n"/>
      <c r="AX1848" s="1392" t="n"/>
      <c r="AY1848" s="1392" t="n"/>
      <c r="AZ1848" s="1392" t="n"/>
      <c r="BA1848" s="1392" t="n"/>
      <c r="BB1848" s="1422" t="n"/>
      <c r="BC1848" s="1392" t="n"/>
      <c r="BD1848" s="1392" t="n"/>
      <c r="BE1848" s="1392" t="n"/>
      <c r="BF1848" s="1392" t="n"/>
      <c r="BG1848" s="1392" t="n"/>
      <c r="BH1848" s="1392" t="n"/>
      <c r="BI1848" s="1392" t="n"/>
      <c r="BJ1848" s="1392" t="n"/>
      <c r="BK1848" s="1392" t="n"/>
      <c r="BL1848" s="1392" t="n"/>
      <c r="BM1848" s="1392" t="n"/>
      <c r="BN1848" s="1392" t="n"/>
      <c r="BO1848" s="1392" t="n"/>
      <c r="BP1848" s="1392" t="n"/>
      <c r="BQ1848" s="1392" t="n"/>
      <c r="BR1848" s="1392" t="n"/>
      <c r="BS1848" s="1392" t="n"/>
      <c r="BT1848" s="1392" t="n"/>
      <c r="BU1848" s="1416" t="n"/>
      <c r="BV1848" s="1392" t="n"/>
      <c r="BW1848" s="1392" t="n"/>
      <c r="BX1848" s="1392" t="n"/>
      <c r="BY1848" s="1392" t="n"/>
      <c r="BZ1848" s="1416" t="n"/>
      <c r="CA1848" s="1392" t="n"/>
      <c r="CB1848" s="1392" t="n"/>
      <c r="CC1848" s="1392" t="n"/>
      <c r="CD1848" s="1392" t="n"/>
      <c r="CE1848" s="1392" t="n"/>
      <c r="CF1848" s="1392" t="n"/>
      <c r="CG1848" s="1392" t="n"/>
      <c r="CH1848" s="1392" t="n"/>
      <c r="CI1848" s="1392" t="n"/>
      <c r="CJ1848" s="1392" t="n"/>
      <c r="CK1848" s="1392" t="n"/>
      <c r="CL1848" s="1392" t="n"/>
    </row>
    <row r="1849">
      <c r="A1849" s="5" t="inlineStr">
        <is>
          <t>.</t>
        </is>
      </c>
      <c r="B1849" s="5" t="inlineStr">
        <is>
          <t>.</t>
        </is>
      </c>
      <c r="C1849" s="1378">
        <f>IF(raw[[#This Row],[city]]="","-",IF(raw[[#This Row],[city]]="TODAY","-",C1848+1))</f>
        <v/>
      </c>
      <c r="D1849" s="1393" t="n"/>
      <c r="E1849" s="1394" t="n"/>
      <c r="F1849" s="1394" t="n"/>
      <c r="G1849" s="1393" t="n"/>
      <c r="H1849" s="1393" t="n"/>
      <c r="I1849" s="1393" t="n"/>
      <c r="J1849" s="1393" t="n"/>
      <c r="K1849" s="1395">
        <f>IF(raw[[#This Row],[city]]&lt;&gt;"",_xlfn.XLOOKUP($D1849,ccc[city],ccc[prov],"-"),"-")</f>
        <v/>
      </c>
      <c r="L1849" s="1395">
        <f>IF(raw[[#This Row],[city]]&lt;&gt;"",_xlfn.XLOOKUP($D1849,ccc[city],ccc[ctry],"-"),"-")</f>
        <v/>
      </c>
      <c r="M1849" s="1395">
        <f>IF(raw[[#This Row],[city]]&lt;&gt;"",_xlfn.XLOOKUP($D1849,ccc[city],ccc[cont],"-"),"-")</f>
        <v/>
      </c>
      <c r="N1849" s="1396">
        <f>IF(raw[[#This Row],[city]]="","-",IF(raw[[#This Row],[cont]]="B",raw[[#This Row],[cont]],"W"))</f>
        <v/>
      </c>
      <c r="O1849" s="1397">
        <f>IF(raw[[#This Row],[out]]=0,0,IF(raw[[#This Row],[out]]=raw[[#This Row],[in]],0.01,raw[[#This Row],[out]]-raw[[#This Row],[in]]))</f>
        <v/>
      </c>
      <c r="P1849" s="1397">
        <f>IF(raw[[#This Row],[in]]=0,0,MONTH(raw[[#This Row],[in]]))</f>
        <v/>
      </c>
      <c r="Q1849" s="1397">
        <f>IF(raw[[#This Row],[in]]=0,0,YEAR(raw[[#This Row],[in]]))</f>
        <v/>
      </c>
      <c r="R1849" s="1397">
        <f>INT(raw[[#This Row],[yr]]/10)*10</f>
        <v/>
      </c>
      <c r="S1849" s="1395">
        <f>IF(raw[[#This Row],[city]]="","-",IF(raw[[#This Row],[city]]&lt;&gt;_xlfn.XLOOKUP(raw[[#This Row],[home]],homes[home],homes[city],"-"),1,0))</f>
        <v/>
      </c>
      <c r="T1849" s="1398" t="inlineStr">
        <is>
          <t>.</t>
        </is>
      </c>
      <c r="U1849" s="1399">
        <f>IF(raw[[#This Row],[wb]]="w",raw[[#This Row],[stay]]+U1848,U1848)</f>
        <v/>
      </c>
      <c r="V1849" s="1400">
        <f>IF(raw[[#This Row],[out]]=0,V1848,(raw[[#This Row],[out]]-E$5))</f>
        <v/>
      </c>
      <c r="W1849" s="1401">
        <f>U1849/V1849</f>
        <v/>
      </c>
      <c r="X1849" s="1392" t="n"/>
      <c r="Y1849" s="1392" t="n"/>
      <c r="Z1849" s="1422" t="n"/>
      <c r="AA1849" s="1422" t="n"/>
      <c r="AB1849" s="1392" t="n"/>
      <c r="AC1849" s="1392" t="n"/>
      <c r="AD1849" s="1392" t="n"/>
      <c r="AE1849" s="1392" t="n"/>
      <c r="AF1849" s="1392" t="n"/>
      <c r="AG1849" s="1392" t="n"/>
      <c r="AH1849" s="1392" t="n"/>
      <c r="AI1849" s="1392" t="n"/>
      <c r="AJ1849" s="1392" t="n"/>
      <c r="AK1849" s="1392" t="n"/>
      <c r="AL1849" s="1392" t="n"/>
      <c r="AM1849" s="1392" t="n"/>
      <c r="AN1849" s="1392" t="n"/>
      <c r="AO1849" s="1392" t="n"/>
      <c r="AP1849" s="1392" t="n"/>
      <c r="AQ1849" s="1392" t="n"/>
      <c r="AR1849" s="1392" t="n"/>
      <c r="AS1849" s="1422" t="n"/>
      <c r="AT1849" s="1392" t="n"/>
      <c r="AU1849" s="1392" t="n"/>
      <c r="AV1849" s="1392" t="n"/>
      <c r="AW1849" s="1392" t="n"/>
      <c r="AX1849" s="1392" t="n"/>
      <c r="AY1849" s="1392" t="n"/>
      <c r="AZ1849" s="1392" t="n"/>
      <c r="BA1849" s="1392" t="n"/>
      <c r="BB1849" s="1422" t="n"/>
      <c r="BC1849" s="1392" t="n"/>
      <c r="BD1849" s="1392" t="n"/>
      <c r="BE1849" s="1392" t="n"/>
      <c r="BF1849" s="1392" t="n"/>
      <c r="BG1849" s="1392" t="n"/>
      <c r="BH1849" s="1392" t="n"/>
      <c r="BI1849" s="1392" t="n"/>
      <c r="BJ1849" s="1392" t="n"/>
      <c r="BK1849" s="1392" t="n"/>
      <c r="BL1849" s="1392" t="n"/>
      <c r="BM1849" s="1392" t="n"/>
      <c r="BN1849" s="1392" t="n"/>
      <c r="BO1849" s="1392" t="n"/>
      <c r="BP1849" s="1392" t="n"/>
      <c r="BQ1849" s="1392" t="n"/>
      <c r="BR1849" s="1392" t="n"/>
      <c r="BS1849" s="1392" t="n"/>
      <c r="BT1849" s="1392" t="n"/>
      <c r="BU1849" s="1416" t="n"/>
      <c r="BV1849" s="1392" t="n"/>
      <c r="BW1849" s="1392" t="n"/>
      <c r="BX1849" s="1392" t="n"/>
      <c r="BY1849" s="1392" t="n"/>
      <c r="BZ1849" s="1416" t="n"/>
      <c r="CA1849" s="1392" t="n"/>
      <c r="CB1849" s="1392" t="n"/>
      <c r="CC1849" s="1392" t="n"/>
      <c r="CD1849" s="1392" t="n"/>
      <c r="CE1849" s="1392" t="n"/>
      <c r="CF1849" s="1392" t="n"/>
      <c r="CG1849" s="1392" t="n"/>
      <c r="CH1849" s="1392" t="n"/>
      <c r="CI1849" s="1392" t="n"/>
      <c r="CJ1849" s="1392" t="n"/>
      <c r="CK1849" s="1392" t="n"/>
      <c r="CL1849" s="1392" t="n"/>
    </row>
    <row r="1850">
      <c r="A1850" s="5" t="inlineStr">
        <is>
          <t>.</t>
        </is>
      </c>
      <c r="B1850" s="5" t="inlineStr">
        <is>
          <t>.</t>
        </is>
      </c>
      <c r="C1850" s="1378">
        <f>IF(raw[[#This Row],[city]]="","-",IF(raw[[#This Row],[city]]="TODAY","-",C1849+1))</f>
        <v/>
      </c>
      <c r="D1850" s="1393" t="n"/>
      <c r="E1850" s="1394" t="n"/>
      <c r="F1850" s="1394" t="n"/>
      <c r="G1850" s="1393" t="n"/>
      <c r="H1850" s="1393" t="n"/>
      <c r="I1850" s="1393" t="n"/>
      <c r="J1850" s="1393" t="n"/>
      <c r="K1850" s="1395">
        <f>IF(raw[[#This Row],[city]]&lt;&gt;"",_xlfn.XLOOKUP($D1850,ccc[city],ccc[prov],"-"),"-")</f>
        <v/>
      </c>
      <c r="L1850" s="1395">
        <f>IF(raw[[#This Row],[city]]&lt;&gt;"",_xlfn.XLOOKUP($D1850,ccc[city],ccc[ctry],"-"),"-")</f>
        <v/>
      </c>
      <c r="M1850" s="1395">
        <f>IF(raw[[#This Row],[city]]&lt;&gt;"",_xlfn.XLOOKUP($D1850,ccc[city],ccc[cont],"-"),"-")</f>
        <v/>
      </c>
      <c r="N1850" s="1396">
        <f>IF(raw[[#This Row],[city]]="","-",IF(raw[[#This Row],[cont]]="B",raw[[#This Row],[cont]],"W"))</f>
        <v/>
      </c>
      <c r="O1850" s="1397">
        <f>IF(raw[[#This Row],[out]]=0,0,IF(raw[[#This Row],[out]]=raw[[#This Row],[in]],0.01,raw[[#This Row],[out]]-raw[[#This Row],[in]]))</f>
        <v/>
      </c>
      <c r="P1850" s="1397">
        <f>IF(raw[[#This Row],[in]]=0,0,MONTH(raw[[#This Row],[in]]))</f>
        <v/>
      </c>
      <c r="Q1850" s="1397">
        <f>IF(raw[[#This Row],[in]]=0,0,YEAR(raw[[#This Row],[in]]))</f>
        <v/>
      </c>
      <c r="R1850" s="1397">
        <f>INT(raw[[#This Row],[yr]]/10)*10</f>
        <v/>
      </c>
      <c r="S1850" s="1395">
        <f>IF(raw[[#This Row],[city]]="","-",IF(raw[[#This Row],[city]]&lt;&gt;_xlfn.XLOOKUP(raw[[#This Row],[home]],homes[home],homes[city],"-"),1,0))</f>
        <v/>
      </c>
      <c r="T1850" s="1398" t="inlineStr">
        <is>
          <t>.</t>
        </is>
      </c>
      <c r="U1850" s="1399">
        <f>IF(raw[[#This Row],[wb]]="w",raw[[#This Row],[stay]]+U1849,U1849)</f>
        <v/>
      </c>
      <c r="V1850" s="1400">
        <f>IF(raw[[#This Row],[out]]=0,V1849,(raw[[#This Row],[out]]-E$5))</f>
        <v/>
      </c>
      <c r="W1850" s="1401">
        <f>U1850/V1850</f>
        <v/>
      </c>
      <c r="X1850" s="1392" t="n"/>
      <c r="Y1850" s="1392" t="n"/>
      <c r="Z1850" s="1422" t="n"/>
      <c r="AA1850" s="1422" t="n"/>
      <c r="AB1850" s="1392" t="n"/>
      <c r="AC1850" s="1392" t="n"/>
      <c r="AD1850" s="1392" t="n"/>
      <c r="AE1850" s="1392" t="n"/>
      <c r="AF1850" s="1392" t="n"/>
      <c r="AG1850" s="1392" t="n"/>
      <c r="AH1850" s="1392" t="n"/>
      <c r="AI1850" s="1392" t="n"/>
      <c r="AJ1850" s="1392" t="n"/>
      <c r="AK1850" s="1392" t="n"/>
      <c r="AL1850" s="1392" t="n"/>
      <c r="AM1850" s="1392" t="n"/>
      <c r="AN1850" s="1392" t="n"/>
      <c r="AO1850" s="1392" t="n"/>
      <c r="AP1850" s="1392" t="n"/>
      <c r="AQ1850" s="1392" t="n"/>
      <c r="AR1850" s="1392" t="n"/>
      <c r="AS1850" s="1422" t="n"/>
      <c r="AT1850" s="1392" t="n"/>
      <c r="AU1850" s="1392" t="n"/>
      <c r="AV1850" s="1392" t="n"/>
      <c r="AW1850" s="1392" t="n"/>
      <c r="AX1850" s="1392" t="n"/>
      <c r="AY1850" s="1392" t="n"/>
      <c r="AZ1850" s="1392" t="n"/>
      <c r="BA1850" s="1392" t="n"/>
      <c r="BB1850" s="1422" t="n"/>
      <c r="BC1850" s="1392" t="n"/>
      <c r="BD1850" s="1392" t="n"/>
      <c r="BE1850" s="1392" t="n"/>
      <c r="BF1850" s="1392" t="n"/>
      <c r="BG1850" s="1392" t="n"/>
      <c r="BH1850" s="1392" t="n"/>
      <c r="BI1850" s="1392" t="n"/>
      <c r="BJ1850" s="1392" t="n"/>
      <c r="BK1850" s="1392" t="n"/>
      <c r="BL1850" s="1392" t="n"/>
      <c r="BM1850" s="1392" t="n"/>
      <c r="BN1850" s="1392" t="n"/>
      <c r="BO1850" s="1392" t="n"/>
      <c r="BP1850" s="1392" t="n"/>
      <c r="BQ1850" s="1392" t="n"/>
      <c r="BR1850" s="1392" t="n"/>
      <c r="BS1850" s="1392" t="n"/>
      <c r="BT1850" s="1392" t="n"/>
      <c r="BU1850" s="1416" t="n"/>
      <c r="BV1850" s="1392" t="n"/>
      <c r="BW1850" s="1392" t="n"/>
      <c r="BX1850" s="1392" t="n"/>
      <c r="BY1850" s="1392" t="n"/>
      <c r="BZ1850" s="1416" t="n"/>
      <c r="CA1850" s="1392" t="n"/>
      <c r="CB1850" s="1392" t="n"/>
      <c r="CC1850" s="1392" t="n"/>
      <c r="CD1850" s="1392" t="n"/>
      <c r="CE1850" s="1392" t="n"/>
      <c r="CF1850" s="1392" t="n"/>
      <c r="CG1850" s="1392" t="n"/>
      <c r="CH1850" s="1392" t="n"/>
      <c r="CI1850" s="1392" t="n"/>
      <c r="CJ1850" s="1392" t="n"/>
      <c r="CK1850" s="1392" t="n"/>
      <c r="CL1850" s="1392" t="n"/>
    </row>
    <row r="1851">
      <c r="A1851" s="5" t="inlineStr">
        <is>
          <t>.</t>
        </is>
      </c>
      <c r="B1851" s="5" t="inlineStr">
        <is>
          <t>.</t>
        </is>
      </c>
      <c r="C1851" s="1378">
        <f>IF(raw[[#This Row],[city]]="","-",IF(raw[[#This Row],[city]]="TODAY","-",C1850+1))</f>
        <v/>
      </c>
      <c r="D1851" s="1393" t="n"/>
      <c r="E1851" s="1394" t="n"/>
      <c r="F1851" s="1394" t="n"/>
      <c r="G1851" s="1393" t="n"/>
      <c r="H1851" s="1393" t="n"/>
      <c r="I1851" s="1393" t="n"/>
      <c r="J1851" s="1393" t="n"/>
      <c r="K1851" s="1395">
        <f>IF(raw[[#This Row],[city]]&lt;&gt;"",_xlfn.XLOOKUP($D1851,ccc[city],ccc[prov],"-"),"-")</f>
        <v/>
      </c>
      <c r="L1851" s="1395">
        <f>IF(raw[[#This Row],[city]]&lt;&gt;"",_xlfn.XLOOKUP($D1851,ccc[city],ccc[ctry],"-"),"-")</f>
        <v/>
      </c>
      <c r="M1851" s="1395">
        <f>IF(raw[[#This Row],[city]]&lt;&gt;"",_xlfn.XLOOKUP($D1851,ccc[city],ccc[cont],"-"),"-")</f>
        <v/>
      </c>
      <c r="N1851" s="1396">
        <f>IF(raw[[#This Row],[city]]="","-",IF(raw[[#This Row],[cont]]="B",raw[[#This Row],[cont]],"W"))</f>
        <v/>
      </c>
      <c r="O1851" s="1397">
        <f>IF(raw[[#This Row],[out]]=0,0,IF(raw[[#This Row],[out]]=raw[[#This Row],[in]],0.01,raw[[#This Row],[out]]-raw[[#This Row],[in]]))</f>
        <v/>
      </c>
      <c r="P1851" s="1397">
        <f>IF(raw[[#This Row],[in]]=0,0,MONTH(raw[[#This Row],[in]]))</f>
        <v/>
      </c>
      <c r="Q1851" s="1397">
        <f>IF(raw[[#This Row],[in]]=0,0,YEAR(raw[[#This Row],[in]]))</f>
        <v/>
      </c>
      <c r="R1851" s="1397">
        <f>INT(raw[[#This Row],[yr]]/10)*10</f>
        <v/>
      </c>
      <c r="S1851" s="1395">
        <f>IF(raw[[#This Row],[city]]="","-",IF(raw[[#This Row],[city]]&lt;&gt;_xlfn.XLOOKUP(raw[[#This Row],[home]],homes[home],homes[city],"-"),1,0))</f>
        <v/>
      </c>
      <c r="T1851" s="1398" t="inlineStr">
        <is>
          <t>.</t>
        </is>
      </c>
      <c r="U1851" s="1399">
        <f>IF(raw[[#This Row],[wb]]="w",raw[[#This Row],[stay]]+U1850,U1850)</f>
        <v/>
      </c>
      <c r="V1851" s="1400">
        <f>IF(raw[[#This Row],[out]]=0,V1850,(raw[[#This Row],[out]]-E$5))</f>
        <v/>
      </c>
      <c r="W1851" s="1401">
        <f>U1851/V1851</f>
        <v/>
      </c>
      <c r="X1851" s="1392" t="n"/>
      <c r="Y1851" s="1392" t="n"/>
      <c r="Z1851" s="1422" t="n"/>
      <c r="AA1851" s="1422" t="n"/>
      <c r="AB1851" s="1392" t="n"/>
      <c r="AC1851" s="1392" t="n"/>
      <c r="AD1851" s="1392" t="n"/>
      <c r="AE1851" s="1392" t="n"/>
      <c r="AF1851" s="1392" t="n"/>
      <c r="AG1851" s="1392" t="n"/>
      <c r="AH1851" s="1392" t="n"/>
      <c r="AI1851" s="1392" t="n"/>
      <c r="AJ1851" s="1392" t="n"/>
      <c r="AK1851" s="1392" t="n"/>
      <c r="AL1851" s="1392" t="n"/>
      <c r="AM1851" s="1392" t="n"/>
      <c r="AN1851" s="1392" t="n"/>
      <c r="AO1851" s="1392" t="n"/>
      <c r="AP1851" s="1392" t="n"/>
      <c r="AQ1851" s="1392" t="n"/>
      <c r="AR1851" s="1392" t="n"/>
      <c r="AS1851" s="1422" t="n"/>
      <c r="AT1851" s="1392" t="n"/>
      <c r="AU1851" s="1392" t="n"/>
      <c r="AV1851" s="1392" t="n"/>
      <c r="AW1851" s="1392" t="n"/>
      <c r="AX1851" s="1392" t="n"/>
      <c r="AY1851" s="1392" t="n"/>
      <c r="AZ1851" s="1392" t="n"/>
      <c r="BA1851" s="1392" t="n"/>
      <c r="BB1851" s="1422" t="n"/>
      <c r="BC1851" s="1392" t="n"/>
      <c r="BD1851" s="1392" t="n"/>
      <c r="BE1851" s="1392" t="n"/>
      <c r="BF1851" s="1392" t="n"/>
      <c r="BG1851" s="1392" t="n"/>
      <c r="BH1851" s="1392" t="n"/>
      <c r="BI1851" s="1392" t="n"/>
      <c r="BJ1851" s="1392" t="n"/>
      <c r="BK1851" s="1392" t="n"/>
      <c r="BL1851" s="1392" t="n"/>
      <c r="BM1851" s="1392" t="n"/>
      <c r="BN1851" s="1392" t="n"/>
      <c r="BO1851" s="1392" t="n"/>
      <c r="BP1851" s="1392" t="n"/>
      <c r="BQ1851" s="1392" t="n"/>
      <c r="BR1851" s="1392" t="n"/>
      <c r="BS1851" s="1392" t="n"/>
      <c r="BT1851" s="1392" t="n"/>
      <c r="BU1851" s="1416" t="n"/>
      <c r="BV1851" s="1392" t="n"/>
      <c r="BW1851" s="1392" t="n"/>
      <c r="BX1851" s="1392" t="n"/>
      <c r="BY1851" s="1392" t="n"/>
      <c r="BZ1851" s="1416" t="n"/>
      <c r="CA1851" s="1392" t="n"/>
      <c r="CB1851" s="1392" t="n"/>
      <c r="CC1851" s="1392" t="n"/>
      <c r="CD1851" s="1392" t="n"/>
      <c r="CE1851" s="1392" t="n"/>
      <c r="CF1851" s="1392" t="n"/>
      <c r="CG1851" s="1392" t="n"/>
      <c r="CH1851" s="1392" t="n"/>
      <c r="CI1851" s="1392" t="n"/>
      <c r="CJ1851" s="1392" t="n"/>
      <c r="CK1851" s="1392" t="n"/>
      <c r="CL1851" s="1392" t="n"/>
    </row>
    <row r="1852">
      <c r="A1852" s="5" t="inlineStr">
        <is>
          <t>.</t>
        </is>
      </c>
      <c r="B1852" s="5" t="inlineStr">
        <is>
          <t>.</t>
        </is>
      </c>
      <c r="C1852" s="1378">
        <f>IF(raw[[#This Row],[city]]="","-",IF(raw[[#This Row],[city]]="TODAY","-",C1851+1))</f>
        <v/>
      </c>
      <c r="D1852" s="1393" t="n"/>
      <c r="E1852" s="1394" t="n"/>
      <c r="F1852" s="1394" t="n"/>
      <c r="G1852" s="1393" t="n"/>
      <c r="H1852" s="1393" t="n"/>
      <c r="I1852" s="1393" t="n"/>
      <c r="J1852" s="1393" t="n"/>
      <c r="K1852" s="1395">
        <f>IF(raw[[#This Row],[city]]&lt;&gt;"",_xlfn.XLOOKUP($D1852,ccc[city],ccc[prov],"-"),"-")</f>
        <v/>
      </c>
      <c r="L1852" s="1395">
        <f>IF(raw[[#This Row],[city]]&lt;&gt;"",_xlfn.XLOOKUP($D1852,ccc[city],ccc[ctry],"-"),"-")</f>
        <v/>
      </c>
      <c r="M1852" s="1395">
        <f>IF(raw[[#This Row],[city]]&lt;&gt;"",_xlfn.XLOOKUP($D1852,ccc[city],ccc[cont],"-"),"-")</f>
        <v/>
      </c>
      <c r="N1852" s="1396">
        <f>IF(raw[[#This Row],[city]]="","-",IF(raw[[#This Row],[cont]]="B",raw[[#This Row],[cont]],"W"))</f>
        <v/>
      </c>
      <c r="O1852" s="1397">
        <f>IF(raw[[#This Row],[out]]=0,0,IF(raw[[#This Row],[out]]=raw[[#This Row],[in]],0.01,raw[[#This Row],[out]]-raw[[#This Row],[in]]))</f>
        <v/>
      </c>
      <c r="P1852" s="1397">
        <f>IF(raw[[#This Row],[in]]=0,0,MONTH(raw[[#This Row],[in]]))</f>
        <v/>
      </c>
      <c r="Q1852" s="1397">
        <f>IF(raw[[#This Row],[in]]=0,0,YEAR(raw[[#This Row],[in]]))</f>
        <v/>
      </c>
      <c r="R1852" s="1397">
        <f>INT(raw[[#This Row],[yr]]/10)*10</f>
        <v/>
      </c>
      <c r="S1852" s="1395">
        <f>IF(raw[[#This Row],[city]]="","-",IF(raw[[#This Row],[city]]&lt;&gt;_xlfn.XLOOKUP(raw[[#This Row],[home]],homes[home],homes[city],"-"),1,0))</f>
        <v/>
      </c>
      <c r="T1852" s="1398" t="inlineStr">
        <is>
          <t>.</t>
        </is>
      </c>
      <c r="U1852" s="1399">
        <f>IF(raw[[#This Row],[wb]]="w",raw[[#This Row],[stay]]+U1851,U1851)</f>
        <v/>
      </c>
      <c r="V1852" s="1400">
        <f>IF(raw[[#This Row],[out]]=0,V1851,(raw[[#This Row],[out]]-E$5))</f>
        <v/>
      </c>
      <c r="W1852" s="1401">
        <f>U1852/V1852</f>
        <v/>
      </c>
      <c r="X1852" s="1392" t="n"/>
      <c r="Y1852" s="1392" t="n"/>
      <c r="Z1852" s="1422" t="n"/>
      <c r="AA1852" s="1422" t="n"/>
      <c r="AB1852" s="1392" t="n"/>
      <c r="AC1852" s="1392" t="n"/>
      <c r="AD1852" s="1392" t="n"/>
      <c r="AE1852" s="1392" t="n"/>
      <c r="AF1852" s="1392" t="n"/>
      <c r="AG1852" s="1392" t="n"/>
      <c r="AH1852" s="1392" t="n"/>
      <c r="AI1852" s="1392" t="n"/>
      <c r="AJ1852" s="1392" t="n"/>
      <c r="AK1852" s="1392" t="n"/>
      <c r="AL1852" s="1392" t="n"/>
      <c r="AM1852" s="1392" t="n"/>
      <c r="AN1852" s="1392" t="n"/>
      <c r="AO1852" s="1392" t="n"/>
      <c r="AP1852" s="1392" t="n"/>
      <c r="AQ1852" s="1392" t="n"/>
      <c r="AR1852" s="1392" t="n"/>
      <c r="AS1852" s="1422" t="n"/>
      <c r="AT1852" s="1392" t="n"/>
      <c r="AU1852" s="1392" t="n"/>
      <c r="AV1852" s="1392" t="n"/>
      <c r="AW1852" s="1392" t="n"/>
      <c r="AX1852" s="1392" t="n"/>
      <c r="AY1852" s="1392" t="n"/>
      <c r="AZ1852" s="1392" t="n"/>
      <c r="BA1852" s="1392" t="n"/>
      <c r="BB1852" s="1422" t="n"/>
      <c r="BC1852" s="1392" t="n"/>
      <c r="BD1852" s="1392" t="n"/>
      <c r="BE1852" s="1392" t="n"/>
      <c r="BF1852" s="1392" t="n"/>
      <c r="BG1852" s="1392" t="n"/>
      <c r="BH1852" s="1392" t="n"/>
      <c r="BI1852" s="1392" t="n"/>
      <c r="BJ1852" s="1392" t="n"/>
      <c r="BK1852" s="1392" t="n"/>
      <c r="BL1852" s="1392" t="n"/>
      <c r="BM1852" s="1392" t="n"/>
      <c r="BN1852" s="1392" t="n"/>
      <c r="BO1852" s="1392" t="n"/>
      <c r="BP1852" s="1392" t="n"/>
      <c r="BQ1852" s="1392" t="n"/>
      <c r="BR1852" s="1392" t="n"/>
      <c r="BS1852" s="1392" t="n"/>
      <c r="BT1852" s="1392" t="n"/>
      <c r="BU1852" s="1416" t="n"/>
      <c r="BV1852" s="1392" t="n"/>
      <c r="BW1852" s="1392" t="n"/>
      <c r="BX1852" s="1392" t="n"/>
      <c r="BY1852" s="1392" t="n"/>
      <c r="BZ1852" s="1416" t="n"/>
      <c r="CA1852" s="1392" t="n"/>
      <c r="CB1852" s="1392" t="n"/>
      <c r="CC1852" s="1392" t="n"/>
      <c r="CD1852" s="1392" t="n"/>
      <c r="CE1852" s="1392" t="n"/>
      <c r="CF1852" s="1392" t="n"/>
      <c r="CG1852" s="1392" t="n"/>
      <c r="CH1852" s="1392" t="n"/>
      <c r="CI1852" s="1392" t="n"/>
      <c r="CJ1852" s="1392" t="n"/>
      <c r="CK1852" s="1392" t="n"/>
      <c r="CL1852" s="1392" t="n"/>
    </row>
    <row r="1853">
      <c r="A1853" s="5" t="inlineStr">
        <is>
          <t>.</t>
        </is>
      </c>
      <c r="B1853" s="5" t="inlineStr">
        <is>
          <t>.</t>
        </is>
      </c>
      <c r="C1853" s="1378">
        <f>IF(raw[[#This Row],[city]]="","-",IF(raw[[#This Row],[city]]="TODAY","-",C1852+1))</f>
        <v/>
      </c>
      <c r="D1853" s="1393" t="n"/>
      <c r="E1853" s="1394" t="n"/>
      <c r="F1853" s="1394" t="n"/>
      <c r="G1853" s="1393" t="n"/>
      <c r="H1853" s="1393" t="n"/>
      <c r="I1853" s="1393" t="n"/>
      <c r="J1853" s="1393" t="n"/>
      <c r="K1853" s="1395">
        <f>IF(raw[[#This Row],[city]]&lt;&gt;"",_xlfn.XLOOKUP($D1853,ccc[city],ccc[prov],"-"),"-")</f>
        <v/>
      </c>
      <c r="L1853" s="1395">
        <f>IF(raw[[#This Row],[city]]&lt;&gt;"",_xlfn.XLOOKUP($D1853,ccc[city],ccc[ctry],"-"),"-")</f>
        <v/>
      </c>
      <c r="M1853" s="1395">
        <f>IF(raw[[#This Row],[city]]&lt;&gt;"",_xlfn.XLOOKUP($D1853,ccc[city],ccc[cont],"-"),"-")</f>
        <v/>
      </c>
      <c r="N1853" s="1396">
        <f>IF(raw[[#This Row],[city]]="","-",IF(raw[[#This Row],[cont]]="B",raw[[#This Row],[cont]],"W"))</f>
        <v/>
      </c>
      <c r="O1853" s="1397">
        <f>IF(raw[[#This Row],[out]]=0,0,IF(raw[[#This Row],[out]]=raw[[#This Row],[in]],0.01,raw[[#This Row],[out]]-raw[[#This Row],[in]]))</f>
        <v/>
      </c>
      <c r="P1853" s="1397">
        <f>IF(raw[[#This Row],[in]]=0,0,MONTH(raw[[#This Row],[in]]))</f>
        <v/>
      </c>
      <c r="Q1853" s="1397">
        <f>IF(raw[[#This Row],[in]]=0,0,YEAR(raw[[#This Row],[in]]))</f>
        <v/>
      </c>
      <c r="R1853" s="1397">
        <f>INT(raw[[#This Row],[yr]]/10)*10</f>
        <v/>
      </c>
      <c r="S1853" s="1395">
        <f>IF(raw[[#This Row],[city]]="","-",IF(raw[[#This Row],[city]]&lt;&gt;_xlfn.XLOOKUP(raw[[#This Row],[home]],homes[home],homes[city],"-"),1,0))</f>
        <v/>
      </c>
      <c r="T1853" s="1398" t="inlineStr">
        <is>
          <t>.</t>
        </is>
      </c>
      <c r="U1853" s="1399">
        <f>IF(raw[[#This Row],[wb]]="w",raw[[#This Row],[stay]]+U1852,U1852)</f>
        <v/>
      </c>
      <c r="V1853" s="1400">
        <f>IF(raw[[#This Row],[out]]=0,V1852,(raw[[#This Row],[out]]-E$5))</f>
        <v/>
      </c>
      <c r="W1853" s="1401">
        <f>U1853/V1853</f>
        <v/>
      </c>
      <c r="X1853" s="1392" t="n"/>
      <c r="Y1853" s="1392" t="n"/>
      <c r="Z1853" s="1422" t="n"/>
      <c r="AA1853" s="1422" t="n"/>
      <c r="AB1853" s="1392" t="n"/>
      <c r="AC1853" s="1392" t="n"/>
      <c r="AD1853" s="1392" t="n"/>
      <c r="AE1853" s="1392" t="n"/>
      <c r="AF1853" s="1392" t="n"/>
      <c r="AG1853" s="1392" t="n"/>
      <c r="AH1853" s="1392" t="n"/>
      <c r="AI1853" s="1392" t="n"/>
      <c r="AJ1853" s="1392" t="n"/>
      <c r="AK1853" s="1392" t="n"/>
      <c r="AL1853" s="1392" t="n"/>
      <c r="AM1853" s="1392" t="n"/>
      <c r="AN1853" s="1392" t="n"/>
      <c r="AO1853" s="1392" t="n"/>
      <c r="AP1853" s="1392" t="n"/>
      <c r="AQ1853" s="1392" t="n"/>
      <c r="AR1853" s="1392" t="n"/>
      <c r="AS1853" s="1422" t="n"/>
      <c r="AT1853" s="1392" t="n"/>
      <c r="AU1853" s="1392" t="n"/>
      <c r="AV1853" s="1392" t="n"/>
      <c r="AW1853" s="1392" t="n"/>
      <c r="AX1853" s="1392" t="n"/>
      <c r="AY1853" s="1392" t="n"/>
      <c r="AZ1853" s="1392" t="n"/>
      <c r="BA1853" s="1392" t="n"/>
      <c r="BB1853" s="1422" t="n"/>
      <c r="BC1853" s="1392" t="n"/>
      <c r="BD1853" s="1392" t="n"/>
      <c r="BE1853" s="1392" t="n"/>
      <c r="BF1853" s="1392" t="n"/>
      <c r="BG1853" s="1392" t="n"/>
      <c r="BH1853" s="1392" t="n"/>
      <c r="BI1853" s="1392" t="n"/>
      <c r="BJ1853" s="1392" t="n"/>
      <c r="BK1853" s="1392" t="n"/>
      <c r="BL1853" s="1392" t="n"/>
      <c r="BM1853" s="1392" t="n"/>
      <c r="BN1853" s="1392" t="n"/>
      <c r="BO1853" s="1392" t="n"/>
      <c r="BP1853" s="1392" t="n"/>
      <c r="BQ1853" s="1392" t="n"/>
      <c r="BR1853" s="1392" t="n"/>
      <c r="BS1853" s="1392" t="n"/>
      <c r="BT1853" s="1392" t="n"/>
      <c r="BU1853" s="1416" t="n"/>
      <c r="BV1853" s="1392" t="n"/>
      <c r="BW1853" s="1392" t="n"/>
      <c r="BX1853" s="1392" t="n"/>
      <c r="BY1853" s="1392" t="n"/>
      <c r="BZ1853" s="1416" t="n"/>
      <c r="CA1853" s="1392" t="n"/>
      <c r="CB1853" s="1392" t="n"/>
      <c r="CC1853" s="1392" t="n"/>
      <c r="CD1853" s="1392" t="n"/>
      <c r="CE1853" s="1392" t="n"/>
      <c r="CF1853" s="1392" t="n"/>
      <c r="CG1853" s="1392" t="n"/>
      <c r="CH1853" s="1392" t="n"/>
      <c r="CI1853" s="1392" t="n"/>
      <c r="CJ1853" s="1392" t="n"/>
      <c r="CK1853" s="1392" t="n"/>
      <c r="CL1853" s="1392" t="n"/>
    </row>
    <row r="1854">
      <c r="A1854" s="5" t="inlineStr">
        <is>
          <t>.</t>
        </is>
      </c>
      <c r="B1854" s="5" t="inlineStr">
        <is>
          <t>.</t>
        </is>
      </c>
      <c r="C1854" s="1378">
        <f>IF(raw[[#This Row],[city]]="","-",IF(raw[[#This Row],[city]]="TODAY","-",C1853+1))</f>
        <v/>
      </c>
      <c r="D1854" s="1393" t="n"/>
      <c r="E1854" s="1394" t="n"/>
      <c r="F1854" s="1394" t="n"/>
      <c r="G1854" s="1393" t="n"/>
      <c r="H1854" s="1393" t="n"/>
      <c r="I1854" s="1393" t="n"/>
      <c r="J1854" s="1393" t="n"/>
      <c r="K1854" s="1395">
        <f>IF(raw[[#This Row],[city]]&lt;&gt;"",_xlfn.XLOOKUP($D1854,ccc[city],ccc[prov],"-"),"-")</f>
        <v/>
      </c>
      <c r="L1854" s="1395">
        <f>IF(raw[[#This Row],[city]]&lt;&gt;"",_xlfn.XLOOKUP($D1854,ccc[city],ccc[ctry],"-"),"-")</f>
        <v/>
      </c>
      <c r="M1854" s="1395">
        <f>IF(raw[[#This Row],[city]]&lt;&gt;"",_xlfn.XLOOKUP($D1854,ccc[city],ccc[cont],"-"),"-")</f>
        <v/>
      </c>
      <c r="N1854" s="1396">
        <f>IF(raw[[#This Row],[city]]="","-",IF(raw[[#This Row],[cont]]="B",raw[[#This Row],[cont]],"W"))</f>
        <v/>
      </c>
      <c r="O1854" s="1397">
        <f>IF(raw[[#This Row],[out]]=0,0,IF(raw[[#This Row],[out]]=raw[[#This Row],[in]],0.01,raw[[#This Row],[out]]-raw[[#This Row],[in]]))</f>
        <v/>
      </c>
      <c r="P1854" s="1397">
        <f>IF(raw[[#This Row],[in]]=0,0,MONTH(raw[[#This Row],[in]]))</f>
        <v/>
      </c>
      <c r="Q1854" s="1397">
        <f>IF(raw[[#This Row],[in]]=0,0,YEAR(raw[[#This Row],[in]]))</f>
        <v/>
      </c>
      <c r="R1854" s="1397">
        <f>INT(raw[[#This Row],[yr]]/10)*10</f>
        <v/>
      </c>
      <c r="S1854" s="1395">
        <f>IF(raw[[#This Row],[city]]="","-",IF(raw[[#This Row],[city]]&lt;&gt;_xlfn.XLOOKUP(raw[[#This Row],[home]],homes[home],homes[city],"-"),1,0))</f>
        <v/>
      </c>
      <c r="T1854" s="1398" t="inlineStr">
        <is>
          <t>.</t>
        </is>
      </c>
      <c r="U1854" s="1399">
        <f>IF(raw[[#This Row],[wb]]="w",raw[[#This Row],[stay]]+U1853,U1853)</f>
        <v/>
      </c>
      <c r="V1854" s="1400">
        <f>IF(raw[[#This Row],[out]]=0,V1853,(raw[[#This Row],[out]]-E$5))</f>
        <v/>
      </c>
      <c r="W1854" s="1401">
        <f>U1854/V1854</f>
        <v/>
      </c>
      <c r="X1854" s="1392" t="n"/>
      <c r="Y1854" s="1392" t="n"/>
      <c r="Z1854" s="1422" t="n"/>
      <c r="AA1854" s="1422" t="n"/>
      <c r="AB1854" s="1392" t="n"/>
      <c r="AC1854" s="1392" t="n"/>
      <c r="AD1854" s="1392" t="n"/>
      <c r="AE1854" s="1392" t="n"/>
      <c r="AF1854" s="1392" t="n"/>
      <c r="AG1854" s="1392" t="n"/>
      <c r="AH1854" s="1392" t="n"/>
      <c r="AI1854" s="1392" t="n"/>
      <c r="AJ1854" s="1392" t="n"/>
      <c r="AK1854" s="1392" t="n"/>
      <c r="AL1854" s="1392" t="n"/>
      <c r="AM1854" s="1392" t="n"/>
      <c r="AN1854" s="1392" t="n"/>
      <c r="AO1854" s="1392" t="n"/>
      <c r="AP1854" s="1392" t="n"/>
      <c r="AQ1854" s="1392" t="n"/>
      <c r="AR1854" s="1392" t="n"/>
      <c r="AS1854" s="1422" t="n"/>
      <c r="AT1854" s="1392" t="n"/>
      <c r="AU1854" s="1392" t="n"/>
      <c r="AV1854" s="1392" t="n"/>
      <c r="AW1854" s="1392" t="n"/>
      <c r="AX1854" s="1392" t="n"/>
      <c r="AY1854" s="1392" t="n"/>
      <c r="AZ1854" s="1392" t="n"/>
      <c r="BA1854" s="1392" t="n"/>
      <c r="BB1854" s="1422" t="n"/>
      <c r="BC1854" s="1392" t="n"/>
      <c r="BD1854" s="1392" t="n"/>
      <c r="BE1854" s="1392" t="n"/>
      <c r="BF1854" s="1392" t="n"/>
      <c r="BG1854" s="1392" t="n"/>
      <c r="BH1854" s="1392" t="n"/>
      <c r="BI1854" s="1392" t="n"/>
      <c r="BJ1854" s="1392" t="n"/>
      <c r="BK1854" s="1392" t="n"/>
      <c r="BL1854" s="1392" t="n"/>
      <c r="BM1854" s="1392" t="n"/>
      <c r="BN1854" s="1392" t="n"/>
      <c r="BO1854" s="1392" t="n"/>
      <c r="BP1854" s="1392" t="n"/>
      <c r="BQ1854" s="1392" t="n"/>
      <c r="BR1854" s="1392" t="n"/>
      <c r="BS1854" s="1392" t="n"/>
      <c r="BT1854" s="1392" t="n"/>
      <c r="BU1854" s="1416" t="n"/>
      <c r="BV1854" s="1392" t="n"/>
      <c r="BW1854" s="1392" t="n"/>
      <c r="BX1854" s="1392" t="n"/>
      <c r="BY1854" s="1392" t="n"/>
      <c r="BZ1854" s="1416" t="n"/>
      <c r="CA1854" s="1392" t="n"/>
      <c r="CB1854" s="1392" t="n"/>
      <c r="CC1854" s="1392" t="n"/>
      <c r="CD1854" s="1392" t="n"/>
      <c r="CE1854" s="1392" t="n"/>
      <c r="CF1854" s="1392" t="n"/>
      <c r="CG1854" s="1392" t="n"/>
      <c r="CH1854" s="1392" t="n"/>
      <c r="CI1854" s="1392" t="n"/>
      <c r="CJ1854" s="1392" t="n"/>
      <c r="CK1854" s="1392" t="n"/>
      <c r="CL1854" s="1392" t="n"/>
    </row>
    <row r="1855">
      <c r="A1855" s="5" t="inlineStr">
        <is>
          <t>.</t>
        </is>
      </c>
      <c r="B1855" s="5" t="inlineStr">
        <is>
          <t>.</t>
        </is>
      </c>
      <c r="C1855" s="1378">
        <f>IF(raw[[#This Row],[city]]="","-",IF(raw[[#This Row],[city]]="TODAY","-",C1854+1))</f>
        <v/>
      </c>
      <c r="D1855" s="1393" t="n"/>
      <c r="E1855" s="1394" t="n"/>
      <c r="F1855" s="1394" t="n"/>
      <c r="G1855" s="1393" t="n"/>
      <c r="H1855" s="1393" t="n"/>
      <c r="I1855" s="1393" t="n"/>
      <c r="J1855" s="1393" t="n"/>
      <c r="K1855" s="1395">
        <f>IF(raw[[#This Row],[city]]&lt;&gt;"",_xlfn.XLOOKUP($D1855,ccc[city],ccc[prov],"-"),"-")</f>
        <v/>
      </c>
      <c r="L1855" s="1395">
        <f>IF(raw[[#This Row],[city]]&lt;&gt;"",_xlfn.XLOOKUP($D1855,ccc[city],ccc[ctry],"-"),"-")</f>
        <v/>
      </c>
      <c r="M1855" s="1395">
        <f>IF(raw[[#This Row],[city]]&lt;&gt;"",_xlfn.XLOOKUP($D1855,ccc[city],ccc[cont],"-"),"-")</f>
        <v/>
      </c>
      <c r="N1855" s="1396">
        <f>IF(raw[[#This Row],[city]]="","-",IF(raw[[#This Row],[cont]]="B",raw[[#This Row],[cont]],"W"))</f>
        <v/>
      </c>
      <c r="O1855" s="1397">
        <f>IF(raw[[#This Row],[out]]=0,0,IF(raw[[#This Row],[out]]=raw[[#This Row],[in]],0.01,raw[[#This Row],[out]]-raw[[#This Row],[in]]))</f>
        <v/>
      </c>
      <c r="P1855" s="1397">
        <f>IF(raw[[#This Row],[in]]=0,0,MONTH(raw[[#This Row],[in]]))</f>
        <v/>
      </c>
      <c r="Q1855" s="1397">
        <f>IF(raw[[#This Row],[in]]=0,0,YEAR(raw[[#This Row],[in]]))</f>
        <v/>
      </c>
      <c r="R1855" s="1397">
        <f>INT(raw[[#This Row],[yr]]/10)*10</f>
        <v/>
      </c>
      <c r="S1855" s="1395">
        <f>IF(raw[[#This Row],[city]]="","-",IF(raw[[#This Row],[city]]&lt;&gt;_xlfn.XLOOKUP(raw[[#This Row],[home]],homes[home],homes[city],"-"),1,0))</f>
        <v/>
      </c>
      <c r="T1855" s="1398" t="inlineStr">
        <is>
          <t>.</t>
        </is>
      </c>
      <c r="U1855" s="1399">
        <f>IF(raw[[#This Row],[wb]]="w",raw[[#This Row],[stay]]+U1854,U1854)</f>
        <v/>
      </c>
      <c r="V1855" s="1400">
        <f>IF(raw[[#This Row],[out]]=0,V1854,(raw[[#This Row],[out]]-E$5))</f>
        <v/>
      </c>
      <c r="W1855" s="1401">
        <f>U1855/V1855</f>
        <v/>
      </c>
      <c r="X1855" s="1392" t="n"/>
      <c r="Y1855" s="1392" t="n"/>
      <c r="Z1855" s="1422" t="n"/>
      <c r="AA1855" s="1422" t="n"/>
      <c r="AB1855" s="1392" t="n"/>
      <c r="AC1855" s="1392" t="n"/>
      <c r="AD1855" s="1392" t="n"/>
      <c r="AE1855" s="1392" t="n"/>
      <c r="AF1855" s="1392" t="n"/>
      <c r="AG1855" s="1392" t="n"/>
      <c r="AH1855" s="1392" t="n"/>
      <c r="AI1855" s="1392" t="n"/>
      <c r="AJ1855" s="1392" t="n"/>
      <c r="AK1855" s="1392" t="n"/>
      <c r="AL1855" s="1392" t="n"/>
      <c r="AM1855" s="1392" t="n"/>
      <c r="AN1855" s="1392" t="n"/>
      <c r="AO1855" s="1392" t="n"/>
      <c r="AP1855" s="1392" t="n"/>
      <c r="AQ1855" s="1392" t="n"/>
      <c r="AR1855" s="1392" t="n"/>
      <c r="AS1855" s="1422" t="n"/>
      <c r="AT1855" s="1392" t="n"/>
      <c r="AU1855" s="1392" t="n"/>
      <c r="AV1855" s="1392" t="n"/>
      <c r="AW1855" s="1392" t="n"/>
      <c r="AX1855" s="1392" t="n"/>
      <c r="AY1855" s="1392" t="n"/>
      <c r="AZ1855" s="1392" t="n"/>
      <c r="BA1855" s="1392" t="n"/>
      <c r="BB1855" s="1422" t="n"/>
      <c r="BC1855" s="1392" t="n"/>
      <c r="BD1855" s="1392" t="n"/>
      <c r="BE1855" s="1392" t="n"/>
      <c r="BF1855" s="1392" t="n"/>
      <c r="BG1855" s="1392" t="n"/>
      <c r="BH1855" s="1392" t="n"/>
      <c r="BI1855" s="1392" t="n"/>
      <c r="BJ1855" s="1392" t="n"/>
      <c r="BK1855" s="1392" t="n"/>
      <c r="BL1855" s="1392" t="n"/>
      <c r="BM1855" s="1392" t="n"/>
      <c r="BN1855" s="1392" t="n"/>
      <c r="BO1855" s="1392" t="n"/>
      <c r="BP1855" s="1392" t="n"/>
      <c r="BQ1855" s="1392" t="n"/>
      <c r="BR1855" s="1392" t="n"/>
      <c r="BS1855" s="1392" t="n"/>
      <c r="BT1855" s="1392" t="n"/>
      <c r="BU1855" s="1416" t="n"/>
      <c r="BV1855" s="1392" t="n"/>
      <c r="BW1855" s="1392" t="n"/>
      <c r="BX1855" s="1392" t="n"/>
      <c r="BY1855" s="1392" t="n"/>
      <c r="BZ1855" s="1416" t="n"/>
      <c r="CA1855" s="1392" t="n"/>
      <c r="CB1855" s="1392" t="n"/>
      <c r="CC1855" s="1392" t="n"/>
      <c r="CD1855" s="1392" t="n"/>
      <c r="CE1855" s="1392" t="n"/>
      <c r="CF1855" s="1392" t="n"/>
      <c r="CG1855" s="1392" t="n"/>
      <c r="CH1855" s="1392" t="n"/>
      <c r="CI1855" s="1392" t="n"/>
      <c r="CJ1855" s="1392" t="n"/>
      <c r="CK1855" s="1392" t="n"/>
      <c r="CL1855" s="1392" t="n"/>
    </row>
    <row r="1856">
      <c r="A1856" s="5" t="inlineStr">
        <is>
          <t>.</t>
        </is>
      </c>
      <c r="B1856" s="5" t="inlineStr">
        <is>
          <t>.</t>
        </is>
      </c>
      <c r="C1856" s="1378">
        <f>IF(raw[[#This Row],[city]]="","-",IF(raw[[#This Row],[city]]="TODAY","-",C1855+1))</f>
        <v/>
      </c>
      <c r="D1856" s="1393" t="n"/>
      <c r="E1856" s="1394" t="n"/>
      <c r="F1856" s="1394" t="n"/>
      <c r="G1856" s="1393" t="n"/>
      <c r="H1856" s="1393" t="n"/>
      <c r="I1856" s="1393" t="n"/>
      <c r="J1856" s="1393" t="n"/>
      <c r="K1856" s="1395">
        <f>IF(raw[[#This Row],[city]]&lt;&gt;"",_xlfn.XLOOKUP($D1856,ccc[city],ccc[prov],"-"),"-")</f>
        <v/>
      </c>
      <c r="L1856" s="1395">
        <f>IF(raw[[#This Row],[city]]&lt;&gt;"",_xlfn.XLOOKUP($D1856,ccc[city],ccc[ctry],"-"),"-")</f>
        <v/>
      </c>
      <c r="M1856" s="1395">
        <f>IF(raw[[#This Row],[city]]&lt;&gt;"",_xlfn.XLOOKUP($D1856,ccc[city],ccc[cont],"-"),"-")</f>
        <v/>
      </c>
      <c r="N1856" s="1396">
        <f>IF(raw[[#This Row],[city]]="","-",IF(raw[[#This Row],[cont]]="B",raw[[#This Row],[cont]],"W"))</f>
        <v/>
      </c>
      <c r="O1856" s="1397">
        <f>IF(raw[[#This Row],[out]]=0,0,IF(raw[[#This Row],[out]]=raw[[#This Row],[in]],0.01,raw[[#This Row],[out]]-raw[[#This Row],[in]]))</f>
        <v/>
      </c>
      <c r="P1856" s="1397">
        <f>IF(raw[[#This Row],[in]]=0,0,MONTH(raw[[#This Row],[in]]))</f>
        <v/>
      </c>
      <c r="Q1856" s="1397">
        <f>IF(raw[[#This Row],[in]]=0,0,YEAR(raw[[#This Row],[in]]))</f>
        <v/>
      </c>
      <c r="R1856" s="1397">
        <f>INT(raw[[#This Row],[yr]]/10)*10</f>
        <v/>
      </c>
      <c r="S1856" s="1395">
        <f>IF(raw[[#This Row],[city]]="","-",IF(raw[[#This Row],[city]]&lt;&gt;_xlfn.XLOOKUP(raw[[#This Row],[home]],homes[home],homes[city],"-"),1,0))</f>
        <v/>
      </c>
      <c r="T1856" s="1398" t="inlineStr">
        <is>
          <t>.</t>
        </is>
      </c>
      <c r="U1856" s="1399">
        <f>IF(raw[[#This Row],[wb]]="w",raw[[#This Row],[stay]]+U1855,U1855)</f>
        <v/>
      </c>
      <c r="V1856" s="1400">
        <f>IF(raw[[#This Row],[out]]=0,V1855,(raw[[#This Row],[out]]-E$5))</f>
        <v/>
      </c>
      <c r="W1856" s="1401">
        <f>U1856/V1856</f>
        <v/>
      </c>
      <c r="X1856" s="1392" t="n"/>
      <c r="Y1856" s="1392" t="n"/>
      <c r="Z1856" s="1422" t="n"/>
      <c r="AA1856" s="1422" t="n"/>
      <c r="AB1856" s="1392" t="n"/>
      <c r="AC1856" s="1392" t="n"/>
      <c r="AD1856" s="1392" t="n"/>
      <c r="AE1856" s="1392" t="n"/>
      <c r="AF1856" s="1392" t="n"/>
      <c r="AG1856" s="1392" t="n"/>
      <c r="AH1856" s="1392" t="n"/>
      <c r="AI1856" s="1392" t="n"/>
      <c r="AJ1856" s="1392" t="n"/>
      <c r="AK1856" s="1392" t="n"/>
      <c r="AL1856" s="1392" t="n"/>
      <c r="AM1856" s="1392" t="n"/>
      <c r="AN1856" s="1392" t="n"/>
      <c r="AO1856" s="1392" t="n"/>
      <c r="AP1856" s="1392" t="n"/>
      <c r="AQ1856" s="1392" t="n"/>
      <c r="AR1856" s="1392" t="n"/>
      <c r="AS1856" s="1422" t="n"/>
      <c r="AT1856" s="1392" t="n"/>
      <c r="AU1856" s="1392" t="n"/>
      <c r="AV1856" s="1392" t="n"/>
      <c r="AW1856" s="1392" t="n"/>
      <c r="AX1856" s="1392" t="n"/>
      <c r="AY1856" s="1392" t="n"/>
      <c r="AZ1856" s="1392" t="n"/>
      <c r="BA1856" s="1392" t="n"/>
      <c r="BB1856" s="1422" t="n"/>
      <c r="BC1856" s="1392" t="n"/>
      <c r="BD1856" s="1392" t="n"/>
      <c r="BE1856" s="1392" t="n"/>
      <c r="BF1856" s="1392" t="n"/>
      <c r="BG1856" s="1392" t="n"/>
      <c r="BH1856" s="1392" t="n"/>
      <c r="BI1856" s="1392" t="n"/>
      <c r="BJ1856" s="1392" t="n"/>
      <c r="BK1856" s="1392" t="n"/>
      <c r="BL1856" s="1392" t="n"/>
      <c r="BM1856" s="1392" t="n"/>
      <c r="BN1856" s="1392" t="n"/>
      <c r="BO1856" s="1392" t="n"/>
      <c r="BP1856" s="1392" t="n"/>
      <c r="BQ1856" s="1392" t="n"/>
      <c r="BR1856" s="1392" t="n"/>
      <c r="BS1856" s="1392" t="n"/>
      <c r="BT1856" s="1392" t="n"/>
      <c r="BU1856" s="1416" t="n"/>
      <c r="BV1856" s="1392" t="n"/>
      <c r="BW1856" s="1392" t="n"/>
      <c r="BX1856" s="1392" t="n"/>
      <c r="BY1856" s="1392" t="n"/>
      <c r="BZ1856" s="1416" t="n"/>
      <c r="CA1856" s="1392" t="n"/>
      <c r="CB1856" s="1392" t="n"/>
      <c r="CC1856" s="1392" t="n"/>
      <c r="CD1856" s="1392" t="n"/>
      <c r="CE1856" s="1392" t="n"/>
      <c r="CF1856" s="1392" t="n"/>
      <c r="CG1856" s="1392" t="n"/>
      <c r="CH1856" s="1392" t="n"/>
      <c r="CI1856" s="1392" t="n"/>
      <c r="CJ1856" s="1392" t="n"/>
      <c r="CK1856" s="1392" t="n"/>
      <c r="CL1856" s="1392" t="n"/>
    </row>
    <row r="1857">
      <c r="A1857" s="5" t="inlineStr">
        <is>
          <t>.</t>
        </is>
      </c>
      <c r="B1857" s="5" t="inlineStr">
        <is>
          <t>.</t>
        </is>
      </c>
      <c r="C1857" s="1378">
        <f>IF(raw[[#This Row],[city]]="","-",IF(raw[[#This Row],[city]]="TODAY","-",C1856+1))</f>
        <v/>
      </c>
      <c r="D1857" s="1393" t="n"/>
      <c r="E1857" s="1394" t="n"/>
      <c r="F1857" s="1394" t="n"/>
      <c r="G1857" s="1393" t="n"/>
      <c r="H1857" s="1393" t="n"/>
      <c r="I1857" s="1393" t="n"/>
      <c r="J1857" s="1393" t="n"/>
      <c r="K1857" s="1395">
        <f>IF(raw[[#This Row],[city]]&lt;&gt;"",_xlfn.XLOOKUP($D1857,ccc[city],ccc[prov],"-"),"-")</f>
        <v/>
      </c>
      <c r="L1857" s="1395">
        <f>IF(raw[[#This Row],[city]]&lt;&gt;"",_xlfn.XLOOKUP($D1857,ccc[city],ccc[ctry],"-"),"-")</f>
        <v/>
      </c>
      <c r="M1857" s="1395">
        <f>IF(raw[[#This Row],[city]]&lt;&gt;"",_xlfn.XLOOKUP($D1857,ccc[city],ccc[cont],"-"),"-")</f>
        <v/>
      </c>
      <c r="N1857" s="1396">
        <f>IF(raw[[#This Row],[city]]="","-",IF(raw[[#This Row],[cont]]="B",raw[[#This Row],[cont]],"W"))</f>
        <v/>
      </c>
      <c r="O1857" s="1397">
        <f>IF(raw[[#This Row],[out]]=0,0,IF(raw[[#This Row],[out]]=raw[[#This Row],[in]],0.01,raw[[#This Row],[out]]-raw[[#This Row],[in]]))</f>
        <v/>
      </c>
      <c r="P1857" s="1397">
        <f>IF(raw[[#This Row],[in]]=0,0,MONTH(raw[[#This Row],[in]]))</f>
        <v/>
      </c>
      <c r="Q1857" s="1397">
        <f>IF(raw[[#This Row],[in]]=0,0,YEAR(raw[[#This Row],[in]]))</f>
        <v/>
      </c>
      <c r="R1857" s="1397">
        <f>INT(raw[[#This Row],[yr]]/10)*10</f>
        <v/>
      </c>
      <c r="S1857" s="1395">
        <f>IF(raw[[#This Row],[city]]="","-",IF(raw[[#This Row],[city]]&lt;&gt;_xlfn.XLOOKUP(raw[[#This Row],[home]],homes[home],homes[city],"-"),1,0))</f>
        <v/>
      </c>
      <c r="T1857" s="1398" t="inlineStr">
        <is>
          <t>.</t>
        </is>
      </c>
      <c r="U1857" s="1399">
        <f>IF(raw[[#This Row],[wb]]="w",raw[[#This Row],[stay]]+U1856,U1856)</f>
        <v/>
      </c>
      <c r="V1857" s="1400">
        <f>IF(raw[[#This Row],[out]]=0,V1856,(raw[[#This Row],[out]]-E$5))</f>
        <v/>
      </c>
      <c r="W1857" s="1401">
        <f>U1857/V1857</f>
        <v/>
      </c>
      <c r="X1857" s="1392" t="n"/>
      <c r="Y1857" s="1392" t="n"/>
      <c r="Z1857" s="1422" t="n"/>
      <c r="AA1857" s="1422" t="n"/>
      <c r="AB1857" s="1392" t="n"/>
      <c r="AC1857" s="1392" t="n"/>
      <c r="AD1857" s="1392" t="n"/>
      <c r="AE1857" s="1392" t="n"/>
      <c r="AF1857" s="1392" t="n"/>
      <c r="AG1857" s="1392" t="n"/>
      <c r="AH1857" s="1392" t="n"/>
      <c r="AI1857" s="1392" t="n"/>
      <c r="AJ1857" s="1392" t="n"/>
      <c r="AK1857" s="1392" t="n"/>
      <c r="AL1857" s="1392" t="n"/>
      <c r="AM1857" s="1392" t="n"/>
      <c r="AN1857" s="1392" t="n"/>
      <c r="AO1857" s="1392" t="n"/>
      <c r="AP1857" s="1392" t="n"/>
      <c r="AQ1857" s="1392" t="n"/>
      <c r="AR1857" s="1392" t="n"/>
      <c r="AS1857" s="1422" t="n"/>
      <c r="AT1857" s="1392" t="n"/>
      <c r="AU1857" s="1392" t="n"/>
      <c r="AV1857" s="1392" t="n"/>
      <c r="AW1857" s="1392" t="n"/>
      <c r="AX1857" s="1392" t="n"/>
      <c r="AY1857" s="1392" t="n"/>
      <c r="AZ1857" s="1392" t="n"/>
      <c r="BA1857" s="1392" t="n"/>
      <c r="BB1857" s="1422" t="n"/>
      <c r="BC1857" s="1392" t="n"/>
      <c r="BD1857" s="1392" t="n"/>
      <c r="BE1857" s="1392" t="n"/>
      <c r="BF1857" s="1392" t="n"/>
      <c r="BG1857" s="1392" t="n"/>
      <c r="BH1857" s="1392" t="n"/>
      <c r="BI1857" s="1392" t="n"/>
      <c r="BJ1857" s="1392" t="n"/>
      <c r="BK1857" s="1392" t="n"/>
      <c r="BL1857" s="1392" t="n"/>
      <c r="BM1857" s="1392" t="n"/>
      <c r="BN1857" s="1392" t="n"/>
      <c r="BO1857" s="1392" t="n"/>
      <c r="BP1857" s="1392" t="n"/>
      <c r="BQ1857" s="1392" t="n"/>
      <c r="BR1857" s="1392" t="n"/>
      <c r="BS1857" s="1392" t="n"/>
      <c r="BT1857" s="1392" t="n"/>
      <c r="BU1857" s="1416" t="n"/>
      <c r="BV1857" s="1392" t="n"/>
      <c r="BW1857" s="1392" t="n"/>
      <c r="BX1857" s="1392" t="n"/>
      <c r="BY1857" s="1392" t="n"/>
      <c r="BZ1857" s="1416" t="n"/>
      <c r="CA1857" s="1392" t="n"/>
      <c r="CB1857" s="1392" t="n"/>
      <c r="CC1857" s="1392" t="n"/>
      <c r="CD1857" s="1392" t="n"/>
      <c r="CE1857" s="1392" t="n"/>
      <c r="CF1857" s="1392" t="n"/>
      <c r="CG1857" s="1392" t="n"/>
      <c r="CH1857" s="1392" t="n"/>
      <c r="CI1857" s="1392" t="n"/>
      <c r="CJ1857" s="1392" t="n"/>
      <c r="CK1857" s="1392" t="n"/>
      <c r="CL1857" s="1392" t="n"/>
    </row>
    <row r="1858">
      <c r="A1858" s="5" t="inlineStr">
        <is>
          <t>.</t>
        </is>
      </c>
      <c r="B1858" s="5" t="inlineStr">
        <is>
          <t>.</t>
        </is>
      </c>
      <c r="C1858" s="1378">
        <f>IF(raw[[#This Row],[city]]="","-",IF(raw[[#This Row],[city]]="TODAY","-",C1857+1))</f>
        <v/>
      </c>
      <c r="D1858" s="1393" t="n"/>
      <c r="E1858" s="1394" t="n"/>
      <c r="F1858" s="1394" t="n"/>
      <c r="G1858" s="1393" t="n"/>
      <c r="H1858" s="1393" t="n"/>
      <c r="I1858" s="1393" t="n"/>
      <c r="J1858" s="1393" t="n"/>
      <c r="K1858" s="1395">
        <f>IF(raw[[#This Row],[city]]&lt;&gt;"",_xlfn.XLOOKUP($D1858,ccc[city],ccc[prov],"-"),"-")</f>
        <v/>
      </c>
      <c r="L1858" s="1395">
        <f>IF(raw[[#This Row],[city]]&lt;&gt;"",_xlfn.XLOOKUP($D1858,ccc[city],ccc[ctry],"-"),"-")</f>
        <v/>
      </c>
      <c r="M1858" s="1395">
        <f>IF(raw[[#This Row],[city]]&lt;&gt;"",_xlfn.XLOOKUP($D1858,ccc[city],ccc[cont],"-"),"-")</f>
        <v/>
      </c>
      <c r="N1858" s="1396">
        <f>IF(raw[[#This Row],[city]]="","-",IF(raw[[#This Row],[cont]]="B",raw[[#This Row],[cont]],"W"))</f>
        <v/>
      </c>
      <c r="O1858" s="1397">
        <f>IF(raw[[#This Row],[out]]=0,0,IF(raw[[#This Row],[out]]=raw[[#This Row],[in]],0.01,raw[[#This Row],[out]]-raw[[#This Row],[in]]))</f>
        <v/>
      </c>
      <c r="P1858" s="1397">
        <f>IF(raw[[#This Row],[in]]=0,0,MONTH(raw[[#This Row],[in]]))</f>
        <v/>
      </c>
      <c r="Q1858" s="1397">
        <f>IF(raw[[#This Row],[in]]=0,0,YEAR(raw[[#This Row],[in]]))</f>
        <v/>
      </c>
      <c r="R1858" s="1397">
        <f>INT(raw[[#This Row],[yr]]/10)*10</f>
        <v/>
      </c>
      <c r="S1858" s="1395">
        <f>IF(raw[[#This Row],[city]]="","-",IF(raw[[#This Row],[city]]&lt;&gt;_xlfn.XLOOKUP(raw[[#This Row],[home]],homes[home],homes[city],"-"),1,0))</f>
        <v/>
      </c>
      <c r="T1858" s="1398" t="inlineStr">
        <is>
          <t>.</t>
        </is>
      </c>
      <c r="U1858" s="1399">
        <f>IF(raw[[#This Row],[wb]]="w",raw[[#This Row],[stay]]+U1857,U1857)</f>
        <v/>
      </c>
      <c r="V1858" s="1400">
        <f>IF(raw[[#This Row],[out]]=0,V1857,(raw[[#This Row],[out]]-E$5))</f>
        <v/>
      </c>
      <c r="W1858" s="1401">
        <f>U1858/V1858</f>
        <v/>
      </c>
      <c r="X1858" s="1392" t="n"/>
      <c r="Y1858" s="1392" t="n"/>
      <c r="Z1858" s="1422" t="n"/>
      <c r="AA1858" s="1422" t="n"/>
      <c r="AB1858" s="1392" t="n"/>
      <c r="AC1858" s="1392" t="n"/>
      <c r="AD1858" s="1392" t="n"/>
      <c r="AE1858" s="1392" t="n"/>
      <c r="AF1858" s="1392" t="n"/>
      <c r="AG1858" s="1392" t="n"/>
      <c r="AH1858" s="1392" t="n"/>
      <c r="AI1858" s="1392" t="n"/>
      <c r="AJ1858" s="1392" t="n"/>
      <c r="AK1858" s="1392" t="n"/>
      <c r="AL1858" s="1392" t="n"/>
      <c r="AM1858" s="1392" t="n"/>
      <c r="AN1858" s="1392" t="n"/>
      <c r="AO1858" s="1392" t="n"/>
      <c r="AP1858" s="1392" t="n"/>
      <c r="AQ1858" s="1392" t="n"/>
      <c r="AR1858" s="1392" t="n"/>
      <c r="AS1858" s="1422" t="n"/>
      <c r="AT1858" s="1392" t="n"/>
      <c r="AU1858" s="1392" t="n"/>
      <c r="AV1858" s="1392" t="n"/>
      <c r="AW1858" s="1392" t="n"/>
      <c r="AX1858" s="1392" t="n"/>
      <c r="AY1858" s="1392" t="n"/>
      <c r="AZ1858" s="1392" t="n"/>
      <c r="BA1858" s="1392" t="n"/>
      <c r="BB1858" s="1422" t="n"/>
      <c r="BC1858" s="1392" t="n"/>
      <c r="BD1858" s="1392" t="n"/>
      <c r="BE1858" s="1392" t="n"/>
      <c r="BF1858" s="1392" t="n"/>
      <c r="BG1858" s="1392" t="n"/>
      <c r="BH1858" s="1392" t="n"/>
      <c r="BI1858" s="1392" t="n"/>
      <c r="BJ1858" s="1392" t="n"/>
      <c r="BK1858" s="1392" t="n"/>
      <c r="BL1858" s="1392" t="n"/>
      <c r="BM1858" s="1392" t="n"/>
      <c r="BN1858" s="1392" t="n"/>
      <c r="BO1858" s="1392" t="n"/>
      <c r="BP1858" s="1392" t="n"/>
      <c r="BQ1858" s="1392" t="n"/>
      <c r="BR1858" s="1392" t="n"/>
      <c r="BS1858" s="1392" t="n"/>
      <c r="BT1858" s="1392" t="n"/>
      <c r="BU1858" s="1416" t="n"/>
      <c r="BV1858" s="1392" t="n"/>
      <c r="BW1858" s="1392" t="n"/>
      <c r="BX1858" s="1392" t="n"/>
      <c r="BY1858" s="1392" t="n"/>
      <c r="BZ1858" s="1416" t="n"/>
      <c r="CA1858" s="1392" t="n"/>
      <c r="CB1858" s="1392" t="n"/>
      <c r="CC1858" s="1392" t="n"/>
      <c r="CD1858" s="1392" t="n"/>
      <c r="CE1858" s="1392" t="n"/>
      <c r="CF1858" s="1392" t="n"/>
      <c r="CG1858" s="1392" t="n"/>
      <c r="CH1858" s="1392" t="n"/>
      <c r="CI1858" s="1392" t="n"/>
      <c r="CJ1858" s="1392" t="n"/>
      <c r="CK1858" s="1392" t="n"/>
      <c r="CL1858" s="1392" t="n"/>
    </row>
    <row r="1859">
      <c r="A1859" s="5" t="inlineStr">
        <is>
          <t>.</t>
        </is>
      </c>
      <c r="B1859" s="5" t="inlineStr">
        <is>
          <t>.</t>
        </is>
      </c>
      <c r="C1859" s="1378">
        <f>IF(raw[[#This Row],[city]]="","-",IF(raw[[#This Row],[city]]="TODAY","-",C1858+1))</f>
        <v/>
      </c>
      <c r="D1859" s="1393" t="n"/>
      <c r="E1859" s="1394" t="n"/>
      <c r="F1859" s="1394" t="n"/>
      <c r="G1859" s="1393" t="n"/>
      <c r="H1859" s="1393" t="n"/>
      <c r="I1859" s="1393" t="n"/>
      <c r="J1859" s="1393" t="n"/>
      <c r="K1859" s="1395">
        <f>IF(raw[[#This Row],[city]]&lt;&gt;"",_xlfn.XLOOKUP($D1859,ccc[city],ccc[prov],"-"),"-")</f>
        <v/>
      </c>
      <c r="L1859" s="1395">
        <f>IF(raw[[#This Row],[city]]&lt;&gt;"",_xlfn.XLOOKUP($D1859,ccc[city],ccc[ctry],"-"),"-")</f>
        <v/>
      </c>
      <c r="M1859" s="1395">
        <f>IF(raw[[#This Row],[city]]&lt;&gt;"",_xlfn.XLOOKUP($D1859,ccc[city],ccc[cont],"-"),"-")</f>
        <v/>
      </c>
      <c r="N1859" s="1396">
        <f>IF(raw[[#This Row],[city]]="","-",IF(raw[[#This Row],[cont]]="B",raw[[#This Row],[cont]],"W"))</f>
        <v/>
      </c>
      <c r="O1859" s="1397">
        <f>IF(raw[[#This Row],[out]]=0,0,IF(raw[[#This Row],[out]]=raw[[#This Row],[in]],0.01,raw[[#This Row],[out]]-raw[[#This Row],[in]]))</f>
        <v/>
      </c>
      <c r="P1859" s="1397">
        <f>IF(raw[[#This Row],[in]]=0,0,MONTH(raw[[#This Row],[in]]))</f>
        <v/>
      </c>
      <c r="Q1859" s="1397">
        <f>IF(raw[[#This Row],[in]]=0,0,YEAR(raw[[#This Row],[in]]))</f>
        <v/>
      </c>
      <c r="R1859" s="1397">
        <f>INT(raw[[#This Row],[yr]]/10)*10</f>
        <v/>
      </c>
      <c r="S1859" s="1395">
        <f>IF(raw[[#This Row],[city]]="","-",IF(raw[[#This Row],[city]]&lt;&gt;_xlfn.XLOOKUP(raw[[#This Row],[home]],homes[home],homes[city],"-"),1,0))</f>
        <v/>
      </c>
      <c r="T1859" s="1398" t="inlineStr">
        <is>
          <t>.</t>
        </is>
      </c>
      <c r="U1859" s="1399">
        <f>IF(raw[[#This Row],[wb]]="w",raw[[#This Row],[stay]]+U1858,U1858)</f>
        <v/>
      </c>
      <c r="V1859" s="1400">
        <f>IF(raw[[#This Row],[out]]=0,V1858,(raw[[#This Row],[out]]-E$5))</f>
        <v/>
      </c>
      <c r="W1859" s="1401">
        <f>U1859/V1859</f>
        <v/>
      </c>
      <c r="X1859" s="1392" t="n"/>
      <c r="Y1859" s="1392" t="n"/>
      <c r="Z1859" s="1422" t="n"/>
      <c r="AA1859" s="1422" t="n"/>
      <c r="AB1859" s="1392" t="n"/>
      <c r="AC1859" s="1392" t="n"/>
      <c r="AD1859" s="1392" t="n"/>
      <c r="AE1859" s="1392" t="n"/>
      <c r="AF1859" s="1392" t="n"/>
      <c r="AG1859" s="1392" t="n"/>
      <c r="AH1859" s="1392" t="n"/>
      <c r="AI1859" s="1392" t="n"/>
      <c r="AJ1859" s="1392" t="n"/>
      <c r="AK1859" s="1392" t="n"/>
      <c r="AL1859" s="1392" t="n"/>
      <c r="AM1859" s="1392" t="n"/>
      <c r="AN1859" s="1392" t="n"/>
      <c r="AO1859" s="1392" t="n"/>
      <c r="AP1859" s="1392" t="n"/>
      <c r="AQ1859" s="1392" t="n"/>
      <c r="AR1859" s="1392" t="n"/>
      <c r="AS1859" s="1422" t="n"/>
      <c r="AT1859" s="1392" t="n"/>
      <c r="AU1859" s="1392" t="n"/>
      <c r="AV1859" s="1392" t="n"/>
      <c r="AW1859" s="1392" t="n"/>
      <c r="AX1859" s="1392" t="n"/>
      <c r="AY1859" s="1392" t="n"/>
      <c r="AZ1859" s="1392" t="n"/>
      <c r="BA1859" s="1392" t="n"/>
      <c r="BB1859" s="1422" t="n"/>
      <c r="BC1859" s="1392" t="n"/>
      <c r="BD1859" s="1392" t="n"/>
      <c r="BE1859" s="1392" t="n"/>
      <c r="BF1859" s="1392" t="n"/>
      <c r="BG1859" s="1392" t="n"/>
      <c r="BH1859" s="1392" t="n"/>
      <c r="BI1859" s="1392" t="n"/>
      <c r="BJ1859" s="1392" t="n"/>
      <c r="BK1859" s="1392" t="n"/>
      <c r="BL1859" s="1392" t="n"/>
      <c r="BM1859" s="1392" t="n"/>
      <c r="BN1859" s="1392" t="n"/>
      <c r="BO1859" s="1392" t="n"/>
      <c r="BP1859" s="1392" t="n"/>
      <c r="BQ1859" s="1392" t="n"/>
      <c r="BR1859" s="1392" t="n"/>
      <c r="BS1859" s="1392" t="n"/>
      <c r="BT1859" s="1392" t="n"/>
      <c r="BU1859" s="1416" t="n"/>
      <c r="BV1859" s="1392" t="n"/>
      <c r="BW1859" s="1392" t="n"/>
      <c r="BX1859" s="1392" t="n"/>
      <c r="BY1859" s="1392" t="n"/>
      <c r="BZ1859" s="1416" t="n"/>
      <c r="CA1859" s="1392" t="n"/>
      <c r="CB1859" s="1392" t="n"/>
      <c r="CC1859" s="1392" t="n"/>
      <c r="CD1859" s="1392" t="n"/>
      <c r="CE1859" s="1392" t="n"/>
      <c r="CF1859" s="1392" t="n"/>
      <c r="CG1859" s="1392" t="n"/>
      <c r="CH1859" s="1392" t="n"/>
      <c r="CI1859" s="1392" t="n"/>
      <c r="CJ1859" s="1392" t="n"/>
      <c r="CK1859" s="1392" t="n"/>
      <c r="CL1859" s="1392" t="n"/>
    </row>
    <row r="1860">
      <c r="A1860" s="5" t="inlineStr">
        <is>
          <t>.</t>
        </is>
      </c>
      <c r="B1860" s="5" t="inlineStr">
        <is>
          <t>.</t>
        </is>
      </c>
      <c r="C1860" s="1378">
        <f>IF(raw[[#This Row],[city]]="","-",IF(raw[[#This Row],[city]]="TODAY","-",C1859+1))</f>
        <v/>
      </c>
      <c r="D1860" s="1393" t="n"/>
      <c r="E1860" s="1394" t="n"/>
      <c r="F1860" s="1394" t="n"/>
      <c r="G1860" s="1393" t="n"/>
      <c r="H1860" s="1393" t="n"/>
      <c r="I1860" s="1393" t="n"/>
      <c r="J1860" s="1393" t="n"/>
      <c r="K1860" s="1395">
        <f>IF(raw[[#This Row],[city]]&lt;&gt;"",_xlfn.XLOOKUP($D1860,ccc[city],ccc[prov],"-"),"-")</f>
        <v/>
      </c>
      <c r="L1860" s="1395">
        <f>IF(raw[[#This Row],[city]]&lt;&gt;"",_xlfn.XLOOKUP($D1860,ccc[city],ccc[ctry],"-"),"-")</f>
        <v/>
      </c>
      <c r="M1860" s="1395">
        <f>IF(raw[[#This Row],[city]]&lt;&gt;"",_xlfn.XLOOKUP($D1860,ccc[city],ccc[cont],"-"),"-")</f>
        <v/>
      </c>
      <c r="N1860" s="1396">
        <f>IF(raw[[#This Row],[city]]="","-",IF(raw[[#This Row],[cont]]="B",raw[[#This Row],[cont]],"W"))</f>
        <v/>
      </c>
      <c r="O1860" s="1397">
        <f>IF(raw[[#This Row],[out]]=0,0,IF(raw[[#This Row],[out]]=raw[[#This Row],[in]],0.01,raw[[#This Row],[out]]-raw[[#This Row],[in]]))</f>
        <v/>
      </c>
      <c r="P1860" s="1397">
        <f>IF(raw[[#This Row],[in]]=0,0,MONTH(raw[[#This Row],[in]]))</f>
        <v/>
      </c>
      <c r="Q1860" s="1397">
        <f>IF(raw[[#This Row],[in]]=0,0,YEAR(raw[[#This Row],[in]]))</f>
        <v/>
      </c>
      <c r="R1860" s="1397">
        <f>INT(raw[[#This Row],[yr]]/10)*10</f>
        <v/>
      </c>
      <c r="S1860" s="1395">
        <f>IF(raw[[#This Row],[city]]="","-",IF(raw[[#This Row],[city]]&lt;&gt;_xlfn.XLOOKUP(raw[[#This Row],[home]],homes[home],homes[city],"-"),1,0))</f>
        <v/>
      </c>
      <c r="T1860" s="1398" t="inlineStr">
        <is>
          <t>.</t>
        </is>
      </c>
      <c r="U1860" s="1399">
        <f>IF(raw[[#This Row],[wb]]="w",raw[[#This Row],[stay]]+U1859,U1859)</f>
        <v/>
      </c>
      <c r="V1860" s="1400">
        <f>IF(raw[[#This Row],[out]]=0,V1859,(raw[[#This Row],[out]]-E$5))</f>
        <v/>
      </c>
      <c r="W1860" s="1401">
        <f>U1860/V1860</f>
        <v/>
      </c>
      <c r="X1860" s="1392" t="n"/>
      <c r="Y1860" s="1392" t="n"/>
      <c r="Z1860" s="1422" t="n"/>
      <c r="AA1860" s="1422" t="n"/>
      <c r="AB1860" s="1392" t="n"/>
      <c r="AC1860" s="1392" t="n"/>
      <c r="AD1860" s="1392" t="n"/>
      <c r="AE1860" s="1392" t="n"/>
      <c r="AF1860" s="1392" t="n"/>
      <c r="AG1860" s="1392" t="n"/>
      <c r="AH1860" s="1392" t="n"/>
      <c r="AI1860" s="1392" t="n"/>
      <c r="AJ1860" s="1392" t="n"/>
      <c r="AK1860" s="1392" t="n"/>
      <c r="AL1860" s="1392" t="n"/>
      <c r="AM1860" s="1392" t="n"/>
      <c r="AN1860" s="1392" t="n"/>
      <c r="AO1860" s="1392" t="n"/>
      <c r="AP1860" s="1392" t="n"/>
      <c r="AQ1860" s="1392" t="n"/>
      <c r="AR1860" s="1392" t="n"/>
      <c r="AS1860" s="1422" t="n"/>
      <c r="AT1860" s="1392" t="n"/>
      <c r="AU1860" s="1392" t="n"/>
      <c r="AV1860" s="1392" t="n"/>
      <c r="AW1860" s="1392" t="n"/>
      <c r="AX1860" s="1392" t="n"/>
      <c r="AY1860" s="1392" t="n"/>
      <c r="AZ1860" s="1392" t="n"/>
      <c r="BA1860" s="1392" t="n"/>
      <c r="BB1860" s="1422" t="n"/>
      <c r="BC1860" s="1392" t="n"/>
      <c r="BD1860" s="1392" t="n"/>
      <c r="BE1860" s="1392" t="n"/>
      <c r="BF1860" s="1392" t="n"/>
      <c r="BG1860" s="1392" t="n"/>
      <c r="BH1860" s="1392" t="n"/>
      <c r="BI1860" s="1392" t="n"/>
      <c r="BJ1860" s="1392" t="n"/>
      <c r="BK1860" s="1392" t="n"/>
      <c r="BL1860" s="1392" t="n"/>
      <c r="BM1860" s="1392" t="n"/>
      <c r="BN1860" s="1392" t="n"/>
      <c r="BO1860" s="1392" t="n"/>
      <c r="BP1860" s="1392" t="n"/>
      <c r="BQ1860" s="1392" t="n"/>
      <c r="BR1860" s="1392" t="n"/>
      <c r="BS1860" s="1392" t="n"/>
      <c r="BT1860" s="1392" t="n"/>
      <c r="BU1860" s="1416" t="n"/>
      <c r="BV1860" s="1392" t="n"/>
      <c r="BW1860" s="1392" t="n"/>
      <c r="BX1860" s="1392" t="n"/>
      <c r="BY1860" s="1392" t="n"/>
      <c r="BZ1860" s="1416" t="n"/>
      <c r="CA1860" s="1392" t="n"/>
      <c r="CB1860" s="1392" t="n"/>
      <c r="CC1860" s="1392" t="n"/>
      <c r="CD1860" s="1392" t="n"/>
      <c r="CE1860" s="1392" t="n"/>
      <c r="CF1860" s="1392" t="n"/>
      <c r="CG1860" s="1392" t="n"/>
      <c r="CH1860" s="1392" t="n"/>
      <c r="CI1860" s="1392" t="n"/>
      <c r="CJ1860" s="1392" t="n"/>
      <c r="CK1860" s="1392" t="n"/>
      <c r="CL1860" s="1392" t="n"/>
    </row>
    <row r="1861">
      <c r="A1861" s="5" t="inlineStr">
        <is>
          <t>.</t>
        </is>
      </c>
      <c r="B1861" s="5" t="inlineStr">
        <is>
          <t>.</t>
        </is>
      </c>
      <c r="C1861" s="1378">
        <f>IF(raw[[#This Row],[city]]="","-",IF(raw[[#This Row],[city]]="TODAY","-",C1860+1))</f>
        <v/>
      </c>
      <c r="D1861" s="1393" t="n"/>
      <c r="E1861" s="1394" t="n"/>
      <c r="F1861" s="1394" t="n"/>
      <c r="G1861" s="1393" t="n"/>
      <c r="H1861" s="1393" t="n"/>
      <c r="I1861" s="1393" t="n"/>
      <c r="J1861" s="1393" t="n"/>
      <c r="K1861" s="1395">
        <f>IF(raw[[#This Row],[city]]&lt;&gt;"",_xlfn.XLOOKUP($D1861,ccc[city],ccc[prov],"-"),"-")</f>
        <v/>
      </c>
      <c r="L1861" s="1395">
        <f>IF(raw[[#This Row],[city]]&lt;&gt;"",_xlfn.XLOOKUP($D1861,ccc[city],ccc[ctry],"-"),"-")</f>
        <v/>
      </c>
      <c r="M1861" s="1395">
        <f>IF(raw[[#This Row],[city]]&lt;&gt;"",_xlfn.XLOOKUP($D1861,ccc[city],ccc[cont],"-"),"-")</f>
        <v/>
      </c>
      <c r="N1861" s="1396">
        <f>IF(raw[[#This Row],[city]]="","-",IF(raw[[#This Row],[cont]]="B",raw[[#This Row],[cont]],"W"))</f>
        <v/>
      </c>
      <c r="O1861" s="1397">
        <f>IF(raw[[#This Row],[out]]=0,0,IF(raw[[#This Row],[out]]=raw[[#This Row],[in]],0.01,raw[[#This Row],[out]]-raw[[#This Row],[in]]))</f>
        <v/>
      </c>
      <c r="P1861" s="1397">
        <f>IF(raw[[#This Row],[in]]=0,0,MONTH(raw[[#This Row],[in]]))</f>
        <v/>
      </c>
      <c r="Q1861" s="1397">
        <f>IF(raw[[#This Row],[in]]=0,0,YEAR(raw[[#This Row],[in]]))</f>
        <v/>
      </c>
      <c r="R1861" s="1397">
        <f>INT(raw[[#This Row],[yr]]/10)*10</f>
        <v/>
      </c>
      <c r="S1861" s="1395">
        <f>IF(raw[[#This Row],[city]]="","-",IF(raw[[#This Row],[city]]&lt;&gt;_xlfn.XLOOKUP(raw[[#This Row],[home]],homes[home],homes[city],"-"),1,0))</f>
        <v/>
      </c>
      <c r="T1861" s="1398" t="inlineStr">
        <is>
          <t>.</t>
        </is>
      </c>
      <c r="U1861" s="1399">
        <f>IF(raw[[#This Row],[wb]]="w",raw[[#This Row],[stay]]+U1860,U1860)</f>
        <v/>
      </c>
      <c r="V1861" s="1400">
        <f>IF(raw[[#This Row],[out]]=0,V1860,(raw[[#This Row],[out]]-E$5))</f>
        <v/>
      </c>
      <c r="W1861" s="1401">
        <f>U1861/V1861</f>
        <v/>
      </c>
      <c r="X1861" s="1392" t="n"/>
      <c r="Y1861" s="1392" t="n"/>
      <c r="Z1861" s="1422" t="n"/>
      <c r="AA1861" s="1422" t="n"/>
      <c r="AB1861" s="1392" t="n"/>
      <c r="AC1861" s="1392" t="n"/>
      <c r="AD1861" s="1392" t="n"/>
      <c r="AE1861" s="1392" t="n"/>
      <c r="AF1861" s="1392" t="n"/>
      <c r="AG1861" s="1392" t="n"/>
      <c r="AH1861" s="1392" t="n"/>
      <c r="AI1861" s="1392" t="n"/>
      <c r="AJ1861" s="1392" t="n"/>
      <c r="AK1861" s="1392" t="n"/>
      <c r="AL1861" s="1392" t="n"/>
      <c r="AM1861" s="1392" t="n"/>
      <c r="AN1861" s="1392" t="n"/>
      <c r="AO1861" s="1392" t="n"/>
      <c r="AP1861" s="1392" t="n"/>
      <c r="AQ1861" s="1392" t="n"/>
      <c r="AR1861" s="1392" t="n"/>
      <c r="AS1861" s="1422" t="n"/>
      <c r="AT1861" s="1392" t="n"/>
      <c r="AU1861" s="1392" t="n"/>
      <c r="AV1861" s="1392" t="n"/>
      <c r="AW1861" s="1392" t="n"/>
      <c r="AX1861" s="1392" t="n"/>
      <c r="AY1861" s="1392" t="n"/>
      <c r="AZ1861" s="1392" t="n"/>
      <c r="BA1861" s="1392" t="n"/>
      <c r="BB1861" s="1422" t="n"/>
      <c r="BC1861" s="1392" t="n"/>
      <c r="BD1861" s="1392" t="n"/>
      <c r="BE1861" s="1392" t="n"/>
      <c r="BF1861" s="1392" t="n"/>
      <c r="BG1861" s="1392" t="n"/>
      <c r="BH1861" s="1392" t="n"/>
      <c r="BI1861" s="1392" t="n"/>
      <c r="BJ1861" s="1392" t="n"/>
      <c r="BK1861" s="1392" t="n"/>
      <c r="BL1861" s="1392" t="n"/>
      <c r="BM1861" s="1392" t="n"/>
      <c r="BN1861" s="1392" t="n"/>
      <c r="BO1861" s="1392" t="n"/>
      <c r="BP1861" s="1392" t="n"/>
      <c r="BQ1861" s="1392" t="n"/>
      <c r="BR1861" s="1392" t="n"/>
      <c r="BS1861" s="1392" t="n"/>
      <c r="BT1861" s="1392" t="n"/>
      <c r="BU1861" s="1416" t="n"/>
      <c r="BV1861" s="1392" t="n"/>
      <c r="BW1861" s="1392" t="n"/>
      <c r="BX1861" s="1392" t="n"/>
      <c r="BY1861" s="1392" t="n"/>
      <c r="BZ1861" s="1416" t="n"/>
      <c r="CA1861" s="1392" t="n"/>
      <c r="CB1861" s="1392" t="n"/>
      <c r="CC1861" s="1392" t="n"/>
      <c r="CD1861" s="1392" t="n"/>
      <c r="CE1861" s="1392" t="n"/>
      <c r="CF1861" s="1392" t="n"/>
      <c r="CG1861" s="1392" t="n"/>
      <c r="CH1861" s="1392" t="n"/>
      <c r="CI1861" s="1392" t="n"/>
      <c r="CJ1861" s="1392" t="n"/>
      <c r="CK1861" s="1392" t="n"/>
      <c r="CL1861" s="1392" t="n"/>
    </row>
    <row r="1862">
      <c r="A1862" s="5" t="inlineStr">
        <is>
          <t>.</t>
        </is>
      </c>
      <c r="B1862" s="5" t="inlineStr">
        <is>
          <t>.</t>
        </is>
      </c>
      <c r="C1862" s="1378">
        <f>IF(raw[[#This Row],[city]]="","-",IF(raw[[#This Row],[city]]="TODAY","-",C1861+1))</f>
        <v/>
      </c>
      <c r="D1862" s="1393" t="n"/>
      <c r="E1862" s="1394" t="n"/>
      <c r="F1862" s="1394" t="n"/>
      <c r="G1862" s="1393" t="n"/>
      <c r="H1862" s="1393" t="n"/>
      <c r="I1862" s="1393" t="n"/>
      <c r="J1862" s="1393" t="n"/>
      <c r="K1862" s="1395">
        <f>IF(raw[[#This Row],[city]]&lt;&gt;"",_xlfn.XLOOKUP($D1862,ccc[city],ccc[prov],"-"),"-")</f>
        <v/>
      </c>
      <c r="L1862" s="1395">
        <f>IF(raw[[#This Row],[city]]&lt;&gt;"",_xlfn.XLOOKUP($D1862,ccc[city],ccc[ctry],"-"),"-")</f>
        <v/>
      </c>
      <c r="M1862" s="1395">
        <f>IF(raw[[#This Row],[city]]&lt;&gt;"",_xlfn.XLOOKUP($D1862,ccc[city],ccc[cont],"-"),"-")</f>
        <v/>
      </c>
      <c r="N1862" s="1396">
        <f>IF(raw[[#This Row],[city]]="","-",IF(raw[[#This Row],[cont]]="B",raw[[#This Row],[cont]],"W"))</f>
        <v/>
      </c>
      <c r="O1862" s="1397">
        <f>IF(raw[[#This Row],[out]]=0,0,IF(raw[[#This Row],[out]]=raw[[#This Row],[in]],0.01,raw[[#This Row],[out]]-raw[[#This Row],[in]]))</f>
        <v/>
      </c>
      <c r="P1862" s="1397">
        <f>IF(raw[[#This Row],[in]]=0,0,MONTH(raw[[#This Row],[in]]))</f>
        <v/>
      </c>
      <c r="Q1862" s="1397">
        <f>IF(raw[[#This Row],[in]]=0,0,YEAR(raw[[#This Row],[in]]))</f>
        <v/>
      </c>
      <c r="R1862" s="1397">
        <f>INT(raw[[#This Row],[yr]]/10)*10</f>
        <v/>
      </c>
      <c r="S1862" s="1395">
        <f>IF(raw[[#This Row],[city]]="","-",IF(raw[[#This Row],[city]]&lt;&gt;_xlfn.XLOOKUP(raw[[#This Row],[home]],homes[home],homes[city],"-"),1,0))</f>
        <v/>
      </c>
      <c r="T1862" s="1398" t="inlineStr">
        <is>
          <t>.</t>
        </is>
      </c>
      <c r="U1862" s="1399">
        <f>IF(raw[[#This Row],[wb]]="w",raw[[#This Row],[stay]]+U1861,U1861)</f>
        <v/>
      </c>
      <c r="V1862" s="1400">
        <f>IF(raw[[#This Row],[out]]=0,V1861,(raw[[#This Row],[out]]-E$5))</f>
        <v/>
      </c>
      <c r="W1862" s="1401">
        <f>U1862/V1862</f>
        <v/>
      </c>
      <c r="X1862" s="1392" t="n"/>
      <c r="Y1862" s="1392" t="n"/>
      <c r="Z1862" s="1422" t="n"/>
      <c r="AA1862" s="1422" t="n"/>
      <c r="AB1862" s="1392" t="n"/>
      <c r="AC1862" s="1392" t="n"/>
      <c r="AD1862" s="1392" t="n"/>
      <c r="AE1862" s="1392" t="n"/>
      <c r="AF1862" s="1392" t="n"/>
      <c r="AG1862" s="1392" t="n"/>
      <c r="AH1862" s="1392" t="n"/>
      <c r="AI1862" s="1392" t="n"/>
      <c r="AJ1862" s="1392" t="n"/>
      <c r="AK1862" s="1392" t="n"/>
      <c r="AL1862" s="1392" t="n"/>
      <c r="AM1862" s="1392" t="n"/>
      <c r="AN1862" s="1392" t="n"/>
      <c r="AO1862" s="1392" t="n"/>
      <c r="AP1862" s="1392" t="n"/>
      <c r="AQ1862" s="1392" t="n"/>
      <c r="AR1862" s="1392" t="n"/>
      <c r="AS1862" s="1422" t="n"/>
      <c r="AT1862" s="1392" t="n"/>
      <c r="AU1862" s="1392" t="n"/>
      <c r="AV1862" s="1392" t="n"/>
      <c r="AW1862" s="1392" t="n"/>
      <c r="AX1862" s="1392" t="n"/>
      <c r="AY1862" s="1392" t="n"/>
      <c r="AZ1862" s="1392" t="n"/>
      <c r="BA1862" s="1392" t="n"/>
      <c r="BB1862" s="1422" t="n"/>
      <c r="BC1862" s="1392" t="n"/>
      <c r="BD1862" s="1392" t="n"/>
      <c r="BE1862" s="1392" t="n"/>
      <c r="BF1862" s="1392" t="n"/>
      <c r="BG1862" s="1392" t="n"/>
      <c r="BH1862" s="1392" t="n"/>
      <c r="BI1862" s="1392" t="n"/>
      <c r="BJ1862" s="1392" t="n"/>
      <c r="BK1862" s="1392" t="n"/>
      <c r="BL1862" s="1392" t="n"/>
      <c r="BM1862" s="1392" t="n"/>
      <c r="BN1862" s="1392" t="n"/>
      <c r="BO1862" s="1392" t="n"/>
      <c r="BP1862" s="1392" t="n"/>
      <c r="BQ1862" s="1392" t="n"/>
      <c r="BR1862" s="1392" t="n"/>
      <c r="BS1862" s="1392" t="n"/>
      <c r="BT1862" s="1392" t="n"/>
      <c r="BU1862" s="1416" t="n"/>
      <c r="BV1862" s="1392" t="n"/>
      <c r="BW1862" s="1392" t="n"/>
      <c r="BX1862" s="1392" t="n"/>
      <c r="BY1862" s="1392" t="n"/>
      <c r="BZ1862" s="1416" t="n"/>
      <c r="CA1862" s="1392" t="n"/>
      <c r="CB1862" s="1392" t="n"/>
      <c r="CC1862" s="1392" t="n"/>
      <c r="CD1862" s="1392" t="n"/>
      <c r="CE1862" s="1392" t="n"/>
      <c r="CF1862" s="1392" t="n"/>
      <c r="CG1862" s="1392" t="n"/>
      <c r="CH1862" s="1392" t="n"/>
      <c r="CI1862" s="1392" t="n"/>
      <c r="CJ1862" s="1392" t="n"/>
      <c r="CK1862" s="1392" t="n"/>
      <c r="CL1862" s="1392" t="n"/>
    </row>
    <row r="1863">
      <c r="A1863" s="5" t="inlineStr">
        <is>
          <t>.</t>
        </is>
      </c>
      <c r="B1863" s="5" t="inlineStr">
        <is>
          <t>.</t>
        </is>
      </c>
      <c r="C1863" s="1378">
        <f>IF(raw[[#This Row],[city]]="","-",IF(raw[[#This Row],[city]]="TODAY","-",C1862+1))</f>
        <v/>
      </c>
      <c r="D1863" s="1393" t="n"/>
      <c r="E1863" s="1394" t="n"/>
      <c r="F1863" s="1394" t="n"/>
      <c r="G1863" s="1393" t="n"/>
      <c r="H1863" s="1393" t="n"/>
      <c r="I1863" s="1393" t="n"/>
      <c r="J1863" s="1393" t="n"/>
      <c r="K1863" s="1395">
        <f>IF(raw[[#This Row],[city]]&lt;&gt;"",_xlfn.XLOOKUP($D1863,ccc[city],ccc[prov],"-"),"-")</f>
        <v/>
      </c>
      <c r="L1863" s="1395">
        <f>IF(raw[[#This Row],[city]]&lt;&gt;"",_xlfn.XLOOKUP($D1863,ccc[city],ccc[ctry],"-"),"-")</f>
        <v/>
      </c>
      <c r="M1863" s="1395">
        <f>IF(raw[[#This Row],[city]]&lt;&gt;"",_xlfn.XLOOKUP($D1863,ccc[city],ccc[cont],"-"),"-")</f>
        <v/>
      </c>
      <c r="N1863" s="1396">
        <f>IF(raw[[#This Row],[city]]="","-",IF(raw[[#This Row],[cont]]="B",raw[[#This Row],[cont]],"W"))</f>
        <v/>
      </c>
      <c r="O1863" s="1397">
        <f>IF(raw[[#This Row],[out]]=0,0,IF(raw[[#This Row],[out]]=raw[[#This Row],[in]],0.01,raw[[#This Row],[out]]-raw[[#This Row],[in]]))</f>
        <v/>
      </c>
      <c r="P1863" s="1397">
        <f>IF(raw[[#This Row],[in]]=0,0,MONTH(raw[[#This Row],[in]]))</f>
        <v/>
      </c>
      <c r="Q1863" s="1397">
        <f>IF(raw[[#This Row],[in]]=0,0,YEAR(raw[[#This Row],[in]]))</f>
        <v/>
      </c>
      <c r="R1863" s="1397">
        <f>INT(raw[[#This Row],[yr]]/10)*10</f>
        <v/>
      </c>
      <c r="S1863" s="1395">
        <f>IF(raw[[#This Row],[city]]="","-",IF(raw[[#This Row],[city]]&lt;&gt;_xlfn.XLOOKUP(raw[[#This Row],[home]],homes[home],homes[city],"-"),1,0))</f>
        <v/>
      </c>
      <c r="T1863" s="1398" t="inlineStr">
        <is>
          <t>.</t>
        </is>
      </c>
      <c r="U1863" s="1399">
        <f>IF(raw[[#This Row],[wb]]="w",raw[[#This Row],[stay]]+U1862,U1862)</f>
        <v/>
      </c>
      <c r="V1863" s="1400">
        <f>IF(raw[[#This Row],[out]]=0,V1862,(raw[[#This Row],[out]]-E$5))</f>
        <v/>
      </c>
      <c r="W1863" s="1401">
        <f>U1863/V1863</f>
        <v/>
      </c>
      <c r="X1863" s="1392" t="n"/>
      <c r="Y1863" s="1392" t="n"/>
      <c r="Z1863" s="1422" t="n"/>
      <c r="AA1863" s="1422" t="n"/>
      <c r="AB1863" s="1392" t="n"/>
      <c r="AC1863" s="1392" t="n"/>
      <c r="AD1863" s="1392" t="n"/>
      <c r="AE1863" s="1392" t="n"/>
      <c r="AF1863" s="1392" t="n"/>
      <c r="AG1863" s="1392" t="n"/>
      <c r="AH1863" s="1392" t="n"/>
      <c r="AI1863" s="1392" t="n"/>
      <c r="AJ1863" s="1392" t="n"/>
      <c r="AK1863" s="1392" t="n"/>
      <c r="AL1863" s="1392" t="n"/>
      <c r="AM1863" s="1392" t="n"/>
      <c r="AN1863" s="1392" t="n"/>
      <c r="AO1863" s="1392" t="n"/>
      <c r="AP1863" s="1392" t="n"/>
      <c r="AQ1863" s="1392" t="n"/>
      <c r="AR1863" s="1392" t="n"/>
      <c r="AS1863" s="1422" t="n"/>
      <c r="AT1863" s="1392" t="n"/>
      <c r="AU1863" s="1392" t="n"/>
      <c r="AV1863" s="1392" t="n"/>
      <c r="AW1863" s="1392" t="n"/>
      <c r="AX1863" s="1392" t="n"/>
      <c r="AY1863" s="1392" t="n"/>
      <c r="AZ1863" s="1392" t="n"/>
      <c r="BA1863" s="1392" t="n"/>
      <c r="BB1863" s="1422" t="n"/>
      <c r="BC1863" s="1392" t="n"/>
      <c r="BD1863" s="1392" t="n"/>
      <c r="BE1863" s="1392" t="n"/>
      <c r="BF1863" s="1392" t="n"/>
      <c r="BG1863" s="1392" t="n"/>
      <c r="BH1863" s="1392" t="n"/>
      <c r="BI1863" s="1392" t="n"/>
      <c r="BJ1863" s="1392" t="n"/>
      <c r="BK1863" s="1392" t="n"/>
      <c r="BL1863" s="1392" t="n"/>
      <c r="BM1863" s="1392" t="n"/>
      <c r="BN1863" s="1392" t="n"/>
      <c r="BO1863" s="1392" t="n"/>
      <c r="BP1863" s="1392" t="n"/>
      <c r="BQ1863" s="1392" t="n"/>
      <c r="BR1863" s="1392" t="n"/>
      <c r="BS1863" s="1392" t="n"/>
      <c r="BT1863" s="1392" t="n"/>
      <c r="BU1863" s="1416" t="n"/>
      <c r="BV1863" s="1392" t="n"/>
      <c r="BW1863" s="1392" t="n"/>
      <c r="BX1863" s="1392" t="n"/>
      <c r="BY1863" s="1392" t="n"/>
      <c r="BZ1863" s="1416" t="n"/>
      <c r="CA1863" s="1392" t="n"/>
      <c r="CB1863" s="1392" t="n"/>
      <c r="CC1863" s="1392" t="n"/>
      <c r="CD1863" s="1392" t="n"/>
      <c r="CE1863" s="1392" t="n"/>
      <c r="CF1863" s="1392" t="n"/>
      <c r="CG1863" s="1392" t="n"/>
      <c r="CH1863" s="1392" t="n"/>
      <c r="CI1863" s="1392" t="n"/>
      <c r="CJ1863" s="1392" t="n"/>
      <c r="CK1863" s="1392" t="n"/>
      <c r="CL1863" s="1392" t="n"/>
    </row>
    <row r="1864">
      <c r="A1864" s="5" t="inlineStr">
        <is>
          <t>.</t>
        </is>
      </c>
      <c r="B1864" s="5" t="inlineStr">
        <is>
          <t>.</t>
        </is>
      </c>
      <c r="C1864" s="1378">
        <f>IF(raw[[#This Row],[city]]="","-",IF(raw[[#This Row],[city]]="TODAY","-",C1863+1))</f>
        <v/>
      </c>
      <c r="D1864" s="1393" t="n"/>
      <c r="E1864" s="1394" t="n"/>
      <c r="F1864" s="1394" t="n"/>
      <c r="G1864" s="1393" t="n"/>
      <c r="H1864" s="1393" t="n"/>
      <c r="I1864" s="1393" t="n"/>
      <c r="J1864" s="1393" t="n"/>
      <c r="K1864" s="1395">
        <f>IF(raw[[#This Row],[city]]&lt;&gt;"",_xlfn.XLOOKUP($D1864,ccc[city],ccc[prov],"-"),"-")</f>
        <v/>
      </c>
      <c r="L1864" s="1395">
        <f>IF(raw[[#This Row],[city]]&lt;&gt;"",_xlfn.XLOOKUP($D1864,ccc[city],ccc[ctry],"-"),"-")</f>
        <v/>
      </c>
      <c r="M1864" s="1395">
        <f>IF(raw[[#This Row],[city]]&lt;&gt;"",_xlfn.XLOOKUP($D1864,ccc[city],ccc[cont],"-"),"-")</f>
        <v/>
      </c>
      <c r="N1864" s="1396">
        <f>IF(raw[[#This Row],[city]]="","-",IF(raw[[#This Row],[cont]]="B",raw[[#This Row],[cont]],"W"))</f>
        <v/>
      </c>
      <c r="O1864" s="1397">
        <f>IF(raw[[#This Row],[out]]=0,0,IF(raw[[#This Row],[out]]=raw[[#This Row],[in]],0.01,raw[[#This Row],[out]]-raw[[#This Row],[in]]))</f>
        <v/>
      </c>
      <c r="P1864" s="1397">
        <f>IF(raw[[#This Row],[in]]=0,0,MONTH(raw[[#This Row],[in]]))</f>
        <v/>
      </c>
      <c r="Q1864" s="1397">
        <f>IF(raw[[#This Row],[in]]=0,0,YEAR(raw[[#This Row],[in]]))</f>
        <v/>
      </c>
      <c r="R1864" s="1397">
        <f>INT(raw[[#This Row],[yr]]/10)*10</f>
        <v/>
      </c>
      <c r="S1864" s="1395">
        <f>IF(raw[[#This Row],[city]]="","-",IF(raw[[#This Row],[city]]&lt;&gt;_xlfn.XLOOKUP(raw[[#This Row],[home]],homes[home],homes[city],"-"),1,0))</f>
        <v/>
      </c>
      <c r="T1864" s="1398" t="inlineStr">
        <is>
          <t>.</t>
        </is>
      </c>
      <c r="U1864" s="1399">
        <f>IF(raw[[#This Row],[wb]]="w",raw[[#This Row],[stay]]+U1863,U1863)</f>
        <v/>
      </c>
      <c r="V1864" s="1400">
        <f>IF(raw[[#This Row],[out]]=0,V1863,(raw[[#This Row],[out]]-E$5))</f>
        <v/>
      </c>
      <c r="W1864" s="1401">
        <f>U1864/V1864</f>
        <v/>
      </c>
      <c r="X1864" s="1392" t="n"/>
      <c r="Y1864" s="1392" t="n"/>
      <c r="Z1864" s="1422" t="n"/>
      <c r="AA1864" s="1422" t="n"/>
      <c r="AB1864" s="1392" t="n"/>
      <c r="AC1864" s="1392" t="n"/>
      <c r="AD1864" s="1392" t="n"/>
      <c r="AE1864" s="1392" t="n"/>
      <c r="AF1864" s="1392" t="n"/>
      <c r="AG1864" s="1392" t="n"/>
      <c r="AH1864" s="1392" t="n"/>
      <c r="AI1864" s="1392" t="n"/>
      <c r="AJ1864" s="1392" t="n"/>
      <c r="AK1864" s="1392" t="n"/>
      <c r="AL1864" s="1392" t="n"/>
      <c r="AM1864" s="1392" t="n"/>
      <c r="AN1864" s="1392" t="n"/>
      <c r="AO1864" s="1392" t="n"/>
      <c r="AP1864" s="1392" t="n"/>
      <c r="AQ1864" s="1392" t="n"/>
      <c r="AR1864" s="1392" t="n"/>
      <c r="AS1864" s="1422" t="n"/>
      <c r="AT1864" s="1392" t="n"/>
      <c r="AU1864" s="1392" t="n"/>
      <c r="AV1864" s="1392" t="n"/>
      <c r="AW1864" s="1392" t="n"/>
      <c r="AX1864" s="1392" t="n"/>
      <c r="AY1864" s="1392" t="n"/>
      <c r="AZ1864" s="1392" t="n"/>
      <c r="BA1864" s="1392" t="n"/>
      <c r="BB1864" s="1422" t="n"/>
      <c r="BC1864" s="1392" t="n"/>
      <c r="BD1864" s="1392" t="n"/>
      <c r="BE1864" s="1392" t="n"/>
      <c r="BF1864" s="1392" t="n"/>
      <c r="BG1864" s="1392" t="n"/>
      <c r="BH1864" s="1392" t="n"/>
      <c r="BI1864" s="1392" t="n"/>
      <c r="BJ1864" s="1392" t="n"/>
      <c r="BK1864" s="1392" t="n"/>
      <c r="BL1864" s="1392" t="n"/>
      <c r="BM1864" s="1392" t="n"/>
      <c r="BN1864" s="1392" t="n"/>
      <c r="BO1864" s="1392" t="n"/>
      <c r="BP1864" s="1392" t="n"/>
      <c r="BQ1864" s="1392" t="n"/>
      <c r="BR1864" s="1392" t="n"/>
      <c r="BS1864" s="1392" t="n"/>
      <c r="BT1864" s="1392" t="n"/>
      <c r="BU1864" s="1416" t="n"/>
      <c r="BV1864" s="1392" t="n"/>
      <c r="BW1864" s="1392" t="n"/>
      <c r="BX1864" s="1392" t="n"/>
      <c r="BY1864" s="1392" t="n"/>
      <c r="BZ1864" s="1416" t="n"/>
      <c r="CA1864" s="1392" t="n"/>
      <c r="CB1864" s="1392" t="n"/>
      <c r="CC1864" s="1392" t="n"/>
      <c r="CD1864" s="1392" t="n"/>
      <c r="CE1864" s="1392" t="n"/>
      <c r="CF1864" s="1392" t="n"/>
      <c r="CG1864" s="1392" t="n"/>
      <c r="CH1864" s="1392" t="n"/>
      <c r="CI1864" s="1392" t="n"/>
      <c r="CJ1864" s="1392" t="n"/>
      <c r="CK1864" s="1392" t="n"/>
      <c r="CL1864" s="1392" t="n"/>
    </row>
    <row r="1865">
      <c r="A1865" s="5" t="inlineStr">
        <is>
          <t>.</t>
        </is>
      </c>
      <c r="B1865" s="5" t="inlineStr">
        <is>
          <t>.</t>
        </is>
      </c>
      <c r="C1865" s="1378">
        <f>IF(raw[[#This Row],[city]]="","-",IF(raw[[#This Row],[city]]="TODAY","-",C1864+1))</f>
        <v/>
      </c>
      <c r="D1865" s="1393" t="n"/>
      <c r="E1865" s="1394" t="n"/>
      <c r="F1865" s="1394" t="n"/>
      <c r="G1865" s="1393" t="n"/>
      <c r="H1865" s="1393" t="n"/>
      <c r="I1865" s="1393" t="n"/>
      <c r="J1865" s="1393" t="n"/>
      <c r="K1865" s="1395">
        <f>IF(raw[[#This Row],[city]]&lt;&gt;"",_xlfn.XLOOKUP($D1865,ccc[city],ccc[prov],"-"),"-")</f>
        <v/>
      </c>
      <c r="L1865" s="1395">
        <f>IF(raw[[#This Row],[city]]&lt;&gt;"",_xlfn.XLOOKUP($D1865,ccc[city],ccc[ctry],"-"),"-")</f>
        <v/>
      </c>
      <c r="M1865" s="1395">
        <f>IF(raw[[#This Row],[city]]&lt;&gt;"",_xlfn.XLOOKUP($D1865,ccc[city],ccc[cont],"-"),"-")</f>
        <v/>
      </c>
      <c r="N1865" s="1396">
        <f>IF(raw[[#This Row],[city]]="","-",IF(raw[[#This Row],[cont]]="B",raw[[#This Row],[cont]],"W"))</f>
        <v/>
      </c>
      <c r="O1865" s="1397">
        <f>IF(raw[[#This Row],[out]]=0,0,IF(raw[[#This Row],[out]]=raw[[#This Row],[in]],0.01,raw[[#This Row],[out]]-raw[[#This Row],[in]]))</f>
        <v/>
      </c>
      <c r="P1865" s="1397">
        <f>IF(raw[[#This Row],[in]]=0,0,MONTH(raw[[#This Row],[in]]))</f>
        <v/>
      </c>
      <c r="Q1865" s="1397">
        <f>IF(raw[[#This Row],[in]]=0,0,YEAR(raw[[#This Row],[in]]))</f>
        <v/>
      </c>
      <c r="R1865" s="1397">
        <f>INT(raw[[#This Row],[yr]]/10)*10</f>
        <v/>
      </c>
      <c r="S1865" s="1395">
        <f>IF(raw[[#This Row],[city]]="","-",IF(raw[[#This Row],[city]]&lt;&gt;_xlfn.XLOOKUP(raw[[#This Row],[home]],homes[home],homes[city],"-"),1,0))</f>
        <v/>
      </c>
      <c r="T1865" s="1398" t="inlineStr">
        <is>
          <t>.</t>
        </is>
      </c>
      <c r="U1865" s="1399">
        <f>IF(raw[[#This Row],[wb]]="w",raw[[#This Row],[stay]]+U1864,U1864)</f>
        <v/>
      </c>
      <c r="V1865" s="1400">
        <f>IF(raw[[#This Row],[out]]=0,V1864,(raw[[#This Row],[out]]-E$5))</f>
        <v/>
      </c>
      <c r="W1865" s="1401">
        <f>U1865/V1865</f>
        <v/>
      </c>
      <c r="X1865" s="1392" t="n"/>
      <c r="Y1865" s="1392" t="n"/>
      <c r="Z1865" s="1422" t="n"/>
      <c r="AA1865" s="1422" t="n"/>
      <c r="AB1865" s="1392" t="n"/>
      <c r="AC1865" s="1392" t="n"/>
      <c r="AD1865" s="1392" t="n"/>
      <c r="AE1865" s="1392" t="n"/>
      <c r="AF1865" s="1392" t="n"/>
      <c r="AG1865" s="1392" t="n"/>
      <c r="AH1865" s="1392" t="n"/>
      <c r="AI1865" s="1392" t="n"/>
      <c r="AJ1865" s="1392" t="n"/>
      <c r="AK1865" s="1392" t="n"/>
      <c r="AL1865" s="1392" t="n"/>
      <c r="AM1865" s="1392" t="n"/>
      <c r="AN1865" s="1392" t="n"/>
      <c r="AO1865" s="1392" t="n"/>
      <c r="AP1865" s="1392" t="n"/>
      <c r="AQ1865" s="1392" t="n"/>
      <c r="AR1865" s="1392" t="n"/>
      <c r="AS1865" s="1422" t="n"/>
      <c r="AT1865" s="1392" t="n"/>
      <c r="AU1865" s="1392" t="n"/>
      <c r="AV1865" s="1392" t="n"/>
      <c r="AW1865" s="1392" t="n"/>
      <c r="AX1865" s="1392" t="n"/>
      <c r="AY1865" s="1392" t="n"/>
      <c r="AZ1865" s="1392" t="n"/>
      <c r="BA1865" s="1392" t="n"/>
      <c r="BB1865" s="1422" t="n"/>
      <c r="BC1865" s="1392" t="n"/>
      <c r="BD1865" s="1392" t="n"/>
      <c r="BE1865" s="1392" t="n"/>
      <c r="BF1865" s="1392" t="n"/>
      <c r="BG1865" s="1392" t="n"/>
      <c r="BH1865" s="1392" t="n"/>
      <c r="BI1865" s="1392" t="n"/>
      <c r="BJ1865" s="1392" t="n"/>
      <c r="BK1865" s="1392" t="n"/>
      <c r="BL1865" s="1392" t="n"/>
      <c r="BM1865" s="1392" t="n"/>
      <c r="BN1865" s="1392" t="n"/>
      <c r="BO1865" s="1392" t="n"/>
      <c r="BP1865" s="1392" t="n"/>
      <c r="BQ1865" s="1392" t="n"/>
      <c r="BR1865" s="1392" t="n"/>
      <c r="BS1865" s="1392" t="n"/>
      <c r="BT1865" s="1392" t="n"/>
      <c r="BU1865" s="1416" t="n"/>
      <c r="BV1865" s="1392" t="n"/>
      <c r="BW1865" s="1392" t="n"/>
      <c r="BX1865" s="1392" t="n"/>
      <c r="BY1865" s="1392" t="n"/>
      <c r="BZ1865" s="1416" t="n"/>
      <c r="CA1865" s="1392" t="n"/>
      <c r="CB1865" s="1392" t="n"/>
      <c r="CC1865" s="1392" t="n"/>
      <c r="CD1865" s="1392" t="n"/>
      <c r="CE1865" s="1392" t="n"/>
      <c r="CF1865" s="1392" t="n"/>
      <c r="CG1865" s="1392" t="n"/>
      <c r="CH1865" s="1392" t="n"/>
      <c r="CI1865" s="1392" t="n"/>
      <c r="CJ1865" s="1392" t="n"/>
      <c r="CK1865" s="1392" t="n"/>
      <c r="CL1865" s="1392" t="n"/>
    </row>
    <row r="1866">
      <c r="A1866" s="5" t="inlineStr">
        <is>
          <t>.</t>
        </is>
      </c>
      <c r="B1866" s="5" t="inlineStr">
        <is>
          <t>.</t>
        </is>
      </c>
      <c r="C1866" s="1378">
        <f>IF(raw[[#This Row],[city]]="","-",IF(raw[[#This Row],[city]]="TODAY","-",C1865+1))</f>
        <v/>
      </c>
      <c r="D1866" s="1393" t="n"/>
      <c r="E1866" s="1394" t="n"/>
      <c r="F1866" s="1394" t="n"/>
      <c r="G1866" s="1393" t="n"/>
      <c r="H1866" s="1393" t="n"/>
      <c r="I1866" s="1393" t="n"/>
      <c r="J1866" s="1393" t="n"/>
      <c r="K1866" s="1395">
        <f>IF(raw[[#This Row],[city]]&lt;&gt;"",_xlfn.XLOOKUP($D1866,ccc[city],ccc[prov],"-"),"-")</f>
        <v/>
      </c>
      <c r="L1866" s="1395">
        <f>IF(raw[[#This Row],[city]]&lt;&gt;"",_xlfn.XLOOKUP($D1866,ccc[city],ccc[ctry],"-"),"-")</f>
        <v/>
      </c>
      <c r="M1866" s="1395">
        <f>IF(raw[[#This Row],[city]]&lt;&gt;"",_xlfn.XLOOKUP($D1866,ccc[city],ccc[cont],"-"),"-")</f>
        <v/>
      </c>
      <c r="N1866" s="1396">
        <f>IF(raw[[#This Row],[city]]="","-",IF(raw[[#This Row],[cont]]="B",raw[[#This Row],[cont]],"W"))</f>
        <v/>
      </c>
      <c r="O1866" s="1397">
        <f>IF(raw[[#This Row],[out]]=0,0,IF(raw[[#This Row],[out]]=raw[[#This Row],[in]],0.01,raw[[#This Row],[out]]-raw[[#This Row],[in]]))</f>
        <v/>
      </c>
      <c r="P1866" s="1397">
        <f>IF(raw[[#This Row],[in]]=0,0,MONTH(raw[[#This Row],[in]]))</f>
        <v/>
      </c>
      <c r="Q1866" s="1397">
        <f>IF(raw[[#This Row],[in]]=0,0,YEAR(raw[[#This Row],[in]]))</f>
        <v/>
      </c>
      <c r="R1866" s="1397">
        <f>INT(raw[[#This Row],[yr]]/10)*10</f>
        <v/>
      </c>
      <c r="S1866" s="1395">
        <f>IF(raw[[#This Row],[city]]="","-",IF(raw[[#This Row],[city]]&lt;&gt;_xlfn.XLOOKUP(raw[[#This Row],[home]],homes[home],homes[city],"-"),1,0))</f>
        <v/>
      </c>
      <c r="T1866" s="1398" t="inlineStr">
        <is>
          <t>.</t>
        </is>
      </c>
      <c r="U1866" s="1399">
        <f>IF(raw[[#This Row],[wb]]="w",raw[[#This Row],[stay]]+U1865,U1865)</f>
        <v/>
      </c>
      <c r="V1866" s="1400">
        <f>IF(raw[[#This Row],[out]]=0,V1865,(raw[[#This Row],[out]]-E$5))</f>
        <v/>
      </c>
      <c r="W1866" s="1401">
        <f>U1866/V1866</f>
        <v/>
      </c>
      <c r="X1866" s="1392" t="n"/>
      <c r="Y1866" s="1392" t="n"/>
      <c r="Z1866" s="1422" t="n"/>
      <c r="AA1866" s="1422" t="n"/>
      <c r="AB1866" s="1392" t="n"/>
      <c r="AC1866" s="1392" t="n"/>
      <c r="AD1866" s="1392" t="n"/>
      <c r="AE1866" s="1392" t="n"/>
      <c r="AF1866" s="1392" t="n"/>
      <c r="AG1866" s="1392" t="n"/>
      <c r="AH1866" s="1392" t="n"/>
      <c r="AI1866" s="1392" t="n"/>
      <c r="AJ1866" s="1392" t="n"/>
      <c r="AK1866" s="1392" t="n"/>
      <c r="AL1866" s="1392" t="n"/>
      <c r="AM1866" s="1392" t="n"/>
      <c r="AN1866" s="1392" t="n"/>
      <c r="AO1866" s="1392" t="n"/>
      <c r="AP1866" s="1392" t="n"/>
      <c r="AQ1866" s="1392" t="n"/>
      <c r="AR1866" s="1392" t="n"/>
      <c r="AS1866" s="1422" t="n"/>
      <c r="AT1866" s="1392" t="n"/>
      <c r="AU1866" s="1392" t="n"/>
      <c r="AV1866" s="1392" t="n"/>
      <c r="AW1866" s="1392" t="n"/>
      <c r="AX1866" s="1392" t="n"/>
      <c r="AY1866" s="1392" t="n"/>
      <c r="AZ1866" s="1392" t="n"/>
      <c r="BA1866" s="1392" t="n"/>
      <c r="BB1866" s="1422" t="n"/>
      <c r="BC1866" s="1392" t="n"/>
      <c r="BD1866" s="1392" t="n"/>
      <c r="BE1866" s="1392" t="n"/>
      <c r="BF1866" s="1392" t="n"/>
      <c r="BG1866" s="1392" t="n"/>
      <c r="BH1866" s="1392" t="n"/>
      <c r="BI1866" s="1392" t="n"/>
      <c r="BJ1866" s="1392" t="n"/>
      <c r="BK1866" s="1392" t="n"/>
      <c r="BL1866" s="1392" t="n"/>
      <c r="BM1866" s="1392" t="n"/>
      <c r="BN1866" s="1392" t="n"/>
      <c r="BO1866" s="1392" t="n"/>
      <c r="BP1866" s="1392" t="n"/>
      <c r="BQ1866" s="1392" t="n"/>
      <c r="BR1866" s="1392" t="n"/>
      <c r="BS1866" s="1392" t="n"/>
      <c r="BT1866" s="1392" t="n"/>
      <c r="BU1866" s="1416" t="n"/>
      <c r="BV1866" s="1392" t="n"/>
      <c r="BW1866" s="1392" t="n"/>
      <c r="BX1866" s="1392" t="n"/>
      <c r="BY1866" s="1392" t="n"/>
      <c r="BZ1866" s="1416" t="n"/>
      <c r="CA1866" s="1392" t="n"/>
      <c r="CB1866" s="1392" t="n"/>
      <c r="CC1866" s="1392" t="n"/>
      <c r="CD1866" s="1392" t="n"/>
      <c r="CE1866" s="1392" t="n"/>
      <c r="CF1866" s="1392" t="n"/>
      <c r="CG1866" s="1392" t="n"/>
      <c r="CH1866" s="1392" t="n"/>
      <c r="CI1866" s="1392" t="n"/>
      <c r="CJ1866" s="1392" t="n"/>
      <c r="CK1866" s="1392" t="n"/>
      <c r="CL1866" s="1392" t="n"/>
    </row>
    <row r="1867">
      <c r="A1867" s="5" t="inlineStr">
        <is>
          <t>.</t>
        </is>
      </c>
      <c r="B1867" s="5" t="inlineStr">
        <is>
          <t>.</t>
        </is>
      </c>
      <c r="C1867" s="1378">
        <f>IF(raw[[#This Row],[city]]="","-",IF(raw[[#This Row],[city]]="TODAY","-",C1866+1))</f>
        <v/>
      </c>
      <c r="D1867" s="1393" t="n"/>
      <c r="E1867" s="1394" t="n"/>
      <c r="F1867" s="1394" t="n"/>
      <c r="G1867" s="1393" t="n"/>
      <c r="H1867" s="1393" t="n"/>
      <c r="I1867" s="1393" t="n"/>
      <c r="J1867" s="1393" t="n"/>
      <c r="K1867" s="1395">
        <f>IF(raw[[#This Row],[city]]&lt;&gt;"",_xlfn.XLOOKUP($D1867,ccc[city],ccc[prov],"-"),"-")</f>
        <v/>
      </c>
      <c r="L1867" s="1395">
        <f>IF(raw[[#This Row],[city]]&lt;&gt;"",_xlfn.XLOOKUP($D1867,ccc[city],ccc[ctry],"-"),"-")</f>
        <v/>
      </c>
      <c r="M1867" s="1395">
        <f>IF(raw[[#This Row],[city]]&lt;&gt;"",_xlfn.XLOOKUP($D1867,ccc[city],ccc[cont],"-"),"-")</f>
        <v/>
      </c>
      <c r="N1867" s="1396">
        <f>IF(raw[[#This Row],[city]]="","-",IF(raw[[#This Row],[cont]]="B",raw[[#This Row],[cont]],"W"))</f>
        <v/>
      </c>
      <c r="O1867" s="1397">
        <f>IF(raw[[#This Row],[out]]=0,0,IF(raw[[#This Row],[out]]=raw[[#This Row],[in]],0.01,raw[[#This Row],[out]]-raw[[#This Row],[in]]))</f>
        <v/>
      </c>
      <c r="P1867" s="1397">
        <f>IF(raw[[#This Row],[in]]=0,0,MONTH(raw[[#This Row],[in]]))</f>
        <v/>
      </c>
      <c r="Q1867" s="1397">
        <f>IF(raw[[#This Row],[in]]=0,0,YEAR(raw[[#This Row],[in]]))</f>
        <v/>
      </c>
      <c r="R1867" s="1397">
        <f>INT(raw[[#This Row],[yr]]/10)*10</f>
        <v/>
      </c>
      <c r="S1867" s="1395">
        <f>IF(raw[[#This Row],[city]]="","-",IF(raw[[#This Row],[city]]&lt;&gt;_xlfn.XLOOKUP(raw[[#This Row],[home]],homes[home],homes[city],"-"),1,0))</f>
        <v/>
      </c>
      <c r="T1867" s="1398" t="inlineStr">
        <is>
          <t>.</t>
        </is>
      </c>
      <c r="U1867" s="1399">
        <f>IF(raw[[#This Row],[wb]]="w",raw[[#This Row],[stay]]+U1866,U1866)</f>
        <v/>
      </c>
      <c r="V1867" s="1400">
        <f>IF(raw[[#This Row],[out]]=0,V1866,(raw[[#This Row],[out]]-E$5))</f>
        <v/>
      </c>
      <c r="W1867" s="1401">
        <f>U1867/V1867</f>
        <v/>
      </c>
      <c r="X1867" s="1392" t="n"/>
      <c r="Y1867" s="1392" t="n"/>
      <c r="Z1867" s="1422" t="n"/>
      <c r="AA1867" s="1422" t="n"/>
      <c r="AB1867" s="1392" t="n"/>
      <c r="AC1867" s="1392" t="n"/>
      <c r="AD1867" s="1392" t="n"/>
      <c r="AE1867" s="1392" t="n"/>
      <c r="AF1867" s="1392" t="n"/>
      <c r="AG1867" s="1392" t="n"/>
      <c r="AH1867" s="1392" t="n"/>
      <c r="AI1867" s="1392" t="n"/>
      <c r="AJ1867" s="1392" t="n"/>
      <c r="AK1867" s="1392" t="n"/>
      <c r="AL1867" s="1392" t="n"/>
      <c r="AM1867" s="1392" t="n"/>
      <c r="AN1867" s="1392" t="n"/>
      <c r="AO1867" s="1392" t="n"/>
      <c r="AP1867" s="1392" t="n"/>
      <c r="AQ1867" s="1392" t="n"/>
      <c r="AR1867" s="1392" t="n"/>
      <c r="AS1867" s="1422" t="n"/>
      <c r="AT1867" s="1392" t="n"/>
      <c r="AU1867" s="1392" t="n"/>
      <c r="AV1867" s="1392" t="n"/>
      <c r="AW1867" s="1392" t="n"/>
      <c r="AX1867" s="1392" t="n"/>
      <c r="AY1867" s="1392" t="n"/>
      <c r="AZ1867" s="1392" t="n"/>
      <c r="BA1867" s="1392" t="n"/>
      <c r="BB1867" s="1422" t="n"/>
      <c r="BC1867" s="1392" t="n"/>
      <c r="BD1867" s="1392" t="n"/>
      <c r="BE1867" s="1392" t="n"/>
      <c r="BF1867" s="1392" t="n"/>
      <c r="BG1867" s="1392" t="n"/>
      <c r="BH1867" s="1392" t="n"/>
      <c r="BI1867" s="1392" t="n"/>
      <c r="BJ1867" s="1392" t="n"/>
      <c r="BK1867" s="1392" t="n"/>
      <c r="BL1867" s="1392" t="n"/>
      <c r="BM1867" s="1392" t="n"/>
      <c r="BN1867" s="1392" t="n"/>
      <c r="BO1867" s="1392" t="n"/>
      <c r="BP1867" s="1392" t="n"/>
      <c r="BQ1867" s="1392" t="n"/>
      <c r="BR1867" s="1392" t="n"/>
      <c r="BS1867" s="1392" t="n"/>
      <c r="BT1867" s="1392" t="n"/>
      <c r="BU1867" s="1416" t="n"/>
      <c r="BV1867" s="1392" t="n"/>
      <c r="BW1867" s="1392" t="n"/>
      <c r="BX1867" s="1392" t="n"/>
      <c r="BY1867" s="1392" t="n"/>
      <c r="BZ1867" s="1416" t="n"/>
      <c r="CA1867" s="1392" t="n"/>
      <c r="CB1867" s="1392" t="n"/>
      <c r="CC1867" s="1392" t="n"/>
      <c r="CD1867" s="1392" t="n"/>
      <c r="CE1867" s="1392" t="n"/>
      <c r="CF1867" s="1392" t="n"/>
      <c r="CG1867" s="1392" t="n"/>
      <c r="CH1867" s="1392" t="n"/>
      <c r="CI1867" s="1392" t="n"/>
      <c r="CJ1867" s="1392" t="n"/>
      <c r="CK1867" s="1392" t="n"/>
      <c r="CL1867" s="1392" t="n"/>
    </row>
    <row r="1868">
      <c r="A1868" s="5" t="inlineStr">
        <is>
          <t>.</t>
        </is>
      </c>
      <c r="B1868" s="5" t="inlineStr">
        <is>
          <t>.</t>
        </is>
      </c>
      <c r="C1868" s="1378">
        <f>IF(raw[[#This Row],[city]]="","-",IF(raw[[#This Row],[city]]="TODAY","-",C1867+1))</f>
        <v/>
      </c>
      <c r="D1868" s="1393" t="n"/>
      <c r="E1868" s="1394" t="n"/>
      <c r="F1868" s="1394" t="n"/>
      <c r="G1868" s="1393" t="n"/>
      <c r="H1868" s="1393" t="n"/>
      <c r="I1868" s="1393" t="n"/>
      <c r="J1868" s="1393" t="n"/>
      <c r="K1868" s="1395">
        <f>IF(raw[[#This Row],[city]]&lt;&gt;"",_xlfn.XLOOKUP($D1868,ccc[city],ccc[prov],"-"),"-")</f>
        <v/>
      </c>
      <c r="L1868" s="1395">
        <f>IF(raw[[#This Row],[city]]&lt;&gt;"",_xlfn.XLOOKUP($D1868,ccc[city],ccc[ctry],"-"),"-")</f>
        <v/>
      </c>
      <c r="M1868" s="1395">
        <f>IF(raw[[#This Row],[city]]&lt;&gt;"",_xlfn.XLOOKUP($D1868,ccc[city],ccc[cont],"-"),"-")</f>
        <v/>
      </c>
      <c r="N1868" s="1396">
        <f>IF(raw[[#This Row],[city]]="","-",IF(raw[[#This Row],[cont]]="B",raw[[#This Row],[cont]],"W"))</f>
        <v/>
      </c>
      <c r="O1868" s="1397">
        <f>IF(raw[[#This Row],[out]]=0,0,IF(raw[[#This Row],[out]]=raw[[#This Row],[in]],0.01,raw[[#This Row],[out]]-raw[[#This Row],[in]]))</f>
        <v/>
      </c>
      <c r="P1868" s="1397">
        <f>IF(raw[[#This Row],[in]]=0,0,MONTH(raw[[#This Row],[in]]))</f>
        <v/>
      </c>
      <c r="Q1868" s="1397">
        <f>IF(raw[[#This Row],[in]]=0,0,YEAR(raw[[#This Row],[in]]))</f>
        <v/>
      </c>
      <c r="R1868" s="1397">
        <f>INT(raw[[#This Row],[yr]]/10)*10</f>
        <v/>
      </c>
      <c r="S1868" s="1395">
        <f>IF(raw[[#This Row],[city]]="","-",IF(raw[[#This Row],[city]]&lt;&gt;_xlfn.XLOOKUP(raw[[#This Row],[home]],homes[home],homes[city],"-"),1,0))</f>
        <v/>
      </c>
      <c r="T1868" s="1398" t="inlineStr">
        <is>
          <t>.</t>
        </is>
      </c>
      <c r="U1868" s="1399">
        <f>IF(raw[[#This Row],[wb]]="w",raw[[#This Row],[stay]]+U1867,U1867)</f>
        <v/>
      </c>
      <c r="V1868" s="1400">
        <f>IF(raw[[#This Row],[out]]=0,V1867,(raw[[#This Row],[out]]-E$5))</f>
        <v/>
      </c>
      <c r="W1868" s="1401">
        <f>U1868/V1868</f>
        <v/>
      </c>
      <c r="X1868" s="1392" t="n"/>
      <c r="Y1868" s="1392" t="n"/>
      <c r="Z1868" s="1422" t="n"/>
      <c r="AA1868" s="1422" t="n"/>
      <c r="AB1868" s="1392" t="n"/>
      <c r="AC1868" s="1392" t="n"/>
      <c r="AD1868" s="1392" t="n"/>
      <c r="AE1868" s="1392" t="n"/>
      <c r="AF1868" s="1392" t="n"/>
      <c r="AG1868" s="1392" t="n"/>
      <c r="AH1868" s="1392" t="n"/>
      <c r="AI1868" s="1392" t="n"/>
      <c r="AJ1868" s="1392" t="n"/>
      <c r="AK1868" s="1392" t="n"/>
      <c r="AL1868" s="1392" t="n"/>
      <c r="AM1868" s="1392" t="n"/>
      <c r="AN1868" s="1392" t="n"/>
      <c r="AO1868" s="1392" t="n"/>
      <c r="AP1868" s="1392" t="n"/>
      <c r="AQ1868" s="1392" t="n"/>
      <c r="AR1868" s="1392" t="n"/>
      <c r="AS1868" s="1422" t="n"/>
      <c r="AT1868" s="1392" t="n"/>
      <c r="AU1868" s="1392" t="n"/>
      <c r="AV1868" s="1392" t="n"/>
      <c r="AW1868" s="1392" t="n"/>
      <c r="AX1868" s="1392" t="n"/>
      <c r="AY1868" s="1392" t="n"/>
      <c r="AZ1868" s="1392" t="n"/>
      <c r="BA1868" s="1392" t="n"/>
      <c r="BB1868" s="1422" t="n"/>
      <c r="BC1868" s="1392" t="n"/>
      <c r="BD1868" s="1392" t="n"/>
      <c r="BE1868" s="1392" t="n"/>
      <c r="BF1868" s="1392" t="n"/>
      <c r="BG1868" s="1392" t="n"/>
      <c r="BH1868" s="1392" t="n"/>
      <c r="BI1868" s="1392" t="n"/>
      <c r="BJ1868" s="1392" t="n"/>
      <c r="BK1868" s="1392" t="n"/>
      <c r="BL1868" s="1392" t="n"/>
      <c r="BM1868" s="1392" t="n"/>
      <c r="BN1868" s="1392" t="n"/>
      <c r="BO1868" s="1392" t="n"/>
      <c r="BP1868" s="1392" t="n"/>
      <c r="BQ1868" s="1392" t="n"/>
      <c r="BR1868" s="1392" t="n"/>
      <c r="BS1868" s="1392" t="n"/>
      <c r="BT1868" s="1392" t="n"/>
      <c r="BU1868" s="1416" t="n"/>
      <c r="BV1868" s="1392" t="n"/>
      <c r="BW1868" s="1392" t="n"/>
      <c r="BX1868" s="1392" t="n"/>
      <c r="BY1868" s="1392" t="n"/>
      <c r="BZ1868" s="1416" t="n"/>
      <c r="CA1868" s="1392" t="n"/>
      <c r="CB1868" s="1392" t="n"/>
      <c r="CC1868" s="1392" t="n"/>
      <c r="CD1868" s="1392" t="n"/>
      <c r="CE1868" s="1392" t="n"/>
      <c r="CF1868" s="1392" t="n"/>
      <c r="CG1868" s="1392" t="n"/>
      <c r="CH1868" s="1392" t="n"/>
      <c r="CI1868" s="1392" t="n"/>
      <c r="CJ1868" s="1392" t="n"/>
      <c r="CK1868" s="1392" t="n"/>
      <c r="CL1868" s="1392" t="n"/>
    </row>
    <row r="1869">
      <c r="A1869" s="5" t="inlineStr">
        <is>
          <t>.</t>
        </is>
      </c>
      <c r="B1869" s="5" t="inlineStr">
        <is>
          <t>.</t>
        </is>
      </c>
      <c r="C1869" s="1378">
        <f>IF(raw[[#This Row],[city]]="","-",IF(raw[[#This Row],[city]]="TODAY","-",C1868+1))</f>
        <v/>
      </c>
      <c r="D1869" s="1393" t="n"/>
      <c r="E1869" s="1394" t="n"/>
      <c r="F1869" s="1394" t="n"/>
      <c r="G1869" s="1393" t="n"/>
      <c r="H1869" s="1393" t="n"/>
      <c r="I1869" s="1393" t="n"/>
      <c r="J1869" s="1393" t="n"/>
      <c r="K1869" s="1395">
        <f>IF(raw[[#This Row],[city]]&lt;&gt;"",_xlfn.XLOOKUP($D1869,ccc[city],ccc[prov],"-"),"-")</f>
        <v/>
      </c>
      <c r="L1869" s="1395">
        <f>IF(raw[[#This Row],[city]]&lt;&gt;"",_xlfn.XLOOKUP($D1869,ccc[city],ccc[ctry],"-"),"-")</f>
        <v/>
      </c>
      <c r="M1869" s="1395">
        <f>IF(raw[[#This Row],[city]]&lt;&gt;"",_xlfn.XLOOKUP($D1869,ccc[city],ccc[cont],"-"),"-")</f>
        <v/>
      </c>
      <c r="N1869" s="1396">
        <f>IF(raw[[#This Row],[city]]="","-",IF(raw[[#This Row],[cont]]="B",raw[[#This Row],[cont]],"W"))</f>
        <v/>
      </c>
      <c r="O1869" s="1397">
        <f>IF(raw[[#This Row],[out]]=0,0,IF(raw[[#This Row],[out]]=raw[[#This Row],[in]],0.01,raw[[#This Row],[out]]-raw[[#This Row],[in]]))</f>
        <v/>
      </c>
      <c r="P1869" s="1397">
        <f>IF(raw[[#This Row],[in]]=0,0,MONTH(raw[[#This Row],[in]]))</f>
        <v/>
      </c>
      <c r="Q1869" s="1397">
        <f>IF(raw[[#This Row],[in]]=0,0,YEAR(raw[[#This Row],[in]]))</f>
        <v/>
      </c>
      <c r="R1869" s="1397">
        <f>INT(raw[[#This Row],[yr]]/10)*10</f>
        <v/>
      </c>
      <c r="S1869" s="1395">
        <f>IF(raw[[#This Row],[city]]="","-",IF(raw[[#This Row],[city]]&lt;&gt;_xlfn.XLOOKUP(raw[[#This Row],[home]],homes[home],homes[city],"-"),1,0))</f>
        <v/>
      </c>
      <c r="T1869" s="1398" t="inlineStr">
        <is>
          <t>.</t>
        </is>
      </c>
      <c r="U1869" s="1399">
        <f>IF(raw[[#This Row],[wb]]="w",raw[[#This Row],[stay]]+U1868,U1868)</f>
        <v/>
      </c>
      <c r="V1869" s="1400">
        <f>IF(raw[[#This Row],[out]]=0,V1868,(raw[[#This Row],[out]]-E$5))</f>
        <v/>
      </c>
      <c r="W1869" s="1401">
        <f>U1869/V1869</f>
        <v/>
      </c>
      <c r="X1869" s="1392" t="n"/>
      <c r="Y1869" s="1392" t="n"/>
      <c r="Z1869" s="1422" t="n"/>
      <c r="AA1869" s="1422" t="n"/>
      <c r="AB1869" s="1392" t="n"/>
      <c r="AC1869" s="1392" t="n"/>
      <c r="AD1869" s="1392" t="n"/>
      <c r="AE1869" s="1392" t="n"/>
      <c r="AF1869" s="1392" t="n"/>
      <c r="AG1869" s="1392" t="n"/>
      <c r="AH1869" s="1392" t="n"/>
      <c r="AI1869" s="1392" t="n"/>
      <c r="AJ1869" s="1392" t="n"/>
      <c r="AK1869" s="1392" t="n"/>
      <c r="AL1869" s="1392" t="n"/>
      <c r="AM1869" s="1392" t="n"/>
      <c r="AN1869" s="1392" t="n"/>
      <c r="AO1869" s="1392" t="n"/>
      <c r="AP1869" s="1392" t="n"/>
      <c r="AQ1869" s="1392" t="n"/>
      <c r="AR1869" s="1392" t="n"/>
      <c r="AS1869" s="1422" t="n"/>
      <c r="AT1869" s="1392" t="n"/>
      <c r="AU1869" s="1392" t="n"/>
      <c r="AV1869" s="1392" t="n"/>
      <c r="AW1869" s="1392" t="n"/>
      <c r="AX1869" s="1392" t="n"/>
      <c r="AY1869" s="1392" t="n"/>
      <c r="AZ1869" s="1392" t="n"/>
      <c r="BA1869" s="1392" t="n"/>
      <c r="BB1869" s="1422" t="n"/>
      <c r="BC1869" s="1392" t="n"/>
      <c r="BD1869" s="1392" t="n"/>
      <c r="BE1869" s="1392" t="n"/>
      <c r="BF1869" s="1392" t="n"/>
      <c r="BG1869" s="1392" t="n"/>
      <c r="BH1869" s="1392" t="n"/>
      <c r="BI1869" s="1392" t="n"/>
      <c r="BJ1869" s="1392" t="n"/>
      <c r="BK1869" s="1392" t="n"/>
      <c r="BL1869" s="1392" t="n"/>
      <c r="BM1869" s="1392" t="n"/>
      <c r="BN1869" s="1392" t="n"/>
      <c r="BO1869" s="1392" t="n"/>
      <c r="BP1869" s="1392" t="n"/>
      <c r="BQ1869" s="1392" t="n"/>
      <c r="BR1869" s="1392" t="n"/>
      <c r="BS1869" s="1392" t="n"/>
      <c r="BT1869" s="1392" t="n"/>
      <c r="BU1869" s="1416" t="n"/>
      <c r="BV1869" s="1392" t="n"/>
      <c r="BW1869" s="1392" t="n"/>
      <c r="BX1869" s="1392" t="n"/>
      <c r="BY1869" s="1392" t="n"/>
      <c r="BZ1869" s="1416" t="n"/>
      <c r="CA1869" s="1392" t="n"/>
      <c r="CB1869" s="1392" t="n"/>
      <c r="CC1869" s="1392" t="n"/>
      <c r="CD1869" s="1392" t="n"/>
      <c r="CE1869" s="1392" t="n"/>
      <c r="CF1869" s="1392" t="n"/>
      <c r="CG1869" s="1392" t="n"/>
      <c r="CH1869" s="1392" t="n"/>
      <c r="CI1869" s="1392" t="n"/>
      <c r="CJ1869" s="1392" t="n"/>
      <c r="CK1869" s="1392" t="n"/>
      <c r="CL1869" s="1392" t="n"/>
    </row>
    <row r="1870">
      <c r="A1870" s="5" t="inlineStr">
        <is>
          <t>.</t>
        </is>
      </c>
      <c r="B1870" s="5" t="inlineStr">
        <is>
          <t>.</t>
        </is>
      </c>
      <c r="C1870" s="1378">
        <f>IF(raw[[#This Row],[city]]="","-",IF(raw[[#This Row],[city]]="TODAY","-",C1869+1))</f>
        <v/>
      </c>
      <c r="D1870" s="1393" t="n"/>
      <c r="E1870" s="1394" t="n"/>
      <c r="F1870" s="1394" t="n"/>
      <c r="G1870" s="1393" t="n"/>
      <c r="H1870" s="1393" t="n"/>
      <c r="I1870" s="1393" t="n"/>
      <c r="J1870" s="1393" t="n"/>
      <c r="K1870" s="1395">
        <f>IF(raw[[#This Row],[city]]&lt;&gt;"",_xlfn.XLOOKUP($D1870,ccc[city],ccc[prov],"-"),"-")</f>
        <v/>
      </c>
      <c r="L1870" s="1395">
        <f>IF(raw[[#This Row],[city]]&lt;&gt;"",_xlfn.XLOOKUP($D1870,ccc[city],ccc[ctry],"-"),"-")</f>
        <v/>
      </c>
      <c r="M1870" s="1395">
        <f>IF(raw[[#This Row],[city]]&lt;&gt;"",_xlfn.XLOOKUP($D1870,ccc[city],ccc[cont],"-"),"-")</f>
        <v/>
      </c>
      <c r="N1870" s="1396">
        <f>IF(raw[[#This Row],[city]]="","-",IF(raw[[#This Row],[cont]]="B",raw[[#This Row],[cont]],"W"))</f>
        <v/>
      </c>
      <c r="O1870" s="1397">
        <f>IF(raw[[#This Row],[out]]=0,0,IF(raw[[#This Row],[out]]=raw[[#This Row],[in]],0.01,raw[[#This Row],[out]]-raw[[#This Row],[in]]))</f>
        <v/>
      </c>
      <c r="P1870" s="1397">
        <f>IF(raw[[#This Row],[in]]=0,0,MONTH(raw[[#This Row],[in]]))</f>
        <v/>
      </c>
      <c r="Q1870" s="1397">
        <f>IF(raw[[#This Row],[in]]=0,0,YEAR(raw[[#This Row],[in]]))</f>
        <v/>
      </c>
      <c r="R1870" s="1397">
        <f>INT(raw[[#This Row],[yr]]/10)*10</f>
        <v/>
      </c>
      <c r="S1870" s="1395">
        <f>IF(raw[[#This Row],[city]]="","-",IF(raw[[#This Row],[city]]&lt;&gt;_xlfn.XLOOKUP(raw[[#This Row],[home]],homes[home],homes[city],"-"),1,0))</f>
        <v/>
      </c>
      <c r="T1870" s="1398" t="inlineStr">
        <is>
          <t>.</t>
        </is>
      </c>
      <c r="U1870" s="1399">
        <f>IF(raw[[#This Row],[wb]]="w",raw[[#This Row],[stay]]+U1869,U1869)</f>
        <v/>
      </c>
      <c r="V1870" s="1400">
        <f>IF(raw[[#This Row],[out]]=0,V1869,(raw[[#This Row],[out]]-E$5))</f>
        <v/>
      </c>
      <c r="W1870" s="1401">
        <f>U1870/V1870</f>
        <v/>
      </c>
      <c r="X1870" s="1392" t="n"/>
      <c r="Y1870" s="1392" t="n"/>
      <c r="Z1870" s="1422" t="n"/>
      <c r="AA1870" s="1422" t="n"/>
      <c r="AB1870" s="1392" t="n"/>
      <c r="AC1870" s="1392" t="n"/>
      <c r="AD1870" s="1392" t="n"/>
      <c r="AE1870" s="1392" t="n"/>
      <c r="AF1870" s="1392" t="n"/>
      <c r="AG1870" s="1392" t="n"/>
      <c r="AH1870" s="1392" t="n"/>
      <c r="AI1870" s="1392" t="n"/>
      <c r="AJ1870" s="1392" t="n"/>
      <c r="AK1870" s="1392" t="n"/>
      <c r="AL1870" s="1392" t="n"/>
      <c r="AM1870" s="1392" t="n"/>
      <c r="AN1870" s="1392" t="n"/>
      <c r="AO1870" s="1392" t="n"/>
      <c r="AP1870" s="1392" t="n"/>
      <c r="AQ1870" s="1392" t="n"/>
      <c r="AR1870" s="1392" t="n"/>
      <c r="AS1870" s="1422" t="n"/>
      <c r="AT1870" s="1392" t="n"/>
      <c r="AU1870" s="1392" t="n"/>
      <c r="AV1870" s="1392" t="n"/>
      <c r="AW1870" s="1392" t="n"/>
      <c r="AX1870" s="1392" t="n"/>
      <c r="AY1870" s="1392" t="n"/>
      <c r="AZ1870" s="1392" t="n"/>
      <c r="BA1870" s="1392" t="n"/>
      <c r="BB1870" s="1422" t="n"/>
      <c r="BC1870" s="1392" t="n"/>
      <c r="BD1870" s="1392" t="n"/>
      <c r="BE1870" s="1392" t="n"/>
      <c r="BF1870" s="1392" t="n"/>
      <c r="BG1870" s="1392" t="n"/>
      <c r="BH1870" s="1392" t="n"/>
      <c r="BI1870" s="1392" t="n"/>
      <c r="BJ1870" s="1392" t="n"/>
      <c r="BK1870" s="1392" t="n"/>
      <c r="BL1870" s="1392" t="n"/>
      <c r="BM1870" s="1392" t="n"/>
      <c r="BN1870" s="1392" t="n"/>
      <c r="BO1870" s="1392" t="n"/>
      <c r="BP1870" s="1392" t="n"/>
      <c r="BQ1870" s="1392" t="n"/>
      <c r="BR1870" s="1392" t="n"/>
      <c r="BS1870" s="1392" t="n"/>
      <c r="BT1870" s="1392" t="n"/>
      <c r="BU1870" s="1416" t="n"/>
      <c r="BV1870" s="1392" t="n"/>
      <c r="BW1870" s="1392" t="n"/>
      <c r="BX1870" s="1392" t="n"/>
      <c r="BY1870" s="1392" t="n"/>
      <c r="BZ1870" s="1416" t="n"/>
      <c r="CA1870" s="1392" t="n"/>
      <c r="CB1870" s="1392" t="n"/>
      <c r="CC1870" s="1392" t="n"/>
      <c r="CD1870" s="1392" t="n"/>
      <c r="CE1870" s="1392" t="n"/>
      <c r="CF1870" s="1392" t="n"/>
      <c r="CG1870" s="1392" t="n"/>
      <c r="CH1870" s="1392" t="n"/>
      <c r="CI1870" s="1392" t="n"/>
      <c r="CJ1870" s="1392" t="n"/>
      <c r="CK1870" s="1392" t="n"/>
      <c r="CL1870" s="1392" t="n"/>
    </row>
    <row r="1871">
      <c r="A1871" s="5" t="inlineStr">
        <is>
          <t>.</t>
        </is>
      </c>
      <c r="B1871" s="5" t="inlineStr">
        <is>
          <t>.</t>
        </is>
      </c>
      <c r="C1871" s="1378">
        <f>IF(raw[[#This Row],[city]]="","-",IF(raw[[#This Row],[city]]="TODAY","-",C1870+1))</f>
        <v/>
      </c>
      <c r="D1871" s="1393" t="n"/>
      <c r="E1871" s="1394" t="n"/>
      <c r="F1871" s="1394" t="n"/>
      <c r="G1871" s="1393" t="n"/>
      <c r="H1871" s="1393" t="n"/>
      <c r="I1871" s="1393" t="n"/>
      <c r="J1871" s="1393" t="n"/>
      <c r="K1871" s="1395">
        <f>IF(raw[[#This Row],[city]]&lt;&gt;"",_xlfn.XLOOKUP($D1871,ccc[city],ccc[prov],"-"),"-")</f>
        <v/>
      </c>
      <c r="L1871" s="1395">
        <f>IF(raw[[#This Row],[city]]&lt;&gt;"",_xlfn.XLOOKUP($D1871,ccc[city],ccc[ctry],"-"),"-")</f>
        <v/>
      </c>
      <c r="M1871" s="1395">
        <f>IF(raw[[#This Row],[city]]&lt;&gt;"",_xlfn.XLOOKUP($D1871,ccc[city],ccc[cont],"-"),"-")</f>
        <v/>
      </c>
      <c r="N1871" s="1396">
        <f>IF(raw[[#This Row],[city]]="","-",IF(raw[[#This Row],[cont]]="B",raw[[#This Row],[cont]],"W"))</f>
        <v/>
      </c>
      <c r="O1871" s="1397">
        <f>IF(raw[[#This Row],[out]]=0,0,IF(raw[[#This Row],[out]]=raw[[#This Row],[in]],0.01,raw[[#This Row],[out]]-raw[[#This Row],[in]]))</f>
        <v/>
      </c>
      <c r="P1871" s="1397">
        <f>IF(raw[[#This Row],[in]]=0,0,MONTH(raw[[#This Row],[in]]))</f>
        <v/>
      </c>
      <c r="Q1871" s="1397">
        <f>IF(raw[[#This Row],[in]]=0,0,YEAR(raw[[#This Row],[in]]))</f>
        <v/>
      </c>
      <c r="R1871" s="1397">
        <f>INT(raw[[#This Row],[yr]]/10)*10</f>
        <v/>
      </c>
      <c r="S1871" s="1395">
        <f>IF(raw[[#This Row],[city]]="","-",IF(raw[[#This Row],[city]]&lt;&gt;_xlfn.XLOOKUP(raw[[#This Row],[home]],homes[home],homes[city],"-"),1,0))</f>
        <v/>
      </c>
      <c r="T1871" s="1398" t="inlineStr">
        <is>
          <t>.</t>
        </is>
      </c>
      <c r="U1871" s="1399">
        <f>IF(raw[[#This Row],[wb]]="w",raw[[#This Row],[stay]]+U1870,U1870)</f>
        <v/>
      </c>
      <c r="V1871" s="1400">
        <f>IF(raw[[#This Row],[out]]=0,V1870,(raw[[#This Row],[out]]-E$5))</f>
        <v/>
      </c>
      <c r="W1871" s="1401">
        <f>U1871/V1871</f>
        <v/>
      </c>
      <c r="X1871" s="1392" t="n"/>
      <c r="Y1871" s="1392" t="n"/>
      <c r="Z1871" s="1422" t="n"/>
      <c r="AA1871" s="1422" t="n"/>
      <c r="AB1871" s="1392" t="n"/>
      <c r="AC1871" s="1392" t="n"/>
      <c r="AD1871" s="1392" t="n"/>
      <c r="AE1871" s="1392" t="n"/>
      <c r="AF1871" s="1392" t="n"/>
      <c r="AG1871" s="1392" t="n"/>
      <c r="AH1871" s="1392" t="n"/>
      <c r="AI1871" s="1392" t="n"/>
      <c r="AJ1871" s="1392" t="n"/>
      <c r="AK1871" s="1392" t="n"/>
      <c r="AL1871" s="1392" t="n"/>
      <c r="AM1871" s="1392" t="n"/>
      <c r="AN1871" s="1392" t="n"/>
      <c r="AO1871" s="1392" t="n"/>
      <c r="AP1871" s="1392" t="n"/>
      <c r="AQ1871" s="1392" t="n"/>
      <c r="AR1871" s="1392" t="n"/>
      <c r="AS1871" s="1422" t="n"/>
      <c r="AT1871" s="1392" t="n"/>
      <c r="AU1871" s="1392" t="n"/>
      <c r="AV1871" s="1392" t="n"/>
      <c r="AW1871" s="1392" t="n"/>
      <c r="AX1871" s="1392" t="n"/>
      <c r="AY1871" s="1392" t="n"/>
      <c r="AZ1871" s="1392" t="n"/>
      <c r="BA1871" s="1392" t="n"/>
      <c r="BB1871" s="1422" t="n"/>
      <c r="BC1871" s="1392" t="n"/>
      <c r="BD1871" s="1392" t="n"/>
      <c r="BE1871" s="1392" t="n"/>
      <c r="BF1871" s="1392" t="n"/>
      <c r="BG1871" s="1392" t="n"/>
      <c r="BH1871" s="1392" t="n"/>
      <c r="BI1871" s="1392" t="n"/>
      <c r="BJ1871" s="1392" t="n"/>
      <c r="BK1871" s="1392" t="n"/>
      <c r="BL1871" s="1392" t="n"/>
      <c r="BM1871" s="1392" t="n"/>
      <c r="BN1871" s="1392" t="n"/>
      <c r="BO1871" s="1392" t="n"/>
      <c r="BP1871" s="1392" t="n"/>
      <c r="BQ1871" s="1392" t="n"/>
      <c r="BR1871" s="1392" t="n"/>
      <c r="BS1871" s="1392" t="n"/>
      <c r="BT1871" s="1392" t="n"/>
      <c r="BU1871" s="1416" t="n"/>
      <c r="BV1871" s="1392" t="n"/>
      <c r="BW1871" s="1392" t="n"/>
      <c r="BX1871" s="1392" t="n"/>
      <c r="BY1871" s="1392" t="n"/>
      <c r="BZ1871" s="1416" t="n"/>
      <c r="CA1871" s="1392" t="n"/>
      <c r="CB1871" s="1392" t="n"/>
      <c r="CC1871" s="1392" t="n"/>
      <c r="CD1871" s="1392" t="n"/>
      <c r="CE1871" s="1392" t="n"/>
      <c r="CF1871" s="1392" t="n"/>
      <c r="CG1871" s="1392" t="n"/>
      <c r="CH1871" s="1392" t="n"/>
      <c r="CI1871" s="1392" t="n"/>
      <c r="CJ1871" s="1392" t="n"/>
      <c r="CK1871" s="1392" t="n"/>
      <c r="CL1871" s="1392" t="n"/>
    </row>
    <row r="1872">
      <c r="A1872" s="5" t="inlineStr">
        <is>
          <t>.</t>
        </is>
      </c>
      <c r="B1872" s="5" t="inlineStr">
        <is>
          <t>.</t>
        </is>
      </c>
      <c r="C1872" s="1378">
        <f>IF(raw[[#This Row],[city]]="","-",IF(raw[[#This Row],[city]]="TODAY","-",C1871+1))</f>
        <v/>
      </c>
      <c r="D1872" s="1393" t="n"/>
      <c r="E1872" s="1394" t="n"/>
      <c r="F1872" s="1394" t="n"/>
      <c r="G1872" s="1393" t="n"/>
      <c r="H1872" s="1393" t="n"/>
      <c r="I1872" s="1393" t="n"/>
      <c r="J1872" s="1393" t="n"/>
      <c r="K1872" s="1395">
        <f>IF(raw[[#This Row],[city]]&lt;&gt;"",_xlfn.XLOOKUP($D1872,ccc[city],ccc[prov],"-"),"-")</f>
        <v/>
      </c>
      <c r="L1872" s="1395">
        <f>IF(raw[[#This Row],[city]]&lt;&gt;"",_xlfn.XLOOKUP($D1872,ccc[city],ccc[ctry],"-"),"-")</f>
        <v/>
      </c>
      <c r="M1872" s="1395">
        <f>IF(raw[[#This Row],[city]]&lt;&gt;"",_xlfn.XLOOKUP($D1872,ccc[city],ccc[cont],"-"),"-")</f>
        <v/>
      </c>
      <c r="N1872" s="1396">
        <f>IF(raw[[#This Row],[city]]="","-",IF(raw[[#This Row],[cont]]="B",raw[[#This Row],[cont]],"W"))</f>
        <v/>
      </c>
      <c r="O1872" s="1397">
        <f>IF(raw[[#This Row],[out]]=0,0,IF(raw[[#This Row],[out]]=raw[[#This Row],[in]],0.01,raw[[#This Row],[out]]-raw[[#This Row],[in]]))</f>
        <v/>
      </c>
      <c r="P1872" s="1397">
        <f>IF(raw[[#This Row],[in]]=0,0,MONTH(raw[[#This Row],[in]]))</f>
        <v/>
      </c>
      <c r="Q1872" s="1397">
        <f>IF(raw[[#This Row],[in]]=0,0,YEAR(raw[[#This Row],[in]]))</f>
        <v/>
      </c>
      <c r="R1872" s="1397">
        <f>INT(raw[[#This Row],[yr]]/10)*10</f>
        <v/>
      </c>
      <c r="S1872" s="1395">
        <f>IF(raw[[#This Row],[city]]="","-",IF(raw[[#This Row],[city]]&lt;&gt;_xlfn.XLOOKUP(raw[[#This Row],[home]],homes[home],homes[city],"-"),1,0))</f>
        <v/>
      </c>
      <c r="T1872" s="1398" t="inlineStr">
        <is>
          <t>.</t>
        </is>
      </c>
      <c r="U1872" s="1399">
        <f>IF(raw[[#This Row],[wb]]="w",raw[[#This Row],[stay]]+U1871,U1871)</f>
        <v/>
      </c>
      <c r="V1872" s="1400">
        <f>IF(raw[[#This Row],[out]]=0,V1871,(raw[[#This Row],[out]]-E$5))</f>
        <v/>
      </c>
      <c r="W1872" s="1401">
        <f>U1872/V1872</f>
        <v/>
      </c>
      <c r="X1872" s="1392" t="n"/>
      <c r="Y1872" s="1392" t="n"/>
      <c r="Z1872" s="1422" t="n"/>
      <c r="AA1872" s="1422" t="n"/>
      <c r="AB1872" s="1392" t="n"/>
      <c r="AC1872" s="1392" t="n"/>
      <c r="AD1872" s="1392" t="n"/>
      <c r="AE1872" s="1392" t="n"/>
      <c r="AF1872" s="1392" t="n"/>
      <c r="AG1872" s="1392" t="n"/>
      <c r="AH1872" s="1392" t="n"/>
      <c r="AI1872" s="1392" t="n"/>
      <c r="AJ1872" s="1392" t="n"/>
      <c r="AK1872" s="1392" t="n"/>
      <c r="AL1872" s="1392" t="n"/>
      <c r="AM1872" s="1392" t="n"/>
      <c r="AN1872" s="1392" t="n"/>
      <c r="AO1872" s="1392" t="n"/>
      <c r="AP1872" s="1392" t="n"/>
      <c r="AQ1872" s="1392" t="n"/>
      <c r="AR1872" s="1392" t="n"/>
      <c r="AS1872" s="1422" t="n"/>
      <c r="AT1872" s="1392" t="n"/>
      <c r="AU1872" s="1392" t="n"/>
      <c r="AV1872" s="1392" t="n"/>
      <c r="AW1872" s="1392" t="n"/>
      <c r="AX1872" s="1392" t="n"/>
      <c r="AY1872" s="1392" t="n"/>
      <c r="AZ1872" s="1392" t="n"/>
      <c r="BA1872" s="1392" t="n"/>
      <c r="BB1872" s="1422" t="n"/>
      <c r="BC1872" s="1392" t="n"/>
      <c r="BD1872" s="1392" t="n"/>
      <c r="BE1872" s="1392" t="n"/>
      <c r="BF1872" s="1392" t="n"/>
      <c r="BG1872" s="1392" t="n"/>
      <c r="BH1872" s="1392" t="n"/>
      <c r="BI1872" s="1392" t="n"/>
      <c r="BJ1872" s="1392" t="n"/>
      <c r="BK1872" s="1392" t="n"/>
      <c r="BL1872" s="1392" t="n"/>
      <c r="BM1872" s="1392" t="n"/>
      <c r="BN1872" s="1392" t="n"/>
      <c r="BO1872" s="1392" t="n"/>
      <c r="BP1872" s="1392" t="n"/>
      <c r="BQ1872" s="1392" t="n"/>
      <c r="BR1872" s="1392" t="n"/>
      <c r="BS1872" s="1392" t="n"/>
      <c r="BT1872" s="1392" t="n"/>
      <c r="BU1872" s="1416" t="n"/>
      <c r="BV1872" s="1392" t="n"/>
      <c r="BW1872" s="1392" t="n"/>
      <c r="BX1872" s="1392" t="n"/>
      <c r="BY1872" s="1392" t="n"/>
      <c r="BZ1872" s="1416" t="n"/>
      <c r="CA1872" s="1392" t="n"/>
      <c r="CB1872" s="1392" t="n"/>
      <c r="CC1872" s="1392" t="n"/>
      <c r="CD1872" s="1392" t="n"/>
      <c r="CE1872" s="1392" t="n"/>
      <c r="CF1872" s="1392" t="n"/>
      <c r="CG1872" s="1392" t="n"/>
      <c r="CH1872" s="1392" t="n"/>
      <c r="CI1872" s="1392" t="n"/>
      <c r="CJ1872" s="1392" t="n"/>
      <c r="CK1872" s="1392" t="n"/>
      <c r="CL1872" s="1392" t="n"/>
    </row>
    <row r="1873">
      <c r="A1873" s="5" t="inlineStr">
        <is>
          <t>.</t>
        </is>
      </c>
      <c r="B1873" s="5" t="inlineStr">
        <is>
          <t>.</t>
        </is>
      </c>
      <c r="C1873" s="1378">
        <f>IF(raw[[#This Row],[city]]="","-",IF(raw[[#This Row],[city]]="TODAY","-",C1872+1))</f>
        <v/>
      </c>
      <c r="D1873" s="1393" t="n"/>
      <c r="E1873" s="1394" t="n"/>
      <c r="F1873" s="1394" t="n"/>
      <c r="G1873" s="1393" t="n"/>
      <c r="H1873" s="1393" t="n"/>
      <c r="I1873" s="1393" t="n"/>
      <c r="J1873" s="1393" t="n"/>
      <c r="K1873" s="1395">
        <f>IF(raw[[#This Row],[city]]&lt;&gt;"",_xlfn.XLOOKUP($D1873,ccc[city],ccc[prov],"-"),"-")</f>
        <v/>
      </c>
      <c r="L1873" s="1395">
        <f>IF(raw[[#This Row],[city]]&lt;&gt;"",_xlfn.XLOOKUP($D1873,ccc[city],ccc[ctry],"-"),"-")</f>
        <v/>
      </c>
      <c r="M1873" s="1395">
        <f>IF(raw[[#This Row],[city]]&lt;&gt;"",_xlfn.XLOOKUP($D1873,ccc[city],ccc[cont],"-"),"-")</f>
        <v/>
      </c>
      <c r="N1873" s="1396">
        <f>IF(raw[[#This Row],[city]]="","-",IF(raw[[#This Row],[cont]]="B",raw[[#This Row],[cont]],"W"))</f>
        <v/>
      </c>
      <c r="O1873" s="1397">
        <f>IF(raw[[#This Row],[out]]=0,0,IF(raw[[#This Row],[out]]=raw[[#This Row],[in]],0.01,raw[[#This Row],[out]]-raw[[#This Row],[in]]))</f>
        <v/>
      </c>
      <c r="P1873" s="1397">
        <f>IF(raw[[#This Row],[in]]=0,0,MONTH(raw[[#This Row],[in]]))</f>
        <v/>
      </c>
      <c r="Q1873" s="1397">
        <f>IF(raw[[#This Row],[in]]=0,0,YEAR(raw[[#This Row],[in]]))</f>
        <v/>
      </c>
      <c r="R1873" s="1397">
        <f>INT(raw[[#This Row],[yr]]/10)*10</f>
        <v/>
      </c>
      <c r="S1873" s="1395">
        <f>IF(raw[[#This Row],[city]]="","-",IF(raw[[#This Row],[city]]&lt;&gt;_xlfn.XLOOKUP(raw[[#This Row],[home]],homes[home],homes[city],"-"),1,0))</f>
        <v/>
      </c>
      <c r="T1873" s="1398" t="inlineStr">
        <is>
          <t>.</t>
        </is>
      </c>
      <c r="U1873" s="1399">
        <f>IF(raw[[#This Row],[wb]]="w",raw[[#This Row],[stay]]+U1872,U1872)</f>
        <v/>
      </c>
      <c r="V1873" s="1400">
        <f>IF(raw[[#This Row],[out]]=0,V1872,(raw[[#This Row],[out]]-E$5))</f>
        <v/>
      </c>
      <c r="W1873" s="1401">
        <f>U1873/V1873</f>
        <v/>
      </c>
      <c r="X1873" s="1392" t="n"/>
      <c r="Y1873" s="1392" t="n"/>
      <c r="Z1873" s="1422" t="n"/>
      <c r="AA1873" s="1422" t="n"/>
      <c r="AB1873" s="1392" t="n"/>
      <c r="AC1873" s="1392" t="n"/>
      <c r="AD1873" s="1392" t="n"/>
      <c r="AE1873" s="1392" t="n"/>
      <c r="AF1873" s="1392" t="n"/>
      <c r="AG1873" s="1392" t="n"/>
      <c r="AH1873" s="1392" t="n"/>
      <c r="AI1873" s="1392" t="n"/>
      <c r="AJ1873" s="1392" t="n"/>
      <c r="AK1873" s="1392" t="n"/>
      <c r="AL1873" s="1392" t="n"/>
      <c r="AM1873" s="1392" t="n"/>
      <c r="AN1873" s="1392" t="n"/>
      <c r="AO1873" s="1392" t="n"/>
      <c r="AP1873" s="1392" t="n"/>
      <c r="AQ1873" s="1392" t="n"/>
      <c r="AR1873" s="1392" t="n"/>
      <c r="AS1873" s="1422" t="n"/>
      <c r="AT1873" s="1392" t="n"/>
      <c r="AU1873" s="1392" t="n"/>
      <c r="AV1873" s="1392" t="n"/>
      <c r="AW1873" s="1392" t="n"/>
      <c r="AX1873" s="1392" t="n"/>
      <c r="AY1873" s="1392" t="n"/>
      <c r="AZ1873" s="1392" t="n"/>
      <c r="BA1873" s="1392" t="n"/>
      <c r="BB1873" s="1422" t="n"/>
      <c r="BC1873" s="1392" t="n"/>
      <c r="BD1873" s="1392" t="n"/>
      <c r="BE1873" s="1392" t="n"/>
      <c r="BF1873" s="1392" t="n"/>
      <c r="BG1873" s="1392" t="n"/>
      <c r="BH1873" s="1392" t="n"/>
      <c r="BI1873" s="1392" t="n"/>
      <c r="BJ1873" s="1392" t="n"/>
      <c r="BK1873" s="1392" t="n"/>
      <c r="BL1873" s="1392" t="n"/>
      <c r="BM1873" s="1392" t="n"/>
      <c r="BN1873" s="1392" t="n"/>
      <c r="BO1873" s="1392" t="n"/>
      <c r="BP1873" s="1392" t="n"/>
      <c r="BQ1873" s="1392" t="n"/>
      <c r="BR1873" s="1392" t="n"/>
      <c r="BS1873" s="1392" t="n"/>
      <c r="BT1873" s="1392" t="n"/>
      <c r="BU1873" s="1416" t="n"/>
      <c r="BV1873" s="1392" t="n"/>
      <c r="BW1873" s="1392" t="n"/>
      <c r="BX1873" s="1392" t="n"/>
      <c r="BY1873" s="1392" t="n"/>
      <c r="BZ1873" s="1416" t="n"/>
      <c r="CA1873" s="1392" t="n"/>
      <c r="CB1873" s="1392" t="n"/>
      <c r="CC1873" s="1392" t="n"/>
      <c r="CD1873" s="1392" t="n"/>
      <c r="CE1873" s="1392" t="n"/>
      <c r="CF1873" s="1392" t="n"/>
      <c r="CG1873" s="1392" t="n"/>
      <c r="CH1873" s="1392" t="n"/>
      <c r="CI1873" s="1392" t="n"/>
      <c r="CJ1873" s="1392" t="n"/>
      <c r="CK1873" s="1392" t="n"/>
      <c r="CL1873" s="1392" t="n"/>
    </row>
    <row r="1874">
      <c r="A1874" s="5" t="inlineStr">
        <is>
          <t>.</t>
        </is>
      </c>
      <c r="B1874" s="5" t="inlineStr">
        <is>
          <t>.</t>
        </is>
      </c>
      <c r="C1874" s="1378">
        <f>IF(raw[[#This Row],[city]]="","-",IF(raw[[#This Row],[city]]="TODAY","-",C1873+1))</f>
        <v/>
      </c>
      <c r="D1874" s="1393" t="n"/>
      <c r="E1874" s="1394" t="n"/>
      <c r="F1874" s="1394" t="n"/>
      <c r="G1874" s="1393" t="n"/>
      <c r="H1874" s="1393" t="n"/>
      <c r="I1874" s="1393" t="n"/>
      <c r="J1874" s="1393" t="n"/>
      <c r="K1874" s="1395">
        <f>IF(raw[[#This Row],[city]]&lt;&gt;"",_xlfn.XLOOKUP($D1874,ccc[city],ccc[prov],"-"),"-")</f>
        <v/>
      </c>
      <c r="L1874" s="1395">
        <f>IF(raw[[#This Row],[city]]&lt;&gt;"",_xlfn.XLOOKUP($D1874,ccc[city],ccc[ctry],"-"),"-")</f>
        <v/>
      </c>
      <c r="M1874" s="1395">
        <f>IF(raw[[#This Row],[city]]&lt;&gt;"",_xlfn.XLOOKUP($D1874,ccc[city],ccc[cont],"-"),"-")</f>
        <v/>
      </c>
      <c r="N1874" s="1396">
        <f>IF(raw[[#This Row],[city]]="","-",IF(raw[[#This Row],[cont]]="B",raw[[#This Row],[cont]],"W"))</f>
        <v/>
      </c>
      <c r="O1874" s="1397">
        <f>IF(raw[[#This Row],[out]]=0,0,IF(raw[[#This Row],[out]]=raw[[#This Row],[in]],0.01,raw[[#This Row],[out]]-raw[[#This Row],[in]]))</f>
        <v/>
      </c>
      <c r="P1874" s="1397">
        <f>IF(raw[[#This Row],[in]]=0,0,MONTH(raw[[#This Row],[in]]))</f>
        <v/>
      </c>
      <c r="Q1874" s="1397">
        <f>IF(raw[[#This Row],[in]]=0,0,YEAR(raw[[#This Row],[in]]))</f>
        <v/>
      </c>
      <c r="R1874" s="1397">
        <f>INT(raw[[#This Row],[yr]]/10)*10</f>
        <v/>
      </c>
      <c r="S1874" s="1395">
        <f>IF(raw[[#This Row],[city]]="","-",IF(raw[[#This Row],[city]]&lt;&gt;_xlfn.XLOOKUP(raw[[#This Row],[home]],homes[home],homes[city],"-"),1,0))</f>
        <v/>
      </c>
      <c r="T1874" s="1398" t="inlineStr">
        <is>
          <t>.</t>
        </is>
      </c>
      <c r="U1874" s="1399">
        <f>IF(raw[[#This Row],[wb]]="w",raw[[#This Row],[stay]]+U1873,U1873)</f>
        <v/>
      </c>
      <c r="V1874" s="1400">
        <f>IF(raw[[#This Row],[out]]=0,V1873,(raw[[#This Row],[out]]-E$5))</f>
        <v/>
      </c>
      <c r="W1874" s="1401">
        <f>U1874/V1874</f>
        <v/>
      </c>
      <c r="X1874" s="1392" t="n"/>
      <c r="Y1874" s="1392" t="n"/>
      <c r="Z1874" s="1422" t="n"/>
      <c r="AA1874" s="1422" t="n"/>
      <c r="AB1874" s="1392" t="n"/>
      <c r="AC1874" s="1392" t="n"/>
      <c r="AD1874" s="1392" t="n"/>
      <c r="AE1874" s="1392" t="n"/>
      <c r="AF1874" s="1392" t="n"/>
      <c r="AG1874" s="1392" t="n"/>
      <c r="AH1874" s="1392" t="n"/>
      <c r="AI1874" s="1392" t="n"/>
      <c r="AJ1874" s="1392" t="n"/>
      <c r="AK1874" s="1392" t="n"/>
      <c r="AL1874" s="1392" t="n"/>
      <c r="AM1874" s="1392" t="n"/>
      <c r="AN1874" s="1392" t="n"/>
      <c r="AO1874" s="1392" t="n"/>
      <c r="AP1874" s="1392" t="n"/>
      <c r="AQ1874" s="1392" t="n"/>
      <c r="AR1874" s="1392" t="n"/>
      <c r="AS1874" s="1422" t="n"/>
      <c r="AT1874" s="1392" t="n"/>
      <c r="AU1874" s="1392" t="n"/>
      <c r="AV1874" s="1392" t="n"/>
      <c r="AW1874" s="1392" t="n"/>
      <c r="AX1874" s="1392" t="n"/>
      <c r="AY1874" s="1392" t="n"/>
      <c r="AZ1874" s="1392" t="n"/>
      <c r="BA1874" s="1392" t="n"/>
      <c r="BB1874" s="1422" t="n"/>
      <c r="BC1874" s="1392" t="n"/>
      <c r="BD1874" s="1392" t="n"/>
      <c r="BE1874" s="1392" t="n"/>
      <c r="BF1874" s="1392" t="n"/>
      <c r="BG1874" s="1392" t="n"/>
      <c r="BH1874" s="1392" t="n"/>
      <c r="BI1874" s="1392" t="n"/>
      <c r="BJ1874" s="1392" t="n"/>
      <c r="BK1874" s="1392" t="n"/>
      <c r="BL1874" s="1392" t="n"/>
      <c r="BM1874" s="1392" t="n"/>
      <c r="BN1874" s="1392" t="n"/>
      <c r="BO1874" s="1392" t="n"/>
      <c r="BP1874" s="1392" t="n"/>
      <c r="BQ1874" s="1392" t="n"/>
      <c r="BR1874" s="1392" t="n"/>
      <c r="BS1874" s="1392" t="n"/>
      <c r="BT1874" s="1392" t="n"/>
      <c r="BU1874" s="1416" t="n"/>
      <c r="BV1874" s="1392" t="n"/>
      <c r="BW1874" s="1392" t="n"/>
      <c r="BX1874" s="1392" t="n"/>
      <c r="BY1874" s="1392" t="n"/>
      <c r="BZ1874" s="1416" t="n"/>
      <c r="CA1874" s="1392" t="n"/>
      <c r="CB1874" s="1392" t="n"/>
      <c r="CC1874" s="1392" t="n"/>
      <c r="CD1874" s="1392" t="n"/>
      <c r="CE1874" s="1392" t="n"/>
      <c r="CF1874" s="1392" t="n"/>
      <c r="CG1874" s="1392" t="n"/>
      <c r="CH1874" s="1392" t="n"/>
      <c r="CI1874" s="1392" t="n"/>
      <c r="CJ1874" s="1392" t="n"/>
      <c r="CK1874" s="1392" t="n"/>
      <c r="CL1874" s="1392" t="n"/>
    </row>
    <row r="1875">
      <c r="A1875" s="5" t="inlineStr">
        <is>
          <t>.</t>
        </is>
      </c>
      <c r="B1875" s="5" t="inlineStr">
        <is>
          <t>.</t>
        </is>
      </c>
      <c r="C1875" s="1378">
        <f>IF(raw[[#This Row],[city]]="","-",IF(raw[[#This Row],[city]]="TODAY","-",C1874+1))</f>
        <v/>
      </c>
      <c r="D1875" s="1393" t="n"/>
      <c r="E1875" s="1394" t="n"/>
      <c r="F1875" s="1394" t="n"/>
      <c r="G1875" s="1393" t="n"/>
      <c r="H1875" s="1393" t="n"/>
      <c r="I1875" s="1393" t="n"/>
      <c r="J1875" s="1393" t="n"/>
      <c r="K1875" s="1395">
        <f>IF(raw[[#This Row],[city]]&lt;&gt;"",_xlfn.XLOOKUP($D1875,ccc[city],ccc[prov],"-"),"-")</f>
        <v/>
      </c>
      <c r="L1875" s="1395">
        <f>IF(raw[[#This Row],[city]]&lt;&gt;"",_xlfn.XLOOKUP($D1875,ccc[city],ccc[ctry],"-"),"-")</f>
        <v/>
      </c>
      <c r="M1875" s="1395">
        <f>IF(raw[[#This Row],[city]]&lt;&gt;"",_xlfn.XLOOKUP($D1875,ccc[city],ccc[cont],"-"),"-")</f>
        <v/>
      </c>
      <c r="N1875" s="1396">
        <f>IF(raw[[#This Row],[city]]="","-",IF(raw[[#This Row],[cont]]="B",raw[[#This Row],[cont]],"W"))</f>
        <v/>
      </c>
      <c r="O1875" s="1397">
        <f>IF(raw[[#This Row],[out]]=0,0,IF(raw[[#This Row],[out]]=raw[[#This Row],[in]],0.01,raw[[#This Row],[out]]-raw[[#This Row],[in]]))</f>
        <v/>
      </c>
      <c r="P1875" s="1397">
        <f>IF(raw[[#This Row],[in]]=0,0,MONTH(raw[[#This Row],[in]]))</f>
        <v/>
      </c>
      <c r="Q1875" s="1397">
        <f>IF(raw[[#This Row],[in]]=0,0,YEAR(raw[[#This Row],[in]]))</f>
        <v/>
      </c>
      <c r="R1875" s="1397">
        <f>INT(raw[[#This Row],[yr]]/10)*10</f>
        <v/>
      </c>
      <c r="S1875" s="1395">
        <f>IF(raw[[#This Row],[city]]="","-",IF(raw[[#This Row],[city]]&lt;&gt;_xlfn.XLOOKUP(raw[[#This Row],[home]],homes[home],homes[city],"-"),1,0))</f>
        <v/>
      </c>
      <c r="T1875" s="1398" t="inlineStr">
        <is>
          <t>.</t>
        </is>
      </c>
      <c r="U1875" s="1399">
        <f>IF(raw[[#This Row],[wb]]="w",raw[[#This Row],[stay]]+U1874,U1874)</f>
        <v/>
      </c>
      <c r="V1875" s="1400">
        <f>IF(raw[[#This Row],[out]]=0,V1874,(raw[[#This Row],[out]]-E$5))</f>
        <v/>
      </c>
      <c r="W1875" s="1401">
        <f>U1875/V1875</f>
        <v/>
      </c>
      <c r="X1875" s="1392" t="n"/>
      <c r="Y1875" s="1392" t="n"/>
      <c r="Z1875" s="1422" t="n"/>
      <c r="AA1875" s="1422" t="n"/>
      <c r="AB1875" s="1392" t="n"/>
      <c r="AC1875" s="1392" t="n"/>
      <c r="AD1875" s="1392" t="n"/>
      <c r="AE1875" s="1392" t="n"/>
      <c r="AF1875" s="1392" t="n"/>
      <c r="AG1875" s="1392" t="n"/>
      <c r="AH1875" s="1392" t="n"/>
      <c r="AI1875" s="1392" t="n"/>
      <c r="AJ1875" s="1392" t="n"/>
      <c r="AK1875" s="1392" t="n"/>
      <c r="AL1875" s="1392" t="n"/>
      <c r="AM1875" s="1392" t="n"/>
      <c r="AN1875" s="1392" t="n"/>
      <c r="AO1875" s="1392" t="n"/>
      <c r="AP1875" s="1392" t="n"/>
      <c r="AQ1875" s="1392" t="n"/>
      <c r="AR1875" s="1392" t="n"/>
      <c r="AS1875" s="1422" t="n"/>
      <c r="AT1875" s="1392" t="n"/>
      <c r="AU1875" s="1392" t="n"/>
      <c r="AV1875" s="1392" t="n"/>
      <c r="AW1875" s="1392" t="n"/>
      <c r="AX1875" s="1392" t="n"/>
      <c r="AY1875" s="1392" t="n"/>
      <c r="AZ1875" s="1392" t="n"/>
      <c r="BA1875" s="1392" t="n"/>
      <c r="BB1875" s="1422" t="n"/>
      <c r="BC1875" s="1392" t="n"/>
      <c r="BD1875" s="1392" t="n"/>
      <c r="BE1875" s="1392" t="n"/>
      <c r="BF1875" s="1392" t="n"/>
      <c r="BG1875" s="1392" t="n"/>
      <c r="BH1875" s="1392" t="n"/>
      <c r="BI1875" s="1392" t="n"/>
      <c r="BJ1875" s="1392" t="n"/>
      <c r="BK1875" s="1392" t="n"/>
      <c r="BL1875" s="1392" t="n"/>
      <c r="BM1875" s="1392" t="n"/>
      <c r="BN1875" s="1392" t="n"/>
      <c r="BO1875" s="1392" t="n"/>
      <c r="BP1875" s="1392" t="n"/>
      <c r="BQ1875" s="1392" t="n"/>
      <c r="BR1875" s="1392" t="n"/>
      <c r="BS1875" s="1392" t="n"/>
      <c r="BT1875" s="1392" t="n"/>
      <c r="BU1875" s="1416" t="n"/>
      <c r="BV1875" s="1392" t="n"/>
      <c r="BW1875" s="1392" t="n"/>
      <c r="BX1875" s="1392" t="n"/>
      <c r="BY1875" s="1392" t="n"/>
      <c r="BZ1875" s="1416" t="n"/>
      <c r="CA1875" s="1392" t="n"/>
      <c r="CB1875" s="1392" t="n"/>
      <c r="CC1875" s="1392" t="n"/>
      <c r="CD1875" s="1392" t="n"/>
      <c r="CE1875" s="1392" t="n"/>
      <c r="CF1875" s="1392" t="n"/>
      <c r="CG1875" s="1392" t="n"/>
      <c r="CH1875" s="1392" t="n"/>
      <c r="CI1875" s="1392" t="n"/>
      <c r="CJ1875" s="1392" t="n"/>
      <c r="CK1875" s="1392" t="n"/>
      <c r="CL1875" s="1392" t="n"/>
    </row>
    <row r="1876">
      <c r="A1876" s="5" t="inlineStr">
        <is>
          <t>.</t>
        </is>
      </c>
      <c r="B1876" s="5" t="inlineStr">
        <is>
          <t>.</t>
        </is>
      </c>
      <c r="C1876" s="1378">
        <f>IF(raw[[#This Row],[city]]="","-",IF(raw[[#This Row],[city]]="TODAY","-",C1875+1))</f>
        <v/>
      </c>
      <c r="D1876" s="1393" t="n"/>
      <c r="E1876" s="1394" t="n"/>
      <c r="F1876" s="1394" t="n"/>
      <c r="G1876" s="1393" t="n"/>
      <c r="H1876" s="1393" t="n"/>
      <c r="I1876" s="1393" t="n"/>
      <c r="J1876" s="1393" t="n"/>
      <c r="K1876" s="1395">
        <f>IF(raw[[#This Row],[city]]&lt;&gt;"",_xlfn.XLOOKUP($D1876,ccc[city],ccc[prov],"-"),"-")</f>
        <v/>
      </c>
      <c r="L1876" s="1395">
        <f>IF(raw[[#This Row],[city]]&lt;&gt;"",_xlfn.XLOOKUP($D1876,ccc[city],ccc[ctry],"-"),"-")</f>
        <v/>
      </c>
      <c r="M1876" s="1395">
        <f>IF(raw[[#This Row],[city]]&lt;&gt;"",_xlfn.XLOOKUP($D1876,ccc[city],ccc[cont],"-"),"-")</f>
        <v/>
      </c>
      <c r="N1876" s="1396">
        <f>IF(raw[[#This Row],[city]]="","-",IF(raw[[#This Row],[cont]]="B",raw[[#This Row],[cont]],"W"))</f>
        <v/>
      </c>
      <c r="O1876" s="1397">
        <f>IF(raw[[#This Row],[out]]=0,0,IF(raw[[#This Row],[out]]=raw[[#This Row],[in]],0.01,raw[[#This Row],[out]]-raw[[#This Row],[in]]))</f>
        <v/>
      </c>
      <c r="P1876" s="1397">
        <f>IF(raw[[#This Row],[in]]=0,0,MONTH(raw[[#This Row],[in]]))</f>
        <v/>
      </c>
      <c r="Q1876" s="1397">
        <f>IF(raw[[#This Row],[in]]=0,0,YEAR(raw[[#This Row],[in]]))</f>
        <v/>
      </c>
      <c r="R1876" s="1397">
        <f>INT(raw[[#This Row],[yr]]/10)*10</f>
        <v/>
      </c>
      <c r="S1876" s="1395">
        <f>IF(raw[[#This Row],[city]]="","-",IF(raw[[#This Row],[city]]&lt;&gt;_xlfn.XLOOKUP(raw[[#This Row],[home]],homes[home],homes[city],"-"),1,0))</f>
        <v/>
      </c>
      <c r="T1876" s="1398" t="inlineStr">
        <is>
          <t>.</t>
        </is>
      </c>
      <c r="U1876" s="1399">
        <f>IF(raw[[#This Row],[wb]]="w",raw[[#This Row],[stay]]+U1875,U1875)</f>
        <v/>
      </c>
      <c r="V1876" s="1400">
        <f>IF(raw[[#This Row],[out]]=0,V1875,(raw[[#This Row],[out]]-E$5))</f>
        <v/>
      </c>
      <c r="W1876" s="1401">
        <f>U1876/V1876</f>
        <v/>
      </c>
      <c r="X1876" s="1392" t="n"/>
      <c r="Y1876" s="1392" t="n"/>
      <c r="Z1876" s="1422" t="n"/>
      <c r="AA1876" s="1422" t="n"/>
      <c r="AB1876" s="1392" t="n"/>
      <c r="AC1876" s="1392" t="n"/>
      <c r="AD1876" s="1392" t="n"/>
      <c r="AE1876" s="1392" t="n"/>
      <c r="AF1876" s="1392" t="n"/>
      <c r="AG1876" s="1392" t="n"/>
      <c r="AH1876" s="1392" t="n"/>
      <c r="AI1876" s="1392" t="n"/>
      <c r="AJ1876" s="1392" t="n"/>
      <c r="AK1876" s="1392" t="n"/>
      <c r="AL1876" s="1392" t="n"/>
      <c r="AM1876" s="1392" t="n"/>
      <c r="AN1876" s="1392" t="n"/>
      <c r="AO1876" s="1392" t="n"/>
      <c r="AP1876" s="1392" t="n"/>
      <c r="AQ1876" s="1392" t="n"/>
      <c r="AR1876" s="1392" t="n"/>
      <c r="AS1876" s="1422" t="n"/>
      <c r="AT1876" s="1392" t="n"/>
      <c r="AU1876" s="1392" t="n"/>
      <c r="AV1876" s="1392" t="n"/>
      <c r="AW1876" s="1392" t="n"/>
      <c r="AX1876" s="1392" t="n"/>
      <c r="AY1876" s="1392" t="n"/>
      <c r="AZ1876" s="1392" t="n"/>
      <c r="BA1876" s="1392" t="n"/>
      <c r="BB1876" s="1422" t="n"/>
      <c r="BC1876" s="1392" t="n"/>
      <c r="BD1876" s="1392" t="n"/>
      <c r="BE1876" s="1392" t="n"/>
      <c r="BF1876" s="1392" t="n"/>
      <c r="BG1876" s="1392" t="n"/>
      <c r="BH1876" s="1392" t="n"/>
      <c r="BI1876" s="1392" t="n"/>
      <c r="BJ1876" s="1392" t="n"/>
      <c r="BK1876" s="1392" t="n"/>
      <c r="BL1876" s="1392" t="n"/>
      <c r="BM1876" s="1392" t="n"/>
      <c r="BN1876" s="1392" t="n"/>
      <c r="BO1876" s="1392" t="n"/>
      <c r="BP1876" s="1392" t="n"/>
      <c r="BQ1876" s="1392" t="n"/>
      <c r="BR1876" s="1392" t="n"/>
      <c r="BS1876" s="1392" t="n"/>
      <c r="BT1876" s="1392" t="n"/>
      <c r="BU1876" s="1416" t="n"/>
      <c r="BV1876" s="1392" t="n"/>
      <c r="BW1876" s="1392" t="n"/>
      <c r="BX1876" s="1392" t="n"/>
      <c r="BY1876" s="1392" t="n"/>
      <c r="BZ1876" s="1416" t="n"/>
      <c r="CA1876" s="1392" t="n"/>
      <c r="CB1876" s="1392" t="n"/>
      <c r="CC1876" s="1392" t="n"/>
      <c r="CD1876" s="1392" t="n"/>
      <c r="CE1876" s="1392" t="n"/>
      <c r="CF1876" s="1392" t="n"/>
      <c r="CG1876" s="1392" t="n"/>
      <c r="CH1876" s="1392" t="n"/>
      <c r="CI1876" s="1392" t="n"/>
      <c r="CJ1876" s="1392" t="n"/>
      <c r="CK1876" s="1392" t="n"/>
      <c r="CL1876" s="1392" t="n"/>
    </row>
    <row r="1877">
      <c r="A1877" s="5" t="inlineStr">
        <is>
          <t>.</t>
        </is>
      </c>
      <c r="B1877" s="5" t="inlineStr">
        <is>
          <t>.</t>
        </is>
      </c>
      <c r="C1877" s="1378">
        <f>IF(raw[[#This Row],[city]]="","-",IF(raw[[#This Row],[city]]="TODAY","-",C1876+1))</f>
        <v/>
      </c>
      <c r="D1877" s="1393" t="n"/>
      <c r="E1877" s="1394" t="n"/>
      <c r="F1877" s="1394" t="n"/>
      <c r="G1877" s="1393" t="n"/>
      <c r="H1877" s="1393" t="n"/>
      <c r="I1877" s="1393" t="n"/>
      <c r="J1877" s="1393" t="n"/>
      <c r="K1877" s="1395">
        <f>IF(raw[[#This Row],[city]]&lt;&gt;"",_xlfn.XLOOKUP($D1877,ccc[city],ccc[prov],"-"),"-")</f>
        <v/>
      </c>
      <c r="L1877" s="1395">
        <f>IF(raw[[#This Row],[city]]&lt;&gt;"",_xlfn.XLOOKUP($D1877,ccc[city],ccc[ctry],"-"),"-")</f>
        <v/>
      </c>
      <c r="M1877" s="1395">
        <f>IF(raw[[#This Row],[city]]&lt;&gt;"",_xlfn.XLOOKUP($D1877,ccc[city],ccc[cont],"-"),"-")</f>
        <v/>
      </c>
      <c r="N1877" s="1396">
        <f>IF(raw[[#This Row],[city]]="","-",IF(raw[[#This Row],[cont]]="B",raw[[#This Row],[cont]],"W"))</f>
        <v/>
      </c>
      <c r="O1877" s="1397">
        <f>IF(raw[[#This Row],[out]]=0,0,IF(raw[[#This Row],[out]]=raw[[#This Row],[in]],0.01,raw[[#This Row],[out]]-raw[[#This Row],[in]]))</f>
        <v/>
      </c>
      <c r="P1877" s="1397">
        <f>IF(raw[[#This Row],[in]]=0,0,MONTH(raw[[#This Row],[in]]))</f>
        <v/>
      </c>
      <c r="Q1877" s="1397">
        <f>IF(raw[[#This Row],[in]]=0,0,YEAR(raw[[#This Row],[in]]))</f>
        <v/>
      </c>
      <c r="R1877" s="1397">
        <f>INT(raw[[#This Row],[yr]]/10)*10</f>
        <v/>
      </c>
      <c r="S1877" s="1395">
        <f>IF(raw[[#This Row],[city]]="","-",IF(raw[[#This Row],[city]]&lt;&gt;_xlfn.XLOOKUP(raw[[#This Row],[home]],homes[home],homes[city],"-"),1,0))</f>
        <v/>
      </c>
      <c r="T1877" s="1398" t="inlineStr">
        <is>
          <t>.</t>
        </is>
      </c>
      <c r="U1877" s="1399">
        <f>IF(raw[[#This Row],[wb]]="w",raw[[#This Row],[stay]]+U1876,U1876)</f>
        <v/>
      </c>
      <c r="V1877" s="1400">
        <f>IF(raw[[#This Row],[out]]=0,V1876,(raw[[#This Row],[out]]-E$5))</f>
        <v/>
      </c>
      <c r="W1877" s="1401">
        <f>U1877/V1877</f>
        <v/>
      </c>
      <c r="X1877" s="1392" t="n"/>
      <c r="Y1877" s="1392" t="n"/>
      <c r="Z1877" s="1422" t="n"/>
      <c r="AA1877" s="1422" t="n"/>
      <c r="AB1877" s="1392" t="n"/>
      <c r="AC1877" s="1392" t="n"/>
      <c r="AD1877" s="1392" t="n"/>
      <c r="AE1877" s="1392" t="n"/>
      <c r="AF1877" s="1392" t="n"/>
      <c r="AG1877" s="1392" t="n"/>
      <c r="AH1877" s="1392" t="n"/>
      <c r="AI1877" s="1392" t="n"/>
      <c r="AJ1877" s="1392" t="n"/>
      <c r="AK1877" s="1392" t="n"/>
      <c r="AL1877" s="1392" t="n"/>
      <c r="AM1877" s="1392" t="n"/>
      <c r="AN1877" s="1392" t="n"/>
      <c r="AO1877" s="1392" t="n"/>
      <c r="AP1877" s="1392" t="n"/>
      <c r="AQ1877" s="1392" t="n"/>
      <c r="AR1877" s="1392" t="n"/>
      <c r="AS1877" s="1422" t="n"/>
      <c r="AT1877" s="1392" t="n"/>
      <c r="AU1877" s="1392" t="n"/>
      <c r="AV1877" s="1392" t="n"/>
      <c r="AW1877" s="1392" t="n"/>
      <c r="AX1877" s="1392" t="n"/>
      <c r="AY1877" s="1392" t="n"/>
      <c r="AZ1877" s="1392" t="n"/>
      <c r="BA1877" s="1392" t="n"/>
      <c r="BB1877" s="1422" t="n"/>
      <c r="BC1877" s="1392" t="n"/>
      <c r="BD1877" s="1392" t="n"/>
      <c r="BE1877" s="1392" t="n"/>
      <c r="BF1877" s="1392" t="n"/>
      <c r="BG1877" s="1392" t="n"/>
      <c r="BH1877" s="1392" t="n"/>
      <c r="BI1877" s="1392" t="n"/>
      <c r="BJ1877" s="1392" t="n"/>
      <c r="BK1877" s="1392" t="n"/>
      <c r="BL1877" s="1392" t="n"/>
      <c r="BM1877" s="1392" t="n"/>
      <c r="BN1877" s="1392" t="n"/>
      <c r="BO1877" s="1392" t="n"/>
      <c r="BP1877" s="1392" t="n"/>
      <c r="BQ1877" s="1392" t="n"/>
      <c r="BR1877" s="1392" t="n"/>
      <c r="BS1877" s="1392" t="n"/>
      <c r="BT1877" s="1392" t="n"/>
      <c r="BU1877" s="1416" t="n"/>
      <c r="BV1877" s="1392" t="n"/>
      <c r="BW1877" s="1392" t="n"/>
      <c r="BX1877" s="1392" t="n"/>
      <c r="BY1877" s="1392" t="n"/>
      <c r="BZ1877" s="1416" t="n"/>
      <c r="CA1877" s="1392" t="n"/>
      <c r="CB1877" s="1392" t="n"/>
      <c r="CC1877" s="1392" t="n"/>
      <c r="CD1877" s="1392" t="n"/>
      <c r="CE1877" s="1392" t="n"/>
      <c r="CF1877" s="1392" t="n"/>
      <c r="CG1877" s="1392" t="n"/>
      <c r="CH1877" s="1392" t="n"/>
      <c r="CI1877" s="1392" t="n"/>
      <c r="CJ1877" s="1392" t="n"/>
      <c r="CK1877" s="1392" t="n"/>
      <c r="CL1877" s="1392" t="n"/>
    </row>
    <row r="1878">
      <c r="A1878" s="5" t="inlineStr">
        <is>
          <t>.</t>
        </is>
      </c>
      <c r="B1878" s="5" t="inlineStr">
        <is>
          <t>.</t>
        </is>
      </c>
      <c r="C1878" s="1378">
        <f>IF(raw[[#This Row],[city]]="","-",IF(raw[[#This Row],[city]]="TODAY","-",C1877+1))</f>
        <v/>
      </c>
      <c r="D1878" s="1393" t="n"/>
      <c r="E1878" s="1394" t="n"/>
      <c r="F1878" s="1394" t="n"/>
      <c r="G1878" s="1393" t="n"/>
      <c r="H1878" s="1393" t="n"/>
      <c r="I1878" s="1393" t="n"/>
      <c r="J1878" s="1393" t="n"/>
      <c r="K1878" s="1395">
        <f>IF(raw[[#This Row],[city]]&lt;&gt;"",_xlfn.XLOOKUP($D1878,ccc[city],ccc[prov],"-"),"-")</f>
        <v/>
      </c>
      <c r="L1878" s="1395">
        <f>IF(raw[[#This Row],[city]]&lt;&gt;"",_xlfn.XLOOKUP($D1878,ccc[city],ccc[ctry],"-"),"-")</f>
        <v/>
      </c>
      <c r="M1878" s="1395">
        <f>IF(raw[[#This Row],[city]]&lt;&gt;"",_xlfn.XLOOKUP($D1878,ccc[city],ccc[cont],"-"),"-")</f>
        <v/>
      </c>
      <c r="N1878" s="1396">
        <f>IF(raw[[#This Row],[city]]="","-",IF(raw[[#This Row],[cont]]="B",raw[[#This Row],[cont]],"W"))</f>
        <v/>
      </c>
      <c r="O1878" s="1397">
        <f>IF(raw[[#This Row],[out]]=0,0,IF(raw[[#This Row],[out]]=raw[[#This Row],[in]],0.01,raw[[#This Row],[out]]-raw[[#This Row],[in]]))</f>
        <v/>
      </c>
      <c r="P1878" s="1397">
        <f>IF(raw[[#This Row],[in]]=0,0,MONTH(raw[[#This Row],[in]]))</f>
        <v/>
      </c>
      <c r="Q1878" s="1397">
        <f>IF(raw[[#This Row],[in]]=0,0,YEAR(raw[[#This Row],[in]]))</f>
        <v/>
      </c>
      <c r="R1878" s="1397">
        <f>INT(raw[[#This Row],[yr]]/10)*10</f>
        <v/>
      </c>
      <c r="S1878" s="1395">
        <f>IF(raw[[#This Row],[city]]="","-",IF(raw[[#This Row],[city]]&lt;&gt;_xlfn.XLOOKUP(raw[[#This Row],[home]],homes[home],homes[city],"-"),1,0))</f>
        <v/>
      </c>
      <c r="T1878" s="1398" t="inlineStr">
        <is>
          <t>.</t>
        </is>
      </c>
      <c r="U1878" s="1399">
        <f>IF(raw[[#This Row],[wb]]="w",raw[[#This Row],[stay]]+U1877,U1877)</f>
        <v/>
      </c>
      <c r="V1878" s="1400">
        <f>IF(raw[[#This Row],[out]]=0,V1877,(raw[[#This Row],[out]]-E$5))</f>
        <v/>
      </c>
      <c r="W1878" s="1401">
        <f>U1878/V1878</f>
        <v/>
      </c>
      <c r="X1878" s="1392" t="n"/>
      <c r="Y1878" s="1392" t="n"/>
      <c r="Z1878" s="1422" t="n"/>
      <c r="AA1878" s="1422" t="n"/>
      <c r="AB1878" s="1392" t="n"/>
      <c r="AC1878" s="1392" t="n"/>
      <c r="AD1878" s="1392" t="n"/>
      <c r="AE1878" s="1392" t="n"/>
      <c r="AF1878" s="1392" t="n"/>
      <c r="AG1878" s="1392" t="n"/>
      <c r="AH1878" s="1392" t="n"/>
      <c r="AI1878" s="1392" t="n"/>
      <c r="AJ1878" s="1392" t="n"/>
      <c r="AK1878" s="1392" t="n"/>
      <c r="AL1878" s="1392" t="n"/>
      <c r="AM1878" s="1392" t="n"/>
      <c r="AN1878" s="1392" t="n"/>
      <c r="AO1878" s="1392" t="n"/>
      <c r="AP1878" s="1392" t="n"/>
      <c r="AQ1878" s="1392" t="n"/>
      <c r="AR1878" s="1392" t="n"/>
      <c r="AS1878" s="1422" t="n"/>
      <c r="AT1878" s="1392" t="n"/>
      <c r="AU1878" s="1392" t="n"/>
      <c r="AV1878" s="1392" t="n"/>
      <c r="AW1878" s="1392" t="n"/>
      <c r="AX1878" s="1392" t="n"/>
      <c r="AY1878" s="1392" t="n"/>
      <c r="AZ1878" s="1392" t="n"/>
      <c r="BA1878" s="1392" t="n"/>
      <c r="BB1878" s="1422" t="n"/>
      <c r="BC1878" s="1392" t="n"/>
      <c r="BD1878" s="1392" t="n"/>
      <c r="BE1878" s="1392" t="n"/>
      <c r="BF1878" s="1392" t="n"/>
      <c r="BG1878" s="1392" t="n"/>
      <c r="BH1878" s="1392" t="n"/>
      <c r="BI1878" s="1392" t="n"/>
      <c r="BJ1878" s="1392" t="n"/>
      <c r="BK1878" s="1392" t="n"/>
      <c r="BL1878" s="1392" t="n"/>
      <c r="BM1878" s="1392" t="n"/>
      <c r="BN1878" s="1392" t="n"/>
      <c r="BO1878" s="1392" t="n"/>
      <c r="BP1878" s="1392" t="n"/>
      <c r="BQ1878" s="1392" t="n"/>
      <c r="BR1878" s="1392" t="n"/>
      <c r="BS1878" s="1392" t="n"/>
      <c r="BT1878" s="1392" t="n"/>
      <c r="BU1878" s="1416" t="n"/>
      <c r="BV1878" s="1392" t="n"/>
      <c r="BW1878" s="1392" t="n"/>
      <c r="BX1878" s="1392" t="n"/>
      <c r="BY1878" s="1392" t="n"/>
      <c r="BZ1878" s="1416" t="n"/>
      <c r="CA1878" s="1392" t="n"/>
      <c r="CB1878" s="1392" t="n"/>
      <c r="CC1878" s="1392" t="n"/>
      <c r="CD1878" s="1392" t="n"/>
      <c r="CE1878" s="1392" t="n"/>
      <c r="CF1878" s="1392" t="n"/>
      <c r="CG1878" s="1392" t="n"/>
      <c r="CH1878" s="1392" t="n"/>
      <c r="CI1878" s="1392" t="n"/>
      <c r="CJ1878" s="1392" t="n"/>
      <c r="CK1878" s="1392" t="n"/>
      <c r="CL1878" s="1392" t="n"/>
    </row>
    <row r="1879">
      <c r="A1879" s="5" t="inlineStr">
        <is>
          <t>.</t>
        </is>
      </c>
      <c r="B1879" s="5" t="inlineStr">
        <is>
          <t>.</t>
        </is>
      </c>
      <c r="C1879" s="1378">
        <f>IF(raw[[#This Row],[city]]="","-",IF(raw[[#This Row],[city]]="TODAY","-",C1878+1))</f>
        <v/>
      </c>
      <c r="D1879" s="1393" t="n"/>
      <c r="E1879" s="1394" t="n"/>
      <c r="F1879" s="1394" t="n"/>
      <c r="G1879" s="1393" t="n"/>
      <c r="H1879" s="1393" t="n"/>
      <c r="I1879" s="1393" t="n"/>
      <c r="J1879" s="1393" t="n"/>
      <c r="K1879" s="1395">
        <f>IF(raw[[#This Row],[city]]&lt;&gt;"",_xlfn.XLOOKUP($D1879,ccc[city],ccc[prov],"-"),"-")</f>
        <v/>
      </c>
      <c r="L1879" s="1395">
        <f>IF(raw[[#This Row],[city]]&lt;&gt;"",_xlfn.XLOOKUP($D1879,ccc[city],ccc[ctry],"-"),"-")</f>
        <v/>
      </c>
      <c r="M1879" s="1395">
        <f>IF(raw[[#This Row],[city]]&lt;&gt;"",_xlfn.XLOOKUP($D1879,ccc[city],ccc[cont],"-"),"-")</f>
        <v/>
      </c>
      <c r="N1879" s="1396">
        <f>IF(raw[[#This Row],[city]]="","-",IF(raw[[#This Row],[cont]]="B",raw[[#This Row],[cont]],"W"))</f>
        <v/>
      </c>
      <c r="O1879" s="1397">
        <f>IF(raw[[#This Row],[out]]=0,0,IF(raw[[#This Row],[out]]=raw[[#This Row],[in]],0.01,raw[[#This Row],[out]]-raw[[#This Row],[in]]))</f>
        <v/>
      </c>
      <c r="P1879" s="1397">
        <f>IF(raw[[#This Row],[in]]=0,0,MONTH(raw[[#This Row],[in]]))</f>
        <v/>
      </c>
      <c r="Q1879" s="1397">
        <f>IF(raw[[#This Row],[in]]=0,0,YEAR(raw[[#This Row],[in]]))</f>
        <v/>
      </c>
      <c r="R1879" s="1397">
        <f>INT(raw[[#This Row],[yr]]/10)*10</f>
        <v/>
      </c>
      <c r="S1879" s="1395">
        <f>IF(raw[[#This Row],[city]]="","-",IF(raw[[#This Row],[city]]&lt;&gt;_xlfn.XLOOKUP(raw[[#This Row],[home]],homes[home],homes[city],"-"),1,0))</f>
        <v/>
      </c>
      <c r="T1879" s="1398" t="inlineStr">
        <is>
          <t>.</t>
        </is>
      </c>
      <c r="U1879" s="1399">
        <f>IF(raw[[#This Row],[wb]]="w",raw[[#This Row],[stay]]+U1878,U1878)</f>
        <v/>
      </c>
      <c r="V1879" s="1400">
        <f>IF(raw[[#This Row],[out]]=0,V1878,(raw[[#This Row],[out]]-E$5))</f>
        <v/>
      </c>
      <c r="W1879" s="1401">
        <f>U1879/V1879</f>
        <v/>
      </c>
      <c r="X1879" s="1392" t="n"/>
      <c r="Y1879" s="1392" t="n"/>
      <c r="Z1879" s="1422" t="n"/>
      <c r="AA1879" s="1422" t="n"/>
      <c r="AB1879" s="1392" t="n"/>
      <c r="AC1879" s="1392" t="n"/>
      <c r="AD1879" s="1392" t="n"/>
      <c r="AE1879" s="1392" t="n"/>
      <c r="AF1879" s="1392" t="n"/>
      <c r="AG1879" s="1392" t="n"/>
      <c r="AH1879" s="1392" t="n"/>
      <c r="AI1879" s="1392" t="n"/>
      <c r="AJ1879" s="1392" t="n"/>
      <c r="AK1879" s="1392" t="n"/>
      <c r="AL1879" s="1392" t="n"/>
      <c r="AM1879" s="1392" t="n"/>
      <c r="AN1879" s="1392" t="n"/>
      <c r="AO1879" s="1392" t="n"/>
      <c r="AP1879" s="1392" t="n"/>
      <c r="AQ1879" s="1392" t="n"/>
      <c r="AR1879" s="1392" t="n"/>
      <c r="AS1879" s="1422" t="n"/>
      <c r="AT1879" s="1392" t="n"/>
      <c r="AU1879" s="1392" t="n"/>
      <c r="AV1879" s="1392" t="n"/>
      <c r="AW1879" s="1392" t="n"/>
      <c r="AX1879" s="1392" t="n"/>
      <c r="AY1879" s="1392" t="n"/>
      <c r="AZ1879" s="1392" t="n"/>
      <c r="BA1879" s="1392" t="n"/>
      <c r="BB1879" s="1422" t="n"/>
      <c r="BC1879" s="1392" t="n"/>
      <c r="BD1879" s="1392" t="n"/>
      <c r="BE1879" s="1392" t="n"/>
      <c r="BF1879" s="1392" t="n"/>
      <c r="BG1879" s="1392" t="n"/>
      <c r="BH1879" s="1392" t="n"/>
      <c r="BI1879" s="1392" t="n"/>
      <c r="BJ1879" s="1392" t="n"/>
      <c r="BK1879" s="1392" t="n"/>
      <c r="BL1879" s="1392" t="n"/>
      <c r="BM1879" s="1392" t="n"/>
      <c r="BN1879" s="1392" t="n"/>
      <c r="BO1879" s="1392" t="n"/>
      <c r="BP1879" s="1392" t="n"/>
      <c r="BQ1879" s="1392" t="n"/>
      <c r="BR1879" s="1392" t="n"/>
      <c r="BS1879" s="1392" t="n"/>
      <c r="BT1879" s="1392" t="n"/>
      <c r="BU1879" s="1416" t="n"/>
      <c r="BV1879" s="1392" t="n"/>
      <c r="BW1879" s="1392" t="n"/>
      <c r="BX1879" s="1392" t="n"/>
      <c r="BY1879" s="1392" t="n"/>
      <c r="BZ1879" s="1416" t="n"/>
      <c r="CA1879" s="1392" t="n"/>
      <c r="CB1879" s="1392" t="n"/>
      <c r="CC1879" s="1392" t="n"/>
      <c r="CD1879" s="1392" t="n"/>
      <c r="CE1879" s="1392" t="n"/>
      <c r="CF1879" s="1392" t="n"/>
      <c r="CG1879" s="1392" t="n"/>
      <c r="CH1879" s="1392" t="n"/>
      <c r="CI1879" s="1392" t="n"/>
      <c r="CJ1879" s="1392" t="n"/>
      <c r="CK1879" s="1392" t="n"/>
      <c r="CL1879" s="1392" t="n"/>
    </row>
    <row r="1880">
      <c r="A1880" s="5" t="inlineStr">
        <is>
          <t>.</t>
        </is>
      </c>
      <c r="B1880" s="5" t="inlineStr">
        <is>
          <t>.</t>
        </is>
      </c>
      <c r="C1880" s="1378">
        <f>IF(raw[[#This Row],[city]]="","-",IF(raw[[#This Row],[city]]="TODAY","-",C1879+1))</f>
        <v/>
      </c>
      <c r="D1880" s="1393" t="n"/>
      <c r="E1880" s="1394" t="n"/>
      <c r="F1880" s="1394" t="n"/>
      <c r="G1880" s="1393" t="n"/>
      <c r="H1880" s="1393" t="n"/>
      <c r="I1880" s="1393" t="n"/>
      <c r="J1880" s="1393" t="n"/>
      <c r="K1880" s="1395">
        <f>IF(raw[[#This Row],[city]]&lt;&gt;"",_xlfn.XLOOKUP($D1880,ccc[city],ccc[prov],"-"),"-")</f>
        <v/>
      </c>
      <c r="L1880" s="1395">
        <f>IF(raw[[#This Row],[city]]&lt;&gt;"",_xlfn.XLOOKUP($D1880,ccc[city],ccc[ctry],"-"),"-")</f>
        <v/>
      </c>
      <c r="M1880" s="1395">
        <f>IF(raw[[#This Row],[city]]&lt;&gt;"",_xlfn.XLOOKUP($D1880,ccc[city],ccc[cont],"-"),"-")</f>
        <v/>
      </c>
      <c r="N1880" s="1396">
        <f>IF(raw[[#This Row],[city]]="","-",IF(raw[[#This Row],[cont]]="B",raw[[#This Row],[cont]],"W"))</f>
        <v/>
      </c>
      <c r="O1880" s="1397">
        <f>IF(raw[[#This Row],[out]]=0,0,IF(raw[[#This Row],[out]]=raw[[#This Row],[in]],0.01,raw[[#This Row],[out]]-raw[[#This Row],[in]]))</f>
        <v/>
      </c>
      <c r="P1880" s="1397">
        <f>IF(raw[[#This Row],[in]]=0,0,MONTH(raw[[#This Row],[in]]))</f>
        <v/>
      </c>
      <c r="Q1880" s="1397">
        <f>IF(raw[[#This Row],[in]]=0,0,YEAR(raw[[#This Row],[in]]))</f>
        <v/>
      </c>
      <c r="R1880" s="1397">
        <f>INT(raw[[#This Row],[yr]]/10)*10</f>
        <v/>
      </c>
      <c r="S1880" s="1395">
        <f>IF(raw[[#This Row],[city]]="","-",IF(raw[[#This Row],[city]]&lt;&gt;_xlfn.XLOOKUP(raw[[#This Row],[home]],homes[home],homes[city],"-"),1,0))</f>
        <v/>
      </c>
      <c r="T1880" s="1398" t="inlineStr">
        <is>
          <t>.</t>
        </is>
      </c>
      <c r="U1880" s="1399">
        <f>IF(raw[[#This Row],[wb]]="w",raw[[#This Row],[stay]]+U1879,U1879)</f>
        <v/>
      </c>
      <c r="V1880" s="1400">
        <f>IF(raw[[#This Row],[out]]=0,V1879,(raw[[#This Row],[out]]-E$5))</f>
        <v/>
      </c>
      <c r="W1880" s="1401">
        <f>U1880/V1880</f>
        <v/>
      </c>
      <c r="X1880" s="1392" t="n"/>
      <c r="Y1880" s="1392" t="n"/>
      <c r="Z1880" s="1422" t="n"/>
      <c r="AA1880" s="1422" t="n"/>
      <c r="AB1880" s="1392" t="n"/>
      <c r="AC1880" s="1392" t="n"/>
      <c r="AD1880" s="1392" t="n"/>
      <c r="AE1880" s="1392" t="n"/>
      <c r="AF1880" s="1392" t="n"/>
      <c r="AG1880" s="1392" t="n"/>
      <c r="AH1880" s="1392" t="n"/>
      <c r="AI1880" s="1392" t="n"/>
      <c r="AJ1880" s="1392" t="n"/>
      <c r="AK1880" s="1392" t="n"/>
      <c r="AL1880" s="1392" t="n"/>
      <c r="AM1880" s="1392" t="n"/>
      <c r="AN1880" s="1392" t="n"/>
      <c r="AO1880" s="1392" t="n"/>
      <c r="AP1880" s="1392" t="n"/>
      <c r="AQ1880" s="1392" t="n"/>
      <c r="AR1880" s="1392" t="n"/>
      <c r="AS1880" s="1422" t="n"/>
      <c r="AT1880" s="1392" t="n"/>
      <c r="AU1880" s="1392" t="n"/>
      <c r="AV1880" s="1392" t="n"/>
      <c r="AW1880" s="1392" t="n"/>
      <c r="AX1880" s="1392" t="n"/>
      <c r="AY1880" s="1392" t="n"/>
      <c r="AZ1880" s="1392" t="n"/>
      <c r="BA1880" s="1392" t="n"/>
      <c r="BB1880" s="1422" t="n"/>
      <c r="BC1880" s="1392" t="n"/>
      <c r="BD1880" s="1392" t="n"/>
      <c r="BE1880" s="1392" t="n"/>
      <c r="BF1880" s="1392" t="n"/>
      <c r="BG1880" s="1392" t="n"/>
      <c r="BH1880" s="1392" t="n"/>
      <c r="BI1880" s="1392" t="n"/>
      <c r="BJ1880" s="1392" t="n"/>
      <c r="BK1880" s="1392" t="n"/>
      <c r="BL1880" s="1392" t="n"/>
      <c r="BM1880" s="1392" t="n"/>
      <c r="BN1880" s="1392" t="n"/>
      <c r="BO1880" s="1392" t="n"/>
      <c r="BP1880" s="1392" t="n"/>
      <c r="BQ1880" s="1392" t="n"/>
      <c r="BR1880" s="1392" t="n"/>
      <c r="BS1880" s="1392" t="n"/>
      <c r="BT1880" s="1392" t="n"/>
      <c r="BU1880" s="1416" t="n"/>
      <c r="BV1880" s="1392" t="n"/>
      <c r="BW1880" s="1392" t="n"/>
      <c r="BX1880" s="1392" t="n"/>
      <c r="BY1880" s="1392" t="n"/>
      <c r="BZ1880" s="1416" t="n"/>
      <c r="CA1880" s="1392" t="n"/>
      <c r="CB1880" s="1392" t="n"/>
      <c r="CC1880" s="1392" t="n"/>
      <c r="CD1880" s="1392" t="n"/>
      <c r="CE1880" s="1392" t="n"/>
      <c r="CF1880" s="1392" t="n"/>
      <c r="CG1880" s="1392" t="n"/>
      <c r="CH1880" s="1392" t="n"/>
      <c r="CI1880" s="1392" t="n"/>
      <c r="CJ1880" s="1392" t="n"/>
      <c r="CK1880" s="1392" t="n"/>
      <c r="CL1880" s="1392" t="n"/>
    </row>
    <row r="1881">
      <c r="A1881" s="5" t="inlineStr">
        <is>
          <t>.</t>
        </is>
      </c>
      <c r="B1881" s="5" t="inlineStr">
        <is>
          <t>.</t>
        </is>
      </c>
      <c r="C1881" s="1378">
        <f>IF(raw[[#This Row],[city]]="","-",IF(raw[[#This Row],[city]]="TODAY","-",C1880+1))</f>
        <v/>
      </c>
      <c r="D1881" s="1393" t="n"/>
      <c r="E1881" s="1394" t="n"/>
      <c r="F1881" s="1394" t="n"/>
      <c r="G1881" s="1393" t="n"/>
      <c r="H1881" s="1393" t="n"/>
      <c r="I1881" s="1393" t="n"/>
      <c r="J1881" s="1393" t="n"/>
      <c r="K1881" s="1395">
        <f>IF(raw[[#This Row],[city]]&lt;&gt;"",_xlfn.XLOOKUP($D1881,ccc[city],ccc[prov],"-"),"-")</f>
        <v/>
      </c>
      <c r="L1881" s="1395">
        <f>IF(raw[[#This Row],[city]]&lt;&gt;"",_xlfn.XLOOKUP($D1881,ccc[city],ccc[ctry],"-"),"-")</f>
        <v/>
      </c>
      <c r="M1881" s="1395">
        <f>IF(raw[[#This Row],[city]]&lt;&gt;"",_xlfn.XLOOKUP($D1881,ccc[city],ccc[cont],"-"),"-")</f>
        <v/>
      </c>
      <c r="N1881" s="1396">
        <f>IF(raw[[#This Row],[city]]="","-",IF(raw[[#This Row],[cont]]="B",raw[[#This Row],[cont]],"W"))</f>
        <v/>
      </c>
      <c r="O1881" s="1397">
        <f>IF(raw[[#This Row],[out]]=0,0,IF(raw[[#This Row],[out]]=raw[[#This Row],[in]],0.01,raw[[#This Row],[out]]-raw[[#This Row],[in]]))</f>
        <v/>
      </c>
      <c r="P1881" s="1397">
        <f>IF(raw[[#This Row],[in]]=0,0,MONTH(raw[[#This Row],[in]]))</f>
        <v/>
      </c>
      <c r="Q1881" s="1397">
        <f>IF(raw[[#This Row],[in]]=0,0,YEAR(raw[[#This Row],[in]]))</f>
        <v/>
      </c>
      <c r="R1881" s="1397">
        <f>INT(raw[[#This Row],[yr]]/10)*10</f>
        <v/>
      </c>
      <c r="S1881" s="1395">
        <f>IF(raw[[#This Row],[city]]="","-",IF(raw[[#This Row],[city]]&lt;&gt;_xlfn.XLOOKUP(raw[[#This Row],[home]],homes[home],homes[city],"-"),1,0))</f>
        <v/>
      </c>
      <c r="T1881" s="1398" t="inlineStr">
        <is>
          <t>.</t>
        </is>
      </c>
      <c r="U1881" s="1399">
        <f>IF(raw[[#This Row],[wb]]="w",raw[[#This Row],[stay]]+U1880,U1880)</f>
        <v/>
      </c>
      <c r="V1881" s="1400">
        <f>IF(raw[[#This Row],[out]]=0,V1880,(raw[[#This Row],[out]]-E$5))</f>
        <v/>
      </c>
      <c r="W1881" s="1401">
        <f>U1881/V1881</f>
        <v/>
      </c>
      <c r="X1881" s="1392" t="n"/>
      <c r="Y1881" s="1392" t="n"/>
      <c r="Z1881" s="1422" t="n"/>
      <c r="AA1881" s="1422" t="n"/>
      <c r="AB1881" s="1392" t="n"/>
      <c r="AC1881" s="1392" t="n"/>
      <c r="AD1881" s="1392" t="n"/>
      <c r="AE1881" s="1392" t="n"/>
      <c r="AF1881" s="1392" t="n"/>
      <c r="AG1881" s="1392" t="n"/>
      <c r="AH1881" s="1392" t="n"/>
      <c r="AI1881" s="1392" t="n"/>
      <c r="AJ1881" s="1392" t="n"/>
      <c r="AK1881" s="1392" t="n"/>
      <c r="AL1881" s="1392" t="n"/>
      <c r="AM1881" s="1392" t="n"/>
      <c r="AN1881" s="1392" t="n"/>
      <c r="AO1881" s="1392" t="n"/>
      <c r="AP1881" s="1392" t="n"/>
      <c r="AQ1881" s="1392" t="n"/>
      <c r="AR1881" s="1392" t="n"/>
      <c r="AS1881" s="1422" t="n"/>
      <c r="AT1881" s="1392" t="n"/>
      <c r="AU1881" s="1392" t="n"/>
      <c r="AV1881" s="1392" t="n"/>
      <c r="AW1881" s="1392" t="n"/>
      <c r="AX1881" s="1392" t="n"/>
      <c r="AY1881" s="1392" t="n"/>
      <c r="AZ1881" s="1392" t="n"/>
      <c r="BA1881" s="1392" t="n"/>
      <c r="BB1881" s="1422" t="n"/>
      <c r="BC1881" s="1392" t="n"/>
      <c r="BD1881" s="1392" t="n"/>
      <c r="BE1881" s="1392" t="n"/>
      <c r="BF1881" s="1392" t="n"/>
      <c r="BG1881" s="1392" t="n"/>
      <c r="BH1881" s="1392" t="n"/>
      <c r="BI1881" s="1392" t="n"/>
      <c r="BJ1881" s="1392" t="n"/>
      <c r="BK1881" s="1392" t="n"/>
      <c r="BL1881" s="1392" t="n"/>
      <c r="BM1881" s="1392" t="n"/>
      <c r="BN1881" s="1392" t="n"/>
      <c r="BO1881" s="1392" t="n"/>
      <c r="BP1881" s="1392" t="n"/>
      <c r="BQ1881" s="1392" t="n"/>
      <c r="BR1881" s="1392" t="n"/>
      <c r="BS1881" s="1392" t="n"/>
      <c r="BT1881" s="1392" t="n"/>
      <c r="BU1881" s="1416" t="n"/>
      <c r="BV1881" s="1392" t="n"/>
      <c r="BW1881" s="1392" t="n"/>
      <c r="BX1881" s="1392" t="n"/>
      <c r="BY1881" s="1392" t="n"/>
      <c r="BZ1881" s="1416" t="n"/>
      <c r="CA1881" s="1392" t="n"/>
      <c r="CB1881" s="1392" t="n"/>
      <c r="CC1881" s="1392" t="n"/>
      <c r="CD1881" s="1392" t="n"/>
      <c r="CE1881" s="1392" t="n"/>
      <c r="CF1881" s="1392" t="n"/>
      <c r="CG1881" s="1392" t="n"/>
      <c r="CH1881" s="1392" t="n"/>
      <c r="CI1881" s="1392" t="n"/>
      <c r="CJ1881" s="1392" t="n"/>
      <c r="CK1881" s="1392" t="n"/>
      <c r="CL1881" s="1392" t="n"/>
    </row>
    <row r="1882">
      <c r="A1882" s="5" t="inlineStr">
        <is>
          <t>.</t>
        </is>
      </c>
      <c r="B1882" s="5" t="inlineStr">
        <is>
          <t>.</t>
        </is>
      </c>
      <c r="C1882" s="1378">
        <f>IF(raw[[#This Row],[city]]="","-",IF(raw[[#This Row],[city]]="TODAY","-",C1881+1))</f>
        <v/>
      </c>
      <c r="D1882" s="1393" t="n"/>
      <c r="E1882" s="1394" t="n"/>
      <c r="F1882" s="1394" t="n"/>
      <c r="G1882" s="1393" t="n"/>
      <c r="H1882" s="1393" t="n"/>
      <c r="I1882" s="1393" t="n"/>
      <c r="J1882" s="1393" t="n"/>
      <c r="K1882" s="1395">
        <f>IF(raw[[#This Row],[city]]&lt;&gt;"",_xlfn.XLOOKUP($D1882,ccc[city],ccc[prov],"-"),"-")</f>
        <v/>
      </c>
      <c r="L1882" s="1395">
        <f>IF(raw[[#This Row],[city]]&lt;&gt;"",_xlfn.XLOOKUP($D1882,ccc[city],ccc[ctry],"-"),"-")</f>
        <v/>
      </c>
      <c r="M1882" s="1395">
        <f>IF(raw[[#This Row],[city]]&lt;&gt;"",_xlfn.XLOOKUP($D1882,ccc[city],ccc[cont],"-"),"-")</f>
        <v/>
      </c>
      <c r="N1882" s="1396">
        <f>IF(raw[[#This Row],[city]]="","-",IF(raw[[#This Row],[cont]]="B",raw[[#This Row],[cont]],"W"))</f>
        <v/>
      </c>
      <c r="O1882" s="1397">
        <f>IF(raw[[#This Row],[out]]=0,0,IF(raw[[#This Row],[out]]=raw[[#This Row],[in]],0.01,raw[[#This Row],[out]]-raw[[#This Row],[in]]))</f>
        <v/>
      </c>
      <c r="P1882" s="1397">
        <f>IF(raw[[#This Row],[in]]=0,0,MONTH(raw[[#This Row],[in]]))</f>
        <v/>
      </c>
      <c r="Q1882" s="1397">
        <f>IF(raw[[#This Row],[in]]=0,0,YEAR(raw[[#This Row],[in]]))</f>
        <v/>
      </c>
      <c r="R1882" s="1397">
        <f>INT(raw[[#This Row],[yr]]/10)*10</f>
        <v/>
      </c>
      <c r="S1882" s="1395">
        <f>IF(raw[[#This Row],[city]]="","-",IF(raw[[#This Row],[city]]&lt;&gt;_xlfn.XLOOKUP(raw[[#This Row],[home]],homes[home],homes[city],"-"),1,0))</f>
        <v/>
      </c>
      <c r="T1882" s="1398" t="inlineStr">
        <is>
          <t>.</t>
        </is>
      </c>
      <c r="U1882" s="1399">
        <f>IF(raw[[#This Row],[wb]]="w",raw[[#This Row],[stay]]+U1881,U1881)</f>
        <v/>
      </c>
      <c r="V1882" s="1400">
        <f>IF(raw[[#This Row],[out]]=0,V1881,(raw[[#This Row],[out]]-E$5))</f>
        <v/>
      </c>
      <c r="W1882" s="1401">
        <f>U1882/V1882</f>
        <v/>
      </c>
      <c r="X1882" s="1392" t="n"/>
      <c r="Y1882" s="1392" t="n"/>
      <c r="Z1882" s="1422" t="n"/>
      <c r="AA1882" s="1422" t="n"/>
      <c r="AB1882" s="1392" t="n"/>
      <c r="AC1882" s="1392" t="n"/>
      <c r="AD1882" s="1392" t="n"/>
      <c r="AE1882" s="1392" t="n"/>
      <c r="AF1882" s="1392" t="n"/>
      <c r="AG1882" s="1392" t="n"/>
      <c r="AH1882" s="1392" t="n"/>
      <c r="AI1882" s="1392" t="n"/>
      <c r="AJ1882" s="1392" t="n"/>
      <c r="AK1882" s="1392" t="n"/>
      <c r="AL1882" s="1392" t="n"/>
      <c r="AM1882" s="1392" t="n"/>
      <c r="AN1882" s="1392" t="n"/>
      <c r="AO1882" s="1392" t="n"/>
      <c r="AP1882" s="1392" t="n"/>
      <c r="AQ1882" s="1392" t="n"/>
      <c r="AR1882" s="1392" t="n"/>
      <c r="AS1882" s="1422" t="n"/>
      <c r="AT1882" s="1392" t="n"/>
      <c r="AU1882" s="1392" t="n"/>
      <c r="AV1882" s="1392" t="n"/>
      <c r="AW1882" s="1392" t="n"/>
      <c r="AX1882" s="1392" t="n"/>
      <c r="AY1882" s="1392" t="n"/>
      <c r="AZ1882" s="1392" t="n"/>
      <c r="BA1882" s="1392" t="n"/>
      <c r="BB1882" s="1422" t="n"/>
      <c r="BC1882" s="1392" t="n"/>
      <c r="BD1882" s="1392" t="n"/>
      <c r="BE1882" s="1392" t="n"/>
      <c r="BF1882" s="1392" t="n"/>
      <c r="BG1882" s="1392" t="n"/>
      <c r="BH1882" s="1392" t="n"/>
      <c r="BI1882" s="1392" t="n"/>
      <c r="BJ1882" s="1392" t="n"/>
      <c r="BK1882" s="1392" t="n"/>
      <c r="BL1882" s="1392" t="n"/>
      <c r="BM1882" s="1392" t="n"/>
      <c r="BN1882" s="1392" t="n"/>
      <c r="BO1882" s="1392" t="n"/>
      <c r="BP1882" s="1392" t="n"/>
      <c r="BQ1882" s="1392" t="n"/>
      <c r="BR1882" s="1392" t="n"/>
      <c r="BS1882" s="1392" t="n"/>
      <c r="BT1882" s="1392" t="n"/>
      <c r="BU1882" s="1416" t="n"/>
      <c r="BV1882" s="1392" t="n"/>
      <c r="BW1882" s="1392" t="n"/>
      <c r="BX1882" s="1392" t="n"/>
      <c r="BY1882" s="1392" t="n"/>
      <c r="BZ1882" s="1416" t="n"/>
      <c r="CA1882" s="1392" t="n"/>
      <c r="CB1882" s="1392" t="n"/>
      <c r="CC1882" s="1392" t="n"/>
      <c r="CD1882" s="1392" t="n"/>
      <c r="CE1882" s="1392" t="n"/>
      <c r="CF1882" s="1392" t="n"/>
      <c r="CG1882" s="1392" t="n"/>
      <c r="CH1882" s="1392" t="n"/>
      <c r="CI1882" s="1392" t="n"/>
      <c r="CJ1882" s="1392" t="n"/>
      <c r="CK1882" s="1392" t="n"/>
      <c r="CL1882" s="1392" t="n"/>
    </row>
    <row r="1883">
      <c r="A1883" s="5" t="inlineStr">
        <is>
          <t>.</t>
        </is>
      </c>
      <c r="B1883" s="5" t="inlineStr">
        <is>
          <t>.</t>
        </is>
      </c>
      <c r="C1883" s="1378">
        <f>IF(raw[[#This Row],[city]]="","-",IF(raw[[#This Row],[city]]="TODAY","-",C1882+1))</f>
        <v/>
      </c>
      <c r="D1883" s="1393" t="n"/>
      <c r="E1883" s="1394" t="n"/>
      <c r="F1883" s="1394" t="n"/>
      <c r="G1883" s="1393" t="n"/>
      <c r="H1883" s="1393" t="n"/>
      <c r="I1883" s="1393" t="n"/>
      <c r="J1883" s="1393" t="n"/>
      <c r="K1883" s="1395">
        <f>IF(raw[[#This Row],[city]]&lt;&gt;"",_xlfn.XLOOKUP($D1883,ccc[city],ccc[prov],"-"),"-")</f>
        <v/>
      </c>
      <c r="L1883" s="1395">
        <f>IF(raw[[#This Row],[city]]&lt;&gt;"",_xlfn.XLOOKUP($D1883,ccc[city],ccc[ctry],"-"),"-")</f>
        <v/>
      </c>
      <c r="M1883" s="1395">
        <f>IF(raw[[#This Row],[city]]&lt;&gt;"",_xlfn.XLOOKUP($D1883,ccc[city],ccc[cont],"-"),"-")</f>
        <v/>
      </c>
      <c r="N1883" s="1396">
        <f>IF(raw[[#This Row],[city]]="","-",IF(raw[[#This Row],[cont]]="B",raw[[#This Row],[cont]],"W"))</f>
        <v/>
      </c>
      <c r="O1883" s="1397">
        <f>IF(raw[[#This Row],[out]]=0,0,IF(raw[[#This Row],[out]]=raw[[#This Row],[in]],0.01,raw[[#This Row],[out]]-raw[[#This Row],[in]]))</f>
        <v/>
      </c>
      <c r="P1883" s="1397">
        <f>IF(raw[[#This Row],[in]]=0,0,MONTH(raw[[#This Row],[in]]))</f>
        <v/>
      </c>
      <c r="Q1883" s="1397">
        <f>IF(raw[[#This Row],[in]]=0,0,YEAR(raw[[#This Row],[in]]))</f>
        <v/>
      </c>
      <c r="R1883" s="1397">
        <f>INT(raw[[#This Row],[yr]]/10)*10</f>
        <v/>
      </c>
      <c r="S1883" s="1395">
        <f>IF(raw[[#This Row],[city]]="","-",IF(raw[[#This Row],[city]]&lt;&gt;_xlfn.XLOOKUP(raw[[#This Row],[home]],homes[home],homes[city],"-"),1,0))</f>
        <v/>
      </c>
      <c r="T1883" s="1398" t="inlineStr">
        <is>
          <t>.</t>
        </is>
      </c>
      <c r="U1883" s="1399">
        <f>IF(raw[[#This Row],[wb]]="w",raw[[#This Row],[stay]]+U1882,U1882)</f>
        <v/>
      </c>
      <c r="V1883" s="1400">
        <f>IF(raw[[#This Row],[out]]=0,V1882,(raw[[#This Row],[out]]-E$5))</f>
        <v/>
      </c>
      <c r="W1883" s="1401">
        <f>U1883/V1883</f>
        <v/>
      </c>
      <c r="X1883" s="1392" t="n"/>
      <c r="Y1883" s="1392" t="n"/>
      <c r="Z1883" s="1422" t="n"/>
      <c r="AA1883" s="1422" t="n"/>
      <c r="AB1883" s="1392" t="n"/>
      <c r="AC1883" s="1392" t="n"/>
      <c r="AD1883" s="1392" t="n"/>
      <c r="AE1883" s="1392" t="n"/>
      <c r="AF1883" s="1392" t="n"/>
      <c r="AG1883" s="1392" t="n"/>
      <c r="AH1883" s="1392" t="n"/>
      <c r="AI1883" s="1392" t="n"/>
      <c r="AJ1883" s="1392" t="n"/>
      <c r="AK1883" s="1392" t="n"/>
      <c r="AL1883" s="1392" t="n"/>
      <c r="AM1883" s="1392" t="n"/>
      <c r="AN1883" s="1392" t="n"/>
      <c r="AO1883" s="1392" t="n"/>
      <c r="AP1883" s="1392" t="n"/>
      <c r="AQ1883" s="1392" t="n"/>
      <c r="AR1883" s="1392" t="n"/>
      <c r="AS1883" s="1422" t="n"/>
      <c r="AT1883" s="1392" t="n"/>
      <c r="AU1883" s="1392" t="n"/>
      <c r="AV1883" s="1392" t="n"/>
      <c r="AW1883" s="1392" t="n"/>
      <c r="AX1883" s="1392" t="n"/>
      <c r="AY1883" s="1392" t="n"/>
      <c r="AZ1883" s="1392" t="n"/>
      <c r="BA1883" s="1392" t="n"/>
      <c r="BB1883" s="1422" t="n"/>
      <c r="BC1883" s="1392" t="n"/>
      <c r="BD1883" s="1392" t="n"/>
      <c r="BE1883" s="1392" t="n"/>
      <c r="BF1883" s="1392" t="n"/>
      <c r="BG1883" s="1392" t="n"/>
      <c r="BH1883" s="1392" t="n"/>
      <c r="BI1883" s="1392" t="n"/>
      <c r="BJ1883" s="1392" t="n"/>
      <c r="BK1883" s="1392" t="n"/>
      <c r="BL1883" s="1392" t="n"/>
      <c r="BM1883" s="1392" t="n"/>
      <c r="BN1883" s="1392" t="n"/>
      <c r="BO1883" s="1392" t="n"/>
      <c r="BP1883" s="1392" t="n"/>
      <c r="BQ1883" s="1392" t="n"/>
      <c r="BR1883" s="1392" t="n"/>
      <c r="BS1883" s="1392" t="n"/>
      <c r="BT1883" s="1392" t="n"/>
      <c r="BU1883" s="1416" t="n"/>
      <c r="BV1883" s="1392" t="n"/>
      <c r="BW1883" s="1392" t="n"/>
      <c r="BX1883" s="1392" t="n"/>
      <c r="BY1883" s="1392" t="n"/>
      <c r="BZ1883" s="1416" t="n"/>
      <c r="CA1883" s="1392" t="n"/>
      <c r="CB1883" s="1392" t="n"/>
      <c r="CC1883" s="1392" t="n"/>
      <c r="CD1883" s="1392" t="n"/>
      <c r="CE1883" s="1392" t="n"/>
      <c r="CF1883" s="1392" t="n"/>
      <c r="CG1883" s="1392" t="n"/>
      <c r="CH1883" s="1392" t="n"/>
      <c r="CI1883" s="1392" t="n"/>
      <c r="CJ1883" s="1392" t="n"/>
      <c r="CK1883" s="1392" t="n"/>
      <c r="CL1883" s="1392" t="n"/>
    </row>
    <row r="1884">
      <c r="A1884" s="5" t="inlineStr">
        <is>
          <t>.</t>
        </is>
      </c>
      <c r="B1884" s="5" t="inlineStr">
        <is>
          <t>.</t>
        </is>
      </c>
      <c r="C1884" s="1378">
        <f>IF(raw[[#This Row],[city]]="","-",IF(raw[[#This Row],[city]]="TODAY","-",C1883+1))</f>
        <v/>
      </c>
      <c r="D1884" s="1393" t="n"/>
      <c r="E1884" s="1394" t="n"/>
      <c r="F1884" s="1394" t="n"/>
      <c r="G1884" s="1393" t="n"/>
      <c r="H1884" s="1393" t="n"/>
      <c r="I1884" s="1393" t="n"/>
      <c r="J1884" s="1393" t="n"/>
      <c r="K1884" s="1395">
        <f>IF(raw[[#This Row],[city]]&lt;&gt;"",_xlfn.XLOOKUP($D1884,ccc[city],ccc[prov],"-"),"-")</f>
        <v/>
      </c>
      <c r="L1884" s="1395">
        <f>IF(raw[[#This Row],[city]]&lt;&gt;"",_xlfn.XLOOKUP($D1884,ccc[city],ccc[ctry],"-"),"-")</f>
        <v/>
      </c>
      <c r="M1884" s="1395">
        <f>IF(raw[[#This Row],[city]]&lt;&gt;"",_xlfn.XLOOKUP($D1884,ccc[city],ccc[cont],"-"),"-")</f>
        <v/>
      </c>
      <c r="N1884" s="1396">
        <f>IF(raw[[#This Row],[city]]="","-",IF(raw[[#This Row],[cont]]="B",raw[[#This Row],[cont]],"W"))</f>
        <v/>
      </c>
      <c r="O1884" s="1397">
        <f>IF(raw[[#This Row],[out]]=0,0,IF(raw[[#This Row],[out]]=raw[[#This Row],[in]],0.01,raw[[#This Row],[out]]-raw[[#This Row],[in]]))</f>
        <v/>
      </c>
      <c r="P1884" s="1397">
        <f>IF(raw[[#This Row],[in]]=0,0,MONTH(raw[[#This Row],[in]]))</f>
        <v/>
      </c>
      <c r="Q1884" s="1397">
        <f>IF(raw[[#This Row],[in]]=0,0,YEAR(raw[[#This Row],[in]]))</f>
        <v/>
      </c>
      <c r="R1884" s="1397">
        <f>INT(raw[[#This Row],[yr]]/10)*10</f>
        <v/>
      </c>
      <c r="S1884" s="1395">
        <f>IF(raw[[#This Row],[city]]="","-",IF(raw[[#This Row],[city]]&lt;&gt;_xlfn.XLOOKUP(raw[[#This Row],[home]],homes[home],homes[city],"-"),1,0))</f>
        <v/>
      </c>
      <c r="T1884" s="1398" t="inlineStr">
        <is>
          <t>.</t>
        </is>
      </c>
      <c r="U1884" s="1399">
        <f>IF(raw[[#This Row],[wb]]="w",raw[[#This Row],[stay]]+U1883,U1883)</f>
        <v/>
      </c>
      <c r="V1884" s="1400">
        <f>IF(raw[[#This Row],[out]]=0,V1883,(raw[[#This Row],[out]]-E$5))</f>
        <v/>
      </c>
      <c r="W1884" s="1401">
        <f>U1884/V1884</f>
        <v/>
      </c>
      <c r="X1884" s="1392" t="n"/>
      <c r="Y1884" s="1392" t="n"/>
      <c r="Z1884" s="1422" t="n"/>
      <c r="AA1884" s="1422" t="n"/>
      <c r="AB1884" s="1392" t="n"/>
      <c r="AC1884" s="1392" t="n"/>
      <c r="AD1884" s="1392" t="n"/>
      <c r="AE1884" s="1392" t="n"/>
      <c r="AF1884" s="1392" t="n"/>
      <c r="AG1884" s="1392" t="n"/>
      <c r="AH1884" s="1392" t="n"/>
      <c r="AI1884" s="1392" t="n"/>
      <c r="AJ1884" s="1392" t="n"/>
      <c r="AK1884" s="1392" t="n"/>
      <c r="AL1884" s="1392" t="n"/>
      <c r="AM1884" s="1392" t="n"/>
      <c r="AN1884" s="1392" t="n"/>
      <c r="AO1884" s="1392" t="n"/>
      <c r="AP1884" s="1392" t="n"/>
      <c r="AQ1884" s="1392" t="n"/>
      <c r="AR1884" s="1392" t="n"/>
      <c r="AS1884" s="1422" t="n"/>
      <c r="AT1884" s="1392" t="n"/>
      <c r="AU1884" s="1392" t="n"/>
      <c r="AV1884" s="1392" t="n"/>
      <c r="AW1884" s="1392" t="n"/>
      <c r="AX1884" s="1392" t="n"/>
      <c r="AY1884" s="1392" t="n"/>
      <c r="AZ1884" s="1392" t="n"/>
      <c r="BA1884" s="1392" t="n"/>
      <c r="BB1884" s="1422" t="n"/>
      <c r="BC1884" s="1392" t="n"/>
      <c r="BD1884" s="1392" t="n"/>
      <c r="BE1884" s="1392" t="n"/>
      <c r="BF1884" s="1392" t="n"/>
      <c r="BG1884" s="1392" t="n"/>
      <c r="BH1884" s="1392" t="n"/>
      <c r="BI1884" s="1392" t="n"/>
      <c r="BJ1884" s="1392" t="n"/>
      <c r="BK1884" s="1392" t="n"/>
      <c r="BL1884" s="1392" t="n"/>
      <c r="BM1884" s="1392" t="n"/>
      <c r="BN1884" s="1392" t="n"/>
      <c r="BO1884" s="1392" t="n"/>
      <c r="BP1884" s="1392" t="n"/>
      <c r="BQ1884" s="1392" t="n"/>
      <c r="BR1884" s="1392" t="n"/>
      <c r="BS1884" s="1392" t="n"/>
      <c r="BT1884" s="1392" t="n"/>
      <c r="BU1884" s="1416" t="n"/>
      <c r="BV1884" s="1392" t="n"/>
      <c r="BW1884" s="1392" t="n"/>
      <c r="BX1884" s="1392" t="n"/>
      <c r="BY1884" s="1392" t="n"/>
      <c r="BZ1884" s="1416" t="n"/>
      <c r="CA1884" s="1392" t="n"/>
      <c r="CB1884" s="1392" t="n"/>
      <c r="CC1884" s="1392" t="n"/>
      <c r="CD1884" s="1392" t="n"/>
      <c r="CE1884" s="1392" t="n"/>
      <c r="CF1884" s="1392" t="n"/>
      <c r="CG1884" s="1392" t="n"/>
      <c r="CH1884" s="1392" t="n"/>
      <c r="CI1884" s="1392" t="n"/>
      <c r="CJ1884" s="1392" t="n"/>
      <c r="CK1884" s="1392" t="n"/>
      <c r="CL1884" s="1392" t="n"/>
    </row>
    <row r="1885">
      <c r="A1885" s="5" t="inlineStr">
        <is>
          <t>.</t>
        </is>
      </c>
      <c r="B1885" s="5" t="inlineStr">
        <is>
          <t>.</t>
        </is>
      </c>
      <c r="C1885" s="1378">
        <f>IF(raw[[#This Row],[city]]="","-",IF(raw[[#This Row],[city]]="TODAY","-",C1884+1))</f>
        <v/>
      </c>
      <c r="D1885" s="1393" t="n"/>
      <c r="E1885" s="1394" t="n"/>
      <c r="F1885" s="1394" t="n"/>
      <c r="G1885" s="1393" t="n"/>
      <c r="H1885" s="1393" t="n"/>
      <c r="I1885" s="1393" t="n"/>
      <c r="J1885" s="1393" t="n"/>
      <c r="K1885" s="1395">
        <f>IF(raw[[#This Row],[city]]&lt;&gt;"",_xlfn.XLOOKUP($D1885,ccc[city],ccc[prov],"-"),"-")</f>
        <v/>
      </c>
      <c r="L1885" s="1395">
        <f>IF(raw[[#This Row],[city]]&lt;&gt;"",_xlfn.XLOOKUP($D1885,ccc[city],ccc[ctry],"-"),"-")</f>
        <v/>
      </c>
      <c r="M1885" s="1395">
        <f>IF(raw[[#This Row],[city]]&lt;&gt;"",_xlfn.XLOOKUP($D1885,ccc[city],ccc[cont],"-"),"-")</f>
        <v/>
      </c>
      <c r="N1885" s="1396">
        <f>IF(raw[[#This Row],[city]]="","-",IF(raw[[#This Row],[cont]]="B",raw[[#This Row],[cont]],"W"))</f>
        <v/>
      </c>
      <c r="O1885" s="1397">
        <f>IF(raw[[#This Row],[out]]=0,0,IF(raw[[#This Row],[out]]=raw[[#This Row],[in]],0.01,raw[[#This Row],[out]]-raw[[#This Row],[in]]))</f>
        <v/>
      </c>
      <c r="P1885" s="1397">
        <f>IF(raw[[#This Row],[in]]=0,0,MONTH(raw[[#This Row],[in]]))</f>
        <v/>
      </c>
      <c r="Q1885" s="1397">
        <f>IF(raw[[#This Row],[in]]=0,0,YEAR(raw[[#This Row],[in]]))</f>
        <v/>
      </c>
      <c r="R1885" s="1397">
        <f>INT(raw[[#This Row],[yr]]/10)*10</f>
        <v/>
      </c>
      <c r="S1885" s="1395">
        <f>IF(raw[[#This Row],[city]]="","-",IF(raw[[#This Row],[city]]&lt;&gt;_xlfn.XLOOKUP(raw[[#This Row],[home]],homes[home],homes[city],"-"),1,0))</f>
        <v/>
      </c>
      <c r="T1885" s="1398" t="inlineStr">
        <is>
          <t>.</t>
        </is>
      </c>
      <c r="U1885" s="1399">
        <f>IF(raw[[#This Row],[wb]]="w",raw[[#This Row],[stay]]+U1884,U1884)</f>
        <v/>
      </c>
      <c r="V1885" s="1400">
        <f>IF(raw[[#This Row],[out]]=0,V1884,(raw[[#This Row],[out]]-E$5))</f>
        <v/>
      </c>
      <c r="W1885" s="1401">
        <f>U1885/V1885</f>
        <v/>
      </c>
      <c r="X1885" s="1392" t="n"/>
      <c r="Y1885" s="1392" t="n"/>
      <c r="Z1885" s="1422" t="n"/>
      <c r="AA1885" s="1422" t="n"/>
      <c r="AB1885" s="1392" t="n"/>
      <c r="AC1885" s="1392" t="n"/>
      <c r="AD1885" s="1392" t="n"/>
      <c r="AE1885" s="1392" t="n"/>
      <c r="AF1885" s="1392" t="n"/>
      <c r="AG1885" s="1392" t="n"/>
      <c r="AH1885" s="1392" t="n"/>
      <c r="AI1885" s="1392" t="n"/>
      <c r="AJ1885" s="1392" t="n"/>
      <c r="AK1885" s="1392" t="n"/>
      <c r="AL1885" s="1392" t="n"/>
      <c r="AM1885" s="1392" t="n"/>
      <c r="AN1885" s="1392" t="n"/>
      <c r="AO1885" s="1392" t="n"/>
      <c r="AP1885" s="1392" t="n"/>
      <c r="AQ1885" s="1392" t="n"/>
      <c r="AR1885" s="1392" t="n"/>
      <c r="AS1885" s="1422" t="n"/>
      <c r="AT1885" s="1392" t="n"/>
      <c r="AU1885" s="1392" t="n"/>
      <c r="AV1885" s="1392" t="n"/>
      <c r="AW1885" s="1392" t="n"/>
      <c r="AX1885" s="1392" t="n"/>
      <c r="AY1885" s="1392" t="n"/>
      <c r="AZ1885" s="1392" t="n"/>
      <c r="BA1885" s="1392" t="n"/>
      <c r="BB1885" s="1422" t="n"/>
      <c r="BC1885" s="1392" t="n"/>
      <c r="BD1885" s="1392" t="n"/>
      <c r="BE1885" s="1392" t="n"/>
      <c r="BF1885" s="1392" t="n"/>
      <c r="BG1885" s="1392" t="n"/>
      <c r="BH1885" s="1392" t="n"/>
      <c r="BI1885" s="1392" t="n"/>
      <c r="BJ1885" s="1392" t="n"/>
      <c r="BK1885" s="1392" t="n"/>
      <c r="BL1885" s="1392" t="n"/>
      <c r="BM1885" s="1392" t="n"/>
      <c r="BN1885" s="1392" t="n"/>
      <c r="BO1885" s="1392" t="n"/>
      <c r="BP1885" s="1392" t="n"/>
      <c r="BQ1885" s="1392" t="n"/>
      <c r="BR1885" s="1392" t="n"/>
      <c r="BS1885" s="1392" t="n"/>
      <c r="BT1885" s="1392" t="n"/>
      <c r="BU1885" s="1416" t="n"/>
      <c r="BV1885" s="1392" t="n"/>
      <c r="BW1885" s="1392" t="n"/>
      <c r="BX1885" s="1392" t="n"/>
      <c r="BY1885" s="1392" t="n"/>
      <c r="BZ1885" s="1416" t="n"/>
      <c r="CA1885" s="1392" t="n"/>
      <c r="CB1885" s="1392" t="n"/>
      <c r="CC1885" s="1392" t="n"/>
      <c r="CD1885" s="1392" t="n"/>
      <c r="CE1885" s="1392" t="n"/>
      <c r="CF1885" s="1392" t="n"/>
      <c r="CG1885" s="1392" t="n"/>
      <c r="CH1885" s="1392" t="n"/>
      <c r="CI1885" s="1392" t="n"/>
      <c r="CJ1885" s="1392" t="n"/>
      <c r="CK1885" s="1392" t="n"/>
      <c r="CL1885" s="1392" t="n"/>
    </row>
    <row r="1886">
      <c r="A1886" s="5" t="inlineStr">
        <is>
          <t>.</t>
        </is>
      </c>
      <c r="B1886" s="5" t="inlineStr">
        <is>
          <t>.</t>
        </is>
      </c>
      <c r="C1886" s="1378">
        <f>IF(raw[[#This Row],[city]]="","-",IF(raw[[#This Row],[city]]="TODAY","-",C1885+1))</f>
        <v/>
      </c>
      <c r="D1886" s="1393" t="n"/>
      <c r="E1886" s="1394" t="n"/>
      <c r="F1886" s="1394" t="n"/>
      <c r="G1886" s="1393" t="n"/>
      <c r="H1886" s="1393" t="n"/>
      <c r="I1886" s="1393" t="n"/>
      <c r="J1886" s="1393" t="n"/>
      <c r="K1886" s="1395">
        <f>IF(raw[[#This Row],[city]]&lt;&gt;"",_xlfn.XLOOKUP($D1886,ccc[city],ccc[prov],"-"),"-")</f>
        <v/>
      </c>
      <c r="L1886" s="1395">
        <f>IF(raw[[#This Row],[city]]&lt;&gt;"",_xlfn.XLOOKUP($D1886,ccc[city],ccc[ctry],"-"),"-")</f>
        <v/>
      </c>
      <c r="M1886" s="1395">
        <f>IF(raw[[#This Row],[city]]&lt;&gt;"",_xlfn.XLOOKUP($D1886,ccc[city],ccc[cont],"-"),"-")</f>
        <v/>
      </c>
      <c r="N1886" s="1396">
        <f>IF(raw[[#This Row],[city]]="","-",IF(raw[[#This Row],[cont]]="B",raw[[#This Row],[cont]],"W"))</f>
        <v/>
      </c>
      <c r="O1886" s="1397">
        <f>IF(raw[[#This Row],[out]]=0,0,IF(raw[[#This Row],[out]]=raw[[#This Row],[in]],0.01,raw[[#This Row],[out]]-raw[[#This Row],[in]]))</f>
        <v/>
      </c>
      <c r="P1886" s="1397">
        <f>IF(raw[[#This Row],[in]]=0,0,MONTH(raw[[#This Row],[in]]))</f>
        <v/>
      </c>
      <c r="Q1886" s="1397">
        <f>IF(raw[[#This Row],[in]]=0,0,YEAR(raw[[#This Row],[in]]))</f>
        <v/>
      </c>
      <c r="R1886" s="1397">
        <f>INT(raw[[#This Row],[yr]]/10)*10</f>
        <v/>
      </c>
      <c r="S1886" s="1395">
        <f>IF(raw[[#This Row],[city]]="","-",IF(raw[[#This Row],[city]]&lt;&gt;_xlfn.XLOOKUP(raw[[#This Row],[home]],homes[home],homes[city],"-"),1,0))</f>
        <v/>
      </c>
      <c r="T1886" s="1398" t="inlineStr">
        <is>
          <t>.</t>
        </is>
      </c>
      <c r="U1886" s="1399">
        <f>IF(raw[[#This Row],[wb]]="w",raw[[#This Row],[stay]]+U1885,U1885)</f>
        <v/>
      </c>
      <c r="V1886" s="1400">
        <f>IF(raw[[#This Row],[out]]=0,V1885,(raw[[#This Row],[out]]-E$5))</f>
        <v/>
      </c>
      <c r="W1886" s="1401">
        <f>U1886/V1886</f>
        <v/>
      </c>
      <c r="X1886" s="1392" t="n"/>
      <c r="Y1886" s="1392" t="n"/>
      <c r="Z1886" s="1422" t="n"/>
      <c r="AA1886" s="1422" t="n"/>
      <c r="AB1886" s="1392" t="n"/>
      <c r="AC1886" s="1392" t="n"/>
      <c r="AD1886" s="1392" t="n"/>
      <c r="AE1886" s="1392" t="n"/>
      <c r="AF1886" s="1392" t="n"/>
      <c r="AG1886" s="1392" t="n"/>
      <c r="AH1886" s="1392" t="n"/>
      <c r="AI1886" s="1392" t="n"/>
      <c r="AJ1886" s="1392" t="n"/>
      <c r="AK1886" s="1392" t="n"/>
      <c r="AL1886" s="1392" t="n"/>
      <c r="AM1886" s="1392" t="n"/>
      <c r="AN1886" s="1392" t="n"/>
      <c r="AO1886" s="1392" t="n"/>
      <c r="AP1886" s="1392" t="n"/>
      <c r="AQ1886" s="1392" t="n"/>
      <c r="AR1886" s="1392" t="n"/>
      <c r="AS1886" s="1422" t="n"/>
      <c r="AT1886" s="1392" t="n"/>
      <c r="AU1886" s="1392" t="n"/>
      <c r="AV1886" s="1392" t="n"/>
      <c r="AW1886" s="1392" t="n"/>
      <c r="AX1886" s="1392" t="n"/>
      <c r="AY1886" s="1392" t="n"/>
      <c r="AZ1886" s="1392" t="n"/>
      <c r="BA1886" s="1392" t="n"/>
      <c r="BB1886" s="1422" t="n"/>
      <c r="BC1886" s="1392" t="n"/>
      <c r="BD1886" s="1392" t="n"/>
      <c r="BE1886" s="1392" t="n"/>
      <c r="BF1886" s="1392" t="n"/>
      <c r="BG1886" s="1392" t="n"/>
      <c r="BH1886" s="1392" t="n"/>
      <c r="BI1886" s="1392" t="n"/>
      <c r="BJ1886" s="1392" t="n"/>
      <c r="BK1886" s="1392" t="n"/>
      <c r="BL1886" s="1392" t="n"/>
      <c r="BM1886" s="1392" t="n"/>
      <c r="BN1886" s="1392" t="n"/>
      <c r="BO1886" s="1392" t="n"/>
      <c r="BP1886" s="1392" t="n"/>
      <c r="BQ1886" s="1392" t="n"/>
      <c r="BR1886" s="1392" t="n"/>
      <c r="BS1886" s="1392" t="n"/>
      <c r="BT1886" s="1392" t="n"/>
      <c r="BU1886" s="1416" t="n"/>
      <c r="BV1886" s="1392" t="n"/>
      <c r="BW1886" s="1392" t="n"/>
      <c r="BX1886" s="1392" t="n"/>
      <c r="BY1886" s="1392" t="n"/>
      <c r="BZ1886" s="1416" t="n"/>
      <c r="CA1886" s="1392" t="n"/>
      <c r="CB1886" s="1392" t="n"/>
      <c r="CC1886" s="1392" t="n"/>
      <c r="CD1886" s="1392" t="n"/>
      <c r="CE1886" s="1392" t="n"/>
      <c r="CF1886" s="1392" t="n"/>
      <c r="CG1886" s="1392" t="n"/>
      <c r="CH1886" s="1392" t="n"/>
      <c r="CI1886" s="1392" t="n"/>
      <c r="CJ1886" s="1392" t="n"/>
      <c r="CK1886" s="1392" t="n"/>
      <c r="CL1886" s="1392" t="n"/>
    </row>
    <row r="1887">
      <c r="A1887" s="5" t="inlineStr">
        <is>
          <t>.</t>
        </is>
      </c>
      <c r="B1887" s="5" t="inlineStr">
        <is>
          <t>.</t>
        </is>
      </c>
      <c r="C1887" s="1378">
        <f>IF(raw[[#This Row],[city]]="","-",IF(raw[[#This Row],[city]]="TODAY","-",C1886+1))</f>
        <v/>
      </c>
      <c r="D1887" s="1393" t="n"/>
      <c r="E1887" s="1394" t="n"/>
      <c r="F1887" s="1394" t="n"/>
      <c r="G1887" s="1393" t="n"/>
      <c r="H1887" s="1393" t="n"/>
      <c r="I1887" s="1393" t="n"/>
      <c r="J1887" s="1393" t="n"/>
      <c r="K1887" s="1395">
        <f>IF(raw[[#This Row],[city]]&lt;&gt;"",_xlfn.XLOOKUP($D1887,ccc[city],ccc[prov],"-"),"-")</f>
        <v/>
      </c>
      <c r="L1887" s="1395">
        <f>IF(raw[[#This Row],[city]]&lt;&gt;"",_xlfn.XLOOKUP($D1887,ccc[city],ccc[ctry],"-"),"-")</f>
        <v/>
      </c>
      <c r="M1887" s="1395">
        <f>IF(raw[[#This Row],[city]]&lt;&gt;"",_xlfn.XLOOKUP($D1887,ccc[city],ccc[cont],"-"),"-")</f>
        <v/>
      </c>
      <c r="N1887" s="1396">
        <f>IF(raw[[#This Row],[city]]="","-",IF(raw[[#This Row],[cont]]="B",raw[[#This Row],[cont]],"W"))</f>
        <v/>
      </c>
      <c r="O1887" s="1397">
        <f>IF(raw[[#This Row],[out]]=0,0,IF(raw[[#This Row],[out]]=raw[[#This Row],[in]],0.01,raw[[#This Row],[out]]-raw[[#This Row],[in]]))</f>
        <v/>
      </c>
      <c r="P1887" s="1397">
        <f>IF(raw[[#This Row],[in]]=0,0,MONTH(raw[[#This Row],[in]]))</f>
        <v/>
      </c>
      <c r="Q1887" s="1397">
        <f>IF(raw[[#This Row],[in]]=0,0,YEAR(raw[[#This Row],[in]]))</f>
        <v/>
      </c>
      <c r="R1887" s="1397">
        <f>INT(raw[[#This Row],[yr]]/10)*10</f>
        <v/>
      </c>
      <c r="S1887" s="1395">
        <f>IF(raw[[#This Row],[city]]="","-",IF(raw[[#This Row],[city]]&lt;&gt;_xlfn.XLOOKUP(raw[[#This Row],[home]],homes[home],homes[city],"-"),1,0))</f>
        <v/>
      </c>
      <c r="T1887" s="1398" t="inlineStr">
        <is>
          <t>.</t>
        </is>
      </c>
      <c r="U1887" s="1399">
        <f>IF(raw[[#This Row],[wb]]="w",raw[[#This Row],[stay]]+U1886,U1886)</f>
        <v/>
      </c>
      <c r="V1887" s="1400">
        <f>IF(raw[[#This Row],[out]]=0,V1886,(raw[[#This Row],[out]]-E$5))</f>
        <v/>
      </c>
      <c r="W1887" s="1401">
        <f>U1887/V1887</f>
        <v/>
      </c>
      <c r="X1887" s="1392" t="n"/>
      <c r="Y1887" s="1392" t="n"/>
      <c r="Z1887" s="1422" t="n"/>
      <c r="AA1887" s="1422" t="n"/>
      <c r="AB1887" s="1392" t="n"/>
      <c r="AC1887" s="1392" t="n"/>
      <c r="AD1887" s="1392" t="n"/>
      <c r="AE1887" s="1392" t="n"/>
      <c r="AF1887" s="1392" t="n"/>
      <c r="AG1887" s="1392" t="n"/>
      <c r="AH1887" s="1392" t="n"/>
      <c r="AI1887" s="1392" t="n"/>
      <c r="AJ1887" s="1392" t="n"/>
      <c r="AK1887" s="1392" t="n"/>
      <c r="AL1887" s="1392" t="n"/>
      <c r="AM1887" s="1392" t="n"/>
      <c r="AN1887" s="1392" t="n"/>
      <c r="AO1887" s="1392" t="n"/>
      <c r="AP1887" s="1392" t="n"/>
      <c r="AQ1887" s="1392" t="n"/>
      <c r="AR1887" s="1392" t="n"/>
      <c r="AS1887" s="1422" t="n"/>
      <c r="AT1887" s="1392" t="n"/>
      <c r="AU1887" s="1392" t="n"/>
      <c r="AV1887" s="1392" t="n"/>
      <c r="AW1887" s="1392" t="n"/>
      <c r="AX1887" s="1392" t="n"/>
      <c r="AY1887" s="1392" t="n"/>
      <c r="AZ1887" s="1392" t="n"/>
      <c r="BA1887" s="1392" t="n"/>
      <c r="BB1887" s="1422" t="n"/>
      <c r="BC1887" s="1392" t="n"/>
      <c r="BD1887" s="1392" t="n"/>
      <c r="BE1887" s="1392" t="n"/>
      <c r="BF1887" s="1392" t="n"/>
      <c r="BG1887" s="1392" t="n"/>
      <c r="BH1887" s="1392" t="n"/>
      <c r="BI1887" s="1392" t="n"/>
      <c r="BJ1887" s="1392" t="n"/>
      <c r="BK1887" s="1392" t="n"/>
      <c r="BL1887" s="1392" t="n"/>
      <c r="BM1887" s="1392" t="n"/>
      <c r="BN1887" s="1392" t="n"/>
      <c r="BO1887" s="1392" t="n"/>
      <c r="BP1887" s="1392" t="n"/>
      <c r="BQ1887" s="1392" t="n"/>
      <c r="BR1887" s="1392" t="n"/>
      <c r="BS1887" s="1392" t="n"/>
      <c r="BT1887" s="1392" t="n"/>
      <c r="BU1887" s="1416" t="n"/>
      <c r="BV1887" s="1392" t="n"/>
      <c r="BW1887" s="1392" t="n"/>
      <c r="BX1887" s="1392" t="n"/>
      <c r="BY1887" s="1392" t="n"/>
      <c r="BZ1887" s="1416" t="n"/>
      <c r="CA1887" s="1392" t="n"/>
      <c r="CB1887" s="1392" t="n"/>
      <c r="CC1887" s="1392" t="n"/>
      <c r="CD1887" s="1392" t="n"/>
      <c r="CE1887" s="1392" t="n"/>
      <c r="CF1887" s="1392" t="n"/>
      <c r="CG1887" s="1392" t="n"/>
      <c r="CH1887" s="1392" t="n"/>
      <c r="CI1887" s="1392" t="n"/>
      <c r="CJ1887" s="1392" t="n"/>
      <c r="CK1887" s="1392" t="n"/>
      <c r="CL1887" s="1392" t="n"/>
    </row>
    <row r="1888">
      <c r="A1888" s="5" t="inlineStr">
        <is>
          <t>.</t>
        </is>
      </c>
      <c r="B1888" s="5" t="inlineStr">
        <is>
          <t>.</t>
        </is>
      </c>
      <c r="C1888" s="1378">
        <f>IF(raw[[#This Row],[city]]="","-",IF(raw[[#This Row],[city]]="TODAY","-",C1887+1))</f>
        <v/>
      </c>
      <c r="D1888" s="1393" t="n"/>
      <c r="E1888" s="1394" t="n"/>
      <c r="F1888" s="1394" t="n"/>
      <c r="G1888" s="1393" t="n"/>
      <c r="H1888" s="1393" t="n"/>
      <c r="I1888" s="1393" t="n"/>
      <c r="J1888" s="1393" t="n"/>
      <c r="K1888" s="1395">
        <f>IF(raw[[#This Row],[city]]&lt;&gt;"",_xlfn.XLOOKUP($D1888,ccc[city],ccc[prov],"-"),"-")</f>
        <v/>
      </c>
      <c r="L1888" s="1395">
        <f>IF(raw[[#This Row],[city]]&lt;&gt;"",_xlfn.XLOOKUP($D1888,ccc[city],ccc[ctry],"-"),"-")</f>
        <v/>
      </c>
      <c r="M1888" s="1395">
        <f>IF(raw[[#This Row],[city]]&lt;&gt;"",_xlfn.XLOOKUP($D1888,ccc[city],ccc[cont],"-"),"-")</f>
        <v/>
      </c>
      <c r="N1888" s="1396">
        <f>IF(raw[[#This Row],[city]]="","-",IF(raw[[#This Row],[cont]]="B",raw[[#This Row],[cont]],"W"))</f>
        <v/>
      </c>
      <c r="O1888" s="1397">
        <f>IF(raw[[#This Row],[out]]=0,0,IF(raw[[#This Row],[out]]=raw[[#This Row],[in]],0.01,raw[[#This Row],[out]]-raw[[#This Row],[in]]))</f>
        <v/>
      </c>
      <c r="P1888" s="1397">
        <f>IF(raw[[#This Row],[in]]=0,0,MONTH(raw[[#This Row],[in]]))</f>
        <v/>
      </c>
      <c r="Q1888" s="1397">
        <f>IF(raw[[#This Row],[in]]=0,0,YEAR(raw[[#This Row],[in]]))</f>
        <v/>
      </c>
      <c r="R1888" s="1397">
        <f>INT(raw[[#This Row],[yr]]/10)*10</f>
        <v/>
      </c>
      <c r="S1888" s="1395">
        <f>IF(raw[[#This Row],[city]]="","-",IF(raw[[#This Row],[city]]&lt;&gt;_xlfn.XLOOKUP(raw[[#This Row],[home]],homes[home],homes[city],"-"),1,0))</f>
        <v/>
      </c>
      <c r="T1888" s="1398" t="inlineStr">
        <is>
          <t>.</t>
        </is>
      </c>
      <c r="U1888" s="1399">
        <f>IF(raw[[#This Row],[wb]]="w",raw[[#This Row],[stay]]+U1887,U1887)</f>
        <v/>
      </c>
      <c r="V1888" s="1400">
        <f>IF(raw[[#This Row],[out]]=0,V1887,(raw[[#This Row],[out]]-E$5))</f>
        <v/>
      </c>
      <c r="W1888" s="1401">
        <f>U1888/V1888</f>
        <v/>
      </c>
      <c r="X1888" s="1392" t="n"/>
      <c r="Y1888" s="1392" t="n"/>
      <c r="Z1888" s="1422" t="n"/>
      <c r="AA1888" s="1422" t="n"/>
      <c r="AB1888" s="1392" t="n"/>
      <c r="AC1888" s="1392" t="n"/>
      <c r="AD1888" s="1392" t="n"/>
      <c r="AE1888" s="1392" t="n"/>
      <c r="AF1888" s="1392" t="n"/>
      <c r="AG1888" s="1392" t="n"/>
      <c r="AH1888" s="1392" t="n"/>
      <c r="AI1888" s="1392" t="n"/>
      <c r="AJ1888" s="1392" t="n"/>
      <c r="AK1888" s="1392" t="n"/>
      <c r="AL1888" s="1392" t="n"/>
      <c r="AM1888" s="1392" t="n"/>
      <c r="AN1888" s="1392" t="n"/>
      <c r="AO1888" s="1392" t="n"/>
      <c r="AP1888" s="1392" t="n"/>
      <c r="AQ1888" s="1392" t="n"/>
      <c r="AR1888" s="1392" t="n"/>
      <c r="AS1888" s="1422" t="n"/>
      <c r="AT1888" s="1392" t="n"/>
      <c r="AU1888" s="1392" t="n"/>
      <c r="AV1888" s="1392" t="n"/>
      <c r="AW1888" s="1392" t="n"/>
      <c r="AX1888" s="1392" t="n"/>
      <c r="AY1888" s="1392" t="n"/>
      <c r="AZ1888" s="1392" t="n"/>
      <c r="BA1888" s="1392" t="n"/>
      <c r="BB1888" s="1422" t="n"/>
      <c r="BC1888" s="1392" t="n"/>
      <c r="BD1888" s="1392" t="n"/>
      <c r="BE1888" s="1392" t="n"/>
      <c r="BF1888" s="1392" t="n"/>
      <c r="BG1888" s="1392" t="n"/>
      <c r="BH1888" s="1392" t="n"/>
      <c r="BI1888" s="1392" t="n"/>
      <c r="BJ1888" s="1392" t="n"/>
      <c r="BK1888" s="1392" t="n"/>
      <c r="BL1888" s="1392" t="n"/>
      <c r="BM1888" s="1392" t="n"/>
      <c r="BN1888" s="1392" t="n"/>
      <c r="BO1888" s="1392" t="n"/>
      <c r="BP1888" s="1392" t="n"/>
      <c r="BQ1888" s="1392" t="n"/>
      <c r="BR1888" s="1392" t="n"/>
      <c r="BS1888" s="1392" t="n"/>
      <c r="BT1888" s="1392" t="n"/>
      <c r="BU1888" s="1416" t="n"/>
      <c r="BV1888" s="1392" t="n"/>
      <c r="BW1888" s="1392" t="n"/>
      <c r="BX1888" s="1392" t="n"/>
      <c r="BY1888" s="1392" t="n"/>
      <c r="BZ1888" s="1416" t="n"/>
      <c r="CA1888" s="1392" t="n"/>
      <c r="CB1888" s="1392" t="n"/>
      <c r="CC1888" s="1392" t="n"/>
      <c r="CD1888" s="1392" t="n"/>
      <c r="CE1888" s="1392" t="n"/>
      <c r="CF1888" s="1392" t="n"/>
      <c r="CG1888" s="1392" t="n"/>
      <c r="CH1888" s="1392" t="n"/>
      <c r="CI1888" s="1392" t="n"/>
      <c r="CJ1888" s="1392" t="n"/>
      <c r="CK1888" s="1392" t="n"/>
      <c r="CL1888" s="1392" t="n"/>
    </row>
    <row r="1889">
      <c r="A1889" s="5" t="inlineStr">
        <is>
          <t>.</t>
        </is>
      </c>
      <c r="B1889" s="5" t="inlineStr">
        <is>
          <t>.</t>
        </is>
      </c>
      <c r="C1889" s="1378">
        <f>IF(raw[[#This Row],[city]]="","-",IF(raw[[#This Row],[city]]="TODAY","-",C1888+1))</f>
        <v/>
      </c>
      <c r="D1889" s="1393" t="n"/>
      <c r="E1889" s="1394" t="n"/>
      <c r="F1889" s="1394" t="n"/>
      <c r="G1889" s="1393" t="n"/>
      <c r="H1889" s="1393" t="n"/>
      <c r="I1889" s="1393" t="n"/>
      <c r="J1889" s="1393" t="n"/>
      <c r="K1889" s="1395">
        <f>IF(raw[[#This Row],[city]]&lt;&gt;"",_xlfn.XLOOKUP($D1889,ccc[city],ccc[prov],"-"),"-")</f>
        <v/>
      </c>
      <c r="L1889" s="1395">
        <f>IF(raw[[#This Row],[city]]&lt;&gt;"",_xlfn.XLOOKUP($D1889,ccc[city],ccc[ctry],"-"),"-")</f>
        <v/>
      </c>
      <c r="M1889" s="1395">
        <f>IF(raw[[#This Row],[city]]&lt;&gt;"",_xlfn.XLOOKUP($D1889,ccc[city],ccc[cont],"-"),"-")</f>
        <v/>
      </c>
      <c r="N1889" s="1396">
        <f>IF(raw[[#This Row],[city]]="","-",IF(raw[[#This Row],[cont]]="B",raw[[#This Row],[cont]],"W"))</f>
        <v/>
      </c>
      <c r="O1889" s="1397">
        <f>IF(raw[[#This Row],[out]]=0,0,IF(raw[[#This Row],[out]]=raw[[#This Row],[in]],0.01,raw[[#This Row],[out]]-raw[[#This Row],[in]]))</f>
        <v/>
      </c>
      <c r="P1889" s="1397">
        <f>IF(raw[[#This Row],[in]]=0,0,MONTH(raw[[#This Row],[in]]))</f>
        <v/>
      </c>
      <c r="Q1889" s="1397">
        <f>IF(raw[[#This Row],[in]]=0,0,YEAR(raw[[#This Row],[in]]))</f>
        <v/>
      </c>
      <c r="R1889" s="1397">
        <f>INT(raw[[#This Row],[yr]]/10)*10</f>
        <v/>
      </c>
      <c r="S1889" s="1395">
        <f>IF(raw[[#This Row],[city]]="","-",IF(raw[[#This Row],[city]]&lt;&gt;_xlfn.XLOOKUP(raw[[#This Row],[home]],homes[home],homes[city],"-"),1,0))</f>
        <v/>
      </c>
      <c r="T1889" s="1398" t="inlineStr">
        <is>
          <t>.</t>
        </is>
      </c>
      <c r="U1889" s="1399">
        <f>IF(raw[[#This Row],[wb]]="w",raw[[#This Row],[stay]]+U1888,U1888)</f>
        <v/>
      </c>
      <c r="V1889" s="1400">
        <f>IF(raw[[#This Row],[out]]=0,V1888,(raw[[#This Row],[out]]-E$5))</f>
        <v/>
      </c>
      <c r="W1889" s="1401">
        <f>U1889/V1889</f>
        <v/>
      </c>
      <c r="X1889" s="1392" t="n"/>
      <c r="Y1889" s="1392" t="n"/>
      <c r="Z1889" s="1422" t="n"/>
      <c r="AA1889" s="1422" t="n"/>
      <c r="AB1889" s="1392" t="n"/>
      <c r="AC1889" s="1392" t="n"/>
      <c r="AD1889" s="1392" t="n"/>
      <c r="AE1889" s="1392" t="n"/>
      <c r="AF1889" s="1392" t="n"/>
      <c r="AG1889" s="1392" t="n"/>
      <c r="AH1889" s="1392" t="n"/>
      <c r="AI1889" s="1392" t="n"/>
      <c r="AJ1889" s="1392" t="n"/>
      <c r="AK1889" s="1392" t="n"/>
      <c r="AL1889" s="1392" t="n"/>
      <c r="AM1889" s="1392" t="n"/>
      <c r="AN1889" s="1392" t="n"/>
      <c r="AO1889" s="1392" t="n"/>
      <c r="AP1889" s="1392" t="n"/>
      <c r="AQ1889" s="1392" t="n"/>
      <c r="AR1889" s="1392" t="n"/>
      <c r="AS1889" s="1422" t="n"/>
      <c r="AT1889" s="1392" t="n"/>
      <c r="AU1889" s="1392" t="n"/>
      <c r="AV1889" s="1392" t="n"/>
      <c r="AW1889" s="1392" t="n"/>
      <c r="AX1889" s="1392" t="n"/>
      <c r="AY1889" s="1392" t="n"/>
      <c r="AZ1889" s="1392" t="n"/>
      <c r="BA1889" s="1392" t="n"/>
      <c r="BB1889" s="1422" t="n"/>
      <c r="BC1889" s="1392" t="n"/>
      <c r="BD1889" s="1392" t="n"/>
      <c r="BE1889" s="1392" t="n"/>
      <c r="BF1889" s="1392" t="n"/>
      <c r="BG1889" s="1392" t="n"/>
      <c r="BH1889" s="1392" t="n"/>
      <c r="BI1889" s="1392" t="n"/>
      <c r="BJ1889" s="1392" t="n"/>
      <c r="BK1889" s="1392" t="n"/>
      <c r="BL1889" s="1392" t="n"/>
      <c r="BM1889" s="1392" t="n"/>
      <c r="BN1889" s="1392" t="n"/>
      <c r="BO1889" s="1392" t="n"/>
      <c r="BP1889" s="1392" t="n"/>
      <c r="BQ1889" s="1392" t="n"/>
      <c r="BR1889" s="1392" t="n"/>
      <c r="BS1889" s="1392" t="n"/>
      <c r="BT1889" s="1392" t="n"/>
      <c r="BU1889" s="1416" t="n"/>
      <c r="BV1889" s="1392" t="n"/>
      <c r="BW1889" s="1392" t="n"/>
      <c r="BX1889" s="1392" t="n"/>
      <c r="BY1889" s="1392" t="n"/>
      <c r="BZ1889" s="1416" t="n"/>
      <c r="CA1889" s="1392" t="n"/>
      <c r="CB1889" s="1392" t="n"/>
      <c r="CC1889" s="1392" t="n"/>
      <c r="CD1889" s="1392" t="n"/>
      <c r="CE1889" s="1392" t="n"/>
      <c r="CF1889" s="1392" t="n"/>
      <c r="CG1889" s="1392" t="n"/>
      <c r="CH1889" s="1392" t="n"/>
      <c r="CI1889" s="1392" t="n"/>
      <c r="CJ1889" s="1392" t="n"/>
      <c r="CK1889" s="1392" t="n"/>
      <c r="CL1889" s="1392" t="n"/>
    </row>
    <row r="1890">
      <c r="A1890" s="5" t="inlineStr">
        <is>
          <t>.</t>
        </is>
      </c>
      <c r="B1890" s="5" t="inlineStr">
        <is>
          <t>.</t>
        </is>
      </c>
      <c r="C1890" s="1378">
        <f>IF(raw[[#This Row],[city]]="","-",IF(raw[[#This Row],[city]]="TODAY","-",C1889+1))</f>
        <v/>
      </c>
      <c r="D1890" s="1393" t="n"/>
      <c r="E1890" s="1394" t="n"/>
      <c r="F1890" s="1394" t="n"/>
      <c r="G1890" s="1393" t="n"/>
      <c r="H1890" s="1393" t="n"/>
      <c r="I1890" s="1393" t="n"/>
      <c r="J1890" s="1393" t="n"/>
      <c r="K1890" s="1395">
        <f>IF(raw[[#This Row],[city]]&lt;&gt;"",_xlfn.XLOOKUP($D1890,ccc[city],ccc[prov],"-"),"-")</f>
        <v/>
      </c>
      <c r="L1890" s="1395">
        <f>IF(raw[[#This Row],[city]]&lt;&gt;"",_xlfn.XLOOKUP($D1890,ccc[city],ccc[ctry],"-"),"-")</f>
        <v/>
      </c>
      <c r="M1890" s="1395">
        <f>IF(raw[[#This Row],[city]]&lt;&gt;"",_xlfn.XLOOKUP($D1890,ccc[city],ccc[cont],"-"),"-")</f>
        <v/>
      </c>
      <c r="N1890" s="1396">
        <f>IF(raw[[#This Row],[city]]="","-",IF(raw[[#This Row],[cont]]="B",raw[[#This Row],[cont]],"W"))</f>
        <v/>
      </c>
      <c r="O1890" s="1397">
        <f>IF(raw[[#This Row],[out]]=0,0,IF(raw[[#This Row],[out]]=raw[[#This Row],[in]],0.01,raw[[#This Row],[out]]-raw[[#This Row],[in]]))</f>
        <v/>
      </c>
      <c r="P1890" s="1397">
        <f>IF(raw[[#This Row],[in]]=0,0,MONTH(raw[[#This Row],[in]]))</f>
        <v/>
      </c>
      <c r="Q1890" s="1397">
        <f>IF(raw[[#This Row],[in]]=0,0,YEAR(raw[[#This Row],[in]]))</f>
        <v/>
      </c>
      <c r="R1890" s="1397">
        <f>INT(raw[[#This Row],[yr]]/10)*10</f>
        <v/>
      </c>
      <c r="S1890" s="1395">
        <f>IF(raw[[#This Row],[city]]="","-",IF(raw[[#This Row],[city]]&lt;&gt;_xlfn.XLOOKUP(raw[[#This Row],[home]],homes[home],homes[city],"-"),1,0))</f>
        <v/>
      </c>
      <c r="T1890" s="1398" t="inlineStr">
        <is>
          <t>.</t>
        </is>
      </c>
      <c r="U1890" s="1399">
        <f>IF(raw[[#This Row],[wb]]="w",raw[[#This Row],[stay]]+U1889,U1889)</f>
        <v/>
      </c>
      <c r="V1890" s="1400">
        <f>IF(raw[[#This Row],[out]]=0,V1889,(raw[[#This Row],[out]]-E$5))</f>
        <v/>
      </c>
      <c r="W1890" s="1401">
        <f>U1890/V1890</f>
        <v/>
      </c>
      <c r="X1890" s="1392" t="n"/>
      <c r="Y1890" s="1392" t="n"/>
      <c r="Z1890" s="1422" t="n"/>
      <c r="AA1890" s="1422" t="n"/>
      <c r="AB1890" s="1392" t="n"/>
      <c r="AC1890" s="1392" t="n"/>
      <c r="AD1890" s="1392" t="n"/>
      <c r="AE1890" s="1392" t="n"/>
      <c r="AF1890" s="1392" t="n"/>
      <c r="AG1890" s="1392" t="n"/>
      <c r="AH1890" s="1392" t="n"/>
      <c r="AI1890" s="1392" t="n"/>
      <c r="AJ1890" s="1392" t="n"/>
      <c r="AK1890" s="1392" t="n"/>
      <c r="AL1890" s="1392" t="n"/>
      <c r="AM1890" s="1392" t="n"/>
      <c r="AN1890" s="1392" t="n"/>
      <c r="AO1890" s="1392" t="n"/>
      <c r="AP1890" s="1392" t="n"/>
      <c r="AQ1890" s="1392" t="n"/>
      <c r="AR1890" s="1392" t="n"/>
      <c r="AS1890" s="1422" t="n"/>
      <c r="AT1890" s="1392" t="n"/>
      <c r="AU1890" s="1392" t="n"/>
      <c r="AV1890" s="1392" t="n"/>
      <c r="AW1890" s="1392" t="n"/>
      <c r="AX1890" s="1392" t="n"/>
      <c r="AY1890" s="1392" t="n"/>
      <c r="AZ1890" s="1392" t="n"/>
      <c r="BA1890" s="1392" t="n"/>
      <c r="BB1890" s="1422" t="n"/>
      <c r="BC1890" s="1392" t="n"/>
      <c r="BD1890" s="1392" t="n"/>
      <c r="BE1890" s="1392" t="n"/>
      <c r="BF1890" s="1392" t="n"/>
      <c r="BG1890" s="1392" t="n"/>
      <c r="BH1890" s="1392" t="n"/>
      <c r="BI1890" s="1392" t="n"/>
      <c r="BJ1890" s="1392" t="n"/>
      <c r="BK1890" s="1392" t="n"/>
      <c r="BL1890" s="1392" t="n"/>
      <c r="BM1890" s="1392" t="n"/>
      <c r="BN1890" s="1392" t="n"/>
      <c r="BO1890" s="1392" t="n"/>
      <c r="BP1890" s="1392" t="n"/>
      <c r="BQ1890" s="1392" t="n"/>
      <c r="BR1890" s="1392" t="n"/>
      <c r="BS1890" s="1392" t="n"/>
      <c r="BT1890" s="1392" t="n"/>
      <c r="BU1890" s="1416" t="n"/>
      <c r="BV1890" s="1392" t="n"/>
      <c r="BW1890" s="1392" t="n"/>
      <c r="BX1890" s="1392" t="n"/>
      <c r="BY1890" s="1392" t="n"/>
      <c r="BZ1890" s="1416" t="n"/>
      <c r="CA1890" s="1392" t="n"/>
      <c r="CB1890" s="1392" t="n"/>
      <c r="CC1890" s="1392" t="n"/>
      <c r="CD1890" s="1392" t="n"/>
      <c r="CE1890" s="1392" t="n"/>
      <c r="CF1890" s="1392" t="n"/>
      <c r="CG1890" s="1392" t="n"/>
      <c r="CH1890" s="1392" t="n"/>
      <c r="CI1890" s="1392" t="n"/>
      <c r="CJ1890" s="1392" t="n"/>
      <c r="CK1890" s="1392" t="n"/>
      <c r="CL1890" s="1392" t="n"/>
    </row>
    <row r="1891">
      <c r="A1891" s="5" t="inlineStr">
        <is>
          <t>.</t>
        </is>
      </c>
      <c r="B1891" s="5" t="inlineStr">
        <is>
          <t>.</t>
        </is>
      </c>
      <c r="C1891" s="1378">
        <f>IF(raw[[#This Row],[city]]="","-",IF(raw[[#This Row],[city]]="TODAY","-",C1890+1))</f>
        <v/>
      </c>
      <c r="D1891" s="1393" t="n"/>
      <c r="E1891" s="1394" t="n"/>
      <c r="F1891" s="1394" t="n"/>
      <c r="G1891" s="1393" t="n"/>
      <c r="H1891" s="1393" t="n"/>
      <c r="I1891" s="1393" t="n"/>
      <c r="J1891" s="1393" t="n"/>
      <c r="K1891" s="1395">
        <f>IF(raw[[#This Row],[city]]&lt;&gt;"",_xlfn.XLOOKUP($D1891,ccc[city],ccc[prov],"-"),"-")</f>
        <v/>
      </c>
      <c r="L1891" s="1395">
        <f>IF(raw[[#This Row],[city]]&lt;&gt;"",_xlfn.XLOOKUP($D1891,ccc[city],ccc[ctry],"-"),"-")</f>
        <v/>
      </c>
      <c r="M1891" s="1395">
        <f>IF(raw[[#This Row],[city]]&lt;&gt;"",_xlfn.XLOOKUP($D1891,ccc[city],ccc[cont],"-"),"-")</f>
        <v/>
      </c>
      <c r="N1891" s="1396">
        <f>IF(raw[[#This Row],[city]]="","-",IF(raw[[#This Row],[cont]]="B",raw[[#This Row],[cont]],"W"))</f>
        <v/>
      </c>
      <c r="O1891" s="1397">
        <f>IF(raw[[#This Row],[out]]=0,0,IF(raw[[#This Row],[out]]=raw[[#This Row],[in]],0.01,raw[[#This Row],[out]]-raw[[#This Row],[in]]))</f>
        <v/>
      </c>
      <c r="P1891" s="1397">
        <f>IF(raw[[#This Row],[in]]=0,0,MONTH(raw[[#This Row],[in]]))</f>
        <v/>
      </c>
      <c r="Q1891" s="1397">
        <f>IF(raw[[#This Row],[in]]=0,0,YEAR(raw[[#This Row],[in]]))</f>
        <v/>
      </c>
      <c r="R1891" s="1397">
        <f>INT(raw[[#This Row],[yr]]/10)*10</f>
        <v/>
      </c>
      <c r="S1891" s="1395">
        <f>IF(raw[[#This Row],[city]]="","-",IF(raw[[#This Row],[city]]&lt;&gt;_xlfn.XLOOKUP(raw[[#This Row],[home]],homes[home],homes[city],"-"),1,0))</f>
        <v/>
      </c>
      <c r="T1891" s="1398" t="inlineStr">
        <is>
          <t>.</t>
        </is>
      </c>
      <c r="U1891" s="1399">
        <f>IF(raw[[#This Row],[wb]]="w",raw[[#This Row],[stay]]+U1890,U1890)</f>
        <v/>
      </c>
      <c r="V1891" s="1400">
        <f>IF(raw[[#This Row],[out]]=0,V1890,(raw[[#This Row],[out]]-E$5))</f>
        <v/>
      </c>
      <c r="W1891" s="1401">
        <f>U1891/V1891</f>
        <v/>
      </c>
      <c r="X1891" s="1392" t="n"/>
      <c r="Y1891" s="1392" t="n"/>
      <c r="Z1891" s="1422" t="n"/>
      <c r="AA1891" s="1422" t="n"/>
      <c r="AB1891" s="1392" t="n"/>
      <c r="AC1891" s="1392" t="n"/>
      <c r="AD1891" s="1392" t="n"/>
      <c r="AE1891" s="1392" t="n"/>
      <c r="AF1891" s="1392" t="n"/>
      <c r="AG1891" s="1392" t="n"/>
      <c r="AH1891" s="1392" t="n"/>
      <c r="AI1891" s="1392" t="n"/>
      <c r="AJ1891" s="1392" t="n"/>
      <c r="AK1891" s="1392" t="n"/>
      <c r="AL1891" s="1392" t="n"/>
      <c r="AM1891" s="1392" t="n"/>
      <c r="AN1891" s="1392" t="n"/>
      <c r="AO1891" s="1392" t="n"/>
      <c r="AP1891" s="1392" t="n"/>
      <c r="AQ1891" s="1392" t="n"/>
      <c r="AR1891" s="1392" t="n"/>
      <c r="AS1891" s="1422" t="n"/>
      <c r="AT1891" s="1392" t="n"/>
      <c r="AU1891" s="1392" t="n"/>
      <c r="AV1891" s="1392" t="n"/>
      <c r="AW1891" s="1392" t="n"/>
      <c r="AX1891" s="1392" t="n"/>
      <c r="AY1891" s="1392" t="n"/>
      <c r="AZ1891" s="1392" t="n"/>
      <c r="BA1891" s="1392" t="n"/>
      <c r="BB1891" s="1422" t="n"/>
      <c r="BC1891" s="1392" t="n"/>
      <c r="BD1891" s="1392" t="n"/>
      <c r="BE1891" s="1392" t="n"/>
      <c r="BF1891" s="1392" t="n"/>
      <c r="BG1891" s="1392" t="n"/>
      <c r="BH1891" s="1392" t="n"/>
      <c r="BI1891" s="1392" t="n"/>
      <c r="BJ1891" s="1392" t="n"/>
      <c r="BK1891" s="1392" t="n"/>
      <c r="BL1891" s="1392" t="n"/>
      <c r="BM1891" s="1392" t="n"/>
      <c r="BN1891" s="1392" t="n"/>
      <c r="BO1891" s="1392" t="n"/>
      <c r="BP1891" s="1392" t="n"/>
      <c r="BQ1891" s="1392" t="n"/>
      <c r="BR1891" s="1392" t="n"/>
      <c r="BS1891" s="1392" t="n"/>
      <c r="BT1891" s="1392" t="n"/>
      <c r="BU1891" s="1416" t="n"/>
      <c r="BV1891" s="1392" t="n"/>
      <c r="BW1891" s="1392" t="n"/>
      <c r="BX1891" s="1392" t="n"/>
      <c r="BY1891" s="1392" t="n"/>
      <c r="BZ1891" s="1416" t="n"/>
      <c r="CA1891" s="1392" t="n"/>
      <c r="CB1891" s="1392" t="n"/>
      <c r="CC1891" s="1392" t="n"/>
      <c r="CD1891" s="1392" t="n"/>
      <c r="CE1891" s="1392" t="n"/>
      <c r="CF1891" s="1392" t="n"/>
      <c r="CG1891" s="1392" t="n"/>
      <c r="CH1891" s="1392" t="n"/>
      <c r="CI1891" s="1392" t="n"/>
      <c r="CJ1891" s="1392" t="n"/>
      <c r="CK1891" s="1392" t="n"/>
      <c r="CL1891" s="1392" t="n"/>
    </row>
    <row r="1892">
      <c r="A1892" s="5" t="inlineStr">
        <is>
          <t>.</t>
        </is>
      </c>
      <c r="B1892" s="5" t="inlineStr">
        <is>
          <t>.</t>
        </is>
      </c>
      <c r="C1892" s="1378">
        <f>IF(raw[[#This Row],[city]]="","-",IF(raw[[#This Row],[city]]="TODAY","-",C1891+1))</f>
        <v/>
      </c>
      <c r="D1892" s="1393" t="n"/>
      <c r="E1892" s="1394" t="n"/>
      <c r="F1892" s="1394" t="n"/>
      <c r="G1892" s="1393" t="n"/>
      <c r="H1892" s="1393" t="n"/>
      <c r="I1892" s="1393" t="n"/>
      <c r="J1892" s="1393" t="n"/>
      <c r="K1892" s="1395">
        <f>IF(raw[[#This Row],[city]]&lt;&gt;"",_xlfn.XLOOKUP($D1892,ccc[city],ccc[prov],"-"),"-")</f>
        <v/>
      </c>
      <c r="L1892" s="1395">
        <f>IF(raw[[#This Row],[city]]&lt;&gt;"",_xlfn.XLOOKUP($D1892,ccc[city],ccc[ctry],"-"),"-")</f>
        <v/>
      </c>
      <c r="M1892" s="1395">
        <f>IF(raw[[#This Row],[city]]&lt;&gt;"",_xlfn.XLOOKUP($D1892,ccc[city],ccc[cont],"-"),"-")</f>
        <v/>
      </c>
      <c r="N1892" s="1396">
        <f>IF(raw[[#This Row],[city]]="","-",IF(raw[[#This Row],[cont]]="B",raw[[#This Row],[cont]],"W"))</f>
        <v/>
      </c>
      <c r="O1892" s="1397">
        <f>IF(raw[[#This Row],[out]]=0,0,IF(raw[[#This Row],[out]]=raw[[#This Row],[in]],0.01,raw[[#This Row],[out]]-raw[[#This Row],[in]]))</f>
        <v/>
      </c>
      <c r="P1892" s="1397">
        <f>IF(raw[[#This Row],[in]]=0,0,MONTH(raw[[#This Row],[in]]))</f>
        <v/>
      </c>
      <c r="Q1892" s="1397">
        <f>IF(raw[[#This Row],[in]]=0,0,YEAR(raw[[#This Row],[in]]))</f>
        <v/>
      </c>
      <c r="R1892" s="1397">
        <f>INT(raw[[#This Row],[yr]]/10)*10</f>
        <v/>
      </c>
      <c r="S1892" s="1395">
        <f>IF(raw[[#This Row],[city]]="","-",IF(raw[[#This Row],[city]]&lt;&gt;_xlfn.XLOOKUP(raw[[#This Row],[home]],homes[home],homes[city],"-"),1,0))</f>
        <v/>
      </c>
      <c r="T1892" s="1398" t="inlineStr">
        <is>
          <t>.</t>
        </is>
      </c>
      <c r="U1892" s="1399">
        <f>IF(raw[[#This Row],[wb]]="w",raw[[#This Row],[stay]]+U1891,U1891)</f>
        <v/>
      </c>
      <c r="V1892" s="1400">
        <f>IF(raw[[#This Row],[out]]=0,V1891,(raw[[#This Row],[out]]-E$5))</f>
        <v/>
      </c>
      <c r="W1892" s="1401">
        <f>U1892/V1892</f>
        <v/>
      </c>
      <c r="X1892" s="1392" t="n"/>
      <c r="Y1892" s="1392" t="n"/>
      <c r="Z1892" s="1422" t="n"/>
      <c r="AA1892" s="1422" t="n"/>
      <c r="AB1892" s="1392" t="n"/>
      <c r="AC1892" s="1392" t="n"/>
      <c r="AD1892" s="1392" t="n"/>
      <c r="AE1892" s="1392" t="n"/>
      <c r="AF1892" s="1392" t="n"/>
      <c r="AG1892" s="1392" t="n"/>
      <c r="AH1892" s="1392" t="n"/>
      <c r="AI1892" s="1392" t="n"/>
      <c r="AJ1892" s="1392" t="n"/>
      <c r="AK1892" s="1392" t="n"/>
      <c r="AL1892" s="1392" t="n"/>
      <c r="AM1892" s="1392" t="n"/>
      <c r="AN1892" s="1392" t="n"/>
      <c r="AO1892" s="1392" t="n"/>
      <c r="AP1892" s="1392" t="n"/>
      <c r="AQ1892" s="1392" t="n"/>
      <c r="AR1892" s="1392" t="n"/>
      <c r="AS1892" s="1422" t="n"/>
      <c r="AT1892" s="1392" t="n"/>
      <c r="AU1892" s="1392" t="n"/>
      <c r="AV1892" s="1392" t="n"/>
      <c r="AW1892" s="1392" t="n"/>
      <c r="AX1892" s="1392" t="n"/>
      <c r="AY1892" s="1392" t="n"/>
      <c r="AZ1892" s="1392" t="n"/>
      <c r="BA1892" s="1392" t="n"/>
      <c r="BB1892" s="1422" t="n"/>
      <c r="BC1892" s="1392" t="n"/>
      <c r="BD1892" s="1392" t="n"/>
      <c r="BE1892" s="1392" t="n"/>
      <c r="BF1892" s="1392" t="n"/>
      <c r="BG1892" s="1392" t="n"/>
      <c r="BH1892" s="1392" t="n"/>
      <c r="BI1892" s="1392" t="n"/>
      <c r="BJ1892" s="1392" t="n"/>
      <c r="BK1892" s="1392" t="n"/>
      <c r="BL1892" s="1392" t="n"/>
      <c r="BM1892" s="1392" t="n"/>
      <c r="BN1892" s="1392" t="n"/>
      <c r="BO1892" s="1392" t="n"/>
      <c r="BP1892" s="1392" t="n"/>
      <c r="BQ1892" s="1392" t="n"/>
      <c r="BR1892" s="1392" t="n"/>
      <c r="BS1892" s="1392" t="n"/>
      <c r="BT1892" s="1392" t="n"/>
      <c r="BU1892" s="1416" t="n"/>
      <c r="BV1892" s="1392" t="n"/>
      <c r="BW1892" s="1392" t="n"/>
      <c r="BX1892" s="1392" t="n"/>
      <c r="BY1892" s="1392" t="n"/>
      <c r="BZ1892" s="1416" t="n"/>
      <c r="CA1892" s="1392" t="n"/>
      <c r="CB1892" s="1392" t="n"/>
      <c r="CC1892" s="1392" t="n"/>
      <c r="CD1892" s="1392" t="n"/>
      <c r="CE1892" s="1392" t="n"/>
      <c r="CF1892" s="1392" t="n"/>
      <c r="CG1892" s="1392" t="n"/>
      <c r="CH1892" s="1392" t="n"/>
      <c r="CI1892" s="1392" t="n"/>
      <c r="CJ1892" s="1392" t="n"/>
      <c r="CK1892" s="1392" t="n"/>
      <c r="CL1892" s="1392" t="n"/>
    </row>
    <row r="1893">
      <c r="A1893" s="5" t="inlineStr">
        <is>
          <t>.</t>
        </is>
      </c>
      <c r="B1893" s="5" t="inlineStr">
        <is>
          <t>.</t>
        </is>
      </c>
      <c r="C1893" s="1378">
        <f>IF(raw[[#This Row],[city]]="","-",IF(raw[[#This Row],[city]]="TODAY","-",C1892+1))</f>
        <v/>
      </c>
      <c r="D1893" s="1393" t="n"/>
      <c r="E1893" s="1394" t="n"/>
      <c r="F1893" s="1394" t="n"/>
      <c r="G1893" s="1393" t="n"/>
      <c r="H1893" s="1393" t="n"/>
      <c r="I1893" s="1393" t="n"/>
      <c r="J1893" s="1393" t="n"/>
      <c r="K1893" s="1395">
        <f>IF(raw[[#This Row],[city]]&lt;&gt;"",_xlfn.XLOOKUP($D1893,ccc[city],ccc[prov],"-"),"-")</f>
        <v/>
      </c>
      <c r="L1893" s="1395">
        <f>IF(raw[[#This Row],[city]]&lt;&gt;"",_xlfn.XLOOKUP($D1893,ccc[city],ccc[ctry],"-"),"-")</f>
        <v/>
      </c>
      <c r="M1893" s="1395">
        <f>IF(raw[[#This Row],[city]]&lt;&gt;"",_xlfn.XLOOKUP($D1893,ccc[city],ccc[cont],"-"),"-")</f>
        <v/>
      </c>
      <c r="N1893" s="1396">
        <f>IF(raw[[#This Row],[city]]="","-",IF(raw[[#This Row],[cont]]="B",raw[[#This Row],[cont]],"W"))</f>
        <v/>
      </c>
      <c r="O1893" s="1397">
        <f>IF(raw[[#This Row],[out]]=0,0,IF(raw[[#This Row],[out]]=raw[[#This Row],[in]],0.01,raw[[#This Row],[out]]-raw[[#This Row],[in]]))</f>
        <v/>
      </c>
      <c r="P1893" s="1397">
        <f>IF(raw[[#This Row],[in]]=0,0,MONTH(raw[[#This Row],[in]]))</f>
        <v/>
      </c>
      <c r="Q1893" s="1397">
        <f>IF(raw[[#This Row],[in]]=0,0,YEAR(raw[[#This Row],[in]]))</f>
        <v/>
      </c>
      <c r="R1893" s="1397">
        <f>INT(raw[[#This Row],[yr]]/10)*10</f>
        <v/>
      </c>
      <c r="S1893" s="1395">
        <f>IF(raw[[#This Row],[city]]="","-",IF(raw[[#This Row],[city]]&lt;&gt;_xlfn.XLOOKUP(raw[[#This Row],[home]],homes[home],homes[city],"-"),1,0))</f>
        <v/>
      </c>
      <c r="T1893" s="1398" t="inlineStr">
        <is>
          <t>.</t>
        </is>
      </c>
      <c r="U1893" s="1399">
        <f>IF(raw[[#This Row],[wb]]="w",raw[[#This Row],[stay]]+U1892,U1892)</f>
        <v/>
      </c>
      <c r="V1893" s="1400">
        <f>IF(raw[[#This Row],[out]]=0,V1892,(raw[[#This Row],[out]]-E$5))</f>
        <v/>
      </c>
      <c r="W1893" s="1401">
        <f>U1893/V1893</f>
        <v/>
      </c>
      <c r="X1893" s="1392" t="n"/>
      <c r="Y1893" s="1392" t="n"/>
      <c r="Z1893" s="1422" t="n"/>
      <c r="AA1893" s="1422" t="n"/>
      <c r="AB1893" s="1392" t="n"/>
      <c r="AC1893" s="1392" t="n"/>
      <c r="AD1893" s="1392" t="n"/>
      <c r="AE1893" s="1392" t="n"/>
      <c r="AF1893" s="1392" t="n"/>
      <c r="AG1893" s="1392" t="n"/>
      <c r="AH1893" s="1392" t="n"/>
      <c r="AI1893" s="1392" t="n"/>
      <c r="AJ1893" s="1392" t="n"/>
      <c r="AK1893" s="1392" t="n"/>
      <c r="AL1893" s="1392" t="n"/>
      <c r="AM1893" s="1392" t="n"/>
      <c r="AN1893" s="1392" t="n"/>
      <c r="AO1893" s="1392" t="n"/>
      <c r="AP1893" s="1392" t="n"/>
      <c r="AQ1893" s="1392" t="n"/>
      <c r="AR1893" s="1392" t="n"/>
      <c r="AS1893" s="1422" t="n"/>
      <c r="AT1893" s="1392" t="n"/>
      <c r="AU1893" s="1392" t="n"/>
      <c r="AV1893" s="1392" t="n"/>
      <c r="AW1893" s="1392" t="n"/>
      <c r="AX1893" s="1392" t="n"/>
      <c r="AY1893" s="1392" t="n"/>
      <c r="AZ1893" s="1392" t="n"/>
      <c r="BA1893" s="1392" t="n"/>
      <c r="BB1893" s="1422" t="n"/>
      <c r="BC1893" s="1392" t="n"/>
      <c r="BD1893" s="1392" t="n"/>
      <c r="BE1893" s="1392" t="n"/>
      <c r="BF1893" s="1392" t="n"/>
      <c r="BG1893" s="1392" t="n"/>
      <c r="BH1893" s="1392" t="n"/>
      <c r="BI1893" s="1392" t="n"/>
      <c r="BJ1893" s="1392" t="n"/>
      <c r="BK1893" s="1392" t="n"/>
      <c r="BL1893" s="1392" t="n"/>
      <c r="BM1893" s="1392" t="n"/>
      <c r="BN1893" s="1392" t="n"/>
      <c r="BO1893" s="1392" t="n"/>
      <c r="BP1893" s="1392" t="n"/>
      <c r="BQ1893" s="1392" t="n"/>
      <c r="BR1893" s="1392" t="n"/>
      <c r="BS1893" s="1392" t="n"/>
      <c r="BT1893" s="1392" t="n"/>
      <c r="BU1893" s="1416" t="n"/>
      <c r="BV1893" s="1392" t="n"/>
      <c r="BW1893" s="1392" t="n"/>
      <c r="BX1893" s="1392" t="n"/>
      <c r="BY1893" s="1392" t="n"/>
      <c r="BZ1893" s="1416" t="n"/>
      <c r="CA1893" s="1392" t="n"/>
      <c r="CB1893" s="1392" t="n"/>
      <c r="CC1893" s="1392" t="n"/>
      <c r="CD1893" s="1392" t="n"/>
      <c r="CE1893" s="1392" t="n"/>
      <c r="CF1893" s="1392" t="n"/>
      <c r="CG1893" s="1392" t="n"/>
      <c r="CH1893" s="1392" t="n"/>
      <c r="CI1893" s="1392" t="n"/>
      <c r="CJ1893" s="1392" t="n"/>
      <c r="CK1893" s="1392" t="n"/>
      <c r="CL1893" s="1392" t="n"/>
    </row>
    <row r="1894">
      <c r="A1894" s="5" t="inlineStr">
        <is>
          <t>.</t>
        </is>
      </c>
      <c r="B1894" s="5" t="inlineStr">
        <is>
          <t>.</t>
        </is>
      </c>
      <c r="C1894" s="1378">
        <f>IF(raw[[#This Row],[city]]="","-",IF(raw[[#This Row],[city]]="TODAY","-",C1893+1))</f>
        <v/>
      </c>
      <c r="D1894" s="1393" t="n"/>
      <c r="E1894" s="1394" t="n"/>
      <c r="F1894" s="1394" t="n"/>
      <c r="G1894" s="1393" t="n"/>
      <c r="H1894" s="1393" t="n"/>
      <c r="I1894" s="1393" t="n"/>
      <c r="J1894" s="1393" t="n"/>
      <c r="K1894" s="1395">
        <f>IF(raw[[#This Row],[city]]&lt;&gt;"",_xlfn.XLOOKUP($D1894,ccc[city],ccc[prov],"-"),"-")</f>
        <v/>
      </c>
      <c r="L1894" s="1395">
        <f>IF(raw[[#This Row],[city]]&lt;&gt;"",_xlfn.XLOOKUP($D1894,ccc[city],ccc[ctry],"-"),"-")</f>
        <v/>
      </c>
      <c r="M1894" s="1395">
        <f>IF(raw[[#This Row],[city]]&lt;&gt;"",_xlfn.XLOOKUP($D1894,ccc[city],ccc[cont],"-"),"-")</f>
        <v/>
      </c>
      <c r="N1894" s="1396">
        <f>IF(raw[[#This Row],[city]]="","-",IF(raw[[#This Row],[cont]]="B",raw[[#This Row],[cont]],"W"))</f>
        <v/>
      </c>
      <c r="O1894" s="1397">
        <f>IF(raw[[#This Row],[out]]=0,0,IF(raw[[#This Row],[out]]=raw[[#This Row],[in]],0.01,raw[[#This Row],[out]]-raw[[#This Row],[in]]))</f>
        <v/>
      </c>
      <c r="P1894" s="1397">
        <f>IF(raw[[#This Row],[in]]=0,0,MONTH(raw[[#This Row],[in]]))</f>
        <v/>
      </c>
      <c r="Q1894" s="1397">
        <f>IF(raw[[#This Row],[in]]=0,0,YEAR(raw[[#This Row],[in]]))</f>
        <v/>
      </c>
      <c r="R1894" s="1397">
        <f>INT(raw[[#This Row],[yr]]/10)*10</f>
        <v/>
      </c>
      <c r="S1894" s="1395">
        <f>IF(raw[[#This Row],[city]]="","-",IF(raw[[#This Row],[city]]&lt;&gt;_xlfn.XLOOKUP(raw[[#This Row],[home]],homes[home],homes[city],"-"),1,0))</f>
        <v/>
      </c>
      <c r="T1894" s="1398" t="inlineStr">
        <is>
          <t>.</t>
        </is>
      </c>
      <c r="U1894" s="1399">
        <f>IF(raw[[#This Row],[wb]]="w",raw[[#This Row],[stay]]+U1893,U1893)</f>
        <v/>
      </c>
      <c r="V1894" s="1400">
        <f>IF(raw[[#This Row],[out]]=0,V1893,(raw[[#This Row],[out]]-E$5))</f>
        <v/>
      </c>
      <c r="W1894" s="1401">
        <f>U1894/V1894</f>
        <v/>
      </c>
      <c r="X1894" s="1392" t="n"/>
      <c r="Y1894" s="1392" t="n"/>
      <c r="Z1894" s="1422" t="n"/>
      <c r="AA1894" s="1422" t="n"/>
      <c r="AB1894" s="1392" t="n"/>
      <c r="AC1894" s="1392" t="n"/>
      <c r="AD1894" s="1392" t="n"/>
      <c r="AE1894" s="1392" t="n"/>
      <c r="AF1894" s="1392" t="n"/>
      <c r="AG1894" s="1392" t="n"/>
      <c r="AH1894" s="1392" t="n"/>
      <c r="AI1894" s="1392" t="n"/>
      <c r="AJ1894" s="1392" t="n"/>
      <c r="AK1894" s="1392" t="n"/>
      <c r="AL1894" s="1392" t="n"/>
      <c r="AM1894" s="1392" t="n"/>
      <c r="AN1894" s="1392" t="n"/>
      <c r="AO1894" s="1392" t="n"/>
      <c r="AP1894" s="1392" t="n"/>
      <c r="AQ1894" s="1392" t="n"/>
      <c r="AR1894" s="1392" t="n"/>
      <c r="AS1894" s="1422" t="n"/>
      <c r="AT1894" s="1392" t="n"/>
      <c r="AU1894" s="1392" t="n"/>
      <c r="AV1894" s="1392" t="n"/>
      <c r="AW1894" s="1392" t="n"/>
      <c r="AX1894" s="1392" t="n"/>
      <c r="AY1894" s="1392" t="n"/>
      <c r="AZ1894" s="1392" t="n"/>
      <c r="BA1894" s="1392" t="n"/>
      <c r="BB1894" s="1422" t="n"/>
      <c r="BC1894" s="1392" t="n"/>
      <c r="BD1894" s="1392" t="n"/>
      <c r="BE1894" s="1392" t="n"/>
      <c r="BF1894" s="1392" t="n"/>
      <c r="BG1894" s="1392" t="n"/>
      <c r="BH1894" s="1392" t="n"/>
      <c r="BI1894" s="1392" t="n"/>
      <c r="BJ1894" s="1392" t="n"/>
      <c r="BK1894" s="1392" t="n"/>
      <c r="BL1894" s="1392" t="n"/>
      <c r="BM1894" s="1392" t="n"/>
      <c r="BN1894" s="1392" t="n"/>
      <c r="BO1894" s="1392" t="n"/>
      <c r="BP1894" s="1392" t="n"/>
      <c r="BQ1894" s="1392" t="n"/>
      <c r="BR1894" s="1392" t="n"/>
      <c r="BS1894" s="1392" t="n"/>
      <c r="BT1894" s="1392" t="n"/>
      <c r="BU1894" s="1416" t="n"/>
      <c r="BV1894" s="1392" t="n"/>
      <c r="BW1894" s="1392" t="n"/>
      <c r="BX1894" s="1392" t="n"/>
      <c r="BY1894" s="1392" t="n"/>
      <c r="BZ1894" s="1416" t="n"/>
      <c r="CA1894" s="1392" t="n"/>
      <c r="CB1894" s="1392" t="n"/>
      <c r="CC1894" s="1392" t="n"/>
      <c r="CD1894" s="1392" t="n"/>
      <c r="CE1894" s="1392" t="n"/>
      <c r="CF1894" s="1392" t="n"/>
      <c r="CG1894" s="1392" t="n"/>
      <c r="CH1894" s="1392" t="n"/>
      <c r="CI1894" s="1392" t="n"/>
      <c r="CJ1894" s="1392" t="n"/>
      <c r="CK1894" s="1392" t="n"/>
      <c r="CL1894" s="1392" t="n"/>
    </row>
    <row r="1895">
      <c r="A1895" s="5" t="inlineStr">
        <is>
          <t>.</t>
        </is>
      </c>
      <c r="B1895" s="5" t="inlineStr">
        <is>
          <t>.</t>
        </is>
      </c>
      <c r="C1895" s="1378">
        <f>IF(raw[[#This Row],[city]]="","-",IF(raw[[#This Row],[city]]="TODAY","-",C1894+1))</f>
        <v/>
      </c>
      <c r="D1895" s="1393" t="n"/>
      <c r="E1895" s="1394" t="n"/>
      <c r="F1895" s="1394" t="n"/>
      <c r="G1895" s="1393" t="n"/>
      <c r="H1895" s="1393" t="n"/>
      <c r="I1895" s="1393" t="n"/>
      <c r="J1895" s="1393" t="n"/>
      <c r="K1895" s="1395">
        <f>IF(raw[[#This Row],[city]]&lt;&gt;"",_xlfn.XLOOKUP($D1895,ccc[city],ccc[prov],"-"),"-")</f>
        <v/>
      </c>
      <c r="L1895" s="1395">
        <f>IF(raw[[#This Row],[city]]&lt;&gt;"",_xlfn.XLOOKUP($D1895,ccc[city],ccc[ctry],"-"),"-")</f>
        <v/>
      </c>
      <c r="M1895" s="1395">
        <f>IF(raw[[#This Row],[city]]&lt;&gt;"",_xlfn.XLOOKUP($D1895,ccc[city],ccc[cont],"-"),"-")</f>
        <v/>
      </c>
      <c r="N1895" s="1396">
        <f>IF(raw[[#This Row],[city]]="","-",IF(raw[[#This Row],[cont]]="B",raw[[#This Row],[cont]],"W"))</f>
        <v/>
      </c>
      <c r="O1895" s="1397">
        <f>IF(raw[[#This Row],[out]]=0,0,IF(raw[[#This Row],[out]]=raw[[#This Row],[in]],0.01,raw[[#This Row],[out]]-raw[[#This Row],[in]]))</f>
        <v/>
      </c>
      <c r="P1895" s="1397">
        <f>IF(raw[[#This Row],[in]]=0,0,MONTH(raw[[#This Row],[in]]))</f>
        <v/>
      </c>
      <c r="Q1895" s="1397">
        <f>IF(raw[[#This Row],[in]]=0,0,YEAR(raw[[#This Row],[in]]))</f>
        <v/>
      </c>
      <c r="R1895" s="1397">
        <f>INT(raw[[#This Row],[yr]]/10)*10</f>
        <v/>
      </c>
      <c r="S1895" s="1395">
        <f>IF(raw[[#This Row],[city]]="","-",IF(raw[[#This Row],[city]]&lt;&gt;_xlfn.XLOOKUP(raw[[#This Row],[home]],homes[home],homes[city],"-"),1,0))</f>
        <v/>
      </c>
      <c r="T1895" s="1398" t="inlineStr">
        <is>
          <t>.</t>
        </is>
      </c>
      <c r="U1895" s="1399">
        <f>IF(raw[[#This Row],[wb]]="w",raw[[#This Row],[stay]]+U1894,U1894)</f>
        <v/>
      </c>
      <c r="V1895" s="1400">
        <f>IF(raw[[#This Row],[out]]=0,V1894,(raw[[#This Row],[out]]-E$5))</f>
        <v/>
      </c>
      <c r="W1895" s="1401">
        <f>U1895/V1895</f>
        <v/>
      </c>
      <c r="X1895" s="1392" t="n"/>
      <c r="Y1895" s="1392" t="n"/>
      <c r="Z1895" s="1422" t="n"/>
      <c r="AA1895" s="1422" t="n"/>
      <c r="AB1895" s="1392" t="n"/>
      <c r="AC1895" s="1392" t="n"/>
      <c r="AD1895" s="1392" t="n"/>
      <c r="AE1895" s="1392" t="n"/>
      <c r="AF1895" s="1392" t="n"/>
      <c r="AG1895" s="1392" t="n"/>
      <c r="AH1895" s="1392" t="n"/>
      <c r="AI1895" s="1392" t="n"/>
      <c r="AJ1895" s="1392" t="n"/>
      <c r="AK1895" s="1392" t="n"/>
      <c r="AL1895" s="1392" t="n"/>
      <c r="AM1895" s="1392" t="n"/>
      <c r="AN1895" s="1392" t="n"/>
      <c r="AO1895" s="1392" t="n"/>
      <c r="AP1895" s="1392" t="n"/>
      <c r="AQ1895" s="1392" t="n"/>
      <c r="AR1895" s="1392" t="n"/>
      <c r="AS1895" s="1422" t="n"/>
      <c r="AT1895" s="1392" t="n"/>
      <c r="AU1895" s="1392" t="n"/>
      <c r="AV1895" s="1392" t="n"/>
      <c r="AW1895" s="1392" t="n"/>
      <c r="AX1895" s="1392" t="n"/>
      <c r="AY1895" s="1392" t="n"/>
      <c r="AZ1895" s="1392" t="n"/>
      <c r="BA1895" s="1392" t="n"/>
      <c r="BB1895" s="1422" t="n"/>
      <c r="BC1895" s="1392" t="n"/>
      <c r="BD1895" s="1392" t="n"/>
      <c r="BE1895" s="1392" t="n"/>
      <c r="BF1895" s="1392" t="n"/>
      <c r="BG1895" s="1392" t="n"/>
      <c r="BH1895" s="1392" t="n"/>
      <c r="BI1895" s="1392" t="n"/>
      <c r="BJ1895" s="1392" t="n"/>
      <c r="BK1895" s="1392" t="n"/>
      <c r="BL1895" s="1392" t="n"/>
      <c r="BM1895" s="1392" t="n"/>
      <c r="BN1895" s="1392" t="n"/>
      <c r="BO1895" s="1392" t="n"/>
      <c r="BP1895" s="1392" t="n"/>
      <c r="BQ1895" s="1392" t="n"/>
      <c r="BR1895" s="1392" t="n"/>
      <c r="BS1895" s="1392" t="n"/>
      <c r="BT1895" s="1392" t="n"/>
      <c r="BU1895" s="1416" t="n"/>
      <c r="BV1895" s="1392" t="n"/>
      <c r="BW1895" s="1392" t="n"/>
      <c r="BX1895" s="1392" t="n"/>
      <c r="BY1895" s="1392" t="n"/>
      <c r="BZ1895" s="1416" t="n"/>
      <c r="CA1895" s="1392" t="n"/>
      <c r="CB1895" s="1392" t="n"/>
      <c r="CC1895" s="1392" t="n"/>
      <c r="CD1895" s="1392" t="n"/>
      <c r="CE1895" s="1392" t="n"/>
      <c r="CF1895" s="1392" t="n"/>
      <c r="CG1895" s="1392" t="n"/>
      <c r="CH1895" s="1392" t="n"/>
      <c r="CI1895" s="1392" t="n"/>
      <c r="CJ1895" s="1392" t="n"/>
      <c r="CK1895" s="1392" t="n"/>
      <c r="CL1895" s="1392" t="n"/>
    </row>
    <row r="1896">
      <c r="A1896" s="5" t="inlineStr">
        <is>
          <t>.</t>
        </is>
      </c>
      <c r="B1896" s="5" t="inlineStr">
        <is>
          <t>.</t>
        </is>
      </c>
      <c r="C1896" s="1378">
        <f>IF(raw[[#This Row],[city]]="","-",IF(raw[[#This Row],[city]]="TODAY","-",C1895+1))</f>
        <v/>
      </c>
      <c r="D1896" s="1393" t="n"/>
      <c r="E1896" s="1394" t="n"/>
      <c r="F1896" s="1394" t="n"/>
      <c r="G1896" s="1393" t="n"/>
      <c r="H1896" s="1393" t="n"/>
      <c r="I1896" s="1393" t="n"/>
      <c r="J1896" s="1393" t="n"/>
      <c r="K1896" s="1395">
        <f>IF(raw[[#This Row],[city]]&lt;&gt;"",_xlfn.XLOOKUP($D1896,ccc[city],ccc[prov],"-"),"-")</f>
        <v/>
      </c>
      <c r="L1896" s="1395">
        <f>IF(raw[[#This Row],[city]]&lt;&gt;"",_xlfn.XLOOKUP($D1896,ccc[city],ccc[ctry],"-"),"-")</f>
        <v/>
      </c>
      <c r="M1896" s="1395">
        <f>IF(raw[[#This Row],[city]]&lt;&gt;"",_xlfn.XLOOKUP($D1896,ccc[city],ccc[cont],"-"),"-")</f>
        <v/>
      </c>
      <c r="N1896" s="1396">
        <f>IF(raw[[#This Row],[city]]="","-",IF(raw[[#This Row],[cont]]="B",raw[[#This Row],[cont]],"W"))</f>
        <v/>
      </c>
      <c r="O1896" s="1397">
        <f>IF(raw[[#This Row],[out]]=0,0,IF(raw[[#This Row],[out]]=raw[[#This Row],[in]],0.01,raw[[#This Row],[out]]-raw[[#This Row],[in]]))</f>
        <v/>
      </c>
      <c r="P1896" s="1397">
        <f>IF(raw[[#This Row],[in]]=0,0,MONTH(raw[[#This Row],[in]]))</f>
        <v/>
      </c>
      <c r="Q1896" s="1397">
        <f>IF(raw[[#This Row],[in]]=0,0,YEAR(raw[[#This Row],[in]]))</f>
        <v/>
      </c>
      <c r="R1896" s="1397">
        <f>INT(raw[[#This Row],[yr]]/10)*10</f>
        <v/>
      </c>
      <c r="S1896" s="1395">
        <f>IF(raw[[#This Row],[city]]="","-",IF(raw[[#This Row],[city]]&lt;&gt;_xlfn.XLOOKUP(raw[[#This Row],[home]],homes[home],homes[city],"-"),1,0))</f>
        <v/>
      </c>
      <c r="T1896" s="1398" t="inlineStr">
        <is>
          <t>.</t>
        </is>
      </c>
      <c r="U1896" s="1399">
        <f>IF(raw[[#This Row],[wb]]="w",raw[[#This Row],[stay]]+U1895,U1895)</f>
        <v/>
      </c>
      <c r="V1896" s="1400">
        <f>IF(raw[[#This Row],[out]]=0,V1895,(raw[[#This Row],[out]]-E$5))</f>
        <v/>
      </c>
      <c r="W1896" s="1401">
        <f>U1896/V1896</f>
        <v/>
      </c>
      <c r="X1896" s="1392" t="n"/>
      <c r="Y1896" s="1392" t="n"/>
      <c r="Z1896" s="1422" t="n"/>
      <c r="AA1896" s="1422" t="n"/>
      <c r="AB1896" s="1392" t="n"/>
      <c r="AC1896" s="1392" t="n"/>
      <c r="AD1896" s="1392" t="n"/>
      <c r="AE1896" s="1392" t="n"/>
      <c r="AF1896" s="1392" t="n"/>
      <c r="AG1896" s="1392" t="n"/>
      <c r="AH1896" s="1392" t="n"/>
      <c r="AI1896" s="1392" t="n"/>
      <c r="AJ1896" s="1392" t="n"/>
      <c r="AK1896" s="1392" t="n"/>
      <c r="AL1896" s="1392" t="n"/>
      <c r="AM1896" s="1392" t="n"/>
      <c r="AN1896" s="1392" t="n"/>
      <c r="AO1896" s="1392" t="n"/>
      <c r="AP1896" s="1392" t="n"/>
      <c r="AQ1896" s="1392" t="n"/>
      <c r="AR1896" s="1392" t="n"/>
      <c r="AS1896" s="1422" t="n"/>
      <c r="AT1896" s="1392" t="n"/>
      <c r="AU1896" s="1392" t="n"/>
      <c r="AV1896" s="1392" t="n"/>
      <c r="AW1896" s="1392" t="n"/>
      <c r="AX1896" s="1392" t="n"/>
      <c r="AY1896" s="1392" t="n"/>
      <c r="AZ1896" s="1392" t="n"/>
      <c r="BA1896" s="1392" t="n"/>
      <c r="BB1896" s="1422" t="n"/>
      <c r="BC1896" s="1392" t="n"/>
      <c r="BD1896" s="1392" t="n"/>
      <c r="BE1896" s="1392" t="n"/>
      <c r="BF1896" s="1392" t="n"/>
      <c r="BG1896" s="1392" t="n"/>
      <c r="BH1896" s="1392" t="n"/>
      <c r="BI1896" s="1392" t="n"/>
      <c r="BJ1896" s="1392" t="n"/>
      <c r="BK1896" s="1392" t="n"/>
      <c r="BL1896" s="1392" t="n"/>
      <c r="BM1896" s="1392" t="n"/>
      <c r="BN1896" s="1392" t="n"/>
      <c r="BO1896" s="1392" t="n"/>
      <c r="BP1896" s="1392" t="n"/>
      <c r="BQ1896" s="1392" t="n"/>
      <c r="BR1896" s="1392" t="n"/>
      <c r="BS1896" s="1392" t="n"/>
      <c r="BT1896" s="1392" t="n"/>
      <c r="BU1896" s="1416" t="n"/>
      <c r="BV1896" s="1392" t="n"/>
      <c r="BW1896" s="1392" t="n"/>
      <c r="BX1896" s="1392" t="n"/>
      <c r="BY1896" s="1392" t="n"/>
      <c r="BZ1896" s="1416" t="n"/>
      <c r="CA1896" s="1392" t="n"/>
      <c r="CB1896" s="1392" t="n"/>
      <c r="CC1896" s="1392" t="n"/>
      <c r="CD1896" s="1392" t="n"/>
      <c r="CE1896" s="1392" t="n"/>
      <c r="CF1896" s="1392" t="n"/>
      <c r="CG1896" s="1392" t="n"/>
      <c r="CH1896" s="1392" t="n"/>
      <c r="CI1896" s="1392" t="n"/>
      <c r="CJ1896" s="1392" t="n"/>
      <c r="CK1896" s="1392" t="n"/>
      <c r="CL1896" s="1392" t="n"/>
    </row>
    <row r="1897">
      <c r="A1897" s="5" t="inlineStr">
        <is>
          <t>.</t>
        </is>
      </c>
      <c r="B1897" s="5" t="inlineStr">
        <is>
          <t>.</t>
        </is>
      </c>
      <c r="C1897" s="1378">
        <f>IF(raw[[#This Row],[city]]="","-",IF(raw[[#This Row],[city]]="TODAY","-",C1896+1))</f>
        <v/>
      </c>
      <c r="D1897" s="1393" t="n"/>
      <c r="E1897" s="1394" t="n"/>
      <c r="F1897" s="1394" t="n"/>
      <c r="G1897" s="1393" t="n"/>
      <c r="H1897" s="1393" t="n"/>
      <c r="I1897" s="1393" t="n"/>
      <c r="J1897" s="1393" t="n"/>
      <c r="K1897" s="1395">
        <f>IF(raw[[#This Row],[city]]&lt;&gt;"",_xlfn.XLOOKUP($D1897,ccc[city],ccc[prov],"-"),"-")</f>
        <v/>
      </c>
      <c r="L1897" s="1395">
        <f>IF(raw[[#This Row],[city]]&lt;&gt;"",_xlfn.XLOOKUP($D1897,ccc[city],ccc[ctry],"-"),"-")</f>
        <v/>
      </c>
      <c r="M1897" s="1395">
        <f>IF(raw[[#This Row],[city]]&lt;&gt;"",_xlfn.XLOOKUP($D1897,ccc[city],ccc[cont],"-"),"-")</f>
        <v/>
      </c>
      <c r="N1897" s="1396">
        <f>IF(raw[[#This Row],[city]]="","-",IF(raw[[#This Row],[cont]]="B",raw[[#This Row],[cont]],"W"))</f>
        <v/>
      </c>
      <c r="O1897" s="1397">
        <f>IF(raw[[#This Row],[out]]=0,0,IF(raw[[#This Row],[out]]=raw[[#This Row],[in]],0.01,raw[[#This Row],[out]]-raw[[#This Row],[in]]))</f>
        <v/>
      </c>
      <c r="P1897" s="1397">
        <f>IF(raw[[#This Row],[in]]=0,0,MONTH(raw[[#This Row],[in]]))</f>
        <v/>
      </c>
      <c r="Q1897" s="1397">
        <f>IF(raw[[#This Row],[in]]=0,0,YEAR(raw[[#This Row],[in]]))</f>
        <v/>
      </c>
      <c r="R1897" s="1397">
        <f>INT(raw[[#This Row],[yr]]/10)*10</f>
        <v/>
      </c>
      <c r="S1897" s="1395">
        <f>IF(raw[[#This Row],[city]]="","-",IF(raw[[#This Row],[city]]&lt;&gt;_xlfn.XLOOKUP(raw[[#This Row],[home]],homes[home],homes[city],"-"),1,0))</f>
        <v/>
      </c>
      <c r="T1897" s="1398" t="inlineStr">
        <is>
          <t>.</t>
        </is>
      </c>
      <c r="U1897" s="1399">
        <f>IF(raw[[#This Row],[wb]]="w",raw[[#This Row],[stay]]+U1896,U1896)</f>
        <v/>
      </c>
      <c r="V1897" s="1400">
        <f>IF(raw[[#This Row],[out]]=0,V1896,(raw[[#This Row],[out]]-E$5))</f>
        <v/>
      </c>
      <c r="W1897" s="1401">
        <f>U1897/V1897</f>
        <v/>
      </c>
      <c r="X1897" s="1392" t="n"/>
      <c r="Y1897" s="1392" t="n"/>
      <c r="Z1897" s="1422" t="n"/>
      <c r="AA1897" s="1422" t="n"/>
      <c r="AB1897" s="1392" t="n"/>
      <c r="AC1897" s="1392" t="n"/>
      <c r="AD1897" s="1392" t="n"/>
      <c r="AE1897" s="1392" t="n"/>
      <c r="AF1897" s="1392" t="n"/>
      <c r="AG1897" s="1392" t="n"/>
      <c r="AH1897" s="1392" t="n"/>
      <c r="AI1897" s="1392" t="n"/>
      <c r="AJ1897" s="1392" t="n"/>
      <c r="AK1897" s="1392" t="n"/>
      <c r="AL1897" s="1392" t="n"/>
      <c r="AM1897" s="1392" t="n"/>
      <c r="AN1897" s="1392" t="n"/>
      <c r="AO1897" s="1392" t="n"/>
      <c r="AP1897" s="1392" t="n"/>
      <c r="AQ1897" s="1392" t="n"/>
      <c r="AR1897" s="1392" t="n"/>
      <c r="AS1897" s="1422" t="n"/>
      <c r="AT1897" s="1392" t="n"/>
      <c r="AU1897" s="1392" t="n"/>
      <c r="AV1897" s="1392" t="n"/>
      <c r="AW1897" s="1392" t="n"/>
      <c r="AX1897" s="1392" t="n"/>
      <c r="AY1897" s="1392" t="n"/>
      <c r="AZ1897" s="1392" t="n"/>
      <c r="BA1897" s="1392" t="n"/>
      <c r="BB1897" s="1422" t="n"/>
      <c r="BC1897" s="1392" t="n"/>
      <c r="BD1897" s="1392" t="n"/>
      <c r="BE1897" s="1392" t="n"/>
      <c r="BF1897" s="1392" t="n"/>
      <c r="BG1897" s="1392" t="n"/>
      <c r="BH1897" s="1392" t="n"/>
      <c r="BI1897" s="1392" t="n"/>
      <c r="BJ1897" s="1392" t="n"/>
      <c r="BK1897" s="1392" t="n"/>
      <c r="BL1897" s="1392" t="n"/>
      <c r="BM1897" s="1392" t="n"/>
      <c r="BN1897" s="1392" t="n"/>
      <c r="BO1897" s="1392" t="n"/>
      <c r="BP1897" s="1392" t="n"/>
      <c r="BQ1897" s="1392" t="n"/>
      <c r="BR1897" s="1392" t="n"/>
      <c r="BS1897" s="1392" t="n"/>
      <c r="BT1897" s="1392" t="n"/>
      <c r="BU1897" s="1416" t="n"/>
      <c r="BV1897" s="1392" t="n"/>
      <c r="BW1897" s="1392" t="n"/>
      <c r="BX1897" s="1392" t="n"/>
      <c r="BY1897" s="1392" t="n"/>
      <c r="BZ1897" s="1416" t="n"/>
      <c r="CA1897" s="1392" t="n"/>
      <c r="CB1897" s="1392" t="n"/>
      <c r="CC1897" s="1392" t="n"/>
      <c r="CD1897" s="1392" t="n"/>
      <c r="CE1897" s="1392" t="n"/>
      <c r="CF1897" s="1392" t="n"/>
      <c r="CG1897" s="1392" t="n"/>
      <c r="CH1897" s="1392" t="n"/>
      <c r="CI1897" s="1392" t="n"/>
      <c r="CJ1897" s="1392" t="n"/>
      <c r="CK1897" s="1392" t="n"/>
      <c r="CL1897" s="1392" t="n"/>
    </row>
    <row r="1898">
      <c r="A1898" s="5" t="inlineStr">
        <is>
          <t>.</t>
        </is>
      </c>
      <c r="B1898" s="5" t="inlineStr">
        <is>
          <t>.</t>
        </is>
      </c>
      <c r="C1898" s="1378">
        <f>IF(raw[[#This Row],[city]]="","-",IF(raw[[#This Row],[city]]="TODAY","-",C1897+1))</f>
        <v/>
      </c>
      <c r="D1898" s="1393" t="n"/>
      <c r="E1898" s="1394" t="n"/>
      <c r="F1898" s="1394" t="n"/>
      <c r="G1898" s="1393" t="n"/>
      <c r="H1898" s="1393" t="n"/>
      <c r="I1898" s="1393" t="n"/>
      <c r="J1898" s="1393" t="n"/>
      <c r="K1898" s="1395">
        <f>IF(raw[[#This Row],[city]]&lt;&gt;"",_xlfn.XLOOKUP($D1898,ccc[city],ccc[prov],"-"),"-")</f>
        <v/>
      </c>
      <c r="L1898" s="1395">
        <f>IF(raw[[#This Row],[city]]&lt;&gt;"",_xlfn.XLOOKUP($D1898,ccc[city],ccc[ctry],"-"),"-")</f>
        <v/>
      </c>
      <c r="M1898" s="1395">
        <f>IF(raw[[#This Row],[city]]&lt;&gt;"",_xlfn.XLOOKUP($D1898,ccc[city],ccc[cont],"-"),"-")</f>
        <v/>
      </c>
      <c r="N1898" s="1396">
        <f>IF(raw[[#This Row],[city]]="","-",IF(raw[[#This Row],[cont]]="B",raw[[#This Row],[cont]],"W"))</f>
        <v/>
      </c>
      <c r="O1898" s="1397">
        <f>IF(raw[[#This Row],[out]]=0,0,IF(raw[[#This Row],[out]]=raw[[#This Row],[in]],0.01,raw[[#This Row],[out]]-raw[[#This Row],[in]]))</f>
        <v/>
      </c>
      <c r="P1898" s="1397">
        <f>IF(raw[[#This Row],[in]]=0,0,MONTH(raw[[#This Row],[in]]))</f>
        <v/>
      </c>
      <c r="Q1898" s="1397">
        <f>IF(raw[[#This Row],[in]]=0,0,YEAR(raw[[#This Row],[in]]))</f>
        <v/>
      </c>
      <c r="R1898" s="1397">
        <f>INT(raw[[#This Row],[yr]]/10)*10</f>
        <v/>
      </c>
      <c r="S1898" s="1395">
        <f>IF(raw[[#This Row],[city]]="","-",IF(raw[[#This Row],[city]]&lt;&gt;_xlfn.XLOOKUP(raw[[#This Row],[home]],homes[home],homes[city],"-"),1,0))</f>
        <v/>
      </c>
      <c r="T1898" s="1398" t="inlineStr">
        <is>
          <t>.</t>
        </is>
      </c>
      <c r="U1898" s="1399">
        <f>IF(raw[[#This Row],[wb]]="w",raw[[#This Row],[stay]]+U1897,U1897)</f>
        <v/>
      </c>
      <c r="V1898" s="1400">
        <f>IF(raw[[#This Row],[out]]=0,V1897,(raw[[#This Row],[out]]-E$5))</f>
        <v/>
      </c>
      <c r="W1898" s="1401">
        <f>U1898/V1898</f>
        <v/>
      </c>
      <c r="X1898" s="1392" t="n"/>
      <c r="Y1898" s="1392" t="n"/>
      <c r="Z1898" s="1422" t="n"/>
      <c r="AA1898" s="1422" t="n"/>
      <c r="AB1898" s="1392" t="n"/>
      <c r="AC1898" s="1392" t="n"/>
      <c r="AD1898" s="1392" t="n"/>
      <c r="AE1898" s="1392" t="n"/>
      <c r="AF1898" s="1392" t="n"/>
      <c r="AG1898" s="1392" t="n"/>
      <c r="AH1898" s="1392" t="n"/>
      <c r="AI1898" s="1392" t="n"/>
      <c r="AJ1898" s="1392" t="n"/>
      <c r="AK1898" s="1392" t="n"/>
      <c r="AL1898" s="1392" t="n"/>
      <c r="AM1898" s="1392" t="n"/>
      <c r="AN1898" s="1392" t="n"/>
      <c r="AO1898" s="1392" t="n"/>
      <c r="AP1898" s="1392" t="n"/>
      <c r="AQ1898" s="1392" t="n"/>
      <c r="AR1898" s="1392" t="n"/>
      <c r="AS1898" s="1422" t="n"/>
      <c r="AT1898" s="1392" t="n"/>
      <c r="AU1898" s="1392" t="n"/>
      <c r="AV1898" s="1392" t="n"/>
      <c r="AW1898" s="1392" t="n"/>
      <c r="AX1898" s="1392" t="n"/>
      <c r="AY1898" s="1392" t="n"/>
      <c r="AZ1898" s="1392" t="n"/>
      <c r="BA1898" s="1392" t="n"/>
      <c r="BB1898" s="1422" t="n"/>
      <c r="BC1898" s="1392" t="n"/>
      <c r="BD1898" s="1392" t="n"/>
      <c r="BE1898" s="1392" t="n"/>
      <c r="BF1898" s="1392" t="n"/>
      <c r="BG1898" s="1392" t="n"/>
      <c r="BH1898" s="1392" t="n"/>
      <c r="BI1898" s="1392" t="n"/>
      <c r="BJ1898" s="1392" t="n"/>
      <c r="BK1898" s="1392" t="n"/>
      <c r="BL1898" s="1392" t="n"/>
      <c r="BM1898" s="1392" t="n"/>
      <c r="BN1898" s="1392" t="n"/>
      <c r="BO1898" s="1392" t="n"/>
      <c r="BP1898" s="1392" t="n"/>
      <c r="BQ1898" s="1392" t="n"/>
      <c r="BR1898" s="1392" t="n"/>
      <c r="BS1898" s="1392" t="n"/>
      <c r="BT1898" s="1392" t="n"/>
      <c r="BU1898" s="1416" t="n"/>
      <c r="BV1898" s="1392" t="n"/>
      <c r="BW1898" s="1392" t="n"/>
      <c r="BX1898" s="1392" t="n"/>
      <c r="BY1898" s="1392" t="n"/>
      <c r="BZ1898" s="1416" t="n"/>
      <c r="CA1898" s="1392" t="n"/>
      <c r="CB1898" s="1392" t="n"/>
      <c r="CC1898" s="1392" t="n"/>
      <c r="CD1898" s="1392" t="n"/>
      <c r="CE1898" s="1392" t="n"/>
      <c r="CF1898" s="1392" t="n"/>
      <c r="CG1898" s="1392" t="n"/>
      <c r="CH1898" s="1392" t="n"/>
      <c r="CI1898" s="1392" t="n"/>
      <c r="CJ1898" s="1392" t="n"/>
      <c r="CK1898" s="1392" t="n"/>
      <c r="CL1898" s="1392" t="n"/>
    </row>
    <row r="1899">
      <c r="A1899" s="5" t="inlineStr">
        <is>
          <t>.</t>
        </is>
      </c>
      <c r="B1899" s="5" t="inlineStr">
        <is>
          <t>.</t>
        </is>
      </c>
      <c r="C1899" s="1378">
        <f>IF(raw[[#This Row],[city]]="","-",IF(raw[[#This Row],[city]]="TODAY","-",C1898+1))</f>
        <v/>
      </c>
      <c r="D1899" s="1393" t="n"/>
      <c r="E1899" s="1394" t="n"/>
      <c r="F1899" s="1394" t="n"/>
      <c r="G1899" s="1393" t="n"/>
      <c r="H1899" s="1393" t="n"/>
      <c r="I1899" s="1393" t="n"/>
      <c r="J1899" s="1393" t="n"/>
      <c r="K1899" s="1395">
        <f>IF(raw[[#This Row],[city]]&lt;&gt;"",_xlfn.XLOOKUP($D1899,ccc[city],ccc[prov],"-"),"-")</f>
        <v/>
      </c>
      <c r="L1899" s="1395">
        <f>IF(raw[[#This Row],[city]]&lt;&gt;"",_xlfn.XLOOKUP($D1899,ccc[city],ccc[ctry],"-"),"-")</f>
        <v/>
      </c>
      <c r="M1899" s="1395">
        <f>IF(raw[[#This Row],[city]]&lt;&gt;"",_xlfn.XLOOKUP($D1899,ccc[city],ccc[cont],"-"),"-")</f>
        <v/>
      </c>
      <c r="N1899" s="1396">
        <f>IF(raw[[#This Row],[city]]="","-",IF(raw[[#This Row],[cont]]="B",raw[[#This Row],[cont]],"W"))</f>
        <v/>
      </c>
      <c r="O1899" s="1397">
        <f>IF(raw[[#This Row],[out]]=0,0,IF(raw[[#This Row],[out]]=raw[[#This Row],[in]],0.01,raw[[#This Row],[out]]-raw[[#This Row],[in]]))</f>
        <v/>
      </c>
      <c r="P1899" s="1397">
        <f>IF(raw[[#This Row],[in]]=0,0,MONTH(raw[[#This Row],[in]]))</f>
        <v/>
      </c>
      <c r="Q1899" s="1397">
        <f>IF(raw[[#This Row],[in]]=0,0,YEAR(raw[[#This Row],[in]]))</f>
        <v/>
      </c>
      <c r="R1899" s="1397">
        <f>INT(raw[[#This Row],[yr]]/10)*10</f>
        <v/>
      </c>
      <c r="S1899" s="1395">
        <f>IF(raw[[#This Row],[city]]="","-",IF(raw[[#This Row],[city]]&lt;&gt;_xlfn.XLOOKUP(raw[[#This Row],[home]],homes[home],homes[city],"-"),1,0))</f>
        <v/>
      </c>
      <c r="T1899" s="1398" t="inlineStr">
        <is>
          <t>.</t>
        </is>
      </c>
      <c r="U1899" s="1399">
        <f>IF(raw[[#This Row],[wb]]="w",raw[[#This Row],[stay]]+U1898,U1898)</f>
        <v/>
      </c>
      <c r="V1899" s="1400">
        <f>IF(raw[[#This Row],[out]]=0,V1898,(raw[[#This Row],[out]]-E$5))</f>
        <v/>
      </c>
      <c r="W1899" s="1401">
        <f>U1899/V1899</f>
        <v/>
      </c>
      <c r="X1899" s="1392" t="n"/>
      <c r="Y1899" s="1392" t="n"/>
      <c r="Z1899" s="1422" t="n"/>
      <c r="AA1899" s="1422" t="n"/>
      <c r="AB1899" s="1392" t="n"/>
      <c r="AC1899" s="1392" t="n"/>
      <c r="AD1899" s="1392" t="n"/>
      <c r="AE1899" s="1392" t="n"/>
      <c r="AF1899" s="1392" t="n"/>
      <c r="AG1899" s="1392" t="n"/>
      <c r="AH1899" s="1392" t="n"/>
      <c r="AI1899" s="1392" t="n"/>
      <c r="AJ1899" s="1392" t="n"/>
      <c r="AK1899" s="1392" t="n"/>
      <c r="AL1899" s="1392" t="n"/>
      <c r="AM1899" s="1392" t="n"/>
      <c r="AN1899" s="1392" t="n"/>
      <c r="AO1899" s="1392" t="n"/>
      <c r="AP1899" s="1392" t="n"/>
      <c r="AQ1899" s="1392" t="n"/>
      <c r="AR1899" s="1392" t="n"/>
      <c r="AS1899" s="1422" t="n"/>
      <c r="AT1899" s="1392" t="n"/>
      <c r="AU1899" s="1392" t="n"/>
      <c r="AV1899" s="1392" t="n"/>
      <c r="AW1899" s="1392" t="n"/>
      <c r="AX1899" s="1392" t="n"/>
      <c r="AY1899" s="1392" t="n"/>
      <c r="AZ1899" s="1392" t="n"/>
      <c r="BA1899" s="1392" t="n"/>
      <c r="BB1899" s="1422" t="n"/>
      <c r="BC1899" s="1392" t="n"/>
      <c r="BD1899" s="1392" t="n"/>
      <c r="BE1899" s="1392" t="n"/>
      <c r="BF1899" s="1392" t="n"/>
      <c r="BG1899" s="1392" t="n"/>
      <c r="BH1899" s="1392" t="n"/>
      <c r="BI1899" s="1392" t="n"/>
      <c r="BJ1899" s="1392" t="n"/>
      <c r="BK1899" s="1392" t="n"/>
      <c r="BL1899" s="1392" t="n"/>
      <c r="BM1899" s="1392" t="n"/>
      <c r="BN1899" s="1392" t="n"/>
      <c r="BO1899" s="1392" t="n"/>
      <c r="BP1899" s="1392" t="n"/>
      <c r="BQ1899" s="1392" t="n"/>
      <c r="BR1899" s="1392" t="n"/>
      <c r="BS1899" s="1392" t="n"/>
      <c r="BT1899" s="1392" t="n"/>
      <c r="BU1899" s="1416" t="n"/>
      <c r="BV1899" s="1392" t="n"/>
      <c r="BW1899" s="1392" t="n"/>
      <c r="BX1899" s="1392" t="n"/>
      <c r="BY1899" s="1392" t="n"/>
      <c r="BZ1899" s="1416" t="n"/>
      <c r="CA1899" s="1392" t="n"/>
      <c r="CB1899" s="1392" t="n"/>
      <c r="CC1899" s="1392" t="n"/>
      <c r="CD1899" s="1392" t="n"/>
      <c r="CE1899" s="1392" t="n"/>
      <c r="CF1899" s="1392" t="n"/>
      <c r="CG1899" s="1392" t="n"/>
      <c r="CH1899" s="1392" t="n"/>
      <c r="CI1899" s="1392" t="n"/>
      <c r="CJ1899" s="1392" t="n"/>
      <c r="CK1899" s="1392" t="n"/>
      <c r="CL1899" s="1392" t="n"/>
    </row>
    <row r="1900">
      <c r="A1900" s="5" t="inlineStr">
        <is>
          <t>.</t>
        </is>
      </c>
      <c r="B1900" s="5" t="inlineStr">
        <is>
          <t>.</t>
        </is>
      </c>
      <c r="C1900" s="1378">
        <f>IF(raw[[#This Row],[city]]="","-",IF(raw[[#This Row],[city]]="TODAY","-",C1899+1))</f>
        <v/>
      </c>
      <c r="D1900" s="1393" t="n"/>
      <c r="E1900" s="1394" t="n"/>
      <c r="F1900" s="1394" t="n"/>
      <c r="G1900" s="1393" t="n"/>
      <c r="H1900" s="1393" t="n"/>
      <c r="I1900" s="1393" t="n"/>
      <c r="J1900" s="1393" t="n"/>
      <c r="K1900" s="1395">
        <f>IF(raw[[#This Row],[city]]&lt;&gt;"",_xlfn.XLOOKUP($D1900,ccc[city],ccc[prov],"-"),"-")</f>
        <v/>
      </c>
      <c r="L1900" s="1395">
        <f>IF(raw[[#This Row],[city]]&lt;&gt;"",_xlfn.XLOOKUP($D1900,ccc[city],ccc[ctry],"-"),"-")</f>
        <v/>
      </c>
      <c r="M1900" s="1395">
        <f>IF(raw[[#This Row],[city]]&lt;&gt;"",_xlfn.XLOOKUP($D1900,ccc[city],ccc[cont],"-"),"-")</f>
        <v/>
      </c>
      <c r="N1900" s="1396">
        <f>IF(raw[[#This Row],[city]]="","-",IF(raw[[#This Row],[cont]]="B",raw[[#This Row],[cont]],"W"))</f>
        <v/>
      </c>
      <c r="O1900" s="1397">
        <f>IF(raw[[#This Row],[out]]=0,0,IF(raw[[#This Row],[out]]=raw[[#This Row],[in]],0.01,raw[[#This Row],[out]]-raw[[#This Row],[in]]))</f>
        <v/>
      </c>
      <c r="P1900" s="1397">
        <f>IF(raw[[#This Row],[in]]=0,0,MONTH(raw[[#This Row],[in]]))</f>
        <v/>
      </c>
      <c r="Q1900" s="1397">
        <f>IF(raw[[#This Row],[in]]=0,0,YEAR(raw[[#This Row],[in]]))</f>
        <v/>
      </c>
      <c r="R1900" s="1397">
        <f>INT(raw[[#This Row],[yr]]/10)*10</f>
        <v/>
      </c>
      <c r="S1900" s="1395">
        <f>IF(raw[[#This Row],[city]]="","-",IF(raw[[#This Row],[city]]&lt;&gt;_xlfn.XLOOKUP(raw[[#This Row],[home]],homes[home],homes[city],"-"),1,0))</f>
        <v/>
      </c>
      <c r="T1900" s="1398" t="inlineStr">
        <is>
          <t>.</t>
        </is>
      </c>
      <c r="U1900" s="1399">
        <f>IF(raw[[#This Row],[wb]]="w",raw[[#This Row],[stay]]+U1899,U1899)</f>
        <v/>
      </c>
      <c r="V1900" s="1400">
        <f>IF(raw[[#This Row],[out]]=0,V1899,(raw[[#This Row],[out]]-E$5))</f>
        <v/>
      </c>
      <c r="W1900" s="1401">
        <f>U1900/V1900</f>
        <v/>
      </c>
      <c r="X1900" s="1392" t="n"/>
      <c r="Y1900" s="1392" t="n"/>
      <c r="Z1900" s="1422" t="n"/>
      <c r="AA1900" s="1422" t="n"/>
      <c r="AB1900" s="1392" t="n"/>
      <c r="AC1900" s="1392" t="n"/>
      <c r="AD1900" s="1392" t="n"/>
      <c r="AE1900" s="1392" t="n"/>
      <c r="AF1900" s="1392" t="n"/>
      <c r="AG1900" s="1392" t="n"/>
      <c r="AH1900" s="1392" t="n"/>
      <c r="AI1900" s="1392" t="n"/>
      <c r="AJ1900" s="1392" t="n"/>
      <c r="AK1900" s="1392" t="n"/>
      <c r="AL1900" s="1392" t="n"/>
      <c r="AM1900" s="1392" t="n"/>
      <c r="AN1900" s="1392" t="n"/>
      <c r="AO1900" s="1392" t="n"/>
      <c r="AP1900" s="1392" t="n"/>
      <c r="AQ1900" s="1392" t="n"/>
      <c r="AR1900" s="1392" t="n"/>
      <c r="AS1900" s="1422" t="n"/>
      <c r="AT1900" s="1392" t="n"/>
      <c r="AU1900" s="1392" t="n"/>
      <c r="AV1900" s="1392" t="n"/>
      <c r="AW1900" s="1392" t="n"/>
      <c r="AX1900" s="1392" t="n"/>
      <c r="AY1900" s="1392" t="n"/>
      <c r="AZ1900" s="1392" t="n"/>
      <c r="BA1900" s="1392" t="n"/>
      <c r="BB1900" s="1422" t="n"/>
      <c r="BC1900" s="1392" t="n"/>
      <c r="BD1900" s="1392" t="n"/>
      <c r="BE1900" s="1392" t="n"/>
      <c r="BF1900" s="1392" t="n"/>
      <c r="BG1900" s="1392" t="n"/>
      <c r="BH1900" s="1392" t="n"/>
      <c r="BI1900" s="1392" t="n"/>
      <c r="BJ1900" s="1392" t="n"/>
      <c r="BK1900" s="1392" t="n"/>
      <c r="BL1900" s="1392" t="n"/>
      <c r="BM1900" s="1392" t="n"/>
      <c r="BN1900" s="1392" t="n"/>
      <c r="BO1900" s="1392" t="n"/>
      <c r="BP1900" s="1392" t="n"/>
      <c r="BQ1900" s="1392" t="n"/>
      <c r="BR1900" s="1392" t="n"/>
      <c r="BS1900" s="1392" t="n"/>
      <c r="BT1900" s="1392" t="n"/>
      <c r="BU1900" s="1416" t="n"/>
      <c r="BV1900" s="1392" t="n"/>
      <c r="BW1900" s="1392" t="n"/>
      <c r="BX1900" s="1392" t="n"/>
      <c r="BY1900" s="1392" t="n"/>
      <c r="BZ1900" s="1416" t="n"/>
      <c r="CA1900" s="1392" t="n"/>
      <c r="CB1900" s="1392" t="n"/>
      <c r="CC1900" s="1392" t="n"/>
      <c r="CD1900" s="1392" t="n"/>
      <c r="CE1900" s="1392" t="n"/>
      <c r="CF1900" s="1392" t="n"/>
      <c r="CG1900" s="1392" t="n"/>
      <c r="CH1900" s="1392" t="n"/>
      <c r="CI1900" s="1392" t="n"/>
      <c r="CJ1900" s="1392" t="n"/>
      <c r="CK1900" s="1392" t="n"/>
      <c r="CL1900" s="1392" t="n"/>
    </row>
    <row r="1901">
      <c r="A1901" s="5" t="inlineStr">
        <is>
          <t>.</t>
        </is>
      </c>
      <c r="B1901" s="5" t="inlineStr">
        <is>
          <t>.</t>
        </is>
      </c>
      <c r="C1901" s="1378">
        <f>IF(raw[[#This Row],[city]]="","-",IF(raw[[#This Row],[city]]="TODAY","-",C1900+1))</f>
        <v/>
      </c>
      <c r="D1901" s="1393" t="n"/>
      <c r="E1901" s="1394" t="n"/>
      <c r="F1901" s="1394" t="n"/>
      <c r="G1901" s="1393" t="n"/>
      <c r="H1901" s="1393" t="n"/>
      <c r="I1901" s="1393" t="n"/>
      <c r="J1901" s="1393" t="n"/>
      <c r="K1901" s="1395">
        <f>IF(raw[[#This Row],[city]]&lt;&gt;"",_xlfn.XLOOKUP($D1901,ccc[city],ccc[prov],"-"),"-")</f>
        <v/>
      </c>
      <c r="L1901" s="1395">
        <f>IF(raw[[#This Row],[city]]&lt;&gt;"",_xlfn.XLOOKUP($D1901,ccc[city],ccc[ctry],"-"),"-")</f>
        <v/>
      </c>
      <c r="M1901" s="1395">
        <f>IF(raw[[#This Row],[city]]&lt;&gt;"",_xlfn.XLOOKUP($D1901,ccc[city],ccc[cont],"-"),"-")</f>
        <v/>
      </c>
      <c r="N1901" s="1396">
        <f>IF(raw[[#This Row],[city]]="","-",IF(raw[[#This Row],[cont]]="B",raw[[#This Row],[cont]],"W"))</f>
        <v/>
      </c>
      <c r="O1901" s="1397">
        <f>IF(raw[[#This Row],[out]]=0,0,IF(raw[[#This Row],[out]]=raw[[#This Row],[in]],0.01,raw[[#This Row],[out]]-raw[[#This Row],[in]]))</f>
        <v/>
      </c>
      <c r="P1901" s="1397">
        <f>IF(raw[[#This Row],[in]]=0,0,MONTH(raw[[#This Row],[in]]))</f>
        <v/>
      </c>
      <c r="Q1901" s="1397">
        <f>IF(raw[[#This Row],[in]]=0,0,YEAR(raw[[#This Row],[in]]))</f>
        <v/>
      </c>
      <c r="R1901" s="1397">
        <f>INT(raw[[#This Row],[yr]]/10)*10</f>
        <v/>
      </c>
      <c r="S1901" s="1395">
        <f>IF(raw[[#This Row],[city]]="","-",IF(raw[[#This Row],[city]]&lt;&gt;_xlfn.XLOOKUP(raw[[#This Row],[home]],homes[home],homes[city],"-"),1,0))</f>
        <v/>
      </c>
      <c r="T1901" s="1398" t="inlineStr">
        <is>
          <t>.</t>
        </is>
      </c>
      <c r="U1901" s="1399">
        <f>IF(raw[[#This Row],[wb]]="w",raw[[#This Row],[stay]]+U1900,U1900)</f>
        <v/>
      </c>
      <c r="V1901" s="1400">
        <f>IF(raw[[#This Row],[out]]=0,V1900,(raw[[#This Row],[out]]-E$5))</f>
        <v/>
      </c>
      <c r="W1901" s="1401">
        <f>U1901/V1901</f>
        <v/>
      </c>
      <c r="X1901" s="1392" t="n"/>
      <c r="Y1901" s="1392" t="n"/>
      <c r="Z1901" s="1422" t="n"/>
      <c r="AA1901" s="1422" t="n"/>
      <c r="AB1901" s="1392" t="n"/>
      <c r="AC1901" s="1392" t="n"/>
      <c r="AD1901" s="1392" t="n"/>
      <c r="AE1901" s="1392" t="n"/>
      <c r="AF1901" s="1392" t="n"/>
      <c r="AG1901" s="1392" t="n"/>
      <c r="AH1901" s="1392" t="n"/>
      <c r="AI1901" s="1392" t="n"/>
      <c r="AJ1901" s="1392" t="n"/>
      <c r="AK1901" s="1392" t="n"/>
      <c r="AL1901" s="1392" t="n"/>
      <c r="AM1901" s="1392" t="n"/>
      <c r="AN1901" s="1392" t="n"/>
      <c r="AO1901" s="1392" t="n"/>
      <c r="AP1901" s="1392" t="n"/>
      <c r="AQ1901" s="1392" t="n"/>
      <c r="AR1901" s="1392" t="n"/>
      <c r="AS1901" s="1422" t="n"/>
      <c r="AT1901" s="1392" t="n"/>
      <c r="AU1901" s="1392" t="n"/>
      <c r="AV1901" s="1392" t="n"/>
      <c r="AW1901" s="1392" t="n"/>
      <c r="AX1901" s="1392" t="n"/>
      <c r="AY1901" s="1392" t="n"/>
      <c r="AZ1901" s="1392" t="n"/>
      <c r="BA1901" s="1392" t="n"/>
      <c r="BB1901" s="1422" t="n"/>
      <c r="BC1901" s="1392" t="n"/>
      <c r="BD1901" s="1392" t="n"/>
      <c r="BE1901" s="1392" t="n"/>
      <c r="BF1901" s="1392" t="n"/>
      <c r="BG1901" s="1392" t="n"/>
      <c r="BH1901" s="1392" t="n"/>
      <c r="BI1901" s="1392" t="n"/>
      <c r="BJ1901" s="1392" t="n"/>
      <c r="BK1901" s="1392" t="n"/>
      <c r="BL1901" s="1392" t="n"/>
      <c r="BM1901" s="1392" t="n"/>
      <c r="BN1901" s="1392" t="n"/>
      <c r="BO1901" s="1392" t="n"/>
      <c r="BP1901" s="1392" t="n"/>
      <c r="BQ1901" s="1392" t="n"/>
      <c r="BR1901" s="1392" t="n"/>
      <c r="BS1901" s="1392" t="n"/>
      <c r="BT1901" s="1392" t="n"/>
      <c r="BU1901" s="1416" t="n"/>
      <c r="BV1901" s="1392" t="n"/>
      <c r="BW1901" s="1392" t="n"/>
      <c r="BX1901" s="1392" t="n"/>
      <c r="BY1901" s="1392" t="n"/>
      <c r="BZ1901" s="1416" t="n"/>
      <c r="CA1901" s="1392" t="n"/>
      <c r="CB1901" s="1392" t="n"/>
      <c r="CC1901" s="1392" t="n"/>
      <c r="CD1901" s="1392" t="n"/>
      <c r="CE1901" s="1392" t="n"/>
      <c r="CF1901" s="1392" t="n"/>
      <c r="CG1901" s="1392" t="n"/>
      <c r="CH1901" s="1392" t="n"/>
      <c r="CI1901" s="1392" t="n"/>
      <c r="CJ1901" s="1392" t="n"/>
      <c r="CK1901" s="1392" t="n"/>
      <c r="CL1901" s="1392" t="n"/>
    </row>
    <row r="1902">
      <c r="A1902" s="5" t="inlineStr">
        <is>
          <t>.</t>
        </is>
      </c>
      <c r="B1902" s="5" t="inlineStr">
        <is>
          <t>.</t>
        </is>
      </c>
      <c r="C1902" s="1378">
        <f>IF(raw[[#This Row],[city]]="","-",IF(raw[[#This Row],[city]]="TODAY","-",C1901+1))</f>
        <v/>
      </c>
      <c r="D1902" s="1393" t="n"/>
      <c r="E1902" s="1394" t="n"/>
      <c r="F1902" s="1394" t="n"/>
      <c r="G1902" s="1393" t="n"/>
      <c r="H1902" s="1393" t="n"/>
      <c r="I1902" s="1393" t="n"/>
      <c r="J1902" s="1393" t="n"/>
      <c r="K1902" s="1395">
        <f>IF(raw[[#This Row],[city]]&lt;&gt;"",_xlfn.XLOOKUP($D1902,ccc[city],ccc[prov],"-"),"-")</f>
        <v/>
      </c>
      <c r="L1902" s="1395">
        <f>IF(raw[[#This Row],[city]]&lt;&gt;"",_xlfn.XLOOKUP($D1902,ccc[city],ccc[ctry],"-"),"-")</f>
        <v/>
      </c>
      <c r="M1902" s="1395">
        <f>IF(raw[[#This Row],[city]]&lt;&gt;"",_xlfn.XLOOKUP($D1902,ccc[city],ccc[cont],"-"),"-")</f>
        <v/>
      </c>
      <c r="N1902" s="1396">
        <f>IF(raw[[#This Row],[city]]="","-",IF(raw[[#This Row],[cont]]="B",raw[[#This Row],[cont]],"W"))</f>
        <v/>
      </c>
      <c r="O1902" s="1397">
        <f>IF(raw[[#This Row],[out]]=0,0,IF(raw[[#This Row],[out]]=raw[[#This Row],[in]],0.01,raw[[#This Row],[out]]-raw[[#This Row],[in]]))</f>
        <v/>
      </c>
      <c r="P1902" s="1397">
        <f>IF(raw[[#This Row],[in]]=0,0,MONTH(raw[[#This Row],[in]]))</f>
        <v/>
      </c>
      <c r="Q1902" s="1397">
        <f>IF(raw[[#This Row],[in]]=0,0,YEAR(raw[[#This Row],[in]]))</f>
        <v/>
      </c>
      <c r="R1902" s="1397">
        <f>INT(raw[[#This Row],[yr]]/10)*10</f>
        <v/>
      </c>
      <c r="S1902" s="1395">
        <f>IF(raw[[#This Row],[city]]="","-",IF(raw[[#This Row],[city]]&lt;&gt;_xlfn.XLOOKUP(raw[[#This Row],[home]],homes[home],homes[city],"-"),1,0))</f>
        <v/>
      </c>
      <c r="T1902" s="1398" t="inlineStr">
        <is>
          <t>.</t>
        </is>
      </c>
      <c r="U1902" s="1399">
        <f>IF(raw[[#This Row],[wb]]="w",raw[[#This Row],[stay]]+U1901,U1901)</f>
        <v/>
      </c>
      <c r="V1902" s="1400">
        <f>IF(raw[[#This Row],[out]]=0,V1901,(raw[[#This Row],[out]]-E$5))</f>
        <v/>
      </c>
      <c r="W1902" s="1401">
        <f>U1902/V1902</f>
        <v/>
      </c>
      <c r="X1902" s="1392" t="n"/>
      <c r="Y1902" s="1392" t="n"/>
      <c r="Z1902" s="1422" t="n"/>
      <c r="AA1902" s="1422" t="n"/>
      <c r="AB1902" s="1392" t="n"/>
      <c r="AC1902" s="1392" t="n"/>
      <c r="AD1902" s="1392" t="n"/>
      <c r="AE1902" s="1392" t="n"/>
      <c r="AF1902" s="1392" t="n"/>
      <c r="AG1902" s="1392" t="n"/>
      <c r="AH1902" s="1392" t="n"/>
      <c r="AI1902" s="1392" t="n"/>
      <c r="AJ1902" s="1392" t="n"/>
      <c r="AK1902" s="1392" t="n"/>
      <c r="AL1902" s="1392" t="n"/>
      <c r="AM1902" s="1392" t="n"/>
      <c r="AN1902" s="1392" t="n"/>
      <c r="AO1902" s="1392" t="n"/>
      <c r="AP1902" s="1392" t="n"/>
      <c r="AQ1902" s="1392" t="n"/>
      <c r="AR1902" s="1392" t="n"/>
      <c r="AS1902" s="1422" t="n"/>
      <c r="AT1902" s="1392" t="n"/>
      <c r="AU1902" s="1392" t="n"/>
      <c r="AV1902" s="1392" t="n"/>
      <c r="AW1902" s="1392" t="n"/>
      <c r="AX1902" s="1392" t="n"/>
      <c r="AY1902" s="1392" t="n"/>
      <c r="AZ1902" s="1392" t="n"/>
      <c r="BA1902" s="1392" t="n"/>
      <c r="BB1902" s="1422" t="n"/>
      <c r="BC1902" s="1392" t="n"/>
      <c r="BD1902" s="1392" t="n"/>
      <c r="BE1902" s="1392" t="n"/>
      <c r="BF1902" s="1392" t="n"/>
      <c r="BG1902" s="1392" t="n"/>
      <c r="BH1902" s="1392" t="n"/>
      <c r="BI1902" s="1392" t="n"/>
      <c r="BJ1902" s="1392" t="n"/>
      <c r="BK1902" s="1392" t="n"/>
      <c r="BL1902" s="1392" t="n"/>
      <c r="BM1902" s="1392" t="n"/>
      <c r="BN1902" s="1392" t="n"/>
      <c r="BO1902" s="1392" t="n"/>
      <c r="BP1902" s="1392" t="n"/>
      <c r="BQ1902" s="1392" t="n"/>
      <c r="BR1902" s="1392" t="n"/>
      <c r="BS1902" s="1392" t="n"/>
      <c r="BT1902" s="1392" t="n"/>
      <c r="BU1902" s="1416" t="n"/>
      <c r="BV1902" s="1392" t="n"/>
      <c r="BW1902" s="1392" t="n"/>
      <c r="BX1902" s="1392" t="n"/>
      <c r="BY1902" s="1392" t="n"/>
      <c r="BZ1902" s="1416" t="n"/>
      <c r="CA1902" s="1392" t="n"/>
      <c r="CB1902" s="1392" t="n"/>
      <c r="CC1902" s="1392" t="n"/>
      <c r="CD1902" s="1392" t="n"/>
      <c r="CE1902" s="1392" t="n"/>
      <c r="CF1902" s="1392" t="n"/>
      <c r="CG1902" s="1392" t="n"/>
      <c r="CH1902" s="1392" t="n"/>
      <c r="CI1902" s="1392" t="n"/>
      <c r="CJ1902" s="1392" t="n"/>
      <c r="CK1902" s="1392" t="n"/>
      <c r="CL1902" s="1392" t="n"/>
    </row>
    <row r="1903">
      <c r="A1903" s="5" t="inlineStr">
        <is>
          <t>.</t>
        </is>
      </c>
      <c r="B1903" s="5" t="inlineStr">
        <is>
          <t>.</t>
        </is>
      </c>
      <c r="C1903" s="1378">
        <f>IF(raw[[#This Row],[city]]="","-",IF(raw[[#This Row],[city]]="TODAY","-",C1902+1))</f>
        <v/>
      </c>
      <c r="D1903" s="1393" t="n"/>
      <c r="E1903" s="1394" t="n"/>
      <c r="F1903" s="1394" t="n"/>
      <c r="G1903" s="1393" t="n"/>
      <c r="H1903" s="1393" t="n"/>
      <c r="I1903" s="1393" t="n"/>
      <c r="J1903" s="1393" t="n"/>
      <c r="K1903" s="1395">
        <f>IF(raw[[#This Row],[city]]&lt;&gt;"",_xlfn.XLOOKUP($D1903,ccc[city],ccc[prov],"-"),"-")</f>
        <v/>
      </c>
      <c r="L1903" s="1395">
        <f>IF(raw[[#This Row],[city]]&lt;&gt;"",_xlfn.XLOOKUP($D1903,ccc[city],ccc[ctry],"-"),"-")</f>
        <v/>
      </c>
      <c r="M1903" s="1395">
        <f>IF(raw[[#This Row],[city]]&lt;&gt;"",_xlfn.XLOOKUP($D1903,ccc[city],ccc[cont],"-"),"-")</f>
        <v/>
      </c>
      <c r="N1903" s="1396">
        <f>IF(raw[[#This Row],[city]]="","-",IF(raw[[#This Row],[cont]]="B",raw[[#This Row],[cont]],"W"))</f>
        <v/>
      </c>
      <c r="O1903" s="1397">
        <f>IF(raw[[#This Row],[out]]=0,0,IF(raw[[#This Row],[out]]=raw[[#This Row],[in]],0.01,raw[[#This Row],[out]]-raw[[#This Row],[in]]))</f>
        <v/>
      </c>
      <c r="P1903" s="1397">
        <f>IF(raw[[#This Row],[in]]=0,0,MONTH(raw[[#This Row],[in]]))</f>
        <v/>
      </c>
      <c r="Q1903" s="1397">
        <f>IF(raw[[#This Row],[in]]=0,0,YEAR(raw[[#This Row],[in]]))</f>
        <v/>
      </c>
      <c r="R1903" s="1397">
        <f>INT(raw[[#This Row],[yr]]/10)*10</f>
        <v/>
      </c>
      <c r="S1903" s="1395">
        <f>IF(raw[[#This Row],[city]]="","-",IF(raw[[#This Row],[city]]&lt;&gt;_xlfn.XLOOKUP(raw[[#This Row],[home]],homes[home],homes[city],"-"),1,0))</f>
        <v/>
      </c>
      <c r="T1903" s="1398" t="inlineStr">
        <is>
          <t>.</t>
        </is>
      </c>
      <c r="U1903" s="1399">
        <f>IF(raw[[#This Row],[wb]]="w",raw[[#This Row],[stay]]+U1902,U1902)</f>
        <v/>
      </c>
      <c r="V1903" s="1400">
        <f>IF(raw[[#This Row],[out]]=0,V1902,(raw[[#This Row],[out]]-E$5))</f>
        <v/>
      </c>
      <c r="W1903" s="1401">
        <f>U1903/V1903</f>
        <v/>
      </c>
      <c r="X1903" s="1392" t="n"/>
      <c r="Y1903" s="1392" t="n"/>
      <c r="Z1903" s="1422" t="n"/>
      <c r="AA1903" s="1422" t="n"/>
      <c r="AB1903" s="1392" t="n"/>
      <c r="AC1903" s="1392" t="n"/>
      <c r="AD1903" s="1392" t="n"/>
      <c r="AE1903" s="1392" t="n"/>
      <c r="AF1903" s="1392" t="n"/>
      <c r="AG1903" s="1392" t="n"/>
      <c r="AH1903" s="1392" t="n"/>
      <c r="AI1903" s="1392" t="n"/>
      <c r="AJ1903" s="1392" t="n"/>
      <c r="AK1903" s="1392" t="n"/>
      <c r="AL1903" s="1392" t="n"/>
      <c r="AM1903" s="1392" t="n"/>
      <c r="AN1903" s="1392" t="n"/>
      <c r="AO1903" s="1392" t="n"/>
      <c r="AP1903" s="1392" t="n"/>
      <c r="AQ1903" s="1392" t="n"/>
      <c r="AR1903" s="1392" t="n"/>
      <c r="AS1903" s="1422" t="n"/>
      <c r="AT1903" s="1392" t="n"/>
      <c r="AU1903" s="1392" t="n"/>
      <c r="AV1903" s="1392" t="n"/>
      <c r="AW1903" s="1392" t="n"/>
      <c r="AX1903" s="1392" t="n"/>
      <c r="AY1903" s="1392" t="n"/>
      <c r="AZ1903" s="1392" t="n"/>
      <c r="BA1903" s="1392" t="n"/>
      <c r="BB1903" s="1422" t="n"/>
      <c r="BC1903" s="1392" t="n"/>
      <c r="BD1903" s="1392" t="n"/>
      <c r="BE1903" s="1392" t="n"/>
      <c r="BF1903" s="1392" t="n"/>
      <c r="BG1903" s="1392" t="n"/>
      <c r="BH1903" s="1392" t="n"/>
      <c r="BI1903" s="1392" t="n"/>
      <c r="BJ1903" s="1392" t="n"/>
      <c r="BK1903" s="1392" t="n"/>
      <c r="BL1903" s="1392" t="n"/>
      <c r="BM1903" s="1392" t="n"/>
      <c r="BN1903" s="1392" t="n"/>
      <c r="BO1903" s="1392" t="n"/>
      <c r="BP1903" s="1392" t="n"/>
      <c r="BQ1903" s="1392" t="n"/>
      <c r="BR1903" s="1392" t="n"/>
      <c r="BS1903" s="1392" t="n"/>
      <c r="BT1903" s="1392" t="n"/>
      <c r="BU1903" s="1416" t="n"/>
      <c r="BV1903" s="1392" t="n"/>
      <c r="BW1903" s="1392" t="n"/>
      <c r="BX1903" s="1392" t="n"/>
      <c r="BY1903" s="1392" t="n"/>
      <c r="BZ1903" s="1416" t="n"/>
      <c r="CA1903" s="1392" t="n"/>
      <c r="CB1903" s="1392" t="n"/>
      <c r="CC1903" s="1392" t="n"/>
      <c r="CD1903" s="1392" t="n"/>
      <c r="CE1903" s="1392" t="n"/>
      <c r="CF1903" s="1392" t="n"/>
      <c r="CG1903" s="1392" t="n"/>
      <c r="CH1903" s="1392" t="n"/>
      <c r="CI1903" s="1392" t="n"/>
      <c r="CJ1903" s="1392" t="n"/>
      <c r="CK1903" s="1392" t="n"/>
      <c r="CL1903" s="1392" t="n"/>
    </row>
    <row r="1904">
      <c r="A1904" s="5" t="inlineStr">
        <is>
          <t>.</t>
        </is>
      </c>
      <c r="B1904" s="5" t="inlineStr">
        <is>
          <t>.</t>
        </is>
      </c>
      <c r="C1904" s="1378">
        <f>IF(raw[[#This Row],[city]]="","-",IF(raw[[#This Row],[city]]="TODAY","-",C1903+1))</f>
        <v/>
      </c>
      <c r="D1904" s="1393" t="n"/>
      <c r="E1904" s="1394" t="n"/>
      <c r="F1904" s="1394" t="n"/>
      <c r="G1904" s="1393" t="n"/>
      <c r="H1904" s="1393" t="n"/>
      <c r="I1904" s="1393" t="n"/>
      <c r="J1904" s="1393" t="n"/>
      <c r="K1904" s="1395">
        <f>IF(raw[[#This Row],[city]]&lt;&gt;"",_xlfn.XLOOKUP($D1904,ccc[city],ccc[prov],"-"),"-")</f>
        <v/>
      </c>
      <c r="L1904" s="1395">
        <f>IF(raw[[#This Row],[city]]&lt;&gt;"",_xlfn.XLOOKUP($D1904,ccc[city],ccc[ctry],"-"),"-")</f>
        <v/>
      </c>
      <c r="M1904" s="1395">
        <f>IF(raw[[#This Row],[city]]&lt;&gt;"",_xlfn.XLOOKUP($D1904,ccc[city],ccc[cont],"-"),"-")</f>
        <v/>
      </c>
      <c r="N1904" s="1396">
        <f>IF(raw[[#This Row],[city]]="","-",IF(raw[[#This Row],[cont]]="B",raw[[#This Row],[cont]],"W"))</f>
        <v/>
      </c>
      <c r="O1904" s="1397">
        <f>IF(raw[[#This Row],[out]]=0,0,IF(raw[[#This Row],[out]]=raw[[#This Row],[in]],0.01,raw[[#This Row],[out]]-raw[[#This Row],[in]]))</f>
        <v/>
      </c>
      <c r="P1904" s="1397">
        <f>IF(raw[[#This Row],[in]]=0,0,MONTH(raw[[#This Row],[in]]))</f>
        <v/>
      </c>
      <c r="Q1904" s="1397">
        <f>IF(raw[[#This Row],[in]]=0,0,YEAR(raw[[#This Row],[in]]))</f>
        <v/>
      </c>
      <c r="R1904" s="1397">
        <f>INT(raw[[#This Row],[yr]]/10)*10</f>
        <v/>
      </c>
      <c r="S1904" s="1395">
        <f>IF(raw[[#This Row],[city]]="","-",IF(raw[[#This Row],[city]]&lt;&gt;_xlfn.XLOOKUP(raw[[#This Row],[home]],homes[home],homes[city],"-"),1,0))</f>
        <v/>
      </c>
      <c r="T1904" s="1398" t="inlineStr">
        <is>
          <t>.</t>
        </is>
      </c>
      <c r="U1904" s="1399">
        <f>IF(raw[[#This Row],[wb]]="w",raw[[#This Row],[stay]]+U1903,U1903)</f>
        <v/>
      </c>
      <c r="V1904" s="1400">
        <f>IF(raw[[#This Row],[out]]=0,V1903,(raw[[#This Row],[out]]-E$5))</f>
        <v/>
      </c>
      <c r="W1904" s="1401">
        <f>U1904/V1904</f>
        <v/>
      </c>
      <c r="X1904" s="1392" t="n"/>
      <c r="Y1904" s="1392" t="n"/>
      <c r="Z1904" s="1422" t="n"/>
      <c r="AA1904" s="1422" t="n"/>
      <c r="AB1904" s="1392" t="n"/>
      <c r="AC1904" s="1392" t="n"/>
      <c r="AD1904" s="1392" t="n"/>
      <c r="AE1904" s="1392" t="n"/>
      <c r="AF1904" s="1392" t="n"/>
      <c r="AG1904" s="1392" t="n"/>
      <c r="AH1904" s="1392" t="n"/>
      <c r="AI1904" s="1392" t="n"/>
      <c r="AJ1904" s="1392" t="n"/>
      <c r="AK1904" s="1392" t="n"/>
      <c r="AL1904" s="1392" t="n"/>
      <c r="AM1904" s="1392" t="n"/>
      <c r="AN1904" s="1392" t="n"/>
      <c r="AO1904" s="1392" t="n"/>
      <c r="AP1904" s="1392" t="n"/>
      <c r="AQ1904" s="1392" t="n"/>
      <c r="AR1904" s="1392" t="n"/>
      <c r="AS1904" s="1422" t="n"/>
      <c r="AT1904" s="1392" t="n"/>
      <c r="AU1904" s="1392" t="n"/>
      <c r="AV1904" s="1392" t="n"/>
      <c r="AW1904" s="1392" t="n"/>
      <c r="AX1904" s="1392" t="n"/>
      <c r="AY1904" s="1392" t="n"/>
      <c r="AZ1904" s="1392" t="n"/>
      <c r="BA1904" s="1392" t="n"/>
      <c r="BB1904" s="1422" t="n"/>
      <c r="BC1904" s="1392" t="n"/>
      <c r="BD1904" s="1392" t="n"/>
      <c r="BE1904" s="1392" t="n"/>
      <c r="BF1904" s="1392" t="n"/>
      <c r="BG1904" s="1392" t="n"/>
      <c r="BH1904" s="1392" t="n"/>
      <c r="BI1904" s="1392" t="n"/>
      <c r="BJ1904" s="1392" t="n"/>
      <c r="BK1904" s="1392" t="n"/>
      <c r="BL1904" s="1392" t="n"/>
      <c r="BM1904" s="1392" t="n"/>
      <c r="BN1904" s="1392" t="n"/>
      <c r="BO1904" s="1392" t="n"/>
      <c r="BP1904" s="1392" t="n"/>
      <c r="BQ1904" s="1392" t="n"/>
      <c r="BR1904" s="1392" t="n"/>
      <c r="BS1904" s="1392" t="n"/>
      <c r="BT1904" s="1392" t="n"/>
      <c r="BU1904" s="1416" t="n"/>
      <c r="BV1904" s="1392" t="n"/>
      <c r="BW1904" s="1392" t="n"/>
      <c r="BX1904" s="1392" t="n"/>
      <c r="BY1904" s="1392" t="n"/>
      <c r="BZ1904" s="1416" t="n"/>
      <c r="CA1904" s="1392" t="n"/>
      <c r="CB1904" s="1392" t="n"/>
      <c r="CC1904" s="1392" t="n"/>
      <c r="CD1904" s="1392" t="n"/>
      <c r="CE1904" s="1392" t="n"/>
      <c r="CF1904" s="1392" t="n"/>
      <c r="CG1904" s="1392" t="n"/>
      <c r="CH1904" s="1392" t="n"/>
      <c r="CI1904" s="1392" t="n"/>
      <c r="CJ1904" s="1392" t="n"/>
      <c r="CK1904" s="1392" t="n"/>
      <c r="CL1904" s="1392" t="n"/>
    </row>
    <row r="1905">
      <c r="A1905" s="5" t="inlineStr">
        <is>
          <t>.</t>
        </is>
      </c>
      <c r="B1905" s="5" t="inlineStr">
        <is>
          <t>.</t>
        </is>
      </c>
      <c r="C1905" s="1378">
        <f>IF(raw[[#This Row],[city]]="","-",IF(raw[[#This Row],[city]]="TODAY","-",C1904+1))</f>
        <v/>
      </c>
      <c r="D1905" s="1393" t="n"/>
      <c r="E1905" s="1394" t="n"/>
      <c r="F1905" s="1394" t="n"/>
      <c r="G1905" s="1393" t="n"/>
      <c r="H1905" s="1393" t="n"/>
      <c r="I1905" s="1393" t="n"/>
      <c r="J1905" s="1393" t="n"/>
      <c r="K1905" s="1395">
        <f>IF(raw[[#This Row],[city]]&lt;&gt;"",_xlfn.XLOOKUP($D1905,ccc[city],ccc[prov],"-"),"-")</f>
        <v/>
      </c>
      <c r="L1905" s="1395">
        <f>IF(raw[[#This Row],[city]]&lt;&gt;"",_xlfn.XLOOKUP($D1905,ccc[city],ccc[ctry],"-"),"-")</f>
        <v/>
      </c>
      <c r="M1905" s="1395">
        <f>IF(raw[[#This Row],[city]]&lt;&gt;"",_xlfn.XLOOKUP($D1905,ccc[city],ccc[cont],"-"),"-")</f>
        <v/>
      </c>
      <c r="N1905" s="1396">
        <f>IF(raw[[#This Row],[city]]="","-",IF(raw[[#This Row],[cont]]="B",raw[[#This Row],[cont]],"W"))</f>
        <v/>
      </c>
      <c r="O1905" s="1397">
        <f>IF(raw[[#This Row],[out]]=0,0,IF(raw[[#This Row],[out]]=raw[[#This Row],[in]],0.01,raw[[#This Row],[out]]-raw[[#This Row],[in]]))</f>
        <v/>
      </c>
      <c r="P1905" s="1397">
        <f>IF(raw[[#This Row],[in]]=0,0,MONTH(raw[[#This Row],[in]]))</f>
        <v/>
      </c>
      <c r="Q1905" s="1397">
        <f>IF(raw[[#This Row],[in]]=0,0,YEAR(raw[[#This Row],[in]]))</f>
        <v/>
      </c>
      <c r="R1905" s="1397">
        <f>INT(raw[[#This Row],[yr]]/10)*10</f>
        <v/>
      </c>
      <c r="S1905" s="1395">
        <f>IF(raw[[#This Row],[city]]="","-",IF(raw[[#This Row],[city]]&lt;&gt;_xlfn.XLOOKUP(raw[[#This Row],[home]],homes[home],homes[city],"-"),1,0))</f>
        <v/>
      </c>
      <c r="T1905" s="1398" t="inlineStr">
        <is>
          <t>.</t>
        </is>
      </c>
      <c r="U1905" s="1399">
        <f>IF(raw[[#This Row],[wb]]="w",raw[[#This Row],[stay]]+U1904,U1904)</f>
        <v/>
      </c>
      <c r="V1905" s="1400">
        <f>IF(raw[[#This Row],[out]]=0,V1904,(raw[[#This Row],[out]]-E$5))</f>
        <v/>
      </c>
      <c r="W1905" s="1401">
        <f>U1905/V1905</f>
        <v/>
      </c>
      <c r="X1905" s="1392" t="n"/>
      <c r="Y1905" s="1392" t="n"/>
      <c r="Z1905" s="1422" t="n"/>
      <c r="AA1905" s="1422" t="n"/>
      <c r="AB1905" s="1392" t="n"/>
      <c r="AC1905" s="1392" t="n"/>
      <c r="AD1905" s="1392" t="n"/>
      <c r="AE1905" s="1392" t="n"/>
      <c r="AF1905" s="1392" t="n"/>
      <c r="AG1905" s="1392" t="n"/>
      <c r="AH1905" s="1392" t="n"/>
      <c r="AI1905" s="1392" t="n"/>
      <c r="AJ1905" s="1392" t="n"/>
      <c r="AK1905" s="1392" t="n"/>
      <c r="AL1905" s="1392" t="n"/>
      <c r="AM1905" s="1392" t="n"/>
      <c r="AN1905" s="1392" t="n"/>
      <c r="AO1905" s="1392" t="n"/>
      <c r="AP1905" s="1392" t="n"/>
      <c r="AQ1905" s="1392" t="n"/>
      <c r="AR1905" s="1392" t="n"/>
      <c r="AS1905" s="1422" t="n"/>
      <c r="AT1905" s="1392" t="n"/>
      <c r="AU1905" s="1392" t="n"/>
      <c r="AV1905" s="1392" t="n"/>
      <c r="AW1905" s="1392" t="n"/>
      <c r="AX1905" s="1392" t="n"/>
      <c r="AY1905" s="1392" t="n"/>
      <c r="AZ1905" s="1392" t="n"/>
      <c r="BA1905" s="1392" t="n"/>
      <c r="BB1905" s="1422" t="n"/>
      <c r="BC1905" s="1392" t="n"/>
      <c r="BD1905" s="1392" t="n"/>
      <c r="BE1905" s="1392" t="n"/>
      <c r="BF1905" s="1392" t="n"/>
      <c r="BG1905" s="1392" t="n"/>
      <c r="BH1905" s="1392" t="n"/>
      <c r="BI1905" s="1392" t="n"/>
      <c r="BJ1905" s="1392" t="n"/>
      <c r="BK1905" s="1392" t="n"/>
      <c r="BL1905" s="1392" t="n"/>
      <c r="BM1905" s="1392" t="n"/>
      <c r="BN1905" s="1392" t="n"/>
      <c r="BO1905" s="1392" t="n"/>
      <c r="BP1905" s="1392" t="n"/>
      <c r="BQ1905" s="1392" t="n"/>
      <c r="BR1905" s="1392" t="n"/>
      <c r="BS1905" s="1392" t="n"/>
      <c r="BT1905" s="1392" t="n"/>
      <c r="BU1905" s="1416" t="n"/>
      <c r="BV1905" s="1392" t="n"/>
      <c r="BW1905" s="1392" t="n"/>
      <c r="BX1905" s="1392" t="n"/>
      <c r="BY1905" s="1392" t="n"/>
      <c r="BZ1905" s="1416" t="n"/>
      <c r="CA1905" s="1392" t="n"/>
      <c r="CB1905" s="1392" t="n"/>
      <c r="CC1905" s="1392" t="n"/>
      <c r="CD1905" s="1392" t="n"/>
      <c r="CE1905" s="1392" t="n"/>
      <c r="CF1905" s="1392" t="n"/>
      <c r="CG1905" s="1392" t="n"/>
      <c r="CH1905" s="1392" t="n"/>
      <c r="CI1905" s="1392" t="n"/>
      <c r="CJ1905" s="1392" t="n"/>
      <c r="CK1905" s="1392" t="n"/>
      <c r="CL1905" s="1392" t="n"/>
    </row>
    <row r="1906">
      <c r="A1906" s="5" t="inlineStr">
        <is>
          <t>.</t>
        </is>
      </c>
      <c r="B1906" s="5" t="inlineStr">
        <is>
          <t>.</t>
        </is>
      </c>
      <c r="C1906" s="1378">
        <f>IF(raw[[#This Row],[city]]="","-",IF(raw[[#This Row],[city]]="TODAY","-",C1905+1))</f>
        <v/>
      </c>
      <c r="D1906" s="1393" t="n"/>
      <c r="E1906" s="1394" t="n"/>
      <c r="F1906" s="1394" t="n"/>
      <c r="G1906" s="1393" t="n"/>
      <c r="H1906" s="1393" t="n"/>
      <c r="I1906" s="1393" t="n"/>
      <c r="J1906" s="1393" t="n"/>
      <c r="K1906" s="1395">
        <f>IF(raw[[#This Row],[city]]&lt;&gt;"",_xlfn.XLOOKUP($D1906,ccc[city],ccc[prov],"-"),"-")</f>
        <v/>
      </c>
      <c r="L1906" s="1395">
        <f>IF(raw[[#This Row],[city]]&lt;&gt;"",_xlfn.XLOOKUP($D1906,ccc[city],ccc[ctry],"-"),"-")</f>
        <v/>
      </c>
      <c r="M1906" s="1395">
        <f>IF(raw[[#This Row],[city]]&lt;&gt;"",_xlfn.XLOOKUP($D1906,ccc[city],ccc[cont],"-"),"-")</f>
        <v/>
      </c>
      <c r="N1906" s="1396">
        <f>IF(raw[[#This Row],[city]]="","-",IF(raw[[#This Row],[cont]]="B",raw[[#This Row],[cont]],"W"))</f>
        <v/>
      </c>
      <c r="O1906" s="1397">
        <f>IF(raw[[#This Row],[out]]=0,0,IF(raw[[#This Row],[out]]=raw[[#This Row],[in]],0.01,raw[[#This Row],[out]]-raw[[#This Row],[in]]))</f>
        <v/>
      </c>
      <c r="P1906" s="1397">
        <f>IF(raw[[#This Row],[in]]=0,0,MONTH(raw[[#This Row],[in]]))</f>
        <v/>
      </c>
      <c r="Q1906" s="1397">
        <f>IF(raw[[#This Row],[in]]=0,0,YEAR(raw[[#This Row],[in]]))</f>
        <v/>
      </c>
      <c r="R1906" s="1397">
        <f>INT(raw[[#This Row],[yr]]/10)*10</f>
        <v/>
      </c>
      <c r="S1906" s="1395">
        <f>IF(raw[[#This Row],[city]]="","-",IF(raw[[#This Row],[city]]&lt;&gt;_xlfn.XLOOKUP(raw[[#This Row],[home]],homes[home],homes[city],"-"),1,0))</f>
        <v/>
      </c>
      <c r="T1906" s="1398" t="inlineStr">
        <is>
          <t>.</t>
        </is>
      </c>
      <c r="U1906" s="1399">
        <f>IF(raw[[#This Row],[wb]]="w",raw[[#This Row],[stay]]+U1905,U1905)</f>
        <v/>
      </c>
      <c r="V1906" s="1400">
        <f>IF(raw[[#This Row],[out]]=0,V1905,(raw[[#This Row],[out]]-E$5))</f>
        <v/>
      </c>
      <c r="W1906" s="1401">
        <f>U1906/V1906</f>
        <v/>
      </c>
      <c r="X1906" s="1392" t="n"/>
      <c r="Y1906" s="1392" t="n"/>
      <c r="Z1906" s="1422" t="n"/>
      <c r="AA1906" s="1422" t="n"/>
      <c r="AB1906" s="1392" t="n"/>
      <c r="AC1906" s="1392" t="n"/>
      <c r="AD1906" s="1392" t="n"/>
      <c r="AE1906" s="1392" t="n"/>
      <c r="AF1906" s="1392" t="n"/>
      <c r="AG1906" s="1392" t="n"/>
      <c r="AH1906" s="1392" t="n"/>
      <c r="AI1906" s="1392" t="n"/>
      <c r="AJ1906" s="1392" t="n"/>
      <c r="AK1906" s="1392" t="n"/>
      <c r="AL1906" s="1392" t="n"/>
      <c r="AM1906" s="1392" t="n"/>
      <c r="AN1906" s="1392" t="n"/>
      <c r="AO1906" s="1392" t="n"/>
      <c r="AP1906" s="1392" t="n"/>
      <c r="AQ1906" s="1392" t="n"/>
      <c r="AR1906" s="1392" t="n"/>
      <c r="AS1906" s="1422" t="n"/>
      <c r="AT1906" s="1392" t="n"/>
      <c r="AU1906" s="1392" t="n"/>
      <c r="AV1906" s="1392" t="n"/>
      <c r="AW1906" s="1392" t="n"/>
      <c r="AX1906" s="1392" t="n"/>
      <c r="AY1906" s="1392" t="n"/>
      <c r="AZ1906" s="1392" t="n"/>
      <c r="BA1906" s="1392" t="n"/>
      <c r="BB1906" s="1422" t="n"/>
      <c r="BC1906" s="1392" t="n"/>
      <c r="BD1906" s="1392" t="n"/>
      <c r="BE1906" s="1392" t="n"/>
      <c r="BF1906" s="1392" t="n"/>
      <c r="BG1906" s="1392" t="n"/>
      <c r="BH1906" s="1392" t="n"/>
      <c r="BI1906" s="1392" t="n"/>
      <c r="BJ1906" s="1392" t="n"/>
      <c r="BK1906" s="1392" t="n"/>
      <c r="BL1906" s="1392" t="n"/>
      <c r="BM1906" s="1392" t="n"/>
      <c r="BN1906" s="1392" t="n"/>
      <c r="BO1906" s="1392" t="n"/>
      <c r="BP1906" s="1392" t="n"/>
      <c r="BQ1906" s="1392" t="n"/>
      <c r="BR1906" s="1392" t="n"/>
      <c r="BS1906" s="1392" t="n"/>
      <c r="BT1906" s="1392" t="n"/>
      <c r="BU1906" s="1416" t="n"/>
      <c r="BV1906" s="1392" t="n"/>
      <c r="BW1906" s="1392" t="n"/>
      <c r="BX1906" s="1392" t="n"/>
      <c r="BY1906" s="1392" t="n"/>
      <c r="BZ1906" s="1416" t="n"/>
      <c r="CA1906" s="1392" t="n"/>
      <c r="CB1906" s="1392" t="n"/>
      <c r="CC1906" s="1392" t="n"/>
      <c r="CD1906" s="1392" t="n"/>
      <c r="CE1906" s="1392" t="n"/>
      <c r="CF1906" s="1392" t="n"/>
      <c r="CG1906" s="1392" t="n"/>
      <c r="CH1906" s="1392" t="n"/>
      <c r="CI1906" s="1392" t="n"/>
      <c r="CJ1906" s="1392" t="n"/>
      <c r="CK1906" s="1392" t="n"/>
      <c r="CL1906" s="1392" t="n"/>
    </row>
    <row r="1907">
      <c r="A1907" s="5" t="inlineStr">
        <is>
          <t>.</t>
        </is>
      </c>
      <c r="B1907" s="5" t="inlineStr">
        <is>
          <t>.</t>
        </is>
      </c>
      <c r="C1907" s="1378">
        <f>IF(raw[[#This Row],[city]]="","-",IF(raw[[#This Row],[city]]="TODAY","-",C1906+1))</f>
        <v/>
      </c>
      <c r="D1907" s="1393" t="n"/>
      <c r="E1907" s="1394" t="n"/>
      <c r="F1907" s="1394" t="n"/>
      <c r="G1907" s="1393" t="n"/>
      <c r="H1907" s="1393" t="n"/>
      <c r="I1907" s="1393" t="n"/>
      <c r="J1907" s="1393" t="n"/>
      <c r="K1907" s="1395">
        <f>IF(raw[[#This Row],[city]]&lt;&gt;"",_xlfn.XLOOKUP($D1907,ccc[city],ccc[prov],"-"),"-")</f>
        <v/>
      </c>
      <c r="L1907" s="1395">
        <f>IF(raw[[#This Row],[city]]&lt;&gt;"",_xlfn.XLOOKUP($D1907,ccc[city],ccc[ctry],"-"),"-")</f>
        <v/>
      </c>
      <c r="M1907" s="1395">
        <f>IF(raw[[#This Row],[city]]&lt;&gt;"",_xlfn.XLOOKUP($D1907,ccc[city],ccc[cont],"-"),"-")</f>
        <v/>
      </c>
      <c r="N1907" s="1396">
        <f>IF(raw[[#This Row],[city]]="","-",IF(raw[[#This Row],[cont]]="B",raw[[#This Row],[cont]],"W"))</f>
        <v/>
      </c>
      <c r="O1907" s="1397">
        <f>IF(raw[[#This Row],[out]]=0,0,IF(raw[[#This Row],[out]]=raw[[#This Row],[in]],0.01,raw[[#This Row],[out]]-raw[[#This Row],[in]]))</f>
        <v/>
      </c>
      <c r="P1907" s="1397">
        <f>IF(raw[[#This Row],[in]]=0,0,MONTH(raw[[#This Row],[in]]))</f>
        <v/>
      </c>
      <c r="Q1907" s="1397">
        <f>IF(raw[[#This Row],[in]]=0,0,YEAR(raw[[#This Row],[in]]))</f>
        <v/>
      </c>
      <c r="R1907" s="1397">
        <f>INT(raw[[#This Row],[yr]]/10)*10</f>
        <v/>
      </c>
      <c r="S1907" s="1395">
        <f>IF(raw[[#This Row],[city]]="","-",IF(raw[[#This Row],[city]]&lt;&gt;_xlfn.XLOOKUP(raw[[#This Row],[home]],homes[home],homes[city],"-"),1,0))</f>
        <v/>
      </c>
      <c r="T1907" s="1398" t="inlineStr">
        <is>
          <t>.</t>
        </is>
      </c>
      <c r="U1907" s="1399">
        <f>IF(raw[[#This Row],[wb]]="w",raw[[#This Row],[stay]]+U1906,U1906)</f>
        <v/>
      </c>
      <c r="V1907" s="1400">
        <f>IF(raw[[#This Row],[out]]=0,V1906,(raw[[#This Row],[out]]-E$5))</f>
        <v/>
      </c>
      <c r="W1907" s="1401">
        <f>U1907/V1907</f>
        <v/>
      </c>
      <c r="X1907" s="1392" t="n"/>
      <c r="Y1907" s="1392" t="n"/>
      <c r="Z1907" s="1422" t="n"/>
      <c r="AA1907" s="1422" t="n"/>
      <c r="AB1907" s="1392" t="n"/>
      <c r="AC1907" s="1392" t="n"/>
      <c r="AD1907" s="1392" t="n"/>
      <c r="AE1907" s="1392" t="n"/>
      <c r="AF1907" s="1392" t="n"/>
      <c r="AG1907" s="1392" t="n"/>
      <c r="AH1907" s="1392" t="n"/>
      <c r="AI1907" s="1392" t="n"/>
      <c r="AJ1907" s="1392" t="n"/>
      <c r="AK1907" s="1392" t="n"/>
      <c r="AL1907" s="1392" t="n"/>
      <c r="AM1907" s="1392" t="n"/>
      <c r="AN1907" s="1392" t="n"/>
      <c r="AO1907" s="1392" t="n"/>
      <c r="AP1907" s="1392" t="n"/>
      <c r="AQ1907" s="1392" t="n"/>
      <c r="AR1907" s="1392" t="n"/>
      <c r="AS1907" s="1422" t="n"/>
      <c r="AT1907" s="1392" t="n"/>
      <c r="AU1907" s="1392" t="n"/>
      <c r="AV1907" s="1392" t="n"/>
      <c r="AW1907" s="1392" t="n"/>
      <c r="AX1907" s="1392" t="n"/>
      <c r="AY1907" s="1392" t="n"/>
      <c r="AZ1907" s="1392" t="n"/>
      <c r="BA1907" s="1392" t="n"/>
      <c r="BB1907" s="1422" t="n"/>
      <c r="BC1907" s="1392" t="n"/>
      <c r="BD1907" s="1392" t="n"/>
      <c r="BE1907" s="1392" t="n"/>
      <c r="BF1907" s="1392" t="n"/>
      <c r="BG1907" s="1392" t="n"/>
      <c r="BH1907" s="1392" t="n"/>
      <c r="BI1907" s="1392" t="n"/>
      <c r="BJ1907" s="1392" t="n"/>
      <c r="BK1907" s="1392" t="n"/>
      <c r="BL1907" s="1392" t="n"/>
      <c r="BM1907" s="1392" t="n"/>
      <c r="BN1907" s="1392" t="n"/>
      <c r="BO1907" s="1392" t="n"/>
      <c r="BP1907" s="1392" t="n"/>
      <c r="BQ1907" s="1392" t="n"/>
      <c r="BR1907" s="1392" t="n"/>
      <c r="BS1907" s="1392" t="n"/>
      <c r="BT1907" s="1392" t="n"/>
      <c r="BU1907" s="1416" t="n"/>
      <c r="BV1907" s="1392" t="n"/>
      <c r="BW1907" s="1392" t="n"/>
      <c r="BX1907" s="1392" t="n"/>
      <c r="BY1907" s="1392" t="n"/>
      <c r="BZ1907" s="1416" t="n"/>
      <c r="CA1907" s="1392" t="n"/>
      <c r="CB1907" s="1392" t="n"/>
      <c r="CC1907" s="1392" t="n"/>
      <c r="CD1907" s="1392" t="n"/>
      <c r="CE1907" s="1392" t="n"/>
      <c r="CF1907" s="1392" t="n"/>
      <c r="CG1907" s="1392" t="n"/>
      <c r="CH1907" s="1392" t="n"/>
      <c r="CI1907" s="1392" t="n"/>
      <c r="CJ1907" s="1392" t="n"/>
      <c r="CK1907" s="1392" t="n"/>
      <c r="CL1907" s="1392" t="n"/>
    </row>
    <row r="1908">
      <c r="A1908" s="5" t="inlineStr">
        <is>
          <t>.</t>
        </is>
      </c>
      <c r="B1908" s="5" t="inlineStr">
        <is>
          <t>.</t>
        </is>
      </c>
      <c r="C1908" s="1378">
        <f>IF(raw[[#This Row],[city]]="","-",IF(raw[[#This Row],[city]]="TODAY","-",C1907+1))</f>
        <v/>
      </c>
      <c r="D1908" s="1393" t="n"/>
      <c r="E1908" s="1394" t="n"/>
      <c r="F1908" s="1394" t="n"/>
      <c r="G1908" s="1393" t="n"/>
      <c r="H1908" s="1393" t="n"/>
      <c r="I1908" s="1393" t="n"/>
      <c r="J1908" s="1393" t="n"/>
      <c r="K1908" s="1395">
        <f>IF(raw[[#This Row],[city]]&lt;&gt;"",_xlfn.XLOOKUP($D1908,ccc[city],ccc[prov],"-"),"-")</f>
        <v/>
      </c>
      <c r="L1908" s="1395">
        <f>IF(raw[[#This Row],[city]]&lt;&gt;"",_xlfn.XLOOKUP($D1908,ccc[city],ccc[ctry],"-"),"-")</f>
        <v/>
      </c>
      <c r="M1908" s="1395">
        <f>IF(raw[[#This Row],[city]]&lt;&gt;"",_xlfn.XLOOKUP($D1908,ccc[city],ccc[cont],"-"),"-")</f>
        <v/>
      </c>
      <c r="N1908" s="1396">
        <f>IF(raw[[#This Row],[city]]="","-",IF(raw[[#This Row],[cont]]="B",raw[[#This Row],[cont]],"W"))</f>
        <v/>
      </c>
      <c r="O1908" s="1397">
        <f>IF(raw[[#This Row],[out]]=0,0,IF(raw[[#This Row],[out]]=raw[[#This Row],[in]],0.01,raw[[#This Row],[out]]-raw[[#This Row],[in]]))</f>
        <v/>
      </c>
      <c r="P1908" s="1397">
        <f>IF(raw[[#This Row],[in]]=0,0,MONTH(raw[[#This Row],[in]]))</f>
        <v/>
      </c>
      <c r="Q1908" s="1397">
        <f>IF(raw[[#This Row],[in]]=0,0,YEAR(raw[[#This Row],[in]]))</f>
        <v/>
      </c>
      <c r="R1908" s="1397">
        <f>INT(raw[[#This Row],[yr]]/10)*10</f>
        <v/>
      </c>
      <c r="S1908" s="1395">
        <f>IF(raw[[#This Row],[city]]="","-",IF(raw[[#This Row],[city]]&lt;&gt;_xlfn.XLOOKUP(raw[[#This Row],[home]],homes[home],homes[city],"-"),1,0))</f>
        <v/>
      </c>
      <c r="T1908" s="1398" t="inlineStr">
        <is>
          <t>.</t>
        </is>
      </c>
      <c r="U1908" s="1399">
        <f>IF(raw[[#This Row],[wb]]="w",raw[[#This Row],[stay]]+U1907,U1907)</f>
        <v/>
      </c>
      <c r="V1908" s="1400">
        <f>IF(raw[[#This Row],[out]]=0,V1907,(raw[[#This Row],[out]]-E$5))</f>
        <v/>
      </c>
      <c r="W1908" s="1401">
        <f>U1908/V1908</f>
        <v/>
      </c>
      <c r="X1908" s="1392" t="n"/>
      <c r="Y1908" s="1392" t="n"/>
      <c r="Z1908" s="1422" t="n"/>
      <c r="AA1908" s="1422" t="n"/>
      <c r="AB1908" s="1392" t="n"/>
      <c r="AC1908" s="1392" t="n"/>
      <c r="AD1908" s="1392" t="n"/>
      <c r="AE1908" s="1392" t="n"/>
      <c r="AF1908" s="1392" t="n"/>
      <c r="AG1908" s="1392" t="n"/>
      <c r="AH1908" s="1392" t="n"/>
      <c r="AI1908" s="1392" t="n"/>
      <c r="AJ1908" s="1392" t="n"/>
      <c r="AK1908" s="1392" t="n"/>
      <c r="AL1908" s="1392" t="n"/>
      <c r="AM1908" s="1392" t="n"/>
      <c r="AN1908" s="1392" t="n"/>
      <c r="AO1908" s="1392" t="n"/>
      <c r="AP1908" s="1392" t="n"/>
      <c r="AQ1908" s="1392" t="n"/>
      <c r="AR1908" s="1392" t="n"/>
      <c r="AS1908" s="1422" t="n"/>
      <c r="AT1908" s="1392" t="n"/>
      <c r="AU1908" s="1392" t="n"/>
      <c r="AV1908" s="1392" t="n"/>
      <c r="AW1908" s="1392" t="n"/>
      <c r="AX1908" s="1392" t="n"/>
      <c r="AY1908" s="1392" t="n"/>
      <c r="AZ1908" s="1392" t="n"/>
      <c r="BA1908" s="1392" t="n"/>
      <c r="BB1908" s="1422" t="n"/>
      <c r="BC1908" s="1392" t="n"/>
      <c r="BD1908" s="1392" t="n"/>
      <c r="BE1908" s="1392" t="n"/>
      <c r="BF1908" s="1392" t="n"/>
      <c r="BG1908" s="1392" t="n"/>
      <c r="BH1908" s="1392" t="n"/>
      <c r="BI1908" s="1392" t="n"/>
      <c r="BJ1908" s="1392" t="n"/>
      <c r="BK1908" s="1392" t="n"/>
      <c r="BL1908" s="1392" t="n"/>
      <c r="BM1908" s="1392" t="n"/>
      <c r="BN1908" s="1392" t="n"/>
      <c r="BO1908" s="1392" t="n"/>
      <c r="BP1908" s="1392" t="n"/>
      <c r="BQ1908" s="1392" t="n"/>
      <c r="BR1908" s="1392" t="n"/>
      <c r="BS1908" s="1392" t="n"/>
      <c r="BT1908" s="1392" t="n"/>
      <c r="BU1908" s="1416" t="n"/>
      <c r="BV1908" s="1392" t="n"/>
      <c r="BW1908" s="1392" t="n"/>
      <c r="BX1908" s="1392" t="n"/>
      <c r="BY1908" s="1392" t="n"/>
      <c r="BZ1908" s="1416" t="n"/>
      <c r="CA1908" s="1392" t="n"/>
      <c r="CB1908" s="1392" t="n"/>
      <c r="CC1908" s="1392" t="n"/>
      <c r="CD1908" s="1392" t="n"/>
      <c r="CE1908" s="1392" t="n"/>
      <c r="CF1908" s="1392" t="n"/>
      <c r="CG1908" s="1392" t="n"/>
      <c r="CH1908" s="1392" t="n"/>
      <c r="CI1908" s="1392" t="n"/>
      <c r="CJ1908" s="1392" t="n"/>
      <c r="CK1908" s="1392" t="n"/>
      <c r="CL1908" s="1392" t="n"/>
    </row>
    <row r="1909">
      <c r="A1909" s="5" t="inlineStr">
        <is>
          <t>.</t>
        </is>
      </c>
      <c r="B1909" s="5" t="inlineStr">
        <is>
          <t>.</t>
        </is>
      </c>
      <c r="C1909" s="1378">
        <f>IF(raw[[#This Row],[city]]="","-",IF(raw[[#This Row],[city]]="TODAY","-",C1908+1))</f>
        <v/>
      </c>
      <c r="D1909" s="1393" t="n"/>
      <c r="E1909" s="1394" t="n"/>
      <c r="F1909" s="1394" t="n"/>
      <c r="G1909" s="1393" t="n"/>
      <c r="H1909" s="1393" t="n"/>
      <c r="I1909" s="1393" t="n"/>
      <c r="J1909" s="1393" t="n"/>
      <c r="K1909" s="1395">
        <f>IF(raw[[#This Row],[city]]&lt;&gt;"",_xlfn.XLOOKUP($D1909,ccc[city],ccc[prov],"-"),"-")</f>
        <v/>
      </c>
      <c r="L1909" s="1395">
        <f>IF(raw[[#This Row],[city]]&lt;&gt;"",_xlfn.XLOOKUP($D1909,ccc[city],ccc[ctry],"-"),"-")</f>
        <v/>
      </c>
      <c r="M1909" s="1395">
        <f>IF(raw[[#This Row],[city]]&lt;&gt;"",_xlfn.XLOOKUP($D1909,ccc[city],ccc[cont],"-"),"-")</f>
        <v/>
      </c>
      <c r="N1909" s="1396">
        <f>IF(raw[[#This Row],[city]]="","-",IF(raw[[#This Row],[cont]]="B",raw[[#This Row],[cont]],"W"))</f>
        <v/>
      </c>
      <c r="O1909" s="1397">
        <f>IF(raw[[#This Row],[out]]=0,0,IF(raw[[#This Row],[out]]=raw[[#This Row],[in]],0.01,raw[[#This Row],[out]]-raw[[#This Row],[in]]))</f>
        <v/>
      </c>
      <c r="P1909" s="1397">
        <f>IF(raw[[#This Row],[in]]=0,0,MONTH(raw[[#This Row],[in]]))</f>
        <v/>
      </c>
      <c r="Q1909" s="1397">
        <f>IF(raw[[#This Row],[in]]=0,0,YEAR(raw[[#This Row],[in]]))</f>
        <v/>
      </c>
      <c r="R1909" s="1397">
        <f>INT(raw[[#This Row],[yr]]/10)*10</f>
        <v/>
      </c>
      <c r="S1909" s="1395">
        <f>IF(raw[[#This Row],[city]]="","-",IF(raw[[#This Row],[city]]&lt;&gt;_xlfn.XLOOKUP(raw[[#This Row],[home]],homes[home],homes[city],"-"),1,0))</f>
        <v/>
      </c>
      <c r="T1909" s="1398" t="inlineStr">
        <is>
          <t>.</t>
        </is>
      </c>
      <c r="U1909" s="1399">
        <f>IF(raw[[#This Row],[wb]]="w",raw[[#This Row],[stay]]+U1908,U1908)</f>
        <v/>
      </c>
      <c r="V1909" s="1400">
        <f>IF(raw[[#This Row],[out]]=0,V1908,(raw[[#This Row],[out]]-E$5))</f>
        <v/>
      </c>
      <c r="W1909" s="1401">
        <f>U1909/V1909</f>
        <v/>
      </c>
      <c r="X1909" s="1392" t="n"/>
      <c r="Y1909" s="1392" t="n"/>
      <c r="Z1909" s="1422" t="n"/>
      <c r="AA1909" s="1422" t="n"/>
      <c r="AB1909" s="1392" t="n"/>
      <c r="AC1909" s="1392" t="n"/>
      <c r="AD1909" s="1392" t="n"/>
      <c r="AE1909" s="1392" t="n"/>
      <c r="AF1909" s="1392" t="n"/>
      <c r="AG1909" s="1392" t="n"/>
      <c r="AH1909" s="1392" t="n"/>
      <c r="AI1909" s="1392" t="n"/>
      <c r="AJ1909" s="1392" t="n"/>
      <c r="AK1909" s="1392" t="n"/>
      <c r="AL1909" s="1392" t="n"/>
      <c r="AM1909" s="1392" t="n"/>
      <c r="AN1909" s="1392" t="n"/>
      <c r="AO1909" s="1392" t="n"/>
      <c r="AP1909" s="1392" t="n"/>
      <c r="AQ1909" s="1392" t="n"/>
      <c r="AR1909" s="1392" t="n"/>
      <c r="AS1909" s="1422" t="n"/>
      <c r="AT1909" s="1392" t="n"/>
      <c r="AU1909" s="1392" t="n"/>
      <c r="AV1909" s="1392" t="n"/>
      <c r="AW1909" s="1392" t="n"/>
      <c r="AX1909" s="1392" t="n"/>
      <c r="AY1909" s="1392" t="n"/>
      <c r="AZ1909" s="1392" t="n"/>
      <c r="BA1909" s="1392" t="n"/>
      <c r="BB1909" s="1422" t="n"/>
      <c r="BC1909" s="1392" t="n"/>
      <c r="BD1909" s="1392" t="n"/>
      <c r="BE1909" s="1392" t="n"/>
      <c r="BF1909" s="1392" t="n"/>
      <c r="BG1909" s="1392" t="n"/>
      <c r="BH1909" s="1392" t="n"/>
      <c r="BI1909" s="1392" t="n"/>
      <c r="BJ1909" s="1392" t="n"/>
      <c r="BK1909" s="1392" t="n"/>
      <c r="BL1909" s="1392" t="n"/>
      <c r="BM1909" s="1392" t="n"/>
      <c r="BN1909" s="1392" t="n"/>
      <c r="BO1909" s="1392" t="n"/>
      <c r="BP1909" s="1392" t="n"/>
      <c r="BQ1909" s="1392" t="n"/>
      <c r="BR1909" s="1392" t="n"/>
      <c r="BS1909" s="1392" t="n"/>
      <c r="BT1909" s="1392" t="n"/>
      <c r="BU1909" s="1416" t="n"/>
      <c r="BV1909" s="1392" t="n"/>
      <c r="BW1909" s="1392" t="n"/>
      <c r="BX1909" s="1392" t="n"/>
      <c r="BY1909" s="1392" t="n"/>
      <c r="BZ1909" s="1416" t="n"/>
      <c r="CA1909" s="1392" t="n"/>
      <c r="CB1909" s="1392" t="n"/>
      <c r="CC1909" s="1392" t="n"/>
      <c r="CD1909" s="1392" t="n"/>
      <c r="CE1909" s="1392" t="n"/>
      <c r="CF1909" s="1392" t="n"/>
      <c r="CG1909" s="1392" t="n"/>
      <c r="CH1909" s="1392" t="n"/>
      <c r="CI1909" s="1392" t="n"/>
      <c r="CJ1909" s="1392" t="n"/>
      <c r="CK1909" s="1392" t="n"/>
      <c r="CL1909" s="1392" t="n"/>
    </row>
    <row r="1910">
      <c r="A1910" s="5" t="inlineStr">
        <is>
          <t>.</t>
        </is>
      </c>
      <c r="B1910" s="5" t="inlineStr">
        <is>
          <t>.</t>
        </is>
      </c>
      <c r="C1910" s="1378">
        <f>IF(raw[[#This Row],[city]]="","-",IF(raw[[#This Row],[city]]="TODAY","-",C1909+1))</f>
        <v/>
      </c>
      <c r="D1910" s="1393" t="n"/>
      <c r="E1910" s="1394" t="n"/>
      <c r="F1910" s="1394" t="n"/>
      <c r="G1910" s="1393" t="n"/>
      <c r="H1910" s="1393" t="n"/>
      <c r="I1910" s="1393" t="n"/>
      <c r="J1910" s="1393" t="n"/>
      <c r="K1910" s="1395">
        <f>IF(raw[[#This Row],[city]]&lt;&gt;"",_xlfn.XLOOKUP($D1910,ccc[city],ccc[prov],"-"),"-")</f>
        <v/>
      </c>
      <c r="L1910" s="1395">
        <f>IF(raw[[#This Row],[city]]&lt;&gt;"",_xlfn.XLOOKUP($D1910,ccc[city],ccc[ctry],"-"),"-")</f>
        <v/>
      </c>
      <c r="M1910" s="1395">
        <f>IF(raw[[#This Row],[city]]&lt;&gt;"",_xlfn.XLOOKUP($D1910,ccc[city],ccc[cont],"-"),"-")</f>
        <v/>
      </c>
      <c r="N1910" s="1396">
        <f>IF(raw[[#This Row],[city]]="","-",IF(raw[[#This Row],[cont]]="B",raw[[#This Row],[cont]],"W"))</f>
        <v/>
      </c>
      <c r="O1910" s="1397">
        <f>IF(raw[[#This Row],[out]]=0,0,IF(raw[[#This Row],[out]]=raw[[#This Row],[in]],0.01,raw[[#This Row],[out]]-raw[[#This Row],[in]]))</f>
        <v/>
      </c>
      <c r="P1910" s="1397">
        <f>IF(raw[[#This Row],[in]]=0,0,MONTH(raw[[#This Row],[in]]))</f>
        <v/>
      </c>
      <c r="Q1910" s="1397">
        <f>IF(raw[[#This Row],[in]]=0,0,YEAR(raw[[#This Row],[in]]))</f>
        <v/>
      </c>
      <c r="R1910" s="1397">
        <f>INT(raw[[#This Row],[yr]]/10)*10</f>
        <v/>
      </c>
      <c r="S1910" s="1395">
        <f>IF(raw[[#This Row],[city]]="","-",IF(raw[[#This Row],[city]]&lt;&gt;_xlfn.XLOOKUP(raw[[#This Row],[home]],homes[home],homes[city],"-"),1,0))</f>
        <v/>
      </c>
      <c r="T1910" s="1398" t="inlineStr">
        <is>
          <t>.</t>
        </is>
      </c>
      <c r="U1910" s="1399">
        <f>IF(raw[[#This Row],[wb]]="w",raw[[#This Row],[stay]]+U1909,U1909)</f>
        <v/>
      </c>
      <c r="V1910" s="1400">
        <f>IF(raw[[#This Row],[out]]=0,V1909,(raw[[#This Row],[out]]-E$5))</f>
        <v/>
      </c>
      <c r="W1910" s="1401">
        <f>U1910/V1910</f>
        <v/>
      </c>
      <c r="X1910" s="1392" t="n"/>
      <c r="Y1910" s="1392" t="n"/>
      <c r="Z1910" s="1422" t="n"/>
      <c r="AA1910" s="1422" t="n"/>
      <c r="AB1910" s="1392" t="n"/>
      <c r="AC1910" s="1392" t="n"/>
      <c r="AD1910" s="1392" t="n"/>
      <c r="AE1910" s="1392" t="n"/>
      <c r="AF1910" s="1392" t="n"/>
      <c r="AG1910" s="1392" t="n"/>
      <c r="AH1910" s="1392" t="n"/>
      <c r="AI1910" s="1392" t="n"/>
      <c r="AJ1910" s="1392" t="n"/>
      <c r="AK1910" s="1392" t="n"/>
      <c r="AL1910" s="1392" t="n"/>
      <c r="AM1910" s="1392" t="n"/>
      <c r="AN1910" s="1392" t="n"/>
      <c r="AO1910" s="1392" t="n"/>
      <c r="AP1910" s="1392" t="n"/>
      <c r="AQ1910" s="1392" t="n"/>
      <c r="AR1910" s="1392" t="n"/>
      <c r="AS1910" s="1422" t="n"/>
      <c r="AT1910" s="1392" t="n"/>
      <c r="AU1910" s="1392" t="n"/>
      <c r="AV1910" s="1392" t="n"/>
      <c r="AW1910" s="1392" t="n"/>
      <c r="AX1910" s="1392" t="n"/>
      <c r="AY1910" s="1392" t="n"/>
      <c r="AZ1910" s="1392" t="n"/>
      <c r="BA1910" s="1392" t="n"/>
      <c r="BB1910" s="1422" t="n"/>
      <c r="BC1910" s="1392" t="n"/>
      <c r="BD1910" s="1392" t="n"/>
      <c r="BE1910" s="1392" t="n"/>
      <c r="BF1910" s="1392" t="n"/>
      <c r="BG1910" s="1392" t="n"/>
      <c r="BH1910" s="1392" t="n"/>
      <c r="BI1910" s="1392" t="n"/>
      <c r="BJ1910" s="1392" t="n"/>
      <c r="BK1910" s="1392" t="n"/>
      <c r="BL1910" s="1392" t="n"/>
      <c r="BM1910" s="1392" t="n"/>
      <c r="BN1910" s="1392" t="n"/>
      <c r="BO1910" s="1392" t="n"/>
      <c r="BP1910" s="1392" t="n"/>
      <c r="BQ1910" s="1392" t="n"/>
      <c r="BR1910" s="1392" t="n"/>
      <c r="BS1910" s="1392" t="n"/>
      <c r="BT1910" s="1392" t="n"/>
      <c r="BU1910" s="1416" t="n"/>
      <c r="BV1910" s="1392" t="n"/>
      <c r="BW1910" s="1392" t="n"/>
      <c r="BX1910" s="1392" t="n"/>
      <c r="BY1910" s="1392" t="n"/>
      <c r="BZ1910" s="1416" t="n"/>
      <c r="CA1910" s="1392" t="n"/>
      <c r="CB1910" s="1392" t="n"/>
      <c r="CC1910" s="1392" t="n"/>
      <c r="CD1910" s="1392" t="n"/>
      <c r="CE1910" s="1392" t="n"/>
      <c r="CF1910" s="1392" t="n"/>
      <c r="CG1910" s="1392" t="n"/>
      <c r="CH1910" s="1392" t="n"/>
      <c r="CI1910" s="1392" t="n"/>
      <c r="CJ1910" s="1392" t="n"/>
      <c r="CK1910" s="1392" t="n"/>
      <c r="CL1910" s="1392" t="n"/>
    </row>
    <row r="1911">
      <c r="A1911" s="5" t="inlineStr">
        <is>
          <t>.</t>
        </is>
      </c>
      <c r="B1911" s="5" t="inlineStr">
        <is>
          <t>.</t>
        </is>
      </c>
      <c r="C1911" s="1378">
        <f>IF(raw[[#This Row],[city]]="","-",IF(raw[[#This Row],[city]]="TODAY","-",C1910+1))</f>
        <v/>
      </c>
      <c r="D1911" s="1393" t="n"/>
      <c r="E1911" s="1394" t="n"/>
      <c r="F1911" s="1394" t="n"/>
      <c r="G1911" s="1393" t="n"/>
      <c r="H1911" s="1393" t="n"/>
      <c r="I1911" s="1393" t="n"/>
      <c r="J1911" s="1393" t="n"/>
      <c r="K1911" s="1395">
        <f>IF(raw[[#This Row],[city]]&lt;&gt;"",_xlfn.XLOOKUP($D1911,ccc[city],ccc[prov],"-"),"-")</f>
        <v/>
      </c>
      <c r="L1911" s="1395">
        <f>IF(raw[[#This Row],[city]]&lt;&gt;"",_xlfn.XLOOKUP($D1911,ccc[city],ccc[ctry],"-"),"-")</f>
        <v/>
      </c>
      <c r="M1911" s="1395">
        <f>IF(raw[[#This Row],[city]]&lt;&gt;"",_xlfn.XLOOKUP($D1911,ccc[city],ccc[cont],"-"),"-")</f>
        <v/>
      </c>
      <c r="N1911" s="1396">
        <f>IF(raw[[#This Row],[city]]="","-",IF(raw[[#This Row],[cont]]="B",raw[[#This Row],[cont]],"W"))</f>
        <v/>
      </c>
      <c r="O1911" s="1397">
        <f>IF(raw[[#This Row],[out]]=0,0,IF(raw[[#This Row],[out]]=raw[[#This Row],[in]],0.01,raw[[#This Row],[out]]-raw[[#This Row],[in]]))</f>
        <v/>
      </c>
      <c r="P1911" s="1397">
        <f>IF(raw[[#This Row],[in]]=0,0,MONTH(raw[[#This Row],[in]]))</f>
        <v/>
      </c>
      <c r="Q1911" s="1397">
        <f>IF(raw[[#This Row],[in]]=0,0,YEAR(raw[[#This Row],[in]]))</f>
        <v/>
      </c>
      <c r="R1911" s="1397">
        <f>INT(raw[[#This Row],[yr]]/10)*10</f>
        <v/>
      </c>
      <c r="S1911" s="1395">
        <f>IF(raw[[#This Row],[city]]="","-",IF(raw[[#This Row],[city]]&lt;&gt;_xlfn.XLOOKUP(raw[[#This Row],[home]],homes[home],homes[city],"-"),1,0))</f>
        <v/>
      </c>
      <c r="T1911" s="1398" t="inlineStr">
        <is>
          <t>.</t>
        </is>
      </c>
      <c r="U1911" s="1399">
        <f>IF(raw[[#This Row],[wb]]="w",raw[[#This Row],[stay]]+U1910,U1910)</f>
        <v/>
      </c>
      <c r="V1911" s="1400">
        <f>IF(raw[[#This Row],[out]]=0,V1910,(raw[[#This Row],[out]]-E$5))</f>
        <v/>
      </c>
      <c r="W1911" s="1401">
        <f>U1911/V1911</f>
        <v/>
      </c>
      <c r="X1911" s="1392" t="n"/>
      <c r="Y1911" s="1392" t="n"/>
      <c r="Z1911" s="1422" t="n"/>
      <c r="AA1911" s="1422" t="n"/>
      <c r="AB1911" s="1392" t="n"/>
      <c r="AC1911" s="1392" t="n"/>
      <c r="AD1911" s="1392" t="n"/>
      <c r="AE1911" s="1392" t="n"/>
      <c r="AF1911" s="1392" t="n"/>
      <c r="AG1911" s="1392" t="n"/>
      <c r="AH1911" s="1392" t="n"/>
      <c r="AI1911" s="1392" t="n"/>
      <c r="AJ1911" s="1392" t="n"/>
      <c r="AK1911" s="1392" t="n"/>
      <c r="AL1911" s="1392" t="n"/>
      <c r="AM1911" s="1392" t="n"/>
      <c r="AN1911" s="1392" t="n"/>
      <c r="AO1911" s="1392" t="n"/>
      <c r="AP1911" s="1392" t="n"/>
      <c r="AQ1911" s="1392" t="n"/>
      <c r="AR1911" s="1392" t="n"/>
      <c r="AS1911" s="1422" t="n"/>
      <c r="AT1911" s="1392" t="n"/>
      <c r="AU1911" s="1392" t="n"/>
      <c r="AV1911" s="1392" t="n"/>
      <c r="AW1911" s="1392" t="n"/>
      <c r="AX1911" s="1392" t="n"/>
      <c r="AY1911" s="1392" t="n"/>
      <c r="AZ1911" s="1392" t="n"/>
      <c r="BA1911" s="1392" t="n"/>
      <c r="BB1911" s="1422" t="n"/>
      <c r="BC1911" s="1392" t="n"/>
      <c r="BD1911" s="1392" t="n"/>
      <c r="BE1911" s="1392" t="n"/>
      <c r="BF1911" s="1392" t="n"/>
      <c r="BG1911" s="1392" t="n"/>
      <c r="BH1911" s="1392" t="n"/>
      <c r="BI1911" s="1392" t="n"/>
      <c r="BJ1911" s="1392" t="n"/>
      <c r="BK1911" s="1392" t="n"/>
      <c r="BL1911" s="1392" t="n"/>
      <c r="BM1911" s="1392" t="n"/>
      <c r="BN1911" s="1392" t="n"/>
      <c r="BO1911" s="1392" t="n"/>
      <c r="BP1911" s="1392" t="n"/>
      <c r="BQ1911" s="1392" t="n"/>
      <c r="BR1911" s="1392" t="n"/>
      <c r="BS1911" s="1392" t="n"/>
      <c r="BT1911" s="1392" t="n"/>
      <c r="BU1911" s="1416" t="n"/>
      <c r="BV1911" s="1392" t="n"/>
      <c r="BW1911" s="1392" t="n"/>
      <c r="BX1911" s="1392" t="n"/>
      <c r="BY1911" s="1392" t="n"/>
      <c r="BZ1911" s="1416" t="n"/>
      <c r="CA1911" s="1392" t="n"/>
      <c r="CB1911" s="1392" t="n"/>
      <c r="CC1911" s="1392" t="n"/>
      <c r="CD1911" s="1392" t="n"/>
      <c r="CE1911" s="1392" t="n"/>
      <c r="CF1911" s="1392" t="n"/>
      <c r="CG1911" s="1392" t="n"/>
      <c r="CH1911" s="1392" t="n"/>
      <c r="CI1911" s="1392" t="n"/>
      <c r="CJ1911" s="1392" t="n"/>
      <c r="CK1911" s="1392" t="n"/>
      <c r="CL1911" s="1392" t="n"/>
    </row>
    <row r="1912">
      <c r="A1912" s="5" t="inlineStr">
        <is>
          <t>.</t>
        </is>
      </c>
      <c r="B1912" s="5" t="inlineStr">
        <is>
          <t>.</t>
        </is>
      </c>
      <c r="C1912" s="1378">
        <f>IF(raw[[#This Row],[city]]="","-",IF(raw[[#This Row],[city]]="TODAY","-",C1911+1))</f>
        <v/>
      </c>
      <c r="D1912" s="1393" t="n"/>
      <c r="E1912" s="1394" t="n"/>
      <c r="F1912" s="1394" t="n"/>
      <c r="G1912" s="1393" t="n"/>
      <c r="H1912" s="1393" t="n"/>
      <c r="I1912" s="1393" t="n"/>
      <c r="J1912" s="1393" t="n"/>
      <c r="K1912" s="1395">
        <f>IF(raw[[#This Row],[city]]&lt;&gt;"",_xlfn.XLOOKUP($D1912,ccc[city],ccc[prov],"-"),"-")</f>
        <v/>
      </c>
      <c r="L1912" s="1395">
        <f>IF(raw[[#This Row],[city]]&lt;&gt;"",_xlfn.XLOOKUP($D1912,ccc[city],ccc[ctry],"-"),"-")</f>
        <v/>
      </c>
      <c r="M1912" s="1395">
        <f>IF(raw[[#This Row],[city]]&lt;&gt;"",_xlfn.XLOOKUP($D1912,ccc[city],ccc[cont],"-"),"-")</f>
        <v/>
      </c>
      <c r="N1912" s="1396">
        <f>IF(raw[[#This Row],[city]]="","-",IF(raw[[#This Row],[cont]]="B",raw[[#This Row],[cont]],"W"))</f>
        <v/>
      </c>
      <c r="O1912" s="1397">
        <f>IF(raw[[#This Row],[out]]=0,0,IF(raw[[#This Row],[out]]=raw[[#This Row],[in]],0.01,raw[[#This Row],[out]]-raw[[#This Row],[in]]))</f>
        <v/>
      </c>
      <c r="P1912" s="1397">
        <f>IF(raw[[#This Row],[in]]=0,0,MONTH(raw[[#This Row],[in]]))</f>
        <v/>
      </c>
      <c r="Q1912" s="1397">
        <f>IF(raw[[#This Row],[in]]=0,0,YEAR(raw[[#This Row],[in]]))</f>
        <v/>
      </c>
      <c r="R1912" s="1397">
        <f>INT(raw[[#This Row],[yr]]/10)*10</f>
        <v/>
      </c>
      <c r="S1912" s="1395">
        <f>IF(raw[[#This Row],[city]]="","-",IF(raw[[#This Row],[city]]&lt;&gt;_xlfn.XLOOKUP(raw[[#This Row],[home]],homes[home],homes[city],"-"),1,0))</f>
        <v/>
      </c>
      <c r="T1912" s="1398" t="inlineStr">
        <is>
          <t>.</t>
        </is>
      </c>
      <c r="U1912" s="1399">
        <f>IF(raw[[#This Row],[wb]]="w",raw[[#This Row],[stay]]+U1911,U1911)</f>
        <v/>
      </c>
      <c r="V1912" s="1400">
        <f>IF(raw[[#This Row],[out]]=0,V1911,(raw[[#This Row],[out]]-E$5))</f>
        <v/>
      </c>
      <c r="W1912" s="1401">
        <f>U1912/V1912</f>
        <v/>
      </c>
      <c r="X1912" s="1392" t="n"/>
      <c r="Y1912" s="1392" t="n"/>
      <c r="Z1912" s="1422" t="n"/>
      <c r="AA1912" s="1422" t="n"/>
      <c r="AB1912" s="1392" t="n"/>
      <c r="AC1912" s="1392" t="n"/>
      <c r="AD1912" s="1392" t="n"/>
      <c r="AE1912" s="1392" t="n"/>
      <c r="AF1912" s="1392" t="n"/>
      <c r="AG1912" s="1392" t="n"/>
      <c r="AH1912" s="1392" t="n"/>
      <c r="AI1912" s="1392" t="n"/>
      <c r="AJ1912" s="1392" t="n"/>
      <c r="AK1912" s="1392" t="n"/>
      <c r="AL1912" s="1392" t="n"/>
      <c r="AM1912" s="1392" t="n"/>
      <c r="AN1912" s="1392" t="n"/>
      <c r="AO1912" s="1392" t="n"/>
      <c r="AP1912" s="1392" t="n"/>
      <c r="AQ1912" s="1392" t="n"/>
      <c r="AR1912" s="1392" t="n"/>
      <c r="AS1912" s="1422" t="n"/>
      <c r="AT1912" s="1392" t="n"/>
      <c r="AU1912" s="1392" t="n"/>
      <c r="AV1912" s="1392" t="n"/>
      <c r="AW1912" s="1392" t="n"/>
      <c r="AX1912" s="1392" t="n"/>
      <c r="AY1912" s="1392" t="n"/>
      <c r="AZ1912" s="1392" t="n"/>
      <c r="BA1912" s="1392" t="n"/>
      <c r="BB1912" s="1422" t="n"/>
      <c r="BC1912" s="1392" t="n"/>
      <c r="BD1912" s="1392" t="n"/>
      <c r="BE1912" s="1392" t="n"/>
      <c r="BF1912" s="1392" t="n"/>
      <c r="BG1912" s="1392" t="n"/>
      <c r="BH1912" s="1392" t="n"/>
      <c r="BI1912" s="1392" t="n"/>
      <c r="BJ1912" s="1392" t="n"/>
      <c r="BK1912" s="1392" t="n"/>
      <c r="BL1912" s="1392" t="n"/>
      <c r="BM1912" s="1392" t="n"/>
      <c r="BN1912" s="1392" t="n"/>
      <c r="BO1912" s="1392" t="n"/>
      <c r="BP1912" s="1392" t="n"/>
      <c r="BQ1912" s="1392" t="n"/>
      <c r="BR1912" s="1392" t="n"/>
      <c r="BS1912" s="1392" t="n"/>
      <c r="BT1912" s="1392" t="n"/>
      <c r="BU1912" s="1416" t="n"/>
      <c r="BV1912" s="1392" t="n"/>
      <c r="BW1912" s="1392" t="n"/>
      <c r="BX1912" s="1392" t="n"/>
      <c r="BY1912" s="1392" t="n"/>
      <c r="BZ1912" s="1416" t="n"/>
      <c r="CA1912" s="1392" t="n"/>
      <c r="CB1912" s="1392" t="n"/>
      <c r="CC1912" s="1392" t="n"/>
      <c r="CD1912" s="1392" t="n"/>
      <c r="CE1912" s="1392" t="n"/>
      <c r="CF1912" s="1392" t="n"/>
      <c r="CG1912" s="1392" t="n"/>
      <c r="CH1912" s="1392" t="n"/>
      <c r="CI1912" s="1392" t="n"/>
      <c r="CJ1912" s="1392" t="n"/>
      <c r="CK1912" s="1392" t="n"/>
      <c r="CL1912" s="1392" t="n"/>
    </row>
    <row r="1913">
      <c r="A1913" s="5" t="inlineStr">
        <is>
          <t>.</t>
        </is>
      </c>
      <c r="B1913" s="5" t="inlineStr">
        <is>
          <t>.</t>
        </is>
      </c>
      <c r="C1913" s="1378">
        <f>IF(raw[[#This Row],[city]]="","-",IF(raw[[#This Row],[city]]="TODAY","-",C1912+1))</f>
        <v/>
      </c>
      <c r="D1913" s="1393" t="n"/>
      <c r="E1913" s="1394" t="n"/>
      <c r="F1913" s="1394" t="n"/>
      <c r="G1913" s="1393" t="n"/>
      <c r="H1913" s="1393" t="n"/>
      <c r="I1913" s="1393" t="n"/>
      <c r="J1913" s="1393" t="n"/>
      <c r="K1913" s="1395">
        <f>IF(raw[[#This Row],[city]]&lt;&gt;"",_xlfn.XLOOKUP($D1913,ccc[city],ccc[prov],"-"),"-")</f>
        <v/>
      </c>
      <c r="L1913" s="1395">
        <f>IF(raw[[#This Row],[city]]&lt;&gt;"",_xlfn.XLOOKUP($D1913,ccc[city],ccc[ctry],"-"),"-")</f>
        <v/>
      </c>
      <c r="M1913" s="1395">
        <f>IF(raw[[#This Row],[city]]&lt;&gt;"",_xlfn.XLOOKUP($D1913,ccc[city],ccc[cont],"-"),"-")</f>
        <v/>
      </c>
      <c r="N1913" s="1396">
        <f>IF(raw[[#This Row],[city]]="","-",IF(raw[[#This Row],[cont]]="B",raw[[#This Row],[cont]],"W"))</f>
        <v/>
      </c>
      <c r="O1913" s="1397">
        <f>IF(raw[[#This Row],[out]]=0,0,IF(raw[[#This Row],[out]]=raw[[#This Row],[in]],0.01,raw[[#This Row],[out]]-raw[[#This Row],[in]]))</f>
        <v/>
      </c>
      <c r="P1913" s="1397">
        <f>IF(raw[[#This Row],[in]]=0,0,MONTH(raw[[#This Row],[in]]))</f>
        <v/>
      </c>
      <c r="Q1913" s="1397">
        <f>IF(raw[[#This Row],[in]]=0,0,YEAR(raw[[#This Row],[in]]))</f>
        <v/>
      </c>
      <c r="R1913" s="1397">
        <f>INT(raw[[#This Row],[yr]]/10)*10</f>
        <v/>
      </c>
      <c r="S1913" s="1395">
        <f>IF(raw[[#This Row],[city]]="","-",IF(raw[[#This Row],[city]]&lt;&gt;_xlfn.XLOOKUP(raw[[#This Row],[home]],homes[home],homes[city],"-"),1,0))</f>
        <v/>
      </c>
      <c r="T1913" s="1398" t="inlineStr">
        <is>
          <t>.</t>
        </is>
      </c>
      <c r="U1913" s="1399">
        <f>IF(raw[[#This Row],[wb]]="w",raw[[#This Row],[stay]]+U1912,U1912)</f>
        <v/>
      </c>
      <c r="V1913" s="1400">
        <f>IF(raw[[#This Row],[out]]=0,V1912,(raw[[#This Row],[out]]-E$5))</f>
        <v/>
      </c>
      <c r="W1913" s="1401">
        <f>U1913/V1913</f>
        <v/>
      </c>
      <c r="X1913" s="1392" t="n"/>
      <c r="Y1913" s="1392" t="n"/>
      <c r="Z1913" s="1422" t="n"/>
      <c r="AA1913" s="1422" t="n"/>
      <c r="AB1913" s="1392" t="n"/>
      <c r="AC1913" s="1392" t="n"/>
      <c r="AD1913" s="1392" t="n"/>
      <c r="AE1913" s="1392" t="n"/>
      <c r="AF1913" s="1392" t="n"/>
      <c r="AG1913" s="1392" t="n"/>
      <c r="AH1913" s="1392" t="n"/>
      <c r="AI1913" s="1392" t="n"/>
      <c r="AJ1913" s="1392" t="n"/>
      <c r="AK1913" s="1392" t="n"/>
      <c r="AL1913" s="1392" t="n"/>
      <c r="AM1913" s="1392" t="n"/>
      <c r="AN1913" s="1392" t="n"/>
      <c r="AO1913" s="1392" t="n"/>
      <c r="AP1913" s="1392" t="n"/>
      <c r="AQ1913" s="1392" t="n"/>
      <c r="AR1913" s="1392" t="n"/>
      <c r="AS1913" s="1422" t="n"/>
      <c r="AT1913" s="1392" t="n"/>
      <c r="AU1913" s="1392" t="n"/>
      <c r="AV1913" s="1392" t="n"/>
      <c r="AW1913" s="1392" t="n"/>
      <c r="AX1913" s="1392" t="n"/>
      <c r="AY1913" s="1392" t="n"/>
      <c r="AZ1913" s="1392" t="n"/>
      <c r="BA1913" s="1392" t="n"/>
      <c r="BB1913" s="1422" t="n"/>
      <c r="BC1913" s="1392" t="n"/>
      <c r="BD1913" s="1392" t="n"/>
      <c r="BE1913" s="1392" t="n"/>
      <c r="BF1913" s="1392" t="n"/>
      <c r="BG1913" s="1392" t="n"/>
      <c r="BH1913" s="1392" t="n"/>
      <c r="BI1913" s="1392" t="n"/>
      <c r="BJ1913" s="1392" t="n"/>
      <c r="BK1913" s="1392" t="n"/>
      <c r="BL1913" s="1392" t="n"/>
      <c r="BM1913" s="1392" t="n"/>
      <c r="BN1913" s="1392" t="n"/>
      <c r="BO1913" s="1392" t="n"/>
      <c r="BP1913" s="1392" t="n"/>
      <c r="BQ1913" s="1392" t="n"/>
      <c r="BR1913" s="1392" t="n"/>
      <c r="BS1913" s="1392" t="n"/>
      <c r="BT1913" s="1392" t="n"/>
      <c r="BU1913" s="1416" t="n"/>
      <c r="BV1913" s="1392" t="n"/>
      <c r="BW1913" s="1392" t="n"/>
      <c r="BX1913" s="1392" t="n"/>
      <c r="BY1913" s="1392" t="n"/>
      <c r="BZ1913" s="1416" t="n"/>
      <c r="CA1913" s="1392" t="n"/>
      <c r="CB1913" s="1392" t="n"/>
      <c r="CC1913" s="1392" t="n"/>
      <c r="CD1913" s="1392" t="n"/>
      <c r="CE1913" s="1392" t="n"/>
      <c r="CF1913" s="1392" t="n"/>
      <c r="CG1913" s="1392" t="n"/>
      <c r="CH1913" s="1392" t="n"/>
      <c r="CI1913" s="1392" t="n"/>
      <c r="CJ1913" s="1392" t="n"/>
      <c r="CK1913" s="1392" t="n"/>
      <c r="CL1913" s="1392" t="n"/>
    </row>
    <row r="1914">
      <c r="A1914" s="5" t="inlineStr">
        <is>
          <t>.</t>
        </is>
      </c>
      <c r="B1914" s="5" t="inlineStr">
        <is>
          <t>.</t>
        </is>
      </c>
      <c r="C1914" s="1378">
        <f>IF(raw[[#This Row],[city]]="","-",IF(raw[[#This Row],[city]]="TODAY","-",C1913+1))</f>
        <v/>
      </c>
      <c r="D1914" s="1393" t="n"/>
      <c r="E1914" s="1394" t="n"/>
      <c r="F1914" s="1394" t="n"/>
      <c r="G1914" s="1393" t="n"/>
      <c r="H1914" s="1393" t="n"/>
      <c r="I1914" s="1393" t="n"/>
      <c r="J1914" s="1393" t="n"/>
      <c r="K1914" s="1395">
        <f>IF(raw[[#This Row],[city]]&lt;&gt;"",_xlfn.XLOOKUP($D1914,ccc[city],ccc[prov],"-"),"-")</f>
        <v/>
      </c>
      <c r="L1914" s="1395">
        <f>IF(raw[[#This Row],[city]]&lt;&gt;"",_xlfn.XLOOKUP($D1914,ccc[city],ccc[ctry],"-"),"-")</f>
        <v/>
      </c>
      <c r="M1914" s="1395">
        <f>IF(raw[[#This Row],[city]]&lt;&gt;"",_xlfn.XLOOKUP($D1914,ccc[city],ccc[cont],"-"),"-")</f>
        <v/>
      </c>
      <c r="N1914" s="1396">
        <f>IF(raw[[#This Row],[city]]="","-",IF(raw[[#This Row],[cont]]="B",raw[[#This Row],[cont]],"W"))</f>
        <v/>
      </c>
      <c r="O1914" s="1397">
        <f>IF(raw[[#This Row],[out]]=0,0,IF(raw[[#This Row],[out]]=raw[[#This Row],[in]],0.01,raw[[#This Row],[out]]-raw[[#This Row],[in]]))</f>
        <v/>
      </c>
      <c r="P1914" s="1397">
        <f>IF(raw[[#This Row],[in]]=0,0,MONTH(raw[[#This Row],[in]]))</f>
        <v/>
      </c>
      <c r="Q1914" s="1397">
        <f>IF(raw[[#This Row],[in]]=0,0,YEAR(raw[[#This Row],[in]]))</f>
        <v/>
      </c>
      <c r="R1914" s="1397">
        <f>INT(raw[[#This Row],[yr]]/10)*10</f>
        <v/>
      </c>
      <c r="S1914" s="1395">
        <f>IF(raw[[#This Row],[city]]="","-",IF(raw[[#This Row],[city]]&lt;&gt;_xlfn.XLOOKUP(raw[[#This Row],[home]],homes[home],homes[city],"-"),1,0))</f>
        <v/>
      </c>
      <c r="T1914" s="1398" t="inlineStr">
        <is>
          <t>.</t>
        </is>
      </c>
      <c r="U1914" s="1399">
        <f>IF(raw[[#This Row],[wb]]="w",raw[[#This Row],[stay]]+U1913,U1913)</f>
        <v/>
      </c>
      <c r="V1914" s="1400">
        <f>IF(raw[[#This Row],[out]]=0,V1913,(raw[[#This Row],[out]]-E$5))</f>
        <v/>
      </c>
      <c r="W1914" s="1401">
        <f>U1914/V1914</f>
        <v/>
      </c>
      <c r="X1914" s="1392" t="n"/>
      <c r="Y1914" s="1392" t="n"/>
      <c r="Z1914" s="1422" t="n"/>
      <c r="AA1914" s="1422" t="n"/>
      <c r="AB1914" s="1392" t="n"/>
      <c r="AC1914" s="1392" t="n"/>
      <c r="AD1914" s="1392" t="n"/>
      <c r="AE1914" s="1392" t="n"/>
      <c r="AF1914" s="1392" t="n"/>
      <c r="AG1914" s="1392" t="n"/>
      <c r="AH1914" s="1392" t="n"/>
      <c r="AI1914" s="1392" t="n"/>
      <c r="AJ1914" s="1392" t="n"/>
      <c r="AK1914" s="1392" t="n"/>
      <c r="AL1914" s="1392" t="n"/>
      <c r="AM1914" s="1392" t="n"/>
      <c r="AN1914" s="1392" t="n"/>
      <c r="AO1914" s="1392" t="n"/>
      <c r="AP1914" s="1392" t="n"/>
      <c r="AQ1914" s="1392" t="n"/>
      <c r="AR1914" s="1392" t="n"/>
      <c r="AS1914" s="1422" t="n"/>
      <c r="AT1914" s="1392" t="n"/>
      <c r="AU1914" s="1392" t="n"/>
      <c r="AV1914" s="1392" t="n"/>
      <c r="AW1914" s="1392" t="n"/>
      <c r="AX1914" s="1392" t="n"/>
      <c r="AY1914" s="1392" t="n"/>
      <c r="AZ1914" s="1392" t="n"/>
      <c r="BA1914" s="1392" t="n"/>
      <c r="BB1914" s="1422" t="n"/>
      <c r="BC1914" s="1392" t="n"/>
      <c r="BD1914" s="1392" t="n"/>
      <c r="BE1914" s="1392" t="n"/>
      <c r="BF1914" s="1392" t="n"/>
      <c r="BG1914" s="1392" t="n"/>
      <c r="BH1914" s="1392" t="n"/>
      <c r="BI1914" s="1392" t="n"/>
      <c r="BJ1914" s="1392" t="n"/>
      <c r="BK1914" s="1392" t="n"/>
      <c r="BL1914" s="1392" t="n"/>
      <c r="BM1914" s="1392" t="n"/>
      <c r="BN1914" s="1392" t="n"/>
      <c r="BO1914" s="1392" t="n"/>
      <c r="BP1914" s="1392" t="n"/>
      <c r="BQ1914" s="1392" t="n"/>
      <c r="BR1914" s="1392" t="n"/>
      <c r="BS1914" s="1392" t="n"/>
      <c r="BT1914" s="1392" t="n"/>
      <c r="BU1914" s="1416" t="n"/>
      <c r="BV1914" s="1392" t="n"/>
      <c r="BW1914" s="1392" t="n"/>
      <c r="BX1914" s="1392" t="n"/>
      <c r="BY1914" s="1392" t="n"/>
      <c r="BZ1914" s="1416" t="n"/>
      <c r="CA1914" s="1392" t="n"/>
      <c r="CB1914" s="1392" t="n"/>
      <c r="CC1914" s="1392" t="n"/>
      <c r="CD1914" s="1392" t="n"/>
      <c r="CE1914" s="1392" t="n"/>
      <c r="CF1914" s="1392" t="n"/>
      <c r="CG1914" s="1392" t="n"/>
      <c r="CH1914" s="1392" t="n"/>
      <c r="CI1914" s="1392" t="n"/>
      <c r="CJ1914" s="1392" t="n"/>
      <c r="CK1914" s="1392" t="n"/>
      <c r="CL1914" s="1392" t="n"/>
    </row>
    <row r="1915">
      <c r="A1915" s="5" t="inlineStr">
        <is>
          <t>.</t>
        </is>
      </c>
      <c r="B1915" s="5" t="inlineStr">
        <is>
          <t>.</t>
        </is>
      </c>
      <c r="C1915" s="1378">
        <f>IF(raw[[#This Row],[city]]="","-",IF(raw[[#This Row],[city]]="TODAY","-",C1914+1))</f>
        <v/>
      </c>
      <c r="D1915" s="1393" t="n"/>
      <c r="E1915" s="1394" t="n"/>
      <c r="F1915" s="1394" t="n"/>
      <c r="G1915" s="1393" t="n"/>
      <c r="H1915" s="1393" t="n"/>
      <c r="I1915" s="1393" t="n"/>
      <c r="J1915" s="1393" t="n"/>
      <c r="K1915" s="1395">
        <f>IF(raw[[#This Row],[city]]&lt;&gt;"",_xlfn.XLOOKUP($D1915,ccc[city],ccc[prov],"-"),"-")</f>
        <v/>
      </c>
      <c r="L1915" s="1395">
        <f>IF(raw[[#This Row],[city]]&lt;&gt;"",_xlfn.XLOOKUP($D1915,ccc[city],ccc[ctry],"-"),"-")</f>
        <v/>
      </c>
      <c r="M1915" s="1395">
        <f>IF(raw[[#This Row],[city]]&lt;&gt;"",_xlfn.XLOOKUP($D1915,ccc[city],ccc[cont],"-"),"-")</f>
        <v/>
      </c>
      <c r="N1915" s="1396">
        <f>IF(raw[[#This Row],[city]]="","-",IF(raw[[#This Row],[cont]]="B",raw[[#This Row],[cont]],"W"))</f>
        <v/>
      </c>
      <c r="O1915" s="1397">
        <f>IF(raw[[#This Row],[out]]=0,0,IF(raw[[#This Row],[out]]=raw[[#This Row],[in]],0.01,raw[[#This Row],[out]]-raw[[#This Row],[in]]))</f>
        <v/>
      </c>
      <c r="P1915" s="1397">
        <f>IF(raw[[#This Row],[in]]=0,0,MONTH(raw[[#This Row],[in]]))</f>
        <v/>
      </c>
      <c r="Q1915" s="1397">
        <f>IF(raw[[#This Row],[in]]=0,0,YEAR(raw[[#This Row],[in]]))</f>
        <v/>
      </c>
      <c r="R1915" s="1397">
        <f>INT(raw[[#This Row],[yr]]/10)*10</f>
        <v/>
      </c>
      <c r="S1915" s="1395">
        <f>IF(raw[[#This Row],[city]]="","-",IF(raw[[#This Row],[city]]&lt;&gt;_xlfn.XLOOKUP(raw[[#This Row],[home]],homes[home],homes[city],"-"),1,0))</f>
        <v/>
      </c>
      <c r="T1915" s="1398" t="inlineStr">
        <is>
          <t>.</t>
        </is>
      </c>
      <c r="U1915" s="1399">
        <f>IF(raw[[#This Row],[wb]]="w",raw[[#This Row],[stay]]+U1914,U1914)</f>
        <v/>
      </c>
      <c r="V1915" s="1400">
        <f>IF(raw[[#This Row],[out]]=0,V1914,(raw[[#This Row],[out]]-E$5))</f>
        <v/>
      </c>
      <c r="W1915" s="1401">
        <f>U1915/V1915</f>
        <v/>
      </c>
      <c r="X1915" s="1392" t="n"/>
      <c r="Y1915" s="1392" t="n"/>
      <c r="Z1915" s="1422" t="n"/>
      <c r="AA1915" s="1422" t="n"/>
      <c r="AB1915" s="1392" t="n"/>
      <c r="AC1915" s="1392" t="n"/>
      <c r="AD1915" s="1392" t="n"/>
      <c r="AE1915" s="1392" t="n"/>
      <c r="AF1915" s="1392" t="n"/>
      <c r="AG1915" s="1392" t="n"/>
      <c r="AH1915" s="1392" t="n"/>
      <c r="AI1915" s="1392" t="n"/>
      <c r="AJ1915" s="1392" t="n"/>
      <c r="AK1915" s="1392" t="n"/>
      <c r="AL1915" s="1392" t="n"/>
      <c r="AM1915" s="1392" t="n"/>
      <c r="AN1915" s="1392" t="n"/>
      <c r="AO1915" s="1392" t="n"/>
      <c r="AP1915" s="1392" t="n"/>
      <c r="AQ1915" s="1392" t="n"/>
      <c r="AR1915" s="1392" t="n"/>
      <c r="AS1915" s="1422" t="n"/>
      <c r="AT1915" s="1392" t="n"/>
      <c r="AU1915" s="1392" t="n"/>
      <c r="AV1915" s="1392" t="n"/>
      <c r="AW1915" s="1392" t="n"/>
      <c r="AX1915" s="1392" t="n"/>
      <c r="AY1915" s="1392" t="n"/>
      <c r="AZ1915" s="1392" t="n"/>
      <c r="BA1915" s="1392" t="n"/>
      <c r="BB1915" s="1422" t="n"/>
      <c r="BC1915" s="1392" t="n"/>
      <c r="BD1915" s="1392" t="n"/>
      <c r="BE1915" s="1392" t="n"/>
      <c r="BF1915" s="1392" t="n"/>
      <c r="BG1915" s="1392" t="n"/>
      <c r="BH1915" s="1392" t="n"/>
      <c r="BI1915" s="1392" t="n"/>
      <c r="BJ1915" s="1392" t="n"/>
      <c r="BK1915" s="1392" t="n"/>
      <c r="BL1915" s="1392" t="n"/>
      <c r="BM1915" s="1392" t="n"/>
      <c r="BN1915" s="1392" t="n"/>
      <c r="BO1915" s="1392" t="n"/>
      <c r="BP1915" s="1392" t="n"/>
      <c r="BQ1915" s="1392" t="n"/>
      <c r="BR1915" s="1392" t="n"/>
      <c r="BS1915" s="1392" t="n"/>
      <c r="BT1915" s="1392" t="n"/>
      <c r="BU1915" s="1416" t="n"/>
      <c r="BV1915" s="1392" t="n"/>
      <c r="BW1915" s="1392" t="n"/>
      <c r="BX1915" s="1392" t="n"/>
      <c r="BY1915" s="1392" t="n"/>
      <c r="BZ1915" s="1416" t="n"/>
      <c r="CA1915" s="1392" t="n"/>
      <c r="CB1915" s="1392" t="n"/>
      <c r="CC1915" s="1392" t="n"/>
      <c r="CD1915" s="1392" t="n"/>
      <c r="CE1915" s="1392" t="n"/>
      <c r="CF1915" s="1392" t="n"/>
      <c r="CG1915" s="1392" t="n"/>
      <c r="CH1915" s="1392" t="n"/>
      <c r="CI1915" s="1392" t="n"/>
      <c r="CJ1915" s="1392" t="n"/>
      <c r="CK1915" s="1392" t="n"/>
      <c r="CL1915" s="1392" t="n"/>
    </row>
    <row r="1916">
      <c r="A1916" s="5" t="inlineStr">
        <is>
          <t>.</t>
        </is>
      </c>
      <c r="B1916" s="5" t="inlineStr">
        <is>
          <t>.</t>
        </is>
      </c>
      <c r="C1916" s="1378">
        <f>IF(raw[[#This Row],[city]]="","-",IF(raw[[#This Row],[city]]="TODAY","-",C1915+1))</f>
        <v/>
      </c>
      <c r="D1916" s="1393" t="n"/>
      <c r="E1916" s="1394" t="n"/>
      <c r="F1916" s="1394" t="n"/>
      <c r="G1916" s="1393" t="n"/>
      <c r="H1916" s="1393" t="n"/>
      <c r="I1916" s="1393" t="n"/>
      <c r="J1916" s="1393" t="n"/>
      <c r="K1916" s="1395">
        <f>IF(raw[[#This Row],[city]]&lt;&gt;"",_xlfn.XLOOKUP($D1916,ccc[city],ccc[prov],"-"),"-")</f>
        <v/>
      </c>
      <c r="L1916" s="1395">
        <f>IF(raw[[#This Row],[city]]&lt;&gt;"",_xlfn.XLOOKUP($D1916,ccc[city],ccc[ctry],"-"),"-")</f>
        <v/>
      </c>
      <c r="M1916" s="1395">
        <f>IF(raw[[#This Row],[city]]&lt;&gt;"",_xlfn.XLOOKUP($D1916,ccc[city],ccc[cont],"-"),"-")</f>
        <v/>
      </c>
      <c r="N1916" s="1396">
        <f>IF(raw[[#This Row],[city]]="","-",IF(raw[[#This Row],[cont]]="B",raw[[#This Row],[cont]],"W"))</f>
        <v/>
      </c>
      <c r="O1916" s="1397">
        <f>IF(raw[[#This Row],[out]]=0,0,IF(raw[[#This Row],[out]]=raw[[#This Row],[in]],0.01,raw[[#This Row],[out]]-raw[[#This Row],[in]]))</f>
        <v/>
      </c>
      <c r="P1916" s="1397">
        <f>IF(raw[[#This Row],[in]]=0,0,MONTH(raw[[#This Row],[in]]))</f>
        <v/>
      </c>
      <c r="Q1916" s="1397">
        <f>IF(raw[[#This Row],[in]]=0,0,YEAR(raw[[#This Row],[in]]))</f>
        <v/>
      </c>
      <c r="R1916" s="1397">
        <f>INT(raw[[#This Row],[yr]]/10)*10</f>
        <v/>
      </c>
      <c r="S1916" s="1395">
        <f>IF(raw[[#This Row],[city]]="","-",IF(raw[[#This Row],[city]]&lt;&gt;_xlfn.XLOOKUP(raw[[#This Row],[home]],homes[home],homes[city],"-"),1,0))</f>
        <v/>
      </c>
      <c r="T1916" s="1398" t="inlineStr">
        <is>
          <t>.</t>
        </is>
      </c>
      <c r="U1916" s="1399">
        <f>IF(raw[[#This Row],[wb]]="w",raw[[#This Row],[stay]]+U1915,U1915)</f>
        <v/>
      </c>
      <c r="V1916" s="1400">
        <f>IF(raw[[#This Row],[out]]=0,V1915,(raw[[#This Row],[out]]-E$5))</f>
        <v/>
      </c>
      <c r="W1916" s="1401">
        <f>U1916/V1916</f>
        <v/>
      </c>
      <c r="X1916" s="1392" t="n"/>
      <c r="Y1916" s="1392" t="n"/>
      <c r="Z1916" s="1422" t="n"/>
      <c r="AA1916" s="1422" t="n"/>
      <c r="AB1916" s="1392" t="n"/>
      <c r="AC1916" s="1392" t="n"/>
      <c r="AD1916" s="1392" t="n"/>
      <c r="AE1916" s="1392" t="n"/>
      <c r="AF1916" s="1392" t="n"/>
      <c r="AG1916" s="1392" t="n"/>
      <c r="AH1916" s="1392" t="n"/>
      <c r="AI1916" s="1392" t="n"/>
      <c r="AJ1916" s="1392" t="n"/>
      <c r="AK1916" s="1392" t="n"/>
      <c r="AL1916" s="1392" t="n"/>
      <c r="AM1916" s="1392" t="n"/>
      <c r="AN1916" s="1392" t="n"/>
      <c r="AO1916" s="1392" t="n"/>
      <c r="AP1916" s="1392" t="n"/>
      <c r="AQ1916" s="1392" t="n"/>
      <c r="AR1916" s="1392" t="n"/>
      <c r="AS1916" s="1422" t="n"/>
      <c r="AT1916" s="1392" t="n"/>
      <c r="AU1916" s="1392" t="n"/>
      <c r="AV1916" s="1392" t="n"/>
      <c r="AW1916" s="1392" t="n"/>
      <c r="AX1916" s="1392" t="n"/>
      <c r="AY1916" s="1392" t="n"/>
      <c r="AZ1916" s="1392" t="n"/>
      <c r="BA1916" s="1392" t="n"/>
      <c r="BB1916" s="1422" t="n"/>
      <c r="BC1916" s="1392" t="n"/>
      <c r="BD1916" s="1392" t="n"/>
      <c r="BE1916" s="1392" t="n"/>
      <c r="BF1916" s="1392" t="n"/>
      <c r="BG1916" s="1392" t="n"/>
      <c r="BH1916" s="1392" t="n"/>
      <c r="BI1916" s="1392" t="n"/>
      <c r="BJ1916" s="1392" t="n"/>
      <c r="BK1916" s="1392" t="n"/>
      <c r="BL1916" s="1392" t="n"/>
      <c r="BM1916" s="1392" t="n"/>
      <c r="BN1916" s="1392" t="n"/>
      <c r="BO1916" s="1392" t="n"/>
      <c r="BP1916" s="1392" t="n"/>
      <c r="BQ1916" s="1392" t="n"/>
      <c r="BR1916" s="1392" t="n"/>
      <c r="BS1916" s="1392" t="n"/>
      <c r="BT1916" s="1392" t="n"/>
      <c r="BU1916" s="1416" t="n"/>
      <c r="BV1916" s="1392" t="n"/>
      <c r="BW1916" s="1392" t="n"/>
      <c r="BX1916" s="1392" t="n"/>
      <c r="BY1916" s="1392" t="n"/>
      <c r="BZ1916" s="1416" t="n"/>
      <c r="CA1916" s="1392" t="n"/>
      <c r="CB1916" s="1392" t="n"/>
      <c r="CC1916" s="1392" t="n"/>
      <c r="CD1916" s="1392" t="n"/>
      <c r="CE1916" s="1392" t="n"/>
      <c r="CF1916" s="1392" t="n"/>
      <c r="CG1916" s="1392" t="n"/>
      <c r="CH1916" s="1392" t="n"/>
      <c r="CI1916" s="1392" t="n"/>
      <c r="CJ1916" s="1392" t="n"/>
      <c r="CK1916" s="1392" t="n"/>
      <c r="CL1916" s="1392" t="n"/>
    </row>
    <row r="1917">
      <c r="A1917" s="5" t="inlineStr">
        <is>
          <t>.</t>
        </is>
      </c>
      <c r="B1917" s="5" t="inlineStr">
        <is>
          <t>.</t>
        </is>
      </c>
      <c r="C1917" s="1378">
        <f>IF(raw[[#This Row],[city]]="","-",IF(raw[[#This Row],[city]]="TODAY","-",C1916+1))</f>
        <v/>
      </c>
      <c r="D1917" s="1393" t="n"/>
      <c r="E1917" s="1394" t="n"/>
      <c r="F1917" s="1394" t="n"/>
      <c r="G1917" s="1393" t="n"/>
      <c r="H1917" s="1393" t="n"/>
      <c r="I1917" s="1393" t="n"/>
      <c r="J1917" s="1393" t="n"/>
      <c r="K1917" s="1395">
        <f>IF(raw[[#This Row],[city]]&lt;&gt;"",_xlfn.XLOOKUP($D1917,ccc[city],ccc[prov],"-"),"-")</f>
        <v/>
      </c>
      <c r="L1917" s="1395">
        <f>IF(raw[[#This Row],[city]]&lt;&gt;"",_xlfn.XLOOKUP($D1917,ccc[city],ccc[ctry],"-"),"-")</f>
        <v/>
      </c>
      <c r="M1917" s="1395">
        <f>IF(raw[[#This Row],[city]]&lt;&gt;"",_xlfn.XLOOKUP($D1917,ccc[city],ccc[cont],"-"),"-")</f>
        <v/>
      </c>
      <c r="N1917" s="1396">
        <f>IF(raw[[#This Row],[city]]="","-",IF(raw[[#This Row],[cont]]="B",raw[[#This Row],[cont]],"W"))</f>
        <v/>
      </c>
      <c r="O1917" s="1397">
        <f>IF(raw[[#This Row],[out]]=0,0,IF(raw[[#This Row],[out]]=raw[[#This Row],[in]],0.01,raw[[#This Row],[out]]-raw[[#This Row],[in]]))</f>
        <v/>
      </c>
      <c r="P1917" s="1397">
        <f>IF(raw[[#This Row],[in]]=0,0,MONTH(raw[[#This Row],[in]]))</f>
        <v/>
      </c>
      <c r="Q1917" s="1397">
        <f>IF(raw[[#This Row],[in]]=0,0,YEAR(raw[[#This Row],[in]]))</f>
        <v/>
      </c>
      <c r="R1917" s="1397">
        <f>INT(raw[[#This Row],[yr]]/10)*10</f>
        <v/>
      </c>
      <c r="S1917" s="1395">
        <f>IF(raw[[#This Row],[city]]="","-",IF(raw[[#This Row],[city]]&lt;&gt;_xlfn.XLOOKUP(raw[[#This Row],[home]],homes[home],homes[city],"-"),1,0))</f>
        <v/>
      </c>
      <c r="T1917" s="1398" t="inlineStr">
        <is>
          <t>.</t>
        </is>
      </c>
      <c r="U1917" s="1399">
        <f>IF(raw[[#This Row],[wb]]="w",raw[[#This Row],[stay]]+U1916,U1916)</f>
        <v/>
      </c>
      <c r="V1917" s="1400">
        <f>IF(raw[[#This Row],[out]]=0,V1916,(raw[[#This Row],[out]]-E$5))</f>
        <v/>
      </c>
      <c r="W1917" s="1401">
        <f>U1917/V1917</f>
        <v/>
      </c>
      <c r="X1917" s="1392" t="n"/>
      <c r="Y1917" s="1392" t="n"/>
      <c r="Z1917" s="1422" t="n"/>
      <c r="AA1917" s="1422" t="n"/>
      <c r="AB1917" s="1392" t="n"/>
      <c r="AC1917" s="1392" t="n"/>
      <c r="AD1917" s="1392" t="n"/>
      <c r="AE1917" s="1392" t="n"/>
      <c r="AF1917" s="1392" t="n"/>
      <c r="AG1917" s="1392" t="n"/>
      <c r="AH1917" s="1392" t="n"/>
      <c r="AI1917" s="1392" t="n"/>
      <c r="AJ1917" s="1392" t="n"/>
      <c r="AK1917" s="1392" t="n"/>
      <c r="AL1917" s="1392" t="n"/>
      <c r="AM1917" s="1392" t="n"/>
      <c r="AN1917" s="1392" t="n"/>
      <c r="AO1917" s="1392" t="n"/>
      <c r="AP1917" s="1392" t="n"/>
      <c r="AQ1917" s="1392" t="n"/>
      <c r="AR1917" s="1392" t="n"/>
      <c r="AS1917" s="1422" t="n"/>
      <c r="AT1917" s="1392" t="n"/>
      <c r="AU1917" s="1392" t="n"/>
      <c r="AV1917" s="1392" t="n"/>
      <c r="AW1917" s="1392" t="n"/>
      <c r="AX1917" s="1392" t="n"/>
      <c r="AY1917" s="1392" t="n"/>
      <c r="AZ1917" s="1392" t="n"/>
      <c r="BA1917" s="1392" t="n"/>
      <c r="BB1917" s="1422" t="n"/>
      <c r="BC1917" s="1392" t="n"/>
      <c r="BD1917" s="1392" t="n"/>
      <c r="BE1917" s="1392" t="n"/>
      <c r="BF1917" s="1392" t="n"/>
      <c r="BG1917" s="1392" t="n"/>
      <c r="BH1917" s="1392" t="n"/>
      <c r="BI1917" s="1392" t="n"/>
      <c r="BJ1917" s="1392" t="n"/>
      <c r="BK1917" s="1392" t="n"/>
      <c r="BL1917" s="1392" t="n"/>
      <c r="BM1917" s="1392" t="n"/>
      <c r="BN1917" s="1392" t="n"/>
      <c r="BO1917" s="1392" t="n"/>
      <c r="BP1917" s="1392" t="n"/>
      <c r="BQ1917" s="1392" t="n"/>
      <c r="BR1917" s="1392" t="n"/>
      <c r="BS1917" s="1392" t="n"/>
      <c r="BT1917" s="1392" t="n"/>
      <c r="BU1917" s="1416" t="n"/>
      <c r="BV1917" s="1392" t="n"/>
      <c r="BW1917" s="1392" t="n"/>
      <c r="BX1917" s="1392" t="n"/>
      <c r="BY1917" s="1392" t="n"/>
      <c r="BZ1917" s="1416" t="n"/>
      <c r="CA1917" s="1392" t="n"/>
      <c r="CB1917" s="1392" t="n"/>
      <c r="CC1917" s="1392" t="n"/>
      <c r="CD1917" s="1392" t="n"/>
      <c r="CE1917" s="1392" t="n"/>
      <c r="CF1917" s="1392" t="n"/>
      <c r="CG1917" s="1392" t="n"/>
      <c r="CH1917" s="1392" t="n"/>
      <c r="CI1917" s="1392" t="n"/>
      <c r="CJ1917" s="1392" t="n"/>
      <c r="CK1917" s="1392" t="n"/>
      <c r="CL1917" s="1392" t="n"/>
    </row>
    <row r="1918">
      <c r="A1918" s="5" t="inlineStr">
        <is>
          <t>.</t>
        </is>
      </c>
      <c r="B1918" s="5" t="inlineStr">
        <is>
          <t>.</t>
        </is>
      </c>
      <c r="C1918" s="1378">
        <f>IF(raw[[#This Row],[city]]="","-",IF(raw[[#This Row],[city]]="TODAY","-",C1917+1))</f>
        <v/>
      </c>
      <c r="D1918" s="1393" t="n"/>
      <c r="E1918" s="1394" t="n"/>
      <c r="F1918" s="1394" t="n"/>
      <c r="G1918" s="1393" t="n"/>
      <c r="H1918" s="1393" t="n"/>
      <c r="I1918" s="1393" t="n"/>
      <c r="J1918" s="1393" t="n"/>
      <c r="K1918" s="1395">
        <f>IF(raw[[#This Row],[city]]&lt;&gt;"",_xlfn.XLOOKUP($D1918,ccc[city],ccc[prov],"-"),"-")</f>
        <v/>
      </c>
      <c r="L1918" s="1395">
        <f>IF(raw[[#This Row],[city]]&lt;&gt;"",_xlfn.XLOOKUP($D1918,ccc[city],ccc[ctry],"-"),"-")</f>
        <v/>
      </c>
      <c r="M1918" s="1395">
        <f>IF(raw[[#This Row],[city]]&lt;&gt;"",_xlfn.XLOOKUP($D1918,ccc[city],ccc[cont],"-"),"-")</f>
        <v/>
      </c>
      <c r="N1918" s="1396">
        <f>IF(raw[[#This Row],[city]]="","-",IF(raw[[#This Row],[cont]]="B",raw[[#This Row],[cont]],"W"))</f>
        <v/>
      </c>
      <c r="O1918" s="1397">
        <f>IF(raw[[#This Row],[out]]=0,0,IF(raw[[#This Row],[out]]=raw[[#This Row],[in]],0.01,raw[[#This Row],[out]]-raw[[#This Row],[in]]))</f>
        <v/>
      </c>
      <c r="P1918" s="1397">
        <f>IF(raw[[#This Row],[in]]=0,0,MONTH(raw[[#This Row],[in]]))</f>
        <v/>
      </c>
      <c r="Q1918" s="1397">
        <f>IF(raw[[#This Row],[in]]=0,0,YEAR(raw[[#This Row],[in]]))</f>
        <v/>
      </c>
      <c r="R1918" s="1397">
        <f>INT(raw[[#This Row],[yr]]/10)*10</f>
        <v/>
      </c>
      <c r="S1918" s="1395">
        <f>IF(raw[[#This Row],[city]]="","-",IF(raw[[#This Row],[city]]&lt;&gt;_xlfn.XLOOKUP(raw[[#This Row],[home]],homes[home],homes[city],"-"),1,0))</f>
        <v/>
      </c>
      <c r="T1918" s="1398" t="inlineStr">
        <is>
          <t>.</t>
        </is>
      </c>
      <c r="U1918" s="1399">
        <f>IF(raw[[#This Row],[wb]]="w",raw[[#This Row],[stay]]+U1917,U1917)</f>
        <v/>
      </c>
      <c r="V1918" s="1400">
        <f>IF(raw[[#This Row],[out]]=0,V1917,(raw[[#This Row],[out]]-E$5))</f>
        <v/>
      </c>
      <c r="W1918" s="1401">
        <f>U1918/V1918</f>
        <v/>
      </c>
      <c r="X1918" s="1392" t="n"/>
      <c r="Y1918" s="1392" t="n"/>
      <c r="Z1918" s="1422" t="n"/>
      <c r="AA1918" s="1422" t="n"/>
      <c r="AB1918" s="1392" t="n"/>
      <c r="AC1918" s="1392" t="n"/>
      <c r="AD1918" s="1392" t="n"/>
      <c r="AE1918" s="1392" t="n"/>
      <c r="AF1918" s="1392" t="n"/>
      <c r="AG1918" s="1392" t="n"/>
      <c r="AH1918" s="1392" t="n"/>
      <c r="AI1918" s="1392" t="n"/>
      <c r="AJ1918" s="1392" t="n"/>
      <c r="AK1918" s="1392" t="n"/>
      <c r="AL1918" s="1392" t="n"/>
      <c r="AM1918" s="1392" t="n"/>
      <c r="AN1918" s="1392" t="n"/>
      <c r="AO1918" s="1392" t="n"/>
      <c r="AP1918" s="1392" t="n"/>
      <c r="AQ1918" s="1392" t="n"/>
      <c r="AR1918" s="1392" t="n"/>
      <c r="AS1918" s="1422" t="n"/>
      <c r="AT1918" s="1392" t="n"/>
      <c r="AU1918" s="1392" t="n"/>
      <c r="AV1918" s="1392" t="n"/>
      <c r="AW1918" s="1392" t="n"/>
      <c r="AX1918" s="1392" t="n"/>
      <c r="AY1918" s="1392" t="n"/>
      <c r="AZ1918" s="1392" t="n"/>
      <c r="BA1918" s="1392" t="n"/>
      <c r="BB1918" s="1422" t="n"/>
      <c r="BC1918" s="1392" t="n"/>
      <c r="BD1918" s="1392" t="n"/>
      <c r="BE1918" s="1392" t="n"/>
      <c r="BF1918" s="1392" t="n"/>
      <c r="BG1918" s="1392" t="n"/>
      <c r="BH1918" s="1392" t="n"/>
      <c r="BI1918" s="1392" t="n"/>
      <c r="BJ1918" s="1392" t="n"/>
      <c r="BK1918" s="1392" t="n"/>
      <c r="BL1918" s="1392" t="n"/>
      <c r="BM1918" s="1392" t="n"/>
      <c r="BN1918" s="1392" t="n"/>
      <c r="BO1918" s="1392" t="n"/>
      <c r="BP1918" s="1392" t="n"/>
      <c r="BQ1918" s="1392" t="n"/>
      <c r="BR1918" s="1392" t="n"/>
      <c r="BS1918" s="1392" t="n"/>
      <c r="BT1918" s="1392" t="n"/>
      <c r="BU1918" s="1416" t="n"/>
      <c r="BV1918" s="1392" t="n"/>
      <c r="BW1918" s="1392" t="n"/>
      <c r="BX1918" s="1392" t="n"/>
      <c r="BY1918" s="1392" t="n"/>
      <c r="BZ1918" s="1416" t="n"/>
      <c r="CA1918" s="1392" t="n"/>
      <c r="CB1918" s="1392" t="n"/>
      <c r="CC1918" s="1392" t="n"/>
      <c r="CD1918" s="1392" t="n"/>
      <c r="CE1918" s="1392" t="n"/>
      <c r="CF1918" s="1392" t="n"/>
      <c r="CG1918" s="1392" t="n"/>
      <c r="CH1918" s="1392" t="n"/>
      <c r="CI1918" s="1392" t="n"/>
      <c r="CJ1918" s="1392" t="n"/>
      <c r="CK1918" s="1392" t="n"/>
      <c r="CL1918" s="1392" t="n"/>
    </row>
    <row r="1919">
      <c r="A1919" s="5" t="inlineStr">
        <is>
          <t>.</t>
        </is>
      </c>
      <c r="B1919" s="5" t="inlineStr">
        <is>
          <t>.</t>
        </is>
      </c>
      <c r="C1919" s="1378">
        <f>IF(raw[[#This Row],[city]]="","-",IF(raw[[#This Row],[city]]="TODAY","-",C1918+1))</f>
        <v/>
      </c>
      <c r="D1919" s="1393" t="n"/>
      <c r="E1919" s="1394" t="n"/>
      <c r="F1919" s="1394" t="n"/>
      <c r="G1919" s="1393" t="n"/>
      <c r="H1919" s="1393" t="n"/>
      <c r="I1919" s="1393" t="n"/>
      <c r="J1919" s="1393" t="n"/>
      <c r="K1919" s="1395">
        <f>IF(raw[[#This Row],[city]]&lt;&gt;"",_xlfn.XLOOKUP($D1919,ccc[city],ccc[prov],"-"),"-")</f>
        <v/>
      </c>
      <c r="L1919" s="1395">
        <f>IF(raw[[#This Row],[city]]&lt;&gt;"",_xlfn.XLOOKUP($D1919,ccc[city],ccc[ctry],"-"),"-")</f>
        <v/>
      </c>
      <c r="M1919" s="1395">
        <f>IF(raw[[#This Row],[city]]&lt;&gt;"",_xlfn.XLOOKUP($D1919,ccc[city],ccc[cont],"-"),"-")</f>
        <v/>
      </c>
      <c r="N1919" s="1396">
        <f>IF(raw[[#This Row],[city]]="","-",IF(raw[[#This Row],[cont]]="B",raw[[#This Row],[cont]],"W"))</f>
        <v/>
      </c>
      <c r="O1919" s="1397">
        <f>IF(raw[[#This Row],[out]]=0,0,IF(raw[[#This Row],[out]]=raw[[#This Row],[in]],0.01,raw[[#This Row],[out]]-raw[[#This Row],[in]]))</f>
        <v/>
      </c>
      <c r="P1919" s="1397">
        <f>IF(raw[[#This Row],[in]]=0,0,MONTH(raw[[#This Row],[in]]))</f>
        <v/>
      </c>
      <c r="Q1919" s="1397">
        <f>IF(raw[[#This Row],[in]]=0,0,YEAR(raw[[#This Row],[in]]))</f>
        <v/>
      </c>
      <c r="R1919" s="1397">
        <f>INT(raw[[#This Row],[yr]]/10)*10</f>
        <v/>
      </c>
      <c r="S1919" s="1395">
        <f>IF(raw[[#This Row],[city]]="","-",IF(raw[[#This Row],[city]]&lt;&gt;_xlfn.XLOOKUP(raw[[#This Row],[home]],homes[home],homes[city],"-"),1,0))</f>
        <v/>
      </c>
      <c r="T1919" s="1398" t="inlineStr">
        <is>
          <t>.</t>
        </is>
      </c>
      <c r="U1919" s="1399">
        <f>IF(raw[[#This Row],[wb]]="w",raw[[#This Row],[stay]]+U1918,U1918)</f>
        <v/>
      </c>
      <c r="V1919" s="1400">
        <f>IF(raw[[#This Row],[out]]=0,V1918,(raw[[#This Row],[out]]-E$5))</f>
        <v/>
      </c>
      <c r="W1919" s="1401">
        <f>U1919/V1919</f>
        <v/>
      </c>
      <c r="X1919" s="1392" t="n"/>
      <c r="Y1919" s="1392" t="n"/>
      <c r="Z1919" s="1422" t="n"/>
      <c r="AA1919" s="1422" t="n"/>
      <c r="AB1919" s="1392" t="n"/>
      <c r="AC1919" s="1392" t="n"/>
      <c r="AD1919" s="1392" t="n"/>
      <c r="AE1919" s="1392" t="n"/>
      <c r="AF1919" s="1392" t="n"/>
      <c r="AG1919" s="1392" t="n"/>
      <c r="AH1919" s="1392" t="n"/>
      <c r="AI1919" s="1392" t="n"/>
      <c r="AJ1919" s="1392" t="n"/>
      <c r="AK1919" s="1392" t="n"/>
      <c r="AL1919" s="1392" t="n"/>
      <c r="AM1919" s="1392" t="n"/>
      <c r="AN1919" s="1392" t="n"/>
      <c r="AO1919" s="1392" t="n"/>
      <c r="AP1919" s="1392" t="n"/>
      <c r="AQ1919" s="1392" t="n"/>
      <c r="AR1919" s="1392" t="n"/>
      <c r="AS1919" s="1422" t="n"/>
      <c r="AT1919" s="1392" t="n"/>
      <c r="AU1919" s="1392" t="n"/>
      <c r="AV1919" s="1392" t="n"/>
      <c r="AW1919" s="1392" t="n"/>
      <c r="AX1919" s="1392" t="n"/>
      <c r="AY1919" s="1392" t="n"/>
      <c r="AZ1919" s="1392" t="n"/>
      <c r="BA1919" s="1392" t="n"/>
      <c r="BB1919" s="1422" t="n"/>
      <c r="BC1919" s="1392" t="n"/>
      <c r="BD1919" s="1392" t="n"/>
      <c r="BE1919" s="1392" t="n"/>
      <c r="BF1919" s="1392" t="n"/>
      <c r="BG1919" s="1392" t="n"/>
      <c r="BH1919" s="1392" t="n"/>
      <c r="BI1919" s="1392" t="n"/>
      <c r="BJ1919" s="1392" t="n"/>
      <c r="BK1919" s="1392" t="n"/>
      <c r="BL1919" s="1392" t="n"/>
      <c r="BM1919" s="1392" t="n"/>
      <c r="BN1919" s="1392" t="n"/>
      <c r="BO1919" s="1392" t="n"/>
      <c r="BP1919" s="1392" t="n"/>
      <c r="BQ1919" s="1392" t="n"/>
      <c r="BR1919" s="1392" t="n"/>
      <c r="BS1919" s="1392" t="n"/>
      <c r="BT1919" s="1392" t="n"/>
      <c r="BU1919" s="1416" t="n"/>
      <c r="BV1919" s="1392" t="n"/>
      <c r="BW1919" s="1392" t="n"/>
      <c r="BX1919" s="1392" t="n"/>
      <c r="BY1919" s="1392" t="n"/>
      <c r="BZ1919" s="1416" t="n"/>
      <c r="CA1919" s="1392" t="n"/>
      <c r="CB1919" s="1392" t="n"/>
      <c r="CC1919" s="1392" t="n"/>
      <c r="CD1919" s="1392" t="n"/>
      <c r="CE1919" s="1392" t="n"/>
      <c r="CF1919" s="1392" t="n"/>
      <c r="CG1919" s="1392" t="n"/>
      <c r="CH1919" s="1392" t="n"/>
      <c r="CI1919" s="1392" t="n"/>
      <c r="CJ1919" s="1392" t="n"/>
      <c r="CK1919" s="1392" t="n"/>
      <c r="CL1919" s="1392" t="n"/>
    </row>
    <row r="1920">
      <c r="A1920" s="5" t="inlineStr">
        <is>
          <t>.</t>
        </is>
      </c>
      <c r="B1920" s="5" t="inlineStr">
        <is>
          <t>.</t>
        </is>
      </c>
      <c r="C1920" s="1378">
        <f>IF(raw[[#This Row],[city]]="","-",IF(raw[[#This Row],[city]]="TODAY","-",C1919+1))</f>
        <v/>
      </c>
      <c r="D1920" s="1393" t="n"/>
      <c r="E1920" s="1394" t="n"/>
      <c r="F1920" s="1394" t="n"/>
      <c r="G1920" s="1393" t="n"/>
      <c r="H1920" s="1393" t="n"/>
      <c r="I1920" s="1393" t="n"/>
      <c r="J1920" s="1393" t="n"/>
      <c r="K1920" s="1395">
        <f>IF(raw[[#This Row],[city]]&lt;&gt;"",_xlfn.XLOOKUP($D1920,ccc[city],ccc[prov],"-"),"-")</f>
        <v/>
      </c>
      <c r="L1920" s="1395">
        <f>IF(raw[[#This Row],[city]]&lt;&gt;"",_xlfn.XLOOKUP($D1920,ccc[city],ccc[ctry],"-"),"-")</f>
        <v/>
      </c>
      <c r="M1920" s="1395">
        <f>IF(raw[[#This Row],[city]]&lt;&gt;"",_xlfn.XLOOKUP($D1920,ccc[city],ccc[cont],"-"),"-")</f>
        <v/>
      </c>
      <c r="N1920" s="1396">
        <f>IF(raw[[#This Row],[city]]="","-",IF(raw[[#This Row],[cont]]="B",raw[[#This Row],[cont]],"W"))</f>
        <v/>
      </c>
      <c r="O1920" s="1397">
        <f>IF(raw[[#This Row],[out]]=0,0,IF(raw[[#This Row],[out]]=raw[[#This Row],[in]],0.01,raw[[#This Row],[out]]-raw[[#This Row],[in]]))</f>
        <v/>
      </c>
      <c r="P1920" s="1397">
        <f>IF(raw[[#This Row],[in]]=0,0,MONTH(raw[[#This Row],[in]]))</f>
        <v/>
      </c>
      <c r="Q1920" s="1397">
        <f>IF(raw[[#This Row],[in]]=0,0,YEAR(raw[[#This Row],[in]]))</f>
        <v/>
      </c>
      <c r="R1920" s="1397">
        <f>INT(raw[[#This Row],[yr]]/10)*10</f>
        <v/>
      </c>
      <c r="S1920" s="1395">
        <f>IF(raw[[#This Row],[city]]="","-",IF(raw[[#This Row],[city]]&lt;&gt;_xlfn.XLOOKUP(raw[[#This Row],[home]],homes[home],homes[city],"-"),1,0))</f>
        <v/>
      </c>
      <c r="T1920" s="1398" t="inlineStr">
        <is>
          <t>.</t>
        </is>
      </c>
      <c r="U1920" s="1399">
        <f>IF(raw[[#This Row],[wb]]="w",raw[[#This Row],[stay]]+U1919,U1919)</f>
        <v/>
      </c>
      <c r="V1920" s="1400">
        <f>IF(raw[[#This Row],[out]]=0,V1919,(raw[[#This Row],[out]]-E$5))</f>
        <v/>
      </c>
      <c r="W1920" s="1401">
        <f>U1920/V1920</f>
        <v/>
      </c>
      <c r="X1920" s="1392" t="n"/>
      <c r="Y1920" s="1392" t="n"/>
      <c r="Z1920" s="1422" t="n"/>
      <c r="AA1920" s="1422" t="n"/>
      <c r="AB1920" s="1392" t="n"/>
      <c r="AC1920" s="1392" t="n"/>
      <c r="AD1920" s="1392" t="n"/>
      <c r="AE1920" s="1392" t="n"/>
      <c r="AF1920" s="1392" t="n"/>
      <c r="AG1920" s="1392" t="n"/>
      <c r="AH1920" s="1392" t="n"/>
      <c r="AI1920" s="1392" t="n"/>
      <c r="AJ1920" s="1392" t="n"/>
      <c r="AK1920" s="1392" t="n"/>
      <c r="AL1920" s="1392" t="n"/>
      <c r="AM1920" s="1392" t="n"/>
      <c r="AN1920" s="1392" t="n"/>
      <c r="AO1920" s="1392" t="n"/>
      <c r="AP1920" s="1392" t="n"/>
      <c r="AQ1920" s="1392" t="n"/>
      <c r="AR1920" s="1392" t="n"/>
      <c r="AS1920" s="1422" t="n"/>
      <c r="AT1920" s="1392" t="n"/>
      <c r="AU1920" s="1392" t="n"/>
      <c r="AV1920" s="1392" t="n"/>
      <c r="AW1920" s="1392" t="n"/>
      <c r="AX1920" s="1392" t="n"/>
      <c r="AY1920" s="1392" t="n"/>
      <c r="AZ1920" s="1392" t="n"/>
      <c r="BA1920" s="1392" t="n"/>
      <c r="BB1920" s="1422" t="n"/>
      <c r="BC1920" s="1392" t="n"/>
      <c r="BD1920" s="1392" t="n"/>
      <c r="BE1920" s="1392" t="n"/>
      <c r="BF1920" s="1392" t="n"/>
      <c r="BG1920" s="1392" t="n"/>
      <c r="BH1920" s="1392" t="n"/>
      <c r="BI1920" s="1392" t="n"/>
      <c r="BJ1920" s="1392" t="n"/>
      <c r="BK1920" s="1392" t="n"/>
      <c r="BL1920" s="1392" t="n"/>
      <c r="BM1920" s="1392" t="n"/>
      <c r="BN1920" s="1392" t="n"/>
      <c r="BO1920" s="1392" t="n"/>
      <c r="BP1920" s="1392" t="n"/>
      <c r="BQ1920" s="1392" t="n"/>
      <c r="BR1920" s="1392" t="n"/>
      <c r="BS1920" s="1392" t="n"/>
      <c r="BT1920" s="1392" t="n"/>
      <c r="BU1920" s="1416" t="n"/>
      <c r="BV1920" s="1392" t="n"/>
      <c r="BW1920" s="1392" t="n"/>
      <c r="BX1920" s="1392" t="n"/>
      <c r="BY1920" s="1392" t="n"/>
      <c r="BZ1920" s="1416" t="n"/>
      <c r="CA1920" s="1392" t="n"/>
      <c r="CB1920" s="1392" t="n"/>
      <c r="CC1920" s="1392" t="n"/>
      <c r="CD1920" s="1392" t="n"/>
      <c r="CE1920" s="1392" t="n"/>
      <c r="CF1920" s="1392" t="n"/>
      <c r="CG1920" s="1392" t="n"/>
      <c r="CH1920" s="1392" t="n"/>
      <c r="CI1920" s="1392" t="n"/>
      <c r="CJ1920" s="1392" t="n"/>
      <c r="CK1920" s="1392" t="n"/>
      <c r="CL1920" s="1392" t="n"/>
    </row>
    <row r="1921">
      <c r="A1921" s="5" t="inlineStr">
        <is>
          <t>.</t>
        </is>
      </c>
      <c r="B1921" s="5" t="inlineStr">
        <is>
          <t>.</t>
        </is>
      </c>
      <c r="C1921" s="1378">
        <f>IF(raw[[#This Row],[city]]="","-",IF(raw[[#This Row],[city]]="TODAY","-",C1920+1))</f>
        <v/>
      </c>
      <c r="D1921" s="1393" t="n"/>
      <c r="E1921" s="1394" t="n"/>
      <c r="F1921" s="1394" t="n"/>
      <c r="G1921" s="1393" t="n"/>
      <c r="H1921" s="1393" t="n"/>
      <c r="I1921" s="1393" t="n"/>
      <c r="J1921" s="1393" t="n"/>
      <c r="K1921" s="1395">
        <f>IF(raw[[#This Row],[city]]&lt;&gt;"",_xlfn.XLOOKUP($D1921,ccc[city],ccc[prov],"-"),"-")</f>
        <v/>
      </c>
      <c r="L1921" s="1395">
        <f>IF(raw[[#This Row],[city]]&lt;&gt;"",_xlfn.XLOOKUP($D1921,ccc[city],ccc[ctry],"-"),"-")</f>
        <v/>
      </c>
      <c r="M1921" s="1395">
        <f>IF(raw[[#This Row],[city]]&lt;&gt;"",_xlfn.XLOOKUP($D1921,ccc[city],ccc[cont],"-"),"-")</f>
        <v/>
      </c>
      <c r="N1921" s="1396">
        <f>IF(raw[[#This Row],[city]]="","-",IF(raw[[#This Row],[cont]]="B",raw[[#This Row],[cont]],"W"))</f>
        <v/>
      </c>
      <c r="O1921" s="1397">
        <f>IF(raw[[#This Row],[out]]=0,0,IF(raw[[#This Row],[out]]=raw[[#This Row],[in]],0.01,raw[[#This Row],[out]]-raw[[#This Row],[in]]))</f>
        <v/>
      </c>
      <c r="P1921" s="1397">
        <f>IF(raw[[#This Row],[in]]=0,0,MONTH(raw[[#This Row],[in]]))</f>
        <v/>
      </c>
      <c r="Q1921" s="1397">
        <f>IF(raw[[#This Row],[in]]=0,0,YEAR(raw[[#This Row],[in]]))</f>
        <v/>
      </c>
      <c r="R1921" s="1397">
        <f>INT(raw[[#This Row],[yr]]/10)*10</f>
        <v/>
      </c>
      <c r="S1921" s="1395">
        <f>IF(raw[[#This Row],[city]]="","-",IF(raw[[#This Row],[city]]&lt;&gt;_xlfn.XLOOKUP(raw[[#This Row],[home]],homes[home],homes[city],"-"),1,0))</f>
        <v/>
      </c>
      <c r="T1921" s="1398" t="inlineStr">
        <is>
          <t>.</t>
        </is>
      </c>
      <c r="U1921" s="1399">
        <f>IF(raw[[#This Row],[wb]]="w",raw[[#This Row],[stay]]+U1920,U1920)</f>
        <v/>
      </c>
      <c r="V1921" s="1400">
        <f>IF(raw[[#This Row],[out]]=0,V1920,(raw[[#This Row],[out]]-E$5))</f>
        <v/>
      </c>
      <c r="W1921" s="1401">
        <f>U1921/V1921</f>
        <v/>
      </c>
      <c r="X1921" s="1392" t="n"/>
      <c r="Y1921" s="1392" t="n"/>
      <c r="Z1921" s="1422" t="n"/>
      <c r="AA1921" s="1422" t="n"/>
      <c r="AB1921" s="1392" t="n"/>
      <c r="AC1921" s="1392" t="n"/>
      <c r="AD1921" s="1392" t="n"/>
      <c r="AE1921" s="1392" t="n"/>
      <c r="AF1921" s="1392" t="n"/>
      <c r="AG1921" s="1392" t="n"/>
      <c r="AH1921" s="1392" t="n"/>
      <c r="AI1921" s="1392" t="n"/>
      <c r="AJ1921" s="1392" t="n"/>
      <c r="AK1921" s="1392" t="n"/>
      <c r="AL1921" s="1392" t="n"/>
      <c r="AM1921" s="1392" t="n"/>
      <c r="AN1921" s="1392" t="n"/>
      <c r="AO1921" s="1392" t="n"/>
      <c r="AP1921" s="1392" t="n"/>
      <c r="AQ1921" s="1392" t="n"/>
      <c r="AR1921" s="1392" t="n"/>
      <c r="AS1921" s="1422" t="n"/>
      <c r="AT1921" s="1392" t="n"/>
      <c r="AU1921" s="1392" t="n"/>
      <c r="AV1921" s="1392" t="n"/>
      <c r="AW1921" s="1392" t="n"/>
      <c r="AX1921" s="1392" t="n"/>
      <c r="AY1921" s="1392" t="n"/>
      <c r="AZ1921" s="1392" t="n"/>
      <c r="BA1921" s="1392" t="n"/>
      <c r="BB1921" s="1422" t="n"/>
      <c r="BC1921" s="1392" t="n"/>
      <c r="BD1921" s="1392" t="n"/>
      <c r="BE1921" s="1392" t="n"/>
      <c r="BF1921" s="1392" t="n"/>
      <c r="BG1921" s="1392" t="n"/>
      <c r="BH1921" s="1392" t="n"/>
      <c r="BI1921" s="1392" t="n"/>
      <c r="BJ1921" s="1392" t="n"/>
      <c r="BK1921" s="1392" t="n"/>
      <c r="BL1921" s="1392" t="n"/>
      <c r="BM1921" s="1392" t="n"/>
      <c r="BN1921" s="1392" t="n"/>
      <c r="BO1921" s="1392" t="n"/>
      <c r="BP1921" s="1392" t="n"/>
      <c r="BQ1921" s="1392" t="n"/>
      <c r="BR1921" s="1392" t="n"/>
      <c r="BS1921" s="1392" t="n"/>
      <c r="BT1921" s="1392" t="n"/>
      <c r="BU1921" s="1416" t="n"/>
      <c r="BV1921" s="1392" t="n"/>
      <c r="BW1921" s="1392" t="n"/>
      <c r="BX1921" s="1392" t="n"/>
      <c r="BY1921" s="1392" t="n"/>
      <c r="BZ1921" s="1416" t="n"/>
      <c r="CA1921" s="1392" t="n"/>
      <c r="CB1921" s="1392" t="n"/>
      <c r="CC1921" s="1392" t="n"/>
      <c r="CD1921" s="1392" t="n"/>
      <c r="CE1921" s="1392" t="n"/>
      <c r="CF1921" s="1392" t="n"/>
      <c r="CG1921" s="1392" t="n"/>
      <c r="CH1921" s="1392" t="n"/>
      <c r="CI1921" s="1392" t="n"/>
      <c r="CJ1921" s="1392" t="n"/>
      <c r="CK1921" s="1392" t="n"/>
      <c r="CL1921" s="1392" t="n"/>
    </row>
    <row r="1922">
      <c r="A1922" s="5" t="inlineStr">
        <is>
          <t>.</t>
        </is>
      </c>
      <c r="B1922" s="5" t="inlineStr">
        <is>
          <t>.</t>
        </is>
      </c>
      <c r="C1922" s="1378">
        <f>IF(raw[[#This Row],[city]]="","-",IF(raw[[#This Row],[city]]="TODAY","-",C1921+1))</f>
        <v/>
      </c>
      <c r="D1922" s="1393" t="n"/>
      <c r="E1922" s="1394" t="n"/>
      <c r="F1922" s="1394" t="n"/>
      <c r="G1922" s="1393" t="n"/>
      <c r="H1922" s="1393" t="n"/>
      <c r="I1922" s="1393" t="n"/>
      <c r="J1922" s="1393" t="n"/>
      <c r="K1922" s="1395">
        <f>IF(raw[[#This Row],[city]]&lt;&gt;"",_xlfn.XLOOKUP($D1922,ccc[city],ccc[prov],"-"),"-")</f>
        <v/>
      </c>
      <c r="L1922" s="1395">
        <f>IF(raw[[#This Row],[city]]&lt;&gt;"",_xlfn.XLOOKUP($D1922,ccc[city],ccc[ctry],"-"),"-")</f>
        <v/>
      </c>
      <c r="M1922" s="1395">
        <f>IF(raw[[#This Row],[city]]&lt;&gt;"",_xlfn.XLOOKUP($D1922,ccc[city],ccc[cont],"-"),"-")</f>
        <v/>
      </c>
      <c r="N1922" s="1396">
        <f>IF(raw[[#This Row],[city]]="","-",IF(raw[[#This Row],[cont]]="B",raw[[#This Row],[cont]],"W"))</f>
        <v/>
      </c>
      <c r="O1922" s="1397">
        <f>IF(raw[[#This Row],[out]]=0,0,IF(raw[[#This Row],[out]]=raw[[#This Row],[in]],0.01,raw[[#This Row],[out]]-raw[[#This Row],[in]]))</f>
        <v/>
      </c>
      <c r="P1922" s="1397">
        <f>IF(raw[[#This Row],[in]]=0,0,MONTH(raw[[#This Row],[in]]))</f>
        <v/>
      </c>
      <c r="Q1922" s="1397">
        <f>IF(raw[[#This Row],[in]]=0,0,YEAR(raw[[#This Row],[in]]))</f>
        <v/>
      </c>
      <c r="R1922" s="1397">
        <f>INT(raw[[#This Row],[yr]]/10)*10</f>
        <v/>
      </c>
      <c r="S1922" s="1395">
        <f>IF(raw[[#This Row],[city]]="","-",IF(raw[[#This Row],[city]]&lt;&gt;_xlfn.XLOOKUP(raw[[#This Row],[home]],homes[home],homes[city],"-"),1,0))</f>
        <v/>
      </c>
      <c r="T1922" s="1398" t="inlineStr">
        <is>
          <t>.</t>
        </is>
      </c>
      <c r="U1922" s="1399">
        <f>IF(raw[[#This Row],[wb]]="w",raw[[#This Row],[stay]]+U1921,U1921)</f>
        <v/>
      </c>
      <c r="V1922" s="1400">
        <f>IF(raw[[#This Row],[out]]=0,V1921,(raw[[#This Row],[out]]-E$5))</f>
        <v/>
      </c>
      <c r="W1922" s="1401">
        <f>U1922/V1922</f>
        <v/>
      </c>
      <c r="X1922" s="1392" t="n"/>
      <c r="Y1922" s="1392" t="n"/>
      <c r="Z1922" s="1422" t="n"/>
      <c r="AA1922" s="1422" t="n"/>
      <c r="AB1922" s="1392" t="n"/>
      <c r="AC1922" s="1392" t="n"/>
      <c r="AD1922" s="1392" t="n"/>
      <c r="AE1922" s="1392" t="n"/>
      <c r="AF1922" s="1392" t="n"/>
      <c r="AG1922" s="1392" t="n"/>
      <c r="AH1922" s="1392" t="n"/>
      <c r="AI1922" s="1392" t="n"/>
      <c r="AJ1922" s="1392" t="n"/>
      <c r="AK1922" s="1392" t="n"/>
      <c r="AL1922" s="1392" t="n"/>
      <c r="AM1922" s="1392" t="n"/>
      <c r="AN1922" s="1392" t="n"/>
      <c r="AO1922" s="1392" t="n"/>
      <c r="AP1922" s="1392" t="n"/>
      <c r="AQ1922" s="1392" t="n"/>
      <c r="AR1922" s="1392" t="n"/>
      <c r="AS1922" s="1422" t="n"/>
      <c r="AT1922" s="1392" t="n"/>
      <c r="AU1922" s="1392" t="n"/>
      <c r="AV1922" s="1392" t="n"/>
      <c r="AW1922" s="1392" t="n"/>
      <c r="AX1922" s="1392" t="n"/>
      <c r="AY1922" s="1392" t="n"/>
      <c r="AZ1922" s="1392" t="n"/>
      <c r="BA1922" s="1392" t="n"/>
      <c r="BB1922" s="1422" t="n"/>
      <c r="BC1922" s="1392" t="n"/>
      <c r="BD1922" s="1392" t="n"/>
      <c r="BE1922" s="1392" t="n"/>
      <c r="BF1922" s="1392" t="n"/>
      <c r="BG1922" s="1392" t="n"/>
      <c r="BH1922" s="1392" t="n"/>
      <c r="BI1922" s="1392" t="n"/>
      <c r="BJ1922" s="1392" t="n"/>
      <c r="BK1922" s="1392" t="n"/>
      <c r="BL1922" s="1392" t="n"/>
      <c r="BM1922" s="1392" t="n"/>
      <c r="BN1922" s="1392" t="n"/>
      <c r="BO1922" s="1392" t="n"/>
      <c r="BP1922" s="1392" t="n"/>
      <c r="BQ1922" s="1392" t="n"/>
      <c r="BR1922" s="1392" t="n"/>
      <c r="BS1922" s="1392" t="n"/>
      <c r="BT1922" s="1392" t="n"/>
      <c r="BU1922" s="1416" t="n"/>
      <c r="BV1922" s="1392" t="n"/>
      <c r="BW1922" s="1392" t="n"/>
      <c r="BX1922" s="1392" t="n"/>
      <c r="BY1922" s="1392" t="n"/>
      <c r="BZ1922" s="1416" t="n"/>
      <c r="CA1922" s="1392" t="n"/>
      <c r="CB1922" s="1392" t="n"/>
      <c r="CC1922" s="1392" t="n"/>
      <c r="CD1922" s="1392" t="n"/>
      <c r="CE1922" s="1392" t="n"/>
      <c r="CF1922" s="1392" t="n"/>
      <c r="CG1922" s="1392" t="n"/>
      <c r="CH1922" s="1392" t="n"/>
      <c r="CI1922" s="1392" t="n"/>
      <c r="CJ1922" s="1392" t="n"/>
      <c r="CK1922" s="1392" t="n"/>
      <c r="CL1922" s="1392" t="n"/>
    </row>
    <row r="1923">
      <c r="A1923" s="5" t="inlineStr">
        <is>
          <t>.</t>
        </is>
      </c>
      <c r="B1923" s="5" t="inlineStr">
        <is>
          <t>.</t>
        </is>
      </c>
      <c r="C1923" s="1378">
        <f>IF(raw[[#This Row],[city]]="","-",IF(raw[[#This Row],[city]]="TODAY","-",C1922+1))</f>
        <v/>
      </c>
      <c r="D1923" s="1393" t="n"/>
      <c r="E1923" s="1394" t="n"/>
      <c r="F1923" s="1394" t="n"/>
      <c r="G1923" s="1393" t="n"/>
      <c r="H1923" s="1393" t="n"/>
      <c r="I1923" s="1393" t="n"/>
      <c r="J1923" s="1393" t="n"/>
      <c r="K1923" s="1395">
        <f>IF(raw[[#This Row],[city]]&lt;&gt;"",_xlfn.XLOOKUP($D1923,ccc[city],ccc[prov],"-"),"-")</f>
        <v/>
      </c>
      <c r="L1923" s="1395">
        <f>IF(raw[[#This Row],[city]]&lt;&gt;"",_xlfn.XLOOKUP($D1923,ccc[city],ccc[ctry],"-"),"-")</f>
        <v/>
      </c>
      <c r="M1923" s="1395">
        <f>IF(raw[[#This Row],[city]]&lt;&gt;"",_xlfn.XLOOKUP($D1923,ccc[city],ccc[cont],"-"),"-")</f>
        <v/>
      </c>
      <c r="N1923" s="1396">
        <f>IF(raw[[#This Row],[city]]="","-",IF(raw[[#This Row],[cont]]="B",raw[[#This Row],[cont]],"W"))</f>
        <v/>
      </c>
      <c r="O1923" s="1397">
        <f>IF(raw[[#This Row],[out]]=0,0,IF(raw[[#This Row],[out]]=raw[[#This Row],[in]],0.01,raw[[#This Row],[out]]-raw[[#This Row],[in]]))</f>
        <v/>
      </c>
      <c r="P1923" s="1397">
        <f>IF(raw[[#This Row],[in]]=0,0,MONTH(raw[[#This Row],[in]]))</f>
        <v/>
      </c>
      <c r="Q1923" s="1397">
        <f>IF(raw[[#This Row],[in]]=0,0,YEAR(raw[[#This Row],[in]]))</f>
        <v/>
      </c>
      <c r="R1923" s="1397">
        <f>INT(raw[[#This Row],[yr]]/10)*10</f>
        <v/>
      </c>
      <c r="S1923" s="1395">
        <f>IF(raw[[#This Row],[city]]="","-",IF(raw[[#This Row],[city]]&lt;&gt;_xlfn.XLOOKUP(raw[[#This Row],[home]],homes[home],homes[city],"-"),1,0))</f>
        <v/>
      </c>
      <c r="T1923" s="1398" t="inlineStr">
        <is>
          <t>.</t>
        </is>
      </c>
      <c r="U1923" s="1399">
        <f>IF(raw[[#This Row],[wb]]="w",raw[[#This Row],[stay]]+U1922,U1922)</f>
        <v/>
      </c>
      <c r="V1923" s="1400">
        <f>IF(raw[[#This Row],[out]]=0,V1922,(raw[[#This Row],[out]]-E$5))</f>
        <v/>
      </c>
      <c r="W1923" s="1401">
        <f>U1923/V1923</f>
        <v/>
      </c>
      <c r="X1923" s="1392" t="n"/>
      <c r="Y1923" s="1392" t="n"/>
      <c r="Z1923" s="1422" t="n"/>
      <c r="AA1923" s="1422" t="n"/>
      <c r="AB1923" s="1392" t="n"/>
      <c r="AC1923" s="1392" t="n"/>
      <c r="AD1923" s="1392" t="n"/>
      <c r="AE1923" s="1392" t="n"/>
      <c r="AF1923" s="1392" t="n"/>
      <c r="AG1923" s="1392" t="n"/>
      <c r="AH1923" s="1392" t="n"/>
      <c r="AI1923" s="1392" t="n"/>
      <c r="AJ1923" s="1392" t="n"/>
      <c r="AK1923" s="1392" t="n"/>
      <c r="AL1923" s="1392" t="n"/>
      <c r="AM1923" s="1392" t="n"/>
      <c r="AN1923" s="1392" t="n"/>
      <c r="AO1923" s="1392" t="n"/>
      <c r="AP1923" s="1392" t="n"/>
      <c r="AQ1923" s="1392" t="n"/>
      <c r="AR1923" s="1392" t="n"/>
      <c r="AS1923" s="1422" t="n"/>
      <c r="AT1923" s="1392" t="n"/>
      <c r="AU1923" s="1392" t="n"/>
      <c r="AV1923" s="1392" t="n"/>
      <c r="AW1923" s="1392" t="n"/>
      <c r="AX1923" s="1392" t="n"/>
      <c r="AY1923" s="1392" t="n"/>
      <c r="AZ1923" s="1392" t="n"/>
      <c r="BA1923" s="1392" t="n"/>
      <c r="BB1923" s="1422" t="n"/>
      <c r="BC1923" s="1392" t="n"/>
      <c r="BD1923" s="1392" t="n"/>
      <c r="BE1923" s="1392" t="n"/>
      <c r="BF1923" s="1392" t="n"/>
      <c r="BG1923" s="1392" t="n"/>
      <c r="BH1923" s="1392" t="n"/>
      <c r="BI1923" s="1392" t="n"/>
      <c r="BJ1923" s="1392" t="n"/>
      <c r="BK1923" s="1392" t="n"/>
      <c r="BL1923" s="1392" t="n"/>
      <c r="BM1923" s="1392" t="n"/>
      <c r="BN1923" s="1392" t="n"/>
      <c r="BO1923" s="1392" t="n"/>
      <c r="BP1923" s="1392" t="n"/>
      <c r="BQ1923" s="1392" t="n"/>
      <c r="BR1923" s="1392" t="n"/>
      <c r="BS1923" s="1392" t="n"/>
      <c r="BT1923" s="1392" t="n"/>
      <c r="BU1923" s="1416" t="n"/>
      <c r="BV1923" s="1392" t="n"/>
      <c r="BW1923" s="1392" t="n"/>
      <c r="BX1923" s="1392" t="n"/>
      <c r="BY1923" s="1392" t="n"/>
      <c r="BZ1923" s="1416" t="n"/>
      <c r="CA1923" s="1392" t="n"/>
      <c r="CB1923" s="1392" t="n"/>
      <c r="CC1923" s="1392" t="n"/>
      <c r="CD1923" s="1392" t="n"/>
      <c r="CE1923" s="1392" t="n"/>
      <c r="CF1923" s="1392" t="n"/>
      <c r="CG1923" s="1392" t="n"/>
      <c r="CH1923" s="1392" t="n"/>
      <c r="CI1923" s="1392" t="n"/>
      <c r="CJ1923" s="1392" t="n"/>
      <c r="CK1923" s="1392" t="n"/>
      <c r="CL1923" s="1392" t="n"/>
    </row>
    <row r="1924">
      <c r="A1924" s="5" t="inlineStr">
        <is>
          <t>.</t>
        </is>
      </c>
      <c r="B1924" s="5" t="inlineStr">
        <is>
          <t>.</t>
        </is>
      </c>
      <c r="C1924" s="1378">
        <f>IF(raw[[#This Row],[city]]="","-",IF(raw[[#This Row],[city]]="TODAY","-",C1923+1))</f>
        <v/>
      </c>
      <c r="D1924" s="1393" t="n"/>
      <c r="E1924" s="1394" t="n"/>
      <c r="F1924" s="1394" t="n"/>
      <c r="G1924" s="1393" t="n"/>
      <c r="H1924" s="1393" t="n"/>
      <c r="I1924" s="1393" t="n"/>
      <c r="J1924" s="1393" t="n"/>
      <c r="K1924" s="1395">
        <f>IF(raw[[#This Row],[city]]&lt;&gt;"",_xlfn.XLOOKUP($D1924,ccc[city],ccc[prov],"-"),"-")</f>
        <v/>
      </c>
      <c r="L1924" s="1395">
        <f>IF(raw[[#This Row],[city]]&lt;&gt;"",_xlfn.XLOOKUP($D1924,ccc[city],ccc[ctry],"-"),"-")</f>
        <v/>
      </c>
      <c r="M1924" s="1395">
        <f>IF(raw[[#This Row],[city]]&lt;&gt;"",_xlfn.XLOOKUP($D1924,ccc[city],ccc[cont],"-"),"-")</f>
        <v/>
      </c>
      <c r="N1924" s="1396">
        <f>IF(raw[[#This Row],[city]]="","-",IF(raw[[#This Row],[cont]]="B",raw[[#This Row],[cont]],"W"))</f>
        <v/>
      </c>
      <c r="O1924" s="1397">
        <f>IF(raw[[#This Row],[out]]=0,0,IF(raw[[#This Row],[out]]=raw[[#This Row],[in]],0.01,raw[[#This Row],[out]]-raw[[#This Row],[in]]))</f>
        <v/>
      </c>
      <c r="P1924" s="1397">
        <f>IF(raw[[#This Row],[in]]=0,0,MONTH(raw[[#This Row],[in]]))</f>
        <v/>
      </c>
      <c r="Q1924" s="1397">
        <f>IF(raw[[#This Row],[in]]=0,0,YEAR(raw[[#This Row],[in]]))</f>
        <v/>
      </c>
      <c r="R1924" s="1397">
        <f>INT(raw[[#This Row],[yr]]/10)*10</f>
        <v/>
      </c>
      <c r="S1924" s="1395">
        <f>IF(raw[[#This Row],[city]]="","-",IF(raw[[#This Row],[city]]&lt;&gt;_xlfn.XLOOKUP(raw[[#This Row],[home]],homes[home],homes[city],"-"),1,0))</f>
        <v/>
      </c>
      <c r="T1924" s="1398" t="inlineStr">
        <is>
          <t>.</t>
        </is>
      </c>
      <c r="U1924" s="1399">
        <f>IF(raw[[#This Row],[wb]]="w",raw[[#This Row],[stay]]+U1923,U1923)</f>
        <v/>
      </c>
      <c r="V1924" s="1400">
        <f>IF(raw[[#This Row],[out]]=0,V1923,(raw[[#This Row],[out]]-E$5))</f>
        <v/>
      </c>
      <c r="W1924" s="1401">
        <f>U1924/V1924</f>
        <v/>
      </c>
      <c r="X1924" s="1392" t="n"/>
      <c r="Y1924" s="1392" t="n"/>
      <c r="Z1924" s="1422" t="n"/>
      <c r="AA1924" s="1422" t="n"/>
      <c r="AB1924" s="1392" t="n"/>
      <c r="AC1924" s="1392" t="n"/>
      <c r="AD1924" s="1392" t="n"/>
      <c r="AE1924" s="1392" t="n"/>
      <c r="AF1924" s="1392" t="n"/>
      <c r="AG1924" s="1392" t="n"/>
      <c r="AH1924" s="1392" t="n"/>
      <c r="AI1924" s="1392" t="n"/>
      <c r="AJ1924" s="1392" t="n"/>
      <c r="AK1924" s="1392" t="n"/>
      <c r="AL1924" s="1392" t="n"/>
      <c r="AM1924" s="1392" t="n"/>
      <c r="AN1924" s="1392" t="n"/>
      <c r="AO1924" s="1392" t="n"/>
      <c r="AP1924" s="1392" t="n"/>
      <c r="AQ1924" s="1392" t="n"/>
      <c r="AR1924" s="1392" t="n"/>
      <c r="AS1924" s="1422" t="n"/>
      <c r="AT1924" s="1392" t="n"/>
      <c r="AU1924" s="1392" t="n"/>
      <c r="AV1924" s="1392" t="n"/>
      <c r="AW1924" s="1392" t="n"/>
      <c r="AX1924" s="1392" t="n"/>
      <c r="AY1924" s="1392" t="n"/>
      <c r="AZ1924" s="1392" t="n"/>
      <c r="BA1924" s="1392" t="n"/>
      <c r="BB1924" s="1422" t="n"/>
      <c r="BC1924" s="1392" t="n"/>
      <c r="BD1924" s="1392" t="n"/>
      <c r="BE1924" s="1392" t="n"/>
      <c r="BF1924" s="1392" t="n"/>
      <c r="BG1924" s="1392" t="n"/>
      <c r="BH1924" s="1392" t="n"/>
      <c r="BI1924" s="1392" t="n"/>
      <c r="BJ1924" s="1392" t="n"/>
      <c r="BK1924" s="1392" t="n"/>
      <c r="BL1924" s="1392" t="n"/>
      <c r="BM1924" s="1392" t="n"/>
      <c r="BN1924" s="1392" t="n"/>
      <c r="BO1924" s="1392" t="n"/>
      <c r="BP1924" s="1392" t="n"/>
      <c r="BQ1924" s="1392" t="n"/>
      <c r="BR1924" s="1392" t="n"/>
      <c r="BS1924" s="1392" t="n"/>
      <c r="BT1924" s="1392" t="n"/>
      <c r="BU1924" s="1416" t="n"/>
      <c r="BV1924" s="1392" t="n"/>
      <c r="BW1924" s="1392" t="n"/>
      <c r="BX1924" s="1392" t="n"/>
      <c r="BY1924" s="1392" t="n"/>
      <c r="BZ1924" s="1416" t="n"/>
      <c r="CA1924" s="1392" t="n"/>
      <c r="CB1924" s="1392" t="n"/>
      <c r="CC1924" s="1392" t="n"/>
      <c r="CD1924" s="1392" t="n"/>
      <c r="CE1924" s="1392" t="n"/>
      <c r="CF1924" s="1392" t="n"/>
      <c r="CG1924" s="1392" t="n"/>
      <c r="CH1924" s="1392" t="n"/>
      <c r="CI1924" s="1392" t="n"/>
      <c r="CJ1924" s="1392" t="n"/>
      <c r="CK1924" s="1392" t="n"/>
      <c r="CL1924" s="1392" t="n"/>
    </row>
    <row r="1925">
      <c r="A1925" s="5" t="inlineStr">
        <is>
          <t>.</t>
        </is>
      </c>
      <c r="B1925" s="5" t="inlineStr">
        <is>
          <t>.</t>
        </is>
      </c>
      <c r="C1925" s="1378">
        <f>IF(raw[[#This Row],[city]]="","-",IF(raw[[#This Row],[city]]="TODAY","-",C1924+1))</f>
        <v/>
      </c>
      <c r="D1925" s="1393" t="n"/>
      <c r="E1925" s="1394" t="n"/>
      <c r="F1925" s="1394" t="n"/>
      <c r="G1925" s="1393" t="n"/>
      <c r="H1925" s="1393" t="n"/>
      <c r="I1925" s="1393" t="n"/>
      <c r="J1925" s="1393" t="n"/>
      <c r="K1925" s="1395">
        <f>IF(raw[[#This Row],[city]]&lt;&gt;"",_xlfn.XLOOKUP($D1925,ccc[city],ccc[prov],"-"),"-")</f>
        <v/>
      </c>
      <c r="L1925" s="1395">
        <f>IF(raw[[#This Row],[city]]&lt;&gt;"",_xlfn.XLOOKUP($D1925,ccc[city],ccc[ctry],"-"),"-")</f>
        <v/>
      </c>
      <c r="M1925" s="1395">
        <f>IF(raw[[#This Row],[city]]&lt;&gt;"",_xlfn.XLOOKUP($D1925,ccc[city],ccc[cont],"-"),"-")</f>
        <v/>
      </c>
      <c r="N1925" s="1396">
        <f>IF(raw[[#This Row],[city]]="","-",IF(raw[[#This Row],[cont]]="B",raw[[#This Row],[cont]],"W"))</f>
        <v/>
      </c>
      <c r="O1925" s="1397">
        <f>IF(raw[[#This Row],[out]]=0,0,IF(raw[[#This Row],[out]]=raw[[#This Row],[in]],0.01,raw[[#This Row],[out]]-raw[[#This Row],[in]]))</f>
        <v/>
      </c>
      <c r="P1925" s="1397">
        <f>IF(raw[[#This Row],[in]]=0,0,MONTH(raw[[#This Row],[in]]))</f>
        <v/>
      </c>
      <c r="Q1925" s="1397">
        <f>IF(raw[[#This Row],[in]]=0,0,YEAR(raw[[#This Row],[in]]))</f>
        <v/>
      </c>
      <c r="R1925" s="1397">
        <f>INT(raw[[#This Row],[yr]]/10)*10</f>
        <v/>
      </c>
      <c r="S1925" s="1395">
        <f>IF(raw[[#This Row],[city]]="","-",IF(raw[[#This Row],[city]]&lt;&gt;_xlfn.XLOOKUP(raw[[#This Row],[home]],homes[home],homes[city],"-"),1,0))</f>
        <v/>
      </c>
      <c r="T1925" s="1398" t="inlineStr">
        <is>
          <t>.</t>
        </is>
      </c>
      <c r="U1925" s="1399">
        <f>IF(raw[[#This Row],[wb]]="w",raw[[#This Row],[stay]]+U1924,U1924)</f>
        <v/>
      </c>
      <c r="V1925" s="1400">
        <f>IF(raw[[#This Row],[out]]=0,V1924,(raw[[#This Row],[out]]-E$5))</f>
        <v/>
      </c>
      <c r="W1925" s="1401">
        <f>U1925/V1925</f>
        <v/>
      </c>
      <c r="X1925" s="1392" t="n"/>
      <c r="Y1925" s="1392" t="n"/>
      <c r="Z1925" s="1422" t="n"/>
      <c r="AA1925" s="1422" t="n"/>
      <c r="AB1925" s="1392" t="n"/>
      <c r="AC1925" s="1392" t="n"/>
      <c r="AD1925" s="1392" t="n"/>
      <c r="AE1925" s="1392" t="n"/>
      <c r="AF1925" s="1392" t="n"/>
      <c r="AG1925" s="1392" t="n"/>
      <c r="AH1925" s="1392" t="n"/>
      <c r="AI1925" s="1392" t="n"/>
      <c r="AJ1925" s="1392" t="n"/>
      <c r="AK1925" s="1392" t="n"/>
      <c r="AL1925" s="1392" t="n"/>
      <c r="AM1925" s="1392" t="n"/>
      <c r="AN1925" s="1392" t="n"/>
      <c r="AO1925" s="1392" t="n"/>
      <c r="AP1925" s="1392" t="n"/>
      <c r="AQ1925" s="1392" t="n"/>
      <c r="AR1925" s="1392" t="n"/>
      <c r="AS1925" s="1422" t="n"/>
      <c r="AT1925" s="1392" t="n"/>
      <c r="AU1925" s="1392" t="n"/>
      <c r="AV1925" s="1392" t="n"/>
      <c r="AW1925" s="1392" t="n"/>
      <c r="AX1925" s="1392" t="n"/>
      <c r="AY1925" s="1392" t="n"/>
      <c r="AZ1925" s="1392" t="n"/>
      <c r="BA1925" s="1392" t="n"/>
      <c r="BB1925" s="1422" t="n"/>
      <c r="BC1925" s="1392" t="n"/>
      <c r="BD1925" s="1392" t="n"/>
      <c r="BE1925" s="1392" t="n"/>
      <c r="BF1925" s="1392" t="n"/>
      <c r="BG1925" s="1392" t="n"/>
      <c r="BH1925" s="1392" t="n"/>
      <c r="BI1925" s="1392" t="n"/>
      <c r="BJ1925" s="1392" t="n"/>
      <c r="BK1925" s="1392" t="n"/>
      <c r="BL1925" s="1392" t="n"/>
      <c r="BM1925" s="1392" t="n"/>
      <c r="BN1925" s="1392" t="n"/>
      <c r="BO1925" s="1392" t="n"/>
      <c r="BP1925" s="1392" t="n"/>
      <c r="BQ1925" s="1392" t="n"/>
      <c r="BR1925" s="1392" t="n"/>
      <c r="BS1925" s="1392" t="n"/>
      <c r="BT1925" s="1392" t="n"/>
      <c r="BU1925" s="1416" t="n"/>
      <c r="BV1925" s="1392" t="n"/>
      <c r="BW1925" s="1392" t="n"/>
      <c r="BX1925" s="1392" t="n"/>
      <c r="BY1925" s="1392" t="n"/>
      <c r="BZ1925" s="1416" t="n"/>
      <c r="CA1925" s="1392" t="n"/>
      <c r="CB1925" s="1392" t="n"/>
      <c r="CC1925" s="1392" t="n"/>
      <c r="CD1925" s="1392" t="n"/>
      <c r="CE1925" s="1392" t="n"/>
      <c r="CF1925" s="1392" t="n"/>
      <c r="CG1925" s="1392" t="n"/>
      <c r="CH1925" s="1392" t="n"/>
      <c r="CI1925" s="1392" t="n"/>
      <c r="CJ1925" s="1392" t="n"/>
      <c r="CK1925" s="1392" t="n"/>
      <c r="CL1925" s="1392" t="n"/>
    </row>
    <row r="1926">
      <c r="A1926" s="5" t="inlineStr">
        <is>
          <t>.</t>
        </is>
      </c>
      <c r="B1926" s="5" t="inlineStr">
        <is>
          <t>.</t>
        </is>
      </c>
      <c r="C1926" s="1378">
        <f>IF(raw[[#This Row],[city]]="","-",IF(raw[[#This Row],[city]]="TODAY","-",C1925+1))</f>
        <v/>
      </c>
      <c r="D1926" s="1393" t="n"/>
      <c r="E1926" s="1394" t="n"/>
      <c r="F1926" s="1394" t="n"/>
      <c r="G1926" s="1393" t="n"/>
      <c r="H1926" s="1393" t="n"/>
      <c r="I1926" s="1393" t="n"/>
      <c r="J1926" s="1393" t="n"/>
      <c r="K1926" s="1395">
        <f>IF(raw[[#This Row],[city]]&lt;&gt;"",_xlfn.XLOOKUP($D1926,ccc[city],ccc[prov],"-"),"-")</f>
        <v/>
      </c>
      <c r="L1926" s="1395">
        <f>IF(raw[[#This Row],[city]]&lt;&gt;"",_xlfn.XLOOKUP($D1926,ccc[city],ccc[ctry],"-"),"-")</f>
        <v/>
      </c>
      <c r="M1926" s="1395">
        <f>IF(raw[[#This Row],[city]]&lt;&gt;"",_xlfn.XLOOKUP($D1926,ccc[city],ccc[cont],"-"),"-")</f>
        <v/>
      </c>
      <c r="N1926" s="1396">
        <f>IF(raw[[#This Row],[city]]="","-",IF(raw[[#This Row],[cont]]="B",raw[[#This Row],[cont]],"W"))</f>
        <v/>
      </c>
      <c r="O1926" s="1397">
        <f>IF(raw[[#This Row],[out]]=0,0,IF(raw[[#This Row],[out]]=raw[[#This Row],[in]],0.01,raw[[#This Row],[out]]-raw[[#This Row],[in]]))</f>
        <v/>
      </c>
      <c r="P1926" s="1397">
        <f>IF(raw[[#This Row],[in]]=0,0,MONTH(raw[[#This Row],[in]]))</f>
        <v/>
      </c>
      <c r="Q1926" s="1397">
        <f>IF(raw[[#This Row],[in]]=0,0,YEAR(raw[[#This Row],[in]]))</f>
        <v/>
      </c>
      <c r="R1926" s="1397">
        <f>INT(raw[[#This Row],[yr]]/10)*10</f>
        <v/>
      </c>
      <c r="S1926" s="1395">
        <f>IF(raw[[#This Row],[city]]="","-",IF(raw[[#This Row],[city]]&lt;&gt;_xlfn.XLOOKUP(raw[[#This Row],[home]],homes[home],homes[city],"-"),1,0))</f>
        <v/>
      </c>
      <c r="T1926" s="1398" t="inlineStr">
        <is>
          <t>.</t>
        </is>
      </c>
      <c r="U1926" s="1399">
        <f>IF(raw[[#This Row],[wb]]="w",raw[[#This Row],[stay]]+U1925,U1925)</f>
        <v/>
      </c>
      <c r="V1926" s="1400">
        <f>IF(raw[[#This Row],[out]]=0,V1925,(raw[[#This Row],[out]]-E$5))</f>
        <v/>
      </c>
      <c r="W1926" s="1401">
        <f>U1926/V1926</f>
        <v/>
      </c>
      <c r="X1926" s="1392" t="n"/>
      <c r="Y1926" s="1392" t="n"/>
      <c r="Z1926" s="1422" t="n"/>
      <c r="AA1926" s="1422" t="n"/>
      <c r="AB1926" s="1392" t="n"/>
      <c r="AC1926" s="1392" t="n"/>
      <c r="AD1926" s="1392" t="n"/>
      <c r="AE1926" s="1392" t="n"/>
      <c r="AF1926" s="1392" t="n"/>
      <c r="AG1926" s="1392" t="n"/>
      <c r="AH1926" s="1392" t="n"/>
      <c r="AI1926" s="1392" t="n"/>
      <c r="AJ1926" s="1392" t="n"/>
      <c r="AK1926" s="1392" t="n"/>
      <c r="AL1926" s="1392" t="n"/>
      <c r="AM1926" s="1392" t="n"/>
      <c r="AN1926" s="1392" t="n"/>
      <c r="AO1926" s="1392" t="n"/>
      <c r="AP1926" s="1392" t="n"/>
      <c r="AQ1926" s="1392" t="n"/>
      <c r="AR1926" s="1392" t="n"/>
      <c r="AS1926" s="1422" t="n"/>
      <c r="AT1926" s="1392" t="n"/>
      <c r="AU1926" s="1392" t="n"/>
      <c r="AV1926" s="1392" t="n"/>
      <c r="AW1926" s="1392" t="n"/>
      <c r="AX1926" s="1392" t="n"/>
      <c r="AY1926" s="1392" t="n"/>
      <c r="AZ1926" s="1392" t="n"/>
      <c r="BA1926" s="1392" t="n"/>
      <c r="BB1926" s="1422" t="n"/>
      <c r="BC1926" s="1392" t="n"/>
      <c r="BD1926" s="1392" t="n"/>
      <c r="BE1926" s="1392" t="n"/>
      <c r="BF1926" s="1392" t="n"/>
      <c r="BG1926" s="1392" t="n"/>
      <c r="BH1926" s="1392" t="n"/>
      <c r="BI1926" s="1392" t="n"/>
      <c r="BJ1926" s="1392" t="n"/>
      <c r="BK1926" s="1392" t="n"/>
      <c r="BL1926" s="1392" t="n"/>
      <c r="BM1926" s="1392" t="n"/>
      <c r="BN1926" s="1392" t="n"/>
      <c r="BO1926" s="1392" t="n"/>
      <c r="BP1926" s="1392" t="n"/>
      <c r="BQ1926" s="1392" t="n"/>
      <c r="BR1926" s="1392" t="n"/>
      <c r="BS1926" s="1392" t="n"/>
      <c r="BT1926" s="1392" t="n"/>
      <c r="BU1926" s="1416" t="n"/>
      <c r="BV1926" s="1392" t="n"/>
      <c r="BW1926" s="1392" t="n"/>
      <c r="BX1926" s="1392" t="n"/>
      <c r="BY1926" s="1392" t="n"/>
      <c r="BZ1926" s="1416" t="n"/>
      <c r="CA1926" s="1392" t="n"/>
      <c r="CB1926" s="1392" t="n"/>
      <c r="CC1926" s="1392" t="n"/>
      <c r="CD1926" s="1392" t="n"/>
      <c r="CE1926" s="1392" t="n"/>
      <c r="CF1926" s="1392" t="n"/>
      <c r="CG1926" s="1392" t="n"/>
      <c r="CH1926" s="1392" t="n"/>
      <c r="CI1926" s="1392" t="n"/>
      <c r="CJ1926" s="1392" t="n"/>
      <c r="CK1926" s="1392" t="n"/>
      <c r="CL1926" s="1392" t="n"/>
    </row>
    <row r="1927">
      <c r="A1927" s="5" t="inlineStr">
        <is>
          <t>.</t>
        </is>
      </c>
      <c r="B1927" s="5" t="inlineStr">
        <is>
          <t>.</t>
        </is>
      </c>
      <c r="C1927" s="1378">
        <f>IF(raw[[#This Row],[city]]="","-",IF(raw[[#This Row],[city]]="TODAY","-",C1926+1))</f>
        <v/>
      </c>
      <c r="D1927" s="1393" t="n"/>
      <c r="E1927" s="1394" t="n"/>
      <c r="F1927" s="1394" t="n"/>
      <c r="G1927" s="1393" t="n"/>
      <c r="H1927" s="1393" t="n"/>
      <c r="I1927" s="1393" t="n"/>
      <c r="J1927" s="1393" t="n"/>
      <c r="K1927" s="1395">
        <f>IF(raw[[#This Row],[city]]&lt;&gt;"",_xlfn.XLOOKUP($D1927,ccc[city],ccc[prov],"-"),"-")</f>
        <v/>
      </c>
      <c r="L1927" s="1395">
        <f>IF(raw[[#This Row],[city]]&lt;&gt;"",_xlfn.XLOOKUP($D1927,ccc[city],ccc[ctry],"-"),"-")</f>
        <v/>
      </c>
      <c r="M1927" s="1395">
        <f>IF(raw[[#This Row],[city]]&lt;&gt;"",_xlfn.XLOOKUP($D1927,ccc[city],ccc[cont],"-"),"-")</f>
        <v/>
      </c>
      <c r="N1927" s="1396">
        <f>IF(raw[[#This Row],[city]]="","-",IF(raw[[#This Row],[cont]]="B",raw[[#This Row],[cont]],"W"))</f>
        <v/>
      </c>
      <c r="O1927" s="1397">
        <f>IF(raw[[#This Row],[out]]=0,0,IF(raw[[#This Row],[out]]=raw[[#This Row],[in]],0.01,raw[[#This Row],[out]]-raw[[#This Row],[in]]))</f>
        <v/>
      </c>
      <c r="P1927" s="1397">
        <f>IF(raw[[#This Row],[in]]=0,0,MONTH(raw[[#This Row],[in]]))</f>
        <v/>
      </c>
      <c r="Q1927" s="1397">
        <f>IF(raw[[#This Row],[in]]=0,0,YEAR(raw[[#This Row],[in]]))</f>
        <v/>
      </c>
      <c r="R1927" s="1397">
        <f>INT(raw[[#This Row],[yr]]/10)*10</f>
        <v/>
      </c>
      <c r="S1927" s="1395">
        <f>IF(raw[[#This Row],[city]]="","-",IF(raw[[#This Row],[city]]&lt;&gt;_xlfn.XLOOKUP(raw[[#This Row],[home]],homes[home],homes[city],"-"),1,0))</f>
        <v/>
      </c>
      <c r="T1927" s="1398" t="inlineStr">
        <is>
          <t>.</t>
        </is>
      </c>
      <c r="U1927" s="1399">
        <f>IF(raw[[#This Row],[wb]]="w",raw[[#This Row],[stay]]+U1926,U1926)</f>
        <v/>
      </c>
      <c r="V1927" s="1400">
        <f>IF(raw[[#This Row],[out]]=0,V1926,(raw[[#This Row],[out]]-E$5))</f>
        <v/>
      </c>
      <c r="W1927" s="1401">
        <f>U1927/V1927</f>
        <v/>
      </c>
      <c r="X1927" s="1392" t="n"/>
      <c r="Y1927" s="1392" t="n"/>
      <c r="Z1927" s="1422" t="n"/>
      <c r="AA1927" s="1422" t="n"/>
      <c r="AB1927" s="1392" t="n"/>
      <c r="AC1927" s="1392" t="n"/>
      <c r="AD1927" s="1392" t="n"/>
      <c r="AE1927" s="1392" t="n"/>
      <c r="AF1927" s="1392" t="n"/>
      <c r="AG1927" s="1392" t="n"/>
      <c r="AH1927" s="1392" t="n"/>
      <c r="AI1927" s="1392" t="n"/>
      <c r="AJ1927" s="1392" t="n"/>
      <c r="AK1927" s="1392" t="n"/>
      <c r="AL1927" s="1392" t="n"/>
      <c r="AM1927" s="1392" t="n"/>
      <c r="AN1927" s="1392" t="n"/>
      <c r="AO1927" s="1392" t="n"/>
      <c r="AP1927" s="1392" t="n"/>
      <c r="AQ1927" s="1392" t="n"/>
      <c r="AR1927" s="1392" t="n"/>
      <c r="AS1927" s="1422" t="n"/>
      <c r="AT1927" s="1392" t="n"/>
      <c r="AU1927" s="1392" t="n"/>
      <c r="AV1927" s="1392" t="n"/>
      <c r="AW1927" s="1392" t="n"/>
      <c r="AX1927" s="1392" t="n"/>
      <c r="AY1927" s="1392" t="n"/>
      <c r="AZ1927" s="1392" t="n"/>
      <c r="BA1927" s="1392" t="n"/>
      <c r="BB1927" s="1422" t="n"/>
      <c r="BC1927" s="1392" t="n"/>
      <c r="BD1927" s="1392" t="n"/>
      <c r="BE1927" s="1392" t="n"/>
      <c r="BF1927" s="1392" t="n"/>
      <c r="BG1927" s="1392" t="n"/>
      <c r="BH1927" s="1392" t="n"/>
      <c r="BI1927" s="1392" t="n"/>
      <c r="BJ1927" s="1392" t="n"/>
      <c r="BK1927" s="1392" t="n"/>
      <c r="BL1927" s="1392" t="n"/>
      <c r="BM1927" s="1392" t="n"/>
      <c r="BN1927" s="1392" t="n"/>
      <c r="BO1927" s="1392" t="n"/>
      <c r="BP1927" s="1392" t="n"/>
      <c r="BQ1927" s="1392" t="n"/>
      <c r="BR1927" s="1392" t="n"/>
      <c r="BS1927" s="1392" t="n"/>
      <c r="BT1927" s="1392" t="n"/>
      <c r="BU1927" s="1416" t="n"/>
      <c r="BV1927" s="1392" t="n"/>
      <c r="BW1927" s="1392" t="n"/>
      <c r="BX1927" s="1392" t="n"/>
      <c r="BY1927" s="1392" t="n"/>
      <c r="BZ1927" s="1416" t="n"/>
      <c r="CA1927" s="1392" t="n"/>
      <c r="CB1927" s="1392" t="n"/>
      <c r="CC1927" s="1392" t="n"/>
      <c r="CD1927" s="1392" t="n"/>
      <c r="CE1927" s="1392" t="n"/>
      <c r="CF1927" s="1392" t="n"/>
      <c r="CG1927" s="1392" t="n"/>
      <c r="CH1927" s="1392" t="n"/>
      <c r="CI1927" s="1392" t="n"/>
      <c r="CJ1927" s="1392" t="n"/>
      <c r="CK1927" s="1392" t="n"/>
      <c r="CL1927" s="1392" t="n"/>
    </row>
    <row r="1928">
      <c r="A1928" s="5" t="inlineStr">
        <is>
          <t>.</t>
        </is>
      </c>
      <c r="B1928" s="5" t="inlineStr">
        <is>
          <t>.</t>
        </is>
      </c>
      <c r="C1928" s="1378">
        <f>IF(raw[[#This Row],[city]]="","-",IF(raw[[#This Row],[city]]="TODAY","-",C1927+1))</f>
        <v/>
      </c>
      <c r="D1928" s="1393" t="n"/>
      <c r="E1928" s="1394" t="n"/>
      <c r="F1928" s="1394" t="n"/>
      <c r="G1928" s="1393" t="n"/>
      <c r="H1928" s="1393" t="n"/>
      <c r="I1928" s="1393" t="n"/>
      <c r="J1928" s="1393" t="n"/>
      <c r="K1928" s="1395">
        <f>IF(raw[[#This Row],[city]]&lt;&gt;"",_xlfn.XLOOKUP($D1928,ccc[city],ccc[prov],"-"),"-")</f>
        <v/>
      </c>
      <c r="L1928" s="1395">
        <f>IF(raw[[#This Row],[city]]&lt;&gt;"",_xlfn.XLOOKUP($D1928,ccc[city],ccc[ctry],"-"),"-")</f>
        <v/>
      </c>
      <c r="M1928" s="1395">
        <f>IF(raw[[#This Row],[city]]&lt;&gt;"",_xlfn.XLOOKUP($D1928,ccc[city],ccc[cont],"-"),"-")</f>
        <v/>
      </c>
      <c r="N1928" s="1396">
        <f>IF(raw[[#This Row],[city]]="","-",IF(raw[[#This Row],[cont]]="B",raw[[#This Row],[cont]],"W"))</f>
        <v/>
      </c>
      <c r="O1928" s="1397">
        <f>IF(raw[[#This Row],[out]]=0,0,IF(raw[[#This Row],[out]]=raw[[#This Row],[in]],0.01,raw[[#This Row],[out]]-raw[[#This Row],[in]]))</f>
        <v/>
      </c>
      <c r="P1928" s="1397">
        <f>IF(raw[[#This Row],[in]]=0,0,MONTH(raw[[#This Row],[in]]))</f>
        <v/>
      </c>
      <c r="Q1928" s="1397">
        <f>IF(raw[[#This Row],[in]]=0,0,YEAR(raw[[#This Row],[in]]))</f>
        <v/>
      </c>
      <c r="R1928" s="1397">
        <f>INT(raw[[#This Row],[yr]]/10)*10</f>
        <v/>
      </c>
      <c r="S1928" s="1395">
        <f>IF(raw[[#This Row],[city]]="","-",IF(raw[[#This Row],[city]]&lt;&gt;_xlfn.XLOOKUP(raw[[#This Row],[home]],homes[home],homes[city],"-"),1,0))</f>
        <v/>
      </c>
      <c r="T1928" s="1398" t="inlineStr">
        <is>
          <t>.</t>
        </is>
      </c>
      <c r="U1928" s="1399">
        <f>IF(raw[[#This Row],[wb]]="w",raw[[#This Row],[stay]]+U1927,U1927)</f>
        <v/>
      </c>
      <c r="V1928" s="1400">
        <f>IF(raw[[#This Row],[out]]=0,V1927,(raw[[#This Row],[out]]-E$5))</f>
        <v/>
      </c>
      <c r="W1928" s="1401">
        <f>U1928/V1928</f>
        <v/>
      </c>
      <c r="X1928" s="1392" t="n"/>
      <c r="Y1928" s="1392" t="n"/>
      <c r="Z1928" s="1422" t="n"/>
      <c r="AA1928" s="1422" t="n"/>
      <c r="AB1928" s="1392" t="n"/>
      <c r="AC1928" s="1392" t="n"/>
      <c r="AD1928" s="1392" t="n"/>
      <c r="AE1928" s="1392" t="n"/>
      <c r="AF1928" s="1392" t="n"/>
      <c r="AG1928" s="1392" t="n"/>
      <c r="AH1928" s="1392" t="n"/>
      <c r="AI1928" s="1392" t="n"/>
      <c r="AJ1928" s="1392" t="n"/>
      <c r="AK1928" s="1392" t="n"/>
      <c r="AL1928" s="1392" t="n"/>
      <c r="AM1928" s="1392" t="n"/>
      <c r="AN1928" s="1392" t="n"/>
      <c r="AO1928" s="1392" t="n"/>
      <c r="AP1928" s="1392" t="n"/>
      <c r="AQ1928" s="1392" t="n"/>
      <c r="AR1928" s="1392" t="n"/>
      <c r="AS1928" s="1422" t="n"/>
      <c r="AT1928" s="1392" t="n"/>
      <c r="AU1928" s="1392" t="n"/>
      <c r="AV1928" s="1392" t="n"/>
      <c r="AW1928" s="1392" t="n"/>
      <c r="AX1928" s="1392" t="n"/>
      <c r="AY1928" s="1392" t="n"/>
      <c r="AZ1928" s="1392" t="n"/>
      <c r="BA1928" s="1392" t="n"/>
      <c r="BB1928" s="1422" t="n"/>
      <c r="BC1928" s="1392" t="n"/>
      <c r="BD1928" s="1392" t="n"/>
      <c r="BE1928" s="1392" t="n"/>
      <c r="BF1928" s="1392" t="n"/>
      <c r="BG1928" s="1392" t="n"/>
      <c r="BH1928" s="1392" t="n"/>
      <c r="BI1928" s="1392" t="n"/>
      <c r="BJ1928" s="1392" t="n"/>
      <c r="BK1928" s="1392" t="n"/>
      <c r="BL1928" s="1392" t="n"/>
      <c r="BM1928" s="1392" t="n"/>
      <c r="BN1928" s="1392" t="n"/>
      <c r="BO1928" s="1392" t="n"/>
      <c r="BP1928" s="1392" t="n"/>
      <c r="BQ1928" s="1392" t="n"/>
      <c r="BR1928" s="1392" t="n"/>
      <c r="BS1928" s="1392" t="n"/>
      <c r="BT1928" s="1392" t="n"/>
      <c r="BU1928" s="1416" t="n"/>
      <c r="BV1928" s="1392" t="n"/>
      <c r="BW1928" s="1392" t="n"/>
      <c r="BX1928" s="1392" t="n"/>
      <c r="BY1928" s="1392" t="n"/>
      <c r="BZ1928" s="1416" t="n"/>
      <c r="CA1928" s="1392" t="n"/>
      <c r="CB1928" s="1392" t="n"/>
      <c r="CC1928" s="1392" t="n"/>
      <c r="CD1928" s="1392" t="n"/>
      <c r="CE1928" s="1392" t="n"/>
      <c r="CF1928" s="1392" t="n"/>
      <c r="CG1928" s="1392" t="n"/>
      <c r="CH1928" s="1392" t="n"/>
      <c r="CI1928" s="1392" t="n"/>
      <c r="CJ1928" s="1392" t="n"/>
      <c r="CK1928" s="1392" t="n"/>
      <c r="CL1928" s="1392" t="n"/>
    </row>
    <row r="1929">
      <c r="A1929" s="5" t="inlineStr">
        <is>
          <t>.</t>
        </is>
      </c>
      <c r="B1929" s="5" t="inlineStr">
        <is>
          <t>.</t>
        </is>
      </c>
      <c r="C1929" s="1378">
        <f>IF(raw[[#This Row],[city]]="","-",IF(raw[[#This Row],[city]]="TODAY","-",C1928+1))</f>
        <v/>
      </c>
      <c r="D1929" s="1393" t="n"/>
      <c r="E1929" s="1394" t="n"/>
      <c r="F1929" s="1394" t="n"/>
      <c r="G1929" s="1393" t="n"/>
      <c r="H1929" s="1393" t="n"/>
      <c r="I1929" s="1393" t="n"/>
      <c r="J1929" s="1393" t="n"/>
      <c r="K1929" s="1395">
        <f>IF(raw[[#This Row],[city]]&lt;&gt;"",_xlfn.XLOOKUP($D1929,ccc[city],ccc[prov],"-"),"-")</f>
        <v/>
      </c>
      <c r="L1929" s="1395">
        <f>IF(raw[[#This Row],[city]]&lt;&gt;"",_xlfn.XLOOKUP($D1929,ccc[city],ccc[ctry],"-"),"-")</f>
        <v/>
      </c>
      <c r="M1929" s="1395">
        <f>IF(raw[[#This Row],[city]]&lt;&gt;"",_xlfn.XLOOKUP($D1929,ccc[city],ccc[cont],"-"),"-")</f>
        <v/>
      </c>
      <c r="N1929" s="1396">
        <f>IF(raw[[#This Row],[city]]="","-",IF(raw[[#This Row],[cont]]="B",raw[[#This Row],[cont]],"W"))</f>
        <v/>
      </c>
      <c r="O1929" s="1397">
        <f>IF(raw[[#This Row],[out]]=0,0,IF(raw[[#This Row],[out]]=raw[[#This Row],[in]],0.01,raw[[#This Row],[out]]-raw[[#This Row],[in]]))</f>
        <v/>
      </c>
      <c r="P1929" s="1397">
        <f>IF(raw[[#This Row],[in]]=0,0,MONTH(raw[[#This Row],[in]]))</f>
        <v/>
      </c>
      <c r="Q1929" s="1397">
        <f>IF(raw[[#This Row],[in]]=0,0,YEAR(raw[[#This Row],[in]]))</f>
        <v/>
      </c>
      <c r="R1929" s="1397">
        <f>INT(raw[[#This Row],[yr]]/10)*10</f>
        <v/>
      </c>
      <c r="S1929" s="1395">
        <f>IF(raw[[#This Row],[city]]="","-",IF(raw[[#This Row],[city]]&lt;&gt;_xlfn.XLOOKUP(raw[[#This Row],[home]],homes[home],homes[city],"-"),1,0))</f>
        <v/>
      </c>
      <c r="T1929" s="1398" t="inlineStr">
        <is>
          <t>.</t>
        </is>
      </c>
      <c r="U1929" s="1399">
        <f>IF(raw[[#This Row],[wb]]="w",raw[[#This Row],[stay]]+U1928,U1928)</f>
        <v/>
      </c>
      <c r="V1929" s="1400">
        <f>IF(raw[[#This Row],[out]]=0,V1928,(raw[[#This Row],[out]]-E$5))</f>
        <v/>
      </c>
      <c r="W1929" s="1401">
        <f>U1929/V1929</f>
        <v/>
      </c>
      <c r="X1929" s="1392" t="n"/>
      <c r="Y1929" s="1392" t="n"/>
      <c r="Z1929" s="1422" t="n"/>
      <c r="AA1929" s="1422" t="n"/>
      <c r="AB1929" s="1392" t="n"/>
      <c r="AC1929" s="1392" t="n"/>
      <c r="AD1929" s="1392" t="n"/>
      <c r="AE1929" s="1392" t="n"/>
      <c r="AF1929" s="1392" t="n"/>
      <c r="AG1929" s="1392" t="n"/>
      <c r="AH1929" s="1392" t="n"/>
      <c r="AI1929" s="1392" t="n"/>
      <c r="AJ1929" s="1392" t="n"/>
      <c r="AK1929" s="1392" t="n"/>
      <c r="AL1929" s="1392" t="n"/>
      <c r="AM1929" s="1392" t="n"/>
      <c r="AN1929" s="1392" t="n"/>
      <c r="AO1929" s="1392" t="n"/>
      <c r="AP1929" s="1392" t="n"/>
      <c r="AQ1929" s="1392" t="n"/>
      <c r="AR1929" s="1392" t="n"/>
      <c r="AS1929" s="1422" t="n"/>
      <c r="AT1929" s="1392" t="n"/>
      <c r="AU1929" s="1392" t="n"/>
      <c r="AV1929" s="1392" t="n"/>
      <c r="AW1929" s="1392" t="n"/>
      <c r="AX1929" s="1392" t="n"/>
      <c r="AY1929" s="1392" t="n"/>
      <c r="AZ1929" s="1392" t="n"/>
      <c r="BA1929" s="1392" t="n"/>
      <c r="BB1929" s="1422" t="n"/>
      <c r="BC1929" s="1392" t="n"/>
      <c r="BD1929" s="1392" t="n"/>
      <c r="BE1929" s="1392" t="n"/>
      <c r="BF1929" s="1392" t="n"/>
      <c r="BG1929" s="1392" t="n"/>
      <c r="BH1929" s="1392" t="n"/>
      <c r="BI1929" s="1392" t="n"/>
      <c r="BJ1929" s="1392" t="n"/>
      <c r="BK1929" s="1392" t="n"/>
      <c r="BL1929" s="1392" t="n"/>
      <c r="BM1929" s="1392" t="n"/>
      <c r="BN1929" s="1392" t="n"/>
      <c r="BO1929" s="1392" t="n"/>
      <c r="BP1929" s="1392" t="n"/>
      <c r="BQ1929" s="1392" t="n"/>
      <c r="BR1929" s="1392" t="n"/>
      <c r="BS1929" s="1392" t="n"/>
      <c r="BT1929" s="1392" t="n"/>
      <c r="BU1929" s="1416" t="n"/>
      <c r="BV1929" s="1392" t="n"/>
      <c r="BW1929" s="1392" t="n"/>
      <c r="BX1929" s="1392" t="n"/>
      <c r="BY1929" s="1392" t="n"/>
      <c r="BZ1929" s="1416" t="n"/>
      <c r="CA1929" s="1392" t="n"/>
      <c r="CB1929" s="1392" t="n"/>
      <c r="CC1929" s="1392" t="n"/>
      <c r="CD1929" s="1392" t="n"/>
      <c r="CE1929" s="1392" t="n"/>
      <c r="CF1929" s="1392" t="n"/>
      <c r="CG1929" s="1392" t="n"/>
      <c r="CH1929" s="1392" t="n"/>
      <c r="CI1929" s="1392" t="n"/>
      <c r="CJ1929" s="1392" t="n"/>
      <c r="CK1929" s="1392" t="n"/>
      <c r="CL1929" s="1392" t="n"/>
    </row>
    <row r="1930">
      <c r="A1930" s="5" t="inlineStr">
        <is>
          <t>.</t>
        </is>
      </c>
      <c r="B1930" s="5" t="inlineStr">
        <is>
          <t>.</t>
        </is>
      </c>
      <c r="C1930" s="1378">
        <f>IF(raw[[#This Row],[city]]="","-",IF(raw[[#This Row],[city]]="TODAY","-",C1929+1))</f>
        <v/>
      </c>
      <c r="D1930" s="1393" t="n"/>
      <c r="E1930" s="1394" t="n"/>
      <c r="F1930" s="1394" t="n"/>
      <c r="G1930" s="1393" t="n"/>
      <c r="H1930" s="1393" t="n"/>
      <c r="I1930" s="1393" t="n"/>
      <c r="J1930" s="1393" t="n"/>
      <c r="K1930" s="1395">
        <f>IF(raw[[#This Row],[city]]&lt;&gt;"",_xlfn.XLOOKUP($D1930,ccc[city],ccc[prov],"-"),"-")</f>
        <v/>
      </c>
      <c r="L1930" s="1395">
        <f>IF(raw[[#This Row],[city]]&lt;&gt;"",_xlfn.XLOOKUP($D1930,ccc[city],ccc[ctry],"-"),"-")</f>
        <v/>
      </c>
      <c r="M1930" s="1395">
        <f>IF(raw[[#This Row],[city]]&lt;&gt;"",_xlfn.XLOOKUP($D1930,ccc[city],ccc[cont],"-"),"-")</f>
        <v/>
      </c>
      <c r="N1930" s="1396">
        <f>IF(raw[[#This Row],[city]]="","-",IF(raw[[#This Row],[cont]]="B",raw[[#This Row],[cont]],"W"))</f>
        <v/>
      </c>
      <c r="O1930" s="1397">
        <f>IF(raw[[#This Row],[out]]=0,0,IF(raw[[#This Row],[out]]=raw[[#This Row],[in]],0.01,raw[[#This Row],[out]]-raw[[#This Row],[in]]))</f>
        <v/>
      </c>
      <c r="P1930" s="1397">
        <f>IF(raw[[#This Row],[in]]=0,0,MONTH(raw[[#This Row],[in]]))</f>
        <v/>
      </c>
      <c r="Q1930" s="1397">
        <f>IF(raw[[#This Row],[in]]=0,0,YEAR(raw[[#This Row],[in]]))</f>
        <v/>
      </c>
      <c r="R1930" s="1397">
        <f>INT(raw[[#This Row],[yr]]/10)*10</f>
        <v/>
      </c>
      <c r="S1930" s="1395">
        <f>IF(raw[[#This Row],[city]]="","-",IF(raw[[#This Row],[city]]&lt;&gt;_xlfn.XLOOKUP(raw[[#This Row],[home]],homes[home],homes[city],"-"),1,0))</f>
        <v/>
      </c>
      <c r="T1930" s="1398" t="inlineStr">
        <is>
          <t>.</t>
        </is>
      </c>
      <c r="U1930" s="1399">
        <f>IF(raw[[#This Row],[wb]]="w",raw[[#This Row],[stay]]+U1929,U1929)</f>
        <v/>
      </c>
      <c r="V1930" s="1400">
        <f>IF(raw[[#This Row],[out]]=0,V1929,(raw[[#This Row],[out]]-E$5))</f>
        <v/>
      </c>
      <c r="W1930" s="1401">
        <f>U1930/V1930</f>
        <v/>
      </c>
      <c r="X1930" s="1392" t="n"/>
      <c r="Y1930" s="1392" t="n"/>
      <c r="Z1930" s="1422" t="n"/>
      <c r="AA1930" s="1422" t="n"/>
      <c r="AB1930" s="1392" t="n"/>
      <c r="AC1930" s="1392" t="n"/>
      <c r="AD1930" s="1392" t="n"/>
      <c r="AE1930" s="1392" t="n"/>
      <c r="AF1930" s="1392" t="n"/>
      <c r="AG1930" s="1392" t="n"/>
      <c r="AH1930" s="1392" t="n"/>
      <c r="AI1930" s="1392" t="n"/>
      <c r="AJ1930" s="1392" t="n"/>
      <c r="AK1930" s="1392" t="n"/>
      <c r="AL1930" s="1392" t="n"/>
      <c r="AM1930" s="1392" t="n"/>
      <c r="AN1930" s="1392" t="n"/>
      <c r="AO1930" s="1392" t="n"/>
      <c r="AP1930" s="1392" t="n"/>
      <c r="AQ1930" s="1392" t="n"/>
      <c r="AR1930" s="1392" t="n"/>
      <c r="AS1930" s="1422" t="n"/>
      <c r="AT1930" s="1392" t="n"/>
      <c r="AU1930" s="1392" t="n"/>
      <c r="AV1930" s="1392" t="n"/>
      <c r="AW1930" s="1392" t="n"/>
      <c r="AX1930" s="1392" t="n"/>
      <c r="AY1930" s="1392" t="n"/>
      <c r="AZ1930" s="1392" t="n"/>
      <c r="BA1930" s="1392" t="n"/>
      <c r="BB1930" s="1422" t="n"/>
      <c r="BC1930" s="1392" t="n"/>
      <c r="BD1930" s="1392" t="n"/>
      <c r="BE1930" s="1392" t="n"/>
      <c r="BF1930" s="1392" t="n"/>
      <c r="BG1930" s="1392" t="n"/>
      <c r="BH1930" s="1392" t="n"/>
      <c r="BI1930" s="1392" t="n"/>
      <c r="BJ1930" s="1392" t="n"/>
      <c r="BK1930" s="1392" t="n"/>
      <c r="BL1930" s="1392" t="n"/>
      <c r="BM1930" s="1392" t="n"/>
      <c r="BN1930" s="1392" t="n"/>
      <c r="BO1930" s="1392" t="n"/>
      <c r="BP1930" s="1392" t="n"/>
      <c r="BQ1930" s="1392" t="n"/>
      <c r="BR1930" s="1392" t="n"/>
      <c r="BS1930" s="1392" t="n"/>
      <c r="BT1930" s="1392" t="n"/>
      <c r="BU1930" s="1416" t="n"/>
      <c r="BV1930" s="1392" t="n"/>
      <c r="BW1930" s="1392" t="n"/>
      <c r="BX1930" s="1392" t="n"/>
      <c r="BY1930" s="1392" t="n"/>
      <c r="BZ1930" s="1416" t="n"/>
      <c r="CA1930" s="1392" t="n"/>
      <c r="CB1930" s="1392" t="n"/>
      <c r="CC1930" s="1392" t="n"/>
      <c r="CD1930" s="1392" t="n"/>
      <c r="CE1930" s="1392" t="n"/>
      <c r="CF1930" s="1392" t="n"/>
      <c r="CG1930" s="1392" t="n"/>
      <c r="CH1930" s="1392" t="n"/>
      <c r="CI1930" s="1392" t="n"/>
      <c r="CJ1930" s="1392" t="n"/>
      <c r="CK1930" s="1392" t="n"/>
      <c r="CL1930" s="1392" t="n"/>
    </row>
    <row r="1931">
      <c r="A1931" s="5" t="inlineStr">
        <is>
          <t>.</t>
        </is>
      </c>
      <c r="B1931" s="5" t="inlineStr">
        <is>
          <t>.</t>
        </is>
      </c>
      <c r="C1931" s="1378">
        <f>IF(raw[[#This Row],[city]]="","-",IF(raw[[#This Row],[city]]="TODAY","-",C1930+1))</f>
        <v/>
      </c>
      <c r="D1931" s="1393" t="n"/>
      <c r="E1931" s="1394" t="n"/>
      <c r="F1931" s="1394" t="n"/>
      <c r="G1931" s="1393" t="n"/>
      <c r="H1931" s="1393" t="n"/>
      <c r="I1931" s="1393" t="n"/>
      <c r="J1931" s="1393" t="n"/>
      <c r="K1931" s="1395">
        <f>IF(raw[[#This Row],[city]]&lt;&gt;"",_xlfn.XLOOKUP($D1931,ccc[city],ccc[prov],"-"),"-")</f>
        <v/>
      </c>
      <c r="L1931" s="1395">
        <f>IF(raw[[#This Row],[city]]&lt;&gt;"",_xlfn.XLOOKUP($D1931,ccc[city],ccc[ctry],"-"),"-")</f>
        <v/>
      </c>
      <c r="M1931" s="1395">
        <f>IF(raw[[#This Row],[city]]&lt;&gt;"",_xlfn.XLOOKUP($D1931,ccc[city],ccc[cont],"-"),"-")</f>
        <v/>
      </c>
      <c r="N1931" s="1396">
        <f>IF(raw[[#This Row],[city]]="","-",IF(raw[[#This Row],[cont]]="B",raw[[#This Row],[cont]],"W"))</f>
        <v/>
      </c>
      <c r="O1931" s="1397">
        <f>IF(raw[[#This Row],[out]]=0,0,IF(raw[[#This Row],[out]]=raw[[#This Row],[in]],0.01,raw[[#This Row],[out]]-raw[[#This Row],[in]]))</f>
        <v/>
      </c>
      <c r="P1931" s="1397">
        <f>IF(raw[[#This Row],[in]]=0,0,MONTH(raw[[#This Row],[in]]))</f>
        <v/>
      </c>
      <c r="Q1931" s="1397">
        <f>IF(raw[[#This Row],[in]]=0,0,YEAR(raw[[#This Row],[in]]))</f>
        <v/>
      </c>
      <c r="R1931" s="1397">
        <f>INT(raw[[#This Row],[yr]]/10)*10</f>
        <v/>
      </c>
      <c r="S1931" s="1395">
        <f>IF(raw[[#This Row],[city]]="","-",IF(raw[[#This Row],[city]]&lt;&gt;_xlfn.XLOOKUP(raw[[#This Row],[home]],homes[home],homes[city],"-"),1,0))</f>
        <v/>
      </c>
      <c r="T1931" s="1398" t="inlineStr">
        <is>
          <t>.</t>
        </is>
      </c>
      <c r="U1931" s="1399">
        <f>IF(raw[[#This Row],[wb]]="w",raw[[#This Row],[stay]]+U1930,U1930)</f>
        <v/>
      </c>
      <c r="V1931" s="1400">
        <f>IF(raw[[#This Row],[out]]=0,V1930,(raw[[#This Row],[out]]-E$5))</f>
        <v/>
      </c>
      <c r="W1931" s="1401">
        <f>U1931/V1931</f>
        <v/>
      </c>
      <c r="X1931" s="1392" t="n"/>
      <c r="Y1931" s="1392" t="n"/>
      <c r="Z1931" s="1422" t="n"/>
      <c r="AA1931" s="1422" t="n"/>
      <c r="AB1931" s="1392" t="n"/>
      <c r="AC1931" s="1392" t="n"/>
      <c r="AD1931" s="1392" t="n"/>
      <c r="AE1931" s="1392" t="n"/>
      <c r="AF1931" s="1392" t="n"/>
      <c r="AG1931" s="1392" t="n"/>
      <c r="AH1931" s="1392" t="n"/>
      <c r="AI1931" s="1392" t="n"/>
      <c r="AJ1931" s="1392" t="n"/>
      <c r="AK1931" s="1392" t="n"/>
      <c r="AL1931" s="1392" t="n"/>
      <c r="AM1931" s="1392" t="n"/>
      <c r="AN1931" s="1392" t="n"/>
      <c r="AO1931" s="1392" t="n"/>
      <c r="AP1931" s="1392" t="n"/>
      <c r="AQ1931" s="1392" t="n"/>
      <c r="AR1931" s="1392" t="n"/>
      <c r="AS1931" s="1422" t="n"/>
      <c r="AT1931" s="1392" t="n"/>
      <c r="AU1931" s="1392" t="n"/>
      <c r="AV1931" s="1392" t="n"/>
      <c r="AW1931" s="1392" t="n"/>
      <c r="AX1931" s="1392" t="n"/>
      <c r="AY1931" s="1392" t="n"/>
      <c r="AZ1931" s="1392" t="n"/>
      <c r="BA1931" s="1392" t="n"/>
      <c r="BB1931" s="1422" t="n"/>
      <c r="BC1931" s="1392" t="n"/>
      <c r="BD1931" s="1392" t="n"/>
      <c r="BE1931" s="1392" t="n"/>
      <c r="BF1931" s="1392" t="n"/>
      <c r="BG1931" s="1392" t="n"/>
      <c r="BH1931" s="1392" t="n"/>
      <c r="BI1931" s="1392" t="n"/>
      <c r="BJ1931" s="1392" t="n"/>
      <c r="BK1931" s="1392" t="n"/>
      <c r="BL1931" s="1392" t="n"/>
      <c r="BM1931" s="1392" t="n"/>
      <c r="BN1931" s="1392" t="n"/>
      <c r="BO1931" s="1392" t="n"/>
      <c r="BP1931" s="1392" t="n"/>
      <c r="BQ1931" s="1392" t="n"/>
      <c r="BR1931" s="1392" t="n"/>
      <c r="BS1931" s="1392" t="n"/>
      <c r="BT1931" s="1392" t="n"/>
      <c r="BU1931" s="1416" t="n"/>
      <c r="BV1931" s="1392" t="n"/>
      <c r="BW1931" s="1392" t="n"/>
      <c r="BX1931" s="1392" t="n"/>
      <c r="BY1931" s="1392" t="n"/>
      <c r="BZ1931" s="1416" t="n"/>
      <c r="CA1931" s="1392" t="n"/>
      <c r="CB1931" s="1392" t="n"/>
      <c r="CC1931" s="1392" t="n"/>
      <c r="CD1931" s="1392" t="n"/>
      <c r="CE1931" s="1392" t="n"/>
      <c r="CF1931" s="1392" t="n"/>
      <c r="CG1931" s="1392" t="n"/>
      <c r="CH1931" s="1392" t="n"/>
      <c r="CI1931" s="1392" t="n"/>
      <c r="CJ1931" s="1392" t="n"/>
      <c r="CK1931" s="1392" t="n"/>
      <c r="CL1931" s="1392" t="n"/>
    </row>
    <row r="1932">
      <c r="A1932" s="5" t="inlineStr">
        <is>
          <t>.</t>
        </is>
      </c>
      <c r="B1932" s="5" t="inlineStr">
        <is>
          <t>.</t>
        </is>
      </c>
      <c r="C1932" s="1378">
        <f>IF(raw[[#This Row],[city]]="","-",IF(raw[[#This Row],[city]]="TODAY","-",C1931+1))</f>
        <v/>
      </c>
      <c r="D1932" s="1393" t="n"/>
      <c r="E1932" s="1394" t="n"/>
      <c r="F1932" s="1394" t="n"/>
      <c r="G1932" s="1393" t="n"/>
      <c r="H1932" s="1393" t="n"/>
      <c r="I1932" s="1393" t="n"/>
      <c r="J1932" s="1393" t="n"/>
      <c r="K1932" s="1395">
        <f>IF(raw[[#This Row],[city]]&lt;&gt;"",_xlfn.XLOOKUP($D1932,ccc[city],ccc[prov],"-"),"-")</f>
        <v/>
      </c>
      <c r="L1932" s="1395">
        <f>IF(raw[[#This Row],[city]]&lt;&gt;"",_xlfn.XLOOKUP($D1932,ccc[city],ccc[ctry],"-"),"-")</f>
        <v/>
      </c>
      <c r="M1932" s="1395">
        <f>IF(raw[[#This Row],[city]]&lt;&gt;"",_xlfn.XLOOKUP($D1932,ccc[city],ccc[cont],"-"),"-")</f>
        <v/>
      </c>
      <c r="N1932" s="1396">
        <f>IF(raw[[#This Row],[city]]="","-",IF(raw[[#This Row],[cont]]="B",raw[[#This Row],[cont]],"W"))</f>
        <v/>
      </c>
      <c r="O1932" s="1397">
        <f>IF(raw[[#This Row],[out]]=0,0,IF(raw[[#This Row],[out]]=raw[[#This Row],[in]],0.01,raw[[#This Row],[out]]-raw[[#This Row],[in]]))</f>
        <v/>
      </c>
      <c r="P1932" s="1397">
        <f>IF(raw[[#This Row],[in]]=0,0,MONTH(raw[[#This Row],[in]]))</f>
        <v/>
      </c>
      <c r="Q1932" s="1397">
        <f>IF(raw[[#This Row],[in]]=0,0,YEAR(raw[[#This Row],[in]]))</f>
        <v/>
      </c>
      <c r="R1932" s="1397">
        <f>INT(raw[[#This Row],[yr]]/10)*10</f>
        <v/>
      </c>
      <c r="S1932" s="1395">
        <f>IF(raw[[#This Row],[city]]="","-",IF(raw[[#This Row],[city]]&lt;&gt;_xlfn.XLOOKUP(raw[[#This Row],[home]],homes[home],homes[city],"-"),1,0))</f>
        <v/>
      </c>
      <c r="T1932" s="1398" t="inlineStr">
        <is>
          <t>.</t>
        </is>
      </c>
      <c r="U1932" s="1399">
        <f>IF(raw[[#This Row],[wb]]="w",raw[[#This Row],[stay]]+U1931,U1931)</f>
        <v/>
      </c>
      <c r="V1932" s="1400">
        <f>IF(raw[[#This Row],[out]]=0,V1931,(raw[[#This Row],[out]]-E$5))</f>
        <v/>
      </c>
      <c r="W1932" s="1401">
        <f>U1932/V1932</f>
        <v/>
      </c>
      <c r="X1932" s="1392" t="n"/>
      <c r="Y1932" s="1392" t="n"/>
      <c r="Z1932" s="1422" t="n"/>
      <c r="AA1932" s="1422" t="n"/>
      <c r="AB1932" s="1392" t="n"/>
      <c r="AC1932" s="1392" t="n"/>
      <c r="AD1932" s="1392" t="n"/>
      <c r="AE1932" s="1392" t="n"/>
      <c r="AF1932" s="1392" t="n"/>
      <c r="AG1932" s="1392" t="n"/>
      <c r="AH1932" s="1392" t="n"/>
      <c r="AI1932" s="1392" t="n"/>
      <c r="AJ1932" s="1392" t="n"/>
      <c r="AK1932" s="1392" t="n"/>
      <c r="AL1932" s="1392" t="n"/>
      <c r="AM1932" s="1392" t="n"/>
      <c r="AN1932" s="1392" t="n"/>
      <c r="AO1932" s="1392" t="n"/>
      <c r="AP1932" s="1392" t="n"/>
      <c r="AQ1932" s="1392" t="n"/>
      <c r="AR1932" s="1392" t="n"/>
      <c r="AS1932" s="1422" t="n"/>
      <c r="AT1932" s="1392" t="n"/>
      <c r="AU1932" s="1392" t="n"/>
      <c r="AV1932" s="1392" t="n"/>
      <c r="AW1932" s="1392" t="n"/>
      <c r="AX1932" s="1392" t="n"/>
      <c r="AY1932" s="1392" t="n"/>
      <c r="AZ1932" s="1392" t="n"/>
      <c r="BA1932" s="1392" t="n"/>
      <c r="BB1932" s="1422" t="n"/>
      <c r="BC1932" s="1392" t="n"/>
      <c r="BD1932" s="1392" t="n"/>
      <c r="BE1932" s="1392" t="n"/>
      <c r="BF1932" s="1392" t="n"/>
      <c r="BG1932" s="1392" t="n"/>
      <c r="BH1932" s="1392" t="n"/>
      <c r="BI1932" s="1392" t="n"/>
      <c r="BJ1932" s="1392" t="n"/>
      <c r="BK1932" s="1392" t="n"/>
      <c r="BL1932" s="1392" t="n"/>
      <c r="BM1932" s="1392" t="n"/>
      <c r="BN1932" s="1392" t="n"/>
      <c r="BO1932" s="1392" t="n"/>
      <c r="BP1932" s="1392" t="n"/>
      <c r="BQ1932" s="1392" t="n"/>
      <c r="BR1932" s="1392" t="n"/>
      <c r="BS1932" s="1392" t="n"/>
      <c r="BT1932" s="1392" t="n"/>
      <c r="BU1932" s="1416" t="n"/>
      <c r="BV1932" s="1392" t="n"/>
      <c r="BW1932" s="1392" t="n"/>
      <c r="BX1932" s="1392" t="n"/>
      <c r="BY1932" s="1392" t="n"/>
      <c r="BZ1932" s="1416" t="n"/>
      <c r="CA1932" s="1392" t="n"/>
      <c r="CB1932" s="1392" t="n"/>
      <c r="CC1932" s="1392" t="n"/>
      <c r="CD1932" s="1392" t="n"/>
      <c r="CE1932" s="1392" t="n"/>
      <c r="CF1932" s="1392" t="n"/>
      <c r="CG1932" s="1392" t="n"/>
      <c r="CH1932" s="1392" t="n"/>
      <c r="CI1932" s="1392" t="n"/>
      <c r="CJ1932" s="1392" t="n"/>
      <c r="CK1932" s="1392" t="n"/>
      <c r="CL1932" s="1392" t="n"/>
    </row>
    <row r="1933">
      <c r="A1933" s="5" t="inlineStr">
        <is>
          <t>.</t>
        </is>
      </c>
      <c r="B1933" s="5" t="inlineStr">
        <is>
          <t>.</t>
        </is>
      </c>
      <c r="C1933" s="1378">
        <f>IF(raw[[#This Row],[city]]="","-",IF(raw[[#This Row],[city]]="TODAY","-",C1932+1))</f>
        <v/>
      </c>
      <c r="D1933" s="1393" t="n"/>
      <c r="E1933" s="1394" t="n"/>
      <c r="F1933" s="1394" t="n"/>
      <c r="G1933" s="1393" t="n"/>
      <c r="H1933" s="1393" t="n"/>
      <c r="I1933" s="1393" t="n"/>
      <c r="J1933" s="1393" t="n"/>
      <c r="K1933" s="1395">
        <f>IF(raw[[#This Row],[city]]&lt;&gt;"",_xlfn.XLOOKUP($D1933,ccc[city],ccc[prov],"-"),"-")</f>
        <v/>
      </c>
      <c r="L1933" s="1395">
        <f>IF(raw[[#This Row],[city]]&lt;&gt;"",_xlfn.XLOOKUP($D1933,ccc[city],ccc[ctry],"-"),"-")</f>
        <v/>
      </c>
      <c r="M1933" s="1395">
        <f>IF(raw[[#This Row],[city]]&lt;&gt;"",_xlfn.XLOOKUP($D1933,ccc[city],ccc[cont],"-"),"-")</f>
        <v/>
      </c>
      <c r="N1933" s="1396">
        <f>IF(raw[[#This Row],[city]]="","-",IF(raw[[#This Row],[cont]]="B",raw[[#This Row],[cont]],"W"))</f>
        <v/>
      </c>
      <c r="O1933" s="1397">
        <f>IF(raw[[#This Row],[out]]=0,0,IF(raw[[#This Row],[out]]=raw[[#This Row],[in]],0.01,raw[[#This Row],[out]]-raw[[#This Row],[in]]))</f>
        <v/>
      </c>
      <c r="P1933" s="1397">
        <f>IF(raw[[#This Row],[in]]=0,0,MONTH(raw[[#This Row],[in]]))</f>
        <v/>
      </c>
      <c r="Q1933" s="1397">
        <f>IF(raw[[#This Row],[in]]=0,0,YEAR(raw[[#This Row],[in]]))</f>
        <v/>
      </c>
      <c r="R1933" s="1397">
        <f>INT(raw[[#This Row],[yr]]/10)*10</f>
        <v/>
      </c>
      <c r="S1933" s="1395">
        <f>IF(raw[[#This Row],[city]]="","-",IF(raw[[#This Row],[city]]&lt;&gt;_xlfn.XLOOKUP(raw[[#This Row],[home]],homes[home],homes[city],"-"),1,0))</f>
        <v/>
      </c>
      <c r="T1933" s="1398" t="inlineStr">
        <is>
          <t>.</t>
        </is>
      </c>
      <c r="U1933" s="1399">
        <f>IF(raw[[#This Row],[wb]]="w",raw[[#This Row],[stay]]+U1932,U1932)</f>
        <v/>
      </c>
      <c r="V1933" s="1400">
        <f>IF(raw[[#This Row],[out]]=0,V1932,(raw[[#This Row],[out]]-E$5))</f>
        <v/>
      </c>
      <c r="W1933" s="1401">
        <f>U1933/V1933</f>
        <v/>
      </c>
      <c r="X1933" s="1392" t="n"/>
      <c r="Y1933" s="1392" t="n"/>
      <c r="Z1933" s="1422" t="n"/>
      <c r="AA1933" s="1422" t="n"/>
      <c r="AB1933" s="1392" t="n"/>
      <c r="AC1933" s="1392" t="n"/>
      <c r="AD1933" s="1392" t="n"/>
      <c r="AE1933" s="1392" t="n"/>
      <c r="AF1933" s="1392" t="n"/>
      <c r="AG1933" s="1392" t="n"/>
      <c r="AH1933" s="1392" t="n"/>
      <c r="AI1933" s="1392" t="n"/>
      <c r="AJ1933" s="1392" t="n"/>
      <c r="AK1933" s="1392" t="n"/>
      <c r="AL1933" s="1392" t="n"/>
      <c r="AM1933" s="1392" t="n"/>
      <c r="AN1933" s="1392" t="n"/>
      <c r="AO1933" s="1392" t="n"/>
      <c r="AP1933" s="1392" t="n"/>
      <c r="AQ1933" s="1392" t="n"/>
      <c r="AR1933" s="1392" t="n"/>
      <c r="AS1933" s="1422" t="n"/>
      <c r="AT1933" s="1392" t="n"/>
      <c r="AU1933" s="1392" t="n"/>
      <c r="AV1933" s="1392" t="n"/>
      <c r="AW1933" s="1392" t="n"/>
      <c r="AX1933" s="1392" t="n"/>
      <c r="AY1933" s="1392" t="n"/>
      <c r="AZ1933" s="1392" t="n"/>
      <c r="BA1933" s="1392" t="n"/>
      <c r="BB1933" s="1422" t="n"/>
      <c r="BC1933" s="1392" t="n"/>
      <c r="BD1933" s="1392" t="n"/>
      <c r="BE1933" s="1392" t="n"/>
      <c r="BF1933" s="1392" t="n"/>
      <c r="BG1933" s="1392" t="n"/>
      <c r="BH1933" s="1392" t="n"/>
      <c r="BI1933" s="1392" t="n"/>
      <c r="BJ1933" s="1392" t="n"/>
      <c r="BK1933" s="1392" t="n"/>
      <c r="BL1933" s="1392" t="n"/>
      <c r="BM1933" s="1392" t="n"/>
      <c r="BN1933" s="1392" t="n"/>
      <c r="BO1933" s="1392" t="n"/>
      <c r="BP1933" s="1392" t="n"/>
      <c r="BQ1933" s="1392" t="n"/>
      <c r="BR1933" s="1392" t="n"/>
      <c r="BS1933" s="1392" t="n"/>
      <c r="BT1933" s="1392" t="n"/>
      <c r="BU1933" s="1416" t="n"/>
      <c r="BV1933" s="1392" t="n"/>
      <c r="BW1933" s="1392" t="n"/>
      <c r="BX1933" s="1392" t="n"/>
      <c r="BY1933" s="1392" t="n"/>
      <c r="BZ1933" s="1416" t="n"/>
      <c r="CA1933" s="1392" t="n"/>
      <c r="CB1933" s="1392" t="n"/>
      <c r="CC1933" s="1392" t="n"/>
      <c r="CD1933" s="1392" t="n"/>
      <c r="CE1933" s="1392" t="n"/>
      <c r="CF1933" s="1392" t="n"/>
      <c r="CG1933" s="1392" t="n"/>
      <c r="CH1933" s="1392" t="n"/>
      <c r="CI1933" s="1392" t="n"/>
      <c r="CJ1933" s="1392" t="n"/>
      <c r="CK1933" s="1392" t="n"/>
      <c r="CL1933" s="1392" t="n"/>
    </row>
    <row r="1934">
      <c r="A1934" s="5" t="inlineStr">
        <is>
          <t>.</t>
        </is>
      </c>
      <c r="B1934" s="5" t="inlineStr">
        <is>
          <t>.</t>
        </is>
      </c>
      <c r="C1934" s="1378">
        <f>IF(raw[[#This Row],[city]]="","-",IF(raw[[#This Row],[city]]="TODAY","-",C1933+1))</f>
        <v/>
      </c>
      <c r="D1934" s="1393" t="n"/>
      <c r="E1934" s="1394" t="n"/>
      <c r="F1934" s="1394" t="n"/>
      <c r="G1934" s="1393" t="n"/>
      <c r="H1934" s="1393" t="n"/>
      <c r="I1934" s="1393" t="n"/>
      <c r="J1934" s="1393" t="n"/>
      <c r="K1934" s="1395">
        <f>IF(raw[[#This Row],[city]]&lt;&gt;"",_xlfn.XLOOKUP($D1934,ccc[city],ccc[prov],"-"),"-")</f>
        <v/>
      </c>
      <c r="L1934" s="1395">
        <f>IF(raw[[#This Row],[city]]&lt;&gt;"",_xlfn.XLOOKUP($D1934,ccc[city],ccc[ctry],"-"),"-")</f>
        <v/>
      </c>
      <c r="M1934" s="1395">
        <f>IF(raw[[#This Row],[city]]&lt;&gt;"",_xlfn.XLOOKUP($D1934,ccc[city],ccc[cont],"-"),"-")</f>
        <v/>
      </c>
      <c r="N1934" s="1396">
        <f>IF(raw[[#This Row],[city]]="","-",IF(raw[[#This Row],[cont]]="B",raw[[#This Row],[cont]],"W"))</f>
        <v/>
      </c>
      <c r="O1934" s="1397">
        <f>IF(raw[[#This Row],[out]]=0,0,IF(raw[[#This Row],[out]]=raw[[#This Row],[in]],0.01,raw[[#This Row],[out]]-raw[[#This Row],[in]]))</f>
        <v/>
      </c>
      <c r="P1934" s="1397">
        <f>IF(raw[[#This Row],[in]]=0,0,MONTH(raw[[#This Row],[in]]))</f>
        <v/>
      </c>
      <c r="Q1934" s="1397">
        <f>IF(raw[[#This Row],[in]]=0,0,YEAR(raw[[#This Row],[in]]))</f>
        <v/>
      </c>
      <c r="R1934" s="1397">
        <f>INT(raw[[#This Row],[yr]]/10)*10</f>
        <v/>
      </c>
      <c r="S1934" s="1395">
        <f>IF(raw[[#This Row],[city]]="","-",IF(raw[[#This Row],[city]]&lt;&gt;_xlfn.XLOOKUP(raw[[#This Row],[home]],homes[home],homes[city],"-"),1,0))</f>
        <v/>
      </c>
      <c r="T1934" s="1398" t="inlineStr">
        <is>
          <t>.</t>
        </is>
      </c>
      <c r="U1934" s="1399">
        <f>IF(raw[[#This Row],[wb]]="w",raw[[#This Row],[stay]]+U1933,U1933)</f>
        <v/>
      </c>
      <c r="V1934" s="1400">
        <f>IF(raw[[#This Row],[out]]=0,V1933,(raw[[#This Row],[out]]-E$5))</f>
        <v/>
      </c>
      <c r="W1934" s="1401">
        <f>U1934/V1934</f>
        <v/>
      </c>
      <c r="X1934" s="1392" t="n"/>
      <c r="Y1934" s="1392" t="n"/>
      <c r="Z1934" s="1422" t="n"/>
      <c r="AA1934" s="1422" t="n"/>
      <c r="AB1934" s="1392" t="n"/>
      <c r="AC1934" s="1392" t="n"/>
      <c r="AD1934" s="1392" t="n"/>
      <c r="AE1934" s="1392" t="n"/>
      <c r="AF1934" s="1392" t="n"/>
      <c r="AG1934" s="1392" t="n"/>
      <c r="AH1934" s="1392" t="n"/>
      <c r="AI1934" s="1392" t="n"/>
      <c r="AJ1934" s="1392" t="n"/>
      <c r="AK1934" s="1392" t="n"/>
      <c r="AL1934" s="1392" t="n"/>
      <c r="AM1934" s="1392" t="n"/>
      <c r="AN1934" s="1392" t="n"/>
      <c r="AO1934" s="1392" t="n"/>
      <c r="AP1934" s="1392" t="n"/>
      <c r="AQ1934" s="1392" t="n"/>
      <c r="AR1934" s="1392" t="n"/>
      <c r="AS1934" s="1422" t="n"/>
      <c r="AT1934" s="1392" t="n"/>
      <c r="AU1934" s="1392" t="n"/>
      <c r="AV1934" s="1392" t="n"/>
      <c r="AW1934" s="1392" t="n"/>
      <c r="AX1934" s="1392" t="n"/>
      <c r="AY1934" s="1392" t="n"/>
      <c r="AZ1934" s="1392" t="n"/>
      <c r="BA1934" s="1392" t="n"/>
      <c r="BB1934" s="1422" t="n"/>
      <c r="BC1934" s="1392" t="n"/>
      <c r="BD1934" s="1392" t="n"/>
      <c r="BE1934" s="1392" t="n"/>
      <c r="BF1934" s="1392" t="n"/>
      <c r="BG1934" s="1392" t="n"/>
      <c r="BH1934" s="1392" t="n"/>
      <c r="BI1934" s="1392" t="n"/>
      <c r="BJ1934" s="1392" t="n"/>
      <c r="BK1934" s="1392" t="n"/>
      <c r="BL1934" s="1392" t="n"/>
      <c r="BM1934" s="1392" t="n"/>
      <c r="BN1934" s="1392" t="n"/>
      <c r="BO1934" s="1392" t="n"/>
      <c r="BP1934" s="1392" t="n"/>
      <c r="BQ1934" s="1392" t="n"/>
      <c r="BR1934" s="1392" t="n"/>
      <c r="BS1934" s="1392" t="n"/>
      <c r="BT1934" s="1392" t="n"/>
      <c r="BU1934" s="1416" t="n"/>
      <c r="BV1934" s="1392" t="n"/>
      <c r="BW1934" s="1392" t="n"/>
      <c r="BX1934" s="1392" t="n"/>
      <c r="BY1934" s="1392" t="n"/>
      <c r="BZ1934" s="1416" t="n"/>
      <c r="CA1934" s="1392" t="n"/>
      <c r="CB1934" s="1392" t="n"/>
      <c r="CC1934" s="1392" t="n"/>
      <c r="CD1934" s="1392" t="n"/>
      <c r="CE1934" s="1392" t="n"/>
      <c r="CF1934" s="1392" t="n"/>
      <c r="CG1934" s="1392" t="n"/>
      <c r="CH1934" s="1392" t="n"/>
      <c r="CI1934" s="1392" t="n"/>
      <c r="CJ1934" s="1392" t="n"/>
      <c r="CK1934" s="1392" t="n"/>
      <c r="CL1934" s="1392" t="n"/>
    </row>
    <row r="1935">
      <c r="A1935" s="5" t="inlineStr">
        <is>
          <t>.</t>
        </is>
      </c>
      <c r="B1935" s="5" t="inlineStr">
        <is>
          <t>.</t>
        </is>
      </c>
      <c r="C1935" s="1378">
        <f>IF(raw[[#This Row],[city]]="","-",IF(raw[[#This Row],[city]]="TODAY","-",C1934+1))</f>
        <v/>
      </c>
      <c r="D1935" s="1393" t="n"/>
      <c r="E1935" s="1394" t="n"/>
      <c r="F1935" s="1394" t="n"/>
      <c r="G1935" s="1393" t="n"/>
      <c r="H1935" s="1393" t="n"/>
      <c r="I1935" s="1393" t="n"/>
      <c r="J1935" s="1393" t="n"/>
      <c r="K1935" s="1395">
        <f>IF(raw[[#This Row],[city]]&lt;&gt;"",_xlfn.XLOOKUP($D1935,ccc[city],ccc[prov],"-"),"-")</f>
        <v/>
      </c>
      <c r="L1935" s="1395">
        <f>IF(raw[[#This Row],[city]]&lt;&gt;"",_xlfn.XLOOKUP($D1935,ccc[city],ccc[ctry],"-"),"-")</f>
        <v/>
      </c>
      <c r="M1935" s="1395">
        <f>IF(raw[[#This Row],[city]]&lt;&gt;"",_xlfn.XLOOKUP($D1935,ccc[city],ccc[cont],"-"),"-")</f>
        <v/>
      </c>
      <c r="N1935" s="1396">
        <f>IF(raw[[#This Row],[city]]="","-",IF(raw[[#This Row],[cont]]="B",raw[[#This Row],[cont]],"W"))</f>
        <v/>
      </c>
      <c r="O1935" s="1397">
        <f>IF(raw[[#This Row],[out]]=0,0,IF(raw[[#This Row],[out]]=raw[[#This Row],[in]],0.01,raw[[#This Row],[out]]-raw[[#This Row],[in]]))</f>
        <v/>
      </c>
      <c r="P1935" s="1397">
        <f>IF(raw[[#This Row],[in]]=0,0,MONTH(raw[[#This Row],[in]]))</f>
        <v/>
      </c>
      <c r="Q1935" s="1397">
        <f>IF(raw[[#This Row],[in]]=0,0,YEAR(raw[[#This Row],[in]]))</f>
        <v/>
      </c>
      <c r="R1935" s="1397">
        <f>INT(raw[[#This Row],[yr]]/10)*10</f>
        <v/>
      </c>
      <c r="S1935" s="1395">
        <f>IF(raw[[#This Row],[city]]="","-",IF(raw[[#This Row],[city]]&lt;&gt;_xlfn.XLOOKUP(raw[[#This Row],[home]],homes[home],homes[city],"-"),1,0))</f>
        <v/>
      </c>
      <c r="T1935" s="1398" t="inlineStr">
        <is>
          <t>.</t>
        </is>
      </c>
      <c r="U1935" s="1399">
        <f>IF(raw[[#This Row],[wb]]="w",raw[[#This Row],[stay]]+U1934,U1934)</f>
        <v/>
      </c>
      <c r="V1935" s="1400">
        <f>IF(raw[[#This Row],[out]]=0,V1934,(raw[[#This Row],[out]]-E$5))</f>
        <v/>
      </c>
      <c r="W1935" s="1401">
        <f>U1935/V1935</f>
        <v/>
      </c>
      <c r="X1935" s="1392" t="n"/>
      <c r="Y1935" s="1392" t="n"/>
      <c r="Z1935" s="1422" t="n"/>
      <c r="AA1935" s="1422" t="n"/>
      <c r="AB1935" s="1392" t="n"/>
      <c r="AC1935" s="1392" t="n"/>
      <c r="AD1935" s="1392" t="n"/>
      <c r="AE1935" s="1392" t="n"/>
      <c r="AF1935" s="1392" t="n"/>
      <c r="AG1935" s="1392" t="n"/>
      <c r="AH1935" s="1392" t="n"/>
      <c r="AI1935" s="1392" t="n"/>
      <c r="AJ1935" s="1392" t="n"/>
      <c r="AK1935" s="1392" t="n"/>
      <c r="AL1935" s="1392" t="n"/>
      <c r="AM1935" s="1392" t="n"/>
      <c r="AN1935" s="1392" t="n"/>
      <c r="AO1935" s="1392" t="n"/>
      <c r="AP1935" s="1392" t="n"/>
      <c r="AQ1935" s="1392" t="n"/>
      <c r="AR1935" s="1392" t="n"/>
      <c r="AS1935" s="1422" t="n"/>
      <c r="AT1935" s="1392" t="n"/>
      <c r="AU1935" s="1392" t="n"/>
      <c r="AV1935" s="1392" t="n"/>
      <c r="AW1935" s="1392" t="n"/>
      <c r="AX1935" s="1392" t="n"/>
      <c r="AY1935" s="1392" t="n"/>
      <c r="AZ1935" s="1392" t="n"/>
      <c r="BA1935" s="1392" t="n"/>
      <c r="BB1935" s="1422" t="n"/>
      <c r="BC1935" s="1392" t="n"/>
      <c r="BD1935" s="1392" t="n"/>
      <c r="BE1935" s="1392" t="n"/>
      <c r="BF1935" s="1392" t="n"/>
      <c r="BG1935" s="1392" t="n"/>
      <c r="BH1935" s="1392" t="n"/>
      <c r="BI1935" s="1392" t="n"/>
      <c r="BJ1935" s="1392" t="n"/>
      <c r="BK1935" s="1392" t="n"/>
      <c r="BL1935" s="1392" t="n"/>
      <c r="BM1935" s="1392" t="n"/>
      <c r="BN1935" s="1392" t="n"/>
      <c r="BO1935" s="1392" t="n"/>
      <c r="BP1935" s="1392" t="n"/>
      <c r="BQ1935" s="1392" t="n"/>
      <c r="BR1935" s="1392" t="n"/>
      <c r="BS1935" s="1392" t="n"/>
      <c r="BT1935" s="1392" t="n"/>
      <c r="BU1935" s="1416" t="n"/>
      <c r="BV1935" s="1392" t="n"/>
      <c r="BW1935" s="1392" t="n"/>
      <c r="BX1935" s="1392" t="n"/>
      <c r="BY1935" s="1392" t="n"/>
      <c r="BZ1935" s="1416" t="n"/>
      <c r="CA1935" s="1392" t="n"/>
      <c r="CB1935" s="1392" t="n"/>
      <c r="CC1935" s="1392" t="n"/>
      <c r="CD1935" s="1392" t="n"/>
      <c r="CE1935" s="1392" t="n"/>
      <c r="CF1935" s="1392" t="n"/>
      <c r="CG1935" s="1392" t="n"/>
      <c r="CH1935" s="1392" t="n"/>
      <c r="CI1935" s="1392" t="n"/>
      <c r="CJ1935" s="1392" t="n"/>
      <c r="CK1935" s="1392" t="n"/>
      <c r="CL1935" s="1392" t="n"/>
    </row>
    <row r="1936">
      <c r="A1936" s="5" t="inlineStr">
        <is>
          <t>.</t>
        </is>
      </c>
      <c r="B1936" s="5" t="inlineStr">
        <is>
          <t>.</t>
        </is>
      </c>
      <c r="C1936" s="1378">
        <f>IF(raw[[#This Row],[city]]="","-",IF(raw[[#This Row],[city]]="TODAY","-",C1935+1))</f>
        <v/>
      </c>
      <c r="D1936" s="1393" t="n"/>
      <c r="E1936" s="1394" t="n"/>
      <c r="F1936" s="1394" t="n"/>
      <c r="G1936" s="1393" t="n"/>
      <c r="H1936" s="1393" t="n"/>
      <c r="I1936" s="1393" t="n"/>
      <c r="J1936" s="1393" t="n"/>
      <c r="K1936" s="1395">
        <f>IF(raw[[#This Row],[city]]&lt;&gt;"",_xlfn.XLOOKUP($D1936,ccc[city],ccc[prov],"-"),"-")</f>
        <v/>
      </c>
      <c r="L1936" s="1395">
        <f>IF(raw[[#This Row],[city]]&lt;&gt;"",_xlfn.XLOOKUP($D1936,ccc[city],ccc[ctry],"-"),"-")</f>
        <v/>
      </c>
      <c r="M1936" s="1395">
        <f>IF(raw[[#This Row],[city]]&lt;&gt;"",_xlfn.XLOOKUP($D1936,ccc[city],ccc[cont],"-"),"-")</f>
        <v/>
      </c>
      <c r="N1936" s="1396">
        <f>IF(raw[[#This Row],[city]]="","-",IF(raw[[#This Row],[cont]]="B",raw[[#This Row],[cont]],"W"))</f>
        <v/>
      </c>
      <c r="O1936" s="1397">
        <f>IF(raw[[#This Row],[out]]=0,0,IF(raw[[#This Row],[out]]=raw[[#This Row],[in]],0.01,raw[[#This Row],[out]]-raw[[#This Row],[in]]))</f>
        <v/>
      </c>
      <c r="P1936" s="1397">
        <f>IF(raw[[#This Row],[in]]=0,0,MONTH(raw[[#This Row],[in]]))</f>
        <v/>
      </c>
      <c r="Q1936" s="1397">
        <f>IF(raw[[#This Row],[in]]=0,0,YEAR(raw[[#This Row],[in]]))</f>
        <v/>
      </c>
      <c r="R1936" s="1397">
        <f>INT(raw[[#This Row],[yr]]/10)*10</f>
        <v/>
      </c>
      <c r="S1936" s="1395">
        <f>IF(raw[[#This Row],[city]]="","-",IF(raw[[#This Row],[city]]&lt;&gt;_xlfn.XLOOKUP(raw[[#This Row],[home]],homes[home],homes[city],"-"),1,0))</f>
        <v/>
      </c>
      <c r="T1936" s="1398" t="inlineStr">
        <is>
          <t>.</t>
        </is>
      </c>
      <c r="U1936" s="1399">
        <f>IF(raw[[#This Row],[wb]]="w",raw[[#This Row],[stay]]+U1935,U1935)</f>
        <v/>
      </c>
      <c r="V1936" s="1400">
        <f>IF(raw[[#This Row],[out]]=0,V1935,(raw[[#This Row],[out]]-E$5))</f>
        <v/>
      </c>
      <c r="W1936" s="1401">
        <f>U1936/V1936</f>
        <v/>
      </c>
      <c r="X1936" s="1392" t="n"/>
      <c r="Y1936" s="1392" t="n"/>
      <c r="Z1936" s="1422" t="n"/>
      <c r="AA1936" s="1422" t="n"/>
      <c r="AB1936" s="1392" t="n"/>
      <c r="AC1936" s="1392" t="n"/>
      <c r="AD1936" s="1392" t="n"/>
      <c r="AE1936" s="1392" t="n"/>
      <c r="AF1936" s="1392" t="n"/>
      <c r="AG1936" s="1392" t="n"/>
      <c r="AH1936" s="1392" t="n"/>
      <c r="AI1936" s="1392" t="n"/>
      <c r="AJ1936" s="1392" t="n"/>
      <c r="AK1936" s="1392" t="n"/>
      <c r="AL1936" s="1392" t="n"/>
      <c r="AM1936" s="1392" t="n"/>
      <c r="AN1936" s="1392" t="n"/>
      <c r="AO1936" s="1392" t="n"/>
      <c r="AP1936" s="1392" t="n"/>
      <c r="AQ1936" s="1392" t="n"/>
      <c r="AR1936" s="1392" t="n"/>
      <c r="AS1936" s="1422" t="n"/>
      <c r="AT1936" s="1392" t="n"/>
      <c r="AU1936" s="1392" t="n"/>
      <c r="AV1936" s="1392" t="n"/>
      <c r="AW1936" s="1392" t="n"/>
      <c r="AX1936" s="1392" t="n"/>
      <c r="AY1936" s="1392" t="n"/>
      <c r="AZ1936" s="1392" t="n"/>
      <c r="BA1936" s="1392" t="n"/>
      <c r="BB1936" s="1422" t="n"/>
      <c r="BC1936" s="1392" t="n"/>
      <c r="BD1936" s="1392" t="n"/>
      <c r="BE1936" s="1392" t="n"/>
      <c r="BF1936" s="1392" t="n"/>
      <c r="BG1936" s="1392" t="n"/>
      <c r="BH1936" s="1392" t="n"/>
      <c r="BI1936" s="1392" t="n"/>
      <c r="BJ1936" s="1392" t="n"/>
      <c r="BK1936" s="1392" t="n"/>
      <c r="BL1936" s="1392" t="n"/>
      <c r="BM1936" s="1392" t="n"/>
      <c r="BN1936" s="1392" t="n"/>
      <c r="BO1936" s="1392" t="n"/>
      <c r="BP1936" s="1392" t="n"/>
      <c r="BQ1936" s="1392" t="n"/>
      <c r="BR1936" s="1392" t="n"/>
      <c r="BS1936" s="1392" t="n"/>
      <c r="BT1936" s="1392" t="n"/>
      <c r="BU1936" s="1416" t="n"/>
      <c r="BV1936" s="1392" t="n"/>
      <c r="BW1936" s="1392" t="n"/>
      <c r="BX1936" s="1392" t="n"/>
      <c r="BY1936" s="1392" t="n"/>
      <c r="BZ1936" s="1416" t="n"/>
      <c r="CA1936" s="1392" t="n"/>
      <c r="CB1936" s="1392" t="n"/>
      <c r="CC1936" s="1392" t="n"/>
      <c r="CD1936" s="1392" t="n"/>
      <c r="CE1936" s="1392" t="n"/>
      <c r="CF1936" s="1392" t="n"/>
      <c r="CG1936" s="1392" t="n"/>
      <c r="CH1936" s="1392" t="n"/>
      <c r="CI1936" s="1392" t="n"/>
      <c r="CJ1936" s="1392" t="n"/>
      <c r="CK1936" s="1392" t="n"/>
      <c r="CL1936" s="1392" t="n"/>
    </row>
    <row r="1937">
      <c r="A1937" s="5" t="inlineStr">
        <is>
          <t>.</t>
        </is>
      </c>
      <c r="B1937" s="5" t="inlineStr">
        <is>
          <t>.</t>
        </is>
      </c>
      <c r="C1937" s="1378">
        <f>IF(raw[[#This Row],[city]]="","-",IF(raw[[#This Row],[city]]="TODAY","-",C1936+1))</f>
        <v/>
      </c>
      <c r="D1937" s="1393" t="n"/>
      <c r="E1937" s="1394" t="n"/>
      <c r="F1937" s="1394" t="n"/>
      <c r="G1937" s="1393" t="n"/>
      <c r="H1937" s="1393" t="n"/>
      <c r="I1937" s="1393" t="n"/>
      <c r="J1937" s="1393" t="n"/>
      <c r="K1937" s="1395">
        <f>IF(raw[[#This Row],[city]]&lt;&gt;"",_xlfn.XLOOKUP($D1937,ccc[city],ccc[prov],"-"),"-")</f>
        <v/>
      </c>
      <c r="L1937" s="1395">
        <f>IF(raw[[#This Row],[city]]&lt;&gt;"",_xlfn.XLOOKUP($D1937,ccc[city],ccc[ctry],"-"),"-")</f>
        <v/>
      </c>
      <c r="M1937" s="1395">
        <f>IF(raw[[#This Row],[city]]&lt;&gt;"",_xlfn.XLOOKUP($D1937,ccc[city],ccc[cont],"-"),"-")</f>
        <v/>
      </c>
      <c r="N1937" s="1396">
        <f>IF(raw[[#This Row],[city]]="","-",IF(raw[[#This Row],[cont]]="B",raw[[#This Row],[cont]],"W"))</f>
        <v/>
      </c>
      <c r="O1937" s="1397">
        <f>IF(raw[[#This Row],[out]]=0,0,IF(raw[[#This Row],[out]]=raw[[#This Row],[in]],0.01,raw[[#This Row],[out]]-raw[[#This Row],[in]]))</f>
        <v/>
      </c>
      <c r="P1937" s="1397">
        <f>IF(raw[[#This Row],[in]]=0,0,MONTH(raw[[#This Row],[in]]))</f>
        <v/>
      </c>
      <c r="Q1937" s="1397">
        <f>IF(raw[[#This Row],[in]]=0,0,YEAR(raw[[#This Row],[in]]))</f>
        <v/>
      </c>
      <c r="R1937" s="1397">
        <f>INT(raw[[#This Row],[yr]]/10)*10</f>
        <v/>
      </c>
      <c r="S1937" s="1395">
        <f>IF(raw[[#This Row],[city]]="","-",IF(raw[[#This Row],[city]]&lt;&gt;_xlfn.XLOOKUP(raw[[#This Row],[home]],homes[home],homes[city],"-"),1,0))</f>
        <v/>
      </c>
      <c r="T1937" s="1398" t="inlineStr">
        <is>
          <t>.</t>
        </is>
      </c>
      <c r="U1937" s="1399">
        <f>IF(raw[[#This Row],[wb]]="w",raw[[#This Row],[stay]]+U1936,U1936)</f>
        <v/>
      </c>
      <c r="V1937" s="1400">
        <f>IF(raw[[#This Row],[out]]=0,V1936,(raw[[#This Row],[out]]-E$5))</f>
        <v/>
      </c>
      <c r="W1937" s="1401">
        <f>U1937/V1937</f>
        <v/>
      </c>
      <c r="X1937" s="1392" t="n"/>
      <c r="Y1937" s="1392" t="n"/>
      <c r="Z1937" s="1422" t="n"/>
      <c r="AA1937" s="1422" t="n"/>
      <c r="AB1937" s="1392" t="n"/>
      <c r="AC1937" s="1392" t="n"/>
      <c r="AD1937" s="1392" t="n"/>
      <c r="AE1937" s="1392" t="n"/>
      <c r="AF1937" s="1392" t="n"/>
      <c r="AG1937" s="1392" t="n"/>
      <c r="AH1937" s="1392" t="n"/>
      <c r="AI1937" s="1392" t="n"/>
      <c r="AJ1937" s="1392" t="n"/>
      <c r="AK1937" s="1392" t="n"/>
      <c r="AL1937" s="1392" t="n"/>
      <c r="AM1937" s="1392" t="n"/>
      <c r="AN1937" s="1392" t="n"/>
      <c r="AO1937" s="1392" t="n"/>
      <c r="AP1937" s="1392" t="n"/>
      <c r="AQ1937" s="1392" t="n"/>
      <c r="AR1937" s="1392" t="n"/>
      <c r="AS1937" s="1422" t="n"/>
      <c r="AT1937" s="1392" t="n"/>
      <c r="AU1937" s="1392" t="n"/>
      <c r="AV1937" s="1392" t="n"/>
      <c r="AW1937" s="1392" t="n"/>
      <c r="AX1937" s="1392" t="n"/>
      <c r="AY1937" s="1392" t="n"/>
      <c r="AZ1937" s="1392" t="n"/>
      <c r="BA1937" s="1392" t="n"/>
      <c r="BB1937" s="1422" t="n"/>
      <c r="BC1937" s="1392" t="n"/>
      <c r="BD1937" s="1392" t="n"/>
      <c r="BE1937" s="1392" t="n"/>
      <c r="BF1937" s="1392" t="n"/>
      <c r="BG1937" s="1392" t="n"/>
      <c r="BH1937" s="1392" t="n"/>
      <c r="BI1937" s="1392" t="n"/>
      <c r="BJ1937" s="1392" t="n"/>
      <c r="BK1937" s="1392" t="n"/>
      <c r="BL1937" s="1392" t="n"/>
      <c r="BM1937" s="1392" t="n"/>
      <c r="BN1937" s="1392" t="n"/>
      <c r="BO1937" s="1392" t="n"/>
      <c r="BP1937" s="1392" t="n"/>
      <c r="BQ1937" s="1392" t="n"/>
      <c r="BR1937" s="1392" t="n"/>
      <c r="BS1937" s="1392" t="n"/>
      <c r="BT1937" s="1392" t="n"/>
      <c r="BU1937" s="1416" t="n"/>
      <c r="BV1937" s="1392" t="n"/>
      <c r="BW1937" s="1392" t="n"/>
      <c r="BX1937" s="1392" t="n"/>
      <c r="BY1937" s="1392" t="n"/>
      <c r="BZ1937" s="1416" t="n"/>
      <c r="CA1937" s="1392" t="n"/>
      <c r="CB1937" s="1392" t="n"/>
      <c r="CC1937" s="1392" t="n"/>
      <c r="CD1937" s="1392" t="n"/>
      <c r="CE1937" s="1392" t="n"/>
      <c r="CF1937" s="1392" t="n"/>
      <c r="CG1937" s="1392" t="n"/>
      <c r="CH1937" s="1392" t="n"/>
      <c r="CI1937" s="1392" t="n"/>
      <c r="CJ1937" s="1392" t="n"/>
      <c r="CK1937" s="1392" t="n"/>
      <c r="CL1937" s="1392" t="n"/>
    </row>
    <row r="1938">
      <c r="A1938" s="5" t="inlineStr">
        <is>
          <t>.</t>
        </is>
      </c>
      <c r="B1938" s="5" t="inlineStr">
        <is>
          <t>.</t>
        </is>
      </c>
      <c r="C1938" s="1378">
        <f>IF(raw[[#This Row],[city]]="","-",IF(raw[[#This Row],[city]]="TODAY","-",C1937+1))</f>
        <v/>
      </c>
      <c r="D1938" s="1393" t="n"/>
      <c r="E1938" s="1394" t="n"/>
      <c r="F1938" s="1394" t="n"/>
      <c r="G1938" s="1393" t="n"/>
      <c r="H1938" s="1393" t="n"/>
      <c r="I1938" s="1393" t="n"/>
      <c r="J1938" s="1393" t="n"/>
      <c r="K1938" s="1395">
        <f>IF(raw[[#This Row],[city]]&lt;&gt;"",_xlfn.XLOOKUP($D1938,ccc[city],ccc[prov],"-"),"-")</f>
        <v/>
      </c>
      <c r="L1938" s="1395">
        <f>IF(raw[[#This Row],[city]]&lt;&gt;"",_xlfn.XLOOKUP($D1938,ccc[city],ccc[ctry],"-"),"-")</f>
        <v/>
      </c>
      <c r="M1938" s="1395">
        <f>IF(raw[[#This Row],[city]]&lt;&gt;"",_xlfn.XLOOKUP($D1938,ccc[city],ccc[cont],"-"),"-")</f>
        <v/>
      </c>
      <c r="N1938" s="1396">
        <f>IF(raw[[#This Row],[city]]="","-",IF(raw[[#This Row],[cont]]="B",raw[[#This Row],[cont]],"W"))</f>
        <v/>
      </c>
      <c r="O1938" s="1397">
        <f>IF(raw[[#This Row],[out]]=0,0,IF(raw[[#This Row],[out]]=raw[[#This Row],[in]],0.01,raw[[#This Row],[out]]-raw[[#This Row],[in]]))</f>
        <v/>
      </c>
      <c r="P1938" s="1397">
        <f>IF(raw[[#This Row],[in]]=0,0,MONTH(raw[[#This Row],[in]]))</f>
        <v/>
      </c>
      <c r="Q1938" s="1397">
        <f>IF(raw[[#This Row],[in]]=0,0,YEAR(raw[[#This Row],[in]]))</f>
        <v/>
      </c>
      <c r="R1938" s="1397">
        <f>INT(raw[[#This Row],[yr]]/10)*10</f>
        <v/>
      </c>
      <c r="S1938" s="1395">
        <f>IF(raw[[#This Row],[city]]="","-",IF(raw[[#This Row],[city]]&lt;&gt;_xlfn.XLOOKUP(raw[[#This Row],[home]],homes[home],homes[city],"-"),1,0))</f>
        <v/>
      </c>
      <c r="T1938" s="1398" t="inlineStr">
        <is>
          <t>.</t>
        </is>
      </c>
      <c r="U1938" s="1399">
        <f>IF(raw[[#This Row],[wb]]="w",raw[[#This Row],[stay]]+U1937,U1937)</f>
        <v/>
      </c>
      <c r="V1938" s="1400">
        <f>IF(raw[[#This Row],[out]]=0,V1937,(raw[[#This Row],[out]]-E$5))</f>
        <v/>
      </c>
      <c r="W1938" s="1401">
        <f>U1938/V1938</f>
        <v/>
      </c>
      <c r="X1938" s="1392" t="n"/>
      <c r="Y1938" s="1392" t="n"/>
      <c r="Z1938" s="1422" t="n"/>
      <c r="AA1938" s="1422" t="n"/>
      <c r="AB1938" s="1392" t="n"/>
      <c r="AC1938" s="1392" t="n"/>
      <c r="AD1938" s="1392" t="n"/>
      <c r="AE1938" s="1392" t="n"/>
      <c r="AF1938" s="1392" t="n"/>
      <c r="AG1938" s="1392" t="n"/>
      <c r="AH1938" s="1392" t="n"/>
      <c r="AI1938" s="1392" t="n"/>
      <c r="AJ1938" s="1392" t="n"/>
      <c r="AK1938" s="1392" t="n"/>
      <c r="AL1938" s="1392" t="n"/>
      <c r="AM1938" s="1392" t="n"/>
      <c r="AN1938" s="1392" t="n"/>
      <c r="AO1938" s="1392" t="n"/>
      <c r="AP1938" s="1392" t="n"/>
      <c r="AQ1938" s="1392" t="n"/>
      <c r="AR1938" s="1392" t="n"/>
      <c r="AS1938" s="1422" t="n"/>
      <c r="AT1938" s="1392" t="n"/>
      <c r="AU1938" s="1392" t="n"/>
      <c r="AV1938" s="1392" t="n"/>
      <c r="AW1938" s="1392" t="n"/>
      <c r="AX1938" s="1392" t="n"/>
      <c r="AY1938" s="1392" t="n"/>
      <c r="AZ1938" s="1392" t="n"/>
      <c r="BA1938" s="1392" t="n"/>
      <c r="BB1938" s="1422" t="n"/>
      <c r="BC1938" s="1392" t="n"/>
      <c r="BD1938" s="1392" t="n"/>
      <c r="BE1938" s="1392" t="n"/>
      <c r="BF1938" s="1392" t="n"/>
      <c r="BG1938" s="1392" t="n"/>
      <c r="BH1938" s="1392" t="n"/>
      <c r="BI1938" s="1392" t="n"/>
      <c r="BJ1938" s="1392" t="n"/>
      <c r="BK1938" s="1392" t="n"/>
      <c r="BL1938" s="1392" t="n"/>
      <c r="BM1938" s="1392" t="n"/>
      <c r="BN1938" s="1392" t="n"/>
      <c r="BO1938" s="1392" t="n"/>
      <c r="BP1938" s="1392" t="n"/>
      <c r="BQ1938" s="1392" t="n"/>
      <c r="BR1938" s="1392" t="n"/>
      <c r="BS1938" s="1392" t="n"/>
      <c r="BT1938" s="1392" t="n"/>
      <c r="BU1938" s="1416" t="n"/>
      <c r="BV1938" s="1392" t="n"/>
      <c r="BW1938" s="1392" t="n"/>
      <c r="BX1938" s="1392" t="n"/>
      <c r="BY1938" s="1392" t="n"/>
      <c r="BZ1938" s="1416" t="n"/>
      <c r="CA1938" s="1392" t="n"/>
      <c r="CB1938" s="1392" t="n"/>
      <c r="CC1938" s="1392" t="n"/>
      <c r="CD1938" s="1392" t="n"/>
      <c r="CE1938" s="1392" t="n"/>
      <c r="CF1938" s="1392" t="n"/>
      <c r="CG1938" s="1392" t="n"/>
      <c r="CH1938" s="1392" t="n"/>
      <c r="CI1938" s="1392" t="n"/>
      <c r="CJ1938" s="1392" t="n"/>
      <c r="CK1938" s="1392" t="n"/>
      <c r="CL1938" s="1392" t="n"/>
    </row>
    <row r="1939">
      <c r="A1939" s="5" t="inlineStr">
        <is>
          <t>.</t>
        </is>
      </c>
      <c r="B1939" s="5" t="inlineStr">
        <is>
          <t>.</t>
        </is>
      </c>
      <c r="C1939" s="1378">
        <f>IF(raw[[#This Row],[city]]="","-",IF(raw[[#This Row],[city]]="TODAY","-",C1938+1))</f>
        <v/>
      </c>
      <c r="D1939" s="1393" t="n"/>
      <c r="E1939" s="1394" t="n"/>
      <c r="F1939" s="1394" t="n"/>
      <c r="G1939" s="1393" t="n"/>
      <c r="H1939" s="1393" t="n"/>
      <c r="I1939" s="1393" t="n"/>
      <c r="J1939" s="1393" t="n"/>
      <c r="K1939" s="1395">
        <f>IF(raw[[#This Row],[city]]&lt;&gt;"",_xlfn.XLOOKUP($D1939,ccc[city],ccc[prov],"-"),"-")</f>
        <v/>
      </c>
      <c r="L1939" s="1395">
        <f>IF(raw[[#This Row],[city]]&lt;&gt;"",_xlfn.XLOOKUP($D1939,ccc[city],ccc[ctry],"-"),"-")</f>
        <v/>
      </c>
      <c r="M1939" s="1395">
        <f>IF(raw[[#This Row],[city]]&lt;&gt;"",_xlfn.XLOOKUP($D1939,ccc[city],ccc[cont],"-"),"-")</f>
        <v/>
      </c>
      <c r="N1939" s="1396">
        <f>IF(raw[[#This Row],[city]]="","-",IF(raw[[#This Row],[cont]]="B",raw[[#This Row],[cont]],"W"))</f>
        <v/>
      </c>
      <c r="O1939" s="1397">
        <f>IF(raw[[#This Row],[out]]=0,0,IF(raw[[#This Row],[out]]=raw[[#This Row],[in]],0.01,raw[[#This Row],[out]]-raw[[#This Row],[in]]))</f>
        <v/>
      </c>
      <c r="P1939" s="1397">
        <f>IF(raw[[#This Row],[in]]=0,0,MONTH(raw[[#This Row],[in]]))</f>
        <v/>
      </c>
      <c r="Q1939" s="1397">
        <f>IF(raw[[#This Row],[in]]=0,0,YEAR(raw[[#This Row],[in]]))</f>
        <v/>
      </c>
      <c r="R1939" s="1397">
        <f>INT(raw[[#This Row],[yr]]/10)*10</f>
        <v/>
      </c>
      <c r="S1939" s="1395">
        <f>IF(raw[[#This Row],[city]]="","-",IF(raw[[#This Row],[city]]&lt;&gt;_xlfn.XLOOKUP(raw[[#This Row],[home]],homes[home],homes[city],"-"),1,0))</f>
        <v/>
      </c>
      <c r="T1939" s="1398" t="inlineStr">
        <is>
          <t>.</t>
        </is>
      </c>
      <c r="U1939" s="1399">
        <f>IF(raw[[#This Row],[wb]]="w",raw[[#This Row],[stay]]+U1938,U1938)</f>
        <v/>
      </c>
      <c r="V1939" s="1400">
        <f>IF(raw[[#This Row],[out]]=0,V1938,(raw[[#This Row],[out]]-E$5))</f>
        <v/>
      </c>
      <c r="W1939" s="1401">
        <f>U1939/V1939</f>
        <v/>
      </c>
      <c r="X1939" s="1392" t="n"/>
      <c r="Y1939" s="1392" t="n"/>
      <c r="Z1939" s="1422" t="n"/>
      <c r="AA1939" s="1422" t="n"/>
      <c r="AB1939" s="1392" t="n"/>
      <c r="AC1939" s="1392" t="n"/>
      <c r="AD1939" s="1392" t="n"/>
      <c r="AE1939" s="1392" t="n"/>
      <c r="AF1939" s="1392" t="n"/>
      <c r="AG1939" s="1392" t="n"/>
      <c r="AH1939" s="1392" t="n"/>
      <c r="AI1939" s="1392" t="n"/>
      <c r="AJ1939" s="1392" t="n"/>
      <c r="AK1939" s="1392" t="n"/>
      <c r="AL1939" s="1392" t="n"/>
      <c r="AM1939" s="1392" t="n"/>
      <c r="AN1939" s="1392" t="n"/>
      <c r="AO1939" s="1392" t="n"/>
      <c r="AP1939" s="1392" t="n"/>
      <c r="AQ1939" s="1392" t="n"/>
      <c r="AR1939" s="1392" t="n"/>
      <c r="AS1939" s="1422" t="n"/>
      <c r="AT1939" s="1392" t="n"/>
      <c r="AU1939" s="1392" t="n"/>
      <c r="AV1939" s="1392" t="n"/>
      <c r="AW1939" s="1392" t="n"/>
      <c r="AX1939" s="1392" t="n"/>
      <c r="AY1939" s="1392" t="n"/>
      <c r="AZ1939" s="1392" t="n"/>
      <c r="BA1939" s="1392" t="n"/>
      <c r="BB1939" s="1422" t="n"/>
      <c r="BC1939" s="1392" t="n"/>
      <c r="BD1939" s="1392" t="n"/>
      <c r="BE1939" s="1392" t="n"/>
      <c r="BF1939" s="1392" t="n"/>
      <c r="BG1939" s="1392" t="n"/>
      <c r="BH1939" s="1392" t="n"/>
      <c r="BI1939" s="1392" t="n"/>
      <c r="BJ1939" s="1392" t="n"/>
      <c r="BK1939" s="1392" t="n"/>
      <c r="BL1939" s="1392" t="n"/>
      <c r="BM1939" s="1392" t="n"/>
      <c r="BN1939" s="1392" t="n"/>
      <c r="BO1939" s="1392" t="n"/>
      <c r="BP1939" s="1392" t="n"/>
      <c r="BQ1939" s="1392" t="n"/>
      <c r="BR1939" s="1392" t="n"/>
      <c r="BS1939" s="1392" t="n"/>
      <c r="BT1939" s="1392" t="n"/>
      <c r="BU1939" s="1416" t="n"/>
      <c r="BV1939" s="1392" t="n"/>
      <c r="BW1939" s="1392" t="n"/>
      <c r="BX1939" s="1392" t="n"/>
      <c r="BY1939" s="1392" t="n"/>
      <c r="BZ1939" s="1416" t="n"/>
      <c r="CA1939" s="1392" t="n"/>
      <c r="CB1939" s="1392" t="n"/>
      <c r="CC1939" s="1392" t="n"/>
      <c r="CD1939" s="1392" t="n"/>
      <c r="CE1939" s="1392" t="n"/>
      <c r="CF1939" s="1392" t="n"/>
      <c r="CG1939" s="1392" t="n"/>
      <c r="CH1939" s="1392" t="n"/>
      <c r="CI1939" s="1392" t="n"/>
      <c r="CJ1939" s="1392" t="n"/>
      <c r="CK1939" s="1392" t="n"/>
      <c r="CL1939" s="1392" t="n"/>
    </row>
    <row r="1940">
      <c r="A1940" s="5" t="inlineStr">
        <is>
          <t>.</t>
        </is>
      </c>
      <c r="B1940" s="5" t="inlineStr">
        <is>
          <t>.</t>
        </is>
      </c>
      <c r="C1940" s="1378">
        <f>IF(raw[[#This Row],[city]]="","-",IF(raw[[#This Row],[city]]="TODAY","-",C1939+1))</f>
        <v/>
      </c>
      <c r="D1940" s="1393" t="n"/>
      <c r="E1940" s="1394" t="n"/>
      <c r="F1940" s="1394" t="n"/>
      <c r="G1940" s="1393" t="n"/>
      <c r="H1940" s="1393" t="n"/>
      <c r="I1940" s="1393" t="n"/>
      <c r="J1940" s="1393" t="n"/>
      <c r="K1940" s="1395">
        <f>IF(raw[[#This Row],[city]]&lt;&gt;"",_xlfn.XLOOKUP($D1940,ccc[city],ccc[prov],"-"),"-")</f>
        <v/>
      </c>
      <c r="L1940" s="1395">
        <f>IF(raw[[#This Row],[city]]&lt;&gt;"",_xlfn.XLOOKUP($D1940,ccc[city],ccc[ctry],"-"),"-")</f>
        <v/>
      </c>
      <c r="M1940" s="1395">
        <f>IF(raw[[#This Row],[city]]&lt;&gt;"",_xlfn.XLOOKUP($D1940,ccc[city],ccc[cont],"-"),"-")</f>
        <v/>
      </c>
      <c r="N1940" s="1396">
        <f>IF(raw[[#This Row],[city]]="","-",IF(raw[[#This Row],[cont]]="B",raw[[#This Row],[cont]],"W"))</f>
        <v/>
      </c>
      <c r="O1940" s="1397">
        <f>IF(raw[[#This Row],[out]]=0,0,IF(raw[[#This Row],[out]]=raw[[#This Row],[in]],0.01,raw[[#This Row],[out]]-raw[[#This Row],[in]]))</f>
        <v/>
      </c>
      <c r="P1940" s="1397">
        <f>IF(raw[[#This Row],[in]]=0,0,MONTH(raw[[#This Row],[in]]))</f>
        <v/>
      </c>
      <c r="Q1940" s="1397">
        <f>IF(raw[[#This Row],[in]]=0,0,YEAR(raw[[#This Row],[in]]))</f>
        <v/>
      </c>
      <c r="R1940" s="1397">
        <f>INT(raw[[#This Row],[yr]]/10)*10</f>
        <v/>
      </c>
      <c r="S1940" s="1395">
        <f>IF(raw[[#This Row],[city]]="","-",IF(raw[[#This Row],[city]]&lt;&gt;_xlfn.XLOOKUP(raw[[#This Row],[home]],homes[home],homes[city],"-"),1,0))</f>
        <v/>
      </c>
      <c r="T1940" s="1398" t="inlineStr">
        <is>
          <t>.</t>
        </is>
      </c>
      <c r="U1940" s="1399">
        <f>IF(raw[[#This Row],[wb]]="w",raw[[#This Row],[stay]]+U1939,U1939)</f>
        <v/>
      </c>
      <c r="V1940" s="1400">
        <f>IF(raw[[#This Row],[out]]=0,V1939,(raw[[#This Row],[out]]-E$5))</f>
        <v/>
      </c>
      <c r="W1940" s="1401">
        <f>U1940/V1940</f>
        <v/>
      </c>
      <c r="X1940" s="1392" t="n"/>
      <c r="Y1940" s="1392" t="n"/>
      <c r="Z1940" s="1422" t="n"/>
      <c r="AA1940" s="1422" t="n"/>
      <c r="AB1940" s="1392" t="n"/>
      <c r="AC1940" s="1392" t="n"/>
      <c r="AD1940" s="1392" t="n"/>
      <c r="AE1940" s="1392" t="n"/>
      <c r="AF1940" s="1392" t="n"/>
      <c r="AG1940" s="1392" t="n"/>
      <c r="AH1940" s="1392" t="n"/>
      <c r="AI1940" s="1392" t="n"/>
      <c r="AJ1940" s="1392" t="n"/>
      <c r="AK1940" s="1392" t="n"/>
      <c r="AL1940" s="1392" t="n"/>
      <c r="AM1940" s="1392" t="n"/>
      <c r="AN1940" s="1392" t="n"/>
      <c r="AO1940" s="1392" t="n"/>
      <c r="AP1940" s="1392" t="n"/>
      <c r="AQ1940" s="1392" t="n"/>
      <c r="AR1940" s="1392" t="n"/>
      <c r="AS1940" s="1422" t="n"/>
      <c r="AT1940" s="1392" t="n"/>
      <c r="AU1940" s="1392" t="n"/>
      <c r="AV1940" s="1392" t="n"/>
      <c r="AW1940" s="1392" t="n"/>
      <c r="AX1940" s="1392" t="n"/>
      <c r="AY1940" s="1392" t="n"/>
      <c r="AZ1940" s="1392" t="n"/>
      <c r="BA1940" s="1392" t="n"/>
      <c r="BB1940" s="1422" t="n"/>
      <c r="BC1940" s="1392" t="n"/>
      <c r="BD1940" s="1392" t="n"/>
      <c r="BE1940" s="1392" t="n"/>
      <c r="BF1940" s="1392" t="n"/>
      <c r="BG1940" s="1392" t="n"/>
      <c r="BH1940" s="1392" t="n"/>
      <c r="BI1940" s="1392" t="n"/>
      <c r="BJ1940" s="1392" t="n"/>
      <c r="BK1940" s="1392" t="n"/>
      <c r="BL1940" s="1392" t="n"/>
      <c r="BM1940" s="1392" t="n"/>
      <c r="BN1940" s="1392" t="n"/>
      <c r="BO1940" s="1392" t="n"/>
      <c r="BP1940" s="1392" t="n"/>
      <c r="BQ1940" s="1392" t="n"/>
      <c r="BR1940" s="1392" t="n"/>
      <c r="BS1940" s="1392" t="n"/>
      <c r="BT1940" s="1392" t="n"/>
      <c r="BU1940" s="1416" t="n"/>
      <c r="BV1940" s="1392" t="n"/>
      <c r="BW1940" s="1392" t="n"/>
      <c r="BX1940" s="1392" t="n"/>
      <c r="BY1940" s="1392" t="n"/>
      <c r="BZ1940" s="1416" t="n"/>
      <c r="CA1940" s="1392" t="n"/>
      <c r="CB1940" s="1392" t="n"/>
      <c r="CC1940" s="1392" t="n"/>
      <c r="CD1940" s="1392" t="n"/>
      <c r="CE1940" s="1392" t="n"/>
      <c r="CF1940" s="1392" t="n"/>
      <c r="CG1940" s="1392" t="n"/>
      <c r="CH1940" s="1392" t="n"/>
      <c r="CI1940" s="1392" t="n"/>
      <c r="CJ1940" s="1392" t="n"/>
      <c r="CK1940" s="1392" t="n"/>
      <c r="CL1940" s="1392" t="n"/>
    </row>
    <row r="1941">
      <c r="A1941" s="5" t="inlineStr">
        <is>
          <t>.</t>
        </is>
      </c>
      <c r="B1941" s="5" t="inlineStr">
        <is>
          <t>.</t>
        </is>
      </c>
      <c r="C1941" s="1378">
        <f>IF(raw[[#This Row],[city]]="","-",IF(raw[[#This Row],[city]]="TODAY","-",C1940+1))</f>
        <v/>
      </c>
      <c r="D1941" s="1393" t="n"/>
      <c r="E1941" s="1394" t="n"/>
      <c r="F1941" s="1394" t="n"/>
      <c r="G1941" s="1393" t="n"/>
      <c r="H1941" s="1393" t="n"/>
      <c r="I1941" s="1393" t="n"/>
      <c r="J1941" s="1393" t="n"/>
      <c r="K1941" s="1395">
        <f>IF(raw[[#This Row],[city]]&lt;&gt;"",_xlfn.XLOOKUP($D1941,ccc[city],ccc[prov],"-"),"-")</f>
        <v/>
      </c>
      <c r="L1941" s="1395">
        <f>IF(raw[[#This Row],[city]]&lt;&gt;"",_xlfn.XLOOKUP($D1941,ccc[city],ccc[ctry],"-"),"-")</f>
        <v/>
      </c>
      <c r="M1941" s="1395">
        <f>IF(raw[[#This Row],[city]]&lt;&gt;"",_xlfn.XLOOKUP($D1941,ccc[city],ccc[cont],"-"),"-")</f>
        <v/>
      </c>
      <c r="N1941" s="1396">
        <f>IF(raw[[#This Row],[city]]="","-",IF(raw[[#This Row],[cont]]="B",raw[[#This Row],[cont]],"W"))</f>
        <v/>
      </c>
      <c r="O1941" s="1397">
        <f>IF(raw[[#This Row],[out]]=0,0,IF(raw[[#This Row],[out]]=raw[[#This Row],[in]],0.01,raw[[#This Row],[out]]-raw[[#This Row],[in]]))</f>
        <v/>
      </c>
      <c r="P1941" s="1397">
        <f>IF(raw[[#This Row],[in]]=0,0,MONTH(raw[[#This Row],[in]]))</f>
        <v/>
      </c>
      <c r="Q1941" s="1397">
        <f>IF(raw[[#This Row],[in]]=0,0,YEAR(raw[[#This Row],[in]]))</f>
        <v/>
      </c>
      <c r="R1941" s="1397">
        <f>INT(raw[[#This Row],[yr]]/10)*10</f>
        <v/>
      </c>
      <c r="S1941" s="1395">
        <f>IF(raw[[#This Row],[city]]="","-",IF(raw[[#This Row],[city]]&lt;&gt;_xlfn.XLOOKUP(raw[[#This Row],[home]],homes[home],homes[city],"-"),1,0))</f>
        <v/>
      </c>
      <c r="T1941" s="1398" t="inlineStr">
        <is>
          <t>.</t>
        </is>
      </c>
      <c r="U1941" s="1399">
        <f>IF(raw[[#This Row],[wb]]="w",raw[[#This Row],[stay]]+U1940,U1940)</f>
        <v/>
      </c>
      <c r="V1941" s="1400">
        <f>IF(raw[[#This Row],[out]]=0,V1940,(raw[[#This Row],[out]]-E$5))</f>
        <v/>
      </c>
      <c r="W1941" s="1401">
        <f>U1941/V1941</f>
        <v/>
      </c>
      <c r="X1941" s="1392" t="n"/>
      <c r="Y1941" s="1392" t="n"/>
      <c r="Z1941" s="1422" t="n"/>
      <c r="AA1941" s="1422" t="n"/>
      <c r="AB1941" s="1392" t="n"/>
      <c r="AC1941" s="1392" t="n"/>
      <c r="AD1941" s="1392" t="n"/>
      <c r="AE1941" s="1392" t="n"/>
      <c r="AF1941" s="1392" t="n"/>
      <c r="AG1941" s="1392" t="n"/>
      <c r="AH1941" s="1392" t="n"/>
      <c r="AI1941" s="1392" t="n"/>
      <c r="AJ1941" s="1392" t="n"/>
      <c r="AK1941" s="1392" t="n"/>
      <c r="AL1941" s="1392" t="n"/>
      <c r="AM1941" s="1392" t="n"/>
      <c r="AN1941" s="1392" t="n"/>
      <c r="AO1941" s="1392" t="n"/>
      <c r="AP1941" s="1392" t="n"/>
      <c r="AQ1941" s="1392" t="n"/>
      <c r="AR1941" s="1392" t="n"/>
      <c r="AS1941" s="1422" t="n"/>
      <c r="AT1941" s="1392" t="n"/>
      <c r="AU1941" s="1392" t="n"/>
      <c r="AV1941" s="1392" t="n"/>
      <c r="AW1941" s="1392" t="n"/>
      <c r="AX1941" s="1392" t="n"/>
      <c r="AY1941" s="1392" t="n"/>
      <c r="AZ1941" s="1392" t="n"/>
      <c r="BA1941" s="1392" t="n"/>
      <c r="BB1941" s="1422" t="n"/>
      <c r="BC1941" s="1392" t="n"/>
      <c r="BD1941" s="1392" t="n"/>
      <c r="BE1941" s="1392" t="n"/>
      <c r="BF1941" s="1392" t="n"/>
      <c r="BG1941" s="1392" t="n"/>
      <c r="BH1941" s="1392" t="n"/>
      <c r="BI1941" s="1392" t="n"/>
      <c r="BJ1941" s="1392" t="n"/>
      <c r="BK1941" s="1392" t="n"/>
      <c r="BL1941" s="1392" t="n"/>
      <c r="BM1941" s="1392" t="n"/>
      <c r="BN1941" s="1392" t="n"/>
      <c r="BO1941" s="1392" t="n"/>
      <c r="BP1941" s="1392" t="n"/>
      <c r="BQ1941" s="1392" t="n"/>
      <c r="BR1941" s="1392" t="n"/>
      <c r="BS1941" s="1392" t="n"/>
      <c r="BT1941" s="1392" t="n"/>
      <c r="BU1941" s="1416" t="n"/>
      <c r="BV1941" s="1392" t="n"/>
      <c r="BW1941" s="1392" t="n"/>
      <c r="BX1941" s="1392" t="n"/>
      <c r="BY1941" s="1392" t="n"/>
      <c r="BZ1941" s="1416" t="n"/>
      <c r="CA1941" s="1392" t="n"/>
      <c r="CB1941" s="1392" t="n"/>
      <c r="CC1941" s="1392" t="n"/>
      <c r="CD1941" s="1392" t="n"/>
      <c r="CE1941" s="1392" t="n"/>
      <c r="CF1941" s="1392" t="n"/>
      <c r="CG1941" s="1392" t="n"/>
      <c r="CH1941" s="1392" t="n"/>
      <c r="CI1941" s="1392" t="n"/>
      <c r="CJ1941" s="1392" t="n"/>
      <c r="CK1941" s="1392" t="n"/>
      <c r="CL1941" s="1392" t="n"/>
    </row>
    <row r="1942">
      <c r="A1942" s="5" t="inlineStr">
        <is>
          <t>.</t>
        </is>
      </c>
      <c r="B1942" s="5" t="inlineStr">
        <is>
          <t>.</t>
        </is>
      </c>
      <c r="C1942" s="1378">
        <f>IF(raw[[#This Row],[city]]="","-",IF(raw[[#This Row],[city]]="TODAY","-",C1941+1))</f>
        <v/>
      </c>
      <c r="D1942" s="1393" t="n"/>
      <c r="E1942" s="1394" t="n"/>
      <c r="F1942" s="1394" t="n"/>
      <c r="G1942" s="1393" t="n"/>
      <c r="H1942" s="1393" t="n"/>
      <c r="I1942" s="1393" t="n"/>
      <c r="J1942" s="1393" t="n"/>
      <c r="K1942" s="1395">
        <f>IF(raw[[#This Row],[city]]&lt;&gt;"",_xlfn.XLOOKUP($D1942,ccc[city],ccc[prov],"-"),"-")</f>
        <v/>
      </c>
      <c r="L1942" s="1395">
        <f>IF(raw[[#This Row],[city]]&lt;&gt;"",_xlfn.XLOOKUP($D1942,ccc[city],ccc[ctry],"-"),"-")</f>
        <v/>
      </c>
      <c r="M1942" s="1395">
        <f>IF(raw[[#This Row],[city]]&lt;&gt;"",_xlfn.XLOOKUP($D1942,ccc[city],ccc[cont],"-"),"-")</f>
        <v/>
      </c>
      <c r="N1942" s="1396">
        <f>IF(raw[[#This Row],[city]]="","-",IF(raw[[#This Row],[cont]]="B",raw[[#This Row],[cont]],"W"))</f>
        <v/>
      </c>
      <c r="O1942" s="1397">
        <f>IF(raw[[#This Row],[out]]=0,0,IF(raw[[#This Row],[out]]=raw[[#This Row],[in]],0.01,raw[[#This Row],[out]]-raw[[#This Row],[in]]))</f>
        <v/>
      </c>
      <c r="P1942" s="1397">
        <f>IF(raw[[#This Row],[in]]=0,0,MONTH(raw[[#This Row],[in]]))</f>
        <v/>
      </c>
      <c r="Q1942" s="1397">
        <f>IF(raw[[#This Row],[in]]=0,0,YEAR(raw[[#This Row],[in]]))</f>
        <v/>
      </c>
      <c r="R1942" s="1397">
        <f>INT(raw[[#This Row],[yr]]/10)*10</f>
        <v/>
      </c>
      <c r="S1942" s="1395">
        <f>IF(raw[[#This Row],[city]]="","-",IF(raw[[#This Row],[city]]&lt;&gt;_xlfn.XLOOKUP(raw[[#This Row],[home]],homes[home],homes[city],"-"),1,0))</f>
        <v/>
      </c>
      <c r="T1942" s="1398" t="inlineStr">
        <is>
          <t>.</t>
        </is>
      </c>
      <c r="U1942" s="1399">
        <f>IF(raw[[#This Row],[wb]]="w",raw[[#This Row],[stay]]+U1941,U1941)</f>
        <v/>
      </c>
      <c r="V1942" s="1400">
        <f>IF(raw[[#This Row],[out]]=0,V1941,(raw[[#This Row],[out]]-E$5))</f>
        <v/>
      </c>
      <c r="W1942" s="1401">
        <f>U1942/V1942</f>
        <v/>
      </c>
      <c r="X1942" s="1392" t="n"/>
      <c r="Y1942" s="1392" t="n"/>
      <c r="Z1942" s="1422" t="n"/>
      <c r="AA1942" s="1422" t="n"/>
      <c r="AB1942" s="1392" t="n"/>
      <c r="AC1942" s="1392" t="n"/>
      <c r="AD1942" s="1392" t="n"/>
      <c r="AE1942" s="1392" t="n"/>
      <c r="AF1942" s="1392" t="n"/>
      <c r="AG1942" s="1392" t="n"/>
      <c r="AH1942" s="1392" t="n"/>
      <c r="AI1942" s="1392" t="n"/>
      <c r="AJ1942" s="1392" t="n"/>
      <c r="AK1942" s="1392" t="n"/>
      <c r="AL1942" s="1392" t="n"/>
      <c r="AM1942" s="1392" t="n"/>
      <c r="AN1942" s="1392" t="n"/>
      <c r="AO1942" s="1392" t="n"/>
      <c r="AP1942" s="1392" t="n"/>
      <c r="AQ1942" s="1392" t="n"/>
      <c r="AR1942" s="1392" t="n"/>
      <c r="AS1942" s="1422" t="n"/>
      <c r="AT1942" s="1392" t="n"/>
      <c r="AU1942" s="1392" t="n"/>
      <c r="AV1942" s="1392" t="n"/>
      <c r="AW1942" s="1392" t="n"/>
      <c r="AX1942" s="1392" t="n"/>
      <c r="AY1942" s="1392" t="n"/>
      <c r="AZ1942" s="1392" t="n"/>
      <c r="BA1942" s="1392" t="n"/>
      <c r="BB1942" s="1422" t="n"/>
      <c r="BC1942" s="1392" t="n"/>
      <c r="BD1942" s="1392" t="n"/>
      <c r="BE1942" s="1392" t="n"/>
      <c r="BF1942" s="1392" t="n"/>
      <c r="BG1942" s="1392" t="n"/>
      <c r="BH1942" s="1392" t="n"/>
      <c r="BI1942" s="1392" t="n"/>
      <c r="BJ1942" s="1392" t="n"/>
      <c r="BK1942" s="1392" t="n"/>
      <c r="BL1942" s="1392" t="n"/>
      <c r="BM1942" s="1392" t="n"/>
      <c r="BN1942" s="1392" t="n"/>
      <c r="BO1942" s="1392" t="n"/>
      <c r="BP1942" s="1392" t="n"/>
      <c r="BQ1942" s="1392" t="n"/>
      <c r="BR1942" s="1392" t="n"/>
      <c r="BS1942" s="1392" t="n"/>
      <c r="BT1942" s="1392" t="n"/>
      <c r="BU1942" s="1416" t="n"/>
      <c r="BV1942" s="1392" t="n"/>
      <c r="BW1942" s="1392" t="n"/>
      <c r="BX1942" s="1392" t="n"/>
      <c r="BY1942" s="1392" t="n"/>
      <c r="BZ1942" s="1416" t="n"/>
      <c r="CA1942" s="1392" t="n"/>
      <c r="CB1942" s="1392" t="n"/>
      <c r="CC1942" s="1392" t="n"/>
      <c r="CD1942" s="1392" t="n"/>
      <c r="CE1942" s="1392" t="n"/>
      <c r="CF1942" s="1392" t="n"/>
      <c r="CG1942" s="1392" t="n"/>
      <c r="CH1942" s="1392" t="n"/>
      <c r="CI1942" s="1392" t="n"/>
      <c r="CJ1942" s="1392" t="n"/>
      <c r="CK1942" s="1392" t="n"/>
      <c r="CL1942" s="1392" t="n"/>
    </row>
    <row r="1943">
      <c r="A1943" s="5" t="inlineStr">
        <is>
          <t>.</t>
        </is>
      </c>
      <c r="B1943" s="5" t="inlineStr">
        <is>
          <t>.</t>
        </is>
      </c>
      <c r="C1943" s="1378">
        <f>IF(raw[[#This Row],[city]]="","-",IF(raw[[#This Row],[city]]="TODAY","-",C1942+1))</f>
        <v/>
      </c>
      <c r="D1943" s="1393" t="n"/>
      <c r="E1943" s="1394" t="n"/>
      <c r="F1943" s="1394" t="n"/>
      <c r="G1943" s="1393" t="n"/>
      <c r="H1943" s="1393" t="n"/>
      <c r="I1943" s="1393" t="n"/>
      <c r="J1943" s="1393" t="n"/>
      <c r="K1943" s="1395">
        <f>IF(raw[[#This Row],[city]]&lt;&gt;"",_xlfn.XLOOKUP($D1943,ccc[city],ccc[prov],"-"),"-")</f>
        <v/>
      </c>
      <c r="L1943" s="1395">
        <f>IF(raw[[#This Row],[city]]&lt;&gt;"",_xlfn.XLOOKUP($D1943,ccc[city],ccc[ctry],"-"),"-")</f>
        <v/>
      </c>
      <c r="M1943" s="1395">
        <f>IF(raw[[#This Row],[city]]&lt;&gt;"",_xlfn.XLOOKUP($D1943,ccc[city],ccc[cont],"-"),"-")</f>
        <v/>
      </c>
      <c r="N1943" s="1396">
        <f>IF(raw[[#This Row],[city]]="","-",IF(raw[[#This Row],[cont]]="B",raw[[#This Row],[cont]],"W"))</f>
        <v/>
      </c>
      <c r="O1943" s="1397">
        <f>IF(raw[[#This Row],[out]]=0,0,IF(raw[[#This Row],[out]]=raw[[#This Row],[in]],0.01,raw[[#This Row],[out]]-raw[[#This Row],[in]]))</f>
        <v/>
      </c>
      <c r="P1943" s="1397">
        <f>IF(raw[[#This Row],[in]]=0,0,MONTH(raw[[#This Row],[in]]))</f>
        <v/>
      </c>
      <c r="Q1943" s="1397">
        <f>IF(raw[[#This Row],[in]]=0,0,YEAR(raw[[#This Row],[in]]))</f>
        <v/>
      </c>
      <c r="R1943" s="1397">
        <f>INT(raw[[#This Row],[yr]]/10)*10</f>
        <v/>
      </c>
      <c r="S1943" s="1395">
        <f>IF(raw[[#This Row],[city]]="","-",IF(raw[[#This Row],[city]]&lt;&gt;_xlfn.XLOOKUP(raw[[#This Row],[home]],homes[home],homes[city],"-"),1,0))</f>
        <v/>
      </c>
      <c r="T1943" s="1398" t="inlineStr">
        <is>
          <t>.</t>
        </is>
      </c>
      <c r="U1943" s="1399">
        <f>IF(raw[[#This Row],[wb]]="w",raw[[#This Row],[stay]]+U1942,U1942)</f>
        <v/>
      </c>
      <c r="V1943" s="1400">
        <f>IF(raw[[#This Row],[out]]=0,V1942,(raw[[#This Row],[out]]-E$5))</f>
        <v/>
      </c>
      <c r="W1943" s="1401">
        <f>U1943/V1943</f>
        <v/>
      </c>
      <c r="X1943" s="1392" t="n"/>
      <c r="Y1943" s="1392" t="n"/>
      <c r="Z1943" s="1422" t="n"/>
      <c r="AA1943" s="1422" t="n"/>
      <c r="AB1943" s="1392" t="n"/>
      <c r="AC1943" s="1392" t="n"/>
      <c r="AD1943" s="1392" t="n"/>
      <c r="AE1943" s="1392" t="n"/>
      <c r="AF1943" s="1392" t="n"/>
      <c r="AG1943" s="1392" t="n"/>
      <c r="AH1943" s="1392" t="n"/>
      <c r="AI1943" s="1392" t="n"/>
      <c r="AJ1943" s="1392" t="n"/>
      <c r="AK1943" s="1392" t="n"/>
      <c r="AL1943" s="1392" t="n"/>
      <c r="AM1943" s="1392" t="n"/>
      <c r="AN1943" s="1392" t="n"/>
      <c r="AO1943" s="1392" t="n"/>
      <c r="AP1943" s="1392" t="n"/>
      <c r="AQ1943" s="1392" t="n"/>
      <c r="AR1943" s="1392" t="n"/>
      <c r="AS1943" s="1422" t="n"/>
      <c r="AT1943" s="1392" t="n"/>
      <c r="AU1943" s="1392" t="n"/>
      <c r="AV1943" s="1392" t="n"/>
      <c r="AW1943" s="1392" t="n"/>
      <c r="AX1943" s="1392" t="n"/>
      <c r="AY1943" s="1392" t="n"/>
      <c r="AZ1943" s="1392" t="n"/>
      <c r="BA1943" s="1392" t="n"/>
      <c r="BB1943" s="1422" t="n"/>
      <c r="BC1943" s="1392" t="n"/>
      <c r="BD1943" s="1392" t="n"/>
      <c r="BE1943" s="1392" t="n"/>
      <c r="BF1943" s="1392" t="n"/>
      <c r="BG1943" s="1392" t="n"/>
      <c r="BH1943" s="1392" t="n"/>
      <c r="BI1943" s="1392" t="n"/>
      <c r="BJ1943" s="1392" t="n"/>
      <c r="BK1943" s="1392" t="n"/>
      <c r="BL1943" s="1392" t="n"/>
      <c r="BM1943" s="1392" t="n"/>
      <c r="BN1943" s="1392" t="n"/>
      <c r="BO1943" s="1392" t="n"/>
      <c r="BP1943" s="1392" t="n"/>
      <c r="BQ1943" s="1392" t="n"/>
      <c r="BR1943" s="1392" t="n"/>
      <c r="BS1943" s="1392" t="n"/>
      <c r="BT1943" s="1392" t="n"/>
      <c r="BU1943" s="1416" t="n"/>
      <c r="BV1943" s="1392" t="n"/>
      <c r="BW1943" s="1392" t="n"/>
      <c r="BX1943" s="1392" t="n"/>
      <c r="BY1943" s="1392" t="n"/>
      <c r="BZ1943" s="1416" t="n"/>
      <c r="CA1943" s="1392" t="n"/>
      <c r="CB1943" s="1392" t="n"/>
      <c r="CC1943" s="1392" t="n"/>
      <c r="CD1943" s="1392" t="n"/>
      <c r="CE1943" s="1392" t="n"/>
      <c r="CF1943" s="1392" t="n"/>
      <c r="CG1943" s="1392" t="n"/>
      <c r="CH1943" s="1392" t="n"/>
      <c r="CI1943" s="1392" t="n"/>
      <c r="CJ1943" s="1392" t="n"/>
      <c r="CK1943" s="1392" t="n"/>
      <c r="CL1943" s="1392" t="n"/>
    </row>
    <row r="1944">
      <c r="A1944" s="5" t="inlineStr">
        <is>
          <t>.</t>
        </is>
      </c>
      <c r="B1944" s="5" t="inlineStr">
        <is>
          <t>.</t>
        </is>
      </c>
      <c r="C1944" s="1378">
        <f>IF(raw[[#This Row],[city]]="","-",IF(raw[[#This Row],[city]]="TODAY","-",C1943+1))</f>
        <v/>
      </c>
      <c r="D1944" s="1393" t="n"/>
      <c r="E1944" s="1394" t="n"/>
      <c r="F1944" s="1394" t="n"/>
      <c r="G1944" s="1393" t="n"/>
      <c r="H1944" s="1393" t="n"/>
      <c r="I1944" s="1393" t="n"/>
      <c r="J1944" s="1393" t="n"/>
      <c r="K1944" s="1395">
        <f>IF(raw[[#This Row],[city]]&lt;&gt;"",_xlfn.XLOOKUP($D1944,ccc[city],ccc[prov],"-"),"-")</f>
        <v/>
      </c>
      <c r="L1944" s="1395">
        <f>IF(raw[[#This Row],[city]]&lt;&gt;"",_xlfn.XLOOKUP($D1944,ccc[city],ccc[ctry],"-"),"-")</f>
        <v/>
      </c>
      <c r="M1944" s="1395">
        <f>IF(raw[[#This Row],[city]]&lt;&gt;"",_xlfn.XLOOKUP($D1944,ccc[city],ccc[cont],"-"),"-")</f>
        <v/>
      </c>
      <c r="N1944" s="1396">
        <f>IF(raw[[#This Row],[city]]="","-",IF(raw[[#This Row],[cont]]="B",raw[[#This Row],[cont]],"W"))</f>
        <v/>
      </c>
      <c r="O1944" s="1397">
        <f>IF(raw[[#This Row],[out]]=0,0,IF(raw[[#This Row],[out]]=raw[[#This Row],[in]],0.01,raw[[#This Row],[out]]-raw[[#This Row],[in]]))</f>
        <v/>
      </c>
      <c r="P1944" s="1397">
        <f>IF(raw[[#This Row],[in]]=0,0,MONTH(raw[[#This Row],[in]]))</f>
        <v/>
      </c>
      <c r="Q1944" s="1397">
        <f>IF(raw[[#This Row],[in]]=0,0,YEAR(raw[[#This Row],[in]]))</f>
        <v/>
      </c>
      <c r="R1944" s="1397">
        <f>INT(raw[[#This Row],[yr]]/10)*10</f>
        <v/>
      </c>
      <c r="S1944" s="1395">
        <f>IF(raw[[#This Row],[city]]="","-",IF(raw[[#This Row],[city]]&lt;&gt;_xlfn.XLOOKUP(raw[[#This Row],[home]],homes[home],homes[city],"-"),1,0))</f>
        <v/>
      </c>
      <c r="T1944" s="1398" t="inlineStr">
        <is>
          <t>.</t>
        </is>
      </c>
      <c r="U1944" s="1399">
        <f>IF(raw[[#This Row],[wb]]="w",raw[[#This Row],[stay]]+U1943,U1943)</f>
        <v/>
      </c>
      <c r="V1944" s="1400">
        <f>IF(raw[[#This Row],[out]]=0,V1943,(raw[[#This Row],[out]]-E$5))</f>
        <v/>
      </c>
      <c r="W1944" s="1401">
        <f>U1944/V1944</f>
        <v/>
      </c>
      <c r="X1944" s="1392" t="n"/>
      <c r="Y1944" s="1392" t="n"/>
      <c r="Z1944" s="1422" t="n"/>
      <c r="AA1944" s="1422" t="n"/>
      <c r="AB1944" s="1392" t="n"/>
      <c r="AC1944" s="1392" t="n"/>
      <c r="AD1944" s="1392" t="n"/>
      <c r="AE1944" s="1392" t="n"/>
      <c r="AF1944" s="1392" t="n"/>
      <c r="AG1944" s="1392" t="n"/>
      <c r="AH1944" s="1392" t="n"/>
      <c r="AI1944" s="1392" t="n"/>
      <c r="AJ1944" s="1392" t="n"/>
      <c r="AK1944" s="1392" t="n"/>
      <c r="AL1944" s="1392" t="n"/>
      <c r="AM1944" s="1392" t="n"/>
      <c r="AN1944" s="1392" t="n"/>
      <c r="AO1944" s="1392" t="n"/>
      <c r="AP1944" s="1392" t="n"/>
      <c r="AQ1944" s="1392" t="n"/>
      <c r="AR1944" s="1392" t="n"/>
      <c r="AS1944" s="1422" t="n"/>
      <c r="AT1944" s="1392" t="n"/>
      <c r="AU1944" s="1392" t="n"/>
      <c r="AV1944" s="1392" t="n"/>
      <c r="AW1944" s="1392" t="n"/>
      <c r="AX1944" s="1392" t="n"/>
      <c r="AY1944" s="1392" t="n"/>
      <c r="AZ1944" s="1392" t="n"/>
      <c r="BA1944" s="1392" t="n"/>
      <c r="BB1944" s="1422" t="n"/>
      <c r="BC1944" s="1392" t="n"/>
      <c r="BD1944" s="1392" t="n"/>
      <c r="BE1944" s="1392" t="n"/>
      <c r="BF1944" s="1392" t="n"/>
      <c r="BG1944" s="1392" t="n"/>
      <c r="BH1944" s="1392" t="n"/>
      <c r="BI1944" s="1392" t="n"/>
      <c r="BJ1944" s="1392" t="n"/>
      <c r="BK1944" s="1392" t="n"/>
      <c r="BL1944" s="1392" t="n"/>
      <c r="BM1944" s="1392" t="n"/>
      <c r="BN1944" s="1392" t="n"/>
      <c r="BO1944" s="1392" t="n"/>
      <c r="BP1944" s="1392" t="n"/>
      <c r="BQ1944" s="1392" t="n"/>
      <c r="BR1944" s="1392" t="n"/>
      <c r="BS1944" s="1392" t="n"/>
      <c r="BT1944" s="1392" t="n"/>
      <c r="BU1944" s="1416" t="n"/>
      <c r="BV1944" s="1392" t="n"/>
      <c r="BW1944" s="1392" t="n"/>
      <c r="BX1944" s="1392" t="n"/>
      <c r="BY1944" s="1392" t="n"/>
      <c r="BZ1944" s="1416" t="n"/>
      <c r="CA1944" s="1392" t="n"/>
      <c r="CB1944" s="1392" t="n"/>
      <c r="CC1944" s="1392" t="n"/>
      <c r="CD1944" s="1392" t="n"/>
      <c r="CE1944" s="1392" t="n"/>
      <c r="CF1944" s="1392" t="n"/>
      <c r="CG1944" s="1392" t="n"/>
      <c r="CH1944" s="1392" t="n"/>
      <c r="CI1944" s="1392" t="n"/>
      <c r="CJ1944" s="1392" t="n"/>
      <c r="CK1944" s="1392" t="n"/>
      <c r="CL1944" s="1392" t="n"/>
    </row>
    <row r="1945">
      <c r="A1945" s="5" t="inlineStr">
        <is>
          <t>.</t>
        </is>
      </c>
      <c r="B1945" s="5" t="inlineStr">
        <is>
          <t>.</t>
        </is>
      </c>
      <c r="C1945" s="1378">
        <f>IF(raw[[#This Row],[city]]="","-",IF(raw[[#This Row],[city]]="TODAY","-",C1944+1))</f>
        <v/>
      </c>
      <c r="D1945" s="1393" t="n"/>
      <c r="E1945" s="1394" t="n"/>
      <c r="F1945" s="1394" t="n"/>
      <c r="G1945" s="1393" t="n"/>
      <c r="H1945" s="1393" t="n"/>
      <c r="I1945" s="1393" t="n"/>
      <c r="J1945" s="1393" t="n"/>
      <c r="K1945" s="1395">
        <f>IF(raw[[#This Row],[city]]&lt;&gt;"",_xlfn.XLOOKUP($D1945,ccc[city],ccc[prov],"-"),"-")</f>
        <v/>
      </c>
      <c r="L1945" s="1395">
        <f>IF(raw[[#This Row],[city]]&lt;&gt;"",_xlfn.XLOOKUP($D1945,ccc[city],ccc[ctry],"-"),"-")</f>
        <v/>
      </c>
      <c r="M1945" s="1395">
        <f>IF(raw[[#This Row],[city]]&lt;&gt;"",_xlfn.XLOOKUP($D1945,ccc[city],ccc[cont],"-"),"-")</f>
        <v/>
      </c>
      <c r="N1945" s="1396">
        <f>IF(raw[[#This Row],[city]]="","-",IF(raw[[#This Row],[cont]]="B",raw[[#This Row],[cont]],"W"))</f>
        <v/>
      </c>
      <c r="O1945" s="1397">
        <f>IF(raw[[#This Row],[out]]=0,0,IF(raw[[#This Row],[out]]=raw[[#This Row],[in]],0.01,raw[[#This Row],[out]]-raw[[#This Row],[in]]))</f>
        <v/>
      </c>
      <c r="P1945" s="1397">
        <f>IF(raw[[#This Row],[in]]=0,0,MONTH(raw[[#This Row],[in]]))</f>
        <v/>
      </c>
      <c r="Q1945" s="1397">
        <f>IF(raw[[#This Row],[in]]=0,0,YEAR(raw[[#This Row],[in]]))</f>
        <v/>
      </c>
      <c r="R1945" s="1397">
        <f>INT(raw[[#This Row],[yr]]/10)*10</f>
        <v/>
      </c>
      <c r="S1945" s="1395">
        <f>IF(raw[[#This Row],[city]]="","-",IF(raw[[#This Row],[city]]&lt;&gt;_xlfn.XLOOKUP(raw[[#This Row],[home]],homes[home],homes[city],"-"),1,0))</f>
        <v/>
      </c>
      <c r="T1945" s="1398" t="inlineStr">
        <is>
          <t>.</t>
        </is>
      </c>
      <c r="U1945" s="1399">
        <f>IF(raw[[#This Row],[wb]]="w",raw[[#This Row],[stay]]+U1944,U1944)</f>
        <v/>
      </c>
      <c r="V1945" s="1400">
        <f>IF(raw[[#This Row],[out]]=0,V1944,(raw[[#This Row],[out]]-E$5))</f>
        <v/>
      </c>
      <c r="W1945" s="1401">
        <f>U1945/V1945</f>
        <v/>
      </c>
      <c r="X1945" s="1392" t="n"/>
      <c r="Y1945" s="1392" t="n"/>
      <c r="Z1945" s="1422" t="n"/>
      <c r="AA1945" s="1422" t="n"/>
      <c r="AB1945" s="1392" t="n"/>
      <c r="AC1945" s="1392" t="n"/>
      <c r="AD1945" s="1392" t="n"/>
      <c r="AE1945" s="1392" t="n"/>
      <c r="AF1945" s="1392" t="n"/>
      <c r="AG1945" s="1392" t="n"/>
      <c r="AH1945" s="1392" t="n"/>
      <c r="AI1945" s="1392" t="n"/>
      <c r="AJ1945" s="1392" t="n"/>
      <c r="AK1945" s="1392" t="n"/>
      <c r="AL1945" s="1392" t="n"/>
      <c r="AM1945" s="1392" t="n"/>
      <c r="AN1945" s="1392" t="n"/>
      <c r="AO1945" s="1392" t="n"/>
      <c r="AP1945" s="1392" t="n"/>
      <c r="AQ1945" s="1392" t="n"/>
      <c r="AR1945" s="1392" t="n"/>
      <c r="AS1945" s="1422" t="n"/>
      <c r="AT1945" s="1392" t="n"/>
      <c r="AU1945" s="1392" t="n"/>
      <c r="AV1945" s="1392" t="n"/>
      <c r="AW1945" s="1392" t="n"/>
      <c r="AX1945" s="1392" t="n"/>
      <c r="AY1945" s="1392" t="n"/>
      <c r="AZ1945" s="1392" t="n"/>
      <c r="BA1945" s="1392" t="n"/>
      <c r="BB1945" s="1422" t="n"/>
      <c r="BC1945" s="1392" t="n"/>
      <c r="BD1945" s="1392" t="n"/>
      <c r="BE1945" s="1392" t="n"/>
      <c r="BF1945" s="1392" t="n"/>
      <c r="BG1945" s="1392" t="n"/>
      <c r="BH1945" s="1392" t="n"/>
      <c r="BI1945" s="1392" t="n"/>
      <c r="BJ1945" s="1392" t="n"/>
      <c r="BK1945" s="1392" t="n"/>
      <c r="BL1945" s="1392" t="n"/>
      <c r="BM1945" s="1392" t="n"/>
      <c r="BN1945" s="1392" t="n"/>
      <c r="BO1945" s="1392" t="n"/>
      <c r="BP1945" s="1392" t="n"/>
      <c r="BQ1945" s="1392" t="n"/>
      <c r="BR1945" s="1392" t="n"/>
      <c r="BS1945" s="1392" t="n"/>
      <c r="BT1945" s="1392" t="n"/>
      <c r="BU1945" s="1416" t="n"/>
      <c r="BV1945" s="1392" t="n"/>
      <c r="BW1945" s="1392" t="n"/>
      <c r="BX1945" s="1392" t="n"/>
      <c r="BY1945" s="1392" t="n"/>
      <c r="BZ1945" s="1416" t="n"/>
      <c r="CA1945" s="1392" t="n"/>
      <c r="CB1945" s="1392" t="n"/>
      <c r="CC1945" s="1392" t="n"/>
      <c r="CD1945" s="1392" t="n"/>
      <c r="CE1945" s="1392" t="n"/>
      <c r="CF1945" s="1392" t="n"/>
      <c r="CG1945" s="1392" t="n"/>
      <c r="CH1945" s="1392" t="n"/>
      <c r="CI1945" s="1392" t="n"/>
      <c r="CJ1945" s="1392" t="n"/>
      <c r="CK1945" s="1392" t="n"/>
      <c r="CL1945" s="1392" t="n"/>
    </row>
    <row r="1946">
      <c r="A1946" s="5" t="inlineStr">
        <is>
          <t>.</t>
        </is>
      </c>
      <c r="B1946" s="5" t="inlineStr">
        <is>
          <t>.</t>
        </is>
      </c>
      <c r="C1946" s="1378">
        <f>IF(raw[[#This Row],[city]]="","-",IF(raw[[#This Row],[city]]="TODAY","-",C1945+1))</f>
        <v/>
      </c>
      <c r="D1946" s="1393" t="n"/>
      <c r="E1946" s="1394" t="n"/>
      <c r="F1946" s="1394" t="n"/>
      <c r="G1946" s="1393" t="n"/>
      <c r="H1946" s="1393" t="n"/>
      <c r="I1946" s="1393" t="n"/>
      <c r="J1946" s="1393" t="n"/>
      <c r="K1946" s="1395">
        <f>IF(raw[[#This Row],[city]]&lt;&gt;"",_xlfn.XLOOKUP($D1946,ccc[city],ccc[prov],"-"),"-")</f>
        <v/>
      </c>
      <c r="L1946" s="1395">
        <f>IF(raw[[#This Row],[city]]&lt;&gt;"",_xlfn.XLOOKUP($D1946,ccc[city],ccc[ctry],"-"),"-")</f>
        <v/>
      </c>
      <c r="M1946" s="1395">
        <f>IF(raw[[#This Row],[city]]&lt;&gt;"",_xlfn.XLOOKUP($D1946,ccc[city],ccc[cont],"-"),"-")</f>
        <v/>
      </c>
      <c r="N1946" s="1396">
        <f>IF(raw[[#This Row],[city]]="","-",IF(raw[[#This Row],[cont]]="B",raw[[#This Row],[cont]],"W"))</f>
        <v/>
      </c>
      <c r="O1946" s="1397">
        <f>IF(raw[[#This Row],[out]]=0,0,IF(raw[[#This Row],[out]]=raw[[#This Row],[in]],0.01,raw[[#This Row],[out]]-raw[[#This Row],[in]]))</f>
        <v/>
      </c>
      <c r="P1946" s="1397">
        <f>IF(raw[[#This Row],[in]]=0,0,MONTH(raw[[#This Row],[in]]))</f>
        <v/>
      </c>
      <c r="Q1946" s="1397">
        <f>IF(raw[[#This Row],[in]]=0,0,YEAR(raw[[#This Row],[in]]))</f>
        <v/>
      </c>
      <c r="R1946" s="1397">
        <f>INT(raw[[#This Row],[yr]]/10)*10</f>
        <v/>
      </c>
      <c r="S1946" s="1395">
        <f>IF(raw[[#This Row],[city]]="","-",IF(raw[[#This Row],[city]]&lt;&gt;_xlfn.XLOOKUP(raw[[#This Row],[home]],homes[home],homes[city],"-"),1,0))</f>
        <v/>
      </c>
      <c r="T1946" s="1398" t="inlineStr">
        <is>
          <t>.</t>
        </is>
      </c>
      <c r="U1946" s="1399">
        <f>IF(raw[[#This Row],[wb]]="w",raw[[#This Row],[stay]]+U1945,U1945)</f>
        <v/>
      </c>
      <c r="V1946" s="1400">
        <f>IF(raw[[#This Row],[out]]=0,V1945,(raw[[#This Row],[out]]-E$5))</f>
        <v/>
      </c>
      <c r="W1946" s="1401">
        <f>U1946/V1946</f>
        <v/>
      </c>
      <c r="X1946" s="1392" t="n"/>
      <c r="Y1946" s="1392" t="n"/>
      <c r="Z1946" s="1422" t="n"/>
      <c r="AA1946" s="1422" t="n"/>
      <c r="AB1946" s="1392" t="n"/>
      <c r="AC1946" s="1392" t="n"/>
      <c r="AD1946" s="1392" t="n"/>
      <c r="AE1946" s="1392" t="n"/>
      <c r="AF1946" s="1392" t="n"/>
      <c r="AG1946" s="1392" t="n"/>
      <c r="AH1946" s="1392" t="n"/>
      <c r="AI1946" s="1392" t="n"/>
      <c r="AJ1946" s="1392" t="n"/>
      <c r="AK1946" s="1392" t="n"/>
      <c r="AL1946" s="1392" t="n"/>
      <c r="AM1946" s="1392" t="n"/>
      <c r="AN1946" s="1392" t="n"/>
      <c r="AO1946" s="1392" t="n"/>
      <c r="AP1946" s="1392" t="n"/>
      <c r="AQ1946" s="1392" t="n"/>
      <c r="AR1946" s="1392" t="n"/>
      <c r="AS1946" s="1422" t="n"/>
      <c r="AT1946" s="1392" t="n"/>
      <c r="AU1946" s="1392" t="n"/>
      <c r="AV1946" s="1392" t="n"/>
      <c r="AW1946" s="1392" t="n"/>
      <c r="AX1946" s="1392" t="n"/>
      <c r="AY1946" s="1392" t="n"/>
      <c r="AZ1946" s="1392" t="n"/>
      <c r="BA1946" s="1392" t="n"/>
      <c r="BB1946" s="1422" t="n"/>
      <c r="BC1946" s="1392" t="n"/>
      <c r="BD1946" s="1392" t="n"/>
      <c r="BE1946" s="1392" t="n"/>
      <c r="BF1946" s="1392" t="n"/>
      <c r="BG1946" s="1392" t="n"/>
      <c r="BH1946" s="1392" t="n"/>
      <c r="BI1946" s="1392" t="n"/>
      <c r="BJ1946" s="1392" t="n"/>
      <c r="BK1946" s="1392" t="n"/>
      <c r="BL1946" s="1392" t="n"/>
      <c r="BM1946" s="1392" t="n"/>
      <c r="BN1946" s="1392" t="n"/>
      <c r="BO1946" s="1392" t="n"/>
      <c r="BP1946" s="1392" t="n"/>
      <c r="BQ1946" s="1392" t="n"/>
      <c r="BR1946" s="1392" t="n"/>
      <c r="BS1946" s="1392" t="n"/>
      <c r="BT1946" s="1392" t="n"/>
      <c r="BU1946" s="1416" t="n"/>
      <c r="BV1946" s="1392" t="n"/>
      <c r="BW1946" s="1392" t="n"/>
      <c r="BX1946" s="1392" t="n"/>
      <c r="BY1946" s="1392" t="n"/>
      <c r="BZ1946" s="1416" t="n"/>
      <c r="CA1946" s="1392" t="n"/>
      <c r="CB1946" s="1392" t="n"/>
      <c r="CC1946" s="1392" t="n"/>
      <c r="CD1946" s="1392" t="n"/>
      <c r="CE1946" s="1392" t="n"/>
      <c r="CF1946" s="1392" t="n"/>
      <c r="CG1946" s="1392" t="n"/>
      <c r="CH1946" s="1392" t="n"/>
      <c r="CI1946" s="1392" t="n"/>
      <c r="CJ1946" s="1392" t="n"/>
      <c r="CK1946" s="1392" t="n"/>
      <c r="CL1946" s="1392" t="n"/>
    </row>
    <row r="1947">
      <c r="A1947" s="5" t="inlineStr">
        <is>
          <t>.</t>
        </is>
      </c>
      <c r="B1947" s="5" t="inlineStr">
        <is>
          <t>.</t>
        </is>
      </c>
      <c r="C1947" s="1378">
        <f>IF(raw[[#This Row],[city]]="","-",IF(raw[[#This Row],[city]]="TODAY","-",C1946+1))</f>
        <v/>
      </c>
      <c r="D1947" s="1393" t="n"/>
      <c r="E1947" s="1394" t="n"/>
      <c r="F1947" s="1394" t="n"/>
      <c r="G1947" s="1393" t="n"/>
      <c r="H1947" s="1393" t="n"/>
      <c r="I1947" s="1393" t="n"/>
      <c r="J1947" s="1393" t="n"/>
      <c r="K1947" s="1395">
        <f>IF(raw[[#This Row],[city]]&lt;&gt;"",_xlfn.XLOOKUP($D1947,ccc[city],ccc[prov],"-"),"-")</f>
        <v/>
      </c>
      <c r="L1947" s="1395">
        <f>IF(raw[[#This Row],[city]]&lt;&gt;"",_xlfn.XLOOKUP($D1947,ccc[city],ccc[ctry],"-"),"-")</f>
        <v/>
      </c>
      <c r="M1947" s="1395">
        <f>IF(raw[[#This Row],[city]]&lt;&gt;"",_xlfn.XLOOKUP($D1947,ccc[city],ccc[cont],"-"),"-")</f>
        <v/>
      </c>
      <c r="N1947" s="1396">
        <f>IF(raw[[#This Row],[city]]="","-",IF(raw[[#This Row],[cont]]="B",raw[[#This Row],[cont]],"W"))</f>
        <v/>
      </c>
      <c r="O1947" s="1397">
        <f>IF(raw[[#This Row],[out]]=0,0,IF(raw[[#This Row],[out]]=raw[[#This Row],[in]],0.01,raw[[#This Row],[out]]-raw[[#This Row],[in]]))</f>
        <v/>
      </c>
      <c r="P1947" s="1397">
        <f>IF(raw[[#This Row],[in]]=0,0,MONTH(raw[[#This Row],[in]]))</f>
        <v/>
      </c>
      <c r="Q1947" s="1397">
        <f>IF(raw[[#This Row],[in]]=0,0,YEAR(raw[[#This Row],[in]]))</f>
        <v/>
      </c>
      <c r="R1947" s="1397">
        <f>INT(raw[[#This Row],[yr]]/10)*10</f>
        <v/>
      </c>
      <c r="S1947" s="1395">
        <f>IF(raw[[#This Row],[city]]="","-",IF(raw[[#This Row],[city]]&lt;&gt;_xlfn.XLOOKUP(raw[[#This Row],[home]],homes[home],homes[city],"-"),1,0))</f>
        <v/>
      </c>
      <c r="T1947" s="1398" t="inlineStr">
        <is>
          <t>.</t>
        </is>
      </c>
      <c r="U1947" s="1399">
        <f>IF(raw[[#This Row],[wb]]="w",raw[[#This Row],[stay]]+U1946,U1946)</f>
        <v/>
      </c>
      <c r="V1947" s="1400">
        <f>IF(raw[[#This Row],[out]]=0,V1946,(raw[[#This Row],[out]]-E$5))</f>
        <v/>
      </c>
      <c r="W1947" s="1401">
        <f>U1947/V1947</f>
        <v/>
      </c>
      <c r="X1947" s="1392" t="n"/>
      <c r="Y1947" s="1392" t="n"/>
      <c r="Z1947" s="1422" t="n"/>
      <c r="AA1947" s="1422" t="n"/>
      <c r="AB1947" s="1392" t="n"/>
      <c r="AC1947" s="1392" t="n"/>
      <c r="AD1947" s="1392" t="n"/>
      <c r="AE1947" s="1392" t="n"/>
      <c r="AF1947" s="1392" t="n"/>
      <c r="AG1947" s="1392" t="n"/>
      <c r="AH1947" s="1392" t="n"/>
      <c r="AI1947" s="1392" t="n"/>
      <c r="AJ1947" s="1392" t="n"/>
      <c r="AK1947" s="1392" t="n"/>
      <c r="AL1947" s="1392" t="n"/>
      <c r="AM1947" s="1392" t="n"/>
      <c r="AN1947" s="1392" t="n"/>
      <c r="AO1947" s="1392" t="n"/>
      <c r="AP1947" s="1392" t="n"/>
      <c r="AQ1947" s="1392" t="n"/>
      <c r="AR1947" s="1392" t="n"/>
      <c r="AS1947" s="1422" t="n"/>
      <c r="AT1947" s="1392" t="n"/>
      <c r="AU1947" s="1392" t="n"/>
      <c r="AV1947" s="1392" t="n"/>
      <c r="AW1947" s="1392" t="n"/>
      <c r="AX1947" s="1392" t="n"/>
      <c r="AY1947" s="1392" t="n"/>
      <c r="AZ1947" s="1392" t="n"/>
      <c r="BA1947" s="1392" t="n"/>
      <c r="BB1947" s="1422" t="n"/>
      <c r="BC1947" s="1392" t="n"/>
      <c r="BD1947" s="1392" t="n"/>
      <c r="BE1947" s="1392" t="n"/>
      <c r="BF1947" s="1392" t="n"/>
      <c r="BG1947" s="1392" t="n"/>
      <c r="BH1947" s="1392" t="n"/>
      <c r="BI1947" s="1392" t="n"/>
      <c r="BJ1947" s="1392" t="n"/>
      <c r="BK1947" s="1392" t="n"/>
      <c r="BL1947" s="1392" t="n"/>
      <c r="BM1947" s="1392" t="n"/>
      <c r="BN1947" s="1392" t="n"/>
      <c r="BO1947" s="1392" t="n"/>
      <c r="BP1947" s="1392" t="n"/>
      <c r="BQ1947" s="1392" t="n"/>
      <c r="BR1947" s="1392" t="n"/>
      <c r="BS1947" s="1392" t="n"/>
      <c r="BT1947" s="1392" t="n"/>
      <c r="BU1947" s="1416" t="n"/>
      <c r="BV1947" s="1392" t="n"/>
      <c r="BW1947" s="1392" t="n"/>
      <c r="BX1947" s="1392" t="n"/>
      <c r="BY1947" s="1392" t="n"/>
      <c r="BZ1947" s="1416" t="n"/>
      <c r="CA1947" s="1392" t="n"/>
      <c r="CB1947" s="1392" t="n"/>
      <c r="CC1947" s="1392" t="n"/>
      <c r="CD1947" s="1392" t="n"/>
      <c r="CE1947" s="1392" t="n"/>
      <c r="CF1947" s="1392" t="n"/>
      <c r="CG1947" s="1392" t="n"/>
      <c r="CH1947" s="1392" t="n"/>
      <c r="CI1947" s="1392" t="n"/>
      <c r="CJ1947" s="1392" t="n"/>
      <c r="CK1947" s="1392" t="n"/>
      <c r="CL1947" s="1392" t="n"/>
    </row>
    <row r="1948">
      <c r="A1948" s="5" t="inlineStr">
        <is>
          <t>.</t>
        </is>
      </c>
      <c r="B1948" s="5" t="inlineStr">
        <is>
          <t>.</t>
        </is>
      </c>
      <c r="C1948" s="1378">
        <f>IF(raw[[#This Row],[city]]="","-",IF(raw[[#This Row],[city]]="TODAY","-",C1947+1))</f>
        <v/>
      </c>
      <c r="D1948" s="1393" t="n"/>
      <c r="E1948" s="1394" t="n"/>
      <c r="F1948" s="1394" t="n"/>
      <c r="G1948" s="1393" t="n"/>
      <c r="H1948" s="1393" t="n"/>
      <c r="I1948" s="1393" t="n"/>
      <c r="J1948" s="1393" t="n"/>
      <c r="K1948" s="1395">
        <f>IF(raw[[#This Row],[city]]&lt;&gt;"",_xlfn.XLOOKUP($D1948,ccc[city],ccc[prov],"-"),"-")</f>
        <v/>
      </c>
      <c r="L1948" s="1395">
        <f>IF(raw[[#This Row],[city]]&lt;&gt;"",_xlfn.XLOOKUP($D1948,ccc[city],ccc[ctry],"-"),"-")</f>
        <v/>
      </c>
      <c r="M1948" s="1395">
        <f>IF(raw[[#This Row],[city]]&lt;&gt;"",_xlfn.XLOOKUP($D1948,ccc[city],ccc[cont],"-"),"-")</f>
        <v/>
      </c>
      <c r="N1948" s="1396">
        <f>IF(raw[[#This Row],[city]]="","-",IF(raw[[#This Row],[cont]]="B",raw[[#This Row],[cont]],"W"))</f>
        <v/>
      </c>
      <c r="O1948" s="1397">
        <f>IF(raw[[#This Row],[out]]=0,0,IF(raw[[#This Row],[out]]=raw[[#This Row],[in]],0.01,raw[[#This Row],[out]]-raw[[#This Row],[in]]))</f>
        <v/>
      </c>
      <c r="P1948" s="1397">
        <f>IF(raw[[#This Row],[in]]=0,0,MONTH(raw[[#This Row],[in]]))</f>
        <v/>
      </c>
      <c r="Q1948" s="1397">
        <f>IF(raw[[#This Row],[in]]=0,0,YEAR(raw[[#This Row],[in]]))</f>
        <v/>
      </c>
      <c r="R1948" s="1397">
        <f>INT(raw[[#This Row],[yr]]/10)*10</f>
        <v/>
      </c>
      <c r="S1948" s="1395">
        <f>IF(raw[[#This Row],[city]]="","-",IF(raw[[#This Row],[city]]&lt;&gt;_xlfn.XLOOKUP(raw[[#This Row],[home]],homes[home],homes[city],"-"),1,0))</f>
        <v/>
      </c>
      <c r="T1948" s="1398" t="inlineStr">
        <is>
          <t>.</t>
        </is>
      </c>
      <c r="U1948" s="1399">
        <f>IF(raw[[#This Row],[wb]]="w",raw[[#This Row],[stay]]+U1947,U1947)</f>
        <v/>
      </c>
      <c r="V1948" s="1400">
        <f>IF(raw[[#This Row],[out]]=0,V1947,(raw[[#This Row],[out]]-E$5))</f>
        <v/>
      </c>
      <c r="W1948" s="1401">
        <f>U1948/V1948</f>
        <v/>
      </c>
      <c r="X1948" s="1392" t="n"/>
      <c r="Y1948" s="1392" t="n"/>
      <c r="Z1948" s="1422" t="n"/>
      <c r="AA1948" s="1422" t="n"/>
      <c r="AB1948" s="1392" t="n"/>
      <c r="AC1948" s="1392" t="n"/>
      <c r="AD1948" s="1392" t="n"/>
      <c r="AE1948" s="1392" t="n"/>
      <c r="AF1948" s="1392" t="n"/>
      <c r="AG1948" s="1392" t="n"/>
      <c r="AH1948" s="1392" t="n"/>
      <c r="AI1948" s="1392" t="n"/>
      <c r="AJ1948" s="1392" t="n"/>
      <c r="AK1948" s="1392" t="n"/>
      <c r="AL1948" s="1392" t="n"/>
      <c r="AM1948" s="1392" t="n"/>
      <c r="AN1948" s="1392" t="n"/>
      <c r="AO1948" s="1392" t="n"/>
      <c r="AP1948" s="1392" t="n"/>
      <c r="AQ1948" s="1392" t="n"/>
      <c r="AR1948" s="1392" t="n"/>
      <c r="AS1948" s="1422" t="n"/>
      <c r="AT1948" s="1392" t="n"/>
      <c r="AU1948" s="1392" t="n"/>
      <c r="AV1948" s="1392" t="n"/>
      <c r="AW1948" s="1392" t="n"/>
      <c r="AX1948" s="1392" t="n"/>
      <c r="AY1948" s="1392" t="n"/>
      <c r="AZ1948" s="1392" t="n"/>
      <c r="BA1948" s="1392" t="n"/>
      <c r="BB1948" s="1422" t="n"/>
      <c r="BC1948" s="1392" t="n"/>
      <c r="BD1948" s="1392" t="n"/>
      <c r="BE1948" s="1392" t="n"/>
      <c r="BF1948" s="1392" t="n"/>
      <c r="BG1948" s="1392" t="n"/>
      <c r="BH1948" s="1392" t="n"/>
      <c r="BI1948" s="1392" t="n"/>
      <c r="BJ1948" s="1392" t="n"/>
      <c r="BK1948" s="1392" t="n"/>
      <c r="BL1948" s="1392" t="n"/>
      <c r="BM1948" s="1392" t="n"/>
      <c r="BN1948" s="1392" t="n"/>
      <c r="BO1948" s="1392" t="n"/>
      <c r="BP1948" s="1392" t="n"/>
      <c r="BQ1948" s="1392" t="n"/>
      <c r="BR1948" s="1392" t="n"/>
      <c r="BS1948" s="1392" t="n"/>
      <c r="BT1948" s="1392" t="n"/>
      <c r="BU1948" s="1416" t="n"/>
      <c r="BV1948" s="1392" t="n"/>
      <c r="BW1948" s="1392" t="n"/>
      <c r="BX1948" s="1392" t="n"/>
      <c r="BY1948" s="1392" t="n"/>
      <c r="BZ1948" s="1416" t="n"/>
      <c r="CA1948" s="1392" t="n"/>
      <c r="CB1948" s="1392" t="n"/>
      <c r="CC1948" s="1392" t="n"/>
      <c r="CD1948" s="1392" t="n"/>
      <c r="CE1948" s="1392" t="n"/>
      <c r="CF1948" s="1392" t="n"/>
      <c r="CG1948" s="1392" t="n"/>
      <c r="CH1948" s="1392" t="n"/>
      <c r="CI1948" s="1392" t="n"/>
      <c r="CJ1948" s="1392" t="n"/>
      <c r="CK1948" s="1392" t="n"/>
      <c r="CL1948" s="1392" t="n"/>
    </row>
    <row r="1949">
      <c r="A1949" s="5" t="inlineStr">
        <is>
          <t>.</t>
        </is>
      </c>
      <c r="B1949" s="5" t="inlineStr">
        <is>
          <t>.</t>
        </is>
      </c>
      <c r="C1949" s="1378">
        <f>IF(raw[[#This Row],[city]]="","-",IF(raw[[#This Row],[city]]="TODAY","-",C1948+1))</f>
        <v/>
      </c>
      <c r="D1949" s="1393" t="n"/>
      <c r="E1949" s="1394" t="n"/>
      <c r="F1949" s="1394" t="n"/>
      <c r="G1949" s="1393" t="n"/>
      <c r="H1949" s="1393" t="n"/>
      <c r="I1949" s="1393" t="n"/>
      <c r="J1949" s="1393" t="n"/>
      <c r="K1949" s="1395">
        <f>IF(raw[[#This Row],[city]]&lt;&gt;"",_xlfn.XLOOKUP($D1949,ccc[city],ccc[prov],"-"),"-")</f>
        <v/>
      </c>
      <c r="L1949" s="1395">
        <f>IF(raw[[#This Row],[city]]&lt;&gt;"",_xlfn.XLOOKUP($D1949,ccc[city],ccc[ctry],"-"),"-")</f>
        <v/>
      </c>
      <c r="M1949" s="1395">
        <f>IF(raw[[#This Row],[city]]&lt;&gt;"",_xlfn.XLOOKUP($D1949,ccc[city],ccc[cont],"-"),"-")</f>
        <v/>
      </c>
      <c r="N1949" s="1396">
        <f>IF(raw[[#This Row],[city]]="","-",IF(raw[[#This Row],[cont]]="B",raw[[#This Row],[cont]],"W"))</f>
        <v/>
      </c>
      <c r="O1949" s="1397">
        <f>IF(raw[[#This Row],[out]]=0,0,IF(raw[[#This Row],[out]]=raw[[#This Row],[in]],0.01,raw[[#This Row],[out]]-raw[[#This Row],[in]]))</f>
        <v/>
      </c>
      <c r="P1949" s="1397">
        <f>IF(raw[[#This Row],[in]]=0,0,MONTH(raw[[#This Row],[in]]))</f>
        <v/>
      </c>
      <c r="Q1949" s="1397">
        <f>IF(raw[[#This Row],[in]]=0,0,YEAR(raw[[#This Row],[in]]))</f>
        <v/>
      </c>
      <c r="R1949" s="1397">
        <f>INT(raw[[#This Row],[yr]]/10)*10</f>
        <v/>
      </c>
      <c r="S1949" s="1395">
        <f>IF(raw[[#This Row],[city]]="","-",IF(raw[[#This Row],[city]]&lt;&gt;_xlfn.XLOOKUP(raw[[#This Row],[home]],homes[home],homes[city],"-"),1,0))</f>
        <v/>
      </c>
      <c r="T1949" s="1398" t="inlineStr">
        <is>
          <t>.</t>
        </is>
      </c>
      <c r="U1949" s="1399">
        <f>IF(raw[[#This Row],[wb]]="w",raw[[#This Row],[stay]]+U1948,U1948)</f>
        <v/>
      </c>
      <c r="V1949" s="1400">
        <f>IF(raw[[#This Row],[out]]=0,V1948,(raw[[#This Row],[out]]-E$5))</f>
        <v/>
      </c>
      <c r="W1949" s="1401">
        <f>U1949/V1949</f>
        <v/>
      </c>
      <c r="X1949" s="1392" t="n"/>
      <c r="Y1949" s="1392" t="n"/>
      <c r="Z1949" s="1422" t="n"/>
      <c r="AA1949" s="1422" t="n"/>
      <c r="AB1949" s="1392" t="n"/>
      <c r="AC1949" s="1392" t="n"/>
      <c r="AD1949" s="1392" t="n"/>
      <c r="AE1949" s="1392" t="n"/>
      <c r="AF1949" s="1392" t="n"/>
      <c r="AG1949" s="1392" t="n"/>
      <c r="AH1949" s="1392" t="n"/>
      <c r="AI1949" s="1392" t="n"/>
      <c r="AJ1949" s="1392" t="n"/>
      <c r="AK1949" s="1392" t="n"/>
      <c r="AL1949" s="1392" t="n"/>
      <c r="AM1949" s="1392" t="n"/>
      <c r="AN1949" s="1392" t="n"/>
      <c r="AO1949" s="1392" t="n"/>
      <c r="AP1949" s="1392" t="n"/>
      <c r="AQ1949" s="1392" t="n"/>
      <c r="AR1949" s="1392" t="n"/>
      <c r="AS1949" s="1422" t="n"/>
      <c r="AT1949" s="1392" t="n"/>
      <c r="AU1949" s="1392" t="n"/>
      <c r="AV1949" s="1392" t="n"/>
      <c r="AW1949" s="1392" t="n"/>
      <c r="AX1949" s="1392" t="n"/>
      <c r="AY1949" s="1392" t="n"/>
      <c r="AZ1949" s="1392" t="n"/>
      <c r="BA1949" s="1392" t="n"/>
      <c r="BB1949" s="1422" t="n"/>
      <c r="BC1949" s="1392" t="n"/>
      <c r="BD1949" s="1392" t="n"/>
      <c r="BE1949" s="1392" t="n"/>
      <c r="BF1949" s="1392" t="n"/>
      <c r="BG1949" s="1392" t="n"/>
      <c r="BH1949" s="1392" t="n"/>
      <c r="BI1949" s="1392" t="n"/>
      <c r="BJ1949" s="1392" t="n"/>
      <c r="BK1949" s="1392" t="n"/>
      <c r="BL1949" s="1392" t="n"/>
      <c r="BM1949" s="1392" t="n"/>
      <c r="BN1949" s="1392" t="n"/>
      <c r="BO1949" s="1392" t="n"/>
      <c r="BP1949" s="1392" t="n"/>
      <c r="BQ1949" s="1392" t="n"/>
      <c r="BR1949" s="1392" t="n"/>
      <c r="BS1949" s="1392" t="n"/>
      <c r="BT1949" s="1392" t="n"/>
      <c r="BU1949" s="1416" t="n"/>
      <c r="BV1949" s="1392" t="n"/>
      <c r="BW1949" s="1392" t="n"/>
      <c r="BX1949" s="1392" t="n"/>
      <c r="BY1949" s="1392" t="n"/>
      <c r="BZ1949" s="1416" t="n"/>
      <c r="CA1949" s="1392" t="n"/>
      <c r="CB1949" s="1392" t="n"/>
      <c r="CC1949" s="1392" t="n"/>
      <c r="CD1949" s="1392" t="n"/>
      <c r="CE1949" s="1392" t="n"/>
      <c r="CF1949" s="1392" t="n"/>
      <c r="CG1949" s="1392" t="n"/>
      <c r="CH1949" s="1392" t="n"/>
      <c r="CI1949" s="1392" t="n"/>
      <c r="CJ1949" s="1392" t="n"/>
      <c r="CK1949" s="1392" t="n"/>
      <c r="CL1949" s="1392" t="n"/>
    </row>
    <row r="1950">
      <c r="A1950" s="5" t="inlineStr">
        <is>
          <t>.</t>
        </is>
      </c>
      <c r="B1950" s="5" t="inlineStr">
        <is>
          <t>.</t>
        </is>
      </c>
      <c r="C1950" s="1378">
        <f>IF(raw[[#This Row],[city]]="","-",IF(raw[[#This Row],[city]]="TODAY","-",C1949+1))</f>
        <v/>
      </c>
      <c r="D1950" s="1393" t="n"/>
      <c r="E1950" s="1394" t="n"/>
      <c r="F1950" s="1394" t="n"/>
      <c r="G1950" s="1393" t="n"/>
      <c r="H1950" s="1393" t="n"/>
      <c r="I1950" s="1393" t="n"/>
      <c r="J1950" s="1393" t="n"/>
      <c r="K1950" s="1395">
        <f>IF(raw[[#This Row],[city]]&lt;&gt;"",_xlfn.XLOOKUP($D1950,ccc[city],ccc[prov],"-"),"-")</f>
        <v/>
      </c>
      <c r="L1950" s="1395">
        <f>IF(raw[[#This Row],[city]]&lt;&gt;"",_xlfn.XLOOKUP($D1950,ccc[city],ccc[ctry],"-"),"-")</f>
        <v/>
      </c>
      <c r="M1950" s="1395">
        <f>IF(raw[[#This Row],[city]]&lt;&gt;"",_xlfn.XLOOKUP($D1950,ccc[city],ccc[cont],"-"),"-")</f>
        <v/>
      </c>
      <c r="N1950" s="1396">
        <f>IF(raw[[#This Row],[city]]="","-",IF(raw[[#This Row],[cont]]="B",raw[[#This Row],[cont]],"W"))</f>
        <v/>
      </c>
      <c r="O1950" s="1397">
        <f>IF(raw[[#This Row],[out]]=0,0,IF(raw[[#This Row],[out]]=raw[[#This Row],[in]],0.01,raw[[#This Row],[out]]-raw[[#This Row],[in]]))</f>
        <v/>
      </c>
      <c r="P1950" s="1397">
        <f>IF(raw[[#This Row],[in]]=0,0,MONTH(raw[[#This Row],[in]]))</f>
        <v/>
      </c>
      <c r="Q1950" s="1397">
        <f>IF(raw[[#This Row],[in]]=0,0,YEAR(raw[[#This Row],[in]]))</f>
        <v/>
      </c>
      <c r="R1950" s="1397">
        <f>INT(raw[[#This Row],[yr]]/10)*10</f>
        <v/>
      </c>
      <c r="S1950" s="1395">
        <f>IF(raw[[#This Row],[city]]="","-",IF(raw[[#This Row],[city]]&lt;&gt;_xlfn.XLOOKUP(raw[[#This Row],[home]],homes[home],homes[city],"-"),1,0))</f>
        <v/>
      </c>
      <c r="T1950" s="1398" t="inlineStr">
        <is>
          <t>.</t>
        </is>
      </c>
      <c r="U1950" s="1399">
        <f>IF(raw[[#This Row],[wb]]="w",raw[[#This Row],[stay]]+U1949,U1949)</f>
        <v/>
      </c>
      <c r="V1950" s="1400">
        <f>IF(raw[[#This Row],[out]]=0,V1949,(raw[[#This Row],[out]]-E$5))</f>
        <v/>
      </c>
      <c r="W1950" s="1401">
        <f>U1950/V1950</f>
        <v/>
      </c>
      <c r="X1950" s="1392" t="n"/>
      <c r="Y1950" s="1392" t="n"/>
      <c r="Z1950" s="1422" t="n"/>
      <c r="AA1950" s="1422" t="n"/>
      <c r="AB1950" s="1392" t="n"/>
      <c r="AC1950" s="1392" t="n"/>
      <c r="AD1950" s="1392" t="n"/>
      <c r="AE1950" s="1392" t="n"/>
      <c r="AF1950" s="1392" t="n"/>
      <c r="AG1950" s="1392" t="n"/>
      <c r="AH1950" s="1392" t="n"/>
      <c r="AI1950" s="1392" t="n"/>
      <c r="AJ1950" s="1392" t="n"/>
      <c r="AK1950" s="1392" t="n"/>
      <c r="AL1950" s="1392" t="n"/>
      <c r="AM1950" s="1392" t="n"/>
      <c r="AN1950" s="1392" t="n"/>
      <c r="AO1950" s="1392" t="n"/>
      <c r="AP1950" s="1392" t="n"/>
      <c r="AQ1950" s="1392" t="n"/>
      <c r="AR1950" s="1392" t="n"/>
      <c r="AS1950" s="1422" t="n"/>
      <c r="AT1950" s="1392" t="n"/>
      <c r="AU1950" s="1392" t="n"/>
      <c r="AV1950" s="1392" t="n"/>
      <c r="AW1950" s="1392" t="n"/>
      <c r="AX1950" s="1392" t="n"/>
      <c r="AY1950" s="1392" t="n"/>
      <c r="AZ1950" s="1392" t="n"/>
      <c r="BA1950" s="1392" t="n"/>
      <c r="BB1950" s="1422" t="n"/>
      <c r="BC1950" s="1392" t="n"/>
      <c r="BD1950" s="1392" t="n"/>
      <c r="BE1950" s="1392" t="n"/>
      <c r="BF1950" s="1392" t="n"/>
      <c r="BG1950" s="1392" t="n"/>
      <c r="BH1950" s="1392" t="n"/>
      <c r="BI1950" s="1392" t="n"/>
      <c r="BJ1950" s="1392" t="n"/>
      <c r="BK1950" s="1392" t="n"/>
      <c r="BL1950" s="1392" t="n"/>
      <c r="BM1950" s="1392" t="n"/>
      <c r="BN1950" s="1392" t="n"/>
      <c r="BO1950" s="1392" t="n"/>
      <c r="BP1950" s="1392" t="n"/>
      <c r="BQ1950" s="1392" t="n"/>
      <c r="BR1950" s="1392" t="n"/>
      <c r="BS1950" s="1392" t="n"/>
      <c r="BT1950" s="1392" t="n"/>
      <c r="BU1950" s="1416" t="n"/>
      <c r="BV1950" s="1392" t="n"/>
      <c r="BW1950" s="1392" t="n"/>
      <c r="BX1950" s="1392" t="n"/>
      <c r="BY1950" s="1392" t="n"/>
      <c r="BZ1950" s="1416" t="n"/>
      <c r="CA1950" s="1392" t="n"/>
      <c r="CB1950" s="1392" t="n"/>
      <c r="CC1950" s="1392" t="n"/>
      <c r="CD1950" s="1392" t="n"/>
      <c r="CE1950" s="1392" t="n"/>
      <c r="CF1950" s="1392" t="n"/>
      <c r="CG1950" s="1392" t="n"/>
      <c r="CH1950" s="1392" t="n"/>
      <c r="CI1950" s="1392" t="n"/>
      <c r="CJ1950" s="1392" t="n"/>
      <c r="CK1950" s="1392" t="n"/>
      <c r="CL1950" s="1392" t="n"/>
    </row>
    <row r="1951">
      <c r="A1951" s="5" t="inlineStr">
        <is>
          <t>.</t>
        </is>
      </c>
      <c r="B1951" s="5" t="inlineStr">
        <is>
          <t>.</t>
        </is>
      </c>
      <c r="C1951" s="1378">
        <f>IF(raw[[#This Row],[city]]="","-",IF(raw[[#This Row],[city]]="TODAY","-",C1950+1))</f>
        <v/>
      </c>
      <c r="D1951" s="1393" t="n"/>
      <c r="E1951" s="1394" t="n"/>
      <c r="F1951" s="1394" t="n"/>
      <c r="G1951" s="1393" t="n"/>
      <c r="H1951" s="1393" t="n"/>
      <c r="I1951" s="1393" t="n"/>
      <c r="J1951" s="1393" t="n"/>
      <c r="K1951" s="1395">
        <f>IF(raw[[#This Row],[city]]&lt;&gt;"",_xlfn.XLOOKUP($D1951,ccc[city],ccc[prov],"-"),"-")</f>
        <v/>
      </c>
      <c r="L1951" s="1395">
        <f>IF(raw[[#This Row],[city]]&lt;&gt;"",_xlfn.XLOOKUP($D1951,ccc[city],ccc[ctry],"-"),"-")</f>
        <v/>
      </c>
      <c r="M1951" s="1395">
        <f>IF(raw[[#This Row],[city]]&lt;&gt;"",_xlfn.XLOOKUP($D1951,ccc[city],ccc[cont],"-"),"-")</f>
        <v/>
      </c>
      <c r="N1951" s="1396">
        <f>IF(raw[[#This Row],[city]]="","-",IF(raw[[#This Row],[cont]]="B",raw[[#This Row],[cont]],"W"))</f>
        <v/>
      </c>
      <c r="O1951" s="1397">
        <f>IF(raw[[#This Row],[out]]=0,0,IF(raw[[#This Row],[out]]=raw[[#This Row],[in]],0.01,raw[[#This Row],[out]]-raw[[#This Row],[in]]))</f>
        <v/>
      </c>
      <c r="P1951" s="1397">
        <f>IF(raw[[#This Row],[in]]=0,0,MONTH(raw[[#This Row],[in]]))</f>
        <v/>
      </c>
      <c r="Q1951" s="1397">
        <f>IF(raw[[#This Row],[in]]=0,0,YEAR(raw[[#This Row],[in]]))</f>
        <v/>
      </c>
      <c r="R1951" s="1397">
        <f>INT(raw[[#This Row],[yr]]/10)*10</f>
        <v/>
      </c>
      <c r="S1951" s="1395">
        <f>IF(raw[[#This Row],[city]]="","-",IF(raw[[#This Row],[city]]&lt;&gt;_xlfn.XLOOKUP(raw[[#This Row],[home]],homes[home],homes[city],"-"),1,0))</f>
        <v/>
      </c>
      <c r="T1951" s="1398" t="inlineStr">
        <is>
          <t>.</t>
        </is>
      </c>
      <c r="U1951" s="1399">
        <f>IF(raw[[#This Row],[wb]]="w",raw[[#This Row],[stay]]+U1950,U1950)</f>
        <v/>
      </c>
      <c r="V1951" s="1400">
        <f>IF(raw[[#This Row],[out]]=0,V1950,(raw[[#This Row],[out]]-E$5))</f>
        <v/>
      </c>
      <c r="W1951" s="1401">
        <f>U1951/V1951</f>
        <v/>
      </c>
      <c r="X1951" s="1392" t="n"/>
      <c r="Y1951" s="1392" t="n"/>
      <c r="Z1951" s="1422" t="n"/>
      <c r="AA1951" s="1422" t="n"/>
      <c r="AB1951" s="1392" t="n"/>
      <c r="AC1951" s="1392" t="n"/>
      <c r="AD1951" s="1392" t="n"/>
      <c r="AE1951" s="1392" t="n"/>
      <c r="AF1951" s="1392" t="n"/>
      <c r="AG1951" s="1392" t="n"/>
      <c r="AH1951" s="1392" t="n"/>
      <c r="AI1951" s="1392" t="n"/>
      <c r="AJ1951" s="1392" t="n"/>
      <c r="AK1951" s="1392" t="n"/>
      <c r="AL1951" s="1392" t="n"/>
      <c r="AM1951" s="1392" t="n"/>
      <c r="AN1951" s="1392" t="n"/>
      <c r="AO1951" s="1392" t="n"/>
      <c r="AP1951" s="1392" t="n"/>
      <c r="AQ1951" s="1392" t="n"/>
      <c r="AR1951" s="1392" t="n"/>
      <c r="AS1951" s="1422" t="n"/>
      <c r="AT1951" s="1392" t="n"/>
      <c r="AU1951" s="1392" t="n"/>
      <c r="AV1951" s="1392" t="n"/>
      <c r="AW1951" s="1392" t="n"/>
      <c r="AX1951" s="1392" t="n"/>
      <c r="AY1951" s="1392" t="n"/>
      <c r="AZ1951" s="1392" t="n"/>
      <c r="BA1951" s="1392" t="n"/>
      <c r="BB1951" s="1422" t="n"/>
      <c r="BC1951" s="1392" t="n"/>
      <c r="BD1951" s="1392" t="n"/>
      <c r="BE1951" s="1392" t="n"/>
      <c r="BF1951" s="1392" t="n"/>
      <c r="BG1951" s="1392" t="n"/>
      <c r="BH1951" s="1392" t="n"/>
      <c r="BI1951" s="1392" t="n"/>
      <c r="BJ1951" s="1392" t="n"/>
      <c r="BK1951" s="1392" t="n"/>
      <c r="BL1951" s="1392" t="n"/>
      <c r="BM1951" s="1392" t="n"/>
      <c r="BN1951" s="1392" t="n"/>
      <c r="BO1951" s="1392" t="n"/>
      <c r="BP1951" s="1392" t="n"/>
      <c r="BQ1951" s="1392" t="n"/>
      <c r="BR1951" s="1392" t="n"/>
      <c r="BS1951" s="1392" t="n"/>
      <c r="BT1951" s="1392" t="n"/>
      <c r="BU1951" s="1416" t="n"/>
      <c r="BV1951" s="1392" t="n"/>
      <c r="BW1951" s="1392" t="n"/>
      <c r="BX1951" s="1392" t="n"/>
      <c r="BY1951" s="1392" t="n"/>
      <c r="BZ1951" s="1416" t="n"/>
      <c r="CA1951" s="1392" t="n"/>
      <c r="CB1951" s="1392" t="n"/>
      <c r="CC1951" s="1392" t="n"/>
      <c r="CD1951" s="1392" t="n"/>
      <c r="CE1951" s="1392" t="n"/>
      <c r="CF1951" s="1392" t="n"/>
      <c r="CG1951" s="1392" t="n"/>
      <c r="CH1951" s="1392" t="n"/>
      <c r="CI1951" s="1392" t="n"/>
      <c r="CJ1951" s="1392" t="n"/>
      <c r="CK1951" s="1392" t="n"/>
      <c r="CL1951" s="1392" t="n"/>
    </row>
    <row r="1952">
      <c r="A1952" s="5" t="inlineStr">
        <is>
          <t>.</t>
        </is>
      </c>
      <c r="B1952" s="5" t="inlineStr">
        <is>
          <t>.</t>
        </is>
      </c>
      <c r="C1952" s="1378">
        <f>IF(raw[[#This Row],[city]]="","-",IF(raw[[#This Row],[city]]="TODAY","-",C1951+1))</f>
        <v/>
      </c>
      <c r="D1952" s="1393" t="n"/>
      <c r="E1952" s="1394" t="n"/>
      <c r="F1952" s="1394" t="n"/>
      <c r="G1952" s="1393" t="n"/>
      <c r="H1952" s="1393" t="n"/>
      <c r="I1952" s="1393" t="n"/>
      <c r="J1952" s="1393" t="n"/>
      <c r="K1952" s="1395">
        <f>IF(raw[[#This Row],[city]]&lt;&gt;"",_xlfn.XLOOKUP($D1952,ccc[city],ccc[prov],"-"),"-")</f>
        <v/>
      </c>
      <c r="L1952" s="1395">
        <f>IF(raw[[#This Row],[city]]&lt;&gt;"",_xlfn.XLOOKUP($D1952,ccc[city],ccc[ctry],"-"),"-")</f>
        <v/>
      </c>
      <c r="M1952" s="1395">
        <f>IF(raw[[#This Row],[city]]&lt;&gt;"",_xlfn.XLOOKUP($D1952,ccc[city],ccc[cont],"-"),"-")</f>
        <v/>
      </c>
      <c r="N1952" s="1396">
        <f>IF(raw[[#This Row],[city]]="","-",IF(raw[[#This Row],[cont]]="B",raw[[#This Row],[cont]],"W"))</f>
        <v/>
      </c>
      <c r="O1952" s="1397">
        <f>IF(raw[[#This Row],[out]]=0,0,IF(raw[[#This Row],[out]]=raw[[#This Row],[in]],0.01,raw[[#This Row],[out]]-raw[[#This Row],[in]]))</f>
        <v/>
      </c>
      <c r="P1952" s="1397">
        <f>IF(raw[[#This Row],[in]]=0,0,MONTH(raw[[#This Row],[in]]))</f>
        <v/>
      </c>
      <c r="Q1952" s="1397">
        <f>IF(raw[[#This Row],[in]]=0,0,YEAR(raw[[#This Row],[in]]))</f>
        <v/>
      </c>
      <c r="R1952" s="1397">
        <f>INT(raw[[#This Row],[yr]]/10)*10</f>
        <v/>
      </c>
      <c r="S1952" s="1395">
        <f>IF(raw[[#This Row],[city]]="","-",IF(raw[[#This Row],[city]]&lt;&gt;_xlfn.XLOOKUP(raw[[#This Row],[home]],homes[home],homes[city],"-"),1,0))</f>
        <v/>
      </c>
      <c r="T1952" s="1398" t="inlineStr">
        <is>
          <t>.</t>
        </is>
      </c>
      <c r="U1952" s="1399">
        <f>IF(raw[[#This Row],[wb]]="w",raw[[#This Row],[stay]]+U1951,U1951)</f>
        <v/>
      </c>
      <c r="V1952" s="1400">
        <f>IF(raw[[#This Row],[out]]=0,V1951,(raw[[#This Row],[out]]-E$5))</f>
        <v/>
      </c>
      <c r="W1952" s="1401">
        <f>U1952/V1952</f>
        <v/>
      </c>
      <c r="X1952" s="1392" t="n"/>
      <c r="Y1952" s="1392" t="n"/>
      <c r="Z1952" s="1422" t="n"/>
      <c r="AA1952" s="1422" t="n"/>
      <c r="AB1952" s="1392" t="n"/>
      <c r="AC1952" s="1392" t="n"/>
      <c r="AD1952" s="1392" t="n"/>
      <c r="AE1952" s="1392" t="n"/>
      <c r="AF1952" s="1392" t="n"/>
      <c r="AG1952" s="1392" t="n"/>
      <c r="AH1952" s="1392" t="n"/>
      <c r="AI1952" s="1392" t="n"/>
      <c r="AJ1952" s="1392" t="n"/>
      <c r="AK1952" s="1392" t="n"/>
      <c r="AL1952" s="1392" t="n"/>
      <c r="AM1952" s="1392" t="n"/>
      <c r="AN1952" s="1392" t="n"/>
      <c r="AO1952" s="1392" t="n"/>
      <c r="AP1952" s="1392" t="n"/>
      <c r="AQ1952" s="1392" t="n"/>
      <c r="AR1952" s="1392" t="n"/>
      <c r="AS1952" s="1422" t="n"/>
      <c r="AT1952" s="1392" t="n"/>
      <c r="AU1952" s="1392" t="n"/>
      <c r="AV1952" s="1392" t="n"/>
      <c r="AW1952" s="1392" t="n"/>
      <c r="AX1952" s="1392" t="n"/>
      <c r="AY1952" s="1392" t="n"/>
      <c r="AZ1952" s="1392" t="n"/>
      <c r="BA1952" s="1392" t="n"/>
      <c r="BB1952" s="1422" t="n"/>
      <c r="BC1952" s="1392" t="n"/>
      <c r="BD1952" s="1392" t="n"/>
      <c r="BE1952" s="1392" t="n"/>
      <c r="BF1952" s="1392" t="n"/>
      <c r="BG1952" s="1392" t="n"/>
      <c r="BH1952" s="1392" t="n"/>
      <c r="BI1952" s="1392" t="n"/>
      <c r="BJ1952" s="1392" t="n"/>
      <c r="BK1952" s="1392" t="n"/>
      <c r="BL1952" s="1392" t="n"/>
      <c r="BM1952" s="1392" t="n"/>
      <c r="BN1952" s="1392" t="n"/>
      <c r="BO1952" s="1392" t="n"/>
      <c r="BP1952" s="1392" t="n"/>
      <c r="BQ1952" s="1392" t="n"/>
      <c r="BR1952" s="1392" t="n"/>
      <c r="BS1952" s="1392" t="n"/>
      <c r="BT1952" s="1392" t="n"/>
      <c r="BU1952" s="1416" t="n"/>
      <c r="BV1952" s="1392" t="n"/>
      <c r="BW1952" s="1392" t="n"/>
      <c r="BX1952" s="1392" t="n"/>
      <c r="BY1952" s="1392" t="n"/>
      <c r="BZ1952" s="1416" t="n"/>
      <c r="CA1952" s="1392" t="n"/>
      <c r="CB1952" s="1392" t="n"/>
      <c r="CC1952" s="1392" t="n"/>
      <c r="CD1952" s="1392" t="n"/>
      <c r="CE1952" s="1392" t="n"/>
      <c r="CF1952" s="1392" t="n"/>
      <c r="CG1952" s="1392" t="n"/>
      <c r="CH1952" s="1392" t="n"/>
      <c r="CI1952" s="1392" t="n"/>
      <c r="CJ1952" s="1392" t="n"/>
      <c r="CK1952" s="1392" t="n"/>
      <c r="CL1952" s="1392" t="n"/>
    </row>
    <row r="1953">
      <c r="A1953" s="5" t="inlineStr">
        <is>
          <t>.</t>
        </is>
      </c>
      <c r="B1953" s="5" t="inlineStr">
        <is>
          <t>.</t>
        </is>
      </c>
      <c r="C1953" s="1378">
        <f>IF(raw[[#This Row],[city]]="","-",IF(raw[[#This Row],[city]]="TODAY","-",C1952+1))</f>
        <v/>
      </c>
      <c r="D1953" s="1393" t="n"/>
      <c r="E1953" s="1394" t="n"/>
      <c r="F1953" s="1394" t="n"/>
      <c r="G1953" s="1393" t="n"/>
      <c r="H1953" s="1393" t="n"/>
      <c r="I1953" s="1393" t="n"/>
      <c r="J1953" s="1393" t="n"/>
      <c r="K1953" s="1395">
        <f>IF(raw[[#This Row],[city]]&lt;&gt;"",_xlfn.XLOOKUP($D1953,ccc[city],ccc[prov],"-"),"-")</f>
        <v/>
      </c>
      <c r="L1953" s="1395">
        <f>IF(raw[[#This Row],[city]]&lt;&gt;"",_xlfn.XLOOKUP($D1953,ccc[city],ccc[ctry],"-"),"-")</f>
        <v/>
      </c>
      <c r="M1953" s="1395">
        <f>IF(raw[[#This Row],[city]]&lt;&gt;"",_xlfn.XLOOKUP($D1953,ccc[city],ccc[cont],"-"),"-")</f>
        <v/>
      </c>
      <c r="N1953" s="1396">
        <f>IF(raw[[#This Row],[city]]="","-",IF(raw[[#This Row],[cont]]="B",raw[[#This Row],[cont]],"W"))</f>
        <v/>
      </c>
      <c r="O1953" s="1397">
        <f>IF(raw[[#This Row],[out]]=0,0,IF(raw[[#This Row],[out]]=raw[[#This Row],[in]],0.01,raw[[#This Row],[out]]-raw[[#This Row],[in]]))</f>
        <v/>
      </c>
      <c r="P1953" s="1397">
        <f>IF(raw[[#This Row],[in]]=0,0,MONTH(raw[[#This Row],[in]]))</f>
        <v/>
      </c>
      <c r="Q1953" s="1397">
        <f>IF(raw[[#This Row],[in]]=0,0,YEAR(raw[[#This Row],[in]]))</f>
        <v/>
      </c>
      <c r="R1953" s="1397">
        <f>INT(raw[[#This Row],[yr]]/10)*10</f>
        <v/>
      </c>
      <c r="S1953" s="1395">
        <f>IF(raw[[#This Row],[city]]="","-",IF(raw[[#This Row],[city]]&lt;&gt;_xlfn.XLOOKUP(raw[[#This Row],[home]],homes[home],homes[city],"-"),1,0))</f>
        <v/>
      </c>
      <c r="T1953" s="1398" t="inlineStr">
        <is>
          <t>.</t>
        </is>
      </c>
      <c r="U1953" s="1399">
        <f>IF(raw[[#This Row],[wb]]="w",raw[[#This Row],[stay]]+U1952,U1952)</f>
        <v/>
      </c>
      <c r="V1953" s="1400">
        <f>IF(raw[[#This Row],[out]]=0,V1952,(raw[[#This Row],[out]]-E$5))</f>
        <v/>
      </c>
      <c r="W1953" s="1401">
        <f>U1953/V1953</f>
        <v/>
      </c>
      <c r="X1953" s="1392" t="n"/>
      <c r="Y1953" s="1392" t="n"/>
      <c r="Z1953" s="1422" t="n"/>
      <c r="AA1953" s="1422" t="n"/>
      <c r="AB1953" s="1392" t="n"/>
      <c r="AC1953" s="1392" t="n"/>
      <c r="AD1953" s="1392" t="n"/>
      <c r="AE1953" s="1392" t="n"/>
      <c r="AF1953" s="1392" t="n"/>
      <c r="AG1953" s="1392" t="n"/>
      <c r="AH1953" s="1392" t="n"/>
      <c r="AI1953" s="1392" t="n"/>
      <c r="AJ1953" s="1392" t="n"/>
      <c r="AK1953" s="1392" t="n"/>
      <c r="AL1953" s="1392" t="n"/>
      <c r="AM1953" s="1392" t="n"/>
      <c r="AN1953" s="1392" t="n"/>
      <c r="AO1953" s="1392" t="n"/>
      <c r="AP1953" s="1392" t="n"/>
      <c r="AQ1953" s="1392" t="n"/>
      <c r="AR1953" s="1392" t="n"/>
      <c r="AS1953" s="1422" t="n"/>
      <c r="AT1953" s="1392" t="n"/>
      <c r="AU1953" s="1392" t="n"/>
      <c r="AV1953" s="1392" t="n"/>
      <c r="AW1953" s="1392" t="n"/>
      <c r="AX1953" s="1392" t="n"/>
      <c r="AY1953" s="1392" t="n"/>
      <c r="AZ1953" s="1392" t="n"/>
      <c r="BA1953" s="1392" t="n"/>
      <c r="BB1953" s="1422" t="n"/>
      <c r="BC1953" s="1392" t="n"/>
      <c r="BD1953" s="1392" t="n"/>
      <c r="BE1953" s="1392" t="n"/>
      <c r="BF1953" s="1392" t="n"/>
      <c r="BG1953" s="1392" t="n"/>
      <c r="BH1953" s="1392" t="n"/>
      <c r="BI1953" s="1392" t="n"/>
      <c r="BJ1953" s="1392" t="n"/>
      <c r="BK1953" s="1392" t="n"/>
      <c r="BL1953" s="1392" t="n"/>
      <c r="BM1953" s="1392" t="n"/>
      <c r="BN1953" s="1392" t="n"/>
      <c r="BO1953" s="1392" t="n"/>
      <c r="BP1953" s="1392" t="n"/>
      <c r="BQ1953" s="1392" t="n"/>
      <c r="BR1953" s="1392" t="n"/>
      <c r="BS1953" s="1392" t="n"/>
      <c r="BT1953" s="1392" t="n"/>
      <c r="BU1953" s="1416" t="n"/>
      <c r="BV1953" s="1392" t="n"/>
      <c r="BW1953" s="1392" t="n"/>
      <c r="BX1953" s="1392" t="n"/>
      <c r="BY1953" s="1392" t="n"/>
      <c r="BZ1953" s="1416" t="n"/>
      <c r="CA1953" s="1392" t="n"/>
      <c r="CB1953" s="1392" t="n"/>
      <c r="CC1953" s="1392" t="n"/>
      <c r="CD1953" s="1392" t="n"/>
      <c r="CE1953" s="1392" t="n"/>
      <c r="CF1953" s="1392" t="n"/>
      <c r="CG1953" s="1392" t="n"/>
      <c r="CH1953" s="1392" t="n"/>
      <c r="CI1953" s="1392" t="n"/>
      <c r="CJ1953" s="1392" t="n"/>
      <c r="CK1953" s="1392" t="n"/>
      <c r="CL1953" s="1392" t="n"/>
    </row>
    <row r="1954">
      <c r="A1954" s="5" t="inlineStr">
        <is>
          <t>.</t>
        </is>
      </c>
      <c r="B1954" s="5" t="inlineStr">
        <is>
          <t>.</t>
        </is>
      </c>
      <c r="C1954" s="1378">
        <f>IF(raw[[#This Row],[city]]="","-",IF(raw[[#This Row],[city]]="TODAY","-",C1953+1))</f>
        <v/>
      </c>
      <c r="D1954" s="1393" t="n"/>
      <c r="E1954" s="1394" t="n"/>
      <c r="F1954" s="1394" t="n"/>
      <c r="G1954" s="1393" t="n"/>
      <c r="H1954" s="1393" t="n"/>
      <c r="I1954" s="1393" t="n"/>
      <c r="J1954" s="1393" t="n"/>
      <c r="K1954" s="1395">
        <f>IF(raw[[#This Row],[city]]&lt;&gt;"",_xlfn.XLOOKUP($D1954,ccc[city],ccc[prov],"-"),"-")</f>
        <v/>
      </c>
      <c r="L1954" s="1395">
        <f>IF(raw[[#This Row],[city]]&lt;&gt;"",_xlfn.XLOOKUP($D1954,ccc[city],ccc[ctry],"-"),"-")</f>
        <v/>
      </c>
      <c r="M1954" s="1395">
        <f>IF(raw[[#This Row],[city]]&lt;&gt;"",_xlfn.XLOOKUP($D1954,ccc[city],ccc[cont],"-"),"-")</f>
        <v/>
      </c>
      <c r="N1954" s="1396">
        <f>IF(raw[[#This Row],[city]]="","-",IF(raw[[#This Row],[cont]]="B",raw[[#This Row],[cont]],"W"))</f>
        <v/>
      </c>
      <c r="O1954" s="1397">
        <f>IF(raw[[#This Row],[out]]=0,0,IF(raw[[#This Row],[out]]=raw[[#This Row],[in]],0.01,raw[[#This Row],[out]]-raw[[#This Row],[in]]))</f>
        <v/>
      </c>
      <c r="P1954" s="1397">
        <f>IF(raw[[#This Row],[in]]=0,0,MONTH(raw[[#This Row],[in]]))</f>
        <v/>
      </c>
      <c r="Q1954" s="1397">
        <f>IF(raw[[#This Row],[in]]=0,0,YEAR(raw[[#This Row],[in]]))</f>
        <v/>
      </c>
      <c r="R1954" s="1397">
        <f>INT(raw[[#This Row],[yr]]/10)*10</f>
        <v/>
      </c>
      <c r="S1954" s="1395">
        <f>IF(raw[[#This Row],[city]]="","-",IF(raw[[#This Row],[city]]&lt;&gt;_xlfn.XLOOKUP(raw[[#This Row],[home]],homes[home],homes[city],"-"),1,0))</f>
        <v/>
      </c>
      <c r="T1954" s="1398" t="inlineStr">
        <is>
          <t>.</t>
        </is>
      </c>
      <c r="U1954" s="1399">
        <f>IF(raw[[#This Row],[wb]]="w",raw[[#This Row],[stay]]+U1953,U1953)</f>
        <v/>
      </c>
      <c r="V1954" s="1400">
        <f>IF(raw[[#This Row],[out]]=0,V1953,(raw[[#This Row],[out]]-E$5))</f>
        <v/>
      </c>
      <c r="W1954" s="1401">
        <f>U1954/V1954</f>
        <v/>
      </c>
      <c r="X1954" s="1392" t="n"/>
      <c r="Y1954" s="1392" t="n"/>
      <c r="Z1954" s="1422" t="n"/>
      <c r="AA1954" s="1422" t="n"/>
      <c r="AB1954" s="1392" t="n"/>
      <c r="AC1954" s="1392" t="n"/>
      <c r="AD1954" s="1392" t="n"/>
      <c r="AE1954" s="1392" t="n"/>
      <c r="AF1954" s="1392" t="n"/>
      <c r="AG1954" s="1392" t="n"/>
      <c r="AH1954" s="1392" t="n"/>
      <c r="AI1954" s="1392" t="n"/>
      <c r="AJ1954" s="1392" t="n"/>
      <c r="AK1954" s="1392" t="n"/>
      <c r="AL1954" s="1392" t="n"/>
      <c r="AM1954" s="1392" t="n"/>
      <c r="AN1954" s="1392" t="n"/>
      <c r="AO1954" s="1392" t="n"/>
      <c r="AP1954" s="1392" t="n"/>
      <c r="AQ1954" s="1392" t="n"/>
      <c r="AR1954" s="1392" t="n"/>
      <c r="AS1954" s="1422" t="n"/>
      <c r="AT1954" s="1392" t="n"/>
      <c r="AU1954" s="1392" t="n"/>
      <c r="AV1954" s="1392" t="n"/>
      <c r="AW1954" s="1392" t="n"/>
      <c r="AX1954" s="1392" t="n"/>
      <c r="AY1954" s="1392" t="n"/>
      <c r="AZ1954" s="1392" t="n"/>
      <c r="BA1954" s="1392" t="n"/>
      <c r="BB1954" s="1422" t="n"/>
      <c r="BC1954" s="1392" t="n"/>
      <c r="BD1954" s="1392" t="n"/>
      <c r="BE1954" s="1392" t="n"/>
      <c r="BF1954" s="1392" t="n"/>
      <c r="BG1954" s="1392" t="n"/>
      <c r="BH1954" s="1392" t="n"/>
      <c r="BI1954" s="1392" t="n"/>
      <c r="BJ1954" s="1392" t="n"/>
      <c r="BK1954" s="1392" t="n"/>
      <c r="BL1954" s="1392" t="n"/>
      <c r="BM1954" s="1392" t="n"/>
      <c r="BN1954" s="1392" t="n"/>
      <c r="BO1954" s="1392" t="n"/>
      <c r="BP1954" s="1392" t="n"/>
      <c r="BQ1954" s="1392" t="n"/>
      <c r="BR1954" s="1392" t="n"/>
      <c r="BS1954" s="1392" t="n"/>
      <c r="BT1954" s="1392" t="n"/>
      <c r="BU1954" s="1416" t="n"/>
      <c r="BV1954" s="1392" t="n"/>
      <c r="BW1954" s="1392" t="n"/>
      <c r="BX1954" s="1392" t="n"/>
      <c r="BY1954" s="1392" t="n"/>
      <c r="BZ1954" s="1416" t="n"/>
      <c r="CA1954" s="1392" t="n"/>
      <c r="CB1954" s="1392" t="n"/>
      <c r="CC1954" s="1392" t="n"/>
      <c r="CD1954" s="1392" t="n"/>
      <c r="CE1954" s="1392" t="n"/>
      <c r="CF1954" s="1392" t="n"/>
      <c r="CG1954" s="1392" t="n"/>
      <c r="CH1954" s="1392" t="n"/>
      <c r="CI1954" s="1392" t="n"/>
      <c r="CJ1954" s="1392" t="n"/>
      <c r="CK1954" s="1392" t="n"/>
      <c r="CL1954" s="1392" t="n"/>
    </row>
    <row r="1955">
      <c r="A1955" s="5" t="inlineStr">
        <is>
          <t>.</t>
        </is>
      </c>
      <c r="B1955" s="5" t="inlineStr">
        <is>
          <t>.</t>
        </is>
      </c>
      <c r="C1955" s="1378">
        <f>IF(raw[[#This Row],[city]]="","-",IF(raw[[#This Row],[city]]="TODAY","-",C1954+1))</f>
        <v/>
      </c>
      <c r="D1955" s="1393" t="n"/>
      <c r="E1955" s="1394" t="n"/>
      <c r="F1955" s="1394" t="n"/>
      <c r="G1955" s="1393" t="n"/>
      <c r="H1955" s="1393" t="n"/>
      <c r="I1955" s="1393" t="n"/>
      <c r="J1955" s="1393" t="n"/>
      <c r="K1955" s="1395">
        <f>IF(raw[[#This Row],[city]]&lt;&gt;"",_xlfn.XLOOKUP($D1955,ccc[city],ccc[prov],"-"),"-")</f>
        <v/>
      </c>
      <c r="L1955" s="1395">
        <f>IF(raw[[#This Row],[city]]&lt;&gt;"",_xlfn.XLOOKUP($D1955,ccc[city],ccc[ctry],"-"),"-")</f>
        <v/>
      </c>
      <c r="M1955" s="1395">
        <f>IF(raw[[#This Row],[city]]&lt;&gt;"",_xlfn.XLOOKUP($D1955,ccc[city],ccc[cont],"-"),"-")</f>
        <v/>
      </c>
      <c r="N1955" s="1396">
        <f>IF(raw[[#This Row],[city]]="","-",IF(raw[[#This Row],[cont]]="B",raw[[#This Row],[cont]],"W"))</f>
        <v/>
      </c>
      <c r="O1955" s="1397">
        <f>IF(raw[[#This Row],[out]]=0,0,IF(raw[[#This Row],[out]]=raw[[#This Row],[in]],0.01,raw[[#This Row],[out]]-raw[[#This Row],[in]]))</f>
        <v/>
      </c>
      <c r="P1955" s="1397">
        <f>IF(raw[[#This Row],[in]]=0,0,MONTH(raw[[#This Row],[in]]))</f>
        <v/>
      </c>
      <c r="Q1955" s="1397">
        <f>IF(raw[[#This Row],[in]]=0,0,YEAR(raw[[#This Row],[in]]))</f>
        <v/>
      </c>
      <c r="R1955" s="1397">
        <f>INT(raw[[#This Row],[yr]]/10)*10</f>
        <v/>
      </c>
      <c r="S1955" s="1395">
        <f>IF(raw[[#This Row],[city]]="","-",IF(raw[[#This Row],[city]]&lt;&gt;_xlfn.XLOOKUP(raw[[#This Row],[home]],homes[home],homes[city],"-"),1,0))</f>
        <v/>
      </c>
      <c r="T1955" s="1398" t="inlineStr">
        <is>
          <t>.</t>
        </is>
      </c>
      <c r="U1955" s="1399">
        <f>IF(raw[[#This Row],[wb]]="w",raw[[#This Row],[stay]]+U1954,U1954)</f>
        <v/>
      </c>
      <c r="V1955" s="1400">
        <f>IF(raw[[#This Row],[out]]=0,V1954,(raw[[#This Row],[out]]-E$5))</f>
        <v/>
      </c>
      <c r="W1955" s="1401">
        <f>U1955/V1955</f>
        <v/>
      </c>
      <c r="X1955" s="1392" t="n"/>
      <c r="Y1955" s="1392" t="n"/>
      <c r="Z1955" s="1422" t="n"/>
      <c r="AA1955" s="1422" t="n"/>
      <c r="AB1955" s="1392" t="n"/>
      <c r="AC1955" s="1392" t="n"/>
      <c r="AD1955" s="1392" t="n"/>
      <c r="AE1955" s="1392" t="n"/>
      <c r="AF1955" s="1392" t="n"/>
      <c r="AG1955" s="1392" t="n"/>
      <c r="AH1955" s="1392" t="n"/>
      <c r="AI1955" s="1392" t="n"/>
      <c r="AJ1955" s="1392" t="n"/>
      <c r="AK1955" s="1392" t="n"/>
      <c r="AL1955" s="1392" t="n"/>
      <c r="AM1955" s="1392" t="n"/>
      <c r="AN1955" s="1392" t="n"/>
      <c r="AO1955" s="1392" t="n"/>
      <c r="AP1955" s="1392" t="n"/>
      <c r="AQ1955" s="1392" t="n"/>
      <c r="AR1955" s="1392" t="n"/>
      <c r="AS1955" s="1422" t="n"/>
      <c r="AT1955" s="1392" t="n"/>
      <c r="AU1955" s="1392" t="n"/>
      <c r="AV1955" s="1392" t="n"/>
      <c r="AW1955" s="1392" t="n"/>
      <c r="AX1955" s="1392" t="n"/>
      <c r="AY1955" s="1392" t="n"/>
      <c r="AZ1955" s="1392" t="n"/>
      <c r="BA1955" s="1392" t="n"/>
      <c r="BB1955" s="1422" t="n"/>
      <c r="BC1955" s="1392" t="n"/>
      <c r="BD1955" s="1392" t="n"/>
      <c r="BE1955" s="1392" t="n"/>
      <c r="BF1955" s="1392" t="n"/>
      <c r="BG1955" s="1392" t="n"/>
      <c r="BH1955" s="1392" t="n"/>
      <c r="BI1955" s="1392" t="n"/>
      <c r="BJ1955" s="1392" t="n"/>
      <c r="BK1955" s="1392" t="n"/>
      <c r="BL1955" s="1392" t="n"/>
      <c r="BM1955" s="1392" t="n"/>
      <c r="BN1955" s="1392" t="n"/>
      <c r="BO1955" s="1392" t="n"/>
      <c r="BP1955" s="1392" t="n"/>
      <c r="BQ1955" s="1392" t="n"/>
      <c r="BR1955" s="1392" t="n"/>
      <c r="BS1955" s="1392" t="n"/>
      <c r="BT1955" s="1392" t="n"/>
      <c r="BU1955" s="1416" t="n"/>
      <c r="BV1955" s="1392" t="n"/>
      <c r="BW1955" s="1392" t="n"/>
      <c r="BX1955" s="1392" t="n"/>
      <c r="BY1955" s="1392" t="n"/>
      <c r="BZ1955" s="1416" t="n"/>
      <c r="CA1955" s="1392" t="n"/>
      <c r="CB1955" s="1392" t="n"/>
      <c r="CC1955" s="1392" t="n"/>
      <c r="CD1955" s="1392" t="n"/>
      <c r="CE1955" s="1392" t="n"/>
      <c r="CF1955" s="1392" t="n"/>
      <c r="CG1955" s="1392" t="n"/>
      <c r="CH1955" s="1392" t="n"/>
      <c r="CI1955" s="1392" t="n"/>
      <c r="CJ1955" s="1392" t="n"/>
      <c r="CK1955" s="1392" t="n"/>
      <c r="CL1955" s="1392" t="n"/>
    </row>
    <row r="1956">
      <c r="A1956" s="5" t="inlineStr">
        <is>
          <t>.</t>
        </is>
      </c>
      <c r="B1956" s="5" t="inlineStr">
        <is>
          <t>.</t>
        </is>
      </c>
      <c r="C1956" s="1378">
        <f>IF(raw[[#This Row],[city]]="","-",IF(raw[[#This Row],[city]]="TODAY","-",C1955+1))</f>
        <v/>
      </c>
      <c r="D1956" s="1393" t="n"/>
      <c r="E1956" s="1394" t="n"/>
      <c r="F1956" s="1394" t="n"/>
      <c r="G1956" s="1393" t="n"/>
      <c r="H1956" s="1393" t="n"/>
      <c r="I1956" s="1393" t="n"/>
      <c r="J1956" s="1393" t="n"/>
      <c r="K1956" s="1395">
        <f>IF(raw[[#This Row],[city]]&lt;&gt;"",_xlfn.XLOOKUP($D1956,ccc[city],ccc[prov],"-"),"-")</f>
        <v/>
      </c>
      <c r="L1956" s="1395">
        <f>IF(raw[[#This Row],[city]]&lt;&gt;"",_xlfn.XLOOKUP($D1956,ccc[city],ccc[ctry],"-"),"-")</f>
        <v/>
      </c>
      <c r="M1956" s="1395">
        <f>IF(raw[[#This Row],[city]]&lt;&gt;"",_xlfn.XLOOKUP($D1956,ccc[city],ccc[cont],"-"),"-")</f>
        <v/>
      </c>
      <c r="N1956" s="1396">
        <f>IF(raw[[#This Row],[city]]="","-",IF(raw[[#This Row],[cont]]="B",raw[[#This Row],[cont]],"W"))</f>
        <v/>
      </c>
      <c r="O1956" s="1397">
        <f>IF(raw[[#This Row],[out]]=0,0,IF(raw[[#This Row],[out]]=raw[[#This Row],[in]],0.01,raw[[#This Row],[out]]-raw[[#This Row],[in]]))</f>
        <v/>
      </c>
      <c r="P1956" s="1397">
        <f>IF(raw[[#This Row],[in]]=0,0,MONTH(raw[[#This Row],[in]]))</f>
        <v/>
      </c>
      <c r="Q1956" s="1397">
        <f>IF(raw[[#This Row],[in]]=0,0,YEAR(raw[[#This Row],[in]]))</f>
        <v/>
      </c>
      <c r="R1956" s="1397">
        <f>INT(raw[[#This Row],[yr]]/10)*10</f>
        <v/>
      </c>
      <c r="S1956" s="1395">
        <f>IF(raw[[#This Row],[city]]="","-",IF(raw[[#This Row],[city]]&lt;&gt;_xlfn.XLOOKUP(raw[[#This Row],[home]],homes[home],homes[city],"-"),1,0))</f>
        <v/>
      </c>
      <c r="T1956" s="1398" t="inlineStr">
        <is>
          <t>.</t>
        </is>
      </c>
      <c r="U1956" s="1399">
        <f>IF(raw[[#This Row],[wb]]="w",raw[[#This Row],[stay]]+U1955,U1955)</f>
        <v/>
      </c>
      <c r="V1956" s="1400">
        <f>IF(raw[[#This Row],[out]]=0,V1955,(raw[[#This Row],[out]]-E$5))</f>
        <v/>
      </c>
      <c r="W1956" s="1401">
        <f>U1956/V1956</f>
        <v/>
      </c>
      <c r="X1956" s="1392" t="n"/>
      <c r="Y1956" s="1392" t="n"/>
      <c r="Z1956" s="1422" t="n"/>
      <c r="AA1956" s="1422" t="n"/>
      <c r="AB1956" s="1392" t="n"/>
      <c r="AC1956" s="1392" t="n"/>
      <c r="AD1956" s="1392" t="n"/>
      <c r="AE1956" s="1392" t="n"/>
      <c r="AF1956" s="1392" t="n"/>
      <c r="AG1956" s="1392" t="n"/>
      <c r="AH1956" s="1392" t="n"/>
      <c r="AI1956" s="1392" t="n"/>
      <c r="AJ1956" s="1392" t="n"/>
      <c r="AK1956" s="1392" t="n"/>
      <c r="AL1956" s="1392" t="n"/>
      <c r="AM1956" s="1392" t="n"/>
      <c r="AN1956" s="1392" t="n"/>
      <c r="AO1956" s="1392" t="n"/>
      <c r="AP1956" s="1392" t="n"/>
      <c r="AQ1956" s="1392" t="n"/>
      <c r="AR1956" s="1392" t="n"/>
      <c r="AS1956" s="1422" t="n"/>
      <c r="AT1956" s="1392" t="n"/>
      <c r="AU1956" s="1392" t="n"/>
      <c r="AV1956" s="1392" t="n"/>
      <c r="AW1956" s="1392" t="n"/>
      <c r="AX1956" s="1392" t="n"/>
      <c r="AY1956" s="1392" t="n"/>
      <c r="AZ1956" s="1392" t="n"/>
      <c r="BA1956" s="1392" t="n"/>
      <c r="BB1956" s="1422" t="n"/>
      <c r="BC1956" s="1392" t="n"/>
      <c r="BD1956" s="1392" t="n"/>
      <c r="BE1956" s="1392" t="n"/>
      <c r="BF1956" s="1392" t="n"/>
      <c r="BG1956" s="1392" t="n"/>
      <c r="BH1956" s="1392" t="n"/>
      <c r="BI1956" s="1392" t="n"/>
      <c r="BJ1956" s="1392" t="n"/>
      <c r="BK1956" s="1392" t="n"/>
      <c r="BL1956" s="1392" t="n"/>
      <c r="BM1956" s="1392" t="n"/>
      <c r="BN1956" s="1392" t="n"/>
      <c r="BO1956" s="1392" t="n"/>
      <c r="BP1956" s="1392" t="n"/>
      <c r="BQ1956" s="1392" t="n"/>
      <c r="BR1956" s="1392" t="n"/>
      <c r="BS1956" s="1392" t="n"/>
      <c r="BT1956" s="1392" t="n"/>
      <c r="BU1956" s="1416" t="n"/>
      <c r="BV1956" s="1392" t="n"/>
      <c r="BW1956" s="1392" t="n"/>
      <c r="BX1956" s="1392" t="n"/>
      <c r="BY1956" s="1392" t="n"/>
      <c r="BZ1956" s="1416" t="n"/>
      <c r="CA1956" s="1392" t="n"/>
      <c r="CB1956" s="1392" t="n"/>
      <c r="CC1956" s="1392" t="n"/>
      <c r="CD1956" s="1392" t="n"/>
      <c r="CE1956" s="1392" t="n"/>
      <c r="CF1956" s="1392" t="n"/>
      <c r="CG1956" s="1392" t="n"/>
      <c r="CH1956" s="1392" t="n"/>
      <c r="CI1956" s="1392" t="n"/>
      <c r="CJ1956" s="1392" t="n"/>
      <c r="CK1956" s="1392" t="n"/>
      <c r="CL1956" s="1392" t="n"/>
    </row>
    <row r="1957">
      <c r="A1957" s="5" t="inlineStr">
        <is>
          <t>.</t>
        </is>
      </c>
      <c r="B1957" s="5" t="inlineStr">
        <is>
          <t>.</t>
        </is>
      </c>
      <c r="C1957" s="1378">
        <f>IF(raw[[#This Row],[city]]="","-",IF(raw[[#This Row],[city]]="TODAY","-",C1956+1))</f>
        <v/>
      </c>
      <c r="D1957" s="1393" t="n"/>
      <c r="E1957" s="1394" t="n"/>
      <c r="F1957" s="1394" t="n"/>
      <c r="G1957" s="1393" t="n"/>
      <c r="H1957" s="1393" t="n"/>
      <c r="I1957" s="1393" t="n"/>
      <c r="J1957" s="1393" t="n"/>
      <c r="K1957" s="1395">
        <f>IF(raw[[#This Row],[city]]&lt;&gt;"",_xlfn.XLOOKUP($D1957,ccc[city],ccc[prov],"-"),"-")</f>
        <v/>
      </c>
      <c r="L1957" s="1395">
        <f>IF(raw[[#This Row],[city]]&lt;&gt;"",_xlfn.XLOOKUP($D1957,ccc[city],ccc[ctry],"-"),"-")</f>
        <v/>
      </c>
      <c r="M1957" s="1395">
        <f>IF(raw[[#This Row],[city]]&lt;&gt;"",_xlfn.XLOOKUP($D1957,ccc[city],ccc[cont],"-"),"-")</f>
        <v/>
      </c>
      <c r="N1957" s="1396">
        <f>IF(raw[[#This Row],[city]]="","-",IF(raw[[#This Row],[cont]]="B",raw[[#This Row],[cont]],"W"))</f>
        <v/>
      </c>
      <c r="O1957" s="1397">
        <f>IF(raw[[#This Row],[out]]=0,0,IF(raw[[#This Row],[out]]=raw[[#This Row],[in]],0.01,raw[[#This Row],[out]]-raw[[#This Row],[in]]))</f>
        <v/>
      </c>
      <c r="P1957" s="1397">
        <f>IF(raw[[#This Row],[in]]=0,0,MONTH(raw[[#This Row],[in]]))</f>
        <v/>
      </c>
      <c r="Q1957" s="1397">
        <f>IF(raw[[#This Row],[in]]=0,0,YEAR(raw[[#This Row],[in]]))</f>
        <v/>
      </c>
      <c r="R1957" s="1397">
        <f>INT(raw[[#This Row],[yr]]/10)*10</f>
        <v/>
      </c>
      <c r="S1957" s="1395">
        <f>IF(raw[[#This Row],[city]]="","-",IF(raw[[#This Row],[city]]&lt;&gt;_xlfn.XLOOKUP(raw[[#This Row],[home]],homes[home],homes[city],"-"),1,0))</f>
        <v/>
      </c>
      <c r="T1957" s="1398" t="inlineStr">
        <is>
          <t>.</t>
        </is>
      </c>
      <c r="U1957" s="1399">
        <f>IF(raw[[#This Row],[wb]]="w",raw[[#This Row],[stay]]+U1956,U1956)</f>
        <v/>
      </c>
      <c r="V1957" s="1400">
        <f>IF(raw[[#This Row],[out]]=0,V1956,(raw[[#This Row],[out]]-E$5))</f>
        <v/>
      </c>
      <c r="W1957" s="1401">
        <f>U1957/V1957</f>
        <v/>
      </c>
      <c r="X1957" s="1392" t="n"/>
      <c r="Y1957" s="1392" t="n"/>
      <c r="Z1957" s="1422" t="n"/>
      <c r="AA1957" s="1422" t="n"/>
      <c r="AB1957" s="1392" t="n"/>
      <c r="AC1957" s="1392" t="n"/>
      <c r="AD1957" s="1392" t="n"/>
      <c r="AE1957" s="1392" t="n"/>
      <c r="AF1957" s="1392" t="n"/>
      <c r="AG1957" s="1392" t="n"/>
      <c r="AH1957" s="1392" t="n"/>
      <c r="AI1957" s="1392" t="n"/>
      <c r="AJ1957" s="1392" t="n"/>
      <c r="AK1957" s="1392" t="n"/>
      <c r="AL1957" s="1392" t="n"/>
      <c r="AM1957" s="1392" t="n"/>
      <c r="AN1957" s="1392" t="n"/>
      <c r="AO1957" s="1392" t="n"/>
      <c r="AP1957" s="1392" t="n"/>
      <c r="AQ1957" s="1392" t="n"/>
      <c r="AR1957" s="1392" t="n"/>
      <c r="AS1957" s="1422" t="n"/>
      <c r="AT1957" s="1392" t="n"/>
      <c r="AU1957" s="1392" t="n"/>
      <c r="AV1957" s="1392" t="n"/>
      <c r="AW1957" s="1392" t="n"/>
      <c r="AX1957" s="1392" t="n"/>
      <c r="AY1957" s="1392" t="n"/>
      <c r="AZ1957" s="1392" t="n"/>
      <c r="BA1957" s="1392" t="n"/>
      <c r="BB1957" s="1422" t="n"/>
      <c r="BC1957" s="1392" t="n"/>
      <c r="BD1957" s="1392" t="n"/>
      <c r="BE1957" s="1392" t="n"/>
      <c r="BF1957" s="1392" t="n"/>
      <c r="BG1957" s="1392" t="n"/>
      <c r="BH1957" s="1392" t="n"/>
      <c r="BI1957" s="1392" t="n"/>
      <c r="BJ1957" s="1392" t="n"/>
      <c r="BK1957" s="1392" t="n"/>
      <c r="BL1957" s="1392" t="n"/>
      <c r="BM1957" s="1392" t="n"/>
      <c r="BN1957" s="1392" t="n"/>
      <c r="BO1957" s="1392" t="n"/>
      <c r="BP1957" s="1392" t="n"/>
      <c r="BQ1957" s="1392" t="n"/>
      <c r="BR1957" s="1392" t="n"/>
      <c r="BS1957" s="1392" t="n"/>
      <c r="BT1957" s="1392" t="n"/>
      <c r="BU1957" s="1416" t="n"/>
      <c r="BV1957" s="1392" t="n"/>
      <c r="BW1957" s="1392" t="n"/>
      <c r="BX1957" s="1392" t="n"/>
      <c r="BY1957" s="1392" t="n"/>
      <c r="BZ1957" s="1416" t="n"/>
      <c r="CA1957" s="1392" t="n"/>
      <c r="CB1957" s="1392" t="n"/>
      <c r="CC1957" s="1392" t="n"/>
      <c r="CD1957" s="1392" t="n"/>
      <c r="CE1957" s="1392" t="n"/>
      <c r="CF1957" s="1392" t="n"/>
      <c r="CG1957" s="1392" t="n"/>
      <c r="CH1957" s="1392" t="n"/>
      <c r="CI1957" s="1392" t="n"/>
      <c r="CJ1957" s="1392" t="n"/>
      <c r="CK1957" s="1392" t="n"/>
      <c r="CL1957" s="1392" t="n"/>
    </row>
    <row r="1958">
      <c r="A1958" s="5" t="inlineStr">
        <is>
          <t>.</t>
        </is>
      </c>
      <c r="B1958" s="5" t="inlineStr">
        <is>
          <t>.</t>
        </is>
      </c>
      <c r="C1958" s="1378">
        <f>IF(raw[[#This Row],[city]]="","-",IF(raw[[#This Row],[city]]="TODAY","-",C1957+1))</f>
        <v/>
      </c>
      <c r="D1958" s="1393" t="n"/>
      <c r="E1958" s="1394" t="n"/>
      <c r="F1958" s="1394" t="n"/>
      <c r="G1958" s="1393" t="n"/>
      <c r="H1958" s="1393" t="n"/>
      <c r="I1958" s="1393" t="n"/>
      <c r="J1958" s="1393" t="n"/>
      <c r="K1958" s="1395">
        <f>IF(raw[[#This Row],[city]]&lt;&gt;"",_xlfn.XLOOKUP($D1958,ccc[city],ccc[prov],"-"),"-")</f>
        <v/>
      </c>
      <c r="L1958" s="1395">
        <f>IF(raw[[#This Row],[city]]&lt;&gt;"",_xlfn.XLOOKUP($D1958,ccc[city],ccc[ctry],"-"),"-")</f>
        <v/>
      </c>
      <c r="M1958" s="1395">
        <f>IF(raw[[#This Row],[city]]&lt;&gt;"",_xlfn.XLOOKUP($D1958,ccc[city],ccc[cont],"-"),"-")</f>
        <v/>
      </c>
      <c r="N1958" s="1396">
        <f>IF(raw[[#This Row],[city]]="","-",IF(raw[[#This Row],[cont]]="B",raw[[#This Row],[cont]],"W"))</f>
        <v/>
      </c>
      <c r="O1958" s="1397">
        <f>IF(raw[[#This Row],[out]]=0,0,IF(raw[[#This Row],[out]]=raw[[#This Row],[in]],0.01,raw[[#This Row],[out]]-raw[[#This Row],[in]]))</f>
        <v/>
      </c>
      <c r="P1958" s="1397">
        <f>IF(raw[[#This Row],[in]]=0,0,MONTH(raw[[#This Row],[in]]))</f>
        <v/>
      </c>
      <c r="Q1958" s="1397">
        <f>IF(raw[[#This Row],[in]]=0,0,YEAR(raw[[#This Row],[in]]))</f>
        <v/>
      </c>
      <c r="R1958" s="1397">
        <f>INT(raw[[#This Row],[yr]]/10)*10</f>
        <v/>
      </c>
      <c r="S1958" s="1395">
        <f>IF(raw[[#This Row],[city]]="","-",IF(raw[[#This Row],[city]]&lt;&gt;_xlfn.XLOOKUP(raw[[#This Row],[home]],homes[home],homes[city],"-"),1,0))</f>
        <v/>
      </c>
      <c r="T1958" s="1398" t="inlineStr">
        <is>
          <t>.</t>
        </is>
      </c>
      <c r="U1958" s="1399">
        <f>IF(raw[[#This Row],[wb]]="w",raw[[#This Row],[stay]]+U1957,U1957)</f>
        <v/>
      </c>
      <c r="V1958" s="1400">
        <f>IF(raw[[#This Row],[out]]=0,V1957,(raw[[#This Row],[out]]-E$5))</f>
        <v/>
      </c>
      <c r="W1958" s="1401">
        <f>U1958/V1958</f>
        <v/>
      </c>
      <c r="X1958" s="1392" t="n"/>
      <c r="Y1958" s="1392" t="n"/>
      <c r="Z1958" s="1422" t="n"/>
      <c r="AA1958" s="1422" t="n"/>
      <c r="AB1958" s="1392" t="n"/>
      <c r="AC1958" s="1392" t="n"/>
      <c r="AD1958" s="1392" t="n"/>
      <c r="AE1958" s="1392" t="n"/>
      <c r="AF1958" s="1392" t="n"/>
      <c r="AG1958" s="1392" t="n"/>
      <c r="AH1958" s="1392" t="n"/>
      <c r="AI1958" s="1392" t="n"/>
      <c r="AJ1958" s="1392" t="n"/>
      <c r="AK1958" s="1392" t="n"/>
      <c r="AL1958" s="1392" t="n"/>
      <c r="AM1958" s="1392" t="n"/>
      <c r="AN1958" s="1392" t="n"/>
      <c r="AO1958" s="1392" t="n"/>
      <c r="AP1958" s="1392" t="n"/>
      <c r="AQ1958" s="1392" t="n"/>
      <c r="AR1958" s="1392" t="n"/>
      <c r="AS1958" s="1422" t="n"/>
      <c r="AT1958" s="1392" t="n"/>
      <c r="AU1958" s="1392" t="n"/>
      <c r="AV1958" s="1392" t="n"/>
      <c r="AW1958" s="1392" t="n"/>
      <c r="AX1958" s="1392" t="n"/>
      <c r="AY1958" s="1392" t="n"/>
      <c r="AZ1958" s="1392" t="n"/>
      <c r="BA1958" s="1392" t="n"/>
      <c r="BB1958" s="1422" t="n"/>
      <c r="BC1958" s="1392" t="n"/>
      <c r="BD1958" s="1392" t="n"/>
      <c r="BE1958" s="1392" t="n"/>
      <c r="BF1958" s="1392" t="n"/>
      <c r="BG1958" s="1392" t="n"/>
      <c r="BH1958" s="1392" t="n"/>
      <c r="BI1958" s="1392" t="n"/>
      <c r="BJ1958" s="1392" t="n"/>
      <c r="BK1958" s="1392" t="n"/>
      <c r="BL1958" s="1392" t="n"/>
      <c r="BM1958" s="1392" t="n"/>
      <c r="BN1958" s="1392" t="n"/>
      <c r="BO1958" s="1392" t="n"/>
      <c r="BP1958" s="1392" t="n"/>
      <c r="BQ1958" s="1392" t="n"/>
      <c r="BR1958" s="1392" t="n"/>
      <c r="BS1958" s="1392" t="n"/>
      <c r="BT1958" s="1392" t="n"/>
      <c r="BU1958" s="1416" t="n"/>
      <c r="BV1958" s="1392" t="n"/>
      <c r="BW1958" s="1392" t="n"/>
      <c r="BX1958" s="1392" t="n"/>
      <c r="BY1958" s="1392" t="n"/>
      <c r="BZ1958" s="1416" t="n"/>
      <c r="CA1958" s="1392" t="n"/>
      <c r="CB1958" s="1392" t="n"/>
      <c r="CC1958" s="1392" t="n"/>
      <c r="CD1958" s="1392" t="n"/>
      <c r="CE1958" s="1392" t="n"/>
      <c r="CF1958" s="1392" t="n"/>
      <c r="CG1958" s="1392" t="n"/>
      <c r="CH1958" s="1392" t="n"/>
      <c r="CI1958" s="1392" t="n"/>
      <c r="CJ1958" s="1392" t="n"/>
      <c r="CK1958" s="1392" t="n"/>
      <c r="CL1958" s="1392" t="n"/>
    </row>
    <row r="1959">
      <c r="A1959" s="5" t="inlineStr">
        <is>
          <t>.</t>
        </is>
      </c>
      <c r="B1959" s="5" t="inlineStr">
        <is>
          <t>.</t>
        </is>
      </c>
      <c r="C1959" s="1378">
        <f>IF(raw[[#This Row],[city]]="","-",IF(raw[[#This Row],[city]]="TODAY","-",C1958+1))</f>
        <v/>
      </c>
      <c r="D1959" s="1393" t="n"/>
      <c r="E1959" s="1394" t="n"/>
      <c r="F1959" s="1394" t="n"/>
      <c r="G1959" s="1393" t="n"/>
      <c r="H1959" s="1393" t="n"/>
      <c r="I1959" s="1393" t="n"/>
      <c r="J1959" s="1393" t="n"/>
      <c r="K1959" s="1395">
        <f>IF(raw[[#This Row],[city]]&lt;&gt;"",_xlfn.XLOOKUP($D1959,ccc[city],ccc[prov],"-"),"-")</f>
        <v/>
      </c>
      <c r="L1959" s="1395">
        <f>IF(raw[[#This Row],[city]]&lt;&gt;"",_xlfn.XLOOKUP($D1959,ccc[city],ccc[ctry],"-"),"-")</f>
        <v/>
      </c>
      <c r="M1959" s="1395">
        <f>IF(raw[[#This Row],[city]]&lt;&gt;"",_xlfn.XLOOKUP($D1959,ccc[city],ccc[cont],"-"),"-")</f>
        <v/>
      </c>
      <c r="N1959" s="1396">
        <f>IF(raw[[#This Row],[city]]="","-",IF(raw[[#This Row],[cont]]="B",raw[[#This Row],[cont]],"W"))</f>
        <v/>
      </c>
      <c r="O1959" s="1397">
        <f>IF(raw[[#This Row],[out]]=0,0,IF(raw[[#This Row],[out]]=raw[[#This Row],[in]],0.01,raw[[#This Row],[out]]-raw[[#This Row],[in]]))</f>
        <v/>
      </c>
      <c r="P1959" s="1397">
        <f>IF(raw[[#This Row],[in]]=0,0,MONTH(raw[[#This Row],[in]]))</f>
        <v/>
      </c>
      <c r="Q1959" s="1397">
        <f>IF(raw[[#This Row],[in]]=0,0,YEAR(raw[[#This Row],[in]]))</f>
        <v/>
      </c>
      <c r="R1959" s="1397">
        <f>INT(raw[[#This Row],[yr]]/10)*10</f>
        <v/>
      </c>
      <c r="S1959" s="1395">
        <f>IF(raw[[#This Row],[city]]="","-",IF(raw[[#This Row],[city]]&lt;&gt;_xlfn.XLOOKUP(raw[[#This Row],[home]],homes[home],homes[city],"-"),1,0))</f>
        <v/>
      </c>
      <c r="T1959" s="1398" t="inlineStr">
        <is>
          <t>.</t>
        </is>
      </c>
      <c r="U1959" s="1399">
        <f>IF(raw[[#This Row],[wb]]="w",raw[[#This Row],[stay]]+U1958,U1958)</f>
        <v/>
      </c>
      <c r="V1959" s="1400">
        <f>IF(raw[[#This Row],[out]]=0,V1958,(raw[[#This Row],[out]]-E$5))</f>
        <v/>
      </c>
      <c r="W1959" s="1401">
        <f>U1959/V1959</f>
        <v/>
      </c>
      <c r="X1959" s="1392" t="n"/>
      <c r="Y1959" s="1392" t="n"/>
      <c r="Z1959" s="1422" t="n"/>
      <c r="AA1959" s="1422" t="n"/>
      <c r="AB1959" s="1392" t="n"/>
      <c r="AC1959" s="1392" t="n"/>
      <c r="AD1959" s="1392" t="n"/>
      <c r="AE1959" s="1392" t="n"/>
      <c r="AF1959" s="1392" t="n"/>
      <c r="AG1959" s="1392" t="n"/>
      <c r="AH1959" s="1392" t="n"/>
      <c r="AI1959" s="1392" t="n"/>
      <c r="AJ1959" s="1392" t="n"/>
      <c r="AK1959" s="1392" t="n"/>
      <c r="AL1959" s="1392" t="n"/>
      <c r="AM1959" s="1392" t="n"/>
      <c r="AN1959" s="1392" t="n"/>
      <c r="AO1959" s="1392" t="n"/>
      <c r="AP1959" s="1392" t="n"/>
      <c r="AQ1959" s="1392" t="n"/>
      <c r="AR1959" s="1392" t="n"/>
      <c r="AS1959" s="1422" t="n"/>
      <c r="AT1959" s="1392" t="n"/>
      <c r="AU1959" s="1392" t="n"/>
      <c r="AV1959" s="1392" t="n"/>
      <c r="AW1959" s="1392" t="n"/>
      <c r="AX1959" s="1392" t="n"/>
      <c r="AY1959" s="1392" t="n"/>
      <c r="AZ1959" s="1392" t="n"/>
      <c r="BA1959" s="1392" t="n"/>
      <c r="BB1959" s="1422" t="n"/>
      <c r="BC1959" s="1392" t="n"/>
      <c r="BD1959" s="1392" t="n"/>
      <c r="BE1959" s="1392" t="n"/>
      <c r="BF1959" s="1392" t="n"/>
      <c r="BG1959" s="1392" t="n"/>
      <c r="BH1959" s="1392" t="n"/>
      <c r="BI1959" s="1392" t="n"/>
      <c r="BJ1959" s="1392" t="n"/>
      <c r="BK1959" s="1392" t="n"/>
      <c r="BL1959" s="1392" t="n"/>
      <c r="BM1959" s="1392" t="n"/>
      <c r="BN1959" s="1392" t="n"/>
      <c r="BO1959" s="1392" t="n"/>
      <c r="BP1959" s="1392" t="n"/>
      <c r="BQ1959" s="1392" t="n"/>
      <c r="BR1959" s="1392" t="n"/>
      <c r="BS1959" s="1392" t="n"/>
      <c r="BT1959" s="1392" t="n"/>
      <c r="BU1959" s="1416" t="n"/>
      <c r="BV1959" s="1392" t="n"/>
      <c r="BW1959" s="1392" t="n"/>
      <c r="BX1959" s="1392" t="n"/>
      <c r="BY1959" s="1392" t="n"/>
      <c r="BZ1959" s="1416" t="n"/>
      <c r="CA1959" s="1392" t="n"/>
      <c r="CB1959" s="1392" t="n"/>
      <c r="CC1959" s="1392" t="n"/>
      <c r="CD1959" s="1392" t="n"/>
      <c r="CE1959" s="1392" t="n"/>
      <c r="CF1959" s="1392" t="n"/>
      <c r="CG1959" s="1392" t="n"/>
      <c r="CH1959" s="1392" t="n"/>
      <c r="CI1959" s="1392" t="n"/>
      <c r="CJ1959" s="1392" t="n"/>
      <c r="CK1959" s="1392" t="n"/>
      <c r="CL1959" s="1392" t="n"/>
    </row>
    <row r="1960">
      <c r="A1960" s="5" t="inlineStr">
        <is>
          <t>.</t>
        </is>
      </c>
      <c r="B1960" s="5" t="inlineStr">
        <is>
          <t>.</t>
        </is>
      </c>
      <c r="C1960" s="1378">
        <f>IF(raw[[#This Row],[city]]="","-",IF(raw[[#This Row],[city]]="TODAY","-",C1959+1))</f>
        <v/>
      </c>
      <c r="D1960" s="1393" t="n"/>
      <c r="E1960" s="1394" t="n"/>
      <c r="F1960" s="1394" t="n"/>
      <c r="G1960" s="1393" t="n"/>
      <c r="H1960" s="1393" t="n"/>
      <c r="I1960" s="1393" t="n"/>
      <c r="J1960" s="1393" t="n"/>
      <c r="K1960" s="1395">
        <f>IF(raw[[#This Row],[city]]&lt;&gt;"",_xlfn.XLOOKUP($D1960,ccc[city],ccc[prov],"-"),"-")</f>
        <v/>
      </c>
      <c r="L1960" s="1395">
        <f>IF(raw[[#This Row],[city]]&lt;&gt;"",_xlfn.XLOOKUP($D1960,ccc[city],ccc[ctry],"-"),"-")</f>
        <v/>
      </c>
      <c r="M1960" s="1395">
        <f>IF(raw[[#This Row],[city]]&lt;&gt;"",_xlfn.XLOOKUP($D1960,ccc[city],ccc[cont],"-"),"-")</f>
        <v/>
      </c>
      <c r="N1960" s="1396">
        <f>IF(raw[[#This Row],[city]]="","-",IF(raw[[#This Row],[cont]]="B",raw[[#This Row],[cont]],"W"))</f>
        <v/>
      </c>
      <c r="O1960" s="1397">
        <f>IF(raw[[#This Row],[out]]=0,0,IF(raw[[#This Row],[out]]=raw[[#This Row],[in]],0.01,raw[[#This Row],[out]]-raw[[#This Row],[in]]))</f>
        <v/>
      </c>
      <c r="P1960" s="1397">
        <f>IF(raw[[#This Row],[in]]=0,0,MONTH(raw[[#This Row],[in]]))</f>
        <v/>
      </c>
      <c r="Q1960" s="1397">
        <f>IF(raw[[#This Row],[in]]=0,0,YEAR(raw[[#This Row],[in]]))</f>
        <v/>
      </c>
      <c r="R1960" s="1397">
        <f>INT(raw[[#This Row],[yr]]/10)*10</f>
        <v/>
      </c>
      <c r="S1960" s="1395">
        <f>IF(raw[[#This Row],[city]]="","-",IF(raw[[#This Row],[city]]&lt;&gt;_xlfn.XLOOKUP(raw[[#This Row],[home]],homes[home],homes[city],"-"),1,0))</f>
        <v/>
      </c>
      <c r="T1960" s="1398" t="inlineStr">
        <is>
          <t>.</t>
        </is>
      </c>
      <c r="U1960" s="1399">
        <f>IF(raw[[#This Row],[wb]]="w",raw[[#This Row],[stay]]+U1959,U1959)</f>
        <v/>
      </c>
      <c r="V1960" s="1400">
        <f>IF(raw[[#This Row],[out]]=0,V1959,(raw[[#This Row],[out]]-E$5))</f>
        <v/>
      </c>
      <c r="W1960" s="1401">
        <f>U1960/V1960</f>
        <v/>
      </c>
      <c r="X1960" s="1392" t="n"/>
      <c r="Y1960" s="1392" t="n"/>
      <c r="Z1960" s="1422" t="n"/>
      <c r="AA1960" s="1422" t="n"/>
      <c r="AB1960" s="1392" t="n"/>
      <c r="AC1960" s="1392" t="n"/>
      <c r="AD1960" s="1392" t="n"/>
      <c r="AE1960" s="1392" t="n"/>
      <c r="AF1960" s="1392" t="n"/>
      <c r="AG1960" s="1392" t="n"/>
      <c r="AH1960" s="1392" t="n"/>
      <c r="AI1960" s="1392" t="n"/>
      <c r="AJ1960" s="1392" t="n"/>
      <c r="AK1960" s="1392" t="n"/>
      <c r="AL1960" s="1392" t="n"/>
      <c r="AM1960" s="1392" t="n"/>
      <c r="AN1960" s="1392" t="n"/>
      <c r="AO1960" s="1392" t="n"/>
      <c r="AP1960" s="1392" t="n"/>
      <c r="AQ1960" s="1392" t="n"/>
      <c r="AR1960" s="1392" t="n"/>
      <c r="AS1960" s="1422" t="n"/>
      <c r="AT1960" s="1392" t="n"/>
      <c r="AU1960" s="1392" t="n"/>
      <c r="AV1960" s="1392" t="n"/>
      <c r="AW1960" s="1392" t="n"/>
      <c r="AX1960" s="1392" t="n"/>
      <c r="AY1960" s="1392" t="n"/>
      <c r="AZ1960" s="1392" t="n"/>
      <c r="BA1960" s="1392" t="n"/>
      <c r="BB1960" s="1422" t="n"/>
      <c r="BC1960" s="1392" t="n"/>
      <c r="BD1960" s="1392" t="n"/>
      <c r="BE1960" s="1392" t="n"/>
      <c r="BF1960" s="1392" t="n"/>
      <c r="BG1960" s="1392" t="n"/>
      <c r="BH1960" s="1392" t="n"/>
      <c r="BI1960" s="1392" t="n"/>
      <c r="BJ1960" s="1392" t="n"/>
      <c r="BK1960" s="1392" t="n"/>
      <c r="BL1960" s="1392" t="n"/>
      <c r="BM1960" s="1392" t="n"/>
      <c r="BN1960" s="1392" t="n"/>
      <c r="BO1960" s="1392" t="n"/>
      <c r="BP1960" s="1392" t="n"/>
      <c r="BQ1960" s="1392" t="n"/>
      <c r="BR1960" s="1392" t="n"/>
      <c r="BS1960" s="1392" t="n"/>
      <c r="BT1960" s="1392" t="n"/>
      <c r="BU1960" s="1416" t="n"/>
      <c r="BV1960" s="1392" t="n"/>
      <c r="BW1960" s="1392" t="n"/>
      <c r="BX1960" s="1392" t="n"/>
      <c r="BY1960" s="1392" t="n"/>
      <c r="BZ1960" s="1416" t="n"/>
      <c r="CA1960" s="1392" t="n"/>
      <c r="CB1960" s="1392" t="n"/>
      <c r="CC1960" s="1392" t="n"/>
      <c r="CD1960" s="1392" t="n"/>
      <c r="CE1960" s="1392" t="n"/>
      <c r="CF1960" s="1392" t="n"/>
      <c r="CG1960" s="1392" t="n"/>
      <c r="CH1960" s="1392" t="n"/>
      <c r="CI1960" s="1392" t="n"/>
      <c r="CJ1960" s="1392" t="n"/>
      <c r="CK1960" s="1392" t="n"/>
      <c r="CL1960" s="1392" t="n"/>
    </row>
    <row r="1961">
      <c r="A1961" s="5" t="inlineStr">
        <is>
          <t>.</t>
        </is>
      </c>
      <c r="B1961" s="5" t="inlineStr">
        <is>
          <t>.</t>
        </is>
      </c>
      <c r="C1961" s="1378">
        <f>IF(raw[[#This Row],[city]]="","-",IF(raw[[#This Row],[city]]="TODAY","-",C1960+1))</f>
        <v/>
      </c>
      <c r="D1961" s="1393" t="n"/>
      <c r="E1961" s="1394" t="n"/>
      <c r="F1961" s="1394" t="n"/>
      <c r="G1961" s="1393" t="n"/>
      <c r="H1961" s="1393" t="n"/>
      <c r="I1961" s="1393" t="n"/>
      <c r="J1961" s="1393" t="n"/>
      <c r="K1961" s="1395">
        <f>IF(raw[[#This Row],[city]]&lt;&gt;"",_xlfn.XLOOKUP($D1961,ccc[city],ccc[prov],"-"),"-")</f>
        <v/>
      </c>
      <c r="L1961" s="1395">
        <f>IF(raw[[#This Row],[city]]&lt;&gt;"",_xlfn.XLOOKUP($D1961,ccc[city],ccc[ctry],"-"),"-")</f>
        <v/>
      </c>
      <c r="M1961" s="1395">
        <f>IF(raw[[#This Row],[city]]&lt;&gt;"",_xlfn.XLOOKUP($D1961,ccc[city],ccc[cont],"-"),"-")</f>
        <v/>
      </c>
      <c r="N1961" s="1396">
        <f>IF(raw[[#This Row],[city]]="","-",IF(raw[[#This Row],[cont]]="B",raw[[#This Row],[cont]],"W"))</f>
        <v/>
      </c>
      <c r="O1961" s="1397">
        <f>IF(raw[[#This Row],[out]]=0,0,IF(raw[[#This Row],[out]]=raw[[#This Row],[in]],0.01,raw[[#This Row],[out]]-raw[[#This Row],[in]]))</f>
        <v/>
      </c>
      <c r="P1961" s="1397">
        <f>IF(raw[[#This Row],[in]]=0,0,MONTH(raw[[#This Row],[in]]))</f>
        <v/>
      </c>
      <c r="Q1961" s="1397">
        <f>IF(raw[[#This Row],[in]]=0,0,YEAR(raw[[#This Row],[in]]))</f>
        <v/>
      </c>
      <c r="R1961" s="1397">
        <f>INT(raw[[#This Row],[yr]]/10)*10</f>
        <v/>
      </c>
      <c r="S1961" s="1395">
        <f>IF(raw[[#This Row],[city]]="","-",IF(raw[[#This Row],[city]]&lt;&gt;_xlfn.XLOOKUP(raw[[#This Row],[home]],homes[home],homes[city],"-"),1,0))</f>
        <v/>
      </c>
      <c r="T1961" s="1398" t="inlineStr">
        <is>
          <t>.</t>
        </is>
      </c>
      <c r="U1961" s="1399">
        <f>IF(raw[[#This Row],[wb]]="w",raw[[#This Row],[stay]]+U1960,U1960)</f>
        <v/>
      </c>
      <c r="V1961" s="1400">
        <f>IF(raw[[#This Row],[out]]=0,V1960,(raw[[#This Row],[out]]-E$5))</f>
        <v/>
      </c>
      <c r="W1961" s="1401">
        <f>U1961/V1961</f>
        <v/>
      </c>
      <c r="X1961" s="1392" t="n"/>
      <c r="Y1961" s="1392" t="n"/>
      <c r="Z1961" s="1422" t="n"/>
      <c r="AA1961" s="1422" t="n"/>
      <c r="AB1961" s="1392" t="n"/>
      <c r="AC1961" s="1392" t="n"/>
      <c r="AD1961" s="1392" t="n"/>
      <c r="AE1961" s="1392" t="n"/>
      <c r="AF1961" s="1392" t="n"/>
      <c r="AG1961" s="1392" t="n"/>
      <c r="AH1961" s="1392" t="n"/>
      <c r="AI1961" s="1392" t="n"/>
      <c r="AJ1961" s="1392" t="n"/>
      <c r="AK1961" s="1392" t="n"/>
      <c r="AL1961" s="1392" t="n"/>
      <c r="AM1961" s="1392" t="n"/>
      <c r="AN1961" s="1392" t="n"/>
      <c r="AO1961" s="1392" t="n"/>
      <c r="AP1961" s="1392" t="n"/>
      <c r="AQ1961" s="1392" t="n"/>
      <c r="AR1961" s="1392" t="n"/>
      <c r="AS1961" s="1422" t="n"/>
      <c r="AT1961" s="1392" t="n"/>
      <c r="AU1961" s="1392" t="n"/>
      <c r="AV1961" s="1392" t="n"/>
      <c r="AW1961" s="1392" t="n"/>
      <c r="AX1961" s="1392" t="n"/>
      <c r="AY1961" s="1392" t="n"/>
      <c r="AZ1961" s="1392" t="n"/>
      <c r="BA1961" s="1392" t="n"/>
      <c r="BB1961" s="1422" t="n"/>
      <c r="BC1961" s="1392" t="n"/>
      <c r="BD1961" s="1392" t="n"/>
      <c r="BE1961" s="1392" t="n"/>
      <c r="BF1961" s="1392" t="n"/>
      <c r="BG1961" s="1392" t="n"/>
      <c r="BH1961" s="1392" t="n"/>
      <c r="BI1961" s="1392" t="n"/>
      <c r="BJ1961" s="1392" t="n"/>
      <c r="BK1961" s="1392" t="n"/>
      <c r="BL1961" s="1392" t="n"/>
      <c r="BM1961" s="1392" t="n"/>
      <c r="BN1961" s="1392" t="n"/>
      <c r="BO1961" s="1392" t="n"/>
      <c r="BP1961" s="1392" t="n"/>
      <c r="BQ1961" s="1392" t="n"/>
      <c r="BR1961" s="1392" t="n"/>
      <c r="BS1961" s="1392" t="n"/>
      <c r="BT1961" s="1392" t="n"/>
      <c r="BU1961" s="1416" t="n"/>
      <c r="BV1961" s="1392" t="n"/>
      <c r="BW1961" s="1392" t="n"/>
      <c r="BX1961" s="1392" t="n"/>
      <c r="BY1961" s="1392" t="n"/>
      <c r="BZ1961" s="1416" t="n"/>
      <c r="CA1961" s="1392" t="n"/>
      <c r="CB1961" s="1392" t="n"/>
      <c r="CC1961" s="1392" t="n"/>
      <c r="CD1961" s="1392" t="n"/>
      <c r="CE1961" s="1392" t="n"/>
      <c r="CF1961" s="1392" t="n"/>
      <c r="CG1961" s="1392" t="n"/>
      <c r="CH1961" s="1392" t="n"/>
      <c r="CI1961" s="1392" t="n"/>
      <c r="CJ1961" s="1392" t="n"/>
      <c r="CK1961" s="1392" t="n"/>
      <c r="CL1961" s="1392" t="n"/>
    </row>
    <row r="1962">
      <c r="A1962" s="5" t="inlineStr">
        <is>
          <t>.</t>
        </is>
      </c>
      <c r="B1962" s="5" t="inlineStr">
        <is>
          <t>.</t>
        </is>
      </c>
      <c r="C1962" s="1378">
        <f>IF(raw[[#This Row],[city]]="","-",IF(raw[[#This Row],[city]]="TODAY","-",C1961+1))</f>
        <v/>
      </c>
      <c r="D1962" s="1393" t="n"/>
      <c r="E1962" s="1394" t="n"/>
      <c r="F1962" s="1394" t="n"/>
      <c r="G1962" s="1393" t="n"/>
      <c r="H1962" s="1393" t="n"/>
      <c r="I1962" s="1393" t="n"/>
      <c r="J1962" s="1393" t="n"/>
      <c r="K1962" s="1395">
        <f>IF(raw[[#This Row],[city]]&lt;&gt;"",_xlfn.XLOOKUP($D1962,ccc[city],ccc[prov],"-"),"-")</f>
        <v/>
      </c>
      <c r="L1962" s="1395">
        <f>IF(raw[[#This Row],[city]]&lt;&gt;"",_xlfn.XLOOKUP($D1962,ccc[city],ccc[ctry],"-"),"-")</f>
        <v/>
      </c>
      <c r="M1962" s="1395">
        <f>IF(raw[[#This Row],[city]]&lt;&gt;"",_xlfn.XLOOKUP($D1962,ccc[city],ccc[cont],"-"),"-")</f>
        <v/>
      </c>
      <c r="N1962" s="1396">
        <f>IF(raw[[#This Row],[city]]="","-",IF(raw[[#This Row],[cont]]="B",raw[[#This Row],[cont]],"W"))</f>
        <v/>
      </c>
      <c r="O1962" s="1397">
        <f>IF(raw[[#This Row],[out]]=0,0,IF(raw[[#This Row],[out]]=raw[[#This Row],[in]],0.01,raw[[#This Row],[out]]-raw[[#This Row],[in]]))</f>
        <v/>
      </c>
      <c r="P1962" s="1397">
        <f>IF(raw[[#This Row],[in]]=0,0,MONTH(raw[[#This Row],[in]]))</f>
        <v/>
      </c>
      <c r="Q1962" s="1397">
        <f>IF(raw[[#This Row],[in]]=0,0,YEAR(raw[[#This Row],[in]]))</f>
        <v/>
      </c>
      <c r="R1962" s="1397">
        <f>INT(raw[[#This Row],[yr]]/10)*10</f>
        <v/>
      </c>
      <c r="S1962" s="1395">
        <f>IF(raw[[#This Row],[city]]="","-",IF(raw[[#This Row],[city]]&lt;&gt;_xlfn.XLOOKUP(raw[[#This Row],[home]],homes[home],homes[city],"-"),1,0))</f>
        <v/>
      </c>
      <c r="T1962" s="1398" t="inlineStr">
        <is>
          <t>.</t>
        </is>
      </c>
      <c r="U1962" s="1399">
        <f>IF(raw[[#This Row],[wb]]="w",raw[[#This Row],[stay]]+U1961,U1961)</f>
        <v/>
      </c>
      <c r="V1962" s="1400">
        <f>IF(raw[[#This Row],[out]]=0,V1961,(raw[[#This Row],[out]]-E$5))</f>
        <v/>
      </c>
      <c r="W1962" s="1401">
        <f>U1962/V1962</f>
        <v/>
      </c>
      <c r="X1962" s="1392" t="n"/>
      <c r="Y1962" s="1392" t="n"/>
      <c r="Z1962" s="1422" t="n"/>
      <c r="AA1962" s="1422" t="n"/>
      <c r="AB1962" s="1392" t="n"/>
      <c r="AC1962" s="1392" t="n"/>
      <c r="AD1962" s="1392" t="n"/>
      <c r="AE1962" s="1392" t="n"/>
      <c r="AF1962" s="1392" t="n"/>
      <c r="AG1962" s="1392" t="n"/>
      <c r="AH1962" s="1392" t="n"/>
      <c r="AI1962" s="1392" t="n"/>
      <c r="AJ1962" s="1392" t="n"/>
      <c r="AK1962" s="1392" t="n"/>
      <c r="AL1962" s="1392" t="n"/>
      <c r="AM1962" s="1392" t="n"/>
      <c r="AN1962" s="1392" t="n"/>
      <c r="AO1962" s="1392" t="n"/>
      <c r="AP1962" s="1392" t="n"/>
      <c r="AQ1962" s="1392" t="n"/>
      <c r="AR1962" s="1392" t="n"/>
      <c r="AS1962" s="1422" t="n"/>
      <c r="AT1962" s="1392" t="n"/>
      <c r="AU1962" s="1392" t="n"/>
      <c r="AV1962" s="1392" t="n"/>
      <c r="AW1962" s="1392" t="n"/>
      <c r="AX1962" s="1392" t="n"/>
      <c r="AY1962" s="1392" t="n"/>
      <c r="AZ1962" s="1392" t="n"/>
      <c r="BA1962" s="1392" t="n"/>
      <c r="BB1962" s="1422" t="n"/>
      <c r="BC1962" s="1392" t="n"/>
      <c r="BD1962" s="1392" t="n"/>
      <c r="BE1962" s="1392" t="n"/>
      <c r="BF1962" s="1392" t="n"/>
      <c r="BG1962" s="1392" t="n"/>
      <c r="BH1962" s="1392" t="n"/>
      <c r="BI1962" s="1392" t="n"/>
      <c r="BJ1962" s="1392" t="n"/>
      <c r="BK1962" s="1392" t="n"/>
      <c r="BL1962" s="1392" t="n"/>
      <c r="BM1962" s="1392" t="n"/>
      <c r="BN1962" s="1392" t="n"/>
      <c r="BO1962" s="1392" t="n"/>
      <c r="BP1962" s="1392" t="n"/>
      <c r="BQ1962" s="1392" t="n"/>
      <c r="BR1962" s="1392" t="n"/>
      <c r="BS1962" s="1392" t="n"/>
      <c r="BT1962" s="1392" t="n"/>
      <c r="BU1962" s="1416" t="n"/>
      <c r="BV1962" s="1392" t="n"/>
      <c r="BW1962" s="1392" t="n"/>
      <c r="BX1962" s="1392" t="n"/>
      <c r="BY1962" s="1392" t="n"/>
      <c r="BZ1962" s="1416" t="n"/>
      <c r="CA1962" s="1392" t="n"/>
      <c r="CB1962" s="1392" t="n"/>
      <c r="CC1962" s="1392" t="n"/>
      <c r="CD1962" s="1392" t="n"/>
      <c r="CE1962" s="1392" t="n"/>
      <c r="CF1962" s="1392" t="n"/>
      <c r="CG1962" s="1392" t="n"/>
      <c r="CH1962" s="1392" t="n"/>
      <c r="CI1962" s="1392" t="n"/>
      <c r="CJ1962" s="1392" t="n"/>
      <c r="CK1962" s="1392" t="n"/>
      <c r="CL1962" s="1392" t="n"/>
    </row>
    <row r="1963">
      <c r="A1963" s="5" t="inlineStr">
        <is>
          <t>.</t>
        </is>
      </c>
      <c r="B1963" s="5" t="inlineStr">
        <is>
          <t>.</t>
        </is>
      </c>
      <c r="C1963" s="1378">
        <f>IF(raw[[#This Row],[city]]="","-",IF(raw[[#This Row],[city]]="TODAY","-",C1962+1))</f>
        <v/>
      </c>
      <c r="D1963" s="1393" t="n"/>
      <c r="E1963" s="1394" t="n"/>
      <c r="F1963" s="1394" t="n"/>
      <c r="G1963" s="1393" t="n"/>
      <c r="H1963" s="1393" t="n"/>
      <c r="I1963" s="1393" t="n"/>
      <c r="J1963" s="1393" t="n"/>
      <c r="K1963" s="1395">
        <f>IF(raw[[#This Row],[city]]&lt;&gt;"",_xlfn.XLOOKUP($D1963,ccc[city],ccc[prov],"-"),"-")</f>
        <v/>
      </c>
      <c r="L1963" s="1395">
        <f>IF(raw[[#This Row],[city]]&lt;&gt;"",_xlfn.XLOOKUP($D1963,ccc[city],ccc[ctry],"-"),"-")</f>
        <v/>
      </c>
      <c r="M1963" s="1395">
        <f>IF(raw[[#This Row],[city]]&lt;&gt;"",_xlfn.XLOOKUP($D1963,ccc[city],ccc[cont],"-"),"-")</f>
        <v/>
      </c>
      <c r="N1963" s="1396">
        <f>IF(raw[[#This Row],[city]]="","-",IF(raw[[#This Row],[cont]]="B",raw[[#This Row],[cont]],"W"))</f>
        <v/>
      </c>
      <c r="O1963" s="1397">
        <f>IF(raw[[#This Row],[out]]=0,0,IF(raw[[#This Row],[out]]=raw[[#This Row],[in]],0.01,raw[[#This Row],[out]]-raw[[#This Row],[in]]))</f>
        <v/>
      </c>
      <c r="P1963" s="1397">
        <f>IF(raw[[#This Row],[in]]=0,0,MONTH(raw[[#This Row],[in]]))</f>
        <v/>
      </c>
      <c r="Q1963" s="1397">
        <f>IF(raw[[#This Row],[in]]=0,0,YEAR(raw[[#This Row],[in]]))</f>
        <v/>
      </c>
      <c r="R1963" s="1397">
        <f>INT(raw[[#This Row],[yr]]/10)*10</f>
        <v/>
      </c>
      <c r="S1963" s="1395">
        <f>IF(raw[[#This Row],[city]]="","-",IF(raw[[#This Row],[city]]&lt;&gt;_xlfn.XLOOKUP(raw[[#This Row],[home]],homes[home],homes[city],"-"),1,0))</f>
        <v/>
      </c>
      <c r="T1963" s="1398" t="inlineStr">
        <is>
          <t>.</t>
        </is>
      </c>
      <c r="U1963" s="1399">
        <f>IF(raw[[#This Row],[wb]]="w",raw[[#This Row],[stay]]+U1962,U1962)</f>
        <v/>
      </c>
      <c r="V1963" s="1400">
        <f>IF(raw[[#This Row],[out]]=0,V1962,(raw[[#This Row],[out]]-E$5))</f>
        <v/>
      </c>
      <c r="W1963" s="1401">
        <f>U1963/V1963</f>
        <v/>
      </c>
      <c r="X1963" s="1392" t="n"/>
      <c r="Y1963" s="1392" t="n"/>
      <c r="Z1963" s="1422" t="n"/>
      <c r="AA1963" s="1422" t="n"/>
      <c r="AB1963" s="1392" t="n"/>
      <c r="AC1963" s="1392" t="n"/>
      <c r="AD1963" s="1392" t="n"/>
      <c r="AE1963" s="1392" t="n"/>
      <c r="AF1963" s="1392" t="n"/>
      <c r="AG1963" s="1392" t="n"/>
      <c r="AH1963" s="1392" t="n"/>
      <c r="AI1963" s="1392" t="n"/>
      <c r="AJ1963" s="1392" t="n"/>
      <c r="AK1963" s="1392" t="n"/>
      <c r="AL1963" s="1392" t="n"/>
      <c r="AM1963" s="1392" t="n"/>
      <c r="AN1963" s="1392" t="n"/>
      <c r="AO1963" s="1392" t="n"/>
      <c r="AP1963" s="1392" t="n"/>
      <c r="AQ1963" s="1392" t="n"/>
      <c r="AR1963" s="1392" t="n"/>
      <c r="AS1963" s="1422" t="n"/>
      <c r="AT1963" s="1392" t="n"/>
      <c r="AU1963" s="1392" t="n"/>
      <c r="AV1963" s="1392" t="n"/>
      <c r="AW1963" s="1392" t="n"/>
      <c r="AX1963" s="1392" t="n"/>
      <c r="AY1963" s="1392" t="n"/>
      <c r="AZ1963" s="1392" t="n"/>
      <c r="BA1963" s="1392" t="n"/>
      <c r="BB1963" s="1422" t="n"/>
      <c r="BC1963" s="1392" t="n"/>
      <c r="BD1963" s="1392" t="n"/>
      <c r="BE1963" s="1392" t="n"/>
      <c r="BF1963" s="1392" t="n"/>
      <c r="BG1963" s="1392" t="n"/>
      <c r="BH1963" s="1392" t="n"/>
      <c r="BI1963" s="1392" t="n"/>
      <c r="BJ1963" s="1392" t="n"/>
      <c r="BK1963" s="1392" t="n"/>
      <c r="BL1963" s="1392" t="n"/>
      <c r="BM1963" s="1392" t="n"/>
      <c r="BN1963" s="1392" t="n"/>
      <c r="BO1963" s="1392" t="n"/>
      <c r="BP1963" s="1392" t="n"/>
      <c r="BQ1963" s="1392" t="n"/>
      <c r="BR1963" s="1392" t="n"/>
      <c r="BS1963" s="1392" t="n"/>
      <c r="BT1963" s="1392" t="n"/>
      <c r="BU1963" s="1416" t="n"/>
      <c r="BV1963" s="1392" t="n"/>
      <c r="BW1963" s="1392" t="n"/>
      <c r="BX1963" s="1392" t="n"/>
      <c r="BY1963" s="1392" t="n"/>
      <c r="BZ1963" s="1416" t="n"/>
      <c r="CA1963" s="1392" t="n"/>
      <c r="CB1963" s="1392" t="n"/>
      <c r="CC1963" s="1392" t="n"/>
      <c r="CD1963" s="1392" t="n"/>
      <c r="CE1963" s="1392" t="n"/>
      <c r="CF1963" s="1392" t="n"/>
      <c r="CG1963" s="1392" t="n"/>
      <c r="CH1963" s="1392" t="n"/>
      <c r="CI1963" s="1392" t="n"/>
      <c r="CJ1963" s="1392" t="n"/>
      <c r="CK1963" s="1392" t="n"/>
      <c r="CL1963" s="1392" t="n"/>
    </row>
    <row r="1964">
      <c r="A1964" s="5" t="inlineStr">
        <is>
          <t>.</t>
        </is>
      </c>
      <c r="B1964" s="5" t="inlineStr">
        <is>
          <t>.</t>
        </is>
      </c>
      <c r="C1964" s="1378">
        <f>IF(raw[[#This Row],[city]]="","-",IF(raw[[#This Row],[city]]="TODAY","-",C1963+1))</f>
        <v/>
      </c>
      <c r="D1964" s="1393" t="n"/>
      <c r="E1964" s="1394" t="n"/>
      <c r="F1964" s="1394" t="n"/>
      <c r="G1964" s="1393" t="n"/>
      <c r="H1964" s="1393" t="n"/>
      <c r="I1964" s="1393" t="n"/>
      <c r="J1964" s="1393" t="n"/>
      <c r="K1964" s="1395">
        <f>IF(raw[[#This Row],[city]]&lt;&gt;"",_xlfn.XLOOKUP($D1964,ccc[city],ccc[prov],"-"),"-")</f>
        <v/>
      </c>
      <c r="L1964" s="1395">
        <f>IF(raw[[#This Row],[city]]&lt;&gt;"",_xlfn.XLOOKUP($D1964,ccc[city],ccc[ctry],"-"),"-")</f>
        <v/>
      </c>
      <c r="M1964" s="1395">
        <f>IF(raw[[#This Row],[city]]&lt;&gt;"",_xlfn.XLOOKUP($D1964,ccc[city],ccc[cont],"-"),"-")</f>
        <v/>
      </c>
      <c r="N1964" s="1396">
        <f>IF(raw[[#This Row],[city]]="","-",IF(raw[[#This Row],[cont]]="B",raw[[#This Row],[cont]],"W"))</f>
        <v/>
      </c>
      <c r="O1964" s="1397">
        <f>IF(raw[[#This Row],[out]]=0,0,IF(raw[[#This Row],[out]]=raw[[#This Row],[in]],0.01,raw[[#This Row],[out]]-raw[[#This Row],[in]]))</f>
        <v/>
      </c>
      <c r="P1964" s="1397">
        <f>IF(raw[[#This Row],[in]]=0,0,MONTH(raw[[#This Row],[in]]))</f>
        <v/>
      </c>
      <c r="Q1964" s="1397">
        <f>IF(raw[[#This Row],[in]]=0,0,YEAR(raw[[#This Row],[in]]))</f>
        <v/>
      </c>
      <c r="R1964" s="1397">
        <f>INT(raw[[#This Row],[yr]]/10)*10</f>
        <v/>
      </c>
      <c r="S1964" s="1395">
        <f>IF(raw[[#This Row],[city]]="","-",IF(raw[[#This Row],[city]]&lt;&gt;_xlfn.XLOOKUP(raw[[#This Row],[home]],homes[home],homes[city],"-"),1,0))</f>
        <v/>
      </c>
      <c r="T1964" s="1398" t="inlineStr">
        <is>
          <t>.</t>
        </is>
      </c>
      <c r="U1964" s="1399">
        <f>IF(raw[[#This Row],[wb]]="w",raw[[#This Row],[stay]]+U1963,U1963)</f>
        <v/>
      </c>
      <c r="V1964" s="1400">
        <f>IF(raw[[#This Row],[out]]=0,V1963,(raw[[#This Row],[out]]-E$5))</f>
        <v/>
      </c>
      <c r="W1964" s="1401">
        <f>U1964/V1964</f>
        <v/>
      </c>
      <c r="X1964" s="1392" t="n"/>
      <c r="Y1964" s="1392" t="n"/>
      <c r="Z1964" s="1422" t="n"/>
      <c r="AA1964" s="1422" t="n"/>
      <c r="AB1964" s="1392" t="n"/>
      <c r="AC1964" s="1392" t="n"/>
      <c r="AD1964" s="1392" t="n"/>
      <c r="AE1964" s="1392" t="n"/>
      <c r="AF1964" s="1392" t="n"/>
      <c r="AG1964" s="1392" t="n"/>
      <c r="AH1964" s="1392" t="n"/>
      <c r="AI1964" s="1392" t="n"/>
      <c r="AJ1964" s="1392" t="n"/>
      <c r="AK1964" s="1392" t="n"/>
      <c r="AL1964" s="1392" t="n"/>
      <c r="AM1964" s="1392" t="n"/>
      <c r="AN1964" s="1392" t="n"/>
      <c r="AO1964" s="1392" t="n"/>
      <c r="AP1964" s="1392" t="n"/>
      <c r="AQ1964" s="1392" t="n"/>
      <c r="AR1964" s="1392" t="n"/>
      <c r="AS1964" s="1422" t="n"/>
      <c r="AT1964" s="1392" t="n"/>
      <c r="AU1964" s="1392" t="n"/>
      <c r="AV1964" s="1392" t="n"/>
      <c r="AW1964" s="1392" t="n"/>
      <c r="AX1964" s="1392" t="n"/>
      <c r="AY1964" s="1392" t="n"/>
      <c r="AZ1964" s="1392" t="n"/>
      <c r="BA1964" s="1392" t="n"/>
      <c r="BB1964" s="1422" t="n"/>
      <c r="BC1964" s="1392" t="n"/>
      <c r="BD1964" s="1392" t="n"/>
      <c r="BE1964" s="1392" t="n"/>
      <c r="BF1964" s="1392" t="n"/>
      <c r="BG1964" s="1392" t="n"/>
      <c r="BH1964" s="1392" t="n"/>
      <c r="BI1964" s="1392" t="n"/>
      <c r="BJ1964" s="1392" t="n"/>
      <c r="BK1964" s="1392" t="n"/>
      <c r="BL1964" s="1392" t="n"/>
      <c r="BM1964" s="1392" t="n"/>
      <c r="BN1964" s="1392" t="n"/>
      <c r="BO1964" s="1392" t="n"/>
      <c r="BP1964" s="1392" t="n"/>
      <c r="BQ1964" s="1392" t="n"/>
      <c r="BR1964" s="1392" t="n"/>
      <c r="BS1964" s="1392" t="n"/>
      <c r="BT1964" s="1392" t="n"/>
      <c r="BU1964" s="1416" t="n"/>
      <c r="BV1964" s="1392" t="n"/>
      <c r="BW1964" s="1392" t="n"/>
      <c r="BX1964" s="1392" t="n"/>
      <c r="BY1964" s="1392" t="n"/>
      <c r="BZ1964" s="1416" t="n"/>
      <c r="CA1964" s="1392" t="n"/>
      <c r="CB1964" s="1392" t="n"/>
      <c r="CC1964" s="1392" t="n"/>
      <c r="CD1964" s="1392" t="n"/>
      <c r="CE1964" s="1392" t="n"/>
      <c r="CF1964" s="1392" t="n"/>
      <c r="CG1964" s="1392" t="n"/>
      <c r="CH1964" s="1392" t="n"/>
      <c r="CI1964" s="1392" t="n"/>
      <c r="CJ1964" s="1392" t="n"/>
      <c r="CK1964" s="1392" t="n"/>
      <c r="CL1964" s="1392" t="n"/>
    </row>
    <row r="1965">
      <c r="A1965" s="5" t="inlineStr">
        <is>
          <t>.</t>
        </is>
      </c>
      <c r="B1965" s="5" t="inlineStr">
        <is>
          <t>.</t>
        </is>
      </c>
      <c r="C1965" s="1378">
        <f>IF(raw[[#This Row],[city]]="","-",IF(raw[[#This Row],[city]]="TODAY","-",C1964+1))</f>
        <v/>
      </c>
      <c r="D1965" s="1393" t="n"/>
      <c r="E1965" s="1394" t="n"/>
      <c r="F1965" s="1394" t="n"/>
      <c r="G1965" s="1393" t="n"/>
      <c r="H1965" s="1393" t="n"/>
      <c r="I1965" s="1393" t="n"/>
      <c r="J1965" s="1393" t="n"/>
      <c r="K1965" s="1395">
        <f>IF(raw[[#This Row],[city]]&lt;&gt;"",_xlfn.XLOOKUP($D1965,ccc[city],ccc[prov],"-"),"-")</f>
        <v/>
      </c>
      <c r="L1965" s="1395">
        <f>IF(raw[[#This Row],[city]]&lt;&gt;"",_xlfn.XLOOKUP($D1965,ccc[city],ccc[ctry],"-"),"-")</f>
        <v/>
      </c>
      <c r="M1965" s="1395">
        <f>IF(raw[[#This Row],[city]]&lt;&gt;"",_xlfn.XLOOKUP($D1965,ccc[city],ccc[cont],"-"),"-")</f>
        <v/>
      </c>
      <c r="N1965" s="1396">
        <f>IF(raw[[#This Row],[city]]="","-",IF(raw[[#This Row],[cont]]="B",raw[[#This Row],[cont]],"W"))</f>
        <v/>
      </c>
      <c r="O1965" s="1397">
        <f>IF(raw[[#This Row],[out]]=0,0,IF(raw[[#This Row],[out]]=raw[[#This Row],[in]],0.01,raw[[#This Row],[out]]-raw[[#This Row],[in]]))</f>
        <v/>
      </c>
      <c r="P1965" s="1397">
        <f>IF(raw[[#This Row],[in]]=0,0,MONTH(raw[[#This Row],[in]]))</f>
        <v/>
      </c>
      <c r="Q1965" s="1397">
        <f>IF(raw[[#This Row],[in]]=0,0,YEAR(raw[[#This Row],[in]]))</f>
        <v/>
      </c>
      <c r="R1965" s="1397">
        <f>INT(raw[[#This Row],[yr]]/10)*10</f>
        <v/>
      </c>
      <c r="S1965" s="1395">
        <f>IF(raw[[#This Row],[city]]="","-",IF(raw[[#This Row],[city]]&lt;&gt;_xlfn.XLOOKUP(raw[[#This Row],[home]],homes[home],homes[city],"-"),1,0))</f>
        <v/>
      </c>
      <c r="T1965" s="1398" t="inlineStr">
        <is>
          <t>.</t>
        </is>
      </c>
      <c r="U1965" s="1399">
        <f>IF(raw[[#This Row],[wb]]="w",raw[[#This Row],[stay]]+U1964,U1964)</f>
        <v/>
      </c>
      <c r="V1965" s="1400">
        <f>IF(raw[[#This Row],[out]]=0,V1964,(raw[[#This Row],[out]]-E$5))</f>
        <v/>
      </c>
      <c r="W1965" s="1401">
        <f>U1965/V1965</f>
        <v/>
      </c>
      <c r="X1965" s="1392" t="n"/>
      <c r="Y1965" s="1392" t="n"/>
      <c r="Z1965" s="1422" t="n"/>
      <c r="AA1965" s="1422" t="n"/>
      <c r="AB1965" s="1392" t="n"/>
      <c r="AC1965" s="1392" t="n"/>
      <c r="AD1965" s="1392" t="n"/>
      <c r="AE1965" s="1392" t="n"/>
      <c r="AF1965" s="1392" t="n"/>
      <c r="AG1965" s="1392" t="n"/>
      <c r="AH1965" s="1392" t="n"/>
      <c r="AI1965" s="1392" t="n"/>
      <c r="AJ1965" s="1392" t="n"/>
      <c r="AK1965" s="1392" t="n"/>
      <c r="AL1965" s="1392" t="n"/>
      <c r="AM1965" s="1392" t="n"/>
      <c r="AN1965" s="1392" t="n"/>
      <c r="AO1965" s="1392" t="n"/>
      <c r="AP1965" s="1392" t="n"/>
      <c r="AQ1965" s="1392" t="n"/>
      <c r="AR1965" s="1392" t="n"/>
      <c r="AS1965" s="1422" t="n"/>
      <c r="AT1965" s="1392" t="n"/>
      <c r="AU1965" s="1392" t="n"/>
      <c r="AV1965" s="1392" t="n"/>
      <c r="AW1965" s="1392" t="n"/>
      <c r="AX1965" s="1392" t="n"/>
      <c r="AY1965" s="1392" t="n"/>
      <c r="AZ1965" s="1392" t="n"/>
      <c r="BA1965" s="1392" t="n"/>
      <c r="BB1965" s="1422" t="n"/>
      <c r="BC1965" s="1392" t="n"/>
      <c r="BD1965" s="1392" t="n"/>
      <c r="BE1965" s="1392" t="n"/>
      <c r="BF1965" s="1392" t="n"/>
      <c r="BG1965" s="1392" t="n"/>
      <c r="BH1965" s="1392" t="n"/>
      <c r="BI1965" s="1392" t="n"/>
      <c r="BJ1965" s="1392" t="n"/>
      <c r="BK1965" s="1392" t="n"/>
      <c r="BL1965" s="1392" t="n"/>
      <c r="BM1965" s="1392" t="n"/>
      <c r="BN1965" s="1392" t="n"/>
      <c r="BO1965" s="1392" t="n"/>
      <c r="BP1965" s="1392" t="n"/>
      <c r="BQ1965" s="1392" t="n"/>
      <c r="BR1965" s="1392" t="n"/>
      <c r="BS1965" s="1392" t="n"/>
      <c r="BT1965" s="1392" t="n"/>
      <c r="BU1965" s="1416" t="n"/>
      <c r="BV1965" s="1392" t="n"/>
      <c r="BW1965" s="1392" t="n"/>
      <c r="BX1965" s="1392" t="n"/>
      <c r="BY1965" s="1392" t="n"/>
      <c r="BZ1965" s="1416" t="n"/>
      <c r="CA1965" s="1392" t="n"/>
      <c r="CB1965" s="1392" t="n"/>
      <c r="CC1965" s="1392" t="n"/>
      <c r="CD1965" s="1392" t="n"/>
      <c r="CE1965" s="1392" t="n"/>
      <c r="CF1965" s="1392" t="n"/>
      <c r="CG1965" s="1392" t="n"/>
      <c r="CH1965" s="1392" t="n"/>
      <c r="CI1965" s="1392" t="n"/>
      <c r="CJ1965" s="1392" t="n"/>
      <c r="CK1965" s="1392" t="n"/>
      <c r="CL1965" s="1392" t="n"/>
    </row>
    <row r="1966">
      <c r="A1966" s="5" t="inlineStr">
        <is>
          <t>.</t>
        </is>
      </c>
      <c r="B1966" s="5" t="inlineStr">
        <is>
          <t>.</t>
        </is>
      </c>
      <c r="C1966" s="1378">
        <f>IF(raw[[#This Row],[city]]="","-",IF(raw[[#This Row],[city]]="TODAY","-",C1965+1))</f>
        <v/>
      </c>
      <c r="D1966" s="1393" t="n"/>
      <c r="E1966" s="1394" t="n"/>
      <c r="F1966" s="1394" t="n"/>
      <c r="G1966" s="1393" t="n"/>
      <c r="H1966" s="1393" t="n"/>
      <c r="I1966" s="1393" t="n"/>
      <c r="J1966" s="1393" t="n"/>
      <c r="K1966" s="1395">
        <f>IF(raw[[#This Row],[city]]&lt;&gt;"",_xlfn.XLOOKUP($D1966,ccc[city],ccc[prov],"-"),"-")</f>
        <v/>
      </c>
      <c r="L1966" s="1395">
        <f>IF(raw[[#This Row],[city]]&lt;&gt;"",_xlfn.XLOOKUP($D1966,ccc[city],ccc[ctry],"-"),"-")</f>
        <v/>
      </c>
      <c r="M1966" s="1395">
        <f>IF(raw[[#This Row],[city]]&lt;&gt;"",_xlfn.XLOOKUP($D1966,ccc[city],ccc[cont],"-"),"-")</f>
        <v/>
      </c>
      <c r="N1966" s="1396">
        <f>IF(raw[[#This Row],[city]]="","-",IF(raw[[#This Row],[cont]]="B",raw[[#This Row],[cont]],"W"))</f>
        <v/>
      </c>
      <c r="O1966" s="1397">
        <f>IF(raw[[#This Row],[out]]=0,0,IF(raw[[#This Row],[out]]=raw[[#This Row],[in]],0.01,raw[[#This Row],[out]]-raw[[#This Row],[in]]))</f>
        <v/>
      </c>
      <c r="P1966" s="1397">
        <f>IF(raw[[#This Row],[in]]=0,0,MONTH(raw[[#This Row],[in]]))</f>
        <v/>
      </c>
      <c r="Q1966" s="1397">
        <f>IF(raw[[#This Row],[in]]=0,0,YEAR(raw[[#This Row],[in]]))</f>
        <v/>
      </c>
      <c r="R1966" s="1397">
        <f>INT(raw[[#This Row],[yr]]/10)*10</f>
        <v/>
      </c>
      <c r="S1966" s="1395">
        <f>IF(raw[[#This Row],[city]]="","-",IF(raw[[#This Row],[city]]&lt;&gt;_xlfn.XLOOKUP(raw[[#This Row],[home]],homes[home],homes[city],"-"),1,0))</f>
        <v/>
      </c>
      <c r="T1966" s="1398" t="inlineStr">
        <is>
          <t>.</t>
        </is>
      </c>
      <c r="U1966" s="1399">
        <f>IF(raw[[#This Row],[wb]]="w",raw[[#This Row],[stay]]+U1965,U1965)</f>
        <v/>
      </c>
      <c r="V1966" s="1400">
        <f>IF(raw[[#This Row],[out]]=0,V1965,(raw[[#This Row],[out]]-E$5))</f>
        <v/>
      </c>
      <c r="W1966" s="1401">
        <f>U1966/V1966</f>
        <v/>
      </c>
      <c r="X1966" s="1392" t="n"/>
      <c r="Y1966" s="1392" t="n"/>
      <c r="Z1966" s="1422" t="n"/>
      <c r="AA1966" s="1422" t="n"/>
      <c r="AB1966" s="1392" t="n"/>
      <c r="AC1966" s="1392" t="n"/>
      <c r="AD1966" s="1392" t="n"/>
      <c r="AE1966" s="1392" t="n"/>
      <c r="AF1966" s="1392" t="n"/>
      <c r="AG1966" s="1392" t="n"/>
      <c r="AH1966" s="1392" t="n"/>
      <c r="AI1966" s="1392" t="n"/>
      <c r="AJ1966" s="1392" t="n"/>
      <c r="AK1966" s="1392" t="n"/>
      <c r="AL1966" s="1392" t="n"/>
      <c r="AM1966" s="1392" t="n"/>
      <c r="AN1966" s="1392" t="n"/>
      <c r="AO1966" s="1392" t="n"/>
      <c r="AP1966" s="1392" t="n"/>
      <c r="AQ1966" s="1392" t="n"/>
      <c r="AR1966" s="1392" t="n"/>
      <c r="AS1966" s="1422" t="n"/>
      <c r="AT1966" s="1392" t="n"/>
      <c r="AU1966" s="1392" t="n"/>
      <c r="AV1966" s="1392" t="n"/>
      <c r="AW1966" s="1392" t="n"/>
      <c r="AX1966" s="1392" t="n"/>
      <c r="AY1966" s="1392" t="n"/>
      <c r="AZ1966" s="1392" t="n"/>
      <c r="BA1966" s="1392" t="n"/>
      <c r="BB1966" s="1422" t="n"/>
      <c r="BC1966" s="1392" t="n"/>
      <c r="BD1966" s="1392" t="n"/>
      <c r="BE1966" s="1392" t="n"/>
      <c r="BF1966" s="1392" t="n"/>
      <c r="BG1966" s="1392" t="n"/>
      <c r="BH1966" s="1392" t="n"/>
      <c r="BI1966" s="1392" t="n"/>
      <c r="BJ1966" s="1392" t="n"/>
      <c r="BK1966" s="1392" t="n"/>
      <c r="BL1966" s="1392" t="n"/>
      <c r="BM1966" s="1392" t="n"/>
      <c r="BN1966" s="1392" t="n"/>
      <c r="BO1966" s="1392" t="n"/>
      <c r="BP1966" s="1392" t="n"/>
      <c r="BQ1966" s="1392" t="n"/>
      <c r="BR1966" s="1392" t="n"/>
      <c r="BS1966" s="1392" t="n"/>
      <c r="BT1966" s="1392" t="n"/>
      <c r="BU1966" s="1416" t="n"/>
      <c r="BV1966" s="1392" t="n"/>
      <c r="BW1966" s="1392" t="n"/>
      <c r="BX1966" s="1392" t="n"/>
      <c r="BY1966" s="1392" t="n"/>
      <c r="BZ1966" s="1416" t="n"/>
      <c r="CA1966" s="1392" t="n"/>
      <c r="CB1966" s="1392" t="n"/>
      <c r="CC1966" s="1392" t="n"/>
      <c r="CD1966" s="1392" t="n"/>
      <c r="CE1966" s="1392" t="n"/>
      <c r="CF1966" s="1392" t="n"/>
      <c r="CG1966" s="1392" t="n"/>
      <c r="CH1966" s="1392" t="n"/>
      <c r="CI1966" s="1392" t="n"/>
      <c r="CJ1966" s="1392" t="n"/>
      <c r="CK1966" s="1392" t="n"/>
      <c r="CL1966" s="1392" t="n"/>
    </row>
    <row r="1967">
      <c r="A1967" s="5" t="inlineStr">
        <is>
          <t>.</t>
        </is>
      </c>
      <c r="B1967" s="5" t="inlineStr">
        <is>
          <t>.</t>
        </is>
      </c>
      <c r="C1967" s="1378">
        <f>IF(raw[[#This Row],[city]]="","-",IF(raw[[#This Row],[city]]="TODAY","-",C1966+1))</f>
        <v/>
      </c>
      <c r="D1967" s="1393" t="n"/>
      <c r="E1967" s="1394" t="n"/>
      <c r="F1967" s="1394" t="n"/>
      <c r="G1967" s="1393" t="n"/>
      <c r="H1967" s="1393" t="n"/>
      <c r="I1967" s="1393" t="n"/>
      <c r="J1967" s="1393" t="n"/>
      <c r="K1967" s="1395">
        <f>IF(raw[[#This Row],[city]]&lt;&gt;"",_xlfn.XLOOKUP($D1967,ccc[city],ccc[prov],"-"),"-")</f>
        <v/>
      </c>
      <c r="L1967" s="1395">
        <f>IF(raw[[#This Row],[city]]&lt;&gt;"",_xlfn.XLOOKUP($D1967,ccc[city],ccc[ctry],"-"),"-")</f>
        <v/>
      </c>
      <c r="M1967" s="1395">
        <f>IF(raw[[#This Row],[city]]&lt;&gt;"",_xlfn.XLOOKUP($D1967,ccc[city],ccc[cont],"-"),"-")</f>
        <v/>
      </c>
      <c r="N1967" s="1396">
        <f>IF(raw[[#This Row],[city]]="","-",IF(raw[[#This Row],[cont]]="B",raw[[#This Row],[cont]],"W"))</f>
        <v/>
      </c>
      <c r="O1967" s="1397">
        <f>IF(raw[[#This Row],[out]]=0,0,IF(raw[[#This Row],[out]]=raw[[#This Row],[in]],0.01,raw[[#This Row],[out]]-raw[[#This Row],[in]]))</f>
        <v/>
      </c>
      <c r="P1967" s="1397">
        <f>IF(raw[[#This Row],[in]]=0,0,MONTH(raw[[#This Row],[in]]))</f>
        <v/>
      </c>
      <c r="Q1967" s="1397">
        <f>IF(raw[[#This Row],[in]]=0,0,YEAR(raw[[#This Row],[in]]))</f>
        <v/>
      </c>
      <c r="R1967" s="1397">
        <f>INT(raw[[#This Row],[yr]]/10)*10</f>
        <v/>
      </c>
      <c r="S1967" s="1395">
        <f>IF(raw[[#This Row],[city]]="","-",IF(raw[[#This Row],[city]]&lt;&gt;_xlfn.XLOOKUP(raw[[#This Row],[home]],homes[home],homes[city],"-"),1,0))</f>
        <v/>
      </c>
      <c r="T1967" s="1398" t="inlineStr">
        <is>
          <t>.</t>
        </is>
      </c>
      <c r="U1967" s="1399">
        <f>IF(raw[[#This Row],[wb]]="w",raw[[#This Row],[stay]]+U1966,U1966)</f>
        <v/>
      </c>
      <c r="V1967" s="1400">
        <f>IF(raw[[#This Row],[out]]=0,V1966,(raw[[#This Row],[out]]-E$5))</f>
        <v/>
      </c>
      <c r="W1967" s="1401">
        <f>U1967/V1967</f>
        <v/>
      </c>
      <c r="X1967" s="1392" t="n"/>
      <c r="Y1967" s="1392" t="n"/>
      <c r="Z1967" s="1422" t="n"/>
      <c r="AA1967" s="1422" t="n"/>
      <c r="AB1967" s="1392" t="n"/>
      <c r="AC1967" s="1392" t="n"/>
      <c r="AD1967" s="1392" t="n"/>
      <c r="AE1967" s="1392" t="n"/>
      <c r="AF1967" s="1392" t="n"/>
      <c r="AG1967" s="1392" t="n"/>
      <c r="AH1967" s="1392" t="n"/>
      <c r="AI1967" s="1392" t="n"/>
      <c r="AJ1967" s="1392" t="n"/>
      <c r="AK1967" s="1392" t="n"/>
      <c r="AL1967" s="1392" t="n"/>
      <c r="AM1967" s="1392" t="n"/>
      <c r="AN1967" s="1392" t="n"/>
      <c r="AO1967" s="1392" t="n"/>
      <c r="AP1967" s="1392" t="n"/>
      <c r="AQ1967" s="1392" t="n"/>
      <c r="AR1967" s="1392" t="n"/>
      <c r="AS1967" s="1422" t="n"/>
      <c r="AT1967" s="1392" t="n"/>
      <c r="AU1967" s="1392" t="n"/>
      <c r="AV1967" s="1392" t="n"/>
      <c r="AW1967" s="1392" t="n"/>
      <c r="AX1967" s="1392" t="n"/>
      <c r="AY1967" s="1392" t="n"/>
      <c r="AZ1967" s="1392" t="n"/>
      <c r="BA1967" s="1392" t="n"/>
      <c r="BB1967" s="1422" t="n"/>
      <c r="BC1967" s="1392" t="n"/>
      <c r="BD1967" s="1392" t="n"/>
      <c r="BE1967" s="1392" t="n"/>
      <c r="BF1967" s="1392" t="n"/>
      <c r="BG1967" s="1392" t="n"/>
      <c r="BH1967" s="1392" t="n"/>
      <c r="BI1967" s="1392" t="n"/>
      <c r="BJ1967" s="1392" t="n"/>
      <c r="BK1967" s="1392" t="n"/>
      <c r="BL1967" s="1392" t="n"/>
      <c r="BM1967" s="1392" t="n"/>
      <c r="BN1967" s="1392" t="n"/>
      <c r="BO1967" s="1392" t="n"/>
      <c r="BP1967" s="1392" t="n"/>
      <c r="BQ1967" s="1392" t="n"/>
      <c r="BR1967" s="1392" t="n"/>
      <c r="BS1967" s="1392" t="n"/>
      <c r="BT1967" s="1392" t="n"/>
      <c r="BU1967" s="1416" t="n"/>
      <c r="BV1967" s="1392" t="n"/>
      <c r="BW1967" s="1392" t="n"/>
      <c r="BX1967" s="1392" t="n"/>
      <c r="BY1967" s="1392" t="n"/>
      <c r="BZ1967" s="1416" t="n"/>
      <c r="CA1967" s="1392" t="n"/>
      <c r="CB1967" s="1392" t="n"/>
      <c r="CC1967" s="1392" t="n"/>
      <c r="CD1967" s="1392" t="n"/>
      <c r="CE1967" s="1392" t="n"/>
      <c r="CF1967" s="1392" t="n"/>
      <c r="CG1967" s="1392" t="n"/>
      <c r="CH1967" s="1392" t="n"/>
      <c r="CI1967" s="1392" t="n"/>
      <c r="CJ1967" s="1392" t="n"/>
      <c r="CK1967" s="1392" t="n"/>
      <c r="CL1967" s="1392" t="n"/>
    </row>
    <row r="1968">
      <c r="A1968" s="5" t="inlineStr">
        <is>
          <t>.</t>
        </is>
      </c>
      <c r="B1968" s="5" t="inlineStr">
        <is>
          <t>.</t>
        </is>
      </c>
      <c r="C1968" s="1378">
        <f>IF(raw[[#This Row],[city]]="","-",IF(raw[[#This Row],[city]]="TODAY","-",C1967+1))</f>
        <v/>
      </c>
      <c r="D1968" s="1393" t="n"/>
      <c r="E1968" s="1394" t="n"/>
      <c r="F1968" s="1394" t="n"/>
      <c r="G1968" s="1393" t="n"/>
      <c r="H1968" s="1393" t="n"/>
      <c r="I1968" s="1393" t="n"/>
      <c r="J1968" s="1393" t="n"/>
      <c r="K1968" s="1395">
        <f>IF(raw[[#This Row],[city]]&lt;&gt;"",_xlfn.XLOOKUP($D1968,ccc[city],ccc[prov],"-"),"-")</f>
        <v/>
      </c>
      <c r="L1968" s="1395">
        <f>IF(raw[[#This Row],[city]]&lt;&gt;"",_xlfn.XLOOKUP($D1968,ccc[city],ccc[ctry],"-"),"-")</f>
        <v/>
      </c>
      <c r="M1968" s="1395">
        <f>IF(raw[[#This Row],[city]]&lt;&gt;"",_xlfn.XLOOKUP($D1968,ccc[city],ccc[cont],"-"),"-")</f>
        <v/>
      </c>
      <c r="N1968" s="1396">
        <f>IF(raw[[#This Row],[city]]="","-",IF(raw[[#This Row],[cont]]="B",raw[[#This Row],[cont]],"W"))</f>
        <v/>
      </c>
      <c r="O1968" s="1397">
        <f>IF(raw[[#This Row],[out]]=0,0,IF(raw[[#This Row],[out]]=raw[[#This Row],[in]],0.01,raw[[#This Row],[out]]-raw[[#This Row],[in]]))</f>
        <v/>
      </c>
      <c r="P1968" s="1397">
        <f>IF(raw[[#This Row],[in]]=0,0,MONTH(raw[[#This Row],[in]]))</f>
        <v/>
      </c>
      <c r="Q1968" s="1397">
        <f>IF(raw[[#This Row],[in]]=0,0,YEAR(raw[[#This Row],[in]]))</f>
        <v/>
      </c>
      <c r="R1968" s="1397">
        <f>INT(raw[[#This Row],[yr]]/10)*10</f>
        <v/>
      </c>
      <c r="S1968" s="1395">
        <f>IF(raw[[#This Row],[city]]="","-",IF(raw[[#This Row],[city]]&lt;&gt;_xlfn.XLOOKUP(raw[[#This Row],[home]],homes[home],homes[city],"-"),1,0))</f>
        <v/>
      </c>
      <c r="T1968" s="1398" t="inlineStr">
        <is>
          <t>.</t>
        </is>
      </c>
      <c r="U1968" s="1399">
        <f>IF(raw[[#This Row],[wb]]="w",raw[[#This Row],[stay]]+U1967,U1967)</f>
        <v/>
      </c>
      <c r="V1968" s="1400">
        <f>IF(raw[[#This Row],[out]]=0,V1967,(raw[[#This Row],[out]]-E$5))</f>
        <v/>
      </c>
      <c r="W1968" s="1401">
        <f>U1968/V1968</f>
        <v/>
      </c>
      <c r="X1968" s="1392" t="n"/>
      <c r="Y1968" s="1392" t="n"/>
      <c r="Z1968" s="1422" t="n"/>
      <c r="AA1968" s="1422" t="n"/>
      <c r="AB1968" s="1392" t="n"/>
      <c r="AC1968" s="1392" t="n"/>
      <c r="AD1968" s="1392" t="n"/>
      <c r="AE1968" s="1392" t="n"/>
      <c r="AF1968" s="1392" t="n"/>
      <c r="AG1968" s="1392" t="n"/>
      <c r="AH1968" s="1392" t="n"/>
      <c r="AI1968" s="1392" t="n"/>
      <c r="AJ1968" s="1392" t="n"/>
      <c r="AK1968" s="1392" t="n"/>
      <c r="AL1968" s="1392" t="n"/>
      <c r="AM1968" s="1392" t="n"/>
      <c r="AN1968" s="1392" t="n"/>
      <c r="AO1968" s="1392" t="n"/>
      <c r="AP1968" s="1392" t="n"/>
      <c r="AQ1968" s="1392" t="n"/>
      <c r="AR1968" s="1392" t="n"/>
      <c r="AS1968" s="1422" t="n"/>
      <c r="AT1968" s="1392" t="n"/>
      <c r="AU1968" s="1392" t="n"/>
      <c r="AV1968" s="1392" t="n"/>
      <c r="AW1968" s="1392" t="n"/>
      <c r="AX1968" s="1392" t="n"/>
      <c r="AY1968" s="1392" t="n"/>
      <c r="AZ1968" s="1392" t="n"/>
      <c r="BA1968" s="1392" t="n"/>
      <c r="BB1968" s="1422" t="n"/>
      <c r="BC1968" s="1392" t="n"/>
      <c r="BD1968" s="1392" t="n"/>
      <c r="BE1968" s="1392" t="n"/>
      <c r="BF1968" s="1392" t="n"/>
      <c r="BG1968" s="1392" t="n"/>
      <c r="BH1968" s="1392" t="n"/>
      <c r="BI1968" s="1392" t="n"/>
      <c r="BJ1968" s="1392" t="n"/>
      <c r="BK1968" s="1392" t="n"/>
      <c r="BL1968" s="1392" t="n"/>
      <c r="BM1968" s="1392" t="n"/>
      <c r="BN1968" s="1392" t="n"/>
      <c r="BO1968" s="1392" t="n"/>
      <c r="BP1968" s="1392" t="n"/>
      <c r="BQ1968" s="1392" t="n"/>
      <c r="BR1968" s="1392" t="n"/>
      <c r="BS1968" s="1392" t="n"/>
      <c r="BT1968" s="1392" t="n"/>
      <c r="BU1968" s="1416" t="n"/>
      <c r="BV1968" s="1392" t="n"/>
      <c r="BW1968" s="1392" t="n"/>
      <c r="BX1968" s="1392" t="n"/>
      <c r="BY1968" s="1392" t="n"/>
      <c r="BZ1968" s="1416" t="n"/>
      <c r="CA1968" s="1392" t="n"/>
      <c r="CB1968" s="1392" t="n"/>
      <c r="CC1968" s="1392" t="n"/>
      <c r="CD1968" s="1392" t="n"/>
      <c r="CE1968" s="1392" t="n"/>
      <c r="CF1968" s="1392" t="n"/>
      <c r="CG1968" s="1392" t="n"/>
      <c r="CH1968" s="1392" t="n"/>
      <c r="CI1968" s="1392" t="n"/>
      <c r="CJ1968" s="1392" t="n"/>
      <c r="CK1968" s="1392" t="n"/>
      <c r="CL1968" s="1392" t="n"/>
    </row>
    <row r="1969">
      <c r="A1969" s="5" t="inlineStr">
        <is>
          <t>.</t>
        </is>
      </c>
      <c r="B1969" s="5" t="inlineStr">
        <is>
          <t>.</t>
        </is>
      </c>
      <c r="C1969" s="1378">
        <f>IF(raw[[#This Row],[city]]="","-",IF(raw[[#This Row],[city]]="TODAY","-",C1968+1))</f>
        <v/>
      </c>
      <c r="D1969" s="1393" t="n"/>
      <c r="E1969" s="1394" t="n"/>
      <c r="F1969" s="1394" t="n"/>
      <c r="G1969" s="1393" t="n"/>
      <c r="H1969" s="1393" t="n"/>
      <c r="I1969" s="1393" t="n"/>
      <c r="J1969" s="1393" t="n"/>
      <c r="K1969" s="1395">
        <f>IF(raw[[#This Row],[city]]&lt;&gt;"",_xlfn.XLOOKUP($D1969,ccc[city],ccc[prov],"-"),"-")</f>
        <v/>
      </c>
      <c r="L1969" s="1395">
        <f>IF(raw[[#This Row],[city]]&lt;&gt;"",_xlfn.XLOOKUP($D1969,ccc[city],ccc[ctry],"-"),"-")</f>
        <v/>
      </c>
      <c r="M1969" s="1395">
        <f>IF(raw[[#This Row],[city]]&lt;&gt;"",_xlfn.XLOOKUP($D1969,ccc[city],ccc[cont],"-"),"-")</f>
        <v/>
      </c>
      <c r="N1969" s="1396">
        <f>IF(raw[[#This Row],[city]]="","-",IF(raw[[#This Row],[cont]]="B",raw[[#This Row],[cont]],"W"))</f>
        <v/>
      </c>
      <c r="O1969" s="1397">
        <f>IF(raw[[#This Row],[out]]=0,0,IF(raw[[#This Row],[out]]=raw[[#This Row],[in]],0.01,raw[[#This Row],[out]]-raw[[#This Row],[in]]))</f>
        <v/>
      </c>
      <c r="P1969" s="1397">
        <f>IF(raw[[#This Row],[in]]=0,0,MONTH(raw[[#This Row],[in]]))</f>
        <v/>
      </c>
      <c r="Q1969" s="1397">
        <f>IF(raw[[#This Row],[in]]=0,0,YEAR(raw[[#This Row],[in]]))</f>
        <v/>
      </c>
      <c r="R1969" s="1397">
        <f>INT(raw[[#This Row],[yr]]/10)*10</f>
        <v/>
      </c>
      <c r="S1969" s="1395">
        <f>IF(raw[[#This Row],[city]]="","-",IF(raw[[#This Row],[city]]&lt;&gt;_xlfn.XLOOKUP(raw[[#This Row],[home]],homes[home],homes[city],"-"),1,0))</f>
        <v/>
      </c>
      <c r="T1969" s="1398" t="inlineStr">
        <is>
          <t>.</t>
        </is>
      </c>
      <c r="U1969" s="1399">
        <f>IF(raw[[#This Row],[wb]]="w",raw[[#This Row],[stay]]+U1968,U1968)</f>
        <v/>
      </c>
      <c r="V1969" s="1400">
        <f>IF(raw[[#This Row],[out]]=0,V1968,(raw[[#This Row],[out]]-E$5))</f>
        <v/>
      </c>
      <c r="W1969" s="1401">
        <f>U1969/V1969</f>
        <v/>
      </c>
      <c r="X1969" s="1392" t="n"/>
      <c r="Y1969" s="1392" t="n"/>
      <c r="Z1969" s="1422" t="n"/>
      <c r="AA1969" s="1422" t="n"/>
      <c r="AB1969" s="1392" t="n"/>
      <c r="AC1969" s="1392" t="n"/>
      <c r="AD1969" s="1392" t="n"/>
      <c r="AE1969" s="1392" t="n"/>
      <c r="AF1969" s="1392" t="n"/>
      <c r="AG1969" s="1392" t="n"/>
      <c r="AH1969" s="1392" t="n"/>
      <c r="AI1969" s="1392" t="n"/>
      <c r="AJ1969" s="1392" t="n"/>
      <c r="AK1969" s="1392" t="n"/>
      <c r="AL1969" s="1392" t="n"/>
      <c r="AM1969" s="1392" t="n"/>
      <c r="AN1969" s="1392" t="n"/>
      <c r="AO1969" s="1392" t="n"/>
      <c r="AP1969" s="1392" t="n"/>
      <c r="AQ1969" s="1392" t="n"/>
      <c r="AR1969" s="1392" t="n"/>
      <c r="AS1969" s="1422" t="n"/>
      <c r="AT1969" s="1392" t="n"/>
      <c r="AU1969" s="1392" t="n"/>
      <c r="AV1969" s="1392" t="n"/>
      <c r="AW1969" s="1392" t="n"/>
      <c r="AX1969" s="1392" t="n"/>
      <c r="AY1969" s="1392" t="n"/>
      <c r="AZ1969" s="1392" t="n"/>
      <c r="BA1969" s="1392" t="n"/>
      <c r="BB1969" s="1422" t="n"/>
      <c r="BC1969" s="1392" t="n"/>
      <c r="BD1969" s="1392" t="n"/>
      <c r="BE1969" s="1392" t="n"/>
      <c r="BF1969" s="1392" t="n"/>
      <c r="BG1969" s="1392" t="n"/>
      <c r="BH1969" s="1392" t="n"/>
      <c r="BI1969" s="1392" t="n"/>
      <c r="BJ1969" s="1392" t="n"/>
      <c r="BK1969" s="1392" t="n"/>
      <c r="BL1969" s="1392" t="n"/>
      <c r="BM1969" s="1392" t="n"/>
      <c r="BN1969" s="1392" t="n"/>
      <c r="BO1969" s="1392" t="n"/>
      <c r="BP1969" s="1392" t="n"/>
      <c r="BQ1969" s="1392" t="n"/>
      <c r="BR1969" s="1392" t="n"/>
      <c r="BS1969" s="1392" t="n"/>
      <c r="BT1969" s="1392" t="n"/>
      <c r="BU1969" s="1416" t="n"/>
      <c r="BV1969" s="1392" t="n"/>
      <c r="BW1969" s="1392" t="n"/>
      <c r="BX1969" s="1392" t="n"/>
      <c r="BY1969" s="1392" t="n"/>
      <c r="BZ1969" s="1416" t="n"/>
      <c r="CA1969" s="1392" t="n"/>
      <c r="CB1969" s="1392" t="n"/>
      <c r="CC1969" s="1392" t="n"/>
      <c r="CD1969" s="1392" t="n"/>
      <c r="CE1969" s="1392" t="n"/>
      <c r="CF1969" s="1392" t="n"/>
      <c r="CG1969" s="1392" t="n"/>
      <c r="CH1969" s="1392" t="n"/>
      <c r="CI1969" s="1392" t="n"/>
      <c r="CJ1969" s="1392" t="n"/>
      <c r="CK1969" s="1392" t="n"/>
      <c r="CL1969" s="1392" t="n"/>
    </row>
    <row r="1970">
      <c r="A1970" s="5" t="inlineStr">
        <is>
          <t>.</t>
        </is>
      </c>
      <c r="B1970" s="5" t="inlineStr">
        <is>
          <t>.</t>
        </is>
      </c>
      <c r="C1970" s="1378">
        <f>IF(raw[[#This Row],[city]]="","-",IF(raw[[#This Row],[city]]="TODAY","-",C1969+1))</f>
        <v/>
      </c>
      <c r="D1970" s="1393" t="n"/>
      <c r="E1970" s="1394" t="n"/>
      <c r="F1970" s="1394" t="n"/>
      <c r="G1970" s="1393" t="n"/>
      <c r="H1970" s="1393" t="n"/>
      <c r="I1970" s="1393" t="n"/>
      <c r="J1970" s="1393" t="n"/>
      <c r="K1970" s="1395">
        <f>IF(raw[[#This Row],[city]]&lt;&gt;"",_xlfn.XLOOKUP($D1970,ccc[city],ccc[prov],"-"),"-")</f>
        <v/>
      </c>
      <c r="L1970" s="1395">
        <f>IF(raw[[#This Row],[city]]&lt;&gt;"",_xlfn.XLOOKUP($D1970,ccc[city],ccc[ctry],"-"),"-")</f>
        <v/>
      </c>
      <c r="M1970" s="1395">
        <f>IF(raw[[#This Row],[city]]&lt;&gt;"",_xlfn.XLOOKUP($D1970,ccc[city],ccc[cont],"-"),"-")</f>
        <v/>
      </c>
      <c r="N1970" s="1396">
        <f>IF(raw[[#This Row],[city]]="","-",IF(raw[[#This Row],[cont]]="B",raw[[#This Row],[cont]],"W"))</f>
        <v/>
      </c>
      <c r="O1970" s="1397">
        <f>IF(raw[[#This Row],[out]]=0,0,IF(raw[[#This Row],[out]]=raw[[#This Row],[in]],0.01,raw[[#This Row],[out]]-raw[[#This Row],[in]]))</f>
        <v/>
      </c>
      <c r="P1970" s="1397">
        <f>IF(raw[[#This Row],[in]]=0,0,MONTH(raw[[#This Row],[in]]))</f>
        <v/>
      </c>
      <c r="Q1970" s="1397">
        <f>IF(raw[[#This Row],[in]]=0,0,YEAR(raw[[#This Row],[in]]))</f>
        <v/>
      </c>
      <c r="R1970" s="1397">
        <f>INT(raw[[#This Row],[yr]]/10)*10</f>
        <v/>
      </c>
      <c r="S1970" s="1395">
        <f>IF(raw[[#This Row],[city]]="","-",IF(raw[[#This Row],[city]]&lt;&gt;_xlfn.XLOOKUP(raw[[#This Row],[home]],homes[home],homes[city],"-"),1,0))</f>
        <v/>
      </c>
      <c r="T1970" s="1398" t="inlineStr">
        <is>
          <t>.</t>
        </is>
      </c>
      <c r="U1970" s="1399">
        <f>IF(raw[[#This Row],[wb]]="w",raw[[#This Row],[stay]]+U1969,U1969)</f>
        <v/>
      </c>
      <c r="V1970" s="1400">
        <f>IF(raw[[#This Row],[out]]=0,V1969,(raw[[#This Row],[out]]-E$5))</f>
        <v/>
      </c>
      <c r="W1970" s="1401">
        <f>U1970/V1970</f>
        <v/>
      </c>
      <c r="X1970" s="1392" t="n"/>
      <c r="Y1970" s="1392" t="n"/>
      <c r="Z1970" s="1422" t="n"/>
      <c r="AA1970" s="1422" t="n"/>
      <c r="AB1970" s="1392" t="n"/>
      <c r="AC1970" s="1392" t="n"/>
      <c r="AD1970" s="1392" t="n"/>
      <c r="AE1970" s="1392" t="n"/>
      <c r="AF1970" s="1392" t="n"/>
      <c r="AG1970" s="1392" t="n"/>
      <c r="AH1970" s="1392" t="n"/>
      <c r="AI1970" s="1392" t="n"/>
      <c r="AJ1970" s="1392" t="n"/>
      <c r="AK1970" s="1392" t="n"/>
      <c r="AL1970" s="1392" t="n"/>
      <c r="AM1970" s="1392" t="n"/>
      <c r="AN1970" s="1392" t="n"/>
      <c r="AO1970" s="1392" t="n"/>
      <c r="AP1970" s="1392" t="n"/>
      <c r="AQ1970" s="1392" t="n"/>
      <c r="AR1970" s="1392" t="n"/>
      <c r="AS1970" s="1422" t="n"/>
      <c r="AT1970" s="1392" t="n"/>
      <c r="AU1970" s="1392" t="n"/>
      <c r="AV1970" s="1392" t="n"/>
      <c r="AW1970" s="1392" t="n"/>
      <c r="AX1970" s="1392" t="n"/>
      <c r="AY1970" s="1392" t="n"/>
      <c r="AZ1970" s="1392" t="n"/>
      <c r="BA1970" s="1392" t="n"/>
      <c r="BB1970" s="1422" t="n"/>
      <c r="BC1970" s="1392" t="n"/>
      <c r="BD1970" s="1392" t="n"/>
      <c r="BE1970" s="1392" t="n"/>
      <c r="BF1970" s="1392" t="n"/>
      <c r="BG1970" s="1392" t="n"/>
      <c r="BH1970" s="1392" t="n"/>
      <c r="BI1970" s="1392" t="n"/>
      <c r="BJ1970" s="1392" t="n"/>
      <c r="BK1970" s="1392" t="n"/>
      <c r="BL1970" s="1392" t="n"/>
      <c r="BM1970" s="1392" t="n"/>
      <c r="BN1970" s="1392" t="n"/>
      <c r="BO1970" s="1392" t="n"/>
      <c r="BP1970" s="1392" t="n"/>
      <c r="BQ1970" s="1392" t="n"/>
      <c r="BR1970" s="1392" t="n"/>
      <c r="BS1970" s="1392" t="n"/>
      <c r="BT1970" s="1392" t="n"/>
      <c r="BU1970" s="1416" t="n"/>
      <c r="BV1970" s="1392" t="n"/>
      <c r="BW1970" s="1392" t="n"/>
      <c r="BX1970" s="1392" t="n"/>
      <c r="BY1970" s="1392" t="n"/>
      <c r="BZ1970" s="1416" t="n"/>
      <c r="CA1970" s="1392" t="n"/>
      <c r="CB1970" s="1392" t="n"/>
      <c r="CC1970" s="1392" t="n"/>
      <c r="CD1970" s="1392" t="n"/>
      <c r="CE1970" s="1392" t="n"/>
      <c r="CF1970" s="1392" t="n"/>
      <c r="CG1970" s="1392" t="n"/>
      <c r="CH1970" s="1392" t="n"/>
      <c r="CI1970" s="1392" t="n"/>
      <c r="CJ1970" s="1392" t="n"/>
      <c r="CK1970" s="1392" t="n"/>
      <c r="CL1970" s="1392" t="n"/>
    </row>
    <row r="1971">
      <c r="A1971" s="5" t="inlineStr">
        <is>
          <t>.</t>
        </is>
      </c>
      <c r="B1971" s="5" t="inlineStr">
        <is>
          <t>.</t>
        </is>
      </c>
      <c r="C1971" s="1378">
        <f>IF(raw[[#This Row],[city]]="","-",IF(raw[[#This Row],[city]]="TODAY","-",C1970+1))</f>
        <v/>
      </c>
      <c r="D1971" s="1393" t="n"/>
      <c r="E1971" s="1394" t="n"/>
      <c r="F1971" s="1394" t="n"/>
      <c r="G1971" s="1393" t="n"/>
      <c r="H1971" s="1393" t="n"/>
      <c r="I1971" s="1393" t="n"/>
      <c r="J1971" s="1393" t="n"/>
      <c r="K1971" s="1395">
        <f>IF(raw[[#This Row],[city]]&lt;&gt;"",_xlfn.XLOOKUP($D1971,ccc[city],ccc[prov],"-"),"-")</f>
        <v/>
      </c>
      <c r="L1971" s="1395">
        <f>IF(raw[[#This Row],[city]]&lt;&gt;"",_xlfn.XLOOKUP($D1971,ccc[city],ccc[ctry],"-"),"-")</f>
        <v/>
      </c>
      <c r="M1971" s="1395">
        <f>IF(raw[[#This Row],[city]]&lt;&gt;"",_xlfn.XLOOKUP($D1971,ccc[city],ccc[cont],"-"),"-")</f>
        <v/>
      </c>
      <c r="N1971" s="1396">
        <f>IF(raw[[#This Row],[city]]="","-",IF(raw[[#This Row],[cont]]="B",raw[[#This Row],[cont]],"W"))</f>
        <v/>
      </c>
      <c r="O1971" s="1397">
        <f>IF(raw[[#This Row],[out]]=0,0,IF(raw[[#This Row],[out]]=raw[[#This Row],[in]],0.01,raw[[#This Row],[out]]-raw[[#This Row],[in]]))</f>
        <v/>
      </c>
      <c r="P1971" s="1397">
        <f>IF(raw[[#This Row],[in]]=0,0,MONTH(raw[[#This Row],[in]]))</f>
        <v/>
      </c>
      <c r="Q1971" s="1397">
        <f>IF(raw[[#This Row],[in]]=0,0,YEAR(raw[[#This Row],[in]]))</f>
        <v/>
      </c>
      <c r="R1971" s="1397">
        <f>INT(raw[[#This Row],[yr]]/10)*10</f>
        <v/>
      </c>
      <c r="S1971" s="1395">
        <f>IF(raw[[#This Row],[city]]="","-",IF(raw[[#This Row],[city]]&lt;&gt;_xlfn.XLOOKUP(raw[[#This Row],[home]],homes[home],homes[city],"-"),1,0))</f>
        <v/>
      </c>
      <c r="T1971" s="1398" t="inlineStr">
        <is>
          <t>.</t>
        </is>
      </c>
      <c r="U1971" s="1399">
        <f>IF(raw[[#This Row],[wb]]="w",raw[[#This Row],[stay]]+U1970,U1970)</f>
        <v/>
      </c>
      <c r="V1971" s="1400">
        <f>IF(raw[[#This Row],[out]]=0,V1970,(raw[[#This Row],[out]]-E$5))</f>
        <v/>
      </c>
      <c r="W1971" s="1401">
        <f>U1971/V1971</f>
        <v/>
      </c>
      <c r="X1971" s="1392" t="n"/>
      <c r="Y1971" s="1392" t="n"/>
      <c r="Z1971" s="1422" t="n"/>
      <c r="AA1971" s="1422" t="n"/>
      <c r="AB1971" s="1392" t="n"/>
      <c r="AC1971" s="1392" t="n"/>
      <c r="AD1971" s="1392" t="n"/>
      <c r="AE1971" s="1392" t="n"/>
      <c r="AF1971" s="1392" t="n"/>
      <c r="AG1971" s="1392" t="n"/>
      <c r="AH1971" s="1392" t="n"/>
      <c r="AI1971" s="1392" t="n"/>
      <c r="AJ1971" s="1392" t="n"/>
      <c r="AK1971" s="1392" t="n"/>
      <c r="AL1971" s="1392" t="n"/>
      <c r="AM1971" s="1392" t="n"/>
      <c r="AN1971" s="1392" t="n"/>
      <c r="AO1971" s="1392" t="n"/>
      <c r="AP1971" s="1392" t="n"/>
      <c r="AQ1971" s="1392" t="n"/>
      <c r="AR1971" s="1392" t="n"/>
      <c r="AS1971" s="1422" t="n"/>
      <c r="AT1971" s="1392" t="n"/>
      <c r="AU1971" s="1392" t="n"/>
      <c r="AV1971" s="1392" t="n"/>
      <c r="AW1971" s="1392" t="n"/>
      <c r="AX1971" s="1392" t="n"/>
      <c r="AY1971" s="1392" t="n"/>
      <c r="AZ1971" s="1392" t="n"/>
      <c r="BA1971" s="1392" t="n"/>
      <c r="BB1971" s="1422" t="n"/>
      <c r="BC1971" s="1392" t="n"/>
      <c r="BD1971" s="1392" t="n"/>
      <c r="BE1971" s="1392" t="n"/>
      <c r="BF1971" s="1392" t="n"/>
      <c r="BG1971" s="1392" t="n"/>
      <c r="BH1971" s="1392" t="n"/>
      <c r="BI1971" s="1392" t="n"/>
      <c r="BJ1971" s="1392" t="n"/>
      <c r="BK1971" s="1392" t="n"/>
      <c r="BL1971" s="1392" t="n"/>
      <c r="BM1971" s="1392" t="n"/>
      <c r="BN1971" s="1392" t="n"/>
      <c r="BO1971" s="1392" t="n"/>
      <c r="BP1971" s="1392" t="n"/>
      <c r="BQ1971" s="1392" t="n"/>
      <c r="BR1971" s="1392" t="n"/>
      <c r="BS1971" s="1392" t="n"/>
      <c r="BT1971" s="1392" t="n"/>
      <c r="BU1971" s="1416" t="n"/>
      <c r="BV1971" s="1392" t="n"/>
      <c r="BW1971" s="1392" t="n"/>
      <c r="BX1971" s="1392" t="n"/>
      <c r="BY1971" s="1392" t="n"/>
      <c r="BZ1971" s="1416" t="n"/>
      <c r="CA1971" s="1392" t="n"/>
      <c r="CB1971" s="1392" t="n"/>
      <c r="CC1971" s="1392" t="n"/>
      <c r="CD1971" s="1392" t="n"/>
      <c r="CE1971" s="1392" t="n"/>
      <c r="CF1971" s="1392" t="n"/>
      <c r="CG1971" s="1392" t="n"/>
      <c r="CH1971" s="1392" t="n"/>
      <c r="CI1971" s="1392" t="n"/>
      <c r="CJ1971" s="1392" t="n"/>
      <c r="CK1971" s="1392" t="n"/>
      <c r="CL1971" s="1392" t="n"/>
    </row>
    <row r="1972">
      <c r="A1972" s="5" t="inlineStr">
        <is>
          <t>.</t>
        </is>
      </c>
      <c r="B1972" s="5" t="inlineStr">
        <is>
          <t>.</t>
        </is>
      </c>
      <c r="C1972" s="1378">
        <f>IF(raw[[#This Row],[city]]="","-",IF(raw[[#This Row],[city]]="TODAY","-",C1971+1))</f>
        <v/>
      </c>
      <c r="D1972" s="1393" t="n"/>
      <c r="E1972" s="1394" t="n"/>
      <c r="F1972" s="1394" t="n"/>
      <c r="G1972" s="1393" t="n"/>
      <c r="H1972" s="1393" t="n"/>
      <c r="I1972" s="1393" t="n"/>
      <c r="J1972" s="1393" t="n"/>
      <c r="K1972" s="1395">
        <f>IF(raw[[#This Row],[city]]&lt;&gt;"",_xlfn.XLOOKUP($D1972,ccc[city],ccc[prov],"-"),"-")</f>
        <v/>
      </c>
      <c r="L1972" s="1395">
        <f>IF(raw[[#This Row],[city]]&lt;&gt;"",_xlfn.XLOOKUP($D1972,ccc[city],ccc[ctry],"-"),"-")</f>
        <v/>
      </c>
      <c r="M1972" s="1395">
        <f>IF(raw[[#This Row],[city]]&lt;&gt;"",_xlfn.XLOOKUP($D1972,ccc[city],ccc[cont],"-"),"-")</f>
        <v/>
      </c>
      <c r="N1972" s="1396">
        <f>IF(raw[[#This Row],[city]]="","-",IF(raw[[#This Row],[cont]]="B",raw[[#This Row],[cont]],"W"))</f>
        <v/>
      </c>
      <c r="O1972" s="1397">
        <f>IF(raw[[#This Row],[out]]=0,0,IF(raw[[#This Row],[out]]=raw[[#This Row],[in]],0.01,raw[[#This Row],[out]]-raw[[#This Row],[in]]))</f>
        <v/>
      </c>
      <c r="P1972" s="1397">
        <f>IF(raw[[#This Row],[in]]=0,0,MONTH(raw[[#This Row],[in]]))</f>
        <v/>
      </c>
      <c r="Q1972" s="1397">
        <f>IF(raw[[#This Row],[in]]=0,0,YEAR(raw[[#This Row],[in]]))</f>
        <v/>
      </c>
      <c r="R1972" s="1397">
        <f>INT(raw[[#This Row],[yr]]/10)*10</f>
        <v/>
      </c>
      <c r="S1972" s="1395">
        <f>IF(raw[[#This Row],[city]]="","-",IF(raw[[#This Row],[city]]&lt;&gt;_xlfn.XLOOKUP(raw[[#This Row],[home]],homes[home],homes[city],"-"),1,0))</f>
        <v/>
      </c>
      <c r="T1972" s="1398" t="inlineStr">
        <is>
          <t>.</t>
        </is>
      </c>
      <c r="U1972" s="1399">
        <f>IF(raw[[#This Row],[wb]]="w",raw[[#This Row],[stay]]+U1971,U1971)</f>
        <v/>
      </c>
      <c r="V1972" s="1400">
        <f>IF(raw[[#This Row],[out]]=0,V1971,(raw[[#This Row],[out]]-E$5))</f>
        <v/>
      </c>
      <c r="W1972" s="1401">
        <f>U1972/V1972</f>
        <v/>
      </c>
      <c r="X1972" s="1392" t="n"/>
      <c r="Y1972" s="1392" t="n"/>
      <c r="Z1972" s="1422" t="n"/>
      <c r="AA1972" s="1422" t="n"/>
      <c r="AB1972" s="1392" t="n"/>
      <c r="AC1972" s="1392" t="n"/>
      <c r="AD1972" s="1392" t="n"/>
      <c r="AE1972" s="1392" t="n"/>
      <c r="AF1972" s="1392" t="n"/>
      <c r="AG1972" s="1392" t="n"/>
      <c r="AH1972" s="1392" t="n"/>
      <c r="AI1972" s="1392" t="n"/>
      <c r="AJ1972" s="1392" t="n"/>
      <c r="AK1972" s="1392" t="n"/>
      <c r="AL1972" s="1392" t="n"/>
      <c r="AM1972" s="1392" t="n"/>
      <c r="AN1972" s="1392" t="n"/>
      <c r="AO1972" s="1392" t="n"/>
      <c r="AP1972" s="1392" t="n"/>
      <c r="AQ1972" s="1392" t="n"/>
      <c r="AR1972" s="1392" t="n"/>
      <c r="AS1972" s="1422" t="n"/>
      <c r="AT1972" s="1392" t="n"/>
      <c r="AU1972" s="1392" t="n"/>
      <c r="AV1972" s="1392" t="n"/>
      <c r="AW1972" s="1392" t="n"/>
      <c r="AX1972" s="1392" t="n"/>
      <c r="AY1972" s="1392" t="n"/>
      <c r="AZ1972" s="1392" t="n"/>
      <c r="BA1972" s="1392" t="n"/>
      <c r="BB1972" s="1422" t="n"/>
      <c r="BC1972" s="1392" t="n"/>
      <c r="BD1972" s="1392" t="n"/>
      <c r="BE1972" s="1392" t="n"/>
      <c r="BF1972" s="1392" t="n"/>
      <c r="BG1972" s="1392" t="n"/>
      <c r="BH1972" s="1392" t="n"/>
      <c r="BI1972" s="1392" t="n"/>
      <c r="BJ1972" s="1392" t="n"/>
      <c r="BK1972" s="1392" t="n"/>
      <c r="BL1972" s="1392" t="n"/>
      <c r="BM1972" s="1392" t="n"/>
      <c r="BN1972" s="1392" t="n"/>
      <c r="BO1972" s="1392" t="n"/>
      <c r="BP1972" s="1392" t="n"/>
      <c r="BQ1972" s="1392" t="n"/>
      <c r="BR1972" s="1392" t="n"/>
      <c r="BS1972" s="1392" t="n"/>
      <c r="BT1972" s="1392" t="n"/>
      <c r="BU1972" s="1416" t="n"/>
      <c r="BV1972" s="1392" t="n"/>
      <c r="BW1972" s="1392" t="n"/>
      <c r="BX1972" s="1392" t="n"/>
      <c r="BY1972" s="1392" t="n"/>
      <c r="BZ1972" s="1416" t="n"/>
      <c r="CA1972" s="1392" t="n"/>
      <c r="CB1972" s="1392" t="n"/>
      <c r="CC1972" s="1392" t="n"/>
      <c r="CD1972" s="1392" t="n"/>
      <c r="CE1972" s="1392" t="n"/>
      <c r="CF1972" s="1392" t="n"/>
      <c r="CG1972" s="1392" t="n"/>
      <c r="CH1972" s="1392" t="n"/>
      <c r="CI1972" s="1392" t="n"/>
      <c r="CJ1972" s="1392" t="n"/>
      <c r="CK1972" s="1392" t="n"/>
      <c r="CL1972" s="1392" t="n"/>
    </row>
    <row r="1973">
      <c r="A1973" s="5" t="inlineStr">
        <is>
          <t>.</t>
        </is>
      </c>
      <c r="B1973" s="5" t="inlineStr">
        <is>
          <t>.</t>
        </is>
      </c>
      <c r="C1973" s="1378">
        <f>IF(raw[[#This Row],[city]]="","-",IF(raw[[#This Row],[city]]="TODAY","-",C1972+1))</f>
        <v/>
      </c>
      <c r="D1973" s="1393" t="n"/>
      <c r="E1973" s="1394" t="n"/>
      <c r="F1973" s="1394" t="n"/>
      <c r="G1973" s="1393" t="n"/>
      <c r="H1973" s="1393" t="n"/>
      <c r="I1973" s="1393" t="n"/>
      <c r="J1973" s="1393" t="n"/>
      <c r="K1973" s="1395">
        <f>IF(raw[[#This Row],[city]]&lt;&gt;"",_xlfn.XLOOKUP($D1973,ccc[city],ccc[prov],"-"),"-")</f>
        <v/>
      </c>
      <c r="L1973" s="1395">
        <f>IF(raw[[#This Row],[city]]&lt;&gt;"",_xlfn.XLOOKUP($D1973,ccc[city],ccc[ctry],"-"),"-")</f>
        <v/>
      </c>
      <c r="M1973" s="1395">
        <f>IF(raw[[#This Row],[city]]&lt;&gt;"",_xlfn.XLOOKUP($D1973,ccc[city],ccc[cont],"-"),"-")</f>
        <v/>
      </c>
      <c r="N1973" s="1396">
        <f>IF(raw[[#This Row],[city]]="","-",IF(raw[[#This Row],[cont]]="B",raw[[#This Row],[cont]],"W"))</f>
        <v/>
      </c>
      <c r="O1973" s="1397">
        <f>IF(raw[[#This Row],[out]]=0,0,IF(raw[[#This Row],[out]]=raw[[#This Row],[in]],0.01,raw[[#This Row],[out]]-raw[[#This Row],[in]]))</f>
        <v/>
      </c>
      <c r="P1973" s="1397">
        <f>IF(raw[[#This Row],[in]]=0,0,MONTH(raw[[#This Row],[in]]))</f>
        <v/>
      </c>
      <c r="Q1973" s="1397">
        <f>IF(raw[[#This Row],[in]]=0,0,YEAR(raw[[#This Row],[in]]))</f>
        <v/>
      </c>
      <c r="R1973" s="1397">
        <f>INT(raw[[#This Row],[yr]]/10)*10</f>
        <v/>
      </c>
      <c r="S1973" s="1395">
        <f>IF(raw[[#This Row],[city]]="","-",IF(raw[[#This Row],[city]]&lt;&gt;_xlfn.XLOOKUP(raw[[#This Row],[home]],homes[home],homes[city],"-"),1,0))</f>
        <v/>
      </c>
      <c r="T1973" s="1398" t="inlineStr">
        <is>
          <t>.</t>
        </is>
      </c>
      <c r="U1973" s="1399">
        <f>IF(raw[[#This Row],[wb]]="w",raw[[#This Row],[stay]]+U1972,U1972)</f>
        <v/>
      </c>
      <c r="V1973" s="1400">
        <f>IF(raw[[#This Row],[out]]=0,V1972,(raw[[#This Row],[out]]-E$5))</f>
        <v/>
      </c>
      <c r="W1973" s="1401">
        <f>U1973/V1973</f>
        <v/>
      </c>
      <c r="X1973" s="1392" t="n"/>
      <c r="Y1973" s="1392" t="n"/>
      <c r="Z1973" s="1422" t="n"/>
      <c r="AA1973" s="1422" t="n"/>
      <c r="AB1973" s="1392" t="n"/>
      <c r="AC1973" s="1392" t="n"/>
      <c r="AD1973" s="1392" t="n"/>
      <c r="AE1973" s="1392" t="n"/>
      <c r="AF1973" s="1392" t="n"/>
      <c r="AG1973" s="1392" t="n"/>
      <c r="AH1973" s="1392" t="n"/>
      <c r="AI1973" s="1392" t="n"/>
      <c r="AJ1973" s="1392" t="n"/>
      <c r="AK1973" s="1392" t="n"/>
      <c r="AL1973" s="1392" t="n"/>
      <c r="AM1973" s="1392" t="n"/>
      <c r="AN1973" s="1392" t="n"/>
      <c r="AO1973" s="1392" t="n"/>
      <c r="AP1973" s="1392" t="n"/>
      <c r="AQ1973" s="1392" t="n"/>
      <c r="AR1973" s="1392" t="n"/>
      <c r="AS1973" s="1422" t="n"/>
      <c r="AT1973" s="1392" t="n"/>
      <c r="AU1973" s="1392" t="n"/>
      <c r="AV1973" s="1392" t="n"/>
      <c r="AW1973" s="1392" t="n"/>
      <c r="AX1973" s="1392" t="n"/>
      <c r="AY1973" s="1392" t="n"/>
      <c r="AZ1973" s="1392" t="n"/>
      <c r="BA1973" s="1392" t="n"/>
      <c r="BB1973" s="1422" t="n"/>
      <c r="BC1973" s="1392" t="n"/>
      <c r="BD1973" s="1392" t="n"/>
      <c r="BE1973" s="1392" t="n"/>
      <c r="BF1973" s="1392" t="n"/>
      <c r="BG1973" s="1392" t="n"/>
      <c r="BH1973" s="1392" t="n"/>
      <c r="BI1973" s="1392" t="n"/>
      <c r="BJ1973" s="1392" t="n"/>
      <c r="BK1973" s="1392" t="n"/>
      <c r="BL1973" s="1392" t="n"/>
      <c r="BM1973" s="1392" t="n"/>
      <c r="BN1973" s="1392" t="n"/>
      <c r="BO1973" s="1392" t="n"/>
      <c r="BP1973" s="1392" t="n"/>
      <c r="BQ1973" s="1392" t="n"/>
      <c r="BR1973" s="1392" t="n"/>
      <c r="BS1973" s="1392" t="n"/>
      <c r="BT1973" s="1392" t="n"/>
      <c r="BU1973" s="1416" t="n"/>
      <c r="BV1973" s="1392" t="n"/>
      <c r="BW1973" s="1392" t="n"/>
      <c r="BX1973" s="1392" t="n"/>
      <c r="BY1973" s="1392" t="n"/>
      <c r="BZ1973" s="1416" t="n"/>
      <c r="CA1973" s="1392" t="n"/>
      <c r="CB1973" s="1392" t="n"/>
      <c r="CC1973" s="1392" t="n"/>
      <c r="CD1973" s="1392" t="n"/>
      <c r="CE1973" s="1392" t="n"/>
      <c r="CF1973" s="1392" t="n"/>
      <c r="CG1973" s="1392" t="n"/>
      <c r="CH1973" s="1392" t="n"/>
      <c r="CI1973" s="1392" t="n"/>
      <c r="CJ1973" s="1392" t="n"/>
      <c r="CK1973" s="1392" t="n"/>
      <c r="CL1973" s="1392" t="n"/>
    </row>
    <row r="1974">
      <c r="A1974" s="5" t="inlineStr">
        <is>
          <t>.</t>
        </is>
      </c>
      <c r="B1974" s="5" t="inlineStr">
        <is>
          <t>.</t>
        </is>
      </c>
      <c r="C1974" s="1378">
        <f>IF(raw[[#This Row],[city]]="","-",IF(raw[[#This Row],[city]]="TODAY","-",C1973+1))</f>
        <v/>
      </c>
      <c r="D1974" s="1393" t="n"/>
      <c r="E1974" s="1394" t="n"/>
      <c r="F1974" s="1394" t="n"/>
      <c r="G1974" s="1393" t="n"/>
      <c r="H1974" s="1393" t="n"/>
      <c r="I1974" s="1393" t="n"/>
      <c r="J1974" s="1393" t="n"/>
      <c r="K1974" s="1395">
        <f>IF(raw[[#This Row],[city]]&lt;&gt;"",_xlfn.XLOOKUP($D1974,ccc[city],ccc[prov],"-"),"-")</f>
        <v/>
      </c>
      <c r="L1974" s="1395">
        <f>IF(raw[[#This Row],[city]]&lt;&gt;"",_xlfn.XLOOKUP($D1974,ccc[city],ccc[ctry],"-"),"-")</f>
        <v/>
      </c>
      <c r="M1974" s="1395">
        <f>IF(raw[[#This Row],[city]]&lt;&gt;"",_xlfn.XLOOKUP($D1974,ccc[city],ccc[cont],"-"),"-")</f>
        <v/>
      </c>
      <c r="N1974" s="1396">
        <f>IF(raw[[#This Row],[city]]="","-",IF(raw[[#This Row],[cont]]="B",raw[[#This Row],[cont]],"W"))</f>
        <v/>
      </c>
      <c r="O1974" s="1397">
        <f>IF(raw[[#This Row],[out]]=0,0,IF(raw[[#This Row],[out]]=raw[[#This Row],[in]],0.01,raw[[#This Row],[out]]-raw[[#This Row],[in]]))</f>
        <v/>
      </c>
      <c r="P1974" s="1397">
        <f>IF(raw[[#This Row],[in]]=0,0,MONTH(raw[[#This Row],[in]]))</f>
        <v/>
      </c>
      <c r="Q1974" s="1397">
        <f>IF(raw[[#This Row],[in]]=0,0,YEAR(raw[[#This Row],[in]]))</f>
        <v/>
      </c>
      <c r="R1974" s="1397">
        <f>INT(raw[[#This Row],[yr]]/10)*10</f>
        <v/>
      </c>
      <c r="S1974" s="1395">
        <f>IF(raw[[#This Row],[city]]="","-",IF(raw[[#This Row],[city]]&lt;&gt;_xlfn.XLOOKUP(raw[[#This Row],[home]],homes[home],homes[city],"-"),1,0))</f>
        <v/>
      </c>
      <c r="T1974" s="1398" t="inlineStr">
        <is>
          <t>.</t>
        </is>
      </c>
      <c r="U1974" s="1399">
        <f>IF(raw[[#This Row],[wb]]="w",raw[[#This Row],[stay]]+U1973,U1973)</f>
        <v/>
      </c>
      <c r="V1974" s="1400">
        <f>IF(raw[[#This Row],[out]]=0,V1973,(raw[[#This Row],[out]]-E$5))</f>
        <v/>
      </c>
      <c r="W1974" s="1401">
        <f>U1974/V1974</f>
        <v/>
      </c>
      <c r="X1974" s="1392" t="n"/>
      <c r="Y1974" s="1392" t="n"/>
      <c r="Z1974" s="1422" t="n"/>
      <c r="AA1974" s="1422" t="n"/>
      <c r="AB1974" s="1392" t="n"/>
      <c r="AC1974" s="1392" t="n"/>
      <c r="AD1974" s="1392" t="n"/>
      <c r="AE1974" s="1392" t="n"/>
      <c r="AF1974" s="1392" t="n"/>
      <c r="AG1974" s="1392" t="n"/>
      <c r="AH1974" s="1392" t="n"/>
      <c r="AI1974" s="1392" t="n"/>
      <c r="AJ1974" s="1392" t="n"/>
      <c r="AK1974" s="1392" t="n"/>
      <c r="AL1974" s="1392" t="n"/>
      <c r="AM1974" s="1392" t="n"/>
      <c r="AN1974" s="1392" t="n"/>
      <c r="AO1974" s="1392" t="n"/>
      <c r="AP1974" s="1392" t="n"/>
      <c r="AQ1974" s="1392" t="n"/>
      <c r="AR1974" s="1392" t="n"/>
      <c r="AS1974" s="1422" t="n"/>
      <c r="AT1974" s="1392" t="n"/>
      <c r="AU1974" s="1392" t="n"/>
      <c r="AV1974" s="1392" t="n"/>
      <c r="AW1974" s="1392" t="n"/>
      <c r="AX1974" s="1392" t="n"/>
      <c r="AY1974" s="1392" t="n"/>
      <c r="AZ1974" s="1392" t="n"/>
      <c r="BA1974" s="1392" t="n"/>
      <c r="BB1974" s="1422" t="n"/>
      <c r="BC1974" s="1392" t="n"/>
      <c r="BD1974" s="1392" t="n"/>
      <c r="BE1974" s="1392" t="n"/>
      <c r="BF1974" s="1392" t="n"/>
      <c r="BG1974" s="1392" t="n"/>
      <c r="BH1974" s="1392" t="n"/>
      <c r="BI1974" s="1392" t="n"/>
      <c r="BJ1974" s="1392" t="n"/>
      <c r="BK1974" s="1392" t="n"/>
      <c r="BL1974" s="1392" t="n"/>
      <c r="BM1974" s="1392" t="n"/>
      <c r="BN1974" s="1392" t="n"/>
      <c r="BO1974" s="1392" t="n"/>
      <c r="BP1974" s="1392" t="n"/>
      <c r="BQ1974" s="1392" t="n"/>
      <c r="BR1974" s="1392" t="n"/>
      <c r="BS1974" s="1392" t="n"/>
      <c r="BT1974" s="1392" t="n"/>
      <c r="BU1974" s="1416" t="n"/>
      <c r="BV1974" s="1392" t="n"/>
      <c r="BW1974" s="1392" t="n"/>
      <c r="BX1974" s="1392" t="n"/>
      <c r="BY1974" s="1392" t="n"/>
      <c r="BZ1974" s="1416" t="n"/>
      <c r="CA1974" s="1392" t="n"/>
      <c r="CB1974" s="1392" t="n"/>
      <c r="CC1974" s="1392" t="n"/>
      <c r="CD1974" s="1392" t="n"/>
      <c r="CE1974" s="1392" t="n"/>
      <c r="CF1974" s="1392" t="n"/>
      <c r="CG1974" s="1392" t="n"/>
      <c r="CH1974" s="1392" t="n"/>
      <c r="CI1974" s="1392" t="n"/>
      <c r="CJ1974" s="1392" t="n"/>
      <c r="CK1974" s="1392" t="n"/>
      <c r="CL1974" s="1392" t="n"/>
    </row>
    <row r="1975">
      <c r="A1975" s="5" t="inlineStr">
        <is>
          <t>.</t>
        </is>
      </c>
      <c r="B1975" s="5" t="inlineStr">
        <is>
          <t>.</t>
        </is>
      </c>
      <c r="C1975" s="1378">
        <f>IF(raw[[#This Row],[city]]="","-",IF(raw[[#This Row],[city]]="TODAY","-",C1974+1))</f>
        <v/>
      </c>
      <c r="D1975" s="1393" t="n"/>
      <c r="E1975" s="1394" t="n"/>
      <c r="F1975" s="1394" t="n"/>
      <c r="G1975" s="1393" t="n"/>
      <c r="H1975" s="1393" t="n"/>
      <c r="I1975" s="1393" t="n"/>
      <c r="J1975" s="1393" t="n"/>
      <c r="K1975" s="1395">
        <f>IF(raw[[#This Row],[city]]&lt;&gt;"",_xlfn.XLOOKUP($D1975,ccc[city],ccc[prov],"-"),"-")</f>
        <v/>
      </c>
      <c r="L1975" s="1395">
        <f>IF(raw[[#This Row],[city]]&lt;&gt;"",_xlfn.XLOOKUP($D1975,ccc[city],ccc[ctry],"-"),"-")</f>
        <v/>
      </c>
      <c r="M1975" s="1395">
        <f>IF(raw[[#This Row],[city]]&lt;&gt;"",_xlfn.XLOOKUP($D1975,ccc[city],ccc[cont],"-"),"-")</f>
        <v/>
      </c>
      <c r="N1975" s="1396">
        <f>IF(raw[[#This Row],[city]]="","-",IF(raw[[#This Row],[cont]]="B",raw[[#This Row],[cont]],"W"))</f>
        <v/>
      </c>
      <c r="O1975" s="1397">
        <f>IF(raw[[#This Row],[out]]=0,0,IF(raw[[#This Row],[out]]=raw[[#This Row],[in]],0.01,raw[[#This Row],[out]]-raw[[#This Row],[in]]))</f>
        <v/>
      </c>
      <c r="P1975" s="1397">
        <f>IF(raw[[#This Row],[in]]=0,0,MONTH(raw[[#This Row],[in]]))</f>
        <v/>
      </c>
      <c r="Q1975" s="1397">
        <f>IF(raw[[#This Row],[in]]=0,0,YEAR(raw[[#This Row],[in]]))</f>
        <v/>
      </c>
      <c r="R1975" s="1397">
        <f>INT(raw[[#This Row],[yr]]/10)*10</f>
        <v/>
      </c>
      <c r="S1975" s="1395">
        <f>IF(raw[[#This Row],[city]]="","-",IF(raw[[#This Row],[city]]&lt;&gt;_xlfn.XLOOKUP(raw[[#This Row],[home]],homes[home],homes[city],"-"),1,0))</f>
        <v/>
      </c>
      <c r="T1975" s="1398" t="inlineStr">
        <is>
          <t>.</t>
        </is>
      </c>
      <c r="U1975" s="1399">
        <f>IF(raw[[#This Row],[wb]]="w",raw[[#This Row],[stay]]+U1974,U1974)</f>
        <v/>
      </c>
      <c r="V1975" s="1400">
        <f>IF(raw[[#This Row],[out]]=0,V1974,(raw[[#This Row],[out]]-E$5))</f>
        <v/>
      </c>
      <c r="W1975" s="1401">
        <f>U1975/V1975</f>
        <v/>
      </c>
      <c r="X1975" s="1392" t="n"/>
      <c r="Y1975" s="1392" t="n"/>
      <c r="Z1975" s="1422" t="n"/>
      <c r="AA1975" s="1422" t="n"/>
      <c r="AB1975" s="1392" t="n"/>
      <c r="AC1975" s="1392" t="n"/>
      <c r="AD1975" s="1392" t="n"/>
      <c r="AE1975" s="1392" t="n"/>
      <c r="AF1975" s="1392" t="n"/>
      <c r="AG1975" s="1392" t="n"/>
      <c r="AH1975" s="1392" t="n"/>
      <c r="AI1975" s="1392" t="n"/>
      <c r="AJ1975" s="1392" t="n"/>
      <c r="AK1975" s="1392" t="n"/>
      <c r="AL1975" s="1392" t="n"/>
      <c r="AM1975" s="1392" t="n"/>
      <c r="AN1975" s="1392" t="n"/>
      <c r="AO1975" s="1392" t="n"/>
      <c r="AP1975" s="1392" t="n"/>
      <c r="AQ1975" s="1392" t="n"/>
      <c r="AR1975" s="1392" t="n"/>
      <c r="AS1975" s="1422" t="n"/>
      <c r="AT1975" s="1392" t="n"/>
      <c r="AU1975" s="1392" t="n"/>
      <c r="AV1975" s="1392" t="n"/>
      <c r="AW1975" s="1392" t="n"/>
      <c r="AX1975" s="1392" t="n"/>
      <c r="AY1975" s="1392" t="n"/>
      <c r="AZ1975" s="1392" t="n"/>
      <c r="BA1975" s="1392" t="n"/>
      <c r="BB1975" s="1422" t="n"/>
      <c r="BC1975" s="1392" t="n"/>
      <c r="BD1975" s="1392" t="n"/>
      <c r="BE1975" s="1392" t="n"/>
      <c r="BF1975" s="1392" t="n"/>
      <c r="BG1975" s="1392" t="n"/>
      <c r="BH1975" s="1392" t="n"/>
      <c r="BI1975" s="1392" t="n"/>
      <c r="BJ1975" s="1392" t="n"/>
      <c r="BK1975" s="1392" t="n"/>
      <c r="BL1975" s="1392" t="n"/>
      <c r="BM1975" s="1392" t="n"/>
      <c r="BN1975" s="1392" t="n"/>
      <c r="BO1975" s="1392" t="n"/>
      <c r="BP1975" s="1392" t="n"/>
      <c r="BQ1975" s="1392" t="n"/>
      <c r="BR1975" s="1392" t="n"/>
      <c r="BS1975" s="1392" t="n"/>
      <c r="BT1975" s="1392" t="n"/>
      <c r="BU1975" s="1416" t="n"/>
      <c r="BV1975" s="1392" t="n"/>
      <c r="BW1975" s="1392" t="n"/>
      <c r="BX1975" s="1392" t="n"/>
      <c r="BY1975" s="1392" t="n"/>
      <c r="BZ1975" s="1416" t="n"/>
      <c r="CA1975" s="1392" t="n"/>
      <c r="CB1975" s="1392" t="n"/>
      <c r="CC1975" s="1392" t="n"/>
      <c r="CD1975" s="1392" t="n"/>
      <c r="CE1975" s="1392" t="n"/>
      <c r="CF1975" s="1392" t="n"/>
      <c r="CG1975" s="1392" t="n"/>
      <c r="CH1975" s="1392" t="n"/>
      <c r="CI1975" s="1392" t="n"/>
      <c r="CJ1975" s="1392" t="n"/>
      <c r="CK1975" s="1392" t="n"/>
      <c r="CL1975" s="1392" t="n"/>
    </row>
    <row r="1976">
      <c r="A1976" s="5" t="inlineStr">
        <is>
          <t>.</t>
        </is>
      </c>
      <c r="B1976" s="5" t="inlineStr">
        <is>
          <t>.</t>
        </is>
      </c>
      <c r="C1976" s="1378">
        <f>IF(raw[[#This Row],[city]]="","-",IF(raw[[#This Row],[city]]="TODAY","-",C1975+1))</f>
        <v/>
      </c>
      <c r="D1976" s="1393" t="n"/>
      <c r="E1976" s="1394" t="n"/>
      <c r="F1976" s="1394" t="n"/>
      <c r="G1976" s="1393" t="n"/>
      <c r="H1976" s="1393" t="n"/>
      <c r="I1976" s="1393" t="n"/>
      <c r="J1976" s="1393" t="n"/>
      <c r="K1976" s="1395">
        <f>IF(raw[[#This Row],[city]]&lt;&gt;"",_xlfn.XLOOKUP($D1976,ccc[city],ccc[prov],"-"),"-")</f>
        <v/>
      </c>
      <c r="L1976" s="1395">
        <f>IF(raw[[#This Row],[city]]&lt;&gt;"",_xlfn.XLOOKUP($D1976,ccc[city],ccc[ctry],"-"),"-")</f>
        <v/>
      </c>
      <c r="M1976" s="1395">
        <f>IF(raw[[#This Row],[city]]&lt;&gt;"",_xlfn.XLOOKUP($D1976,ccc[city],ccc[cont],"-"),"-")</f>
        <v/>
      </c>
      <c r="N1976" s="1396">
        <f>IF(raw[[#This Row],[city]]="","-",IF(raw[[#This Row],[cont]]="B",raw[[#This Row],[cont]],"W"))</f>
        <v/>
      </c>
      <c r="O1976" s="1397">
        <f>IF(raw[[#This Row],[out]]=0,0,IF(raw[[#This Row],[out]]=raw[[#This Row],[in]],0.01,raw[[#This Row],[out]]-raw[[#This Row],[in]]))</f>
        <v/>
      </c>
      <c r="P1976" s="1397">
        <f>IF(raw[[#This Row],[in]]=0,0,MONTH(raw[[#This Row],[in]]))</f>
        <v/>
      </c>
      <c r="Q1976" s="1397">
        <f>IF(raw[[#This Row],[in]]=0,0,YEAR(raw[[#This Row],[in]]))</f>
        <v/>
      </c>
      <c r="R1976" s="1397">
        <f>INT(raw[[#This Row],[yr]]/10)*10</f>
        <v/>
      </c>
      <c r="S1976" s="1395">
        <f>IF(raw[[#This Row],[city]]="","-",IF(raw[[#This Row],[city]]&lt;&gt;_xlfn.XLOOKUP(raw[[#This Row],[home]],homes[home],homes[city],"-"),1,0))</f>
        <v/>
      </c>
      <c r="T1976" s="1398" t="inlineStr">
        <is>
          <t>.</t>
        </is>
      </c>
      <c r="U1976" s="1399">
        <f>IF(raw[[#This Row],[wb]]="w",raw[[#This Row],[stay]]+U1975,U1975)</f>
        <v/>
      </c>
      <c r="V1976" s="1400">
        <f>IF(raw[[#This Row],[out]]=0,V1975,(raw[[#This Row],[out]]-E$5))</f>
        <v/>
      </c>
      <c r="W1976" s="1401">
        <f>U1976/V1976</f>
        <v/>
      </c>
      <c r="X1976" s="1392" t="n"/>
      <c r="Y1976" s="1392" t="n"/>
      <c r="Z1976" s="1422" t="n"/>
      <c r="AA1976" s="1422" t="n"/>
      <c r="AB1976" s="1392" t="n"/>
      <c r="AC1976" s="1392" t="n"/>
      <c r="AD1976" s="1392" t="n"/>
      <c r="AE1976" s="1392" t="n"/>
      <c r="AF1976" s="1392" t="n"/>
      <c r="AG1976" s="1392" t="n"/>
      <c r="AH1976" s="1392" t="n"/>
      <c r="AI1976" s="1392" t="n"/>
      <c r="AJ1976" s="1392" t="n"/>
      <c r="AK1976" s="1392" t="n"/>
      <c r="AL1976" s="1392" t="n"/>
      <c r="AM1976" s="1392" t="n"/>
      <c r="AN1976" s="1392" t="n"/>
      <c r="AO1976" s="1392" t="n"/>
      <c r="AP1976" s="1392" t="n"/>
      <c r="AQ1976" s="1392" t="n"/>
      <c r="AR1976" s="1392" t="n"/>
      <c r="AS1976" s="1422" t="n"/>
      <c r="AT1976" s="1392" t="n"/>
      <c r="AU1976" s="1392" t="n"/>
      <c r="AV1976" s="1392" t="n"/>
      <c r="AW1976" s="1392" t="n"/>
      <c r="AX1976" s="1392" t="n"/>
      <c r="AY1976" s="1392" t="n"/>
      <c r="AZ1976" s="1392" t="n"/>
      <c r="BA1976" s="1392" t="n"/>
      <c r="BB1976" s="1422" t="n"/>
      <c r="BC1976" s="1392" t="n"/>
      <c r="BD1976" s="1392" t="n"/>
      <c r="BE1976" s="1392" t="n"/>
      <c r="BF1976" s="1392" t="n"/>
      <c r="BG1976" s="1392" t="n"/>
      <c r="BH1976" s="1392" t="n"/>
      <c r="BI1976" s="1392" t="n"/>
      <c r="BJ1976" s="1392" t="n"/>
      <c r="BK1976" s="1392" t="n"/>
      <c r="BL1976" s="1392" t="n"/>
      <c r="BM1976" s="1392" t="n"/>
      <c r="BN1976" s="1392" t="n"/>
      <c r="BO1976" s="1392" t="n"/>
      <c r="BP1976" s="1392" t="n"/>
      <c r="BQ1976" s="1392" t="n"/>
      <c r="BR1976" s="1392" t="n"/>
      <c r="BS1976" s="1392" t="n"/>
      <c r="BT1976" s="1392" t="n"/>
      <c r="BU1976" s="1416" t="n"/>
      <c r="BV1976" s="1392" t="n"/>
      <c r="BW1976" s="1392" t="n"/>
      <c r="BX1976" s="1392" t="n"/>
      <c r="BY1976" s="1392" t="n"/>
      <c r="BZ1976" s="1416" t="n"/>
      <c r="CA1976" s="1392" t="n"/>
      <c r="CB1976" s="1392" t="n"/>
      <c r="CC1976" s="1392" t="n"/>
      <c r="CD1976" s="1392" t="n"/>
      <c r="CE1976" s="1392" t="n"/>
      <c r="CF1976" s="1392" t="n"/>
      <c r="CG1976" s="1392" t="n"/>
      <c r="CH1976" s="1392" t="n"/>
      <c r="CI1976" s="1392" t="n"/>
      <c r="CJ1976" s="1392" t="n"/>
      <c r="CK1976" s="1392" t="n"/>
      <c r="CL1976" s="1392" t="n"/>
    </row>
    <row r="1977">
      <c r="A1977" s="5" t="inlineStr">
        <is>
          <t>.</t>
        </is>
      </c>
      <c r="B1977" s="5" t="inlineStr">
        <is>
          <t>.</t>
        </is>
      </c>
      <c r="C1977" s="1378">
        <f>IF(raw[[#This Row],[city]]="","-",IF(raw[[#This Row],[city]]="TODAY","-",C1976+1))</f>
        <v/>
      </c>
      <c r="D1977" s="1393" t="n"/>
      <c r="E1977" s="1394" t="n"/>
      <c r="F1977" s="1394" t="n"/>
      <c r="G1977" s="1393" t="n"/>
      <c r="H1977" s="1393" t="n"/>
      <c r="I1977" s="1393" t="n"/>
      <c r="J1977" s="1393" t="n"/>
      <c r="K1977" s="1395">
        <f>IF(raw[[#This Row],[city]]&lt;&gt;"",_xlfn.XLOOKUP($D1977,ccc[city],ccc[prov],"-"),"-")</f>
        <v/>
      </c>
      <c r="L1977" s="1395">
        <f>IF(raw[[#This Row],[city]]&lt;&gt;"",_xlfn.XLOOKUP($D1977,ccc[city],ccc[ctry],"-"),"-")</f>
        <v/>
      </c>
      <c r="M1977" s="1395">
        <f>IF(raw[[#This Row],[city]]&lt;&gt;"",_xlfn.XLOOKUP($D1977,ccc[city],ccc[cont],"-"),"-")</f>
        <v/>
      </c>
      <c r="N1977" s="1396">
        <f>IF(raw[[#This Row],[city]]="","-",IF(raw[[#This Row],[cont]]="B",raw[[#This Row],[cont]],"W"))</f>
        <v/>
      </c>
      <c r="O1977" s="1397">
        <f>IF(raw[[#This Row],[out]]=0,0,IF(raw[[#This Row],[out]]=raw[[#This Row],[in]],0.01,raw[[#This Row],[out]]-raw[[#This Row],[in]]))</f>
        <v/>
      </c>
      <c r="P1977" s="1397">
        <f>IF(raw[[#This Row],[in]]=0,0,MONTH(raw[[#This Row],[in]]))</f>
        <v/>
      </c>
      <c r="Q1977" s="1397">
        <f>IF(raw[[#This Row],[in]]=0,0,YEAR(raw[[#This Row],[in]]))</f>
        <v/>
      </c>
      <c r="R1977" s="1397">
        <f>INT(raw[[#This Row],[yr]]/10)*10</f>
        <v/>
      </c>
      <c r="S1977" s="1395">
        <f>IF(raw[[#This Row],[city]]="","-",IF(raw[[#This Row],[city]]&lt;&gt;_xlfn.XLOOKUP(raw[[#This Row],[home]],homes[home],homes[city],"-"),1,0))</f>
        <v/>
      </c>
      <c r="T1977" s="1398" t="inlineStr">
        <is>
          <t>.</t>
        </is>
      </c>
      <c r="U1977" s="1399">
        <f>IF(raw[[#This Row],[wb]]="w",raw[[#This Row],[stay]]+U1976,U1976)</f>
        <v/>
      </c>
      <c r="V1977" s="1400">
        <f>IF(raw[[#This Row],[out]]=0,V1976,(raw[[#This Row],[out]]-E$5))</f>
        <v/>
      </c>
      <c r="W1977" s="1401">
        <f>U1977/V1977</f>
        <v/>
      </c>
      <c r="X1977" s="1392" t="n"/>
      <c r="Y1977" s="1392" t="n"/>
      <c r="Z1977" s="1422" t="n"/>
      <c r="AA1977" s="1422" t="n"/>
      <c r="AB1977" s="1392" t="n"/>
      <c r="AC1977" s="1392" t="n"/>
      <c r="AD1977" s="1392" t="n"/>
      <c r="AE1977" s="1392" t="n"/>
      <c r="AF1977" s="1392" t="n"/>
      <c r="AG1977" s="1392" t="n"/>
      <c r="AH1977" s="1392" t="n"/>
      <c r="AI1977" s="1392" t="n"/>
      <c r="AJ1977" s="1392" t="n"/>
      <c r="AK1977" s="1392" t="n"/>
      <c r="AL1977" s="1392" t="n"/>
      <c r="AM1977" s="1392" t="n"/>
      <c r="AN1977" s="1392" t="n"/>
      <c r="AO1977" s="1392" t="n"/>
      <c r="AP1977" s="1392" t="n"/>
      <c r="AQ1977" s="1392" t="n"/>
      <c r="AR1977" s="1392" t="n"/>
      <c r="AS1977" s="1422" t="n"/>
      <c r="AT1977" s="1392" t="n"/>
      <c r="AU1977" s="1392" t="n"/>
      <c r="AV1977" s="1392" t="n"/>
      <c r="AW1977" s="1392" t="n"/>
      <c r="AX1977" s="1392" t="n"/>
      <c r="AY1977" s="1392" t="n"/>
      <c r="AZ1977" s="1392" t="n"/>
      <c r="BA1977" s="1392" t="n"/>
      <c r="BB1977" s="1422" t="n"/>
      <c r="BC1977" s="1392" t="n"/>
      <c r="BD1977" s="1392" t="n"/>
      <c r="BE1977" s="1392" t="n"/>
      <c r="BF1977" s="1392" t="n"/>
      <c r="BG1977" s="1392" t="n"/>
      <c r="BH1977" s="1392" t="n"/>
      <c r="BI1977" s="1392" t="n"/>
      <c r="BJ1977" s="1392" t="n"/>
      <c r="BK1977" s="1392" t="n"/>
      <c r="BL1977" s="1392" t="n"/>
      <c r="BM1977" s="1392" t="n"/>
      <c r="BN1977" s="1392" t="n"/>
      <c r="BO1977" s="1392" t="n"/>
      <c r="BP1977" s="1392" t="n"/>
      <c r="BQ1977" s="1392" t="n"/>
      <c r="BR1977" s="1392" t="n"/>
      <c r="BS1977" s="1392" t="n"/>
      <c r="BT1977" s="1392" t="n"/>
      <c r="BU1977" s="1416" t="n"/>
      <c r="BV1977" s="1392" t="n"/>
      <c r="BW1977" s="1392" t="n"/>
      <c r="BX1977" s="1392" t="n"/>
      <c r="BY1977" s="1392" t="n"/>
      <c r="BZ1977" s="1416" t="n"/>
      <c r="CA1977" s="1392" t="n"/>
      <c r="CB1977" s="1392" t="n"/>
      <c r="CC1977" s="1392" t="n"/>
      <c r="CD1977" s="1392" t="n"/>
      <c r="CE1977" s="1392" t="n"/>
      <c r="CF1977" s="1392" t="n"/>
      <c r="CG1977" s="1392" t="n"/>
      <c r="CH1977" s="1392" t="n"/>
      <c r="CI1977" s="1392" t="n"/>
      <c r="CJ1977" s="1392" t="n"/>
      <c r="CK1977" s="1392" t="n"/>
      <c r="CL1977" s="1392" t="n"/>
    </row>
    <row r="1978">
      <c r="A1978" s="5" t="inlineStr">
        <is>
          <t>.</t>
        </is>
      </c>
      <c r="B1978" s="5" t="inlineStr">
        <is>
          <t>.</t>
        </is>
      </c>
      <c r="C1978" s="1378">
        <f>IF(raw[[#This Row],[city]]="","-",IF(raw[[#This Row],[city]]="TODAY","-",C1977+1))</f>
        <v/>
      </c>
      <c r="D1978" s="1393" t="n"/>
      <c r="E1978" s="1394" t="n"/>
      <c r="F1978" s="1394" t="n"/>
      <c r="G1978" s="1393" t="n"/>
      <c r="H1978" s="1393" t="n"/>
      <c r="I1978" s="1393" t="n"/>
      <c r="J1978" s="1393" t="n"/>
      <c r="K1978" s="1395">
        <f>IF(raw[[#This Row],[city]]&lt;&gt;"",_xlfn.XLOOKUP($D1978,ccc[city],ccc[prov],"-"),"-")</f>
        <v/>
      </c>
      <c r="L1978" s="1395">
        <f>IF(raw[[#This Row],[city]]&lt;&gt;"",_xlfn.XLOOKUP($D1978,ccc[city],ccc[ctry],"-"),"-")</f>
        <v/>
      </c>
      <c r="M1978" s="1395">
        <f>IF(raw[[#This Row],[city]]&lt;&gt;"",_xlfn.XLOOKUP($D1978,ccc[city],ccc[cont],"-"),"-")</f>
        <v/>
      </c>
      <c r="N1978" s="1396">
        <f>IF(raw[[#This Row],[city]]="","-",IF(raw[[#This Row],[cont]]="B",raw[[#This Row],[cont]],"W"))</f>
        <v/>
      </c>
      <c r="O1978" s="1397">
        <f>IF(raw[[#This Row],[out]]=0,0,IF(raw[[#This Row],[out]]=raw[[#This Row],[in]],0.01,raw[[#This Row],[out]]-raw[[#This Row],[in]]))</f>
        <v/>
      </c>
      <c r="P1978" s="1397">
        <f>IF(raw[[#This Row],[in]]=0,0,MONTH(raw[[#This Row],[in]]))</f>
        <v/>
      </c>
      <c r="Q1978" s="1397">
        <f>IF(raw[[#This Row],[in]]=0,0,YEAR(raw[[#This Row],[in]]))</f>
        <v/>
      </c>
      <c r="R1978" s="1397">
        <f>INT(raw[[#This Row],[yr]]/10)*10</f>
        <v/>
      </c>
      <c r="S1978" s="1395">
        <f>IF(raw[[#This Row],[city]]="","-",IF(raw[[#This Row],[city]]&lt;&gt;_xlfn.XLOOKUP(raw[[#This Row],[home]],homes[home],homes[city],"-"),1,0))</f>
        <v/>
      </c>
      <c r="T1978" s="1398" t="inlineStr">
        <is>
          <t>.</t>
        </is>
      </c>
      <c r="U1978" s="1399">
        <f>IF(raw[[#This Row],[wb]]="w",raw[[#This Row],[stay]]+U1977,U1977)</f>
        <v/>
      </c>
      <c r="V1978" s="1400">
        <f>IF(raw[[#This Row],[out]]=0,V1977,(raw[[#This Row],[out]]-E$5))</f>
        <v/>
      </c>
      <c r="W1978" s="1401">
        <f>U1978/V1978</f>
        <v/>
      </c>
      <c r="X1978" s="1392" t="n"/>
      <c r="Y1978" s="1392" t="n"/>
      <c r="Z1978" s="1422" t="n"/>
      <c r="AA1978" s="1422" t="n"/>
      <c r="AB1978" s="1392" t="n"/>
      <c r="AC1978" s="1392" t="n"/>
      <c r="AD1978" s="1392" t="n"/>
      <c r="AE1978" s="1392" t="n"/>
      <c r="AF1978" s="1392" t="n"/>
      <c r="AG1978" s="1392" t="n"/>
      <c r="AH1978" s="1392" t="n"/>
      <c r="AI1978" s="1392" t="n"/>
      <c r="AJ1978" s="1392" t="n"/>
      <c r="AK1978" s="1392" t="n"/>
      <c r="AL1978" s="1392" t="n"/>
      <c r="AM1978" s="1392" t="n"/>
      <c r="AN1978" s="1392" t="n"/>
      <c r="AO1978" s="1392" t="n"/>
      <c r="AP1978" s="1392" t="n"/>
      <c r="AQ1978" s="1392" t="n"/>
      <c r="AR1978" s="1392" t="n"/>
      <c r="AS1978" s="1422" t="n"/>
      <c r="AT1978" s="1392" t="n"/>
      <c r="AU1978" s="1392" t="n"/>
      <c r="AV1978" s="1392" t="n"/>
      <c r="AW1978" s="1392" t="n"/>
      <c r="AX1978" s="1392" t="n"/>
      <c r="AY1978" s="1392" t="n"/>
      <c r="AZ1978" s="1392" t="n"/>
      <c r="BA1978" s="1392" t="n"/>
      <c r="BB1978" s="1422" t="n"/>
      <c r="BC1978" s="1392" t="n"/>
      <c r="BD1978" s="1392" t="n"/>
      <c r="BE1978" s="1392" t="n"/>
      <c r="BF1978" s="1392" t="n"/>
      <c r="BG1978" s="1392" t="n"/>
      <c r="BH1978" s="1392" t="n"/>
      <c r="BI1978" s="1392" t="n"/>
      <c r="BJ1978" s="1392" t="n"/>
      <c r="BK1978" s="1392" t="n"/>
      <c r="BL1978" s="1392" t="n"/>
      <c r="BM1978" s="1392" t="n"/>
      <c r="BN1978" s="1392" t="n"/>
      <c r="BO1978" s="1392" t="n"/>
      <c r="BP1978" s="1392" t="n"/>
      <c r="BQ1978" s="1392" t="n"/>
      <c r="BR1978" s="1392" t="n"/>
      <c r="BS1978" s="1392" t="n"/>
      <c r="BT1978" s="1392" t="n"/>
      <c r="BU1978" s="1416" t="n"/>
      <c r="BV1978" s="1392" t="n"/>
      <c r="BW1978" s="1392" t="n"/>
      <c r="BX1978" s="1392" t="n"/>
      <c r="BY1978" s="1392" t="n"/>
      <c r="BZ1978" s="1416" t="n"/>
      <c r="CA1978" s="1392" t="n"/>
      <c r="CB1978" s="1392" t="n"/>
      <c r="CC1978" s="1392" t="n"/>
      <c r="CD1978" s="1392" t="n"/>
      <c r="CE1978" s="1392" t="n"/>
      <c r="CF1978" s="1392" t="n"/>
      <c r="CG1978" s="1392" t="n"/>
      <c r="CH1978" s="1392" t="n"/>
      <c r="CI1978" s="1392" t="n"/>
      <c r="CJ1978" s="1392" t="n"/>
      <c r="CK1978" s="1392" t="n"/>
      <c r="CL1978" s="1392" t="n"/>
    </row>
    <row r="1979">
      <c r="A1979" s="5" t="inlineStr">
        <is>
          <t>.</t>
        </is>
      </c>
      <c r="B1979" s="5" t="inlineStr">
        <is>
          <t>.</t>
        </is>
      </c>
      <c r="C1979" s="1378">
        <f>IF(raw[[#This Row],[city]]="","-",IF(raw[[#This Row],[city]]="TODAY","-",C1978+1))</f>
        <v/>
      </c>
      <c r="D1979" s="1393" t="n"/>
      <c r="E1979" s="1394" t="n"/>
      <c r="F1979" s="1394" t="n"/>
      <c r="G1979" s="1393" t="n"/>
      <c r="H1979" s="1393" t="n"/>
      <c r="I1979" s="1393" t="n"/>
      <c r="J1979" s="1393" t="n"/>
      <c r="K1979" s="1395">
        <f>IF(raw[[#This Row],[city]]&lt;&gt;"",_xlfn.XLOOKUP($D1979,ccc[city],ccc[prov],"-"),"-")</f>
        <v/>
      </c>
      <c r="L1979" s="1395">
        <f>IF(raw[[#This Row],[city]]&lt;&gt;"",_xlfn.XLOOKUP($D1979,ccc[city],ccc[ctry],"-"),"-")</f>
        <v/>
      </c>
      <c r="M1979" s="1395">
        <f>IF(raw[[#This Row],[city]]&lt;&gt;"",_xlfn.XLOOKUP($D1979,ccc[city],ccc[cont],"-"),"-")</f>
        <v/>
      </c>
      <c r="N1979" s="1396">
        <f>IF(raw[[#This Row],[city]]="","-",IF(raw[[#This Row],[cont]]="B",raw[[#This Row],[cont]],"W"))</f>
        <v/>
      </c>
      <c r="O1979" s="1397">
        <f>IF(raw[[#This Row],[out]]=0,0,IF(raw[[#This Row],[out]]=raw[[#This Row],[in]],0.01,raw[[#This Row],[out]]-raw[[#This Row],[in]]))</f>
        <v/>
      </c>
      <c r="P1979" s="1397">
        <f>IF(raw[[#This Row],[in]]=0,0,MONTH(raw[[#This Row],[in]]))</f>
        <v/>
      </c>
      <c r="Q1979" s="1397">
        <f>IF(raw[[#This Row],[in]]=0,0,YEAR(raw[[#This Row],[in]]))</f>
        <v/>
      </c>
      <c r="R1979" s="1397">
        <f>INT(raw[[#This Row],[yr]]/10)*10</f>
        <v/>
      </c>
      <c r="S1979" s="1395">
        <f>IF(raw[[#This Row],[city]]="","-",IF(raw[[#This Row],[city]]&lt;&gt;_xlfn.XLOOKUP(raw[[#This Row],[home]],homes[home],homes[city],"-"),1,0))</f>
        <v/>
      </c>
      <c r="T1979" s="1398" t="inlineStr">
        <is>
          <t>.</t>
        </is>
      </c>
      <c r="U1979" s="1399">
        <f>IF(raw[[#This Row],[wb]]="w",raw[[#This Row],[stay]]+U1978,U1978)</f>
        <v/>
      </c>
      <c r="V1979" s="1400">
        <f>IF(raw[[#This Row],[out]]=0,V1978,(raw[[#This Row],[out]]-E$5))</f>
        <v/>
      </c>
      <c r="W1979" s="1401">
        <f>U1979/V1979</f>
        <v/>
      </c>
      <c r="X1979" s="1392" t="n"/>
      <c r="Y1979" s="1392" t="n"/>
      <c r="Z1979" s="1422" t="n"/>
      <c r="AA1979" s="1422" t="n"/>
      <c r="AB1979" s="1392" t="n"/>
      <c r="AC1979" s="1392" t="n"/>
      <c r="AD1979" s="1392" t="n"/>
      <c r="AE1979" s="1392" t="n"/>
      <c r="AF1979" s="1392" t="n"/>
      <c r="AG1979" s="1392" t="n"/>
      <c r="AH1979" s="1392" t="n"/>
      <c r="AI1979" s="1392" t="n"/>
      <c r="AJ1979" s="1392" t="n"/>
      <c r="AK1979" s="1392" t="n"/>
      <c r="AL1979" s="1392" t="n"/>
      <c r="AM1979" s="1392" t="n"/>
      <c r="AN1979" s="1392" t="n"/>
      <c r="AO1979" s="1392" t="n"/>
      <c r="AP1979" s="1392" t="n"/>
      <c r="AQ1979" s="1392" t="n"/>
      <c r="AR1979" s="1392" t="n"/>
      <c r="AS1979" s="1422" t="n"/>
      <c r="AT1979" s="1392" t="n"/>
      <c r="AU1979" s="1392" t="n"/>
      <c r="AV1979" s="1392" t="n"/>
      <c r="AW1979" s="1392" t="n"/>
      <c r="AX1979" s="1392" t="n"/>
      <c r="AY1979" s="1392" t="n"/>
      <c r="AZ1979" s="1392" t="n"/>
      <c r="BA1979" s="1392" t="n"/>
      <c r="BB1979" s="1422" t="n"/>
      <c r="BC1979" s="1392" t="n"/>
      <c r="BD1979" s="1392" t="n"/>
      <c r="BE1979" s="1392" t="n"/>
      <c r="BF1979" s="1392" t="n"/>
      <c r="BG1979" s="1392" t="n"/>
      <c r="BH1979" s="1392" t="n"/>
      <c r="BI1979" s="1392" t="n"/>
      <c r="BJ1979" s="1392" t="n"/>
      <c r="BK1979" s="1392" t="n"/>
      <c r="BL1979" s="1392" t="n"/>
      <c r="BM1979" s="1392" t="n"/>
      <c r="BN1979" s="1392" t="n"/>
      <c r="BO1979" s="1392" t="n"/>
      <c r="BP1979" s="1392" t="n"/>
      <c r="BQ1979" s="1392" t="n"/>
      <c r="BR1979" s="1392" t="n"/>
      <c r="BS1979" s="1392" t="n"/>
      <c r="BT1979" s="1392" t="n"/>
      <c r="BU1979" s="1416" t="n"/>
      <c r="BV1979" s="1392" t="n"/>
      <c r="BW1979" s="1392" t="n"/>
      <c r="BX1979" s="1392" t="n"/>
      <c r="BY1979" s="1392" t="n"/>
      <c r="BZ1979" s="1416" t="n"/>
      <c r="CA1979" s="1392" t="n"/>
      <c r="CB1979" s="1392" t="n"/>
      <c r="CC1979" s="1392" t="n"/>
      <c r="CD1979" s="1392" t="n"/>
      <c r="CE1979" s="1392" t="n"/>
      <c r="CF1979" s="1392" t="n"/>
      <c r="CG1979" s="1392" t="n"/>
      <c r="CH1979" s="1392" t="n"/>
      <c r="CI1979" s="1392" t="n"/>
      <c r="CJ1979" s="1392" t="n"/>
      <c r="CK1979" s="1392" t="n"/>
      <c r="CL1979" s="1392" t="n"/>
    </row>
    <row r="1980">
      <c r="A1980" s="5" t="inlineStr">
        <is>
          <t>.</t>
        </is>
      </c>
      <c r="B1980" s="5" t="inlineStr">
        <is>
          <t>.</t>
        </is>
      </c>
      <c r="C1980" s="1378">
        <f>IF(raw[[#This Row],[city]]="","-",IF(raw[[#This Row],[city]]="TODAY","-",C1979+1))</f>
        <v/>
      </c>
      <c r="D1980" s="1393" t="n"/>
      <c r="E1980" s="1394" t="n"/>
      <c r="F1980" s="1394" t="n"/>
      <c r="G1980" s="1393" t="n"/>
      <c r="H1980" s="1393" t="n"/>
      <c r="I1980" s="1393" t="n"/>
      <c r="J1980" s="1393" t="n"/>
      <c r="K1980" s="1395">
        <f>IF(raw[[#This Row],[city]]&lt;&gt;"",_xlfn.XLOOKUP($D1980,ccc[city],ccc[prov],"-"),"-")</f>
        <v/>
      </c>
      <c r="L1980" s="1395">
        <f>IF(raw[[#This Row],[city]]&lt;&gt;"",_xlfn.XLOOKUP($D1980,ccc[city],ccc[ctry],"-"),"-")</f>
        <v/>
      </c>
      <c r="M1980" s="1395">
        <f>IF(raw[[#This Row],[city]]&lt;&gt;"",_xlfn.XLOOKUP($D1980,ccc[city],ccc[cont],"-"),"-")</f>
        <v/>
      </c>
      <c r="N1980" s="1396">
        <f>IF(raw[[#This Row],[city]]="","-",IF(raw[[#This Row],[cont]]="B",raw[[#This Row],[cont]],"W"))</f>
        <v/>
      </c>
      <c r="O1980" s="1397">
        <f>IF(raw[[#This Row],[out]]=0,0,IF(raw[[#This Row],[out]]=raw[[#This Row],[in]],0.01,raw[[#This Row],[out]]-raw[[#This Row],[in]]))</f>
        <v/>
      </c>
      <c r="P1980" s="1397">
        <f>IF(raw[[#This Row],[in]]=0,0,MONTH(raw[[#This Row],[in]]))</f>
        <v/>
      </c>
      <c r="Q1980" s="1397">
        <f>IF(raw[[#This Row],[in]]=0,0,YEAR(raw[[#This Row],[in]]))</f>
        <v/>
      </c>
      <c r="R1980" s="1397">
        <f>INT(raw[[#This Row],[yr]]/10)*10</f>
        <v/>
      </c>
      <c r="S1980" s="1395">
        <f>IF(raw[[#This Row],[city]]="","-",IF(raw[[#This Row],[city]]&lt;&gt;_xlfn.XLOOKUP(raw[[#This Row],[home]],homes[home],homes[city],"-"),1,0))</f>
        <v/>
      </c>
      <c r="T1980" s="1398" t="inlineStr">
        <is>
          <t>.</t>
        </is>
      </c>
      <c r="U1980" s="1399">
        <f>IF(raw[[#This Row],[wb]]="w",raw[[#This Row],[stay]]+U1979,U1979)</f>
        <v/>
      </c>
      <c r="V1980" s="1400">
        <f>IF(raw[[#This Row],[out]]=0,V1979,(raw[[#This Row],[out]]-E$5))</f>
        <v/>
      </c>
      <c r="W1980" s="1401">
        <f>U1980/V1980</f>
        <v/>
      </c>
      <c r="X1980" s="1392" t="n"/>
      <c r="Y1980" s="1392" t="n"/>
      <c r="Z1980" s="1422" t="n"/>
      <c r="AA1980" s="1422" t="n"/>
      <c r="AB1980" s="1392" t="n"/>
      <c r="AC1980" s="1392" t="n"/>
      <c r="AD1980" s="1392" t="n"/>
      <c r="AE1980" s="1392" t="n"/>
      <c r="AF1980" s="1392" t="n"/>
      <c r="AG1980" s="1392" t="n"/>
      <c r="AH1980" s="1392" t="n"/>
      <c r="AI1980" s="1392" t="n"/>
      <c r="AJ1980" s="1392" t="n"/>
      <c r="AK1980" s="1392" t="n"/>
      <c r="AL1980" s="1392" t="n"/>
      <c r="AM1980" s="1392" t="n"/>
      <c r="AN1980" s="1392" t="n"/>
      <c r="AO1980" s="1392" t="n"/>
      <c r="AP1980" s="1392" t="n"/>
      <c r="AQ1980" s="1392" t="n"/>
      <c r="AR1980" s="1392" t="n"/>
      <c r="AS1980" s="1422" t="n"/>
      <c r="AT1980" s="1392" t="n"/>
      <c r="AU1980" s="1392" t="n"/>
      <c r="AV1980" s="1392" t="n"/>
      <c r="AW1980" s="1392" t="n"/>
      <c r="AX1980" s="1392" t="n"/>
      <c r="AY1980" s="1392" t="n"/>
      <c r="AZ1980" s="1392" t="n"/>
      <c r="BA1980" s="1392" t="n"/>
      <c r="BB1980" s="1422" t="n"/>
      <c r="BC1980" s="1392" t="n"/>
      <c r="BD1980" s="1392" t="n"/>
      <c r="BE1980" s="1392" t="n"/>
      <c r="BF1980" s="1392" t="n"/>
      <c r="BG1980" s="1392" t="n"/>
      <c r="BH1980" s="1392" t="n"/>
      <c r="BI1980" s="1392" t="n"/>
      <c r="BJ1980" s="1392" t="n"/>
      <c r="BK1980" s="1392" t="n"/>
      <c r="BL1980" s="1392" t="n"/>
      <c r="BM1980" s="1392" t="n"/>
      <c r="BN1980" s="1392" t="n"/>
      <c r="BO1980" s="1392" t="n"/>
      <c r="BP1980" s="1392" t="n"/>
      <c r="BQ1980" s="1392" t="n"/>
      <c r="BR1980" s="1392" t="n"/>
      <c r="BS1980" s="1392" t="n"/>
      <c r="BT1980" s="1392" t="n"/>
      <c r="BU1980" s="1416" t="n"/>
      <c r="BV1980" s="1392" t="n"/>
      <c r="BW1980" s="1392" t="n"/>
      <c r="BX1980" s="1392" t="n"/>
      <c r="BY1980" s="1392" t="n"/>
      <c r="BZ1980" s="1416" t="n"/>
      <c r="CA1980" s="1392" t="n"/>
      <c r="CB1980" s="1392" t="n"/>
      <c r="CC1980" s="1392" t="n"/>
      <c r="CD1980" s="1392" t="n"/>
      <c r="CE1980" s="1392" t="n"/>
      <c r="CF1980" s="1392" t="n"/>
      <c r="CG1980" s="1392" t="n"/>
      <c r="CH1980" s="1392" t="n"/>
      <c r="CI1980" s="1392" t="n"/>
      <c r="CJ1980" s="1392" t="n"/>
      <c r="CK1980" s="1392" t="n"/>
      <c r="CL1980" s="1392" t="n"/>
    </row>
    <row r="1981">
      <c r="A1981" s="5" t="inlineStr">
        <is>
          <t>.</t>
        </is>
      </c>
      <c r="B1981" s="5" t="inlineStr">
        <is>
          <t>.</t>
        </is>
      </c>
      <c r="C1981" s="1378">
        <f>IF(raw[[#This Row],[city]]="","-",IF(raw[[#This Row],[city]]="TODAY","-",C1980+1))</f>
        <v/>
      </c>
      <c r="D1981" s="1393" t="n"/>
      <c r="E1981" s="1394" t="n"/>
      <c r="F1981" s="1394" t="n"/>
      <c r="G1981" s="1393" t="n"/>
      <c r="H1981" s="1393" t="n"/>
      <c r="I1981" s="1393" t="n"/>
      <c r="J1981" s="1393" t="n"/>
      <c r="K1981" s="1395">
        <f>IF(raw[[#This Row],[city]]&lt;&gt;"",_xlfn.XLOOKUP($D1981,ccc[city],ccc[prov],"-"),"-")</f>
        <v/>
      </c>
      <c r="L1981" s="1395">
        <f>IF(raw[[#This Row],[city]]&lt;&gt;"",_xlfn.XLOOKUP($D1981,ccc[city],ccc[ctry],"-"),"-")</f>
        <v/>
      </c>
      <c r="M1981" s="1395">
        <f>IF(raw[[#This Row],[city]]&lt;&gt;"",_xlfn.XLOOKUP($D1981,ccc[city],ccc[cont],"-"),"-")</f>
        <v/>
      </c>
      <c r="N1981" s="1396">
        <f>IF(raw[[#This Row],[city]]="","-",IF(raw[[#This Row],[cont]]="B",raw[[#This Row],[cont]],"W"))</f>
        <v/>
      </c>
      <c r="O1981" s="1397">
        <f>IF(raw[[#This Row],[out]]=0,0,IF(raw[[#This Row],[out]]=raw[[#This Row],[in]],0.01,raw[[#This Row],[out]]-raw[[#This Row],[in]]))</f>
        <v/>
      </c>
      <c r="P1981" s="1397">
        <f>IF(raw[[#This Row],[in]]=0,0,MONTH(raw[[#This Row],[in]]))</f>
        <v/>
      </c>
      <c r="Q1981" s="1397">
        <f>IF(raw[[#This Row],[in]]=0,0,YEAR(raw[[#This Row],[in]]))</f>
        <v/>
      </c>
      <c r="R1981" s="1397">
        <f>INT(raw[[#This Row],[yr]]/10)*10</f>
        <v/>
      </c>
      <c r="S1981" s="1395">
        <f>IF(raw[[#This Row],[city]]="","-",IF(raw[[#This Row],[city]]&lt;&gt;_xlfn.XLOOKUP(raw[[#This Row],[home]],homes[home],homes[city],"-"),1,0))</f>
        <v/>
      </c>
      <c r="T1981" s="1398" t="inlineStr">
        <is>
          <t>.</t>
        </is>
      </c>
      <c r="U1981" s="1399">
        <f>IF(raw[[#This Row],[wb]]="w",raw[[#This Row],[stay]]+U1980,U1980)</f>
        <v/>
      </c>
      <c r="V1981" s="1400">
        <f>IF(raw[[#This Row],[out]]=0,V1980,(raw[[#This Row],[out]]-E$5))</f>
        <v/>
      </c>
      <c r="W1981" s="1401">
        <f>U1981/V1981</f>
        <v/>
      </c>
      <c r="X1981" s="1392" t="n"/>
      <c r="Y1981" s="1392" t="n"/>
      <c r="Z1981" s="1422" t="n"/>
      <c r="AA1981" s="1422" t="n"/>
      <c r="AB1981" s="1392" t="n"/>
      <c r="AC1981" s="1392" t="n"/>
      <c r="AD1981" s="1392" t="n"/>
      <c r="AE1981" s="1392" t="n"/>
      <c r="AF1981" s="1392" t="n"/>
      <c r="AG1981" s="1392" t="n"/>
      <c r="AH1981" s="1392" t="n"/>
      <c r="AI1981" s="1392" t="n"/>
      <c r="AJ1981" s="1392" t="n"/>
      <c r="AK1981" s="1392" t="n"/>
      <c r="AL1981" s="1392" t="n"/>
      <c r="AM1981" s="1392" t="n"/>
      <c r="AN1981" s="1392" t="n"/>
      <c r="AO1981" s="1392" t="n"/>
      <c r="AP1981" s="1392" t="n"/>
      <c r="AQ1981" s="1392" t="n"/>
      <c r="AR1981" s="1392" t="n"/>
      <c r="AS1981" s="1422" t="n"/>
      <c r="AT1981" s="1392" t="n"/>
      <c r="AU1981" s="1392" t="n"/>
      <c r="AV1981" s="1392" t="n"/>
      <c r="AW1981" s="1392" t="n"/>
      <c r="AX1981" s="1392" t="n"/>
      <c r="AY1981" s="1392" t="n"/>
      <c r="AZ1981" s="1392" t="n"/>
      <c r="BA1981" s="1392" t="n"/>
      <c r="BB1981" s="1422" t="n"/>
      <c r="BC1981" s="1392" t="n"/>
      <c r="BD1981" s="1392" t="n"/>
      <c r="BE1981" s="1392" t="n"/>
      <c r="BF1981" s="1392" t="n"/>
      <c r="BG1981" s="1392" t="n"/>
      <c r="BH1981" s="1392" t="n"/>
      <c r="BI1981" s="1392" t="n"/>
      <c r="BJ1981" s="1392" t="n"/>
      <c r="BK1981" s="1392" t="n"/>
      <c r="BL1981" s="1392" t="n"/>
      <c r="BM1981" s="1392" t="n"/>
      <c r="BN1981" s="1392" t="n"/>
      <c r="BO1981" s="1392" t="n"/>
      <c r="BP1981" s="1392" t="n"/>
      <c r="BQ1981" s="1392" t="n"/>
      <c r="BR1981" s="1392" t="n"/>
      <c r="BS1981" s="1392" t="n"/>
      <c r="BT1981" s="1392" t="n"/>
      <c r="BU1981" s="1416" t="n"/>
      <c r="BV1981" s="1392" t="n"/>
      <c r="BW1981" s="1392" t="n"/>
      <c r="BX1981" s="1392" t="n"/>
      <c r="BY1981" s="1392" t="n"/>
      <c r="BZ1981" s="1416" t="n"/>
      <c r="CA1981" s="1392" t="n"/>
      <c r="CB1981" s="1392" t="n"/>
      <c r="CC1981" s="1392" t="n"/>
      <c r="CD1981" s="1392" t="n"/>
      <c r="CE1981" s="1392" t="n"/>
      <c r="CF1981" s="1392" t="n"/>
      <c r="CG1981" s="1392" t="n"/>
      <c r="CH1981" s="1392" t="n"/>
      <c r="CI1981" s="1392" t="n"/>
      <c r="CJ1981" s="1392" t="n"/>
      <c r="CK1981" s="1392" t="n"/>
      <c r="CL1981" s="1392" t="n"/>
    </row>
    <row r="1982">
      <c r="A1982" s="5" t="inlineStr">
        <is>
          <t>.</t>
        </is>
      </c>
      <c r="B1982" s="5" t="inlineStr">
        <is>
          <t>.</t>
        </is>
      </c>
      <c r="C1982" s="1378">
        <f>IF(raw[[#This Row],[city]]="","-",IF(raw[[#This Row],[city]]="TODAY","-",C1981+1))</f>
        <v/>
      </c>
      <c r="D1982" s="1393" t="n"/>
      <c r="E1982" s="1394" t="n"/>
      <c r="F1982" s="1394" t="n"/>
      <c r="G1982" s="1393" t="n"/>
      <c r="H1982" s="1393" t="n"/>
      <c r="I1982" s="1393" t="n"/>
      <c r="J1982" s="1393" t="n"/>
      <c r="K1982" s="1395">
        <f>IF(raw[[#This Row],[city]]&lt;&gt;"",_xlfn.XLOOKUP($D1982,ccc[city],ccc[prov],"-"),"-")</f>
        <v/>
      </c>
      <c r="L1982" s="1395">
        <f>IF(raw[[#This Row],[city]]&lt;&gt;"",_xlfn.XLOOKUP($D1982,ccc[city],ccc[ctry],"-"),"-")</f>
        <v/>
      </c>
      <c r="M1982" s="1395">
        <f>IF(raw[[#This Row],[city]]&lt;&gt;"",_xlfn.XLOOKUP($D1982,ccc[city],ccc[cont],"-"),"-")</f>
        <v/>
      </c>
      <c r="N1982" s="1396">
        <f>IF(raw[[#This Row],[city]]="","-",IF(raw[[#This Row],[cont]]="B",raw[[#This Row],[cont]],"W"))</f>
        <v/>
      </c>
      <c r="O1982" s="1397">
        <f>IF(raw[[#This Row],[out]]=0,0,IF(raw[[#This Row],[out]]=raw[[#This Row],[in]],0.01,raw[[#This Row],[out]]-raw[[#This Row],[in]]))</f>
        <v/>
      </c>
      <c r="P1982" s="1397">
        <f>IF(raw[[#This Row],[in]]=0,0,MONTH(raw[[#This Row],[in]]))</f>
        <v/>
      </c>
      <c r="Q1982" s="1397">
        <f>IF(raw[[#This Row],[in]]=0,0,YEAR(raw[[#This Row],[in]]))</f>
        <v/>
      </c>
      <c r="R1982" s="1397">
        <f>INT(raw[[#This Row],[yr]]/10)*10</f>
        <v/>
      </c>
      <c r="S1982" s="1395">
        <f>IF(raw[[#This Row],[city]]="","-",IF(raw[[#This Row],[city]]&lt;&gt;_xlfn.XLOOKUP(raw[[#This Row],[home]],homes[home],homes[city],"-"),1,0))</f>
        <v/>
      </c>
      <c r="T1982" s="1398" t="inlineStr">
        <is>
          <t>.</t>
        </is>
      </c>
      <c r="U1982" s="1399">
        <f>IF(raw[[#This Row],[wb]]="w",raw[[#This Row],[stay]]+U1981,U1981)</f>
        <v/>
      </c>
      <c r="V1982" s="1400">
        <f>IF(raw[[#This Row],[out]]=0,V1981,(raw[[#This Row],[out]]-E$5))</f>
        <v/>
      </c>
      <c r="W1982" s="1401">
        <f>U1982/V1982</f>
        <v/>
      </c>
      <c r="X1982" s="1392" t="n"/>
      <c r="Y1982" s="1392" t="n"/>
      <c r="Z1982" s="1422" t="n"/>
      <c r="AA1982" s="1422" t="n"/>
      <c r="AB1982" s="1392" t="n"/>
      <c r="AC1982" s="1392" t="n"/>
      <c r="AD1982" s="1392" t="n"/>
      <c r="AE1982" s="1392" t="n"/>
      <c r="AF1982" s="1392" t="n"/>
      <c r="AG1982" s="1392" t="n"/>
      <c r="AH1982" s="1392" t="n"/>
      <c r="AI1982" s="1392" t="n"/>
      <c r="AJ1982" s="1392" t="n"/>
      <c r="AK1982" s="1392" t="n"/>
      <c r="AL1982" s="1392" t="n"/>
      <c r="AM1982" s="1392" t="n"/>
      <c r="AN1982" s="1392" t="n"/>
      <c r="AO1982" s="1392" t="n"/>
      <c r="AP1982" s="1392" t="n"/>
      <c r="AQ1982" s="1392" t="n"/>
      <c r="AR1982" s="1392" t="n"/>
      <c r="AS1982" s="1422" t="n"/>
      <c r="AT1982" s="1392" t="n"/>
      <c r="AU1982" s="1392" t="n"/>
      <c r="AV1982" s="1392" t="n"/>
      <c r="AW1982" s="1392" t="n"/>
      <c r="AX1982" s="1392" t="n"/>
      <c r="AY1982" s="1392" t="n"/>
      <c r="AZ1982" s="1392" t="n"/>
      <c r="BA1982" s="1392" t="n"/>
      <c r="BB1982" s="1422" t="n"/>
      <c r="BC1982" s="1392" t="n"/>
      <c r="BD1982" s="1392" t="n"/>
      <c r="BE1982" s="1392" t="n"/>
      <c r="BF1982" s="1392" t="n"/>
      <c r="BG1982" s="1392" t="n"/>
      <c r="BH1982" s="1392" t="n"/>
      <c r="BI1982" s="1392" t="n"/>
      <c r="BJ1982" s="1392" t="n"/>
      <c r="BK1982" s="1392" t="n"/>
      <c r="BL1982" s="1392" t="n"/>
      <c r="BM1982" s="1392" t="n"/>
      <c r="BN1982" s="1392" t="n"/>
      <c r="BO1982" s="1392" t="n"/>
      <c r="BP1982" s="1392" t="n"/>
      <c r="BQ1982" s="1392" t="n"/>
      <c r="BR1982" s="1392" t="n"/>
      <c r="BS1982" s="1392" t="n"/>
      <c r="BT1982" s="1392" t="n"/>
      <c r="BU1982" s="1416" t="n"/>
      <c r="BV1982" s="1392" t="n"/>
      <c r="BW1982" s="1392" t="n"/>
      <c r="BX1982" s="1392" t="n"/>
      <c r="BY1982" s="1392" t="n"/>
      <c r="BZ1982" s="1416" t="n"/>
      <c r="CA1982" s="1392" t="n"/>
      <c r="CB1982" s="1392" t="n"/>
      <c r="CC1982" s="1392" t="n"/>
      <c r="CD1982" s="1392" t="n"/>
      <c r="CE1982" s="1392" t="n"/>
      <c r="CF1982" s="1392" t="n"/>
      <c r="CG1982" s="1392" t="n"/>
      <c r="CH1982" s="1392" t="n"/>
      <c r="CI1982" s="1392" t="n"/>
      <c r="CJ1982" s="1392" t="n"/>
      <c r="CK1982" s="1392" t="n"/>
      <c r="CL1982" s="1392" t="n"/>
    </row>
    <row r="1983">
      <c r="A1983" s="5" t="inlineStr">
        <is>
          <t>.</t>
        </is>
      </c>
      <c r="B1983" s="5" t="inlineStr">
        <is>
          <t>.</t>
        </is>
      </c>
      <c r="C1983" s="1378">
        <f>IF(raw[[#This Row],[city]]="","-",IF(raw[[#This Row],[city]]="TODAY","-",C1982+1))</f>
        <v/>
      </c>
      <c r="D1983" s="1393" t="n"/>
      <c r="E1983" s="1394" t="n"/>
      <c r="F1983" s="1394" t="n"/>
      <c r="G1983" s="1393" t="n"/>
      <c r="H1983" s="1393" t="n"/>
      <c r="I1983" s="1393" t="n"/>
      <c r="J1983" s="1393" t="n"/>
      <c r="K1983" s="1395">
        <f>IF(raw[[#This Row],[city]]&lt;&gt;"",_xlfn.XLOOKUP($D1983,ccc[city],ccc[prov],"-"),"-")</f>
        <v/>
      </c>
      <c r="L1983" s="1395">
        <f>IF(raw[[#This Row],[city]]&lt;&gt;"",_xlfn.XLOOKUP($D1983,ccc[city],ccc[ctry],"-"),"-")</f>
        <v/>
      </c>
      <c r="M1983" s="1395">
        <f>IF(raw[[#This Row],[city]]&lt;&gt;"",_xlfn.XLOOKUP($D1983,ccc[city],ccc[cont],"-"),"-")</f>
        <v/>
      </c>
      <c r="N1983" s="1396">
        <f>IF(raw[[#This Row],[city]]="","-",IF(raw[[#This Row],[cont]]="B",raw[[#This Row],[cont]],"W"))</f>
        <v/>
      </c>
      <c r="O1983" s="1397">
        <f>IF(raw[[#This Row],[out]]=0,0,IF(raw[[#This Row],[out]]=raw[[#This Row],[in]],0.01,raw[[#This Row],[out]]-raw[[#This Row],[in]]))</f>
        <v/>
      </c>
      <c r="P1983" s="1397">
        <f>IF(raw[[#This Row],[in]]=0,0,MONTH(raw[[#This Row],[in]]))</f>
        <v/>
      </c>
      <c r="Q1983" s="1397">
        <f>IF(raw[[#This Row],[in]]=0,0,YEAR(raw[[#This Row],[in]]))</f>
        <v/>
      </c>
      <c r="R1983" s="1397">
        <f>INT(raw[[#This Row],[yr]]/10)*10</f>
        <v/>
      </c>
      <c r="S1983" s="1395">
        <f>IF(raw[[#This Row],[city]]="","-",IF(raw[[#This Row],[city]]&lt;&gt;_xlfn.XLOOKUP(raw[[#This Row],[home]],homes[home],homes[city],"-"),1,0))</f>
        <v/>
      </c>
      <c r="T1983" s="1398" t="inlineStr">
        <is>
          <t>.</t>
        </is>
      </c>
      <c r="U1983" s="1399">
        <f>IF(raw[[#This Row],[wb]]="w",raw[[#This Row],[stay]]+U1982,U1982)</f>
        <v/>
      </c>
      <c r="V1983" s="1400">
        <f>IF(raw[[#This Row],[out]]=0,V1982,(raw[[#This Row],[out]]-E$5))</f>
        <v/>
      </c>
      <c r="W1983" s="1401">
        <f>U1983/V1983</f>
        <v/>
      </c>
      <c r="X1983" s="1392" t="n"/>
      <c r="Y1983" s="1392" t="n"/>
      <c r="Z1983" s="1422" t="n"/>
      <c r="AA1983" s="1422" t="n"/>
      <c r="AB1983" s="1392" t="n"/>
      <c r="AC1983" s="1392" t="n"/>
      <c r="AD1983" s="1392" t="n"/>
      <c r="AE1983" s="1392" t="n"/>
      <c r="AF1983" s="1392" t="n"/>
      <c r="AG1983" s="1392" t="n"/>
      <c r="AH1983" s="1392" t="n"/>
      <c r="AI1983" s="1392" t="n"/>
      <c r="AJ1983" s="1392" t="n"/>
      <c r="AK1983" s="1392" t="n"/>
      <c r="AL1983" s="1392" t="n"/>
      <c r="AM1983" s="1392" t="n"/>
      <c r="AN1983" s="1392" t="n"/>
      <c r="AO1983" s="1392" t="n"/>
      <c r="AP1983" s="1392" t="n"/>
      <c r="AQ1983" s="1392" t="n"/>
      <c r="AR1983" s="1392" t="n"/>
      <c r="AS1983" s="1422" t="n"/>
      <c r="AT1983" s="1392" t="n"/>
      <c r="AU1983" s="1392" t="n"/>
      <c r="AV1983" s="1392" t="n"/>
      <c r="AW1983" s="1392" t="n"/>
      <c r="AX1983" s="1392" t="n"/>
      <c r="AY1983" s="1392" t="n"/>
      <c r="AZ1983" s="1392" t="n"/>
      <c r="BA1983" s="1392" t="n"/>
      <c r="BB1983" s="1422" t="n"/>
      <c r="BC1983" s="1392" t="n"/>
      <c r="BD1983" s="1392" t="n"/>
      <c r="BE1983" s="1392" t="n"/>
      <c r="BF1983" s="1392" t="n"/>
      <c r="BG1983" s="1392" t="n"/>
      <c r="BH1983" s="1392" t="n"/>
      <c r="BI1983" s="1392" t="n"/>
      <c r="BJ1983" s="1392" t="n"/>
      <c r="BK1983" s="1392" t="n"/>
      <c r="BL1983" s="1392" t="n"/>
      <c r="BM1983" s="1392" t="n"/>
      <c r="BN1983" s="1392" t="n"/>
      <c r="BO1983" s="1392" t="n"/>
      <c r="BP1983" s="1392" t="n"/>
      <c r="BQ1983" s="1392" t="n"/>
      <c r="BR1983" s="1392" t="n"/>
      <c r="BS1983" s="1392" t="n"/>
      <c r="BT1983" s="1392" t="n"/>
      <c r="BU1983" s="1416" t="n"/>
      <c r="BV1983" s="1392" t="n"/>
      <c r="BW1983" s="1392" t="n"/>
      <c r="BX1983" s="1392" t="n"/>
      <c r="BY1983" s="1392" t="n"/>
      <c r="BZ1983" s="1416" t="n"/>
      <c r="CA1983" s="1392" t="n"/>
      <c r="CB1983" s="1392" t="n"/>
      <c r="CC1983" s="1392" t="n"/>
      <c r="CD1983" s="1392" t="n"/>
      <c r="CE1983" s="1392" t="n"/>
      <c r="CF1983" s="1392" t="n"/>
      <c r="CG1983" s="1392" t="n"/>
      <c r="CH1983" s="1392" t="n"/>
      <c r="CI1983" s="1392" t="n"/>
      <c r="CJ1983" s="1392" t="n"/>
      <c r="CK1983" s="1392" t="n"/>
      <c r="CL1983" s="1392" t="n"/>
    </row>
    <row r="1984">
      <c r="A1984" s="5" t="inlineStr">
        <is>
          <t>.</t>
        </is>
      </c>
      <c r="B1984" s="5" t="inlineStr">
        <is>
          <t>.</t>
        </is>
      </c>
      <c r="C1984" s="1378">
        <f>IF(raw[[#This Row],[city]]="","-",IF(raw[[#This Row],[city]]="TODAY","-",C1983+1))</f>
        <v/>
      </c>
      <c r="D1984" s="1393" t="n"/>
      <c r="E1984" s="1394" t="n"/>
      <c r="F1984" s="1394" t="n"/>
      <c r="G1984" s="1393" t="n"/>
      <c r="H1984" s="1393" t="n"/>
      <c r="I1984" s="1393" t="n"/>
      <c r="J1984" s="1393" t="n"/>
      <c r="K1984" s="1395">
        <f>IF(raw[[#This Row],[city]]&lt;&gt;"",_xlfn.XLOOKUP($D1984,ccc[city],ccc[prov],"-"),"-")</f>
        <v/>
      </c>
      <c r="L1984" s="1395">
        <f>IF(raw[[#This Row],[city]]&lt;&gt;"",_xlfn.XLOOKUP($D1984,ccc[city],ccc[ctry],"-"),"-")</f>
        <v/>
      </c>
      <c r="M1984" s="1395">
        <f>IF(raw[[#This Row],[city]]&lt;&gt;"",_xlfn.XLOOKUP($D1984,ccc[city],ccc[cont],"-"),"-")</f>
        <v/>
      </c>
      <c r="N1984" s="1396">
        <f>IF(raw[[#This Row],[city]]="","-",IF(raw[[#This Row],[cont]]="B",raw[[#This Row],[cont]],"W"))</f>
        <v/>
      </c>
      <c r="O1984" s="1397">
        <f>IF(raw[[#This Row],[out]]=0,0,IF(raw[[#This Row],[out]]=raw[[#This Row],[in]],0.01,raw[[#This Row],[out]]-raw[[#This Row],[in]]))</f>
        <v/>
      </c>
      <c r="P1984" s="1397">
        <f>IF(raw[[#This Row],[in]]=0,0,MONTH(raw[[#This Row],[in]]))</f>
        <v/>
      </c>
      <c r="Q1984" s="1397">
        <f>IF(raw[[#This Row],[in]]=0,0,YEAR(raw[[#This Row],[in]]))</f>
        <v/>
      </c>
      <c r="R1984" s="1397">
        <f>INT(raw[[#This Row],[yr]]/10)*10</f>
        <v/>
      </c>
      <c r="S1984" s="1395">
        <f>IF(raw[[#This Row],[city]]="","-",IF(raw[[#This Row],[city]]&lt;&gt;_xlfn.XLOOKUP(raw[[#This Row],[home]],homes[home],homes[city],"-"),1,0))</f>
        <v/>
      </c>
      <c r="T1984" s="1398" t="inlineStr">
        <is>
          <t>.</t>
        </is>
      </c>
      <c r="U1984" s="1399">
        <f>IF(raw[[#This Row],[wb]]="w",raw[[#This Row],[stay]]+U1983,U1983)</f>
        <v/>
      </c>
      <c r="V1984" s="1400">
        <f>IF(raw[[#This Row],[out]]=0,V1983,(raw[[#This Row],[out]]-E$5))</f>
        <v/>
      </c>
      <c r="W1984" s="1401">
        <f>U1984/V1984</f>
        <v/>
      </c>
      <c r="X1984" s="1392" t="n"/>
      <c r="Y1984" s="1392" t="n"/>
      <c r="Z1984" s="1422" t="n"/>
      <c r="AA1984" s="1422" t="n"/>
      <c r="AB1984" s="1392" t="n"/>
      <c r="AC1984" s="1392" t="n"/>
      <c r="AD1984" s="1392" t="n"/>
      <c r="AE1984" s="1392" t="n"/>
      <c r="AF1984" s="1392" t="n"/>
      <c r="AG1984" s="1392" t="n"/>
      <c r="AH1984" s="1392" t="n"/>
      <c r="AI1984" s="1392" t="n"/>
      <c r="AJ1984" s="1392" t="n"/>
      <c r="AK1984" s="1392" t="n"/>
      <c r="AL1984" s="1392" t="n"/>
      <c r="AM1984" s="1392" t="n"/>
      <c r="AN1984" s="1392" t="n"/>
      <c r="AO1984" s="1392" t="n"/>
      <c r="AP1984" s="1392" t="n"/>
      <c r="AQ1984" s="1392" t="n"/>
      <c r="AR1984" s="1392" t="n"/>
      <c r="AS1984" s="1422" t="n"/>
      <c r="AT1984" s="1392" t="n"/>
      <c r="AU1984" s="1392" t="n"/>
      <c r="AV1984" s="1392" t="n"/>
      <c r="AW1984" s="1392" t="n"/>
      <c r="AX1984" s="1392" t="n"/>
      <c r="AY1984" s="1392" t="n"/>
      <c r="AZ1984" s="1392" t="n"/>
      <c r="BA1984" s="1392" t="n"/>
      <c r="BB1984" s="1422" t="n"/>
      <c r="BC1984" s="1392" t="n"/>
      <c r="BD1984" s="1392" t="n"/>
      <c r="BE1984" s="1392" t="n"/>
      <c r="BF1984" s="1392" t="n"/>
      <c r="BG1984" s="1392" t="n"/>
      <c r="BH1984" s="1392" t="n"/>
      <c r="BI1984" s="1392" t="n"/>
      <c r="BJ1984" s="1392" t="n"/>
      <c r="BK1984" s="1392" t="n"/>
      <c r="BL1984" s="1392" t="n"/>
      <c r="BM1984" s="1392" t="n"/>
      <c r="BN1984" s="1392" t="n"/>
      <c r="BO1984" s="1392" t="n"/>
      <c r="BP1984" s="1392" t="n"/>
      <c r="BQ1984" s="1392" t="n"/>
      <c r="BR1984" s="1392" t="n"/>
      <c r="BS1984" s="1392" t="n"/>
      <c r="BT1984" s="1392" t="n"/>
      <c r="BU1984" s="1416" t="n"/>
      <c r="BV1984" s="1392" t="n"/>
      <c r="BW1984" s="1392" t="n"/>
      <c r="BX1984" s="1392" t="n"/>
      <c r="BY1984" s="1392" t="n"/>
      <c r="BZ1984" s="1416" t="n"/>
      <c r="CA1984" s="1392" t="n"/>
      <c r="CB1984" s="1392" t="n"/>
      <c r="CC1984" s="1392" t="n"/>
      <c r="CD1984" s="1392" t="n"/>
      <c r="CE1984" s="1392" t="n"/>
      <c r="CF1984" s="1392" t="n"/>
      <c r="CG1984" s="1392" t="n"/>
      <c r="CH1984" s="1392" t="n"/>
      <c r="CI1984" s="1392" t="n"/>
      <c r="CJ1984" s="1392" t="n"/>
      <c r="CK1984" s="1392" t="n"/>
      <c r="CL1984" s="1392" t="n"/>
    </row>
    <row r="1985">
      <c r="A1985" s="5" t="inlineStr">
        <is>
          <t>.</t>
        </is>
      </c>
      <c r="B1985" s="5" t="inlineStr">
        <is>
          <t>.</t>
        </is>
      </c>
      <c r="C1985" s="1378">
        <f>IF(raw[[#This Row],[city]]="","-",IF(raw[[#This Row],[city]]="TODAY","-",C1984+1))</f>
        <v/>
      </c>
      <c r="D1985" s="1393" t="n"/>
      <c r="E1985" s="1394" t="n"/>
      <c r="F1985" s="1394" t="n"/>
      <c r="G1985" s="1393" t="n"/>
      <c r="H1985" s="1393" t="n"/>
      <c r="I1985" s="1393" t="n"/>
      <c r="J1985" s="1393" t="n"/>
      <c r="K1985" s="1395">
        <f>IF(raw[[#This Row],[city]]&lt;&gt;"",_xlfn.XLOOKUP($D1985,ccc[city],ccc[prov],"-"),"-")</f>
        <v/>
      </c>
      <c r="L1985" s="1395">
        <f>IF(raw[[#This Row],[city]]&lt;&gt;"",_xlfn.XLOOKUP($D1985,ccc[city],ccc[ctry],"-"),"-")</f>
        <v/>
      </c>
      <c r="M1985" s="1395">
        <f>IF(raw[[#This Row],[city]]&lt;&gt;"",_xlfn.XLOOKUP($D1985,ccc[city],ccc[cont],"-"),"-")</f>
        <v/>
      </c>
      <c r="N1985" s="1396">
        <f>IF(raw[[#This Row],[city]]="","-",IF(raw[[#This Row],[cont]]="B",raw[[#This Row],[cont]],"W"))</f>
        <v/>
      </c>
      <c r="O1985" s="1397">
        <f>IF(raw[[#This Row],[out]]=0,0,IF(raw[[#This Row],[out]]=raw[[#This Row],[in]],0.01,raw[[#This Row],[out]]-raw[[#This Row],[in]]))</f>
        <v/>
      </c>
      <c r="P1985" s="1397">
        <f>IF(raw[[#This Row],[in]]=0,0,MONTH(raw[[#This Row],[in]]))</f>
        <v/>
      </c>
      <c r="Q1985" s="1397">
        <f>IF(raw[[#This Row],[in]]=0,0,YEAR(raw[[#This Row],[in]]))</f>
        <v/>
      </c>
      <c r="R1985" s="1397">
        <f>INT(raw[[#This Row],[yr]]/10)*10</f>
        <v/>
      </c>
      <c r="S1985" s="1395">
        <f>IF(raw[[#This Row],[city]]="","-",IF(raw[[#This Row],[city]]&lt;&gt;_xlfn.XLOOKUP(raw[[#This Row],[home]],homes[home],homes[city],"-"),1,0))</f>
        <v/>
      </c>
      <c r="T1985" s="1398" t="inlineStr">
        <is>
          <t>.</t>
        </is>
      </c>
      <c r="U1985" s="1399">
        <f>IF(raw[[#This Row],[wb]]="w",raw[[#This Row],[stay]]+U1984,U1984)</f>
        <v/>
      </c>
      <c r="V1985" s="1400">
        <f>IF(raw[[#This Row],[out]]=0,V1984,(raw[[#This Row],[out]]-E$5))</f>
        <v/>
      </c>
      <c r="W1985" s="1401">
        <f>U1985/V1985</f>
        <v/>
      </c>
      <c r="X1985" s="1392" t="n"/>
      <c r="Y1985" s="1392" t="n"/>
      <c r="Z1985" s="1422" t="n"/>
      <c r="AA1985" s="1422" t="n"/>
      <c r="AB1985" s="1392" t="n"/>
      <c r="AC1985" s="1392" t="n"/>
      <c r="AD1985" s="1392" t="n"/>
      <c r="AE1985" s="1392" t="n"/>
      <c r="AF1985" s="1392" t="n"/>
      <c r="AG1985" s="1392" t="n"/>
      <c r="AH1985" s="1392" t="n"/>
      <c r="AI1985" s="1392" t="n"/>
      <c r="AJ1985" s="1392" t="n"/>
      <c r="AK1985" s="1392" t="n"/>
      <c r="AL1985" s="1392" t="n"/>
      <c r="AM1985" s="1392" t="n"/>
      <c r="AN1985" s="1392" t="n"/>
      <c r="AO1985" s="1392" t="n"/>
      <c r="AP1985" s="1392" t="n"/>
      <c r="AQ1985" s="1392" t="n"/>
      <c r="AR1985" s="1392" t="n"/>
      <c r="AS1985" s="1422" t="n"/>
      <c r="AT1985" s="1392" t="n"/>
      <c r="AU1985" s="1392" t="n"/>
      <c r="AV1985" s="1392" t="n"/>
      <c r="AW1985" s="1392" t="n"/>
      <c r="AX1985" s="1392" t="n"/>
      <c r="AY1985" s="1392" t="n"/>
      <c r="AZ1985" s="1392" t="n"/>
      <c r="BA1985" s="1392" t="n"/>
      <c r="BB1985" s="1422" t="n"/>
      <c r="BC1985" s="1392" t="n"/>
      <c r="BD1985" s="1392" t="n"/>
      <c r="BE1985" s="1392" t="n"/>
      <c r="BF1985" s="1392" t="n"/>
      <c r="BG1985" s="1392" t="n"/>
      <c r="BH1985" s="1392" t="n"/>
      <c r="BI1985" s="1392" t="n"/>
      <c r="BJ1985" s="1392" t="n"/>
      <c r="BK1985" s="1392" t="n"/>
      <c r="BL1985" s="1392" t="n"/>
      <c r="BM1985" s="1392" t="n"/>
      <c r="BN1985" s="1392" t="n"/>
      <c r="BO1985" s="1392" t="n"/>
      <c r="BP1985" s="1392" t="n"/>
      <c r="BQ1985" s="1392" t="n"/>
      <c r="BR1985" s="1392" t="n"/>
      <c r="BS1985" s="1392" t="n"/>
      <c r="BT1985" s="1392" t="n"/>
      <c r="BU1985" s="1416" t="n"/>
      <c r="BV1985" s="1392" t="n"/>
      <c r="BW1985" s="1392" t="n"/>
      <c r="BX1985" s="1392" t="n"/>
      <c r="BY1985" s="1392" t="n"/>
      <c r="BZ1985" s="1416" t="n"/>
      <c r="CA1985" s="1392" t="n"/>
      <c r="CB1985" s="1392" t="n"/>
      <c r="CC1985" s="1392" t="n"/>
      <c r="CD1985" s="1392" t="n"/>
      <c r="CE1985" s="1392" t="n"/>
      <c r="CF1985" s="1392" t="n"/>
      <c r="CG1985" s="1392" t="n"/>
      <c r="CH1985" s="1392" t="n"/>
      <c r="CI1985" s="1392" t="n"/>
      <c r="CJ1985" s="1392" t="n"/>
      <c r="CK1985" s="1392" t="n"/>
      <c r="CL1985" s="1392" t="n"/>
    </row>
    <row r="1986">
      <c r="A1986" s="5" t="inlineStr">
        <is>
          <t>.</t>
        </is>
      </c>
      <c r="B1986" s="5" t="inlineStr">
        <is>
          <t>.</t>
        </is>
      </c>
      <c r="C1986" s="1378">
        <f>IF(raw[[#This Row],[city]]="","-",IF(raw[[#This Row],[city]]="TODAY","-",C1985+1))</f>
        <v/>
      </c>
      <c r="D1986" s="1393" t="n"/>
      <c r="E1986" s="1394" t="n"/>
      <c r="F1986" s="1394" t="n"/>
      <c r="G1986" s="1393" t="n"/>
      <c r="H1986" s="1393" t="n"/>
      <c r="I1986" s="1393" t="n"/>
      <c r="J1986" s="1393" t="n"/>
      <c r="K1986" s="1395">
        <f>IF(raw[[#This Row],[city]]&lt;&gt;"",_xlfn.XLOOKUP($D1986,ccc[city],ccc[prov],"-"),"-")</f>
        <v/>
      </c>
      <c r="L1986" s="1395">
        <f>IF(raw[[#This Row],[city]]&lt;&gt;"",_xlfn.XLOOKUP($D1986,ccc[city],ccc[ctry],"-"),"-")</f>
        <v/>
      </c>
      <c r="M1986" s="1395">
        <f>IF(raw[[#This Row],[city]]&lt;&gt;"",_xlfn.XLOOKUP($D1986,ccc[city],ccc[cont],"-"),"-")</f>
        <v/>
      </c>
      <c r="N1986" s="1396">
        <f>IF(raw[[#This Row],[city]]="","-",IF(raw[[#This Row],[cont]]="B",raw[[#This Row],[cont]],"W"))</f>
        <v/>
      </c>
      <c r="O1986" s="1397">
        <f>IF(raw[[#This Row],[out]]=0,0,IF(raw[[#This Row],[out]]=raw[[#This Row],[in]],0.01,raw[[#This Row],[out]]-raw[[#This Row],[in]]))</f>
        <v/>
      </c>
      <c r="P1986" s="1397">
        <f>IF(raw[[#This Row],[in]]=0,0,MONTH(raw[[#This Row],[in]]))</f>
        <v/>
      </c>
      <c r="Q1986" s="1397">
        <f>IF(raw[[#This Row],[in]]=0,0,YEAR(raw[[#This Row],[in]]))</f>
        <v/>
      </c>
      <c r="R1986" s="1397">
        <f>INT(raw[[#This Row],[yr]]/10)*10</f>
        <v/>
      </c>
      <c r="S1986" s="1395">
        <f>IF(raw[[#This Row],[city]]="","-",IF(raw[[#This Row],[city]]&lt;&gt;_xlfn.XLOOKUP(raw[[#This Row],[home]],homes[home],homes[city],"-"),1,0))</f>
        <v/>
      </c>
      <c r="T1986" s="1398" t="inlineStr">
        <is>
          <t>.</t>
        </is>
      </c>
      <c r="U1986" s="1399">
        <f>IF(raw[[#This Row],[wb]]="w",raw[[#This Row],[stay]]+U1985,U1985)</f>
        <v/>
      </c>
      <c r="V1986" s="1400">
        <f>IF(raw[[#This Row],[out]]=0,V1985,(raw[[#This Row],[out]]-E$5))</f>
        <v/>
      </c>
      <c r="W1986" s="1401">
        <f>U1986/V1986</f>
        <v/>
      </c>
      <c r="X1986" s="1392" t="n"/>
      <c r="Y1986" s="1392" t="n"/>
      <c r="Z1986" s="1422" t="n"/>
      <c r="AA1986" s="1422" t="n"/>
      <c r="AB1986" s="1392" t="n"/>
      <c r="AC1986" s="1392" t="n"/>
      <c r="AD1986" s="1392" t="n"/>
      <c r="AE1986" s="1392" t="n"/>
      <c r="AF1986" s="1392" t="n"/>
      <c r="AG1986" s="1392" t="n"/>
      <c r="AH1986" s="1392" t="n"/>
      <c r="AI1986" s="1392" t="n"/>
      <c r="AJ1986" s="1392" t="n"/>
      <c r="AK1986" s="1392" t="n"/>
      <c r="AL1986" s="1392" t="n"/>
      <c r="AM1986" s="1392" t="n"/>
      <c r="AN1986" s="1392" t="n"/>
      <c r="AO1986" s="1392" t="n"/>
      <c r="AP1986" s="1392" t="n"/>
      <c r="AQ1986" s="1392" t="n"/>
      <c r="AR1986" s="1392" t="n"/>
      <c r="AS1986" s="1422" t="n"/>
      <c r="AT1986" s="1392" t="n"/>
      <c r="AU1986" s="1392" t="n"/>
      <c r="AV1986" s="1392" t="n"/>
      <c r="AW1986" s="1392" t="n"/>
      <c r="AX1986" s="1392" t="n"/>
      <c r="AY1986" s="1392" t="n"/>
      <c r="AZ1986" s="1392" t="n"/>
      <c r="BA1986" s="1392" t="n"/>
      <c r="BB1986" s="1422" t="n"/>
      <c r="BC1986" s="1392" t="n"/>
      <c r="BD1986" s="1392" t="n"/>
      <c r="BE1986" s="1392" t="n"/>
      <c r="BF1986" s="1392" t="n"/>
      <c r="BG1986" s="1392" t="n"/>
      <c r="BH1986" s="1392" t="n"/>
      <c r="BI1986" s="1392" t="n"/>
      <c r="BJ1986" s="1392" t="n"/>
      <c r="BK1986" s="1392" t="n"/>
      <c r="BL1986" s="1392" t="n"/>
      <c r="BM1986" s="1392" t="n"/>
      <c r="BN1986" s="1392" t="n"/>
      <c r="BO1986" s="1392" t="n"/>
      <c r="BP1986" s="1392" t="n"/>
      <c r="BQ1986" s="1392" t="n"/>
      <c r="BR1986" s="1392" t="n"/>
      <c r="BS1986" s="1392" t="n"/>
      <c r="BT1986" s="1392" t="n"/>
      <c r="BU1986" s="1416" t="n"/>
      <c r="BV1986" s="1392" t="n"/>
      <c r="BW1986" s="1392" t="n"/>
      <c r="BX1986" s="1392" t="n"/>
      <c r="BY1986" s="1392" t="n"/>
      <c r="BZ1986" s="1416" t="n"/>
      <c r="CA1986" s="1392" t="n"/>
      <c r="CB1986" s="1392" t="n"/>
      <c r="CC1986" s="1392" t="n"/>
      <c r="CD1986" s="1392" t="n"/>
      <c r="CE1986" s="1392" t="n"/>
      <c r="CF1986" s="1392" t="n"/>
      <c r="CG1986" s="1392" t="n"/>
      <c r="CH1986" s="1392" t="n"/>
      <c r="CI1986" s="1392" t="n"/>
      <c r="CJ1986" s="1392" t="n"/>
      <c r="CK1986" s="1392" t="n"/>
      <c r="CL1986" s="1392" t="n"/>
    </row>
    <row r="1987">
      <c r="A1987" s="5" t="inlineStr">
        <is>
          <t>.</t>
        </is>
      </c>
      <c r="B1987" s="5" t="inlineStr">
        <is>
          <t>.</t>
        </is>
      </c>
      <c r="C1987" s="1378">
        <f>IF(raw[[#This Row],[city]]="","-",IF(raw[[#This Row],[city]]="TODAY","-",C1986+1))</f>
        <v/>
      </c>
      <c r="D1987" s="1393" t="n"/>
      <c r="E1987" s="1394" t="n"/>
      <c r="F1987" s="1394" t="n"/>
      <c r="G1987" s="1393" t="n"/>
      <c r="H1987" s="1393" t="n"/>
      <c r="I1987" s="1393" t="n"/>
      <c r="J1987" s="1393" t="n"/>
      <c r="K1987" s="1395">
        <f>IF(raw[[#This Row],[city]]&lt;&gt;"",_xlfn.XLOOKUP($D1987,ccc[city],ccc[prov],"-"),"-")</f>
        <v/>
      </c>
      <c r="L1987" s="1395">
        <f>IF(raw[[#This Row],[city]]&lt;&gt;"",_xlfn.XLOOKUP($D1987,ccc[city],ccc[ctry],"-"),"-")</f>
        <v/>
      </c>
      <c r="M1987" s="1395">
        <f>IF(raw[[#This Row],[city]]&lt;&gt;"",_xlfn.XLOOKUP($D1987,ccc[city],ccc[cont],"-"),"-")</f>
        <v/>
      </c>
      <c r="N1987" s="1396">
        <f>IF(raw[[#This Row],[city]]="","-",IF(raw[[#This Row],[cont]]="B",raw[[#This Row],[cont]],"W"))</f>
        <v/>
      </c>
      <c r="O1987" s="1397">
        <f>IF(raw[[#This Row],[out]]=0,0,IF(raw[[#This Row],[out]]=raw[[#This Row],[in]],0.01,raw[[#This Row],[out]]-raw[[#This Row],[in]]))</f>
        <v/>
      </c>
      <c r="P1987" s="1397">
        <f>IF(raw[[#This Row],[in]]=0,0,MONTH(raw[[#This Row],[in]]))</f>
        <v/>
      </c>
      <c r="Q1987" s="1397">
        <f>IF(raw[[#This Row],[in]]=0,0,YEAR(raw[[#This Row],[in]]))</f>
        <v/>
      </c>
      <c r="R1987" s="1397">
        <f>INT(raw[[#This Row],[yr]]/10)*10</f>
        <v/>
      </c>
      <c r="S1987" s="1395">
        <f>IF(raw[[#This Row],[city]]="","-",IF(raw[[#This Row],[city]]&lt;&gt;_xlfn.XLOOKUP(raw[[#This Row],[home]],homes[home],homes[city],"-"),1,0))</f>
        <v/>
      </c>
      <c r="T1987" s="1398" t="inlineStr">
        <is>
          <t>.</t>
        </is>
      </c>
      <c r="U1987" s="1399">
        <f>IF(raw[[#This Row],[wb]]="w",raw[[#This Row],[stay]]+U1986,U1986)</f>
        <v/>
      </c>
      <c r="V1987" s="1400">
        <f>IF(raw[[#This Row],[out]]=0,V1986,(raw[[#This Row],[out]]-E$5))</f>
        <v/>
      </c>
      <c r="W1987" s="1401">
        <f>U1987/V1987</f>
        <v/>
      </c>
      <c r="X1987" s="1392" t="n"/>
      <c r="Y1987" s="1392" t="n"/>
      <c r="Z1987" s="1422" t="n"/>
      <c r="AA1987" s="1422" t="n"/>
      <c r="AB1987" s="1392" t="n"/>
      <c r="AC1987" s="1392" t="n"/>
      <c r="AD1987" s="1392" t="n"/>
      <c r="AE1987" s="1392" t="n"/>
      <c r="AF1987" s="1392" t="n"/>
      <c r="AG1987" s="1392" t="n"/>
      <c r="AH1987" s="1392" t="n"/>
      <c r="AI1987" s="1392" t="n"/>
      <c r="AJ1987" s="1392" t="n"/>
      <c r="AK1987" s="1392" t="n"/>
      <c r="AL1987" s="1392" t="n"/>
      <c r="AM1987" s="1392" t="n"/>
      <c r="AN1987" s="1392" t="n"/>
      <c r="AO1987" s="1392" t="n"/>
      <c r="AP1987" s="1392" t="n"/>
      <c r="AQ1987" s="1392" t="n"/>
      <c r="AR1987" s="1392" t="n"/>
      <c r="AS1987" s="1422" t="n"/>
      <c r="AT1987" s="1392" t="n"/>
      <c r="AU1987" s="1392" t="n"/>
      <c r="AV1987" s="1392" t="n"/>
      <c r="AW1987" s="1392" t="n"/>
      <c r="AX1987" s="1392" t="n"/>
      <c r="AY1987" s="1392" t="n"/>
      <c r="AZ1987" s="1392" t="n"/>
      <c r="BA1987" s="1392" t="n"/>
      <c r="BB1987" s="1422" t="n"/>
      <c r="BC1987" s="1392" t="n"/>
      <c r="BD1987" s="1392" t="n"/>
      <c r="BE1987" s="1392" t="n"/>
      <c r="BF1987" s="1392" t="n"/>
      <c r="BG1987" s="1392" t="n"/>
      <c r="BH1987" s="1392" t="n"/>
      <c r="BI1987" s="1392" t="n"/>
      <c r="BJ1987" s="1392" t="n"/>
      <c r="BK1987" s="1392" t="n"/>
      <c r="BL1987" s="1392" t="n"/>
      <c r="BM1987" s="1392" t="n"/>
      <c r="BN1987" s="1392" t="n"/>
      <c r="BO1987" s="1392" t="n"/>
      <c r="BP1987" s="1392" t="n"/>
      <c r="BQ1987" s="1392" t="n"/>
      <c r="BR1987" s="1392" t="n"/>
      <c r="BS1987" s="1392" t="n"/>
      <c r="BT1987" s="1392" t="n"/>
      <c r="BU1987" s="1416" t="n"/>
      <c r="BV1987" s="1392" t="n"/>
      <c r="BW1987" s="1392" t="n"/>
      <c r="BX1987" s="1392" t="n"/>
      <c r="BY1987" s="1392" t="n"/>
      <c r="BZ1987" s="1416" t="n"/>
      <c r="CA1987" s="1392" t="n"/>
      <c r="CB1987" s="1392" t="n"/>
      <c r="CC1987" s="1392" t="n"/>
      <c r="CD1987" s="1392" t="n"/>
      <c r="CE1987" s="1392" t="n"/>
      <c r="CF1987" s="1392" t="n"/>
      <c r="CG1987" s="1392" t="n"/>
      <c r="CH1987" s="1392" t="n"/>
      <c r="CI1987" s="1392" t="n"/>
      <c r="CJ1987" s="1392" t="n"/>
      <c r="CK1987" s="1392" t="n"/>
      <c r="CL1987" s="1392" t="n"/>
    </row>
    <row r="1988">
      <c r="A1988" s="5" t="inlineStr">
        <is>
          <t>.</t>
        </is>
      </c>
      <c r="B1988" s="5" t="inlineStr">
        <is>
          <t>.</t>
        </is>
      </c>
      <c r="C1988" s="1378">
        <f>IF(raw[[#This Row],[city]]="","-",IF(raw[[#This Row],[city]]="TODAY","-",C1987+1))</f>
        <v/>
      </c>
      <c r="D1988" s="1393" t="n"/>
      <c r="E1988" s="1394" t="n"/>
      <c r="F1988" s="1394" t="n"/>
      <c r="G1988" s="1393" t="n"/>
      <c r="H1988" s="1393" t="n"/>
      <c r="I1988" s="1393" t="n"/>
      <c r="J1988" s="1393" t="n"/>
      <c r="K1988" s="1395">
        <f>IF(raw[[#This Row],[city]]&lt;&gt;"",_xlfn.XLOOKUP($D1988,ccc[city],ccc[prov],"-"),"-")</f>
        <v/>
      </c>
      <c r="L1988" s="1395">
        <f>IF(raw[[#This Row],[city]]&lt;&gt;"",_xlfn.XLOOKUP($D1988,ccc[city],ccc[ctry],"-"),"-")</f>
        <v/>
      </c>
      <c r="M1988" s="1395">
        <f>IF(raw[[#This Row],[city]]&lt;&gt;"",_xlfn.XLOOKUP($D1988,ccc[city],ccc[cont],"-"),"-")</f>
        <v/>
      </c>
      <c r="N1988" s="1396">
        <f>IF(raw[[#This Row],[city]]="","-",IF(raw[[#This Row],[cont]]="B",raw[[#This Row],[cont]],"W"))</f>
        <v/>
      </c>
      <c r="O1988" s="1397">
        <f>IF(raw[[#This Row],[out]]=0,0,IF(raw[[#This Row],[out]]=raw[[#This Row],[in]],0.01,raw[[#This Row],[out]]-raw[[#This Row],[in]]))</f>
        <v/>
      </c>
      <c r="P1988" s="1397">
        <f>IF(raw[[#This Row],[in]]=0,0,MONTH(raw[[#This Row],[in]]))</f>
        <v/>
      </c>
      <c r="Q1988" s="1397">
        <f>IF(raw[[#This Row],[in]]=0,0,YEAR(raw[[#This Row],[in]]))</f>
        <v/>
      </c>
      <c r="R1988" s="1397">
        <f>INT(raw[[#This Row],[yr]]/10)*10</f>
        <v/>
      </c>
      <c r="S1988" s="1395">
        <f>IF(raw[[#This Row],[city]]="","-",IF(raw[[#This Row],[city]]&lt;&gt;_xlfn.XLOOKUP(raw[[#This Row],[home]],homes[home],homes[city],"-"),1,0))</f>
        <v/>
      </c>
      <c r="T1988" s="1398" t="inlineStr">
        <is>
          <t>.</t>
        </is>
      </c>
      <c r="U1988" s="1399">
        <f>IF(raw[[#This Row],[wb]]="w",raw[[#This Row],[stay]]+U1987,U1987)</f>
        <v/>
      </c>
      <c r="V1988" s="1400">
        <f>IF(raw[[#This Row],[out]]=0,V1987,(raw[[#This Row],[out]]-E$5))</f>
        <v/>
      </c>
      <c r="W1988" s="1401">
        <f>U1988/V1988</f>
        <v/>
      </c>
      <c r="X1988" s="1392" t="n"/>
      <c r="Y1988" s="1392" t="n"/>
      <c r="Z1988" s="1422" t="n"/>
      <c r="AA1988" s="1422" t="n"/>
      <c r="AB1988" s="1392" t="n"/>
      <c r="AC1988" s="1392" t="n"/>
      <c r="AD1988" s="1392" t="n"/>
      <c r="AE1988" s="1392" t="n"/>
      <c r="AF1988" s="1392" t="n"/>
      <c r="AG1988" s="1392" t="n"/>
      <c r="AH1988" s="1392" t="n"/>
      <c r="AI1988" s="1392" t="n"/>
      <c r="AJ1988" s="1392" t="n"/>
      <c r="AK1988" s="1392" t="n"/>
      <c r="AL1988" s="1392" t="n"/>
      <c r="AM1988" s="1392" t="n"/>
      <c r="AN1988" s="1392" t="n"/>
      <c r="AO1988" s="1392" t="n"/>
      <c r="AP1988" s="1392" t="n"/>
      <c r="AQ1988" s="1392" t="n"/>
      <c r="AR1988" s="1392" t="n"/>
      <c r="AS1988" s="1422" t="n"/>
      <c r="AT1988" s="1392" t="n"/>
      <c r="AU1988" s="1392" t="n"/>
      <c r="AV1988" s="1392" t="n"/>
      <c r="AW1988" s="1392" t="n"/>
      <c r="AX1988" s="1392" t="n"/>
      <c r="AY1988" s="1392" t="n"/>
      <c r="AZ1988" s="1392" t="n"/>
      <c r="BA1988" s="1392" t="n"/>
      <c r="BB1988" s="1422" t="n"/>
      <c r="BC1988" s="1392" t="n"/>
      <c r="BD1988" s="1392" t="n"/>
      <c r="BE1988" s="1392" t="n"/>
      <c r="BF1988" s="1392" t="n"/>
      <c r="BG1988" s="1392" t="n"/>
      <c r="BH1988" s="1392" t="n"/>
      <c r="BI1988" s="1392" t="n"/>
      <c r="BJ1988" s="1392" t="n"/>
      <c r="BK1988" s="1392" t="n"/>
      <c r="BL1988" s="1392" t="n"/>
      <c r="BM1988" s="1392" t="n"/>
      <c r="BN1988" s="1392" t="n"/>
      <c r="BO1988" s="1392" t="n"/>
      <c r="BP1988" s="1392" t="n"/>
      <c r="BQ1988" s="1392" t="n"/>
      <c r="BR1988" s="1392" t="n"/>
      <c r="BS1988" s="1392" t="n"/>
      <c r="BT1988" s="1392" t="n"/>
      <c r="BU1988" s="1416" t="n"/>
      <c r="BV1988" s="1392" t="n"/>
      <c r="BW1988" s="1392" t="n"/>
      <c r="BX1988" s="1392" t="n"/>
      <c r="BY1988" s="1392" t="n"/>
      <c r="BZ1988" s="1416" t="n"/>
      <c r="CA1988" s="1392" t="n"/>
      <c r="CB1988" s="1392" t="n"/>
      <c r="CC1988" s="1392" t="n"/>
      <c r="CD1988" s="1392" t="n"/>
      <c r="CE1988" s="1392" t="n"/>
      <c r="CF1988" s="1392" t="n"/>
      <c r="CG1988" s="1392" t="n"/>
      <c r="CH1988" s="1392" t="n"/>
      <c r="CI1988" s="1392" t="n"/>
      <c r="CJ1988" s="1392" t="n"/>
      <c r="CK1988" s="1392" t="n"/>
      <c r="CL1988" s="1392" t="n"/>
    </row>
    <row r="1989">
      <c r="A1989" s="5" t="inlineStr">
        <is>
          <t>.</t>
        </is>
      </c>
      <c r="B1989" s="5" t="inlineStr">
        <is>
          <t>.</t>
        </is>
      </c>
      <c r="C1989" s="1378">
        <f>IF(raw[[#This Row],[city]]="","-",IF(raw[[#This Row],[city]]="TODAY","-",C1988+1))</f>
        <v/>
      </c>
      <c r="D1989" s="1393" t="n"/>
      <c r="E1989" s="1394" t="n"/>
      <c r="F1989" s="1394" t="n"/>
      <c r="G1989" s="1393" t="n"/>
      <c r="H1989" s="1393" t="n"/>
      <c r="I1989" s="1393" t="n"/>
      <c r="J1989" s="1393" t="n"/>
      <c r="K1989" s="1395">
        <f>IF(raw[[#This Row],[city]]&lt;&gt;"",_xlfn.XLOOKUP($D1989,ccc[city],ccc[prov],"-"),"-")</f>
        <v/>
      </c>
      <c r="L1989" s="1395">
        <f>IF(raw[[#This Row],[city]]&lt;&gt;"",_xlfn.XLOOKUP($D1989,ccc[city],ccc[ctry],"-"),"-")</f>
        <v/>
      </c>
      <c r="M1989" s="1395">
        <f>IF(raw[[#This Row],[city]]&lt;&gt;"",_xlfn.XLOOKUP($D1989,ccc[city],ccc[cont],"-"),"-")</f>
        <v/>
      </c>
      <c r="N1989" s="1396">
        <f>IF(raw[[#This Row],[city]]="","-",IF(raw[[#This Row],[cont]]="B",raw[[#This Row],[cont]],"W"))</f>
        <v/>
      </c>
      <c r="O1989" s="1397">
        <f>IF(raw[[#This Row],[out]]=0,0,IF(raw[[#This Row],[out]]=raw[[#This Row],[in]],0.01,raw[[#This Row],[out]]-raw[[#This Row],[in]]))</f>
        <v/>
      </c>
      <c r="P1989" s="1397">
        <f>IF(raw[[#This Row],[in]]=0,0,MONTH(raw[[#This Row],[in]]))</f>
        <v/>
      </c>
      <c r="Q1989" s="1397">
        <f>IF(raw[[#This Row],[in]]=0,0,YEAR(raw[[#This Row],[in]]))</f>
        <v/>
      </c>
      <c r="R1989" s="1397">
        <f>INT(raw[[#This Row],[yr]]/10)*10</f>
        <v/>
      </c>
      <c r="S1989" s="1395">
        <f>IF(raw[[#This Row],[city]]="","-",IF(raw[[#This Row],[city]]&lt;&gt;_xlfn.XLOOKUP(raw[[#This Row],[home]],homes[home],homes[city],"-"),1,0))</f>
        <v/>
      </c>
      <c r="T1989" s="1398" t="inlineStr">
        <is>
          <t>.</t>
        </is>
      </c>
      <c r="U1989" s="1399">
        <f>IF(raw[[#This Row],[wb]]="w",raw[[#This Row],[stay]]+U1988,U1988)</f>
        <v/>
      </c>
      <c r="V1989" s="1400">
        <f>IF(raw[[#This Row],[out]]=0,V1988,(raw[[#This Row],[out]]-E$5))</f>
        <v/>
      </c>
      <c r="W1989" s="1401">
        <f>U1989/V1989</f>
        <v/>
      </c>
      <c r="X1989" s="1392" t="n"/>
      <c r="Y1989" s="1392" t="n"/>
      <c r="Z1989" s="1422" t="n"/>
      <c r="AA1989" s="1422" t="n"/>
      <c r="AB1989" s="1392" t="n"/>
      <c r="AC1989" s="1392" t="n"/>
      <c r="AD1989" s="1392" t="n"/>
      <c r="AE1989" s="1392" t="n"/>
      <c r="AF1989" s="1392" t="n"/>
      <c r="AG1989" s="1392" t="n"/>
      <c r="AH1989" s="1392" t="n"/>
      <c r="AI1989" s="1392" t="n"/>
      <c r="AJ1989" s="1392" t="n"/>
      <c r="AK1989" s="1392" t="n"/>
      <c r="AL1989" s="1392" t="n"/>
      <c r="AM1989" s="1392" t="n"/>
      <c r="AN1989" s="1392" t="n"/>
      <c r="AO1989" s="1392" t="n"/>
      <c r="AP1989" s="1392" t="n"/>
      <c r="AQ1989" s="1392" t="n"/>
      <c r="AR1989" s="1392" t="n"/>
      <c r="AS1989" s="1422" t="n"/>
      <c r="AT1989" s="1392" t="n"/>
      <c r="AU1989" s="1392" t="n"/>
      <c r="AV1989" s="1392" t="n"/>
      <c r="AW1989" s="1392" t="n"/>
      <c r="AX1989" s="1392" t="n"/>
      <c r="AY1989" s="1392" t="n"/>
      <c r="AZ1989" s="1392" t="n"/>
      <c r="BA1989" s="1392" t="n"/>
      <c r="BB1989" s="1422" t="n"/>
      <c r="BC1989" s="1392" t="n"/>
      <c r="BD1989" s="1392" t="n"/>
      <c r="BE1989" s="1392" t="n"/>
      <c r="BF1989" s="1392" t="n"/>
      <c r="BG1989" s="1392" t="n"/>
      <c r="BH1989" s="1392" t="n"/>
      <c r="BI1989" s="1392" t="n"/>
      <c r="BJ1989" s="1392" t="n"/>
      <c r="BK1989" s="1392" t="n"/>
      <c r="BL1989" s="1392" t="n"/>
      <c r="BM1989" s="1392" t="n"/>
      <c r="BN1989" s="1392" t="n"/>
      <c r="BO1989" s="1392" t="n"/>
      <c r="BP1989" s="1392" t="n"/>
      <c r="BQ1989" s="1392" t="n"/>
      <c r="BR1989" s="1392" t="n"/>
      <c r="BS1989" s="1392" t="n"/>
      <c r="BT1989" s="1392" t="n"/>
      <c r="BU1989" s="1416" t="n"/>
      <c r="BV1989" s="1392" t="n"/>
      <c r="BW1989" s="1392" t="n"/>
      <c r="BX1989" s="1392" t="n"/>
      <c r="BY1989" s="1392" t="n"/>
      <c r="BZ1989" s="1416" t="n"/>
      <c r="CA1989" s="1392" t="n"/>
      <c r="CB1989" s="1392" t="n"/>
      <c r="CC1989" s="1392" t="n"/>
      <c r="CD1989" s="1392" t="n"/>
      <c r="CE1989" s="1392" t="n"/>
      <c r="CF1989" s="1392" t="n"/>
      <c r="CG1989" s="1392" t="n"/>
      <c r="CH1989" s="1392" t="n"/>
      <c r="CI1989" s="1392" t="n"/>
      <c r="CJ1989" s="1392" t="n"/>
      <c r="CK1989" s="1392" t="n"/>
      <c r="CL1989" s="1392" t="n"/>
    </row>
    <row r="1990">
      <c r="A1990" s="5" t="inlineStr">
        <is>
          <t>.</t>
        </is>
      </c>
      <c r="B1990" s="5" t="inlineStr">
        <is>
          <t>.</t>
        </is>
      </c>
      <c r="C1990" s="1378">
        <f>IF(raw[[#This Row],[city]]="","-",IF(raw[[#This Row],[city]]="TODAY","-",C1989+1))</f>
        <v/>
      </c>
      <c r="D1990" s="1393" t="n"/>
      <c r="E1990" s="1394" t="n"/>
      <c r="F1990" s="1394" t="n"/>
      <c r="G1990" s="1393" t="n"/>
      <c r="H1990" s="1393" t="n"/>
      <c r="I1990" s="1393" t="n"/>
      <c r="J1990" s="1393" t="n"/>
      <c r="K1990" s="1395">
        <f>IF(raw[[#This Row],[city]]&lt;&gt;"",_xlfn.XLOOKUP($D1990,ccc[city],ccc[prov],"-"),"-")</f>
        <v/>
      </c>
      <c r="L1990" s="1395">
        <f>IF(raw[[#This Row],[city]]&lt;&gt;"",_xlfn.XLOOKUP($D1990,ccc[city],ccc[ctry],"-"),"-")</f>
        <v/>
      </c>
      <c r="M1990" s="1395">
        <f>IF(raw[[#This Row],[city]]&lt;&gt;"",_xlfn.XLOOKUP($D1990,ccc[city],ccc[cont],"-"),"-")</f>
        <v/>
      </c>
      <c r="N1990" s="1396">
        <f>IF(raw[[#This Row],[city]]="","-",IF(raw[[#This Row],[cont]]="B",raw[[#This Row],[cont]],"W"))</f>
        <v/>
      </c>
      <c r="O1990" s="1397">
        <f>IF(raw[[#This Row],[out]]=0,0,IF(raw[[#This Row],[out]]=raw[[#This Row],[in]],0.01,raw[[#This Row],[out]]-raw[[#This Row],[in]]))</f>
        <v/>
      </c>
      <c r="P1990" s="1397">
        <f>IF(raw[[#This Row],[in]]=0,0,MONTH(raw[[#This Row],[in]]))</f>
        <v/>
      </c>
      <c r="Q1990" s="1397">
        <f>IF(raw[[#This Row],[in]]=0,0,YEAR(raw[[#This Row],[in]]))</f>
        <v/>
      </c>
      <c r="R1990" s="1397">
        <f>INT(raw[[#This Row],[yr]]/10)*10</f>
        <v/>
      </c>
      <c r="S1990" s="1395">
        <f>IF(raw[[#This Row],[city]]="","-",IF(raw[[#This Row],[city]]&lt;&gt;_xlfn.XLOOKUP(raw[[#This Row],[home]],homes[home],homes[city],"-"),1,0))</f>
        <v/>
      </c>
      <c r="T1990" s="1398" t="inlineStr">
        <is>
          <t>.</t>
        </is>
      </c>
      <c r="U1990" s="1399">
        <f>IF(raw[[#This Row],[wb]]="w",raw[[#This Row],[stay]]+U1989,U1989)</f>
        <v/>
      </c>
      <c r="V1990" s="1400">
        <f>IF(raw[[#This Row],[out]]=0,V1989,(raw[[#This Row],[out]]-E$5))</f>
        <v/>
      </c>
      <c r="W1990" s="1401">
        <f>U1990/V1990</f>
        <v/>
      </c>
      <c r="X1990" s="1392" t="n"/>
      <c r="Y1990" s="1392" t="n"/>
      <c r="Z1990" s="1422" t="n"/>
      <c r="AA1990" s="1422" t="n"/>
      <c r="AB1990" s="1392" t="n"/>
      <c r="AC1990" s="1392" t="n"/>
      <c r="AD1990" s="1392" t="n"/>
      <c r="AE1990" s="1392" t="n"/>
      <c r="AF1990" s="1392" t="n"/>
      <c r="AG1990" s="1392" t="n"/>
      <c r="AH1990" s="1392" t="n"/>
      <c r="AI1990" s="1392" t="n"/>
      <c r="AJ1990" s="1392" t="n"/>
      <c r="AK1990" s="1392" t="n"/>
      <c r="AL1990" s="1392" t="n"/>
      <c r="AM1990" s="1392" t="n"/>
      <c r="AN1990" s="1392" t="n"/>
      <c r="AO1990" s="1392" t="n"/>
      <c r="AP1990" s="1392" t="n"/>
      <c r="AQ1990" s="1392" t="n"/>
      <c r="AR1990" s="1392" t="n"/>
      <c r="AS1990" s="1422" t="n"/>
      <c r="AT1990" s="1392" t="n"/>
      <c r="AU1990" s="1392" t="n"/>
      <c r="AV1990" s="1392" t="n"/>
      <c r="AW1990" s="1392" t="n"/>
      <c r="AX1990" s="1392" t="n"/>
      <c r="AY1990" s="1392" t="n"/>
      <c r="AZ1990" s="1392" t="n"/>
      <c r="BA1990" s="1392" t="n"/>
      <c r="BB1990" s="1422" t="n"/>
      <c r="BC1990" s="1392" t="n"/>
      <c r="BD1990" s="1392" t="n"/>
      <c r="BE1990" s="1392" t="n"/>
      <c r="BF1990" s="1392" t="n"/>
      <c r="BG1990" s="1392" t="n"/>
      <c r="BH1990" s="1392" t="n"/>
      <c r="BI1990" s="1392" t="n"/>
      <c r="BJ1990" s="1392" t="n"/>
      <c r="BK1990" s="1392" t="n"/>
      <c r="BL1990" s="1392" t="n"/>
      <c r="BM1990" s="1392" t="n"/>
      <c r="BN1990" s="1392" t="n"/>
      <c r="BO1990" s="1392" t="n"/>
      <c r="BP1990" s="1392" t="n"/>
      <c r="BQ1990" s="1392" t="n"/>
      <c r="BR1990" s="1392" t="n"/>
      <c r="BS1990" s="1392" t="n"/>
      <c r="BT1990" s="1392" t="n"/>
      <c r="BU1990" s="1416" t="n"/>
      <c r="BV1990" s="1392" t="n"/>
      <c r="BW1990" s="1392" t="n"/>
      <c r="BX1990" s="1392" t="n"/>
      <c r="BY1990" s="1392" t="n"/>
      <c r="BZ1990" s="1416" t="n"/>
      <c r="CA1990" s="1392" t="n"/>
      <c r="CB1990" s="1392" t="n"/>
      <c r="CC1990" s="1392" t="n"/>
      <c r="CD1990" s="1392" t="n"/>
      <c r="CE1990" s="1392" t="n"/>
      <c r="CF1990" s="1392" t="n"/>
      <c r="CG1990" s="1392" t="n"/>
      <c r="CH1990" s="1392" t="n"/>
      <c r="CI1990" s="1392" t="n"/>
      <c r="CJ1990" s="1392" t="n"/>
      <c r="CK1990" s="1392" t="n"/>
      <c r="CL1990" s="1392" t="n"/>
    </row>
    <row r="1991">
      <c r="A1991" s="5" t="inlineStr">
        <is>
          <t>.</t>
        </is>
      </c>
      <c r="B1991" s="5" t="inlineStr">
        <is>
          <t>.</t>
        </is>
      </c>
      <c r="C1991" s="1378">
        <f>IF(raw[[#This Row],[city]]="","-",IF(raw[[#This Row],[city]]="TODAY","-",C1990+1))</f>
        <v/>
      </c>
      <c r="D1991" s="1393" t="n"/>
      <c r="E1991" s="1394" t="n"/>
      <c r="F1991" s="1394" t="n"/>
      <c r="G1991" s="1393" t="n"/>
      <c r="H1991" s="1393" t="n"/>
      <c r="I1991" s="1393" t="n"/>
      <c r="J1991" s="1393" t="n"/>
      <c r="K1991" s="1395">
        <f>IF(raw[[#This Row],[city]]&lt;&gt;"",_xlfn.XLOOKUP($D1991,ccc[city],ccc[prov],"-"),"-")</f>
        <v/>
      </c>
      <c r="L1991" s="1395">
        <f>IF(raw[[#This Row],[city]]&lt;&gt;"",_xlfn.XLOOKUP($D1991,ccc[city],ccc[ctry],"-"),"-")</f>
        <v/>
      </c>
      <c r="M1991" s="1395">
        <f>IF(raw[[#This Row],[city]]&lt;&gt;"",_xlfn.XLOOKUP($D1991,ccc[city],ccc[cont],"-"),"-")</f>
        <v/>
      </c>
      <c r="N1991" s="1396">
        <f>IF(raw[[#This Row],[city]]="","-",IF(raw[[#This Row],[cont]]="B",raw[[#This Row],[cont]],"W"))</f>
        <v/>
      </c>
      <c r="O1991" s="1397">
        <f>IF(raw[[#This Row],[out]]=0,0,IF(raw[[#This Row],[out]]=raw[[#This Row],[in]],0.01,raw[[#This Row],[out]]-raw[[#This Row],[in]]))</f>
        <v/>
      </c>
      <c r="P1991" s="1397">
        <f>IF(raw[[#This Row],[in]]=0,0,MONTH(raw[[#This Row],[in]]))</f>
        <v/>
      </c>
      <c r="Q1991" s="1397">
        <f>IF(raw[[#This Row],[in]]=0,0,YEAR(raw[[#This Row],[in]]))</f>
        <v/>
      </c>
      <c r="R1991" s="1397">
        <f>INT(raw[[#This Row],[yr]]/10)*10</f>
        <v/>
      </c>
      <c r="S1991" s="1395">
        <f>IF(raw[[#This Row],[city]]="","-",IF(raw[[#This Row],[city]]&lt;&gt;_xlfn.XLOOKUP(raw[[#This Row],[home]],homes[home],homes[city],"-"),1,0))</f>
        <v/>
      </c>
      <c r="T1991" s="1398" t="inlineStr">
        <is>
          <t>.</t>
        </is>
      </c>
      <c r="U1991" s="1399">
        <f>IF(raw[[#This Row],[wb]]="w",raw[[#This Row],[stay]]+U1990,U1990)</f>
        <v/>
      </c>
      <c r="V1991" s="1400">
        <f>IF(raw[[#This Row],[out]]=0,V1990,(raw[[#This Row],[out]]-E$5))</f>
        <v/>
      </c>
      <c r="W1991" s="1401">
        <f>U1991/V1991</f>
        <v/>
      </c>
      <c r="X1991" s="1392" t="n"/>
      <c r="Y1991" s="1392" t="n"/>
      <c r="Z1991" s="1422" t="n"/>
      <c r="AA1991" s="1422" t="n"/>
      <c r="AB1991" s="1392" t="n"/>
      <c r="AC1991" s="1392" t="n"/>
      <c r="AD1991" s="1392" t="n"/>
      <c r="AE1991" s="1392" t="n"/>
      <c r="AF1991" s="1392" t="n"/>
      <c r="AG1991" s="1392" t="n"/>
      <c r="AH1991" s="1392" t="n"/>
      <c r="AI1991" s="1392" t="n"/>
      <c r="AJ1991" s="1392" t="n"/>
      <c r="AK1991" s="1392" t="n"/>
      <c r="AL1991" s="1392" t="n"/>
      <c r="AM1991" s="1392" t="n"/>
      <c r="AN1991" s="1392" t="n"/>
      <c r="AO1991" s="1392" t="n"/>
      <c r="AP1991" s="1392" t="n"/>
      <c r="AQ1991" s="1392" t="n"/>
      <c r="AR1991" s="1392" t="n"/>
      <c r="AS1991" s="1422" t="n"/>
      <c r="AT1991" s="1392" t="n"/>
      <c r="AU1991" s="1392" t="n"/>
      <c r="AV1991" s="1392" t="n"/>
      <c r="AW1991" s="1392" t="n"/>
      <c r="AX1991" s="1392" t="n"/>
      <c r="AY1991" s="1392" t="n"/>
      <c r="AZ1991" s="1392" t="n"/>
      <c r="BA1991" s="1392" t="n"/>
      <c r="BB1991" s="1422" t="n"/>
      <c r="BC1991" s="1392" t="n"/>
      <c r="BD1991" s="1392" t="n"/>
      <c r="BE1991" s="1392" t="n"/>
      <c r="BF1991" s="1392" t="n"/>
      <c r="BG1991" s="1392" t="n"/>
      <c r="BH1991" s="1392" t="n"/>
      <c r="BI1991" s="1392" t="n"/>
      <c r="BJ1991" s="1392" t="n"/>
      <c r="BK1991" s="1392" t="n"/>
      <c r="BL1991" s="1392" t="n"/>
      <c r="BM1991" s="1392" t="n"/>
      <c r="BN1991" s="1392" t="n"/>
      <c r="BO1991" s="1392" t="n"/>
      <c r="BP1991" s="1392" t="n"/>
      <c r="BQ1991" s="1392" t="n"/>
      <c r="BR1991" s="1392" t="n"/>
      <c r="BS1991" s="1392" t="n"/>
      <c r="BT1991" s="1392" t="n"/>
      <c r="BU1991" s="1416" t="n"/>
      <c r="BV1991" s="1392" t="n"/>
      <c r="BW1991" s="1392" t="n"/>
      <c r="BX1991" s="1392" t="n"/>
      <c r="BY1991" s="1392" t="n"/>
      <c r="BZ1991" s="1416" t="n"/>
      <c r="CA1991" s="1392" t="n"/>
      <c r="CB1991" s="1392" t="n"/>
      <c r="CC1991" s="1392" t="n"/>
      <c r="CD1991" s="1392" t="n"/>
      <c r="CE1991" s="1392" t="n"/>
      <c r="CF1991" s="1392" t="n"/>
      <c r="CG1991" s="1392" t="n"/>
      <c r="CH1991" s="1392" t="n"/>
      <c r="CI1991" s="1392" t="n"/>
      <c r="CJ1991" s="1392" t="n"/>
      <c r="CK1991" s="1392" t="n"/>
      <c r="CL1991" s="1392" t="n"/>
    </row>
    <row r="1992">
      <c r="A1992" s="5" t="inlineStr">
        <is>
          <t>.</t>
        </is>
      </c>
      <c r="B1992" s="5" t="inlineStr">
        <is>
          <t>.</t>
        </is>
      </c>
      <c r="C1992" s="1378">
        <f>IF(raw[[#This Row],[city]]="","-",IF(raw[[#This Row],[city]]="TODAY","-",C1991+1))</f>
        <v/>
      </c>
      <c r="D1992" s="1393" t="n"/>
      <c r="E1992" s="1394" t="n"/>
      <c r="F1992" s="1394" t="n"/>
      <c r="G1992" s="1393" t="n"/>
      <c r="H1992" s="1393" t="n"/>
      <c r="I1992" s="1393" t="n"/>
      <c r="J1992" s="1393" t="n"/>
      <c r="K1992" s="1395">
        <f>IF(raw[[#This Row],[city]]&lt;&gt;"",_xlfn.XLOOKUP($D1992,ccc[city],ccc[prov],"-"),"-")</f>
        <v/>
      </c>
      <c r="L1992" s="1395">
        <f>IF(raw[[#This Row],[city]]&lt;&gt;"",_xlfn.XLOOKUP($D1992,ccc[city],ccc[ctry],"-"),"-")</f>
        <v/>
      </c>
      <c r="M1992" s="1395">
        <f>IF(raw[[#This Row],[city]]&lt;&gt;"",_xlfn.XLOOKUP($D1992,ccc[city],ccc[cont],"-"),"-")</f>
        <v/>
      </c>
      <c r="N1992" s="1396">
        <f>IF(raw[[#This Row],[city]]="","-",IF(raw[[#This Row],[cont]]="B",raw[[#This Row],[cont]],"W"))</f>
        <v/>
      </c>
      <c r="O1992" s="1397">
        <f>IF(raw[[#This Row],[out]]=0,0,IF(raw[[#This Row],[out]]=raw[[#This Row],[in]],0.01,raw[[#This Row],[out]]-raw[[#This Row],[in]]))</f>
        <v/>
      </c>
      <c r="P1992" s="1397">
        <f>IF(raw[[#This Row],[in]]=0,0,MONTH(raw[[#This Row],[in]]))</f>
        <v/>
      </c>
      <c r="Q1992" s="1397">
        <f>IF(raw[[#This Row],[in]]=0,0,YEAR(raw[[#This Row],[in]]))</f>
        <v/>
      </c>
      <c r="R1992" s="1397">
        <f>INT(raw[[#This Row],[yr]]/10)*10</f>
        <v/>
      </c>
      <c r="S1992" s="1395">
        <f>IF(raw[[#This Row],[city]]="","-",IF(raw[[#This Row],[city]]&lt;&gt;_xlfn.XLOOKUP(raw[[#This Row],[home]],homes[home],homes[city],"-"),1,0))</f>
        <v/>
      </c>
      <c r="T1992" s="1398" t="inlineStr">
        <is>
          <t>.</t>
        </is>
      </c>
      <c r="U1992" s="1399">
        <f>IF(raw[[#This Row],[wb]]="w",raw[[#This Row],[stay]]+U1991,U1991)</f>
        <v/>
      </c>
      <c r="V1992" s="1400">
        <f>IF(raw[[#This Row],[out]]=0,V1991,(raw[[#This Row],[out]]-E$5))</f>
        <v/>
      </c>
      <c r="W1992" s="1401">
        <f>U1992/V1992</f>
        <v/>
      </c>
      <c r="X1992" s="1392" t="n"/>
      <c r="Y1992" s="1392" t="n"/>
      <c r="Z1992" s="1422" t="n"/>
      <c r="AA1992" s="1422" t="n"/>
      <c r="AB1992" s="1392" t="n"/>
      <c r="AC1992" s="1392" t="n"/>
      <c r="AD1992" s="1392" t="n"/>
      <c r="AE1992" s="1392" t="n"/>
      <c r="AF1992" s="1392" t="n"/>
      <c r="AG1992" s="1392" t="n"/>
      <c r="AH1992" s="1392" t="n"/>
      <c r="AI1992" s="1392" t="n"/>
      <c r="AJ1992" s="1392" t="n"/>
      <c r="AK1992" s="1392" t="n"/>
      <c r="AL1992" s="1392" t="n"/>
      <c r="AM1992" s="1392" t="n"/>
      <c r="AN1992" s="1392" t="n"/>
      <c r="AO1992" s="1392" t="n"/>
      <c r="AP1992" s="1392" t="n"/>
      <c r="AQ1992" s="1392" t="n"/>
      <c r="AR1992" s="1392" t="n"/>
      <c r="AS1992" s="1422" t="n"/>
      <c r="AT1992" s="1392" t="n"/>
      <c r="AU1992" s="1392" t="n"/>
      <c r="AV1992" s="1392" t="n"/>
      <c r="AW1992" s="1392" t="n"/>
      <c r="AX1992" s="1392" t="n"/>
      <c r="AY1992" s="1392" t="n"/>
      <c r="AZ1992" s="1392" t="n"/>
      <c r="BA1992" s="1392" t="n"/>
      <c r="BB1992" s="1422" t="n"/>
      <c r="BC1992" s="1392" t="n"/>
      <c r="BD1992" s="1392" t="n"/>
      <c r="BE1992" s="1392" t="n"/>
      <c r="BF1992" s="1392" t="n"/>
      <c r="BG1992" s="1392" t="n"/>
      <c r="BH1992" s="1392" t="n"/>
      <c r="BI1992" s="1392" t="n"/>
      <c r="BJ1992" s="1392" t="n"/>
      <c r="BK1992" s="1392" t="n"/>
      <c r="BL1992" s="1392" t="n"/>
      <c r="BM1992" s="1392" t="n"/>
      <c r="BN1992" s="1392" t="n"/>
      <c r="BO1992" s="1392" t="n"/>
      <c r="BP1992" s="1392" t="n"/>
      <c r="BQ1992" s="1392" t="n"/>
      <c r="BR1992" s="1392" t="n"/>
      <c r="BS1992" s="1392" t="n"/>
      <c r="BT1992" s="1392" t="n"/>
      <c r="BU1992" s="1416" t="n"/>
      <c r="BV1992" s="1392" t="n"/>
      <c r="BW1992" s="1392" t="n"/>
      <c r="BX1992" s="1392" t="n"/>
      <c r="BY1992" s="1392" t="n"/>
      <c r="BZ1992" s="1416" t="n"/>
      <c r="CA1992" s="1392" t="n"/>
      <c r="CB1992" s="1392" t="n"/>
      <c r="CC1992" s="1392" t="n"/>
      <c r="CD1992" s="1392" t="n"/>
      <c r="CE1992" s="1392" t="n"/>
      <c r="CF1992" s="1392" t="n"/>
      <c r="CG1992" s="1392" t="n"/>
      <c r="CH1992" s="1392" t="n"/>
      <c r="CI1992" s="1392" t="n"/>
      <c r="CJ1992" s="1392" t="n"/>
      <c r="CK1992" s="1392" t="n"/>
      <c r="CL1992" s="1392" t="n"/>
    </row>
    <row r="1993">
      <c r="A1993" s="5" t="inlineStr">
        <is>
          <t>.</t>
        </is>
      </c>
      <c r="B1993" s="5" t="inlineStr">
        <is>
          <t>.</t>
        </is>
      </c>
      <c r="C1993" s="1378">
        <f>IF(raw[[#This Row],[city]]="","-",IF(raw[[#This Row],[city]]="TODAY","-",C1992+1))</f>
        <v/>
      </c>
      <c r="D1993" s="1393" t="n"/>
      <c r="E1993" s="1394" t="n"/>
      <c r="F1993" s="1394" t="n"/>
      <c r="G1993" s="1393" t="n"/>
      <c r="H1993" s="1393" t="n"/>
      <c r="I1993" s="1393" t="n"/>
      <c r="J1993" s="1393" t="n"/>
      <c r="K1993" s="1395">
        <f>IF(raw[[#This Row],[city]]&lt;&gt;"",_xlfn.XLOOKUP($D1993,ccc[city],ccc[prov],"-"),"-")</f>
        <v/>
      </c>
      <c r="L1993" s="1395">
        <f>IF(raw[[#This Row],[city]]&lt;&gt;"",_xlfn.XLOOKUP($D1993,ccc[city],ccc[ctry],"-"),"-")</f>
        <v/>
      </c>
      <c r="M1993" s="1395">
        <f>IF(raw[[#This Row],[city]]&lt;&gt;"",_xlfn.XLOOKUP($D1993,ccc[city],ccc[cont],"-"),"-")</f>
        <v/>
      </c>
      <c r="N1993" s="1396">
        <f>IF(raw[[#This Row],[city]]="","-",IF(raw[[#This Row],[cont]]="B",raw[[#This Row],[cont]],"W"))</f>
        <v/>
      </c>
      <c r="O1993" s="1397">
        <f>IF(raw[[#This Row],[out]]=0,0,IF(raw[[#This Row],[out]]=raw[[#This Row],[in]],0.01,raw[[#This Row],[out]]-raw[[#This Row],[in]]))</f>
        <v/>
      </c>
      <c r="P1993" s="1397">
        <f>IF(raw[[#This Row],[in]]=0,0,MONTH(raw[[#This Row],[in]]))</f>
        <v/>
      </c>
      <c r="Q1993" s="1397">
        <f>IF(raw[[#This Row],[in]]=0,0,YEAR(raw[[#This Row],[in]]))</f>
        <v/>
      </c>
      <c r="R1993" s="1397">
        <f>INT(raw[[#This Row],[yr]]/10)*10</f>
        <v/>
      </c>
      <c r="S1993" s="1395">
        <f>IF(raw[[#This Row],[city]]="","-",IF(raw[[#This Row],[city]]&lt;&gt;_xlfn.XLOOKUP(raw[[#This Row],[home]],homes[home],homes[city],"-"),1,0))</f>
        <v/>
      </c>
      <c r="T1993" s="1398" t="inlineStr">
        <is>
          <t>.</t>
        </is>
      </c>
      <c r="U1993" s="1399">
        <f>IF(raw[[#This Row],[wb]]="w",raw[[#This Row],[stay]]+U1992,U1992)</f>
        <v/>
      </c>
      <c r="V1993" s="1400">
        <f>IF(raw[[#This Row],[out]]=0,V1992,(raw[[#This Row],[out]]-E$5))</f>
        <v/>
      </c>
      <c r="W1993" s="1401">
        <f>U1993/V1993</f>
        <v/>
      </c>
      <c r="X1993" s="1392" t="n"/>
      <c r="Y1993" s="1392" t="n"/>
      <c r="Z1993" s="1422" t="n"/>
      <c r="AA1993" s="1422" t="n"/>
      <c r="AB1993" s="1392" t="n"/>
      <c r="AC1993" s="1392" t="n"/>
      <c r="AD1993" s="1392" t="n"/>
      <c r="AE1993" s="1392" t="n"/>
      <c r="AF1993" s="1392" t="n"/>
      <c r="AG1993" s="1392" t="n"/>
      <c r="AH1993" s="1392" t="n"/>
      <c r="AI1993" s="1392" t="n"/>
      <c r="AJ1993" s="1392" t="n"/>
      <c r="AK1993" s="1392" t="n"/>
      <c r="AL1993" s="1392" t="n"/>
      <c r="AM1993" s="1392" t="n"/>
      <c r="AN1993" s="1392" t="n"/>
      <c r="AO1993" s="1392" t="n"/>
      <c r="AP1993" s="1392" t="n"/>
      <c r="AQ1993" s="1392" t="n"/>
      <c r="AR1993" s="1392" t="n"/>
      <c r="AS1993" s="1422" t="n"/>
      <c r="AT1993" s="1392" t="n"/>
      <c r="AU1993" s="1392" t="n"/>
      <c r="AV1993" s="1392" t="n"/>
      <c r="AW1993" s="1392" t="n"/>
      <c r="AX1993" s="1392" t="n"/>
      <c r="AY1993" s="1392" t="n"/>
      <c r="AZ1993" s="1392" t="n"/>
      <c r="BA1993" s="1392" t="n"/>
      <c r="BB1993" s="1422" t="n"/>
      <c r="BC1993" s="1392" t="n"/>
      <c r="BD1993" s="1392" t="n"/>
      <c r="BE1993" s="1392" t="n"/>
      <c r="BF1993" s="1392" t="n"/>
      <c r="BG1993" s="1392" t="n"/>
      <c r="BH1993" s="1392" t="n"/>
      <c r="BI1993" s="1392" t="n"/>
      <c r="BJ1993" s="1392" t="n"/>
      <c r="BK1993" s="1392" t="n"/>
      <c r="BL1993" s="1392" t="n"/>
      <c r="BM1993" s="1392" t="n"/>
      <c r="BN1993" s="1392" t="n"/>
      <c r="BO1993" s="1392" t="n"/>
      <c r="BP1993" s="1392" t="n"/>
      <c r="BQ1993" s="1392" t="n"/>
      <c r="BR1993" s="1392" t="n"/>
      <c r="BS1993" s="1392" t="n"/>
      <c r="BT1993" s="1392" t="n"/>
      <c r="BU1993" s="1416" t="n"/>
      <c r="BV1993" s="1392" t="n"/>
      <c r="BW1993" s="1392" t="n"/>
      <c r="BX1993" s="1392" t="n"/>
      <c r="BY1993" s="1392" t="n"/>
      <c r="BZ1993" s="1416" t="n"/>
      <c r="CA1993" s="1392" t="n"/>
      <c r="CB1993" s="1392" t="n"/>
      <c r="CC1993" s="1392" t="n"/>
      <c r="CD1993" s="1392" t="n"/>
      <c r="CE1993" s="1392" t="n"/>
      <c r="CF1993" s="1392" t="n"/>
      <c r="CG1993" s="1392" t="n"/>
      <c r="CH1993" s="1392" t="n"/>
      <c r="CI1993" s="1392" t="n"/>
      <c r="CJ1993" s="1392" t="n"/>
      <c r="CK1993" s="1392" t="n"/>
      <c r="CL1993" s="1392" t="n"/>
    </row>
    <row r="1994">
      <c r="A1994" s="5" t="inlineStr">
        <is>
          <t>.</t>
        </is>
      </c>
      <c r="B1994" s="5" t="inlineStr">
        <is>
          <t>.</t>
        </is>
      </c>
      <c r="C1994" s="1378">
        <f>IF(raw[[#This Row],[city]]="","-",IF(raw[[#This Row],[city]]="TODAY","-",C1993+1))</f>
        <v/>
      </c>
      <c r="D1994" s="1393" t="n"/>
      <c r="E1994" s="1394" t="n"/>
      <c r="F1994" s="1394" t="n"/>
      <c r="G1994" s="1393" t="n"/>
      <c r="H1994" s="1393" t="n"/>
      <c r="I1994" s="1393" t="n"/>
      <c r="J1994" s="1393" t="n"/>
      <c r="K1994" s="1395">
        <f>IF(raw[[#This Row],[city]]&lt;&gt;"",_xlfn.XLOOKUP($D1994,ccc[city],ccc[prov],"-"),"-")</f>
        <v/>
      </c>
      <c r="L1994" s="1395">
        <f>IF(raw[[#This Row],[city]]&lt;&gt;"",_xlfn.XLOOKUP($D1994,ccc[city],ccc[ctry],"-"),"-")</f>
        <v/>
      </c>
      <c r="M1994" s="1395">
        <f>IF(raw[[#This Row],[city]]&lt;&gt;"",_xlfn.XLOOKUP($D1994,ccc[city],ccc[cont],"-"),"-")</f>
        <v/>
      </c>
      <c r="N1994" s="1396">
        <f>IF(raw[[#This Row],[city]]="","-",IF(raw[[#This Row],[cont]]="B",raw[[#This Row],[cont]],"W"))</f>
        <v/>
      </c>
      <c r="O1994" s="1397">
        <f>IF(raw[[#This Row],[out]]=0,0,IF(raw[[#This Row],[out]]=raw[[#This Row],[in]],0.01,raw[[#This Row],[out]]-raw[[#This Row],[in]]))</f>
        <v/>
      </c>
      <c r="P1994" s="1397">
        <f>IF(raw[[#This Row],[in]]=0,0,MONTH(raw[[#This Row],[in]]))</f>
        <v/>
      </c>
      <c r="Q1994" s="1397">
        <f>IF(raw[[#This Row],[in]]=0,0,YEAR(raw[[#This Row],[in]]))</f>
        <v/>
      </c>
      <c r="R1994" s="1397">
        <f>INT(raw[[#This Row],[yr]]/10)*10</f>
        <v/>
      </c>
      <c r="S1994" s="1395">
        <f>IF(raw[[#This Row],[city]]="","-",IF(raw[[#This Row],[city]]&lt;&gt;_xlfn.XLOOKUP(raw[[#This Row],[home]],homes[home],homes[city],"-"),1,0))</f>
        <v/>
      </c>
      <c r="T1994" s="1398" t="inlineStr">
        <is>
          <t>.</t>
        </is>
      </c>
      <c r="U1994" s="1399">
        <f>IF(raw[[#This Row],[wb]]="w",raw[[#This Row],[stay]]+U1993,U1993)</f>
        <v/>
      </c>
      <c r="V1994" s="1400">
        <f>IF(raw[[#This Row],[out]]=0,V1993,(raw[[#This Row],[out]]-E$5))</f>
        <v/>
      </c>
      <c r="W1994" s="1401">
        <f>U1994/V1994</f>
        <v/>
      </c>
      <c r="X1994" s="1392" t="n"/>
      <c r="Y1994" s="1392" t="n"/>
      <c r="Z1994" s="1422" t="n"/>
      <c r="AA1994" s="1422" t="n"/>
      <c r="AB1994" s="1392" t="n"/>
      <c r="AC1994" s="1392" t="n"/>
      <c r="AD1994" s="1392" t="n"/>
      <c r="AE1994" s="1392" t="n"/>
      <c r="AF1994" s="1392" t="n"/>
      <c r="AG1994" s="1392" t="n"/>
      <c r="AH1994" s="1392" t="n"/>
      <c r="AI1994" s="1392" t="n"/>
      <c r="AJ1994" s="1392" t="n"/>
      <c r="AK1994" s="1392" t="n"/>
      <c r="AL1994" s="1392" t="n"/>
      <c r="AM1994" s="1392" t="n"/>
      <c r="AN1994" s="1392" t="n"/>
      <c r="AO1994" s="1392" t="n"/>
      <c r="AP1994" s="1392" t="n"/>
      <c r="AQ1994" s="1392" t="n"/>
      <c r="AR1994" s="1392" t="n"/>
      <c r="AS1994" s="1422" t="n"/>
      <c r="AT1994" s="1392" t="n"/>
      <c r="AU1994" s="1392" t="n"/>
      <c r="AV1994" s="1392" t="n"/>
      <c r="AW1994" s="1392" t="n"/>
      <c r="AX1994" s="1392" t="n"/>
      <c r="AY1994" s="1392" t="n"/>
      <c r="AZ1994" s="1392" t="n"/>
      <c r="BA1994" s="1392" t="n"/>
      <c r="BB1994" s="1422" t="n"/>
      <c r="BC1994" s="1392" t="n"/>
      <c r="BD1994" s="1392" t="n"/>
      <c r="BE1994" s="1392" t="n"/>
      <c r="BF1994" s="1392" t="n"/>
      <c r="BG1994" s="1392" t="n"/>
      <c r="BH1994" s="1392" t="n"/>
      <c r="BI1994" s="1392" t="n"/>
      <c r="BJ1994" s="1392" t="n"/>
      <c r="BK1994" s="1392" t="n"/>
      <c r="BL1994" s="1392" t="n"/>
      <c r="BM1994" s="1392" t="n"/>
      <c r="BN1994" s="1392" t="n"/>
      <c r="BO1994" s="1392" t="n"/>
      <c r="BP1994" s="1392" t="n"/>
      <c r="BQ1994" s="1392" t="n"/>
      <c r="BR1994" s="1392" t="n"/>
      <c r="BS1994" s="1392" t="n"/>
      <c r="BT1994" s="1392" t="n"/>
      <c r="BU1994" s="1416" t="n"/>
      <c r="BV1994" s="1392" t="n"/>
      <c r="BW1994" s="1392" t="n"/>
      <c r="BX1994" s="1392" t="n"/>
      <c r="BY1994" s="1392" t="n"/>
      <c r="BZ1994" s="1416" t="n"/>
      <c r="CA1994" s="1392" t="n"/>
      <c r="CB1994" s="1392" t="n"/>
      <c r="CC1994" s="1392" t="n"/>
      <c r="CD1994" s="1392" t="n"/>
      <c r="CE1994" s="1392" t="n"/>
      <c r="CF1994" s="1392" t="n"/>
      <c r="CG1994" s="1392" t="n"/>
      <c r="CH1994" s="1392" t="n"/>
      <c r="CI1994" s="1392" t="n"/>
      <c r="CJ1994" s="1392" t="n"/>
      <c r="CK1994" s="1392" t="n"/>
      <c r="CL1994" s="1392" t="n"/>
    </row>
    <row r="1995">
      <c r="A1995" s="5" t="inlineStr">
        <is>
          <t>.</t>
        </is>
      </c>
      <c r="B1995" s="5" t="inlineStr">
        <is>
          <t>.</t>
        </is>
      </c>
      <c r="C1995" s="1378">
        <f>IF(raw[[#This Row],[city]]="","-",IF(raw[[#This Row],[city]]="TODAY","-",C1994+1))</f>
        <v/>
      </c>
      <c r="D1995" s="1393" t="n"/>
      <c r="E1995" s="1394" t="n"/>
      <c r="F1995" s="1394" t="n"/>
      <c r="G1995" s="1393" t="n"/>
      <c r="H1995" s="1393" t="n"/>
      <c r="I1995" s="1393" t="n"/>
      <c r="J1995" s="1393" t="n"/>
      <c r="K1995" s="1395">
        <f>IF(raw[[#This Row],[city]]&lt;&gt;"",_xlfn.XLOOKUP($D1995,ccc[city],ccc[prov],"-"),"-")</f>
        <v/>
      </c>
      <c r="L1995" s="1395">
        <f>IF(raw[[#This Row],[city]]&lt;&gt;"",_xlfn.XLOOKUP($D1995,ccc[city],ccc[ctry],"-"),"-")</f>
        <v/>
      </c>
      <c r="M1995" s="1395">
        <f>IF(raw[[#This Row],[city]]&lt;&gt;"",_xlfn.XLOOKUP($D1995,ccc[city],ccc[cont],"-"),"-")</f>
        <v/>
      </c>
      <c r="N1995" s="1396">
        <f>IF(raw[[#This Row],[city]]="","-",IF(raw[[#This Row],[cont]]="B",raw[[#This Row],[cont]],"W"))</f>
        <v/>
      </c>
      <c r="O1995" s="1397">
        <f>IF(raw[[#This Row],[out]]=0,0,IF(raw[[#This Row],[out]]=raw[[#This Row],[in]],0.01,raw[[#This Row],[out]]-raw[[#This Row],[in]]))</f>
        <v/>
      </c>
      <c r="P1995" s="1397">
        <f>IF(raw[[#This Row],[in]]=0,0,MONTH(raw[[#This Row],[in]]))</f>
        <v/>
      </c>
      <c r="Q1995" s="1397">
        <f>IF(raw[[#This Row],[in]]=0,0,YEAR(raw[[#This Row],[in]]))</f>
        <v/>
      </c>
      <c r="R1995" s="1397">
        <f>INT(raw[[#This Row],[yr]]/10)*10</f>
        <v/>
      </c>
      <c r="S1995" s="1395">
        <f>IF(raw[[#This Row],[city]]="","-",IF(raw[[#This Row],[city]]&lt;&gt;_xlfn.XLOOKUP(raw[[#This Row],[home]],homes[home],homes[city],"-"),1,0))</f>
        <v/>
      </c>
      <c r="T1995" s="1398" t="inlineStr">
        <is>
          <t>.</t>
        </is>
      </c>
      <c r="U1995" s="1399">
        <f>IF(raw[[#This Row],[wb]]="w",raw[[#This Row],[stay]]+U1994,U1994)</f>
        <v/>
      </c>
      <c r="V1995" s="1400">
        <f>IF(raw[[#This Row],[out]]=0,V1994,(raw[[#This Row],[out]]-E$5))</f>
        <v/>
      </c>
      <c r="W1995" s="1401">
        <f>U1995/V1995</f>
        <v/>
      </c>
      <c r="X1995" s="1392" t="n"/>
      <c r="Y1995" s="1392" t="n"/>
      <c r="Z1995" s="1422" t="n"/>
      <c r="AA1995" s="1422" t="n"/>
      <c r="AB1995" s="1392" t="n"/>
      <c r="AC1995" s="1392" t="n"/>
      <c r="AD1995" s="1392" t="n"/>
      <c r="AE1995" s="1392" t="n"/>
      <c r="AF1995" s="1392" t="n"/>
      <c r="AG1995" s="1392" t="n"/>
      <c r="AH1995" s="1392" t="n"/>
      <c r="AI1995" s="1392" t="n"/>
      <c r="AJ1995" s="1392" t="n"/>
      <c r="AK1995" s="1392" t="n"/>
      <c r="AL1995" s="1392" t="n"/>
      <c r="AM1995" s="1392" t="n"/>
      <c r="AN1995" s="1392" t="n"/>
      <c r="AO1995" s="1392" t="n"/>
      <c r="AP1995" s="1392" t="n"/>
      <c r="AQ1995" s="1392" t="n"/>
      <c r="AR1995" s="1392" t="n"/>
      <c r="AS1995" s="1422" t="n"/>
      <c r="AT1995" s="1392" t="n"/>
      <c r="AU1995" s="1392" t="n"/>
      <c r="AV1995" s="1392" t="n"/>
      <c r="AW1995" s="1392" t="n"/>
      <c r="AX1995" s="1392" t="n"/>
      <c r="AY1995" s="1392" t="n"/>
      <c r="AZ1995" s="1392" t="n"/>
      <c r="BA1995" s="1392" t="n"/>
      <c r="BB1995" s="1422" t="n"/>
      <c r="BC1995" s="1392" t="n"/>
      <c r="BD1995" s="1392" t="n"/>
      <c r="BE1995" s="1392" t="n"/>
      <c r="BF1995" s="1392" t="n"/>
      <c r="BG1995" s="1392" t="n"/>
      <c r="BH1995" s="1392" t="n"/>
      <c r="BI1995" s="1392" t="n"/>
      <c r="BJ1995" s="1392" t="n"/>
      <c r="BK1995" s="1392" t="n"/>
      <c r="BL1995" s="1392" t="n"/>
      <c r="BM1995" s="1392" t="n"/>
      <c r="BN1995" s="1392" t="n"/>
      <c r="BO1995" s="1392" t="n"/>
      <c r="BP1995" s="1392" t="n"/>
      <c r="BQ1995" s="1392" t="n"/>
      <c r="BR1995" s="1392" t="n"/>
      <c r="BS1995" s="1392" t="n"/>
      <c r="BT1995" s="1392" t="n"/>
      <c r="BU1995" s="1416" t="n"/>
      <c r="BV1995" s="1392" t="n"/>
      <c r="BW1995" s="1392" t="n"/>
      <c r="BX1995" s="1392" t="n"/>
      <c r="BY1995" s="1392" t="n"/>
      <c r="BZ1995" s="1416" t="n"/>
      <c r="CA1995" s="1392" t="n"/>
      <c r="CB1995" s="1392" t="n"/>
      <c r="CC1995" s="1392" t="n"/>
      <c r="CD1995" s="1392" t="n"/>
      <c r="CE1995" s="1392" t="n"/>
      <c r="CF1995" s="1392" t="n"/>
      <c r="CG1995" s="1392" t="n"/>
      <c r="CH1995" s="1392" t="n"/>
      <c r="CI1995" s="1392" t="n"/>
      <c r="CJ1995" s="1392" t="n"/>
      <c r="CK1995" s="1392" t="n"/>
      <c r="CL1995" s="1392" t="n"/>
    </row>
    <row r="1996">
      <c r="A1996" s="5" t="inlineStr">
        <is>
          <t>.</t>
        </is>
      </c>
      <c r="B1996" s="5" t="inlineStr">
        <is>
          <t>.</t>
        </is>
      </c>
      <c r="C1996" s="1378">
        <f>IF(raw[[#This Row],[city]]="","-",IF(raw[[#This Row],[city]]="TODAY","-",C1995+1))</f>
        <v/>
      </c>
      <c r="D1996" s="1393" t="n"/>
      <c r="E1996" s="1394" t="n"/>
      <c r="F1996" s="1394" t="n"/>
      <c r="G1996" s="1393" t="n"/>
      <c r="H1996" s="1393" t="n"/>
      <c r="I1996" s="1393" t="n"/>
      <c r="J1996" s="1393" t="n"/>
      <c r="K1996" s="1395">
        <f>IF(raw[[#This Row],[city]]&lt;&gt;"",_xlfn.XLOOKUP($D1996,ccc[city],ccc[prov],"-"),"-")</f>
        <v/>
      </c>
      <c r="L1996" s="1395">
        <f>IF(raw[[#This Row],[city]]&lt;&gt;"",_xlfn.XLOOKUP($D1996,ccc[city],ccc[ctry],"-"),"-")</f>
        <v/>
      </c>
      <c r="M1996" s="1395">
        <f>IF(raw[[#This Row],[city]]&lt;&gt;"",_xlfn.XLOOKUP($D1996,ccc[city],ccc[cont],"-"),"-")</f>
        <v/>
      </c>
      <c r="N1996" s="1396">
        <f>IF(raw[[#This Row],[city]]="","-",IF(raw[[#This Row],[cont]]="B",raw[[#This Row],[cont]],"W"))</f>
        <v/>
      </c>
      <c r="O1996" s="1397">
        <f>IF(raw[[#This Row],[out]]=0,0,IF(raw[[#This Row],[out]]=raw[[#This Row],[in]],0.01,raw[[#This Row],[out]]-raw[[#This Row],[in]]))</f>
        <v/>
      </c>
      <c r="P1996" s="1397">
        <f>IF(raw[[#This Row],[in]]=0,0,MONTH(raw[[#This Row],[in]]))</f>
        <v/>
      </c>
      <c r="Q1996" s="1397">
        <f>IF(raw[[#This Row],[in]]=0,0,YEAR(raw[[#This Row],[in]]))</f>
        <v/>
      </c>
      <c r="R1996" s="1397">
        <f>INT(raw[[#This Row],[yr]]/10)*10</f>
        <v/>
      </c>
      <c r="S1996" s="1395">
        <f>IF(raw[[#This Row],[city]]="","-",IF(raw[[#This Row],[city]]&lt;&gt;_xlfn.XLOOKUP(raw[[#This Row],[home]],homes[home],homes[city],"-"),1,0))</f>
        <v/>
      </c>
      <c r="T1996" s="1398" t="inlineStr">
        <is>
          <t>.</t>
        </is>
      </c>
      <c r="U1996" s="1399">
        <f>IF(raw[[#This Row],[wb]]="w",raw[[#This Row],[stay]]+U1995,U1995)</f>
        <v/>
      </c>
      <c r="V1996" s="1400">
        <f>IF(raw[[#This Row],[out]]=0,V1995,(raw[[#This Row],[out]]-E$5))</f>
        <v/>
      </c>
      <c r="W1996" s="1401">
        <f>U1996/V1996</f>
        <v/>
      </c>
      <c r="X1996" s="1392" t="n"/>
      <c r="Y1996" s="1392" t="n"/>
      <c r="Z1996" s="1422" t="n"/>
      <c r="AA1996" s="1422" t="n"/>
      <c r="AB1996" s="1392" t="n"/>
      <c r="AC1996" s="1392" t="n"/>
      <c r="AD1996" s="1392" t="n"/>
      <c r="AE1996" s="1392" t="n"/>
      <c r="AF1996" s="1392" t="n"/>
      <c r="AG1996" s="1392" t="n"/>
      <c r="AH1996" s="1392" t="n"/>
      <c r="AI1996" s="1392" t="n"/>
      <c r="AJ1996" s="1392" t="n"/>
      <c r="AK1996" s="1392" t="n"/>
      <c r="AL1996" s="1392" t="n"/>
      <c r="AM1996" s="1392" t="n"/>
      <c r="AN1996" s="1392" t="n"/>
      <c r="AO1996" s="1392" t="n"/>
      <c r="AP1996" s="1392" t="n"/>
      <c r="AQ1996" s="1392" t="n"/>
      <c r="AR1996" s="1392" t="n"/>
      <c r="AS1996" s="1422" t="n"/>
      <c r="AT1996" s="1392" t="n"/>
      <c r="AU1996" s="1392" t="n"/>
      <c r="AV1996" s="1392" t="n"/>
      <c r="AW1996" s="1392" t="n"/>
      <c r="AX1996" s="1392" t="n"/>
      <c r="AY1996" s="1392" t="n"/>
      <c r="AZ1996" s="1392" t="n"/>
      <c r="BA1996" s="1392" t="n"/>
      <c r="BB1996" s="1422" t="n"/>
      <c r="BC1996" s="1392" t="n"/>
      <c r="BD1996" s="1392" t="n"/>
      <c r="BE1996" s="1392" t="n"/>
      <c r="BF1996" s="1392" t="n"/>
      <c r="BG1996" s="1392" t="n"/>
      <c r="BH1996" s="1392" t="n"/>
      <c r="BI1996" s="1392" t="n"/>
      <c r="BJ1996" s="1392" t="n"/>
      <c r="BK1996" s="1392" t="n"/>
      <c r="BL1996" s="1392" t="n"/>
      <c r="BM1996" s="1392" t="n"/>
      <c r="BN1996" s="1392" t="n"/>
      <c r="BO1996" s="1392" t="n"/>
      <c r="BP1996" s="1392" t="n"/>
      <c r="BQ1996" s="1392" t="n"/>
      <c r="BR1996" s="1392" t="n"/>
      <c r="BS1996" s="1392" t="n"/>
      <c r="BT1996" s="1392" t="n"/>
      <c r="BU1996" s="1416" t="n"/>
      <c r="BV1996" s="1392" t="n"/>
      <c r="BW1996" s="1392" t="n"/>
      <c r="BX1996" s="1392" t="n"/>
      <c r="BY1996" s="1392" t="n"/>
      <c r="BZ1996" s="1416" t="n"/>
      <c r="CA1996" s="1392" t="n"/>
      <c r="CB1996" s="1392" t="n"/>
      <c r="CC1996" s="1392" t="n"/>
      <c r="CD1996" s="1392" t="n"/>
      <c r="CE1996" s="1392" t="n"/>
      <c r="CF1996" s="1392" t="n"/>
      <c r="CG1996" s="1392" t="n"/>
      <c r="CH1996" s="1392" t="n"/>
      <c r="CI1996" s="1392" t="n"/>
      <c r="CJ1996" s="1392" t="n"/>
      <c r="CK1996" s="1392" t="n"/>
      <c r="CL1996" s="1392" t="n"/>
    </row>
    <row r="1997">
      <c r="A1997" s="5" t="inlineStr">
        <is>
          <t>.</t>
        </is>
      </c>
      <c r="B1997" s="5" t="inlineStr">
        <is>
          <t>.</t>
        </is>
      </c>
      <c r="C1997" s="1378">
        <f>IF(raw[[#This Row],[city]]="","-",IF(raw[[#This Row],[city]]="TODAY","-",C1996+1))</f>
        <v/>
      </c>
      <c r="D1997" s="1393" t="n"/>
      <c r="E1997" s="1394" t="n"/>
      <c r="F1997" s="1394" t="n"/>
      <c r="G1997" s="1393" t="n"/>
      <c r="H1997" s="1393" t="n"/>
      <c r="I1997" s="1393" t="n"/>
      <c r="J1997" s="1393" t="n"/>
      <c r="K1997" s="1395">
        <f>IF(raw[[#This Row],[city]]&lt;&gt;"",_xlfn.XLOOKUP($D1997,ccc[city],ccc[prov],"-"),"-")</f>
        <v/>
      </c>
      <c r="L1997" s="1395">
        <f>IF(raw[[#This Row],[city]]&lt;&gt;"",_xlfn.XLOOKUP($D1997,ccc[city],ccc[ctry],"-"),"-")</f>
        <v/>
      </c>
      <c r="M1997" s="1395">
        <f>IF(raw[[#This Row],[city]]&lt;&gt;"",_xlfn.XLOOKUP($D1997,ccc[city],ccc[cont],"-"),"-")</f>
        <v/>
      </c>
      <c r="N1997" s="1396">
        <f>IF(raw[[#This Row],[city]]="","-",IF(raw[[#This Row],[cont]]="B",raw[[#This Row],[cont]],"W"))</f>
        <v/>
      </c>
      <c r="O1997" s="1397">
        <f>IF(raw[[#This Row],[out]]=0,0,IF(raw[[#This Row],[out]]=raw[[#This Row],[in]],0.01,raw[[#This Row],[out]]-raw[[#This Row],[in]]))</f>
        <v/>
      </c>
      <c r="P1997" s="1397">
        <f>IF(raw[[#This Row],[in]]=0,0,MONTH(raw[[#This Row],[in]]))</f>
        <v/>
      </c>
      <c r="Q1997" s="1397">
        <f>IF(raw[[#This Row],[in]]=0,0,YEAR(raw[[#This Row],[in]]))</f>
        <v/>
      </c>
      <c r="R1997" s="1397">
        <f>INT(raw[[#This Row],[yr]]/10)*10</f>
        <v/>
      </c>
      <c r="S1997" s="1395">
        <f>IF(raw[[#This Row],[city]]="","-",IF(raw[[#This Row],[city]]&lt;&gt;_xlfn.XLOOKUP(raw[[#This Row],[home]],homes[home],homes[city],"-"),1,0))</f>
        <v/>
      </c>
      <c r="T1997" s="1398" t="inlineStr">
        <is>
          <t>.</t>
        </is>
      </c>
      <c r="U1997" s="1399">
        <f>IF(raw[[#This Row],[wb]]="w",raw[[#This Row],[stay]]+U1996,U1996)</f>
        <v/>
      </c>
      <c r="V1997" s="1400">
        <f>IF(raw[[#This Row],[out]]=0,V1996,(raw[[#This Row],[out]]-E$5))</f>
        <v/>
      </c>
      <c r="W1997" s="1401">
        <f>U1997/V1997</f>
        <v/>
      </c>
      <c r="X1997" s="1392" t="n"/>
      <c r="Y1997" s="1392" t="n"/>
      <c r="Z1997" s="1422" t="n"/>
      <c r="AA1997" s="1422" t="n"/>
      <c r="AB1997" s="1392" t="n"/>
      <c r="AC1997" s="1392" t="n"/>
      <c r="AD1997" s="1392" t="n"/>
      <c r="AE1997" s="1392" t="n"/>
      <c r="AF1997" s="1392" t="n"/>
      <c r="AG1997" s="1392" t="n"/>
      <c r="AH1997" s="1392" t="n"/>
      <c r="AI1997" s="1392" t="n"/>
      <c r="AJ1997" s="1392" t="n"/>
      <c r="AK1997" s="1392" t="n"/>
      <c r="AL1997" s="1392" t="n"/>
      <c r="AM1997" s="1392" t="n"/>
      <c r="AN1997" s="1392" t="n"/>
      <c r="AO1997" s="1392" t="n"/>
      <c r="AP1997" s="1392" t="n"/>
      <c r="AQ1997" s="1392" t="n"/>
      <c r="AR1997" s="1392" t="n"/>
      <c r="AS1997" s="1422" t="n"/>
      <c r="AT1997" s="1392" t="n"/>
      <c r="AU1997" s="1392" t="n"/>
      <c r="AV1997" s="1392" t="n"/>
      <c r="AW1997" s="1392" t="n"/>
      <c r="AX1997" s="1392" t="n"/>
      <c r="AY1997" s="1392" t="n"/>
      <c r="AZ1997" s="1392" t="n"/>
      <c r="BA1997" s="1392" t="n"/>
      <c r="BB1997" s="1422" t="n"/>
      <c r="BC1997" s="1392" t="n"/>
      <c r="BD1997" s="1392" t="n"/>
      <c r="BE1997" s="1392" t="n"/>
      <c r="BF1997" s="1392" t="n"/>
      <c r="BG1997" s="1392" t="n"/>
      <c r="BH1997" s="1392" t="n"/>
      <c r="BI1997" s="1392" t="n"/>
      <c r="BJ1997" s="1392" t="n"/>
      <c r="BK1997" s="1392" t="n"/>
      <c r="BL1997" s="1392" t="n"/>
      <c r="BM1997" s="1392" t="n"/>
      <c r="BN1997" s="1392" t="n"/>
      <c r="BO1997" s="1392" t="n"/>
      <c r="BP1997" s="1392" t="n"/>
      <c r="BQ1997" s="1392" t="n"/>
      <c r="BR1997" s="1392" t="n"/>
      <c r="BS1997" s="1392" t="n"/>
      <c r="BT1997" s="1392" t="n"/>
      <c r="BU1997" s="1416" t="n"/>
      <c r="BV1997" s="1392" t="n"/>
      <c r="BW1997" s="1392" t="n"/>
      <c r="BX1997" s="1392" t="n"/>
      <c r="BY1997" s="1392" t="n"/>
      <c r="BZ1997" s="1416" t="n"/>
      <c r="CA1997" s="1392" t="n"/>
      <c r="CB1997" s="1392" t="n"/>
      <c r="CC1997" s="1392" t="n"/>
      <c r="CD1997" s="1392" t="n"/>
      <c r="CE1997" s="1392" t="n"/>
      <c r="CF1997" s="1392" t="n"/>
      <c r="CG1997" s="1392" t="n"/>
      <c r="CH1997" s="1392" t="n"/>
      <c r="CI1997" s="1392" t="n"/>
      <c r="CJ1997" s="1392" t="n"/>
      <c r="CK1997" s="1392" t="n"/>
      <c r="CL1997" s="1392" t="n"/>
    </row>
    <row r="1998">
      <c r="A1998" s="5" t="inlineStr">
        <is>
          <t>.</t>
        </is>
      </c>
      <c r="B1998" s="5" t="inlineStr">
        <is>
          <t>.</t>
        </is>
      </c>
      <c r="C1998" s="1378">
        <f>IF(raw[[#This Row],[city]]="","-",IF(raw[[#This Row],[city]]="TODAY","-",C1997+1))</f>
        <v/>
      </c>
      <c r="D1998" s="1393" t="n"/>
      <c r="E1998" s="1394" t="n"/>
      <c r="F1998" s="1394" t="n"/>
      <c r="G1998" s="1393" t="n"/>
      <c r="H1998" s="1393" t="n"/>
      <c r="I1998" s="1393" t="n"/>
      <c r="J1998" s="1393" t="n"/>
      <c r="K1998" s="1395">
        <f>IF(raw[[#This Row],[city]]&lt;&gt;"",_xlfn.XLOOKUP($D1998,ccc[city],ccc[prov],"-"),"-")</f>
        <v/>
      </c>
      <c r="L1998" s="1395">
        <f>IF(raw[[#This Row],[city]]&lt;&gt;"",_xlfn.XLOOKUP($D1998,ccc[city],ccc[ctry],"-"),"-")</f>
        <v/>
      </c>
      <c r="M1998" s="1395">
        <f>IF(raw[[#This Row],[city]]&lt;&gt;"",_xlfn.XLOOKUP($D1998,ccc[city],ccc[cont],"-"),"-")</f>
        <v/>
      </c>
      <c r="N1998" s="1396">
        <f>IF(raw[[#This Row],[city]]="","-",IF(raw[[#This Row],[cont]]="B",raw[[#This Row],[cont]],"W"))</f>
        <v/>
      </c>
      <c r="O1998" s="1397">
        <f>IF(raw[[#This Row],[out]]=0,0,IF(raw[[#This Row],[out]]=raw[[#This Row],[in]],0.01,raw[[#This Row],[out]]-raw[[#This Row],[in]]))</f>
        <v/>
      </c>
      <c r="P1998" s="1397">
        <f>IF(raw[[#This Row],[in]]=0,0,MONTH(raw[[#This Row],[in]]))</f>
        <v/>
      </c>
      <c r="Q1998" s="1397">
        <f>IF(raw[[#This Row],[in]]=0,0,YEAR(raw[[#This Row],[in]]))</f>
        <v/>
      </c>
      <c r="R1998" s="1397">
        <f>INT(raw[[#This Row],[yr]]/10)*10</f>
        <v/>
      </c>
      <c r="S1998" s="1395">
        <f>IF(raw[[#This Row],[city]]="","-",IF(raw[[#This Row],[city]]&lt;&gt;_xlfn.XLOOKUP(raw[[#This Row],[home]],homes[home],homes[city],"-"),1,0))</f>
        <v/>
      </c>
      <c r="T1998" s="1398" t="inlineStr">
        <is>
          <t>.</t>
        </is>
      </c>
      <c r="U1998" s="1399">
        <f>IF(raw[[#This Row],[wb]]="w",raw[[#This Row],[stay]]+U1997,U1997)</f>
        <v/>
      </c>
      <c r="V1998" s="1400">
        <f>IF(raw[[#This Row],[out]]=0,V1997,(raw[[#This Row],[out]]-E$5))</f>
        <v/>
      </c>
      <c r="W1998" s="1401">
        <f>U1998/V1998</f>
        <v/>
      </c>
      <c r="X1998" s="1392" t="n"/>
      <c r="Y1998" s="1392" t="n"/>
      <c r="Z1998" s="1422" t="n"/>
      <c r="AA1998" s="1422" t="n"/>
      <c r="AB1998" s="1392" t="n"/>
      <c r="AC1998" s="1392" t="n"/>
      <c r="AD1998" s="1392" t="n"/>
      <c r="AE1998" s="1392" t="n"/>
      <c r="AF1998" s="1392" t="n"/>
      <c r="AG1998" s="1392" t="n"/>
      <c r="AH1998" s="1392" t="n"/>
      <c r="AI1998" s="1392" t="n"/>
      <c r="AJ1998" s="1392" t="n"/>
      <c r="AK1998" s="1392" t="n"/>
      <c r="AL1998" s="1392" t="n"/>
      <c r="AM1998" s="1392" t="n"/>
      <c r="AN1998" s="1392" t="n"/>
      <c r="AO1998" s="1392" t="n"/>
      <c r="AP1998" s="1392" t="n"/>
      <c r="AQ1998" s="1392" t="n"/>
      <c r="AR1998" s="1392" t="n"/>
      <c r="AS1998" s="1422" t="n"/>
      <c r="AT1998" s="1392" t="n"/>
      <c r="AU1998" s="1392" t="n"/>
      <c r="AV1998" s="1392" t="n"/>
      <c r="AW1998" s="1392" t="n"/>
      <c r="AX1998" s="1392" t="n"/>
      <c r="AY1998" s="1392" t="n"/>
      <c r="AZ1998" s="1392" t="n"/>
      <c r="BA1998" s="1392" t="n"/>
      <c r="BB1998" s="1422" t="n"/>
      <c r="BC1998" s="1392" t="n"/>
      <c r="BD1998" s="1392" t="n"/>
      <c r="BE1998" s="1392" t="n"/>
      <c r="BF1998" s="1392" t="n"/>
      <c r="BG1998" s="1392" t="n"/>
      <c r="BH1998" s="1392" t="n"/>
      <c r="BI1998" s="1392" t="n"/>
      <c r="BJ1998" s="1392" t="n"/>
      <c r="BK1998" s="1392" t="n"/>
      <c r="BL1998" s="1392" t="n"/>
      <c r="BM1998" s="1392" t="n"/>
      <c r="BN1998" s="1392" t="n"/>
      <c r="BO1998" s="1392" t="n"/>
      <c r="BP1998" s="1392" t="n"/>
      <c r="BQ1998" s="1392" t="n"/>
      <c r="BR1998" s="1392" t="n"/>
      <c r="BS1998" s="1392" t="n"/>
      <c r="BT1998" s="1392" t="n"/>
      <c r="BU1998" s="1416" t="n"/>
      <c r="BV1998" s="1392" t="n"/>
      <c r="BW1998" s="1392" t="n"/>
      <c r="BX1998" s="1392" t="n"/>
      <c r="BY1998" s="1392" t="n"/>
      <c r="BZ1998" s="1416" t="n"/>
      <c r="CA1998" s="1392" t="n"/>
      <c r="CB1998" s="1392" t="n"/>
      <c r="CC1998" s="1392" t="n"/>
      <c r="CD1998" s="1392" t="n"/>
      <c r="CE1998" s="1392" t="n"/>
      <c r="CF1998" s="1392" t="n"/>
      <c r="CG1998" s="1392" t="n"/>
      <c r="CH1998" s="1392" t="n"/>
      <c r="CI1998" s="1392" t="n"/>
      <c r="CJ1998" s="1392" t="n"/>
      <c r="CK1998" s="1392" t="n"/>
      <c r="CL1998" s="1392" t="n"/>
    </row>
    <row r="1999">
      <c r="A1999" s="5" t="inlineStr">
        <is>
          <t>.</t>
        </is>
      </c>
      <c r="B1999" s="5" t="inlineStr">
        <is>
          <t>.</t>
        </is>
      </c>
      <c r="C1999" s="1378">
        <f>IF(raw[[#This Row],[city]]="","-",IF(raw[[#This Row],[city]]="TODAY","-",C1998+1))</f>
        <v/>
      </c>
      <c r="D1999" s="1393" t="n"/>
      <c r="E1999" s="1394" t="n"/>
      <c r="F1999" s="1394" t="n"/>
      <c r="G1999" s="1393" t="n"/>
      <c r="H1999" s="1393" t="n"/>
      <c r="I1999" s="1393" t="n"/>
      <c r="J1999" s="1393" t="n"/>
      <c r="K1999" s="1395">
        <f>IF(raw[[#This Row],[city]]&lt;&gt;"",_xlfn.XLOOKUP($D1999,ccc[city],ccc[prov],"-"),"-")</f>
        <v/>
      </c>
      <c r="L1999" s="1395">
        <f>IF(raw[[#This Row],[city]]&lt;&gt;"",_xlfn.XLOOKUP($D1999,ccc[city],ccc[ctry],"-"),"-")</f>
        <v/>
      </c>
      <c r="M1999" s="1395">
        <f>IF(raw[[#This Row],[city]]&lt;&gt;"",_xlfn.XLOOKUP($D1999,ccc[city],ccc[cont],"-"),"-")</f>
        <v/>
      </c>
      <c r="N1999" s="1396">
        <f>IF(raw[[#This Row],[city]]="","-",IF(raw[[#This Row],[cont]]="B",raw[[#This Row],[cont]],"W"))</f>
        <v/>
      </c>
      <c r="O1999" s="1397">
        <f>IF(raw[[#This Row],[out]]=0,0,IF(raw[[#This Row],[out]]=raw[[#This Row],[in]],0.01,raw[[#This Row],[out]]-raw[[#This Row],[in]]))</f>
        <v/>
      </c>
      <c r="P1999" s="1397">
        <f>IF(raw[[#This Row],[in]]=0,0,MONTH(raw[[#This Row],[in]]))</f>
        <v/>
      </c>
      <c r="Q1999" s="1397">
        <f>IF(raw[[#This Row],[in]]=0,0,YEAR(raw[[#This Row],[in]]))</f>
        <v/>
      </c>
      <c r="R1999" s="1397">
        <f>INT(raw[[#This Row],[yr]]/10)*10</f>
        <v/>
      </c>
      <c r="S1999" s="1395">
        <f>IF(raw[[#This Row],[city]]="","-",IF(raw[[#This Row],[city]]&lt;&gt;_xlfn.XLOOKUP(raw[[#This Row],[home]],homes[home],homes[city],"-"),1,0))</f>
        <v/>
      </c>
      <c r="T1999" s="1398" t="inlineStr">
        <is>
          <t>.</t>
        </is>
      </c>
      <c r="U1999" s="1399">
        <f>IF(raw[[#This Row],[wb]]="w",raw[[#This Row],[stay]]+U1998,U1998)</f>
        <v/>
      </c>
      <c r="V1999" s="1400">
        <f>IF(raw[[#This Row],[out]]=0,V1998,(raw[[#This Row],[out]]-E$5))</f>
        <v/>
      </c>
      <c r="W1999" s="1401">
        <f>U1999/V1999</f>
        <v/>
      </c>
      <c r="X1999" s="1392" t="n"/>
      <c r="Y1999" s="1392" t="n"/>
      <c r="Z1999" s="1422" t="n"/>
      <c r="AA1999" s="1422" t="n"/>
      <c r="AB1999" s="1392" t="n"/>
      <c r="AC1999" s="1392" t="n"/>
      <c r="AD1999" s="1392" t="n"/>
      <c r="AE1999" s="1392" t="n"/>
      <c r="AF1999" s="1392" t="n"/>
      <c r="AG1999" s="1392" t="n"/>
      <c r="AH1999" s="1392" t="n"/>
      <c r="AI1999" s="1392" t="n"/>
      <c r="AJ1999" s="1392" t="n"/>
      <c r="AK1999" s="1392" t="n"/>
      <c r="AL1999" s="1392" t="n"/>
      <c r="AM1999" s="1392" t="n"/>
      <c r="AN1999" s="1392" t="n"/>
      <c r="AO1999" s="1392" t="n"/>
      <c r="AP1999" s="1392" t="n"/>
      <c r="AQ1999" s="1392" t="n"/>
      <c r="AR1999" s="1392" t="n"/>
      <c r="AS1999" s="1422" t="n"/>
      <c r="AT1999" s="1392" t="n"/>
      <c r="AU1999" s="1392" t="n"/>
      <c r="AV1999" s="1392" t="n"/>
      <c r="AW1999" s="1392" t="n"/>
      <c r="AX1999" s="1392" t="n"/>
      <c r="AY1999" s="1392" t="n"/>
      <c r="AZ1999" s="1392" t="n"/>
      <c r="BA1999" s="1392" t="n"/>
      <c r="BB1999" s="1422" t="n"/>
      <c r="BC1999" s="1392" t="n"/>
      <c r="BD1999" s="1392" t="n"/>
      <c r="BE1999" s="1392" t="n"/>
      <c r="BF1999" s="1392" t="n"/>
      <c r="BG1999" s="1392" t="n"/>
      <c r="BH1999" s="1392" t="n"/>
      <c r="BI1999" s="1392" t="n"/>
      <c r="BJ1999" s="1392" t="n"/>
      <c r="BK1999" s="1392" t="n"/>
      <c r="BL1999" s="1392" t="n"/>
      <c r="BM1999" s="1392" t="n"/>
      <c r="BN1999" s="1392" t="n"/>
      <c r="BO1999" s="1392" t="n"/>
      <c r="BP1999" s="1392" t="n"/>
      <c r="BQ1999" s="1392" t="n"/>
      <c r="BR1999" s="1392" t="n"/>
      <c r="BS1999" s="1392" t="n"/>
      <c r="BT1999" s="1392" t="n"/>
      <c r="BU1999" s="1416" t="n"/>
      <c r="BV1999" s="1392" t="n"/>
      <c r="BW1999" s="1392" t="n"/>
      <c r="BX1999" s="1392" t="n"/>
      <c r="BY1999" s="1392" t="n"/>
      <c r="BZ1999" s="1416" t="n"/>
      <c r="CA1999" s="1392" t="n"/>
      <c r="CB1999" s="1392" t="n"/>
      <c r="CC1999" s="1392" t="n"/>
      <c r="CD1999" s="1392" t="n"/>
      <c r="CE1999" s="1392" t="n"/>
      <c r="CF1999" s="1392" t="n"/>
      <c r="CG1999" s="1392" t="n"/>
      <c r="CH1999" s="1392" t="n"/>
      <c r="CI1999" s="1392" t="n"/>
      <c r="CJ1999" s="1392" t="n"/>
      <c r="CK1999" s="1392" t="n"/>
      <c r="CL1999" s="1392" t="n"/>
    </row>
    <row r="2000">
      <c r="A2000" s="5" t="inlineStr">
        <is>
          <t>.</t>
        </is>
      </c>
      <c r="B2000" s="5" t="inlineStr">
        <is>
          <t>.</t>
        </is>
      </c>
      <c r="C2000" s="1378">
        <f>IF(raw[[#This Row],[city]]="","-",IF(raw[[#This Row],[city]]="TODAY","-",C1999+1))</f>
        <v/>
      </c>
      <c r="D2000" s="1393" t="n"/>
      <c r="E2000" s="1394" t="n"/>
      <c r="F2000" s="1394" t="n"/>
      <c r="G2000" s="1393" t="n"/>
      <c r="H2000" s="1393" t="n"/>
      <c r="I2000" s="1393" t="n"/>
      <c r="J2000" s="1393" t="n"/>
      <c r="K2000" s="1395">
        <f>IF(raw[[#This Row],[city]]&lt;&gt;"",_xlfn.XLOOKUP($D2000,ccc[city],ccc[prov],"-"),"-")</f>
        <v/>
      </c>
      <c r="L2000" s="1395">
        <f>IF(raw[[#This Row],[city]]&lt;&gt;"",_xlfn.XLOOKUP($D2000,ccc[city],ccc[ctry],"-"),"-")</f>
        <v/>
      </c>
      <c r="M2000" s="1395">
        <f>IF(raw[[#This Row],[city]]&lt;&gt;"",_xlfn.XLOOKUP($D2000,ccc[city],ccc[cont],"-"),"-")</f>
        <v/>
      </c>
      <c r="N2000" s="1396">
        <f>IF(raw[[#This Row],[city]]="","-",IF(raw[[#This Row],[cont]]="B",raw[[#This Row],[cont]],"W"))</f>
        <v/>
      </c>
      <c r="O2000" s="1397">
        <f>IF(raw[[#This Row],[out]]=0,0,IF(raw[[#This Row],[out]]=raw[[#This Row],[in]],0.01,raw[[#This Row],[out]]-raw[[#This Row],[in]]))</f>
        <v/>
      </c>
      <c r="P2000" s="1397">
        <f>IF(raw[[#This Row],[in]]=0,0,MONTH(raw[[#This Row],[in]]))</f>
        <v/>
      </c>
      <c r="Q2000" s="1397">
        <f>IF(raw[[#This Row],[in]]=0,0,YEAR(raw[[#This Row],[in]]))</f>
        <v/>
      </c>
      <c r="R2000" s="1397">
        <f>INT(raw[[#This Row],[yr]]/10)*10</f>
        <v/>
      </c>
      <c r="S2000" s="1395">
        <f>IF(raw[[#This Row],[city]]="","-",IF(raw[[#This Row],[city]]&lt;&gt;_xlfn.XLOOKUP(raw[[#This Row],[home]],homes[home],homes[city],"-"),1,0))</f>
        <v/>
      </c>
      <c r="T2000" s="1398" t="inlineStr">
        <is>
          <t>.</t>
        </is>
      </c>
      <c r="U2000" s="1399">
        <f>IF(raw[[#This Row],[wb]]="w",raw[[#This Row],[stay]]+U1999,U1999)</f>
        <v/>
      </c>
      <c r="V2000" s="1400">
        <f>IF(raw[[#This Row],[out]]=0,V1999,(raw[[#This Row],[out]]-E$5))</f>
        <v/>
      </c>
      <c r="W2000" s="1401">
        <f>U2000/V2000</f>
        <v/>
      </c>
      <c r="X2000" s="1392" t="n"/>
      <c r="Y2000" s="1392" t="n"/>
      <c r="Z2000" s="1422" t="n"/>
      <c r="AA2000" s="1422" t="n"/>
      <c r="AB2000" s="1392" t="n"/>
      <c r="AC2000" s="1392" t="n"/>
      <c r="AD2000" s="1392" t="n"/>
      <c r="AE2000" s="1392" t="n"/>
      <c r="AF2000" s="1392" t="n"/>
      <c r="AG2000" s="1392" t="n"/>
      <c r="AH2000" s="1392" t="n"/>
      <c r="AI2000" s="1392" t="n"/>
      <c r="AJ2000" s="1392" t="n"/>
      <c r="AK2000" s="1392" t="n"/>
      <c r="AL2000" s="1392" t="n"/>
      <c r="AM2000" s="1392" t="n"/>
      <c r="AN2000" s="1392" t="n"/>
      <c r="AO2000" s="1392" t="n"/>
      <c r="AP2000" s="1392" t="n"/>
      <c r="AQ2000" s="1392" t="n"/>
      <c r="AR2000" s="1392" t="n"/>
      <c r="AS2000" s="1422" t="n"/>
      <c r="AT2000" s="1392" t="n"/>
      <c r="AU2000" s="1392" t="n"/>
      <c r="AV2000" s="1392" t="n"/>
      <c r="AW2000" s="1392" t="n"/>
      <c r="AX2000" s="1392" t="n"/>
      <c r="AY2000" s="1392" t="n"/>
      <c r="AZ2000" s="1392" t="n"/>
      <c r="BA2000" s="1392" t="n"/>
      <c r="BB2000" s="1422" t="n"/>
      <c r="BC2000" s="1392" t="n"/>
      <c r="BD2000" s="1392" t="n"/>
      <c r="BE2000" s="1392" t="n"/>
      <c r="BF2000" s="1392" t="n"/>
      <c r="BG2000" s="1392" t="n"/>
      <c r="BH2000" s="1392" t="n"/>
      <c r="BI2000" s="1392" t="n"/>
      <c r="BJ2000" s="1392" t="n"/>
      <c r="BK2000" s="1392" t="n"/>
      <c r="BL2000" s="1392" t="n"/>
      <c r="BM2000" s="1392" t="n"/>
      <c r="BN2000" s="1392" t="n"/>
      <c r="BO2000" s="1392" t="n"/>
      <c r="BP2000" s="1392" t="n"/>
      <c r="BQ2000" s="1392" t="n"/>
      <c r="BR2000" s="1392" t="n"/>
      <c r="BS2000" s="1392" t="n"/>
      <c r="BT2000" s="1392" t="n"/>
      <c r="BU2000" s="1416" t="n"/>
      <c r="BV2000" s="1392" t="n"/>
      <c r="BW2000" s="1392" t="n"/>
      <c r="BX2000" s="1392" t="n"/>
      <c r="BY2000" s="1392" t="n"/>
      <c r="BZ2000" s="1416" t="n"/>
      <c r="CA2000" s="1392" t="n"/>
      <c r="CB2000" s="1392" t="n"/>
      <c r="CC2000" s="1392" t="n"/>
      <c r="CD2000" s="1392" t="n"/>
      <c r="CE2000" s="1392" t="n"/>
      <c r="CF2000" s="1392" t="n"/>
      <c r="CG2000" s="1392" t="n"/>
      <c r="CH2000" s="1392" t="n"/>
      <c r="CI2000" s="1392" t="n"/>
      <c r="CJ2000" s="1392" t="n"/>
      <c r="CK2000" s="1392" t="n"/>
      <c r="CL2000" s="1392" t="n"/>
    </row>
    <row r="2001">
      <c r="A2001" s="5" t="inlineStr">
        <is>
          <t>.</t>
        </is>
      </c>
      <c r="B2001" s="5" t="inlineStr">
        <is>
          <t>.</t>
        </is>
      </c>
      <c r="C2001" s="1378">
        <f>IF(raw[[#This Row],[city]]="","-",IF(raw[[#This Row],[city]]="TODAY","-",C2000+1))</f>
        <v/>
      </c>
      <c r="D2001" s="1393" t="n"/>
      <c r="E2001" s="1394" t="n"/>
      <c r="F2001" s="1394" t="n"/>
      <c r="G2001" s="1393" t="n"/>
      <c r="H2001" s="1393" t="n"/>
      <c r="I2001" s="1393" t="n"/>
      <c r="J2001" s="1393" t="n"/>
      <c r="K2001" s="1395">
        <f>IF(raw[[#This Row],[city]]&lt;&gt;"",_xlfn.XLOOKUP($D2001,ccc[city],ccc[prov],"-"),"-")</f>
        <v/>
      </c>
      <c r="L2001" s="1395">
        <f>IF(raw[[#This Row],[city]]&lt;&gt;"",_xlfn.XLOOKUP($D2001,ccc[city],ccc[ctry],"-"),"-")</f>
        <v/>
      </c>
      <c r="M2001" s="1395">
        <f>IF(raw[[#This Row],[city]]&lt;&gt;"",_xlfn.XLOOKUP($D2001,ccc[city],ccc[cont],"-"),"-")</f>
        <v/>
      </c>
      <c r="N2001" s="1396">
        <f>IF(raw[[#This Row],[city]]="","-",IF(raw[[#This Row],[cont]]="B",raw[[#This Row],[cont]],"W"))</f>
        <v/>
      </c>
      <c r="O2001" s="1397">
        <f>IF(raw[[#This Row],[out]]=0,0,IF(raw[[#This Row],[out]]=raw[[#This Row],[in]],0.01,raw[[#This Row],[out]]-raw[[#This Row],[in]]))</f>
        <v/>
      </c>
      <c r="P2001" s="1397">
        <f>IF(raw[[#This Row],[in]]=0,0,MONTH(raw[[#This Row],[in]]))</f>
        <v/>
      </c>
      <c r="Q2001" s="1397">
        <f>IF(raw[[#This Row],[in]]=0,0,YEAR(raw[[#This Row],[in]]))</f>
        <v/>
      </c>
      <c r="R2001" s="1397">
        <f>INT(raw[[#This Row],[yr]]/10)*10</f>
        <v/>
      </c>
      <c r="S2001" s="1395">
        <f>IF(raw[[#This Row],[city]]="","-",IF(raw[[#This Row],[city]]&lt;&gt;_xlfn.XLOOKUP(raw[[#This Row],[home]],homes[home],homes[city],"-"),1,0))</f>
        <v/>
      </c>
      <c r="T2001" s="1398" t="inlineStr">
        <is>
          <t>.</t>
        </is>
      </c>
      <c r="U2001" s="1399">
        <f>IF(raw[[#This Row],[wb]]="w",raw[[#This Row],[stay]]+U2000,U2000)</f>
        <v/>
      </c>
      <c r="V2001" s="1400">
        <f>IF(raw[[#This Row],[out]]=0,V2000,(raw[[#This Row],[out]]-E$5))</f>
        <v/>
      </c>
      <c r="W2001" s="1401">
        <f>U2001/V2001</f>
        <v/>
      </c>
      <c r="X2001" s="1392" t="n"/>
      <c r="Y2001" s="1392" t="n"/>
      <c r="Z2001" s="1422" t="n"/>
      <c r="AA2001" s="1422" t="n"/>
      <c r="AB2001" s="1392" t="n"/>
      <c r="AC2001" s="1392" t="n"/>
      <c r="AD2001" s="1392" t="n"/>
      <c r="AE2001" s="1392" t="n"/>
      <c r="AF2001" s="1392" t="n"/>
      <c r="AG2001" s="1392" t="n"/>
      <c r="AH2001" s="1392" t="n"/>
      <c r="AI2001" s="1392" t="n"/>
      <c r="AJ2001" s="1392" t="n"/>
      <c r="AK2001" s="1392" t="n"/>
      <c r="AL2001" s="1392" t="n"/>
      <c r="AM2001" s="1392" t="n"/>
      <c r="AN2001" s="1392" t="n"/>
      <c r="AO2001" s="1392" t="n"/>
      <c r="AP2001" s="1392" t="n"/>
      <c r="AQ2001" s="1392" t="n"/>
      <c r="AR2001" s="1392" t="n"/>
      <c r="AS2001" s="1422" t="n"/>
      <c r="AT2001" s="1392" t="n"/>
      <c r="AU2001" s="1392" t="n"/>
      <c r="AV2001" s="1392" t="n"/>
      <c r="AW2001" s="1392" t="n"/>
      <c r="AX2001" s="1392" t="n"/>
      <c r="AY2001" s="1392" t="n"/>
      <c r="AZ2001" s="1392" t="n"/>
      <c r="BA2001" s="1392" t="n"/>
      <c r="BB2001" s="1422" t="n"/>
      <c r="BC2001" s="1392" t="n"/>
      <c r="BD2001" s="1392" t="n"/>
      <c r="BE2001" s="1392" t="n"/>
      <c r="BF2001" s="1392" t="n"/>
      <c r="BG2001" s="1392" t="n"/>
      <c r="BH2001" s="1392" t="n"/>
      <c r="BI2001" s="1392" t="n"/>
      <c r="BJ2001" s="1392" t="n"/>
      <c r="BK2001" s="1392" t="n"/>
      <c r="BL2001" s="1392" t="n"/>
      <c r="BM2001" s="1392" t="n"/>
      <c r="BN2001" s="1392" t="n"/>
      <c r="BO2001" s="1392" t="n"/>
      <c r="BP2001" s="1392" t="n"/>
      <c r="BQ2001" s="1392" t="n"/>
      <c r="BR2001" s="1392" t="n"/>
      <c r="BS2001" s="1392" t="n"/>
      <c r="BT2001" s="1392" t="n"/>
      <c r="BU2001" s="1416" t="n"/>
      <c r="BV2001" s="1392" t="n"/>
      <c r="BW2001" s="1392" t="n"/>
      <c r="BX2001" s="1392" t="n"/>
      <c r="BY2001" s="1392" t="n"/>
      <c r="BZ2001" s="1416" t="n"/>
      <c r="CA2001" s="1392" t="n"/>
      <c r="CB2001" s="1392" t="n"/>
      <c r="CC2001" s="1392" t="n"/>
      <c r="CD2001" s="1392" t="n"/>
      <c r="CE2001" s="1392" t="n"/>
      <c r="CF2001" s="1392" t="n"/>
      <c r="CG2001" s="1392" t="n"/>
      <c r="CH2001" s="1392" t="n"/>
      <c r="CI2001" s="1392" t="n"/>
      <c r="CJ2001" s="1392" t="n"/>
      <c r="CK2001" s="1392" t="n"/>
      <c r="CL2001" s="1392" t="n"/>
    </row>
    <row r="2002">
      <c r="A2002" s="5" t="inlineStr">
        <is>
          <t>.</t>
        </is>
      </c>
      <c r="B2002" s="5" t="inlineStr">
        <is>
          <t>.</t>
        </is>
      </c>
      <c r="C2002" s="1378">
        <f>IF(raw[[#This Row],[city]]="","-",IF(raw[[#This Row],[city]]="TODAY","-",C2001+1))</f>
        <v/>
      </c>
      <c r="D2002" s="1393" t="n"/>
      <c r="E2002" s="1394" t="n"/>
      <c r="F2002" s="1394" t="n"/>
      <c r="G2002" s="1393" t="n"/>
      <c r="H2002" s="1393" t="n"/>
      <c r="I2002" s="1393" t="n"/>
      <c r="J2002" s="1393" t="n"/>
      <c r="K2002" s="1395">
        <f>IF(raw[[#This Row],[city]]&lt;&gt;"",_xlfn.XLOOKUP($D2002,ccc[city],ccc[prov],"-"),"-")</f>
        <v/>
      </c>
      <c r="L2002" s="1395">
        <f>IF(raw[[#This Row],[city]]&lt;&gt;"",_xlfn.XLOOKUP($D2002,ccc[city],ccc[ctry],"-"),"-")</f>
        <v/>
      </c>
      <c r="M2002" s="1395">
        <f>IF(raw[[#This Row],[city]]&lt;&gt;"",_xlfn.XLOOKUP($D2002,ccc[city],ccc[cont],"-"),"-")</f>
        <v/>
      </c>
      <c r="N2002" s="1396">
        <f>IF(raw[[#This Row],[city]]="","-",IF(raw[[#This Row],[cont]]="B",raw[[#This Row],[cont]],"W"))</f>
        <v/>
      </c>
      <c r="O2002" s="1397">
        <f>IF(raw[[#This Row],[out]]=0,0,IF(raw[[#This Row],[out]]=raw[[#This Row],[in]],0.01,raw[[#This Row],[out]]-raw[[#This Row],[in]]))</f>
        <v/>
      </c>
      <c r="P2002" s="1397">
        <f>IF(raw[[#This Row],[in]]=0,0,MONTH(raw[[#This Row],[in]]))</f>
        <v/>
      </c>
      <c r="Q2002" s="1397">
        <f>IF(raw[[#This Row],[in]]=0,0,YEAR(raw[[#This Row],[in]]))</f>
        <v/>
      </c>
      <c r="R2002" s="1397">
        <f>INT(raw[[#This Row],[yr]]/10)*10</f>
        <v/>
      </c>
      <c r="S2002" s="1395">
        <f>IF(raw[[#This Row],[city]]="","-",IF(raw[[#This Row],[city]]&lt;&gt;_xlfn.XLOOKUP(raw[[#This Row],[home]],homes[home],homes[city],"-"),1,0))</f>
        <v/>
      </c>
      <c r="T2002" s="1398" t="inlineStr">
        <is>
          <t>.</t>
        </is>
      </c>
      <c r="U2002" s="1399">
        <f>IF(raw[[#This Row],[wb]]="w",raw[[#This Row],[stay]]+U2001,U2001)</f>
        <v/>
      </c>
      <c r="V2002" s="1400">
        <f>IF(raw[[#This Row],[out]]=0,V2001,(raw[[#This Row],[out]]-E$5))</f>
        <v/>
      </c>
      <c r="W2002" s="1401">
        <f>U2002/V2002</f>
        <v/>
      </c>
      <c r="X2002" s="1392" t="n"/>
      <c r="Y2002" s="1392" t="n"/>
      <c r="Z2002" s="1422" t="n"/>
      <c r="AA2002" s="1422" t="n"/>
      <c r="AB2002" s="1392" t="n"/>
      <c r="AC2002" s="1392" t="n"/>
      <c r="AD2002" s="1392" t="n"/>
      <c r="AE2002" s="1392" t="n"/>
      <c r="AF2002" s="1392" t="n"/>
      <c r="AG2002" s="1392" t="n"/>
      <c r="AH2002" s="1392" t="n"/>
      <c r="AI2002" s="1392" t="n"/>
      <c r="AJ2002" s="1392" t="n"/>
      <c r="AK2002" s="1392" t="n"/>
      <c r="AL2002" s="1392" t="n"/>
      <c r="AM2002" s="1392" t="n"/>
      <c r="AN2002" s="1392" t="n"/>
      <c r="AO2002" s="1392" t="n"/>
      <c r="AP2002" s="1392" t="n"/>
      <c r="AQ2002" s="1392" t="n"/>
      <c r="AR2002" s="1392" t="n"/>
      <c r="AS2002" s="1422" t="n"/>
      <c r="AT2002" s="1392" t="n"/>
      <c r="AU2002" s="1392" t="n"/>
      <c r="AV2002" s="1392" t="n"/>
      <c r="AW2002" s="1392" t="n"/>
      <c r="AX2002" s="1392" t="n"/>
      <c r="AY2002" s="1392" t="n"/>
      <c r="AZ2002" s="1392" t="n"/>
      <c r="BA2002" s="1392" t="n"/>
      <c r="BB2002" s="1422" t="n"/>
      <c r="BC2002" s="1392" t="n"/>
      <c r="BD2002" s="1392" t="n"/>
      <c r="BE2002" s="1392" t="n"/>
      <c r="BF2002" s="1392" t="n"/>
      <c r="BG2002" s="1392" t="n"/>
      <c r="BH2002" s="1392" t="n"/>
      <c r="BI2002" s="1392" t="n"/>
      <c r="BJ2002" s="1392" t="n"/>
      <c r="BK2002" s="1392" t="n"/>
      <c r="BL2002" s="1392" t="n"/>
      <c r="BM2002" s="1392" t="n"/>
      <c r="BN2002" s="1392" t="n"/>
      <c r="BO2002" s="1392" t="n"/>
      <c r="BP2002" s="1392" t="n"/>
      <c r="BQ2002" s="1392" t="n"/>
      <c r="BR2002" s="1392" t="n"/>
      <c r="BS2002" s="1392" t="n"/>
      <c r="BT2002" s="1392" t="n"/>
      <c r="BU2002" s="1416" t="n"/>
      <c r="BV2002" s="1392" t="n"/>
      <c r="BW2002" s="1392" t="n"/>
      <c r="BX2002" s="1392" t="n"/>
      <c r="BY2002" s="1392" t="n"/>
      <c r="BZ2002" s="1416" t="n"/>
      <c r="CA2002" s="1392" t="n"/>
      <c r="CB2002" s="1392" t="n"/>
      <c r="CC2002" s="1392" t="n"/>
      <c r="CD2002" s="1392" t="n"/>
      <c r="CE2002" s="1392" t="n"/>
      <c r="CF2002" s="1392" t="n"/>
      <c r="CG2002" s="1392" t="n"/>
      <c r="CH2002" s="1392" t="n"/>
      <c r="CI2002" s="1392" t="n"/>
      <c r="CJ2002" s="1392" t="n"/>
      <c r="CK2002" s="1392" t="n"/>
      <c r="CL2002" s="1392" t="n"/>
    </row>
    <row r="2003">
      <c r="A2003" s="5" t="inlineStr">
        <is>
          <t>.</t>
        </is>
      </c>
      <c r="B2003" s="5" t="inlineStr">
        <is>
          <t>.</t>
        </is>
      </c>
      <c r="C2003" s="1378">
        <f>IF(raw[[#This Row],[city]]="","-",IF(raw[[#This Row],[city]]="TODAY","-",C2002+1))</f>
        <v/>
      </c>
      <c r="D2003" s="1393" t="n"/>
      <c r="E2003" s="1394" t="n"/>
      <c r="F2003" s="1394" t="n"/>
      <c r="G2003" s="1393" t="n"/>
      <c r="H2003" s="1393" t="n"/>
      <c r="I2003" s="1393" t="n"/>
      <c r="J2003" s="1393" t="n"/>
      <c r="K2003" s="1395">
        <f>IF(raw[[#This Row],[city]]&lt;&gt;"",_xlfn.XLOOKUP($D2003,ccc[city],ccc[prov],"-"),"-")</f>
        <v/>
      </c>
      <c r="L2003" s="1395">
        <f>IF(raw[[#This Row],[city]]&lt;&gt;"",_xlfn.XLOOKUP($D2003,ccc[city],ccc[ctry],"-"),"-")</f>
        <v/>
      </c>
      <c r="M2003" s="1395">
        <f>IF(raw[[#This Row],[city]]&lt;&gt;"",_xlfn.XLOOKUP($D2003,ccc[city],ccc[cont],"-"),"-")</f>
        <v/>
      </c>
      <c r="N2003" s="1396">
        <f>IF(raw[[#This Row],[city]]="","-",IF(raw[[#This Row],[cont]]="B",raw[[#This Row],[cont]],"W"))</f>
        <v/>
      </c>
      <c r="O2003" s="1397">
        <f>IF(raw[[#This Row],[out]]=0,0,IF(raw[[#This Row],[out]]=raw[[#This Row],[in]],0.01,raw[[#This Row],[out]]-raw[[#This Row],[in]]))</f>
        <v/>
      </c>
      <c r="P2003" s="1397">
        <f>IF(raw[[#This Row],[in]]=0,0,MONTH(raw[[#This Row],[in]]))</f>
        <v/>
      </c>
      <c r="Q2003" s="1397">
        <f>IF(raw[[#This Row],[in]]=0,0,YEAR(raw[[#This Row],[in]]))</f>
        <v/>
      </c>
      <c r="R2003" s="1397">
        <f>INT(raw[[#This Row],[yr]]/10)*10</f>
        <v/>
      </c>
      <c r="S2003" s="1395">
        <f>IF(raw[[#This Row],[city]]="","-",IF(raw[[#This Row],[city]]&lt;&gt;_xlfn.XLOOKUP(raw[[#This Row],[home]],homes[home],homes[city],"-"),1,0))</f>
        <v/>
      </c>
      <c r="T2003" s="1398" t="inlineStr">
        <is>
          <t>.</t>
        </is>
      </c>
      <c r="U2003" s="1399">
        <f>IF(raw[[#This Row],[wb]]="w",raw[[#This Row],[stay]]+U2002,U2002)</f>
        <v/>
      </c>
      <c r="V2003" s="1400">
        <f>IF(raw[[#This Row],[out]]=0,V2002,(raw[[#This Row],[out]]-E$5))</f>
        <v/>
      </c>
      <c r="W2003" s="1401">
        <f>U2003/V2003</f>
        <v/>
      </c>
      <c r="X2003" s="1392" t="n"/>
      <c r="Y2003" s="1392" t="n"/>
      <c r="Z2003" s="1422" t="n"/>
      <c r="AA2003" s="1422" t="n"/>
      <c r="AB2003" s="1392" t="n"/>
      <c r="AC2003" s="1392" t="n"/>
      <c r="AD2003" s="1392" t="n"/>
      <c r="AE2003" s="1392" t="n"/>
      <c r="AF2003" s="1392" t="n"/>
      <c r="AG2003" s="1392" t="n"/>
      <c r="AH2003" s="1392" t="n"/>
      <c r="AI2003" s="1392" t="n"/>
      <c r="AJ2003" s="1392" t="n"/>
      <c r="AK2003" s="1392" t="n"/>
      <c r="AL2003" s="1392" t="n"/>
      <c r="AM2003" s="1392" t="n"/>
      <c r="AN2003" s="1392" t="n"/>
      <c r="AO2003" s="1392" t="n"/>
      <c r="AP2003" s="1392" t="n"/>
      <c r="AQ2003" s="1392" t="n"/>
      <c r="AR2003" s="1392" t="n"/>
      <c r="AS2003" s="1422" t="n"/>
      <c r="AT2003" s="1392" t="n"/>
      <c r="AU2003" s="1392" t="n"/>
      <c r="AV2003" s="1392" t="n"/>
      <c r="AW2003" s="1392" t="n"/>
      <c r="AX2003" s="1392" t="n"/>
      <c r="AY2003" s="1392" t="n"/>
      <c r="AZ2003" s="1392" t="n"/>
      <c r="BA2003" s="1392" t="n"/>
      <c r="BB2003" s="1422" t="n"/>
      <c r="BC2003" s="1392" t="n"/>
      <c r="BD2003" s="1392" t="n"/>
      <c r="BE2003" s="1392" t="n"/>
      <c r="BF2003" s="1392" t="n"/>
      <c r="BG2003" s="1392" t="n"/>
      <c r="BH2003" s="1392" t="n"/>
      <c r="BI2003" s="1392" t="n"/>
      <c r="BJ2003" s="1392" t="n"/>
      <c r="BK2003" s="1392" t="n"/>
      <c r="BL2003" s="1392" t="n"/>
      <c r="BM2003" s="1392" t="n"/>
      <c r="BN2003" s="1392" t="n"/>
      <c r="BO2003" s="1392" t="n"/>
      <c r="BP2003" s="1392" t="n"/>
      <c r="BQ2003" s="1392" t="n"/>
      <c r="BR2003" s="1392" t="n"/>
      <c r="BS2003" s="1392" t="n"/>
      <c r="BT2003" s="1392" t="n"/>
      <c r="BU2003" s="1416" t="n"/>
      <c r="BV2003" s="1392" t="n"/>
      <c r="BW2003" s="1392" t="n"/>
      <c r="BX2003" s="1392" t="n"/>
      <c r="BY2003" s="1392" t="n"/>
      <c r="BZ2003" s="1416" t="n"/>
      <c r="CA2003" s="1392" t="n"/>
      <c r="CB2003" s="1392" t="n"/>
      <c r="CC2003" s="1392" t="n"/>
      <c r="CD2003" s="1392" t="n"/>
      <c r="CE2003" s="1392" t="n"/>
      <c r="CF2003" s="1392" t="n"/>
      <c r="CG2003" s="1392" t="n"/>
      <c r="CH2003" s="1392" t="n"/>
      <c r="CI2003" s="1392" t="n"/>
      <c r="CJ2003" s="1392" t="n"/>
      <c r="CK2003" s="1392" t="n"/>
      <c r="CL2003" s="1392" t="n"/>
    </row>
    <row r="2004">
      <c r="A2004" s="5" t="inlineStr">
        <is>
          <t>.</t>
        </is>
      </c>
      <c r="B2004" s="5" t="inlineStr">
        <is>
          <t>.</t>
        </is>
      </c>
      <c r="C2004" s="1378">
        <f>IF(raw[[#This Row],[city]]="","-",IF(raw[[#This Row],[city]]="TODAY","-",C2003+1))</f>
        <v/>
      </c>
      <c r="D2004" s="1393" t="n"/>
      <c r="E2004" s="1394" t="n"/>
      <c r="F2004" s="1394" t="n"/>
      <c r="G2004" s="1393" t="n"/>
      <c r="H2004" s="1393" t="n"/>
      <c r="I2004" s="1393" t="n"/>
      <c r="J2004" s="1393" t="n"/>
      <c r="K2004" s="1395">
        <f>IF(raw[[#This Row],[city]]&lt;&gt;"",_xlfn.XLOOKUP($D2004,ccc[city],ccc[prov],"-"),"-")</f>
        <v/>
      </c>
      <c r="L2004" s="1395">
        <f>IF(raw[[#This Row],[city]]&lt;&gt;"",_xlfn.XLOOKUP($D2004,ccc[city],ccc[ctry],"-"),"-")</f>
        <v/>
      </c>
      <c r="M2004" s="1395">
        <f>IF(raw[[#This Row],[city]]&lt;&gt;"",_xlfn.XLOOKUP($D2004,ccc[city],ccc[cont],"-"),"-")</f>
        <v/>
      </c>
      <c r="N2004" s="1396">
        <f>IF(raw[[#This Row],[city]]="","-",IF(raw[[#This Row],[cont]]="B",raw[[#This Row],[cont]],"W"))</f>
        <v/>
      </c>
      <c r="O2004" s="1397">
        <f>IF(raw[[#This Row],[out]]=0,0,IF(raw[[#This Row],[out]]=raw[[#This Row],[in]],0.01,raw[[#This Row],[out]]-raw[[#This Row],[in]]))</f>
        <v/>
      </c>
      <c r="P2004" s="1397">
        <f>IF(raw[[#This Row],[in]]=0,0,MONTH(raw[[#This Row],[in]]))</f>
        <v/>
      </c>
      <c r="Q2004" s="1397">
        <f>IF(raw[[#This Row],[in]]=0,0,YEAR(raw[[#This Row],[in]]))</f>
        <v/>
      </c>
      <c r="R2004" s="1397">
        <f>INT(raw[[#This Row],[yr]]/10)*10</f>
        <v/>
      </c>
      <c r="S2004" s="1395">
        <f>IF(raw[[#This Row],[city]]="","-",IF(raw[[#This Row],[city]]&lt;&gt;_xlfn.XLOOKUP(raw[[#This Row],[home]],homes[home],homes[city],"-"),1,0))</f>
        <v/>
      </c>
      <c r="T2004" s="1398" t="inlineStr">
        <is>
          <t>.</t>
        </is>
      </c>
      <c r="U2004" s="1399">
        <f>IF(raw[[#This Row],[wb]]="w",raw[[#This Row],[stay]]+U2003,U2003)</f>
        <v/>
      </c>
      <c r="V2004" s="1400">
        <f>IF(raw[[#This Row],[out]]=0,V2003,(raw[[#This Row],[out]]-E$5))</f>
        <v/>
      </c>
      <c r="W2004" s="1401">
        <f>U2004/V2004</f>
        <v/>
      </c>
      <c r="X2004" s="1392" t="n"/>
      <c r="Y2004" s="1392" t="n"/>
      <c r="Z2004" s="1422" t="n"/>
      <c r="AA2004" s="1422" t="n"/>
      <c r="AB2004" s="1392" t="n"/>
      <c r="AC2004" s="1392" t="n"/>
      <c r="AD2004" s="1392" t="n"/>
      <c r="AE2004" s="1392" t="n"/>
      <c r="AF2004" s="1392" t="n"/>
      <c r="AG2004" s="1392" t="n"/>
      <c r="AH2004" s="1392" t="n"/>
      <c r="AI2004" s="1392" t="n"/>
      <c r="AJ2004" s="1392" t="n"/>
      <c r="AK2004" s="1392" t="n"/>
      <c r="AL2004" s="1392" t="n"/>
      <c r="AM2004" s="1392" t="n"/>
      <c r="AN2004" s="1392" t="n"/>
      <c r="AO2004" s="1392" t="n"/>
      <c r="AP2004" s="1392" t="n"/>
      <c r="AQ2004" s="1392" t="n"/>
      <c r="AR2004" s="1392" t="n"/>
      <c r="AS2004" s="1422" t="n"/>
      <c r="AT2004" s="1392" t="n"/>
      <c r="AU2004" s="1392" t="n"/>
      <c r="AV2004" s="1392" t="n"/>
      <c r="AW2004" s="1392" t="n"/>
      <c r="AX2004" s="1392" t="n"/>
      <c r="AY2004" s="1392" t="n"/>
      <c r="AZ2004" s="1392" t="n"/>
      <c r="BA2004" s="1392" t="n"/>
      <c r="BB2004" s="1422" t="n"/>
      <c r="BC2004" s="1392" t="n"/>
      <c r="BD2004" s="1392" t="n"/>
      <c r="BE2004" s="1392" t="n"/>
      <c r="BF2004" s="1392" t="n"/>
      <c r="BG2004" s="1392" t="n"/>
      <c r="BH2004" s="1392" t="n"/>
      <c r="BI2004" s="1392" t="n"/>
      <c r="BJ2004" s="1392" t="n"/>
      <c r="BK2004" s="1392" t="n"/>
      <c r="BL2004" s="1392" t="n"/>
      <c r="BM2004" s="1392" t="n"/>
      <c r="BN2004" s="1392" t="n"/>
      <c r="BO2004" s="1392" t="n"/>
      <c r="BP2004" s="1392" t="n"/>
      <c r="BQ2004" s="1392" t="n"/>
      <c r="BR2004" s="1392" t="n"/>
      <c r="BS2004" s="1392" t="n"/>
      <c r="BT2004" s="1392" t="n"/>
      <c r="BU2004" s="1416" t="n"/>
      <c r="BV2004" s="1392" t="n"/>
      <c r="BW2004" s="1392" t="n"/>
      <c r="BX2004" s="1392" t="n"/>
      <c r="BY2004" s="1392" t="n"/>
      <c r="BZ2004" s="1416" t="n"/>
      <c r="CA2004" s="1392" t="n"/>
      <c r="CB2004" s="1392" t="n"/>
      <c r="CC2004" s="1392" t="n"/>
      <c r="CD2004" s="1392" t="n"/>
      <c r="CE2004" s="1392" t="n"/>
      <c r="CF2004" s="1392" t="n"/>
      <c r="CG2004" s="1392" t="n"/>
      <c r="CH2004" s="1392" t="n"/>
      <c r="CI2004" s="1392" t="n"/>
      <c r="CJ2004" s="1392" t="n"/>
      <c r="CK2004" s="1392" t="n"/>
      <c r="CL2004" s="1392" t="n"/>
    </row>
    <row r="2005">
      <c r="A2005" s="5" t="inlineStr">
        <is>
          <t>.</t>
        </is>
      </c>
      <c r="B2005" s="5" t="inlineStr">
        <is>
          <t>.</t>
        </is>
      </c>
      <c r="C2005" s="1378">
        <f>IF(raw[[#This Row],[city]]="","-",IF(raw[[#This Row],[city]]="TODAY","-",C2004+1))</f>
        <v/>
      </c>
      <c r="D2005" s="1393" t="n"/>
      <c r="E2005" s="1394" t="n"/>
      <c r="F2005" s="1394" t="n"/>
      <c r="G2005" s="1393" t="n"/>
      <c r="H2005" s="1393" t="n"/>
      <c r="I2005" s="1393" t="n"/>
      <c r="J2005" s="1393" t="n"/>
      <c r="K2005" s="1395">
        <f>IF(raw[[#This Row],[city]]&lt;&gt;"",_xlfn.XLOOKUP($D2005,ccc[city],ccc[prov],"-"),"-")</f>
        <v/>
      </c>
      <c r="L2005" s="1395">
        <f>IF(raw[[#This Row],[city]]&lt;&gt;"",_xlfn.XLOOKUP($D2005,ccc[city],ccc[ctry],"-"),"-")</f>
        <v/>
      </c>
      <c r="M2005" s="1395">
        <f>IF(raw[[#This Row],[city]]&lt;&gt;"",_xlfn.XLOOKUP($D2005,ccc[city],ccc[cont],"-"),"-")</f>
        <v/>
      </c>
      <c r="N2005" s="1396">
        <f>IF(raw[[#This Row],[city]]="","-",IF(raw[[#This Row],[cont]]="B",raw[[#This Row],[cont]],"W"))</f>
        <v/>
      </c>
      <c r="O2005" s="1397">
        <f>IF(raw[[#This Row],[out]]=0,0,IF(raw[[#This Row],[out]]=raw[[#This Row],[in]],0.01,raw[[#This Row],[out]]-raw[[#This Row],[in]]))</f>
        <v/>
      </c>
      <c r="P2005" s="1397">
        <f>IF(raw[[#This Row],[in]]=0,0,MONTH(raw[[#This Row],[in]]))</f>
        <v/>
      </c>
      <c r="Q2005" s="1397">
        <f>IF(raw[[#This Row],[in]]=0,0,YEAR(raw[[#This Row],[in]]))</f>
        <v/>
      </c>
      <c r="R2005" s="1397">
        <f>INT(raw[[#This Row],[yr]]/10)*10</f>
        <v/>
      </c>
      <c r="S2005" s="1395">
        <f>IF(raw[[#This Row],[city]]="","-",IF(raw[[#This Row],[city]]&lt;&gt;_xlfn.XLOOKUP(raw[[#This Row],[home]],homes[home],homes[city],"-"),1,0))</f>
        <v/>
      </c>
      <c r="T2005" s="1398" t="inlineStr">
        <is>
          <t>.</t>
        </is>
      </c>
      <c r="U2005" s="1399">
        <f>IF(raw[[#This Row],[wb]]="w",raw[[#This Row],[stay]]+U2004,U2004)</f>
        <v/>
      </c>
      <c r="V2005" s="1400">
        <f>IF(raw[[#This Row],[out]]=0,V2004,(raw[[#This Row],[out]]-E$5))</f>
        <v/>
      </c>
      <c r="W2005" s="1401">
        <f>U2005/V2005</f>
        <v/>
      </c>
      <c r="X2005" s="1392" t="n"/>
      <c r="Y2005" s="1392" t="n"/>
      <c r="Z2005" s="1422" t="n"/>
      <c r="AA2005" s="1422" t="n"/>
      <c r="AB2005" s="1392" t="n"/>
      <c r="AC2005" s="1392" t="n"/>
      <c r="AD2005" s="1392" t="n"/>
      <c r="AE2005" s="1392" t="n"/>
      <c r="AF2005" s="1392" t="n"/>
      <c r="AG2005" s="1392" t="n"/>
      <c r="AH2005" s="1392" t="n"/>
      <c r="AI2005" s="1392" t="n"/>
      <c r="AJ2005" s="1392" t="n"/>
      <c r="AK2005" s="1392" t="n"/>
      <c r="AL2005" s="1392" t="n"/>
      <c r="AM2005" s="1392" t="n"/>
      <c r="AN2005" s="1392" t="n"/>
      <c r="AO2005" s="1392" t="n"/>
      <c r="AP2005" s="1392" t="n"/>
      <c r="AQ2005" s="1392" t="n"/>
      <c r="AR2005" s="1392" t="n"/>
      <c r="AS2005" s="1422" t="n"/>
      <c r="AT2005" s="1392" t="n"/>
      <c r="AU2005" s="1392" t="n"/>
      <c r="AV2005" s="1392" t="n"/>
      <c r="AW2005" s="1392" t="n"/>
      <c r="AX2005" s="1392" t="n"/>
      <c r="AY2005" s="1392" t="n"/>
      <c r="AZ2005" s="1392" t="n"/>
      <c r="BA2005" s="1392" t="n"/>
      <c r="BB2005" s="1422" t="n"/>
      <c r="BC2005" s="1392" t="n"/>
      <c r="BD2005" s="1392" t="n"/>
      <c r="BE2005" s="1392" t="n"/>
      <c r="BF2005" s="1392" t="n"/>
      <c r="BG2005" s="1392" t="n"/>
      <c r="BH2005" s="1392" t="n"/>
      <c r="BI2005" s="1392" t="n"/>
      <c r="BJ2005" s="1392" t="n"/>
      <c r="BK2005" s="1392" t="n"/>
      <c r="BL2005" s="1392" t="n"/>
      <c r="BM2005" s="1392" t="n"/>
      <c r="BN2005" s="1392" t="n"/>
      <c r="BO2005" s="1392" t="n"/>
      <c r="BP2005" s="1392" t="n"/>
      <c r="BQ2005" s="1392" t="n"/>
      <c r="BR2005" s="1392" t="n"/>
      <c r="BS2005" s="1392" t="n"/>
      <c r="BT2005" s="1392" t="n"/>
      <c r="BU2005" s="1416" t="n"/>
      <c r="BV2005" s="1392" t="n"/>
      <c r="BW2005" s="1392" t="n"/>
      <c r="BX2005" s="1392" t="n"/>
      <c r="BY2005" s="1392" t="n"/>
      <c r="BZ2005" s="1416" t="n"/>
      <c r="CA2005" s="1392" t="n"/>
      <c r="CB2005" s="1392" t="n"/>
      <c r="CC2005" s="1392" t="n"/>
      <c r="CD2005" s="1392" t="n"/>
      <c r="CE2005" s="1392" t="n"/>
      <c r="CF2005" s="1392" t="n"/>
      <c r="CG2005" s="1392" t="n"/>
      <c r="CH2005" s="1392" t="n"/>
      <c r="CI2005" s="1392" t="n"/>
      <c r="CJ2005" s="1392" t="n"/>
      <c r="CK2005" s="1392" t="n"/>
      <c r="CL2005" s="1392" t="n"/>
    </row>
    <row r="2006">
      <c r="A2006" s="5" t="inlineStr">
        <is>
          <t>.</t>
        </is>
      </c>
      <c r="B2006" s="5" t="inlineStr">
        <is>
          <t>.</t>
        </is>
      </c>
      <c r="C2006" s="1378">
        <f>IF(raw[[#This Row],[city]]="","-",IF(raw[[#This Row],[city]]="TODAY","-",C2005+1))</f>
        <v/>
      </c>
      <c r="D2006" s="1393" t="n"/>
      <c r="E2006" s="1394" t="n"/>
      <c r="F2006" s="1394" t="n"/>
      <c r="G2006" s="1393" t="n"/>
      <c r="H2006" s="1393" t="n"/>
      <c r="I2006" s="1393" t="n"/>
      <c r="J2006" s="1393" t="n"/>
      <c r="K2006" s="1395">
        <f>IF(raw[[#This Row],[city]]&lt;&gt;"",_xlfn.XLOOKUP($D2006,ccc[city],ccc[prov],"-"),"-")</f>
        <v/>
      </c>
      <c r="L2006" s="1395">
        <f>IF(raw[[#This Row],[city]]&lt;&gt;"",_xlfn.XLOOKUP($D2006,ccc[city],ccc[ctry],"-"),"-")</f>
        <v/>
      </c>
      <c r="M2006" s="1395">
        <f>IF(raw[[#This Row],[city]]&lt;&gt;"",_xlfn.XLOOKUP($D2006,ccc[city],ccc[cont],"-"),"-")</f>
        <v/>
      </c>
      <c r="N2006" s="1396">
        <f>IF(raw[[#This Row],[city]]="","-",IF(raw[[#This Row],[cont]]="B",raw[[#This Row],[cont]],"W"))</f>
        <v/>
      </c>
      <c r="O2006" s="1397">
        <f>IF(raw[[#This Row],[out]]=0,0,IF(raw[[#This Row],[out]]=raw[[#This Row],[in]],0.01,raw[[#This Row],[out]]-raw[[#This Row],[in]]))</f>
        <v/>
      </c>
      <c r="P2006" s="1397">
        <f>IF(raw[[#This Row],[in]]=0,0,MONTH(raw[[#This Row],[in]]))</f>
        <v/>
      </c>
      <c r="Q2006" s="1397">
        <f>IF(raw[[#This Row],[in]]=0,0,YEAR(raw[[#This Row],[in]]))</f>
        <v/>
      </c>
      <c r="R2006" s="1397">
        <f>INT(raw[[#This Row],[yr]]/10)*10</f>
        <v/>
      </c>
      <c r="S2006" s="1395">
        <f>IF(raw[[#This Row],[city]]="","-",IF(raw[[#This Row],[city]]&lt;&gt;_xlfn.XLOOKUP(raw[[#This Row],[home]],homes[home],homes[city],"-"),1,0))</f>
        <v/>
      </c>
      <c r="T2006" s="1398" t="inlineStr">
        <is>
          <t>.</t>
        </is>
      </c>
      <c r="U2006" s="1399">
        <f>IF(raw[[#This Row],[wb]]="w",raw[[#This Row],[stay]]+U2005,U2005)</f>
        <v/>
      </c>
      <c r="V2006" s="1400">
        <f>IF(raw[[#This Row],[out]]=0,V2005,(raw[[#This Row],[out]]-E$5))</f>
        <v/>
      </c>
      <c r="W2006" s="1401">
        <f>U2006/V2006</f>
        <v/>
      </c>
      <c r="X2006" s="1392" t="n"/>
      <c r="Y2006" s="1392" t="n"/>
      <c r="Z2006" s="1422" t="n"/>
      <c r="AA2006" s="1422" t="n"/>
      <c r="AB2006" s="1392" t="n"/>
      <c r="AC2006" s="1392" t="n"/>
      <c r="AD2006" s="1392" t="n"/>
      <c r="AE2006" s="1392" t="n"/>
      <c r="AF2006" s="1392" t="n"/>
      <c r="AG2006" s="1392" t="n"/>
      <c r="AH2006" s="1392" t="n"/>
      <c r="AI2006" s="1392" t="n"/>
      <c r="AJ2006" s="1392" t="n"/>
      <c r="AK2006" s="1392" t="n"/>
      <c r="AL2006" s="1392" t="n"/>
      <c r="AM2006" s="1392" t="n"/>
      <c r="AN2006" s="1392" t="n"/>
      <c r="AO2006" s="1392" t="n"/>
      <c r="AP2006" s="1392" t="n"/>
      <c r="AQ2006" s="1392" t="n"/>
      <c r="AR2006" s="1392" t="n"/>
      <c r="AS2006" s="1422" t="n"/>
      <c r="AT2006" s="1392" t="n"/>
      <c r="AU2006" s="1392" t="n"/>
      <c r="AV2006" s="1392" t="n"/>
      <c r="AW2006" s="1392" t="n"/>
      <c r="AX2006" s="1392" t="n"/>
      <c r="AY2006" s="1392" t="n"/>
      <c r="AZ2006" s="1392" t="n"/>
      <c r="BA2006" s="1392" t="n"/>
      <c r="BB2006" s="1422" t="n"/>
      <c r="BC2006" s="1392" t="n"/>
      <c r="BD2006" s="1392" t="n"/>
      <c r="BE2006" s="1392" t="n"/>
      <c r="BF2006" s="1392" t="n"/>
      <c r="BG2006" s="1392" t="n"/>
      <c r="BH2006" s="1392" t="n"/>
      <c r="BI2006" s="1392" t="n"/>
      <c r="BJ2006" s="1392" t="n"/>
      <c r="BK2006" s="1392" t="n"/>
      <c r="BL2006" s="1392" t="n"/>
      <c r="BM2006" s="1392" t="n"/>
      <c r="BN2006" s="1392" t="n"/>
      <c r="BO2006" s="1392" t="n"/>
      <c r="BP2006" s="1392" t="n"/>
      <c r="BQ2006" s="1392" t="n"/>
      <c r="BR2006" s="1392" t="n"/>
      <c r="BS2006" s="1392" t="n"/>
      <c r="BT2006" s="1392" t="n"/>
      <c r="BU2006" s="1416" t="n"/>
      <c r="BV2006" s="1392" t="n"/>
      <c r="BW2006" s="1392" t="n"/>
      <c r="BX2006" s="1392" t="n"/>
      <c r="BY2006" s="1392" t="n"/>
      <c r="BZ2006" s="1416" t="n"/>
      <c r="CA2006" s="1392" t="n"/>
      <c r="CB2006" s="1392" t="n"/>
      <c r="CC2006" s="1392" t="n"/>
      <c r="CD2006" s="1392" t="n"/>
      <c r="CE2006" s="1392" t="n"/>
      <c r="CF2006" s="1392" t="n"/>
      <c r="CG2006" s="1392" t="n"/>
      <c r="CH2006" s="1392" t="n"/>
      <c r="CI2006" s="1392" t="n"/>
      <c r="CJ2006" s="1392" t="n"/>
      <c r="CK2006" s="1392" t="n"/>
      <c r="CL2006" s="1392" t="n"/>
    </row>
    <row r="2007">
      <c r="A2007" s="5" t="inlineStr">
        <is>
          <t>.</t>
        </is>
      </c>
      <c r="B2007" s="5" t="inlineStr">
        <is>
          <t>.</t>
        </is>
      </c>
      <c r="C2007" s="1378">
        <f>IF(raw[[#This Row],[city]]="","-",IF(raw[[#This Row],[city]]="TODAY","-",C2006+1))</f>
        <v/>
      </c>
      <c r="D2007" s="1393" t="n"/>
      <c r="E2007" s="1394" t="n"/>
      <c r="F2007" s="1394" t="n"/>
      <c r="G2007" s="1393" t="n"/>
      <c r="H2007" s="1393" t="n"/>
      <c r="I2007" s="1393" t="n"/>
      <c r="J2007" s="1393" t="n"/>
      <c r="K2007" s="1395">
        <f>IF(raw[[#This Row],[city]]&lt;&gt;"",_xlfn.XLOOKUP($D2007,ccc[city],ccc[prov],"-"),"-")</f>
        <v/>
      </c>
      <c r="L2007" s="1395">
        <f>IF(raw[[#This Row],[city]]&lt;&gt;"",_xlfn.XLOOKUP($D2007,ccc[city],ccc[ctry],"-"),"-")</f>
        <v/>
      </c>
      <c r="M2007" s="1395">
        <f>IF(raw[[#This Row],[city]]&lt;&gt;"",_xlfn.XLOOKUP($D2007,ccc[city],ccc[cont],"-"),"-")</f>
        <v/>
      </c>
      <c r="N2007" s="1396">
        <f>IF(raw[[#This Row],[city]]="","-",IF(raw[[#This Row],[cont]]="B",raw[[#This Row],[cont]],"W"))</f>
        <v/>
      </c>
      <c r="O2007" s="1397">
        <f>IF(raw[[#This Row],[out]]=0,0,IF(raw[[#This Row],[out]]=raw[[#This Row],[in]],0.01,raw[[#This Row],[out]]-raw[[#This Row],[in]]))</f>
        <v/>
      </c>
      <c r="P2007" s="1397">
        <f>IF(raw[[#This Row],[in]]=0,0,MONTH(raw[[#This Row],[in]]))</f>
        <v/>
      </c>
      <c r="Q2007" s="1397">
        <f>IF(raw[[#This Row],[in]]=0,0,YEAR(raw[[#This Row],[in]]))</f>
        <v/>
      </c>
      <c r="R2007" s="1397">
        <f>INT(raw[[#This Row],[yr]]/10)*10</f>
        <v/>
      </c>
      <c r="S2007" s="1395">
        <f>IF(raw[[#This Row],[city]]="","-",IF(raw[[#This Row],[city]]&lt;&gt;_xlfn.XLOOKUP(raw[[#This Row],[home]],homes[home],homes[city],"-"),1,0))</f>
        <v/>
      </c>
      <c r="T2007" s="1398" t="inlineStr">
        <is>
          <t>.</t>
        </is>
      </c>
      <c r="U2007" s="1399">
        <f>IF(raw[[#This Row],[wb]]="w",raw[[#This Row],[stay]]+U2006,U2006)</f>
        <v/>
      </c>
      <c r="V2007" s="1400">
        <f>IF(raw[[#This Row],[out]]=0,V2006,(raw[[#This Row],[out]]-E$5))</f>
        <v/>
      </c>
      <c r="W2007" s="1401">
        <f>U2007/V2007</f>
        <v/>
      </c>
      <c r="X2007" s="1392" t="n"/>
      <c r="Y2007" s="1392" t="n"/>
      <c r="Z2007" s="1422" t="n"/>
      <c r="AA2007" s="1422" t="n"/>
      <c r="AB2007" s="1392" t="n"/>
      <c r="AC2007" s="1392" t="n"/>
      <c r="AD2007" s="1392" t="n"/>
      <c r="AE2007" s="1392" t="n"/>
      <c r="AF2007" s="1392" t="n"/>
      <c r="AG2007" s="1392" t="n"/>
      <c r="AH2007" s="1392" t="n"/>
      <c r="AI2007" s="1392" t="n"/>
      <c r="AJ2007" s="1392" t="n"/>
      <c r="AK2007" s="1392" t="n"/>
      <c r="AL2007" s="1392" t="n"/>
      <c r="AM2007" s="1392" t="n"/>
      <c r="AN2007" s="1392" t="n"/>
      <c r="AO2007" s="1392" t="n"/>
      <c r="AP2007" s="1392" t="n"/>
      <c r="AQ2007" s="1392" t="n"/>
      <c r="AR2007" s="1392" t="n"/>
      <c r="AS2007" s="1422" t="n"/>
      <c r="AT2007" s="1392" t="n"/>
      <c r="AU2007" s="1392" t="n"/>
      <c r="AV2007" s="1392" t="n"/>
      <c r="AW2007" s="1392" t="n"/>
      <c r="AX2007" s="1392" t="n"/>
      <c r="AY2007" s="1392" t="n"/>
      <c r="AZ2007" s="1392" t="n"/>
      <c r="BA2007" s="1392" t="n"/>
      <c r="BB2007" s="1422" t="n"/>
      <c r="BC2007" s="1392" t="n"/>
      <c r="BD2007" s="1392" t="n"/>
      <c r="BE2007" s="1392" t="n"/>
      <c r="BF2007" s="1392" t="n"/>
      <c r="BG2007" s="1392" t="n"/>
      <c r="BH2007" s="1392" t="n"/>
      <c r="BI2007" s="1392" t="n"/>
      <c r="BJ2007" s="1392" t="n"/>
      <c r="BK2007" s="1392" t="n"/>
      <c r="BL2007" s="1392" t="n"/>
      <c r="BM2007" s="1392" t="n"/>
      <c r="BN2007" s="1392" t="n"/>
      <c r="BO2007" s="1392" t="n"/>
      <c r="BP2007" s="1392" t="n"/>
      <c r="BQ2007" s="1392" t="n"/>
      <c r="BR2007" s="1392" t="n"/>
      <c r="BS2007" s="1392" t="n"/>
      <c r="BT2007" s="1392" t="n"/>
      <c r="BU2007" s="1416" t="n"/>
      <c r="BV2007" s="1392" t="n"/>
      <c r="BW2007" s="1392" t="n"/>
      <c r="BX2007" s="1392" t="n"/>
      <c r="BY2007" s="1392" t="n"/>
      <c r="BZ2007" s="1416" t="n"/>
      <c r="CA2007" s="1392" t="n"/>
      <c r="CB2007" s="1392" t="n"/>
      <c r="CC2007" s="1392" t="n"/>
      <c r="CD2007" s="1392" t="n"/>
      <c r="CE2007" s="1392" t="n"/>
      <c r="CF2007" s="1392" t="n"/>
      <c r="CG2007" s="1392" t="n"/>
      <c r="CH2007" s="1392" t="n"/>
      <c r="CI2007" s="1392" t="n"/>
      <c r="CJ2007" s="1392" t="n"/>
      <c r="CK2007" s="1392" t="n"/>
      <c r="CL2007" s="1392" t="n"/>
    </row>
    <row r="2008">
      <c r="A2008" s="5" t="inlineStr">
        <is>
          <t>.</t>
        </is>
      </c>
      <c r="B2008" s="5" t="inlineStr">
        <is>
          <t>.</t>
        </is>
      </c>
      <c r="C2008" s="1378">
        <f>IF(raw[[#This Row],[city]]="","-",IF(raw[[#This Row],[city]]="TODAY","-",C2007+1))</f>
        <v/>
      </c>
      <c r="D2008" s="1393" t="n"/>
      <c r="E2008" s="1394" t="n"/>
      <c r="F2008" s="1394" t="n"/>
      <c r="G2008" s="1393" t="n"/>
      <c r="H2008" s="1393" t="n"/>
      <c r="I2008" s="1393" t="n"/>
      <c r="J2008" s="1393" t="n"/>
      <c r="K2008" s="1395">
        <f>IF(raw[[#This Row],[city]]&lt;&gt;"",_xlfn.XLOOKUP($D2008,ccc[city],ccc[prov],"-"),"-")</f>
        <v/>
      </c>
      <c r="L2008" s="1395">
        <f>IF(raw[[#This Row],[city]]&lt;&gt;"",_xlfn.XLOOKUP($D2008,ccc[city],ccc[ctry],"-"),"-")</f>
        <v/>
      </c>
      <c r="M2008" s="1395">
        <f>IF(raw[[#This Row],[city]]&lt;&gt;"",_xlfn.XLOOKUP($D2008,ccc[city],ccc[cont],"-"),"-")</f>
        <v/>
      </c>
      <c r="N2008" s="1396">
        <f>IF(raw[[#This Row],[city]]="","-",IF(raw[[#This Row],[cont]]="B",raw[[#This Row],[cont]],"W"))</f>
        <v/>
      </c>
      <c r="O2008" s="1397">
        <f>IF(raw[[#This Row],[out]]=0,0,IF(raw[[#This Row],[out]]=raw[[#This Row],[in]],0.01,raw[[#This Row],[out]]-raw[[#This Row],[in]]))</f>
        <v/>
      </c>
      <c r="P2008" s="1397">
        <f>IF(raw[[#This Row],[in]]=0,0,MONTH(raw[[#This Row],[in]]))</f>
        <v/>
      </c>
      <c r="Q2008" s="1397">
        <f>IF(raw[[#This Row],[in]]=0,0,YEAR(raw[[#This Row],[in]]))</f>
        <v/>
      </c>
      <c r="R2008" s="1397">
        <f>INT(raw[[#This Row],[yr]]/10)*10</f>
        <v/>
      </c>
      <c r="S2008" s="1395">
        <f>IF(raw[[#This Row],[city]]="","-",IF(raw[[#This Row],[city]]&lt;&gt;_xlfn.XLOOKUP(raw[[#This Row],[home]],homes[home],homes[city],"-"),1,0))</f>
        <v/>
      </c>
      <c r="T2008" s="1398" t="inlineStr">
        <is>
          <t>.</t>
        </is>
      </c>
      <c r="U2008" s="1399">
        <f>IF(raw[[#This Row],[wb]]="w",raw[[#This Row],[stay]]+U2007,U2007)</f>
        <v/>
      </c>
      <c r="V2008" s="1400">
        <f>IF(raw[[#This Row],[out]]=0,V2007,(raw[[#This Row],[out]]-E$5))</f>
        <v/>
      </c>
      <c r="W2008" s="1401">
        <f>U2008/V2008</f>
        <v/>
      </c>
      <c r="X2008" s="1392" t="n"/>
      <c r="Y2008" s="1392" t="n"/>
      <c r="Z2008" s="1422" t="n"/>
      <c r="AA2008" s="1422" t="n"/>
      <c r="AB2008" s="1392" t="n"/>
      <c r="AC2008" s="1392" t="n"/>
      <c r="AD2008" s="1392" t="n"/>
      <c r="AE2008" s="1392" t="n"/>
      <c r="AF2008" s="1392" t="n"/>
      <c r="AG2008" s="1392" t="n"/>
      <c r="AH2008" s="1392" t="n"/>
      <c r="AI2008" s="1392" t="n"/>
      <c r="AJ2008" s="1392" t="n"/>
      <c r="AK2008" s="1392" t="n"/>
      <c r="AL2008" s="1392" t="n"/>
      <c r="AM2008" s="1392" t="n"/>
      <c r="AN2008" s="1392" t="n"/>
      <c r="AO2008" s="1392" t="n"/>
      <c r="AP2008" s="1392" t="n"/>
      <c r="AQ2008" s="1392" t="n"/>
      <c r="AR2008" s="1392" t="n"/>
      <c r="AS2008" s="1422" t="n"/>
      <c r="AT2008" s="1392" t="n"/>
      <c r="AU2008" s="1392" t="n"/>
      <c r="AV2008" s="1392" t="n"/>
      <c r="AW2008" s="1392" t="n"/>
      <c r="AX2008" s="1392" t="n"/>
      <c r="AY2008" s="1392" t="n"/>
      <c r="AZ2008" s="1392" t="n"/>
      <c r="BA2008" s="1392" t="n"/>
      <c r="BB2008" s="1422" t="n"/>
      <c r="BC2008" s="1392" t="n"/>
      <c r="BD2008" s="1392" t="n"/>
      <c r="BE2008" s="1392" t="n"/>
      <c r="BF2008" s="1392" t="n"/>
      <c r="BG2008" s="1392" t="n"/>
      <c r="BH2008" s="1392" t="n"/>
      <c r="BI2008" s="1392" t="n"/>
      <c r="BJ2008" s="1392" t="n"/>
      <c r="BK2008" s="1392" t="n"/>
      <c r="BL2008" s="1392" t="n"/>
      <c r="BM2008" s="1392" t="n"/>
      <c r="BN2008" s="1392" t="n"/>
      <c r="BO2008" s="1392" t="n"/>
      <c r="BP2008" s="1392" t="n"/>
      <c r="BQ2008" s="1392" t="n"/>
      <c r="BR2008" s="1392" t="n"/>
      <c r="BS2008" s="1392" t="n"/>
      <c r="BT2008" s="1392" t="n"/>
      <c r="BU2008" s="1416" t="n"/>
      <c r="BV2008" s="1392" t="n"/>
      <c r="BW2008" s="1392" t="n"/>
      <c r="BX2008" s="1392" t="n"/>
      <c r="BY2008" s="1392" t="n"/>
      <c r="BZ2008" s="1416" t="n"/>
      <c r="CA2008" s="1392" t="n"/>
      <c r="CB2008" s="1392" t="n"/>
      <c r="CC2008" s="1392" t="n"/>
      <c r="CD2008" s="1392" t="n"/>
      <c r="CE2008" s="1392" t="n"/>
      <c r="CF2008" s="1392" t="n"/>
      <c r="CG2008" s="1392" t="n"/>
      <c r="CH2008" s="1392" t="n"/>
      <c r="CI2008" s="1392" t="n"/>
      <c r="CJ2008" s="1392" t="n"/>
      <c r="CK2008" s="1392" t="n"/>
      <c r="CL2008" s="1392" t="n"/>
    </row>
    <row r="2009">
      <c r="A2009" s="5" t="inlineStr">
        <is>
          <t>.</t>
        </is>
      </c>
      <c r="B2009" s="5" t="inlineStr">
        <is>
          <t>.</t>
        </is>
      </c>
      <c r="C2009" s="1378">
        <f>IF(raw[[#This Row],[city]]="","-",IF(raw[[#This Row],[city]]="TODAY","-",C2008+1))</f>
        <v/>
      </c>
      <c r="D2009" s="1393" t="n"/>
      <c r="E2009" s="1394" t="n"/>
      <c r="F2009" s="1394" t="n"/>
      <c r="G2009" s="1393" t="n"/>
      <c r="H2009" s="1393" t="n"/>
      <c r="I2009" s="1393" t="n"/>
      <c r="J2009" s="1393" t="n"/>
      <c r="K2009" s="1395">
        <f>IF(raw[[#This Row],[city]]&lt;&gt;"",_xlfn.XLOOKUP($D2009,ccc[city],ccc[prov],"-"),"-")</f>
        <v/>
      </c>
      <c r="L2009" s="1395">
        <f>IF(raw[[#This Row],[city]]&lt;&gt;"",_xlfn.XLOOKUP($D2009,ccc[city],ccc[ctry],"-"),"-")</f>
        <v/>
      </c>
      <c r="M2009" s="1395">
        <f>IF(raw[[#This Row],[city]]&lt;&gt;"",_xlfn.XLOOKUP($D2009,ccc[city],ccc[cont],"-"),"-")</f>
        <v/>
      </c>
      <c r="N2009" s="1396">
        <f>IF(raw[[#This Row],[city]]="","-",IF(raw[[#This Row],[cont]]="B",raw[[#This Row],[cont]],"W"))</f>
        <v/>
      </c>
      <c r="O2009" s="1397">
        <f>IF(raw[[#This Row],[out]]=0,0,IF(raw[[#This Row],[out]]=raw[[#This Row],[in]],0.01,raw[[#This Row],[out]]-raw[[#This Row],[in]]))</f>
        <v/>
      </c>
      <c r="P2009" s="1397">
        <f>IF(raw[[#This Row],[in]]=0,0,MONTH(raw[[#This Row],[in]]))</f>
        <v/>
      </c>
      <c r="Q2009" s="1397">
        <f>IF(raw[[#This Row],[in]]=0,0,YEAR(raw[[#This Row],[in]]))</f>
        <v/>
      </c>
      <c r="R2009" s="1397">
        <f>INT(raw[[#This Row],[yr]]/10)*10</f>
        <v/>
      </c>
      <c r="S2009" s="1395">
        <f>IF(raw[[#This Row],[city]]="","-",IF(raw[[#This Row],[city]]&lt;&gt;_xlfn.XLOOKUP(raw[[#This Row],[home]],homes[home],homes[city],"-"),1,0))</f>
        <v/>
      </c>
      <c r="T2009" s="1398" t="inlineStr">
        <is>
          <t>.</t>
        </is>
      </c>
      <c r="U2009" s="1399">
        <f>IF(raw[[#This Row],[wb]]="w",raw[[#This Row],[stay]]+U2008,U2008)</f>
        <v/>
      </c>
      <c r="V2009" s="1400">
        <f>IF(raw[[#This Row],[out]]=0,V2008,(raw[[#This Row],[out]]-E$5))</f>
        <v/>
      </c>
      <c r="W2009" s="1401">
        <f>U2009/V2009</f>
        <v/>
      </c>
      <c r="X2009" s="1392" t="n"/>
      <c r="Y2009" s="1392" t="n"/>
      <c r="Z2009" s="1422" t="n"/>
      <c r="AA2009" s="1422" t="n"/>
      <c r="AB2009" s="1392" t="n"/>
      <c r="AC2009" s="1392" t="n"/>
      <c r="AD2009" s="1392" t="n"/>
      <c r="AE2009" s="1392" t="n"/>
      <c r="AF2009" s="1392" t="n"/>
      <c r="AG2009" s="1392" t="n"/>
      <c r="AH2009" s="1392" t="n"/>
      <c r="AI2009" s="1392" t="n"/>
      <c r="AJ2009" s="1392" t="n"/>
      <c r="AK2009" s="1392" t="n"/>
      <c r="AL2009" s="1392" t="n"/>
      <c r="AM2009" s="1392" t="n"/>
      <c r="AN2009" s="1392" t="n"/>
      <c r="AO2009" s="1392" t="n"/>
      <c r="AP2009" s="1392" t="n"/>
      <c r="AQ2009" s="1392" t="n"/>
      <c r="AR2009" s="1392" t="n"/>
      <c r="AS2009" s="1422" t="n"/>
      <c r="AT2009" s="1392" t="n"/>
      <c r="AU2009" s="1392" t="n"/>
      <c r="AV2009" s="1392" t="n"/>
      <c r="AW2009" s="1392" t="n"/>
      <c r="AX2009" s="1392" t="n"/>
      <c r="AY2009" s="1392" t="n"/>
      <c r="AZ2009" s="1392" t="n"/>
      <c r="BA2009" s="1392" t="n"/>
      <c r="BB2009" s="1422" t="n"/>
      <c r="BC2009" s="1392" t="n"/>
      <c r="BD2009" s="1392" t="n"/>
      <c r="BE2009" s="1392" t="n"/>
      <c r="BF2009" s="1392" t="n"/>
      <c r="BG2009" s="1392" t="n"/>
      <c r="BH2009" s="1392" t="n"/>
      <c r="BI2009" s="1392" t="n"/>
      <c r="BJ2009" s="1392" t="n"/>
      <c r="BK2009" s="1392" t="n"/>
      <c r="BL2009" s="1392" t="n"/>
      <c r="BM2009" s="1392" t="n"/>
      <c r="BN2009" s="1392" t="n"/>
      <c r="BO2009" s="1392" t="n"/>
      <c r="BP2009" s="1392" t="n"/>
      <c r="BQ2009" s="1392" t="n"/>
      <c r="BR2009" s="1392" t="n"/>
      <c r="BS2009" s="1392" t="n"/>
      <c r="BT2009" s="1392" t="n"/>
      <c r="BU2009" s="1416" t="n"/>
      <c r="BV2009" s="1392" t="n"/>
      <c r="BW2009" s="1392" t="n"/>
      <c r="BX2009" s="1392" t="n"/>
      <c r="BY2009" s="1392" t="n"/>
      <c r="BZ2009" s="1416" t="n"/>
      <c r="CA2009" s="1392" t="n"/>
      <c r="CB2009" s="1392" t="n"/>
      <c r="CC2009" s="1392" t="n"/>
      <c r="CD2009" s="1392" t="n"/>
      <c r="CE2009" s="1392" t="n"/>
      <c r="CF2009" s="1392" t="n"/>
      <c r="CG2009" s="1392" t="n"/>
      <c r="CH2009" s="1392" t="n"/>
      <c r="CI2009" s="1392" t="n"/>
      <c r="CJ2009" s="1392" t="n"/>
      <c r="CK2009" s="1392" t="n"/>
      <c r="CL2009" s="1392" t="n"/>
    </row>
    <row r="2010">
      <c r="A2010" s="5" t="inlineStr">
        <is>
          <t>.</t>
        </is>
      </c>
      <c r="B2010" s="5" t="inlineStr">
        <is>
          <t>.</t>
        </is>
      </c>
      <c r="C2010" s="1378">
        <f>IF(raw[[#This Row],[city]]="","-",IF(raw[[#This Row],[city]]="TODAY","-",C2009+1))</f>
        <v/>
      </c>
      <c r="D2010" s="1393" t="n"/>
      <c r="E2010" s="1394" t="n"/>
      <c r="F2010" s="1394" t="n"/>
      <c r="G2010" s="1393" t="n"/>
      <c r="H2010" s="1393" t="n"/>
      <c r="I2010" s="1393" t="n"/>
      <c r="J2010" s="1393" t="n"/>
      <c r="K2010" s="1395">
        <f>IF(raw[[#This Row],[city]]&lt;&gt;"",_xlfn.XLOOKUP($D2010,ccc[city],ccc[prov],"-"),"-")</f>
        <v/>
      </c>
      <c r="L2010" s="1395">
        <f>IF(raw[[#This Row],[city]]&lt;&gt;"",_xlfn.XLOOKUP($D2010,ccc[city],ccc[ctry],"-"),"-")</f>
        <v/>
      </c>
      <c r="M2010" s="1395">
        <f>IF(raw[[#This Row],[city]]&lt;&gt;"",_xlfn.XLOOKUP($D2010,ccc[city],ccc[cont],"-"),"-")</f>
        <v/>
      </c>
      <c r="N2010" s="1396">
        <f>IF(raw[[#This Row],[city]]="","-",IF(raw[[#This Row],[cont]]="B",raw[[#This Row],[cont]],"W"))</f>
        <v/>
      </c>
      <c r="O2010" s="1397">
        <f>IF(raw[[#This Row],[out]]=0,0,IF(raw[[#This Row],[out]]=raw[[#This Row],[in]],0.01,raw[[#This Row],[out]]-raw[[#This Row],[in]]))</f>
        <v/>
      </c>
      <c r="P2010" s="1397">
        <f>IF(raw[[#This Row],[in]]=0,0,MONTH(raw[[#This Row],[in]]))</f>
        <v/>
      </c>
      <c r="Q2010" s="1397">
        <f>IF(raw[[#This Row],[in]]=0,0,YEAR(raw[[#This Row],[in]]))</f>
        <v/>
      </c>
      <c r="R2010" s="1397">
        <f>INT(raw[[#This Row],[yr]]/10)*10</f>
        <v/>
      </c>
      <c r="S2010" s="1395">
        <f>IF(raw[[#This Row],[city]]="","-",IF(raw[[#This Row],[city]]&lt;&gt;_xlfn.XLOOKUP(raw[[#This Row],[home]],homes[home],homes[city],"-"),1,0))</f>
        <v/>
      </c>
      <c r="T2010" s="1398" t="inlineStr">
        <is>
          <t>.</t>
        </is>
      </c>
      <c r="U2010" s="1399">
        <f>IF(raw[[#This Row],[wb]]="w",raw[[#This Row],[stay]]+U2009,U2009)</f>
        <v/>
      </c>
      <c r="V2010" s="1400">
        <f>IF(raw[[#This Row],[out]]=0,V2009,(raw[[#This Row],[out]]-E$5))</f>
        <v/>
      </c>
      <c r="W2010" s="1401">
        <f>U2010/V2010</f>
        <v/>
      </c>
      <c r="X2010" s="1392" t="n"/>
      <c r="Y2010" s="1392" t="n"/>
      <c r="Z2010" s="1422" t="n"/>
      <c r="AA2010" s="1422" t="n"/>
      <c r="AB2010" s="1392" t="n"/>
      <c r="AC2010" s="1392" t="n"/>
      <c r="AD2010" s="1392" t="n"/>
      <c r="AE2010" s="1392" t="n"/>
      <c r="AF2010" s="1392" t="n"/>
      <c r="AG2010" s="1392" t="n"/>
      <c r="AH2010" s="1392" t="n"/>
      <c r="AI2010" s="1392" t="n"/>
      <c r="AJ2010" s="1392" t="n"/>
      <c r="AK2010" s="1392" t="n"/>
      <c r="AL2010" s="1392" t="n"/>
      <c r="AM2010" s="1392" t="n"/>
      <c r="AN2010" s="1392" t="n"/>
      <c r="AO2010" s="1392" t="n"/>
      <c r="AP2010" s="1392" t="n"/>
      <c r="AQ2010" s="1392" t="n"/>
      <c r="AR2010" s="1392" t="n"/>
      <c r="AS2010" s="1422" t="n"/>
      <c r="AT2010" s="1392" t="n"/>
      <c r="AU2010" s="1392" t="n"/>
      <c r="AV2010" s="1392" t="n"/>
      <c r="AW2010" s="1392" t="n"/>
      <c r="AX2010" s="1392" t="n"/>
      <c r="AY2010" s="1392" t="n"/>
      <c r="AZ2010" s="1392" t="n"/>
      <c r="BA2010" s="1392" t="n"/>
      <c r="BB2010" s="1422" t="n"/>
      <c r="BC2010" s="1392" t="n"/>
      <c r="BD2010" s="1392" t="n"/>
      <c r="BE2010" s="1392" t="n"/>
      <c r="BF2010" s="1392" t="n"/>
      <c r="BG2010" s="1392" t="n"/>
      <c r="BH2010" s="1392" t="n"/>
      <c r="BI2010" s="1392" t="n"/>
      <c r="BJ2010" s="1392" t="n"/>
      <c r="BK2010" s="1392" t="n"/>
      <c r="BL2010" s="1392" t="n"/>
      <c r="BM2010" s="1392" t="n"/>
      <c r="BN2010" s="1392" t="n"/>
      <c r="BO2010" s="1392" t="n"/>
      <c r="BP2010" s="1392" t="n"/>
      <c r="BQ2010" s="1392" t="n"/>
      <c r="BR2010" s="1392" t="n"/>
      <c r="BS2010" s="1392" t="n"/>
      <c r="BT2010" s="1392" t="n"/>
      <c r="BU2010" s="1416" t="n"/>
      <c r="BV2010" s="1392" t="n"/>
      <c r="BW2010" s="1392" t="n"/>
      <c r="BX2010" s="1392" t="n"/>
      <c r="BY2010" s="1392" t="n"/>
      <c r="BZ2010" s="1416" t="n"/>
      <c r="CA2010" s="1392" t="n"/>
      <c r="CB2010" s="1392" t="n"/>
      <c r="CC2010" s="1392" t="n"/>
      <c r="CD2010" s="1392" t="n"/>
      <c r="CE2010" s="1392" t="n"/>
      <c r="CF2010" s="1392" t="n"/>
      <c r="CG2010" s="1392" t="n"/>
      <c r="CH2010" s="1392" t="n"/>
      <c r="CI2010" s="1392" t="n"/>
      <c r="CJ2010" s="1392" t="n"/>
      <c r="CK2010" s="1392" t="n"/>
      <c r="CL2010" s="1392" t="n"/>
    </row>
    <row r="2011">
      <c r="A2011" s="5" t="inlineStr">
        <is>
          <t>.</t>
        </is>
      </c>
      <c r="B2011" s="5" t="inlineStr">
        <is>
          <t>.</t>
        </is>
      </c>
      <c r="C2011" s="1378">
        <f>IF(raw[[#This Row],[city]]="","-",IF(raw[[#This Row],[city]]="TODAY","-",C2010+1))</f>
        <v/>
      </c>
      <c r="D2011" s="1393" t="n"/>
      <c r="E2011" s="1394" t="n"/>
      <c r="F2011" s="1394" t="n"/>
      <c r="G2011" s="1393" t="n"/>
      <c r="H2011" s="1393" t="n"/>
      <c r="I2011" s="1393" t="n"/>
      <c r="J2011" s="1393" t="n"/>
      <c r="K2011" s="1395">
        <f>IF(raw[[#This Row],[city]]&lt;&gt;"",_xlfn.XLOOKUP($D2011,ccc[city],ccc[prov],"-"),"-")</f>
        <v/>
      </c>
      <c r="L2011" s="1395">
        <f>IF(raw[[#This Row],[city]]&lt;&gt;"",_xlfn.XLOOKUP($D2011,ccc[city],ccc[ctry],"-"),"-")</f>
        <v/>
      </c>
      <c r="M2011" s="1395">
        <f>IF(raw[[#This Row],[city]]&lt;&gt;"",_xlfn.XLOOKUP($D2011,ccc[city],ccc[cont],"-"),"-")</f>
        <v/>
      </c>
      <c r="N2011" s="1396">
        <f>IF(raw[[#This Row],[city]]="","-",IF(raw[[#This Row],[cont]]="B",raw[[#This Row],[cont]],"W"))</f>
        <v/>
      </c>
      <c r="O2011" s="1397">
        <f>IF(raw[[#This Row],[out]]=0,0,IF(raw[[#This Row],[out]]=raw[[#This Row],[in]],0.01,raw[[#This Row],[out]]-raw[[#This Row],[in]]))</f>
        <v/>
      </c>
      <c r="P2011" s="1397">
        <f>IF(raw[[#This Row],[in]]=0,0,MONTH(raw[[#This Row],[in]]))</f>
        <v/>
      </c>
      <c r="Q2011" s="1397">
        <f>IF(raw[[#This Row],[in]]=0,0,YEAR(raw[[#This Row],[in]]))</f>
        <v/>
      </c>
      <c r="R2011" s="1397">
        <f>INT(raw[[#This Row],[yr]]/10)*10</f>
        <v/>
      </c>
      <c r="S2011" s="1395">
        <f>IF(raw[[#This Row],[city]]="","-",IF(raw[[#This Row],[city]]&lt;&gt;_xlfn.XLOOKUP(raw[[#This Row],[home]],homes[home],homes[city],"-"),1,0))</f>
        <v/>
      </c>
      <c r="T2011" s="1398" t="inlineStr">
        <is>
          <t>.</t>
        </is>
      </c>
      <c r="U2011" s="1399">
        <f>IF(raw[[#This Row],[wb]]="w",raw[[#This Row],[stay]]+U2010,U2010)</f>
        <v/>
      </c>
      <c r="V2011" s="1400">
        <f>IF(raw[[#This Row],[out]]=0,V2010,(raw[[#This Row],[out]]-E$5))</f>
        <v/>
      </c>
      <c r="W2011" s="1401">
        <f>U2011/V2011</f>
        <v/>
      </c>
      <c r="X2011" s="1392" t="n"/>
      <c r="Y2011" s="1392" t="n"/>
      <c r="Z2011" s="1422" t="n"/>
      <c r="AA2011" s="1422" t="n"/>
      <c r="AB2011" s="1392" t="n"/>
      <c r="AC2011" s="1392" t="n"/>
      <c r="AD2011" s="1392" t="n"/>
      <c r="AE2011" s="1392" t="n"/>
      <c r="AF2011" s="1392" t="n"/>
      <c r="AG2011" s="1392" t="n"/>
      <c r="AH2011" s="1392" t="n"/>
      <c r="AI2011" s="1392" t="n"/>
      <c r="AJ2011" s="1392" t="n"/>
      <c r="AK2011" s="1392" t="n"/>
      <c r="AL2011" s="1392" t="n"/>
      <c r="AM2011" s="1392" t="n"/>
      <c r="AN2011" s="1392" t="n"/>
      <c r="AO2011" s="1392" t="n"/>
      <c r="AP2011" s="1392" t="n"/>
      <c r="AQ2011" s="1392" t="n"/>
      <c r="AR2011" s="1392" t="n"/>
      <c r="AS2011" s="1422" t="n"/>
      <c r="AT2011" s="1392" t="n"/>
      <c r="AU2011" s="1392" t="n"/>
      <c r="AV2011" s="1392" t="n"/>
      <c r="AW2011" s="1392" t="n"/>
      <c r="AX2011" s="1392" t="n"/>
      <c r="AY2011" s="1392" t="n"/>
      <c r="AZ2011" s="1392" t="n"/>
      <c r="BA2011" s="1392" t="n"/>
      <c r="BB2011" s="1422" t="n"/>
      <c r="BC2011" s="1392" t="n"/>
      <c r="BD2011" s="1392" t="n"/>
      <c r="BE2011" s="1392" t="n"/>
      <c r="BF2011" s="1392" t="n"/>
      <c r="BG2011" s="1392" t="n"/>
      <c r="BH2011" s="1392" t="n"/>
      <c r="BI2011" s="1392" t="n"/>
      <c r="BJ2011" s="1392" t="n"/>
      <c r="BK2011" s="1392" t="n"/>
      <c r="BL2011" s="1392" t="n"/>
      <c r="BM2011" s="1392" t="n"/>
      <c r="BN2011" s="1392" t="n"/>
      <c r="BO2011" s="1392" t="n"/>
      <c r="BP2011" s="1392" t="n"/>
      <c r="BQ2011" s="1392" t="n"/>
      <c r="BR2011" s="1392" t="n"/>
      <c r="BS2011" s="1392" t="n"/>
      <c r="BT2011" s="1392" t="n"/>
      <c r="BU2011" s="1416" t="n"/>
      <c r="BV2011" s="1392" t="n"/>
      <c r="BW2011" s="1392" t="n"/>
      <c r="BX2011" s="1392" t="n"/>
      <c r="BY2011" s="1392" t="n"/>
      <c r="BZ2011" s="1416" t="n"/>
      <c r="CA2011" s="1392" t="n"/>
      <c r="CB2011" s="1392" t="n"/>
      <c r="CC2011" s="1392" t="n"/>
      <c r="CD2011" s="1392" t="n"/>
      <c r="CE2011" s="1392" t="n"/>
      <c r="CF2011" s="1392" t="n"/>
      <c r="CG2011" s="1392" t="n"/>
      <c r="CH2011" s="1392" t="n"/>
      <c r="CI2011" s="1392" t="n"/>
      <c r="CJ2011" s="1392" t="n"/>
      <c r="CK2011" s="1392" t="n"/>
      <c r="CL2011" s="1392" t="n"/>
    </row>
    <row r="2012">
      <c r="A2012" s="5" t="inlineStr">
        <is>
          <t>.</t>
        </is>
      </c>
      <c r="B2012" s="5" t="inlineStr">
        <is>
          <t>.</t>
        </is>
      </c>
      <c r="C2012" s="1378">
        <f>IF(raw[[#This Row],[city]]="","-",IF(raw[[#This Row],[city]]="TODAY","-",C2011+1))</f>
        <v/>
      </c>
      <c r="D2012" s="1393" t="n"/>
      <c r="E2012" s="1394" t="n"/>
      <c r="F2012" s="1394" t="n"/>
      <c r="G2012" s="1393" t="n"/>
      <c r="H2012" s="1393" t="n"/>
      <c r="I2012" s="1393" t="n"/>
      <c r="J2012" s="1393" t="n"/>
      <c r="K2012" s="1395">
        <f>IF(raw[[#This Row],[city]]&lt;&gt;"",_xlfn.XLOOKUP($D2012,ccc[city],ccc[prov],"-"),"-")</f>
        <v/>
      </c>
      <c r="L2012" s="1395">
        <f>IF(raw[[#This Row],[city]]&lt;&gt;"",_xlfn.XLOOKUP($D2012,ccc[city],ccc[ctry],"-"),"-")</f>
        <v/>
      </c>
      <c r="M2012" s="1395">
        <f>IF(raw[[#This Row],[city]]&lt;&gt;"",_xlfn.XLOOKUP($D2012,ccc[city],ccc[cont],"-"),"-")</f>
        <v/>
      </c>
      <c r="N2012" s="1396">
        <f>IF(raw[[#This Row],[city]]="","-",IF(raw[[#This Row],[cont]]="B",raw[[#This Row],[cont]],"W"))</f>
        <v/>
      </c>
      <c r="O2012" s="1397">
        <f>IF(raw[[#This Row],[out]]=0,0,IF(raw[[#This Row],[out]]=raw[[#This Row],[in]],0.01,raw[[#This Row],[out]]-raw[[#This Row],[in]]))</f>
        <v/>
      </c>
      <c r="P2012" s="1397">
        <f>IF(raw[[#This Row],[in]]=0,0,MONTH(raw[[#This Row],[in]]))</f>
        <v/>
      </c>
      <c r="Q2012" s="1397">
        <f>IF(raw[[#This Row],[in]]=0,0,YEAR(raw[[#This Row],[in]]))</f>
        <v/>
      </c>
      <c r="R2012" s="1397">
        <f>INT(raw[[#This Row],[yr]]/10)*10</f>
        <v/>
      </c>
      <c r="S2012" s="1395">
        <f>IF(raw[[#This Row],[city]]="","-",IF(raw[[#This Row],[city]]&lt;&gt;_xlfn.XLOOKUP(raw[[#This Row],[home]],homes[home],homes[city],"-"),1,0))</f>
        <v/>
      </c>
      <c r="T2012" s="1398" t="inlineStr">
        <is>
          <t>.</t>
        </is>
      </c>
      <c r="U2012" s="1399">
        <f>IF(raw[[#This Row],[wb]]="w",raw[[#This Row],[stay]]+U2011,U2011)</f>
        <v/>
      </c>
      <c r="V2012" s="1400">
        <f>IF(raw[[#This Row],[out]]=0,V2011,(raw[[#This Row],[out]]-E$5))</f>
        <v/>
      </c>
      <c r="W2012" s="1401">
        <f>U2012/V2012</f>
        <v/>
      </c>
      <c r="X2012" s="1392" t="n"/>
      <c r="Y2012" s="1392" t="n"/>
      <c r="Z2012" s="1422" t="n"/>
      <c r="AA2012" s="1422" t="n"/>
      <c r="AB2012" s="1392" t="n"/>
      <c r="AC2012" s="1392" t="n"/>
      <c r="AD2012" s="1392" t="n"/>
      <c r="AE2012" s="1392" t="n"/>
      <c r="AF2012" s="1392" t="n"/>
      <c r="AG2012" s="1392" t="n"/>
      <c r="AH2012" s="1392" t="n"/>
      <c r="AI2012" s="1392" t="n"/>
      <c r="AJ2012" s="1392" t="n"/>
      <c r="AK2012" s="1392" t="n"/>
      <c r="AL2012" s="1392" t="n"/>
      <c r="AM2012" s="1392" t="n"/>
      <c r="AN2012" s="1392" t="n"/>
      <c r="AO2012" s="1392" t="n"/>
      <c r="AP2012" s="1392" t="n"/>
      <c r="AQ2012" s="1392" t="n"/>
      <c r="AR2012" s="1392" t="n"/>
      <c r="AS2012" s="1422" t="n"/>
      <c r="AT2012" s="1392" t="n"/>
      <c r="AU2012" s="1392" t="n"/>
      <c r="AV2012" s="1392" t="n"/>
      <c r="AW2012" s="1392" t="n"/>
      <c r="AX2012" s="1392" t="n"/>
      <c r="AY2012" s="1392" t="n"/>
      <c r="AZ2012" s="1392" t="n"/>
      <c r="BA2012" s="1392" t="n"/>
      <c r="BB2012" s="1422" t="n"/>
      <c r="BC2012" s="1392" t="n"/>
      <c r="BD2012" s="1392" t="n"/>
      <c r="BE2012" s="1392" t="n"/>
      <c r="BF2012" s="1392" t="n"/>
      <c r="BG2012" s="1392" t="n"/>
      <c r="BH2012" s="1392" t="n"/>
      <c r="BI2012" s="1392" t="n"/>
      <c r="BJ2012" s="1392" t="n"/>
      <c r="BK2012" s="1392" t="n"/>
      <c r="BL2012" s="1392" t="n"/>
      <c r="BM2012" s="1392" t="n"/>
      <c r="BN2012" s="1392" t="n"/>
      <c r="BO2012" s="1392" t="n"/>
      <c r="BP2012" s="1392" t="n"/>
      <c r="BQ2012" s="1392" t="n"/>
      <c r="BR2012" s="1392" t="n"/>
      <c r="BS2012" s="1392" t="n"/>
      <c r="BT2012" s="1392" t="n"/>
      <c r="BU2012" s="1416" t="n"/>
      <c r="BV2012" s="1392" t="n"/>
      <c r="BW2012" s="1392" t="n"/>
      <c r="BX2012" s="1392" t="n"/>
      <c r="BY2012" s="1392" t="n"/>
      <c r="BZ2012" s="1416" t="n"/>
      <c r="CA2012" s="1392" t="n"/>
      <c r="CB2012" s="1392" t="n"/>
      <c r="CC2012" s="1392" t="n"/>
      <c r="CD2012" s="1392" t="n"/>
      <c r="CE2012" s="1392" t="n"/>
      <c r="CF2012" s="1392" t="n"/>
      <c r="CG2012" s="1392" t="n"/>
      <c r="CH2012" s="1392" t="n"/>
      <c r="CI2012" s="1392" t="n"/>
      <c r="CJ2012" s="1392" t="n"/>
      <c r="CK2012" s="1392" t="n"/>
      <c r="CL2012" s="1392" t="n"/>
    </row>
    <row r="2013">
      <c r="A2013" s="5" t="inlineStr">
        <is>
          <t>.</t>
        </is>
      </c>
      <c r="B2013" s="5" t="inlineStr">
        <is>
          <t>.</t>
        </is>
      </c>
      <c r="C2013" s="1378">
        <f>IF(raw[[#This Row],[city]]="","-",IF(raw[[#This Row],[city]]="TODAY","-",C2012+1))</f>
        <v/>
      </c>
      <c r="D2013" s="1393" t="n"/>
      <c r="E2013" s="1394" t="n"/>
      <c r="F2013" s="1394" t="n"/>
      <c r="G2013" s="1393" t="n"/>
      <c r="H2013" s="1393" t="n"/>
      <c r="I2013" s="1393" t="n"/>
      <c r="J2013" s="1393" t="n"/>
      <c r="K2013" s="1395">
        <f>IF(raw[[#This Row],[city]]&lt;&gt;"",_xlfn.XLOOKUP($D2013,ccc[city],ccc[prov],"-"),"-")</f>
        <v/>
      </c>
      <c r="L2013" s="1395">
        <f>IF(raw[[#This Row],[city]]&lt;&gt;"",_xlfn.XLOOKUP($D2013,ccc[city],ccc[ctry],"-"),"-")</f>
        <v/>
      </c>
      <c r="M2013" s="1395">
        <f>IF(raw[[#This Row],[city]]&lt;&gt;"",_xlfn.XLOOKUP($D2013,ccc[city],ccc[cont],"-"),"-")</f>
        <v/>
      </c>
      <c r="N2013" s="1396">
        <f>IF(raw[[#This Row],[city]]="","-",IF(raw[[#This Row],[cont]]="B",raw[[#This Row],[cont]],"W"))</f>
        <v/>
      </c>
      <c r="O2013" s="1397">
        <f>IF(raw[[#This Row],[out]]=0,0,IF(raw[[#This Row],[out]]=raw[[#This Row],[in]],0.01,raw[[#This Row],[out]]-raw[[#This Row],[in]]))</f>
        <v/>
      </c>
      <c r="P2013" s="1397">
        <f>IF(raw[[#This Row],[in]]=0,0,MONTH(raw[[#This Row],[in]]))</f>
        <v/>
      </c>
      <c r="Q2013" s="1397">
        <f>IF(raw[[#This Row],[in]]=0,0,YEAR(raw[[#This Row],[in]]))</f>
        <v/>
      </c>
      <c r="R2013" s="1397">
        <f>INT(raw[[#This Row],[yr]]/10)*10</f>
        <v/>
      </c>
      <c r="S2013" s="1395">
        <f>IF(raw[[#This Row],[city]]="","-",IF(raw[[#This Row],[city]]&lt;&gt;_xlfn.XLOOKUP(raw[[#This Row],[home]],homes[home],homes[city],"-"),1,0))</f>
        <v/>
      </c>
      <c r="T2013" s="1398" t="inlineStr">
        <is>
          <t>.</t>
        </is>
      </c>
      <c r="U2013" s="1399">
        <f>IF(raw[[#This Row],[wb]]="w",raw[[#This Row],[stay]]+U2012,U2012)</f>
        <v/>
      </c>
      <c r="V2013" s="1400">
        <f>IF(raw[[#This Row],[out]]=0,V2012,(raw[[#This Row],[out]]-E$5))</f>
        <v/>
      </c>
      <c r="W2013" s="1401">
        <f>U2013/V2013</f>
        <v/>
      </c>
      <c r="X2013" s="1392" t="n"/>
      <c r="Y2013" s="1392" t="n"/>
      <c r="Z2013" s="1422" t="n"/>
      <c r="AA2013" s="1422" t="n"/>
      <c r="AB2013" s="1392" t="n"/>
      <c r="AC2013" s="1392" t="n"/>
      <c r="AD2013" s="1392" t="n"/>
      <c r="AE2013" s="1392" t="n"/>
      <c r="AF2013" s="1392" t="n"/>
      <c r="AG2013" s="1392" t="n"/>
      <c r="AH2013" s="1392" t="n"/>
      <c r="AI2013" s="1392" t="n"/>
      <c r="AJ2013" s="1392" t="n"/>
      <c r="AK2013" s="1392" t="n"/>
      <c r="AL2013" s="1392" t="n"/>
      <c r="AM2013" s="1392" t="n"/>
      <c r="AN2013" s="1392" t="n"/>
      <c r="AO2013" s="1392" t="n"/>
      <c r="AP2013" s="1392" t="n"/>
      <c r="AQ2013" s="1392" t="n"/>
      <c r="AR2013" s="1392" t="n"/>
      <c r="AS2013" s="1422" t="n"/>
      <c r="AT2013" s="1392" t="n"/>
      <c r="AU2013" s="1392" t="n"/>
      <c r="AV2013" s="1392" t="n"/>
      <c r="AW2013" s="1392" t="n"/>
      <c r="AX2013" s="1392" t="n"/>
      <c r="AY2013" s="1392" t="n"/>
      <c r="AZ2013" s="1392" t="n"/>
      <c r="BA2013" s="1392" t="n"/>
      <c r="BB2013" s="1422" t="n"/>
      <c r="BC2013" s="1392" t="n"/>
      <c r="BD2013" s="1392" t="n"/>
      <c r="BE2013" s="1392" t="n"/>
      <c r="BF2013" s="1392" t="n"/>
      <c r="BG2013" s="1392" t="n"/>
      <c r="BH2013" s="1392" t="n"/>
      <c r="BI2013" s="1392" t="n"/>
      <c r="BJ2013" s="1392" t="n"/>
      <c r="BK2013" s="1392" t="n"/>
      <c r="BL2013" s="1392" t="n"/>
      <c r="BM2013" s="1392" t="n"/>
      <c r="BN2013" s="1392" t="n"/>
      <c r="BO2013" s="1392" t="n"/>
      <c r="BP2013" s="1392" t="n"/>
      <c r="BQ2013" s="1392" t="n"/>
      <c r="BR2013" s="1392" t="n"/>
      <c r="BS2013" s="1392" t="n"/>
      <c r="BT2013" s="1392" t="n"/>
      <c r="BU2013" s="1416" t="n"/>
      <c r="BV2013" s="1392" t="n"/>
      <c r="BW2013" s="1392" t="n"/>
      <c r="BX2013" s="1392" t="n"/>
      <c r="BY2013" s="1392" t="n"/>
      <c r="BZ2013" s="1416" t="n"/>
      <c r="CA2013" s="1392" t="n"/>
      <c r="CB2013" s="1392" t="n"/>
      <c r="CC2013" s="1392" t="n"/>
      <c r="CD2013" s="1392" t="n"/>
      <c r="CE2013" s="1392" t="n"/>
      <c r="CF2013" s="1392" t="n"/>
      <c r="CG2013" s="1392" t="n"/>
      <c r="CH2013" s="1392" t="n"/>
      <c r="CI2013" s="1392" t="n"/>
      <c r="CJ2013" s="1392" t="n"/>
      <c r="CK2013" s="1392" t="n"/>
      <c r="CL2013" s="1392" t="n"/>
    </row>
    <row r="2014">
      <c r="A2014" s="5" t="inlineStr">
        <is>
          <t>.</t>
        </is>
      </c>
      <c r="B2014" s="5" t="inlineStr">
        <is>
          <t>.</t>
        </is>
      </c>
      <c r="C2014" s="1378">
        <f>IF(raw[[#This Row],[city]]="","-",IF(raw[[#This Row],[city]]="TODAY","-",C2013+1))</f>
        <v/>
      </c>
      <c r="D2014" s="1393" t="n"/>
      <c r="E2014" s="1394" t="n"/>
      <c r="F2014" s="1394" t="n"/>
      <c r="G2014" s="1393" t="n"/>
      <c r="H2014" s="1393" t="n"/>
      <c r="I2014" s="1393" t="n"/>
      <c r="J2014" s="1393" t="n"/>
      <c r="K2014" s="1395">
        <f>IF(raw[[#This Row],[city]]&lt;&gt;"",_xlfn.XLOOKUP($D2014,ccc[city],ccc[prov],"-"),"-")</f>
        <v/>
      </c>
      <c r="L2014" s="1395">
        <f>IF(raw[[#This Row],[city]]&lt;&gt;"",_xlfn.XLOOKUP($D2014,ccc[city],ccc[ctry],"-"),"-")</f>
        <v/>
      </c>
      <c r="M2014" s="1395">
        <f>IF(raw[[#This Row],[city]]&lt;&gt;"",_xlfn.XLOOKUP($D2014,ccc[city],ccc[cont],"-"),"-")</f>
        <v/>
      </c>
      <c r="N2014" s="1396">
        <f>IF(raw[[#This Row],[city]]="","-",IF(raw[[#This Row],[cont]]="B",raw[[#This Row],[cont]],"W"))</f>
        <v/>
      </c>
      <c r="O2014" s="1397">
        <f>IF(raw[[#This Row],[out]]=0,0,IF(raw[[#This Row],[out]]=raw[[#This Row],[in]],0.01,raw[[#This Row],[out]]-raw[[#This Row],[in]]))</f>
        <v/>
      </c>
      <c r="P2014" s="1397">
        <f>IF(raw[[#This Row],[in]]=0,0,MONTH(raw[[#This Row],[in]]))</f>
        <v/>
      </c>
      <c r="Q2014" s="1397">
        <f>IF(raw[[#This Row],[in]]=0,0,YEAR(raw[[#This Row],[in]]))</f>
        <v/>
      </c>
      <c r="R2014" s="1397">
        <f>INT(raw[[#This Row],[yr]]/10)*10</f>
        <v/>
      </c>
      <c r="S2014" s="1395">
        <f>IF(raw[[#This Row],[city]]="","-",IF(raw[[#This Row],[city]]&lt;&gt;_xlfn.XLOOKUP(raw[[#This Row],[home]],homes[home],homes[city],"-"),1,0))</f>
        <v/>
      </c>
      <c r="T2014" s="1398" t="inlineStr">
        <is>
          <t>.</t>
        </is>
      </c>
      <c r="U2014" s="1399">
        <f>IF(raw[[#This Row],[wb]]="w",raw[[#This Row],[stay]]+U2013,U2013)</f>
        <v/>
      </c>
      <c r="V2014" s="1400">
        <f>IF(raw[[#This Row],[out]]=0,V2013,(raw[[#This Row],[out]]-E$5))</f>
        <v/>
      </c>
      <c r="W2014" s="1401">
        <f>U2014/V2014</f>
        <v/>
      </c>
      <c r="X2014" s="1392" t="n"/>
      <c r="Y2014" s="1392" t="n"/>
      <c r="Z2014" s="1422" t="n"/>
      <c r="AA2014" s="1422" t="n"/>
      <c r="AB2014" s="1392" t="n"/>
      <c r="AC2014" s="1392" t="n"/>
      <c r="AD2014" s="1392" t="n"/>
      <c r="AE2014" s="1392" t="n"/>
      <c r="AF2014" s="1392" t="n"/>
      <c r="AG2014" s="1392" t="n"/>
      <c r="AH2014" s="1392" t="n"/>
      <c r="AI2014" s="1392" t="n"/>
      <c r="AJ2014" s="1392" t="n"/>
      <c r="AK2014" s="1392" t="n"/>
      <c r="AL2014" s="1392" t="n"/>
      <c r="AM2014" s="1392" t="n"/>
      <c r="AN2014" s="1392" t="n"/>
      <c r="AO2014" s="1392" t="n"/>
      <c r="AP2014" s="1392" t="n"/>
      <c r="AQ2014" s="1392" t="n"/>
      <c r="AR2014" s="1392" t="n"/>
      <c r="AS2014" s="1422" t="n"/>
      <c r="AT2014" s="1392" t="n"/>
      <c r="AU2014" s="1392" t="n"/>
      <c r="AV2014" s="1392" t="n"/>
      <c r="AW2014" s="1392" t="n"/>
      <c r="AX2014" s="1392" t="n"/>
      <c r="AY2014" s="1392" t="n"/>
      <c r="AZ2014" s="1392" t="n"/>
      <c r="BA2014" s="1392" t="n"/>
      <c r="BB2014" s="1422" t="n"/>
      <c r="BC2014" s="1392" t="n"/>
      <c r="BD2014" s="1392" t="n"/>
      <c r="BE2014" s="1392" t="n"/>
      <c r="BF2014" s="1392" t="n"/>
      <c r="BG2014" s="1392" t="n"/>
      <c r="BH2014" s="1392" t="n"/>
      <c r="BI2014" s="1392" t="n"/>
      <c r="BJ2014" s="1392" t="n"/>
      <c r="BK2014" s="1392" t="n"/>
      <c r="BL2014" s="1392" t="n"/>
      <c r="BM2014" s="1392" t="n"/>
      <c r="BN2014" s="1392" t="n"/>
      <c r="BO2014" s="1392" t="n"/>
      <c r="BP2014" s="1392" t="n"/>
      <c r="BQ2014" s="1392" t="n"/>
      <c r="BR2014" s="1392" t="n"/>
      <c r="BS2014" s="1392" t="n"/>
      <c r="BT2014" s="1392" t="n"/>
      <c r="BU2014" s="1416" t="n"/>
      <c r="BV2014" s="1392" t="n"/>
      <c r="BW2014" s="1392" t="n"/>
      <c r="BX2014" s="1392" t="n"/>
      <c r="BY2014" s="1392" t="n"/>
      <c r="BZ2014" s="1416" t="n"/>
      <c r="CA2014" s="1392" t="n"/>
      <c r="CB2014" s="1392" t="n"/>
      <c r="CC2014" s="1392" t="n"/>
      <c r="CD2014" s="1392" t="n"/>
      <c r="CE2014" s="1392" t="n"/>
      <c r="CF2014" s="1392" t="n"/>
      <c r="CG2014" s="1392" t="n"/>
      <c r="CH2014" s="1392" t="n"/>
      <c r="CI2014" s="1392" t="n"/>
      <c r="CJ2014" s="1392" t="n"/>
      <c r="CK2014" s="1392" t="n"/>
      <c r="CL2014" s="1392" t="n"/>
    </row>
    <row r="2015">
      <c r="A2015" s="5" t="inlineStr">
        <is>
          <t>.</t>
        </is>
      </c>
      <c r="B2015" s="5" t="inlineStr">
        <is>
          <t>.</t>
        </is>
      </c>
      <c r="C2015" s="1378">
        <f>IF(raw[[#This Row],[city]]="","-",IF(raw[[#This Row],[city]]="TODAY","-",C2014+1))</f>
        <v/>
      </c>
      <c r="D2015" s="1393" t="n"/>
      <c r="E2015" s="1394" t="n"/>
      <c r="F2015" s="1394" t="n"/>
      <c r="G2015" s="1393" t="n"/>
      <c r="H2015" s="1393" t="n"/>
      <c r="I2015" s="1393" t="n"/>
      <c r="J2015" s="1393" t="n"/>
      <c r="K2015" s="1395">
        <f>IF(raw[[#This Row],[city]]&lt;&gt;"",_xlfn.XLOOKUP($D2015,ccc[city],ccc[prov],"-"),"-")</f>
        <v/>
      </c>
      <c r="L2015" s="1395">
        <f>IF(raw[[#This Row],[city]]&lt;&gt;"",_xlfn.XLOOKUP($D2015,ccc[city],ccc[ctry],"-"),"-")</f>
        <v/>
      </c>
      <c r="M2015" s="1395">
        <f>IF(raw[[#This Row],[city]]&lt;&gt;"",_xlfn.XLOOKUP($D2015,ccc[city],ccc[cont],"-"),"-")</f>
        <v/>
      </c>
      <c r="N2015" s="1396">
        <f>IF(raw[[#This Row],[city]]="","-",IF(raw[[#This Row],[cont]]="B",raw[[#This Row],[cont]],"W"))</f>
        <v/>
      </c>
      <c r="O2015" s="1397">
        <f>IF(raw[[#This Row],[out]]=0,0,IF(raw[[#This Row],[out]]=raw[[#This Row],[in]],0.01,raw[[#This Row],[out]]-raw[[#This Row],[in]]))</f>
        <v/>
      </c>
      <c r="P2015" s="1397">
        <f>IF(raw[[#This Row],[in]]=0,0,MONTH(raw[[#This Row],[in]]))</f>
        <v/>
      </c>
      <c r="Q2015" s="1397">
        <f>IF(raw[[#This Row],[in]]=0,0,YEAR(raw[[#This Row],[in]]))</f>
        <v/>
      </c>
      <c r="R2015" s="1397">
        <f>INT(raw[[#This Row],[yr]]/10)*10</f>
        <v/>
      </c>
      <c r="S2015" s="1395">
        <f>IF(raw[[#This Row],[city]]="","-",IF(raw[[#This Row],[city]]&lt;&gt;_xlfn.XLOOKUP(raw[[#This Row],[home]],homes[home],homes[city],"-"),1,0))</f>
        <v/>
      </c>
      <c r="T2015" s="1398" t="inlineStr">
        <is>
          <t>.</t>
        </is>
      </c>
      <c r="U2015" s="1399">
        <f>IF(raw[[#This Row],[wb]]="w",raw[[#This Row],[stay]]+U2014,U2014)</f>
        <v/>
      </c>
      <c r="V2015" s="1400">
        <f>IF(raw[[#This Row],[out]]=0,V2014,(raw[[#This Row],[out]]-E$5))</f>
        <v/>
      </c>
      <c r="W2015" s="1401">
        <f>U2015/V2015</f>
        <v/>
      </c>
      <c r="X2015" s="1392" t="n"/>
      <c r="Y2015" s="1392" t="n"/>
      <c r="Z2015" s="1422" t="n"/>
      <c r="AA2015" s="1422" t="n"/>
      <c r="AB2015" s="1392" t="n"/>
      <c r="AC2015" s="1392" t="n"/>
      <c r="AD2015" s="1392" t="n"/>
      <c r="AE2015" s="1392" t="n"/>
      <c r="AF2015" s="1392" t="n"/>
      <c r="AG2015" s="1392" t="n"/>
      <c r="AH2015" s="1392" t="n"/>
      <c r="AI2015" s="1392" t="n"/>
      <c r="AJ2015" s="1392" t="n"/>
      <c r="AK2015" s="1392" t="n"/>
      <c r="AL2015" s="1392" t="n"/>
      <c r="AM2015" s="1392" t="n"/>
      <c r="AN2015" s="1392" t="n"/>
      <c r="AO2015" s="1392" t="n"/>
      <c r="AP2015" s="1392" t="n"/>
      <c r="AQ2015" s="1392" t="n"/>
      <c r="AR2015" s="1392" t="n"/>
      <c r="AS2015" s="1422" t="n"/>
      <c r="AT2015" s="1392" t="n"/>
      <c r="AU2015" s="1392" t="n"/>
      <c r="AV2015" s="1392" t="n"/>
      <c r="AW2015" s="1392" t="n"/>
      <c r="AX2015" s="1392" t="n"/>
      <c r="AY2015" s="1392" t="n"/>
      <c r="AZ2015" s="1392" t="n"/>
      <c r="BA2015" s="1392" t="n"/>
      <c r="BB2015" s="1422" t="n"/>
      <c r="BC2015" s="1392" t="n"/>
      <c r="BD2015" s="1392" t="n"/>
      <c r="BE2015" s="1392" t="n"/>
      <c r="BF2015" s="1392" t="n"/>
      <c r="BG2015" s="1392" t="n"/>
      <c r="BH2015" s="1392" t="n"/>
      <c r="BI2015" s="1392" t="n"/>
      <c r="BJ2015" s="1392" t="n"/>
      <c r="BK2015" s="1392" t="n"/>
      <c r="BL2015" s="1392" t="n"/>
      <c r="BM2015" s="1392" t="n"/>
      <c r="BN2015" s="1392" t="n"/>
      <c r="BO2015" s="1392" t="n"/>
      <c r="BP2015" s="1392" t="n"/>
      <c r="BQ2015" s="1392" t="n"/>
      <c r="BR2015" s="1392" t="n"/>
      <c r="BS2015" s="1392" t="n"/>
      <c r="BT2015" s="1392" t="n"/>
      <c r="BU2015" s="1416" t="n"/>
      <c r="BV2015" s="1392" t="n"/>
      <c r="BW2015" s="1392" t="n"/>
      <c r="BX2015" s="1392" t="n"/>
      <c r="BY2015" s="1392" t="n"/>
      <c r="BZ2015" s="1416" t="n"/>
      <c r="CA2015" s="1392" t="n"/>
      <c r="CB2015" s="1392" t="n"/>
      <c r="CC2015" s="1392" t="n"/>
      <c r="CD2015" s="1392" t="n"/>
      <c r="CE2015" s="1392" t="n"/>
      <c r="CF2015" s="1392" t="n"/>
      <c r="CG2015" s="1392" t="n"/>
      <c r="CH2015" s="1392" t="n"/>
      <c r="CI2015" s="1392" t="n"/>
      <c r="CJ2015" s="1392" t="n"/>
      <c r="CK2015" s="1392" t="n"/>
      <c r="CL2015" s="1392" t="n"/>
    </row>
    <row r="2016">
      <c r="A2016" s="5" t="inlineStr">
        <is>
          <t>.</t>
        </is>
      </c>
      <c r="B2016" s="5" t="inlineStr">
        <is>
          <t>.</t>
        </is>
      </c>
      <c r="C2016" s="1378">
        <f>IF(raw[[#This Row],[city]]="","-",IF(raw[[#This Row],[city]]="TODAY","-",C2015+1))</f>
        <v/>
      </c>
      <c r="D2016" s="1393" t="n"/>
      <c r="E2016" s="1394" t="n"/>
      <c r="F2016" s="1394" t="n"/>
      <c r="G2016" s="1393" t="n"/>
      <c r="H2016" s="1393" t="n"/>
      <c r="I2016" s="1393" t="n"/>
      <c r="J2016" s="1393" t="n"/>
      <c r="K2016" s="1395">
        <f>IF(raw[[#This Row],[city]]&lt;&gt;"",_xlfn.XLOOKUP($D2016,ccc[city],ccc[prov],"-"),"-")</f>
        <v/>
      </c>
      <c r="L2016" s="1395">
        <f>IF(raw[[#This Row],[city]]&lt;&gt;"",_xlfn.XLOOKUP($D2016,ccc[city],ccc[ctry],"-"),"-")</f>
        <v/>
      </c>
      <c r="M2016" s="1395">
        <f>IF(raw[[#This Row],[city]]&lt;&gt;"",_xlfn.XLOOKUP($D2016,ccc[city],ccc[cont],"-"),"-")</f>
        <v/>
      </c>
      <c r="N2016" s="1396">
        <f>IF(raw[[#This Row],[city]]="","-",IF(raw[[#This Row],[cont]]="B",raw[[#This Row],[cont]],"W"))</f>
        <v/>
      </c>
      <c r="O2016" s="1397">
        <f>IF(raw[[#This Row],[out]]=0,0,IF(raw[[#This Row],[out]]=raw[[#This Row],[in]],0.01,raw[[#This Row],[out]]-raw[[#This Row],[in]]))</f>
        <v/>
      </c>
      <c r="P2016" s="1397">
        <f>IF(raw[[#This Row],[in]]=0,0,MONTH(raw[[#This Row],[in]]))</f>
        <v/>
      </c>
      <c r="Q2016" s="1397">
        <f>IF(raw[[#This Row],[in]]=0,0,YEAR(raw[[#This Row],[in]]))</f>
        <v/>
      </c>
      <c r="R2016" s="1397">
        <f>INT(raw[[#This Row],[yr]]/10)*10</f>
        <v/>
      </c>
      <c r="S2016" s="1395">
        <f>IF(raw[[#This Row],[city]]="","-",IF(raw[[#This Row],[city]]&lt;&gt;_xlfn.XLOOKUP(raw[[#This Row],[home]],homes[home],homes[city],"-"),1,0))</f>
        <v/>
      </c>
      <c r="T2016" s="1398" t="inlineStr">
        <is>
          <t>.</t>
        </is>
      </c>
      <c r="U2016" s="1399">
        <f>IF(raw[[#This Row],[wb]]="w",raw[[#This Row],[stay]]+U2015,U2015)</f>
        <v/>
      </c>
      <c r="V2016" s="1400">
        <f>IF(raw[[#This Row],[out]]=0,V2015,(raw[[#This Row],[out]]-E$5))</f>
        <v/>
      </c>
      <c r="W2016" s="1401">
        <f>U2016/V2016</f>
        <v/>
      </c>
      <c r="X2016" s="1392" t="n"/>
      <c r="Y2016" s="1392" t="n"/>
      <c r="Z2016" s="1422" t="n"/>
      <c r="AA2016" s="1422" t="n"/>
      <c r="AB2016" s="1392" t="n"/>
      <c r="AC2016" s="1392" t="n"/>
      <c r="AD2016" s="1392" t="n"/>
      <c r="AE2016" s="1392" t="n"/>
      <c r="AF2016" s="1392" t="n"/>
      <c r="AG2016" s="1392" t="n"/>
      <c r="AH2016" s="1392" t="n"/>
      <c r="AI2016" s="1392" t="n"/>
      <c r="AJ2016" s="1392" t="n"/>
      <c r="AK2016" s="1392" t="n"/>
      <c r="AL2016" s="1392" t="n"/>
      <c r="AM2016" s="1392" t="n"/>
      <c r="AN2016" s="1392" t="n"/>
      <c r="AO2016" s="1392" t="n"/>
      <c r="AP2016" s="1392" t="n"/>
      <c r="AQ2016" s="1392" t="n"/>
      <c r="AR2016" s="1392" t="n"/>
      <c r="AS2016" s="1422" t="n"/>
      <c r="AT2016" s="1392" t="n"/>
      <c r="AU2016" s="1392" t="n"/>
      <c r="AV2016" s="1392" t="n"/>
      <c r="AW2016" s="1392" t="n"/>
      <c r="AX2016" s="1392" t="n"/>
      <c r="AY2016" s="1392" t="n"/>
      <c r="AZ2016" s="1392" t="n"/>
      <c r="BA2016" s="1392" t="n"/>
      <c r="BB2016" s="1422" t="n"/>
      <c r="BC2016" s="1392" t="n"/>
      <c r="BD2016" s="1392" t="n"/>
      <c r="BE2016" s="1392" t="n"/>
      <c r="BF2016" s="1392" t="n"/>
      <c r="BG2016" s="1392" t="n"/>
      <c r="BH2016" s="1392" t="n"/>
      <c r="BI2016" s="1392" t="n"/>
      <c r="BJ2016" s="1392" t="n"/>
      <c r="BK2016" s="1392" t="n"/>
      <c r="BL2016" s="1392" t="n"/>
      <c r="BM2016" s="1392" t="n"/>
      <c r="BN2016" s="1392" t="n"/>
      <c r="BO2016" s="1392" t="n"/>
      <c r="BP2016" s="1392" t="n"/>
      <c r="BQ2016" s="1392" t="n"/>
      <c r="BR2016" s="1392" t="n"/>
      <c r="BS2016" s="1392" t="n"/>
      <c r="BT2016" s="1392" t="n"/>
      <c r="BU2016" s="1416" t="n"/>
      <c r="BV2016" s="1392" t="n"/>
      <c r="BW2016" s="1392" t="n"/>
      <c r="BX2016" s="1392" t="n"/>
      <c r="BY2016" s="1392" t="n"/>
      <c r="BZ2016" s="1416" t="n"/>
      <c r="CA2016" s="1392" t="n"/>
      <c r="CB2016" s="1392" t="n"/>
      <c r="CC2016" s="1392" t="n"/>
      <c r="CD2016" s="1392" t="n"/>
      <c r="CE2016" s="1392" t="n"/>
      <c r="CF2016" s="1392" t="n"/>
      <c r="CG2016" s="1392" t="n"/>
      <c r="CH2016" s="1392" t="n"/>
      <c r="CI2016" s="1392" t="n"/>
      <c r="CJ2016" s="1392" t="n"/>
      <c r="CK2016" s="1392" t="n"/>
      <c r="CL2016" s="1392" t="n"/>
    </row>
    <row r="2017">
      <c r="A2017" s="5" t="inlineStr">
        <is>
          <t>.</t>
        </is>
      </c>
      <c r="B2017" s="5" t="inlineStr">
        <is>
          <t>.</t>
        </is>
      </c>
      <c r="C2017" s="1378">
        <f>IF(raw[[#This Row],[city]]="","-",IF(raw[[#This Row],[city]]="TODAY","-",C2016+1))</f>
        <v/>
      </c>
      <c r="D2017" s="1393" t="n"/>
      <c r="E2017" s="1394" t="n"/>
      <c r="F2017" s="1394" t="n"/>
      <c r="G2017" s="1393" t="n"/>
      <c r="H2017" s="1393" t="n"/>
      <c r="I2017" s="1393" t="n"/>
      <c r="J2017" s="1393" t="n"/>
      <c r="K2017" s="1395">
        <f>IF(raw[[#This Row],[city]]&lt;&gt;"",_xlfn.XLOOKUP($D2017,ccc[city],ccc[prov],"-"),"-")</f>
        <v/>
      </c>
      <c r="L2017" s="1395">
        <f>IF(raw[[#This Row],[city]]&lt;&gt;"",_xlfn.XLOOKUP($D2017,ccc[city],ccc[ctry],"-"),"-")</f>
        <v/>
      </c>
      <c r="M2017" s="1395">
        <f>IF(raw[[#This Row],[city]]&lt;&gt;"",_xlfn.XLOOKUP($D2017,ccc[city],ccc[cont],"-"),"-")</f>
        <v/>
      </c>
      <c r="N2017" s="1396">
        <f>IF(raw[[#This Row],[city]]="","-",IF(raw[[#This Row],[cont]]="B",raw[[#This Row],[cont]],"W"))</f>
        <v/>
      </c>
      <c r="O2017" s="1397">
        <f>IF(raw[[#This Row],[out]]=0,0,IF(raw[[#This Row],[out]]=raw[[#This Row],[in]],0.01,raw[[#This Row],[out]]-raw[[#This Row],[in]]))</f>
        <v/>
      </c>
      <c r="P2017" s="1397">
        <f>IF(raw[[#This Row],[in]]=0,0,MONTH(raw[[#This Row],[in]]))</f>
        <v/>
      </c>
      <c r="Q2017" s="1397">
        <f>IF(raw[[#This Row],[in]]=0,0,YEAR(raw[[#This Row],[in]]))</f>
        <v/>
      </c>
      <c r="R2017" s="1397">
        <f>INT(raw[[#This Row],[yr]]/10)*10</f>
        <v/>
      </c>
      <c r="S2017" s="1395">
        <f>IF(raw[[#This Row],[city]]="","-",IF(raw[[#This Row],[city]]&lt;&gt;_xlfn.XLOOKUP(raw[[#This Row],[home]],homes[home],homes[city],"-"),1,0))</f>
        <v/>
      </c>
      <c r="T2017" s="1398" t="inlineStr">
        <is>
          <t>.</t>
        </is>
      </c>
      <c r="U2017" s="1399">
        <f>IF(raw[[#This Row],[wb]]="w",raw[[#This Row],[stay]]+U2016,U2016)</f>
        <v/>
      </c>
      <c r="V2017" s="1400">
        <f>IF(raw[[#This Row],[out]]=0,V2016,(raw[[#This Row],[out]]-E$5))</f>
        <v/>
      </c>
      <c r="W2017" s="1401">
        <f>U2017/V2017</f>
        <v/>
      </c>
      <c r="X2017" s="1392" t="n"/>
      <c r="Y2017" s="1392" t="n"/>
      <c r="Z2017" s="1422" t="n"/>
      <c r="AA2017" s="1422" t="n"/>
      <c r="AB2017" s="1392" t="n"/>
      <c r="AC2017" s="1392" t="n"/>
      <c r="AD2017" s="1392" t="n"/>
      <c r="AE2017" s="1392" t="n"/>
      <c r="AF2017" s="1392" t="n"/>
      <c r="AG2017" s="1392" t="n"/>
      <c r="AH2017" s="1392" t="n"/>
      <c r="AI2017" s="1392" t="n"/>
      <c r="AJ2017" s="1392" t="n"/>
      <c r="AK2017" s="1392" t="n"/>
      <c r="AL2017" s="1392" t="n"/>
      <c r="AM2017" s="1392" t="n"/>
      <c r="AN2017" s="1392" t="n"/>
      <c r="AO2017" s="1392" t="n"/>
      <c r="AP2017" s="1392" t="n"/>
      <c r="AQ2017" s="1392" t="n"/>
      <c r="AR2017" s="1392" t="n"/>
      <c r="AS2017" s="1422" t="n"/>
      <c r="AT2017" s="1392" t="n"/>
      <c r="AU2017" s="1392" t="n"/>
      <c r="AV2017" s="1392" t="n"/>
      <c r="AW2017" s="1392" t="n"/>
      <c r="AX2017" s="1392" t="n"/>
      <c r="AY2017" s="1392" t="n"/>
      <c r="AZ2017" s="1392" t="n"/>
      <c r="BA2017" s="1392" t="n"/>
      <c r="BB2017" s="1422" t="n"/>
      <c r="BC2017" s="1392" t="n"/>
      <c r="BD2017" s="1392" t="n"/>
      <c r="BE2017" s="1392" t="n"/>
      <c r="BF2017" s="1392" t="n"/>
      <c r="BG2017" s="1392" t="n"/>
      <c r="BH2017" s="1392" t="n"/>
      <c r="BI2017" s="1392" t="n"/>
      <c r="BJ2017" s="1392" t="n"/>
      <c r="BK2017" s="1392" t="n"/>
      <c r="BL2017" s="1392" t="n"/>
      <c r="BM2017" s="1392" t="n"/>
      <c r="BN2017" s="1392" t="n"/>
      <c r="BO2017" s="1392" t="n"/>
      <c r="BP2017" s="1392" t="n"/>
      <c r="BQ2017" s="1392" t="n"/>
      <c r="BR2017" s="1392" t="n"/>
      <c r="BS2017" s="1392" t="n"/>
      <c r="BT2017" s="1392" t="n"/>
      <c r="BU2017" s="1416" t="n"/>
      <c r="BV2017" s="1392" t="n"/>
      <c r="BW2017" s="1392" t="n"/>
      <c r="BX2017" s="1392" t="n"/>
      <c r="BY2017" s="1392" t="n"/>
      <c r="BZ2017" s="1416" t="n"/>
      <c r="CA2017" s="1392" t="n"/>
      <c r="CB2017" s="1392" t="n"/>
      <c r="CC2017" s="1392" t="n"/>
      <c r="CD2017" s="1392" t="n"/>
      <c r="CE2017" s="1392" t="n"/>
      <c r="CF2017" s="1392" t="n"/>
      <c r="CG2017" s="1392" t="n"/>
      <c r="CH2017" s="1392" t="n"/>
      <c r="CI2017" s="1392" t="n"/>
      <c r="CJ2017" s="1392" t="n"/>
      <c r="CK2017" s="1392" t="n"/>
      <c r="CL2017" s="1392" t="n"/>
    </row>
    <row r="2018">
      <c r="A2018" s="5" t="inlineStr">
        <is>
          <t>.</t>
        </is>
      </c>
      <c r="B2018" s="5" t="inlineStr">
        <is>
          <t>.</t>
        </is>
      </c>
      <c r="C2018" s="1378">
        <f>IF(raw[[#This Row],[city]]="","-",IF(raw[[#This Row],[city]]="TODAY","-",C2017+1))</f>
        <v/>
      </c>
      <c r="D2018" s="1393" t="n"/>
      <c r="E2018" s="1394" t="n"/>
      <c r="F2018" s="1394" t="n"/>
      <c r="G2018" s="1393" t="n"/>
      <c r="H2018" s="1393" t="n"/>
      <c r="I2018" s="1393" t="n"/>
      <c r="J2018" s="1393" t="n"/>
      <c r="K2018" s="1395">
        <f>IF(raw[[#This Row],[city]]&lt;&gt;"",_xlfn.XLOOKUP($D2018,ccc[city],ccc[prov],"-"),"-")</f>
        <v/>
      </c>
      <c r="L2018" s="1395">
        <f>IF(raw[[#This Row],[city]]&lt;&gt;"",_xlfn.XLOOKUP($D2018,ccc[city],ccc[ctry],"-"),"-")</f>
        <v/>
      </c>
      <c r="M2018" s="1395">
        <f>IF(raw[[#This Row],[city]]&lt;&gt;"",_xlfn.XLOOKUP($D2018,ccc[city],ccc[cont],"-"),"-")</f>
        <v/>
      </c>
      <c r="N2018" s="1396">
        <f>IF(raw[[#This Row],[city]]="","-",IF(raw[[#This Row],[cont]]="B",raw[[#This Row],[cont]],"W"))</f>
        <v/>
      </c>
      <c r="O2018" s="1397">
        <f>IF(raw[[#This Row],[out]]=0,0,IF(raw[[#This Row],[out]]=raw[[#This Row],[in]],0.01,raw[[#This Row],[out]]-raw[[#This Row],[in]]))</f>
        <v/>
      </c>
      <c r="P2018" s="1397">
        <f>IF(raw[[#This Row],[in]]=0,0,MONTH(raw[[#This Row],[in]]))</f>
        <v/>
      </c>
      <c r="Q2018" s="1397">
        <f>IF(raw[[#This Row],[in]]=0,0,YEAR(raw[[#This Row],[in]]))</f>
        <v/>
      </c>
      <c r="R2018" s="1397">
        <f>INT(raw[[#This Row],[yr]]/10)*10</f>
        <v/>
      </c>
      <c r="S2018" s="1395">
        <f>IF(raw[[#This Row],[city]]="","-",IF(raw[[#This Row],[city]]&lt;&gt;_xlfn.XLOOKUP(raw[[#This Row],[home]],homes[home],homes[city],"-"),1,0))</f>
        <v/>
      </c>
      <c r="T2018" s="1398" t="inlineStr">
        <is>
          <t>.</t>
        </is>
      </c>
      <c r="U2018" s="1399">
        <f>IF(raw[[#This Row],[wb]]="w",raw[[#This Row],[stay]]+U2017,U2017)</f>
        <v/>
      </c>
      <c r="V2018" s="1400">
        <f>IF(raw[[#This Row],[out]]=0,V2017,(raw[[#This Row],[out]]-E$5))</f>
        <v/>
      </c>
      <c r="W2018" s="1401">
        <f>U2018/V2018</f>
        <v/>
      </c>
      <c r="X2018" s="1392" t="n"/>
      <c r="Y2018" s="1392" t="n"/>
      <c r="Z2018" s="1422" t="n"/>
      <c r="AA2018" s="1422" t="n"/>
      <c r="AB2018" s="1392" t="n"/>
      <c r="AC2018" s="1392" t="n"/>
      <c r="AD2018" s="1392" t="n"/>
      <c r="AE2018" s="1392" t="n"/>
      <c r="AF2018" s="1392" t="n"/>
      <c r="AG2018" s="1392" t="n"/>
      <c r="AH2018" s="1392" t="n"/>
      <c r="AI2018" s="1392" t="n"/>
      <c r="AJ2018" s="1392" t="n"/>
      <c r="AK2018" s="1392" t="n"/>
      <c r="AL2018" s="1392" t="n"/>
      <c r="AM2018" s="1392" t="n"/>
      <c r="AN2018" s="1392" t="n"/>
      <c r="AO2018" s="1392" t="n"/>
      <c r="AP2018" s="1392" t="n"/>
      <c r="AQ2018" s="1392" t="n"/>
      <c r="AR2018" s="1392" t="n"/>
      <c r="AS2018" s="1422" t="n"/>
      <c r="AT2018" s="1392" t="n"/>
      <c r="AU2018" s="1392" t="n"/>
      <c r="AV2018" s="1392" t="n"/>
      <c r="AW2018" s="1392" t="n"/>
      <c r="AX2018" s="1392" t="n"/>
      <c r="AY2018" s="1392" t="n"/>
      <c r="AZ2018" s="1392" t="n"/>
      <c r="BA2018" s="1392" t="n"/>
      <c r="BB2018" s="1422" t="n"/>
      <c r="BC2018" s="1392" t="n"/>
      <c r="BD2018" s="1392" t="n"/>
      <c r="BE2018" s="1392" t="n"/>
      <c r="BF2018" s="1392" t="n"/>
      <c r="BG2018" s="1392" t="n"/>
      <c r="BH2018" s="1392" t="n"/>
      <c r="BI2018" s="1392" t="n"/>
      <c r="BJ2018" s="1392" t="n"/>
      <c r="BK2018" s="1392" t="n"/>
      <c r="BL2018" s="1392" t="n"/>
      <c r="BM2018" s="1392" t="n"/>
      <c r="BN2018" s="1392" t="n"/>
      <c r="BO2018" s="1392" t="n"/>
      <c r="BP2018" s="1392" t="n"/>
      <c r="BQ2018" s="1392" t="n"/>
      <c r="BR2018" s="1392" t="n"/>
      <c r="BS2018" s="1392" t="n"/>
      <c r="BT2018" s="1392" t="n"/>
      <c r="BU2018" s="1416" t="n"/>
      <c r="BV2018" s="1392" t="n"/>
      <c r="BW2018" s="1392" t="n"/>
      <c r="BX2018" s="1392" t="n"/>
      <c r="BY2018" s="1392" t="n"/>
      <c r="BZ2018" s="1416" t="n"/>
      <c r="CA2018" s="1392" t="n"/>
      <c r="CB2018" s="1392" t="n"/>
      <c r="CC2018" s="1392" t="n"/>
      <c r="CD2018" s="1392" t="n"/>
      <c r="CE2018" s="1392" t="n"/>
      <c r="CF2018" s="1392" t="n"/>
      <c r="CG2018" s="1392" t="n"/>
      <c r="CH2018" s="1392" t="n"/>
      <c r="CI2018" s="1392" t="n"/>
      <c r="CJ2018" s="1392" t="n"/>
      <c r="CK2018" s="1392" t="n"/>
      <c r="CL2018" s="1392" t="n"/>
    </row>
    <row r="2019">
      <c r="A2019" s="5" t="inlineStr">
        <is>
          <t>.</t>
        </is>
      </c>
      <c r="B2019" s="5" t="inlineStr">
        <is>
          <t>.</t>
        </is>
      </c>
      <c r="C2019" s="1378">
        <f>IF(raw[[#This Row],[city]]="","-",IF(raw[[#This Row],[city]]="TODAY","-",C2018+1))</f>
        <v/>
      </c>
      <c r="D2019" s="1393" t="n"/>
      <c r="E2019" s="1394" t="n"/>
      <c r="F2019" s="1394" t="n"/>
      <c r="G2019" s="1393" t="n"/>
      <c r="H2019" s="1393" t="n"/>
      <c r="I2019" s="1393" t="n"/>
      <c r="J2019" s="1393" t="n"/>
      <c r="K2019" s="1395">
        <f>IF(raw[[#This Row],[city]]&lt;&gt;"",_xlfn.XLOOKUP($D2019,ccc[city],ccc[prov],"-"),"-")</f>
        <v/>
      </c>
      <c r="L2019" s="1395">
        <f>IF(raw[[#This Row],[city]]&lt;&gt;"",_xlfn.XLOOKUP($D2019,ccc[city],ccc[ctry],"-"),"-")</f>
        <v/>
      </c>
      <c r="M2019" s="1395">
        <f>IF(raw[[#This Row],[city]]&lt;&gt;"",_xlfn.XLOOKUP($D2019,ccc[city],ccc[cont],"-"),"-")</f>
        <v/>
      </c>
      <c r="N2019" s="1396">
        <f>IF(raw[[#This Row],[city]]="","-",IF(raw[[#This Row],[cont]]="B",raw[[#This Row],[cont]],"W"))</f>
        <v/>
      </c>
      <c r="O2019" s="1397">
        <f>IF(raw[[#This Row],[out]]=0,0,IF(raw[[#This Row],[out]]=raw[[#This Row],[in]],0.01,raw[[#This Row],[out]]-raw[[#This Row],[in]]))</f>
        <v/>
      </c>
      <c r="P2019" s="1397">
        <f>IF(raw[[#This Row],[in]]=0,0,MONTH(raw[[#This Row],[in]]))</f>
        <v/>
      </c>
      <c r="Q2019" s="1397">
        <f>IF(raw[[#This Row],[in]]=0,0,YEAR(raw[[#This Row],[in]]))</f>
        <v/>
      </c>
      <c r="R2019" s="1397">
        <f>INT(raw[[#This Row],[yr]]/10)*10</f>
        <v/>
      </c>
      <c r="S2019" s="1395">
        <f>IF(raw[[#This Row],[city]]="","-",IF(raw[[#This Row],[city]]&lt;&gt;_xlfn.XLOOKUP(raw[[#This Row],[home]],homes[home],homes[city],"-"),1,0))</f>
        <v/>
      </c>
      <c r="T2019" s="1398" t="inlineStr">
        <is>
          <t>.</t>
        </is>
      </c>
      <c r="U2019" s="1399">
        <f>IF(raw[[#This Row],[wb]]="w",raw[[#This Row],[stay]]+U2018,U2018)</f>
        <v/>
      </c>
      <c r="V2019" s="1400">
        <f>IF(raw[[#This Row],[out]]=0,V2018,(raw[[#This Row],[out]]-E$5))</f>
        <v/>
      </c>
      <c r="W2019" s="1401">
        <f>U2019/V2019</f>
        <v/>
      </c>
      <c r="X2019" s="1392" t="n"/>
      <c r="Y2019" s="1392" t="n"/>
      <c r="Z2019" s="1422" t="n"/>
      <c r="AA2019" s="1422" t="n"/>
      <c r="AB2019" s="1392" t="n"/>
      <c r="AC2019" s="1392" t="n"/>
      <c r="AD2019" s="1392" t="n"/>
      <c r="AE2019" s="1392" t="n"/>
      <c r="AF2019" s="1392" t="n"/>
      <c r="AG2019" s="1392" t="n"/>
      <c r="AH2019" s="1392" t="n"/>
      <c r="AI2019" s="1392" t="n"/>
      <c r="AJ2019" s="1392" t="n"/>
      <c r="AK2019" s="1392" t="n"/>
      <c r="AL2019" s="1392" t="n"/>
      <c r="AM2019" s="1392" t="n"/>
      <c r="AN2019" s="1392" t="n"/>
      <c r="AO2019" s="1392" t="n"/>
      <c r="AP2019" s="1392" t="n"/>
      <c r="AQ2019" s="1392" t="n"/>
      <c r="AR2019" s="1392" t="n"/>
      <c r="AS2019" s="1422" t="n"/>
      <c r="AT2019" s="1392" t="n"/>
      <c r="AU2019" s="1392" t="n"/>
      <c r="AV2019" s="1392" t="n"/>
      <c r="AW2019" s="1392" t="n"/>
      <c r="AX2019" s="1392" t="n"/>
      <c r="AY2019" s="1392" t="n"/>
      <c r="AZ2019" s="1392" t="n"/>
      <c r="BA2019" s="1392" t="n"/>
      <c r="BB2019" s="1422" t="n"/>
      <c r="BC2019" s="1392" t="n"/>
      <c r="BD2019" s="1392" t="n"/>
      <c r="BE2019" s="1392" t="n"/>
      <c r="BF2019" s="1392" t="n"/>
      <c r="BG2019" s="1392" t="n"/>
      <c r="BH2019" s="1392" t="n"/>
      <c r="BI2019" s="1392" t="n"/>
      <c r="BJ2019" s="1392" t="n"/>
      <c r="BK2019" s="1392" t="n"/>
      <c r="BL2019" s="1392" t="n"/>
      <c r="BM2019" s="1392" t="n"/>
      <c r="BN2019" s="1392" t="n"/>
      <c r="BO2019" s="1392" t="n"/>
      <c r="BP2019" s="1392" t="n"/>
      <c r="BQ2019" s="1392" t="n"/>
      <c r="BR2019" s="1392" t="n"/>
      <c r="BS2019" s="1392" t="n"/>
      <c r="BT2019" s="1392" t="n"/>
      <c r="BU2019" s="1416" t="n"/>
      <c r="BV2019" s="1392" t="n"/>
      <c r="BW2019" s="1392" t="n"/>
      <c r="BX2019" s="1392" t="n"/>
      <c r="BY2019" s="1392" t="n"/>
      <c r="BZ2019" s="1416" t="n"/>
      <c r="CA2019" s="1392" t="n"/>
      <c r="CB2019" s="1392" t="n"/>
      <c r="CC2019" s="1392" t="n"/>
      <c r="CD2019" s="1392" t="n"/>
      <c r="CE2019" s="1392" t="n"/>
      <c r="CF2019" s="1392" t="n"/>
      <c r="CG2019" s="1392" t="n"/>
      <c r="CH2019" s="1392" t="n"/>
      <c r="CI2019" s="1392" t="n"/>
      <c r="CJ2019" s="1392" t="n"/>
      <c r="CK2019" s="1392" t="n"/>
      <c r="CL2019" s="1392" t="n"/>
    </row>
    <row r="2020">
      <c r="A2020" s="5" t="inlineStr">
        <is>
          <t>.</t>
        </is>
      </c>
      <c r="B2020" s="5" t="inlineStr">
        <is>
          <t>.</t>
        </is>
      </c>
      <c r="C2020" s="1378">
        <f>IF(raw[[#This Row],[city]]="","-",IF(raw[[#This Row],[city]]="TODAY","-",C2019+1))</f>
        <v/>
      </c>
      <c r="D2020" s="1393" t="n"/>
      <c r="E2020" s="1394" t="n"/>
      <c r="F2020" s="1394" t="n"/>
      <c r="G2020" s="1393" t="n"/>
      <c r="H2020" s="1393" t="n"/>
      <c r="I2020" s="1393" t="n"/>
      <c r="J2020" s="1393" t="n"/>
      <c r="K2020" s="1395">
        <f>IF(raw[[#This Row],[city]]&lt;&gt;"",_xlfn.XLOOKUP($D2020,ccc[city],ccc[prov],"-"),"-")</f>
        <v/>
      </c>
      <c r="L2020" s="1395">
        <f>IF(raw[[#This Row],[city]]&lt;&gt;"",_xlfn.XLOOKUP($D2020,ccc[city],ccc[ctry],"-"),"-")</f>
        <v/>
      </c>
      <c r="M2020" s="1395">
        <f>IF(raw[[#This Row],[city]]&lt;&gt;"",_xlfn.XLOOKUP($D2020,ccc[city],ccc[cont],"-"),"-")</f>
        <v/>
      </c>
      <c r="N2020" s="1396">
        <f>IF(raw[[#This Row],[city]]="","-",IF(raw[[#This Row],[cont]]="B",raw[[#This Row],[cont]],"W"))</f>
        <v/>
      </c>
      <c r="O2020" s="1397">
        <f>IF(raw[[#This Row],[out]]=0,0,IF(raw[[#This Row],[out]]=raw[[#This Row],[in]],0.01,raw[[#This Row],[out]]-raw[[#This Row],[in]]))</f>
        <v/>
      </c>
      <c r="P2020" s="1397">
        <f>IF(raw[[#This Row],[in]]=0,0,MONTH(raw[[#This Row],[in]]))</f>
        <v/>
      </c>
      <c r="Q2020" s="1397">
        <f>IF(raw[[#This Row],[in]]=0,0,YEAR(raw[[#This Row],[in]]))</f>
        <v/>
      </c>
      <c r="R2020" s="1397">
        <f>INT(raw[[#This Row],[yr]]/10)*10</f>
        <v/>
      </c>
      <c r="S2020" s="1395">
        <f>IF(raw[[#This Row],[city]]="","-",IF(raw[[#This Row],[city]]&lt;&gt;_xlfn.XLOOKUP(raw[[#This Row],[home]],homes[home],homes[city],"-"),1,0))</f>
        <v/>
      </c>
      <c r="T2020" s="1398" t="inlineStr">
        <is>
          <t>.</t>
        </is>
      </c>
      <c r="U2020" s="1399">
        <f>IF(raw[[#This Row],[wb]]="w",raw[[#This Row],[stay]]+U2019,U2019)</f>
        <v/>
      </c>
      <c r="V2020" s="1400">
        <f>IF(raw[[#This Row],[out]]=0,V2019,(raw[[#This Row],[out]]-E$5))</f>
        <v/>
      </c>
      <c r="W2020" s="1401">
        <f>U2020/V2020</f>
        <v/>
      </c>
      <c r="X2020" s="1392" t="n"/>
      <c r="Y2020" s="1392" t="n"/>
      <c r="Z2020" s="1422" t="n"/>
      <c r="AA2020" s="1422" t="n"/>
      <c r="AB2020" s="1392" t="n"/>
      <c r="AC2020" s="1392" t="n"/>
      <c r="AD2020" s="1392" t="n"/>
      <c r="AE2020" s="1392" t="n"/>
      <c r="AF2020" s="1392" t="n"/>
      <c r="AG2020" s="1392" t="n"/>
      <c r="AH2020" s="1392" t="n"/>
      <c r="AI2020" s="1392" t="n"/>
      <c r="AJ2020" s="1392" t="n"/>
      <c r="AK2020" s="1392" t="n"/>
      <c r="AL2020" s="1392" t="n"/>
      <c r="AM2020" s="1392" t="n"/>
      <c r="AN2020" s="1392" t="n"/>
      <c r="AO2020" s="1392" t="n"/>
      <c r="AP2020" s="1392" t="n"/>
      <c r="AQ2020" s="1392" t="n"/>
      <c r="AR2020" s="1392" t="n"/>
      <c r="AS2020" s="1422" t="n"/>
      <c r="AT2020" s="1392" t="n"/>
      <c r="AU2020" s="1392" t="n"/>
      <c r="AV2020" s="1392" t="n"/>
      <c r="AW2020" s="1392" t="n"/>
      <c r="AX2020" s="1392" t="n"/>
      <c r="AY2020" s="1392" t="n"/>
      <c r="AZ2020" s="1392" t="n"/>
      <c r="BA2020" s="1392" t="n"/>
      <c r="BB2020" s="1422" t="n"/>
      <c r="BC2020" s="1392" t="n"/>
      <c r="BD2020" s="1392" t="n"/>
      <c r="BE2020" s="1392" t="n"/>
      <c r="BF2020" s="1392" t="n"/>
      <c r="BG2020" s="1392" t="n"/>
      <c r="BH2020" s="1392" t="n"/>
      <c r="BI2020" s="1392" t="n"/>
      <c r="BJ2020" s="1392" t="n"/>
      <c r="BK2020" s="1392" t="n"/>
      <c r="BL2020" s="1392" t="n"/>
      <c r="BM2020" s="1392" t="n"/>
      <c r="BN2020" s="1392" t="n"/>
      <c r="BO2020" s="1392" t="n"/>
      <c r="BP2020" s="1392" t="n"/>
      <c r="BQ2020" s="1392" t="n"/>
      <c r="BR2020" s="1392" t="n"/>
      <c r="BS2020" s="1392" t="n"/>
      <c r="BT2020" s="1392" t="n"/>
      <c r="BU2020" s="1416" t="n"/>
      <c r="BV2020" s="1392" t="n"/>
      <c r="BW2020" s="1392" t="n"/>
      <c r="BX2020" s="1392" t="n"/>
      <c r="BY2020" s="1392" t="n"/>
      <c r="BZ2020" s="1416" t="n"/>
      <c r="CA2020" s="1392" t="n"/>
      <c r="CB2020" s="1392" t="n"/>
      <c r="CC2020" s="1392" t="n"/>
      <c r="CD2020" s="1392" t="n"/>
      <c r="CE2020" s="1392" t="n"/>
      <c r="CF2020" s="1392" t="n"/>
      <c r="CG2020" s="1392" t="n"/>
      <c r="CH2020" s="1392" t="n"/>
      <c r="CI2020" s="1392" t="n"/>
      <c r="CJ2020" s="1392" t="n"/>
      <c r="CK2020" s="1392" t="n"/>
      <c r="CL2020" s="1392" t="n"/>
    </row>
    <row r="2021">
      <c r="A2021" s="5" t="inlineStr">
        <is>
          <t>.</t>
        </is>
      </c>
      <c r="B2021" s="5" t="inlineStr">
        <is>
          <t>.</t>
        </is>
      </c>
      <c r="C2021" s="1378">
        <f>IF(raw[[#This Row],[city]]="","-",IF(raw[[#This Row],[city]]="TODAY","-",C2020+1))</f>
        <v/>
      </c>
      <c r="D2021" s="1393" t="n"/>
      <c r="E2021" s="1394" t="n"/>
      <c r="F2021" s="1394" t="n"/>
      <c r="G2021" s="1393" t="n"/>
      <c r="H2021" s="1393" t="n"/>
      <c r="I2021" s="1393" t="n"/>
      <c r="J2021" s="1393" t="n"/>
      <c r="K2021" s="1395">
        <f>IF(raw[[#This Row],[city]]&lt;&gt;"",_xlfn.XLOOKUP($D2021,ccc[city],ccc[prov],"-"),"-")</f>
        <v/>
      </c>
      <c r="L2021" s="1395">
        <f>IF(raw[[#This Row],[city]]&lt;&gt;"",_xlfn.XLOOKUP($D2021,ccc[city],ccc[ctry],"-"),"-")</f>
        <v/>
      </c>
      <c r="M2021" s="1395">
        <f>IF(raw[[#This Row],[city]]&lt;&gt;"",_xlfn.XLOOKUP($D2021,ccc[city],ccc[cont],"-"),"-")</f>
        <v/>
      </c>
      <c r="N2021" s="1396">
        <f>IF(raw[[#This Row],[city]]="","-",IF(raw[[#This Row],[cont]]="B",raw[[#This Row],[cont]],"W"))</f>
        <v/>
      </c>
      <c r="O2021" s="1397">
        <f>IF(raw[[#This Row],[out]]=0,0,IF(raw[[#This Row],[out]]=raw[[#This Row],[in]],0.01,raw[[#This Row],[out]]-raw[[#This Row],[in]]))</f>
        <v/>
      </c>
      <c r="P2021" s="1397">
        <f>IF(raw[[#This Row],[in]]=0,0,MONTH(raw[[#This Row],[in]]))</f>
        <v/>
      </c>
      <c r="Q2021" s="1397">
        <f>IF(raw[[#This Row],[in]]=0,0,YEAR(raw[[#This Row],[in]]))</f>
        <v/>
      </c>
      <c r="R2021" s="1397">
        <f>INT(raw[[#This Row],[yr]]/10)*10</f>
        <v/>
      </c>
      <c r="S2021" s="1395">
        <f>IF(raw[[#This Row],[city]]="","-",IF(raw[[#This Row],[city]]&lt;&gt;_xlfn.XLOOKUP(raw[[#This Row],[home]],homes[home],homes[city],"-"),1,0))</f>
        <v/>
      </c>
      <c r="T2021" s="1398" t="inlineStr">
        <is>
          <t>.</t>
        </is>
      </c>
      <c r="U2021" s="1399">
        <f>IF(raw[[#This Row],[wb]]="w",raw[[#This Row],[stay]]+U2020,U2020)</f>
        <v/>
      </c>
      <c r="V2021" s="1400">
        <f>IF(raw[[#This Row],[out]]=0,V2020,(raw[[#This Row],[out]]-E$5))</f>
        <v/>
      </c>
      <c r="W2021" s="1401">
        <f>U2021/V2021</f>
        <v/>
      </c>
      <c r="X2021" s="1392" t="n"/>
      <c r="Y2021" s="1392" t="n"/>
      <c r="Z2021" s="1422" t="n"/>
      <c r="AA2021" s="1422" t="n"/>
      <c r="AB2021" s="1392" t="n"/>
      <c r="AC2021" s="1392" t="n"/>
      <c r="AD2021" s="1392" t="n"/>
      <c r="AE2021" s="1392" t="n"/>
      <c r="AF2021" s="1392" t="n"/>
      <c r="AG2021" s="1392" t="n"/>
      <c r="AH2021" s="1392" t="n"/>
      <c r="AI2021" s="1392" t="n"/>
      <c r="AJ2021" s="1392" t="n"/>
      <c r="AK2021" s="1392" t="n"/>
      <c r="AL2021" s="1392" t="n"/>
      <c r="AM2021" s="1392" t="n"/>
      <c r="AN2021" s="1392" t="n"/>
      <c r="AO2021" s="1392" t="n"/>
      <c r="AP2021" s="1392" t="n"/>
      <c r="AQ2021" s="1392" t="n"/>
      <c r="AR2021" s="1392" t="n"/>
      <c r="AS2021" s="1422" t="n"/>
      <c r="AT2021" s="1392" t="n"/>
      <c r="AU2021" s="1392" t="n"/>
      <c r="AV2021" s="1392" t="n"/>
      <c r="AW2021" s="1392" t="n"/>
      <c r="AX2021" s="1392" t="n"/>
      <c r="AY2021" s="1392" t="n"/>
      <c r="AZ2021" s="1392" t="n"/>
      <c r="BA2021" s="1392" t="n"/>
      <c r="BB2021" s="1422" t="n"/>
      <c r="BC2021" s="1392" t="n"/>
      <c r="BD2021" s="1392" t="n"/>
      <c r="BE2021" s="1392" t="n"/>
      <c r="BF2021" s="1392" t="n"/>
      <c r="BG2021" s="1392" t="n"/>
      <c r="BH2021" s="1392" t="n"/>
      <c r="BI2021" s="1392" t="n"/>
      <c r="BJ2021" s="1392" t="n"/>
      <c r="BK2021" s="1392" t="n"/>
      <c r="BL2021" s="1392" t="n"/>
      <c r="BM2021" s="1392" t="n"/>
      <c r="BN2021" s="1392" t="n"/>
      <c r="BO2021" s="1392" t="n"/>
      <c r="BP2021" s="1392" t="n"/>
      <c r="BQ2021" s="1392" t="n"/>
      <c r="BR2021" s="1392" t="n"/>
      <c r="BS2021" s="1392" t="n"/>
      <c r="BT2021" s="1392" t="n"/>
      <c r="BU2021" s="1416" t="n"/>
      <c r="BV2021" s="1392" t="n"/>
      <c r="BW2021" s="1392" t="n"/>
      <c r="BX2021" s="1392" t="n"/>
      <c r="BY2021" s="1392" t="n"/>
      <c r="BZ2021" s="1416" t="n"/>
      <c r="CA2021" s="1392" t="n"/>
      <c r="CB2021" s="1392" t="n"/>
      <c r="CC2021" s="1392" t="n"/>
      <c r="CD2021" s="1392" t="n"/>
      <c r="CE2021" s="1392" t="n"/>
      <c r="CF2021" s="1392" t="n"/>
      <c r="CG2021" s="1392" t="n"/>
      <c r="CH2021" s="1392" t="n"/>
      <c r="CI2021" s="1392" t="n"/>
      <c r="CJ2021" s="1392" t="n"/>
      <c r="CK2021" s="1392" t="n"/>
      <c r="CL2021" s="1392" t="n"/>
    </row>
    <row r="2022">
      <c r="A2022" s="5" t="inlineStr">
        <is>
          <t>.</t>
        </is>
      </c>
      <c r="B2022" s="5" t="inlineStr">
        <is>
          <t>.</t>
        </is>
      </c>
      <c r="C2022" s="1378">
        <f>IF(raw[[#This Row],[city]]="","-",IF(raw[[#This Row],[city]]="TODAY","-",C2021+1))</f>
        <v/>
      </c>
      <c r="D2022" s="1393" t="n"/>
      <c r="E2022" s="1394" t="n"/>
      <c r="F2022" s="1394" t="n"/>
      <c r="G2022" s="1393" t="n"/>
      <c r="H2022" s="1393" t="n"/>
      <c r="I2022" s="1393" t="n"/>
      <c r="J2022" s="1393" t="n"/>
      <c r="K2022" s="1395">
        <f>IF(raw[[#This Row],[city]]&lt;&gt;"",_xlfn.XLOOKUP($D2022,ccc[city],ccc[prov],"-"),"-")</f>
        <v/>
      </c>
      <c r="L2022" s="1395">
        <f>IF(raw[[#This Row],[city]]&lt;&gt;"",_xlfn.XLOOKUP($D2022,ccc[city],ccc[ctry],"-"),"-")</f>
        <v/>
      </c>
      <c r="M2022" s="1395">
        <f>IF(raw[[#This Row],[city]]&lt;&gt;"",_xlfn.XLOOKUP($D2022,ccc[city],ccc[cont],"-"),"-")</f>
        <v/>
      </c>
      <c r="N2022" s="1396">
        <f>IF(raw[[#This Row],[city]]="","-",IF(raw[[#This Row],[cont]]="B",raw[[#This Row],[cont]],"W"))</f>
        <v/>
      </c>
      <c r="O2022" s="1397">
        <f>IF(raw[[#This Row],[out]]=0,0,IF(raw[[#This Row],[out]]=raw[[#This Row],[in]],0.01,raw[[#This Row],[out]]-raw[[#This Row],[in]]))</f>
        <v/>
      </c>
      <c r="P2022" s="1397">
        <f>IF(raw[[#This Row],[in]]=0,0,MONTH(raw[[#This Row],[in]]))</f>
        <v/>
      </c>
      <c r="Q2022" s="1397">
        <f>IF(raw[[#This Row],[in]]=0,0,YEAR(raw[[#This Row],[in]]))</f>
        <v/>
      </c>
      <c r="R2022" s="1397">
        <f>INT(raw[[#This Row],[yr]]/10)*10</f>
        <v/>
      </c>
      <c r="S2022" s="1395">
        <f>IF(raw[[#This Row],[city]]="","-",IF(raw[[#This Row],[city]]&lt;&gt;_xlfn.XLOOKUP(raw[[#This Row],[home]],homes[home],homes[city],"-"),1,0))</f>
        <v/>
      </c>
      <c r="T2022" s="1398" t="inlineStr">
        <is>
          <t>.</t>
        </is>
      </c>
      <c r="U2022" s="1399">
        <f>IF(raw[[#This Row],[wb]]="w",raw[[#This Row],[stay]]+U2021,U2021)</f>
        <v/>
      </c>
      <c r="V2022" s="1400">
        <f>IF(raw[[#This Row],[out]]=0,V2021,(raw[[#This Row],[out]]-E$5))</f>
        <v/>
      </c>
      <c r="W2022" s="1401">
        <f>U2022/V2022</f>
        <v/>
      </c>
      <c r="X2022" s="1392" t="n"/>
      <c r="Y2022" s="1392" t="n"/>
      <c r="Z2022" s="1422" t="n"/>
      <c r="AA2022" s="1422" t="n"/>
      <c r="AB2022" s="1392" t="n"/>
      <c r="AC2022" s="1392" t="n"/>
      <c r="AD2022" s="1392" t="n"/>
      <c r="AE2022" s="1392" t="n"/>
      <c r="AF2022" s="1392" t="n"/>
      <c r="AG2022" s="1392" t="n"/>
      <c r="AH2022" s="1392" t="n"/>
      <c r="AI2022" s="1392" t="n"/>
      <c r="AJ2022" s="1392" t="n"/>
      <c r="AK2022" s="1392" t="n"/>
      <c r="AL2022" s="1392" t="n"/>
      <c r="AM2022" s="1392" t="n"/>
      <c r="AN2022" s="1392" t="n"/>
      <c r="AO2022" s="1392" t="n"/>
      <c r="AP2022" s="1392" t="n"/>
      <c r="AQ2022" s="1392" t="n"/>
      <c r="AR2022" s="1392" t="n"/>
      <c r="AS2022" s="1422" t="n"/>
      <c r="AT2022" s="1392" t="n"/>
      <c r="AU2022" s="1392" t="n"/>
      <c r="AV2022" s="1392" t="n"/>
      <c r="AW2022" s="1392" t="n"/>
      <c r="AX2022" s="1392" t="n"/>
      <c r="AY2022" s="1392" t="n"/>
      <c r="AZ2022" s="1392" t="n"/>
      <c r="BA2022" s="1392" t="n"/>
      <c r="BB2022" s="1422" t="n"/>
      <c r="BC2022" s="1392" t="n"/>
      <c r="BD2022" s="1392" t="n"/>
      <c r="BE2022" s="1392" t="n"/>
      <c r="BF2022" s="1392" t="n"/>
      <c r="BG2022" s="1392" t="n"/>
      <c r="BH2022" s="1392" t="n"/>
      <c r="BI2022" s="1392" t="n"/>
      <c r="BJ2022" s="1392" t="n"/>
      <c r="BK2022" s="1392" t="n"/>
      <c r="BL2022" s="1392" t="n"/>
      <c r="BM2022" s="1392" t="n"/>
      <c r="BN2022" s="1392" t="n"/>
      <c r="BO2022" s="1392" t="n"/>
      <c r="BP2022" s="1392" t="n"/>
      <c r="BQ2022" s="1392" t="n"/>
      <c r="BR2022" s="1392" t="n"/>
      <c r="BS2022" s="1392" t="n"/>
      <c r="BT2022" s="1392" t="n"/>
      <c r="BU2022" s="1416" t="n"/>
      <c r="BV2022" s="1392" t="n"/>
      <c r="BW2022" s="1392" t="n"/>
      <c r="BX2022" s="1392" t="n"/>
      <c r="BY2022" s="1392" t="n"/>
      <c r="BZ2022" s="1416" t="n"/>
      <c r="CA2022" s="1392" t="n"/>
      <c r="CB2022" s="1392" t="n"/>
      <c r="CC2022" s="1392" t="n"/>
      <c r="CD2022" s="1392" t="n"/>
      <c r="CE2022" s="1392" t="n"/>
      <c r="CF2022" s="1392" t="n"/>
      <c r="CG2022" s="1392" t="n"/>
      <c r="CH2022" s="1392" t="n"/>
      <c r="CI2022" s="1392" t="n"/>
      <c r="CJ2022" s="1392" t="n"/>
      <c r="CK2022" s="1392" t="n"/>
      <c r="CL2022" s="1392" t="n"/>
    </row>
    <row r="2023">
      <c r="A2023" s="5" t="inlineStr">
        <is>
          <t>.</t>
        </is>
      </c>
      <c r="B2023" s="5" t="inlineStr">
        <is>
          <t>.</t>
        </is>
      </c>
      <c r="C2023" s="1378">
        <f>IF(raw[[#This Row],[city]]="","-",IF(raw[[#This Row],[city]]="TODAY","-",C2022+1))</f>
        <v/>
      </c>
      <c r="D2023" s="1393" t="n"/>
      <c r="E2023" s="1394" t="n"/>
      <c r="F2023" s="1394" t="n"/>
      <c r="G2023" s="1393" t="n"/>
      <c r="H2023" s="1393" t="n"/>
      <c r="I2023" s="1393" t="n"/>
      <c r="J2023" s="1393" t="n"/>
      <c r="K2023" s="1395">
        <f>IF(raw[[#This Row],[city]]&lt;&gt;"",_xlfn.XLOOKUP($D2023,ccc[city],ccc[prov],"-"),"-")</f>
        <v/>
      </c>
      <c r="L2023" s="1395">
        <f>IF(raw[[#This Row],[city]]&lt;&gt;"",_xlfn.XLOOKUP($D2023,ccc[city],ccc[ctry],"-"),"-")</f>
        <v/>
      </c>
      <c r="M2023" s="1395">
        <f>IF(raw[[#This Row],[city]]&lt;&gt;"",_xlfn.XLOOKUP($D2023,ccc[city],ccc[cont],"-"),"-")</f>
        <v/>
      </c>
      <c r="N2023" s="1396">
        <f>IF(raw[[#This Row],[city]]="","-",IF(raw[[#This Row],[cont]]="B",raw[[#This Row],[cont]],"W"))</f>
        <v/>
      </c>
      <c r="O2023" s="1397">
        <f>IF(raw[[#This Row],[out]]=0,0,IF(raw[[#This Row],[out]]=raw[[#This Row],[in]],0.01,raw[[#This Row],[out]]-raw[[#This Row],[in]]))</f>
        <v/>
      </c>
      <c r="P2023" s="1397">
        <f>IF(raw[[#This Row],[in]]=0,0,MONTH(raw[[#This Row],[in]]))</f>
        <v/>
      </c>
      <c r="Q2023" s="1397">
        <f>IF(raw[[#This Row],[in]]=0,0,YEAR(raw[[#This Row],[in]]))</f>
        <v/>
      </c>
      <c r="R2023" s="1397">
        <f>INT(raw[[#This Row],[yr]]/10)*10</f>
        <v/>
      </c>
      <c r="S2023" s="1395">
        <f>IF(raw[[#This Row],[city]]="","-",IF(raw[[#This Row],[city]]&lt;&gt;_xlfn.XLOOKUP(raw[[#This Row],[home]],homes[home],homes[city],"-"),1,0))</f>
        <v/>
      </c>
      <c r="T2023" s="1398" t="inlineStr">
        <is>
          <t>.</t>
        </is>
      </c>
      <c r="U2023" s="1399">
        <f>IF(raw[[#This Row],[wb]]="w",raw[[#This Row],[stay]]+U2022,U2022)</f>
        <v/>
      </c>
      <c r="V2023" s="1400">
        <f>IF(raw[[#This Row],[out]]=0,V2022,(raw[[#This Row],[out]]-E$5))</f>
        <v/>
      </c>
      <c r="W2023" s="1401">
        <f>U2023/V2023</f>
        <v/>
      </c>
      <c r="X2023" s="1392" t="n"/>
      <c r="Y2023" s="1392" t="n"/>
      <c r="Z2023" s="1422" t="n"/>
      <c r="AA2023" s="1422" t="n"/>
      <c r="AB2023" s="1392" t="n"/>
      <c r="AC2023" s="1392" t="n"/>
      <c r="AD2023" s="1392" t="n"/>
      <c r="AE2023" s="1392" t="n"/>
      <c r="AF2023" s="1392" t="n"/>
      <c r="AG2023" s="1392" t="n"/>
      <c r="AH2023" s="1392" t="n"/>
      <c r="AI2023" s="1392" t="n"/>
      <c r="AJ2023" s="1392" t="n"/>
      <c r="AK2023" s="1392" t="n"/>
      <c r="AL2023" s="1392" t="n"/>
      <c r="AM2023" s="1392" t="n"/>
      <c r="AN2023" s="1392" t="n"/>
      <c r="AO2023" s="1392" t="n"/>
      <c r="AP2023" s="1392" t="n"/>
      <c r="AQ2023" s="1392" t="n"/>
      <c r="AR2023" s="1392" t="n"/>
      <c r="AS2023" s="1422" t="n"/>
      <c r="AT2023" s="1392" t="n"/>
      <c r="AU2023" s="1392" t="n"/>
      <c r="AV2023" s="1392" t="n"/>
      <c r="AW2023" s="1392" t="n"/>
      <c r="AX2023" s="1392" t="n"/>
      <c r="AY2023" s="1392" t="n"/>
      <c r="AZ2023" s="1392" t="n"/>
      <c r="BA2023" s="1392" t="n"/>
      <c r="BB2023" s="1422" t="n"/>
      <c r="BC2023" s="1392" t="n"/>
      <c r="BD2023" s="1392" t="n"/>
      <c r="BE2023" s="1392" t="n"/>
      <c r="BF2023" s="1392" t="n"/>
      <c r="BG2023" s="1392" t="n"/>
      <c r="BH2023" s="1392" t="n"/>
      <c r="BI2023" s="1392" t="n"/>
      <c r="BJ2023" s="1392" t="n"/>
      <c r="BK2023" s="1392" t="n"/>
      <c r="BL2023" s="1392" t="n"/>
      <c r="BM2023" s="1392" t="n"/>
      <c r="BN2023" s="1392" t="n"/>
      <c r="BO2023" s="1392" t="n"/>
      <c r="BP2023" s="1392" t="n"/>
      <c r="BQ2023" s="1392" t="n"/>
      <c r="BR2023" s="1392" t="n"/>
      <c r="BS2023" s="1392" t="n"/>
      <c r="BT2023" s="1392" t="n"/>
      <c r="BU2023" s="1416" t="n"/>
      <c r="BV2023" s="1392" t="n"/>
      <c r="BW2023" s="1392" t="n"/>
      <c r="BX2023" s="1392" t="n"/>
      <c r="BY2023" s="1392" t="n"/>
      <c r="BZ2023" s="1416" t="n"/>
      <c r="CA2023" s="1392" t="n"/>
      <c r="CB2023" s="1392" t="n"/>
      <c r="CC2023" s="1392" t="n"/>
      <c r="CD2023" s="1392" t="n"/>
      <c r="CE2023" s="1392" t="n"/>
      <c r="CF2023" s="1392" t="n"/>
      <c r="CG2023" s="1392" t="n"/>
      <c r="CH2023" s="1392" t="n"/>
      <c r="CI2023" s="1392" t="n"/>
      <c r="CJ2023" s="1392" t="n"/>
      <c r="CK2023" s="1392" t="n"/>
      <c r="CL2023" s="1392" t="n"/>
    </row>
    <row r="2024">
      <c r="A2024" s="5" t="inlineStr">
        <is>
          <t>.</t>
        </is>
      </c>
      <c r="B2024" s="5" t="inlineStr">
        <is>
          <t>.</t>
        </is>
      </c>
      <c r="C2024" s="1378">
        <f>IF(raw[[#This Row],[city]]="","-",IF(raw[[#This Row],[city]]="TODAY","-",C2023+1))</f>
        <v/>
      </c>
      <c r="D2024" s="1393" t="n"/>
      <c r="E2024" s="1394" t="n"/>
      <c r="F2024" s="1394" t="n"/>
      <c r="G2024" s="1393" t="n"/>
      <c r="H2024" s="1393" t="n"/>
      <c r="I2024" s="1393" t="n"/>
      <c r="J2024" s="1393" t="n"/>
      <c r="K2024" s="1395">
        <f>IF(raw[[#This Row],[city]]&lt;&gt;"",_xlfn.XLOOKUP($D2024,ccc[city],ccc[prov],"-"),"-")</f>
        <v/>
      </c>
      <c r="L2024" s="1395">
        <f>IF(raw[[#This Row],[city]]&lt;&gt;"",_xlfn.XLOOKUP($D2024,ccc[city],ccc[ctry],"-"),"-")</f>
        <v/>
      </c>
      <c r="M2024" s="1395">
        <f>IF(raw[[#This Row],[city]]&lt;&gt;"",_xlfn.XLOOKUP($D2024,ccc[city],ccc[cont],"-"),"-")</f>
        <v/>
      </c>
      <c r="N2024" s="1396">
        <f>IF(raw[[#This Row],[city]]="","-",IF(raw[[#This Row],[cont]]="B",raw[[#This Row],[cont]],"W"))</f>
        <v/>
      </c>
      <c r="O2024" s="1397">
        <f>IF(raw[[#This Row],[out]]=0,0,IF(raw[[#This Row],[out]]=raw[[#This Row],[in]],0.01,raw[[#This Row],[out]]-raw[[#This Row],[in]]))</f>
        <v/>
      </c>
      <c r="P2024" s="1397">
        <f>IF(raw[[#This Row],[in]]=0,0,MONTH(raw[[#This Row],[in]]))</f>
        <v/>
      </c>
      <c r="Q2024" s="1397">
        <f>IF(raw[[#This Row],[in]]=0,0,YEAR(raw[[#This Row],[in]]))</f>
        <v/>
      </c>
      <c r="R2024" s="1397">
        <f>INT(raw[[#This Row],[yr]]/10)*10</f>
        <v/>
      </c>
      <c r="S2024" s="1395">
        <f>IF(raw[[#This Row],[city]]="","-",IF(raw[[#This Row],[city]]&lt;&gt;_xlfn.XLOOKUP(raw[[#This Row],[home]],homes[home],homes[city],"-"),1,0))</f>
        <v/>
      </c>
      <c r="T2024" s="1398" t="inlineStr">
        <is>
          <t>.</t>
        </is>
      </c>
      <c r="U2024" s="1399">
        <f>IF(raw[[#This Row],[wb]]="w",raw[[#This Row],[stay]]+U2023,U2023)</f>
        <v/>
      </c>
      <c r="V2024" s="1400">
        <f>IF(raw[[#This Row],[out]]=0,V2023,(raw[[#This Row],[out]]-E$5))</f>
        <v/>
      </c>
      <c r="W2024" s="1401">
        <f>U2024/V2024</f>
        <v/>
      </c>
      <c r="X2024" s="1392" t="n"/>
      <c r="Y2024" s="1392" t="n"/>
      <c r="Z2024" s="1422" t="n"/>
      <c r="AA2024" s="1422" t="n"/>
      <c r="AB2024" s="1392" t="n"/>
      <c r="AC2024" s="1392" t="n"/>
      <c r="AD2024" s="1392" t="n"/>
      <c r="AE2024" s="1392" t="n"/>
      <c r="AF2024" s="1392" t="n"/>
      <c r="AG2024" s="1392" t="n"/>
      <c r="AH2024" s="1392" t="n"/>
      <c r="AI2024" s="1392" t="n"/>
      <c r="AJ2024" s="1392" t="n"/>
      <c r="AK2024" s="1392" t="n"/>
      <c r="AL2024" s="1392" t="n"/>
      <c r="AM2024" s="1392" t="n"/>
      <c r="AN2024" s="1392" t="n"/>
      <c r="AO2024" s="1392" t="n"/>
      <c r="AP2024" s="1392" t="n"/>
      <c r="AQ2024" s="1392" t="n"/>
      <c r="AR2024" s="1392" t="n"/>
      <c r="AS2024" s="1422" t="n"/>
      <c r="AT2024" s="1392" t="n"/>
      <c r="AU2024" s="1392" t="n"/>
      <c r="AV2024" s="1392" t="n"/>
      <c r="AW2024" s="1392" t="n"/>
      <c r="AX2024" s="1392" t="n"/>
      <c r="AY2024" s="1392" t="n"/>
      <c r="AZ2024" s="1392" t="n"/>
      <c r="BA2024" s="1392" t="n"/>
      <c r="BB2024" s="1422" t="n"/>
      <c r="BC2024" s="1392" t="n"/>
      <c r="BD2024" s="1392" t="n"/>
      <c r="BE2024" s="1392" t="n"/>
      <c r="BF2024" s="1392" t="n"/>
      <c r="BG2024" s="1392" t="n"/>
      <c r="BH2024" s="1392" t="n"/>
      <c r="BI2024" s="1392" t="n"/>
      <c r="BJ2024" s="1392" t="n"/>
      <c r="BK2024" s="1392" t="n"/>
      <c r="BL2024" s="1392" t="n"/>
      <c r="BM2024" s="1392" t="n"/>
      <c r="BN2024" s="1392" t="n"/>
      <c r="BO2024" s="1392" t="n"/>
      <c r="BP2024" s="1392" t="n"/>
      <c r="BQ2024" s="1392" t="n"/>
      <c r="BR2024" s="1392" t="n"/>
      <c r="BS2024" s="1392" t="n"/>
      <c r="BT2024" s="1392" t="n"/>
      <c r="BU2024" s="1416" t="n"/>
      <c r="BV2024" s="1392" t="n"/>
      <c r="BW2024" s="1392" t="n"/>
      <c r="BX2024" s="1392" t="n"/>
      <c r="BY2024" s="1392" t="n"/>
      <c r="BZ2024" s="1416" t="n"/>
      <c r="CA2024" s="1392" t="n"/>
      <c r="CB2024" s="1392" t="n"/>
      <c r="CC2024" s="1392" t="n"/>
      <c r="CD2024" s="1392" t="n"/>
      <c r="CE2024" s="1392" t="n"/>
      <c r="CF2024" s="1392" t="n"/>
      <c r="CG2024" s="1392" t="n"/>
      <c r="CH2024" s="1392" t="n"/>
      <c r="CI2024" s="1392" t="n"/>
      <c r="CJ2024" s="1392" t="n"/>
      <c r="CK2024" s="1392" t="n"/>
      <c r="CL2024" s="1392" t="n"/>
    </row>
    <row r="2025">
      <c r="A2025" s="5" t="inlineStr">
        <is>
          <t>.</t>
        </is>
      </c>
      <c r="B2025" s="5" t="inlineStr">
        <is>
          <t>.</t>
        </is>
      </c>
      <c r="C2025" s="1378">
        <f>IF(raw[[#This Row],[city]]="","-",IF(raw[[#This Row],[city]]="TODAY","-",C2024+1))</f>
        <v/>
      </c>
      <c r="D2025" s="1393" t="n"/>
      <c r="E2025" s="1394" t="n"/>
      <c r="F2025" s="1394" t="n"/>
      <c r="G2025" s="1393" t="n"/>
      <c r="H2025" s="1393" t="n"/>
      <c r="I2025" s="1393" t="n"/>
      <c r="J2025" s="1393" t="n"/>
      <c r="K2025" s="1395">
        <f>IF(raw[[#This Row],[city]]&lt;&gt;"",_xlfn.XLOOKUP($D2025,ccc[city],ccc[prov],"-"),"-")</f>
        <v/>
      </c>
      <c r="L2025" s="1395">
        <f>IF(raw[[#This Row],[city]]&lt;&gt;"",_xlfn.XLOOKUP($D2025,ccc[city],ccc[ctry],"-"),"-")</f>
        <v/>
      </c>
      <c r="M2025" s="1395">
        <f>IF(raw[[#This Row],[city]]&lt;&gt;"",_xlfn.XLOOKUP($D2025,ccc[city],ccc[cont],"-"),"-")</f>
        <v/>
      </c>
      <c r="N2025" s="1396">
        <f>IF(raw[[#This Row],[city]]="","-",IF(raw[[#This Row],[cont]]="B",raw[[#This Row],[cont]],"W"))</f>
        <v/>
      </c>
      <c r="O2025" s="1397">
        <f>IF(raw[[#This Row],[out]]=0,0,IF(raw[[#This Row],[out]]=raw[[#This Row],[in]],0.01,raw[[#This Row],[out]]-raw[[#This Row],[in]]))</f>
        <v/>
      </c>
      <c r="P2025" s="1397">
        <f>IF(raw[[#This Row],[in]]=0,0,MONTH(raw[[#This Row],[in]]))</f>
        <v/>
      </c>
      <c r="Q2025" s="1397">
        <f>IF(raw[[#This Row],[in]]=0,0,YEAR(raw[[#This Row],[in]]))</f>
        <v/>
      </c>
      <c r="R2025" s="1397">
        <f>INT(raw[[#This Row],[yr]]/10)*10</f>
        <v/>
      </c>
      <c r="S2025" s="1395">
        <f>IF(raw[[#This Row],[city]]="","-",IF(raw[[#This Row],[city]]&lt;&gt;_xlfn.XLOOKUP(raw[[#This Row],[home]],homes[home],homes[city],"-"),1,0))</f>
        <v/>
      </c>
      <c r="T2025" s="1398" t="inlineStr">
        <is>
          <t>.</t>
        </is>
      </c>
      <c r="U2025" s="1399">
        <f>IF(raw[[#This Row],[wb]]="w",raw[[#This Row],[stay]]+U2024,U2024)</f>
        <v/>
      </c>
      <c r="V2025" s="1400">
        <f>IF(raw[[#This Row],[out]]=0,V2024,(raw[[#This Row],[out]]-E$5))</f>
        <v/>
      </c>
      <c r="W2025" s="1401">
        <f>U2025/V2025</f>
        <v/>
      </c>
      <c r="X2025" s="1392" t="n"/>
      <c r="Y2025" s="1392" t="n"/>
      <c r="Z2025" s="1422" t="n"/>
      <c r="AA2025" s="1422" t="n"/>
      <c r="AB2025" s="1392" t="n"/>
      <c r="AC2025" s="1392" t="n"/>
      <c r="AD2025" s="1392" t="n"/>
      <c r="AE2025" s="1392" t="n"/>
      <c r="AF2025" s="1392" t="n"/>
      <c r="AG2025" s="1392" t="n"/>
      <c r="AH2025" s="1392" t="n"/>
      <c r="AI2025" s="1392" t="n"/>
      <c r="AJ2025" s="1392" t="n"/>
      <c r="AK2025" s="1392" t="n"/>
      <c r="AL2025" s="1392" t="n"/>
      <c r="AM2025" s="1392" t="n"/>
      <c r="AN2025" s="1392" t="n"/>
      <c r="AO2025" s="1392" t="n"/>
      <c r="AP2025" s="1392" t="n"/>
      <c r="AQ2025" s="1392" t="n"/>
      <c r="AR2025" s="1392" t="n"/>
      <c r="AS2025" s="1422" t="n"/>
      <c r="AT2025" s="1392" t="n"/>
      <c r="AU2025" s="1392" t="n"/>
      <c r="AV2025" s="1392" t="n"/>
      <c r="AW2025" s="1392" t="n"/>
      <c r="AX2025" s="1392" t="n"/>
      <c r="AY2025" s="1392" t="n"/>
      <c r="AZ2025" s="1392" t="n"/>
      <c r="BA2025" s="1392" t="n"/>
      <c r="BB2025" s="1422" t="n"/>
      <c r="BC2025" s="1392" t="n"/>
      <c r="BD2025" s="1392" t="n"/>
      <c r="BE2025" s="1392" t="n"/>
      <c r="BF2025" s="1392" t="n"/>
      <c r="BG2025" s="1392" t="n"/>
      <c r="BH2025" s="1392" t="n"/>
      <c r="BI2025" s="1392" t="n"/>
      <c r="BJ2025" s="1392" t="n"/>
      <c r="BK2025" s="1392" t="n"/>
      <c r="BL2025" s="1392" t="n"/>
      <c r="BM2025" s="1392" t="n"/>
      <c r="BN2025" s="1392" t="n"/>
      <c r="BO2025" s="1392" t="n"/>
      <c r="BP2025" s="1392" t="n"/>
      <c r="BQ2025" s="1392" t="n"/>
      <c r="BR2025" s="1392" t="n"/>
      <c r="BS2025" s="1392" t="n"/>
      <c r="BT2025" s="1392" t="n"/>
      <c r="BU2025" s="1416" t="n"/>
      <c r="BV2025" s="1392" t="n"/>
      <c r="BW2025" s="1392" t="n"/>
      <c r="BX2025" s="1392" t="n"/>
      <c r="BY2025" s="1392" t="n"/>
      <c r="BZ2025" s="1416" t="n"/>
      <c r="CA2025" s="1392" t="n"/>
      <c r="CB2025" s="1392" t="n"/>
      <c r="CC2025" s="1392" t="n"/>
      <c r="CD2025" s="1392" t="n"/>
      <c r="CE2025" s="1392" t="n"/>
      <c r="CF2025" s="1392" t="n"/>
      <c r="CG2025" s="1392" t="n"/>
      <c r="CH2025" s="1392" t="n"/>
      <c r="CI2025" s="1392" t="n"/>
      <c r="CJ2025" s="1392" t="n"/>
      <c r="CK2025" s="1392" t="n"/>
      <c r="CL2025" s="1392" t="n"/>
    </row>
    <row r="2026">
      <c r="A2026" s="5" t="inlineStr">
        <is>
          <t>.</t>
        </is>
      </c>
      <c r="B2026" s="5" t="inlineStr">
        <is>
          <t>.</t>
        </is>
      </c>
      <c r="C2026" s="1378">
        <f>IF(raw[[#This Row],[city]]="","-",IF(raw[[#This Row],[city]]="TODAY","-",C2025+1))</f>
        <v/>
      </c>
      <c r="D2026" s="1393" t="n"/>
      <c r="E2026" s="1394" t="n"/>
      <c r="F2026" s="1394" t="n"/>
      <c r="G2026" s="1393" t="n"/>
      <c r="H2026" s="1393" t="n"/>
      <c r="I2026" s="1393" t="n"/>
      <c r="J2026" s="1393" t="n"/>
      <c r="K2026" s="1395">
        <f>IF(raw[[#This Row],[city]]&lt;&gt;"",_xlfn.XLOOKUP($D2026,ccc[city],ccc[prov],"-"),"-")</f>
        <v/>
      </c>
      <c r="L2026" s="1395">
        <f>IF(raw[[#This Row],[city]]&lt;&gt;"",_xlfn.XLOOKUP($D2026,ccc[city],ccc[ctry],"-"),"-")</f>
        <v/>
      </c>
      <c r="M2026" s="1395">
        <f>IF(raw[[#This Row],[city]]&lt;&gt;"",_xlfn.XLOOKUP($D2026,ccc[city],ccc[cont],"-"),"-")</f>
        <v/>
      </c>
      <c r="N2026" s="1396">
        <f>IF(raw[[#This Row],[city]]="","-",IF(raw[[#This Row],[cont]]="B",raw[[#This Row],[cont]],"W"))</f>
        <v/>
      </c>
      <c r="O2026" s="1397">
        <f>IF(raw[[#This Row],[out]]=0,0,IF(raw[[#This Row],[out]]=raw[[#This Row],[in]],0.01,raw[[#This Row],[out]]-raw[[#This Row],[in]]))</f>
        <v/>
      </c>
      <c r="P2026" s="1397">
        <f>IF(raw[[#This Row],[in]]=0,0,MONTH(raw[[#This Row],[in]]))</f>
        <v/>
      </c>
      <c r="Q2026" s="1397">
        <f>IF(raw[[#This Row],[in]]=0,0,YEAR(raw[[#This Row],[in]]))</f>
        <v/>
      </c>
      <c r="R2026" s="1397">
        <f>INT(raw[[#This Row],[yr]]/10)*10</f>
        <v/>
      </c>
      <c r="S2026" s="1395">
        <f>IF(raw[[#This Row],[city]]="","-",IF(raw[[#This Row],[city]]&lt;&gt;_xlfn.XLOOKUP(raw[[#This Row],[home]],homes[home],homes[city],"-"),1,0))</f>
        <v/>
      </c>
      <c r="T2026" s="1398" t="inlineStr">
        <is>
          <t>.</t>
        </is>
      </c>
      <c r="U2026" s="1399">
        <f>IF(raw[[#This Row],[wb]]="w",raw[[#This Row],[stay]]+U2025,U2025)</f>
        <v/>
      </c>
      <c r="V2026" s="1400">
        <f>IF(raw[[#This Row],[out]]=0,V2025,(raw[[#This Row],[out]]-E$5))</f>
        <v/>
      </c>
      <c r="W2026" s="1401">
        <f>U2026/V2026</f>
        <v/>
      </c>
      <c r="X2026" s="1392" t="n"/>
      <c r="Y2026" s="1392" t="n"/>
      <c r="Z2026" s="1422" t="n"/>
      <c r="AA2026" s="1422" t="n"/>
      <c r="AB2026" s="1392" t="n"/>
      <c r="AC2026" s="1392" t="n"/>
      <c r="AD2026" s="1392" t="n"/>
      <c r="AE2026" s="1392" t="n"/>
      <c r="AF2026" s="1392" t="n"/>
      <c r="AG2026" s="1392" t="n"/>
      <c r="AH2026" s="1392" t="n"/>
      <c r="AI2026" s="1392" t="n"/>
      <c r="AJ2026" s="1392" t="n"/>
      <c r="AK2026" s="1392" t="n"/>
      <c r="AL2026" s="1392" t="n"/>
      <c r="AM2026" s="1392" t="n"/>
      <c r="AN2026" s="1392" t="n"/>
      <c r="AO2026" s="1392" t="n"/>
      <c r="AP2026" s="1392" t="n"/>
      <c r="AQ2026" s="1392" t="n"/>
      <c r="AR2026" s="1392" t="n"/>
      <c r="AS2026" s="1422" t="n"/>
      <c r="AT2026" s="1392" t="n"/>
      <c r="AU2026" s="1392" t="n"/>
      <c r="AV2026" s="1392" t="n"/>
      <c r="AW2026" s="1392" t="n"/>
      <c r="AX2026" s="1392" t="n"/>
      <c r="AY2026" s="1392" t="n"/>
      <c r="AZ2026" s="1392" t="n"/>
      <c r="BA2026" s="1392" t="n"/>
      <c r="BB2026" s="1422" t="n"/>
      <c r="BC2026" s="1392" t="n"/>
      <c r="BD2026" s="1392" t="n"/>
      <c r="BE2026" s="1392" t="n"/>
      <c r="BF2026" s="1392" t="n"/>
      <c r="BG2026" s="1392" t="n"/>
      <c r="BH2026" s="1392" t="n"/>
      <c r="BI2026" s="1392" t="n"/>
      <c r="BJ2026" s="1392" t="n"/>
      <c r="BK2026" s="1392" t="n"/>
      <c r="BL2026" s="1392" t="n"/>
      <c r="BM2026" s="1392" t="n"/>
      <c r="BN2026" s="1392" t="n"/>
      <c r="BO2026" s="1392" t="n"/>
      <c r="BP2026" s="1392" t="n"/>
      <c r="BQ2026" s="1392" t="n"/>
      <c r="BR2026" s="1392" t="n"/>
      <c r="BS2026" s="1392" t="n"/>
      <c r="BT2026" s="1392" t="n"/>
      <c r="BU2026" s="1416" t="n"/>
      <c r="BV2026" s="1392" t="n"/>
      <c r="BW2026" s="1392" t="n"/>
      <c r="BX2026" s="1392" t="n"/>
      <c r="BY2026" s="1392" t="n"/>
      <c r="BZ2026" s="1416" t="n"/>
      <c r="CA2026" s="1392" t="n"/>
      <c r="CB2026" s="1392" t="n"/>
      <c r="CC2026" s="1392" t="n"/>
      <c r="CD2026" s="1392" t="n"/>
      <c r="CE2026" s="1392" t="n"/>
      <c r="CF2026" s="1392" t="n"/>
      <c r="CG2026" s="1392" t="n"/>
      <c r="CH2026" s="1392" t="n"/>
      <c r="CI2026" s="1392" t="n"/>
      <c r="CJ2026" s="1392" t="n"/>
      <c r="CK2026" s="1392" t="n"/>
      <c r="CL2026" s="1392" t="n"/>
    </row>
    <row r="2027">
      <c r="A2027" s="5" t="inlineStr">
        <is>
          <t>.</t>
        </is>
      </c>
      <c r="B2027" s="5" t="inlineStr">
        <is>
          <t>.</t>
        </is>
      </c>
      <c r="C2027" s="1378">
        <f>IF(raw[[#This Row],[city]]="","-",IF(raw[[#This Row],[city]]="TODAY","-",C2026+1))</f>
        <v/>
      </c>
      <c r="D2027" s="1393" t="n"/>
      <c r="E2027" s="1394" t="n"/>
      <c r="F2027" s="1394" t="n"/>
      <c r="G2027" s="1393" t="n"/>
      <c r="H2027" s="1393" t="n"/>
      <c r="I2027" s="1393" t="n"/>
      <c r="J2027" s="1393" t="n"/>
      <c r="K2027" s="1395">
        <f>IF(raw[[#This Row],[city]]&lt;&gt;"",_xlfn.XLOOKUP($D2027,ccc[city],ccc[prov],"-"),"-")</f>
        <v/>
      </c>
      <c r="L2027" s="1395">
        <f>IF(raw[[#This Row],[city]]&lt;&gt;"",_xlfn.XLOOKUP($D2027,ccc[city],ccc[ctry],"-"),"-")</f>
        <v/>
      </c>
      <c r="M2027" s="1395">
        <f>IF(raw[[#This Row],[city]]&lt;&gt;"",_xlfn.XLOOKUP($D2027,ccc[city],ccc[cont],"-"),"-")</f>
        <v/>
      </c>
      <c r="N2027" s="1396">
        <f>IF(raw[[#This Row],[city]]="","-",IF(raw[[#This Row],[cont]]="B",raw[[#This Row],[cont]],"W"))</f>
        <v/>
      </c>
      <c r="O2027" s="1397">
        <f>IF(raw[[#This Row],[out]]=0,0,IF(raw[[#This Row],[out]]=raw[[#This Row],[in]],0.01,raw[[#This Row],[out]]-raw[[#This Row],[in]]))</f>
        <v/>
      </c>
      <c r="P2027" s="1397">
        <f>IF(raw[[#This Row],[in]]=0,0,MONTH(raw[[#This Row],[in]]))</f>
        <v/>
      </c>
      <c r="Q2027" s="1397">
        <f>IF(raw[[#This Row],[in]]=0,0,YEAR(raw[[#This Row],[in]]))</f>
        <v/>
      </c>
      <c r="R2027" s="1397">
        <f>INT(raw[[#This Row],[yr]]/10)*10</f>
        <v/>
      </c>
      <c r="S2027" s="1395">
        <f>IF(raw[[#This Row],[city]]="","-",IF(raw[[#This Row],[city]]&lt;&gt;_xlfn.XLOOKUP(raw[[#This Row],[home]],homes[home],homes[city],"-"),1,0))</f>
        <v/>
      </c>
      <c r="T2027" s="1398" t="inlineStr">
        <is>
          <t>.</t>
        </is>
      </c>
      <c r="U2027" s="1399">
        <f>IF(raw[[#This Row],[wb]]="w",raw[[#This Row],[stay]]+U2026,U2026)</f>
        <v/>
      </c>
      <c r="V2027" s="1400">
        <f>IF(raw[[#This Row],[out]]=0,V2026,(raw[[#This Row],[out]]-E$5))</f>
        <v/>
      </c>
      <c r="W2027" s="1401">
        <f>U2027/V2027</f>
        <v/>
      </c>
      <c r="X2027" s="1392" t="n"/>
      <c r="Y2027" s="1392" t="n"/>
      <c r="Z2027" s="1422" t="n"/>
      <c r="AA2027" s="1422" t="n"/>
      <c r="AB2027" s="1392" t="n"/>
      <c r="AC2027" s="1392" t="n"/>
      <c r="AD2027" s="1392" t="n"/>
      <c r="AE2027" s="1392" t="n"/>
      <c r="AF2027" s="1392" t="n"/>
      <c r="AG2027" s="1392" t="n"/>
      <c r="AH2027" s="1392" t="n"/>
      <c r="AI2027" s="1392" t="n"/>
      <c r="AJ2027" s="1392" t="n"/>
      <c r="AK2027" s="1392" t="n"/>
      <c r="AL2027" s="1392" t="n"/>
      <c r="AM2027" s="1392" t="n"/>
      <c r="AN2027" s="1392" t="n"/>
      <c r="AO2027" s="1392" t="n"/>
      <c r="AP2027" s="1392" t="n"/>
      <c r="AQ2027" s="1392" t="n"/>
      <c r="AR2027" s="1392" t="n"/>
      <c r="AS2027" s="1422" t="n"/>
      <c r="AT2027" s="1392" t="n"/>
      <c r="AU2027" s="1392" t="n"/>
      <c r="AV2027" s="1392" t="n"/>
      <c r="AW2027" s="1392" t="n"/>
      <c r="AX2027" s="1392" t="n"/>
      <c r="AY2027" s="1392" t="n"/>
      <c r="AZ2027" s="1392" t="n"/>
      <c r="BA2027" s="1392" t="n"/>
      <c r="BB2027" s="1422" t="n"/>
      <c r="BC2027" s="1392" t="n"/>
      <c r="BD2027" s="1392" t="n"/>
      <c r="BE2027" s="1392" t="n"/>
      <c r="BF2027" s="1392" t="n"/>
      <c r="BG2027" s="1392" t="n"/>
      <c r="BH2027" s="1392" t="n"/>
      <c r="BI2027" s="1392" t="n"/>
      <c r="BJ2027" s="1392" t="n"/>
      <c r="BK2027" s="1392" t="n"/>
      <c r="BL2027" s="1392" t="n"/>
      <c r="BM2027" s="1392" t="n"/>
      <c r="BN2027" s="1392" t="n"/>
      <c r="BO2027" s="1392" t="n"/>
      <c r="BP2027" s="1392" t="n"/>
      <c r="BQ2027" s="1392" t="n"/>
      <c r="BR2027" s="1392" t="n"/>
      <c r="BS2027" s="1392" t="n"/>
      <c r="BT2027" s="1392" t="n"/>
      <c r="BU2027" s="1416" t="n"/>
      <c r="BV2027" s="1392" t="n"/>
      <c r="BW2027" s="1392" t="n"/>
      <c r="BX2027" s="1392" t="n"/>
      <c r="BY2027" s="1392" t="n"/>
      <c r="BZ2027" s="1416" t="n"/>
      <c r="CA2027" s="1392" t="n"/>
      <c r="CB2027" s="1392" t="n"/>
      <c r="CC2027" s="1392" t="n"/>
      <c r="CD2027" s="1392" t="n"/>
      <c r="CE2027" s="1392" t="n"/>
      <c r="CF2027" s="1392" t="n"/>
      <c r="CG2027" s="1392" t="n"/>
      <c r="CH2027" s="1392" t="n"/>
      <c r="CI2027" s="1392" t="n"/>
      <c r="CJ2027" s="1392" t="n"/>
      <c r="CK2027" s="1392" t="n"/>
      <c r="CL2027" s="1392" t="n"/>
    </row>
    <row r="2028">
      <c r="A2028" s="5" t="inlineStr">
        <is>
          <t>.</t>
        </is>
      </c>
      <c r="B2028" s="5" t="inlineStr">
        <is>
          <t>.</t>
        </is>
      </c>
      <c r="C2028" s="1378">
        <f>IF(raw[[#This Row],[city]]="","-",IF(raw[[#This Row],[city]]="TODAY","-",C2027+1))</f>
        <v/>
      </c>
      <c r="D2028" s="1393" t="n"/>
      <c r="E2028" s="1394" t="n"/>
      <c r="F2028" s="1394" t="n"/>
      <c r="G2028" s="1393" t="n"/>
      <c r="H2028" s="1393" t="n"/>
      <c r="I2028" s="1393" t="n"/>
      <c r="J2028" s="1393" t="n"/>
      <c r="K2028" s="1395">
        <f>IF(raw[[#This Row],[city]]&lt;&gt;"",_xlfn.XLOOKUP($D2028,ccc[city],ccc[prov],"-"),"-")</f>
        <v/>
      </c>
      <c r="L2028" s="1395">
        <f>IF(raw[[#This Row],[city]]&lt;&gt;"",_xlfn.XLOOKUP($D2028,ccc[city],ccc[ctry],"-"),"-")</f>
        <v/>
      </c>
      <c r="M2028" s="1395">
        <f>IF(raw[[#This Row],[city]]&lt;&gt;"",_xlfn.XLOOKUP($D2028,ccc[city],ccc[cont],"-"),"-")</f>
        <v/>
      </c>
      <c r="N2028" s="1396">
        <f>IF(raw[[#This Row],[city]]="","-",IF(raw[[#This Row],[cont]]="B",raw[[#This Row],[cont]],"W"))</f>
        <v/>
      </c>
      <c r="O2028" s="1397">
        <f>IF(raw[[#This Row],[out]]=0,0,IF(raw[[#This Row],[out]]=raw[[#This Row],[in]],0.01,raw[[#This Row],[out]]-raw[[#This Row],[in]]))</f>
        <v/>
      </c>
      <c r="P2028" s="1397">
        <f>IF(raw[[#This Row],[in]]=0,0,MONTH(raw[[#This Row],[in]]))</f>
        <v/>
      </c>
      <c r="Q2028" s="1397">
        <f>IF(raw[[#This Row],[in]]=0,0,YEAR(raw[[#This Row],[in]]))</f>
        <v/>
      </c>
      <c r="R2028" s="1397">
        <f>INT(raw[[#This Row],[yr]]/10)*10</f>
        <v/>
      </c>
      <c r="S2028" s="1395">
        <f>IF(raw[[#This Row],[city]]="","-",IF(raw[[#This Row],[city]]&lt;&gt;_xlfn.XLOOKUP(raw[[#This Row],[home]],homes[home],homes[city],"-"),1,0))</f>
        <v/>
      </c>
      <c r="T2028" s="1398" t="inlineStr">
        <is>
          <t>.</t>
        </is>
      </c>
      <c r="U2028" s="1399">
        <f>IF(raw[[#This Row],[wb]]="w",raw[[#This Row],[stay]]+U2027,U2027)</f>
        <v/>
      </c>
      <c r="V2028" s="1400">
        <f>IF(raw[[#This Row],[out]]=0,V2027,(raw[[#This Row],[out]]-E$5))</f>
        <v/>
      </c>
      <c r="W2028" s="1401">
        <f>U2028/V2028</f>
        <v/>
      </c>
      <c r="X2028" s="1392" t="n"/>
      <c r="Y2028" s="1392" t="n"/>
      <c r="Z2028" s="1422" t="n"/>
      <c r="AA2028" s="1422" t="n"/>
      <c r="AB2028" s="1392" t="n"/>
      <c r="AC2028" s="1392" t="n"/>
      <c r="AD2028" s="1392" t="n"/>
      <c r="AE2028" s="1392" t="n"/>
      <c r="AF2028" s="1392" t="n"/>
      <c r="AG2028" s="1392" t="n"/>
      <c r="AH2028" s="1392" t="n"/>
      <c r="AI2028" s="1392" t="n"/>
      <c r="AJ2028" s="1392" t="n"/>
      <c r="AK2028" s="1392" t="n"/>
      <c r="AL2028" s="1392" t="n"/>
      <c r="AM2028" s="1392" t="n"/>
      <c r="AN2028" s="1392" t="n"/>
      <c r="AO2028" s="1392" t="n"/>
      <c r="AP2028" s="1392" t="n"/>
      <c r="AQ2028" s="1392" t="n"/>
      <c r="AR2028" s="1392" t="n"/>
      <c r="AS2028" s="1422" t="n"/>
      <c r="AT2028" s="1392" t="n"/>
      <c r="AU2028" s="1392" t="n"/>
      <c r="AV2028" s="1392" t="n"/>
      <c r="AW2028" s="1392" t="n"/>
      <c r="AX2028" s="1392" t="n"/>
      <c r="AY2028" s="1392" t="n"/>
      <c r="AZ2028" s="1392" t="n"/>
      <c r="BA2028" s="1392" t="n"/>
      <c r="BB2028" s="1422" t="n"/>
      <c r="BC2028" s="1392" t="n"/>
      <c r="BD2028" s="1392" t="n"/>
      <c r="BE2028" s="1392" t="n"/>
      <c r="BF2028" s="1392" t="n"/>
      <c r="BG2028" s="1392" t="n"/>
      <c r="BH2028" s="1392" t="n"/>
      <c r="BI2028" s="1392" t="n"/>
      <c r="BJ2028" s="1392" t="n"/>
      <c r="BK2028" s="1392" t="n"/>
      <c r="BL2028" s="1392" t="n"/>
      <c r="BM2028" s="1392" t="n"/>
      <c r="BN2028" s="1392" t="n"/>
      <c r="BO2028" s="1392" t="n"/>
      <c r="BP2028" s="1392" t="n"/>
      <c r="BQ2028" s="1392" t="n"/>
      <c r="BR2028" s="1392" t="n"/>
      <c r="BS2028" s="1392" t="n"/>
      <c r="BT2028" s="1392" t="n"/>
      <c r="BU2028" s="1416" t="n"/>
      <c r="BV2028" s="1392" t="n"/>
      <c r="BW2028" s="1392" t="n"/>
      <c r="BX2028" s="1392" t="n"/>
      <c r="BY2028" s="1392" t="n"/>
      <c r="BZ2028" s="1416" t="n"/>
      <c r="CA2028" s="1392" t="n"/>
      <c r="CB2028" s="1392" t="n"/>
      <c r="CC2028" s="1392" t="n"/>
      <c r="CD2028" s="1392" t="n"/>
      <c r="CE2028" s="1392" t="n"/>
      <c r="CF2028" s="1392" t="n"/>
      <c r="CG2028" s="1392" t="n"/>
      <c r="CH2028" s="1392" t="n"/>
      <c r="CI2028" s="1392" t="n"/>
      <c r="CJ2028" s="1392" t="n"/>
      <c r="CK2028" s="1392" t="n"/>
      <c r="CL2028" s="1392" t="n"/>
    </row>
    <row r="2029">
      <c r="A2029" s="5" t="inlineStr">
        <is>
          <t>.</t>
        </is>
      </c>
      <c r="B2029" s="5" t="inlineStr">
        <is>
          <t>.</t>
        </is>
      </c>
      <c r="C2029" s="1378">
        <f>IF(raw[[#This Row],[city]]="","-",IF(raw[[#This Row],[city]]="TODAY","-",C2028+1))</f>
        <v/>
      </c>
      <c r="D2029" s="1393" t="n"/>
      <c r="E2029" s="1394" t="n"/>
      <c r="F2029" s="1394" t="n"/>
      <c r="G2029" s="1393" t="n"/>
      <c r="H2029" s="1393" t="n"/>
      <c r="I2029" s="1393" t="n"/>
      <c r="J2029" s="1393" t="n"/>
      <c r="K2029" s="1395">
        <f>IF(raw[[#This Row],[city]]&lt;&gt;"",_xlfn.XLOOKUP($D2029,ccc[city],ccc[prov],"-"),"-")</f>
        <v/>
      </c>
      <c r="L2029" s="1395">
        <f>IF(raw[[#This Row],[city]]&lt;&gt;"",_xlfn.XLOOKUP($D2029,ccc[city],ccc[ctry],"-"),"-")</f>
        <v/>
      </c>
      <c r="M2029" s="1395">
        <f>IF(raw[[#This Row],[city]]&lt;&gt;"",_xlfn.XLOOKUP($D2029,ccc[city],ccc[cont],"-"),"-")</f>
        <v/>
      </c>
      <c r="N2029" s="1396">
        <f>IF(raw[[#This Row],[city]]="","-",IF(raw[[#This Row],[cont]]="B",raw[[#This Row],[cont]],"W"))</f>
        <v/>
      </c>
      <c r="O2029" s="1397">
        <f>IF(raw[[#This Row],[out]]=0,0,IF(raw[[#This Row],[out]]=raw[[#This Row],[in]],0.01,raw[[#This Row],[out]]-raw[[#This Row],[in]]))</f>
        <v/>
      </c>
      <c r="P2029" s="1397">
        <f>IF(raw[[#This Row],[in]]=0,0,MONTH(raw[[#This Row],[in]]))</f>
        <v/>
      </c>
      <c r="Q2029" s="1397">
        <f>IF(raw[[#This Row],[in]]=0,0,YEAR(raw[[#This Row],[in]]))</f>
        <v/>
      </c>
      <c r="R2029" s="1397">
        <f>INT(raw[[#This Row],[yr]]/10)*10</f>
        <v/>
      </c>
      <c r="S2029" s="1395">
        <f>IF(raw[[#This Row],[city]]="","-",IF(raw[[#This Row],[city]]&lt;&gt;_xlfn.XLOOKUP(raw[[#This Row],[home]],homes[home],homes[city],"-"),1,0))</f>
        <v/>
      </c>
      <c r="T2029" s="1398" t="inlineStr">
        <is>
          <t>.</t>
        </is>
      </c>
      <c r="U2029" s="1399">
        <f>IF(raw[[#This Row],[wb]]="w",raw[[#This Row],[stay]]+U2028,U2028)</f>
        <v/>
      </c>
      <c r="V2029" s="1400">
        <f>IF(raw[[#This Row],[out]]=0,V2028,(raw[[#This Row],[out]]-E$5))</f>
        <v/>
      </c>
      <c r="W2029" s="1401">
        <f>U2029/V2029</f>
        <v/>
      </c>
      <c r="X2029" s="1392" t="n"/>
      <c r="Y2029" s="1392" t="n"/>
      <c r="Z2029" s="1422" t="n"/>
      <c r="AA2029" s="1422" t="n"/>
      <c r="AB2029" s="1392" t="n"/>
      <c r="AC2029" s="1392" t="n"/>
      <c r="AD2029" s="1392" t="n"/>
      <c r="AE2029" s="1392" t="n"/>
      <c r="AF2029" s="1392" t="n"/>
      <c r="AG2029" s="1392" t="n"/>
      <c r="AH2029" s="1392" t="n"/>
      <c r="AI2029" s="1392" t="n"/>
      <c r="AJ2029" s="1392" t="n"/>
      <c r="AK2029" s="1392" t="n"/>
      <c r="AL2029" s="1392" t="n"/>
      <c r="AM2029" s="1392" t="n"/>
      <c r="AN2029" s="1392" t="n"/>
      <c r="AO2029" s="1392" t="n"/>
      <c r="AP2029" s="1392" t="n"/>
      <c r="AQ2029" s="1392" t="n"/>
      <c r="AR2029" s="1392" t="n"/>
      <c r="AS2029" s="1422" t="n"/>
      <c r="AT2029" s="1392" t="n"/>
      <c r="AU2029" s="1392" t="n"/>
      <c r="AV2029" s="1392" t="n"/>
      <c r="AW2029" s="1392" t="n"/>
      <c r="AX2029" s="1392" t="n"/>
      <c r="AY2029" s="1392" t="n"/>
      <c r="AZ2029" s="1392" t="n"/>
      <c r="BA2029" s="1392" t="n"/>
      <c r="BB2029" s="1422" t="n"/>
      <c r="BC2029" s="1392" t="n"/>
      <c r="BD2029" s="1392" t="n"/>
      <c r="BE2029" s="1392" t="n"/>
      <c r="BF2029" s="1392" t="n"/>
      <c r="BG2029" s="1392" t="n"/>
      <c r="BH2029" s="1392" t="n"/>
      <c r="BI2029" s="1392" t="n"/>
      <c r="BJ2029" s="1392" t="n"/>
      <c r="BK2029" s="1392" t="n"/>
      <c r="BL2029" s="1392" t="n"/>
      <c r="BM2029" s="1392" t="n"/>
      <c r="BN2029" s="1392" t="n"/>
      <c r="BO2029" s="1392" t="n"/>
      <c r="BP2029" s="1392" t="n"/>
      <c r="BQ2029" s="1392" t="n"/>
      <c r="BR2029" s="1392" t="n"/>
      <c r="BS2029" s="1392" t="n"/>
      <c r="BT2029" s="1392" t="n"/>
      <c r="BU2029" s="1416" t="n"/>
      <c r="BV2029" s="1392" t="n"/>
      <c r="BW2029" s="1392" t="n"/>
      <c r="BX2029" s="1392" t="n"/>
      <c r="BY2029" s="1392" t="n"/>
      <c r="BZ2029" s="1416" t="n"/>
      <c r="CA2029" s="1392" t="n"/>
      <c r="CB2029" s="1392" t="n"/>
      <c r="CC2029" s="1392" t="n"/>
      <c r="CD2029" s="1392" t="n"/>
      <c r="CE2029" s="1392" t="n"/>
      <c r="CF2029" s="1392" t="n"/>
      <c r="CG2029" s="1392" t="n"/>
      <c r="CH2029" s="1392" t="n"/>
      <c r="CI2029" s="1392" t="n"/>
      <c r="CJ2029" s="1392" t="n"/>
      <c r="CK2029" s="1392" t="n"/>
      <c r="CL2029" s="1392" t="n"/>
    </row>
    <row r="2030">
      <c r="A2030" s="5" t="inlineStr">
        <is>
          <t>.</t>
        </is>
      </c>
      <c r="B2030" s="5" t="inlineStr">
        <is>
          <t>.</t>
        </is>
      </c>
      <c r="C2030" s="1378">
        <f>IF(raw[[#This Row],[city]]="","-",IF(raw[[#This Row],[city]]="TODAY","-",C2029+1))</f>
        <v/>
      </c>
      <c r="D2030" s="1393" t="n"/>
      <c r="E2030" s="1394" t="n"/>
      <c r="F2030" s="1394" t="n"/>
      <c r="G2030" s="1393" t="n"/>
      <c r="H2030" s="1393" t="n"/>
      <c r="I2030" s="1393" t="n"/>
      <c r="J2030" s="1393" t="n"/>
      <c r="K2030" s="1395">
        <f>IF(raw[[#This Row],[city]]&lt;&gt;"",_xlfn.XLOOKUP($D2030,ccc[city],ccc[prov],"-"),"-")</f>
        <v/>
      </c>
      <c r="L2030" s="1395">
        <f>IF(raw[[#This Row],[city]]&lt;&gt;"",_xlfn.XLOOKUP($D2030,ccc[city],ccc[ctry],"-"),"-")</f>
        <v/>
      </c>
      <c r="M2030" s="1395">
        <f>IF(raw[[#This Row],[city]]&lt;&gt;"",_xlfn.XLOOKUP($D2030,ccc[city],ccc[cont],"-"),"-")</f>
        <v/>
      </c>
      <c r="N2030" s="1396">
        <f>IF(raw[[#This Row],[city]]="","-",IF(raw[[#This Row],[cont]]="B",raw[[#This Row],[cont]],"W"))</f>
        <v/>
      </c>
      <c r="O2030" s="1397">
        <f>IF(raw[[#This Row],[out]]=0,0,IF(raw[[#This Row],[out]]=raw[[#This Row],[in]],0.01,raw[[#This Row],[out]]-raw[[#This Row],[in]]))</f>
        <v/>
      </c>
      <c r="P2030" s="1397">
        <f>IF(raw[[#This Row],[in]]=0,0,MONTH(raw[[#This Row],[in]]))</f>
        <v/>
      </c>
      <c r="Q2030" s="1397">
        <f>IF(raw[[#This Row],[in]]=0,0,YEAR(raw[[#This Row],[in]]))</f>
        <v/>
      </c>
      <c r="R2030" s="1397">
        <f>INT(raw[[#This Row],[yr]]/10)*10</f>
        <v/>
      </c>
      <c r="S2030" s="1395">
        <f>IF(raw[[#This Row],[city]]="","-",IF(raw[[#This Row],[city]]&lt;&gt;_xlfn.XLOOKUP(raw[[#This Row],[home]],homes[home],homes[city],"-"),1,0))</f>
        <v/>
      </c>
      <c r="T2030" s="1398" t="inlineStr">
        <is>
          <t>.</t>
        </is>
      </c>
      <c r="U2030" s="1399">
        <f>IF(raw[[#This Row],[wb]]="w",raw[[#This Row],[stay]]+U2029,U2029)</f>
        <v/>
      </c>
      <c r="V2030" s="1400">
        <f>IF(raw[[#This Row],[out]]=0,V2029,(raw[[#This Row],[out]]-E$5))</f>
        <v/>
      </c>
      <c r="W2030" s="1401">
        <f>U2030/V2030</f>
        <v/>
      </c>
      <c r="X2030" s="1392" t="n"/>
      <c r="Y2030" s="1392" t="n"/>
      <c r="Z2030" s="1422" t="n"/>
      <c r="AA2030" s="1422" t="n"/>
      <c r="AB2030" s="1392" t="n"/>
      <c r="AC2030" s="1392" t="n"/>
      <c r="AD2030" s="1392" t="n"/>
      <c r="AE2030" s="1392" t="n"/>
      <c r="AF2030" s="1392" t="n"/>
      <c r="AG2030" s="1392" t="n"/>
      <c r="AH2030" s="1392" t="n"/>
      <c r="AI2030" s="1392" t="n"/>
      <c r="AJ2030" s="1392" t="n"/>
      <c r="AK2030" s="1392" t="n"/>
      <c r="AL2030" s="1392" t="n"/>
      <c r="AM2030" s="1392" t="n"/>
      <c r="AN2030" s="1392" t="n"/>
      <c r="AO2030" s="1392" t="n"/>
      <c r="AP2030" s="1392" t="n"/>
      <c r="AQ2030" s="1392" t="n"/>
      <c r="AR2030" s="1392" t="n"/>
      <c r="AS2030" s="1422" t="n"/>
      <c r="AT2030" s="1392" t="n"/>
      <c r="AU2030" s="1392" t="n"/>
      <c r="AV2030" s="1392" t="n"/>
      <c r="AW2030" s="1392" t="n"/>
      <c r="AX2030" s="1392" t="n"/>
      <c r="AY2030" s="1392" t="n"/>
      <c r="AZ2030" s="1392" t="n"/>
      <c r="BA2030" s="1392" t="n"/>
      <c r="BB2030" s="1422" t="n"/>
      <c r="BC2030" s="1392" t="n"/>
      <c r="BD2030" s="1392" t="n"/>
      <c r="BE2030" s="1392" t="n"/>
      <c r="BF2030" s="1392" t="n"/>
      <c r="BG2030" s="1392" t="n"/>
      <c r="BH2030" s="1392" t="n"/>
      <c r="BI2030" s="1392" t="n"/>
      <c r="BJ2030" s="1392" t="n"/>
      <c r="BK2030" s="1392" t="n"/>
      <c r="BL2030" s="1392" t="n"/>
      <c r="BM2030" s="1392" t="n"/>
      <c r="BN2030" s="1392" t="n"/>
      <c r="BO2030" s="1392" t="n"/>
      <c r="BP2030" s="1392" t="n"/>
      <c r="BQ2030" s="1392" t="n"/>
      <c r="BR2030" s="1392" t="n"/>
      <c r="BS2030" s="1392" t="n"/>
      <c r="BT2030" s="1392" t="n"/>
      <c r="BU2030" s="1416" t="n"/>
      <c r="BV2030" s="1392" t="n"/>
      <c r="BW2030" s="1392" t="n"/>
      <c r="BX2030" s="1392" t="n"/>
      <c r="BY2030" s="1392" t="n"/>
      <c r="BZ2030" s="1416" t="n"/>
      <c r="CA2030" s="1392" t="n"/>
      <c r="CB2030" s="1392" t="n"/>
      <c r="CC2030" s="1392" t="n"/>
      <c r="CD2030" s="1392" t="n"/>
      <c r="CE2030" s="1392" t="n"/>
      <c r="CF2030" s="1392" t="n"/>
      <c r="CG2030" s="1392" t="n"/>
      <c r="CH2030" s="1392" t="n"/>
      <c r="CI2030" s="1392" t="n"/>
      <c r="CJ2030" s="1392" t="n"/>
      <c r="CK2030" s="1392" t="n"/>
      <c r="CL2030" s="1392" t="n"/>
    </row>
    <row r="2031">
      <c r="A2031" s="5" t="inlineStr">
        <is>
          <t>.</t>
        </is>
      </c>
      <c r="B2031" s="5" t="inlineStr">
        <is>
          <t>.</t>
        </is>
      </c>
      <c r="C2031" s="1378">
        <f>IF(raw[[#This Row],[city]]="","-",IF(raw[[#This Row],[city]]="TODAY","-",C2030+1))</f>
        <v/>
      </c>
      <c r="D2031" s="1393" t="n"/>
      <c r="E2031" s="1394" t="n"/>
      <c r="F2031" s="1394" t="n"/>
      <c r="G2031" s="1393" t="n"/>
      <c r="H2031" s="1393" t="n"/>
      <c r="I2031" s="1393" t="n"/>
      <c r="J2031" s="1393" t="n"/>
      <c r="K2031" s="1395">
        <f>IF(raw[[#This Row],[city]]&lt;&gt;"",_xlfn.XLOOKUP($D2031,ccc[city],ccc[prov],"-"),"-")</f>
        <v/>
      </c>
      <c r="L2031" s="1395">
        <f>IF(raw[[#This Row],[city]]&lt;&gt;"",_xlfn.XLOOKUP($D2031,ccc[city],ccc[ctry],"-"),"-")</f>
        <v/>
      </c>
      <c r="M2031" s="1395">
        <f>IF(raw[[#This Row],[city]]&lt;&gt;"",_xlfn.XLOOKUP($D2031,ccc[city],ccc[cont],"-"),"-")</f>
        <v/>
      </c>
      <c r="N2031" s="1396">
        <f>IF(raw[[#This Row],[city]]="","-",IF(raw[[#This Row],[cont]]="B",raw[[#This Row],[cont]],"W"))</f>
        <v/>
      </c>
      <c r="O2031" s="1397">
        <f>IF(raw[[#This Row],[out]]=0,0,IF(raw[[#This Row],[out]]=raw[[#This Row],[in]],0.01,raw[[#This Row],[out]]-raw[[#This Row],[in]]))</f>
        <v/>
      </c>
      <c r="P2031" s="1397">
        <f>IF(raw[[#This Row],[in]]=0,0,MONTH(raw[[#This Row],[in]]))</f>
        <v/>
      </c>
      <c r="Q2031" s="1397">
        <f>IF(raw[[#This Row],[in]]=0,0,YEAR(raw[[#This Row],[in]]))</f>
        <v/>
      </c>
      <c r="R2031" s="1397">
        <f>INT(raw[[#This Row],[yr]]/10)*10</f>
        <v/>
      </c>
      <c r="S2031" s="1395">
        <f>IF(raw[[#This Row],[city]]="","-",IF(raw[[#This Row],[city]]&lt;&gt;_xlfn.XLOOKUP(raw[[#This Row],[home]],homes[home],homes[city],"-"),1,0))</f>
        <v/>
      </c>
      <c r="T2031" s="1398" t="inlineStr">
        <is>
          <t>.</t>
        </is>
      </c>
      <c r="U2031" s="1399">
        <f>IF(raw[[#This Row],[wb]]="w",raw[[#This Row],[stay]]+U2030,U2030)</f>
        <v/>
      </c>
      <c r="V2031" s="1400">
        <f>IF(raw[[#This Row],[out]]=0,V2030,(raw[[#This Row],[out]]-E$5))</f>
        <v/>
      </c>
      <c r="W2031" s="1401">
        <f>U2031/V2031</f>
        <v/>
      </c>
      <c r="X2031" s="1392" t="n"/>
      <c r="Y2031" s="1392" t="n"/>
      <c r="Z2031" s="1422" t="n"/>
      <c r="AA2031" s="1422" t="n"/>
      <c r="AB2031" s="1392" t="n"/>
      <c r="AC2031" s="1392" t="n"/>
      <c r="AD2031" s="1392" t="n"/>
      <c r="AE2031" s="1392" t="n"/>
      <c r="AF2031" s="1392" t="n"/>
      <c r="AG2031" s="1392" t="n"/>
      <c r="AH2031" s="1392" t="n"/>
      <c r="AI2031" s="1392" t="n"/>
      <c r="AJ2031" s="1392" t="n"/>
      <c r="AK2031" s="1392" t="n"/>
      <c r="AL2031" s="1392" t="n"/>
      <c r="AM2031" s="1392" t="n"/>
      <c r="AN2031" s="1392" t="n"/>
      <c r="AO2031" s="1392" t="n"/>
      <c r="AP2031" s="1392" t="n"/>
      <c r="AQ2031" s="1392" t="n"/>
      <c r="AR2031" s="1392" t="n"/>
      <c r="AS2031" s="1422" t="n"/>
      <c r="AT2031" s="1392" t="n"/>
      <c r="AU2031" s="1392" t="n"/>
      <c r="AV2031" s="1392" t="n"/>
      <c r="AW2031" s="1392" t="n"/>
      <c r="AX2031" s="1392" t="n"/>
      <c r="AY2031" s="1392" t="n"/>
      <c r="AZ2031" s="1392" t="n"/>
      <c r="BA2031" s="1392" t="n"/>
      <c r="BB2031" s="1422" t="n"/>
      <c r="BC2031" s="1392" t="n"/>
      <c r="BD2031" s="1392" t="n"/>
      <c r="BE2031" s="1392" t="n"/>
      <c r="BF2031" s="1392" t="n"/>
      <c r="BG2031" s="1392" t="n"/>
      <c r="BH2031" s="1392" t="n"/>
      <c r="BI2031" s="1392" t="n"/>
      <c r="BJ2031" s="1392" t="n"/>
      <c r="BK2031" s="1392" t="n"/>
      <c r="BL2031" s="1392" t="n"/>
      <c r="BM2031" s="1392" t="n"/>
      <c r="BN2031" s="1392" t="n"/>
      <c r="BO2031" s="1392" t="n"/>
      <c r="BP2031" s="1392" t="n"/>
      <c r="BQ2031" s="1392" t="n"/>
      <c r="BR2031" s="1392" t="n"/>
      <c r="BS2031" s="1392" t="n"/>
      <c r="BT2031" s="1392" t="n"/>
      <c r="BU2031" s="1416" t="n"/>
      <c r="BV2031" s="1392" t="n"/>
      <c r="BW2031" s="1392" t="n"/>
      <c r="BX2031" s="1392" t="n"/>
      <c r="BY2031" s="1392" t="n"/>
      <c r="BZ2031" s="1416" t="n"/>
      <c r="CA2031" s="1392" t="n"/>
      <c r="CB2031" s="1392" t="n"/>
      <c r="CC2031" s="1392" t="n"/>
      <c r="CD2031" s="1392" t="n"/>
      <c r="CE2031" s="1392" t="n"/>
      <c r="CF2031" s="1392" t="n"/>
      <c r="CG2031" s="1392" t="n"/>
      <c r="CH2031" s="1392" t="n"/>
      <c r="CI2031" s="1392" t="n"/>
      <c r="CJ2031" s="1392" t="n"/>
      <c r="CK2031" s="1392" t="n"/>
      <c r="CL2031" s="1392" t="n"/>
    </row>
    <row r="2032">
      <c r="A2032" s="5" t="inlineStr">
        <is>
          <t>.</t>
        </is>
      </c>
      <c r="B2032" s="5" t="inlineStr">
        <is>
          <t>.</t>
        </is>
      </c>
      <c r="C2032" s="1378">
        <f>IF(raw[[#This Row],[city]]="","-",IF(raw[[#This Row],[city]]="TODAY","-",C2031+1))</f>
        <v/>
      </c>
      <c r="D2032" s="1393" t="n"/>
      <c r="E2032" s="1394" t="n"/>
      <c r="F2032" s="1394" t="n"/>
      <c r="G2032" s="1393" t="n"/>
      <c r="H2032" s="1393" t="n"/>
      <c r="I2032" s="1393" t="n"/>
      <c r="J2032" s="1393" t="n"/>
      <c r="K2032" s="1395">
        <f>IF(raw[[#This Row],[city]]&lt;&gt;"",_xlfn.XLOOKUP($D2032,ccc[city],ccc[prov],"-"),"-")</f>
        <v/>
      </c>
      <c r="L2032" s="1395">
        <f>IF(raw[[#This Row],[city]]&lt;&gt;"",_xlfn.XLOOKUP($D2032,ccc[city],ccc[ctry],"-"),"-")</f>
        <v/>
      </c>
      <c r="M2032" s="1395">
        <f>IF(raw[[#This Row],[city]]&lt;&gt;"",_xlfn.XLOOKUP($D2032,ccc[city],ccc[cont],"-"),"-")</f>
        <v/>
      </c>
      <c r="N2032" s="1396">
        <f>IF(raw[[#This Row],[city]]="","-",IF(raw[[#This Row],[cont]]="B",raw[[#This Row],[cont]],"W"))</f>
        <v/>
      </c>
      <c r="O2032" s="1397">
        <f>IF(raw[[#This Row],[out]]=0,0,IF(raw[[#This Row],[out]]=raw[[#This Row],[in]],0.01,raw[[#This Row],[out]]-raw[[#This Row],[in]]))</f>
        <v/>
      </c>
      <c r="P2032" s="1397">
        <f>IF(raw[[#This Row],[in]]=0,0,MONTH(raw[[#This Row],[in]]))</f>
        <v/>
      </c>
      <c r="Q2032" s="1397">
        <f>IF(raw[[#This Row],[in]]=0,0,YEAR(raw[[#This Row],[in]]))</f>
        <v/>
      </c>
      <c r="R2032" s="1397">
        <f>INT(raw[[#This Row],[yr]]/10)*10</f>
        <v/>
      </c>
      <c r="S2032" s="1395">
        <f>IF(raw[[#This Row],[city]]="","-",IF(raw[[#This Row],[city]]&lt;&gt;_xlfn.XLOOKUP(raw[[#This Row],[home]],homes[home],homes[city],"-"),1,0))</f>
        <v/>
      </c>
      <c r="T2032" s="1398" t="inlineStr">
        <is>
          <t>.</t>
        </is>
      </c>
      <c r="U2032" s="1399">
        <f>IF(raw[[#This Row],[wb]]="w",raw[[#This Row],[stay]]+U2031,U2031)</f>
        <v/>
      </c>
      <c r="V2032" s="1400">
        <f>IF(raw[[#This Row],[out]]=0,V2031,(raw[[#This Row],[out]]-E$5))</f>
        <v/>
      </c>
      <c r="W2032" s="1401">
        <f>U2032/V2032</f>
        <v/>
      </c>
      <c r="X2032" s="1392" t="n"/>
      <c r="Y2032" s="1392" t="n"/>
      <c r="Z2032" s="1422" t="n"/>
      <c r="AA2032" s="1422" t="n"/>
      <c r="AB2032" s="1392" t="n"/>
      <c r="AC2032" s="1392" t="n"/>
      <c r="AD2032" s="1392" t="n"/>
      <c r="AE2032" s="1392" t="n"/>
      <c r="AF2032" s="1392" t="n"/>
      <c r="AG2032" s="1392" t="n"/>
      <c r="AH2032" s="1392" t="n"/>
      <c r="AI2032" s="1392" t="n"/>
      <c r="AJ2032" s="1392" t="n"/>
      <c r="AK2032" s="1392" t="n"/>
      <c r="AL2032" s="1392" t="n"/>
      <c r="AM2032" s="1392" t="n"/>
      <c r="AN2032" s="1392" t="n"/>
      <c r="AO2032" s="1392" t="n"/>
      <c r="AP2032" s="1392" t="n"/>
      <c r="AQ2032" s="1392" t="n"/>
      <c r="AR2032" s="1392" t="n"/>
      <c r="AS2032" s="1422" t="n"/>
      <c r="AT2032" s="1392" t="n"/>
      <c r="AU2032" s="1392" t="n"/>
      <c r="AV2032" s="1392" t="n"/>
      <c r="AW2032" s="1392" t="n"/>
      <c r="AX2032" s="1392" t="n"/>
      <c r="AY2032" s="1392" t="n"/>
      <c r="AZ2032" s="1392" t="n"/>
      <c r="BA2032" s="1392" t="n"/>
      <c r="BB2032" s="1422" t="n"/>
      <c r="BC2032" s="1392" t="n"/>
      <c r="BD2032" s="1392" t="n"/>
      <c r="BE2032" s="1392" t="n"/>
      <c r="BF2032" s="1392" t="n"/>
      <c r="BG2032" s="1392" t="n"/>
      <c r="BH2032" s="1392" t="n"/>
      <c r="BI2032" s="1392" t="n"/>
      <c r="BJ2032" s="1392" t="n"/>
      <c r="BK2032" s="1392" t="n"/>
      <c r="BL2032" s="1392" t="n"/>
      <c r="BM2032" s="1392" t="n"/>
      <c r="BN2032" s="1392" t="n"/>
      <c r="BO2032" s="1392" t="n"/>
      <c r="BP2032" s="1392" t="n"/>
      <c r="BQ2032" s="1392" t="n"/>
      <c r="BR2032" s="1392" t="n"/>
      <c r="BS2032" s="1392" t="n"/>
      <c r="BT2032" s="1392" t="n"/>
      <c r="BU2032" s="1416" t="n"/>
      <c r="BV2032" s="1392" t="n"/>
      <c r="BW2032" s="1392" t="n"/>
      <c r="BX2032" s="1392" t="n"/>
      <c r="BY2032" s="1392" t="n"/>
      <c r="BZ2032" s="1416" t="n"/>
      <c r="CA2032" s="1392" t="n"/>
      <c r="CB2032" s="1392" t="n"/>
      <c r="CC2032" s="1392" t="n"/>
      <c r="CD2032" s="1392" t="n"/>
      <c r="CE2032" s="1392" t="n"/>
      <c r="CF2032" s="1392" t="n"/>
      <c r="CG2032" s="1392" t="n"/>
      <c r="CH2032" s="1392" t="n"/>
      <c r="CI2032" s="1392" t="n"/>
      <c r="CJ2032" s="1392" t="n"/>
      <c r="CK2032" s="1392" t="n"/>
      <c r="CL2032" s="1392" t="n"/>
    </row>
    <row r="2033">
      <c r="A2033" s="5" t="inlineStr">
        <is>
          <t>.</t>
        </is>
      </c>
      <c r="B2033" s="5" t="inlineStr">
        <is>
          <t>.</t>
        </is>
      </c>
      <c r="C2033" s="1378">
        <f>IF(raw[[#This Row],[city]]="","-",IF(raw[[#This Row],[city]]="TODAY","-",C2032+1))</f>
        <v/>
      </c>
      <c r="D2033" s="1393" t="n"/>
      <c r="E2033" s="1394" t="n"/>
      <c r="F2033" s="1394" t="n"/>
      <c r="G2033" s="1393" t="n"/>
      <c r="H2033" s="1393" t="n"/>
      <c r="I2033" s="1393" t="n"/>
      <c r="J2033" s="1393" t="n"/>
      <c r="K2033" s="1395">
        <f>IF(raw[[#This Row],[city]]&lt;&gt;"",_xlfn.XLOOKUP($D2033,ccc[city],ccc[prov],"-"),"-")</f>
        <v/>
      </c>
      <c r="L2033" s="1395">
        <f>IF(raw[[#This Row],[city]]&lt;&gt;"",_xlfn.XLOOKUP($D2033,ccc[city],ccc[ctry],"-"),"-")</f>
        <v/>
      </c>
      <c r="M2033" s="1395">
        <f>IF(raw[[#This Row],[city]]&lt;&gt;"",_xlfn.XLOOKUP($D2033,ccc[city],ccc[cont],"-"),"-")</f>
        <v/>
      </c>
      <c r="N2033" s="1396">
        <f>IF(raw[[#This Row],[city]]="","-",IF(raw[[#This Row],[cont]]="B",raw[[#This Row],[cont]],"W"))</f>
        <v/>
      </c>
      <c r="O2033" s="1397">
        <f>IF(raw[[#This Row],[out]]=0,0,IF(raw[[#This Row],[out]]=raw[[#This Row],[in]],0.01,raw[[#This Row],[out]]-raw[[#This Row],[in]]))</f>
        <v/>
      </c>
      <c r="P2033" s="1397">
        <f>IF(raw[[#This Row],[in]]=0,0,MONTH(raw[[#This Row],[in]]))</f>
        <v/>
      </c>
      <c r="Q2033" s="1397">
        <f>IF(raw[[#This Row],[in]]=0,0,YEAR(raw[[#This Row],[in]]))</f>
        <v/>
      </c>
      <c r="R2033" s="1397">
        <f>INT(raw[[#This Row],[yr]]/10)*10</f>
        <v/>
      </c>
      <c r="S2033" s="1395">
        <f>IF(raw[[#This Row],[city]]="","-",IF(raw[[#This Row],[city]]&lt;&gt;_xlfn.XLOOKUP(raw[[#This Row],[home]],homes[home],homes[city],"-"),1,0))</f>
        <v/>
      </c>
      <c r="T2033" s="1398" t="inlineStr">
        <is>
          <t>.</t>
        </is>
      </c>
      <c r="U2033" s="1399">
        <f>IF(raw[[#This Row],[wb]]="w",raw[[#This Row],[stay]]+U2032,U2032)</f>
        <v/>
      </c>
      <c r="V2033" s="1400">
        <f>IF(raw[[#This Row],[out]]=0,V2032,(raw[[#This Row],[out]]-E$5))</f>
        <v/>
      </c>
      <c r="W2033" s="1401">
        <f>U2033/V2033</f>
        <v/>
      </c>
      <c r="X2033" s="1392" t="n"/>
      <c r="Y2033" s="1392" t="n"/>
      <c r="Z2033" s="1422" t="n"/>
      <c r="AA2033" s="1422" t="n"/>
      <c r="AB2033" s="1392" t="n"/>
      <c r="AC2033" s="1392" t="n"/>
      <c r="AD2033" s="1392" t="n"/>
      <c r="AE2033" s="1392" t="n"/>
      <c r="AF2033" s="1392" t="n"/>
      <c r="AG2033" s="1392" t="n"/>
      <c r="AH2033" s="1392" t="n"/>
      <c r="AI2033" s="1392" t="n"/>
      <c r="AJ2033" s="1392" t="n"/>
      <c r="AK2033" s="1392" t="n"/>
      <c r="AL2033" s="1392" t="n"/>
      <c r="AM2033" s="1392" t="n"/>
      <c r="AN2033" s="1392" t="n"/>
      <c r="AO2033" s="1392" t="n"/>
      <c r="AP2033" s="1392" t="n"/>
      <c r="AQ2033" s="1392" t="n"/>
      <c r="AR2033" s="1392" t="n"/>
      <c r="AS2033" s="1422" t="n"/>
      <c r="AT2033" s="1392" t="n"/>
      <c r="AU2033" s="1392" t="n"/>
      <c r="AV2033" s="1392" t="n"/>
      <c r="AW2033" s="1392" t="n"/>
      <c r="AX2033" s="1392" t="n"/>
      <c r="AY2033" s="1392" t="n"/>
      <c r="AZ2033" s="1392" t="n"/>
      <c r="BA2033" s="1392" t="n"/>
      <c r="BB2033" s="1422" t="n"/>
      <c r="BC2033" s="1392" t="n"/>
      <c r="BD2033" s="1392" t="n"/>
      <c r="BE2033" s="1392" t="n"/>
      <c r="BF2033" s="1392" t="n"/>
      <c r="BG2033" s="1392" t="n"/>
      <c r="BH2033" s="1392" t="n"/>
      <c r="BI2033" s="1392" t="n"/>
      <c r="BJ2033" s="1392" t="n"/>
      <c r="BK2033" s="1392" t="n"/>
      <c r="BL2033" s="1392" t="n"/>
      <c r="BM2033" s="1392" t="n"/>
      <c r="BN2033" s="1392" t="n"/>
      <c r="BO2033" s="1392" t="n"/>
      <c r="BP2033" s="1392" t="n"/>
      <c r="BQ2033" s="1392" t="n"/>
      <c r="BR2033" s="1392" t="n"/>
      <c r="BS2033" s="1392" t="n"/>
      <c r="BT2033" s="1392" t="n"/>
      <c r="BU2033" s="1416" t="n"/>
      <c r="BV2033" s="1392" t="n"/>
      <c r="BW2033" s="1392" t="n"/>
      <c r="BX2033" s="1392" t="n"/>
      <c r="BY2033" s="1392" t="n"/>
      <c r="BZ2033" s="1416" t="n"/>
      <c r="CA2033" s="1392" t="n"/>
      <c r="CB2033" s="1392" t="n"/>
      <c r="CC2033" s="1392" t="n"/>
      <c r="CD2033" s="1392" t="n"/>
      <c r="CE2033" s="1392" t="n"/>
      <c r="CF2033" s="1392" t="n"/>
      <c r="CG2033" s="1392" t="n"/>
      <c r="CH2033" s="1392" t="n"/>
      <c r="CI2033" s="1392" t="n"/>
      <c r="CJ2033" s="1392" t="n"/>
      <c r="CK2033" s="1392" t="n"/>
      <c r="CL2033" s="1392" t="n"/>
    </row>
    <row r="2034">
      <c r="A2034" s="5" t="inlineStr">
        <is>
          <t>.</t>
        </is>
      </c>
      <c r="B2034" s="5" t="inlineStr">
        <is>
          <t>.</t>
        </is>
      </c>
      <c r="C2034" s="1378">
        <f>IF(raw[[#This Row],[city]]="","-",IF(raw[[#This Row],[city]]="TODAY","-",C2033+1))</f>
        <v/>
      </c>
      <c r="D2034" s="1393" t="n"/>
      <c r="E2034" s="1394" t="n"/>
      <c r="F2034" s="1394" t="n"/>
      <c r="G2034" s="1393" t="n"/>
      <c r="H2034" s="1393" t="n"/>
      <c r="I2034" s="1393" t="n"/>
      <c r="J2034" s="1393" t="n"/>
      <c r="K2034" s="1395">
        <f>IF(raw[[#This Row],[city]]&lt;&gt;"",_xlfn.XLOOKUP($D2034,ccc[city],ccc[prov],"-"),"-")</f>
        <v/>
      </c>
      <c r="L2034" s="1395">
        <f>IF(raw[[#This Row],[city]]&lt;&gt;"",_xlfn.XLOOKUP($D2034,ccc[city],ccc[ctry],"-"),"-")</f>
        <v/>
      </c>
      <c r="M2034" s="1395">
        <f>IF(raw[[#This Row],[city]]&lt;&gt;"",_xlfn.XLOOKUP($D2034,ccc[city],ccc[cont],"-"),"-")</f>
        <v/>
      </c>
      <c r="N2034" s="1396">
        <f>IF(raw[[#This Row],[city]]="","-",IF(raw[[#This Row],[cont]]="B",raw[[#This Row],[cont]],"W"))</f>
        <v/>
      </c>
      <c r="O2034" s="1397">
        <f>IF(raw[[#This Row],[out]]=0,0,IF(raw[[#This Row],[out]]=raw[[#This Row],[in]],0.01,raw[[#This Row],[out]]-raw[[#This Row],[in]]))</f>
        <v/>
      </c>
      <c r="P2034" s="1397">
        <f>IF(raw[[#This Row],[in]]=0,0,MONTH(raw[[#This Row],[in]]))</f>
        <v/>
      </c>
      <c r="Q2034" s="1397">
        <f>IF(raw[[#This Row],[in]]=0,0,YEAR(raw[[#This Row],[in]]))</f>
        <v/>
      </c>
      <c r="R2034" s="1397">
        <f>INT(raw[[#This Row],[yr]]/10)*10</f>
        <v/>
      </c>
      <c r="S2034" s="1395">
        <f>IF(raw[[#This Row],[city]]="","-",IF(raw[[#This Row],[city]]&lt;&gt;_xlfn.XLOOKUP(raw[[#This Row],[home]],homes[home],homes[city],"-"),1,0))</f>
        <v/>
      </c>
      <c r="T2034" s="1398" t="inlineStr">
        <is>
          <t>.</t>
        </is>
      </c>
      <c r="U2034" s="1399">
        <f>IF(raw[[#This Row],[wb]]="w",raw[[#This Row],[stay]]+U2033,U2033)</f>
        <v/>
      </c>
      <c r="V2034" s="1400">
        <f>IF(raw[[#This Row],[out]]=0,V2033,(raw[[#This Row],[out]]-E$5))</f>
        <v/>
      </c>
      <c r="W2034" s="1401">
        <f>U2034/V2034</f>
        <v/>
      </c>
      <c r="X2034" s="1392" t="n"/>
      <c r="Y2034" s="1392" t="n"/>
      <c r="Z2034" s="1422" t="n"/>
      <c r="AA2034" s="1422" t="n"/>
      <c r="AB2034" s="1392" t="n"/>
      <c r="AC2034" s="1392" t="n"/>
      <c r="AD2034" s="1392" t="n"/>
      <c r="AE2034" s="1392" t="n"/>
      <c r="AF2034" s="1392" t="n"/>
      <c r="AG2034" s="1392" t="n"/>
      <c r="AH2034" s="1392" t="n"/>
      <c r="AI2034" s="1392" t="n"/>
      <c r="AJ2034" s="1392" t="n"/>
      <c r="AK2034" s="1392" t="n"/>
      <c r="AL2034" s="1392" t="n"/>
      <c r="AM2034" s="1392" t="n"/>
      <c r="AN2034" s="1392" t="n"/>
      <c r="AO2034" s="1392" t="n"/>
      <c r="AP2034" s="1392" t="n"/>
      <c r="AQ2034" s="1392" t="n"/>
      <c r="AR2034" s="1392" t="n"/>
      <c r="AS2034" s="1422" t="n"/>
      <c r="AT2034" s="1392" t="n"/>
      <c r="AU2034" s="1392" t="n"/>
      <c r="AV2034" s="1392" t="n"/>
      <c r="AW2034" s="1392" t="n"/>
      <c r="AX2034" s="1392" t="n"/>
      <c r="AY2034" s="1392" t="n"/>
      <c r="AZ2034" s="1392" t="n"/>
      <c r="BA2034" s="1392" t="n"/>
      <c r="BB2034" s="1422" t="n"/>
      <c r="BC2034" s="1392" t="n"/>
      <c r="BD2034" s="1392" t="n"/>
      <c r="BE2034" s="1392" t="n"/>
      <c r="BF2034" s="1392" t="n"/>
      <c r="BG2034" s="1392" t="n"/>
      <c r="BH2034" s="1392" t="n"/>
      <c r="BI2034" s="1392" t="n"/>
      <c r="BJ2034" s="1392" t="n"/>
      <c r="BK2034" s="1392" t="n"/>
      <c r="BL2034" s="1392" t="n"/>
      <c r="BM2034" s="1392" t="n"/>
      <c r="BN2034" s="1392" t="n"/>
      <c r="BO2034" s="1392" t="n"/>
      <c r="BP2034" s="1392" t="n"/>
      <c r="BQ2034" s="1392" t="n"/>
      <c r="BR2034" s="1392" t="n"/>
      <c r="BS2034" s="1392" t="n"/>
      <c r="BT2034" s="1392" t="n"/>
      <c r="BU2034" s="1416" t="n"/>
      <c r="BV2034" s="1392" t="n"/>
      <c r="BW2034" s="1392" t="n"/>
      <c r="BX2034" s="1392" t="n"/>
      <c r="BY2034" s="1392" t="n"/>
      <c r="BZ2034" s="1416" t="n"/>
      <c r="CA2034" s="1392" t="n"/>
      <c r="CB2034" s="1392" t="n"/>
      <c r="CC2034" s="1392" t="n"/>
      <c r="CD2034" s="1392" t="n"/>
      <c r="CE2034" s="1392" t="n"/>
      <c r="CF2034" s="1392" t="n"/>
      <c r="CG2034" s="1392" t="n"/>
      <c r="CH2034" s="1392" t="n"/>
      <c r="CI2034" s="1392" t="n"/>
      <c r="CJ2034" s="1392" t="n"/>
      <c r="CK2034" s="1392" t="n"/>
      <c r="CL2034" s="1392" t="n"/>
    </row>
    <row r="2035">
      <c r="A2035" s="5" t="inlineStr">
        <is>
          <t>.</t>
        </is>
      </c>
      <c r="B2035" s="5" t="inlineStr">
        <is>
          <t>.</t>
        </is>
      </c>
      <c r="C2035" s="1378">
        <f>IF(raw[[#This Row],[city]]="","-",IF(raw[[#This Row],[city]]="TODAY","-",C2034+1))</f>
        <v/>
      </c>
      <c r="D2035" s="1393" t="n"/>
      <c r="E2035" s="1394" t="n"/>
      <c r="F2035" s="1394" t="n"/>
      <c r="G2035" s="1393" t="n"/>
      <c r="H2035" s="1393" t="n"/>
      <c r="I2035" s="1393" t="n"/>
      <c r="J2035" s="1393" t="n"/>
      <c r="K2035" s="1395">
        <f>IF(raw[[#This Row],[city]]&lt;&gt;"",_xlfn.XLOOKUP($D2035,ccc[city],ccc[prov],"-"),"-")</f>
        <v/>
      </c>
      <c r="L2035" s="1395">
        <f>IF(raw[[#This Row],[city]]&lt;&gt;"",_xlfn.XLOOKUP($D2035,ccc[city],ccc[ctry],"-"),"-")</f>
        <v/>
      </c>
      <c r="M2035" s="1395">
        <f>IF(raw[[#This Row],[city]]&lt;&gt;"",_xlfn.XLOOKUP($D2035,ccc[city],ccc[cont],"-"),"-")</f>
        <v/>
      </c>
      <c r="N2035" s="1396">
        <f>IF(raw[[#This Row],[city]]="","-",IF(raw[[#This Row],[cont]]="B",raw[[#This Row],[cont]],"W"))</f>
        <v/>
      </c>
      <c r="O2035" s="1397">
        <f>IF(raw[[#This Row],[out]]=0,0,IF(raw[[#This Row],[out]]=raw[[#This Row],[in]],0.01,raw[[#This Row],[out]]-raw[[#This Row],[in]]))</f>
        <v/>
      </c>
      <c r="P2035" s="1397">
        <f>IF(raw[[#This Row],[in]]=0,0,MONTH(raw[[#This Row],[in]]))</f>
        <v/>
      </c>
      <c r="Q2035" s="1397">
        <f>IF(raw[[#This Row],[in]]=0,0,YEAR(raw[[#This Row],[in]]))</f>
        <v/>
      </c>
      <c r="R2035" s="1397">
        <f>INT(raw[[#This Row],[yr]]/10)*10</f>
        <v/>
      </c>
      <c r="S2035" s="1395">
        <f>IF(raw[[#This Row],[city]]="","-",IF(raw[[#This Row],[city]]&lt;&gt;_xlfn.XLOOKUP(raw[[#This Row],[home]],homes[home],homes[city],"-"),1,0))</f>
        <v/>
      </c>
      <c r="T2035" s="1398" t="inlineStr">
        <is>
          <t>.</t>
        </is>
      </c>
      <c r="U2035" s="1399">
        <f>IF(raw[[#This Row],[wb]]="w",raw[[#This Row],[stay]]+U2034,U2034)</f>
        <v/>
      </c>
      <c r="V2035" s="1400">
        <f>IF(raw[[#This Row],[out]]=0,V2034,(raw[[#This Row],[out]]-E$5))</f>
        <v/>
      </c>
      <c r="W2035" s="1401">
        <f>U2035/V2035</f>
        <v/>
      </c>
      <c r="X2035" s="1392" t="n"/>
      <c r="Y2035" s="1392" t="n"/>
      <c r="Z2035" s="1422" t="n"/>
      <c r="AA2035" s="1422" t="n"/>
      <c r="AB2035" s="1392" t="n"/>
      <c r="AC2035" s="1392" t="n"/>
      <c r="AD2035" s="1392" t="n"/>
      <c r="AE2035" s="1392" t="n"/>
      <c r="AF2035" s="1392" t="n"/>
      <c r="AG2035" s="1392" t="n"/>
      <c r="AH2035" s="1392" t="n"/>
      <c r="AI2035" s="1392" t="n"/>
      <c r="AJ2035" s="1392" t="n"/>
      <c r="AK2035" s="1392" t="n"/>
      <c r="AL2035" s="1392" t="n"/>
      <c r="AM2035" s="1392" t="n"/>
      <c r="AN2035" s="1392" t="n"/>
      <c r="AO2035" s="1392" t="n"/>
      <c r="AP2035" s="1392" t="n"/>
      <c r="AQ2035" s="1392" t="n"/>
      <c r="AR2035" s="1392" t="n"/>
      <c r="AS2035" s="1422" t="n"/>
      <c r="AT2035" s="1392" t="n"/>
      <c r="AU2035" s="1392" t="n"/>
      <c r="AV2035" s="1392" t="n"/>
      <c r="AW2035" s="1392" t="n"/>
      <c r="AX2035" s="1392" t="n"/>
      <c r="AY2035" s="1392" t="n"/>
      <c r="AZ2035" s="1392" t="n"/>
      <c r="BA2035" s="1392" t="n"/>
      <c r="BB2035" s="1422" t="n"/>
      <c r="BC2035" s="1392" t="n"/>
      <c r="BD2035" s="1392" t="n"/>
      <c r="BE2035" s="1392" t="n"/>
      <c r="BF2035" s="1392" t="n"/>
      <c r="BG2035" s="1392" t="n"/>
      <c r="BH2035" s="1392" t="n"/>
      <c r="BI2035" s="1392" t="n"/>
      <c r="BJ2035" s="1392" t="n"/>
      <c r="BK2035" s="1392" t="n"/>
      <c r="BL2035" s="1392" t="n"/>
      <c r="BM2035" s="1392" t="n"/>
      <c r="BN2035" s="1392" t="n"/>
      <c r="BO2035" s="1392" t="n"/>
      <c r="BP2035" s="1392" t="n"/>
      <c r="BQ2035" s="1392" t="n"/>
      <c r="BR2035" s="1392" t="n"/>
      <c r="BS2035" s="1392" t="n"/>
      <c r="BT2035" s="1392" t="n"/>
      <c r="BU2035" s="1416" t="n"/>
      <c r="BV2035" s="1392" t="n"/>
      <c r="BW2035" s="1392" t="n"/>
      <c r="BX2035" s="1392" t="n"/>
      <c r="BY2035" s="1392" t="n"/>
      <c r="BZ2035" s="1416" t="n"/>
      <c r="CA2035" s="1392" t="n"/>
      <c r="CB2035" s="1392" t="n"/>
      <c r="CC2035" s="1392" t="n"/>
      <c r="CD2035" s="1392" t="n"/>
      <c r="CE2035" s="1392" t="n"/>
      <c r="CF2035" s="1392" t="n"/>
      <c r="CG2035" s="1392" t="n"/>
      <c r="CH2035" s="1392" t="n"/>
      <c r="CI2035" s="1392" t="n"/>
      <c r="CJ2035" s="1392" t="n"/>
      <c r="CK2035" s="1392" t="n"/>
      <c r="CL2035" s="1392" t="n"/>
    </row>
    <row r="2036">
      <c r="A2036" s="5" t="inlineStr">
        <is>
          <t>.</t>
        </is>
      </c>
      <c r="B2036" s="5" t="inlineStr">
        <is>
          <t>.</t>
        </is>
      </c>
      <c r="C2036" s="1378">
        <f>IF(raw[[#This Row],[city]]="","-",IF(raw[[#This Row],[city]]="TODAY","-",C2035+1))</f>
        <v/>
      </c>
      <c r="D2036" s="1393" t="n"/>
      <c r="E2036" s="1394" t="n"/>
      <c r="F2036" s="1394" t="n"/>
      <c r="G2036" s="1393" t="n"/>
      <c r="H2036" s="1393" t="n"/>
      <c r="I2036" s="1393" t="n"/>
      <c r="J2036" s="1393" t="n"/>
      <c r="K2036" s="1395">
        <f>IF(raw[[#This Row],[city]]&lt;&gt;"",_xlfn.XLOOKUP($D2036,ccc[city],ccc[prov],"-"),"-")</f>
        <v/>
      </c>
      <c r="L2036" s="1395">
        <f>IF(raw[[#This Row],[city]]&lt;&gt;"",_xlfn.XLOOKUP($D2036,ccc[city],ccc[ctry],"-"),"-")</f>
        <v/>
      </c>
      <c r="M2036" s="1395">
        <f>IF(raw[[#This Row],[city]]&lt;&gt;"",_xlfn.XLOOKUP($D2036,ccc[city],ccc[cont],"-"),"-")</f>
        <v/>
      </c>
      <c r="N2036" s="1396">
        <f>IF(raw[[#This Row],[city]]="","-",IF(raw[[#This Row],[cont]]="B",raw[[#This Row],[cont]],"W"))</f>
        <v/>
      </c>
      <c r="O2036" s="1397">
        <f>IF(raw[[#This Row],[out]]=0,0,IF(raw[[#This Row],[out]]=raw[[#This Row],[in]],0.01,raw[[#This Row],[out]]-raw[[#This Row],[in]]))</f>
        <v/>
      </c>
      <c r="P2036" s="1397">
        <f>IF(raw[[#This Row],[in]]=0,0,MONTH(raw[[#This Row],[in]]))</f>
        <v/>
      </c>
      <c r="Q2036" s="1397">
        <f>IF(raw[[#This Row],[in]]=0,0,YEAR(raw[[#This Row],[in]]))</f>
        <v/>
      </c>
      <c r="R2036" s="1397">
        <f>INT(raw[[#This Row],[yr]]/10)*10</f>
        <v/>
      </c>
      <c r="S2036" s="1395">
        <f>IF(raw[[#This Row],[city]]="","-",IF(raw[[#This Row],[city]]&lt;&gt;_xlfn.XLOOKUP(raw[[#This Row],[home]],homes[home],homes[city],"-"),1,0))</f>
        <v/>
      </c>
      <c r="T2036" s="1398" t="inlineStr">
        <is>
          <t>.</t>
        </is>
      </c>
      <c r="U2036" s="1399">
        <f>IF(raw[[#This Row],[wb]]="w",raw[[#This Row],[stay]]+U2035,U2035)</f>
        <v/>
      </c>
      <c r="V2036" s="1400">
        <f>IF(raw[[#This Row],[out]]=0,V2035,(raw[[#This Row],[out]]-E$5))</f>
        <v/>
      </c>
      <c r="W2036" s="1401">
        <f>U2036/V2036</f>
        <v/>
      </c>
      <c r="X2036" s="1392" t="n"/>
      <c r="Y2036" s="1392" t="n"/>
      <c r="Z2036" s="1422" t="n"/>
      <c r="AA2036" s="1422" t="n"/>
      <c r="AB2036" s="1392" t="n"/>
      <c r="AC2036" s="1392" t="n"/>
      <c r="AD2036" s="1392" t="n"/>
      <c r="AE2036" s="1392" t="n"/>
      <c r="AF2036" s="1392" t="n"/>
      <c r="AG2036" s="1392" t="n"/>
      <c r="AH2036" s="1392" t="n"/>
      <c r="AI2036" s="1392" t="n"/>
      <c r="AJ2036" s="1392" t="n"/>
      <c r="AK2036" s="1392" t="n"/>
      <c r="AL2036" s="1392" t="n"/>
      <c r="AM2036" s="1392" t="n"/>
      <c r="AN2036" s="1392" t="n"/>
      <c r="AO2036" s="1392" t="n"/>
      <c r="AP2036" s="1392" t="n"/>
      <c r="AQ2036" s="1392" t="n"/>
      <c r="AR2036" s="1392" t="n"/>
      <c r="AS2036" s="1422" t="n"/>
      <c r="AT2036" s="1392" t="n"/>
      <c r="AU2036" s="1392" t="n"/>
      <c r="AV2036" s="1392" t="n"/>
      <c r="AW2036" s="1392" t="n"/>
      <c r="AX2036" s="1392" t="n"/>
      <c r="AY2036" s="1392" t="n"/>
      <c r="AZ2036" s="1392" t="n"/>
      <c r="BA2036" s="1392" t="n"/>
      <c r="BB2036" s="1422" t="n"/>
      <c r="BC2036" s="1392" t="n"/>
      <c r="BD2036" s="1392" t="n"/>
      <c r="BE2036" s="1392" t="n"/>
      <c r="BF2036" s="1392" t="n"/>
      <c r="BG2036" s="1392" t="n"/>
      <c r="BH2036" s="1392" t="n"/>
      <c r="BI2036" s="1392" t="n"/>
      <c r="BJ2036" s="1392" t="n"/>
      <c r="BK2036" s="1392" t="n"/>
      <c r="BL2036" s="1392" t="n"/>
      <c r="BM2036" s="1392" t="n"/>
      <c r="BN2036" s="1392" t="n"/>
      <c r="BO2036" s="1392" t="n"/>
      <c r="BP2036" s="1392" t="n"/>
      <c r="BQ2036" s="1392" t="n"/>
      <c r="BR2036" s="1392" t="n"/>
      <c r="BS2036" s="1392" t="n"/>
      <c r="BT2036" s="1392" t="n"/>
      <c r="BU2036" s="1416" t="n"/>
      <c r="BV2036" s="1392" t="n"/>
      <c r="BW2036" s="1392" t="n"/>
      <c r="BX2036" s="1392" t="n"/>
      <c r="BY2036" s="1392" t="n"/>
      <c r="BZ2036" s="1416" t="n"/>
      <c r="CA2036" s="1392" t="n"/>
      <c r="CB2036" s="1392" t="n"/>
      <c r="CC2036" s="1392" t="n"/>
      <c r="CD2036" s="1392" t="n"/>
      <c r="CE2036" s="1392" t="n"/>
      <c r="CF2036" s="1392" t="n"/>
      <c r="CG2036" s="1392" t="n"/>
      <c r="CH2036" s="1392" t="n"/>
      <c r="CI2036" s="1392" t="n"/>
      <c r="CJ2036" s="1392" t="n"/>
      <c r="CK2036" s="1392" t="n"/>
      <c r="CL2036" s="1392" t="n"/>
    </row>
    <row r="2037">
      <c r="A2037" s="5" t="inlineStr">
        <is>
          <t>.</t>
        </is>
      </c>
      <c r="B2037" s="5" t="inlineStr">
        <is>
          <t>.</t>
        </is>
      </c>
      <c r="C2037" s="1378">
        <f>IF(raw[[#This Row],[city]]="","-",IF(raw[[#This Row],[city]]="TODAY","-",C2036+1))</f>
        <v/>
      </c>
      <c r="D2037" s="1393" t="n"/>
      <c r="E2037" s="1394" t="n"/>
      <c r="F2037" s="1394" t="n"/>
      <c r="G2037" s="1393" t="n"/>
      <c r="H2037" s="1393" t="n"/>
      <c r="I2037" s="1393" t="n"/>
      <c r="J2037" s="1393" t="n"/>
      <c r="K2037" s="1395">
        <f>IF(raw[[#This Row],[city]]&lt;&gt;"",_xlfn.XLOOKUP($D2037,ccc[city],ccc[prov],"-"),"-")</f>
        <v/>
      </c>
      <c r="L2037" s="1395">
        <f>IF(raw[[#This Row],[city]]&lt;&gt;"",_xlfn.XLOOKUP($D2037,ccc[city],ccc[ctry],"-"),"-")</f>
        <v/>
      </c>
      <c r="M2037" s="1395">
        <f>IF(raw[[#This Row],[city]]&lt;&gt;"",_xlfn.XLOOKUP($D2037,ccc[city],ccc[cont],"-"),"-")</f>
        <v/>
      </c>
      <c r="N2037" s="1396">
        <f>IF(raw[[#This Row],[city]]="","-",IF(raw[[#This Row],[cont]]="B",raw[[#This Row],[cont]],"W"))</f>
        <v/>
      </c>
      <c r="O2037" s="1397">
        <f>IF(raw[[#This Row],[out]]=0,0,IF(raw[[#This Row],[out]]=raw[[#This Row],[in]],0.01,raw[[#This Row],[out]]-raw[[#This Row],[in]]))</f>
        <v/>
      </c>
      <c r="P2037" s="1397">
        <f>IF(raw[[#This Row],[in]]=0,0,MONTH(raw[[#This Row],[in]]))</f>
        <v/>
      </c>
      <c r="Q2037" s="1397">
        <f>IF(raw[[#This Row],[in]]=0,0,YEAR(raw[[#This Row],[in]]))</f>
        <v/>
      </c>
      <c r="R2037" s="1397">
        <f>INT(raw[[#This Row],[yr]]/10)*10</f>
        <v/>
      </c>
      <c r="S2037" s="1395">
        <f>IF(raw[[#This Row],[city]]="","-",IF(raw[[#This Row],[city]]&lt;&gt;_xlfn.XLOOKUP(raw[[#This Row],[home]],homes[home],homes[city],"-"),1,0))</f>
        <v/>
      </c>
      <c r="T2037" s="1398" t="inlineStr">
        <is>
          <t>.</t>
        </is>
      </c>
      <c r="U2037" s="1399">
        <f>IF(raw[[#This Row],[wb]]="w",raw[[#This Row],[stay]]+U2036,U2036)</f>
        <v/>
      </c>
      <c r="V2037" s="1400">
        <f>IF(raw[[#This Row],[out]]=0,V2036,(raw[[#This Row],[out]]-E$5))</f>
        <v/>
      </c>
      <c r="W2037" s="1401">
        <f>U2037/V2037</f>
        <v/>
      </c>
      <c r="X2037" s="1392" t="n"/>
      <c r="Y2037" s="1392" t="n"/>
      <c r="Z2037" s="1422" t="n"/>
      <c r="AA2037" s="1422" t="n"/>
      <c r="AB2037" s="1392" t="n"/>
      <c r="AC2037" s="1392" t="n"/>
      <c r="AD2037" s="1392" t="n"/>
      <c r="AE2037" s="1392" t="n"/>
      <c r="AF2037" s="1392" t="n"/>
      <c r="AG2037" s="1392" t="n"/>
      <c r="AH2037" s="1392" t="n"/>
      <c r="AI2037" s="1392" t="n"/>
      <c r="AJ2037" s="1392" t="n"/>
      <c r="AK2037" s="1392" t="n"/>
      <c r="AL2037" s="1392" t="n"/>
      <c r="AM2037" s="1392" t="n"/>
      <c r="AN2037" s="1392" t="n"/>
      <c r="AO2037" s="1392" t="n"/>
      <c r="AP2037" s="1392" t="n"/>
      <c r="AQ2037" s="1392" t="n"/>
      <c r="AR2037" s="1392" t="n"/>
      <c r="AS2037" s="1422" t="n"/>
      <c r="AT2037" s="1392" t="n"/>
      <c r="AU2037" s="1392" t="n"/>
      <c r="AV2037" s="1392" t="n"/>
      <c r="AW2037" s="1392" t="n"/>
      <c r="AX2037" s="1392" t="n"/>
      <c r="AY2037" s="1392" t="n"/>
      <c r="AZ2037" s="1392" t="n"/>
      <c r="BA2037" s="1392" t="n"/>
      <c r="BB2037" s="1422" t="n"/>
      <c r="BC2037" s="1392" t="n"/>
      <c r="BD2037" s="1392" t="n"/>
      <c r="BE2037" s="1392" t="n"/>
      <c r="BF2037" s="1392" t="n"/>
      <c r="BG2037" s="1392" t="n"/>
      <c r="BH2037" s="1392" t="n"/>
      <c r="BI2037" s="1392" t="n"/>
      <c r="BJ2037" s="1392" t="n"/>
      <c r="BK2037" s="1392" t="n"/>
      <c r="BL2037" s="1392" t="n"/>
      <c r="BM2037" s="1392" t="n"/>
      <c r="BN2037" s="1392" t="n"/>
      <c r="BO2037" s="1392" t="n"/>
      <c r="BP2037" s="1392" t="n"/>
      <c r="BQ2037" s="1392" t="n"/>
      <c r="BR2037" s="1392" t="n"/>
      <c r="BS2037" s="1392" t="n"/>
      <c r="BT2037" s="1392" t="n"/>
      <c r="BU2037" s="1416" t="n"/>
      <c r="BV2037" s="1392" t="n"/>
      <c r="BW2037" s="1392" t="n"/>
      <c r="BX2037" s="1392" t="n"/>
      <c r="BY2037" s="1392" t="n"/>
      <c r="BZ2037" s="1416" t="n"/>
      <c r="CA2037" s="1392" t="n"/>
      <c r="CB2037" s="1392" t="n"/>
      <c r="CC2037" s="1392" t="n"/>
      <c r="CD2037" s="1392" t="n"/>
      <c r="CE2037" s="1392" t="n"/>
      <c r="CF2037" s="1392" t="n"/>
      <c r="CG2037" s="1392" t="n"/>
      <c r="CH2037" s="1392" t="n"/>
      <c r="CI2037" s="1392" t="n"/>
      <c r="CJ2037" s="1392" t="n"/>
      <c r="CK2037" s="1392" t="n"/>
      <c r="CL2037" s="1392" t="n"/>
    </row>
    <row r="2038">
      <c r="A2038" s="5" t="inlineStr">
        <is>
          <t>.</t>
        </is>
      </c>
      <c r="B2038" s="5" t="inlineStr">
        <is>
          <t>.</t>
        </is>
      </c>
      <c r="C2038" s="1378">
        <f>IF(raw[[#This Row],[city]]="","-",IF(raw[[#This Row],[city]]="TODAY","-",C2037+1))</f>
        <v/>
      </c>
      <c r="D2038" s="1393" t="n"/>
      <c r="E2038" s="1394" t="n"/>
      <c r="F2038" s="1394" t="n"/>
      <c r="G2038" s="1393" t="n"/>
      <c r="H2038" s="1393" t="n"/>
      <c r="I2038" s="1393" t="n"/>
      <c r="J2038" s="1393" t="n"/>
      <c r="K2038" s="1395">
        <f>IF(raw[[#This Row],[city]]&lt;&gt;"",_xlfn.XLOOKUP($D2038,ccc[city],ccc[prov],"-"),"-")</f>
        <v/>
      </c>
      <c r="L2038" s="1395">
        <f>IF(raw[[#This Row],[city]]&lt;&gt;"",_xlfn.XLOOKUP($D2038,ccc[city],ccc[ctry],"-"),"-")</f>
        <v/>
      </c>
      <c r="M2038" s="1395">
        <f>IF(raw[[#This Row],[city]]&lt;&gt;"",_xlfn.XLOOKUP($D2038,ccc[city],ccc[cont],"-"),"-")</f>
        <v/>
      </c>
      <c r="N2038" s="1396">
        <f>IF(raw[[#This Row],[city]]="","-",IF(raw[[#This Row],[cont]]="B",raw[[#This Row],[cont]],"W"))</f>
        <v/>
      </c>
      <c r="O2038" s="1397">
        <f>IF(raw[[#This Row],[out]]=0,0,IF(raw[[#This Row],[out]]=raw[[#This Row],[in]],0.01,raw[[#This Row],[out]]-raw[[#This Row],[in]]))</f>
        <v/>
      </c>
      <c r="P2038" s="1397">
        <f>IF(raw[[#This Row],[in]]=0,0,MONTH(raw[[#This Row],[in]]))</f>
        <v/>
      </c>
      <c r="Q2038" s="1397">
        <f>IF(raw[[#This Row],[in]]=0,0,YEAR(raw[[#This Row],[in]]))</f>
        <v/>
      </c>
      <c r="R2038" s="1397">
        <f>INT(raw[[#This Row],[yr]]/10)*10</f>
        <v/>
      </c>
      <c r="S2038" s="1395">
        <f>IF(raw[[#This Row],[city]]="","-",IF(raw[[#This Row],[city]]&lt;&gt;_xlfn.XLOOKUP(raw[[#This Row],[home]],homes[home],homes[city],"-"),1,0))</f>
        <v/>
      </c>
      <c r="T2038" s="1398" t="inlineStr">
        <is>
          <t>.</t>
        </is>
      </c>
      <c r="U2038" s="1399">
        <f>IF(raw[[#This Row],[wb]]="w",raw[[#This Row],[stay]]+U2037,U2037)</f>
        <v/>
      </c>
      <c r="V2038" s="1400">
        <f>IF(raw[[#This Row],[out]]=0,V2037,(raw[[#This Row],[out]]-E$5))</f>
        <v/>
      </c>
      <c r="W2038" s="1401">
        <f>U2038/V2038</f>
        <v/>
      </c>
      <c r="X2038" s="1392" t="n"/>
      <c r="Y2038" s="1392" t="n"/>
      <c r="Z2038" s="1422" t="n"/>
      <c r="AA2038" s="1422" t="n"/>
      <c r="AB2038" s="1392" t="n"/>
      <c r="AC2038" s="1392" t="n"/>
      <c r="AD2038" s="1392" t="n"/>
      <c r="AE2038" s="1392" t="n"/>
      <c r="AF2038" s="1392" t="n"/>
      <c r="AG2038" s="1392" t="n"/>
      <c r="AH2038" s="1392" t="n"/>
      <c r="AI2038" s="1392" t="n"/>
      <c r="AJ2038" s="1392" t="n"/>
      <c r="AK2038" s="1392" t="n"/>
      <c r="AL2038" s="1392" t="n"/>
      <c r="AM2038" s="1392" t="n"/>
      <c r="AN2038" s="1392" t="n"/>
      <c r="AO2038" s="1392" t="n"/>
      <c r="AP2038" s="1392" t="n"/>
      <c r="AQ2038" s="1392" t="n"/>
      <c r="AR2038" s="1392" t="n"/>
      <c r="AS2038" s="1422" t="n"/>
      <c r="AT2038" s="1392" t="n"/>
      <c r="AU2038" s="1392" t="n"/>
      <c r="AV2038" s="1392" t="n"/>
      <c r="AW2038" s="1392" t="n"/>
      <c r="AX2038" s="1392" t="n"/>
      <c r="AY2038" s="1392" t="n"/>
      <c r="AZ2038" s="1392" t="n"/>
      <c r="BA2038" s="1392" t="n"/>
      <c r="BB2038" s="1422" t="n"/>
      <c r="BC2038" s="1392" t="n"/>
      <c r="BD2038" s="1392" t="n"/>
      <c r="BE2038" s="1392" t="n"/>
      <c r="BF2038" s="1392" t="n"/>
      <c r="BG2038" s="1392" t="n"/>
      <c r="BH2038" s="1392" t="n"/>
      <c r="BI2038" s="1392" t="n"/>
      <c r="BJ2038" s="1392" t="n"/>
      <c r="BK2038" s="1392" t="n"/>
      <c r="BL2038" s="1392" t="n"/>
      <c r="BM2038" s="1392" t="n"/>
      <c r="BN2038" s="1392" t="n"/>
      <c r="BO2038" s="1392" t="n"/>
      <c r="BP2038" s="1392" t="n"/>
      <c r="BQ2038" s="1392" t="n"/>
      <c r="BR2038" s="1392" t="n"/>
      <c r="BS2038" s="1392" t="n"/>
      <c r="BT2038" s="1392" t="n"/>
      <c r="BU2038" s="1416" t="n"/>
      <c r="BV2038" s="1392" t="n"/>
      <c r="BW2038" s="1392" t="n"/>
      <c r="BX2038" s="1392" t="n"/>
      <c r="BY2038" s="1392" t="n"/>
      <c r="BZ2038" s="1416" t="n"/>
      <c r="CA2038" s="1392" t="n"/>
      <c r="CB2038" s="1392" t="n"/>
      <c r="CC2038" s="1392" t="n"/>
      <c r="CD2038" s="1392" t="n"/>
      <c r="CE2038" s="1392" t="n"/>
      <c r="CF2038" s="1392" t="n"/>
      <c r="CG2038" s="1392" t="n"/>
      <c r="CH2038" s="1392" t="n"/>
      <c r="CI2038" s="1392" t="n"/>
      <c r="CJ2038" s="1392" t="n"/>
      <c r="CK2038" s="1392" t="n"/>
      <c r="CL2038" s="1392" t="n"/>
    </row>
    <row r="2039">
      <c r="A2039" s="5" t="inlineStr">
        <is>
          <t>.</t>
        </is>
      </c>
      <c r="B2039" s="5" t="inlineStr">
        <is>
          <t>.</t>
        </is>
      </c>
      <c r="C2039" s="1378">
        <f>IF(raw[[#This Row],[city]]="","-",IF(raw[[#This Row],[city]]="TODAY","-",C2038+1))</f>
        <v/>
      </c>
      <c r="D2039" s="1393" t="n"/>
      <c r="E2039" s="1394" t="n"/>
      <c r="F2039" s="1394" t="n"/>
      <c r="G2039" s="1393" t="n"/>
      <c r="H2039" s="1393" t="n"/>
      <c r="I2039" s="1393" t="n"/>
      <c r="J2039" s="1393" t="n"/>
      <c r="K2039" s="1395">
        <f>IF(raw[[#This Row],[city]]&lt;&gt;"",_xlfn.XLOOKUP($D2039,ccc[city],ccc[prov],"-"),"-")</f>
        <v/>
      </c>
      <c r="L2039" s="1395">
        <f>IF(raw[[#This Row],[city]]&lt;&gt;"",_xlfn.XLOOKUP($D2039,ccc[city],ccc[ctry],"-"),"-")</f>
        <v/>
      </c>
      <c r="M2039" s="1395">
        <f>IF(raw[[#This Row],[city]]&lt;&gt;"",_xlfn.XLOOKUP($D2039,ccc[city],ccc[cont],"-"),"-")</f>
        <v/>
      </c>
      <c r="N2039" s="1396">
        <f>IF(raw[[#This Row],[city]]="","-",IF(raw[[#This Row],[cont]]="B",raw[[#This Row],[cont]],"W"))</f>
        <v/>
      </c>
      <c r="O2039" s="1397">
        <f>IF(raw[[#This Row],[out]]=0,0,IF(raw[[#This Row],[out]]=raw[[#This Row],[in]],0.01,raw[[#This Row],[out]]-raw[[#This Row],[in]]))</f>
        <v/>
      </c>
      <c r="P2039" s="1397">
        <f>IF(raw[[#This Row],[in]]=0,0,MONTH(raw[[#This Row],[in]]))</f>
        <v/>
      </c>
      <c r="Q2039" s="1397">
        <f>IF(raw[[#This Row],[in]]=0,0,YEAR(raw[[#This Row],[in]]))</f>
        <v/>
      </c>
      <c r="R2039" s="1397">
        <f>INT(raw[[#This Row],[yr]]/10)*10</f>
        <v/>
      </c>
      <c r="S2039" s="1395">
        <f>IF(raw[[#This Row],[city]]="","-",IF(raw[[#This Row],[city]]&lt;&gt;_xlfn.XLOOKUP(raw[[#This Row],[home]],homes[home],homes[city],"-"),1,0))</f>
        <v/>
      </c>
      <c r="T2039" s="1398" t="inlineStr">
        <is>
          <t>.</t>
        </is>
      </c>
      <c r="U2039" s="1399">
        <f>IF(raw[[#This Row],[wb]]="w",raw[[#This Row],[stay]]+U2038,U2038)</f>
        <v/>
      </c>
      <c r="V2039" s="1400">
        <f>IF(raw[[#This Row],[out]]=0,V2038,(raw[[#This Row],[out]]-E$5))</f>
        <v/>
      </c>
      <c r="W2039" s="1401">
        <f>U2039/V2039</f>
        <v/>
      </c>
      <c r="X2039" s="1392" t="n"/>
      <c r="Y2039" s="1392" t="n"/>
      <c r="Z2039" s="1422" t="n"/>
      <c r="AA2039" s="1422" t="n"/>
      <c r="AB2039" s="1392" t="n"/>
      <c r="AC2039" s="1392" t="n"/>
      <c r="AD2039" s="1392" t="n"/>
      <c r="AE2039" s="1392" t="n"/>
      <c r="AF2039" s="1392" t="n"/>
      <c r="AG2039" s="1392" t="n"/>
      <c r="AH2039" s="1392" t="n"/>
      <c r="AI2039" s="1392" t="n"/>
      <c r="AJ2039" s="1392" t="n"/>
      <c r="AK2039" s="1392" t="n"/>
      <c r="AL2039" s="1392" t="n"/>
      <c r="AM2039" s="1392" t="n"/>
      <c r="AN2039" s="1392" t="n"/>
      <c r="AO2039" s="1392" t="n"/>
      <c r="AP2039" s="1392" t="n"/>
      <c r="AQ2039" s="1392" t="n"/>
      <c r="AR2039" s="1392" t="n"/>
      <c r="AS2039" s="1422" t="n"/>
      <c r="AT2039" s="1392" t="n"/>
      <c r="AU2039" s="1392" t="n"/>
      <c r="AV2039" s="1392" t="n"/>
      <c r="AW2039" s="1392" t="n"/>
      <c r="AX2039" s="1392" t="n"/>
      <c r="AY2039" s="1392" t="n"/>
      <c r="AZ2039" s="1392" t="n"/>
      <c r="BA2039" s="1392" t="n"/>
      <c r="BB2039" s="1422" t="n"/>
      <c r="BC2039" s="1392" t="n"/>
      <c r="BD2039" s="1392" t="n"/>
      <c r="BE2039" s="1392" t="n"/>
      <c r="BF2039" s="1392" t="n"/>
      <c r="BG2039" s="1392" t="n"/>
      <c r="BH2039" s="1392" t="n"/>
      <c r="BI2039" s="1392" t="n"/>
      <c r="BJ2039" s="1392" t="n"/>
      <c r="BK2039" s="1392" t="n"/>
      <c r="BL2039" s="1392" t="n"/>
      <c r="BM2039" s="1392" t="n"/>
      <c r="BN2039" s="1392" t="n"/>
      <c r="BO2039" s="1392" t="n"/>
      <c r="BP2039" s="1392" t="n"/>
      <c r="BQ2039" s="1392" t="n"/>
      <c r="BR2039" s="1392" t="n"/>
      <c r="BS2039" s="1392" t="n"/>
      <c r="BT2039" s="1392" t="n"/>
      <c r="BU2039" s="1416" t="n"/>
      <c r="BV2039" s="1392" t="n"/>
      <c r="BW2039" s="1392" t="n"/>
      <c r="BX2039" s="1392" t="n"/>
      <c r="BY2039" s="1392" t="n"/>
      <c r="BZ2039" s="1416" t="n"/>
      <c r="CA2039" s="1392" t="n"/>
      <c r="CB2039" s="1392" t="n"/>
      <c r="CC2039" s="1392" t="n"/>
      <c r="CD2039" s="1392" t="n"/>
      <c r="CE2039" s="1392" t="n"/>
      <c r="CF2039" s="1392" t="n"/>
      <c r="CG2039" s="1392" t="n"/>
      <c r="CH2039" s="1392" t="n"/>
      <c r="CI2039" s="1392" t="n"/>
      <c r="CJ2039" s="1392" t="n"/>
      <c r="CK2039" s="1392" t="n"/>
      <c r="CL2039" s="1392" t="n"/>
    </row>
    <row r="2040">
      <c r="A2040" s="5" t="inlineStr">
        <is>
          <t>.</t>
        </is>
      </c>
      <c r="B2040" s="5" t="inlineStr">
        <is>
          <t>.</t>
        </is>
      </c>
      <c r="C2040" s="1378">
        <f>IF(raw[[#This Row],[city]]="","-",IF(raw[[#This Row],[city]]="TODAY","-",C2039+1))</f>
        <v/>
      </c>
      <c r="D2040" s="1393" t="n"/>
      <c r="E2040" s="1394" t="n"/>
      <c r="F2040" s="1394" t="n"/>
      <c r="G2040" s="1393" t="n"/>
      <c r="H2040" s="1393" t="n"/>
      <c r="I2040" s="1393" t="n"/>
      <c r="J2040" s="1393" t="n"/>
      <c r="K2040" s="1395">
        <f>IF(raw[[#This Row],[city]]&lt;&gt;"",_xlfn.XLOOKUP($D2040,ccc[city],ccc[prov],"-"),"-")</f>
        <v/>
      </c>
      <c r="L2040" s="1395">
        <f>IF(raw[[#This Row],[city]]&lt;&gt;"",_xlfn.XLOOKUP($D2040,ccc[city],ccc[ctry],"-"),"-")</f>
        <v/>
      </c>
      <c r="M2040" s="1395">
        <f>IF(raw[[#This Row],[city]]&lt;&gt;"",_xlfn.XLOOKUP($D2040,ccc[city],ccc[cont],"-"),"-")</f>
        <v/>
      </c>
      <c r="N2040" s="1396">
        <f>IF(raw[[#This Row],[city]]="","-",IF(raw[[#This Row],[cont]]="B",raw[[#This Row],[cont]],"W"))</f>
        <v/>
      </c>
      <c r="O2040" s="1397">
        <f>IF(raw[[#This Row],[out]]=0,0,IF(raw[[#This Row],[out]]=raw[[#This Row],[in]],0.01,raw[[#This Row],[out]]-raw[[#This Row],[in]]))</f>
        <v/>
      </c>
      <c r="P2040" s="1397">
        <f>IF(raw[[#This Row],[in]]=0,0,MONTH(raw[[#This Row],[in]]))</f>
        <v/>
      </c>
      <c r="Q2040" s="1397">
        <f>IF(raw[[#This Row],[in]]=0,0,YEAR(raw[[#This Row],[in]]))</f>
        <v/>
      </c>
      <c r="R2040" s="1397">
        <f>INT(raw[[#This Row],[yr]]/10)*10</f>
        <v/>
      </c>
      <c r="S2040" s="1395">
        <f>IF(raw[[#This Row],[city]]="","-",IF(raw[[#This Row],[city]]&lt;&gt;_xlfn.XLOOKUP(raw[[#This Row],[home]],homes[home],homes[city],"-"),1,0))</f>
        <v/>
      </c>
      <c r="T2040" s="1398" t="inlineStr">
        <is>
          <t>.</t>
        </is>
      </c>
      <c r="U2040" s="1399">
        <f>IF(raw[[#This Row],[wb]]="w",raw[[#This Row],[stay]]+U2039,U2039)</f>
        <v/>
      </c>
      <c r="V2040" s="1400">
        <f>IF(raw[[#This Row],[out]]=0,V2039,(raw[[#This Row],[out]]-E$5))</f>
        <v/>
      </c>
      <c r="W2040" s="1401">
        <f>U2040/V2040</f>
        <v/>
      </c>
      <c r="X2040" s="1392" t="n"/>
      <c r="Y2040" s="1392" t="n"/>
      <c r="Z2040" s="1422" t="n"/>
      <c r="AA2040" s="1422" t="n"/>
      <c r="AB2040" s="1392" t="n"/>
      <c r="AC2040" s="1392" t="n"/>
      <c r="AD2040" s="1392" t="n"/>
      <c r="AE2040" s="1392" t="n"/>
      <c r="AF2040" s="1392" t="n"/>
      <c r="AG2040" s="1392" t="n"/>
      <c r="AH2040" s="1392" t="n"/>
      <c r="AI2040" s="1392" t="n"/>
      <c r="AJ2040" s="1392" t="n"/>
      <c r="AK2040" s="1392" t="n"/>
      <c r="AL2040" s="1392" t="n"/>
      <c r="AM2040" s="1392" t="n"/>
      <c r="AN2040" s="1392" t="n"/>
      <c r="AO2040" s="1392" t="n"/>
      <c r="AP2040" s="1392" t="n"/>
      <c r="AQ2040" s="1392" t="n"/>
      <c r="AR2040" s="1392" t="n"/>
      <c r="AS2040" s="1422" t="n"/>
      <c r="AT2040" s="1392" t="n"/>
      <c r="AU2040" s="1392" t="n"/>
      <c r="AV2040" s="1392" t="n"/>
      <c r="AW2040" s="1392" t="n"/>
      <c r="AX2040" s="1392" t="n"/>
      <c r="AY2040" s="1392" t="n"/>
      <c r="AZ2040" s="1392" t="n"/>
      <c r="BA2040" s="1392" t="n"/>
      <c r="BB2040" s="1422" t="n"/>
      <c r="BC2040" s="1392" t="n"/>
      <c r="BD2040" s="1392" t="n"/>
      <c r="BE2040" s="1392" t="n"/>
      <c r="BF2040" s="1392" t="n"/>
      <c r="BG2040" s="1392" t="n"/>
      <c r="BH2040" s="1392" t="n"/>
      <c r="BI2040" s="1392" t="n"/>
      <c r="BJ2040" s="1392" t="n"/>
      <c r="BK2040" s="1392" t="n"/>
      <c r="BL2040" s="1392" t="n"/>
      <c r="BM2040" s="1392" t="n"/>
      <c r="BN2040" s="1392" t="n"/>
      <c r="BO2040" s="1392" t="n"/>
      <c r="BP2040" s="1392" t="n"/>
      <c r="BQ2040" s="1392" t="n"/>
      <c r="BR2040" s="1392" t="n"/>
      <c r="BS2040" s="1392" t="n"/>
      <c r="BT2040" s="1392" t="n"/>
      <c r="BU2040" s="1416" t="n"/>
      <c r="BV2040" s="1392" t="n"/>
      <c r="BW2040" s="1392" t="n"/>
      <c r="BX2040" s="1392" t="n"/>
      <c r="BY2040" s="1392" t="n"/>
      <c r="BZ2040" s="1416" t="n"/>
      <c r="CA2040" s="1392" t="n"/>
      <c r="CB2040" s="1392" t="n"/>
      <c r="CC2040" s="1392" t="n"/>
      <c r="CD2040" s="1392" t="n"/>
      <c r="CE2040" s="1392" t="n"/>
      <c r="CF2040" s="1392" t="n"/>
      <c r="CG2040" s="1392" t="n"/>
      <c r="CH2040" s="1392" t="n"/>
      <c r="CI2040" s="1392" t="n"/>
      <c r="CJ2040" s="1392" t="n"/>
      <c r="CK2040" s="1392" t="n"/>
      <c r="CL2040" s="1392" t="n"/>
    </row>
    <row r="2041">
      <c r="A2041" s="5" t="inlineStr">
        <is>
          <t>.</t>
        </is>
      </c>
      <c r="B2041" s="5" t="inlineStr">
        <is>
          <t>.</t>
        </is>
      </c>
      <c r="C2041" s="1378">
        <f>IF(raw[[#This Row],[city]]="","-",IF(raw[[#This Row],[city]]="TODAY","-",C2040+1))</f>
        <v/>
      </c>
      <c r="D2041" s="1393" t="n"/>
      <c r="E2041" s="1394" t="n"/>
      <c r="F2041" s="1394" t="n"/>
      <c r="G2041" s="1393" t="n"/>
      <c r="H2041" s="1393" t="n"/>
      <c r="I2041" s="1393" t="n"/>
      <c r="J2041" s="1393" t="n"/>
      <c r="K2041" s="1395">
        <f>IF(raw[[#This Row],[city]]&lt;&gt;"",_xlfn.XLOOKUP($D2041,ccc[city],ccc[prov],"-"),"-")</f>
        <v/>
      </c>
      <c r="L2041" s="1395">
        <f>IF(raw[[#This Row],[city]]&lt;&gt;"",_xlfn.XLOOKUP($D2041,ccc[city],ccc[ctry],"-"),"-")</f>
        <v/>
      </c>
      <c r="M2041" s="1395">
        <f>IF(raw[[#This Row],[city]]&lt;&gt;"",_xlfn.XLOOKUP($D2041,ccc[city],ccc[cont],"-"),"-")</f>
        <v/>
      </c>
      <c r="N2041" s="1396">
        <f>IF(raw[[#This Row],[city]]="","-",IF(raw[[#This Row],[cont]]="B",raw[[#This Row],[cont]],"W"))</f>
        <v/>
      </c>
      <c r="O2041" s="1397">
        <f>IF(raw[[#This Row],[out]]=0,0,IF(raw[[#This Row],[out]]=raw[[#This Row],[in]],0.01,raw[[#This Row],[out]]-raw[[#This Row],[in]]))</f>
        <v/>
      </c>
      <c r="P2041" s="1397">
        <f>IF(raw[[#This Row],[in]]=0,0,MONTH(raw[[#This Row],[in]]))</f>
        <v/>
      </c>
      <c r="Q2041" s="1397">
        <f>IF(raw[[#This Row],[in]]=0,0,YEAR(raw[[#This Row],[in]]))</f>
        <v/>
      </c>
      <c r="R2041" s="1397">
        <f>INT(raw[[#This Row],[yr]]/10)*10</f>
        <v/>
      </c>
      <c r="S2041" s="1395">
        <f>IF(raw[[#This Row],[city]]="","-",IF(raw[[#This Row],[city]]&lt;&gt;_xlfn.XLOOKUP(raw[[#This Row],[home]],homes[home],homes[city],"-"),1,0))</f>
        <v/>
      </c>
      <c r="T2041" s="1398" t="inlineStr">
        <is>
          <t>.</t>
        </is>
      </c>
      <c r="U2041" s="1399">
        <f>IF(raw[[#This Row],[wb]]="w",raw[[#This Row],[stay]]+U2040,U2040)</f>
        <v/>
      </c>
      <c r="V2041" s="1400">
        <f>IF(raw[[#This Row],[out]]=0,V2040,(raw[[#This Row],[out]]-E$5))</f>
        <v/>
      </c>
      <c r="W2041" s="1401">
        <f>U2041/V2041</f>
        <v/>
      </c>
      <c r="X2041" s="1392" t="n"/>
      <c r="Y2041" s="1392" t="n"/>
      <c r="Z2041" s="1422" t="n"/>
      <c r="AA2041" s="1422" t="n"/>
      <c r="AB2041" s="1392" t="n"/>
      <c r="AC2041" s="1392" t="n"/>
      <c r="AD2041" s="1392" t="n"/>
      <c r="AE2041" s="1392" t="n"/>
      <c r="AF2041" s="1392" t="n"/>
      <c r="AG2041" s="1392" t="n"/>
      <c r="AH2041" s="1392" t="n"/>
      <c r="AI2041" s="1392" t="n"/>
      <c r="AJ2041" s="1392" t="n"/>
      <c r="AK2041" s="1392" t="n"/>
      <c r="AL2041" s="1392" t="n"/>
      <c r="AM2041" s="1392" t="n"/>
      <c r="AN2041" s="1392" t="n"/>
      <c r="AO2041" s="1392" t="n"/>
      <c r="AP2041" s="1392" t="n"/>
      <c r="AQ2041" s="1392" t="n"/>
      <c r="AR2041" s="1392" t="n"/>
      <c r="AS2041" s="1422" t="n"/>
      <c r="AT2041" s="1392" t="n"/>
      <c r="AU2041" s="1392" t="n"/>
      <c r="AV2041" s="1392" t="n"/>
      <c r="AW2041" s="1392" t="n"/>
      <c r="AX2041" s="1392" t="n"/>
      <c r="AY2041" s="1392" t="n"/>
      <c r="AZ2041" s="1392" t="n"/>
      <c r="BA2041" s="1392" t="n"/>
      <c r="BB2041" s="1422" t="n"/>
      <c r="BC2041" s="1392" t="n"/>
      <c r="BD2041" s="1392" t="n"/>
      <c r="BE2041" s="1392" t="n"/>
      <c r="BF2041" s="1392" t="n"/>
      <c r="BG2041" s="1392" t="n"/>
      <c r="BH2041" s="1392" t="n"/>
      <c r="BI2041" s="1392" t="n"/>
      <c r="BJ2041" s="1392" t="n"/>
      <c r="BK2041" s="1392" t="n"/>
      <c r="BL2041" s="1392" t="n"/>
      <c r="BM2041" s="1392" t="n"/>
      <c r="BN2041" s="1392" t="n"/>
      <c r="BO2041" s="1392" t="n"/>
      <c r="BP2041" s="1392" t="n"/>
      <c r="BQ2041" s="1392" t="n"/>
      <c r="BR2041" s="1392" t="n"/>
      <c r="BS2041" s="1392" t="n"/>
      <c r="BT2041" s="1392" t="n"/>
      <c r="BU2041" s="1416" t="n"/>
      <c r="BV2041" s="1392" t="n"/>
      <c r="BW2041" s="1392" t="n"/>
      <c r="BX2041" s="1392" t="n"/>
      <c r="BY2041" s="1392" t="n"/>
      <c r="BZ2041" s="1416" t="n"/>
      <c r="CA2041" s="1392" t="n"/>
      <c r="CB2041" s="1392" t="n"/>
      <c r="CC2041" s="1392" t="n"/>
      <c r="CD2041" s="1392" t="n"/>
      <c r="CE2041" s="1392" t="n"/>
      <c r="CF2041" s="1392" t="n"/>
      <c r="CG2041" s="1392" t="n"/>
      <c r="CH2041" s="1392" t="n"/>
      <c r="CI2041" s="1392" t="n"/>
      <c r="CJ2041" s="1392" t="n"/>
      <c r="CK2041" s="1392" t="n"/>
      <c r="CL2041" s="1392" t="n"/>
    </row>
    <row r="2042">
      <c r="A2042" s="5" t="inlineStr">
        <is>
          <t>.</t>
        </is>
      </c>
      <c r="B2042" s="5" t="inlineStr">
        <is>
          <t>.</t>
        </is>
      </c>
      <c r="C2042" s="1378">
        <f>IF(raw[[#This Row],[city]]="","-",IF(raw[[#This Row],[city]]="TODAY","-",C2041+1))</f>
        <v/>
      </c>
      <c r="D2042" s="1393" t="n"/>
      <c r="E2042" s="1394" t="n"/>
      <c r="F2042" s="1394" t="n"/>
      <c r="G2042" s="1393" t="n"/>
      <c r="H2042" s="1393" t="n"/>
      <c r="I2042" s="1393" t="n"/>
      <c r="J2042" s="1393" t="n"/>
      <c r="K2042" s="1395">
        <f>IF(raw[[#This Row],[city]]&lt;&gt;"",_xlfn.XLOOKUP($D2042,ccc[city],ccc[prov],"-"),"-")</f>
        <v/>
      </c>
      <c r="L2042" s="1395">
        <f>IF(raw[[#This Row],[city]]&lt;&gt;"",_xlfn.XLOOKUP($D2042,ccc[city],ccc[ctry],"-"),"-")</f>
        <v/>
      </c>
      <c r="M2042" s="1395">
        <f>IF(raw[[#This Row],[city]]&lt;&gt;"",_xlfn.XLOOKUP($D2042,ccc[city],ccc[cont],"-"),"-")</f>
        <v/>
      </c>
      <c r="N2042" s="1396">
        <f>IF(raw[[#This Row],[city]]="","-",IF(raw[[#This Row],[cont]]="B",raw[[#This Row],[cont]],"W"))</f>
        <v/>
      </c>
      <c r="O2042" s="1397">
        <f>IF(raw[[#This Row],[out]]=0,0,IF(raw[[#This Row],[out]]=raw[[#This Row],[in]],0.01,raw[[#This Row],[out]]-raw[[#This Row],[in]]))</f>
        <v/>
      </c>
      <c r="P2042" s="1397">
        <f>IF(raw[[#This Row],[in]]=0,0,MONTH(raw[[#This Row],[in]]))</f>
        <v/>
      </c>
      <c r="Q2042" s="1397">
        <f>IF(raw[[#This Row],[in]]=0,0,YEAR(raw[[#This Row],[in]]))</f>
        <v/>
      </c>
      <c r="R2042" s="1397">
        <f>INT(raw[[#This Row],[yr]]/10)*10</f>
        <v/>
      </c>
      <c r="S2042" s="1395">
        <f>IF(raw[[#This Row],[city]]="","-",IF(raw[[#This Row],[city]]&lt;&gt;_xlfn.XLOOKUP(raw[[#This Row],[home]],homes[home],homes[city],"-"),1,0))</f>
        <v/>
      </c>
      <c r="T2042" s="1398" t="inlineStr">
        <is>
          <t>.</t>
        </is>
      </c>
      <c r="U2042" s="1399">
        <f>IF(raw[[#This Row],[wb]]="w",raw[[#This Row],[stay]]+U2041,U2041)</f>
        <v/>
      </c>
      <c r="V2042" s="1400">
        <f>IF(raw[[#This Row],[out]]=0,V2041,(raw[[#This Row],[out]]-E$5))</f>
        <v/>
      </c>
      <c r="W2042" s="1401">
        <f>U2042/V2042</f>
        <v/>
      </c>
      <c r="X2042" s="1392" t="n"/>
      <c r="Y2042" s="1392" t="n"/>
      <c r="Z2042" s="1422" t="n"/>
      <c r="AA2042" s="1422" t="n"/>
      <c r="AB2042" s="1392" t="n"/>
      <c r="AC2042" s="1392" t="n"/>
      <c r="AD2042" s="1392" t="n"/>
      <c r="AE2042" s="1392" t="n"/>
      <c r="AF2042" s="1392" t="n"/>
      <c r="AG2042" s="1392" t="n"/>
      <c r="AH2042" s="1392" t="n"/>
      <c r="AI2042" s="1392" t="n"/>
      <c r="AJ2042" s="1392" t="n"/>
      <c r="AK2042" s="1392" t="n"/>
      <c r="AL2042" s="1392" t="n"/>
      <c r="AM2042" s="1392" t="n"/>
      <c r="AN2042" s="1392" t="n"/>
      <c r="AO2042" s="1392" t="n"/>
      <c r="AP2042" s="1392" t="n"/>
      <c r="AQ2042" s="1392" t="n"/>
      <c r="AR2042" s="1392" t="n"/>
      <c r="AS2042" s="1422" t="n"/>
      <c r="AT2042" s="1392" t="n"/>
      <c r="AU2042" s="1392" t="n"/>
      <c r="AV2042" s="1392" t="n"/>
      <c r="AW2042" s="1392" t="n"/>
      <c r="AX2042" s="1392" t="n"/>
      <c r="AY2042" s="1392" t="n"/>
      <c r="AZ2042" s="1392" t="n"/>
      <c r="BA2042" s="1392" t="n"/>
      <c r="BB2042" s="1422" t="n"/>
      <c r="BC2042" s="1392" t="n"/>
      <c r="BD2042" s="1392" t="n"/>
      <c r="BE2042" s="1392" t="n"/>
      <c r="BF2042" s="1392" t="n"/>
      <c r="BG2042" s="1392" t="n"/>
      <c r="BH2042" s="1392" t="n"/>
      <c r="BI2042" s="1392" t="n"/>
      <c r="BJ2042" s="1392" t="n"/>
      <c r="BK2042" s="1392" t="n"/>
      <c r="BL2042" s="1392" t="n"/>
      <c r="BM2042" s="1392" t="n"/>
      <c r="BN2042" s="1392" t="n"/>
      <c r="BO2042" s="1392" t="n"/>
      <c r="BP2042" s="1392" t="n"/>
      <c r="BQ2042" s="1392" t="n"/>
      <c r="BR2042" s="1392" t="n"/>
      <c r="BS2042" s="1392" t="n"/>
      <c r="BT2042" s="1392" t="n"/>
      <c r="BU2042" s="1416" t="n"/>
      <c r="BV2042" s="1392" t="n"/>
      <c r="BW2042" s="1392" t="n"/>
      <c r="BX2042" s="1392" t="n"/>
      <c r="BY2042" s="1392" t="n"/>
      <c r="BZ2042" s="1416" t="n"/>
      <c r="CA2042" s="1392" t="n"/>
      <c r="CB2042" s="1392" t="n"/>
      <c r="CC2042" s="1392" t="n"/>
      <c r="CD2042" s="1392" t="n"/>
      <c r="CE2042" s="1392" t="n"/>
      <c r="CF2042" s="1392" t="n"/>
      <c r="CG2042" s="1392" t="n"/>
      <c r="CH2042" s="1392" t="n"/>
      <c r="CI2042" s="1392" t="n"/>
      <c r="CJ2042" s="1392" t="n"/>
      <c r="CK2042" s="1392" t="n"/>
      <c r="CL2042" s="1392" t="n"/>
    </row>
    <row r="2043">
      <c r="A2043" s="5" t="inlineStr">
        <is>
          <t>.</t>
        </is>
      </c>
      <c r="B2043" s="5" t="inlineStr">
        <is>
          <t>.</t>
        </is>
      </c>
      <c r="C2043" s="1378">
        <f>IF(raw[[#This Row],[city]]="","-",IF(raw[[#This Row],[city]]="TODAY","-",C2042+1))</f>
        <v/>
      </c>
      <c r="D2043" s="1393" t="n"/>
      <c r="E2043" s="1394" t="n"/>
      <c r="F2043" s="1394" t="n"/>
      <c r="G2043" s="1393" t="n"/>
      <c r="H2043" s="1393" t="n"/>
      <c r="I2043" s="1393" t="n"/>
      <c r="J2043" s="1393" t="n"/>
      <c r="K2043" s="1395">
        <f>IF(raw[[#This Row],[city]]&lt;&gt;"",_xlfn.XLOOKUP($D2043,ccc[city],ccc[prov],"-"),"-")</f>
        <v/>
      </c>
      <c r="L2043" s="1395">
        <f>IF(raw[[#This Row],[city]]&lt;&gt;"",_xlfn.XLOOKUP($D2043,ccc[city],ccc[ctry],"-"),"-")</f>
        <v/>
      </c>
      <c r="M2043" s="1395">
        <f>IF(raw[[#This Row],[city]]&lt;&gt;"",_xlfn.XLOOKUP($D2043,ccc[city],ccc[cont],"-"),"-")</f>
        <v/>
      </c>
      <c r="N2043" s="1396">
        <f>IF(raw[[#This Row],[city]]="","-",IF(raw[[#This Row],[cont]]="B",raw[[#This Row],[cont]],"W"))</f>
        <v/>
      </c>
      <c r="O2043" s="1397">
        <f>IF(raw[[#This Row],[out]]=0,0,IF(raw[[#This Row],[out]]=raw[[#This Row],[in]],0.01,raw[[#This Row],[out]]-raw[[#This Row],[in]]))</f>
        <v/>
      </c>
      <c r="P2043" s="1397">
        <f>IF(raw[[#This Row],[in]]=0,0,MONTH(raw[[#This Row],[in]]))</f>
        <v/>
      </c>
      <c r="Q2043" s="1397">
        <f>IF(raw[[#This Row],[in]]=0,0,YEAR(raw[[#This Row],[in]]))</f>
        <v/>
      </c>
      <c r="R2043" s="1397">
        <f>INT(raw[[#This Row],[yr]]/10)*10</f>
        <v/>
      </c>
      <c r="S2043" s="1395">
        <f>IF(raw[[#This Row],[city]]="","-",IF(raw[[#This Row],[city]]&lt;&gt;_xlfn.XLOOKUP(raw[[#This Row],[home]],homes[home],homes[city],"-"),1,0))</f>
        <v/>
      </c>
      <c r="T2043" s="1398" t="inlineStr">
        <is>
          <t>.</t>
        </is>
      </c>
      <c r="U2043" s="1399">
        <f>IF(raw[[#This Row],[wb]]="w",raw[[#This Row],[stay]]+U2042,U2042)</f>
        <v/>
      </c>
      <c r="V2043" s="1400">
        <f>IF(raw[[#This Row],[out]]=0,V2042,(raw[[#This Row],[out]]-E$5))</f>
        <v/>
      </c>
      <c r="W2043" s="1401">
        <f>U2043/V2043</f>
        <v/>
      </c>
      <c r="X2043" s="1392" t="n"/>
      <c r="Y2043" s="1392" t="n"/>
      <c r="Z2043" s="1422" t="n"/>
      <c r="AA2043" s="1422" t="n"/>
      <c r="AB2043" s="1392" t="n"/>
      <c r="AC2043" s="1392" t="n"/>
      <c r="AD2043" s="1392" t="n"/>
      <c r="AE2043" s="1392" t="n"/>
      <c r="AF2043" s="1392" t="n"/>
      <c r="AG2043" s="1392" t="n"/>
      <c r="AH2043" s="1392" t="n"/>
      <c r="AI2043" s="1392" t="n"/>
      <c r="AJ2043" s="1392" t="n"/>
      <c r="AK2043" s="1392" t="n"/>
      <c r="AL2043" s="1392" t="n"/>
      <c r="AM2043" s="1392" t="n"/>
      <c r="AN2043" s="1392" t="n"/>
      <c r="AO2043" s="1392" t="n"/>
      <c r="AP2043" s="1392" t="n"/>
      <c r="AQ2043" s="1392" t="n"/>
      <c r="AR2043" s="1392" t="n"/>
      <c r="AS2043" s="1422" t="n"/>
      <c r="AT2043" s="1392" t="n"/>
      <c r="AU2043" s="1392" t="n"/>
      <c r="AV2043" s="1392" t="n"/>
      <c r="AW2043" s="1392" t="n"/>
      <c r="AX2043" s="1392" t="n"/>
      <c r="AY2043" s="1392" t="n"/>
      <c r="AZ2043" s="1392" t="n"/>
      <c r="BA2043" s="1392" t="n"/>
      <c r="BB2043" s="1422" t="n"/>
      <c r="BC2043" s="1392" t="n"/>
      <c r="BD2043" s="1392" t="n"/>
      <c r="BE2043" s="1392" t="n"/>
      <c r="BF2043" s="1392" t="n"/>
      <c r="BG2043" s="1392" t="n"/>
      <c r="BH2043" s="1392" t="n"/>
      <c r="BI2043" s="1392" t="n"/>
      <c r="BJ2043" s="1392" t="n"/>
      <c r="BK2043" s="1392" t="n"/>
      <c r="BL2043" s="1392" t="n"/>
      <c r="BM2043" s="1392" t="n"/>
      <c r="BN2043" s="1392" t="n"/>
      <c r="BO2043" s="1392" t="n"/>
      <c r="BP2043" s="1392" t="n"/>
      <c r="BQ2043" s="1392" t="n"/>
      <c r="BR2043" s="1392" t="n"/>
      <c r="BS2043" s="1392" t="n"/>
      <c r="BT2043" s="1392" t="n"/>
      <c r="BU2043" s="1416" t="n"/>
      <c r="BV2043" s="1392" t="n"/>
      <c r="BW2043" s="1392" t="n"/>
      <c r="BX2043" s="1392" t="n"/>
      <c r="BY2043" s="1392" t="n"/>
      <c r="BZ2043" s="1416" t="n"/>
      <c r="CA2043" s="1392" t="n"/>
      <c r="CB2043" s="1392" t="n"/>
      <c r="CC2043" s="1392" t="n"/>
      <c r="CD2043" s="1392" t="n"/>
      <c r="CE2043" s="1392" t="n"/>
      <c r="CF2043" s="1392" t="n"/>
      <c r="CG2043" s="1392" t="n"/>
      <c r="CH2043" s="1392" t="n"/>
      <c r="CI2043" s="1392" t="n"/>
      <c r="CJ2043" s="1392" t="n"/>
      <c r="CK2043" s="1392" t="n"/>
      <c r="CL2043" s="1392" t="n"/>
    </row>
    <row r="2044">
      <c r="A2044" s="5" t="inlineStr">
        <is>
          <t>.</t>
        </is>
      </c>
      <c r="B2044" s="5" t="inlineStr">
        <is>
          <t>.</t>
        </is>
      </c>
      <c r="C2044" s="1378">
        <f>IF(raw[[#This Row],[city]]="","-",IF(raw[[#This Row],[city]]="TODAY","-",C2043+1))</f>
        <v/>
      </c>
      <c r="D2044" s="1393" t="n"/>
      <c r="E2044" s="1394" t="n"/>
      <c r="F2044" s="1394" t="n"/>
      <c r="G2044" s="1393" t="n"/>
      <c r="H2044" s="1393" t="n"/>
      <c r="I2044" s="1393" t="n"/>
      <c r="J2044" s="1393" t="n"/>
      <c r="K2044" s="1395">
        <f>IF(raw[[#This Row],[city]]&lt;&gt;"",_xlfn.XLOOKUP($D2044,ccc[city],ccc[prov],"-"),"-")</f>
        <v/>
      </c>
      <c r="L2044" s="1395">
        <f>IF(raw[[#This Row],[city]]&lt;&gt;"",_xlfn.XLOOKUP($D2044,ccc[city],ccc[ctry],"-"),"-")</f>
        <v/>
      </c>
      <c r="M2044" s="1395">
        <f>IF(raw[[#This Row],[city]]&lt;&gt;"",_xlfn.XLOOKUP($D2044,ccc[city],ccc[cont],"-"),"-")</f>
        <v/>
      </c>
      <c r="N2044" s="1396">
        <f>IF(raw[[#This Row],[city]]="","-",IF(raw[[#This Row],[cont]]="B",raw[[#This Row],[cont]],"W"))</f>
        <v/>
      </c>
      <c r="O2044" s="1397">
        <f>IF(raw[[#This Row],[out]]=0,0,IF(raw[[#This Row],[out]]=raw[[#This Row],[in]],0.01,raw[[#This Row],[out]]-raw[[#This Row],[in]]))</f>
        <v/>
      </c>
      <c r="P2044" s="1397">
        <f>IF(raw[[#This Row],[in]]=0,0,MONTH(raw[[#This Row],[in]]))</f>
        <v/>
      </c>
      <c r="Q2044" s="1397">
        <f>IF(raw[[#This Row],[in]]=0,0,YEAR(raw[[#This Row],[in]]))</f>
        <v/>
      </c>
      <c r="R2044" s="1397">
        <f>INT(raw[[#This Row],[yr]]/10)*10</f>
        <v/>
      </c>
      <c r="S2044" s="1395">
        <f>IF(raw[[#This Row],[city]]="","-",IF(raw[[#This Row],[city]]&lt;&gt;_xlfn.XLOOKUP(raw[[#This Row],[home]],homes[home],homes[city],"-"),1,0))</f>
        <v/>
      </c>
      <c r="T2044" s="1398" t="inlineStr">
        <is>
          <t>.</t>
        </is>
      </c>
      <c r="U2044" s="1399">
        <f>IF(raw[[#This Row],[wb]]="w",raw[[#This Row],[stay]]+U2043,U2043)</f>
        <v/>
      </c>
      <c r="V2044" s="1400">
        <f>IF(raw[[#This Row],[out]]=0,V2043,(raw[[#This Row],[out]]-E$5))</f>
        <v/>
      </c>
      <c r="W2044" s="1401">
        <f>U2044/V2044</f>
        <v/>
      </c>
      <c r="X2044" s="1392" t="n"/>
      <c r="Y2044" s="1392" t="n"/>
      <c r="Z2044" s="1422" t="n"/>
      <c r="AA2044" s="1422" t="n"/>
      <c r="AB2044" s="1392" t="n"/>
      <c r="AC2044" s="1392" t="n"/>
      <c r="AD2044" s="1392" t="n"/>
      <c r="AE2044" s="1392" t="n"/>
      <c r="AF2044" s="1392" t="n"/>
      <c r="AG2044" s="1392" t="n"/>
      <c r="AH2044" s="1392" t="n"/>
      <c r="AI2044" s="1392" t="n"/>
      <c r="AJ2044" s="1392" t="n"/>
      <c r="AK2044" s="1392" t="n"/>
      <c r="AL2044" s="1392" t="n"/>
      <c r="AM2044" s="1392" t="n"/>
      <c r="AN2044" s="1392" t="n"/>
      <c r="AO2044" s="1392" t="n"/>
      <c r="AP2044" s="1392" t="n"/>
      <c r="AQ2044" s="1392" t="n"/>
      <c r="AR2044" s="1392" t="n"/>
      <c r="AS2044" s="1422" t="n"/>
      <c r="AT2044" s="1392" t="n"/>
      <c r="AU2044" s="1392" t="n"/>
      <c r="AV2044" s="1392" t="n"/>
      <c r="AW2044" s="1392" t="n"/>
      <c r="AX2044" s="1392" t="n"/>
      <c r="AY2044" s="1392" t="n"/>
      <c r="AZ2044" s="1392" t="n"/>
      <c r="BA2044" s="1392" t="n"/>
      <c r="BB2044" s="1422" t="n"/>
      <c r="BC2044" s="1392" t="n"/>
      <c r="BD2044" s="1392" t="n"/>
      <c r="BE2044" s="1392" t="n"/>
      <c r="BF2044" s="1392" t="n"/>
      <c r="BG2044" s="1392" t="n"/>
      <c r="BH2044" s="1392" t="n"/>
      <c r="BI2044" s="1392" t="n"/>
      <c r="BJ2044" s="1392" t="n"/>
      <c r="BK2044" s="1392" t="n"/>
      <c r="BL2044" s="1392" t="n"/>
      <c r="BM2044" s="1392" t="n"/>
      <c r="BN2044" s="1392" t="n"/>
      <c r="BO2044" s="1392" t="n"/>
      <c r="BP2044" s="1392" t="n"/>
      <c r="BQ2044" s="1392" t="n"/>
      <c r="BR2044" s="1392" t="n"/>
      <c r="BS2044" s="1392" t="n"/>
      <c r="BT2044" s="1392" t="n"/>
      <c r="BU2044" s="1416" t="n"/>
      <c r="BV2044" s="1392" t="n"/>
      <c r="BW2044" s="1392" t="n"/>
      <c r="BX2044" s="1392" t="n"/>
      <c r="BY2044" s="1392" t="n"/>
      <c r="BZ2044" s="1416" t="n"/>
      <c r="CA2044" s="1392" t="n"/>
      <c r="CB2044" s="1392" t="n"/>
      <c r="CC2044" s="1392" t="n"/>
      <c r="CD2044" s="1392" t="n"/>
      <c r="CE2044" s="1392" t="n"/>
      <c r="CF2044" s="1392" t="n"/>
      <c r="CG2044" s="1392" t="n"/>
      <c r="CH2044" s="1392" t="n"/>
      <c r="CI2044" s="1392" t="n"/>
      <c r="CJ2044" s="1392" t="n"/>
      <c r="CK2044" s="1392" t="n"/>
      <c r="CL2044" s="1392" t="n"/>
    </row>
    <row r="2045">
      <c r="A2045" s="5" t="inlineStr">
        <is>
          <t>.</t>
        </is>
      </c>
      <c r="B2045" s="5" t="inlineStr">
        <is>
          <t>.</t>
        </is>
      </c>
      <c r="C2045" s="1378">
        <f>IF(raw[[#This Row],[city]]="","-",IF(raw[[#This Row],[city]]="TODAY","-",C2044+1))</f>
        <v/>
      </c>
      <c r="D2045" s="1393" t="n"/>
      <c r="E2045" s="1394" t="n"/>
      <c r="F2045" s="1394" t="n"/>
      <c r="G2045" s="1393" t="n"/>
      <c r="H2045" s="1393" t="n"/>
      <c r="I2045" s="1393" t="n"/>
      <c r="J2045" s="1393" t="n"/>
      <c r="K2045" s="1395">
        <f>IF(raw[[#This Row],[city]]&lt;&gt;"",_xlfn.XLOOKUP($D2045,ccc[city],ccc[prov],"-"),"-")</f>
        <v/>
      </c>
      <c r="L2045" s="1395">
        <f>IF(raw[[#This Row],[city]]&lt;&gt;"",_xlfn.XLOOKUP($D2045,ccc[city],ccc[ctry],"-"),"-")</f>
        <v/>
      </c>
      <c r="M2045" s="1395">
        <f>IF(raw[[#This Row],[city]]&lt;&gt;"",_xlfn.XLOOKUP($D2045,ccc[city],ccc[cont],"-"),"-")</f>
        <v/>
      </c>
      <c r="N2045" s="1396">
        <f>IF(raw[[#This Row],[city]]="","-",IF(raw[[#This Row],[cont]]="B",raw[[#This Row],[cont]],"W"))</f>
        <v/>
      </c>
      <c r="O2045" s="1397">
        <f>IF(raw[[#This Row],[out]]=0,0,IF(raw[[#This Row],[out]]=raw[[#This Row],[in]],0.01,raw[[#This Row],[out]]-raw[[#This Row],[in]]))</f>
        <v/>
      </c>
      <c r="P2045" s="1397">
        <f>IF(raw[[#This Row],[in]]=0,0,MONTH(raw[[#This Row],[in]]))</f>
        <v/>
      </c>
      <c r="Q2045" s="1397">
        <f>IF(raw[[#This Row],[in]]=0,0,YEAR(raw[[#This Row],[in]]))</f>
        <v/>
      </c>
      <c r="R2045" s="1397">
        <f>INT(raw[[#This Row],[yr]]/10)*10</f>
        <v/>
      </c>
      <c r="S2045" s="1395">
        <f>IF(raw[[#This Row],[city]]="","-",IF(raw[[#This Row],[city]]&lt;&gt;_xlfn.XLOOKUP(raw[[#This Row],[home]],homes[home],homes[city],"-"),1,0))</f>
        <v/>
      </c>
      <c r="T2045" s="1398" t="inlineStr">
        <is>
          <t>.</t>
        </is>
      </c>
      <c r="U2045" s="1399">
        <f>IF(raw[[#This Row],[wb]]="w",raw[[#This Row],[stay]]+U2044,U2044)</f>
        <v/>
      </c>
      <c r="V2045" s="1400">
        <f>IF(raw[[#This Row],[out]]=0,V2044,(raw[[#This Row],[out]]-E$5))</f>
        <v/>
      </c>
      <c r="W2045" s="1401">
        <f>U2045/V2045</f>
        <v/>
      </c>
      <c r="X2045" s="1392" t="n"/>
      <c r="Y2045" s="1392" t="n"/>
      <c r="Z2045" s="1422" t="n"/>
      <c r="AA2045" s="1422" t="n"/>
      <c r="AB2045" s="1392" t="n"/>
      <c r="AC2045" s="1392" t="n"/>
      <c r="AD2045" s="1392" t="n"/>
      <c r="AE2045" s="1392" t="n"/>
      <c r="AF2045" s="1392" t="n"/>
      <c r="AG2045" s="1392" t="n"/>
      <c r="AH2045" s="1392" t="n"/>
      <c r="AI2045" s="1392" t="n"/>
      <c r="AJ2045" s="1392" t="n"/>
      <c r="AK2045" s="1392" t="n"/>
      <c r="AL2045" s="1392" t="n"/>
      <c r="AM2045" s="1392" t="n"/>
      <c r="AN2045" s="1392" t="n"/>
      <c r="AO2045" s="1392" t="n"/>
      <c r="AP2045" s="1392" t="n"/>
      <c r="AQ2045" s="1392" t="n"/>
      <c r="AR2045" s="1392" t="n"/>
      <c r="AS2045" s="1422" t="n"/>
      <c r="AT2045" s="1392" t="n"/>
      <c r="AU2045" s="1392" t="n"/>
      <c r="AV2045" s="1392" t="n"/>
      <c r="AW2045" s="1392" t="n"/>
      <c r="AX2045" s="1392" t="n"/>
      <c r="AY2045" s="1392" t="n"/>
      <c r="AZ2045" s="1392" t="n"/>
      <c r="BA2045" s="1392" t="n"/>
      <c r="BB2045" s="1422" t="n"/>
      <c r="BC2045" s="1392" t="n"/>
      <c r="BD2045" s="1392" t="n"/>
      <c r="BE2045" s="1392" t="n"/>
      <c r="BF2045" s="1392" t="n"/>
      <c r="BG2045" s="1392" t="n"/>
      <c r="BH2045" s="1392" t="n"/>
      <c r="BI2045" s="1392" t="n"/>
      <c r="BJ2045" s="1392" t="n"/>
      <c r="BK2045" s="1392" t="n"/>
      <c r="BL2045" s="1392" t="n"/>
      <c r="BM2045" s="1392" t="n"/>
      <c r="BN2045" s="1392" t="n"/>
      <c r="BO2045" s="1392" t="n"/>
      <c r="BP2045" s="1392" t="n"/>
      <c r="BQ2045" s="1392" t="n"/>
      <c r="BR2045" s="1392" t="n"/>
      <c r="BS2045" s="1392" t="n"/>
      <c r="BT2045" s="1392" t="n"/>
      <c r="BU2045" s="1416" t="n"/>
      <c r="BV2045" s="1392" t="n"/>
      <c r="BW2045" s="1392" t="n"/>
      <c r="BX2045" s="1392" t="n"/>
      <c r="BY2045" s="1392" t="n"/>
      <c r="BZ2045" s="1416" t="n"/>
      <c r="CA2045" s="1392" t="n"/>
      <c r="CB2045" s="1392" t="n"/>
      <c r="CC2045" s="1392" t="n"/>
      <c r="CD2045" s="1392" t="n"/>
      <c r="CE2045" s="1392" t="n"/>
      <c r="CF2045" s="1392" t="n"/>
      <c r="CG2045" s="1392" t="n"/>
      <c r="CH2045" s="1392" t="n"/>
      <c r="CI2045" s="1392" t="n"/>
      <c r="CJ2045" s="1392" t="n"/>
      <c r="CK2045" s="1392" t="n"/>
      <c r="CL2045" s="1392" t="n"/>
    </row>
    <row r="2046">
      <c r="A2046" s="5" t="inlineStr">
        <is>
          <t>.</t>
        </is>
      </c>
      <c r="B2046" s="5" t="inlineStr">
        <is>
          <t>.</t>
        </is>
      </c>
      <c r="C2046" s="1378">
        <f>IF(raw[[#This Row],[city]]="","-",IF(raw[[#This Row],[city]]="TODAY","-",C2045+1))</f>
        <v/>
      </c>
      <c r="D2046" s="1393" t="n"/>
      <c r="E2046" s="1394" t="n"/>
      <c r="F2046" s="1394" t="n"/>
      <c r="G2046" s="1393" t="n"/>
      <c r="H2046" s="1393" t="n"/>
      <c r="I2046" s="1393" t="n"/>
      <c r="J2046" s="1393" t="n"/>
      <c r="K2046" s="1395">
        <f>IF(raw[[#This Row],[city]]&lt;&gt;"",_xlfn.XLOOKUP($D2046,ccc[city],ccc[prov],"-"),"-")</f>
        <v/>
      </c>
      <c r="L2046" s="1395">
        <f>IF(raw[[#This Row],[city]]&lt;&gt;"",_xlfn.XLOOKUP($D2046,ccc[city],ccc[ctry],"-"),"-")</f>
        <v/>
      </c>
      <c r="M2046" s="1395">
        <f>IF(raw[[#This Row],[city]]&lt;&gt;"",_xlfn.XLOOKUP($D2046,ccc[city],ccc[cont],"-"),"-")</f>
        <v/>
      </c>
      <c r="N2046" s="1396">
        <f>IF(raw[[#This Row],[city]]="","-",IF(raw[[#This Row],[cont]]="B",raw[[#This Row],[cont]],"W"))</f>
        <v/>
      </c>
      <c r="O2046" s="1397">
        <f>IF(raw[[#This Row],[out]]=0,0,IF(raw[[#This Row],[out]]=raw[[#This Row],[in]],0.01,raw[[#This Row],[out]]-raw[[#This Row],[in]]))</f>
        <v/>
      </c>
      <c r="P2046" s="1397">
        <f>IF(raw[[#This Row],[in]]=0,0,MONTH(raw[[#This Row],[in]]))</f>
        <v/>
      </c>
      <c r="Q2046" s="1397">
        <f>IF(raw[[#This Row],[in]]=0,0,YEAR(raw[[#This Row],[in]]))</f>
        <v/>
      </c>
      <c r="R2046" s="1397">
        <f>INT(raw[[#This Row],[yr]]/10)*10</f>
        <v/>
      </c>
      <c r="S2046" s="1395">
        <f>IF(raw[[#This Row],[city]]="","-",IF(raw[[#This Row],[city]]&lt;&gt;_xlfn.XLOOKUP(raw[[#This Row],[home]],homes[home],homes[city],"-"),1,0))</f>
        <v/>
      </c>
      <c r="T2046" s="1398" t="inlineStr">
        <is>
          <t>.</t>
        </is>
      </c>
      <c r="U2046" s="1399">
        <f>IF(raw[[#This Row],[wb]]="w",raw[[#This Row],[stay]]+U2045,U2045)</f>
        <v/>
      </c>
      <c r="V2046" s="1400">
        <f>IF(raw[[#This Row],[out]]=0,V2045,(raw[[#This Row],[out]]-E$5))</f>
        <v/>
      </c>
      <c r="W2046" s="1401">
        <f>U2046/V2046</f>
        <v/>
      </c>
      <c r="X2046" s="1392" t="n"/>
      <c r="Y2046" s="1392" t="n"/>
      <c r="Z2046" s="1422" t="n"/>
      <c r="AA2046" s="1422" t="n"/>
      <c r="AB2046" s="1392" t="n"/>
      <c r="AC2046" s="1392" t="n"/>
      <c r="AD2046" s="1392" t="n"/>
      <c r="AE2046" s="1392" t="n"/>
      <c r="AF2046" s="1392" t="n"/>
      <c r="AG2046" s="1392" t="n"/>
      <c r="AH2046" s="1392" t="n"/>
      <c r="AI2046" s="1392" t="n"/>
      <c r="AJ2046" s="1392" t="n"/>
      <c r="AK2046" s="1392" t="n"/>
      <c r="AL2046" s="1392" t="n"/>
      <c r="AM2046" s="1392" t="n"/>
      <c r="AN2046" s="1392" t="n"/>
      <c r="AO2046" s="1392" t="n"/>
      <c r="AP2046" s="1392" t="n"/>
      <c r="AQ2046" s="1392" t="n"/>
      <c r="AR2046" s="1392" t="n"/>
      <c r="AS2046" s="1422" t="n"/>
      <c r="AT2046" s="1392" t="n"/>
      <c r="AU2046" s="1392" t="n"/>
      <c r="AV2046" s="1392" t="n"/>
      <c r="AW2046" s="1392" t="n"/>
      <c r="AX2046" s="1392" t="n"/>
      <c r="AY2046" s="1392" t="n"/>
      <c r="AZ2046" s="1392" t="n"/>
      <c r="BA2046" s="1392" t="n"/>
      <c r="BB2046" s="1422" t="n"/>
      <c r="BC2046" s="1392" t="n"/>
      <c r="BD2046" s="1392" t="n"/>
      <c r="BE2046" s="1392" t="n"/>
      <c r="BF2046" s="1392" t="n"/>
      <c r="BG2046" s="1392" t="n"/>
      <c r="BH2046" s="1392" t="n"/>
      <c r="BI2046" s="1392" t="n"/>
      <c r="BJ2046" s="1392" t="n"/>
      <c r="BK2046" s="1392" t="n"/>
      <c r="BL2046" s="1392" t="n"/>
      <c r="BM2046" s="1392" t="n"/>
      <c r="BN2046" s="1392" t="n"/>
      <c r="BO2046" s="1392" t="n"/>
      <c r="BP2046" s="1392" t="n"/>
      <c r="BQ2046" s="1392" t="n"/>
      <c r="BR2046" s="1392" t="n"/>
      <c r="BS2046" s="1392" t="n"/>
      <c r="BT2046" s="1392" t="n"/>
      <c r="BU2046" s="1416" t="n"/>
      <c r="BV2046" s="1392" t="n"/>
      <c r="BW2046" s="1392" t="n"/>
      <c r="BX2046" s="1392" t="n"/>
      <c r="BY2046" s="1392" t="n"/>
      <c r="BZ2046" s="1416" t="n"/>
      <c r="CA2046" s="1392" t="n"/>
      <c r="CB2046" s="1392" t="n"/>
      <c r="CC2046" s="1392" t="n"/>
      <c r="CD2046" s="1392" t="n"/>
      <c r="CE2046" s="1392" t="n"/>
      <c r="CF2046" s="1392" t="n"/>
      <c r="CG2046" s="1392" t="n"/>
      <c r="CH2046" s="1392" t="n"/>
      <c r="CI2046" s="1392" t="n"/>
      <c r="CJ2046" s="1392" t="n"/>
      <c r="CK2046" s="1392" t="n"/>
      <c r="CL2046" s="1392" t="n"/>
    </row>
    <row r="2047">
      <c r="A2047" s="5" t="inlineStr">
        <is>
          <t>.</t>
        </is>
      </c>
      <c r="B2047" s="5" t="inlineStr">
        <is>
          <t>.</t>
        </is>
      </c>
      <c r="C2047" s="1378">
        <f>IF(raw[[#This Row],[city]]="","-",IF(raw[[#This Row],[city]]="TODAY","-",C2046+1))</f>
        <v/>
      </c>
      <c r="D2047" s="1393" t="n"/>
      <c r="E2047" s="1394" t="n"/>
      <c r="F2047" s="1394" t="n"/>
      <c r="G2047" s="1393" t="n"/>
      <c r="H2047" s="1393" t="n"/>
      <c r="I2047" s="1393" t="n"/>
      <c r="J2047" s="1393" t="n"/>
      <c r="K2047" s="1395">
        <f>IF(raw[[#This Row],[city]]&lt;&gt;"",_xlfn.XLOOKUP($D2047,ccc[city],ccc[prov],"-"),"-")</f>
        <v/>
      </c>
      <c r="L2047" s="1395">
        <f>IF(raw[[#This Row],[city]]&lt;&gt;"",_xlfn.XLOOKUP($D2047,ccc[city],ccc[ctry],"-"),"-")</f>
        <v/>
      </c>
      <c r="M2047" s="1395">
        <f>IF(raw[[#This Row],[city]]&lt;&gt;"",_xlfn.XLOOKUP($D2047,ccc[city],ccc[cont],"-"),"-")</f>
        <v/>
      </c>
      <c r="N2047" s="1396">
        <f>IF(raw[[#This Row],[city]]="","-",IF(raw[[#This Row],[cont]]="B",raw[[#This Row],[cont]],"W"))</f>
        <v/>
      </c>
      <c r="O2047" s="1397">
        <f>IF(raw[[#This Row],[out]]=0,0,IF(raw[[#This Row],[out]]=raw[[#This Row],[in]],0.01,raw[[#This Row],[out]]-raw[[#This Row],[in]]))</f>
        <v/>
      </c>
      <c r="P2047" s="1397">
        <f>IF(raw[[#This Row],[in]]=0,0,MONTH(raw[[#This Row],[in]]))</f>
        <v/>
      </c>
      <c r="Q2047" s="1397">
        <f>IF(raw[[#This Row],[in]]=0,0,YEAR(raw[[#This Row],[in]]))</f>
        <v/>
      </c>
      <c r="R2047" s="1397">
        <f>INT(raw[[#This Row],[yr]]/10)*10</f>
        <v/>
      </c>
      <c r="S2047" s="1395">
        <f>IF(raw[[#This Row],[city]]="","-",IF(raw[[#This Row],[city]]&lt;&gt;_xlfn.XLOOKUP(raw[[#This Row],[home]],homes[home],homes[city],"-"),1,0))</f>
        <v/>
      </c>
      <c r="T2047" s="1398" t="inlineStr">
        <is>
          <t>.</t>
        </is>
      </c>
      <c r="U2047" s="1399">
        <f>IF(raw[[#This Row],[wb]]="w",raw[[#This Row],[stay]]+U2046,U2046)</f>
        <v/>
      </c>
      <c r="V2047" s="1400">
        <f>IF(raw[[#This Row],[out]]=0,V2046,(raw[[#This Row],[out]]-E$5))</f>
        <v/>
      </c>
      <c r="W2047" s="1401">
        <f>U2047/V2047</f>
        <v/>
      </c>
      <c r="X2047" s="1392" t="n"/>
      <c r="Y2047" s="1392" t="n"/>
      <c r="Z2047" s="1422" t="n"/>
      <c r="AA2047" s="1422" t="n"/>
      <c r="AB2047" s="1392" t="n"/>
      <c r="AC2047" s="1392" t="n"/>
      <c r="AD2047" s="1392" t="n"/>
      <c r="AE2047" s="1392" t="n"/>
      <c r="AF2047" s="1392" t="n"/>
      <c r="AG2047" s="1392" t="n"/>
      <c r="AH2047" s="1392" t="n"/>
      <c r="AI2047" s="1392" t="n"/>
      <c r="AJ2047" s="1392" t="n"/>
      <c r="AK2047" s="1392" t="n"/>
      <c r="AL2047" s="1392" t="n"/>
      <c r="AM2047" s="1392" t="n"/>
      <c r="AN2047" s="1392" t="n"/>
      <c r="AO2047" s="1392" t="n"/>
      <c r="AP2047" s="1392" t="n"/>
      <c r="AQ2047" s="1392" t="n"/>
      <c r="AR2047" s="1392" t="n"/>
      <c r="AS2047" s="1422" t="n"/>
      <c r="AT2047" s="1392" t="n"/>
      <c r="AU2047" s="1392" t="n"/>
      <c r="AV2047" s="1392" t="n"/>
      <c r="AW2047" s="1392" t="n"/>
      <c r="AX2047" s="1392" t="n"/>
      <c r="AY2047" s="1392" t="n"/>
      <c r="AZ2047" s="1392" t="n"/>
      <c r="BA2047" s="1392" t="n"/>
      <c r="BB2047" s="1422" t="n"/>
      <c r="BC2047" s="1392" t="n"/>
      <c r="BD2047" s="1392" t="n"/>
      <c r="BE2047" s="1392" t="n"/>
      <c r="BF2047" s="1392" t="n"/>
      <c r="BG2047" s="1392" t="n"/>
      <c r="BH2047" s="1392" t="n"/>
      <c r="BI2047" s="1392" t="n"/>
      <c r="BJ2047" s="1392" t="n"/>
      <c r="BK2047" s="1392" t="n"/>
      <c r="BL2047" s="1392" t="n"/>
      <c r="BM2047" s="1392" t="n"/>
      <c r="BN2047" s="1392" t="n"/>
      <c r="BO2047" s="1392" t="n"/>
      <c r="BP2047" s="1392" t="n"/>
      <c r="BQ2047" s="1392" t="n"/>
      <c r="BR2047" s="1392" t="n"/>
      <c r="BS2047" s="1392" t="n"/>
      <c r="BT2047" s="1392" t="n"/>
      <c r="BU2047" s="1416" t="n"/>
      <c r="BV2047" s="1392" t="n"/>
      <c r="BW2047" s="1392" t="n"/>
      <c r="BX2047" s="1392" t="n"/>
      <c r="BY2047" s="1392" t="n"/>
      <c r="BZ2047" s="1416" t="n"/>
      <c r="CA2047" s="1392" t="n"/>
      <c r="CB2047" s="1392" t="n"/>
      <c r="CC2047" s="1392" t="n"/>
      <c r="CD2047" s="1392" t="n"/>
      <c r="CE2047" s="1392" t="n"/>
      <c r="CF2047" s="1392" t="n"/>
      <c r="CG2047" s="1392" t="n"/>
      <c r="CH2047" s="1392" t="n"/>
      <c r="CI2047" s="1392" t="n"/>
      <c r="CJ2047" s="1392" t="n"/>
      <c r="CK2047" s="1392" t="n"/>
      <c r="CL2047" s="1392" t="n"/>
    </row>
    <row r="2048">
      <c r="A2048" s="5" t="inlineStr">
        <is>
          <t>.</t>
        </is>
      </c>
      <c r="B2048" s="5" t="inlineStr">
        <is>
          <t>.</t>
        </is>
      </c>
      <c r="C2048" s="1378">
        <f>IF(raw[[#This Row],[city]]="","-",IF(raw[[#This Row],[city]]="TODAY","-",C2047+1))</f>
        <v/>
      </c>
      <c r="D2048" s="1393" t="n"/>
      <c r="E2048" s="1394" t="n"/>
      <c r="F2048" s="1394" t="n"/>
      <c r="G2048" s="1393" t="n"/>
      <c r="H2048" s="1393" t="n"/>
      <c r="I2048" s="1393" t="n"/>
      <c r="J2048" s="1393" t="n"/>
      <c r="K2048" s="1395">
        <f>IF(raw[[#This Row],[city]]&lt;&gt;"",_xlfn.XLOOKUP($D2048,ccc[city],ccc[prov],"-"),"-")</f>
        <v/>
      </c>
      <c r="L2048" s="1395">
        <f>IF(raw[[#This Row],[city]]&lt;&gt;"",_xlfn.XLOOKUP($D2048,ccc[city],ccc[ctry],"-"),"-")</f>
        <v/>
      </c>
      <c r="M2048" s="1395">
        <f>IF(raw[[#This Row],[city]]&lt;&gt;"",_xlfn.XLOOKUP($D2048,ccc[city],ccc[cont],"-"),"-")</f>
        <v/>
      </c>
      <c r="N2048" s="1396">
        <f>IF(raw[[#This Row],[city]]="","-",IF(raw[[#This Row],[cont]]="B",raw[[#This Row],[cont]],"W"))</f>
        <v/>
      </c>
      <c r="O2048" s="1397">
        <f>IF(raw[[#This Row],[out]]=0,0,IF(raw[[#This Row],[out]]=raw[[#This Row],[in]],0.01,raw[[#This Row],[out]]-raw[[#This Row],[in]]))</f>
        <v/>
      </c>
      <c r="P2048" s="1397">
        <f>IF(raw[[#This Row],[in]]=0,0,MONTH(raw[[#This Row],[in]]))</f>
        <v/>
      </c>
      <c r="Q2048" s="1397">
        <f>IF(raw[[#This Row],[in]]=0,0,YEAR(raw[[#This Row],[in]]))</f>
        <v/>
      </c>
      <c r="R2048" s="1397">
        <f>INT(raw[[#This Row],[yr]]/10)*10</f>
        <v/>
      </c>
      <c r="S2048" s="1395">
        <f>IF(raw[[#This Row],[city]]="","-",IF(raw[[#This Row],[city]]&lt;&gt;_xlfn.XLOOKUP(raw[[#This Row],[home]],homes[home],homes[city],"-"),1,0))</f>
        <v/>
      </c>
      <c r="T2048" s="1398" t="inlineStr">
        <is>
          <t>.</t>
        </is>
      </c>
      <c r="U2048" s="1399">
        <f>IF(raw[[#This Row],[wb]]="w",raw[[#This Row],[stay]]+U2047,U2047)</f>
        <v/>
      </c>
      <c r="V2048" s="1400">
        <f>IF(raw[[#This Row],[out]]=0,V2047,(raw[[#This Row],[out]]-E$5))</f>
        <v/>
      </c>
      <c r="W2048" s="1401">
        <f>U2048/V2048</f>
        <v/>
      </c>
      <c r="X2048" s="1392" t="n"/>
      <c r="Y2048" s="1392" t="n"/>
      <c r="Z2048" s="1422" t="n"/>
      <c r="AA2048" s="1422" t="n"/>
      <c r="AB2048" s="1392" t="n"/>
      <c r="AC2048" s="1392" t="n"/>
      <c r="AD2048" s="1392" t="n"/>
      <c r="AE2048" s="1392" t="n"/>
      <c r="AF2048" s="1392" t="n"/>
      <c r="AG2048" s="1392" t="n"/>
      <c r="AH2048" s="1392" t="n"/>
      <c r="AI2048" s="1392" t="n"/>
      <c r="AJ2048" s="1392" t="n"/>
      <c r="AK2048" s="1392" t="n"/>
      <c r="AL2048" s="1392" t="n"/>
      <c r="AM2048" s="1392" t="n"/>
      <c r="AN2048" s="1392" t="n"/>
      <c r="AO2048" s="1392" t="n"/>
      <c r="AP2048" s="1392" t="n"/>
      <c r="AQ2048" s="1392" t="n"/>
      <c r="AR2048" s="1392" t="n"/>
      <c r="AS2048" s="1422" t="n"/>
      <c r="AT2048" s="1392" t="n"/>
      <c r="AU2048" s="1392" t="n"/>
      <c r="AV2048" s="1392" t="n"/>
      <c r="AW2048" s="1392" t="n"/>
      <c r="AX2048" s="1392" t="n"/>
      <c r="AY2048" s="1392" t="n"/>
      <c r="AZ2048" s="1392" t="n"/>
      <c r="BA2048" s="1392" t="n"/>
      <c r="BB2048" s="1422" t="n"/>
      <c r="BC2048" s="1392" t="n"/>
      <c r="BD2048" s="1392" t="n"/>
      <c r="BE2048" s="1392" t="n"/>
      <c r="BF2048" s="1392" t="n"/>
      <c r="BG2048" s="1392" t="n"/>
      <c r="BH2048" s="1392" t="n"/>
      <c r="BI2048" s="1392" t="n"/>
      <c r="BJ2048" s="1392" t="n"/>
      <c r="BK2048" s="1392" t="n"/>
      <c r="BL2048" s="1392" t="n"/>
      <c r="BM2048" s="1392" t="n"/>
      <c r="BN2048" s="1392" t="n"/>
      <c r="BO2048" s="1392" t="n"/>
      <c r="BP2048" s="1392" t="n"/>
      <c r="BQ2048" s="1392" t="n"/>
      <c r="BR2048" s="1392" t="n"/>
      <c r="BS2048" s="1392" t="n"/>
      <c r="BT2048" s="1392" t="n"/>
      <c r="BU2048" s="1416" t="n"/>
      <c r="BV2048" s="1392" t="n"/>
      <c r="BW2048" s="1392" t="n"/>
      <c r="BX2048" s="1392" t="n"/>
      <c r="BY2048" s="1392" t="n"/>
      <c r="BZ2048" s="1416" t="n"/>
      <c r="CA2048" s="1392" t="n"/>
      <c r="CB2048" s="1392" t="n"/>
      <c r="CC2048" s="1392" t="n"/>
      <c r="CD2048" s="1392" t="n"/>
      <c r="CE2048" s="1392" t="n"/>
      <c r="CF2048" s="1392" t="n"/>
      <c r="CG2048" s="1392" t="n"/>
      <c r="CH2048" s="1392" t="n"/>
      <c r="CI2048" s="1392" t="n"/>
      <c r="CJ2048" s="1392" t="n"/>
      <c r="CK2048" s="1392" t="n"/>
      <c r="CL2048" s="1392" t="n"/>
    </row>
    <row r="2049">
      <c r="A2049" s="5" t="inlineStr">
        <is>
          <t>.</t>
        </is>
      </c>
      <c r="B2049" s="5" t="inlineStr">
        <is>
          <t>.</t>
        </is>
      </c>
      <c r="C2049" s="1378">
        <f>IF(raw[[#This Row],[city]]="","-",IF(raw[[#This Row],[city]]="TODAY","-",C2048+1))</f>
        <v/>
      </c>
      <c r="D2049" s="1393" t="n"/>
      <c r="E2049" s="1394" t="n"/>
      <c r="F2049" s="1394" t="n"/>
      <c r="G2049" s="1393" t="n"/>
      <c r="H2049" s="1393" t="n"/>
      <c r="I2049" s="1393" t="n"/>
      <c r="J2049" s="1393" t="n"/>
      <c r="K2049" s="1395">
        <f>IF(raw[[#This Row],[city]]&lt;&gt;"",_xlfn.XLOOKUP($D2049,ccc[city],ccc[prov],"-"),"-")</f>
        <v/>
      </c>
      <c r="L2049" s="1395">
        <f>IF(raw[[#This Row],[city]]&lt;&gt;"",_xlfn.XLOOKUP($D2049,ccc[city],ccc[ctry],"-"),"-")</f>
        <v/>
      </c>
      <c r="M2049" s="1395">
        <f>IF(raw[[#This Row],[city]]&lt;&gt;"",_xlfn.XLOOKUP($D2049,ccc[city],ccc[cont],"-"),"-")</f>
        <v/>
      </c>
      <c r="N2049" s="1396">
        <f>IF(raw[[#This Row],[city]]="","-",IF(raw[[#This Row],[cont]]="B",raw[[#This Row],[cont]],"W"))</f>
        <v/>
      </c>
      <c r="O2049" s="1397">
        <f>IF(raw[[#This Row],[out]]=0,0,IF(raw[[#This Row],[out]]=raw[[#This Row],[in]],0.01,raw[[#This Row],[out]]-raw[[#This Row],[in]]))</f>
        <v/>
      </c>
      <c r="P2049" s="1397">
        <f>IF(raw[[#This Row],[in]]=0,0,MONTH(raw[[#This Row],[in]]))</f>
        <v/>
      </c>
      <c r="Q2049" s="1397">
        <f>IF(raw[[#This Row],[in]]=0,0,YEAR(raw[[#This Row],[in]]))</f>
        <v/>
      </c>
      <c r="R2049" s="1397">
        <f>INT(raw[[#This Row],[yr]]/10)*10</f>
        <v/>
      </c>
      <c r="S2049" s="1395">
        <f>IF(raw[[#This Row],[city]]="","-",IF(raw[[#This Row],[city]]&lt;&gt;_xlfn.XLOOKUP(raw[[#This Row],[home]],homes[home],homes[city],"-"),1,0))</f>
        <v/>
      </c>
      <c r="T2049" s="1398" t="inlineStr">
        <is>
          <t>.</t>
        </is>
      </c>
      <c r="U2049" s="1399">
        <f>IF(raw[[#This Row],[wb]]="w",raw[[#This Row],[stay]]+U2048,U2048)</f>
        <v/>
      </c>
      <c r="V2049" s="1400">
        <f>IF(raw[[#This Row],[out]]=0,V2048,(raw[[#This Row],[out]]-E$5))</f>
        <v/>
      </c>
      <c r="W2049" s="1401">
        <f>U2049/V2049</f>
        <v/>
      </c>
      <c r="X2049" s="1392" t="n"/>
      <c r="Y2049" s="1392" t="n"/>
      <c r="Z2049" s="1422" t="n"/>
      <c r="AA2049" s="1422" t="n"/>
      <c r="AB2049" s="1392" t="n"/>
      <c r="AC2049" s="1392" t="n"/>
      <c r="AD2049" s="1392" t="n"/>
      <c r="AE2049" s="1392" t="n"/>
      <c r="AF2049" s="1392" t="n"/>
      <c r="AG2049" s="1392" t="n"/>
      <c r="AH2049" s="1392" t="n"/>
      <c r="AI2049" s="1392" t="n"/>
      <c r="AJ2049" s="1392" t="n"/>
      <c r="AK2049" s="1392" t="n"/>
      <c r="AL2049" s="1392" t="n"/>
      <c r="AM2049" s="1392" t="n"/>
      <c r="AN2049" s="1392" t="n"/>
      <c r="AO2049" s="1392" t="n"/>
      <c r="AP2049" s="1392" t="n"/>
      <c r="AQ2049" s="1392" t="n"/>
      <c r="AR2049" s="1392" t="n"/>
      <c r="AS2049" s="1422" t="n"/>
      <c r="AT2049" s="1392" t="n"/>
      <c r="AU2049" s="1392" t="n"/>
      <c r="AV2049" s="1392" t="n"/>
      <c r="AW2049" s="1392" t="n"/>
      <c r="AX2049" s="1392" t="n"/>
      <c r="AY2049" s="1392" t="n"/>
      <c r="AZ2049" s="1392" t="n"/>
      <c r="BA2049" s="1392" t="n"/>
      <c r="BB2049" s="1422" t="n"/>
      <c r="BC2049" s="1392" t="n"/>
      <c r="BD2049" s="1392" t="n"/>
      <c r="BE2049" s="1392" t="n"/>
      <c r="BF2049" s="1392" t="n"/>
      <c r="BG2049" s="1392" t="n"/>
      <c r="BH2049" s="1392" t="n"/>
      <c r="BI2049" s="1392" t="n"/>
      <c r="BJ2049" s="1392" t="n"/>
      <c r="BK2049" s="1392" t="n"/>
      <c r="BL2049" s="1392" t="n"/>
      <c r="BM2049" s="1392" t="n"/>
      <c r="BN2049" s="1392" t="n"/>
      <c r="BO2049" s="1392" t="n"/>
      <c r="BP2049" s="1392" t="n"/>
      <c r="BQ2049" s="1392" t="n"/>
      <c r="BR2049" s="1392" t="n"/>
      <c r="BS2049" s="1392" t="n"/>
      <c r="BT2049" s="1392" t="n"/>
      <c r="BU2049" s="1416" t="n"/>
      <c r="BV2049" s="1392" t="n"/>
      <c r="BW2049" s="1392" t="n"/>
      <c r="BX2049" s="1392" t="n"/>
      <c r="BY2049" s="1392" t="n"/>
      <c r="BZ2049" s="1416" t="n"/>
      <c r="CA2049" s="1392" t="n"/>
      <c r="CB2049" s="1392" t="n"/>
      <c r="CC2049" s="1392" t="n"/>
      <c r="CD2049" s="1392" t="n"/>
      <c r="CE2049" s="1392" t="n"/>
      <c r="CF2049" s="1392" t="n"/>
      <c r="CG2049" s="1392" t="n"/>
      <c r="CH2049" s="1392" t="n"/>
      <c r="CI2049" s="1392" t="n"/>
      <c r="CJ2049" s="1392" t="n"/>
      <c r="CK2049" s="1392" t="n"/>
      <c r="CL2049" s="1392" t="n"/>
    </row>
    <row r="2050">
      <c r="A2050" s="5" t="inlineStr">
        <is>
          <t>.</t>
        </is>
      </c>
      <c r="B2050" s="5" t="inlineStr">
        <is>
          <t>.</t>
        </is>
      </c>
      <c r="C2050" s="1378">
        <f>IF(raw[[#This Row],[city]]="","-",IF(raw[[#This Row],[city]]="TODAY","-",C2049+1))</f>
        <v/>
      </c>
      <c r="D2050" s="1393" t="n"/>
      <c r="E2050" s="1394" t="n"/>
      <c r="F2050" s="1394" t="n"/>
      <c r="G2050" s="1393" t="n"/>
      <c r="H2050" s="1393" t="n"/>
      <c r="I2050" s="1393" t="n"/>
      <c r="J2050" s="1393" t="n"/>
      <c r="K2050" s="1395">
        <f>IF(raw[[#This Row],[city]]&lt;&gt;"",_xlfn.XLOOKUP($D2050,ccc[city],ccc[prov],"-"),"-")</f>
        <v/>
      </c>
      <c r="L2050" s="1395">
        <f>IF(raw[[#This Row],[city]]&lt;&gt;"",_xlfn.XLOOKUP($D2050,ccc[city],ccc[ctry],"-"),"-")</f>
        <v/>
      </c>
      <c r="M2050" s="1395">
        <f>IF(raw[[#This Row],[city]]&lt;&gt;"",_xlfn.XLOOKUP($D2050,ccc[city],ccc[cont],"-"),"-")</f>
        <v/>
      </c>
      <c r="N2050" s="1396">
        <f>IF(raw[[#This Row],[city]]="","-",IF(raw[[#This Row],[cont]]="B",raw[[#This Row],[cont]],"W"))</f>
        <v/>
      </c>
      <c r="O2050" s="1397">
        <f>IF(raw[[#This Row],[out]]=0,0,IF(raw[[#This Row],[out]]=raw[[#This Row],[in]],0.01,raw[[#This Row],[out]]-raw[[#This Row],[in]]))</f>
        <v/>
      </c>
      <c r="P2050" s="1397">
        <f>IF(raw[[#This Row],[in]]=0,0,MONTH(raw[[#This Row],[in]]))</f>
        <v/>
      </c>
      <c r="Q2050" s="1397">
        <f>IF(raw[[#This Row],[in]]=0,0,YEAR(raw[[#This Row],[in]]))</f>
        <v/>
      </c>
      <c r="R2050" s="1397">
        <f>INT(raw[[#This Row],[yr]]/10)*10</f>
        <v/>
      </c>
      <c r="S2050" s="1395">
        <f>IF(raw[[#This Row],[city]]="","-",IF(raw[[#This Row],[city]]&lt;&gt;_xlfn.XLOOKUP(raw[[#This Row],[home]],homes[home],homes[city],"-"),1,0))</f>
        <v/>
      </c>
      <c r="T2050" s="1398" t="inlineStr">
        <is>
          <t>.</t>
        </is>
      </c>
      <c r="U2050" s="1399">
        <f>IF(raw[[#This Row],[wb]]="w",raw[[#This Row],[stay]]+U2049,U2049)</f>
        <v/>
      </c>
      <c r="V2050" s="1400">
        <f>IF(raw[[#This Row],[out]]=0,V2049,(raw[[#This Row],[out]]-E$5))</f>
        <v/>
      </c>
      <c r="W2050" s="1401">
        <f>U2050/V2050</f>
        <v/>
      </c>
      <c r="X2050" s="1392" t="n"/>
      <c r="Y2050" s="1392" t="n"/>
      <c r="Z2050" s="1422" t="n"/>
      <c r="AA2050" s="1422" t="n"/>
      <c r="AB2050" s="1392" t="n"/>
      <c r="AC2050" s="1392" t="n"/>
      <c r="AD2050" s="1392" t="n"/>
      <c r="AE2050" s="1392" t="n"/>
      <c r="AF2050" s="1392" t="n"/>
      <c r="AG2050" s="1392" t="n"/>
      <c r="AH2050" s="1392" t="n"/>
      <c r="AI2050" s="1392" t="n"/>
      <c r="AJ2050" s="1392" t="n"/>
      <c r="AK2050" s="1392" t="n"/>
      <c r="AL2050" s="1392" t="n"/>
      <c r="AM2050" s="1392" t="n"/>
      <c r="AN2050" s="1392" t="n"/>
      <c r="AO2050" s="1392" t="n"/>
      <c r="AP2050" s="1392" t="n"/>
      <c r="AQ2050" s="1392" t="n"/>
      <c r="AR2050" s="1392" t="n"/>
      <c r="AS2050" s="1422" t="n"/>
      <c r="AT2050" s="1392" t="n"/>
      <c r="AU2050" s="1392" t="n"/>
      <c r="AV2050" s="1392" t="n"/>
      <c r="AW2050" s="1392" t="n"/>
      <c r="AX2050" s="1392" t="n"/>
      <c r="AY2050" s="1392" t="n"/>
      <c r="AZ2050" s="1392" t="n"/>
      <c r="BA2050" s="1392" t="n"/>
      <c r="BB2050" s="1422" t="n"/>
      <c r="BC2050" s="1392" t="n"/>
      <c r="BD2050" s="1392" t="n"/>
      <c r="BE2050" s="1392" t="n"/>
      <c r="BF2050" s="1392" t="n"/>
      <c r="BG2050" s="1392" t="n"/>
      <c r="BH2050" s="1392" t="n"/>
      <c r="BI2050" s="1392" t="n"/>
      <c r="BJ2050" s="1392" t="n"/>
      <c r="BK2050" s="1392" t="n"/>
      <c r="BL2050" s="1392" t="n"/>
      <c r="BM2050" s="1392" t="n"/>
      <c r="BN2050" s="1392" t="n"/>
      <c r="BO2050" s="1392" t="n"/>
      <c r="BP2050" s="1392" t="n"/>
      <c r="BQ2050" s="1392" t="n"/>
      <c r="BR2050" s="1392" t="n"/>
      <c r="BS2050" s="1392" t="n"/>
      <c r="BT2050" s="1392" t="n"/>
      <c r="BU2050" s="1416" t="n"/>
      <c r="BV2050" s="1392" t="n"/>
      <c r="BW2050" s="1392" t="n"/>
      <c r="BX2050" s="1392" t="n"/>
      <c r="BY2050" s="1392" t="n"/>
      <c r="BZ2050" s="1416" t="n"/>
      <c r="CA2050" s="1392" t="n"/>
      <c r="CB2050" s="1392" t="n"/>
      <c r="CC2050" s="1392" t="n"/>
      <c r="CD2050" s="1392" t="n"/>
      <c r="CE2050" s="1392" t="n"/>
      <c r="CF2050" s="1392" t="n"/>
      <c r="CG2050" s="1392" t="n"/>
      <c r="CH2050" s="1392" t="n"/>
      <c r="CI2050" s="1392" t="n"/>
      <c r="CJ2050" s="1392" t="n"/>
      <c r="CK2050" s="1392" t="n"/>
      <c r="CL2050" s="1392" t="n"/>
    </row>
    <row r="2051">
      <c r="A2051" s="5" t="inlineStr">
        <is>
          <t>.</t>
        </is>
      </c>
      <c r="B2051" s="5" t="inlineStr">
        <is>
          <t>.</t>
        </is>
      </c>
      <c r="C2051" s="1378">
        <f>IF(raw[[#This Row],[city]]="","-",IF(raw[[#This Row],[city]]="TODAY","-",C2050+1))</f>
        <v/>
      </c>
      <c r="D2051" s="1393" t="n"/>
      <c r="E2051" s="1394" t="n"/>
      <c r="F2051" s="1394" t="n"/>
      <c r="G2051" s="1393" t="n"/>
      <c r="H2051" s="1393" t="n"/>
      <c r="I2051" s="1393" t="n"/>
      <c r="J2051" s="1393" t="n"/>
      <c r="K2051" s="1395">
        <f>IF(raw[[#This Row],[city]]&lt;&gt;"",_xlfn.XLOOKUP($D2051,ccc[city],ccc[prov],"-"),"-")</f>
        <v/>
      </c>
      <c r="L2051" s="1395">
        <f>IF(raw[[#This Row],[city]]&lt;&gt;"",_xlfn.XLOOKUP($D2051,ccc[city],ccc[ctry],"-"),"-")</f>
        <v/>
      </c>
      <c r="M2051" s="1395">
        <f>IF(raw[[#This Row],[city]]&lt;&gt;"",_xlfn.XLOOKUP($D2051,ccc[city],ccc[cont],"-"),"-")</f>
        <v/>
      </c>
      <c r="N2051" s="1396">
        <f>IF(raw[[#This Row],[city]]="","-",IF(raw[[#This Row],[cont]]="B",raw[[#This Row],[cont]],"W"))</f>
        <v/>
      </c>
      <c r="O2051" s="1397">
        <f>IF(raw[[#This Row],[out]]=0,0,IF(raw[[#This Row],[out]]=raw[[#This Row],[in]],0.01,raw[[#This Row],[out]]-raw[[#This Row],[in]]))</f>
        <v/>
      </c>
      <c r="P2051" s="1397">
        <f>IF(raw[[#This Row],[in]]=0,0,MONTH(raw[[#This Row],[in]]))</f>
        <v/>
      </c>
      <c r="Q2051" s="1397">
        <f>IF(raw[[#This Row],[in]]=0,0,YEAR(raw[[#This Row],[in]]))</f>
        <v/>
      </c>
      <c r="R2051" s="1397">
        <f>INT(raw[[#This Row],[yr]]/10)*10</f>
        <v/>
      </c>
      <c r="S2051" s="1395">
        <f>IF(raw[[#This Row],[city]]="","-",IF(raw[[#This Row],[city]]&lt;&gt;_xlfn.XLOOKUP(raw[[#This Row],[home]],homes[home],homes[city],"-"),1,0))</f>
        <v/>
      </c>
      <c r="T2051" s="1398" t="inlineStr">
        <is>
          <t>.</t>
        </is>
      </c>
      <c r="U2051" s="1399">
        <f>IF(raw[[#This Row],[wb]]="w",raw[[#This Row],[stay]]+U2050,U2050)</f>
        <v/>
      </c>
      <c r="V2051" s="1400">
        <f>IF(raw[[#This Row],[out]]=0,V2050,(raw[[#This Row],[out]]-E$5))</f>
        <v/>
      </c>
      <c r="W2051" s="1401">
        <f>U2051/V2051</f>
        <v/>
      </c>
      <c r="X2051" s="1392" t="n"/>
      <c r="Y2051" s="1392" t="n"/>
      <c r="Z2051" s="1422" t="n"/>
      <c r="AA2051" s="1422" t="n"/>
      <c r="AB2051" s="1392" t="n"/>
      <c r="AC2051" s="1392" t="n"/>
      <c r="AD2051" s="1392" t="n"/>
      <c r="AE2051" s="1392" t="n"/>
      <c r="AF2051" s="1392" t="n"/>
      <c r="AG2051" s="1392" t="n"/>
      <c r="AH2051" s="1392" t="n"/>
      <c r="AI2051" s="1392" t="n"/>
      <c r="AJ2051" s="1392" t="n"/>
      <c r="AK2051" s="1392" t="n"/>
      <c r="AL2051" s="1392" t="n"/>
      <c r="AM2051" s="1392" t="n"/>
      <c r="AN2051" s="1392" t="n"/>
      <c r="AO2051" s="1392" t="n"/>
      <c r="AP2051" s="1392" t="n"/>
      <c r="AQ2051" s="1392" t="n"/>
      <c r="AR2051" s="1392" t="n"/>
      <c r="AS2051" s="1422" t="n"/>
      <c r="AT2051" s="1392" t="n"/>
      <c r="AU2051" s="1392" t="n"/>
      <c r="AV2051" s="1392" t="n"/>
      <c r="AW2051" s="1392" t="n"/>
      <c r="AX2051" s="1392" t="n"/>
      <c r="AY2051" s="1392" t="n"/>
      <c r="AZ2051" s="1392" t="n"/>
      <c r="BA2051" s="1392" t="n"/>
      <c r="BB2051" s="1422" t="n"/>
      <c r="BC2051" s="1392" t="n"/>
      <c r="BD2051" s="1392" t="n"/>
      <c r="BE2051" s="1392" t="n"/>
      <c r="BF2051" s="1392" t="n"/>
      <c r="BG2051" s="1392" t="n"/>
      <c r="BH2051" s="1392" t="n"/>
      <c r="BI2051" s="1392" t="n"/>
      <c r="BJ2051" s="1392" t="n"/>
      <c r="BK2051" s="1392" t="n"/>
      <c r="BL2051" s="1392" t="n"/>
      <c r="BM2051" s="1392" t="n"/>
      <c r="BN2051" s="1392" t="n"/>
      <c r="BO2051" s="1392" t="n"/>
      <c r="BP2051" s="1392" t="n"/>
      <c r="BQ2051" s="1392" t="n"/>
      <c r="BR2051" s="1392" t="n"/>
      <c r="BS2051" s="1392" t="n"/>
      <c r="BT2051" s="1392" t="n"/>
      <c r="BU2051" s="1416" t="n"/>
      <c r="BV2051" s="1392" t="n"/>
      <c r="BW2051" s="1392" t="n"/>
      <c r="BX2051" s="1392" t="n"/>
      <c r="BY2051" s="1392" t="n"/>
      <c r="BZ2051" s="1416" t="n"/>
      <c r="CA2051" s="1392" t="n"/>
      <c r="CB2051" s="1392" t="n"/>
      <c r="CC2051" s="1392" t="n"/>
      <c r="CD2051" s="1392" t="n"/>
      <c r="CE2051" s="1392" t="n"/>
      <c r="CF2051" s="1392" t="n"/>
      <c r="CG2051" s="1392" t="n"/>
      <c r="CH2051" s="1392" t="n"/>
      <c r="CI2051" s="1392" t="n"/>
      <c r="CJ2051" s="1392" t="n"/>
      <c r="CK2051" s="1392" t="n"/>
      <c r="CL2051" s="1392" t="n"/>
    </row>
    <row r="2052">
      <c r="A2052" s="5" t="inlineStr">
        <is>
          <t>.</t>
        </is>
      </c>
      <c r="B2052" s="5" t="inlineStr">
        <is>
          <t>.</t>
        </is>
      </c>
      <c r="C2052" s="1378">
        <f>IF(raw[[#This Row],[city]]="","-",IF(raw[[#This Row],[city]]="TODAY","-",C2051+1))</f>
        <v/>
      </c>
      <c r="D2052" s="1393" t="n"/>
      <c r="E2052" s="1394" t="n"/>
      <c r="F2052" s="1394" t="n"/>
      <c r="G2052" s="1393" t="n"/>
      <c r="H2052" s="1393" t="n"/>
      <c r="I2052" s="1393" t="n"/>
      <c r="J2052" s="1393" t="n"/>
      <c r="K2052" s="1395">
        <f>IF(raw[[#This Row],[city]]&lt;&gt;"",_xlfn.XLOOKUP($D2052,ccc[city],ccc[prov],"-"),"-")</f>
        <v/>
      </c>
      <c r="L2052" s="1395">
        <f>IF(raw[[#This Row],[city]]&lt;&gt;"",_xlfn.XLOOKUP($D2052,ccc[city],ccc[ctry],"-"),"-")</f>
        <v/>
      </c>
      <c r="M2052" s="1395">
        <f>IF(raw[[#This Row],[city]]&lt;&gt;"",_xlfn.XLOOKUP($D2052,ccc[city],ccc[cont],"-"),"-")</f>
        <v/>
      </c>
      <c r="N2052" s="1396">
        <f>IF(raw[[#This Row],[city]]="","-",IF(raw[[#This Row],[cont]]="B",raw[[#This Row],[cont]],"W"))</f>
        <v/>
      </c>
      <c r="O2052" s="1397">
        <f>IF(raw[[#This Row],[out]]=0,0,IF(raw[[#This Row],[out]]=raw[[#This Row],[in]],0.01,raw[[#This Row],[out]]-raw[[#This Row],[in]]))</f>
        <v/>
      </c>
      <c r="P2052" s="1397">
        <f>IF(raw[[#This Row],[in]]=0,0,MONTH(raw[[#This Row],[in]]))</f>
        <v/>
      </c>
      <c r="Q2052" s="1397">
        <f>IF(raw[[#This Row],[in]]=0,0,YEAR(raw[[#This Row],[in]]))</f>
        <v/>
      </c>
      <c r="R2052" s="1397">
        <f>INT(raw[[#This Row],[yr]]/10)*10</f>
        <v/>
      </c>
      <c r="S2052" s="1395">
        <f>IF(raw[[#This Row],[city]]="","-",IF(raw[[#This Row],[city]]&lt;&gt;_xlfn.XLOOKUP(raw[[#This Row],[home]],homes[home],homes[city],"-"),1,0))</f>
        <v/>
      </c>
      <c r="T2052" s="1398" t="inlineStr">
        <is>
          <t>.</t>
        </is>
      </c>
      <c r="U2052" s="1399">
        <f>IF(raw[[#This Row],[wb]]="w",raw[[#This Row],[stay]]+U2051,U2051)</f>
        <v/>
      </c>
      <c r="V2052" s="1400">
        <f>IF(raw[[#This Row],[out]]=0,V2051,(raw[[#This Row],[out]]-E$5))</f>
        <v/>
      </c>
      <c r="W2052" s="1401">
        <f>U2052/V2052</f>
        <v/>
      </c>
      <c r="X2052" s="1392" t="n"/>
      <c r="Y2052" s="1392" t="n"/>
      <c r="Z2052" s="1422" t="n"/>
      <c r="AA2052" s="1422" t="n"/>
      <c r="AB2052" s="1392" t="n"/>
      <c r="AC2052" s="1392" t="n"/>
      <c r="AD2052" s="1392" t="n"/>
      <c r="AE2052" s="1392" t="n"/>
      <c r="AF2052" s="1392" t="n"/>
      <c r="AG2052" s="1392" t="n"/>
      <c r="AH2052" s="1392" t="n"/>
      <c r="AI2052" s="1392" t="n"/>
      <c r="AJ2052" s="1392" t="n"/>
      <c r="AK2052" s="1392" t="n"/>
      <c r="AL2052" s="1392" t="n"/>
      <c r="AM2052" s="1392" t="n"/>
      <c r="AN2052" s="1392" t="n"/>
      <c r="AO2052" s="1392" t="n"/>
      <c r="AP2052" s="1392" t="n"/>
      <c r="AQ2052" s="1392" t="n"/>
      <c r="AR2052" s="1392" t="n"/>
      <c r="AS2052" s="1422" t="n"/>
      <c r="AT2052" s="1392" t="n"/>
      <c r="AU2052" s="1392" t="n"/>
      <c r="AV2052" s="1392" t="n"/>
      <c r="AW2052" s="1392" t="n"/>
      <c r="AX2052" s="1392" t="n"/>
      <c r="AY2052" s="1392" t="n"/>
      <c r="AZ2052" s="1392" t="n"/>
      <c r="BA2052" s="1392" t="n"/>
      <c r="BB2052" s="1422" t="n"/>
      <c r="BC2052" s="1392" t="n"/>
      <c r="BD2052" s="1392" t="n"/>
      <c r="BE2052" s="1392" t="n"/>
      <c r="BF2052" s="1392" t="n"/>
      <c r="BG2052" s="1392" t="n"/>
      <c r="BH2052" s="1392" t="n"/>
      <c r="BI2052" s="1392" t="n"/>
      <c r="BJ2052" s="1392" t="n"/>
      <c r="BK2052" s="1392" t="n"/>
      <c r="BL2052" s="1392" t="n"/>
      <c r="BM2052" s="1392" t="n"/>
      <c r="BN2052" s="1392" t="n"/>
      <c r="BO2052" s="1392" t="n"/>
      <c r="BP2052" s="1392" t="n"/>
      <c r="BQ2052" s="1392" t="n"/>
      <c r="BR2052" s="1392" t="n"/>
      <c r="BS2052" s="1392" t="n"/>
      <c r="BT2052" s="1392" t="n"/>
      <c r="BU2052" s="1416" t="n"/>
      <c r="BV2052" s="1392" t="n"/>
      <c r="BW2052" s="1392" t="n"/>
      <c r="BX2052" s="1392" t="n"/>
      <c r="BY2052" s="1392" t="n"/>
      <c r="BZ2052" s="1416" t="n"/>
      <c r="CA2052" s="1392" t="n"/>
      <c r="CB2052" s="1392" t="n"/>
      <c r="CC2052" s="1392" t="n"/>
      <c r="CD2052" s="1392" t="n"/>
      <c r="CE2052" s="1392" t="n"/>
      <c r="CF2052" s="1392" t="n"/>
      <c r="CG2052" s="1392" t="n"/>
      <c r="CH2052" s="1392" t="n"/>
      <c r="CI2052" s="1392" t="n"/>
      <c r="CJ2052" s="1392" t="n"/>
      <c r="CK2052" s="1392" t="n"/>
      <c r="CL2052" s="1392" t="n"/>
    </row>
    <row r="2053">
      <c r="A2053" s="5" t="inlineStr">
        <is>
          <t>.</t>
        </is>
      </c>
      <c r="B2053" s="5" t="inlineStr">
        <is>
          <t>.</t>
        </is>
      </c>
      <c r="C2053" s="1378">
        <f>IF(raw[[#This Row],[city]]="","-",IF(raw[[#This Row],[city]]="TODAY","-",C2052+1))</f>
        <v/>
      </c>
      <c r="D2053" s="1393" t="n"/>
      <c r="E2053" s="1394" t="n"/>
      <c r="F2053" s="1394" t="n"/>
      <c r="G2053" s="1393" t="n"/>
      <c r="H2053" s="1393" t="n"/>
      <c r="I2053" s="1393" t="n"/>
      <c r="J2053" s="1393" t="n"/>
      <c r="K2053" s="1395">
        <f>IF(raw[[#This Row],[city]]&lt;&gt;"",_xlfn.XLOOKUP($D2053,ccc[city],ccc[prov],"-"),"-")</f>
        <v/>
      </c>
      <c r="L2053" s="1395">
        <f>IF(raw[[#This Row],[city]]&lt;&gt;"",_xlfn.XLOOKUP($D2053,ccc[city],ccc[ctry],"-"),"-")</f>
        <v/>
      </c>
      <c r="M2053" s="1395">
        <f>IF(raw[[#This Row],[city]]&lt;&gt;"",_xlfn.XLOOKUP($D2053,ccc[city],ccc[cont],"-"),"-")</f>
        <v/>
      </c>
      <c r="N2053" s="1396">
        <f>IF(raw[[#This Row],[city]]="","-",IF(raw[[#This Row],[cont]]="B",raw[[#This Row],[cont]],"W"))</f>
        <v/>
      </c>
      <c r="O2053" s="1397">
        <f>IF(raw[[#This Row],[out]]=0,0,IF(raw[[#This Row],[out]]=raw[[#This Row],[in]],0.01,raw[[#This Row],[out]]-raw[[#This Row],[in]]))</f>
        <v/>
      </c>
      <c r="P2053" s="1397">
        <f>IF(raw[[#This Row],[in]]=0,0,MONTH(raw[[#This Row],[in]]))</f>
        <v/>
      </c>
      <c r="Q2053" s="1397">
        <f>IF(raw[[#This Row],[in]]=0,0,YEAR(raw[[#This Row],[in]]))</f>
        <v/>
      </c>
      <c r="R2053" s="1397">
        <f>INT(raw[[#This Row],[yr]]/10)*10</f>
        <v/>
      </c>
      <c r="S2053" s="1395">
        <f>IF(raw[[#This Row],[city]]="","-",IF(raw[[#This Row],[city]]&lt;&gt;_xlfn.XLOOKUP(raw[[#This Row],[home]],homes[home],homes[city],"-"),1,0))</f>
        <v/>
      </c>
      <c r="T2053" s="1398" t="inlineStr">
        <is>
          <t>.</t>
        </is>
      </c>
      <c r="U2053" s="1399">
        <f>IF(raw[[#This Row],[wb]]="w",raw[[#This Row],[stay]]+U2052,U2052)</f>
        <v/>
      </c>
      <c r="V2053" s="1400">
        <f>IF(raw[[#This Row],[out]]=0,V2052,(raw[[#This Row],[out]]-E$5))</f>
        <v/>
      </c>
      <c r="W2053" s="1401">
        <f>U2053/V2053</f>
        <v/>
      </c>
      <c r="X2053" s="1392" t="n"/>
      <c r="Y2053" s="1392" t="n"/>
      <c r="Z2053" s="1422" t="n"/>
      <c r="AA2053" s="1422" t="n"/>
      <c r="AB2053" s="1392" t="n"/>
      <c r="AC2053" s="1392" t="n"/>
      <c r="AD2053" s="1392" t="n"/>
      <c r="AE2053" s="1392" t="n"/>
      <c r="AF2053" s="1392" t="n"/>
      <c r="AG2053" s="1392" t="n"/>
      <c r="AH2053" s="1392" t="n"/>
      <c r="AI2053" s="1392" t="n"/>
      <c r="AJ2053" s="1392" t="n"/>
      <c r="AK2053" s="1392" t="n"/>
      <c r="AL2053" s="1392" t="n"/>
      <c r="AM2053" s="1392" t="n"/>
      <c r="AN2053" s="1392" t="n"/>
      <c r="AO2053" s="1392" t="n"/>
      <c r="AP2053" s="1392" t="n"/>
      <c r="AQ2053" s="1392" t="n"/>
      <c r="AR2053" s="1392" t="n"/>
      <c r="AS2053" s="1422" t="n"/>
      <c r="AT2053" s="1392" t="n"/>
      <c r="AU2053" s="1392" t="n"/>
      <c r="AV2053" s="1392" t="n"/>
      <c r="AW2053" s="1392" t="n"/>
      <c r="AX2053" s="1392" t="n"/>
      <c r="AY2053" s="1392" t="n"/>
      <c r="AZ2053" s="1392" t="n"/>
      <c r="BA2053" s="1392" t="n"/>
      <c r="BB2053" s="1422" t="n"/>
      <c r="BC2053" s="1392" t="n"/>
      <c r="BD2053" s="1392" t="n"/>
      <c r="BE2053" s="1392" t="n"/>
      <c r="BF2053" s="1392" t="n"/>
      <c r="BG2053" s="1392" t="n"/>
      <c r="BH2053" s="1392" t="n"/>
      <c r="BI2053" s="1392" t="n"/>
      <c r="BJ2053" s="1392" t="n"/>
      <c r="BK2053" s="1392" t="n"/>
      <c r="BL2053" s="1392" t="n"/>
      <c r="BM2053" s="1392" t="n"/>
      <c r="BN2053" s="1392" t="n"/>
      <c r="BO2053" s="1392" t="n"/>
      <c r="BP2053" s="1392" t="n"/>
      <c r="BQ2053" s="1392" t="n"/>
      <c r="BR2053" s="1392" t="n"/>
      <c r="BS2053" s="1392" t="n"/>
      <c r="BT2053" s="1392" t="n"/>
      <c r="BU2053" s="1416" t="n"/>
      <c r="BV2053" s="1392" t="n"/>
      <c r="BW2053" s="1392" t="n"/>
      <c r="BX2053" s="1392" t="n"/>
      <c r="BY2053" s="1392" t="n"/>
      <c r="BZ2053" s="1416" t="n"/>
      <c r="CA2053" s="1392" t="n"/>
      <c r="CB2053" s="1392" t="n"/>
      <c r="CC2053" s="1392" t="n"/>
      <c r="CD2053" s="1392" t="n"/>
      <c r="CE2053" s="1392" t="n"/>
      <c r="CF2053" s="1392" t="n"/>
      <c r="CG2053" s="1392" t="n"/>
      <c r="CH2053" s="1392" t="n"/>
      <c r="CI2053" s="1392" t="n"/>
      <c r="CJ2053" s="1392" t="n"/>
      <c r="CK2053" s="1392" t="n"/>
      <c r="CL2053" s="1392" t="n"/>
    </row>
    <row r="2054">
      <c r="A2054" s="5" t="inlineStr">
        <is>
          <t>.</t>
        </is>
      </c>
      <c r="B2054" s="5" t="inlineStr">
        <is>
          <t>.</t>
        </is>
      </c>
      <c r="C2054" s="1378">
        <f>IF(raw[[#This Row],[city]]="","-",IF(raw[[#This Row],[city]]="TODAY","-",C2053+1))</f>
        <v/>
      </c>
      <c r="D2054" s="1393" t="n"/>
      <c r="E2054" s="1394" t="n"/>
      <c r="F2054" s="1394" t="n"/>
      <c r="G2054" s="1393" t="n"/>
      <c r="H2054" s="1393" t="n"/>
      <c r="I2054" s="1393" t="n"/>
      <c r="J2054" s="1393" t="n"/>
      <c r="K2054" s="1395">
        <f>IF(raw[[#This Row],[city]]&lt;&gt;"",_xlfn.XLOOKUP($D2054,ccc[city],ccc[prov],"-"),"-")</f>
        <v/>
      </c>
      <c r="L2054" s="1395">
        <f>IF(raw[[#This Row],[city]]&lt;&gt;"",_xlfn.XLOOKUP($D2054,ccc[city],ccc[ctry],"-"),"-")</f>
        <v/>
      </c>
      <c r="M2054" s="1395">
        <f>IF(raw[[#This Row],[city]]&lt;&gt;"",_xlfn.XLOOKUP($D2054,ccc[city],ccc[cont],"-"),"-")</f>
        <v/>
      </c>
      <c r="N2054" s="1396">
        <f>IF(raw[[#This Row],[city]]="","-",IF(raw[[#This Row],[cont]]="B",raw[[#This Row],[cont]],"W"))</f>
        <v/>
      </c>
      <c r="O2054" s="1397">
        <f>IF(raw[[#This Row],[out]]=0,0,IF(raw[[#This Row],[out]]=raw[[#This Row],[in]],0.01,raw[[#This Row],[out]]-raw[[#This Row],[in]]))</f>
        <v/>
      </c>
      <c r="P2054" s="1397">
        <f>IF(raw[[#This Row],[in]]=0,0,MONTH(raw[[#This Row],[in]]))</f>
        <v/>
      </c>
      <c r="Q2054" s="1397">
        <f>IF(raw[[#This Row],[in]]=0,0,YEAR(raw[[#This Row],[in]]))</f>
        <v/>
      </c>
      <c r="R2054" s="1397">
        <f>INT(raw[[#This Row],[yr]]/10)*10</f>
        <v/>
      </c>
      <c r="S2054" s="1395">
        <f>IF(raw[[#This Row],[city]]="","-",IF(raw[[#This Row],[city]]&lt;&gt;_xlfn.XLOOKUP(raw[[#This Row],[home]],homes[home],homes[city],"-"),1,0))</f>
        <v/>
      </c>
      <c r="T2054" s="1398" t="inlineStr">
        <is>
          <t>.</t>
        </is>
      </c>
      <c r="U2054" s="1399">
        <f>IF(raw[[#This Row],[wb]]="w",raw[[#This Row],[stay]]+U2053,U2053)</f>
        <v/>
      </c>
      <c r="V2054" s="1400">
        <f>IF(raw[[#This Row],[out]]=0,V2053,(raw[[#This Row],[out]]-E$5))</f>
        <v/>
      </c>
      <c r="W2054" s="1401">
        <f>U2054/V2054</f>
        <v/>
      </c>
      <c r="X2054" s="1392" t="n"/>
      <c r="Y2054" s="1392" t="n"/>
      <c r="Z2054" s="1422" t="n"/>
      <c r="AA2054" s="1422" t="n"/>
      <c r="AB2054" s="1392" t="n"/>
      <c r="AC2054" s="1392" t="n"/>
      <c r="AD2054" s="1392" t="n"/>
      <c r="AE2054" s="1392" t="n"/>
      <c r="AF2054" s="1392" t="n"/>
      <c r="AG2054" s="1392" t="n"/>
      <c r="AH2054" s="1392" t="n"/>
      <c r="AI2054" s="1392" t="n"/>
      <c r="AJ2054" s="1392" t="n"/>
      <c r="AK2054" s="1392" t="n"/>
      <c r="AL2054" s="1392" t="n"/>
      <c r="AM2054" s="1392" t="n"/>
      <c r="AN2054" s="1392" t="n"/>
      <c r="AO2054" s="1392" t="n"/>
      <c r="AP2054" s="1392" t="n"/>
      <c r="AQ2054" s="1392" t="n"/>
      <c r="AR2054" s="1392" t="n"/>
      <c r="AS2054" s="1422" t="n"/>
      <c r="AT2054" s="1392" t="n"/>
      <c r="AU2054" s="1392" t="n"/>
      <c r="AV2054" s="1392" t="n"/>
      <c r="AW2054" s="1392" t="n"/>
      <c r="AX2054" s="1392" t="n"/>
      <c r="AY2054" s="1392" t="n"/>
      <c r="AZ2054" s="1392" t="n"/>
      <c r="BA2054" s="1392" t="n"/>
      <c r="BB2054" s="1422" t="n"/>
      <c r="BC2054" s="1392" t="n"/>
      <c r="BD2054" s="1392" t="n"/>
      <c r="BE2054" s="1392" t="n"/>
      <c r="BF2054" s="1392" t="n"/>
      <c r="BG2054" s="1392" t="n"/>
      <c r="BH2054" s="1392" t="n"/>
      <c r="BI2054" s="1392" t="n"/>
      <c r="BJ2054" s="1392" t="n"/>
      <c r="BK2054" s="1392" t="n"/>
      <c r="BL2054" s="1392" t="n"/>
      <c r="BM2054" s="1392" t="n"/>
      <c r="BN2054" s="1392" t="n"/>
      <c r="BO2054" s="1392" t="n"/>
      <c r="BP2054" s="1392" t="n"/>
      <c r="BQ2054" s="1392" t="n"/>
      <c r="BR2054" s="1392" t="n"/>
      <c r="BS2054" s="1392" t="n"/>
      <c r="BT2054" s="1392" t="n"/>
      <c r="BU2054" s="1416" t="n"/>
      <c r="BV2054" s="1392" t="n"/>
      <c r="BW2054" s="1392" t="n"/>
      <c r="BX2054" s="1392" t="n"/>
      <c r="BY2054" s="1392" t="n"/>
      <c r="BZ2054" s="1416" t="n"/>
      <c r="CA2054" s="1392" t="n"/>
      <c r="CB2054" s="1392" t="n"/>
      <c r="CC2054" s="1392" t="n"/>
      <c r="CD2054" s="1392" t="n"/>
      <c r="CE2054" s="1392" t="n"/>
      <c r="CF2054" s="1392" t="n"/>
      <c r="CG2054" s="1392" t="n"/>
      <c r="CH2054" s="1392" t="n"/>
      <c r="CI2054" s="1392" t="n"/>
      <c r="CJ2054" s="1392" t="n"/>
      <c r="CK2054" s="1392" t="n"/>
      <c r="CL2054" s="1392" t="n"/>
    </row>
    <row r="2055">
      <c r="A2055" s="5" t="inlineStr">
        <is>
          <t>.</t>
        </is>
      </c>
      <c r="B2055" s="5" t="inlineStr">
        <is>
          <t>.</t>
        </is>
      </c>
      <c r="C2055" s="1378">
        <f>IF(raw[[#This Row],[city]]="","-",IF(raw[[#This Row],[city]]="TODAY","-",C2054+1))</f>
        <v/>
      </c>
      <c r="D2055" s="1393" t="n"/>
      <c r="E2055" s="1394" t="n"/>
      <c r="F2055" s="1394" t="n"/>
      <c r="G2055" s="1393" t="n"/>
      <c r="H2055" s="1393" t="n"/>
      <c r="I2055" s="1393" t="n"/>
      <c r="J2055" s="1393" t="n"/>
      <c r="K2055" s="1395">
        <f>IF(raw[[#This Row],[city]]&lt;&gt;"",_xlfn.XLOOKUP($D2055,ccc[city],ccc[prov],"-"),"-")</f>
        <v/>
      </c>
      <c r="L2055" s="1395">
        <f>IF(raw[[#This Row],[city]]&lt;&gt;"",_xlfn.XLOOKUP($D2055,ccc[city],ccc[ctry],"-"),"-")</f>
        <v/>
      </c>
      <c r="M2055" s="1395">
        <f>IF(raw[[#This Row],[city]]&lt;&gt;"",_xlfn.XLOOKUP($D2055,ccc[city],ccc[cont],"-"),"-")</f>
        <v/>
      </c>
      <c r="N2055" s="1396">
        <f>IF(raw[[#This Row],[city]]="","-",IF(raw[[#This Row],[cont]]="B",raw[[#This Row],[cont]],"W"))</f>
        <v/>
      </c>
      <c r="O2055" s="1397">
        <f>IF(raw[[#This Row],[out]]=0,0,IF(raw[[#This Row],[out]]=raw[[#This Row],[in]],0.01,raw[[#This Row],[out]]-raw[[#This Row],[in]]))</f>
        <v/>
      </c>
      <c r="P2055" s="1397">
        <f>IF(raw[[#This Row],[in]]=0,0,MONTH(raw[[#This Row],[in]]))</f>
        <v/>
      </c>
      <c r="Q2055" s="1397">
        <f>IF(raw[[#This Row],[in]]=0,0,YEAR(raw[[#This Row],[in]]))</f>
        <v/>
      </c>
      <c r="R2055" s="1397">
        <f>INT(raw[[#This Row],[yr]]/10)*10</f>
        <v/>
      </c>
      <c r="S2055" s="1395">
        <f>IF(raw[[#This Row],[city]]="","-",IF(raw[[#This Row],[city]]&lt;&gt;_xlfn.XLOOKUP(raw[[#This Row],[home]],homes[home],homes[city],"-"),1,0))</f>
        <v/>
      </c>
      <c r="T2055" s="1398" t="inlineStr">
        <is>
          <t>.</t>
        </is>
      </c>
      <c r="U2055" s="1399">
        <f>IF(raw[[#This Row],[wb]]="w",raw[[#This Row],[stay]]+U2054,U2054)</f>
        <v/>
      </c>
      <c r="V2055" s="1400">
        <f>IF(raw[[#This Row],[out]]=0,V2054,(raw[[#This Row],[out]]-E$5))</f>
        <v/>
      </c>
      <c r="W2055" s="1401">
        <f>U2055/V2055</f>
        <v/>
      </c>
      <c r="X2055" s="1392" t="n"/>
      <c r="Y2055" s="1392" t="n"/>
      <c r="Z2055" s="1422" t="n"/>
      <c r="AA2055" s="1422" t="n"/>
      <c r="AB2055" s="1392" t="n"/>
      <c r="AC2055" s="1392" t="n"/>
      <c r="AD2055" s="1392" t="n"/>
      <c r="AE2055" s="1392" t="n"/>
      <c r="AF2055" s="1392" t="n"/>
      <c r="AG2055" s="1392" t="n"/>
      <c r="AH2055" s="1392" t="n"/>
      <c r="AI2055" s="1392" t="n"/>
      <c r="AJ2055" s="1392" t="n"/>
      <c r="AK2055" s="1392" t="n"/>
      <c r="AL2055" s="1392" t="n"/>
      <c r="AM2055" s="1392" t="n"/>
      <c r="AN2055" s="1392" t="n"/>
      <c r="AO2055" s="1392" t="n"/>
      <c r="AP2055" s="1392" t="n"/>
      <c r="AQ2055" s="1392" t="n"/>
      <c r="AR2055" s="1392" t="n"/>
      <c r="AS2055" s="1422" t="n"/>
      <c r="AT2055" s="1392" t="n"/>
      <c r="AU2055" s="1392" t="n"/>
      <c r="AV2055" s="1392" t="n"/>
      <c r="AW2055" s="1392" t="n"/>
      <c r="AX2055" s="1392" t="n"/>
      <c r="AY2055" s="1392" t="n"/>
      <c r="AZ2055" s="1392" t="n"/>
      <c r="BA2055" s="1392" t="n"/>
      <c r="BB2055" s="1422" t="n"/>
      <c r="BC2055" s="1392" t="n"/>
      <c r="BD2055" s="1392" t="n"/>
      <c r="BE2055" s="1392" t="n"/>
      <c r="BF2055" s="1392" t="n"/>
      <c r="BG2055" s="1392" t="n"/>
      <c r="BH2055" s="1392" t="n"/>
      <c r="BI2055" s="1392" t="n"/>
      <c r="BJ2055" s="1392" t="n"/>
      <c r="BK2055" s="1392" t="n"/>
      <c r="BL2055" s="1392" t="n"/>
      <c r="BM2055" s="1392" t="n"/>
      <c r="BN2055" s="1392" t="n"/>
      <c r="BO2055" s="1392" t="n"/>
      <c r="BP2055" s="1392" t="n"/>
      <c r="BQ2055" s="1392" t="n"/>
      <c r="BR2055" s="1392" t="n"/>
      <c r="BS2055" s="1392" t="n"/>
      <c r="BT2055" s="1392" t="n"/>
      <c r="BU2055" s="1416" t="n"/>
      <c r="BV2055" s="1392" t="n"/>
      <c r="BW2055" s="1392" t="n"/>
      <c r="BX2055" s="1392" t="n"/>
      <c r="BY2055" s="1392" t="n"/>
      <c r="BZ2055" s="1416" t="n"/>
      <c r="CA2055" s="1392" t="n"/>
      <c r="CB2055" s="1392" t="n"/>
      <c r="CC2055" s="1392" t="n"/>
      <c r="CD2055" s="1392" t="n"/>
      <c r="CE2055" s="1392" t="n"/>
      <c r="CF2055" s="1392" t="n"/>
      <c r="CG2055" s="1392" t="n"/>
      <c r="CH2055" s="1392" t="n"/>
      <c r="CI2055" s="1392" t="n"/>
      <c r="CJ2055" s="1392" t="n"/>
      <c r="CK2055" s="1392" t="n"/>
      <c r="CL2055" s="1392" t="n"/>
    </row>
    <row r="2056">
      <c r="A2056" s="5" t="inlineStr">
        <is>
          <t>.</t>
        </is>
      </c>
      <c r="B2056" s="5" t="inlineStr">
        <is>
          <t>.</t>
        </is>
      </c>
      <c r="C2056" s="1378">
        <f>IF(raw[[#This Row],[city]]="","-",IF(raw[[#This Row],[city]]="TODAY","-",C2055+1))</f>
        <v/>
      </c>
      <c r="D2056" s="1393" t="n"/>
      <c r="E2056" s="1394" t="n"/>
      <c r="F2056" s="1394" t="n"/>
      <c r="G2056" s="1393" t="n"/>
      <c r="H2056" s="1393" t="n"/>
      <c r="I2056" s="1393" t="n"/>
      <c r="J2056" s="1393" t="n"/>
      <c r="K2056" s="1395">
        <f>IF(raw[[#This Row],[city]]&lt;&gt;"",_xlfn.XLOOKUP($D2056,ccc[city],ccc[prov],"-"),"-")</f>
        <v/>
      </c>
      <c r="L2056" s="1395">
        <f>IF(raw[[#This Row],[city]]&lt;&gt;"",_xlfn.XLOOKUP($D2056,ccc[city],ccc[ctry],"-"),"-")</f>
        <v/>
      </c>
      <c r="M2056" s="1395">
        <f>IF(raw[[#This Row],[city]]&lt;&gt;"",_xlfn.XLOOKUP($D2056,ccc[city],ccc[cont],"-"),"-")</f>
        <v/>
      </c>
      <c r="N2056" s="1396">
        <f>IF(raw[[#This Row],[city]]="","-",IF(raw[[#This Row],[cont]]="B",raw[[#This Row],[cont]],"W"))</f>
        <v/>
      </c>
      <c r="O2056" s="1397">
        <f>IF(raw[[#This Row],[out]]=0,0,IF(raw[[#This Row],[out]]=raw[[#This Row],[in]],0.01,raw[[#This Row],[out]]-raw[[#This Row],[in]]))</f>
        <v/>
      </c>
      <c r="P2056" s="1397">
        <f>IF(raw[[#This Row],[in]]=0,0,MONTH(raw[[#This Row],[in]]))</f>
        <v/>
      </c>
      <c r="Q2056" s="1397">
        <f>IF(raw[[#This Row],[in]]=0,0,YEAR(raw[[#This Row],[in]]))</f>
        <v/>
      </c>
      <c r="R2056" s="1397">
        <f>INT(raw[[#This Row],[yr]]/10)*10</f>
        <v/>
      </c>
      <c r="S2056" s="1395">
        <f>IF(raw[[#This Row],[city]]="","-",IF(raw[[#This Row],[city]]&lt;&gt;_xlfn.XLOOKUP(raw[[#This Row],[home]],homes[home],homes[city],"-"),1,0))</f>
        <v/>
      </c>
      <c r="T2056" s="1398" t="inlineStr">
        <is>
          <t>.</t>
        </is>
      </c>
      <c r="U2056" s="1399">
        <f>IF(raw[[#This Row],[wb]]="w",raw[[#This Row],[stay]]+U2055,U2055)</f>
        <v/>
      </c>
      <c r="V2056" s="1400">
        <f>IF(raw[[#This Row],[out]]=0,V2055,(raw[[#This Row],[out]]-E$5))</f>
        <v/>
      </c>
      <c r="W2056" s="1401">
        <f>U2056/V2056</f>
        <v/>
      </c>
      <c r="X2056" s="1392" t="n"/>
      <c r="Y2056" s="1392" t="n"/>
      <c r="Z2056" s="1422" t="n"/>
      <c r="AA2056" s="1422" t="n"/>
      <c r="AB2056" s="1392" t="n"/>
      <c r="AC2056" s="1392" t="n"/>
      <c r="AD2056" s="1392" t="n"/>
      <c r="AE2056" s="1392" t="n"/>
      <c r="AF2056" s="1392" t="n"/>
      <c r="AG2056" s="1392" t="n"/>
      <c r="AH2056" s="1392" t="n"/>
      <c r="AI2056" s="1392" t="n"/>
      <c r="AJ2056" s="1392" t="n"/>
      <c r="AK2056" s="1392" t="n"/>
      <c r="AL2056" s="1392" t="n"/>
      <c r="AM2056" s="1392" t="n"/>
      <c r="AN2056" s="1392" t="n"/>
      <c r="AO2056" s="1392" t="n"/>
      <c r="AP2056" s="1392" t="n"/>
      <c r="AQ2056" s="1392" t="n"/>
      <c r="AR2056" s="1392" t="n"/>
      <c r="AS2056" s="1422" t="n"/>
      <c r="AT2056" s="1392" t="n"/>
      <c r="AU2056" s="1392" t="n"/>
      <c r="AV2056" s="1392" t="n"/>
      <c r="AW2056" s="1392" t="n"/>
      <c r="AX2056" s="1392" t="n"/>
      <c r="AY2056" s="1392" t="n"/>
      <c r="AZ2056" s="1392" t="n"/>
      <c r="BA2056" s="1392" t="n"/>
      <c r="BB2056" s="1422" t="n"/>
      <c r="BC2056" s="1392" t="n"/>
      <c r="BD2056" s="1392" t="n"/>
      <c r="BE2056" s="1392" t="n"/>
      <c r="BF2056" s="1392" t="n"/>
      <c r="BG2056" s="1392" t="n"/>
      <c r="BH2056" s="1392" t="n"/>
      <c r="BI2056" s="1392" t="n"/>
      <c r="BJ2056" s="1392" t="n"/>
      <c r="BK2056" s="1392" t="n"/>
      <c r="BL2056" s="1392" t="n"/>
      <c r="BM2056" s="1392" t="n"/>
      <c r="BN2056" s="1392" t="n"/>
      <c r="BO2056" s="1392" t="n"/>
      <c r="BP2056" s="1392" t="n"/>
      <c r="BQ2056" s="1392" t="n"/>
      <c r="BR2056" s="1392" t="n"/>
      <c r="BS2056" s="1392" t="n"/>
      <c r="BT2056" s="1392" t="n"/>
      <c r="BU2056" s="1416" t="n"/>
      <c r="BV2056" s="1392" t="n"/>
      <c r="BW2056" s="1392" t="n"/>
      <c r="BX2056" s="1392" t="n"/>
      <c r="BY2056" s="1392" t="n"/>
      <c r="BZ2056" s="1416" t="n"/>
      <c r="CA2056" s="1392" t="n"/>
      <c r="CB2056" s="1392" t="n"/>
      <c r="CC2056" s="1392" t="n"/>
      <c r="CD2056" s="1392" t="n"/>
      <c r="CE2056" s="1392" t="n"/>
      <c r="CF2056" s="1392" t="n"/>
      <c r="CG2056" s="1392" t="n"/>
      <c r="CH2056" s="1392" t="n"/>
      <c r="CI2056" s="1392" t="n"/>
      <c r="CJ2056" s="1392" t="n"/>
      <c r="CK2056" s="1392" t="n"/>
      <c r="CL2056" s="1392" t="n"/>
    </row>
    <row r="2057">
      <c r="A2057" s="5" t="inlineStr">
        <is>
          <t>.</t>
        </is>
      </c>
      <c r="B2057" s="5" t="inlineStr">
        <is>
          <t>.</t>
        </is>
      </c>
      <c r="C2057" s="1378">
        <f>IF(raw[[#This Row],[city]]="","-",IF(raw[[#This Row],[city]]="TODAY","-",C2056+1))</f>
        <v/>
      </c>
      <c r="D2057" s="1393" t="n"/>
      <c r="E2057" s="1394" t="n"/>
      <c r="F2057" s="1394" t="n"/>
      <c r="G2057" s="1393" t="n"/>
      <c r="H2057" s="1393" t="n"/>
      <c r="I2057" s="1393" t="n"/>
      <c r="J2057" s="1393" t="n"/>
      <c r="K2057" s="1395">
        <f>IF(raw[[#This Row],[city]]&lt;&gt;"",_xlfn.XLOOKUP($D2057,ccc[city],ccc[prov],"-"),"-")</f>
        <v/>
      </c>
      <c r="L2057" s="1395">
        <f>IF(raw[[#This Row],[city]]&lt;&gt;"",_xlfn.XLOOKUP($D2057,ccc[city],ccc[ctry],"-"),"-")</f>
        <v/>
      </c>
      <c r="M2057" s="1395">
        <f>IF(raw[[#This Row],[city]]&lt;&gt;"",_xlfn.XLOOKUP($D2057,ccc[city],ccc[cont],"-"),"-")</f>
        <v/>
      </c>
      <c r="N2057" s="1396">
        <f>IF(raw[[#This Row],[city]]="","-",IF(raw[[#This Row],[cont]]="B",raw[[#This Row],[cont]],"W"))</f>
        <v/>
      </c>
      <c r="O2057" s="1397">
        <f>IF(raw[[#This Row],[out]]=0,0,IF(raw[[#This Row],[out]]=raw[[#This Row],[in]],0.01,raw[[#This Row],[out]]-raw[[#This Row],[in]]))</f>
        <v/>
      </c>
      <c r="P2057" s="1397">
        <f>IF(raw[[#This Row],[in]]=0,0,MONTH(raw[[#This Row],[in]]))</f>
        <v/>
      </c>
      <c r="Q2057" s="1397">
        <f>IF(raw[[#This Row],[in]]=0,0,YEAR(raw[[#This Row],[in]]))</f>
        <v/>
      </c>
      <c r="R2057" s="1397">
        <f>INT(raw[[#This Row],[yr]]/10)*10</f>
        <v/>
      </c>
      <c r="S2057" s="1395">
        <f>IF(raw[[#This Row],[city]]="","-",IF(raw[[#This Row],[city]]&lt;&gt;_xlfn.XLOOKUP(raw[[#This Row],[home]],homes[home],homes[city],"-"),1,0))</f>
        <v/>
      </c>
      <c r="T2057" s="1398" t="inlineStr">
        <is>
          <t>.</t>
        </is>
      </c>
      <c r="U2057" s="1399">
        <f>IF(raw[[#This Row],[wb]]="w",raw[[#This Row],[stay]]+U2056,U2056)</f>
        <v/>
      </c>
      <c r="V2057" s="1400">
        <f>IF(raw[[#This Row],[out]]=0,V2056,(raw[[#This Row],[out]]-E$5))</f>
        <v/>
      </c>
      <c r="W2057" s="1401">
        <f>U2057/V2057</f>
        <v/>
      </c>
      <c r="X2057" s="1392" t="n"/>
      <c r="Y2057" s="1392" t="n"/>
      <c r="Z2057" s="1422" t="n"/>
      <c r="AA2057" s="1422" t="n"/>
      <c r="AB2057" s="1392" t="n"/>
      <c r="AC2057" s="1392" t="n"/>
      <c r="AD2057" s="1392" t="n"/>
      <c r="AE2057" s="1392" t="n"/>
      <c r="AF2057" s="1392" t="n"/>
      <c r="AG2057" s="1392" t="n"/>
      <c r="AH2057" s="1392" t="n"/>
      <c r="AI2057" s="1392" t="n"/>
      <c r="AJ2057" s="1392" t="n"/>
      <c r="AK2057" s="1392" t="n"/>
      <c r="AL2057" s="1392" t="n"/>
      <c r="AM2057" s="1392" t="n"/>
      <c r="AN2057" s="1392" t="n"/>
      <c r="AO2057" s="1392" t="n"/>
      <c r="AP2057" s="1392" t="n"/>
      <c r="AQ2057" s="1392" t="n"/>
      <c r="AR2057" s="1392" t="n"/>
      <c r="AS2057" s="1422" t="n"/>
      <c r="AT2057" s="1392" t="n"/>
      <c r="AU2057" s="1392" t="n"/>
      <c r="AV2057" s="1392" t="n"/>
      <c r="AW2057" s="1392" t="n"/>
      <c r="AX2057" s="1392" t="n"/>
      <c r="AY2057" s="1392" t="n"/>
      <c r="AZ2057" s="1392" t="n"/>
      <c r="BA2057" s="1392" t="n"/>
      <c r="BB2057" s="1422" t="n"/>
      <c r="BC2057" s="1392" t="n"/>
      <c r="BD2057" s="1392" t="n"/>
      <c r="BE2057" s="1392" t="n"/>
      <c r="BF2057" s="1392" t="n"/>
      <c r="BG2057" s="1392" t="n"/>
      <c r="BH2057" s="1392" t="n"/>
      <c r="BI2057" s="1392" t="n"/>
      <c r="BJ2057" s="1392" t="n"/>
      <c r="BK2057" s="1392" t="n"/>
      <c r="BL2057" s="1392" t="n"/>
      <c r="BM2057" s="1392" t="n"/>
      <c r="BN2057" s="1392" t="n"/>
      <c r="BO2057" s="1392" t="n"/>
      <c r="BP2057" s="1392" t="n"/>
      <c r="BQ2057" s="1392" t="n"/>
      <c r="BR2057" s="1392" t="n"/>
      <c r="BS2057" s="1392" t="n"/>
      <c r="BT2057" s="1392" t="n"/>
      <c r="BU2057" s="1416" t="n"/>
      <c r="BV2057" s="1392" t="n"/>
      <c r="BW2057" s="1392" t="n"/>
      <c r="BX2057" s="1392" t="n"/>
      <c r="BY2057" s="1392" t="n"/>
      <c r="BZ2057" s="1416" t="n"/>
      <c r="CA2057" s="1392" t="n"/>
      <c r="CB2057" s="1392" t="n"/>
      <c r="CC2057" s="1392" t="n"/>
      <c r="CD2057" s="1392" t="n"/>
      <c r="CE2057" s="1392" t="n"/>
      <c r="CF2057" s="1392" t="n"/>
      <c r="CG2057" s="1392" t="n"/>
      <c r="CH2057" s="1392" t="n"/>
      <c r="CI2057" s="1392" t="n"/>
      <c r="CJ2057" s="1392" t="n"/>
      <c r="CK2057" s="1392" t="n"/>
      <c r="CL2057" s="1392" t="n"/>
    </row>
    <row r="2058">
      <c r="A2058" s="5" t="inlineStr">
        <is>
          <t>.</t>
        </is>
      </c>
      <c r="B2058" s="5" t="inlineStr">
        <is>
          <t>.</t>
        </is>
      </c>
      <c r="C2058" s="1378">
        <f>IF(raw[[#This Row],[city]]="","-",IF(raw[[#This Row],[city]]="TODAY","-",C2057+1))</f>
        <v/>
      </c>
      <c r="D2058" s="1393" t="n"/>
      <c r="E2058" s="1394" t="n"/>
      <c r="F2058" s="1394" t="n"/>
      <c r="G2058" s="1393" t="n"/>
      <c r="H2058" s="1393" t="n"/>
      <c r="I2058" s="1393" t="n"/>
      <c r="J2058" s="1393" t="n"/>
      <c r="K2058" s="1395">
        <f>IF(raw[[#This Row],[city]]&lt;&gt;"",_xlfn.XLOOKUP($D2058,ccc[city],ccc[prov],"-"),"-")</f>
        <v/>
      </c>
      <c r="L2058" s="1395">
        <f>IF(raw[[#This Row],[city]]&lt;&gt;"",_xlfn.XLOOKUP($D2058,ccc[city],ccc[ctry],"-"),"-")</f>
        <v/>
      </c>
      <c r="M2058" s="1395">
        <f>IF(raw[[#This Row],[city]]&lt;&gt;"",_xlfn.XLOOKUP($D2058,ccc[city],ccc[cont],"-"),"-")</f>
        <v/>
      </c>
      <c r="N2058" s="1396">
        <f>IF(raw[[#This Row],[city]]="","-",IF(raw[[#This Row],[cont]]="B",raw[[#This Row],[cont]],"W"))</f>
        <v/>
      </c>
      <c r="O2058" s="1397">
        <f>IF(raw[[#This Row],[out]]=0,0,IF(raw[[#This Row],[out]]=raw[[#This Row],[in]],0.01,raw[[#This Row],[out]]-raw[[#This Row],[in]]))</f>
        <v/>
      </c>
      <c r="P2058" s="1397">
        <f>IF(raw[[#This Row],[in]]=0,0,MONTH(raw[[#This Row],[in]]))</f>
        <v/>
      </c>
      <c r="Q2058" s="1397">
        <f>IF(raw[[#This Row],[in]]=0,0,YEAR(raw[[#This Row],[in]]))</f>
        <v/>
      </c>
      <c r="R2058" s="1397">
        <f>INT(raw[[#This Row],[yr]]/10)*10</f>
        <v/>
      </c>
      <c r="S2058" s="1395">
        <f>IF(raw[[#This Row],[city]]="","-",IF(raw[[#This Row],[city]]&lt;&gt;_xlfn.XLOOKUP(raw[[#This Row],[home]],homes[home],homes[city],"-"),1,0))</f>
        <v/>
      </c>
      <c r="T2058" s="1398" t="inlineStr">
        <is>
          <t>.</t>
        </is>
      </c>
      <c r="U2058" s="1399">
        <f>IF(raw[[#This Row],[wb]]="w",raw[[#This Row],[stay]]+U2057,U2057)</f>
        <v/>
      </c>
      <c r="V2058" s="1400">
        <f>IF(raw[[#This Row],[out]]=0,V2057,(raw[[#This Row],[out]]-E$5))</f>
        <v/>
      </c>
      <c r="W2058" s="1401">
        <f>U2058/V2058</f>
        <v/>
      </c>
      <c r="X2058" s="1392" t="n"/>
      <c r="Y2058" s="1392" t="n"/>
      <c r="Z2058" s="1422" t="n"/>
      <c r="AA2058" s="1422" t="n"/>
      <c r="AB2058" s="1392" t="n"/>
      <c r="AC2058" s="1392" t="n"/>
      <c r="AD2058" s="1392" t="n"/>
      <c r="AE2058" s="1392" t="n"/>
      <c r="AF2058" s="1392" t="n"/>
      <c r="AG2058" s="1392" t="n"/>
      <c r="AH2058" s="1392" t="n"/>
      <c r="AI2058" s="1392" t="n"/>
      <c r="AJ2058" s="1392" t="n"/>
      <c r="AK2058" s="1392" t="n"/>
      <c r="AL2058" s="1392" t="n"/>
      <c r="AM2058" s="1392" t="n"/>
      <c r="AN2058" s="1392" t="n"/>
      <c r="AO2058" s="1392" t="n"/>
      <c r="AP2058" s="1392" t="n"/>
      <c r="AQ2058" s="1392" t="n"/>
      <c r="AR2058" s="1392" t="n"/>
      <c r="AS2058" s="1422" t="n"/>
      <c r="AT2058" s="1392" t="n"/>
      <c r="AU2058" s="1392" t="n"/>
      <c r="AV2058" s="1392" t="n"/>
      <c r="AW2058" s="1392" t="n"/>
      <c r="AX2058" s="1392" t="n"/>
      <c r="AY2058" s="1392" t="n"/>
      <c r="AZ2058" s="1392" t="n"/>
      <c r="BA2058" s="1392" t="n"/>
      <c r="BB2058" s="1422" t="n"/>
      <c r="BC2058" s="1392" t="n"/>
      <c r="BD2058" s="1392" t="n"/>
      <c r="BE2058" s="1392" t="n"/>
      <c r="BF2058" s="1392" t="n"/>
      <c r="BG2058" s="1392" t="n"/>
      <c r="BH2058" s="1392" t="n"/>
      <c r="BI2058" s="1392" t="n"/>
      <c r="BJ2058" s="1392" t="n"/>
      <c r="BK2058" s="1392" t="n"/>
      <c r="BL2058" s="1392" t="n"/>
      <c r="BM2058" s="1392" t="n"/>
      <c r="BN2058" s="1392" t="n"/>
      <c r="BO2058" s="1392" t="n"/>
      <c r="BP2058" s="1392" t="n"/>
      <c r="BQ2058" s="1392" t="n"/>
      <c r="BR2058" s="1392" t="n"/>
      <c r="BS2058" s="1392" t="n"/>
      <c r="BT2058" s="1392" t="n"/>
      <c r="BU2058" s="1416" t="n"/>
      <c r="BV2058" s="1392" t="n"/>
      <c r="BW2058" s="1392" t="n"/>
      <c r="BX2058" s="1392" t="n"/>
      <c r="BY2058" s="1392" t="n"/>
      <c r="BZ2058" s="1416" t="n"/>
      <c r="CA2058" s="1392" t="n"/>
      <c r="CB2058" s="1392" t="n"/>
      <c r="CC2058" s="1392" t="n"/>
      <c r="CD2058" s="1392" t="n"/>
      <c r="CE2058" s="1392" t="n"/>
      <c r="CF2058" s="1392" t="n"/>
      <c r="CG2058" s="1392" t="n"/>
      <c r="CH2058" s="1392" t="n"/>
      <c r="CI2058" s="1392" t="n"/>
      <c r="CJ2058" s="1392" t="n"/>
      <c r="CK2058" s="1392" t="n"/>
      <c r="CL2058" s="1392" t="n"/>
    </row>
    <row r="2059">
      <c r="A2059" s="5" t="inlineStr">
        <is>
          <t>.</t>
        </is>
      </c>
      <c r="B2059" s="5" t="inlineStr">
        <is>
          <t>.</t>
        </is>
      </c>
      <c r="C2059" s="1378">
        <f>IF(raw[[#This Row],[city]]="","-",IF(raw[[#This Row],[city]]="TODAY","-",C2058+1))</f>
        <v/>
      </c>
      <c r="D2059" s="1393" t="n"/>
      <c r="E2059" s="1394" t="n"/>
      <c r="F2059" s="1394" t="n"/>
      <c r="G2059" s="1393" t="n"/>
      <c r="H2059" s="1393" t="n"/>
      <c r="I2059" s="1393" t="n"/>
      <c r="J2059" s="1393" t="n"/>
      <c r="K2059" s="1395">
        <f>IF(raw[[#This Row],[city]]&lt;&gt;"",_xlfn.XLOOKUP($D2059,ccc[city],ccc[prov],"-"),"-")</f>
        <v/>
      </c>
      <c r="L2059" s="1395">
        <f>IF(raw[[#This Row],[city]]&lt;&gt;"",_xlfn.XLOOKUP($D2059,ccc[city],ccc[ctry],"-"),"-")</f>
        <v/>
      </c>
      <c r="M2059" s="1395">
        <f>IF(raw[[#This Row],[city]]&lt;&gt;"",_xlfn.XLOOKUP($D2059,ccc[city],ccc[cont],"-"),"-")</f>
        <v/>
      </c>
      <c r="N2059" s="1396">
        <f>IF(raw[[#This Row],[city]]="","-",IF(raw[[#This Row],[cont]]="B",raw[[#This Row],[cont]],"W"))</f>
        <v/>
      </c>
      <c r="O2059" s="1397">
        <f>IF(raw[[#This Row],[out]]=0,0,IF(raw[[#This Row],[out]]=raw[[#This Row],[in]],0.01,raw[[#This Row],[out]]-raw[[#This Row],[in]]))</f>
        <v/>
      </c>
      <c r="P2059" s="1397">
        <f>IF(raw[[#This Row],[in]]=0,0,MONTH(raw[[#This Row],[in]]))</f>
        <v/>
      </c>
      <c r="Q2059" s="1397">
        <f>IF(raw[[#This Row],[in]]=0,0,YEAR(raw[[#This Row],[in]]))</f>
        <v/>
      </c>
      <c r="R2059" s="1397">
        <f>INT(raw[[#This Row],[yr]]/10)*10</f>
        <v/>
      </c>
      <c r="S2059" s="1395">
        <f>IF(raw[[#This Row],[city]]="","-",IF(raw[[#This Row],[city]]&lt;&gt;_xlfn.XLOOKUP(raw[[#This Row],[home]],homes[home],homes[city],"-"),1,0))</f>
        <v/>
      </c>
      <c r="T2059" s="1398" t="inlineStr">
        <is>
          <t>.</t>
        </is>
      </c>
      <c r="U2059" s="1399">
        <f>IF(raw[[#This Row],[wb]]="w",raw[[#This Row],[stay]]+U2058,U2058)</f>
        <v/>
      </c>
      <c r="V2059" s="1400">
        <f>IF(raw[[#This Row],[out]]=0,V2058,(raw[[#This Row],[out]]-E$5))</f>
        <v/>
      </c>
      <c r="W2059" s="1401">
        <f>U2059/V2059</f>
        <v/>
      </c>
      <c r="X2059" s="1392" t="n"/>
      <c r="Y2059" s="1392" t="n"/>
      <c r="Z2059" s="1422" t="n"/>
      <c r="AA2059" s="1422" t="n"/>
      <c r="AB2059" s="1392" t="n"/>
      <c r="AC2059" s="1392" t="n"/>
      <c r="AD2059" s="1392" t="n"/>
      <c r="AE2059" s="1392" t="n"/>
      <c r="AF2059" s="1392" t="n"/>
      <c r="AG2059" s="1392" t="n"/>
      <c r="AH2059" s="1392" t="n"/>
      <c r="AI2059" s="1392" t="n"/>
      <c r="AJ2059" s="1392" t="n"/>
      <c r="AK2059" s="1392" t="n"/>
      <c r="AL2059" s="1392" t="n"/>
      <c r="AM2059" s="1392" t="n"/>
      <c r="AN2059" s="1392" t="n"/>
      <c r="AO2059" s="1392" t="n"/>
      <c r="AP2059" s="1392" t="n"/>
      <c r="AQ2059" s="1392" t="n"/>
      <c r="AR2059" s="1392" t="n"/>
      <c r="AS2059" s="1422" t="n"/>
      <c r="AT2059" s="1392" t="n"/>
      <c r="AU2059" s="1392" t="n"/>
      <c r="AV2059" s="1392" t="n"/>
      <c r="AW2059" s="1392" t="n"/>
      <c r="AX2059" s="1392" t="n"/>
      <c r="AY2059" s="1392" t="n"/>
      <c r="AZ2059" s="1392" t="n"/>
      <c r="BA2059" s="1392" t="n"/>
      <c r="BB2059" s="1422" t="n"/>
      <c r="BC2059" s="1392" t="n"/>
      <c r="BD2059" s="1392" t="n"/>
      <c r="BE2059" s="1392" t="n"/>
      <c r="BF2059" s="1392" t="n"/>
      <c r="BG2059" s="1392" t="n"/>
      <c r="BH2059" s="1392" t="n"/>
      <c r="BI2059" s="1392" t="n"/>
      <c r="BJ2059" s="1392" t="n"/>
      <c r="BK2059" s="1392" t="n"/>
      <c r="BL2059" s="1392" t="n"/>
      <c r="BM2059" s="1392" t="n"/>
      <c r="BN2059" s="1392" t="n"/>
      <c r="BO2059" s="1392" t="n"/>
      <c r="BP2059" s="1392" t="n"/>
      <c r="BQ2059" s="1392" t="n"/>
      <c r="BR2059" s="1392" t="n"/>
      <c r="BS2059" s="1392" t="n"/>
      <c r="BT2059" s="1392" t="n"/>
      <c r="BU2059" s="1416" t="n"/>
      <c r="BV2059" s="1392" t="n"/>
      <c r="BW2059" s="1392" t="n"/>
      <c r="BX2059" s="1392" t="n"/>
      <c r="BY2059" s="1392" t="n"/>
      <c r="BZ2059" s="1416" t="n"/>
      <c r="CA2059" s="1392" t="n"/>
      <c r="CB2059" s="1392" t="n"/>
      <c r="CC2059" s="1392" t="n"/>
      <c r="CD2059" s="1392" t="n"/>
      <c r="CE2059" s="1392" t="n"/>
      <c r="CF2059" s="1392" t="n"/>
      <c r="CG2059" s="1392" t="n"/>
      <c r="CH2059" s="1392" t="n"/>
      <c r="CI2059" s="1392" t="n"/>
      <c r="CJ2059" s="1392" t="n"/>
      <c r="CK2059" s="1392" t="n"/>
      <c r="CL2059" s="1392" t="n"/>
    </row>
    <row r="2060">
      <c r="A2060" s="5" t="inlineStr">
        <is>
          <t>.</t>
        </is>
      </c>
      <c r="B2060" s="5" t="inlineStr">
        <is>
          <t>.</t>
        </is>
      </c>
      <c r="C2060" s="1378">
        <f>IF(raw[[#This Row],[city]]="","-",IF(raw[[#This Row],[city]]="TODAY","-",C2059+1))</f>
        <v/>
      </c>
      <c r="D2060" s="1393" t="n"/>
      <c r="E2060" s="1394" t="n"/>
      <c r="F2060" s="1394" t="n"/>
      <c r="G2060" s="1393" t="n"/>
      <c r="H2060" s="1393" t="n"/>
      <c r="I2060" s="1393" t="n"/>
      <c r="J2060" s="1393" t="n"/>
      <c r="K2060" s="1395">
        <f>IF(raw[[#This Row],[city]]&lt;&gt;"",_xlfn.XLOOKUP($D2060,ccc[city],ccc[prov],"-"),"-")</f>
        <v/>
      </c>
      <c r="L2060" s="1395">
        <f>IF(raw[[#This Row],[city]]&lt;&gt;"",_xlfn.XLOOKUP($D2060,ccc[city],ccc[ctry],"-"),"-")</f>
        <v/>
      </c>
      <c r="M2060" s="1395">
        <f>IF(raw[[#This Row],[city]]&lt;&gt;"",_xlfn.XLOOKUP($D2060,ccc[city],ccc[cont],"-"),"-")</f>
        <v/>
      </c>
      <c r="N2060" s="1396">
        <f>IF(raw[[#This Row],[city]]="","-",IF(raw[[#This Row],[cont]]="B",raw[[#This Row],[cont]],"W"))</f>
        <v/>
      </c>
      <c r="O2060" s="1397">
        <f>IF(raw[[#This Row],[out]]=0,0,IF(raw[[#This Row],[out]]=raw[[#This Row],[in]],0.01,raw[[#This Row],[out]]-raw[[#This Row],[in]]))</f>
        <v/>
      </c>
      <c r="P2060" s="1397">
        <f>IF(raw[[#This Row],[in]]=0,0,MONTH(raw[[#This Row],[in]]))</f>
        <v/>
      </c>
      <c r="Q2060" s="1397">
        <f>IF(raw[[#This Row],[in]]=0,0,YEAR(raw[[#This Row],[in]]))</f>
        <v/>
      </c>
      <c r="R2060" s="1397">
        <f>INT(raw[[#This Row],[yr]]/10)*10</f>
        <v/>
      </c>
      <c r="S2060" s="1395">
        <f>IF(raw[[#This Row],[city]]="","-",IF(raw[[#This Row],[city]]&lt;&gt;_xlfn.XLOOKUP(raw[[#This Row],[home]],homes[home],homes[city],"-"),1,0))</f>
        <v/>
      </c>
      <c r="T2060" s="1398" t="inlineStr">
        <is>
          <t>.</t>
        </is>
      </c>
      <c r="U2060" s="1399">
        <f>IF(raw[[#This Row],[wb]]="w",raw[[#This Row],[stay]]+U2059,U2059)</f>
        <v/>
      </c>
      <c r="V2060" s="1400">
        <f>IF(raw[[#This Row],[out]]=0,V2059,(raw[[#This Row],[out]]-E$5))</f>
        <v/>
      </c>
      <c r="W2060" s="1401">
        <f>U2060/V2060</f>
        <v/>
      </c>
      <c r="X2060" s="1392" t="n"/>
      <c r="Y2060" s="1392" t="n"/>
      <c r="Z2060" s="1422" t="n"/>
      <c r="AA2060" s="1422" t="n"/>
      <c r="AB2060" s="1392" t="n"/>
      <c r="AC2060" s="1392" t="n"/>
      <c r="AD2060" s="1392" t="n"/>
      <c r="AE2060" s="1392" t="n"/>
      <c r="AF2060" s="1392" t="n"/>
      <c r="AG2060" s="1392" t="n"/>
      <c r="AH2060" s="1392" t="n"/>
      <c r="AI2060" s="1392" t="n"/>
      <c r="AJ2060" s="1392" t="n"/>
      <c r="AK2060" s="1392" t="n"/>
      <c r="AL2060" s="1392" t="n"/>
      <c r="AM2060" s="1392" t="n"/>
      <c r="AN2060" s="1392" t="n"/>
      <c r="AO2060" s="1392" t="n"/>
      <c r="AP2060" s="1392" t="n"/>
      <c r="AQ2060" s="1392" t="n"/>
      <c r="AR2060" s="1392" t="n"/>
      <c r="AS2060" s="1422" t="n"/>
      <c r="AT2060" s="1392" t="n"/>
      <c r="AU2060" s="1392" t="n"/>
      <c r="AV2060" s="1392" t="n"/>
      <c r="AW2060" s="1392" t="n"/>
      <c r="AX2060" s="1392" t="n"/>
      <c r="AY2060" s="1392" t="n"/>
      <c r="AZ2060" s="1392" t="n"/>
      <c r="BA2060" s="1392" t="n"/>
      <c r="BB2060" s="1422" t="n"/>
      <c r="BC2060" s="1392" t="n"/>
      <c r="BD2060" s="1392" t="n"/>
      <c r="BE2060" s="1392" t="n"/>
      <c r="BF2060" s="1392" t="n"/>
      <c r="BG2060" s="1392" t="n"/>
      <c r="BH2060" s="1392" t="n"/>
      <c r="BI2060" s="1392" t="n"/>
      <c r="BJ2060" s="1392" t="n"/>
      <c r="BK2060" s="1392" t="n"/>
      <c r="BL2060" s="1392" t="n"/>
      <c r="BM2060" s="1392" t="n"/>
      <c r="BN2060" s="1392" t="n"/>
      <c r="BO2060" s="1392" t="n"/>
      <c r="BP2060" s="1392" t="n"/>
      <c r="BQ2060" s="1392" t="n"/>
      <c r="BR2060" s="1392" t="n"/>
      <c r="BS2060" s="1392" t="n"/>
      <c r="BT2060" s="1392" t="n"/>
      <c r="BU2060" s="1416" t="n"/>
      <c r="BV2060" s="1392" t="n"/>
      <c r="BW2060" s="1392" t="n"/>
      <c r="BX2060" s="1392" t="n"/>
      <c r="BY2060" s="1392" t="n"/>
      <c r="BZ2060" s="1416" t="n"/>
      <c r="CA2060" s="1392" t="n"/>
      <c r="CB2060" s="1392" t="n"/>
      <c r="CC2060" s="1392" t="n"/>
      <c r="CD2060" s="1392" t="n"/>
      <c r="CE2060" s="1392" t="n"/>
      <c r="CF2060" s="1392" t="n"/>
      <c r="CG2060" s="1392" t="n"/>
      <c r="CH2060" s="1392" t="n"/>
      <c r="CI2060" s="1392" t="n"/>
      <c r="CJ2060" s="1392" t="n"/>
      <c r="CK2060" s="1392" t="n"/>
      <c r="CL2060" s="1392" t="n"/>
    </row>
    <row r="2061">
      <c r="A2061" s="5" t="inlineStr">
        <is>
          <t>.</t>
        </is>
      </c>
      <c r="B2061" s="5" t="inlineStr">
        <is>
          <t>.</t>
        </is>
      </c>
      <c r="C2061" s="1378">
        <f>IF(raw[[#This Row],[city]]="","-",IF(raw[[#This Row],[city]]="TODAY","-",C2060+1))</f>
        <v/>
      </c>
      <c r="D2061" s="1393" t="n"/>
      <c r="E2061" s="1394" t="n"/>
      <c r="F2061" s="1394" t="n"/>
      <c r="G2061" s="1393" t="n"/>
      <c r="H2061" s="1393" t="n"/>
      <c r="I2061" s="1393" t="n"/>
      <c r="J2061" s="1393" t="n"/>
      <c r="K2061" s="1395">
        <f>IF(raw[[#This Row],[city]]&lt;&gt;"",_xlfn.XLOOKUP($D2061,ccc[city],ccc[prov],"-"),"-")</f>
        <v/>
      </c>
      <c r="L2061" s="1395">
        <f>IF(raw[[#This Row],[city]]&lt;&gt;"",_xlfn.XLOOKUP($D2061,ccc[city],ccc[ctry],"-"),"-")</f>
        <v/>
      </c>
      <c r="M2061" s="1395">
        <f>IF(raw[[#This Row],[city]]&lt;&gt;"",_xlfn.XLOOKUP($D2061,ccc[city],ccc[cont],"-"),"-")</f>
        <v/>
      </c>
      <c r="N2061" s="1396">
        <f>IF(raw[[#This Row],[city]]="","-",IF(raw[[#This Row],[cont]]="B",raw[[#This Row],[cont]],"W"))</f>
        <v/>
      </c>
      <c r="O2061" s="1397">
        <f>IF(raw[[#This Row],[out]]=0,0,IF(raw[[#This Row],[out]]=raw[[#This Row],[in]],0.01,raw[[#This Row],[out]]-raw[[#This Row],[in]]))</f>
        <v/>
      </c>
      <c r="P2061" s="1397">
        <f>IF(raw[[#This Row],[in]]=0,0,MONTH(raw[[#This Row],[in]]))</f>
        <v/>
      </c>
      <c r="Q2061" s="1397">
        <f>IF(raw[[#This Row],[in]]=0,0,YEAR(raw[[#This Row],[in]]))</f>
        <v/>
      </c>
      <c r="R2061" s="1397">
        <f>INT(raw[[#This Row],[yr]]/10)*10</f>
        <v/>
      </c>
      <c r="S2061" s="1395">
        <f>IF(raw[[#This Row],[city]]="","-",IF(raw[[#This Row],[city]]&lt;&gt;_xlfn.XLOOKUP(raw[[#This Row],[home]],homes[home],homes[city],"-"),1,0))</f>
        <v/>
      </c>
      <c r="T2061" s="1398" t="inlineStr">
        <is>
          <t>.</t>
        </is>
      </c>
      <c r="U2061" s="1399">
        <f>IF(raw[[#This Row],[wb]]="w",raw[[#This Row],[stay]]+U2060,U2060)</f>
        <v/>
      </c>
      <c r="V2061" s="1400">
        <f>IF(raw[[#This Row],[out]]=0,V2060,(raw[[#This Row],[out]]-E$5))</f>
        <v/>
      </c>
      <c r="W2061" s="1401">
        <f>U2061/V2061</f>
        <v/>
      </c>
      <c r="X2061" s="1392" t="n"/>
      <c r="Y2061" s="1392" t="n"/>
      <c r="Z2061" s="1422" t="n"/>
      <c r="AA2061" s="1422" t="n"/>
      <c r="AB2061" s="1392" t="n"/>
      <c r="AC2061" s="1392" t="n"/>
      <c r="AD2061" s="1392" t="n"/>
      <c r="AE2061" s="1392" t="n"/>
      <c r="AF2061" s="1392" t="n"/>
      <c r="AG2061" s="1392" t="n"/>
      <c r="AH2061" s="1392" t="n"/>
      <c r="AI2061" s="1392" t="n"/>
      <c r="AJ2061" s="1392" t="n"/>
      <c r="AK2061" s="1392" t="n"/>
      <c r="AL2061" s="1392" t="n"/>
      <c r="AM2061" s="1392" t="n"/>
      <c r="AN2061" s="1392" t="n"/>
      <c r="AO2061" s="1392" t="n"/>
      <c r="AP2061" s="1392" t="n"/>
      <c r="AQ2061" s="1392" t="n"/>
      <c r="AR2061" s="1392" t="n"/>
      <c r="AS2061" s="1422" t="n"/>
      <c r="AT2061" s="1392" t="n"/>
      <c r="AU2061" s="1392" t="n"/>
      <c r="AV2061" s="1392" t="n"/>
      <c r="AW2061" s="1392" t="n"/>
      <c r="AX2061" s="1392" t="n"/>
      <c r="AY2061" s="1392" t="n"/>
      <c r="AZ2061" s="1392" t="n"/>
      <c r="BA2061" s="1392" t="n"/>
      <c r="BB2061" s="1422" t="n"/>
      <c r="BC2061" s="1392" t="n"/>
      <c r="BD2061" s="1392" t="n"/>
      <c r="BE2061" s="1392" t="n"/>
      <c r="BF2061" s="1392" t="n"/>
      <c r="BG2061" s="1392" t="n"/>
      <c r="BH2061" s="1392" t="n"/>
      <c r="BI2061" s="1392" t="n"/>
      <c r="BJ2061" s="1392" t="n"/>
      <c r="BK2061" s="1392" t="n"/>
      <c r="BL2061" s="1392" t="n"/>
      <c r="BM2061" s="1392" t="n"/>
      <c r="BN2061" s="1392" t="n"/>
      <c r="BO2061" s="1392" t="n"/>
      <c r="BP2061" s="1392" t="n"/>
      <c r="BQ2061" s="1392" t="n"/>
      <c r="BR2061" s="1392" t="n"/>
      <c r="BS2061" s="1392" t="n"/>
      <c r="BT2061" s="1392" t="n"/>
      <c r="BU2061" s="1416" t="n"/>
      <c r="BV2061" s="1392" t="n"/>
      <c r="BW2061" s="1392" t="n"/>
      <c r="BX2061" s="1392" t="n"/>
      <c r="BY2061" s="1392" t="n"/>
      <c r="BZ2061" s="1416" t="n"/>
      <c r="CA2061" s="1392" t="n"/>
      <c r="CB2061" s="1392" t="n"/>
      <c r="CC2061" s="1392" t="n"/>
      <c r="CD2061" s="1392" t="n"/>
      <c r="CE2061" s="1392" t="n"/>
      <c r="CF2061" s="1392" t="n"/>
      <c r="CG2061" s="1392" t="n"/>
      <c r="CH2061" s="1392" t="n"/>
      <c r="CI2061" s="1392" t="n"/>
      <c r="CJ2061" s="1392" t="n"/>
      <c r="CK2061" s="1392" t="n"/>
      <c r="CL2061" s="1392" t="n"/>
    </row>
    <row r="2062">
      <c r="A2062" s="5" t="inlineStr">
        <is>
          <t>.</t>
        </is>
      </c>
      <c r="B2062" s="5" t="inlineStr">
        <is>
          <t>.</t>
        </is>
      </c>
      <c r="C2062" s="1378">
        <f>IF(raw[[#This Row],[city]]="","-",IF(raw[[#This Row],[city]]="TODAY","-",C2061+1))</f>
        <v/>
      </c>
      <c r="D2062" s="1393" t="n"/>
      <c r="E2062" s="1394" t="n"/>
      <c r="F2062" s="1394" t="n"/>
      <c r="G2062" s="1393" t="n"/>
      <c r="H2062" s="1393" t="n"/>
      <c r="I2062" s="1393" t="n"/>
      <c r="J2062" s="1393" t="n"/>
      <c r="K2062" s="1395">
        <f>IF(raw[[#This Row],[city]]&lt;&gt;"",_xlfn.XLOOKUP($D2062,ccc[city],ccc[prov],"-"),"-")</f>
        <v/>
      </c>
      <c r="L2062" s="1395">
        <f>IF(raw[[#This Row],[city]]&lt;&gt;"",_xlfn.XLOOKUP($D2062,ccc[city],ccc[ctry],"-"),"-")</f>
        <v/>
      </c>
      <c r="M2062" s="1395">
        <f>IF(raw[[#This Row],[city]]&lt;&gt;"",_xlfn.XLOOKUP($D2062,ccc[city],ccc[cont],"-"),"-")</f>
        <v/>
      </c>
      <c r="N2062" s="1396">
        <f>IF(raw[[#This Row],[city]]="","-",IF(raw[[#This Row],[cont]]="B",raw[[#This Row],[cont]],"W"))</f>
        <v/>
      </c>
      <c r="O2062" s="1397">
        <f>IF(raw[[#This Row],[out]]=0,0,IF(raw[[#This Row],[out]]=raw[[#This Row],[in]],0.01,raw[[#This Row],[out]]-raw[[#This Row],[in]]))</f>
        <v/>
      </c>
      <c r="P2062" s="1397">
        <f>IF(raw[[#This Row],[in]]=0,0,MONTH(raw[[#This Row],[in]]))</f>
        <v/>
      </c>
      <c r="Q2062" s="1397">
        <f>IF(raw[[#This Row],[in]]=0,0,YEAR(raw[[#This Row],[in]]))</f>
        <v/>
      </c>
      <c r="R2062" s="1397">
        <f>INT(raw[[#This Row],[yr]]/10)*10</f>
        <v/>
      </c>
      <c r="S2062" s="1395">
        <f>IF(raw[[#This Row],[city]]="","-",IF(raw[[#This Row],[city]]&lt;&gt;_xlfn.XLOOKUP(raw[[#This Row],[home]],homes[home],homes[city],"-"),1,0))</f>
        <v/>
      </c>
      <c r="T2062" s="1398" t="inlineStr">
        <is>
          <t>.</t>
        </is>
      </c>
      <c r="U2062" s="1399">
        <f>IF(raw[[#This Row],[wb]]="w",raw[[#This Row],[stay]]+U2061,U2061)</f>
        <v/>
      </c>
      <c r="V2062" s="1400">
        <f>IF(raw[[#This Row],[out]]=0,V2061,(raw[[#This Row],[out]]-E$5))</f>
        <v/>
      </c>
      <c r="W2062" s="1401">
        <f>U2062/V2062</f>
        <v/>
      </c>
      <c r="X2062" s="1392" t="n"/>
      <c r="Y2062" s="1392" t="n"/>
      <c r="Z2062" s="1422" t="n"/>
      <c r="AA2062" s="1422" t="n"/>
      <c r="AB2062" s="1392" t="n"/>
      <c r="AC2062" s="1392" t="n"/>
      <c r="AD2062" s="1392" t="n"/>
      <c r="AE2062" s="1392" t="n"/>
      <c r="AF2062" s="1392" t="n"/>
      <c r="AG2062" s="1392" t="n"/>
      <c r="AH2062" s="1392" t="n"/>
      <c r="AI2062" s="1392" t="n"/>
      <c r="AJ2062" s="1392" t="n"/>
      <c r="AK2062" s="1392" t="n"/>
      <c r="AL2062" s="1392" t="n"/>
      <c r="AM2062" s="1392" t="n"/>
      <c r="AN2062" s="1392" t="n"/>
      <c r="AO2062" s="1392" t="n"/>
      <c r="AP2062" s="1392" t="n"/>
      <c r="AQ2062" s="1392" t="n"/>
      <c r="AR2062" s="1392" t="n"/>
      <c r="AS2062" s="1422" t="n"/>
      <c r="AT2062" s="1392" t="n"/>
      <c r="AU2062" s="1392" t="n"/>
      <c r="AV2062" s="1392" t="n"/>
      <c r="AW2062" s="1392" t="n"/>
      <c r="AX2062" s="1392" t="n"/>
      <c r="AY2062" s="1392" t="n"/>
      <c r="AZ2062" s="1392" t="n"/>
      <c r="BA2062" s="1392" t="n"/>
      <c r="BB2062" s="1422" t="n"/>
      <c r="BC2062" s="1392" t="n"/>
      <c r="BD2062" s="1392" t="n"/>
      <c r="BE2062" s="1392" t="n"/>
      <c r="BF2062" s="1392" t="n"/>
      <c r="BG2062" s="1392" t="n"/>
      <c r="BH2062" s="1392" t="n"/>
      <c r="BI2062" s="1392" t="n"/>
      <c r="BJ2062" s="1392" t="n"/>
      <c r="BK2062" s="1392" t="n"/>
      <c r="BL2062" s="1392" t="n"/>
      <c r="BM2062" s="1392" t="n"/>
      <c r="BN2062" s="1392" t="n"/>
      <c r="BO2062" s="1392" t="n"/>
      <c r="BP2062" s="1392" t="n"/>
      <c r="BQ2062" s="1392" t="n"/>
      <c r="BR2062" s="1392" t="n"/>
      <c r="BS2062" s="1392" t="n"/>
      <c r="BT2062" s="1392" t="n"/>
      <c r="BU2062" s="1416" t="n"/>
      <c r="BV2062" s="1392" t="n"/>
      <c r="BW2062" s="1392" t="n"/>
      <c r="BX2062" s="1392" t="n"/>
      <c r="BY2062" s="1392" t="n"/>
      <c r="BZ2062" s="1416" t="n"/>
      <c r="CA2062" s="1392" t="n"/>
      <c r="CB2062" s="1392" t="n"/>
      <c r="CC2062" s="1392" t="n"/>
      <c r="CD2062" s="1392" t="n"/>
      <c r="CE2062" s="1392" t="n"/>
      <c r="CF2062" s="1392" t="n"/>
      <c r="CG2062" s="1392" t="n"/>
      <c r="CH2062" s="1392" t="n"/>
      <c r="CI2062" s="1392" t="n"/>
      <c r="CJ2062" s="1392" t="n"/>
      <c r="CK2062" s="1392" t="n"/>
      <c r="CL2062" s="1392" t="n"/>
    </row>
    <row r="2063">
      <c r="A2063" s="5" t="inlineStr">
        <is>
          <t>.</t>
        </is>
      </c>
      <c r="B2063" s="5" t="inlineStr">
        <is>
          <t>.</t>
        </is>
      </c>
      <c r="C2063" s="1378">
        <f>IF(raw[[#This Row],[city]]="","-",IF(raw[[#This Row],[city]]="TODAY","-",C2062+1))</f>
        <v/>
      </c>
      <c r="D2063" s="1393" t="n"/>
      <c r="E2063" s="1394" t="n"/>
      <c r="F2063" s="1394" t="n"/>
      <c r="G2063" s="1393" t="n"/>
      <c r="H2063" s="1393" t="n"/>
      <c r="I2063" s="1393" t="n"/>
      <c r="J2063" s="1393" t="n"/>
      <c r="K2063" s="1395">
        <f>IF(raw[[#This Row],[city]]&lt;&gt;"",_xlfn.XLOOKUP($D2063,ccc[city],ccc[prov],"-"),"-")</f>
        <v/>
      </c>
      <c r="L2063" s="1395">
        <f>IF(raw[[#This Row],[city]]&lt;&gt;"",_xlfn.XLOOKUP($D2063,ccc[city],ccc[ctry],"-"),"-")</f>
        <v/>
      </c>
      <c r="M2063" s="1395">
        <f>IF(raw[[#This Row],[city]]&lt;&gt;"",_xlfn.XLOOKUP($D2063,ccc[city],ccc[cont],"-"),"-")</f>
        <v/>
      </c>
      <c r="N2063" s="1396">
        <f>IF(raw[[#This Row],[city]]="","-",IF(raw[[#This Row],[cont]]="B",raw[[#This Row],[cont]],"W"))</f>
        <v/>
      </c>
      <c r="O2063" s="1397">
        <f>IF(raw[[#This Row],[out]]=0,0,IF(raw[[#This Row],[out]]=raw[[#This Row],[in]],0.01,raw[[#This Row],[out]]-raw[[#This Row],[in]]))</f>
        <v/>
      </c>
      <c r="P2063" s="1397">
        <f>IF(raw[[#This Row],[in]]=0,0,MONTH(raw[[#This Row],[in]]))</f>
        <v/>
      </c>
      <c r="Q2063" s="1397">
        <f>IF(raw[[#This Row],[in]]=0,0,YEAR(raw[[#This Row],[in]]))</f>
        <v/>
      </c>
      <c r="R2063" s="1397">
        <f>INT(raw[[#This Row],[yr]]/10)*10</f>
        <v/>
      </c>
      <c r="S2063" s="1395">
        <f>IF(raw[[#This Row],[city]]="","-",IF(raw[[#This Row],[city]]&lt;&gt;_xlfn.XLOOKUP(raw[[#This Row],[home]],homes[home],homes[city],"-"),1,0))</f>
        <v/>
      </c>
      <c r="T2063" s="1398" t="inlineStr">
        <is>
          <t>.</t>
        </is>
      </c>
      <c r="U2063" s="1399">
        <f>IF(raw[[#This Row],[wb]]="w",raw[[#This Row],[stay]]+U2062,U2062)</f>
        <v/>
      </c>
      <c r="V2063" s="1400">
        <f>IF(raw[[#This Row],[out]]=0,V2062,(raw[[#This Row],[out]]-E$5))</f>
        <v/>
      </c>
      <c r="W2063" s="1401">
        <f>U2063/V2063</f>
        <v/>
      </c>
      <c r="X2063" s="1392" t="n"/>
      <c r="Y2063" s="1392" t="n"/>
      <c r="Z2063" s="1422" t="n"/>
      <c r="AA2063" s="1422" t="n"/>
      <c r="AB2063" s="1392" t="n"/>
      <c r="AC2063" s="1392" t="n"/>
      <c r="AD2063" s="1392" t="n"/>
      <c r="AE2063" s="1392" t="n"/>
      <c r="AF2063" s="1392" t="n"/>
      <c r="AG2063" s="1392" t="n"/>
      <c r="AH2063" s="1392" t="n"/>
      <c r="AI2063" s="1392" t="n"/>
      <c r="AJ2063" s="1392" t="n"/>
      <c r="AK2063" s="1392" t="n"/>
      <c r="AL2063" s="1392" t="n"/>
      <c r="AM2063" s="1392" t="n"/>
      <c r="AN2063" s="1392" t="n"/>
      <c r="AO2063" s="1392" t="n"/>
      <c r="AP2063" s="1392" t="n"/>
      <c r="AQ2063" s="1392" t="n"/>
      <c r="AR2063" s="1392" t="n"/>
      <c r="AS2063" s="1422" t="n"/>
      <c r="AT2063" s="1392" t="n"/>
      <c r="AU2063" s="1392" t="n"/>
      <c r="AV2063" s="1392" t="n"/>
      <c r="AW2063" s="1392" t="n"/>
      <c r="AX2063" s="1392" t="n"/>
      <c r="AY2063" s="1392" t="n"/>
      <c r="AZ2063" s="1392" t="n"/>
      <c r="BA2063" s="1392" t="n"/>
      <c r="BB2063" s="1422" t="n"/>
      <c r="BC2063" s="1392" t="n"/>
      <c r="BD2063" s="1392" t="n"/>
      <c r="BE2063" s="1392" t="n"/>
      <c r="BF2063" s="1392" t="n"/>
      <c r="BG2063" s="1392" t="n"/>
      <c r="BH2063" s="1392" t="n"/>
      <c r="BI2063" s="1392" t="n"/>
      <c r="BJ2063" s="1392" t="n"/>
      <c r="BK2063" s="1392" t="n"/>
      <c r="BL2063" s="1392" t="n"/>
      <c r="BM2063" s="1392" t="n"/>
      <c r="BN2063" s="1392" t="n"/>
      <c r="BO2063" s="1392" t="n"/>
      <c r="BP2063" s="1392" t="n"/>
      <c r="BQ2063" s="1392" t="n"/>
      <c r="BR2063" s="1392" t="n"/>
      <c r="BS2063" s="1392" t="n"/>
      <c r="BT2063" s="1392" t="n"/>
      <c r="BU2063" s="1416" t="n"/>
      <c r="BV2063" s="1392" t="n"/>
      <c r="BW2063" s="1392" t="n"/>
      <c r="BX2063" s="1392" t="n"/>
      <c r="BY2063" s="1392" t="n"/>
      <c r="BZ2063" s="1416" t="n"/>
      <c r="CA2063" s="1392" t="n"/>
      <c r="CB2063" s="1392" t="n"/>
      <c r="CC2063" s="1392" t="n"/>
      <c r="CD2063" s="1392" t="n"/>
      <c r="CE2063" s="1392" t="n"/>
      <c r="CF2063" s="1392" t="n"/>
      <c r="CG2063" s="1392" t="n"/>
      <c r="CH2063" s="1392" t="n"/>
      <c r="CI2063" s="1392" t="n"/>
      <c r="CJ2063" s="1392" t="n"/>
      <c r="CK2063" s="1392" t="n"/>
      <c r="CL2063" s="1392" t="n"/>
    </row>
    <row r="2064">
      <c r="A2064" s="5" t="inlineStr">
        <is>
          <t>.</t>
        </is>
      </c>
      <c r="B2064" s="5" t="inlineStr">
        <is>
          <t>.</t>
        </is>
      </c>
      <c r="C2064" s="1378">
        <f>IF(raw[[#This Row],[city]]="","-",IF(raw[[#This Row],[city]]="TODAY","-",C2063+1))</f>
        <v/>
      </c>
      <c r="D2064" s="1393" t="n"/>
      <c r="E2064" s="1394" t="n"/>
      <c r="F2064" s="1394" t="n"/>
      <c r="G2064" s="1393" t="n"/>
      <c r="H2064" s="1393" t="n"/>
      <c r="I2064" s="1393" t="n"/>
      <c r="J2064" s="1393" t="n"/>
      <c r="K2064" s="1395">
        <f>IF(raw[[#This Row],[city]]&lt;&gt;"",_xlfn.XLOOKUP($D2064,ccc[city],ccc[prov],"-"),"-")</f>
        <v/>
      </c>
      <c r="L2064" s="1395">
        <f>IF(raw[[#This Row],[city]]&lt;&gt;"",_xlfn.XLOOKUP($D2064,ccc[city],ccc[ctry],"-"),"-")</f>
        <v/>
      </c>
      <c r="M2064" s="1395">
        <f>IF(raw[[#This Row],[city]]&lt;&gt;"",_xlfn.XLOOKUP($D2064,ccc[city],ccc[cont],"-"),"-")</f>
        <v/>
      </c>
      <c r="N2064" s="1396">
        <f>IF(raw[[#This Row],[city]]="","-",IF(raw[[#This Row],[cont]]="B",raw[[#This Row],[cont]],"W"))</f>
        <v/>
      </c>
      <c r="O2064" s="1397">
        <f>IF(raw[[#This Row],[out]]=0,0,IF(raw[[#This Row],[out]]=raw[[#This Row],[in]],0.01,raw[[#This Row],[out]]-raw[[#This Row],[in]]))</f>
        <v/>
      </c>
      <c r="P2064" s="1397">
        <f>IF(raw[[#This Row],[in]]=0,0,MONTH(raw[[#This Row],[in]]))</f>
        <v/>
      </c>
      <c r="Q2064" s="1397">
        <f>IF(raw[[#This Row],[in]]=0,0,YEAR(raw[[#This Row],[in]]))</f>
        <v/>
      </c>
      <c r="R2064" s="1397">
        <f>INT(raw[[#This Row],[yr]]/10)*10</f>
        <v/>
      </c>
      <c r="S2064" s="1395">
        <f>IF(raw[[#This Row],[city]]="","-",IF(raw[[#This Row],[city]]&lt;&gt;_xlfn.XLOOKUP(raw[[#This Row],[home]],homes[home],homes[city],"-"),1,0))</f>
        <v/>
      </c>
      <c r="T2064" s="1398" t="inlineStr">
        <is>
          <t>.</t>
        </is>
      </c>
      <c r="U2064" s="1399">
        <f>IF(raw[[#This Row],[wb]]="w",raw[[#This Row],[stay]]+U2063,U2063)</f>
        <v/>
      </c>
      <c r="V2064" s="1400">
        <f>IF(raw[[#This Row],[out]]=0,V2063,(raw[[#This Row],[out]]-E$5))</f>
        <v/>
      </c>
      <c r="W2064" s="1401">
        <f>U2064/V2064</f>
        <v/>
      </c>
      <c r="X2064" s="1392" t="n"/>
      <c r="Y2064" s="1392" t="n"/>
      <c r="Z2064" s="1422" t="n"/>
      <c r="AA2064" s="1422" t="n"/>
      <c r="AB2064" s="1392" t="n"/>
      <c r="AC2064" s="1392" t="n"/>
      <c r="AD2064" s="1392" t="n"/>
      <c r="AE2064" s="1392" t="n"/>
      <c r="AF2064" s="1392" t="n"/>
      <c r="AG2064" s="1392" t="n"/>
      <c r="AH2064" s="1392" t="n"/>
      <c r="AI2064" s="1392" t="n"/>
      <c r="AJ2064" s="1392" t="n"/>
      <c r="AK2064" s="1392" t="n"/>
      <c r="AL2064" s="1392" t="n"/>
      <c r="AM2064" s="1392" t="n"/>
      <c r="AN2064" s="1392" t="n"/>
      <c r="AO2064" s="1392" t="n"/>
      <c r="AP2064" s="1392" t="n"/>
      <c r="AQ2064" s="1392" t="n"/>
      <c r="AR2064" s="1392" t="n"/>
      <c r="AS2064" s="1422" t="n"/>
      <c r="AT2064" s="1392" t="n"/>
      <c r="AU2064" s="1392" t="n"/>
      <c r="AV2064" s="1392" t="n"/>
      <c r="AW2064" s="1392" t="n"/>
      <c r="AX2064" s="1392" t="n"/>
      <c r="AY2064" s="1392" t="n"/>
      <c r="AZ2064" s="1392" t="n"/>
      <c r="BA2064" s="1392" t="n"/>
      <c r="BB2064" s="1422" t="n"/>
      <c r="BC2064" s="1392" t="n"/>
      <c r="BD2064" s="1392" t="n"/>
      <c r="BE2064" s="1392" t="n"/>
      <c r="BF2064" s="1392" t="n"/>
      <c r="BG2064" s="1392" t="n"/>
      <c r="BH2064" s="1392" t="n"/>
      <c r="BI2064" s="1392" t="n"/>
      <c r="BJ2064" s="1392" t="n"/>
      <c r="BK2064" s="1392" t="n"/>
      <c r="BL2064" s="1392" t="n"/>
      <c r="BM2064" s="1392" t="n"/>
      <c r="BN2064" s="1392" t="n"/>
      <c r="BO2064" s="1392" t="n"/>
      <c r="BP2064" s="1392" t="n"/>
      <c r="BQ2064" s="1392" t="n"/>
      <c r="BR2064" s="1392" t="n"/>
      <c r="BS2064" s="1392" t="n"/>
      <c r="BT2064" s="1392" t="n"/>
      <c r="BU2064" s="1416" t="n"/>
      <c r="BV2064" s="1392" t="n"/>
      <c r="BW2064" s="1392" t="n"/>
      <c r="BX2064" s="1392" t="n"/>
      <c r="BY2064" s="1392" t="n"/>
      <c r="BZ2064" s="1416" t="n"/>
      <c r="CA2064" s="1392" t="n"/>
      <c r="CB2064" s="1392" t="n"/>
      <c r="CC2064" s="1392" t="n"/>
      <c r="CD2064" s="1392" t="n"/>
      <c r="CE2064" s="1392" t="n"/>
      <c r="CF2064" s="1392" t="n"/>
      <c r="CG2064" s="1392" t="n"/>
      <c r="CH2064" s="1392" t="n"/>
      <c r="CI2064" s="1392" t="n"/>
      <c r="CJ2064" s="1392" t="n"/>
      <c r="CK2064" s="1392" t="n"/>
      <c r="CL2064" s="1392" t="n"/>
    </row>
    <row r="2065">
      <c r="A2065" s="5" t="inlineStr">
        <is>
          <t>.</t>
        </is>
      </c>
      <c r="B2065" s="5" t="inlineStr">
        <is>
          <t>.</t>
        </is>
      </c>
      <c r="C2065" s="1378">
        <f>IF(raw[[#This Row],[city]]="","-",IF(raw[[#This Row],[city]]="TODAY","-",C2064+1))</f>
        <v/>
      </c>
      <c r="D2065" s="1393" t="n"/>
      <c r="E2065" s="1394" t="n"/>
      <c r="F2065" s="1394" t="n"/>
      <c r="G2065" s="1393" t="n"/>
      <c r="H2065" s="1393" t="n"/>
      <c r="I2065" s="1393" t="n"/>
      <c r="J2065" s="1393" t="n"/>
      <c r="K2065" s="1395">
        <f>IF(raw[[#This Row],[city]]&lt;&gt;"",_xlfn.XLOOKUP($D2065,ccc[city],ccc[prov],"-"),"-")</f>
        <v/>
      </c>
      <c r="L2065" s="1395">
        <f>IF(raw[[#This Row],[city]]&lt;&gt;"",_xlfn.XLOOKUP($D2065,ccc[city],ccc[ctry],"-"),"-")</f>
        <v/>
      </c>
      <c r="M2065" s="1395">
        <f>IF(raw[[#This Row],[city]]&lt;&gt;"",_xlfn.XLOOKUP($D2065,ccc[city],ccc[cont],"-"),"-")</f>
        <v/>
      </c>
      <c r="N2065" s="1396">
        <f>IF(raw[[#This Row],[city]]="","-",IF(raw[[#This Row],[cont]]="B",raw[[#This Row],[cont]],"W"))</f>
        <v/>
      </c>
      <c r="O2065" s="1397">
        <f>IF(raw[[#This Row],[out]]=0,0,IF(raw[[#This Row],[out]]=raw[[#This Row],[in]],0.01,raw[[#This Row],[out]]-raw[[#This Row],[in]]))</f>
        <v/>
      </c>
      <c r="P2065" s="1397">
        <f>IF(raw[[#This Row],[in]]=0,0,MONTH(raw[[#This Row],[in]]))</f>
        <v/>
      </c>
      <c r="Q2065" s="1397">
        <f>IF(raw[[#This Row],[in]]=0,0,YEAR(raw[[#This Row],[in]]))</f>
        <v/>
      </c>
      <c r="R2065" s="1397">
        <f>INT(raw[[#This Row],[yr]]/10)*10</f>
        <v/>
      </c>
      <c r="S2065" s="1395">
        <f>IF(raw[[#This Row],[city]]="","-",IF(raw[[#This Row],[city]]&lt;&gt;_xlfn.XLOOKUP(raw[[#This Row],[home]],homes[home],homes[city],"-"),1,0))</f>
        <v/>
      </c>
      <c r="T2065" s="1398" t="inlineStr">
        <is>
          <t>.</t>
        </is>
      </c>
      <c r="U2065" s="1399">
        <f>IF(raw[[#This Row],[wb]]="w",raw[[#This Row],[stay]]+U2064,U2064)</f>
        <v/>
      </c>
      <c r="V2065" s="1400">
        <f>IF(raw[[#This Row],[out]]=0,V2064,(raw[[#This Row],[out]]-E$5))</f>
        <v/>
      </c>
      <c r="W2065" s="1401">
        <f>U2065/V2065</f>
        <v/>
      </c>
      <c r="X2065" s="1392" t="n"/>
      <c r="Y2065" s="1392" t="n"/>
      <c r="Z2065" s="1422" t="n"/>
      <c r="AA2065" s="1422" t="n"/>
      <c r="AB2065" s="1392" t="n"/>
      <c r="AC2065" s="1392" t="n"/>
      <c r="AD2065" s="1392" t="n"/>
      <c r="AE2065" s="1392" t="n"/>
      <c r="AF2065" s="1392" t="n"/>
      <c r="AG2065" s="1392" t="n"/>
      <c r="AH2065" s="1392" t="n"/>
      <c r="AI2065" s="1392" t="n"/>
      <c r="AJ2065" s="1392" t="n"/>
      <c r="AK2065" s="1392" t="n"/>
      <c r="AL2065" s="1392" t="n"/>
      <c r="AM2065" s="1392" t="n"/>
      <c r="AN2065" s="1392" t="n"/>
      <c r="AO2065" s="1392" t="n"/>
      <c r="AP2065" s="1392" t="n"/>
      <c r="AQ2065" s="1392" t="n"/>
      <c r="AR2065" s="1392" t="n"/>
      <c r="AS2065" s="1422" t="n"/>
      <c r="AT2065" s="1392" t="n"/>
      <c r="AU2065" s="1392" t="n"/>
      <c r="AV2065" s="1392" t="n"/>
      <c r="AW2065" s="1392" t="n"/>
      <c r="AX2065" s="1392" t="n"/>
      <c r="AY2065" s="1392" t="n"/>
      <c r="AZ2065" s="1392" t="n"/>
      <c r="BA2065" s="1392" t="n"/>
      <c r="BB2065" s="1422" t="n"/>
      <c r="BC2065" s="1392" t="n"/>
      <c r="BD2065" s="1392" t="n"/>
      <c r="BE2065" s="1392" t="n"/>
      <c r="BF2065" s="1392" t="n"/>
      <c r="BG2065" s="1392" t="n"/>
      <c r="BH2065" s="1392" t="n"/>
      <c r="BI2065" s="1392" t="n"/>
      <c r="BJ2065" s="1392" t="n"/>
      <c r="BK2065" s="1392" t="n"/>
      <c r="BL2065" s="1392" t="n"/>
      <c r="BM2065" s="1392" t="n"/>
      <c r="BN2065" s="1392" t="n"/>
      <c r="BO2065" s="1392" t="n"/>
      <c r="BP2065" s="1392" t="n"/>
      <c r="BQ2065" s="1392" t="n"/>
      <c r="BR2065" s="1392" t="n"/>
      <c r="BS2065" s="1392" t="n"/>
      <c r="BT2065" s="1392" t="n"/>
      <c r="BU2065" s="1416" t="n"/>
      <c r="BV2065" s="1392" t="n"/>
      <c r="BW2065" s="1392" t="n"/>
      <c r="BX2065" s="1392" t="n"/>
      <c r="BY2065" s="1392" t="n"/>
      <c r="BZ2065" s="1416" t="n"/>
      <c r="CA2065" s="1392" t="n"/>
      <c r="CB2065" s="1392" t="n"/>
      <c r="CC2065" s="1392" t="n"/>
      <c r="CD2065" s="1392" t="n"/>
      <c r="CE2065" s="1392" t="n"/>
      <c r="CF2065" s="1392" t="n"/>
      <c r="CG2065" s="1392" t="n"/>
      <c r="CH2065" s="1392" t="n"/>
      <c r="CI2065" s="1392" t="n"/>
      <c r="CJ2065" s="1392" t="n"/>
      <c r="CK2065" s="1392" t="n"/>
      <c r="CL2065" s="1392" t="n"/>
    </row>
    <row r="2066">
      <c r="A2066" s="5" t="inlineStr">
        <is>
          <t>.</t>
        </is>
      </c>
      <c r="B2066" s="5" t="inlineStr">
        <is>
          <t>.</t>
        </is>
      </c>
      <c r="C2066" s="1378">
        <f>IF(raw[[#This Row],[city]]="","-",IF(raw[[#This Row],[city]]="TODAY","-",C2065+1))</f>
        <v/>
      </c>
      <c r="D2066" s="1393" t="n"/>
      <c r="E2066" s="1394" t="n"/>
      <c r="F2066" s="1394" t="n"/>
      <c r="G2066" s="1393" t="n"/>
      <c r="H2066" s="1393" t="n"/>
      <c r="I2066" s="1393" t="n"/>
      <c r="J2066" s="1393" t="n"/>
      <c r="K2066" s="1395">
        <f>IF(raw[[#This Row],[city]]&lt;&gt;"",_xlfn.XLOOKUP($D2066,ccc[city],ccc[prov],"-"),"-")</f>
        <v/>
      </c>
      <c r="L2066" s="1395">
        <f>IF(raw[[#This Row],[city]]&lt;&gt;"",_xlfn.XLOOKUP($D2066,ccc[city],ccc[ctry],"-"),"-")</f>
        <v/>
      </c>
      <c r="M2066" s="1395">
        <f>IF(raw[[#This Row],[city]]&lt;&gt;"",_xlfn.XLOOKUP($D2066,ccc[city],ccc[cont],"-"),"-")</f>
        <v/>
      </c>
      <c r="N2066" s="1396">
        <f>IF(raw[[#This Row],[city]]="","-",IF(raw[[#This Row],[cont]]="B",raw[[#This Row],[cont]],"W"))</f>
        <v/>
      </c>
      <c r="O2066" s="1397">
        <f>IF(raw[[#This Row],[out]]=0,0,IF(raw[[#This Row],[out]]=raw[[#This Row],[in]],0.01,raw[[#This Row],[out]]-raw[[#This Row],[in]]))</f>
        <v/>
      </c>
      <c r="P2066" s="1397">
        <f>IF(raw[[#This Row],[in]]=0,0,MONTH(raw[[#This Row],[in]]))</f>
        <v/>
      </c>
      <c r="Q2066" s="1397">
        <f>IF(raw[[#This Row],[in]]=0,0,YEAR(raw[[#This Row],[in]]))</f>
        <v/>
      </c>
      <c r="R2066" s="1397">
        <f>INT(raw[[#This Row],[yr]]/10)*10</f>
        <v/>
      </c>
      <c r="S2066" s="1395">
        <f>IF(raw[[#This Row],[city]]="","-",IF(raw[[#This Row],[city]]&lt;&gt;_xlfn.XLOOKUP(raw[[#This Row],[home]],homes[home],homes[city],"-"),1,0))</f>
        <v/>
      </c>
      <c r="T2066" s="1398" t="inlineStr">
        <is>
          <t>.</t>
        </is>
      </c>
      <c r="U2066" s="1399">
        <f>IF(raw[[#This Row],[wb]]="w",raw[[#This Row],[stay]]+U2065,U2065)</f>
        <v/>
      </c>
      <c r="V2066" s="1400">
        <f>IF(raw[[#This Row],[out]]=0,V2065,(raw[[#This Row],[out]]-E$5))</f>
        <v/>
      </c>
      <c r="W2066" s="1401">
        <f>U2066/V2066</f>
        <v/>
      </c>
      <c r="X2066" s="1392" t="n"/>
      <c r="Y2066" s="1392" t="n"/>
      <c r="Z2066" s="1422" t="n"/>
      <c r="AA2066" s="1422" t="n"/>
      <c r="AB2066" s="1392" t="n"/>
      <c r="AC2066" s="1392" t="n"/>
      <c r="AD2066" s="1392" t="n"/>
      <c r="AE2066" s="1392" t="n"/>
      <c r="AF2066" s="1392" t="n"/>
      <c r="AG2066" s="1392" t="n"/>
      <c r="AH2066" s="1392" t="n"/>
      <c r="AI2066" s="1392" t="n"/>
      <c r="AJ2066" s="1392" t="n"/>
      <c r="AK2066" s="1392" t="n"/>
      <c r="AL2066" s="1392" t="n"/>
      <c r="AM2066" s="1392" t="n"/>
      <c r="AN2066" s="1392" t="n"/>
      <c r="AO2066" s="1392" t="n"/>
      <c r="AP2066" s="1392" t="n"/>
      <c r="AQ2066" s="1392" t="n"/>
      <c r="AR2066" s="1392" t="n"/>
      <c r="AS2066" s="1422" t="n"/>
      <c r="AT2066" s="1392" t="n"/>
      <c r="AU2066" s="1392" t="n"/>
      <c r="AV2066" s="1392" t="n"/>
      <c r="AW2066" s="1392" t="n"/>
      <c r="AX2066" s="1392" t="n"/>
      <c r="AY2066" s="1392" t="n"/>
      <c r="AZ2066" s="1392" t="n"/>
      <c r="BA2066" s="1392" t="n"/>
      <c r="BB2066" s="1422" t="n"/>
      <c r="BC2066" s="1392" t="n"/>
      <c r="BD2066" s="1392" t="n"/>
      <c r="BE2066" s="1392" t="n"/>
      <c r="BF2066" s="1392" t="n"/>
      <c r="BG2066" s="1392" t="n"/>
      <c r="BH2066" s="1392" t="n"/>
      <c r="BI2066" s="1392" t="n"/>
      <c r="BJ2066" s="1392" t="n"/>
      <c r="BK2066" s="1392" t="n"/>
      <c r="BL2066" s="1392" t="n"/>
      <c r="BM2066" s="1392" t="n"/>
      <c r="BN2066" s="1392" t="n"/>
      <c r="BO2066" s="1392" t="n"/>
      <c r="BP2066" s="1392" t="n"/>
      <c r="BQ2066" s="1392" t="n"/>
      <c r="BR2066" s="1392" t="n"/>
      <c r="BS2066" s="1392" t="n"/>
      <c r="BT2066" s="1392" t="n"/>
      <c r="BU2066" s="1416" t="n"/>
      <c r="BV2066" s="1392" t="n"/>
      <c r="BW2066" s="1392" t="n"/>
      <c r="BX2066" s="1392" t="n"/>
      <c r="BY2066" s="1392" t="n"/>
      <c r="BZ2066" s="1416" t="n"/>
      <c r="CA2066" s="1392" t="n"/>
      <c r="CB2066" s="1392" t="n"/>
      <c r="CC2066" s="1392" t="n"/>
      <c r="CD2066" s="1392" t="n"/>
      <c r="CE2066" s="1392" t="n"/>
      <c r="CF2066" s="1392" t="n"/>
      <c r="CG2066" s="1392" t="n"/>
      <c r="CH2066" s="1392" t="n"/>
      <c r="CI2066" s="1392" t="n"/>
      <c r="CJ2066" s="1392" t="n"/>
      <c r="CK2066" s="1392" t="n"/>
      <c r="CL2066" s="1392" t="n"/>
    </row>
    <row r="2067">
      <c r="A2067" s="5" t="inlineStr">
        <is>
          <t>.</t>
        </is>
      </c>
      <c r="B2067" s="5" t="inlineStr">
        <is>
          <t>.</t>
        </is>
      </c>
      <c r="C2067" s="1378">
        <f>IF(raw[[#This Row],[city]]="","-",IF(raw[[#This Row],[city]]="TODAY","-",C2066+1))</f>
        <v/>
      </c>
      <c r="D2067" s="1393" t="n"/>
      <c r="E2067" s="1394" t="n"/>
      <c r="F2067" s="1394" t="n"/>
      <c r="G2067" s="1393" t="n"/>
      <c r="H2067" s="1393" t="n"/>
      <c r="I2067" s="1393" t="n"/>
      <c r="J2067" s="1393" t="n"/>
      <c r="K2067" s="1395">
        <f>IF(raw[[#This Row],[city]]&lt;&gt;"",_xlfn.XLOOKUP($D2067,ccc[city],ccc[prov],"-"),"-")</f>
        <v/>
      </c>
      <c r="L2067" s="1395">
        <f>IF(raw[[#This Row],[city]]&lt;&gt;"",_xlfn.XLOOKUP($D2067,ccc[city],ccc[ctry],"-"),"-")</f>
        <v/>
      </c>
      <c r="M2067" s="1395">
        <f>IF(raw[[#This Row],[city]]&lt;&gt;"",_xlfn.XLOOKUP($D2067,ccc[city],ccc[cont],"-"),"-")</f>
        <v/>
      </c>
      <c r="N2067" s="1396">
        <f>IF(raw[[#This Row],[city]]="","-",IF(raw[[#This Row],[cont]]="B",raw[[#This Row],[cont]],"W"))</f>
        <v/>
      </c>
      <c r="O2067" s="1397">
        <f>IF(raw[[#This Row],[out]]=0,0,IF(raw[[#This Row],[out]]=raw[[#This Row],[in]],0.01,raw[[#This Row],[out]]-raw[[#This Row],[in]]))</f>
        <v/>
      </c>
      <c r="P2067" s="1397">
        <f>IF(raw[[#This Row],[in]]=0,0,MONTH(raw[[#This Row],[in]]))</f>
        <v/>
      </c>
      <c r="Q2067" s="1397">
        <f>IF(raw[[#This Row],[in]]=0,0,YEAR(raw[[#This Row],[in]]))</f>
        <v/>
      </c>
      <c r="R2067" s="1397">
        <f>INT(raw[[#This Row],[yr]]/10)*10</f>
        <v/>
      </c>
      <c r="S2067" s="1395">
        <f>IF(raw[[#This Row],[city]]="","-",IF(raw[[#This Row],[city]]&lt;&gt;_xlfn.XLOOKUP(raw[[#This Row],[home]],homes[home],homes[city],"-"),1,0))</f>
        <v/>
      </c>
      <c r="T2067" s="1398" t="inlineStr">
        <is>
          <t>.</t>
        </is>
      </c>
      <c r="U2067" s="1399">
        <f>IF(raw[[#This Row],[wb]]="w",raw[[#This Row],[stay]]+U2066,U2066)</f>
        <v/>
      </c>
      <c r="V2067" s="1400">
        <f>IF(raw[[#This Row],[out]]=0,V2066,(raw[[#This Row],[out]]-E$5))</f>
        <v/>
      </c>
      <c r="W2067" s="1401">
        <f>U2067/V2067</f>
        <v/>
      </c>
      <c r="X2067" s="1392" t="n"/>
      <c r="Y2067" s="1392" t="n"/>
      <c r="Z2067" s="1422" t="n"/>
      <c r="AA2067" s="1422" t="n"/>
      <c r="AB2067" s="1392" t="n"/>
      <c r="AC2067" s="1392" t="n"/>
      <c r="AD2067" s="1392" t="n"/>
      <c r="AE2067" s="1392" t="n"/>
      <c r="AF2067" s="1392" t="n"/>
      <c r="AG2067" s="1392" t="n"/>
      <c r="AH2067" s="1392" t="n"/>
      <c r="AI2067" s="1392" t="n"/>
      <c r="AJ2067" s="1392" t="n"/>
      <c r="AK2067" s="1392" t="n"/>
      <c r="AL2067" s="1392" t="n"/>
      <c r="AM2067" s="1392" t="n"/>
      <c r="AN2067" s="1392" t="n"/>
      <c r="AO2067" s="1392" t="n"/>
      <c r="AP2067" s="1392" t="n"/>
      <c r="AQ2067" s="1392" t="n"/>
      <c r="AR2067" s="1392" t="n"/>
      <c r="AS2067" s="1422" t="n"/>
      <c r="AT2067" s="1392" t="n"/>
      <c r="AU2067" s="1392" t="n"/>
      <c r="AV2067" s="1392" t="n"/>
      <c r="AW2067" s="1392" t="n"/>
      <c r="AX2067" s="1392" t="n"/>
      <c r="AY2067" s="1392" t="n"/>
      <c r="AZ2067" s="1392" t="n"/>
      <c r="BA2067" s="1392" t="n"/>
      <c r="BB2067" s="1422" t="n"/>
      <c r="BC2067" s="1392" t="n"/>
      <c r="BD2067" s="1392" t="n"/>
      <c r="BE2067" s="1392" t="n"/>
      <c r="BF2067" s="1392" t="n"/>
      <c r="BG2067" s="1392" t="n"/>
      <c r="BH2067" s="1392" t="n"/>
      <c r="BI2067" s="1392" t="n"/>
      <c r="BJ2067" s="1392" t="n"/>
      <c r="BK2067" s="1392" t="n"/>
      <c r="BL2067" s="1392" t="n"/>
      <c r="BM2067" s="1392" t="n"/>
      <c r="BN2067" s="1392" t="n"/>
      <c r="BO2067" s="1392" t="n"/>
      <c r="BP2067" s="1392" t="n"/>
      <c r="BQ2067" s="1392" t="n"/>
      <c r="BR2067" s="1392" t="n"/>
      <c r="BS2067" s="1392" t="n"/>
      <c r="BT2067" s="1392" t="n"/>
      <c r="BU2067" s="1416" t="n"/>
      <c r="BV2067" s="1392" t="n"/>
      <c r="BW2067" s="1392" t="n"/>
      <c r="BX2067" s="1392" t="n"/>
      <c r="BY2067" s="1392" t="n"/>
      <c r="BZ2067" s="1416" t="n"/>
      <c r="CA2067" s="1392" t="n"/>
      <c r="CB2067" s="1392" t="n"/>
      <c r="CC2067" s="1392" t="n"/>
      <c r="CD2067" s="1392" t="n"/>
      <c r="CE2067" s="1392" t="n"/>
      <c r="CF2067" s="1392" t="n"/>
      <c r="CG2067" s="1392" t="n"/>
      <c r="CH2067" s="1392" t="n"/>
      <c r="CI2067" s="1392" t="n"/>
      <c r="CJ2067" s="1392" t="n"/>
      <c r="CK2067" s="1392" t="n"/>
      <c r="CL2067" s="1392" t="n"/>
    </row>
    <row r="2068">
      <c r="A2068" s="5" t="inlineStr">
        <is>
          <t>.</t>
        </is>
      </c>
      <c r="B2068" s="5" t="inlineStr">
        <is>
          <t>.</t>
        </is>
      </c>
      <c r="C2068" s="1378">
        <f>IF(raw[[#This Row],[city]]="","-",IF(raw[[#This Row],[city]]="TODAY","-",C2067+1))</f>
        <v/>
      </c>
      <c r="D2068" s="1393" t="n"/>
      <c r="E2068" s="1394" t="n"/>
      <c r="F2068" s="1394" t="n"/>
      <c r="G2068" s="1393" t="n"/>
      <c r="H2068" s="1393" t="n"/>
      <c r="I2068" s="1393" t="n"/>
      <c r="J2068" s="1393" t="n"/>
      <c r="K2068" s="1395">
        <f>IF(raw[[#This Row],[city]]&lt;&gt;"",_xlfn.XLOOKUP($D2068,ccc[city],ccc[prov],"-"),"-")</f>
        <v/>
      </c>
      <c r="L2068" s="1395">
        <f>IF(raw[[#This Row],[city]]&lt;&gt;"",_xlfn.XLOOKUP($D2068,ccc[city],ccc[ctry],"-"),"-")</f>
        <v/>
      </c>
      <c r="M2068" s="1395">
        <f>IF(raw[[#This Row],[city]]&lt;&gt;"",_xlfn.XLOOKUP($D2068,ccc[city],ccc[cont],"-"),"-")</f>
        <v/>
      </c>
      <c r="N2068" s="1396">
        <f>IF(raw[[#This Row],[city]]="","-",IF(raw[[#This Row],[cont]]="B",raw[[#This Row],[cont]],"W"))</f>
        <v/>
      </c>
      <c r="O2068" s="1397">
        <f>IF(raw[[#This Row],[out]]=0,0,IF(raw[[#This Row],[out]]=raw[[#This Row],[in]],0.01,raw[[#This Row],[out]]-raw[[#This Row],[in]]))</f>
        <v/>
      </c>
      <c r="P2068" s="1397">
        <f>IF(raw[[#This Row],[in]]=0,0,MONTH(raw[[#This Row],[in]]))</f>
        <v/>
      </c>
      <c r="Q2068" s="1397">
        <f>IF(raw[[#This Row],[in]]=0,0,YEAR(raw[[#This Row],[in]]))</f>
        <v/>
      </c>
      <c r="R2068" s="1397">
        <f>INT(raw[[#This Row],[yr]]/10)*10</f>
        <v/>
      </c>
      <c r="S2068" s="1395">
        <f>IF(raw[[#This Row],[city]]="","-",IF(raw[[#This Row],[city]]&lt;&gt;_xlfn.XLOOKUP(raw[[#This Row],[home]],homes[home],homes[city],"-"),1,0))</f>
        <v/>
      </c>
      <c r="T2068" s="1398" t="inlineStr">
        <is>
          <t>.</t>
        </is>
      </c>
      <c r="U2068" s="1399">
        <f>IF(raw[[#This Row],[wb]]="w",raw[[#This Row],[stay]]+U2067,U2067)</f>
        <v/>
      </c>
      <c r="V2068" s="1400">
        <f>IF(raw[[#This Row],[out]]=0,V2067,(raw[[#This Row],[out]]-E$5))</f>
        <v/>
      </c>
      <c r="W2068" s="1401">
        <f>U2068/V2068</f>
        <v/>
      </c>
      <c r="X2068" s="1392" t="n"/>
      <c r="Y2068" s="1392" t="n"/>
      <c r="Z2068" s="1422" t="n"/>
      <c r="AA2068" s="1422" t="n"/>
      <c r="AB2068" s="1392" t="n"/>
      <c r="AC2068" s="1392" t="n"/>
      <c r="AD2068" s="1392" t="n"/>
      <c r="AE2068" s="1392" t="n"/>
      <c r="AF2068" s="1392" t="n"/>
      <c r="AG2068" s="1392" t="n"/>
      <c r="AH2068" s="1392" t="n"/>
      <c r="AI2068" s="1392" t="n"/>
      <c r="AJ2068" s="1392" t="n"/>
      <c r="AK2068" s="1392" t="n"/>
      <c r="AL2068" s="1392" t="n"/>
      <c r="AM2068" s="1392" t="n"/>
      <c r="AN2068" s="1392" t="n"/>
      <c r="AO2068" s="1392" t="n"/>
      <c r="AP2068" s="1392" t="n"/>
      <c r="AQ2068" s="1392" t="n"/>
      <c r="AR2068" s="1392" t="n"/>
      <c r="AS2068" s="1422" t="n"/>
      <c r="AT2068" s="1392" t="n"/>
      <c r="AU2068" s="1392" t="n"/>
      <c r="AV2068" s="1392" t="n"/>
      <c r="AW2068" s="1392" t="n"/>
      <c r="AX2068" s="1392" t="n"/>
      <c r="AY2068" s="1392" t="n"/>
      <c r="AZ2068" s="1392" t="n"/>
      <c r="BA2068" s="1392" t="n"/>
      <c r="BB2068" s="1422" t="n"/>
      <c r="BC2068" s="1392" t="n"/>
      <c r="BD2068" s="1392" t="n"/>
      <c r="BE2068" s="1392" t="n"/>
      <c r="BF2068" s="1392" t="n"/>
      <c r="BG2068" s="1392" t="n"/>
      <c r="BH2068" s="1392" t="n"/>
      <c r="BI2068" s="1392" t="n"/>
      <c r="BJ2068" s="1392" t="n"/>
      <c r="BK2068" s="1392" t="n"/>
      <c r="BL2068" s="1392" t="n"/>
      <c r="BM2068" s="1392" t="n"/>
      <c r="BN2068" s="1392" t="n"/>
      <c r="BO2068" s="1392" t="n"/>
      <c r="BP2068" s="1392" t="n"/>
      <c r="BQ2068" s="1392" t="n"/>
      <c r="BR2068" s="1392" t="n"/>
      <c r="BS2068" s="1392" t="n"/>
      <c r="BT2068" s="1392" t="n"/>
      <c r="BU2068" s="1416" t="n"/>
      <c r="BV2068" s="1392" t="n"/>
      <c r="BW2068" s="1392" t="n"/>
      <c r="BX2068" s="1392" t="n"/>
      <c r="BY2068" s="1392" t="n"/>
      <c r="BZ2068" s="1416" t="n"/>
      <c r="CA2068" s="1392" t="n"/>
      <c r="CB2068" s="1392" t="n"/>
      <c r="CC2068" s="1392" t="n"/>
      <c r="CD2068" s="1392" t="n"/>
      <c r="CE2068" s="1392" t="n"/>
      <c r="CF2068" s="1392" t="n"/>
      <c r="CG2068" s="1392" t="n"/>
      <c r="CH2068" s="1392" t="n"/>
      <c r="CI2068" s="1392" t="n"/>
      <c r="CJ2068" s="1392" t="n"/>
      <c r="CK2068" s="1392" t="n"/>
      <c r="CL2068" s="1392" t="n"/>
    </row>
    <row r="2069">
      <c r="A2069" s="5" t="inlineStr">
        <is>
          <t>.</t>
        </is>
      </c>
      <c r="B2069" s="5" t="inlineStr">
        <is>
          <t>.</t>
        </is>
      </c>
      <c r="C2069" s="1378">
        <f>IF(raw[[#This Row],[city]]="","-",IF(raw[[#This Row],[city]]="TODAY","-",C2068+1))</f>
        <v/>
      </c>
      <c r="D2069" s="1393" t="n"/>
      <c r="E2069" s="1394" t="n"/>
      <c r="F2069" s="1394" t="n"/>
      <c r="G2069" s="1393" t="n"/>
      <c r="H2069" s="1393" t="n"/>
      <c r="I2069" s="1393" t="n"/>
      <c r="J2069" s="1393" t="n"/>
      <c r="K2069" s="1395">
        <f>IF(raw[[#This Row],[city]]&lt;&gt;"",_xlfn.XLOOKUP($D2069,ccc[city],ccc[prov],"-"),"-")</f>
        <v/>
      </c>
      <c r="L2069" s="1395">
        <f>IF(raw[[#This Row],[city]]&lt;&gt;"",_xlfn.XLOOKUP($D2069,ccc[city],ccc[ctry],"-"),"-")</f>
        <v/>
      </c>
      <c r="M2069" s="1395">
        <f>IF(raw[[#This Row],[city]]&lt;&gt;"",_xlfn.XLOOKUP($D2069,ccc[city],ccc[cont],"-"),"-")</f>
        <v/>
      </c>
      <c r="N2069" s="1396">
        <f>IF(raw[[#This Row],[city]]="","-",IF(raw[[#This Row],[cont]]="B",raw[[#This Row],[cont]],"W"))</f>
        <v/>
      </c>
      <c r="O2069" s="1397">
        <f>IF(raw[[#This Row],[out]]=0,0,IF(raw[[#This Row],[out]]=raw[[#This Row],[in]],0.01,raw[[#This Row],[out]]-raw[[#This Row],[in]]))</f>
        <v/>
      </c>
      <c r="P2069" s="1397">
        <f>IF(raw[[#This Row],[in]]=0,0,MONTH(raw[[#This Row],[in]]))</f>
        <v/>
      </c>
      <c r="Q2069" s="1397">
        <f>IF(raw[[#This Row],[in]]=0,0,YEAR(raw[[#This Row],[in]]))</f>
        <v/>
      </c>
      <c r="R2069" s="1397">
        <f>INT(raw[[#This Row],[yr]]/10)*10</f>
        <v/>
      </c>
      <c r="S2069" s="1395">
        <f>IF(raw[[#This Row],[city]]="","-",IF(raw[[#This Row],[city]]&lt;&gt;_xlfn.XLOOKUP(raw[[#This Row],[home]],homes[home],homes[city],"-"),1,0))</f>
        <v/>
      </c>
      <c r="T2069" s="1398" t="inlineStr">
        <is>
          <t>.</t>
        </is>
      </c>
      <c r="U2069" s="1399">
        <f>IF(raw[[#This Row],[wb]]="w",raw[[#This Row],[stay]]+U2068,U2068)</f>
        <v/>
      </c>
      <c r="V2069" s="1400">
        <f>IF(raw[[#This Row],[out]]=0,V2068,(raw[[#This Row],[out]]-E$5))</f>
        <v/>
      </c>
      <c r="W2069" s="1401">
        <f>U2069/V2069</f>
        <v/>
      </c>
      <c r="X2069" s="1392" t="n"/>
      <c r="Y2069" s="1392" t="n"/>
      <c r="Z2069" s="1422" t="n"/>
      <c r="AA2069" s="1422" t="n"/>
      <c r="AB2069" s="1392" t="n"/>
      <c r="AC2069" s="1392" t="n"/>
      <c r="AD2069" s="1392" t="n"/>
      <c r="AE2069" s="1392" t="n"/>
      <c r="AF2069" s="1392" t="n"/>
      <c r="AG2069" s="1392" t="n"/>
      <c r="AH2069" s="1392" t="n"/>
      <c r="AI2069" s="1392" t="n"/>
      <c r="AJ2069" s="1392" t="n"/>
      <c r="AK2069" s="1392" t="n"/>
      <c r="AL2069" s="1392" t="n"/>
      <c r="AM2069" s="1392" t="n"/>
      <c r="AN2069" s="1392" t="n"/>
      <c r="AO2069" s="1392" t="n"/>
      <c r="AP2069" s="1392" t="n"/>
      <c r="AQ2069" s="1392" t="n"/>
      <c r="AR2069" s="1392" t="n"/>
      <c r="AS2069" s="1422" t="n"/>
      <c r="AT2069" s="1392" t="n"/>
      <c r="AU2069" s="1392" t="n"/>
      <c r="AV2069" s="1392" t="n"/>
      <c r="AW2069" s="1392" t="n"/>
      <c r="AX2069" s="1392" t="n"/>
      <c r="AY2069" s="1392" t="n"/>
      <c r="AZ2069" s="1392" t="n"/>
      <c r="BA2069" s="1392" t="n"/>
      <c r="BB2069" s="1422" t="n"/>
      <c r="BC2069" s="1392" t="n"/>
      <c r="BD2069" s="1392" t="n"/>
      <c r="BE2069" s="1392" t="n"/>
      <c r="BF2069" s="1392" t="n"/>
      <c r="BG2069" s="1392" t="n"/>
      <c r="BH2069" s="1392" t="n"/>
      <c r="BI2069" s="1392" t="n"/>
      <c r="BJ2069" s="1392" t="n"/>
      <c r="BK2069" s="1392" t="n"/>
      <c r="BL2069" s="1392" t="n"/>
      <c r="BM2069" s="1392" t="n"/>
      <c r="BN2069" s="1392" t="n"/>
      <c r="BO2069" s="1392" t="n"/>
      <c r="BP2069" s="1392" t="n"/>
      <c r="BQ2069" s="1392" t="n"/>
      <c r="BR2069" s="1392" t="n"/>
      <c r="BS2069" s="1392" t="n"/>
      <c r="BT2069" s="1392" t="n"/>
      <c r="BU2069" s="1416" t="n"/>
      <c r="BV2069" s="1392" t="n"/>
      <c r="BW2069" s="1392" t="n"/>
      <c r="BX2069" s="1392" t="n"/>
      <c r="BY2069" s="1392" t="n"/>
      <c r="BZ2069" s="1416" t="n"/>
      <c r="CA2069" s="1392" t="n"/>
      <c r="CB2069" s="1392" t="n"/>
      <c r="CC2069" s="1392" t="n"/>
      <c r="CD2069" s="1392" t="n"/>
      <c r="CE2069" s="1392" t="n"/>
      <c r="CF2069" s="1392" t="n"/>
      <c r="CG2069" s="1392" t="n"/>
      <c r="CH2069" s="1392" t="n"/>
      <c r="CI2069" s="1392" t="n"/>
      <c r="CJ2069" s="1392" t="n"/>
      <c r="CK2069" s="1392" t="n"/>
      <c r="CL2069" s="1392" t="n"/>
    </row>
    <row r="2070">
      <c r="A2070" s="5" t="inlineStr">
        <is>
          <t>.</t>
        </is>
      </c>
      <c r="B2070" s="5" t="inlineStr">
        <is>
          <t>.</t>
        </is>
      </c>
      <c r="C2070" s="1378">
        <f>IF(raw[[#This Row],[city]]="","-",IF(raw[[#This Row],[city]]="TODAY","-",C2069+1))</f>
        <v/>
      </c>
      <c r="D2070" s="1393" t="n"/>
      <c r="E2070" s="1394" t="n"/>
      <c r="F2070" s="1394" t="n"/>
      <c r="G2070" s="1393" t="n"/>
      <c r="H2070" s="1393" t="n"/>
      <c r="I2070" s="1393" t="n"/>
      <c r="J2070" s="1393" t="n"/>
      <c r="K2070" s="1395">
        <f>IF(raw[[#This Row],[city]]&lt;&gt;"",_xlfn.XLOOKUP($D2070,ccc[city],ccc[prov],"-"),"-")</f>
        <v/>
      </c>
      <c r="L2070" s="1395">
        <f>IF(raw[[#This Row],[city]]&lt;&gt;"",_xlfn.XLOOKUP($D2070,ccc[city],ccc[ctry],"-"),"-")</f>
        <v/>
      </c>
      <c r="M2070" s="1395">
        <f>IF(raw[[#This Row],[city]]&lt;&gt;"",_xlfn.XLOOKUP($D2070,ccc[city],ccc[cont],"-"),"-")</f>
        <v/>
      </c>
      <c r="N2070" s="1396">
        <f>IF(raw[[#This Row],[city]]="","-",IF(raw[[#This Row],[cont]]="B",raw[[#This Row],[cont]],"W"))</f>
        <v/>
      </c>
      <c r="O2070" s="1397">
        <f>IF(raw[[#This Row],[out]]=0,0,IF(raw[[#This Row],[out]]=raw[[#This Row],[in]],0.01,raw[[#This Row],[out]]-raw[[#This Row],[in]]))</f>
        <v/>
      </c>
      <c r="P2070" s="1397">
        <f>IF(raw[[#This Row],[in]]=0,0,MONTH(raw[[#This Row],[in]]))</f>
        <v/>
      </c>
      <c r="Q2070" s="1397">
        <f>IF(raw[[#This Row],[in]]=0,0,YEAR(raw[[#This Row],[in]]))</f>
        <v/>
      </c>
      <c r="R2070" s="1397">
        <f>INT(raw[[#This Row],[yr]]/10)*10</f>
        <v/>
      </c>
      <c r="S2070" s="1395">
        <f>IF(raw[[#This Row],[city]]="","-",IF(raw[[#This Row],[city]]&lt;&gt;_xlfn.XLOOKUP(raw[[#This Row],[home]],homes[home],homes[city],"-"),1,0))</f>
        <v/>
      </c>
      <c r="T2070" s="1398" t="inlineStr">
        <is>
          <t>.</t>
        </is>
      </c>
      <c r="U2070" s="1399">
        <f>IF(raw[[#This Row],[wb]]="w",raw[[#This Row],[stay]]+U2069,U2069)</f>
        <v/>
      </c>
      <c r="V2070" s="1400">
        <f>IF(raw[[#This Row],[out]]=0,V2069,(raw[[#This Row],[out]]-E$5))</f>
        <v/>
      </c>
      <c r="W2070" s="1401">
        <f>U2070/V2070</f>
        <v/>
      </c>
      <c r="X2070" s="1392" t="n"/>
      <c r="Y2070" s="1392" t="n"/>
      <c r="Z2070" s="1422" t="n"/>
      <c r="AA2070" s="1422" t="n"/>
      <c r="AB2070" s="1392" t="n"/>
      <c r="AC2070" s="1392" t="n"/>
      <c r="AD2070" s="1392" t="n"/>
      <c r="AE2070" s="1392" t="n"/>
      <c r="AF2070" s="1392" t="n"/>
      <c r="AG2070" s="1392" t="n"/>
      <c r="AH2070" s="1392" t="n"/>
      <c r="AI2070" s="1392" t="n"/>
      <c r="AJ2070" s="1392" t="n"/>
      <c r="AK2070" s="1392" t="n"/>
      <c r="AL2070" s="1392" t="n"/>
      <c r="AM2070" s="1392" t="n"/>
      <c r="AN2070" s="1392" t="n"/>
      <c r="AO2070" s="1392" t="n"/>
      <c r="AP2070" s="1392" t="n"/>
      <c r="AQ2070" s="1392" t="n"/>
      <c r="AR2070" s="1392" t="n"/>
      <c r="AS2070" s="1422" t="n"/>
      <c r="AT2070" s="1392" t="n"/>
      <c r="AU2070" s="1392" t="n"/>
      <c r="AV2070" s="1392" t="n"/>
      <c r="AW2070" s="1392" t="n"/>
      <c r="AX2070" s="1392" t="n"/>
      <c r="AY2070" s="1392" t="n"/>
      <c r="AZ2070" s="1392" t="n"/>
      <c r="BA2070" s="1392" t="n"/>
      <c r="BB2070" s="1422" t="n"/>
      <c r="BC2070" s="1392" t="n"/>
      <c r="BD2070" s="1392" t="n"/>
      <c r="BE2070" s="1392" t="n"/>
      <c r="BF2070" s="1392" t="n"/>
      <c r="BG2070" s="1392" t="n"/>
      <c r="BH2070" s="1392" t="n"/>
      <c r="BI2070" s="1392" t="n"/>
      <c r="BJ2070" s="1392" t="n"/>
      <c r="BK2070" s="1392" t="n"/>
      <c r="BL2070" s="1392" t="n"/>
      <c r="BM2070" s="1392" t="n"/>
      <c r="BN2070" s="1392" t="n"/>
      <c r="BO2070" s="1392" t="n"/>
      <c r="BP2070" s="1392" t="n"/>
      <c r="BQ2070" s="1392" t="n"/>
      <c r="BR2070" s="1392" t="n"/>
      <c r="BS2070" s="1392" t="n"/>
      <c r="BT2070" s="1392" t="n"/>
      <c r="BU2070" s="1416" t="n"/>
      <c r="BV2070" s="1392" t="n"/>
      <c r="BW2070" s="1392" t="n"/>
      <c r="BX2070" s="1392" t="n"/>
      <c r="BY2070" s="1392" t="n"/>
      <c r="BZ2070" s="1416" t="n"/>
      <c r="CA2070" s="1392" t="n"/>
      <c r="CB2070" s="1392" t="n"/>
      <c r="CC2070" s="1392" t="n"/>
      <c r="CD2070" s="1392" t="n"/>
      <c r="CE2070" s="1392" t="n"/>
      <c r="CF2070" s="1392" t="n"/>
      <c r="CG2070" s="1392" t="n"/>
      <c r="CH2070" s="1392" t="n"/>
      <c r="CI2070" s="1392" t="n"/>
      <c r="CJ2070" s="1392" t="n"/>
      <c r="CK2070" s="1392" t="n"/>
      <c r="CL2070" s="1392" t="n"/>
    </row>
    <row r="2071">
      <c r="A2071" s="5" t="inlineStr">
        <is>
          <t>.</t>
        </is>
      </c>
      <c r="B2071" s="5" t="inlineStr">
        <is>
          <t>.</t>
        </is>
      </c>
      <c r="C2071" s="1378">
        <f>IF(raw[[#This Row],[city]]="","-",IF(raw[[#This Row],[city]]="TODAY","-",C2070+1))</f>
        <v/>
      </c>
      <c r="D2071" s="1393" t="n"/>
      <c r="E2071" s="1394" t="n"/>
      <c r="F2071" s="1394" t="n"/>
      <c r="G2071" s="1393" t="n"/>
      <c r="H2071" s="1393" t="n"/>
      <c r="I2071" s="1393" t="n"/>
      <c r="J2071" s="1393" t="n"/>
      <c r="K2071" s="1395">
        <f>IF(raw[[#This Row],[city]]&lt;&gt;"",_xlfn.XLOOKUP($D2071,ccc[city],ccc[prov],"-"),"-")</f>
        <v/>
      </c>
      <c r="L2071" s="1395">
        <f>IF(raw[[#This Row],[city]]&lt;&gt;"",_xlfn.XLOOKUP($D2071,ccc[city],ccc[ctry],"-"),"-")</f>
        <v/>
      </c>
      <c r="M2071" s="1395">
        <f>IF(raw[[#This Row],[city]]&lt;&gt;"",_xlfn.XLOOKUP($D2071,ccc[city],ccc[cont],"-"),"-")</f>
        <v/>
      </c>
      <c r="N2071" s="1396">
        <f>IF(raw[[#This Row],[city]]="","-",IF(raw[[#This Row],[cont]]="B",raw[[#This Row],[cont]],"W"))</f>
        <v/>
      </c>
      <c r="O2071" s="1397">
        <f>IF(raw[[#This Row],[out]]=0,0,IF(raw[[#This Row],[out]]=raw[[#This Row],[in]],0.01,raw[[#This Row],[out]]-raw[[#This Row],[in]]))</f>
        <v/>
      </c>
      <c r="P2071" s="1397">
        <f>IF(raw[[#This Row],[in]]=0,0,MONTH(raw[[#This Row],[in]]))</f>
        <v/>
      </c>
      <c r="Q2071" s="1397">
        <f>IF(raw[[#This Row],[in]]=0,0,YEAR(raw[[#This Row],[in]]))</f>
        <v/>
      </c>
      <c r="R2071" s="1397">
        <f>INT(raw[[#This Row],[yr]]/10)*10</f>
        <v/>
      </c>
      <c r="S2071" s="1395">
        <f>IF(raw[[#This Row],[city]]="","-",IF(raw[[#This Row],[city]]&lt;&gt;_xlfn.XLOOKUP(raw[[#This Row],[home]],homes[home],homes[city],"-"),1,0))</f>
        <v/>
      </c>
      <c r="T2071" s="1398" t="inlineStr">
        <is>
          <t>.</t>
        </is>
      </c>
      <c r="U2071" s="1399">
        <f>IF(raw[[#This Row],[wb]]="w",raw[[#This Row],[stay]]+U2070,U2070)</f>
        <v/>
      </c>
      <c r="V2071" s="1400">
        <f>IF(raw[[#This Row],[out]]=0,V2070,(raw[[#This Row],[out]]-E$5))</f>
        <v/>
      </c>
      <c r="W2071" s="1401">
        <f>U2071/V2071</f>
        <v/>
      </c>
      <c r="X2071" s="1392" t="n"/>
      <c r="Y2071" s="1392" t="n"/>
      <c r="Z2071" s="1422" t="n"/>
      <c r="AA2071" s="1422" t="n"/>
      <c r="AB2071" s="1392" t="n"/>
      <c r="AC2071" s="1392" t="n"/>
      <c r="AD2071" s="1392" t="n"/>
      <c r="AE2071" s="1392" t="n"/>
      <c r="AF2071" s="1392" t="n"/>
      <c r="AG2071" s="1392" t="n"/>
      <c r="AH2071" s="1392" t="n"/>
      <c r="AI2071" s="1392" t="n"/>
      <c r="AJ2071" s="1392" t="n"/>
      <c r="AK2071" s="1392" t="n"/>
      <c r="AL2071" s="1392" t="n"/>
      <c r="AM2071" s="1392" t="n"/>
      <c r="AN2071" s="1392" t="n"/>
      <c r="AO2071" s="1392" t="n"/>
      <c r="AP2071" s="1392" t="n"/>
      <c r="AQ2071" s="1392" t="n"/>
      <c r="AR2071" s="1392" t="n"/>
      <c r="AS2071" s="1422" t="n"/>
      <c r="AT2071" s="1392" t="n"/>
      <c r="AU2071" s="1392" t="n"/>
      <c r="AV2071" s="1392" t="n"/>
      <c r="AW2071" s="1392" t="n"/>
      <c r="AX2071" s="1392" t="n"/>
      <c r="AY2071" s="1392" t="n"/>
      <c r="AZ2071" s="1392" t="n"/>
      <c r="BA2071" s="1392" t="n"/>
      <c r="BB2071" s="1422" t="n"/>
      <c r="BC2071" s="1392" t="n"/>
      <c r="BD2071" s="1392" t="n"/>
      <c r="BE2071" s="1392" t="n"/>
      <c r="BF2071" s="1392" t="n"/>
      <c r="BG2071" s="1392" t="n"/>
      <c r="BH2071" s="1392" t="n"/>
      <c r="BI2071" s="1392" t="n"/>
      <c r="BJ2071" s="1392" t="n"/>
      <c r="BK2071" s="1392" t="n"/>
      <c r="BL2071" s="1392" t="n"/>
      <c r="BM2071" s="1392" t="n"/>
      <c r="BN2071" s="1392" t="n"/>
      <c r="BO2071" s="1392" t="n"/>
      <c r="BP2071" s="1392" t="n"/>
      <c r="BQ2071" s="1392" t="n"/>
      <c r="BR2071" s="1392" t="n"/>
      <c r="BS2071" s="1392" t="n"/>
      <c r="BT2071" s="1392" t="n"/>
      <c r="BU2071" s="1416" t="n"/>
      <c r="BV2071" s="1392" t="n"/>
      <c r="BW2071" s="1392" t="n"/>
      <c r="BX2071" s="1392" t="n"/>
      <c r="BY2071" s="1392" t="n"/>
      <c r="BZ2071" s="1416" t="n"/>
      <c r="CA2071" s="1392" t="n"/>
      <c r="CB2071" s="1392" t="n"/>
      <c r="CC2071" s="1392" t="n"/>
      <c r="CD2071" s="1392" t="n"/>
      <c r="CE2071" s="1392" t="n"/>
      <c r="CF2071" s="1392" t="n"/>
      <c r="CG2071" s="1392" t="n"/>
      <c r="CH2071" s="1392" t="n"/>
      <c r="CI2071" s="1392" t="n"/>
      <c r="CJ2071" s="1392" t="n"/>
      <c r="CK2071" s="1392" t="n"/>
      <c r="CL2071" s="1392" t="n"/>
    </row>
    <row r="2072">
      <c r="A2072" s="5" t="inlineStr">
        <is>
          <t>.</t>
        </is>
      </c>
      <c r="B2072" s="5" t="inlineStr">
        <is>
          <t>.</t>
        </is>
      </c>
      <c r="C2072" s="1378">
        <f>IF(raw[[#This Row],[city]]="","-",IF(raw[[#This Row],[city]]="TODAY","-",C2071+1))</f>
        <v/>
      </c>
      <c r="D2072" s="1393" t="n"/>
      <c r="E2072" s="1394" t="n"/>
      <c r="F2072" s="1394" t="n"/>
      <c r="G2072" s="1393" t="n"/>
      <c r="H2072" s="1393" t="n"/>
      <c r="I2072" s="1393" t="n"/>
      <c r="J2072" s="1393" t="n"/>
      <c r="K2072" s="1395">
        <f>IF(raw[[#This Row],[city]]&lt;&gt;"",_xlfn.XLOOKUP($D2072,ccc[city],ccc[prov],"-"),"-")</f>
        <v/>
      </c>
      <c r="L2072" s="1395">
        <f>IF(raw[[#This Row],[city]]&lt;&gt;"",_xlfn.XLOOKUP($D2072,ccc[city],ccc[ctry],"-"),"-")</f>
        <v/>
      </c>
      <c r="M2072" s="1395">
        <f>IF(raw[[#This Row],[city]]&lt;&gt;"",_xlfn.XLOOKUP($D2072,ccc[city],ccc[cont],"-"),"-")</f>
        <v/>
      </c>
      <c r="N2072" s="1396">
        <f>IF(raw[[#This Row],[city]]="","-",IF(raw[[#This Row],[cont]]="B",raw[[#This Row],[cont]],"W"))</f>
        <v/>
      </c>
      <c r="O2072" s="1397">
        <f>IF(raw[[#This Row],[out]]=0,0,IF(raw[[#This Row],[out]]=raw[[#This Row],[in]],0.01,raw[[#This Row],[out]]-raw[[#This Row],[in]]))</f>
        <v/>
      </c>
      <c r="P2072" s="1397">
        <f>IF(raw[[#This Row],[in]]=0,0,MONTH(raw[[#This Row],[in]]))</f>
        <v/>
      </c>
      <c r="Q2072" s="1397">
        <f>IF(raw[[#This Row],[in]]=0,0,YEAR(raw[[#This Row],[in]]))</f>
        <v/>
      </c>
      <c r="R2072" s="1397">
        <f>INT(raw[[#This Row],[yr]]/10)*10</f>
        <v/>
      </c>
      <c r="S2072" s="1395">
        <f>IF(raw[[#This Row],[city]]="","-",IF(raw[[#This Row],[city]]&lt;&gt;_xlfn.XLOOKUP(raw[[#This Row],[home]],homes[home],homes[city],"-"),1,0))</f>
        <v/>
      </c>
      <c r="T2072" s="1398" t="inlineStr">
        <is>
          <t>.</t>
        </is>
      </c>
      <c r="U2072" s="1399">
        <f>IF(raw[[#This Row],[wb]]="w",raw[[#This Row],[stay]]+U2071,U2071)</f>
        <v/>
      </c>
      <c r="V2072" s="1400">
        <f>IF(raw[[#This Row],[out]]=0,V2071,(raw[[#This Row],[out]]-E$5))</f>
        <v/>
      </c>
      <c r="W2072" s="1401">
        <f>U2072/V2072</f>
        <v/>
      </c>
      <c r="X2072" s="1392" t="n"/>
      <c r="Y2072" s="1392" t="n"/>
      <c r="Z2072" s="1422" t="n"/>
      <c r="AA2072" s="1422" t="n"/>
      <c r="AB2072" s="1392" t="n"/>
      <c r="AC2072" s="1392" t="n"/>
      <c r="AD2072" s="1392" t="n"/>
      <c r="AE2072" s="1392" t="n"/>
      <c r="AF2072" s="1392" t="n"/>
      <c r="AG2072" s="1392" t="n"/>
      <c r="AH2072" s="1392" t="n"/>
      <c r="AI2072" s="1392" t="n"/>
      <c r="AJ2072" s="1392" t="n"/>
      <c r="AK2072" s="1392" t="n"/>
      <c r="AL2072" s="1392" t="n"/>
      <c r="AM2072" s="1392" t="n"/>
      <c r="AN2072" s="1392" t="n"/>
      <c r="AO2072" s="1392" t="n"/>
      <c r="AP2072" s="1392" t="n"/>
      <c r="AQ2072" s="1392" t="n"/>
      <c r="AR2072" s="1392" t="n"/>
      <c r="AS2072" s="1422" t="n"/>
      <c r="AT2072" s="1392" t="n"/>
      <c r="AU2072" s="1392" t="n"/>
      <c r="AV2072" s="1392" t="n"/>
      <c r="AW2072" s="1392" t="n"/>
      <c r="AX2072" s="1392" t="n"/>
      <c r="AY2072" s="1392" t="n"/>
      <c r="AZ2072" s="1392" t="n"/>
      <c r="BA2072" s="1392" t="n"/>
      <c r="BB2072" s="1422" t="n"/>
      <c r="BC2072" s="1392" t="n"/>
      <c r="BD2072" s="1392" t="n"/>
      <c r="BE2072" s="1392" t="n"/>
      <c r="BF2072" s="1392" t="n"/>
      <c r="BG2072" s="1392" t="n"/>
      <c r="BH2072" s="1392" t="n"/>
      <c r="BI2072" s="1392" t="n"/>
      <c r="BJ2072" s="1392" t="n"/>
      <c r="BK2072" s="1392" t="n"/>
      <c r="BL2072" s="1392" t="n"/>
      <c r="BM2072" s="1392" t="n"/>
      <c r="BN2072" s="1392" t="n"/>
      <c r="BO2072" s="1392" t="n"/>
      <c r="BP2072" s="1392" t="n"/>
      <c r="BQ2072" s="1392" t="n"/>
      <c r="BR2072" s="1392" t="n"/>
      <c r="BS2072" s="1392" t="n"/>
      <c r="BT2072" s="1392" t="n"/>
      <c r="BU2072" s="1416" t="n"/>
      <c r="BV2072" s="1392" t="n"/>
      <c r="BW2072" s="1392" t="n"/>
      <c r="BX2072" s="1392" t="n"/>
      <c r="BY2072" s="1392" t="n"/>
      <c r="BZ2072" s="1416" t="n"/>
      <c r="CA2072" s="1392" t="n"/>
      <c r="CB2072" s="1392" t="n"/>
      <c r="CC2072" s="1392" t="n"/>
      <c r="CD2072" s="1392" t="n"/>
      <c r="CE2072" s="1392" t="n"/>
      <c r="CF2072" s="1392" t="n"/>
      <c r="CG2072" s="1392" t="n"/>
      <c r="CH2072" s="1392" t="n"/>
      <c r="CI2072" s="1392" t="n"/>
      <c r="CJ2072" s="1392" t="n"/>
      <c r="CK2072" s="1392" t="n"/>
      <c r="CL2072" s="1392" t="n"/>
    </row>
    <row r="2073">
      <c r="A2073" s="5" t="inlineStr">
        <is>
          <t>.</t>
        </is>
      </c>
      <c r="B2073" s="5" t="inlineStr">
        <is>
          <t>.</t>
        </is>
      </c>
      <c r="C2073" s="1378">
        <f>IF(raw[[#This Row],[city]]="","-",IF(raw[[#This Row],[city]]="TODAY","-",C2072+1))</f>
        <v/>
      </c>
      <c r="D2073" s="1393" t="n"/>
      <c r="E2073" s="1394" t="n"/>
      <c r="F2073" s="1394" t="n"/>
      <c r="G2073" s="1393" t="n"/>
      <c r="H2073" s="1393" t="n"/>
      <c r="I2073" s="1393" t="n"/>
      <c r="J2073" s="1393" t="n"/>
      <c r="K2073" s="1395">
        <f>IF(raw[[#This Row],[city]]&lt;&gt;"",_xlfn.XLOOKUP($D2073,ccc[city],ccc[prov],"-"),"-")</f>
        <v/>
      </c>
      <c r="L2073" s="1395">
        <f>IF(raw[[#This Row],[city]]&lt;&gt;"",_xlfn.XLOOKUP($D2073,ccc[city],ccc[ctry],"-"),"-")</f>
        <v/>
      </c>
      <c r="M2073" s="1395">
        <f>IF(raw[[#This Row],[city]]&lt;&gt;"",_xlfn.XLOOKUP($D2073,ccc[city],ccc[cont],"-"),"-")</f>
        <v/>
      </c>
      <c r="N2073" s="1396">
        <f>IF(raw[[#This Row],[city]]="","-",IF(raw[[#This Row],[cont]]="B",raw[[#This Row],[cont]],"W"))</f>
        <v/>
      </c>
      <c r="O2073" s="1397">
        <f>IF(raw[[#This Row],[out]]=0,0,IF(raw[[#This Row],[out]]=raw[[#This Row],[in]],0.01,raw[[#This Row],[out]]-raw[[#This Row],[in]]))</f>
        <v/>
      </c>
      <c r="P2073" s="1397">
        <f>IF(raw[[#This Row],[in]]=0,0,MONTH(raw[[#This Row],[in]]))</f>
        <v/>
      </c>
      <c r="Q2073" s="1397">
        <f>IF(raw[[#This Row],[in]]=0,0,YEAR(raw[[#This Row],[in]]))</f>
        <v/>
      </c>
      <c r="R2073" s="1397">
        <f>INT(raw[[#This Row],[yr]]/10)*10</f>
        <v/>
      </c>
      <c r="S2073" s="1395">
        <f>IF(raw[[#This Row],[city]]="","-",IF(raw[[#This Row],[city]]&lt;&gt;_xlfn.XLOOKUP(raw[[#This Row],[home]],homes[home],homes[city],"-"),1,0))</f>
        <v/>
      </c>
      <c r="T2073" s="1398" t="inlineStr">
        <is>
          <t>.</t>
        </is>
      </c>
      <c r="U2073" s="1399">
        <f>IF(raw[[#This Row],[wb]]="w",raw[[#This Row],[stay]]+U2072,U2072)</f>
        <v/>
      </c>
      <c r="V2073" s="1400">
        <f>IF(raw[[#This Row],[out]]=0,V2072,(raw[[#This Row],[out]]-E$5))</f>
        <v/>
      </c>
      <c r="W2073" s="1401">
        <f>U2073/V2073</f>
        <v/>
      </c>
      <c r="X2073" s="1392" t="n"/>
      <c r="Y2073" s="1392" t="n"/>
      <c r="Z2073" s="1422" t="n"/>
      <c r="AA2073" s="1422" t="n"/>
      <c r="AB2073" s="1392" t="n"/>
      <c r="AC2073" s="1392" t="n"/>
      <c r="AD2073" s="1392" t="n"/>
      <c r="AE2073" s="1392" t="n"/>
      <c r="AF2073" s="1392" t="n"/>
      <c r="AG2073" s="1392" t="n"/>
      <c r="AH2073" s="1392" t="n"/>
      <c r="AI2073" s="1392" t="n"/>
      <c r="AJ2073" s="1392" t="n"/>
      <c r="AK2073" s="1392" t="n"/>
      <c r="AL2073" s="1392" t="n"/>
      <c r="AM2073" s="1392" t="n"/>
      <c r="AN2073" s="1392" t="n"/>
      <c r="AO2073" s="1392" t="n"/>
      <c r="AP2073" s="1392" t="n"/>
      <c r="AQ2073" s="1392" t="n"/>
      <c r="AR2073" s="1392" t="n"/>
      <c r="AS2073" s="1422" t="n"/>
      <c r="AT2073" s="1392" t="n"/>
      <c r="AU2073" s="1392" t="n"/>
      <c r="AV2073" s="1392" t="n"/>
      <c r="AW2073" s="1392" t="n"/>
      <c r="AX2073" s="1392" t="n"/>
      <c r="AY2073" s="1392" t="n"/>
      <c r="AZ2073" s="1392" t="n"/>
      <c r="BA2073" s="1392" t="n"/>
      <c r="BB2073" s="1422" t="n"/>
      <c r="BC2073" s="1392" t="n"/>
      <c r="BD2073" s="1392" t="n"/>
      <c r="BE2073" s="1392" t="n"/>
      <c r="BF2073" s="1392" t="n"/>
      <c r="BG2073" s="1392" t="n"/>
      <c r="BH2073" s="1392" t="n"/>
      <c r="BI2073" s="1392" t="n"/>
      <c r="BJ2073" s="1392" t="n"/>
      <c r="BK2073" s="1392" t="n"/>
      <c r="BL2073" s="1392" t="n"/>
      <c r="BM2073" s="1392" t="n"/>
      <c r="BN2073" s="1392" t="n"/>
      <c r="BO2073" s="1392" t="n"/>
      <c r="BP2073" s="1392" t="n"/>
      <c r="BQ2073" s="1392" t="n"/>
      <c r="BR2073" s="1392" t="n"/>
      <c r="BS2073" s="1392" t="n"/>
      <c r="BT2073" s="1392" t="n"/>
      <c r="BU2073" s="1416" t="n"/>
      <c r="BV2073" s="1392" t="n"/>
      <c r="BW2073" s="1392" t="n"/>
      <c r="BX2073" s="1392" t="n"/>
      <c r="BY2073" s="1392" t="n"/>
      <c r="BZ2073" s="1416" t="n"/>
      <c r="CA2073" s="1392" t="n"/>
      <c r="CB2073" s="1392" t="n"/>
      <c r="CC2073" s="1392" t="n"/>
      <c r="CD2073" s="1392" t="n"/>
      <c r="CE2073" s="1392" t="n"/>
      <c r="CF2073" s="1392" t="n"/>
      <c r="CG2073" s="1392" t="n"/>
      <c r="CH2073" s="1392" t="n"/>
      <c r="CI2073" s="1392" t="n"/>
      <c r="CJ2073" s="1392" t="n"/>
      <c r="CK2073" s="1392" t="n"/>
      <c r="CL2073" s="1392" t="n"/>
    </row>
    <row r="2074">
      <c r="A2074" s="5" t="inlineStr">
        <is>
          <t>.</t>
        </is>
      </c>
      <c r="B2074" s="5" t="inlineStr">
        <is>
          <t>.</t>
        </is>
      </c>
      <c r="C2074" s="1378">
        <f>IF(raw[[#This Row],[city]]="","-",IF(raw[[#This Row],[city]]="TODAY","-",C2073+1))</f>
        <v/>
      </c>
      <c r="D2074" s="1393" t="n"/>
      <c r="E2074" s="1394" t="n"/>
      <c r="F2074" s="1394" t="n"/>
      <c r="G2074" s="1393" t="n"/>
      <c r="H2074" s="1393" t="n"/>
      <c r="I2074" s="1393" t="n"/>
      <c r="J2074" s="1393" t="n"/>
      <c r="K2074" s="1395">
        <f>IF(raw[[#This Row],[city]]&lt;&gt;"",_xlfn.XLOOKUP($D2074,ccc[city],ccc[prov],"-"),"-")</f>
        <v/>
      </c>
      <c r="L2074" s="1395">
        <f>IF(raw[[#This Row],[city]]&lt;&gt;"",_xlfn.XLOOKUP($D2074,ccc[city],ccc[ctry],"-"),"-")</f>
        <v/>
      </c>
      <c r="M2074" s="1395">
        <f>IF(raw[[#This Row],[city]]&lt;&gt;"",_xlfn.XLOOKUP($D2074,ccc[city],ccc[cont],"-"),"-")</f>
        <v/>
      </c>
      <c r="N2074" s="1396">
        <f>IF(raw[[#This Row],[city]]="","-",IF(raw[[#This Row],[cont]]="B",raw[[#This Row],[cont]],"W"))</f>
        <v/>
      </c>
      <c r="O2074" s="1397">
        <f>IF(raw[[#This Row],[out]]=0,0,IF(raw[[#This Row],[out]]=raw[[#This Row],[in]],0.01,raw[[#This Row],[out]]-raw[[#This Row],[in]]))</f>
        <v/>
      </c>
      <c r="P2074" s="1397">
        <f>IF(raw[[#This Row],[in]]=0,0,MONTH(raw[[#This Row],[in]]))</f>
        <v/>
      </c>
      <c r="Q2074" s="1397">
        <f>IF(raw[[#This Row],[in]]=0,0,YEAR(raw[[#This Row],[in]]))</f>
        <v/>
      </c>
      <c r="R2074" s="1397">
        <f>INT(raw[[#This Row],[yr]]/10)*10</f>
        <v/>
      </c>
      <c r="S2074" s="1395">
        <f>IF(raw[[#This Row],[city]]="","-",IF(raw[[#This Row],[city]]&lt;&gt;_xlfn.XLOOKUP(raw[[#This Row],[home]],homes[home],homes[city],"-"),1,0))</f>
        <v/>
      </c>
      <c r="T2074" s="1398" t="inlineStr">
        <is>
          <t>.</t>
        </is>
      </c>
      <c r="U2074" s="1399">
        <f>IF(raw[[#This Row],[wb]]="w",raw[[#This Row],[stay]]+U2073,U2073)</f>
        <v/>
      </c>
      <c r="V2074" s="1400">
        <f>IF(raw[[#This Row],[out]]=0,V2073,(raw[[#This Row],[out]]-E$5))</f>
        <v/>
      </c>
      <c r="W2074" s="1401">
        <f>U2074/V2074</f>
        <v/>
      </c>
      <c r="X2074" s="1392" t="n"/>
      <c r="Y2074" s="1392" t="n"/>
      <c r="Z2074" s="1422" t="n"/>
      <c r="AA2074" s="1422" t="n"/>
      <c r="AB2074" s="1392" t="n"/>
      <c r="AC2074" s="1392" t="n"/>
      <c r="AD2074" s="1392" t="n"/>
      <c r="AE2074" s="1392" t="n"/>
      <c r="AF2074" s="1392" t="n"/>
      <c r="AG2074" s="1392" t="n"/>
      <c r="AH2074" s="1392" t="n"/>
      <c r="AI2074" s="1392" t="n"/>
      <c r="AJ2074" s="1392" t="n"/>
      <c r="AK2074" s="1392" t="n"/>
      <c r="AL2074" s="1392" t="n"/>
      <c r="AM2074" s="1392" t="n"/>
      <c r="AN2074" s="1392" t="n"/>
      <c r="AO2074" s="1392" t="n"/>
      <c r="AP2074" s="1392" t="n"/>
      <c r="AQ2074" s="1392" t="n"/>
      <c r="AR2074" s="1392" t="n"/>
      <c r="AS2074" s="1422" t="n"/>
      <c r="AT2074" s="1392" t="n"/>
      <c r="AU2074" s="1392" t="n"/>
      <c r="AV2074" s="1392" t="n"/>
      <c r="AW2074" s="1392" t="n"/>
      <c r="AX2074" s="1392" t="n"/>
      <c r="AY2074" s="1392" t="n"/>
      <c r="AZ2074" s="1392" t="n"/>
      <c r="BA2074" s="1392" t="n"/>
      <c r="BB2074" s="1422" t="n"/>
      <c r="BC2074" s="1392" t="n"/>
      <c r="BD2074" s="1392" t="n"/>
      <c r="BE2074" s="1392" t="n"/>
      <c r="BF2074" s="1392" t="n"/>
      <c r="BG2074" s="1392" t="n"/>
      <c r="BH2074" s="1392" t="n"/>
      <c r="BI2074" s="1392" t="n"/>
      <c r="BJ2074" s="1392" t="n"/>
      <c r="BK2074" s="1392" t="n"/>
      <c r="BL2074" s="1392" t="n"/>
      <c r="BM2074" s="1392" t="n"/>
      <c r="BN2074" s="1392" t="n"/>
      <c r="BO2074" s="1392" t="n"/>
      <c r="BP2074" s="1392" t="n"/>
      <c r="BQ2074" s="1392" t="n"/>
      <c r="BR2074" s="1392" t="n"/>
      <c r="BS2074" s="1392" t="n"/>
      <c r="BT2074" s="1392" t="n"/>
      <c r="BU2074" s="1416" t="n"/>
      <c r="BV2074" s="1392" t="n"/>
      <c r="BW2074" s="1392" t="n"/>
      <c r="BX2074" s="1392" t="n"/>
      <c r="BY2074" s="1392" t="n"/>
      <c r="BZ2074" s="1416" t="n"/>
      <c r="CA2074" s="1392" t="n"/>
      <c r="CB2074" s="1392" t="n"/>
      <c r="CC2074" s="1392" t="n"/>
      <c r="CD2074" s="1392" t="n"/>
      <c r="CE2074" s="1392" t="n"/>
      <c r="CF2074" s="1392" t="n"/>
      <c r="CG2074" s="1392" t="n"/>
      <c r="CH2074" s="1392" t="n"/>
      <c r="CI2074" s="1392" t="n"/>
      <c r="CJ2074" s="1392" t="n"/>
      <c r="CK2074" s="1392" t="n"/>
      <c r="CL2074" s="1392" t="n"/>
    </row>
    <row r="2075">
      <c r="A2075" s="5" t="inlineStr">
        <is>
          <t>.</t>
        </is>
      </c>
      <c r="B2075" s="5" t="inlineStr">
        <is>
          <t>.</t>
        </is>
      </c>
      <c r="C2075" s="1378">
        <f>IF(raw[[#This Row],[city]]="","-",IF(raw[[#This Row],[city]]="TODAY","-",C2074+1))</f>
        <v/>
      </c>
      <c r="D2075" s="1393" t="n"/>
      <c r="E2075" s="1394" t="n"/>
      <c r="F2075" s="1394" t="n"/>
      <c r="G2075" s="1393" t="n"/>
      <c r="H2075" s="1393" t="n"/>
      <c r="I2075" s="1393" t="n"/>
      <c r="J2075" s="1393" t="n"/>
      <c r="K2075" s="1395">
        <f>IF(raw[[#This Row],[city]]&lt;&gt;"",_xlfn.XLOOKUP($D2075,ccc[city],ccc[prov],"-"),"-")</f>
        <v/>
      </c>
      <c r="L2075" s="1395">
        <f>IF(raw[[#This Row],[city]]&lt;&gt;"",_xlfn.XLOOKUP($D2075,ccc[city],ccc[ctry],"-"),"-")</f>
        <v/>
      </c>
      <c r="M2075" s="1395">
        <f>IF(raw[[#This Row],[city]]&lt;&gt;"",_xlfn.XLOOKUP($D2075,ccc[city],ccc[cont],"-"),"-")</f>
        <v/>
      </c>
      <c r="N2075" s="1396">
        <f>IF(raw[[#This Row],[city]]="","-",IF(raw[[#This Row],[cont]]="B",raw[[#This Row],[cont]],"W"))</f>
        <v/>
      </c>
      <c r="O2075" s="1397">
        <f>IF(raw[[#This Row],[out]]=0,0,IF(raw[[#This Row],[out]]=raw[[#This Row],[in]],0.01,raw[[#This Row],[out]]-raw[[#This Row],[in]]))</f>
        <v/>
      </c>
      <c r="P2075" s="1397">
        <f>IF(raw[[#This Row],[in]]=0,0,MONTH(raw[[#This Row],[in]]))</f>
        <v/>
      </c>
      <c r="Q2075" s="1397">
        <f>IF(raw[[#This Row],[in]]=0,0,YEAR(raw[[#This Row],[in]]))</f>
        <v/>
      </c>
      <c r="R2075" s="1397">
        <f>INT(raw[[#This Row],[yr]]/10)*10</f>
        <v/>
      </c>
      <c r="S2075" s="1395">
        <f>IF(raw[[#This Row],[city]]="","-",IF(raw[[#This Row],[city]]&lt;&gt;_xlfn.XLOOKUP(raw[[#This Row],[home]],homes[home],homes[city],"-"),1,0))</f>
        <v/>
      </c>
      <c r="T2075" s="1398" t="inlineStr">
        <is>
          <t>.</t>
        </is>
      </c>
      <c r="U2075" s="1399">
        <f>IF(raw[[#This Row],[wb]]="w",raw[[#This Row],[stay]]+U2074,U2074)</f>
        <v/>
      </c>
      <c r="V2075" s="1400">
        <f>IF(raw[[#This Row],[out]]=0,V2074,(raw[[#This Row],[out]]-E$5))</f>
        <v/>
      </c>
      <c r="W2075" s="1401">
        <f>U2075/V2075</f>
        <v/>
      </c>
      <c r="X2075" s="1392" t="n"/>
      <c r="Y2075" s="1392" t="n"/>
      <c r="Z2075" s="1422" t="n"/>
      <c r="AA2075" s="1422" t="n"/>
      <c r="AB2075" s="1392" t="n"/>
      <c r="AC2075" s="1392" t="n"/>
      <c r="AD2075" s="1392" t="n"/>
      <c r="AE2075" s="1392" t="n"/>
      <c r="AF2075" s="1392" t="n"/>
      <c r="AG2075" s="1392" t="n"/>
      <c r="AH2075" s="1392" t="n"/>
      <c r="AI2075" s="1392" t="n"/>
      <c r="AJ2075" s="1392" t="n"/>
      <c r="AK2075" s="1392" t="n"/>
      <c r="AL2075" s="1392" t="n"/>
      <c r="AM2075" s="1392" t="n"/>
      <c r="AN2075" s="1392" t="n"/>
      <c r="AO2075" s="1392" t="n"/>
      <c r="AP2075" s="1392" t="n"/>
      <c r="AQ2075" s="1392" t="n"/>
      <c r="AR2075" s="1392" t="n"/>
      <c r="AS2075" s="1422" t="n"/>
      <c r="AT2075" s="1392" t="n"/>
      <c r="AU2075" s="1392" t="n"/>
      <c r="AV2075" s="1392" t="n"/>
      <c r="AW2075" s="1392" t="n"/>
      <c r="AX2075" s="1392" t="n"/>
      <c r="AY2075" s="1392" t="n"/>
      <c r="AZ2075" s="1392" t="n"/>
      <c r="BA2075" s="1392" t="n"/>
      <c r="BB2075" s="1422" t="n"/>
      <c r="BC2075" s="1392" t="n"/>
      <c r="BD2075" s="1392" t="n"/>
      <c r="BE2075" s="1392" t="n"/>
      <c r="BF2075" s="1392" t="n"/>
      <c r="BG2075" s="1392" t="n"/>
      <c r="BH2075" s="1392" t="n"/>
      <c r="BI2075" s="1392" t="n"/>
      <c r="BJ2075" s="1392" t="n"/>
      <c r="BK2075" s="1392" t="n"/>
      <c r="BL2075" s="1392" t="n"/>
      <c r="BM2075" s="1392" t="n"/>
      <c r="BN2075" s="1392" t="n"/>
      <c r="BO2075" s="1392" t="n"/>
      <c r="BP2075" s="1392" t="n"/>
      <c r="BQ2075" s="1392" t="n"/>
      <c r="BR2075" s="1392" t="n"/>
      <c r="BS2075" s="1392" t="n"/>
      <c r="BT2075" s="1392" t="n"/>
      <c r="BU2075" s="1416" t="n"/>
      <c r="BV2075" s="1392" t="n"/>
      <c r="BW2075" s="1392" t="n"/>
      <c r="BX2075" s="1392" t="n"/>
      <c r="BY2075" s="1392" t="n"/>
      <c r="BZ2075" s="1416" t="n"/>
      <c r="CA2075" s="1392" t="n"/>
      <c r="CB2075" s="1392" t="n"/>
      <c r="CC2075" s="1392" t="n"/>
      <c r="CD2075" s="1392" t="n"/>
      <c r="CE2075" s="1392" t="n"/>
      <c r="CF2075" s="1392" t="n"/>
      <c r="CG2075" s="1392" t="n"/>
      <c r="CH2075" s="1392" t="n"/>
      <c r="CI2075" s="1392" t="n"/>
      <c r="CJ2075" s="1392" t="n"/>
      <c r="CK2075" s="1392" t="n"/>
      <c r="CL2075" s="1392" t="n"/>
    </row>
    <row r="2076">
      <c r="A2076" s="5" t="inlineStr">
        <is>
          <t>.</t>
        </is>
      </c>
      <c r="B2076" s="5" t="inlineStr">
        <is>
          <t>.</t>
        </is>
      </c>
      <c r="C2076" s="1378">
        <f>IF(raw[[#This Row],[city]]="","-",IF(raw[[#This Row],[city]]="TODAY","-",C2075+1))</f>
        <v/>
      </c>
      <c r="D2076" s="1393" t="n"/>
      <c r="E2076" s="1394" t="n"/>
      <c r="F2076" s="1394" t="n"/>
      <c r="G2076" s="1393" t="n"/>
      <c r="H2076" s="1393" t="n"/>
      <c r="I2076" s="1393" t="n"/>
      <c r="J2076" s="1393" t="n"/>
      <c r="K2076" s="1395">
        <f>IF(raw[[#This Row],[city]]&lt;&gt;"",_xlfn.XLOOKUP($D2076,ccc[city],ccc[prov],"-"),"-")</f>
        <v/>
      </c>
      <c r="L2076" s="1395">
        <f>IF(raw[[#This Row],[city]]&lt;&gt;"",_xlfn.XLOOKUP($D2076,ccc[city],ccc[ctry],"-"),"-")</f>
        <v/>
      </c>
      <c r="M2076" s="1395">
        <f>IF(raw[[#This Row],[city]]&lt;&gt;"",_xlfn.XLOOKUP($D2076,ccc[city],ccc[cont],"-"),"-")</f>
        <v/>
      </c>
      <c r="N2076" s="1396">
        <f>IF(raw[[#This Row],[city]]="","-",IF(raw[[#This Row],[cont]]="B",raw[[#This Row],[cont]],"W"))</f>
        <v/>
      </c>
      <c r="O2076" s="1397">
        <f>IF(raw[[#This Row],[out]]=0,0,IF(raw[[#This Row],[out]]=raw[[#This Row],[in]],0.01,raw[[#This Row],[out]]-raw[[#This Row],[in]]))</f>
        <v/>
      </c>
      <c r="P2076" s="1397">
        <f>IF(raw[[#This Row],[in]]=0,0,MONTH(raw[[#This Row],[in]]))</f>
        <v/>
      </c>
      <c r="Q2076" s="1397">
        <f>IF(raw[[#This Row],[in]]=0,0,YEAR(raw[[#This Row],[in]]))</f>
        <v/>
      </c>
      <c r="R2076" s="1397">
        <f>INT(raw[[#This Row],[yr]]/10)*10</f>
        <v/>
      </c>
      <c r="S2076" s="1395">
        <f>IF(raw[[#This Row],[city]]="","-",IF(raw[[#This Row],[city]]&lt;&gt;_xlfn.XLOOKUP(raw[[#This Row],[home]],homes[home],homes[city],"-"),1,0))</f>
        <v/>
      </c>
      <c r="T2076" s="1398" t="inlineStr">
        <is>
          <t>.</t>
        </is>
      </c>
      <c r="U2076" s="1399">
        <f>IF(raw[[#This Row],[wb]]="w",raw[[#This Row],[stay]]+U2075,U2075)</f>
        <v/>
      </c>
      <c r="V2076" s="1400">
        <f>IF(raw[[#This Row],[out]]=0,V2075,(raw[[#This Row],[out]]-E$5))</f>
        <v/>
      </c>
      <c r="W2076" s="1401">
        <f>U2076/V2076</f>
        <v/>
      </c>
      <c r="X2076" s="1392" t="n"/>
      <c r="Y2076" s="1392" t="n"/>
      <c r="Z2076" s="1422" t="n"/>
      <c r="AA2076" s="1422" t="n"/>
      <c r="AB2076" s="1392" t="n"/>
      <c r="AC2076" s="1392" t="n"/>
      <c r="AD2076" s="1392" t="n"/>
      <c r="AE2076" s="1392" t="n"/>
      <c r="AF2076" s="1392" t="n"/>
      <c r="AG2076" s="1392" t="n"/>
      <c r="AH2076" s="1392" t="n"/>
      <c r="AI2076" s="1392" t="n"/>
      <c r="AJ2076" s="1392" t="n"/>
      <c r="AK2076" s="1392" t="n"/>
      <c r="AL2076" s="1392" t="n"/>
      <c r="AM2076" s="1392" t="n"/>
      <c r="AN2076" s="1392" t="n"/>
      <c r="AO2076" s="1392" t="n"/>
      <c r="AP2076" s="1392" t="n"/>
      <c r="AQ2076" s="1392" t="n"/>
      <c r="AR2076" s="1392" t="n"/>
      <c r="AS2076" s="1422" t="n"/>
      <c r="AT2076" s="1392" t="n"/>
      <c r="AU2076" s="1392" t="n"/>
      <c r="AV2076" s="1392" t="n"/>
      <c r="AW2076" s="1392" t="n"/>
      <c r="AX2076" s="1392" t="n"/>
      <c r="AY2076" s="1392" t="n"/>
      <c r="AZ2076" s="1392" t="n"/>
      <c r="BA2076" s="1392" t="n"/>
      <c r="BB2076" s="1422" t="n"/>
      <c r="BC2076" s="1392" t="n"/>
      <c r="BD2076" s="1392" t="n"/>
      <c r="BE2076" s="1392" t="n"/>
      <c r="BF2076" s="1392" t="n"/>
      <c r="BG2076" s="1392" t="n"/>
      <c r="BH2076" s="1392" t="n"/>
      <c r="BI2076" s="1392" t="n"/>
      <c r="BJ2076" s="1392" t="n"/>
      <c r="BK2076" s="1392" t="n"/>
      <c r="BL2076" s="1392" t="n"/>
      <c r="BM2076" s="1392" t="n"/>
      <c r="BN2076" s="1392" t="n"/>
      <c r="BO2076" s="1392" t="n"/>
      <c r="BP2076" s="1392" t="n"/>
      <c r="BQ2076" s="1392" t="n"/>
      <c r="BR2076" s="1392" t="n"/>
      <c r="BS2076" s="1392" t="n"/>
      <c r="BT2076" s="1392" t="n"/>
      <c r="BU2076" s="1416" t="n"/>
      <c r="BV2076" s="1392" t="n"/>
      <c r="BW2076" s="1392" t="n"/>
      <c r="BX2076" s="1392" t="n"/>
      <c r="BY2076" s="1392" t="n"/>
      <c r="BZ2076" s="1416" t="n"/>
      <c r="CA2076" s="1392" t="n"/>
      <c r="CB2076" s="1392" t="n"/>
      <c r="CC2076" s="1392" t="n"/>
      <c r="CD2076" s="1392" t="n"/>
      <c r="CE2076" s="1392" t="n"/>
      <c r="CF2076" s="1392" t="n"/>
      <c r="CG2076" s="1392" t="n"/>
      <c r="CH2076" s="1392" t="n"/>
      <c r="CI2076" s="1392" t="n"/>
      <c r="CJ2076" s="1392" t="n"/>
      <c r="CK2076" s="1392" t="n"/>
      <c r="CL2076" s="1392" t="n"/>
    </row>
    <row r="2077">
      <c r="A2077" s="5" t="inlineStr">
        <is>
          <t>.</t>
        </is>
      </c>
      <c r="B2077" s="5" t="inlineStr">
        <is>
          <t>.</t>
        </is>
      </c>
      <c r="C2077" s="1378">
        <f>IF(raw[[#This Row],[city]]="","-",IF(raw[[#This Row],[city]]="TODAY","-",C2076+1))</f>
        <v/>
      </c>
      <c r="D2077" s="1393" t="n"/>
      <c r="E2077" s="1394" t="n"/>
      <c r="F2077" s="1394" t="n"/>
      <c r="G2077" s="1393" t="n"/>
      <c r="H2077" s="1393" t="n"/>
      <c r="I2077" s="1393" t="n"/>
      <c r="J2077" s="1393" t="n"/>
      <c r="K2077" s="1395">
        <f>IF(raw[[#This Row],[city]]&lt;&gt;"",_xlfn.XLOOKUP($D2077,ccc[city],ccc[prov],"-"),"-")</f>
        <v/>
      </c>
      <c r="L2077" s="1395">
        <f>IF(raw[[#This Row],[city]]&lt;&gt;"",_xlfn.XLOOKUP($D2077,ccc[city],ccc[ctry],"-"),"-")</f>
        <v/>
      </c>
      <c r="M2077" s="1395">
        <f>IF(raw[[#This Row],[city]]&lt;&gt;"",_xlfn.XLOOKUP($D2077,ccc[city],ccc[cont],"-"),"-")</f>
        <v/>
      </c>
      <c r="N2077" s="1396">
        <f>IF(raw[[#This Row],[city]]="","-",IF(raw[[#This Row],[cont]]="B",raw[[#This Row],[cont]],"W"))</f>
        <v/>
      </c>
      <c r="O2077" s="1397">
        <f>IF(raw[[#This Row],[out]]=0,0,IF(raw[[#This Row],[out]]=raw[[#This Row],[in]],0.01,raw[[#This Row],[out]]-raw[[#This Row],[in]]))</f>
        <v/>
      </c>
      <c r="P2077" s="1397">
        <f>IF(raw[[#This Row],[in]]=0,0,MONTH(raw[[#This Row],[in]]))</f>
        <v/>
      </c>
      <c r="Q2077" s="1397">
        <f>IF(raw[[#This Row],[in]]=0,0,YEAR(raw[[#This Row],[in]]))</f>
        <v/>
      </c>
      <c r="R2077" s="1397">
        <f>INT(raw[[#This Row],[yr]]/10)*10</f>
        <v/>
      </c>
      <c r="S2077" s="1395">
        <f>IF(raw[[#This Row],[city]]="","-",IF(raw[[#This Row],[city]]&lt;&gt;_xlfn.XLOOKUP(raw[[#This Row],[home]],homes[home],homes[city],"-"),1,0))</f>
        <v/>
      </c>
      <c r="T2077" s="1398" t="inlineStr">
        <is>
          <t>.</t>
        </is>
      </c>
      <c r="U2077" s="1399">
        <f>IF(raw[[#This Row],[wb]]="w",raw[[#This Row],[stay]]+U2076,U2076)</f>
        <v/>
      </c>
      <c r="V2077" s="1400">
        <f>IF(raw[[#This Row],[out]]=0,V2076,(raw[[#This Row],[out]]-E$5))</f>
        <v/>
      </c>
      <c r="W2077" s="1401">
        <f>U2077/V2077</f>
        <v/>
      </c>
      <c r="X2077" s="1392" t="n"/>
      <c r="Y2077" s="1392" t="n"/>
      <c r="Z2077" s="1422" t="n"/>
      <c r="AA2077" s="1422" t="n"/>
      <c r="AB2077" s="1392" t="n"/>
      <c r="AC2077" s="1392" t="n"/>
      <c r="AD2077" s="1392" t="n"/>
      <c r="AE2077" s="1392" t="n"/>
      <c r="AF2077" s="1392" t="n"/>
      <c r="AG2077" s="1392" t="n"/>
      <c r="AH2077" s="1392" t="n"/>
      <c r="AI2077" s="1392" t="n"/>
      <c r="AJ2077" s="1392" t="n"/>
      <c r="AK2077" s="1392" t="n"/>
      <c r="AL2077" s="1392" t="n"/>
      <c r="AM2077" s="1392" t="n"/>
      <c r="AN2077" s="1392" t="n"/>
      <c r="AO2077" s="1392" t="n"/>
      <c r="AP2077" s="1392" t="n"/>
      <c r="AQ2077" s="1392" t="n"/>
      <c r="AR2077" s="1392" t="n"/>
      <c r="AS2077" s="1422" t="n"/>
      <c r="AT2077" s="1392" t="n"/>
      <c r="AU2077" s="1392" t="n"/>
      <c r="AV2077" s="1392" t="n"/>
      <c r="AW2077" s="1392" t="n"/>
      <c r="AX2077" s="1392" t="n"/>
      <c r="AY2077" s="1392" t="n"/>
      <c r="AZ2077" s="1392" t="n"/>
      <c r="BA2077" s="1392" t="n"/>
      <c r="BB2077" s="1422" t="n"/>
      <c r="BC2077" s="1392" t="n"/>
      <c r="BD2077" s="1392" t="n"/>
      <c r="BE2077" s="1392" t="n"/>
      <c r="BF2077" s="1392" t="n"/>
      <c r="BG2077" s="1392" t="n"/>
      <c r="BH2077" s="1392" t="n"/>
      <c r="BI2077" s="1392" t="n"/>
      <c r="BJ2077" s="1392" t="n"/>
      <c r="BK2077" s="1392" t="n"/>
      <c r="BL2077" s="1392" t="n"/>
      <c r="BM2077" s="1392" t="n"/>
      <c r="BN2077" s="1392" t="n"/>
      <c r="BO2077" s="1392" t="n"/>
      <c r="BP2077" s="1392" t="n"/>
      <c r="BQ2077" s="1392" t="n"/>
      <c r="BR2077" s="1392" t="n"/>
      <c r="BS2077" s="1392" t="n"/>
      <c r="BT2077" s="1392" t="n"/>
      <c r="BU2077" s="1416" t="n"/>
      <c r="BV2077" s="1392" t="n"/>
      <c r="BW2077" s="1392" t="n"/>
      <c r="BX2077" s="1392" t="n"/>
      <c r="BY2077" s="1392" t="n"/>
      <c r="BZ2077" s="1416" t="n"/>
      <c r="CA2077" s="1392" t="n"/>
      <c r="CB2077" s="1392" t="n"/>
      <c r="CC2077" s="1392" t="n"/>
      <c r="CD2077" s="1392" t="n"/>
      <c r="CE2077" s="1392" t="n"/>
      <c r="CF2077" s="1392" t="n"/>
      <c r="CG2077" s="1392" t="n"/>
      <c r="CH2077" s="1392" t="n"/>
      <c r="CI2077" s="1392" t="n"/>
      <c r="CJ2077" s="1392" t="n"/>
      <c r="CK2077" s="1392" t="n"/>
      <c r="CL2077" s="1392" t="n"/>
    </row>
    <row r="2078">
      <c r="A2078" s="5" t="inlineStr">
        <is>
          <t>.</t>
        </is>
      </c>
      <c r="B2078" s="5" t="inlineStr">
        <is>
          <t>.</t>
        </is>
      </c>
      <c r="C2078" s="1378">
        <f>IF(raw[[#This Row],[city]]="","-",IF(raw[[#This Row],[city]]="TODAY","-",C2077+1))</f>
        <v/>
      </c>
      <c r="D2078" s="1393" t="n"/>
      <c r="E2078" s="1394" t="n"/>
      <c r="F2078" s="1394" t="n"/>
      <c r="G2078" s="1393" t="n"/>
      <c r="H2078" s="1393" t="n"/>
      <c r="I2078" s="1393" t="n"/>
      <c r="J2078" s="1393" t="n"/>
      <c r="K2078" s="1395">
        <f>IF(raw[[#This Row],[city]]&lt;&gt;"",_xlfn.XLOOKUP($D2078,ccc[city],ccc[prov],"-"),"-")</f>
        <v/>
      </c>
      <c r="L2078" s="1395">
        <f>IF(raw[[#This Row],[city]]&lt;&gt;"",_xlfn.XLOOKUP($D2078,ccc[city],ccc[ctry],"-"),"-")</f>
        <v/>
      </c>
      <c r="M2078" s="1395">
        <f>IF(raw[[#This Row],[city]]&lt;&gt;"",_xlfn.XLOOKUP($D2078,ccc[city],ccc[cont],"-"),"-")</f>
        <v/>
      </c>
      <c r="N2078" s="1396">
        <f>IF(raw[[#This Row],[city]]="","-",IF(raw[[#This Row],[cont]]="B",raw[[#This Row],[cont]],"W"))</f>
        <v/>
      </c>
      <c r="O2078" s="1397">
        <f>IF(raw[[#This Row],[out]]=0,0,IF(raw[[#This Row],[out]]=raw[[#This Row],[in]],0.01,raw[[#This Row],[out]]-raw[[#This Row],[in]]))</f>
        <v/>
      </c>
      <c r="P2078" s="1397">
        <f>IF(raw[[#This Row],[in]]=0,0,MONTH(raw[[#This Row],[in]]))</f>
        <v/>
      </c>
      <c r="Q2078" s="1397">
        <f>IF(raw[[#This Row],[in]]=0,0,YEAR(raw[[#This Row],[in]]))</f>
        <v/>
      </c>
      <c r="R2078" s="1397">
        <f>INT(raw[[#This Row],[yr]]/10)*10</f>
        <v/>
      </c>
      <c r="S2078" s="1395">
        <f>IF(raw[[#This Row],[city]]="","-",IF(raw[[#This Row],[city]]&lt;&gt;_xlfn.XLOOKUP(raw[[#This Row],[home]],homes[home],homes[city],"-"),1,0))</f>
        <v/>
      </c>
      <c r="T2078" s="1398" t="inlineStr">
        <is>
          <t>.</t>
        </is>
      </c>
      <c r="U2078" s="1399">
        <f>IF(raw[[#This Row],[wb]]="w",raw[[#This Row],[stay]]+U2077,U2077)</f>
        <v/>
      </c>
      <c r="V2078" s="1400">
        <f>IF(raw[[#This Row],[out]]=0,V2077,(raw[[#This Row],[out]]-E$5))</f>
        <v/>
      </c>
      <c r="W2078" s="1401">
        <f>U2078/V2078</f>
        <v/>
      </c>
      <c r="X2078" s="1392" t="n"/>
      <c r="Y2078" s="1392" t="n"/>
      <c r="Z2078" s="1422" t="n"/>
      <c r="AA2078" s="1422" t="n"/>
      <c r="AB2078" s="1392" t="n"/>
      <c r="AC2078" s="1392" t="n"/>
      <c r="AD2078" s="1392" t="n"/>
      <c r="AE2078" s="1392" t="n"/>
      <c r="AF2078" s="1392" t="n"/>
      <c r="AG2078" s="1392" t="n"/>
      <c r="AH2078" s="1392" t="n"/>
      <c r="AI2078" s="1392" t="n"/>
      <c r="AJ2078" s="1392" t="n"/>
      <c r="AK2078" s="1392" t="n"/>
      <c r="AL2078" s="1392" t="n"/>
      <c r="AM2078" s="1392" t="n"/>
      <c r="AN2078" s="1392" t="n"/>
      <c r="AO2078" s="1392" t="n"/>
      <c r="AP2078" s="1392" t="n"/>
      <c r="AQ2078" s="1392" t="n"/>
      <c r="AR2078" s="1392" t="n"/>
      <c r="AS2078" s="1422" t="n"/>
      <c r="AT2078" s="1392" t="n"/>
      <c r="AU2078" s="1392" t="n"/>
      <c r="AV2078" s="1392" t="n"/>
      <c r="AW2078" s="1392" t="n"/>
      <c r="AX2078" s="1392" t="n"/>
      <c r="AY2078" s="1392" t="n"/>
      <c r="AZ2078" s="1392" t="n"/>
      <c r="BA2078" s="1392" t="n"/>
      <c r="BB2078" s="1422" t="n"/>
      <c r="BC2078" s="1392" t="n"/>
      <c r="BD2078" s="1392" t="n"/>
      <c r="BE2078" s="1392" t="n"/>
      <c r="BF2078" s="1392" t="n"/>
      <c r="BG2078" s="1392" t="n"/>
      <c r="BH2078" s="1392" t="n"/>
      <c r="BI2078" s="1392" t="n"/>
      <c r="BJ2078" s="1392" t="n"/>
      <c r="BK2078" s="1392" t="n"/>
      <c r="BL2078" s="1392" t="n"/>
      <c r="BM2078" s="1392" t="n"/>
      <c r="BN2078" s="1392" t="n"/>
      <c r="BO2078" s="1392" t="n"/>
      <c r="BP2078" s="1392" t="n"/>
      <c r="BQ2078" s="1392" t="n"/>
      <c r="BR2078" s="1392" t="n"/>
      <c r="BS2078" s="1392" t="n"/>
      <c r="BT2078" s="1392" t="n"/>
      <c r="BU2078" s="1416" t="n"/>
      <c r="BV2078" s="1392" t="n"/>
      <c r="BW2078" s="1392" t="n"/>
      <c r="BX2078" s="1392" t="n"/>
      <c r="BY2078" s="1392" t="n"/>
      <c r="BZ2078" s="1416" t="n"/>
      <c r="CA2078" s="1392" t="n"/>
      <c r="CB2078" s="1392" t="n"/>
      <c r="CC2078" s="1392" t="n"/>
      <c r="CD2078" s="1392" t="n"/>
      <c r="CE2078" s="1392" t="n"/>
      <c r="CF2078" s="1392" t="n"/>
      <c r="CG2078" s="1392" t="n"/>
      <c r="CH2078" s="1392" t="n"/>
      <c r="CI2078" s="1392" t="n"/>
      <c r="CJ2078" s="1392" t="n"/>
      <c r="CK2078" s="1392" t="n"/>
      <c r="CL2078" s="1392" t="n"/>
    </row>
    <row r="2079">
      <c r="A2079" s="5" t="inlineStr">
        <is>
          <t>.</t>
        </is>
      </c>
      <c r="B2079" s="5" t="inlineStr">
        <is>
          <t>.</t>
        </is>
      </c>
      <c r="C2079" s="1378">
        <f>IF(raw[[#This Row],[city]]="","-",IF(raw[[#This Row],[city]]="TODAY","-",C2078+1))</f>
        <v/>
      </c>
      <c r="D2079" s="1393" t="n"/>
      <c r="E2079" s="1394" t="n"/>
      <c r="F2079" s="1394" t="n"/>
      <c r="G2079" s="1393" t="n"/>
      <c r="H2079" s="1393" t="n"/>
      <c r="I2079" s="1393" t="n"/>
      <c r="J2079" s="1393" t="n"/>
      <c r="K2079" s="1395">
        <f>IF(raw[[#This Row],[city]]&lt;&gt;"",_xlfn.XLOOKUP($D2079,ccc[city],ccc[prov],"-"),"-")</f>
        <v/>
      </c>
      <c r="L2079" s="1395">
        <f>IF(raw[[#This Row],[city]]&lt;&gt;"",_xlfn.XLOOKUP($D2079,ccc[city],ccc[ctry],"-"),"-")</f>
        <v/>
      </c>
      <c r="M2079" s="1395">
        <f>IF(raw[[#This Row],[city]]&lt;&gt;"",_xlfn.XLOOKUP($D2079,ccc[city],ccc[cont],"-"),"-")</f>
        <v/>
      </c>
      <c r="N2079" s="1396">
        <f>IF(raw[[#This Row],[city]]="","-",IF(raw[[#This Row],[cont]]="B",raw[[#This Row],[cont]],"W"))</f>
        <v/>
      </c>
      <c r="O2079" s="1397">
        <f>IF(raw[[#This Row],[out]]=0,0,IF(raw[[#This Row],[out]]=raw[[#This Row],[in]],0.01,raw[[#This Row],[out]]-raw[[#This Row],[in]]))</f>
        <v/>
      </c>
      <c r="P2079" s="1397">
        <f>IF(raw[[#This Row],[in]]=0,0,MONTH(raw[[#This Row],[in]]))</f>
        <v/>
      </c>
      <c r="Q2079" s="1397">
        <f>IF(raw[[#This Row],[in]]=0,0,YEAR(raw[[#This Row],[in]]))</f>
        <v/>
      </c>
      <c r="R2079" s="1397">
        <f>INT(raw[[#This Row],[yr]]/10)*10</f>
        <v/>
      </c>
      <c r="S2079" s="1395">
        <f>IF(raw[[#This Row],[city]]="","-",IF(raw[[#This Row],[city]]&lt;&gt;_xlfn.XLOOKUP(raw[[#This Row],[home]],homes[home],homes[city],"-"),1,0))</f>
        <v/>
      </c>
      <c r="T2079" s="1398" t="inlineStr">
        <is>
          <t>.</t>
        </is>
      </c>
      <c r="U2079" s="1399">
        <f>IF(raw[[#This Row],[wb]]="w",raw[[#This Row],[stay]]+U2078,U2078)</f>
        <v/>
      </c>
      <c r="V2079" s="1400">
        <f>IF(raw[[#This Row],[out]]=0,V2078,(raw[[#This Row],[out]]-E$5))</f>
        <v/>
      </c>
      <c r="W2079" s="1401">
        <f>U2079/V2079</f>
        <v/>
      </c>
      <c r="X2079" s="1392" t="n"/>
      <c r="Y2079" s="1392" t="n"/>
      <c r="Z2079" s="1422" t="n"/>
      <c r="AA2079" s="1422" t="n"/>
      <c r="AB2079" s="1392" t="n"/>
      <c r="AC2079" s="1392" t="n"/>
      <c r="AD2079" s="1392" t="n"/>
      <c r="AE2079" s="1392" t="n"/>
      <c r="AF2079" s="1392" t="n"/>
      <c r="AG2079" s="1392" t="n"/>
      <c r="AH2079" s="1392" t="n"/>
      <c r="AI2079" s="1392" t="n"/>
      <c r="AJ2079" s="1392" t="n"/>
      <c r="AK2079" s="1392" t="n"/>
      <c r="AL2079" s="1392" t="n"/>
      <c r="AM2079" s="1392" t="n"/>
      <c r="AN2079" s="1392" t="n"/>
      <c r="AO2079" s="1392" t="n"/>
      <c r="AP2079" s="1392" t="n"/>
      <c r="AQ2079" s="1392" t="n"/>
      <c r="AR2079" s="1392" t="n"/>
      <c r="AS2079" s="1422" t="n"/>
      <c r="AT2079" s="1392" t="n"/>
      <c r="AU2079" s="1392" t="n"/>
      <c r="AV2079" s="1392" t="n"/>
      <c r="AW2079" s="1392" t="n"/>
      <c r="AX2079" s="1392" t="n"/>
      <c r="AY2079" s="1392" t="n"/>
      <c r="AZ2079" s="1392" t="n"/>
      <c r="BA2079" s="1392" t="n"/>
      <c r="BB2079" s="1422" t="n"/>
      <c r="BC2079" s="1392" t="n"/>
      <c r="BD2079" s="1392" t="n"/>
      <c r="BE2079" s="1392" t="n"/>
      <c r="BF2079" s="1392" t="n"/>
      <c r="BG2079" s="1392" t="n"/>
      <c r="BH2079" s="1392" t="n"/>
      <c r="BI2079" s="1392" t="n"/>
      <c r="BJ2079" s="1392" t="n"/>
      <c r="BK2079" s="1392" t="n"/>
      <c r="BL2079" s="1392" t="n"/>
      <c r="BM2079" s="1392" t="n"/>
      <c r="BN2079" s="1392" t="n"/>
      <c r="BO2079" s="1392" t="n"/>
      <c r="BP2079" s="1392" t="n"/>
      <c r="BQ2079" s="1392" t="n"/>
      <c r="BR2079" s="1392" t="n"/>
      <c r="BS2079" s="1392" t="n"/>
      <c r="BT2079" s="1392" t="n"/>
      <c r="BU2079" s="1416" t="n"/>
      <c r="BV2079" s="1392" t="n"/>
      <c r="BW2079" s="1392" t="n"/>
      <c r="BX2079" s="1392" t="n"/>
      <c r="BY2079" s="1392" t="n"/>
      <c r="BZ2079" s="1416" t="n"/>
      <c r="CA2079" s="1392" t="n"/>
      <c r="CB2079" s="1392" t="n"/>
      <c r="CC2079" s="1392" t="n"/>
      <c r="CD2079" s="1392" t="n"/>
      <c r="CE2079" s="1392" t="n"/>
      <c r="CF2079" s="1392" t="n"/>
      <c r="CG2079" s="1392" t="n"/>
      <c r="CH2079" s="1392" t="n"/>
      <c r="CI2079" s="1392" t="n"/>
      <c r="CJ2079" s="1392" t="n"/>
      <c r="CK2079" s="1392" t="n"/>
      <c r="CL2079" s="1392" t="n"/>
    </row>
    <row r="2080">
      <c r="A2080" s="5" t="inlineStr">
        <is>
          <t>.</t>
        </is>
      </c>
      <c r="B2080" s="5" t="inlineStr">
        <is>
          <t>.</t>
        </is>
      </c>
      <c r="C2080" s="1378">
        <f>IF(raw[[#This Row],[city]]="","-",IF(raw[[#This Row],[city]]="TODAY","-",C2079+1))</f>
        <v/>
      </c>
      <c r="D2080" s="1393" t="n"/>
      <c r="E2080" s="1394" t="n"/>
      <c r="F2080" s="1394" t="n"/>
      <c r="G2080" s="1393" t="n"/>
      <c r="H2080" s="1393" t="n"/>
      <c r="I2080" s="1393" t="n"/>
      <c r="J2080" s="1393" t="n"/>
      <c r="K2080" s="1395">
        <f>IF(raw[[#This Row],[city]]&lt;&gt;"",_xlfn.XLOOKUP($D2080,ccc[city],ccc[prov],"-"),"-")</f>
        <v/>
      </c>
      <c r="L2080" s="1395">
        <f>IF(raw[[#This Row],[city]]&lt;&gt;"",_xlfn.XLOOKUP($D2080,ccc[city],ccc[ctry],"-"),"-")</f>
        <v/>
      </c>
      <c r="M2080" s="1395">
        <f>IF(raw[[#This Row],[city]]&lt;&gt;"",_xlfn.XLOOKUP($D2080,ccc[city],ccc[cont],"-"),"-")</f>
        <v/>
      </c>
      <c r="N2080" s="1396">
        <f>IF(raw[[#This Row],[city]]="","-",IF(raw[[#This Row],[cont]]="B",raw[[#This Row],[cont]],"W"))</f>
        <v/>
      </c>
      <c r="O2080" s="1397">
        <f>IF(raw[[#This Row],[out]]=0,0,IF(raw[[#This Row],[out]]=raw[[#This Row],[in]],0.01,raw[[#This Row],[out]]-raw[[#This Row],[in]]))</f>
        <v/>
      </c>
      <c r="P2080" s="1397">
        <f>IF(raw[[#This Row],[in]]=0,0,MONTH(raw[[#This Row],[in]]))</f>
        <v/>
      </c>
      <c r="Q2080" s="1397">
        <f>IF(raw[[#This Row],[in]]=0,0,YEAR(raw[[#This Row],[in]]))</f>
        <v/>
      </c>
      <c r="R2080" s="1397">
        <f>INT(raw[[#This Row],[yr]]/10)*10</f>
        <v/>
      </c>
      <c r="S2080" s="1395">
        <f>IF(raw[[#This Row],[city]]="","-",IF(raw[[#This Row],[city]]&lt;&gt;_xlfn.XLOOKUP(raw[[#This Row],[home]],homes[home],homes[city],"-"),1,0))</f>
        <v/>
      </c>
      <c r="T2080" s="1398" t="inlineStr">
        <is>
          <t>.</t>
        </is>
      </c>
      <c r="U2080" s="1399">
        <f>IF(raw[[#This Row],[wb]]="w",raw[[#This Row],[stay]]+U2079,U2079)</f>
        <v/>
      </c>
      <c r="V2080" s="1400">
        <f>IF(raw[[#This Row],[out]]=0,V2079,(raw[[#This Row],[out]]-E$5))</f>
        <v/>
      </c>
      <c r="W2080" s="1401">
        <f>U2080/V2080</f>
        <v/>
      </c>
      <c r="X2080" s="1392" t="n"/>
      <c r="Y2080" s="1392" t="n"/>
      <c r="Z2080" s="1422" t="n"/>
      <c r="AA2080" s="1422" t="n"/>
      <c r="AB2080" s="1392" t="n"/>
      <c r="AC2080" s="1392" t="n"/>
      <c r="AD2080" s="1392" t="n"/>
      <c r="AE2080" s="1392" t="n"/>
      <c r="AF2080" s="1392" t="n"/>
      <c r="AG2080" s="1392" t="n"/>
      <c r="AH2080" s="1392" t="n"/>
      <c r="AI2080" s="1392" t="n"/>
      <c r="AJ2080" s="1392" t="n"/>
      <c r="AK2080" s="1392" t="n"/>
      <c r="AL2080" s="1392" t="n"/>
      <c r="AM2080" s="1392" t="n"/>
      <c r="AN2080" s="1392" t="n"/>
      <c r="AO2080" s="1392" t="n"/>
      <c r="AP2080" s="1392" t="n"/>
      <c r="AQ2080" s="1392" t="n"/>
      <c r="AR2080" s="1392" t="n"/>
      <c r="AS2080" s="1422" t="n"/>
      <c r="AT2080" s="1392" t="n"/>
      <c r="AU2080" s="1392" t="n"/>
      <c r="AV2080" s="1392" t="n"/>
      <c r="AW2080" s="1392" t="n"/>
      <c r="AX2080" s="1392" t="n"/>
      <c r="AY2080" s="1392" t="n"/>
      <c r="AZ2080" s="1392" t="n"/>
      <c r="BA2080" s="1392" t="n"/>
      <c r="BB2080" s="1422" t="n"/>
      <c r="BC2080" s="1392" t="n"/>
      <c r="BD2080" s="1392" t="n"/>
      <c r="BE2080" s="1392" t="n"/>
      <c r="BF2080" s="1392" t="n"/>
      <c r="BG2080" s="1392" t="n"/>
      <c r="BH2080" s="1392" t="n"/>
      <c r="BI2080" s="1392" t="n"/>
      <c r="BJ2080" s="1392" t="n"/>
      <c r="BK2080" s="1392" t="n"/>
      <c r="BL2080" s="1392" t="n"/>
      <c r="BM2080" s="1392" t="n"/>
      <c r="BN2080" s="1392" t="n"/>
      <c r="BO2080" s="1392" t="n"/>
      <c r="BP2080" s="1392" t="n"/>
      <c r="BQ2080" s="1392" t="n"/>
      <c r="BR2080" s="1392" t="n"/>
      <c r="BS2080" s="1392" t="n"/>
      <c r="BT2080" s="1392" t="n"/>
      <c r="BU2080" s="1416" t="n"/>
      <c r="BV2080" s="1392" t="n"/>
      <c r="BW2080" s="1392" t="n"/>
      <c r="BX2080" s="1392" t="n"/>
      <c r="BY2080" s="1392" t="n"/>
      <c r="BZ2080" s="1416" t="n"/>
      <c r="CA2080" s="1392" t="n"/>
      <c r="CB2080" s="1392" t="n"/>
      <c r="CC2080" s="1392" t="n"/>
      <c r="CD2080" s="1392" t="n"/>
      <c r="CE2080" s="1392" t="n"/>
      <c r="CF2080" s="1392" t="n"/>
      <c r="CG2080" s="1392" t="n"/>
      <c r="CH2080" s="1392" t="n"/>
      <c r="CI2080" s="1392" t="n"/>
      <c r="CJ2080" s="1392" t="n"/>
      <c r="CK2080" s="1392" t="n"/>
      <c r="CL2080" s="1392" t="n"/>
    </row>
    <row r="2081">
      <c r="A2081" s="5" t="inlineStr">
        <is>
          <t>.</t>
        </is>
      </c>
      <c r="B2081" s="5" t="inlineStr">
        <is>
          <t>.</t>
        </is>
      </c>
      <c r="C2081" s="1378">
        <f>IF(raw[[#This Row],[city]]="","-",IF(raw[[#This Row],[city]]="TODAY","-",C2080+1))</f>
        <v/>
      </c>
      <c r="D2081" s="1393" t="n"/>
      <c r="E2081" s="1394" t="n"/>
      <c r="F2081" s="1394" t="n"/>
      <c r="G2081" s="1393" t="n"/>
      <c r="H2081" s="1393" t="n"/>
      <c r="I2081" s="1393" t="n"/>
      <c r="J2081" s="1393" t="n"/>
      <c r="K2081" s="1395">
        <f>IF(raw[[#This Row],[city]]&lt;&gt;"",_xlfn.XLOOKUP($D2081,ccc[city],ccc[prov],"-"),"-")</f>
        <v/>
      </c>
      <c r="L2081" s="1395">
        <f>IF(raw[[#This Row],[city]]&lt;&gt;"",_xlfn.XLOOKUP($D2081,ccc[city],ccc[ctry],"-"),"-")</f>
        <v/>
      </c>
      <c r="M2081" s="1395">
        <f>IF(raw[[#This Row],[city]]&lt;&gt;"",_xlfn.XLOOKUP($D2081,ccc[city],ccc[cont],"-"),"-")</f>
        <v/>
      </c>
      <c r="N2081" s="1396">
        <f>IF(raw[[#This Row],[city]]="","-",IF(raw[[#This Row],[cont]]="B",raw[[#This Row],[cont]],"W"))</f>
        <v/>
      </c>
      <c r="O2081" s="1397">
        <f>IF(raw[[#This Row],[out]]=0,0,IF(raw[[#This Row],[out]]=raw[[#This Row],[in]],0.01,raw[[#This Row],[out]]-raw[[#This Row],[in]]))</f>
        <v/>
      </c>
      <c r="P2081" s="1397">
        <f>IF(raw[[#This Row],[in]]=0,0,MONTH(raw[[#This Row],[in]]))</f>
        <v/>
      </c>
      <c r="Q2081" s="1397">
        <f>IF(raw[[#This Row],[in]]=0,0,YEAR(raw[[#This Row],[in]]))</f>
        <v/>
      </c>
      <c r="R2081" s="1397">
        <f>INT(raw[[#This Row],[yr]]/10)*10</f>
        <v/>
      </c>
      <c r="S2081" s="1395">
        <f>IF(raw[[#This Row],[city]]="","-",IF(raw[[#This Row],[city]]&lt;&gt;_xlfn.XLOOKUP(raw[[#This Row],[home]],homes[home],homes[city],"-"),1,0))</f>
        <v/>
      </c>
      <c r="T2081" s="1398" t="inlineStr">
        <is>
          <t>.</t>
        </is>
      </c>
      <c r="U2081" s="1399">
        <f>IF(raw[[#This Row],[wb]]="w",raw[[#This Row],[stay]]+U2080,U2080)</f>
        <v/>
      </c>
      <c r="V2081" s="1400">
        <f>IF(raw[[#This Row],[out]]=0,V2080,(raw[[#This Row],[out]]-E$5))</f>
        <v/>
      </c>
      <c r="W2081" s="1401">
        <f>U2081/V2081</f>
        <v/>
      </c>
      <c r="X2081" s="1392" t="n"/>
      <c r="Y2081" s="1392" t="n"/>
      <c r="Z2081" s="1422" t="n"/>
      <c r="AA2081" s="1422" t="n"/>
      <c r="AB2081" s="1392" t="n"/>
      <c r="AC2081" s="1392" t="n"/>
      <c r="AD2081" s="1392" t="n"/>
      <c r="AE2081" s="1392" t="n"/>
      <c r="AF2081" s="1392" t="n"/>
      <c r="AG2081" s="1392" t="n"/>
      <c r="AH2081" s="1392" t="n"/>
      <c r="AI2081" s="1392" t="n"/>
      <c r="AJ2081" s="1392" t="n"/>
      <c r="AK2081" s="1392" t="n"/>
      <c r="AL2081" s="1392" t="n"/>
      <c r="AM2081" s="1392" t="n"/>
      <c r="AN2081" s="1392" t="n"/>
      <c r="AO2081" s="1392" t="n"/>
      <c r="AP2081" s="1392" t="n"/>
      <c r="AQ2081" s="1392" t="n"/>
      <c r="AR2081" s="1392" t="n"/>
      <c r="AS2081" s="1422" t="n"/>
      <c r="AT2081" s="1392" t="n"/>
      <c r="AU2081" s="1392" t="n"/>
      <c r="AV2081" s="1392" t="n"/>
      <c r="AW2081" s="1392" t="n"/>
      <c r="AX2081" s="1392" t="n"/>
      <c r="AY2081" s="1392" t="n"/>
      <c r="AZ2081" s="1392" t="n"/>
      <c r="BA2081" s="1392" t="n"/>
      <c r="BB2081" s="1422" t="n"/>
      <c r="BC2081" s="1392" t="n"/>
      <c r="BD2081" s="1392" t="n"/>
      <c r="BE2081" s="1392" t="n"/>
      <c r="BF2081" s="1392" t="n"/>
      <c r="BG2081" s="1392" t="n"/>
      <c r="BH2081" s="1392" t="n"/>
      <c r="BI2081" s="1392" t="n"/>
      <c r="BJ2081" s="1392" t="n"/>
      <c r="BK2081" s="1392" t="n"/>
      <c r="BL2081" s="1392" t="n"/>
      <c r="BM2081" s="1392" t="n"/>
      <c r="BN2081" s="1392" t="n"/>
      <c r="BO2081" s="1392" t="n"/>
      <c r="BP2081" s="1392" t="n"/>
      <c r="BQ2081" s="1392" t="n"/>
      <c r="BR2081" s="1392" t="n"/>
      <c r="BS2081" s="1392" t="n"/>
      <c r="BT2081" s="1392" t="n"/>
      <c r="BU2081" s="1416" t="n"/>
      <c r="BV2081" s="1392" t="n"/>
      <c r="BW2081" s="1392" t="n"/>
      <c r="BX2081" s="1392" t="n"/>
      <c r="BY2081" s="1392" t="n"/>
      <c r="BZ2081" s="1416" t="n"/>
      <c r="CA2081" s="1392" t="n"/>
      <c r="CB2081" s="1392" t="n"/>
      <c r="CC2081" s="1392" t="n"/>
      <c r="CD2081" s="1392" t="n"/>
      <c r="CE2081" s="1392" t="n"/>
      <c r="CF2081" s="1392" t="n"/>
      <c r="CG2081" s="1392" t="n"/>
      <c r="CH2081" s="1392" t="n"/>
      <c r="CI2081" s="1392" t="n"/>
      <c r="CJ2081" s="1392" t="n"/>
      <c r="CK2081" s="1392" t="n"/>
      <c r="CL2081" s="1392" t="n"/>
    </row>
    <row r="2082">
      <c r="A2082" s="5" t="inlineStr">
        <is>
          <t>.</t>
        </is>
      </c>
      <c r="B2082" s="5" t="inlineStr">
        <is>
          <t>.</t>
        </is>
      </c>
      <c r="C2082" s="1378">
        <f>IF(raw[[#This Row],[city]]="","-",IF(raw[[#This Row],[city]]="TODAY","-",C2081+1))</f>
        <v/>
      </c>
      <c r="D2082" s="1393" t="n"/>
      <c r="E2082" s="1394" t="n"/>
      <c r="F2082" s="1394" t="n"/>
      <c r="G2082" s="1393" t="n"/>
      <c r="H2082" s="1393" t="n"/>
      <c r="I2082" s="1393" t="n"/>
      <c r="J2082" s="1393" t="n"/>
      <c r="K2082" s="1395">
        <f>IF(raw[[#This Row],[city]]&lt;&gt;"",_xlfn.XLOOKUP($D2082,ccc[city],ccc[prov],"-"),"-")</f>
        <v/>
      </c>
      <c r="L2082" s="1395">
        <f>IF(raw[[#This Row],[city]]&lt;&gt;"",_xlfn.XLOOKUP($D2082,ccc[city],ccc[ctry],"-"),"-")</f>
        <v/>
      </c>
      <c r="M2082" s="1395">
        <f>IF(raw[[#This Row],[city]]&lt;&gt;"",_xlfn.XLOOKUP($D2082,ccc[city],ccc[cont],"-"),"-")</f>
        <v/>
      </c>
      <c r="N2082" s="1396">
        <f>IF(raw[[#This Row],[city]]="","-",IF(raw[[#This Row],[cont]]="B",raw[[#This Row],[cont]],"W"))</f>
        <v/>
      </c>
      <c r="O2082" s="1397">
        <f>IF(raw[[#This Row],[out]]=0,0,IF(raw[[#This Row],[out]]=raw[[#This Row],[in]],0.01,raw[[#This Row],[out]]-raw[[#This Row],[in]]))</f>
        <v/>
      </c>
      <c r="P2082" s="1397">
        <f>IF(raw[[#This Row],[in]]=0,0,MONTH(raw[[#This Row],[in]]))</f>
        <v/>
      </c>
      <c r="Q2082" s="1397">
        <f>IF(raw[[#This Row],[in]]=0,0,YEAR(raw[[#This Row],[in]]))</f>
        <v/>
      </c>
      <c r="R2082" s="1397">
        <f>INT(raw[[#This Row],[yr]]/10)*10</f>
        <v/>
      </c>
      <c r="S2082" s="1395">
        <f>IF(raw[[#This Row],[city]]="","-",IF(raw[[#This Row],[city]]&lt;&gt;_xlfn.XLOOKUP(raw[[#This Row],[home]],homes[home],homes[city],"-"),1,0))</f>
        <v/>
      </c>
      <c r="T2082" s="1398" t="inlineStr">
        <is>
          <t>.</t>
        </is>
      </c>
      <c r="U2082" s="1399">
        <f>IF(raw[[#This Row],[wb]]="w",raw[[#This Row],[stay]]+U2081,U2081)</f>
        <v/>
      </c>
      <c r="V2082" s="1400">
        <f>IF(raw[[#This Row],[out]]=0,V2081,(raw[[#This Row],[out]]-E$5))</f>
        <v/>
      </c>
      <c r="W2082" s="1401">
        <f>U2082/V2082</f>
        <v/>
      </c>
      <c r="X2082" s="1392" t="n"/>
      <c r="Y2082" s="1392" t="n"/>
      <c r="Z2082" s="1422" t="n"/>
      <c r="AA2082" s="1422" t="n"/>
      <c r="AB2082" s="1392" t="n"/>
      <c r="AC2082" s="1392" t="n"/>
      <c r="AD2082" s="1392" t="n"/>
      <c r="AE2082" s="1392" t="n"/>
      <c r="AF2082" s="1392" t="n"/>
      <c r="AG2082" s="1392" t="n"/>
      <c r="AH2082" s="1392" t="n"/>
      <c r="AI2082" s="1392" t="n"/>
      <c r="AJ2082" s="1392" t="n"/>
      <c r="AK2082" s="1392" t="n"/>
      <c r="AL2082" s="1392" t="n"/>
      <c r="AM2082" s="1392" t="n"/>
      <c r="AN2082" s="1392" t="n"/>
      <c r="AO2082" s="1392" t="n"/>
      <c r="AP2082" s="1392" t="n"/>
      <c r="AQ2082" s="1392" t="n"/>
      <c r="AR2082" s="1392" t="n"/>
      <c r="AS2082" s="1422" t="n"/>
      <c r="AT2082" s="1392" t="n"/>
      <c r="AU2082" s="1392" t="n"/>
      <c r="AV2082" s="1392" t="n"/>
      <c r="AW2082" s="1392" t="n"/>
      <c r="AX2082" s="1392" t="n"/>
      <c r="AY2082" s="1392" t="n"/>
      <c r="AZ2082" s="1392" t="n"/>
      <c r="BA2082" s="1392" t="n"/>
      <c r="BB2082" s="1422" t="n"/>
      <c r="BC2082" s="1392" t="n"/>
      <c r="BD2082" s="1392" t="n"/>
      <c r="BE2082" s="1392" t="n"/>
      <c r="BF2082" s="1392" t="n"/>
      <c r="BG2082" s="1392" t="n"/>
      <c r="BH2082" s="1392" t="n"/>
      <c r="BI2082" s="1392" t="n"/>
      <c r="BJ2082" s="1392" t="n"/>
      <c r="BK2082" s="1392" t="n"/>
      <c r="BL2082" s="1392" t="n"/>
      <c r="BM2082" s="1392" t="n"/>
      <c r="BN2082" s="1392" t="n"/>
      <c r="BO2082" s="1392" t="n"/>
      <c r="BP2082" s="1392" t="n"/>
      <c r="BQ2082" s="1392" t="n"/>
      <c r="BR2082" s="1392" t="n"/>
      <c r="BS2082" s="1392" t="n"/>
      <c r="BT2082" s="1392" t="n"/>
      <c r="BU2082" s="1416" t="n"/>
      <c r="BV2082" s="1392" t="n"/>
      <c r="BW2082" s="1392" t="n"/>
      <c r="BX2082" s="1392" t="n"/>
      <c r="BY2082" s="1392" t="n"/>
      <c r="BZ2082" s="1416" t="n"/>
      <c r="CA2082" s="1392" t="n"/>
      <c r="CB2082" s="1392" t="n"/>
      <c r="CC2082" s="1392" t="n"/>
      <c r="CD2082" s="1392" t="n"/>
      <c r="CE2082" s="1392" t="n"/>
      <c r="CF2082" s="1392" t="n"/>
      <c r="CG2082" s="1392" t="n"/>
      <c r="CH2082" s="1392" t="n"/>
      <c r="CI2082" s="1392" t="n"/>
      <c r="CJ2082" s="1392" t="n"/>
      <c r="CK2082" s="1392" t="n"/>
      <c r="CL2082" s="1392" t="n"/>
    </row>
    <row r="2083">
      <c r="A2083" s="5" t="inlineStr">
        <is>
          <t>.</t>
        </is>
      </c>
      <c r="B2083" s="5" t="inlineStr">
        <is>
          <t>.</t>
        </is>
      </c>
      <c r="C2083" s="1378">
        <f>IF(raw[[#This Row],[city]]="","-",IF(raw[[#This Row],[city]]="TODAY","-",C2082+1))</f>
        <v/>
      </c>
      <c r="D2083" s="1393" t="n"/>
      <c r="E2083" s="1394" t="n"/>
      <c r="F2083" s="1394" t="n"/>
      <c r="G2083" s="1393" t="n"/>
      <c r="H2083" s="1393" t="n"/>
      <c r="I2083" s="1393" t="n"/>
      <c r="J2083" s="1393" t="n"/>
      <c r="K2083" s="1395">
        <f>IF(raw[[#This Row],[city]]&lt;&gt;"",_xlfn.XLOOKUP($D2083,ccc[city],ccc[prov],"-"),"-")</f>
        <v/>
      </c>
      <c r="L2083" s="1395">
        <f>IF(raw[[#This Row],[city]]&lt;&gt;"",_xlfn.XLOOKUP($D2083,ccc[city],ccc[ctry],"-"),"-")</f>
        <v/>
      </c>
      <c r="M2083" s="1395">
        <f>IF(raw[[#This Row],[city]]&lt;&gt;"",_xlfn.XLOOKUP($D2083,ccc[city],ccc[cont],"-"),"-")</f>
        <v/>
      </c>
      <c r="N2083" s="1396">
        <f>IF(raw[[#This Row],[city]]="","-",IF(raw[[#This Row],[cont]]="B",raw[[#This Row],[cont]],"W"))</f>
        <v/>
      </c>
      <c r="O2083" s="1397">
        <f>IF(raw[[#This Row],[out]]=0,0,IF(raw[[#This Row],[out]]=raw[[#This Row],[in]],0.01,raw[[#This Row],[out]]-raw[[#This Row],[in]]))</f>
        <v/>
      </c>
      <c r="P2083" s="1397">
        <f>IF(raw[[#This Row],[in]]=0,0,MONTH(raw[[#This Row],[in]]))</f>
        <v/>
      </c>
      <c r="Q2083" s="1397">
        <f>IF(raw[[#This Row],[in]]=0,0,YEAR(raw[[#This Row],[in]]))</f>
        <v/>
      </c>
      <c r="R2083" s="1397">
        <f>INT(raw[[#This Row],[yr]]/10)*10</f>
        <v/>
      </c>
      <c r="S2083" s="1395">
        <f>IF(raw[[#This Row],[city]]="","-",IF(raw[[#This Row],[city]]&lt;&gt;_xlfn.XLOOKUP(raw[[#This Row],[home]],homes[home],homes[city],"-"),1,0))</f>
        <v/>
      </c>
      <c r="T2083" s="1398" t="inlineStr">
        <is>
          <t>.</t>
        </is>
      </c>
      <c r="U2083" s="1399">
        <f>IF(raw[[#This Row],[wb]]="w",raw[[#This Row],[stay]]+U2082,U2082)</f>
        <v/>
      </c>
      <c r="V2083" s="1400">
        <f>IF(raw[[#This Row],[out]]=0,V2082,(raw[[#This Row],[out]]-E$5))</f>
        <v/>
      </c>
      <c r="W2083" s="1401">
        <f>U2083/V2083</f>
        <v/>
      </c>
      <c r="X2083" s="1392" t="n"/>
      <c r="Y2083" s="1392" t="n"/>
      <c r="Z2083" s="1422" t="n"/>
      <c r="AA2083" s="1422" t="n"/>
      <c r="AB2083" s="1392" t="n"/>
      <c r="AC2083" s="1392" t="n"/>
      <c r="AD2083" s="1392" t="n"/>
      <c r="AE2083" s="1392" t="n"/>
      <c r="AF2083" s="1392" t="n"/>
      <c r="AG2083" s="1392" t="n"/>
      <c r="AH2083" s="1392" t="n"/>
      <c r="AI2083" s="1392" t="n"/>
      <c r="AJ2083" s="1392" t="n"/>
      <c r="AK2083" s="1392" t="n"/>
      <c r="AL2083" s="1392" t="n"/>
      <c r="AM2083" s="1392" t="n"/>
      <c r="AN2083" s="1392" t="n"/>
      <c r="AO2083" s="1392" t="n"/>
      <c r="AP2083" s="1392" t="n"/>
      <c r="AQ2083" s="1392" t="n"/>
      <c r="AR2083" s="1392" t="n"/>
      <c r="AS2083" s="1422" t="n"/>
      <c r="AT2083" s="1392" t="n"/>
      <c r="AU2083" s="1392" t="n"/>
      <c r="AV2083" s="1392" t="n"/>
      <c r="AW2083" s="1392" t="n"/>
      <c r="AX2083" s="1392" t="n"/>
      <c r="AY2083" s="1392" t="n"/>
      <c r="AZ2083" s="1392" t="n"/>
      <c r="BA2083" s="1392" t="n"/>
      <c r="BB2083" s="1422" t="n"/>
      <c r="BC2083" s="1392" t="n"/>
      <c r="BD2083" s="1392" t="n"/>
      <c r="BE2083" s="1392" t="n"/>
      <c r="BF2083" s="1392" t="n"/>
      <c r="BG2083" s="1392" t="n"/>
      <c r="BH2083" s="1392" t="n"/>
      <c r="BI2083" s="1392" t="n"/>
      <c r="BJ2083" s="1392" t="n"/>
      <c r="BK2083" s="1392" t="n"/>
      <c r="BL2083" s="1392" t="n"/>
      <c r="BM2083" s="1392" t="n"/>
      <c r="BN2083" s="1392" t="n"/>
      <c r="BO2083" s="1392" t="n"/>
      <c r="BP2083" s="1392" t="n"/>
      <c r="BQ2083" s="1392" t="n"/>
      <c r="BR2083" s="1392" t="n"/>
      <c r="BS2083" s="1392" t="n"/>
      <c r="BT2083" s="1392" t="n"/>
      <c r="BU2083" s="1416" t="n"/>
      <c r="BV2083" s="1392" t="n"/>
      <c r="BW2083" s="1392" t="n"/>
      <c r="BX2083" s="1392" t="n"/>
      <c r="BY2083" s="1392" t="n"/>
      <c r="BZ2083" s="1416" t="n"/>
      <c r="CA2083" s="1392" t="n"/>
      <c r="CB2083" s="1392" t="n"/>
      <c r="CC2083" s="1392" t="n"/>
      <c r="CD2083" s="1392" t="n"/>
      <c r="CE2083" s="1392" t="n"/>
      <c r="CF2083" s="1392" t="n"/>
      <c r="CG2083" s="1392" t="n"/>
      <c r="CH2083" s="1392" t="n"/>
      <c r="CI2083" s="1392" t="n"/>
      <c r="CJ2083" s="1392" t="n"/>
      <c r="CK2083" s="1392" t="n"/>
      <c r="CL2083" s="1392" t="n"/>
    </row>
    <row r="2084">
      <c r="A2084" s="5" t="inlineStr">
        <is>
          <t>.</t>
        </is>
      </c>
      <c r="B2084" s="5" t="inlineStr">
        <is>
          <t>.</t>
        </is>
      </c>
      <c r="C2084" s="1378">
        <f>IF(raw[[#This Row],[city]]="","-",IF(raw[[#This Row],[city]]="TODAY","-",C2083+1))</f>
        <v/>
      </c>
      <c r="D2084" s="1393" t="n"/>
      <c r="E2084" s="1394" t="n"/>
      <c r="F2084" s="1394" t="n"/>
      <c r="G2084" s="1393" t="n"/>
      <c r="H2084" s="1393" t="n"/>
      <c r="I2084" s="1393" t="n"/>
      <c r="J2084" s="1393" t="n"/>
      <c r="K2084" s="1395">
        <f>IF(raw[[#This Row],[city]]&lt;&gt;"",_xlfn.XLOOKUP($D2084,ccc[city],ccc[prov],"-"),"-")</f>
        <v/>
      </c>
      <c r="L2084" s="1395">
        <f>IF(raw[[#This Row],[city]]&lt;&gt;"",_xlfn.XLOOKUP($D2084,ccc[city],ccc[ctry],"-"),"-")</f>
        <v/>
      </c>
      <c r="M2084" s="1395">
        <f>IF(raw[[#This Row],[city]]&lt;&gt;"",_xlfn.XLOOKUP($D2084,ccc[city],ccc[cont],"-"),"-")</f>
        <v/>
      </c>
      <c r="N2084" s="1396">
        <f>IF(raw[[#This Row],[city]]="","-",IF(raw[[#This Row],[cont]]="B",raw[[#This Row],[cont]],"W"))</f>
        <v/>
      </c>
      <c r="O2084" s="1397">
        <f>IF(raw[[#This Row],[out]]=0,0,IF(raw[[#This Row],[out]]=raw[[#This Row],[in]],0.01,raw[[#This Row],[out]]-raw[[#This Row],[in]]))</f>
        <v/>
      </c>
      <c r="P2084" s="1397">
        <f>IF(raw[[#This Row],[in]]=0,0,MONTH(raw[[#This Row],[in]]))</f>
        <v/>
      </c>
      <c r="Q2084" s="1397">
        <f>IF(raw[[#This Row],[in]]=0,0,YEAR(raw[[#This Row],[in]]))</f>
        <v/>
      </c>
      <c r="R2084" s="1397">
        <f>INT(raw[[#This Row],[yr]]/10)*10</f>
        <v/>
      </c>
      <c r="S2084" s="1395">
        <f>IF(raw[[#This Row],[city]]="","-",IF(raw[[#This Row],[city]]&lt;&gt;_xlfn.XLOOKUP(raw[[#This Row],[home]],homes[home],homes[city],"-"),1,0))</f>
        <v/>
      </c>
      <c r="T2084" s="1398" t="inlineStr">
        <is>
          <t>.</t>
        </is>
      </c>
      <c r="U2084" s="1399">
        <f>IF(raw[[#This Row],[wb]]="w",raw[[#This Row],[stay]]+U2083,U2083)</f>
        <v/>
      </c>
      <c r="V2084" s="1400">
        <f>IF(raw[[#This Row],[out]]=0,V2083,(raw[[#This Row],[out]]-E$5))</f>
        <v/>
      </c>
      <c r="W2084" s="1401">
        <f>U2084/V2084</f>
        <v/>
      </c>
      <c r="X2084" s="1392" t="n"/>
      <c r="Y2084" s="1392" t="n"/>
      <c r="Z2084" s="1422" t="n"/>
      <c r="AA2084" s="1422" t="n"/>
      <c r="AB2084" s="1392" t="n"/>
      <c r="AC2084" s="1392" t="n"/>
      <c r="AD2084" s="1392" t="n"/>
      <c r="AE2084" s="1392" t="n"/>
      <c r="AF2084" s="1392" t="n"/>
      <c r="AG2084" s="1392" t="n"/>
      <c r="AH2084" s="1392" t="n"/>
      <c r="AI2084" s="1392" t="n"/>
      <c r="AJ2084" s="1392" t="n"/>
      <c r="AK2084" s="1392" t="n"/>
      <c r="AL2084" s="1392" t="n"/>
      <c r="AM2084" s="1392" t="n"/>
      <c r="AN2084" s="1392" t="n"/>
      <c r="AO2084" s="1392" t="n"/>
      <c r="AP2084" s="1392" t="n"/>
      <c r="AQ2084" s="1392" t="n"/>
      <c r="AR2084" s="1392" t="n"/>
      <c r="AS2084" s="1422" t="n"/>
      <c r="AT2084" s="1392" t="n"/>
      <c r="AU2084" s="1392" t="n"/>
      <c r="AV2084" s="1392" t="n"/>
      <c r="AW2084" s="1392" t="n"/>
      <c r="AX2084" s="1392" t="n"/>
      <c r="AY2084" s="1392" t="n"/>
      <c r="AZ2084" s="1392" t="n"/>
      <c r="BA2084" s="1392" t="n"/>
      <c r="BB2084" s="1422" t="n"/>
      <c r="BC2084" s="1392" t="n"/>
      <c r="BD2084" s="1392" t="n"/>
      <c r="BE2084" s="1392" t="n"/>
      <c r="BF2084" s="1392" t="n"/>
      <c r="BG2084" s="1392" t="n"/>
      <c r="BH2084" s="1392" t="n"/>
      <c r="BI2084" s="1392" t="n"/>
      <c r="BJ2084" s="1392" t="n"/>
      <c r="BK2084" s="1392" t="n"/>
      <c r="BL2084" s="1392" t="n"/>
      <c r="BM2084" s="1392" t="n"/>
      <c r="BN2084" s="1392" t="n"/>
      <c r="BO2084" s="1392" t="n"/>
      <c r="BP2084" s="1392" t="n"/>
      <c r="BQ2084" s="1392" t="n"/>
      <c r="BR2084" s="1392" t="n"/>
      <c r="BS2084" s="1392" t="n"/>
      <c r="BT2084" s="1392" t="n"/>
      <c r="BU2084" s="1416" t="n"/>
      <c r="BV2084" s="1392" t="n"/>
      <c r="BW2084" s="1392" t="n"/>
      <c r="BX2084" s="1392" t="n"/>
      <c r="BY2084" s="1392" t="n"/>
      <c r="BZ2084" s="1416" t="n"/>
      <c r="CA2084" s="1392" t="n"/>
      <c r="CB2084" s="1392" t="n"/>
      <c r="CC2084" s="1392" t="n"/>
      <c r="CD2084" s="1392" t="n"/>
      <c r="CE2084" s="1392" t="n"/>
      <c r="CF2084" s="1392" t="n"/>
      <c r="CG2084" s="1392" t="n"/>
      <c r="CH2084" s="1392" t="n"/>
      <c r="CI2084" s="1392" t="n"/>
      <c r="CJ2084" s="1392" t="n"/>
      <c r="CK2084" s="1392" t="n"/>
      <c r="CL2084" s="1392" t="n"/>
    </row>
    <row r="2085">
      <c r="A2085" s="5" t="inlineStr">
        <is>
          <t>.</t>
        </is>
      </c>
      <c r="B2085" s="5" t="inlineStr">
        <is>
          <t>.</t>
        </is>
      </c>
      <c r="C2085" s="1378">
        <f>IF(raw[[#This Row],[city]]="","-",IF(raw[[#This Row],[city]]="TODAY","-",C2084+1))</f>
        <v/>
      </c>
      <c r="D2085" s="1393" t="n"/>
      <c r="E2085" s="1394" t="n"/>
      <c r="F2085" s="1394" t="n"/>
      <c r="G2085" s="1393" t="n"/>
      <c r="H2085" s="1393" t="n"/>
      <c r="I2085" s="1393" t="n"/>
      <c r="J2085" s="1393" t="n"/>
      <c r="K2085" s="1395">
        <f>IF(raw[[#This Row],[city]]&lt;&gt;"",_xlfn.XLOOKUP($D2085,ccc[city],ccc[prov],"-"),"-")</f>
        <v/>
      </c>
      <c r="L2085" s="1395">
        <f>IF(raw[[#This Row],[city]]&lt;&gt;"",_xlfn.XLOOKUP($D2085,ccc[city],ccc[ctry],"-"),"-")</f>
        <v/>
      </c>
      <c r="M2085" s="1395">
        <f>IF(raw[[#This Row],[city]]&lt;&gt;"",_xlfn.XLOOKUP($D2085,ccc[city],ccc[cont],"-"),"-")</f>
        <v/>
      </c>
      <c r="N2085" s="1396">
        <f>IF(raw[[#This Row],[city]]="","-",IF(raw[[#This Row],[cont]]="B",raw[[#This Row],[cont]],"W"))</f>
        <v/>
      </c>
      <c r="O2085" s="1397">
        <f>IF(raw[[#This Row],[out]]=0,0,IF(raw[[#This Row],[out]]=raw[[#This Row],[in]],0.01,raw[[#This Row],[out]]-raw[[#This Row],[in]]))</f>
        <v/>
      </c>
      <c r="P2085" s="1397">
        <f>IF(raw[[#This Row],[in]]=0,0,MONTH(raw[[#This Row],[in]]))</f>
        <v/>
      </c>
      <c r="Q2085" s="1397">
        <f>IF(raw[[#This Row],[in]]=0,0,YEAR(raw[[#This Row],[in]]))</f>
        <v/>
      </c>
      <c r="R2085" s="1397">
        <f>INT(raw[[#This Row],[yr]]/10)*10</f>
        <v/>
      </c>
      <c r="S2085" s="1395">
        <f>IF(raw[[#This Row],[city]]="","-",IF(raw[[#This Row],[city]]&lt;&gt;_xlfn.XLOOKUP(raw[[#This Row],[home]],homes[home],homes[city],"-"),1,0))</f>
        <v/>
      </c>
      <c r="T2085" s="1398" t="inlineStr">
        <is>
          <t>.</t>
        </is>
      </c>
      <c r="U2085" s="1399">
        <f>IF(raw[[#This Row],[wb]]="w",raw[[#This Row],[stay]]+U2084,U2084)</f>
        <v/>
      </c>
      <c r="V2085" s="1400">
        <f>IF(raw[[#This Row],[out]]=0,V2084,(raw[[#This Row],[out]]-E$5))</f>
        <v/>
      </c>
      <c r="W2085" s="1401">
        <f>U2085/V2085</f>
        <v/>
      </c>
      <c r="X2085" s="1392" t="n"/>
      <c r="Y2085" s="1392" t="n"/>
      <c r="Z2085" s="1422" t="n"/>
      <c r="AA2085" s="1422" t="n"/>
      <c r="AB2085" s="1392" t="n"/>
      <c r="AC2085" s="1392" t="n"/>
      <c r="AD2085" s="1392" t="n"/>
      <c r="AE2085" s="1392" t="n"/>
      <c r="AF2085" s="1392" t="n"/>
      <c r="AG2085" s="1392" t="n"/>
      <c r="AH2085" s="1392" t="n"/>
      <c r="AI2085" s="1392" t="n"/>
      <c r="AJ2085" s="1392" t="n"/>
      <c r="AK2085" s="1392" t="n"/>
      <c r="AL2085" s="1392" t="n"/>
      <c r="AM2085" s="1392" t="n"/>
      <c r="AN2085" s="1392" t="n"/>
      <c r="AO2085" s="1392" t="n"/>
      <c r="AP2085" s="1392" t="n"/>
      <c r="AQ2085" s="1392" t="n"/>
      <c r="AR2085" s="1392" t="n"/>
      <c r="AS2085" s="1422" t="n"/>
      <c r="AT2085" s="1392" t="n"/>
      <c r="AU2085" s="1392" t="n"/>
      <c r="AV2085" s="1392" t="n"/>
      <c r="AW2085" s="1392" t="n"/>
      <c r="AX2085" s="1392" t="n"/>
      <c r="AY2085" s="1392" t="n"/>
      <c r="AZ2085" s="1392" t="n"/>
      <c r="BA2085" s="1392" t="n"/>
      <c r="BB2085" s="1422" t="n"/>
      <c r="BC2085" s="1392" t="n"/>
      <c r="BD2085" s="1392" t="n"/>
      <c r="BE2085" s="1392" t="n"/>
      <c r="BF2085" s="1392" t="n"/>
      <c r="BG2085" s="1392" t="n"/>
      <c r="BH2085" s="1392" t="n"/>
      <c r="BI2085" s="1392" t="n"/>
      <c r="BJ2085" s="1392" t="n"/>
      <c r="BK2085" s="1392" t="n"/>
      <c r="BL2085" s="1392" t="n"/>
      <c r="BM2085" s="1392" t="n"/>
      <c r="BN2085" s="1392" t="n"/>
      <c r="BO2085" s="1392" t="n"/>
      <c r="BP2085" s="1392" t="n"/>
      <c r="BQ2085" s="1392" t="n"/>
      <c r="BR2085" s="1392" t="n"/>
      <c r="BS2085" s="1392" t="n"/>
      <c r="BT2085" s="1392" t="n"/>
      <c r="BU2085" s="1416" t="n"/>
      <c r="BV2085" s="1392" t="n"/>
      <c r="BW2085" s="1392" t="n"/>
      <c r="BX2085" s="1392" t="n"/>
      <c r="BY2085" s="1392" t="n"/>
      <c r="BZ2085" s="1416" t="n"/>
      <c r="CA2085" s="1392" t="n"/>
      <c r="CB2085" s="1392" t="n"/>
      <c r="CC2085" s="1392" t="n"/>
      <c r="CD2085" s="1392" t="n"/>
      <c r="CE2085" s="1392" t="n"/>
      <c r="CF2085" s="1392" t="n"/>
      <c r="CG2085" s="1392" t="n"/>
      <c r="CH2085" s="1392" t="n"/>
      <c r="CI2085" s="1392" t="n"/>
      <c r="CJ2085" s="1392" t="n"/>
      <c r="CK2085" s="1392" t="n"/>
      <c r="CL2085" s="1392" t="n"/>
    </row>
    <row r="2086">
      <c r="A2086" s="5" t="inlineStr">
        <is>
          <t>.</t>
        </is>
      </c>
      <c r="B2086" s="5" t="inlineStr">
        <is>
          <t>.</t>
        </is>
      </c>
      <c r="C2086" s="1378">
        <f>IF(raw[[#This Row],[city]]="","-",IF(raw[[#This Row],[city]]="TODAY","-",C2085+1))</f>
        <v/>
      </c>
      <c r="D2086" s="1393" t="n"/>
      <c r="E2086" s="1394" t="n"/>
      <c r="F2086" s="1394" t="n"/>
      <c r="G2086" s="1393" t="n"/>
      <c r="H2086" s="1393" t="n"/>
      <c r="I2086" s="1393" t="n"/>
      <c r="J2086" s="1393" t="n"/>
      <c r="K2086" s="1395">
        <f>IF(raw[[#This Row],[city]]&lt;&gt;"",_xlfn.XLOOKUP($D2086,ccc[city],ccc[prov],"-"),"-")</f>
        <v/>
      </c>
      <c r="L2086" s="1395">
        <f>IF(raw[[#This Row],[city]]&lt;&gt;"",_xlfn.XLOOKUP($D2086,ccc[city],ccc[ctry],"-"),"-")</f>
        <v/>
      </c>
      <c r="M2086" s="1395">
        <f>IF(raw[[#This Row],[city]]&lt;&gt;"",_xlfn.XLOOKUP($D2086,ccc[city],ccc[cont],"-"),"-")</f>
        <v/>
      </c>
      <c r="N2086" s="1396">
        <f>IF(raw[[#This Row],[city]]="","-",IF(raw[[#This Row],[cont]]="B",raw[[#This Row],[cont]],"W"))</f>
        <v/>
      </c>
      <c r="O2086" s="1397">
        <f>IF(raw[[#This Row],[out]]=0,0,IF(raw[[#This Row],[out]]=raw[[#This Row],[in]],0.01,raw[[#This Row],[out]]-raw[[#This Row],[in]]))</f>
        <v/>
      </c>
      <c r="P2086" s="1397">
        <f>IF(raw[[#This Row],[in]]=0,0,MONTH(raw[[#This Row],[in]]))</f>
        <v/>
      </c>
      <c r="Q2086" s="1397">
        <f>IF(raw[[#This Row],[in]]=0,0,YEAR(raw[[#This Row],[in]]))</f>
        <v/>
      </c>
      <c r="R2086" s="1397">
        <f>INT(raw[[#This Row],[yr]]/10)*10</f>
        <v/>
      </c>
      <c r="S2086" s="1395">
        <f>IF(raw[[#This Row],[city]]="","-",IF(raw[[#This Row],[city]]&lt;&gt;_xlfn.XLOOKUP(raw[[#This Row],[home]],homes[home],homes[city],"-"),1,0))</f>
        <v/>
      </c>
      <c r="T2086" s="1398" t="inlineStr">
        <is>
          <t>.</t>
        </is>
      </c>
      <c r="U2086" s="1399">
        <f>IF(raw[[#This Row],[wb]]="w",raw[[#This Row],[stay]]+U2085,U2085)</f>
        <v/>
      </c>
      <c r="V2086" s="1400">
        <f>IF(raw[[#This Row],[out]]=0,V2085,(raw[[#This Row],[out]]-E$5))</f>
        <v/>
      </c>
      <c r="W2086" s="1401">
        <f>U2086/V2086</f>
        <v/>
      </c>
      <c r="X2086" s="1392" t="n"/>
      <c r="Y2086" s="1392" t="n"/>
      <c r="Z2086" s="1422" t="n"/>
      <c r="AA2086" s="1422" t="n"/>
      <c r="AB2086" s="1392" t="n"/>
      <c r="AC2086" s="1392" t="n"/>
      <c r="AD2086" s="1392" t="n"/>
      <c r="AE2086" s="1392" t="n"/>
      <c r="AF2086" s="1392" t="n"/>
      <c r="AG2086" s="1392" t="n"/>
      <c r="AH2086" s="1392" t="n"/>
      <c r="AI2086" s="1392" t="n"/>
      <c r="AJ2086" s="1392" t="n"/>
      <c r="AK2086" s="1392" t="n"/>
      <c r="AL2086" s="1392" t="n"/>
      <c r="AM2086" s="1392" t="n"/>
      <c r="AN2086" s="1392" t="n"/>
      <c r="AO2086" s="1392" t="n"/>
      <c r="AP2086" s="1392" t="n"/>
      <c r="AQ2086" s="1392" t="n"/>
      <c r="AR2086" s="1392" t="n"/>
      <c r="AS2086" s="1422" t="n"/>
      <c r="AT2086" s="1392" t="n"/>
      <c r="AU2086" s="1392" t="n"/>
      <c r="AV2086" s="1392" t="n"/>
      <c r="AW2086" s="1392" t="n"/>
      <c r="AX2086" s="1392" t="n"/>
      <c r="AY2086" s="1392" t="n"/>
      <c r="AZ2086" s="1392" t="n"/>
      <c r="BA2086" s="1392" t="n"/>
      <c r="BB2086" s="1422" t="n"/>
      <c r="BC2086" s="1392" t="n"/>
      <c r="BD2086" s="1392" t="n"/>
      <c r="BE2086" s="1392" t="n"/>
      <c r="BF2086" s="1392" t="n"/>
      <c r="BG2086" s="1392" t="n"/>
      <c r="BH2086" s="1392" t="n"/>
      <c r="BI2086" s="1392" t="n"/>
      <c r="BJ2086" s="1392" t="n"/>
      <c r="BK2086" s="1392" t="n"/>
      <c r="BL2086" s="1392" t="n"/>
      <c r="BM2086" s="1392" t="n"/>
      <c r="BN2086" s="1392" t="n"/>
      <c r="BO2086" s="1392" t="n"/>
      <c r="BP2086" s="1392" t="n"/>
      <c r="BQ2086" s="1392" t="n"/>
      <c r="BR2086" s="1392" t="n"/>
      <c r="BS2086" s="1392" t="n"/>
      <c r="BT2086" s="1392" t="n"/>
      <c r="BU2086" s="1416" t="n"/>
      <c r="BV2086" s="1392" t="n"/>
      <c r="BW2086" s="1392" t="n"/>
      <c r="BX2086" s="1392" t="n"/>
      <c r="BY2086" s="1392" t="n"/>
      <c r="BZ2086" s="1416" t="n"/>
      <c r="CA2086" s="1392" t="n"/>
      <c r="CB2086" s="1392" t="n"/>
      <c r="CC2086" s="1392" t="n"/>
      <c r="CD2086" s="1392" t="n"/>
      <c r="CE2086" s="1392" t="n"/>
      <c r="CF2086" s="1392" t="n"/>
      <c r="CG2086" s="1392" t="n"/>
      <c r="CH2086" s="1392" t="n"/>
      <c r="CI2086" s="1392" t="n"/>
      <c r="CJ2086" s="1392" t="n"/>
      <c r="CK2086" s="1392" t="n"/>
      <c r="CL2086" s="1392" t="n"/>
    </row>
    <row r="2087">
      <c r="A2087" s="5" t="inlineStr">
        <is>
          <t>.</t>
        </is>
      </c>
      <c r="B2087" s="5" t="inlineStr">
        <is>
          <t>.</t>
        </is>
      </c>
      <c r="C2087" s="1378">
        <f>IF(raw[[#This Row],[city]]="","-",IF(raw[[#This Row],[city]]="TODAY","-",C2086+1))</f>
        <v/>
      </c>
      <c r="D2087" s="1393" t="n"/>
      <c r="E2087" s="1394" t="n"/>
      <c r="F2087" s="1394" t="n"/>
      <c r="G2087" s="1393" t="n"/>
      <c r="H2087" s="1393" t="n"/>
      <c r="I2087" s="1393" t="n"/>
      <c r="J2087" s="1393" t="n"/>
      <c r="K2087" s="1395">
        <f>IF(raw[[#This Row],[city]]&lt;&gt;"",_xlfn.XLOOKUP($D2087,ccc[city],ccc[prov],"-"),"-")</f>
        <v/>
      </c>
      <c r="L2087" s="1395">
        <f>IF(raw[[#This Row],[city]]&lt;&gt;"",_xlfn.XLOOKUP($D2087,ccc[city],ccc[ctry],"-"),"-")</f>
        <v/>
      </c>
      <c r="M2087" s="1395">
        <f>IF(raw[[#This Row],[city]]&lt;&gt;"",_xlfn.XLOOKUP($D2087,ccc[city],ccc[cont],"-"),"-")</f>
        <v/>
      </c>
      <c r="N2087" s="1396">
        <f>IF(raw[[#This Row],[city]]="","-",IF(raw[[#This Row],[cont]]="B",raw[[#This Row],[cont]],"W"))</f>
        <v/>
      </c>
      <c r="O2087" s="1397">
        <f>IF(raw[[#This Row],[out]]=0,0,IF(raw[[#This Row],[out]]=raw[[#This Row],[in]],0.01,raw[[#This Row],[out]]-raw[[#This Row],[in]]))</f>
        <v/>
      </c>
      <c r="P2087" s="1397">
        <f>IF(raw[[#This Row],[in]]=0,0,MONTH(raw[[#This Row],[in]]))</f>
        <v/>
      </c>
      <c r="Q2087" s="1397">
        <f>IF(raw[[#This Row],[in]]=0,0,YEAR(raw[[#This Row],[in]]))</f>
        <v/>
      </c>
      <c r="R2087" s="1397">
        <f>INT(raw[[#This Row],[yr]]/10)*10</f>
        <v/>
      </c>
      <c r="S2087" s="1395">
        <f>IF(raw[[#This Row],[city]]="","-",IF(raw[[#This Row],[city]]&lt;&gt;_xlfn.XLOOKUP(raw[[#This Row],[home]],homes[home],homes[city],"-"),1,0))</f>
        <v/>
      </c>
      <c r="T2087" s="1398" t="inlineStr">
        <is>
          <t>.</t>
        </is>
      </c>
      <c r="U2087" s="1399">
        <f>IF(raw[[#This Row],[wb]]="w",raw[[#This Row],[stay]]+U2086,U2086)</f>
        <v/>
      </c>
      <c r="V2087" s="1400">
        <f>IF(raw[[#This Row],[out]]=0,V2086,(raw[[#This Row],[out]]-E$5))</f>
        <v/>
      </c>
      <c r="W2087" s="1401">
        <f>U2087/V2087</f>
        <v/>
      </c>
      <c r="X2087" s="1392" t="n"/>
      <c r="Y2087" s="1392" t="n"/>
      <c r="Z2087" s="1422" t="n"/>
      <c r="AA2087" s="1422" t="n"/>
      <c r="AB2087" s="1392" t="n"/>
      <c r="AC2087" s="1392" t="n"/>
      <c r="AD2087" s="1392" t="n"/>
      <c r="AE2087" s="1392" t="n"/>
      <c r="AF2087" s="1392" t="n"/>
      <c r="AG2087" s="1392" t="n"/>
      <c r="AH2087" s="1392" t="n"/>
      <c r="AI2087" s="1392" t="n"/>
      <c r="AJ2087" s="1392" t="n"/>
      <c r="AK2087" s="1392" t="n"/>
      <c r="AL2087" s="1392" t="n"/>
      <c r="AM2087" s="1392" t="n"/>
      <c r="AN2087" s="1392" t="n"/>
      <c r="AO2087" s="1392" t="n"/>
      <c r="AP2087" s="1392" t="n"/>
      <c r="AQ2087" s="1392" t="n"/>
      <c r="AR2087" s="1392" t="n"/>
      <c r="AS2087" s="1422" t="n"/>
      <c r="AT2087" s="1392" t="n"/>
      <c r="AU2087" s="1392" t="n"/>
      <c r="AV2087" s="1392" t="n"/>
      <c r="AW2087" s="1392" t="n"/>
      <c r="AX2087" s="1392" t="n"/>
      <c r="AY2087" s="1392" t="n"/>
      <c r="AZ2087" s="1392" t="n"/>
      <c r="BA2087" s="1392" t="n"/>
      <c r="BB2087" s="1422" t="n"/>
      <c r="BC2087" s="1392" t="n"/>
      <c r="BD2087" s="1392" t="n"/>
      <c r="BE2087" s="1392" t="n"/>
      <c r="BF2087" s="1392" t="n"/>
      <c r="BG2087" s="1392" t="n"/>
      <c r="BH2087" s="1392" t="n"/>
      <c r="BI2087" s="1392" t="n"/>
      <c r="BJ2087" s="1392" t="n"/>
      <c r="BK2087" s="1392" t="n"/>
      <c r="BL2087" s="1392" t="n"/>
      <c r="BM2087" s="1392" t="n"/>
      <c r="BN2087" s="1392" t="n"/>
      <c r="BO2087" s="1392" t="n"/>
      <c r="BP2087" s="1392" t="n"/>
      <c r="BQ2087" s="1392" t="n"/>
      <c r="BR2087" s="1392" t="n"/>
      <c r="BS2087" s="1392" t="n"/>
      <c r="BT2087" s="1392" t="n"/>
      <c r="BU2087" s="1416" t="n"/>
      <c r="BV2087" s="1392" t="n"/>
      <c r="BW2087" s="1392" t="n"/>
      <c r="BX2087" s="1392" t="n"/>
      <c r="BY2087" s="1392" t="n"/>
      <c r="BZ2087" s="1416" t="n"/>
      <c r="CA2087" s="1392" t="n"/>
      <c r="CB2087" s="1392" t="n"/>
      <c r="CC2087" s="1392" t="n"/>
      <c r="CD2087" s="1392" t="n"/>
      <c r="CE2087" s="1392" t="n"/>
      <c r="CF2087" s="1392" t="n"/>
      <c r="CG2087" s="1392" t="n"/>
      <c r="CH2087" s="1392" t="n"/>
      <c r="CI2087" s="1392" t="n"/>
      <c r="CJ2087" s="1392" t="n"/>
      <c r="CK2087" s="1392" t="n"/>
      <c r="CL2087" s="1392" t="n"/>
    </row>
    <row r="2088">
      <c r="A2088" s="5" t="inlineStr">
        <is>
          <t>.</t>
        </is>
      </c>
      <c r="B2088" s="5" t="inlineStr">
        <is>
          <t>.</t>
        </is>
      </c>
      <c r="C2088" s="1378">
        <f>IF(raw[[#This Row],[city]]="","-",IF(raw[[#This Row],[city]]="TODAY","-",C2087+1))</f>
        <v/>
      </c>
      <c r="D2088" s="1393" t="n"/>
      <c r="E2088" s="1394" t="n"/>
      <c r="F2088" s="1394" t="n"/>
      <c r="G2088" s="1393" t="n"/>
      <c r="H2088" s="1393" t="n"/>
      <c r="I2088" s="1393" t="n"/>
      <c r="J2088" s="1393" t="n"/>
      <c r="K2088" s="1395">
        <f>IF(raw[[#This Row],[city]]&lt;&gt;"",_xlfn.XLOOKUP($D2088,ccc[city],ccc[prov],"-"),"-")</f>
        <v/>
      </c>
      <c r="L2088" s="1395">
        <f>IF(raw[[#This Row],[city]]&lt;&gt;"",_xlfn.XLOOKUP($D2088,ccc[city],ccc[ctry],"-"),"-")</f>
        <v/>
      </c>
      <c r="M2088" s="1395">
        <f>IF(raw[[#This Row],[city]]&lt;&gt;"",_xlfn.XLOOKUP($D2088,ccc[city],ccc[cont],"-"),"-")</f>
        <v/>
      </c>
      <c r="N2088" s="1396">
        <f>IF(raw[[#This Row],[city]]="","-",IF(raw[[#This Row],[cont]]="B",raw[[#This Row],[cont]],"W"))</f>
        <v/>
      </c>
      <c r="O2088" s="1397">
        <f>IF(raw[[#This Row],[out]]=0,0,IF(raw[[#This Row],[out]]=raw[[#This Row],[in]],0.01,raw[[#This Row],[out]]-raw[[#This Row],[in]]))</f>
        <v/>
      </c>
      <c r="P2088" s="1397">
        <f>IF(raw[[#This Row],[in]]=0,0,MONTH(raw[[#This Row],[in]]))</f>
        <v/>
      </c>
      <c r="Q2088" s="1397">
        <f>IF(raw[[#This Row],[in]]=0,0,YEAR(raw[[#This Row],[in]]))</f>
        <v/>
      </c>
      <c r="R2088" s="1397">
        <f>INT(raw[[#This Row],[yr]]/10)*10</f>
        <v/>
      </c>
      <c r="S2088" s="1395">
        <f>IF(raw[[#This Row],[city]]="","-",IF(raw[[#This Row],[city]]&lt;&gt;_xlfn.XLOOKUP(raw[[#This Row],[home]],homes[home],homes[city],"-"),1,0))</f>
        <v/>
      </c>
      <c r="T2088" s="1398" t="inlineStr">
        <is>
          <t>.</t>
        </is>
      </c>
      <c r="U2088" s="1399">
        <f>IF(raw[[#This Row],[wb]]="w",raw[[#This Row],[stay]]+U2087,U2087)</f>
        <v/>
      </c>
      <c r="V2088" s="1400">
        <f>IF(raw[[#This Row],[out]]=0,V2087,(raw[[#This Row],[out]]-E$5))</f>
        <v/>
      </c>
      <c r="W2088" s="1401">
        <f>U2088/V2088</f>
        <v/>
      </c>
      <c r="X2088" s="1392" t="n"/>
      <c r="Y2088" s="1392" t="n"/>
      <c r="Z2088" s="1422" t="n"/>
      <c r="AA2088" s="1422" t="n"/>
      <c r="AB2088" s="1392" t="n"/>
      <c r="AC2088" s="1392" t="n"/>
      <c r="AD2088" s="1392" t="n"/>
      <c r="AE2088" s="1392" t="n"/>
      <c r="AF2088" s="1392" t="n"/>
      <c r="AG2088" s="1392" t="n"/>
      <c r="AH2088" s="1392" t="n"/>
      <c r="AI2088" s="1392" t="n"/>
      <c r="AJ2088" s="1392" t="n"/>
      <c r="AK2088" s="1392" t="n"/>
      <c r="AL2088" s="1392" t="n"/>
      <c r="AM2088" s="1392" t="n"/>
      <c r="AN2088" s="1392" t="n"/>
      <c r="AO2088" s="1392" t="n"/>
      <c r="AP2088" s="1392" t="n"/>
      <c r="AQ2088" s="1392" t="n"/>
      <c r="AR2088" s="1392" t="n"/>
      <c r="AS2088" s="1422" t="n"/>
      <c r="AT2088" s="1392" t="n"/>
      <c r="AU2088" s="1392" t="n"/>
      <c r="AV2088" s="1392" t="n"/>
      <c r="AW2088" s="1392" t="n"/>
      <c r="AX2088" s="1392" t="n"/>
      <c r="AY2088" s="1392" t="n"/>
      <c r="AZ2088" s="1392" t="n"/>
      <c r="BA2088" s="1392" t="n"/>
      <c r="BB2088" s="1422" t="n"/>
      <c r="BC2088" s="1392" t="n"/>
      <c r="BD2088" s="1392" t="n"/>
      <c r="BE2088" s="1392" t="n"/>
      <c r="BF2088" s="1392" t="n"/>
      <c r="BG2088" s="1392" t="n"/>
      <c r="BH2088" s="1392" t="n"/>
      <c r="BI2088" s="1392" t="n"/>
      <c r="BJ2088" s="1392" t="n"/>
      <c r="BK2088" s="1392" t="n"/>
      <c r="BL2088" s="1392" t="n"/>
      <c r="BM2088" s="1392" t="n"/>
      <c r="BN2088" s="1392" t="n"/>
      <c r="BO2088" s="1392" t="n"/>
      <c r="BP2088" s="1392" t="n"/>
      <c r="BQ2088" s="1392" t="n"/>
      <c r="BR2088" s="1392" t="n"/>
      <c r="BS2088" s="1392" t="n"/>
      <c r="BT2088" s="1392" t="n"/>
      <c r="BU2088" s="1416" t="n"/>
      <c r="BV2088" s="1392" t="n"/>
      <c r="BW2088" s="1392" t="n"/>
      <c r="BX2088" s="1392" t="n"/>
      <c r="BY2088" s="1392" t="n"/>
      <c r="BZ2088" s="1416" t="n"/>
      <c r="CA2088" s="1392" t="n"/>
      <c r="CB2088" s="1392" t="n"/>
      <c r="CC2088" s="1392" t="n"/>
      <c r="CD2088" s="1392" t="n"/>
      <c r="CE2088" s="1392" t="n"/>
      <c r="CF2088" s="1392" t="n"/>
      <c r="CG2088" s="1392" t="n"/>
      <c r="CH2088" s="1392" t="n"/>
      <c r="CI2088" s="1392" t="n"/>
      <c r="CJ2088" s="1392" t="n"/>
      <c r="CK2088" s="1392" t="n"/>
      <c r="CL2088" s="1392" t="n"/>
    </row>
    <row r="2089">
      <c r="A2089" s="5" t="inlineStr">
        <is>
          <t>.</t>
        </is>
      </c>
      <c r="B2089" s="5" t="inlineStr">
        <is>
          <t>.</t>
        </is>
      </c>
      <c r="C2089" s="1378">
        <f>IF(raw[[#This Row],[city]]="","-",IF(raw[[#This Row],[city]]="TODAY","-",C2088+1))</f>
        <v/>
      </c>
      <c r="D2089" s="1393" t="n"/>
      <c r="E2089" s="1394" t="n"/>
      <c r="F2089" s="1394" t="n"/>
      <c r="G2089" s="1393" t="n"/>
      <c r="H2089" s="1393" t="n"/>
      <c r="I2089" s="1393" t="n"/>
      <c r="J2089" s="1393" t="n"/>
      <c r="K2089" s="1395">
        <f>IF(raw[[#This Row],[city]]&lt;&gt;"",_xlfn.XLOOKUP($D2089,ccc[city],ccc[prov],"-"),"-")</f>
        <v/>
      </c>
      <c r="L2089" s="1395">
        <f>IF(raw[[#This Row],[city]]&lt;&gt;"",_xlfn.XLOOKUP($D2089,ccc[city],ccc[ctry],"-"),"-")</f>
        <v/>
      </c>
      <c r="M2089" s="1395">
        <f>IF(raw[[#This Row],[city]]&lt;&gt;"",_xlfn.XLOOKUP($D2089,ccc[city],ccc[cont],"-"),"-")</f>
        <v/>
      </c>
      <c r="N2089" s="1396">
        <f>IF(raw[[#This Row],[city]]="","-",IF(raw[[#This Row],[cont]]="B",raw[[#This Row],[cont]],"W"))</f>
        <v/>
      </c>
      <c r="O2089" s="1397">
        <f>IF(raw[[#This Row],[out]]=0,0,IF(raw[[#This Row],[out]]=raw[[#This Row],[in]],0.01,raw[[#This Row],[out]]-raw[[#This Row],[in]]))</f>
        <v/>
      </c>
      <c r="P2089" s="1397">
        <f>IF(raw[[#This Row],[in]]=0,0,MONTH(raw[[#This Row],[in]]))</f>
        <v/>
      </c>
      <c r="Q2089" s="1397">
        <f>IF(raw[[#This Row],[in]]=0,0,YEAR(raw[[#This Row],[in]]))</f>
        <v/>
      </c>
      <c r="R2089" s="1397">
        <f>INT(raw[[#This Row],[yr]]/10)*10</f>
        <v/>
      </c>
      <c r="S2089" s="1395">
        <f>IF(raw[[#This Row],[city]]="","-",IF(raw[[#This Row],[city]]&lt;&gt;_xlfn.XLOOKUP(raw[[#This Row],[home]],homes[home],homes[city],"-"),1,0))</f>
        <v/>
      </c>
      <c r="T2089" s="1398" t="inlineStr">
        <is>
          <t>.</t>
        </is>
      </c>
      <c r="U2089" s="1399">
        <f>IF(raw[[#This Row],[wb]]="w",raw[[#This Row],[stay]]+U2088,U2088)</f>
        <v/>
      </c>
      <c r="V2089" s="1400">
        <f>IF(raw[[#This Row],[out]]=0,V2088,(raw[[#This Row],[out]]-E$5))</f>
        <v/>
      </c>
      <c r="W2089" s="1401">
        <f>U2089/V2089</f>
        <v/>
      </c>
      <c r="X2089" s="1392" t="n"/>
      <c r="Y2089" s="1392" t="n"/>
      <c r="Z2089" s="1422" t="n"/>
      <c r="AA2089" s="1422" t="n"/>
      <c r="AB2089" s="1392" t="n"/>
      <c r="AC2089" s="1392" t="n"/>
      <c r="AD2089" s="1392" t="n"/>
      <c r="AE2089" s="1392" t="n"/>
      <c r="AF2089" s="1392" t="n"/>
      <c r="AG2089" s="1392" t="n"/>
      <c r="AH2089" s="1392" t="n"/>
      <c r="AI2089" s="1392" t="n"/>
      <c r="AJ2089" s="1392" t="n"/>
      <c r="AK2089" s="1392" t="n"/>
      <c r="AL2089" s="1392" t="n"/>
      <c r="AM2089" s="1392" t="n"/>
      <c r="AN2089" s="1392" t="n"/>
      <c r="AO2089" s="1392" t="n"/>
      <c r="AP2089" s="1392" t="n"/>
      <c r="AQ2089" s="1392" t="n"/>
      <c r="AR2089" s="1392" t="n"/>
      <c r="AS2089" s="1422" t="n"/>
      <c r="AT2089" s="1392" t="n"/>
      <c r="AU2089" s="1392" t="n"/>
      <c r="AV2089" s="1392" t="n"/>
      <c r="AW2089" s="1392" t="n"/>
      <c r="AX2089" s="1392" t="n"/>
      <c r="AY2089" s="1392" t="n"/>
      <c r="AZ2089" s="1392" t="n"/>
      <c r="BA2089" s="1392" t="n"/>
      <c r="BB2089" s="1422" t="n"/>
      <c r="BC2089" s="1392" t="n"/>
      <c r="BD2089" s="1392" t="n"/>
      <c r="BE2089" s="1392" t="n"/>
      <c r="BF2089" s="1392" t="n"/>
      <c r="BG2089" s="1392" t="n"/>
      <c r="BH2089" s="1392" t="n"/>
      <c r="BI2089" s="1392" t="n"/>
      <c r="BJ2089" s="1392" t="n"/>
      <c r="BK2089" s="1392" t="n"/>
      <c r="BL2089" s="1392" t="n"/>
      <c r="BM2089" s="1392" t="n"/>
      <c r="BN2089" s="1392" t="n"/>
      <c r="BO2089" s="1392" t="n"/>
      <c r="BP2089" s="1392" t="n"/>
      <c r="BQ2089" s="1392" t="n"/>
      <c r="BR2089" s="1392" t="n"/>
      <c r="BS2089" s="1392" t="n"/>
      <c r="BT2089" s="1392" t="n"/>
      <c r="BU2089" s="1416" t="n"/>
      <c r="BV2089" s="1392" t="n"/>
      <c r="BW2089" s="1392" t="n"/>
      <c r="BX2089" s="1392" t="n"/>
      <c r="BY2089" s="1392" t="n"/>
      <c r="BZ2089" s="1416" t="n"/>
      <c r="CA2089" s="1392" t="n"/>
      <c r="CB2089" s="1392" t="n"/>
      <c r="CC2089" s="1392" t="n"/>
      <c r="CD2089" s="1392" t="n"/>
      <c r="CE2089" s="1392" t="n"/>
      <c r="CF2089" s="1392" t="n"/>
      <c r="CG2089" s="1392" t="n"/>
      <c r="CH2089" s="1392" t="n"/>
      <c r="CI2089" s="1392" t="n"/>
      <c r="CJ2089" s="1392" t="n"/>
      <c r="CK2089" s="1392" t="n"/>
      <c r="CL2089" s="1392" t="n"/>
    </row>
    <row r="2090">
      <c r="A2090" s="5" t="inlineStr">
        <is>
          <t>.</t>
        </is>
      </c>
      <c r="B2090" s="5" t="inlineStr">
        <is>
          <t>.</t>
        </is>
      </c>
      <c r="C2090" s="1378">
        <f>IF(raw[[#This Row],[city]]="","-",IF(raw[[#This Row],[city]]="TODAY","-",C2089+1))</f>
        <v/>
      </c>
      <c r="D2090" s="1393" t="n"/>
      <c r="E2090" s="1394" t="n"/>
      <c r="F2090" s="1394" t="n"/>
      <c r="G2090" s="1393" t="n"/>
      <c r="H2090" s="1393" t="n"/>
      <c r="I2090" s="1393" t="n"/>
      <c r="J2090" s="1393" t="n"/>
      <c r="K2090" s="1395">
        <f>IF(raw[[#This Row],[city]]&lt;&gt;"",_xlfn.XLOOKUP($D2090,ccc[city],ccc[prov],"-"),"-")</f>
        <v/>
      </c>
      <c r="L2090" s="1395">
        <f>IF(raw[[#This Row],[city]]&lt;&gt;"",_xlfn.XLOOKUP($D2090,ccc[city],ccc[ctry],"-"),"-")</f>
        <v/>
      </c>
      <c r="M2090" s="1395">
        <f>IF(raw[[#This Row],[city]]&lt;&gt;"",_xlfn.XLOOKUP($D2090,ccc[city],ccc[cont],"-"),"-")</f>
        <v/>
      </c>
      <c r="N2090" s="1396">
        <f>IF(raw[[#This Row],[city]]="","-",IF(raw[[#This Row],[cont]]="B",raw[[#This Row],[cont]],"W"))</f>
        <v/>
      </c>
      <c r="O2090" s="1397">
        <f>IF(raw[[#This Row],[out]]=0,0,IF(raw[[#This Row],[out]]=raw[[#This Row],[in]],0.01,raw[[#This Row],[out]]-raw[[#This Row],[in]]))</f>
        <v/>
      </c>
      <c r="P2090" s="1397">
        <f>IF(raw[[#This Row],[in]]=0,0,MONTH(raw[[#This Row],[in]]))</f>
        <v/>
      </c>
      <c r="Q2090" s="1397">
        <f>IF(raw[[#This Row],[in]]=0,0,YEAR(raw[[#This Row],[in]]))</f>
        <v/>
      </c>
      <c r="R2090" s="1397">
        <f>INT(raw[[#This Row],[yr]]/10)*10</f>
        <v/>
      </c>
      <c r="S2090" s="1395">
        <f>IF(raw[[#This Row],[city]]="","-",IF(raw[[#This Row],[city]]&lt;&gt;_xlfn.XLOOKUP(raw[[#This Row],[home]],homes[home],homes[city],"-"),1,0))</f>
        <v/>
      </c>
      <c r="T2090" s="1398" t="inlineStr">
        <is>
          <t>.</t>
        </is>
      </c>
      <c r="U2090" s="1399">
        <f>IF(raw[[#This Row],[wb]]="w",raw[[#This Row],[stay]]+U2089,U2089)</f>
        <v/>
      </c>
      <c r="V2090" s="1400">
        <f>IF(raw[[#This Row],[out]]=0,V2089,(raw[[#This Row],[out]]-E$5))</f>
        <v/>
      </c>
      <c r="W2090" s="1401">
        <f>U2090/V2090</f>
        <v/>
      </c>
      <c r="X2090" s="1392" t="n"/>
      <c r="Y2090" s="1392" t="n"/>
      <c r="Z2090" s="1422" t="n"/>
      <c r="AA2090" s="1422" t="n"/>
      <c r="AB2090" s="1392" t="n"/>
      <c r="AC2090" s="1392" t="n"/>
      <c r="AD2090" s="1392" t="n"/>
      <c r="AE2090" s="1392" t="n"/>
      <c r="AF2090" s="1392" t="n"/>
      <c r="AG2090" s="1392" t="n"/>
      <c r="AH2090" s="1392" t="n"/>
      <c r="AI2090" s="1392" t="n"/>
      <c r="AJ2090" s="1392" t="n"/>
      <c r="AK2090" s="1392" t="n"/>
      <c r="AL2090" s="1392" t="n"/>
      <c r="AM2090" s="1392" t="n"/>
      <c r="AN2090" s="1392" t="n"/>
      <c r="AO2090" s="1392" t="n"/>
      <c r="AP2090" s="1392" t="n"/>
      <c r="AQ2090" s="1392" t="n"/>
      <c r="AR2090" s="1392" t="n"/>
      <c r="AS2090" s="1422" t="n"/>
      <c r="AT2090" s="1392" t="n"/>
      <c r="AU2090" s="1392" t="n"/>
      <c r="AV2090" s="1392" t="n"/>
      <c r="AW2090" s="1392" t="n"/>
      <c r="AX2090" s="1392" t="n"/>
      <c r="AY2090" s="1392" t="n"/>
      <c r="AZ2090" s="1392" t="n"/>
      <c r="BA2090" s="1392" t="n"/>
      <c r="BB2090" s="1422" t="n"/>
      <c r="BC2090" s="1392" t="n"/>
      <c r="BD2090" s="1392" t="n"/>
      <c r="BE2090" s="1392" t="n"/>
      <c r="BF2090" s="1392" t="n"/>
      <c r="BG2090" s="1392" t="n"/>
      <c r="BH2090" s="1392" t="n"/>
      <c r="BI2090" s="1392" t="n"/>
      <c r="BJ2090" s="1392" t="n"/>
      <c r="BK2090" s="1392" t="n"/>
      <c r="BL2090" s="1392" t="n"/>
      <c r="BM2090" s="1392" t="n"/>
      <c r="BN2090" s="1392" t="n"/>
      <c r="BO2090" s="1392" t="n"/>
      <c r="BP2090" s="1392" t="n"/>
      <c r="BQ2090" s="1392" t="n"/>
      <c r="BR2090" s="1392" t="n"/>
      <c r="BS2090" s="1392" t="n"/>
      <c r="BT2090" s="1392" t="n"/>
      <c r="BU2090" s="1416" t="n"/>
      <c r="BV2090" s="1392" t="n"/>
      <c r="BW2090" s="1392" t="n"/>
      <c r="BX2090" s="1392" t="n"/>
      <c r="BY2090" s="1392" t="n"/>
      <c r="BZ2090" s="1416" t="n"/>
      <c r="CA2090" s="1392" t="n"/>
      <c r="CB2090" s="1392" t="n"/>
      <c r="CC2090" s="1392" t="n"/>
      <c r="CD2090" s="1392" t="n"/>
      <c r="CE2090" s="1392" t="n"/>
      <c r="CF2090" s="1392" t="n"/>
      <c r="CG2090" s="1392" t="n"/>
      <c r="CH2090" s="1392" t="n"/>
      <c r="CI2090" s="1392" t="n"/>
      <c r="CJ2090" s="1392" t="n"/>
      <c r="CK2090" s="1392" t="n"/>
      <c r="CL2090" s="1392" t="n"/>
    </row>
    <row r="2091">
      <c r="A2091" s="5" t="inlineStr">
        <is>
          <t>.</t>
        </is>
      </c>
      <c r="B2091" s="5" t="inlineStr">
        <is>
          <t>.</t>
        </is>
      </c>
      <c r="C2091" s="1378">
        <f>IF(raw[[#This Row],[city]]="","-",IF(raw[[#This Row],[city]]="TODAY","-",C2090+1))</f>
        <v/>
      </c>
      <c r="D2091" s="1393" t="n"/>
      <c r="E2091" s="1394" t="n"/>
      <c r="F2091" s="1394" t="n"/>
      <c r="G2091" s="1393" t="n"/>
      <c r="H2091" s="1393" t="n"/>
      <c r="I2091" s="1393" t="n"/>
      <c r="J2091" s="1393" t="n"/>
      <c r="K2091" s="1395">
        <f>IF(raw[[#This Row],[city]]&lt;&gt;"",_xlfn.XLOOKUP($D2091,ccc[city],ccc[prov],"-"),"-")</f>
        <v/>
      </c>
      <c r="L2091" s="1395">
        <f>IF(raw[[#This Row],[city]]&lt;&gt;"",_xlfn.XLOOKUP($D2091,ccc[city],ccc[ctry],"-"),"-")</f>
        <v/>
      </c>
      <c r="M2091" s="1395">
        <f>IF(raw[[#This Row],[city]]&lt;&gt;"",_xlfn.XLOOKUP($D2091,ccc[city],ccc[cont],"-"),"-")</f>
        <v/>
      </c>
      <c r="N2091" s="1396">
        <f>IF(raw[[#This Row],[city]]="","-",IF(raw[[#This Row],[cont]]="B",raw[[#This Row],[cont]],"W"))</f>
        <v/>
      </c>
      <c r="O2091" s="1397">
        <f>IF(raw[[#This Row],[out]]=0,0,IF(raw[[#This Row],[out]]=raw[[#This Row],[in]],0.01,raw[[#This Row],[out]]-raw[[#This Row],[in]]))</f>
        <v/>
      </c>
      <c r="P2091" s="1397">
        <f>IF(raw[[#This Row],[in]]=0,0,MONTH(raw[[#This Row],[in]]))</f>
        <v/>
      </c>
      <c r="Q2091" s="1397">
        <f>IF(raw[[#This Row],[in]]=0,0,YEAR(raw[[#This Row],[in]]))</f>
        <v/>
      </c>
      <c r="R2091" s="1397">
        <f>INT(raw[[#This Row],[yr]]/10)*10</f>
        <v/>
      </c>
      <c r="S2091" s="1395">
        <f>IF(raw[[#This Row],[city]]="","-",IF(raw[[#This Row],[city]]&lt;&gt;_xlfn.XLOOKUP(raw[[#This Row],[home]],homes[home],homes[city],"-"),1,0))</f>
        <v/>
      </c>
      <c r="T2091" s="1398" t="inlineStr">
        <is>
          <t>.</t>
        </is>
      </c>
      <c r="U2091" s="1399">
        <f>IF(raw[[#This Row],[wb]]="w",raw[[#This Row],[stay]]+U2090,U2090)</f>
        <v/>
      </c>
      <c r="V2091" s="1400">
        <f>IF(raw[[#This Row],[out]]=0,V2090,(raw[[#This Row],[out]]-E$5))</f>
        <v/>
      </c>
      <c r="W2091" s="1401">
        <f>U2091/V2091</f>
        <v/>
      </c>
      <c r="X2091" s="1392" t="n"/>
      <c r="Y2091" s="1392" t="n"/>
      <c r="Z2091" s="1422" t="n"/>
      <c r="AA2091" s="1422" t="n"/>
      <c r="AB2091" s="1392" t="n"/>
      <c r="AC2091" s="1392" t="n"/>
      <c r="AD2091" s="1392" t="n"/>
      <c r="AE2091" s="1392" t="n"/>
      <c r="AF2091" s="1392" t="n"/>
      <c r="AG2091" s="1392" t="n"/>
      <c r="AH2091" s="1392" t="n"/>
      <c r="AI2091" s="1392" t="n"/>
      <c r="AJ2091" s="1392" t="n"/>
      <c r="AK2091" s="1392" t="n"/>
      <c r="AL2091" s="1392" t="n"/>
      <c r="AM2091" s="1392" t="n"/>
      <c r="AN2091" s="1392" t="n"/>
      <c r="AO2091" s="1392" t="n"/>
      <c r="AP2091" s="1392" t="n"/>
      <c r="AQ2091" s="1392" t="n"/>
      <c r="AR2091" s="1392" t="n"/>
      <c r="AS2091" s="1422" t="n"/>
      <c r="AT2091" s="1392" t="n"/>
      <c r="AU2091" s="1392" t="n"/>
      <c r="AV2091" s="1392" t="n"/>
      <c r="AW2091" s="1392" t="n"/>
      <c r="AX2091" s="1392" t="n"/>
      <c r="AY2091" s="1392" t="n"/>
      <c r="AZ2091" s="1392" t="n"/>
      <c r="BA2091" s="1392" t="n"/>
      <c r="BB2091" s="1422" t="n"/>
      <c r="BC2091" s="1392" t="n"/>
      <c r="BD2091" s="1392" t="n"/>
      <c r="BE2091" s="1392" t="n"/>
      <c r="BF2091" s="1392" t="n"/>
      <c r="BG2091" s="1392" t="n"/>
      <c r="BH2091" s="1392" t="n"/>
      <c r="BI2091" s="1392" t="n"/>
      <c r="BJ2091" s="1392" t="n"/>
      <c r="BK2091" s="1392" t="n"/>
      <c r="BL2091" s="1392" t="n"/>
      <c r="BM2091" s="1392" t="n"/>
      <c r="BN2091" s="1392" t="n"/>
      <c r="BO2091" s="1392" t="n"/>
      <c r="BP2091" s="1392" t="n"/>
      <c r="BQ2091" s="1392" t="n"/>
      <c r="BR2091" s="1392" t="n"/>
      <c r="BS2091" s="1392" t="n"/>
      <c r="BT2091" s="1392" t="n"/>
      <c r="BU2091" s="1416" t="n"/>
      <c r="BV2091" s="1392" t="n"/>
      <c r="BW2091" s="1392" t="n"/>
      <c r="BX2091" s="1392" t="n"/>
      <c r="BY2091" s="1392" t="n"/>
      <c r="BZ2091" s="1416" t="n"/>
      <c r="CA2091" s="1392" t="n"/>
      <c r="CB2091" s="1392" t="n"/>
      <c r="CC2091" s="1392" t="n"/>
      <c r="CD2091" s="1392" t="n"/>
      <c r="CE2091" s="1392" t="n"/>
      <c r="CF2091" s="1392" t="n"/>
      <c r="CG2091" s="1392" t="n"/>
      <c r="CH2091" s="1392" t="n"/>
      <c r="CI2091" s="1392" t="n"/>
      <c r="CJ2091" s="1392" t="n"/>
      <c r="CK2091" s="1392" t="n"/>
      <c r="CL2091" s="1392" t="n"/>
    </row>
    <row r="2092">
      <c r="A2092" s="5" t="inlineStr">
        <is>
          <t>.</t>
        </is>
      </c>
      <c r="B2092" s="5" t="inlineStr">
        <is>
          <t>.</t>
        </is>
      </c>
      <c r="C2092" s="1378">
        <f>IF(raw[[#This Row],[city]]="","-",IF(raw[[#This Row],[city]]="TODAY","-",C2091+1))</f>
        <v/>
      </c>
      <c r="D2092" s="1393" t="n"/>
      <c r="E2092" s="1394" t="n"/>
      <c r="F2092" s="1394" t="n"/>
      <c r="G2092" s="1393" t="n"/>
      <c r="H2092" s="1393" t="n"/>
      <c r="I2092" s="1393" t="n"/>
      <c r="J2092" s="1393" t="n"/>
      <c r="K2092" s="1395">
        <f>IF(raw[[#This Row],[city]]&lt;&gt;"",_xlfn.XLOOKUP($D2092,ccc[city],ccc[prov],"-"),"-")</f>
        <v/>
      </c>
      <c r="L2092" s="1395">
        <f>IF(raw[[#This Row],[city]]&lt;&gt;"",_xlfn.XLOOKUP($D2092,ccc[city],ccc[ctry],"-"),"-")</f>
        <v/>
      </c>
      <c r="M2092" s="1395">
        <f>IF(raw[[#This Row],[city]]&lt;&gt;"",_xlfn.XLOOKUP($D2092,ccc[city],ccc[cont],"-"),"-")</f>
        <v/>
      </c>
      <c r="N2092" s="1396">
        <f>IF(raw[[#This Row],[city]]="","-",IF(raw[[#This Row],[cont]]="B",raw[[#This Row],[cont]],"W"))</f>
        <v/>
      </c>
      <c r="O2092" s="1397">
        <f>IF(raw[[#This Row],[out]]=0,0,IF(raw[[#This Row],[out]]=raw[[#This Row],[in]],0.01,raw[[#This Row],[out]]-raw[[#This Row],[in]]))</f>
        <v/>
      </c>
      <c r="P2092" s="1397">
        <f>IF(raw[[#This Row],[in]]=0,0,MONTH(raw[[#This Row],[in]]))</f>
        <v/>
      </c>
      <c r="Q2092" s="1397">
        <f>IF(raw[[#This Row],[in]]=0,0,YEAR(raw[[#This Row],[in]]))</f>
        <v/>
      </c>
      <c r="R2092" s="1397">
        <f>INT(raw[[#This Row],[yr]]/10)*10</f>
        <v/>
      </c>
      <c r="S2092" s="1395">
        <f>IF(raw[[#This Row],[city]]="","-",IF(raw[[#This Row],[city]]&lt;&gt;_xlfn.XLOOKUP(raw[[#This Row],[home]],homes[home],homes[city],"-"),1,0))</f>
        <v/>
      </c>
      <c r="T2092" s="1398" t="inlineStr">
        <is>
          <t>.</t>
        </is>
      </c>
      <c r="U2092" s="1399">
        <f>IF(raw[[#This Row],[wb]]="w",raw[[#This Row],[stay]]+U2091,U2091)</f>
        <v/>
      </c>
      <c r="V2092" s="1400">
        <f>IF(raw[[#This Row],[out]]=0,V2091,(raw[[#This Row],[out]]-E$5))</f>
        <v/>
      </c>
      <c r="W2092" s="1401">
        <f>U2092/V2092</f>
        <v/>
      </c>
      <c r="X2092" s="1392" t="n"/>
      <c r="Y2092" s="1392" t="n"/>
      <c r="Z2092" s="1422" t="n"/>
      <c r="AA2092" s="1422" t="n"/>
      <c r="AB2092" s="1392" t="n"/>
      <c r="AC2092" s="1392" t="n"/>
      <c r="AD2092" s="1392" t="n"/>
      <c r="AE2092" s="1392" t="n"/>
      <c r="AF2092" s="1392" t="n"/>
      <c r="AG2092" s="1392" t="n"/>
      <c r="AH2092" s="1392" t="n"/>
      <c r="AI2092" s="1392" t="n"/>
      <c r="AJ2092" s="1392" t="n"/>
      <c r="AK2092" s="1392" t="n"/>
      <c r="AL2092" s="1392" t="n"/>
      <c r="AM2092" s="1392" t="n"/>
      <c r="AN2092" s="1392" t="n"/>
      <c r="AO2092" s="1392" t="n"/>
      <c r="AP2092" s="1392" t="n"/>
      <c r="AQ2092" s="1392" t="n"/>
      <c r="AR2092" s="1392" t="n"/>
      <c r="AS2092" s="1422" t="n"/>
      <c r="AT2092" s="1392" t="n"/>
      <c r="AU2092" s="1392" t="n"/>
      <c r="AV2092" s="1392" t="n"/>
      <c r="AW2092" s="1392" t="n"/>
      <c r="AX2092" s="1392" t="n"/>
      <c r="AY2092" s="1392" t="n"/>
      <c r="AZ2092" s="1392" t="n"/>
      <c r="BA2092" s="1392" t="n"/>
      <c r="BB2092" s="1422" t="n"/>
      <c r="BC2092" s="1392" t="n"/>
      <c r="BD2092" s="1392" t="n"/>
      <c r="BE2092" s="1392" t="n"/>
      <c r="BF2092" s="1392" t="n"/>
      <c r="BG2092" s="1392" t="n"/>
      <c r="BH2092" s="1392" t="n"/>
      <c r="BI2092" s="1392" t="n"/>
      <c r="BJ2092" s="1392" t="n"/>
      <c r="BK2092" s="1392" t="n"/>
      <c r="BL2092" s="1392" t="n"/>
      <c r="BM2092" s="1392" t="n"/>
      <c r="BN2092" s="1392" t="n"/>
      <c r="BO2092" s="1392" t="n"/>
      <c r="BP2092" s="1392" t="n"/>
      <c r="BQ2092" s="1392" t="n"/>
      <c r="BR2092" s="1392" t="n"/>
      <c r="BS2092" s="1392" t="n"/>
      <c r="BT2092" s="1392" t="n"/>
      <c r="BU2092" s="1416" t="n"/>
      <c r="BV2092" s="1392" t="n"/>
      <c r="BW2092" s="1392" t="n"/>
      <c r="BX2092" s="1392" t="n"/>
      <c r="BY2092" s="1392" t="n"/>
      <c r="BZ2092" s="1416" t="n"/>
      <c r="CA2092" s="1392" t="n"/>
      <c r="CB2092" s="1392" t="n"/>
      <c r="CC2092" s="1392" t="n"/>
      <c r="CD2092" s="1392" t="n"/>
      <c r="CE2092" s="1392" t="n"/>
      <c r="CF2092" s="1392" t="n"/>
      <c r="CG2092" s="1392" t="n"/>
      <c r="CH2092" s="1392" t="n"/>
      <c r="CI2092" s="1392" t="n"/>
      <c r="CJ2092" s="1392" t="n"/>
      <c r="CK2092" s="1392" t="n"/>
      <c r="CL2092" s="1392" t="n"/>
    </row>
    <row r="2093">
      <c r="A2093" s="5" t="inlineStr">
        <is>
          <t>.</t>
        </is>
      </c>
      <c r="B2093" s="5" t="inlineStr">
        <is>
          <t>.</t>
        </is>
      </c>
      <c r="C2093" s="1378">
        <f>IF(raw[[#This Row],[city]]="","-",IF(raw[[#This Row],[city]]="TODAY","-",C2092+1))</f>
        <v/>
      </c>
      <c r="D2093" s="1393" t="n"/>
      <c r="E2093" s="1394" t="n"/>
      <c r="F2093" s="1394" t="n"/>
      <c r="G2093" s="1393" t="n"/>
      <c r="H2093" s="1393" t="n"/>
      <c r="I2093" s="1393" t="n"/>
      <c r="J2093" s="1393" t="n"/>
      <c r="K2093" s="1395">
        <f>IF(raw[[#This Row],[city]]&lt;&gt;"",_xlfn.XLOOKUP($D2093,ccc[city],ccc[prov],"-"),"-")</f>
        <v/>
      </c>
      <c r="L2093" s="1395">
        <f>IF(raw[[#This Row],[city]]&lt;&gt;"",_xlfn.XLOOKUP($D2093,ccc[city],ccc[ctry],"-"),"-")</f>
        <v/>
      </c>
      <c r="M2093" s="1395">
        <f>IF(raw[[#This Row],[city]]&lt;&gt;"",_xlfn.XLOOKUP($D2093,ccc[city],ccc[cont],"-"),"-")</f>
        <v/>
      </c>
      <c r="N2093" s="1396">
        <f>IF(raw[[#This Row],[city]]="","-",IF(raw[[#This Row],[cont]]="B",raw[[#This Row],[cont]],"W"))</f>
        <v/>
      </c>
      <c r="O2093" s="1397">
        <f>IF(raw[[#This Row],[out]]=0,0,IF(raw[[#This Row],[out]]=raw[[#This Row],[in]],0.01,raw[[#This Row],[out]]-raw[[#This Row],[in]]))</f>
        <v/>
      </c>
      <c r="P2093" s="1397">
        <f>IF(raw[[#This Row],[in]]=0,0,MONTH(raw[[#This Row],[in]]))</f>
        <v/>
      </c>
      <c r="Q2093" s="1397">
        <f>IF(raw[[#This Row],[in]]=0,0,YEAR(raw[[#This Row],[in]]))</f>
        <v/>
      </c>
      <c r="R2093" s="1397">
        <f>INT(raw[[#This Row],[yr]]/10)*10</f>
        <v/>
      </c>
      <c r="S2093" s="1395">
        <f>IF(raw[[#This Row],[city]]="","-",IF(raw[[#This Row],[city]]&lt;&gt;_xlfn.XLOOKUP(raw[[#This Row],[home]],homes[home],homes[city],"-"),1,0))</f>
        <v/>
      </c>
      <c r="T2093" s="1398" t="inlineStr">
        <is>
          <t>.</t>
        </is>
      </c>
      <c r="U2093" s="1399">
        <f>IF(raw[[#This Row],[wb]]="w",raw[[#This Row],[stay]]+U2092,U2092)</f>
        <v/>
      </c>
      <c r="V2093" s="1400">
        <f>IF(raw[[#This Row],[out]]=0,V2092,(raw[[#This Row],[out]]-E$5))</f>
        <v/>
      </c>
      <c r="W2093" s="1401">
        <f>U2093/V2093</f>
        <v/>
      </c>
      <c r="X2093" s="1392" t="n"/>
      <c r="Y2093" s="1392" t="n"/>
      <c r="Z2093" s="1422" t="n"/>
      <c r="AA2093" s="1422" t="n"/>
      <c r="AB2093" s="1392" t="n"/>
      <c r="AC2093" s="1392" t="n"/>
      <c r="AD2093" s="1392" t="n"/>
      <c r="AE2093" s="1392" t="n"/>
      <c r="AF2093" s="1392" t="n"/>
      <c r="AG2093" s="1392" t="n"/>
      <c r="AH2093" s="1392" t="n"/>
      <c r="AI2093" s="1392" t="n"/>
      <c r="AJ2093" s="1392" t="n"/>
      <c r="AK2093" s="1392" t="n"/>
      <c r="AL2093" s="1392" t="n"/>
      <c r="AM2093" s="1392" t="n"/>
      <c r="AN2093" s="1392" t="n"/>
      <c r="AO2093" s="1392" t="n"/>
      <c r="AP2093" s="1392" t="n"/>
      <c r="AQ2093" s="1392" t="n"/>
      <c r="AR2093" s="1392" t="n"/>
      <c r="AS2093" s="1422" t="n"/>
      <c r="AT2093" s="1392" t="n"/>
      <c r="AU2093" s="1392" t="n"/>
      <c r="AV2093" s="1392" t="n"/>
      <c r="AW2093" s="1392" t="n"/>
      <c r="AX2093" s="1392" t="n"/>
      <c r="AY2093" s="1392" t="n"/>
      <c r="AZ2093" s="1392" t="n"/>
      <c r="BA2093" s="1392" t="n"/>
      <c r="BB2093" s="1422" t="n"/>
      <c r="BC2093" s="1392" t="n"/>
      <c r="BD2093" s="1392" t="n"/>
      <c r="BE2093" s="1392" t="n"/>
      <c r="BF2093" s="1392" t="n"/>
      <c r="BG2093" s="1392" t="n"/>
      <c r="BH2093" s="1392" t="n"/>
      <c r="BI2093" s="1392" t="n"/>
      <c r="BJ2093" s="1392" t="n"/>
      <c r="BK2093" s="1392" t="n"/>
      <c r="BL2093" s="1392" t="n"/>
      <c r="BM2093" s="1392" t="n"/>
      <c r="BN2093" s="1392" t="n"/>
      <c r="BO2093" s="1392" t="n"/>
      <c r="BP2093" s="1392" t="n"/>
      <c r="BQ2093" s="1392" t="n"/>
      <c r="BR2093" s="1392" t="n"/>
      <c r="BS2093" s="1392" t="n"/>
      <c r="BT2093" s="1392" t="n"/>
      <c r="BU2093" s="1416" t="n"/>
      <c r="BV2093" s="1392" t="n"/>
      <c r="BW2093" s="1392" t="n"/>
      <c r="BX2093" s="1392" t="n"/>
      <c r="BY2093" s="1392" t="n"/>
      <c r="BZ2093" s="1416" t="n"/>
      <c r="CA2093" s="1392" t="n"/>
      <c r="CB2093" s="1392" t="n"/>
      <c r="CC2093" s="1392" t="n"/>
      <c r="CD2093" s="1392" t="n"/>
      <c r="CE2093" s="1392" t="n"/>
      <c r="CF2093" s="1392" t="n"/>
      <c r="CG2093" s="1392" t="n"/>
      <c r="CH2093" s="1392" t="n"/>
      <c r="CI2093" s="1392" t="n"/>
      <c r="CJ2093" s="1392" t="n"/>
      <c r="CK2093" s="1392" t="n"/>
      <c r="CL2093" s="1392" t="n"/>
    </row>
    <row r="2094">
      <c r="A2094" s="5" t="inlineStr">
        <is>
          <t>.</t>
        </is>
      </c>
      <c r="B2094" s="5" t="inlineStr">
        <is>
          <t>.</t>
        </is>
      </c>
      <c r="C2094" s="1378">
        <f>IF(raw[[#This Row],[city]]="","-",IF(raw[[#This Row],[city]]="TODAY","-",C2093+1))</f>
        <v/>
      </c>
      <c r="D2094" s="1393" t="n"/>
      <c r="E2094" s="1394" t="n"/>
      <c r="F2094" s="1394" t="n"/>
      <c r="G2094" s="1393" t="n"/>
      <c r="H2094" s="1393" t="n"/>
      <c r="I2094" s="1393" t="n"/>
      <c r="J2094" s="1393" t="n"/>
      <c r="K2094" s="1395">
        <f>IF(raw[[#This Row],[city]]&lt;&gt;"",_xlfn.XLOOKUP($D2094,ccc[city],ccc[prov],"-"),"-")</f>
        <v/>
      </c>
      <c r="L2094" s="1395">
        <f>IF(raw[[#This Row],[city]]&lt;&gt;"",_xlfn.XLOOKUP($D2094,ccc[city],ccc[ctry],"-"),"-")</f>
        <v/>
      </c>
      <c r="M2094" s="1395">
        <f>IF(raw[[#This Row],[city]]&lt;&gt;"",_xlfn.XLOOKUP($D2094,ccc[city],ccc[cont],"-"),"-")</f>
        <v/>
      </c>
      <c r="N2094" s="1396">
        <f>IF(raw[[#This Row],[city]]="","-",IF(raw[[#This Row],[cont]]="B",raw[[#This Row],[cont]],"W"))</f>
        <v/>
      </c>
      <c r="O2094" s="1397">
        <f>IF(raw[[#This Row],[out]]=0,0,IF(raw[[#This Row],[out]]=raw[[#This Row],[in]],0.01,raw[[#This Row],[out]]-raw[[#This Row],[in]]))</f>
        <v/>
      </c>
      <c r="P2094" s="1397">
        <f>IF(raw[[#This Row],[in]]=0,0,MONTH(raw[[#This Row],[in]]))</f>
        <v/>
      </c>
      <c r="Q2094" s="1397">
        <f>IF(raw[[#This Row],[in]]=0,0,YEAR(raw[[#This Row],[in]]))</f>
        <v/>
      </c>
      <c r="R2094" s="1397">
        <f>INT(raw[[#This Row],[yr]]/10)*10</f>
        <v/>
      </c>
      <c r="S2094" s="1395">
        <f>IF(raw[[#This Row],[city]]="","-",IF(raw[[#This Row],[city]]&lt;&gt;_xlfn.XLOOKUP(raw[[#This Row],[home]],homes[home],homes[city],"-"),1,0))</f>
        <v/>
      </c>
      <c r="T2094" s="1398" t="inlineStr">
        <is>
          <t>.</t>
        </is>
      </c>
      <c r="U2094" s="1399">
        <f>IF(raw[[#This Row],[wb]]="w",raw[[#This Row],[stay]]+U2093,U2093)</f>
        <v/>
      </c>
      <c r="V2094" s="1400">
        <f>IF(raw[[#This Row],[out]]=0,V2093,(raw[[#This Row],[out]]-E$5))</f>
        <v/>
      </c>
      <c r="W2094" s="1401">
        <f>U2094/V2094</f>
        <v/>
      </c>
      <c r="X2094" s="1392" t="n"/>
      <c r="Y2094" s="1392" t="n"/>
      <c r="Z2094" s="1422" t="n"/>
      <c r="AA2094" s="1422" t="n"/>
      <c r="AB2094" s="1392" t="n"/>
      <c r="AC2094" s="1392" t="n"/>
      <c r="AD2094" s="1392" t="n"/>
      <c r="AE2094" s="1392" t="n"/>
      <c r="AF2094" s="1392" t="n"/>
      <c r="AG2094" s="1392" t="n"/>
      <c r="AH2094" s="1392" t="n"/>
      <c r="AI2094" s="1392" t="n"/>
      <c r="AJ2094" s="1392" t="n"/>
      <c r="AK2094" s="1392" t="n"/>
      <c r="AL2094" s="1392" t="n"/>
      <c r="AM2094" s="1392" t="n"/>
      <c r="AN2094" s="1392" t="n"/>
      <c r="AO2094" s="1392" t="n"/>
      <c r="AP2094" s="1392" t="n"/>
      <c r="AQ2094" s="1392" t="n"/>
      <c r="AR2094" s="1392" t="n"/>
      <c r="AS2094" s="1422" t="n"/>
      <c r="AT2094" s="1392" t="n"/>
      <c r="AU2094" s="1392" t="n"/>
      <c r="AV2094" s="1392" t="n"/>
      <c r="AW2094" s="1392" t="n"/>
      <c r="AX2094" s="1392" t="n"/>
      <c r="AY2094" s="1392" t="n"/>
      <c r="AZ2094" s="1392" t="n"/>
      <c r="BA2094" s="1392" t="n"/>
      <c r="BB2094" s="1422" t="n"/>
      <c r="BC2094" s="1392" t="n"/>
      <c r="BD2094" s="1392" t="n"/>
      <c r="BE2094" s="1392" t="n"/>
      <c r="BF2094" s="1392" t="n"/>
      <c r="BG2094" s="1392" t="n"/>
      <c r="BH2094" s="1392" t="n"/>
      <c r="BI2094" s="1392" t="n"/>
      <c r="BJ2094" s="1392" t="n"/>
      <c r="BK2094" s="1392" t="n"/>
      <c r="BL2094" s="1392" t="n"/>
      <c r="BM2094" s="1392" t="n"/>
      <c r="BN2094" s="1392" t="n"/>
      <c r="BO2094" s="1392" t="n"/>
      <c r="BP2094" s="1392" t="n"/>
      <c r="BQ2094" s="1392" t="n"/>
      <c r="BR2094" s="1392" t="n"/>
      <c r="BS2094" s="1392" t="n"/>
      <c r="BT2094" s="1392" t="n"/>
      <c r="BU2094" s="1416" t="n"/>
      <c r="BV2094" s="1392" t="n"/>
      <c r="BW2094" s="1392" t="n"/>
      <c r="BX2094" s="1392" t="n"/>
      <c r="BY2094" s="1392" t="n"/>
      <c r="BZ2094" s="1416" t="n"/>
      <c r="CA2094" s="1392" t="n"/>
      <c r="CB2094" s="1392" t="n"/>
      <c r="CC2094" s="1392" t="n"/>
      <c r="CD2094" s="1392" t="n"/>
      <c r="CE2094" s="1392" t="n"/>
      <c r="CF2094" s="1392" t="n"/>
      <c r="CG2094" s="1392" t="n"/>
      <c r="CH2094" s="1392" t="n"/>
      <c r="CI2094" s="1392" t="n"/>
      <c r="CJ2094" s="1392" t="n"/>
      <c r="CK2094" s="1392" t="n"/>
      <c r="CL2094" s="1392" t="n"/>
    </row>
    <row r="2095">
      <c r="A2095" s="5" t="inlineStr">
        <is>
          <t>.</t>
        </is>
      </c>
      <c r="B2095" s="5" t="inlineStr">
        <is>
          <t>.</t>
        </is>
      </c>
      <c r="C2095" s="1378">
        <f>IF(raw[[#This Row],[city]]="","-",IF(raw[[#This Row],[city]]="TODAY","-",C2094+1))</f>
        <v/>
      </c>
      <c r="D2095" s="1393" t="n"/>
      <c r="E2095" s="1394" t="n"/>
      <c r="F2095" s="1394" t="n"/>
      <c r="G2095" s="1393" t="n"/>
      <c r="H2095" s="1393" t="n"/>
      <c r="I2095" s="1393" t="n"/>
      <c r="J2095" s="1393" t="n"/>
      <c r="K2095" s="1395">
        <f>IF(raw[[#This Row],[city]]&lt;&gt;"",_xlfn.XLOOKUP($D2095,ccc[city],ccc[prov],"-"),"-")</f>
        <v/>
      </c>
      <c r="L2095" s="1395">
        <f>IF(raw[[#This Row],[city]]&lt;&gt;"",_xlfn.XLOOKUP($D2095,ccc[city],ccc[ctry],"-"),"-")</f>
        <v/>
      </c>
      <c r="M2095" s="1395">
        <f>IF(raw[[#This Row],[city]]&lt;&gt;"",_xlfn.XLOOKUP($D2095,ccc[city],ccc[cont],"-"),"-")</f>
        <v/>
      </c>
      <c r="N2095" s="1396">
        <f>IF(raw[[#This Row],[city]]="","-",IF(raw[[#This Row],[cont]]="B",raw[[#This Row],[cont]],"W"))</f>
        <v/>
      </c>
      <c r="O2095" s="1397">
        <f>IF(raw[[#This Row],[out]]=0,0,IF(raw[[#This Row],[out]]=raw[[#This Row],[in]],0.01,raw[[#This Row],[out]]-raw[[#This Row],[in]]))</f>
        <v/>
      </c>
      <c r="P2095" s="1397">
        <f>IF(raw[[#This Row],[in]]=0,0,MONTH(raw[[#This Row],[in]]))</f>
        <v/>
      </c>
      <c r="Q2095" s="1397">
        <f>IF(raw[[#This Row],[in]]=0,0,YEAR(raw[[#This Row],[in]]))</f>
        <v/>
      </c>
      <c r="R2095" s="1397">
        <f>INT(raw[[#This Row],[yr]]/10)*10</f>
        <v/>
      </c>
      <c r="S2095" s="1395">
        <f>IF(raw[[#This Row],[city]]="","-",IF(raw[[#This Row],[city]]&lt;&gt;_xlfn.XLOOKUP(raw[[#This Row],[home]],homes[home],homes[city],"-"),1,0))</f>
        <v/>
      </c>
      <c r="T2095" s="1398" t="inlineStr">
        <is>
          <t>.</t>
        </is>
      </c>
      <c r="U2095" s="1399">
        <f>IF(raw[[#This Row],[wb]]="w",raw[[#This Row],[stay]]+U2094,U2094)</f>
        <v/>
      </c>
      <c r="V2095" s="1400">
        <f>IF(raw[[#This Row],[out]]=0,V2094,(raw[[#This Row],[out]]-E$5))</f>
        <v/>
      </c>
      <c r="W2095" s="1401">
        <f>U2095/V2095</f>
        <v/>
      </c>
      <c r="X2095" s="1392" t="n"/>
      <c r="Y2095" s="1392" t="n"/>
      <c r="Z2095" s="1422" t="n"/>
      <c r="AA2095" s="1422" t="n"/>
      <c r="AB2095" s="1392" t="n"/>
      <c r="AC2095" s="1392" t="n"/>
      <c r="AD2095" s="1392" t="n"/>
      <c r="AE2095" s="1392" t="n"/>
      <c r="AF2095" s="1392" t="n"/>
      <c r="AG2095" s="1392" t="n"/>
      <c r="AH2095" s="1392" t="n"/>
      <c r="AI2095" s="1392" t="n"/>
      <c r="AJ2095" s="1392" t="n"/>
      <c r="AK2095" s="1392" t="n"/>
      <c r="AL2095" s="1392" t="n"/>
      <c r="AM2095" s="1392" t="n"/>
      <c r="AN2095" s="1392" t="n"/>
      <c r="AO2095" s="1392" t="n"/>
      <c r="AP2095" s="1392" t="n"/>
      <c r="AQ2095" s="1392" t="n"/>
      <c r="AR2095" s="1392" t="n"/>
      <c r="AS2095" s="1422" t="n"/>
      <c r="AT2095" s="1392" t="n"/>
      <c r="AU2095" s="1392" t="n"/>
      <c r="AV2095" s="1392" t="n"/>
      <c r="AW2095" s="1392" t="n"/>
      <c r="AX2095" s="1392" t="n"/>
      <c r="AY2095" s="1392" t="n"/>
      <c r="AZ2095" s="1392" t="n"/>
      <c r="BA2095" s="1392" t="n"/>
      <c r="BB2095" s="1422" t="n"/>
      <c r="BC2095" s="1392" t="n"/>
      <c r="BD2095" s="1392" t="n"/>
      <c r="BE2095" s="1392" t="n"/>
      <c r="BF2095" s="1392" t="n"/>
      <c r="BG2095" s="1392" t="n"/>
      <c r="BH2095" s="1392" t="n"/>
      <c r="BI2095" s="1392" t="n"/>
      <c r="BJ2095" s="1392" t="n"/>
      <c r="BK2095" s="1392" t="n"/>
      <c r="BL2095" s="1392" t="n"/>
      <c r="BM2095" s="1392" t="n"/>
      <c r="BN2095" s="1392" t="n"/>
      <c r="BO2095" s="1392" t="n"/>
      <c r="BP2095" s="1392" t="n"/>
      <c r="BQ2095" s="1392" t="n"/>
      <c r="BR2095" s="1392" t="n"/>
      <c r="BS2095" s="1392" t="n"/>
      <c r="BT2095" s="1392" t="n"/>
      <c r="BU2095" s="1416" t="n"/>
      <c r="BV2095" s="1392" t="n"/>
      <c r="BW2095" s="1392" t="n"/>
      <c r="BX2095" s="1392" t="n"/>
      <c r="BY2095" s="1392" t="n"/>
      <c r="BZ2095" s="1416" t="n"/>
      <c r="CA2095" s="1392" t="n"/>
      <c r="CB2095" s="1392" t="n"/>
      <c r="CC2095" s="1392" t="n"/>
      <c r="CD2095" s="1392" t="n"/>
      <c r="CE2095" s="1392" t="n"/>
      <c r="CF2095" s="1392" t="n"/>
      <c r="CG2095" s="1392" t="n"/>
      <c r="CH2095" s="1392" t="n"/>
      <c r="CI2095" s="1392" t="n"/>
      <c r="CJ2095" s="1392" t="n"/>
      <c r="CK2095" s="1392" t="n"/>
      <c r="CL2095" s="1392" t="n"/>
    </row>
    <row r="2096">
      <c r="A2096" s="5" t="inlineStr">
        <is>
          <t>.</t>
        </is>
      </c>
      <c r="B2096" s="5" t="inlineStr">
        <is>
          <t>.</t>
        </is>
      </c>
      <c r="C2096" s="1378">
        <f>IF(raw[[#This Row],[city]]="","-",IF(raw[[#This Row],[city]]="TODAY","-",C2095+1))</f>
        <v/>
      </c>
      <c r="D2096" s="1393" t="n"/>
      <c r="E2096" s="1394" t="n"/>
      <c r="F2096" s="1394" t="n"/>
      <c r="G2096" s="1393" t="n"/>
      <c r="H2096" s="1393" t="n"/>
      <c r="I2096" s="1393" t="n"/>
      <c r="J2096" s="1393" t="n"/>
      <c r="K2096" s="1395">
        <f>IF(raw[[#This Row],[city]]&lt;&gt;"",_xlfn.XLOOKUP($D2096,ccc[city],ccc[prov],"-"),"-")</f>
        <v/>
      </c>
      <c r="L2096" s="1395">
        <f>IF(raw[[#This Row],[city]]&lt;&gt;"",_xlfn.XLOOKUP($D2096,ccc[city],ccc[ctry],"-"),"-")</f>
        <v/>
      </c>
      <c r="M2096" s="1395">
        <f>IF(raw[[#This Row],[city]]&lt;&gt;"",_xlfn.XLOOKUP($D2096,ccc[city],ccc[cont],"-"),"-")</f>
        <v/>
      </c>
      <c r="N2096" s="1396">
        <f>IF(raw[[#This Row],[city]]="","-",IF(raw[[#This Row],[cont]]="B",raw[[#This Row],[cont]],"W"))</f>
        <v/>
      </c>
      <c r="O2096" s="1397">
        <f>IF(raw[[#This Row],[out]]=0,0,IF(raw[[#This Row],[out]]=raw[[#This Row],[in]],0.01,raw[[#This Row],[out]]-raw[[#This Row],[in]]))</f>
        <v/>
      </c>
      <c r="P2096" s="1397">
        <f>IF(raw[[#This Row],[in]]=0,0,MONTH(raw[[#This Row],[in]]))</f>
        <v/>
      </c>
      <c r="Q2096" s="1397">
        <f>IF(raw[[#This Row],[in]]=0,0,YEAR(raw[[#This Row],[in]]))</f>
        <v/>
      </c>
      <c r="R2096" s="1397">
        <f>INT(raw[[#This Row],[yr]]/10)*10</f>
        <v/>
      </c>
      <c r="S2096" s="1395">
        <f>IF(raw[[#This Row],[city]]="","-",IF(raw[[#This Row],[city]]&lt;&gt;_xlfn.XLOOKUP(raw[[#This Row],[home]],homes[home],homes[city],"-"),1,0))</f>
        <v/>
      </c>
      <c r="T2096" s="1398" t="inlineStr">
        <is>
          <t>.</t>
        </is>
      </c>
      <c r="U2096" s="1399">
        <f>IF(raw[[#This Row],[wb]]="w",raw[[#This Row],[stay]]+U2095,U2095)</f>
        <v/>
      </c>
      <c r="V2096" s="1400">
        <f>IF(raw[[#This Row],[out]]=0,V2095,(raw[[#This Row],[out]]-E$5))</f>
        <v/>
      </c>
      <c r="W2096" s="1401">
        <f>U2096/V2096</f>
        <v/>
      </c>
      <c r="X2096" s="1392" t="n"/>
      <c r="Y2096" s="1392" t="n"/>
      <c r="Z2096" s="1422" t="n"/>
      <c r="AA2096" s="1422" t="n"/>
      <c r="AB2096" s="1392" t="n"/>
      <c r="AC2096" s="1392" t="n"/>
      <c r="AD2096" s="1392" t="n"/>
      <c r="AE2096" s="1392" t="n"/>
      <c r="AF2096" s="1392" t="n"/>
      <c r="AG2096" s="1392" t="n"/>
      <c r="AH2096" s="1392" t="n"/>
      <c r="AI2096" s="1392" t="n"/>
      <c r="AJ2096" s="1392" t="n"/>
      <c r="AK2096" s="1392" t="n"/>
      <c r="AL2096" s="1392" t="n"/>
      <c r="AM2096" s="1392" t="n"/>
      <c r="AN2096" s="1392" t="n"/>
      <c r="AO2096" s="1392" t="n"/>
      <c r="AP2096" s="1392" t="n"/>
      <c r="AQ2096" s="1392" t="n"/>
      <c r="AR2096" s="1392" t="n"/>
      <c r="AS2096" s="1422" t="n"/>
      <c r="AT2096" s="1392" t="n"/>
      <c r="AU2096" s="1392" t="n"/>
      <c r="AV2096" s="1392" t="n"/>
      <c r="AW2096" s="1392" t="n"/>
      <c r="AX2096" s="1392" t="n"/>
      <c r="AY2096" s="1392" t="n"/>
      <c r="AZ2096" s="1392" t="n"/>
      <c r="BA2096" s="1392" t="n"/>
      <c r="BB2096" s="1422" t="n"/>
      <c r="BC2096" s="1392" t="n"/>
      <c r="BD2096" s="1392" t="n"/>
      <c r="BE2096" s="1392" t="n"/>
      <c r="BF2096" s="1392" t="n"/>
      <c r="BG2096" s="1392" t="n"/>
      <c r="BH2096" s="1392" t="n"/>
      <c r="BI2096" s="1392" t="n"/>
      <c r="BJ2096" s="1392" t="n"/>
      <c r="BK2096" s="1392" t="n"/>
      <c r="BL2096" s="1392" t="n"/>
      <c r="BM2096" s="1392" t="n"/>
      <c r="BN2096" s="1392" t="n"/>
      <c r="BO2096" s="1392" t="n"/>
      <c r="BP2096" s="1392" t="n"/>
      <c r="BQ2096" s="1392" t="n"/>
      <c r="BR2096" s="1392" t="n"/>
      <c r="BS2096" s="1392" t="n"/>
      <c r="BT2096" s="1392" t="n"/>
      <c r="BU2096" s="1416" t="n"/>
      <c r="BV2096" s="1392" t="n"/>
      <c r="BW2096" s="1392" t="n"/>
      <c r="BX2096" s="1392" t="n"/>
      <c r="BY2096" s="1392" t="n"/>
      <c r="BZ2096" s="1416" t="n"/>
      <c r="CA2096" s="1392" t="n"/>
      <c r="CB2096" s="1392" t="n"/>
      <c r="CC2096" s="1392" t="n"/>
      <c r="CD2096" s="1392" t="n"/>
      <c r="CE2096" s="1392" t="n"/>
      <c r="CF2096" s="1392" t="n"/>
      <c r="CG2096" s="1392" t="n"/>
      <c r="CH2096" s="1392" t="n"/>
      <c r="CI2096" s="1392" t="n"/>
      <c r="CJ2096" s="1392" t="n"/>
      <c r="CK2096" s="1392" t="n"/>
      <c r="CL2096" s="1392" t="n"/>
    </row>
    <row r="2097">
      <c r="A2097" s="5" t="inlineStr">
        <is>
          <t>.</t>
        </is>
      </c>
      <c r="B2097" s="5" t="inlineStr">
        <is>
          <t>.</t>
        </is>
      </c>
      <c r="C2097" s="1378">
        <f>IF(raw[[#This Row],[city]]="","-",IF(raw[[#This Row],[city]]="TODAY","-",C2096+1))</f>
        <v/>
      </c>
      <c r="D2097" s="1393" t="n"/>
      <c r="E2097" s="1394" t="n"/>
      <c r="F2097" s="1394" t="n"/>
      <c r="G2097" s="1393" t="n"/>
      <c r="H2097" s="1393" t="n"/>
      <c r="I2097" s="1393" t="n"/>
      <c r="J2097" s="1393" t="n"/>
      <c r="K2097" s="1395">
        <f>IF(raw[[#This Row],[city]]&lt;&gt;"",_xlfn.XLOOKUP($D2097,ccc[city],ccc[prov],"-"),"-")</f>
        <v/>
      </c>
      <c r="L2097" s="1395">
        <f>IF(raw[[#This Row],[city]]&lt;&gt;"",_xlfn.XLOOKUP($D2097,ccc[city],ccc[ctry],"-"),"-")</f>
        <v/>
      </c>
      <c r="M2097" s="1395">
        <f>IF(raw[[#This Row],[city]]&lt;&gt;"",_xlfn.XLOOKUP($D2097,ccc[city],ccc[cont],"-"),"-")</f>
        <v/>
      </c>
      <c r="N2097" s="1396">
        <f>IF(raw[[#This Row],[city]]="","-",IF(raw[[#This Row],[cont]]="B",raw[[#This Row],[cont]],"W"))</f>
        <v/>
      </c>
      <c r="O2097" s="1397">
        <f>IF(raw[[#This Row],[out]]=0,0,IF(raw[[#This Row],[out]]=raw[[#This Row],[in]],0.01,raw[[#This Row],[out]]-raw[[#This Row],[in]]))</f>
        <v/>
      </c>
      <c r="P2097" s="1397">
        <f>IF(raw[[#This Row],[in]]=0,0,MONTH(raw[[#This Row],[in]]))</f>
        <v/>
      </c>
      <c r="Q2097" s="1397">
        <f>IF(raw[[#This Row],[in]]=0,0,YEAR(raw[[#This Row],[in]]))</f>
        <v/>
      </c>
      <c r="R2097" s="1397">
        <f>INT(raw[[#This Row],[yr]]/10)*10</f>
        <v/>
      </c>
      <c r="S2097" s="1395">
        <f>IF(raw[[#This Row],[city]]="","-",IF(raw[[#This Row],[city]]&lt;&gt;_xlfn.XLOOKUP(raw[[#This Row],[home]],homes[home],homes[city],"-"),1,0))</f>
        <v/>
      </c>
      <c r="T2097" s="1398" t="inlineStr">
        <is>
          <t>.</t>
        </is>
      </c>
      <c r="U2097" s="1399">
        <f>IF(raw[[#This Row],[wb]]="w",raw[[#This Row],[stay]]+U2096,U2096)</f>
        <v/>
      </c>
      <c r="V2097" s="1400">
        <f>IF(raw[[#This Row],[out]]=0,V2096,(raw[[#This Row],[out]]-E$5))</f>
        <v/>
      </c>
      <c r="W2097" s="1401">
        <f>U2097/V2097</f>
        <v/>
      </c>
      <c r="X2097" s="1392" t="n"/>
      <c r="Y2097" s="1392" t="n"/>
      <c r="Z2097" s="1422" t="n"/>
      <c r="AA2097" s="1422" t="n"/>
      <c r="AB2097" s="1392" t="n"/>
      <c r="AC2097" s="1392" t="n"/>
      <c r="AD2097" s="1392" t="n"/>
      <c r="AE2097" s="1392" t="n"/>
      <c r="AF2097" s="1392" t="n"/>
      <c r="AG2097" s="1392" t="n"/>
      <c r="AH2097" s="1392" t="n"/>
      <c r="AI2097" s="1392" t="n"/>
      <c r="AJ2097" s="1392" t="n"/>
      <c r="AK2097" s="1392" t="n"/>
      <c r="AL2097" s="1392" t="n"/>
      <c r="AM2097" s="1392" t="n"/>
      <c r="AN2097" s="1392" t="n"/>
      <c r="AO2097" s="1392" t="n"/>
      <c r="AP2097" s="1392" t="n"/>
      <c r="AQ2097" s="1392" t="n"/>
      <c r="AR2097" s="1392" t="n"/>
      <c r="AS2097" s="1422" t="n"/>
      <c r="AT2097" s="1392" t="n"/>
      <c r="AU2097" s="1392" t="n"/>
      <c r="AV2097" s="1392" t="n"/>
      <c r="AW2097" s="1392" t="n"/>
      <c r="AX2097" s="1392" t="n"/>
      <c r="AY2097" s="1392" t="n"/>
      <c r="AZ2097" s="1392" t="n"/>
      <c r="BA2097" s="1392" t="n"/>
      <c r="BB2097" s="1422" t="n"/>
      <c r="BC2097" s="1392" t="n"/>
      <c r="BD2097" s="1392" t="n"/>
      <c r="BE2097" s="1392" t="n"/>
      <c r="BF2097" s="1392" t="n"/>
      <c r="BG2097" s="1392" t="n"/>
      <c r="BH2097" s="1392" t="n"/>
      <c r="BI2097" s="1392" t="n"/>
      <c r="BJ2097" s="1392" t="n"/>
      <c r="BK2097" s="1392" t="n"/>
      <c r="BL2097" s="1392" t="n"/>
      <c r="BM2097" s="1392" t="n"/>
      <c r="BN2097" s="1392" t="n"/>
      <c r="BO2097" s="1392" t="n"/>
      <c r="BP2097" s="1392" t="n"/>
      <c r="BQ2097" s="1392" t="n"/>
      <c r="BR2097" s="1392" t="n"/>
      <c r="BS2097" s="1392" t="n"/>
      <c r="BT2097" s="1392" t="n"/>
      <c r="BU2097" s="1416" t="n"/>
      <c r="BV2097" s="1392" t="n"/>
      <c r="BW2097" s="1392" t="n"/>
      <c r="BX2097" s="1392" t="n"/>
      <c r="BY2097" s="1392" t="n"/>
      <c r="BZ2097" s="1416" t="n"/>
      <c r="CA2097" s="1392" t="n"/>
      <c r="CB2097" s="1392" t="n"/>
      <c r="CC2097" s="1392" t="n"/>
      <c r="CD2097" s="1392" t="n"/>
      <c r="CE2097" s="1392" t="n"/>
      <c r="CF2097" s="1392" t="n"/>
      <c r="CG2097" s="1392" t="n"/>
      <c r="CH2097" s="1392" t="n"/>
      <c r="CI2097" s="1392" t="n"/>
      <c r="CJ2097" s="1392" t="n"/>
      <c r="CK2097" s="1392" t="n"/>
      <c r="CL2097" s="1392" t="n"/>
    </row>
    <row r="2098">
      <c r="A2098" s="5" t="inlineStr">
        <is>
          <t>.</t>
        </is>
      </c>
      <c r="B2098" s="5" t="inlineStr">
        <is>
          <t>.</t>
        </is>
      </c>
      <c r="C2098" s="1378">
        <f>IF(raw[[#This Row],[city]]="","-",IF(raw[[#This Row],[city]]="TODAY","-",C2097+1))</f>
        <v/>
      </c>
      <c r="D2098" s="1393" t="n"/>
      <c r="E2098" s="1394" t="n"/>
      <c r="F2098" s="1394" t="n"/>
      <c r="G2098" s="1393" t="n"/>
      <c r="H2098" s="1393" t="n"/>
      <c r="I2098" s="1393" t="n"/>
      <c r="J2098" s="1393" t="n"/>
      <c r="K2098" s="1395">
        <f>IF(raw[[#This Row],[city]]&lt;&gt;"",_xlfn.XLOOKUP($D2098,ccc[city],ccc[prov],"-"),"-")</f>
        <v/>
      </c>
      <c r="L2098" s="1395">
        <f>IF(raw[[#This Row],[city]]&lt;&gt;"",_xlfn.XLOOKUP($D2098,ccc[city],ccc[ctry],"-"),"-")</f>
        <v/>
      </c>
      <c r="M2098" s="1395">
        <f>IF(raw[[#This Row],[city]]&lt;&gt;"",_xlfn.XLOOKUP($D2098,ccc[city],ccc[cont],"-"),"-")</f>
        <v/>
      </c>
      <c r="N2098" s="1396">
        <f>IF(raw[[#This Row],[city]]="","-",IF(raw[[#This Row],[cont]]="B",raw[[#This Row],[cont]],"W"))</f>
        <v/>
      </c>
      <c r="O2098" s="1397">
        <f>IF(raw[[#This Row],[out]]=0,0,IF(raw[[#This Row],[out]]=raw[[#This Row],[in]],0.01,raw[[#This Row],[out]]-raw[[#This Row],[in]]))</f>
        <v/>
      </c>
      <c r="P2098" s="1397">
        <f>IF(raw[[#This Row],[in]]=0,0,MONTH(raw[[#This Row],[in]]))</f>
        <v/>
      </c>
      <c r="Q2098" s="1397">
        <f>IF(raw[[#This Row],[in]]=0,0,YEAR(raw[[#This Row],[in]]))</f>
        <v/>
      </c>
      <c r="R2098" s="1397">
        <f>INT(raw[[#This Row],[yr]]/10)*10</f>
        <v/>
      </c>
      <c r="S2098" s="1395">
        <f>IF(raw[[#This Row],[city]]="","-",IF(raw[[#This Row],[city]]&lt;&gt;_xlfn.XLOOKUP(raw[[#This Row],[home]],homes[home],homes[city],"-"),1,0))</f>
        <v/>
      </c>
      <c r="T2098" s="1398" t="inlineStr">
        <is>
          <t>.</t>
        </is>
      </c>
      <c r="U2098" s="1399">
        <f>IF(raw[[#This Row],[wb]]="w",raw[[#This Row],[stay]]+U2097,U2097)</f>
        <v/>
      </c>
      <c r="V2098" s="1400">
        <f>IF(raw[[#This Row],[out]]=0,V2097,(raw[[#This Row],[out]]-E$5))</f>
        <v/>
      </c>
      <c r="W2098" s="1401">
        <f>U2098/V2098</f>
        <v/>
      </c>
      <c r="X2098" s="1392" t="n"/>
      <c r="Y2098" s="1392" t="n"/>
      <c r="Z2098" s="1422" t="n"/>
      <c r="AA2098" s="1422" t="n"/>
      <c r="AB2098" s="1392" t="n"/>
      <c r="AC2098" s="1392" t="n"/>
      <c r="AD2098" s="1392" t="n"/>
      <c r="AE2098" s="1392" t="n"/>
      <c r="AF2098" s="1392" t="n"/>
      <c r="AG2098" s="1392" t="n"/>
      <c r="AH2098" s="1392" t="n"/>
      <c r="AI2098" s="1392" t="n"/>
      <c r="AJ2098" s="1392" t="n"/>
      <c r="AK2098" s="1392" t="n"/>
      <c r="AL2098" s="1392" t="n"/>
      <c r="AM2098" s="1392" t="n"/>
      <c r="AN2098" s="1392" t="n"/>
      <c r="AO2098" s="1392" t="n"/>
      <c r="AP2098" s="1392" t="n"/>
      <c r="AQ2098" s="1392" t="n"/>
      <c r="AR2098" s="1392" t="n"/>
      <c r="AS2098" s="1422" t="n"/>
      <c r="AT2098" s="1392" t="n"/>
      <c r="AU2098" s="1392" t="n"/>
      <c r="AV2098" s="1392" t="n"/>
      <c r="AW2098" s="1392" t="n"/>
      <c r="AX2098" s="1392" t="n"/>
      <c r="AY2098" s="1392" t="n"/>
      <c r="AZ2098" s="1392" t="n"/>
      <c r="BA2098" s="1392" t="n"/>
      <c r="BB2098" s="1422" t="n"/>
      <c r="BC2098" s="1392" t="n"/>
      <c r="BD2098" s="1392" t="n"/>
      <c r="BE2098" s="1392" t="n"/>
      <c r="BF2098" s="1392" t="n"/>
      <c r="BG2098" s="1392" t="n"/>
      <c r="BH2098" s="1392" t="n"/>
      <c r="BI2098" s="1392" t="n"/>
      <c r="BJ2098" s="1392" t="n"/>
      <c r="BK2098" s="1392" t="n"/>
      <c r="BL2098" s="1392" t="n"/>
      <c r="BM2098" s="1392" t="n"/>
      <c r="BN2098" s="1392" t="n"/>
      <c r="BO2098" s="1392" t="n"/>
      <c r="BP2098" s="1392" t="n"/>
      <c r="BQ2098" s="1392" t="n"/>
      <c r="BR2098" s="1392" t="n"/>
      <c r="BS2098" s="1392" t="n"/>
      <c r="BT2098" s="1392" t="n"/>
      <c r="BU2098" s="1416" t="n"/>
      <c r="BV2098" s="1392" t="n"/>
      <c r="BW2098" s="1392" t="n"/>
      <c r="BX2098" s="1392" t="n"/>
      <c r="BY2098" s="1392" t="n"/>
      <c r="BZ2098" s="1416" t="n"/>
      <c r="CA2098" s="1392" t="n"/>
      <c r="CB2098" s="1392" t="n"/>
      <c r="CC2098" s="1392" t="n"/>
      <c r="CD2098" s="1392" t="n"/>
      <c r="CE2098" s="1392" t="n"/>
      <c r="CF2098" s="1392" t="n"/>
      <c r="CG2098" s="1392" t="n"/>
      <c r="CH2098" s="1392" t="n"/>
      <c r="CI2098" s="1392" t="n"/>
      <c r="CJ2098" s="1392" t="n"/>
      <c r="CK2098" s="1392" t="n"/>
      <c r="CL2098" s="1392" t="n"/>
    </row>
    <row r="2099">
      <c r="A2099" s="5" t="inlineStr">
        <is>
          <t>.</t>
        </is>
      </c>
      <c r="B2099" s="5" t="inlineStr">
        <is>
          <t>.</t>
        </is>
      </c>
      <c r="C2099" s="1378">
        <f>IF(raw[[#This Row],[city]]="","-",IF(raw[[#This Row],[city]]="TODAY","-",C2098+1))</f>
        <v/>
      </c>
      <c r="D2099" s="1393" t="n"/>
      <c r="E2099" s="1394" t="n"/>
      <c r="F2099" s="1394" t="n"/>
      <c r="G2099" s="1393" t="n"/>
      <c r="H2099" s="1393" t="n"/>
      <c r="I2099" s="1393" t="n"/>
      <c r="J2099" s="1393" t="n"/>
      <c r="K2099" s="1395">
        <f>IF(raw[[#This Row],[city]]&lt;&gt;"",_xlfn.XLOOKUP($D2099,ccc[city],ccc[prov],"-"),"-")</f>
        <v/>
      </c>
      <c r="L2099" s="1395">
        <f>IF(raw[[#This Row],[city]]&lt;&gt;"",_xlfn.XLOOKUP($D2099,ccc[city],ccc[ctry],"-"),"-")</f>
        <v/>
      </c>
      <c r="M2099" s="1395">
        <f>IF(raw[[#This Row],[city]]&lt;&gt;"",_xlfn.XLOOKUP($D2099,ccc[city],ccc[cont],"-"),"-")</f>
        <v/>
      </c>
      <c r="N2099" s="1396">
        <f>IF(raw[[#This Row],[city]]="","-",IF(raw[[#This Row],[cont]]="B",raw[[#This Row],[cont]],"W"))</f>
        <v/>
      </c>
      <c r="O2099" s="1397">
        <f>IF(raw[[#This Row],[out]]=0,0,IF(raw[[#This Row],[out]]=raw[[#This Row],[in]],0.01,raw[[#This Row],[out]]-raw[[#This Row],[in]]))</f>
        <v/>
      </c>
      <c r="P2099" s="1397">
        <f>IF(raw[[#This Row],[in]]=0,0,MONTH(raw[[#This Row],[in]]))</f>
        <v/>
      </c>
      <c r="Q2099" s="1397">
        <f>IF(raw[[#This Row],[in]]=0,0,YEAR(raw[[#This Row],[in]]))</f>
        <v/>
      </c>
      <c r="R2099" s="1397">
        <f>INT(raw[[#This Row],[yr]]/10)*10</f>
        <v/>
      </c>
      <c r="S2099" s="1395">
        <f>IF(raw[[#This Row],[city]]="","-",IF(raw[[#This Row],[city]]&lt;&gt;_xlfn.XLOOKUP(raw[[#This Row],[home]],homes[home],homes[city],"-"),1,0))</f>
        <v/>
      </c>
      <c r="T2099" s="1398" t="inlineStr">
        <is>
          <t>.</t>
        </is>
      </c>
      <c r="U2099" s="1399">
        <f>IF(raw[[#This Row],[wb]]="w",raw[[#This Row],[stay]]+U2098,U2098)</f>
        <v/>
      </c>
      <c r="V2099" s="1400">
        <f>IF(raw[[#This Row],[out]]=0,V2098,(raw[[#This Row],[out]]-E$5))</f>
        <v/>
      </c>
      <c r="W2099" s="1401">
        <f>U2099/V2099</f>
        <v/>
      </c>
      <c r="X2099" s="1392" t="n"/>
      <c r="Y2099" s="1392" t="n"/>
      <c r="Z2099" s="1422" t="n"/>
      <c r="AA2099" s="1422" t="n"/>
      <c r="AB2099" s="1392" t="n"/>
      <c r="AC2099" s="1392" t="n"/>
      <c r="AD2099" s="1392" t="n"/>
      <c r="AE2099" s="1392" t="n"/>
      <c r="AF2099" s="1392" t="n"/>
      <c r="AG2099" s="1392" t="n"/>
      <c r="AH2099" s="1392" t="n"/>
      <c r="AI2099" s="1392" t="n"/>
      <c r="AJ2099" s="1392" t="n"/>
      <c r="AK2099" s="1392" t="n"/>
      <c r="AL2099" s="1392" t="n"/>
      <c r="AM2099" s="1392" t="n"/>
      <c r="AN2099" s="1392" t="n"/>
      <c r="AO2099" s="1392" t="n"/>
      <c r="AP2099" s="1392" t="n"/>
      <c r="AQ2099" s="1392" t="n"/>
      <c r="AR2099" s="1392" t="n"/>
      <c r="AS2099" s="1422" t="n"/>
      <c r="AT2099" s="1392" t="n"/>
      <c r="AU2099" s="1392" t="n"/>
      <c r="AV2099" s="1392" t="n"/>
      <c r="AW2099" s="1392" t="n"/>
      <c r="AX2099" s="1392" t="n"/>
      <c r="AY2099" s="1392" t="n"/>
      <c r="AZ2099" s="1392" t="n"/>
      <c r="BA2099" s="1392" t="n"/>
      <c r="BB2099" s="1422" t="n"/>
      <c r="BC2099" s="1392" t="n"/>
      <c r="BD2099" s="1392" t="n"/>
      <c r="BE2099" s="1392" t="n"/>
      <c r="BF2099" s="1392" t="n"/>
      <c r="BG2099" s="1392" t="n"/>
      <c r="BH2099" s="1392" t="n"/>
      <c r="BI2099" s="1392" t="n"/>
      <c r="BJ2099" s="1392" t="n"/>
      <c r="BK2099" s="1392" t="n"/>
      <c r="BL2099" s="1392" t="n"/>
      <c r="BM2099" s="1392" t="n"/>
      <c r="BN2099" s="1392" t="n"/>
      <c r="BO2099" s="1392" t="n"/>
      <c r="BP2099" s="1392" t="n"/>
      <c r="BQ2099" s="1392" t="n"/>
      <c r="BR2099" s="1392" t="n"/>
      <c r="BS2099" s="1392" t="n"/>
      <c r="BT2099" s="1392" t="n"/>
      <c r="BU2099" s="1416" t="n"/>
      <c r="BV2099" s="1392" t="n"/>
      <c r="BW2099" s="1392" t="n"/>
      <c r="BX2099" s="1392" t="n"/>
      <c r="BY2099" s="1392" t="n"/>
      <c r="BZ2099" s="1416" t="n"/>
      <c r="CA2099" s="1392" t="n"/>
      <c r="CB2099" s="1392" t="n"/>
      <c r="CC2099" s="1392" t="n"/>
      <c r="CD2099" s="1392" t="n"/>
      <c r="CE2099" s="1392" t="n"/>
      <c r="CF2099" s="1392" t="n"/>
      <c r="CG2099" s="1392" t="n"/>
      <c r="CH2099" s="1392" t="n"/>
      <c r="CI2099" s="1392" t="n"/>
      <c r="CJ2099" s="1392" t="n"/>
      <c r="CK2099" s="1392" t="n"/>
      <c r="CL2099" s="1392" t="n"/>
    </row>
    <row r="2100">
      <c r="A2100" s="5" t="inlineStr">
        <is>
          <t>.</t>
        </is>
      </c>
      <c r="B2100" s="5" t="inlineStr">
        <is>
          <t>.</t>
        </is>
      </c>
      <c r="C2100" s="1378">
        <f>IF(raw[[#This Row],[city]]="","-",IF(raw[[#This Row],[city]]="TODAY","-",C2099+1))</f>
        <v/>
      </c>
      <c r="D2100" s="1393" t="n"/>
      <c r="E2100" s="1394" t="n"/>
      <c r="F2100" s="1394" t="n"/>
      <c r="G2100" s="1393" t="n"/>
      <c r="H2100" s="1393" t="n"/>
      <c r="I2100" s="1393" t="n"/>
      <c r="J2100" s="1393" t="n"/>
      <c r="K2100" s="1395">
        <f>IF(raw[[#This Row],[city]]&lt;&gt;"",_xlfn.XLOOKUP($D2100,ccc[city],ccc[prov],"-"),"-")</f>
        <v/>
      </c>
      <c r="L2100" s="1395">
        <f>IF(raw[[#This Row],[city]]&lt;&gt;"",_xlfn.XLOOKUP($D2100,ccc[city],ccc[ctry],"-"),"-")</f>
        <v/>
      </c>
      <c r="M2100" s="1395">
        <f>IF(raw[[#This Row],[city]]&lt;&gt;"",_xlfn.XLOOKUP($D2100,ccc[city],ccc[cont],"-"),"-")</f>
        <v/>
      </c>
      <c r="N2100" s="1396">
        <f>IF(raw[[#This Row],[city]]="","-",IF(raw[[#This Row],[cont]]="B",raw[[#This Row],[cont]],"W"))</f>
        <v/>
      </c>
      <c r="O2100" s="1397">
        <f>IF(raw[[#This Row],[out]]=0,0,IF(raw[[#This Row],[out]]=raw[[#This Row],[in]],0.01,raw[[#This Row],[out]]-raw[[#This Row],[in]]))</f>
        <v/>
      </c>
      <c r="P2100" s="1397">
        <f>IF(raw[[#This Row],[in]]=0,0,MONTH(raw[[#This Row],[in]]))</f>
        <v/>
      </c>
      <c r="Q2100" s="1397">
        <f>IF(raw[[#This Row],[in]]=0,0,YEAR(raw[[#This Row],[in]]))</f>
        <v/>
      </c>
      <c r="R2100" s="1397">
        <f>INT(raw[[#This Row],[yr]]/10)*10</f>
        <v/>
      </c>
      <c r="S2100" s="1395">
        <f>IF(raw[[#This Row],[city]]="","-",IF(raw[[#This Row],[city]]&lt;&gt;_xlfn.XLOOKUP(raw[[#This Row],[home]],homes[home],homes[city],"-"),1,0))</f>
        <v/>
      </c>
      <c r="T2100" s="1398" t="inlineStr">
        <is>
          <t>.</t>
        </is>
      </c>
      <c r="U2100" s="1399">
        <f>IF(raw[[#This Row],[wb]]="w",raw[[#This Row],[stay]]+U2099,U2099)</f>
        <v/>
      </c>
      <c r="V2100" s="1400">
        <f>IF(raw[[#This Row],[out]]=0,V2099,(raw[[#This Row],[out]]-E$5))</f>
        <v/>
      </c>
      <c r="W2100" s="1401">
        <f>U2100/V2100</f>
        <v/>
      </c>
      <c r="X2100" s="1392" t="n"/>
      <c r="Y2100" s="1392" t="n"/>
      <c r="Z2100" s="1422" t="n"/>
      <c r="AA2100" s="1422" t="n"/>
      <c r="AB2100" s="1392" t="n"/>
      <c r="AC2100" s="1392" t="n"/>
      <c r="AD2100" s="1392" t="n"/>
      <c r="AE2100" s="1392" t="n"/>
      <c r="AF2100" s="1392" t="n"/>
      <c r="AG2100" s="1392" t="n"/>
      <c r="AH2100" s="1392" t="n"/>
      <c r="AI2100" s="1392" t="n"/>
      <c r="AJ2100" s="1392" t="n"/>
      <c r="AK2100" s="1392" t="n"/>
      <c r="AL2100" s="1392" t="n"/>
      <c r="AM2100" s="1392" t="n"/>
      <c r="AN2100" s="1392" t="n"/>
      <c r="AO2100" s="1392" t="n"/>
      <c r="AP2100" s="1392" t="n"/>
      <c r="AQ2100" s="1392" t="n"/>
      <c r="AR2100" s="1392" t="n"/>
      <c r="AS2100" s="1422" t="n"/>
      <c r="AT2100" s="1392" t="n"/>
      <c r="AU2100" s="1392" t="n"/>
      <c r="AV2100" s="1392" t="n"/>
      <c r="AW2100" s="1392" t="n"/>
      <c r="AX2100" s="1392" t="n"/>
      <c r="AY2100" s="1392" t="n"/>
      <c r="AZ2100" s="1392" t="n"/>
      <c r="BA2100" s="1392" t="n"/>
      <c r="BB2100" s="1422" t="n"/>
      <c r="BC2100" s="1392" t="n"/>
      <c r="BD2100" s="1392" t="n"/>
      <c r="BE2100" s="1392" t="n"/>
      <c r="BF2100" s="1392" t="n"/>
      <c r="BG2100" s="1392" t="n"/>
      <c r="BH2100" s="1392" t="n"/>
      <c r="BI2100" s="1392" t="n"/>
      <c r="BJ2100" s="1392" t="n"/>
      <c r="BK2100" s="1392" t="n"/>
      <c r="BL2100" s="1392" t="n"/>
      <c r="BM2100" s="1392" t="n"/>
      <c r="BN2100" s="1392" t="n"/>
      <c r="BO2100" s="1392" t="n"/>
      <c r="BP2100" s="1392" t="n"/>
      <c r="BQ2100" s="1392" t="n"/>
      <c r="BR2100" s="1392" t="n"/>
      <c r="BS2100" s="1392" t="n"/>
      <c r="BT2100" s="1392" t="n"/>
      <c r="BU2100" s="1416" t="n"/>
      <c r="BV2100" s="1392" t="n"/>
      <c r="BW2100" s="1392" t="n"/>
      <c r="BX2100" s="1392" t="n"/>
      <c r="BY2100" s="1392" t="n"/>
      <c r="BZ2100" s="1416" t="n"/>
      <c r="CA2100" s="1392" t="n"/>
      <c r="CB2100" s="1392" t="n"/>
      <c r="CC2100" s="1392" t="n"/>
      <c r="CD2100" s="1392" t="n"/>
      <c r="CE2100" s="1392" t="n"/>
      <c r="CF2100" s="1392" t="n"/>
      <c r="CG2100" s="1392" t="n"/>
      <c r="CH2100" s="1392" t="n"/>
      <c r="CI2100" s="1392" t="n"/>
      <c r="CJ2100" s="1392" t="n"/>
      <c r="CK2100" s="1392" t="n"/>
      <c r="CL2100" s="1392" t="n"/>
    </row>
  </sheetData>
  <mergeCells count="12">
    <mergeCell ref="BI1:BO1"/>
    <mergeCell ref="U3:W3"/>
    <mergeCell ref="BQ1:BW1"/>
    <mergeCell ref="U1:W1"/>
    <mergeCell ref="CJ1:CL1"/>
    <mergeCell ref="AZ1:BG1"/>
    <mergeCell ref="AH1:AO1"/>
    <mergeCell ref="C1:S1"/>
    <mergeCell ref="BX1:CB1"/>
    <mergeCell ref="Y1:AF1"/>
    <mergeCell ref="AQ1:AX1"/>
    <mergeCell ref="CD1:CH1"/>
  </mergeCells>
  <conditionalFormatting sqref="E5:E5000">
    <cfRule type="expression" priority="1" dxfId="4" stopIfTrue="1">
      <formula>AND(MONTH($E5)=1,DAY($E5)=1)</formula>
    </cfRule>
  </conditionalFormatting>
  <pageMargins left="0.7" right="0.7" top="0.75" bottom="0.75" header="0.3" footer="0.3"/>
  <pageSetup orientation="portrait" horizontalDpi="0" verticalDpi="0"/>
  <legacyDrawing xmlns:r="http://schemas.openxmlformats.org/officeDocument/2006/relationships" r:id="anysvml"/>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2.xml><?xml version="1.0" encoding="utf-8"?>
<worksheet xmlns="http://schemas.openxmlformats.org/spreadsheetml/2006/main">
  <sheetPr>
    <tabColor rgb="00B0BEC5"/>
    <outlinePr summaryBelow="1" summaryRight="1"/>
    <pageSetUpPr/>
  </sheetPr>
  <dimension ref="A1:CX705"/>
  <sheetViews>
    <sheetView topLeftCell="BM1" workbookViewId="0">
      <selection activeCell="BR6" sqref="BR6"/>
    </sheetView>
  </sheetViews>
  <sheetFormatPr baseColWidth="10" defaultRowHeight="16"/>
  <cols>
    <col width="1.6640625" bestFit="1" customWidth="1" style="1" min="1" max="1"/>
    <col width="3.33203125" customWidth="1" style="1" min="2" max="2"/>
    <col width="11.83203125" customWidth="1" style="1" min="3" max="3"/>
    <col width="4.1640625" bestFit="1" customWidth="1" style="1" min="4" max="4"/>
    <col width="11" customWidth="1" style="1" min="5" max="5"/>
    <col width="1.6640625" bestFit="1" customWidth="1" style="1" min="6" max="6"/>
    <col width="5.1640625" bestFit="1" customWidth="1" style="1" min="7" max="7"/>
    <col width="11.5" customWidth="1" style="1" min="8" max="8"/>
    <col width="1.6640625" bestFit="1" customWidth="1" style="1" min="9" max="9"/>
    <col width="5.5" customWidth="1" style="1" min="10" max="10"/>
    <col width="22.83203125" bestFit="1" customWidth="1" style="1" min="11" max="11"/>
    <col width="6.83203125" bestFit="1" customWidth="1" style="1" min="12" max="12"/>
    <col width="7.1640625" bestFit="1" customWidth="1" style="1" min="13" max="13"/>
    <col width="4.1640625" bestFit="1" customWidth="1" style="1" min="14" max="14"/>
    <col width="7.1640625" customWidth="1" style="1" min="15" max="16"/>
    <col width="1.6640625" bestFit="1" customWidth="1" style="1" min="17" max="17"/>
    <col width="3.6640625" bestFit="1" customWidth="1" min="18" max="18"/>
    <col width="7.1640625" customWidth="1" min="19" max="19"/>
    <col width="1.6640625" bestFit="1" customWidth="1" min="20" max="20"/>
    <col width="3.5" customWidth="1" min="21" max="21"/>
    <col width="5.83203125" customWidth="1" min="22" max="22"/>
    <col width="5.5" customWidth="1" min="23" max="23"/>
    <col width="5.83203125" customWidth="1" min="24" max="24"/>
    <col width="4.33203125" customWidth="1" min="25" max="25"/>
    <col width="1.6640625" bestFit="1" customWidth="1" min="26" max="26"/>
    <col width="4.1640625" bestFit="1" customWidth="1" min="27" max="27"/>
    <col width="16" customWidth="1" min="28" max="28"/>
    <col width="4.1640625" customWidth="1" min="29" max="29"/>
    <col width="11.5" bestFit="1" customWidth="1" min="30" max="30"/>
    <col width="1.6640625" bestFit="1" customWidth="1" min="31" max="31"/>
    <col width="4.6640625" bestFit="1" customWidth="1" style="1" min="32" max="32"/>
    <col width="11.33203125" customWidth="1" style="1" min="33" max="33"/>
    <col width="8.6640625" bestFit="1" customWidth="1" style="1" min="34" max="34"/>
    <col width="9.1640625" customWidth="1" style="1" min="35" max="35"/>
    <col width="6.1640625" customWidth="1" style="1" min="36" max="36"/>
    <col width="6" bestFit="1" customWidth="1" style="1" min="37" max="37"/>
    <col width="5.1640625" customWidth="1" style="1" min="38" max="38"/>
    <col width="1.6640625" bestFit="1" customWidth="1" min="39" max="39"/>
    <col width="6" bestFit="1" customWidth="1" min="40" max="40"/>
    <col width="6.6640625" customWidth="1" min="42" max="42"/>
    <col width="6" customWidth="1" min="43" max="43"/>
    <col width="5" customWidth="1" min="44" max="44"/>
    <col width="1.6640625" bestFit="1" customWidth="1" min="45" max="45"/>
    <col width="4.1640625" bestFit="1" customWidth="1" min="46" max="46"/>
    <col width="15.33203125" bestFit="1" customWidth="1" min="47" max="47"/>
    <col width="4.1640625" customWidth="1" min="48" max="48"/>
    <col width="15.33203125" customWidth="1" min="49" max="49"/>
    <col width="9.5" bestFit="1" customWidth="1" style="1" min="50" max="50"/>
    <col width="6.83203125" bestFit="1" customWidth="1" style="1" min="51" max="51"/>
    <col width="10.1640625" customWidth="1" style="1" min="52" max="52"/>
    <col width="5.33203125" customWidth="1" style="1" min="53" max="53"/>
    <col width="4" customWidth="1" style="1" min="54" max="54"/>
    <col width="6" customWidth="1" style="1" min="55" max="55"/>
    <col width="6.33203125" customWidth="1" style="1" min="56" max="56"/>
    <col width="6" customWidth="1" style="1" min="57" max="57"/>
    <col width="4.1640625" customWidth="1" style="1" min="58" max="58"/>
    <col width="6.83203125" customWidth="1" style="1" min="59" max="59"/>
    <col width="1.6640625" bestFit="1" customWidth="1" style="1" min="60" max="60"/>
    <col width="3.1640625" bestFit="1" customWidth="1" min="61" max="61"/>
    <col width="7" customWidth="1" min="63" max="63"/>
    <col width="4.5" customWidth="1" min="64" max="64"/>
    <col width="11.33203125" customWidth="1" min="65" max="65"/>
    <col width="7" customWidth="1" min="66" max="66"/>
    <col width="1.6640625" bestFit="1" customWidth="1" style="1" min="67" max="67"/>
    <col width="5.1640625" bestFit="1" customWidth="1" style="1" min="68" max="68"/>
    <col width="16.1640625" customWidth="1" style="1" min="69" max="69"/>
    <col width="5.83203125" customWidth="1" style="1" min="70" max="70"/>
    <col width="11.1640625" customWidth="1" style="1" min="71" max="71"/>
    <col width="7.33203125" bestFit="1" customWidth="1" style="1" min="72" max="72"/>
    <col width="4.6640625" customWidth="1" style="1" min="73" max="73"/>
    <col width="5.1640625" customWidth="1" style="1" min="74" max="74"/>
    <col width="1.6640625" bestFit="1" customWidth="1" style="1" min="75" max="75"/>
    <col width="6" customWidth="1" style="1" min="76" max="76"/>
    <col width="5.5" customWidth="1" style="1" min="77" max="77"/>
    <col width="11.5" customWidth="1" style="1" min="78" max="78"/>
    <col width="7.1640625" bestFit="1" customWidth="1" style="1" min="79" max="79"/>
    <col width="1.6640625" bestFit="1" customWidth="1" style="1" min="80" max="80"/>
    <col width="1.6640625" customWidth="1" style="1" min="81" max="81"/>
    <col width="13.83203125" bestFit="1" customWidth="1" style="1" min="82" max="82"/>
    <col width="6.83203125" bestFit="1" customWidth="1" style="1" min="83" max="83"/>
    <col width="4.1640625" customWidth="1" style="1" min="84" max="84"/>
    <col width="1.6640625" customWidth="1" min="85" max="85"/>
    <col width="6.6640625" bestFit="1" customWidth="1" min="86" max="86"/>
    <col width="7.1640625" bestFit="1" customWidth="1" min="87" max="87"/>
    <col width="8.1640625" bestFit="1" customWidth="1" min="88" max="88"/>
    <col width="1.6640625" customWidth="1" min="89" max="89"/>
    <col width="5.1640625" bestFit="1" customWidth="1" min="90" max="90"/>
    <col width="22" bestFit="1" customWidth="1" min="91" max="91"/>
    <col width="6.33203125" bestFit="1" customWidth="1" style="3" min="94" max="94"/>
    <col width="1.6640625" customWidth="1" min="95" max="95"/>
    <col width="12.33203125" bestFit="1" customWidth="1" min="97" max="97"/>
    <col width="1.6640625" customWidth="1" min="98" max="98"/>
    <col width="1.6640625" customWidth="1" min="100" max="100"/>
    <col width="12.6640625" customWidth="1" style="1" min="101" max="101"/>
    <col width="1.6640625" customWidth="1" min="102" max="102"/>
    <col width="10.83203125" customWidth="1" style="1" min="103" max="16384"/>
  </cols>
  <sheetData>
    <row r="1" customFormat="1" s="845">
      <c r="A1" s="1427" t="inlineStr">
        <is>
          <t>.</t>
        </is>
      </c>
      <c r="B1" s="1427" t="n"/>
      <c r="C1" s="1427" t="n"/>
      <c r="D1" s="1427" t="n"/>
      <c r="E1" s="1427" t="n"/>
      <c r="F1" s="1427" t="n"/>
      <c r="G1" s="1427" t="n"/>
      <c r="H1" s="1427" t="n"/>
      <c r="I1" s="1427" t="n"/>
      <c r="J1" s="1428" t="n"/>
      <c r="K1" s="1429" t="n"/>
      <c r="L1" s="1429" t="n"/>
      <c r="M1" s="1072" t="n"/>
      <c r="N1" s="1427" t="n"/>
      <c r="O1" s="1430" t="n"/>
      <c r="P1" s="1430" t="n"/>
      <c r="Q1" s="1427" t="n"/>
      <c r="R1" s="1431" t="inlineStr">
        <is>
          <t>change for Chloe</t>
        </is>
      </c>
      <c r="S1" s="1429" t="n"/>
      <c r="T1" s="1427" t="n"/>
      <c r="U1" s="1427" t="n"/>
      <c r="V1" s="1427" t="n"/>
      <c r="W1" s="1427" t="n"/>
      <c r="X1" s="1427" t="n"/>
      <c r="Y1" s="1427" t="n"/>
      <c r="Z1" s="1432" t="inlineStr">
        <is>
          <t>.</t>
        </is>
      </c>
      <c r="AA1" s="1427" t="n"/>
      <c r="AB1" s="1427" t="n"/>
      <c r="AC1" s="1427" t="n"/>
      <c r="AD1" s="1427" t="n"/>
      <c r="AE1" s="1432" t="inlineStr">
        <is>
          <t>.</t>
        </is>
      </c>
      <c r="AF1" s="1427" t="n"/>
      <c r="AG1" s="1427" t="n"/>
      <c r="AH1" s="1427" t="n"/>
      <c r="AI1" s="1427" t="n"/>
      <c r="AJ1" s="1427" t="n"/>
      <c r="AK1" s="1427" t="n"/>
      <c r="AL1" s="1427" t="n"/>
      <c r="AM1" s="1432" t="inlineStr">
        <is>
          <t>.</t>
        </is>
      </c>
      <c r="AN1" s="1432" t="n"/>
      <c r="AO1" s="1432" t="n"/>
      <c r="AP1" s="1432" t="n"/>
      <c r="AQ1" s="1432" t="n"/>
      <c r="AR1" s="1432" t="n"/>
      <c r="AS1" s="1432" t="inlineStr">
        <is>
          <t>.</t>
        </is>
      </c>
      <c r="AT1" s="1432" t="inlineStr">
        <is>
          <t>.</t>
        </is>
      </c>
      <c r="AU1" s="1432" t="inlineStr">
        <is>
          <t>.</t>
        </is>
      </c>
      <c r="AV1" s="1432" t="inlineStr">
        <is>
          <t>.</t>
        </is>
      </c>
      <c r="AW1" s="1432" t="inlineStr">
        <is>
          <t>.</t>
        </is>
      </c>
      <c r="AX1" s="1432" t="inlineStr">
        <is>
          <t>.</t>
        </is>
      </c>
      <c r="AY1" s="1432" t="inlineStr">
        <is>
          <t>.</t>
        </is>
      </c>
      <c r="AZ1" s="1432" t="inlineStr">
        <is>
          <t>.</t>
        </is>
      </c>
      <c r="BA1" s="1432" t="inlineStr">
        <is>
          <t>.</t>
        </is>
      </c>
      <c r="BB1" s="1432" t="inlineStr">
        <is>
          <t>.</t>
        </is>
      </c>
      <c r="BC1" s="1432" t="inlineStr">
        <is>
          <t>.</t>
        </is>
      </c>
      <c r="BD1" s="1432" t="n"/>
      <c r="BE1" s="1432" t="n"/>
      <c r="BF1" s="1432" t="n"/>
      <c r="BG1" s="1432" t="n"/>
      <c r="BH1" s="1432" t="inlineStr">
        <is>
          <t>.</t>
        </is>
      </c>
      <c r="BI1" s="1432" t="inlineStr">
        <is>
          <t>.</t>
        </is>
      </c>
      <c r="BJ1" s="1432" t="n"/>
      <c r="BK1" s="1432" t="n"/>
      <c r="BL1" s="1432" t="n"/>
      <c r="BM1" s="1432" t="n"/>
      <c r="BN1" s="1432" t="n"/>
      <c r="BO1" s="1432" t="inlineStr">
        <is>
          <t>.</t>
        </is>
      </c>
      <c r="BP1" s="1432" t="inlineStr">
        <is>
          <t>.</t>
        </is>
      </c>
      <c r="BQ1" s="1432" t="inlineStr">
        <is>
          <t>.</t>
        </is>
      </c>
      <c r="BR1" s="1432" t="inlineStr">
        <is>
          <t>.</t>
        </is>
      </c>
      <c r="BS1" s="1432" t="inlineStr">
        <is>
          <t>.</t>
        </is>
      </c>
      <c r="BT1" s="1432" t="inlineStr">
        <is>
          <t>.</t>
        </is>
      </c>
      <c r="BU1" s="1432" t="inlineStr">
        <is>
          <t>.</t>
        </is>
      </c>
      <c r="BV1" s="1432" t="inlineStr">
        <is>
          <t>.</t>
        </is>
      </c>
      <c r="BW1" s="1432" t="inlineStr">
        <is>
          <t>.</t>
        </is>
      </c>
      <c r="BX1" s="1432" t="inlineStr">
        <is>
          <t>.</t>
        </is>
      </c>
      <c r="BY1" s="1432" t="inlineStr">
        <is>
          <t>.</t>
        </is>
      </c>
      <c r="BZ1" s="1432" t="inlineStr">
        <is>
          <t>.</t>
        </is>
      </c>
      <c r="CA1" s="1432" t="inlineStr">
        <is>
          <t>.</t>
        </is>
      </c>
      <c r="CB1" s="1432" t="inlineStr">
        <is>
          <t>.</t>
        </is>
      </c>
      <c r="CC1" s="1432" t="n"/>
      <c r="CD1" s="1432" t="n"/>
      <c r="CE1" s="1432" t="n"/>
      <c r="CF1" s="1432" t="n"/>
      <c r="CG1" s="1432" t="n"/>
      <c r="CH1" s="1432" t="inlineStr">
        <is>
          <t>.</t>
        </is>
      </c>
      <c r="CI1" s="1432" t="inlineStr">
        <is>
          <t>.</t>
        </is>
      </c>
      <c r="CJ1" s="1432" t="inlineStr">
        <is>
          <t>.</t>
        </is>
      </c>
      <c r="CK1" s="1432" t="n"/>
      <c r="CL1" s="1432" t="n"/>
      <c r="CM1" s="1432" t="n"/>
      <c r="CN1" s="1432" t="n"/>
      <c r="CO1" s="1432" t="n"/>
      <c r="CP1" s="1433" t="n"/>
      <c r="CQ1" s="1432" t="n"/>
      <c r="CR1" s="1434" t="inlineStr">
        <is>
          <t>NEW: NOT IN CHLOE/NINA</t>
        </is>
      </c>
      <c r="CS1" s="1072" t="n"/>
      <c r="CT1" s="1432" t="inlineStr">
        <is>
          <t>.</t>
        </is>
      </c>
      <c r="CU1" s="1435" t="n"/>
      <c r="CV1" s="1432" t="n"/>
      <c r="CW1" s="1432" t="n"/>
      <c r="CX1" s="1432" t="n"/>
    </row>
    <row r="2" customFormat="1" s="3">
      <c r="A2" s="1436" t="n"/>
      <c r="B2" s="1436" t="n"/>
      <c r="C2" s="1437" t="inlineStr">
        <is>
          <t>tblExc</t>
        </is>
      </c>
      <c r="D2" s="1438" t="n"/>
      <c r="E2" s="1438" t="inlineStr">
        <is>
          <t>ucity_only</t>
        </is>
      </c>
      <c r="F2" s="1436" t="n"/>
      <c r="G2" s="1439" t="inlineStr">
        <is>
          <t>ucity_all (needed?)</t>
        </is>
      </c>
      <c r="H2" s="1072" t="n"/>
      <c r="I2" s="1436" t="inlineStr">
        <is>
          <t>.</t>
        </is>
      </c>
      <c r="J2" s="1440" t="inlineStr">
        <is>
          <t>cities</t>
        </is>
      </c>
      <c r="K2" s="1429" t="n"/>
      <c r="L2" s="1429" t="n"/>
      <c r="M2" s="1072" t="n"/>
      <c r="N2" s="1436" t="inlineStr">
        <is>
          <t>.</t>
        </is>
      </c>
      <c r="O2" s="1441" t="inlineStr">
        <is>
          <t>stays5+</t>
        </is>
      </c>
      <c r="P2" s="1072" t="n"/>
      <c r="Q2" s="1436" t="inlineStr">
        <is>
          <t>.</t>
        </is>
      </c>
      <c r="R2" s="1442" t="inlineStr">
        <is>
          <t>uctry</t>
        </is>
      </c>
      <c r="S2" s="1072" t="n"/>
      <c r="T2" s="1436" t="inlineStr">
        <is>
          <t>.</t>
        </is>
      </c>
      <c r="U2" s="1440" t="inlineStr">
        <is>
          <t>ctries</t>
        </is>
      </c>
      <c r="V2" s="1429" t="n"/>
      <c r="W2" s="1429" t="n"/>
      <c r="X2" s="1429" t="n"/>
      <c r="Y2" s="1072" t="n"/>
      <c r="Z2" s="1436" t="inlineStr">
        <is>
          <t>.</t>
        </is>
      </c>
      <c r="AA2" s="1442" t="inlineStr">
        <is>
          <t>uroute</t>
        </is>
      </c>
      <c r="AB2" s="1072" t="n"/>
      <c r="AC2" s="1443" t="inlineStr">
        <is>
          <t>uflightcity</t>
        </is>
      </c>
      <c r="AD2" s="1429" t="n"/>
      <c r="AE2" s="1436" t="inlineStr">
        <is>
          <t>.</t>
        </is>
      </c>
      <c r="AF2" s="1440" t="inlineStr">
        <is>
          <t>routes</t>
        </is>
      </c>
      <c r="AG2" s="1429" t="n"/>
      <c r="AH2" s="1429" t="n"/>
      <c r="AI2" s="1429" t="n"/>
      <c r="AJ2" s="1429" t="n"/>
      <c r="AK2" s="1429" t="n"/>
      <c r="AL2" s="1072" t="n"/>
      <c r="AM2" s="1436" t="inlineStr">
        <is>
          <t>.</t>
        </is>
      </c>
      <c r="AN2" s="1444" t="inlineStr">
        <is>
          <t>cityRoutes</t>
        </is>
      </c>
      <c r="AO2" s="1445" t="n"/>
      <c r="AP2" s="1445" t="n"/>
      <c r="AQ2" s="1445" t="n"/>
      <c r="AR2" s="1446" t="n"/>
      <c r="AS2" s="1436" t="inlineStr">
        <is>
          <t>.</t>
        </is>
      </c>
      <c r="AT2" s="1447" t="n"/>
      <c r="AU2" s="1447" t="n"/>
      <c r="AV2" s="1448" t="inlineStr">
        <is>
          <t>homes</t>
        </is>
      </c>
      <c r="AW2" s="1346" t="n"/>
      <c r="AX2" s="1346" t="n"/>
      <c r="AY2" s="1346" t="n"/>
      <c r="AZ2" s="1346" t="n"/>
      <c r="BA2" s="1346" t="n"/>
      <c r="BB2" s="1346" t="n"/>
      <c r="BC2" s="1346" t="n"/>
      <c r="BD2" s="1346" t="n"/>
      <c r="BE2" s="1346" t="n"/>
      <c r="BF2" s="1346" t="n"/>
      <c r="BG2" s="1077" t="n"/>
      <c r="BH2" s="1432" t="inlineStr">
        <is>
          <t>.</t>
        </is>
      </c>
      <c r="BI2" s="1447" t="n"/>
      <c r="BJ2" s="1447" t="n"/>
      <c r="BK2" s="1447" t="n"/>
      <c r="BL2" s="1449" t="inlineStr">
        <is>
          <t>homeCities</t>
        </is>
      </c>
      <c r="BM2" s="1446" t="n"/>
      <c r="BN2" s="1450" t="n"/>
      <c r="BO2" s="1451" t="n"/>
      <c r="BP2" s="1452" t="inlineStr">
        <is>
          <t>ccc (universal)</t>
        </is>
      </c>
      <c r="BQ2" s="1445" t="n"/>
      <c r="BR2" s="1445" t="n"/>
      <c r="BS2" s="1445" t="n"/>
      <c r="BT2" s="1445" t="n"/>
      <c r="BU2" s="1445" t="n"/>
      <c r="BV2" s="1446" t="n"/>
      <c r="BW2" s="1451" t="n"/>
      <c r="BX2" s="1452" t="inlineStr">
        <is>
          <t>prov (universal)</t>
        </is>
      </c>
      <c r="BY2" s="1445" t="n"/>
      <c r="BZ2" s="1445" t="n"/>
      <c r="CA2" s="1446" t="n"/>
      <c r="CB2" s="1451" t="n"/>
      <c r="CC2" s="1451" t="n"/>
      <c r="CD2" s="1453" t="inlineStr">
        <is>
          <t>cont (universal)</t>
        </is>
      </c>
      <c r="CE2" s="1429" t="n"/>
      <c r="CF2" s="1454" t="n"/>
      <c r="CG2" s="1451" t="n"/>
      <c r="CH2" s="1455" t="inlineStr">
        <is>
          <t>temp</t>
        </is>
      </c>
      <c r="CI2" s="1456" t="n"/>
      <c r="CJ2" s="1457" t="n"/>
      <c r="CK2" s="1451" t="n"/>
      <c r="CL2" s="1452" t="inlineStr">
        <is>
          <t>routes (universal)</t>
        </is>
      </c>
      <c r="CM2" s="1445" t="n"/>
      <c r="CN2" s="1445" t="n"/>
      <c r="CO2" s="1445" t="n"/>
      <c r="CP2" s="1446" t="n"/>
      <c r="CQ2" s="1451" t="n"/>
      <c r="CR2" s="1458" t="inlineStr">
        <is>
          <t>is this in</t>
        </is>
      </c>
      <c r="CS2" s="1458" t="inlineStr">
        <is>
          <t>is this in</t>
        </is>
      </c>
      <c r="CT2" s="1432" t="inlineStr">
        <is>
          <t>.</t>
        </is>
      </c>
      <c r="CU2" s="1435" t="n"/>
      <c r="CV2" s="1451" t="n"/>
      <c r="CW2" s="1458" t="inlineStr">
        <is>
          <t>cities w/out</t>
        </is>
      </c>
      <c r="CX2" s="1451" t="n"/>
    </row>
    <row r="3">
      <c r="A3" s="1427" t="inlineStr">
        <is>
          <t>.</t>
        </is>
      </c>
      <c r="B3" s="1427" t="n"/>
      <c r="C3" s="1459" t="inlineStr">
        <is>
          <t>input</t>
        </is>
      </c>
      <c r="D3" s="1460">
        <f>MAX(D5:D604)</f>
        <v/>
      </c>
      <c r="E3" s="1461" t="inlineStr">
        <is>
          <t>raw</t>
        </is>
      </c>
      <c r="F3" s="1427" t="inlineStr">
        <is>
          <t>.</t>
        </is>
      </c>
      <c r="G3" s="1460">
        <f>MAX(G5:G604)</f>
        <v/>
      </c>
      <c r="H3" s="1461" t="inlineStr">
        <is>
          <t>raw</t>
        </is>
      </c>
      <c r="I3" s="1427" t="inlineStr">
        <is>
          <t>.</t>
        </is>
      </c>
      <c r="J3" s="1462" t="inlineStr">
        <is>
          <t>ucity_all</t>
        </is>
      </c>
      <c r="K3" s="1463" t="inlineStr">
        <is>
          <t>ucity_only</t>
        </is>
      </c>
      <c r="L3" s="1461" t="inlineStr">
        <is>
          <t>ccc</t>
        </is>
      </c>
      <c r="M3" s="1462" t="inlineStr">
        <is>
          <t>fla</t>
        </is>
      </c>
      <c r="N3" s="1427" t="inlineStr">
        <is>
          <t>.</t>
        </is>
      </c>
      <c r="O3" s="1464" t="inlineStr">
        <is>
          <t>stays (&gt;=5)</t>
        </is>
      </c>
      <c r="P3" s="1072" t="n"/>
      <c r="Q3" s="1427" t="inlineStr">
        <is>
          <t>.</t>
        </is>
      </c>
      <c r="R3" s="1460">
        <f>MAX(R5:R604)</f>
        <v/>
      </c>
      <c r="S3" s="1461" t="inlineStr">
        <is>
          <t>raw</t>
        </is>
      </c>
      <c r="T3" s="1427" t="inlineStr">
        <is>
          <t>.</t>
        </is>
      </c>
      <c r="U3" s="1460">
        <f>_xlfn.MAXIFS(ctries[id],ctries[id],"&lt;&gt;99")</f>
        <v/>
      </c>
      <c r="V3" s="1461" t="inlineStr">
        <is>
          <t>uctry</t>
        </is>
      </c>
      <c r="W3" s="1461" t="inlineStr">
        <is>
          <t>cities</t>
        </is>
      </c>
      <c r="X3" s="1461" t="inlineStr">
        <is>
          <t>CCC</t>
        </is>
      </c>
      <c r="Y3" s="1462" t="inlineStr">
        <is>
          <t>fla</t>
        </is>
      </c>
      <c r="Z3" s="1427" t="inlineStr">
        <is>
          <t>.</t>
        </is>
      </c>
      <c r="AA3" s="1460">
        <f>MAX(AA5:AA604)</f>
        <v/>
      </c>
      <c r="AB3" s="1465" t="inlineStr">
        <is>
          <t>allFlights (input)</t>
        </is>
      </c>
      <c r="AC3" s="1460">
        <f>MAX(AC5:AC604)</f>
        <v/>
      </c>
      <c r="AD3" s="1466" t="inlineStr">
        <is>
          <t>route-cities</t>
        </is>
      </c>
      <c r="AE3" s="1427" t="inlineStr">
        <is>
          <t>.</t>
        </is>
      </c>
      <c r="AF3" s="1460">
        <f>MAX(AF5:AF205)</f>
        <v/>
      </c>
      <c r="AG3" s="1461">
        <f>AB4</f>
        <v/>
      </c>
      <c r="AH3" s="1461" t="inlineStr">
        <is>
          <t>routesUniv</t>
        </is>
      </c>
      <c r="AI3" s="1461" t="inlineStr">
        <is>
          <t>routesUniv</t>
        </is>
      </c>
      <c r="AJ3" s="1461" t="inlineStr">
        <is>
          <t>routesUniv</t>
        </is>
      </c>
      <c r="AK3" s="1467">
        <f>SUM(routes[rpt])</f>
        <v/>
      </c>
      <c r="AL3" s="1468">
        <f>SUM(routes[total])</f>
        <v/>
      </c>
      <c r="AM3" s="1427" t="inlineStr">
        <is>
          <t>.</t>
        </is>
      </c>
      <c r="AN3" s="1467" t="n"/>
      <c r="AO3" s="1461" t="inlineStr">
        <is>
          <t>uflightcity</t>
        </is>
      </c>
      <c r="AP3" s="1461" t="inlineStr">
        <is>
          <t>ccc</t>
        </is>
      </c>
      <c r="AQ3" s="1467">
        <f>SUM(cityRoutes[rpt])/2</f>
        <v/>
      </c>
      <c r="AR3" s="1468">
        <f>SUM(cityRoutes[km])</f>
        <v/>
      </c>
      <c r="AS3" s="1427" t="inlineStr">
        <is>
          <t>.</t>
        </is>
      </c>
      <c r="AT3" s="1469">
        <f>MAX(AT5:AT604)</f>
        <v/>
      </c>
      <c r="AU3" s="1470" t="n"/>
      <c r="AV3" s="1467" t="n"/>
      <c r="AW3" s="1461">
        <f>AU4</f>
        <v/>
      </c>
      <c r="AX3" s="1461" t="inlineStr">
        <is>
          <t>raw</t>
        </is>
      </c>
      <c r="AY3" s="1461" t="inlineStr">
        <is>
          <t>CCC</t>
        </is>
      </c>
      <c r="AZ3" s="1461" t="inlineStr">
        <is>
          <t>tblRaw</t>
        </is>
      </c>
      <c r="BA3" s="1471" t="n"/>
      <c r="BB3" s="1472" t="n"/>
      <c r="BC3" s="1428" t="n"/>
      <c r="BD3" s="1429" t="n"/>
      <c r="BE3" s="1429" t="n"/>
      <c r="BF3" s="1429" t="n"/>
      <c r="BG3" s="1072" t="n"/>
      <c r="BH3" s="1432" t="inlineStr">
        <is>
          <t>.</t>
        </is>
      </c>
      <c r="BI3" s="1469">
        <f>MAX(BI5:BI604)</f>
        <v/>
      </c>
      <c r="BJ3" s="1473" t="n"/>
      <c r="BK3" s="1473" t="n"/>
      <c r="BL3" s="1474" t="n"/>
      <c r="BM3" s="1475" t="inlineStr">
        <is>
          <t>uhomecity</t>
        </is>
      </c>
      <c r="BN3" s="1475" t="inlineStr">
        <is>
          <t>CCC</t>
        </is>
      </c>
      <c r="BO3" s="1467" t="n"/>
      <c r="BP3" s="1476" t="inlineStr">
        <is>
          <t>city-prov-ctry-cont = refr for all</t>
        </is>
      </c>
      <c r="BQ3" s="1429" t="n"/>
      <c r="BR3" s="1429" t="n"/>
      <c r="BS3" s="1429" t="n"/>
      <c r="BT3" s="1429" t="n"/>
      <c r="BU3" s="1429" t="n"/>
      <c r="BV3" s="1072" t="n"/>
      <c r="BW3" s="1467" t="n"/>
      <c r="BX3" s="1467" t="n"/>
      <c r="BY3" s="1467" t="n"/>
      <c r="BZ3" s="1467" t="n"/>
      <c r="CA3" s="1467" t="n"/>
      <c r="CB3" s="1467" t="n"/>
      <c r="CC3" s="1467" t="n"/>
      <c r="CD3" s="1477" t="n"/>
      <c r="CE3" s="1477" t="n"/>
      <c r="CF3" s="1477" t="n"/>
      <c r="CG3" s="1477" t="n"/>
      <c r="CH3" s="1477" t="n"/>
      <c r="CI3" s="1477" t="n"/>
      <c r="CJ3" s="1477" t="n"/>
      <c r="CK3" s="1477" t="n"/>
      <c r="CL3" s="1477" t="n"/>
      <c r="CM3" s="1477" t="n"/>
      <c r="CN3" s="1477" t="n"/>
      <c r="CO3" s="1477" t="n"/>
      <c r="CP3" s="1478" t="n"/>
      <c r="CQ3" s="1479" t="n"/>
      <c r="CR3" s="1458" t="inlineStr">
        <is>
          <t>ccc?</t>
        </is>
      </c>
      <c r="CS3" s="1458" t="inlineStr">
        <is>
          <t>routesUniv?</t>
        </is>
      </c>
      <c r="CT3" s="1432" t="inlineStr">
        <is>
          <t>.</t>
        </is>
      </c>
      <c r="CU3" s="1435" t="n"/>
      <c r="CV3" s="1474" t="n"/>
      <c r="CW3" s="1458" t="inlineStr">
        <is>
          <t>country</t>
        </is>
      </c>
      <c r="CX3" s="1474" t="n"/>
    </row>
    <row r="4">
      <c r="A4" s="1427" t="inlineStr">
        <is>
          <t>.</t>
        </is>
      </c>
      <c r="B4" s="1427" t="inlineStr">
        <is>
          <t>id</t>
        </is>
      </c>
      <c r="C4" s="1427" t="inlineStr">
        <is>
          <t>exceptions</t>
        </is>
      </c>
      <c r="D4" s="1427" t="inlineStr">
        <is>
          <t>id</t>
        </is>
      </c>
      <c r="E4" s="1427" t="inlineStr">
        <is>
          <t>only cities</t>
        </is>
      </c>
      <c r="F4" s="1427" t="inlineStr">
        <is>
          <t>.</t>
        </is>
      </c>
      <c r="G4" s="1427" t="inlineStr">
        <is>
          <t>id</t>
        </is>
      </c>
      <c r="H4" s="1427" t="inlineStr">
        <is>
          <t>ucity</t>
        </is>
      </c>
      <c r="I4" s="1427" t="inlineStr">
        <is>
          <t>.</t>
        </is>
      </c>
      <c r="J4" s="1427" t="inlineStr">
        <is>
          <t>id</t>
        </is>
      </c>
      <c r="K4" s="1427" t="inlineStr">
        <is>
          <t>city</t>
        </is>
      </c>
      <c r="L4" s="1480" t="inlineStr">
        <is>
          <t>ctry</t>
        </is>
      </c>
      <c r="M4" s="1480" t="inlineStr">
        <is>
          <t>stay</t>
        </is>
      </c>
      <c r="N4" s="1427" t="n"/>
      <c r="O4" s="1480" t="inlineStr">
        <is>
          <t>BRA</t>
        </is>
      </c>
      <c r="P4" s="1480" t="inlineStr">
        <is>
          <t>W</t>
        </is>
      </c>
      <c r="Q4" s="1427" t="inlineStr">
        <is>
          <t>.</t>
        </is>
      </c>
      <c r="R4" s="1427" t="inlineStr">
        <is>
          <t>id</t>
        </is>
      </c>
      <c r="S4" s="1427" t="inlineStr">
        <is>
          <t>uctry</t>
        </is>
      </c>
      <c r="T4" s="1427" t="inlineStr">
        <is>
          <t>.</t>
        </is>
      </c>
      <c r="U4" s="1427" t="inlineStr">
        <is>
          <t>id</t>
        </is>
      </c>
      <c r="V4" s="1427" t="inlineStr">
        <is>
          <t>ctry</t>
        </is>
      </c>
      <c r="W4" s="1427" t="inlineStr">
        <is>
          <t>Ncity</t>
        </is>
      </c>
      <c r="X4" s="1427" t="inlineStr">
        <is>
          <t>cont</t>
        </is>
      </c>
      <c r="Y4" s="1427" t="inlineStr">
        <is>
          <t>wb</t>
        </is>
      </c>
      <c r="Z4" s="1427" t="inlineStr">
        <is>
          <t>.</t>
        </is>
      </c>
      <c r="AA4" s="1427" t="inlineStr">
        <is>
          <t>#</t>
        </is>
      </c>
      <c r="AB4" s="1427" t="inlineStr">
        <is>
          <t>uroute</t>
        </is>
      </c>
      <c r="AC4" s="1427" t="inlineStr">
        <is>
          <t>#</t>
        </is>
      </c>
      <c r="AD4" s="1427" t="inlineStr">
        <is>
          <t>uflightcity</t>
        </is>
      </c>
      <c r="AE4" s="1427" t="inlineStr">
        <is>
          <t>.</t>
        </is>
      </c>
      <c r="AF4" s="1427" t="inlineStr">
        <is>
          <t>id</t>
        </is>
      </c>
      <c r="AG4" s="1427" t="inlineStr">
        <is>
          <t>route</t>
        </is>
      </c>
      <c r="AH4" s="1427" t="inlineStr">
        <is>
          <t>outbound</t>
        </is>
      </c>
      <c r="AI4" s="1427" t="inlineStr">
        <is>
          <t>inbound</t>
        </is>
      </c>
      <c r="AJ4" s="1427" t="inlineStr">
        <is>
          <t>km</t>
        </is>
      </c>
      <c r="AK4" s="1427" t="inlineStr">
        <is>
          <t>rpt</t>
        </is>
      </c>
      <c r="AL4" s="1480" t="inlineStr">
        <is>
          <t>total</t>
        </is>
      </c>
      <c r="AM4" s="1481" t="inlineStr">
        <is>
          <t>.</t>
        </is>
      </c>
      <c r="AN4" s="1482" t="inlineStr">
        <is>
          <t>#</t>
        </is>
      </c>
      <c r="AO4" s="1483" t="inlineStr">
        <is>
          <t>city</t>
        </is>
      </c>
      <c r="AP4" s="1483" t="inlineStr">
        <is>
          <t>ctry</t>
        </is>
      </c>
      <c r="AQ4" s="1483" t="inlineStr">
        <is>
          <t>rpt</t>
        </is>
      </c>
      <c r="AR4" s="1484" t="inlineStr">
        <is>
          <t>km</t>
        </is>
      </c>
      <c r="AS4" s="1481" t="inlineStr">
        <is>
          <t>.</t>
        </is>
      </c>
      <c r="AT4" s="1427" t="inlineStr">
        <is>
          <t>#</t>
        </is>
      </c>
      <c r="AU4" s="1485" t="inlineStr">
        <is>
          <t>uhomes</t>
        </is>
      </c>
      <c r="AV4" s="1486" t="inlineStr">
        <is>
          <t>id</t>
        </is>
      </c>
      <c r="AW4" s="1487" t="inlineStr">
        <is>
          <t>home</t>
        </is>
      </c>
      <c r="AX4" s="1487" t="inlineStr">
        <is>
          <t>city</t>
        </is>
      </c>
      <c r="AY4" s="1487" t="inlineStr">
        <is>
          <t>ctry</t>
        </is>
      </c>
      <c r="AZ4" s="1487" t="inlineStr">
        <is>
          <t>1st date</t>
        </is>
      </c>
      <c r="BA4" s="1488" t="inlineStr">
        <is>
          <t>Last date</t>
        </is>
      </c>
      <c r="BB4" s="1487" t="inlineStr">
        <is>
          <t>rpt</t>
        </is>
      </c>
      <c r="BC4" s="1489" t="inlineStr">
        <is>
          <t>main</t>
        </is>
      </c>
      <c r="BD4" s="1487" t="inlineStr">
        <is>
          <t>netmain</t>
        </is>
      </c>
      <c r="BE4" s="1487" t="inlineStr">
        <is>
          <t>%</t>
        </is>
      </c>
      <c r="BF4" s="1487" t="inlineStr">
        <is>
          <t>extra</t>
        </is>
      </c>
      <c r="BG4" s="1487" t="inlineStr">
        <is>
          <t>total</t>
        </is>
      </c>
      <c r="BH4" s="1432" t="inlineStr">
        <is>
          <t>.</t>
        </is>
      </c>
      <c r="BI4" s="1427" t="inlineStr">
        <is>
          <t>#</t>
        </is>
      </c>
      <c r="BJ4" s="1485" t="inlineStr">
        <is>
          <t>uhomeCity</t>
        </is>
      </c>
      <c r="BK4" s="1490" t="inlineStr">
        <is>
          <t>uhomeCtry</t>
        </is>
      </c>
      <c r="BL4" s="1490" t="inlineStr">
        <is>
          <t>#</t>
        </is>
      </c>
      <c r="BM4" s="1491" t="inlineStr">
        <is>
          <t>homeCity</t>
        </is>
      </c>
      <c r="BN4" s="1491" t="inlineStr">
        <is>
          <t>homeCtry</t>
        </is>
      </c>
      <c r="BO4" s="1467" t="inlineStr">
        <is>
          <t>.</t>
        </is>
      </c>
      <c r="BP4" s="1492" t="inlineStr">
        <is>
          <t>id</t>
        </is>
      </c>
      <c r="BQ4" s="1493" t="inlineStr">
        <is>
          <t>city</t>
        </is>
      </c>
      <c r="BR4" s="1493" t="inlineStr">
        <is>
          <t>prov</t>
        </is>
      </c>
      <c r="BS4" s="1493" t="inlineStr">
        <is>
          <t>prov_full</t>
        </is>
      </c>
      <c r="BT4" s="1493" t="inlineStr">
        <is>
          <t>ctry</t>
        </is>
      </c>
      <c r="BU4" s="1494" t="inlineStr">
        <is>
          <t>cont</t>
        </is>
      </c>
      <c r="BV4" s="1493" t="inlineStr">
        <is>
          <t>C+P</t>
        </is>
      </c>
      <c r="BW4" s="1467" t="n"/>
      <c r="BX4" s="1483" t="inlineStr">
        <is>
          <t>ctry</t>
        </is>
      </c>
      <c r="BY4" s="1483" t="inlineStr">
        <is>
          <t>prov</t>
        </is>
      </c>
      <c r="BZ4" s="1483" t="inlineStr">
        <is>
          <t>prov_full</t>
        </is>
      </c>
      <c r="CA4" s="1484" t="inlineStr">
        <is>
          <t>P+C</t>
        </is>
      </c>
      <c r="CB4" s="1467" t="n"/>
      <c r="CC4" s="1467" t="n"/>
      <c r="CD4" s="1495" t="inlineStr">
        <is>
          <t>ctry_name</t>
        </is>
      </c>
      <c r="CE4" s="1495" t="inlineStr">
        <is>
          <t>ctry</t>
        </is>
      </c>
      <c r="CF4" s="1495" t="inlineStr">
        <is>
          <t>cont</t>
        </is>
      </c>
      <c r="CG4" s="1477" t="n"/>
      <c r="CH4" s="1495" t="inlineStr">
        <is>
          <t>city</t>
        </is>
      </c>
      <c r="CI4" s="1495" t="inlineStr">
        <is>
          <t>prov</t>
        </is>
      </c>
      <c r="CJ4" s="1495" t="inlineStr">
        <is>
          <t>abrev</t>
        </is>
      </c>
      <c r="CK4" s="1477" t="n"/>
      <c r="CL4" s="1487" t="inlineStr">
        <is>
          <t>id</t>
        </is>
      </c>
      <c r="CM4" s="1487" t="inlineStr">
        <is>
          <t>route</t>
        </is>
      </c>
      <c r="CN4" s="1487" t="inlineStr">
        <is>
          <t>outbound</t>
        </is>
      </c>
      <c r="CO4" s="1487" t="inlineStr">
        <is>
          <t>inbound</t>
        </is>
      </c>
      <c r="CP4" s="1487" t="inlineStr">
        <is>
          <t>km</t>
        </is>
      </c>
      <c r="CQ4" s="1479" t="n"/>
      <c r="CR4" s="1485" t="inlineStr">
        <is>
          <t>city</t>
        </is>
      </c>
      <c r="CS4" s="1485" t="inlineStr">
        <is>
          <t>outbound</t>
        </is>
      </c>
      <c r="CT4" s="1432" t="inlineStr">
        <is>
          <t>.</t>
        </is>
      </c>
      <c r="CU4" s="1485" t="inlineStr">
        <is>
          <t>non-cities</t>
        </is>
      </c>
      <c r="CV4" s="1474" t="n"/>
      <c r="CW4" s="1485" t="inlineStr">
        <is>
          <t>no-ctry</t>
        </is>
      </c>
      <c r="CX4" s="1474" t="n"/>
    </row>
    <row r="5">
      <c r="A5" s="1427" t="inlineStr">
        <is>
          <t>.</t>
        </is>
      </c>
      <c r="B5" s="1496" t="n">
        <v>1</v>
      </c>
      <c r="C5" s="1496" t="inlineStr">
        <is>
          <t>Air</t>
        </is>
      </c>
      <c r="D5" s="1497" t="n">
        <v>1</v>
      </c>
      <c r="E5" s="1497">
        <f t="array" ref="E5:E570">_xlfn.LET(_xlpm.r,TRIM(raw[city]),_xlpm.exc,TRIM(_xlfn.TOCOL(_xlfn.CHOOSECOLS(tblExc[],2),1)),_xlfn.UNIQUE(_xlfn._xlws.FILTER(_xlpm.r,(_xlpm.r&lt;&gt;"")*ISNA(_xlfn.XMATCH(LOWER(_xlpm.r),LOWER(_xlpm.exc))))))</f>
        <v/>
      </c>
      <c r="F5" s="1427" t="inlineStr">
        <is>
          <t>.</t>
        </is>
      </c>
      <c r="G5" s="1498" t="n">
        <v>1</v>
      </c>
      <c r="H5" s="1498">
        <f t="array" ref="H5:H585">_xlfn.UNIQUE(_xlfn._xlws.FILTER(raw[city],(raw[city]&lt;&gt;"today")*(raw[city]&lt;&gt;0)*(raw[city]&lt;&gt;"Z")*(raw[city]&lt;&gt;"-")))</f>
        <v/>
      </c>
      <c r="I5" s="1427" t="inlineStr">
        <is>
          <t>.</t>
        </is>
      </c>
      <c r="J5" s="1499" t="n">
        <v>0</v>
      </c>
      <c r="K5" s="1500">
        <f>_xlfn.XLOOKUP(cities[[#This Row],[id]],$D$5:$D$1500,E$5:E$1500,"-")</f>
        <v/>
      </c>
      <c r="L5" s="1500">
        <f>_xlfn.XLOOKUP(cities[[#This Row],[city]],ccc[city],ccc[ctry],"-")</f>
        <v/>
      </c>
      <c r="M5" s="1500">
        <f>SUMIFS(stayCity[stay],stayCity[city],cities[[#This Row],[city]])</f>
        <v/>
      </c>
      <c r="N5" s="1427">
        <f>N4+1</f>
        <v/>
      </c>
      <c r="O5" s="1501">
        <f t="array" ref="O5:O25">_xlfn.SORTBY(    _xlfn._xlws.FILTER(        cities[city],        (cities[ctry]="BRA") *   (cities[stay]&gt;=5) *     ISNA(_xlfn.XMATCH(cities[city], {"ROAD","XYZ"}))    ),    -_xlfn._xlws.FILTER(        cities[stay],        (cities[ctry]="BRA") *  (cities[stay]&gt;=5) *      ISNA(_xlfn.XMATCH(cities[city], {"ROAD","XYZ"}))
    )
)</f>
        <v/>
      </c>
      <c r="P5" s="1501">
        <f t="array" ref="P5:P30">_xlfn.SORTBY(    _xlfn._xlws.FILTER(        cities[city],        (cities[ctry]&lt;&gt;"BRA") * (cities[stay]&gt;=5) *       ISNA(_xlfn.XMATCH(cities[city], {"SEA GRC","XYZ"}))    ),    -_xlfn._xlws.FILTER(        cities[stay],        (cities[ctry]&lt;&gt;"BRA") *  (cities[stay]&gt;=5) *      ISNA(_xlfn.XMATCH(cities[city], {"SEA GRC","XYZ"}))
    )
)</f>
        <v/>
      </c>
      <c r="Q5" s="1427" t="inlineStr">
        <is>
          <t>.</t>
        </is>
      </c>
      <c r="R5" s="1502" t="n">
        <v>0</v>
      </c>
      <c r="S5" s="1502" t="inlineStr">
        <is>
          <t>AIR</t>
        </is>
      </c>
      <c r="T5" s="1427" t="inlineStr">
        <is>
          <t>.</t>
        </is>
      </c>
      <c r="U5" s="1496" t="n">
        <v>0</v>
      </c>
      <c r="V5" s="1500">
        <f>_xlfn.XLOOKUP(ctries[[#This Row],[id]],$R$5:$R$1000,S$5:S$1000,"-")</f>
        <v/>
      </c>
      <c r="W5" s="1500">
        <f>IF(OR(ctries[[#This Row],[id]]=0,ctries[[#This Row],[id]]=99),"-",COUNTIF(cities[ctry],ctries[[#This Row],[ctry]]))</f>
        <v/>
      </c>
      <c r="X5" s="1503">
        <f>_xlfn.XLOOKUP(ctries[[#This Row],[ctry]],ccc[ctry],ccc[cont],"-")</f>
        <v/>
      </c>
      <c r="Y5" s="1500">
        <f>IF(ctries[[#This Row],[cont]]="B","B","W")</f>
        <v/>
      </c>
      <c r="Z5" s="1427" t="inlineStr">
        <is>
          <t>.</t>
        </is>
      </c>
      <c r="AA5" s="1502" t="n">
        <v>1</v>
      </c>
      <c r="AB5" s="1504">
        <f t="array" ref="AB5:AB177">_xlfn.UNIQUE(_xlfn._xlws.FILTER(INPUT!BT5:BT500,INPUT!BT5:BT500&lt;&gt;0))</f>
        <v/>
      </c>
      <c r="AC5" s="1502" t="n">
        <v>1</v>
      </c>
      <c r="AD5" s="1504">
        <f t="array" ref="AD5:AD62">_xlfn.UNIQUE(_xlfn._xlws.FILTER(_xlfn.TOCOL(routes[[outbound]:[inbound]],1),(_xlfn.TOCOL(routes[[outbound]:[inbound]],1)&lt;&gt;0)*(_xlfn.TOCOL(routes[[outbound]:[inbound]],1)&lt;&gt;"")))</f>
        <v/>
      </c>
      <c r="AE5" s="1427" t="inlineStr">
        <is>
          <t>.</t>
        </is>
      </c>
      <c r="AF5" s="1502" t="n">
        <v>1</v>
      </c>
      <c r="AG5" s="1500">
        <f>_xlfn.XLOOKUP(routes[[#This Row],[id]],$AA$5:$AA$300,$AB$5:$AB$300,"-")</f>
        <v/>
      </c>
      <c r="AH5" s="1500">
        <f>_xlfn.XLOOKUP(routes[[#This Row],[route]],routesUniv[route],routesUniv[outbound],"-")</f>
        <v/>
      </c>
      <c r="AI5" s="1500">
        <f>_xlfn.XLOOKUP(routes[[#This Row],[route]],routesUniv[route],routesUniv[inbound],"-")</f>
        <v/>
      </c>
      <c r="AJ5" s="1500">
        <f>_xlfn.XLOOKUP(routes[[#This Row],[route]],routesUniv[route],routesUniv[km],"-")</f>
        <v/>
      </c>
      <c r="AK5" s="1500">
        <f>COUNTIF(INPUT!BT$5:BT$1000,AG5)</f>
        <v/>
      </c>
      <c r="AL5" s="1505">
        <f>routes[[#This Row],[km]]*routes[[#This Row],[rpt]]/1000</f>
        <v/>
      </c>
      <c r="AM5" s="1481" t="inlineStr">
        <is>
          <t>.</t>
        </is>
      </c>
      <c r="AN5" s="1506" t="n">
        <v>1</v>
      </c>
      <c r="AO5" s="1500">
        <f>IF(AD5&lt;&gt;"",AD5,"-")</f>
        <v/>
      </c>
      <c r="AP5" s="1500">
        <f>_xlfn.XLOOKUP(cityRoutes[[#This Row],[city]],ccc[city],ccc[ctry],"-")</f>
        <v/>
      </c>
      <c r="AQ5" s="1500">
        <f>COUNTIF(INPUT!BR$5:BS$1000,AO5)</f>
        <v/>
      </c>
      <c r="AR5" s="1507">
        <f>(SUMIFS(routes[total],routes[outbound],AO5)+SUMIFS(routes[total],routes[inbound],AO5))/2</f>
        <v/>
      </c>
      <c r="AS5" s="1481" t="inlineStr">
        <is>
          <t>.</t>
        </is>
      </c>
      <c r="AT5" s="1504" t="n">
        <v>1</v>
      </c>
      <c r="AU5" s="1473">
        <f t="array" ref="AU5:AU37">_xlfn.UNIQUE(_xlfn._xlws.FILTER(raw[home],(raw[home]&lt;&gt;"---")*(raw[home]&lt;&gt;0)*(raw[home]&lt;&gt;"transit")))</f>
        <v/>
      </c>
      <c r="AV5" s="1506">
        <f>IF(AT5&lt;=AT$3,AT5,0)</f>
        <v/>
      </c>
      <c r="AW5" s="1500">
        <f>AU5</f>
        <v/>
      </c>
      <c r="AX5" s="1508">
        <f>_xlfn.XLOOKUP(homes[[#This Row],[home]],raw[home],raw[city],"-")</f>
        <v/>
      </c>
      <c r="AY5" s="1500">
        <f>_xlfn.XLOOKUP(homes[[#This Row],[city]],ccc[city],ccc[ctry],"-")</f>
        <v/>
      </c>
      <c r="AZ5" s="1509">
        <f>_xlfn.XLOOKUP(AU5,raw[home],raw[in])</f>
        <v/>
      </c>
      <c r="BA5" s="1510" t="n"/>
      <c r="BB5" s="1500">
        <f>COUNTIF(INPUT!BX5:BX100,AU5)</f>
        <v/>
      </c>
      <c r="BC5" s="1511">
        <f>INT(SUMIFS(raw[stay],raw[home],homes[[#This Row],[home]]))</f>
        <v/>
      </c>
      <c r="BD5" s="1511">
        <f>INT(SUMIFS(raw[stay],raw[home],homes[[#This Row],[home]],raw[notHome],0))</f>
        <v/>
      </c>
      <c r="BE5" s="1512">
        <f>IF(homes[[#This Row],[main]]=0,"-",homes[[#This Row],[netmain]]/homes[[#This Row],[main]])</f>
        <v/>
      </c>
      <c r="BF5" s="1511">
        <f>INT(SUMIFS(raw[stay],raw[transit],homes[[#This Row],[home]]))</f>
        <v/>
      </c>
      <c r="BG5" s="1511">
        <f>homes[[#This Row],[netmain]]+homes[[#This Row],[extra]]</f>
        <v/>
      </c>
      <c r="BH5" s="1432" t="inlineStr">
        <is>
          <t>.</t>
        </is>
      </c>
      <c r="BI5" s="1504" t="n">
        <v>1</v>
      </c>
      <c r="BJ5" s="1473">
        <f t="array" ref="BJ5:BJ16">_xlfn.UNIQUE(_xlfn._xlws.FILTER(homes[city],homes[city]&lt;&gt;0))</f>
        <v/>
      </c>
      <c r="BK5" s="1473">
        <f t="array" ref="BK5:BK13">_xlfn.UNIQUE(_xlfn._xlws.FILTER(homes[ctry],homes[ctry]&lt;&gt;0))</f>
        <v/>
      </c>
      <c r="BL5" s="1500">
        <f>IF(BJ5="",0,BI5)</f>
        <v/>
      </c>
      <c r="BM5" s="1513">
        <f>BJ5</f>
        <v/>
      </c>
      <c r="BN5" s="1513">
        <f>_xlfn.XLOOKUP(homeCities[[#This Row],[homeCity]],ccc[city],ccc[ctry],"-")</f>
        <v/>
      </c>
      <c r="BO5" s="1467" t="n"/>
      <c r="BP5" s="1514" t="n">
        <v>1</v>
      </c>
      <c r="BQ5" s="1513">
        <f>[1]Sheet1!C6</f>
        <v/>
      </c>
      <c r="BR5" s="1515">
        <f>[1]Sheet1!D6</f>
        <v/>
      </c>
      <c r="BS5" s="1513">
        <f>[1]Sheet1!E6</f>
        <v/>
      </c>
      <c r="BT5" s="1515">
        <f>[1]Sheet1!F6</f>
        <v/>
      </c>
      <c r="BU5" s="1516">
        <f>[1]Sheet1!G6</f>
        <v/>
      </c>
      <c r="BV5" s="1513">
        <f>[1]Sheet1!H6</f>
        <v/>
      </c>
      <c r="BW5" s="1467" t="n"/>
      <c r="BX5" s="1491">
        <f>[1]Sheet1!$J6</f>
        <v/>
      </c>
      <c r="BY5" s="1517">
        <f>[1]Sheet1!$K6</f>
        <v/>
      </c>
      <c r="BZ5" s="1517">
        <f>[1]Sheet1!$L6</f>
        <v/>
      </c>
      <c r="CA5" s="1500">
        <f>[1]Sheet1!$M6</f>
        <v/>
      </c>
      <c r="CB5" s="1467" t="n"/>
      <c r="CC5" s="1467" t="n"/>
      <c r="CD5" s="1500">
        <f>[1]Sheet1!$P6</f>
        <v/>
      </c>
      <c r="CE5" s="1513">
        <f>[1]Sheet1!$Q6</f>
        <v/>
      </c>
      <c r="CF5" s="1515">
        <f>[1]Sheet1!$R6</f>
        <v/>
      </c>
      <c r="CG5" s="1477" t="n"/>
      <c r="CH5" s="1513" t="n"/>
      <c r="CI5" s="1513" t="n"/>
      <c r="CJ5" s="1513" t="n"/>
      <c r="CK5" s="1477" t="n"/>
      <c r="CL5" s="1518" t="n">
        <v>1</v>
      </c>
      <c r="CM5" s="1513" t="inlineStr">
        <is>
          <t>Amsterdam-Montreal</t>
        </is>
      </c>
      <c r="CN5" s="1513" t="inlineStr">
        <is>
          <t>Amsterdam</t>
        </is>
      </c>
      <c r="CO5" s="1513" t="inlineStr">
        <is>
          <t>Montreal</t>
        </is>
      </c>
      <c r="CP5" s="1514" t="n">
        <v>5500</v>
      </c>
      <c r="CQ5" s="1479" t="n"/>
      <c r="CR5" s="1519" t="inlineStr">
        <is>
          <t>Dubrovnik</t>
        </is>
      </c>
      <c r="CS5" s="1519" t="inlineStr">
        <is>
          <t>Porto</t>
        </is>
      </c>
      <c r="CT5" s="1432" t="inlineStr">
        <is>
          <t>.</t>
        </is>
      </c>
      <c r="CU5" s="1520">
        <f t="array" ref="CU5:CU19">_xlfn.LET(  _xlpm.a, _xlfn._xlws.FILTER($H$5:$H$1000, $H$5:$H$1000&lt;&gt;""),  _xlpm.o, _xlfn._xlws.FILTER($E$5:$E$1000, $E$5:$E$1000&lt;&gt;""),  _xlfn._xlws.FILTER(_xlpm.a, ISNA(MATCH(_xlpm.a, _xlpm.o, 0))))</f>
        <v/>
      </c>
      <c r="CV5" s="1474" t="n"/>
      <c r="CW5" s="1520">
        <f t="array" ref="CW5:CW13">_xlfn._xlws.FILTER(raw[city], (raw[ctry]="-")*(raw[city]&lt;&gt;"")*(raw[city]&lt;&gt;0))</f>
        <v/>
      </c>
      <c r="CX5" s="1474" t="n"/>
    </row>
    <row r="6">
      <c r="A6" s="1427" t="inlineStr">
        <is>
          <t>.</t>
        </is>
      </c>
      <c r="B6" s="1496" t="n">
        <v>2</v>
      </c>
      <c r="C6" s="1496" t="inlineStr">
        <is>
          <t>Border BEL</t>
        </is>
      </c>
      <c r="D6" s="1497">
        <f>IF(E6&lt;&gt;"",D5+1,D5)</f>
        <v/>
      </c>
      <c r="E6" s="1497" t="inlineStr">
        <is>
          <t>Porto Seguro</t>
        </is>
      </c>
      <c r="F6" s="1427" t="inlineStr">
        <is>
          <t>.</t>
        </is>
      </c>
      <c r="G6" s="1498">
        <f>IF(H6="AIR",0,IF(H5="AIR",G4+1,IF(H6&lt;&gt;"",G5+1,G5)))</f>
        <v/>
      </c>
      <c r="H6" s="1498" t="inlineStr">
        <is>
          <t>Porto Seguro</t>
        </is>
      </c>
      <c r="I6" s="1427" t="inlineStr">
        <is>
          <t>.</t>
        </is>
      </c>
      <c r="J6" s="1499" t="n">
        <v>1</v>
      </c>
      <c r="K6" s="1500">
        <f>_xlfn.XLOOKUP(cities[[#This Row],[id]],$D$5:$D$1500,E$5:E$1500,"-")</f>
        <v/>
      </c>
      <c r="L6" s="1500">
        <f>_xlfn.XLOOKUP(cities[[#This Row],[city]],ccc[city],ccc[ctry],"-")</f>
        <v/>
      </c>
      <c r="M6" s="1500">
        <f>SUMIFS(stayCity[stay],stayCity[city],cities[[#This Row],[city]])</f>
        <v/>
      </c>
      <c r="N6" s="1427">
        <f>N5+1</f>
        <v/>
      </c>
      <c r="O6" s="1501">
        <f/>
        <v/>
      </c>
      <c r="P6" s="1501">
        <f/>
        <v/>
      </c>
      <c r="Q6" s="1427" t="inlineStr">
        <is>
          <t>.</t>
        </is>
      </c>
      <c r="R6" s="1504">
        <f>IF(S6&lt;&gt;"",R5+1,R5)</f>
        <v/>
      </c>
      <c r="S6" s="1504">
        <f t="array" ref="S6:S37">_xlfn.UNIQUE(_xlfn._xlws.FILTER(raw[ctry],(raw[ctry]&lt;&gt;0)*(raw[ctry]&lt;&gt;0)*(raw[ctry]&lt;&gt;"AIR")*(raw[ctry]&lt;&gt;"-")))</f>
        <v/>
      </c>
      <c r="T6" s="1427" t="inlineStr">
        <is>
          <t>.</t>
        </is>
      </c>
      <c r="U6" s="1496" t="n">
        <v>1</v>
      </c>
      <c r="V6" s="1500">
        <f>_xlfn.XLOOKUP(ctries[[#This Row],[id]],$R$5:$R$1000,S$5:S$1000,"-")</f>
        <v/>
      </c>
      <c r="W6" s="1500">
        <f>IF(OR(ctries[[#This Row],[id]]=0,ctries[[#This Row],[id]]=99),"-",COUNTIF(cities[ctry],ctries[[#This Row],[ctry]]))</f>
        <v/>
      </c>
      <c r="X6" s="1503">
        <f>_xlfn.XLOOKUP(ctries[[#This Row],[ctry]],ccc[ctry],ccc[cont],"-")</f>
        <v/>
      </c>
      <c r="Y6" s="1500">
        <f>IF(ctries[[#This Row],[cont]]="B","B","W")</f>
        <v/>
      </c>
      <c r="Z6" s="1427" t="inlineStr">
        <is>
          <t>.</t>
        </is>
      </c>
      <c r="AA6" s="1473">
        <f>IF(AB6&lt;&gt;"",AA5+1,AA5)</f>
        <v/>
      </c>
      <c r="AB6" s="1473" t="inlineStr">
        <is>
          <t>SSA-Rio</t>
        </is>
      </c>
      <c r="AC6" s="1473">
        <f>IF(AD6&lt;&gt;"",AC5+1,AC5)</f>
        <v/>
      </c>
      <c r="AD6" s="1473" t="inlineStr">
        <is>
          <t>SSA</t>
        </is>
      </c>
      <c r="AE6" s="1427" t="inlineStr">
        <is>
          <t>.</t>
        </is>
      </c>
      <c r="AF6" s="1502" t="n">
        <v>2</v>
      </c>
      <c r="AG6" s="1500">
        <f>_xlfn.XLOOKUP(routes[[#This Row],[id]],$AA$5:$AA$300,$AB$5:$AB$300,"-")</f>
        <v/>
      </c>
      <c r="AH6" s="1500">
        <f>_xlfn.XLOOKUP(routes[[#This Row],[route]],routesUniv[route],routesUniv[outbound],"-")</f>
        <v/>
      </c>
      <c r="AI6" s="1500">
        <f>_xlfn.XLOOKUP(routes[[#This Row],[route]],routesUniv[route],routesUniv[inbound],"-")</f>
        <v/>
      </c>
      <c r="AJ6" s="1500">
        <f>_xlfn.XLOOKUP(routes[[#This Row],[route]],routesUniv[route],routesUniv[km],"-")</f>
        <v/>
      </c>
      <c r="AK6" s="1500">
        <f>COUNTIF(INPUT!BT$5:BT$1000,AG6)</f>
        <v/>
      </c>
      <c r="AL6" s="1505">
        <f>routes[[#This Row],[km]]*routes[[#This Row],[rpt]]/1000</f>
        <v/>
      </c>
      <c r="AM6" s="1481" t="inlineStr">
        <is>
          <t>.</t>
        </is>
      </c>
      <c r="AN6" s="1506" t="n">
        <v>2</v>
      </c>
      <c r="AO6" s="1500">
        <f>IF(AD6&lt;&gt;"",AD6,"-")</f>
        <v/>
      </c>
      <c r="AP6" s="1500">
        <f>_xlfn.XLOOKUP(cityRoutes[[#This Row],[city]],ccc[city],ccc[ctry],"-")</f>
        <v/>
      </c>
      <c r="AQ6" s="1500">
        <f>COUNTIF(INPUT!BR$5:BS$1000,AO6)</f>
        <v/>
      </c>
      <c r="AR6" s="1507">
        <f>(SUMIFS(routes[total],routes[outbound],AO6)+SUMIFS(routes[total],routes[inbound],AO6))/2</f>
        <v/>
      </c>
      <c r="AS6" s="1481" t="inlineStr">
        <is>
          <t>.</t>
        </is>
      </c>
      <c r="AT6" s="1473">
        <f>IF(AU6&lt;&gt;"",AT5+1,AT5)</f>
        <v/>
      </c>
      <c r="AU6" s="1473" t="inlineStr">
        <is>
          <t>Greenfeld</t>
        </is>
      </c>
      <c r="AV6" s="1506">
        <f>IF(AT6&lt;=AT$3,AT6,0)</f>
        <v/>
      </c>
      <c r="AW6" s="1500">
        <f>AU6</f>
        <v/>
      </c>
      <c r="AX6" s="1508">
        <f>_xlfn.XLOOKUP(homes[[#This Row],[home]],raw[home],raw[city],"-")</f>
        <v/>
      </c>
      <c r="AY6" s="1500">
        <f>_xlfn.XLOOKUP(homes[[#This Row],[city]],ccc[city],ccc[ctry],"-")</f>
        <v/>
      </c>
      <c r="AZ6" s="1509">
        <f>_xlfn.XLOOKUP(AU6,raw[home],raw[in])</f>
        <v/>
      </c>
      <c r="BA6" s="1510" t="n"/>
      <c r="BB6" s="1500">
        <f>COUNTIF(INPUT!BX6:BX101,AU6)</f>
        <v/>
      </c>
      <c r="BC6" s="1511">
        <f>INT(SUMIFS(raw[stay],raw[home],homes[[#This Row],[home]]))</f>
        <v/>
      </c>
      <c r="BD6" s="1511">
        <f>INT(SUMIFS(raw[stay],raw[home],homes[[#This Row],[home]],raw[notHome],0))</f>
        <v/>
      </c>
      <c r="BE6" s="1512">
        <f>IF(homes[[#This Row],[main]]=0,"-",homes[[#This Row],[netmain]]/homes[[#This Row],[main]])</f>
        <v/>
      </c>
      <c r="BF6" s="1511">
        <f>INT(SUMIFS(raw[stay],raw[transit],homes[[#This Row],[home]]))</f>
        <v/>
      </c>
      <c r="BG6" s="1511">
        <f>homes[[#This Row],[netmain]]+homes[[#This Row],[extra]]</f>
        <v/>
      </c>
      <c r="BH6" s="1432" t="inlineStr">
        <is>
          <t>.</t>
        </is>
      </c>
      <c r="BI6" s="1473">
        <f>IF(BJ6&lt;&gt;"",BI5+1,BI5)</f>
        <v/>
      </c>
      <c r="BJ6" s="1473" t="inlineStr">
        <is>
          <t>SP</t>
        </is>
      </c>
      <c r="BK6" s="1473" t="inlineStr">
        <is>
          <t>UK</t>
        </is>
      </c>
      <c r="BL6" s="1500">
        <f>IF(BJ6="",0,BI6)</f>
        <v/>
      </c>
      <c r="BM6" s="1513">
        <f>BJ6</f>
        <v/>
      </c>
      <c r="BN6" s="1513">
        <f>_xlfn.XLOOKUP(homeCities[[#This Row],[homeCity]],ccc[city],ccc[ctry],"-")</f>
        <v/>
      </c>
      <c r="BO6" s="1467" t="n"/>
      <c r="BP6" s="1514" t="n">
        <v>2</v>
      </c>
      <c r="BQ6" s="1513">
        <f>[1]Sheet1!C7</f>
        <v/>
      </c>
      <c r="BR6" s="1515">
        <f>[1]Sheet1!D7</f>
        <v/>
      </c>
      <c r="BS6" s="1513">
        <f>[1]Sheet1!E7</f>
        <v/>
      </c>
      <c r="BT6" s="1515">
        <f>[1]Sheet1!F7</f>
        <v/>
      </c>
      <c r="BU6" s="1516">
        <f>[1]Sheet1!G7</f>
        <v/>
      </c>
      <c r="BV6" s="1513">
        <f>[1]Sheet1!H7</f>
        <v/>
      </c>
      <c r="BW6" s="1467" t="n"/>
      <c r="BX6" s="1491">
        <f>[1]Sheet1!$J7</f>
        <v/>
      </c>
      <c r="BY6" s="1517">
        <f>[1]Sheet1!$K7</f>
        <v/>
      </c>
      <c r="BZ6" s="1517">
        <f>[1]Sheet1!$L7</f>
        <v/>
      </c>
      <c r="CA6" s="1500">
        <f>[1]Sheet1!$M7</f>
        <v/>
      </c>
      <c r="CB6" s="1467" t="n"/>
      <c r="CC6" s="1467" t="n"/>
      <c r="CD6" s="1500">
        <f>[1]Sheet1!$P7</f>
        <v/>
      </c>
      <c r="CE6" s="1513">
        <f>[1]Sheet1!$Q7</f>
        <v/>
      </c>
      <c r="CF6" s="1515">
        <f>[1]Sheet1!$R7</f>
        <v/>
      </c>
      <c r="CG6" s="1477" t="n"/>
      <c r="CH6" s="1513" t="n"/>
      <c r="CI6" s="1513" t="n"/>
      <c r="CJ6" s="1513" t="n"/>
      <c r="CK6" s="1477" t="n"/>
      <c r="CL6" s="1521" t="n">
        <v>2</v>
      </c>
      <c r="CM6" s="1500" t="inlineStr">
        <is>
          <t>Aracaju-SSA</t>
        </is>
      </c>
      <c r="CN6" s="1500" t="inlineStr">
        <is>
          <t>Aracaju</t>
        </is>
      </c>
      <c r="CO6" s="1500" t="inlineStr">
        <is>
          <t>SSA</t>
        </is>
      </c>
      <c r="CP6" s="1514" t="n">
        <v>300</v>
      </c>
      <c r="CQ6" s="1479" t="n"/>
      <c r="CR6" s="1522">
        <f>IF(COUNTIF(ccc[city], CR5)&gt;0, "Yes", "No")</f>
        <v/>
      </c>
      <c r="CS6" s="1522">
        <f>IF(COUNTIF(routesUniv[outbound], CS5)&gt;0, "Yes", "No")</f>
        <v/>
      </c>
      <c r="CT6" s="1432" t="inlineStr">
        <is>
          <t>.</t>
        </is>
      </c>
      <c r="CU6" s="1520" t="inlineStr">
        <is>
          <t>AIR</t>
        </is>
      </c>
      <c r="CV6" s="1435" t="n"/>
      <c r="CW6" s="1520" t="inlineStr">
        <is>
          <t>BORDER CHE</t>
        </is>
      </c>
      <c r="CX6" s="1435" t="n"/>
    </row>
    <row r="7">
      <c r="A7" s="1427" t="inlineStr">
        <is>
          <t>.</t>
        </is>
      </c>
      <c r="B7" s="1496" t="n">
        <v>3</v>
      </c>
      <c r="C7" s="1496" t="inlineStr">
        <is>
          <t>Border CAN</t>
        </is>
      </c>
      <c r="D7" s="1497">
        <f>IF(E7&lt;&gt;"",D6+1,D6)</f>
        <v/>
      </c>
      <c r="E7" s="1497" t="inlineStr">
        <is>
          <t>Guarapari</t>
        </is>
      </c>
      <c r="F7" s="1427" t="inlineStr">
        <is>
          <t>.</t>
        </is>
      </c>
      <c r="G7" s="1498">
        <f>IF(H7="AIR",0,IF(H6="AIR",G5+1,IF(H7&lt;&gt;"",G6+1,G6)))</f>
        <v/>
      </c>
      <c r="H7" s="1498" t="inlineStr">
        <is>
          <t>Guarapari</t>
        </is>
      </c>
      <c r="I7" s="1427" t="inlineStr">
        <is>
          <t>.</t>
        </is>
      </c>
      <c r="J7" s="1499" t="n">
        <v>2</v>
      </c>
      <c r="K7" s="1500">
        <f>_xlfn.XLOOKUP(cities[[#This Row],[id]],$D$5:$D$1500,E$5:E$1500,"-")</f>
        <v/>
      </c>
      <c r="L7" s="1500">
        <f>_xlfn.XLOOKUP(cities[[#This Row],[city]],ccc[city],ccc[ctry],"-")</f>
        <v/>
      </c>
      <c r="M7" s="1500">
        <f>SUMIFS(stayCity[stay],stayCity[city],cities[[#This Row],[city]])</f>
        <v/>
      </c>
      <c r="N7" s="1427">
        <f>N6+1</f>
        <v/>
      </c>
      <c r="O7" s="1501">
        <f/>
        <v/>
      </c>
      <c r="P7" s="1501">
        <f/>
        <v/>
      </c>
      <c r="Q7" s="1427" t="inlineStr">
        <is>
          <t>.</t>
        </is>
      </c>
      <c r="R7" s="1473">
        <f>IF(S7&lt;&gt;"",R6+1,R6)</f>
        <v/>
      </c>
      <c r="S7" s="1473" t="inlineStr">
        <is>
          <t>PER</t>
        </is>
      </c>
      <c r="T7" s="1427" t="inlineStr">
        <is>
          <t>.</t>
        </is>
      </c>
      <c r="U7" s="1496" t="n">
        <v>2</v>
      </c>
      <c r="V7" s="1500">
        <f>_xlfn.XLOOKUP(ctries[[#This Row],[id]],$R$5:$R$1000,S$5:S$1000,"-")</f>
        <v/>
      </c>
      <c r="W7" s="1500">
        <f>IF(OR(ctries[[#This Row],[id]]=0,ctries[[#This Row],[id]]=99),"-",COUNTIF(cities[ctry],ctries[[#This Row],[ctry]]))</f>
        <v/>
      </c>
      <c r="X7" s="1503">
        <f>_xlfn.XLOOKUP(ctries[[#This Row],[ctry]],ccc[ctry],ccc[cont],"-")</f>
        <v/>
      </c>
      <c r="Y7" s="1500">
        <f>IF(ctries[[#This Row],[cont]]="B","B","W")</f>
        <v/>
      </c>
      <c r="Z7" s="1427" t="inlineStr">
        <is>
          <t>.</t>
        </is>
      </c>
      <c r="AA7" s="1473">
        <f>IF(AB7&lt;&gt;"",AA6+1,AA6)</f>
        <v/>
      </c>
      <c r="AB7" s="1473" t="inlineStr">
        <is>
          <t>Rio-Lima</t>
        </is>
      </c>
      <c r="AC7" s="1473">
        <f>IF(AD7&lt;&gt;"",AC6+1,AC6)</f>
        <v/>
      </c>
      <c r="AD7" s="1473" t="inlineStr">
        <is>
          <t>Rio</t>
        </is>
      </c>
      <c r="AE7" s="1427" t="inlineStr">
        <is>
          <t>.</t>
        </is>
      </c>
      <c r="AF7" s="1502" t="n">
        <v>3</v>
      </c>
      <c r="AG7" s="1500">
        <f>_xlfn.XLOOKUP(routes[[#This Row],[id]],$AA$5:$AA$300,$AB$5:$AB$300,"-")</f>
        <v/>
      </c>
      <c r="AH7" s="1500">
        <f>_xlfn.XLOOKUP(routes[[#This Row],[route]],routesUniv[route],routesUniv[outbound],"-")</f>
        <v/>
      </c>
      <c r="AI7" s="1500">
        <f>_xlfn.XLOOKUP(routes[[#This Row],[route]],routesUniv[route],routesUniv[inbound],"-")</f>
        <v/>
      </c>
      <c r="AJ7" s="1500">
        <f>_xlfn.XLOOKUP(routes[[#This Row],[route]],routesUniv[route],routesUniv[km],"-")</f>
        <v/>
      </c>
      <c r="AK7" s="1500">
        <f>COUNTIF(INPUT!BT$5:BT$1000,AG7)</f>
        <v/>
      </c>
      <c r="AL7" s="1505">
        <f>routes[[#This Row],[km]]*routes[[#This Row],[rpt]]/1000</f>
        <v/>
      </c>
      <c r="AM7" s="1481" t="inlineStr">
        <is>
          <t>.</t>
        </is>
      </c>
      <c r="AN7" s="1506" t="n">
        <v>3</v>
      </c>
      <c r="AO7" s="1500">
        <f>IF(AD7&lt;&gt;"",AD7,"-")</f>
        <v/>
      </c>
      <c r="AP7" s="1500">
        <f>_xlfn.XLOOKUP(cityRoutes[[#This Row],[city]],ccc[city],ccc[ctry],"-")</f>
        <v/>
      </c>
      <c r="AQ7" s="1500">
        <f>COUNTIF(INPUT!BR$5:BS$1000,AO7)</f>
        <v/>
      </c>
      <c r="AR7" s="1507">
        <f>(SUMIFS(routes[total],routes[outbound],AO7)+SUMIFS(routes[total],routes[inbound],AO7))/2</f>
        <v/>
      </c>
      <c r="AS7" s="1481" t="inlineStr">
        <is>
          <t>.</t>
        </is>
      </c>
      <c r="AT7" s="1473">
        <f>IF(AU7&lt;&gt;"",AT6+1,AT6)</f>
        <v/>
      </c>
      <c r="AU7" s="1473" t="inlineStr">
        <is>
          <t>Heitor</t>
        </is>
      </c>
      <c r="AV7" s="1506">
        <f>IF(AT7&lt;=AT$3,AT7,0)</f>
        <v/>
      </c>
      <c r="AW7" s="1500">
        <f>AU7</f>
        <v/>
      </c>
      <c r="AX7" s="1508">
        <f>_xlfn.XLOOKUP(homes[[#This Row],[home]],raw[home],raw[city],"-")</f>
        <v/>
      </c>
      <c r="AY7" s="1500">
        <f>_xlfn.XLOOKUP(homes[[#This Row],[city]],ccc[city],ccc[ctry],"-")</f>
        <v/>
      </c>
      <c r="AZ7" s="1509">
        <f>_xlfn.XLOOKUP(AU7,raw[home],raw[in])</f>
        <v/>
      </c>
      <c r="BA7" s="1510" t="n"/>
      <c r="BB7" s="1500">
        <f>COUNTIF(INPUT!BX7:BX102,AU7)</f>
        <v/>
      </c>
      <c r="BC7" s="1511">
        <f>INT(SUMIFS(raw[stay],raw[home],homes[[#This Row],[home]]))</f>
        <v/>
      </c>
      <c r="BD7" s="1511">
        <f>INT(SUMIFS(raw[stay],raw[home],homes[[#This Row],[home]],raw[notHome],0))</f>
        <v/>
      </c>
      <c r="BE7" s="1512">
        <f>IF(homes[[#This Row],[main]]=0,"-",homes[[#This Row],[netmain]]/homes[[#This Row],[main]])</f>
        <v/>
      </c>
      <c r="BF7" s="1511">
        <f>INT(SUMIFS(raw[stay],raw[transit],homes[[#This Row],[home]]))</f>
        <v/>
      </c>
      <c r="BG7" s="1511">
        <f>homes[[#This Row],[netmain]]+homes[[#This Row],[extra]]</f>
        <v/>
      </c>
      <c r="BH7" s="1432" t="inlineStr">
        <is>
          <t>.</t>
        </is>
      </c>
      <c r="BI7" s="1473">
        <f>IF(BJ7&lt;&gt;"",BI6+1,BI6)</f>
        <v/>
      </c>
      <c r="BJ7" s="1473" t="inlineStr">
        <is>
          <t>London</t>
        </is>
      </c>
      <c r="BK7" s="1473" t="inlineStr">
        <is>
          <t>FRA</t>
        </is>
      </c>
      <c r="BL7" s="1500">
        <f>IF(BJ7="",0,BI7)</f>
        <v/>
      </c>
      <c r="BM7" s="1513">
        <f>BJ7</f>
        <v/>
      </c>
      <c r="BN7" s="1513">
        <f>_xlfn.XLOOKUP(homeCities[[#This Row],[homeCity]],ccc[city],ccc[ctry],"-")</f>
        <v/>
      </c>
      <c r="BO7" s="1467" t="n"/>
      <c r="BP7" s="1514" t="n">
        <v>3</v>
      </c>
      <c r="BQ7" s="1513">
        <f>[1]Sheet1!C8</f>
        <v/>
      </c>
      <c r="BR7" s="1515">
        <f>[1]Sheet1!D8</f>
        <v/>
      </c>
      <c r="BS7" s="1513">
        <f>[1]Sheet1!E8</f>
        <v/>
      </c>
      <c r="BT7" s="1515">
        <f>[1]Sheet1!F8</f>
        <v/>
      </c>
      <c r="BU7" s="1516">
        <f>[1]Sheet1!G8</f>
        <v/>
      </c>
      <c r="BV7" s="1513">
        <f>[1]Sheet1!H8</f>
        <v/>
      </c>
      <c r="BW7" s="1467" t="n"/>
      <c r="BX7" s="1491">
        <f>[1]Sheet1!$J8</f>
        <v/>
      </c>
      <c r="BY7" s="1517">
        <f>[1]Sheet1!$K8</f>
        <v/>
      </c>
      <c r="BZ7" s="1517">
        <f>[1]Sheet1!$L8</f>
        <v/>
      </c>
      <c r="CA7" s="1500">
        <f>[1]Sheet1!$M8</f>
        <v/>
      </c>
      <c r="CB7" s="1467" t="n"/>
      <c r="CC7" s="1467" t="n"/>
      <c r="CD7" s="1500">
        <f>[1]Sheet1!$P8</f>
        <v/>
      </c>
      <c r="CE7" s="1513">
        <f>[1]Sheet1!$Q8</f>
        <v/>
      </c>
      <c r="CF7" s="1515">
        <f>[1]Sheet1!$R8</f>
        <v/>
      </c>
      <c r="CG7" s="1477" t="n"/>
      <c r="CH7" s="1513" t="n"/>
      <c r="CI7" s="1513" t="n"/>
      <c r="CJ7" s="1513" t="n"/>
      <c r="CK7" s="1477" t="n"/>
      <c r="CL7" s="1521" t="n">
        <v>3</v>
      </c>
      <c r="CM7" s="1500" t="inlineStr">
        <is>
          <t>Athens-Paris</t>
        </is>
      </c>
      <c r="CN7" s="1500" t="inlineStr">
        <is>
          <t>Athens</t>
        </is>
      </c>
      <c r="CO7" s="1500" t="inlineStr">
        <is>
          <t>Paris</t>
        </is>
      </c>
      <c r="CP7" s="1514" t="n">
        <v>2900</v>
      </c>
      <c r="CQ7" s="1479" t="n"/>
      <c r="CR7" s="1485" t="inlineStr">
        <is>
          <t>prov</t>
        </is>
      </c>
      <c r="CS7" s="1485" t="inlineStr">
        <is>
          <t>inbound</t>
        </is>
      </c>
      <c r="CT7" s="1432" t="inlineStr">
        <is>
          <t>.</t>
        </is>
      </c>
      <c r="CU7" s="1520" t="inlineStr">
        <is>
          <t>SEA GRC</t>
        </is>
      </c>
      <c r="CV7" s="1474" t="n"/>
      <c r="CW7" s="1520" t="inlineStr">
        <is>
          <t>BORDER USA</t>
        </is>
      </c>
      <c r="CX7" s="1474" t="n"/>
    </row>
    <row r="8">
      <c r="A8" s="1427" t="inlineStr">
        <is>
          <t>.</t>
        </is>
      </c>
      <c r="B8" s="1496" t="n">
        <v>4</v>
      </c>
      <c r="C8" s="1496" t="inlineStr">
        <is>
          <t>Border CHE</t>
        </is>
      </c>
      <c r="D8" s="1497">
        <f>IF(E8&lt;&gt;"",D7+1,D7)</f>
        <v/>
      </c>
      <c r="E8" s="1497" t="inlineStr">
        <is>
          <t>Friburgo</t>
        </is>
      </c>
      <c r="F8" s="1427" t="inlineStr">
        <is>
          <t>.</t>
        </is>
      </c>
      <c r="G8" s="1498">
        <f>IF(H8="AIR",0,IF(H7="AIR",G6+1,IF(H8&lt;&gt;"",G7+1,G7)))</f>
        <v/>
      </c>
      <c r="H8" s="1498" t="inlineStr">
        <is>
          <t>Friburgo</t>
        </is>
      </c>
      <c r="I8" s="1427" t="inlineStr">
        <is>
          <t>.</t>
        </is>
      </c>
      <c r="J8" s="1499" t="n">
        <v>3</v>
      </c>
      <c r="K8" s="1500">
        <f>_xlfn.XLOOKUP(cities[[#This Row],[id]],$D$5:$D$1500,E$5:E$1500,"-")</f>
        <v/>
      </c>
      <c r="L8" s="1500">
        <f>_xlfn.XLOOKUP(cities[[#This Row],[city]],ccc[city],ccc[ctry],"-")</f>
        <v/>
      </c>
      <c r="M8" s="1500">
        <f>SUMIFS(stayCity[stay],stayCity[city],cities[[#This Row],[city]])</f>
        <v/>
      </c>
      <c r="N8" s="1427">
        <f>N7+1</f>
        <v/>
      </c>
      <c r="O8" s="1501">
        <f/>
        <v/>
      </c>
      <c r="P8" s="1501">
        <f/>
        <v/>
      </c>
      <c r="Q8" s="1427" t="inlineStr">
        <is>
          <t>.</t>
        </is>
      </c>
      <c r="R8" s="1473">
        <f>IF(S8&lt;&gt;"",R7+1,R7)</f>
        <v/>
      </c>
      <c r="S8" s="1473" t="inlineStr">
        <is>
          <t>MEX</t>
        </is>
      </c>
      <c r="T8" s="1427" t="inlineStr">
        <is>
          <t>.</t>
        </is>
      </c>
      <c r="U8" s="1496" t="n">
        <v>3</v>
      </c>
      <c r="V8" s="1500">
        <f>_xlfn.XLOOKUP(ctries[[#This Row],[id]],$R$5:$R$1000,S$5:S$1000,"-")</f>
        <v/>
      </c>
      <c r="W8" s="1500">
        <f>IF(OR(ctries[[#This Row],[id]]=0,ctries[[#This Row],[id]]=99),"-",COUNTIF(cities[ctry],ctries[[#This Row],[ctry]]))</f>
        <v/>
      </c>
      <c r="X8" s="1503">
        <f>_xlfn.XLOOKUP(ctries[[#This Row],[ctry]],ccc[ctry],ccc[cont],"-")</f>
        <v/>
      </c>
      <c r="Y8" s="1500">
        <f>IF(ctries[[#This Row],[cont]]="B","B","W")</f>
        <v/>
      </c>
      <c r="Z8" s="1427" t="inlineStr">
        <is>
          <t>.</t>
        </is>
      </c>
      <c r="AA8" s="1473">
        <f>IF(AB8&lt;&gt;"",AA7+1,AA7)</f>
        <v/>
      </c>
      <c r="AB8" s="1473" t="inlineStr">
        <is>
          <t>Lima-Cuzco</t>
        </is>
      </c>
      <c r="AC8" s="1473">
        <f>IF(AD8&lt;&gt;"",AC7+1,AC7)</f>
        <v/>
      </c>
      <c r="AD8" s="1473" t="inlineStr">
        <is>
          <t>Lima</t>
        </is>
      </c>
      <c r="AE8" s="1427" t="inlineStr">
        <is>
          <t>.</t>
        </is>
      </c>
      <c r="AF8" s="1502" t="n">
        <v>4</v>
      </c>
      <c r="AG8" s="1500">
        <f>_xlfn.XLOOKUP(routes[[#This Row],[id]],$AA$5:$AA$300,$AB$5:$AB$300,"-")</f>
        <v/>
      </c>
      <c r="AH8" s="1500">
        <f>_xlfn.XLOOKUP(routes[[#This Row],[route]],routesUniv[route],routesUniv[outbound],"-")</f>
        <v/>
      </c>
      <c r="AI8" s="1500">
        <f>_xlfn.XLOOKUP(routes[[#This Row],[route]],routesUniv[route],routesUniv[inbound],"-")</f>
        <v/>
      </c>
      <c r="AJ8" s="1500">
        <f>_xlfn.XLOOKUP(routes[[#This Row],[route]],routesUniv[route],routesUniv[km],"-")</f>
        <v/>
      </c>
      <c r="AK8" s="1500">
        <f>COUNTIF(INPUT!BT$5:BT$1000,AG8)</f>
        <v/>
      </c>
      <c r="AL8" s="1505">
        <f>routes[[#This Row],[km]]*routes[[#This Row],[rpt]]/1000</f>
        <v/>
      </c>
      <c r="AM8" s="1481" t="inlineStr">
        <is>
          <t>.</t>
        </is>
      </c>
      <c r="AN8" s="1506" t="n">
        <v>4</v>
      </c>
      <c r="AO8" s="1500">
        <f>IF(AD8&lt;&gt;"",AD8,"-")</f>
        <v/>
      </c>
      <c r="AP8" s="1500">
        <f>_xlfn.XLOOKUP(cityRoutes[[#This Row],[city]],ccc[city],ccc[ctry],"-")</f>
        <v/>
      </c>
      <c r="AQ8" s="1500">
        <f>COUNTIF(INPUT!BR$5:BS$1000,AO8)</f>
        <v/>
      </c>
      <c r="AR8" s="1507">
        <f>(SUMIFS(routes[total],routes[outbound],AO8)+SUMIFS(routes[total],routes[inbound],AO8))/2</f>
        <v/>
      </c>
      <c r="AS8" s="1481" t="inlineStr">
        <is>
          <t>.</t>
        </is>
      </c>
      <c r="AT8" s="1473">
        <f>IF(AU8&lt;&gt;"",AT7+1,AT7)</f>
        <v/>
      </c>
      <c r="AU8" s="1473" t="inlineStr">
        <is>
          <t>Casa Branca</t>
        </is>
      </c>
      <c r="AV8" s="1506">
        <f>IF(AT8&lt;=AT$3,AT8,0)</f>
        <v/>
      </c>
      <c r="AW8" s="1500">
        <f>AU8</f>
        <v/>
      </c>
      <c r="AX8" s="1508">
        <f>_xlfn.XLOOKUP(homes[[#This Row],[home]],raw[home],raw[city],"-")</f>
        <v/>
      </c>
      <c r="AY8" s="1500">
        <f>_xlfn.XLOOKUP(homes[[#This Row],[city]],ccc[city],ccc[ctry],"-")</f>
        <v/>
      </c>
      <c r="AZ8" s="1509">
        <f>_xlfn.XLOOKUP(AU8,raw[home],raw[in])</f>
        <v/>
      </c>
      <c r="BA8" s="1510" t="n"/>
      <c r="BB8" s="1500">
        <f>COUNTIF(INPUT!BX8:BX103,AU8)</f>
        <v/>
      </c>
      <c r="BC8" s="1511">
        <f>INT(SUMIFS(raw[stay],raw[home],homes[[#This Row],[home]]))</f>
        <v/>
      </c>
      <c r="BD8" s="1511">
        <f>INT(SUMIFS(raw[stay],raw[home],homes[[#This Row],[home]],raw[notHome],0))</f>
        <v/>
      </c>
      <c r="BE8" s="1512">
        <f>IF(homes[[#This Row],[main]]=0,"-",homes[[#This Row],[netmain]]/homes[[#This Row],[main]])</f>
        <v/>
      </c>
      <c r="BF8" s="1511">
        <f>INT(SUMIFS(raw[stay],raw[transit],homes[[#This Row],[home]]))</f>
        <v/>
      </c>
      <c r="BG8" s="1511">
        <f>homes[[#This Row],[netmain]]+homes[[#This Row],[extra]]</f>
        <v/>
      </c>
      <c r="BH8" s="1432" t="inlineStr">
        <is>
          <t>.</t>
        </is>
      </c>
      <c r="BI8" s="1473">
        <f>IF(BJ8&lt;&gt;"",BI7+1,BI7)</f>
        <v/>
      </c>
      <c r="BJ8" s="1473" t="inlineStr">
        <is>
          <t>Paris</t>
        </is>
      </c>
      <c r="BK8" s="1473" t="inlineStr">
        <is>
          <t>USA</t>
        </is>
      </c>
      <c r="BL8" s="1500">
        <f>IF(BJ8="",0,BI8)</f>
        <v/>
      </c>
      <c r="BM8" s="1513">
        <f>BJ8</f>
        <v/>
      </c>
      <c r="BN8" s="1513">
        <f>_xlfn.XLOOKUP(homeCities[[#This Row],[homeCity]],ccc[city],ccc[ctry],"-")</f>
        <v/>
      </c>
      <c r="BO8" s="1467" t="n"/>
      <c r="BP8" s="1514" t="n">
        <v>4</v>
      </c>
      <c r="BQ8" s="1513">
        <f>[1]Sheet1!C9</f>
        <v/>
      </c>
      <c r="BR8" s="1515">
        <f>[1]Sheet1!D9</f>
        <v/>
      </c>
      <c r="BS8" s="1513">
        <f>[1]Sheet1!E9</f>
        <v/>
      </c>
      <c r="BT8" s="1515">
        <f>[1]Sheet1!F9</f>
        <v/>
      </c>
      <c r="BU8" s="1516">
        <f>[1]Sheet1!G9</f>
        <v/>
      </c>
      <c r="BV8" s="1513">
        <f>[1]Sheet1!H9</f>
        <v/>
      </c>
      <c r="BW8" s="1467" t="n"/>
      <c r="BX8" s="1491">
        <f>[1]Sheet1!$J9</f>
        <v/>
      </c>
      <c r="BY8" s="1517">
        <f>[1]Sheet1!$K9</f>
        <v/>
      </c>
      <c r="BZ8" s="1517">
        <f>[1]Sheet1!$L9</f>
        <v/>
      </c>
      <c r="CA8" s="1500">
        <f>[1]Sheet1!$M9</f>
        <v/>
      </c>
      <c r="CB8" s="1467" t="n"/>
      <c r="CC8" s="1467" t="n"/>
      <c r="CD8" s="1500">
        <f>[1]Sheet1!$P9</f>
        <v/>
      </c>
      <c r="CE8" s="1513">
        <f>[1]Sheet1!$Q9</f>
        <v/>
      </c>
      <c r="CF8" s="1515">
        <f>[1]Sheet1!$R9</f>
        <v/>
      </c>
      <c r="CG8" s="1477" t="n"/>
      <c r="CH8" s="1513" t="n"/>
      <c r="CI8" s="1513" t="n"/>
      <c r="CJ8" s="1513" t="n"/>
      <c r="CK8" s="1477" t="n"/>
      <c r="CL8" s="1521" t="n">
        <v>4</v>
      </c>
      <c r="CM8" s="1513" t="inlineStr">
        <is>
          <t>Atlanta-Montreal</t>
        </is>
      </c>
      <c r="CN8" s="1513" t="inlineStr">
        <is>
          <t>Atlanta</t>
        </is>
      </c>
      <c r="CO8" s="1513" t="inlineStr">
        <is>
          <t>Montreal</t>
        </is>
      </c>
      <c r="CP8" s="1514" t="n">
        <v>2100</v>
      </c>
      <c r="CQ8" s="1479" t="n"/>
      <c r="CR8" s="1519" t="inlineStr">
        <is>
          <t>Bahia</t>
        </is>
      </c>
      <c r="CS8" s="1519" t="inlineStr">
        <is>
          <t>Paris</t>
        </is>
      </c>
      <c r="CT8" s="1432" t="inlineStr">
        <is>
          <t>.</t>
        </is>
      </c>
      <c r="CU8" s="1520" t="inlineStr">
        <is>
          <t>SEA SWE</t>
        </is>
      </c>
      <c r="CV8" s="1474" t="n"/>
      <c r="CW8" s="1520" t="inlineStr">
        <is>
          <t>BORDER CAN</t>
        </is>
      </c>
      <c r="CX8" s="1474" t="n"/>
    </row>
    <row r="9">
      <c r="A9" s="1427" t="inlineStr">
        <is>
          <t>.</t>
        </is>
      </c>
      <c r="B9" s="1496" t="n">
        <v>5</v>
      </c>
      <c r="C9" s="1496" t="inlineStr">
        <is>
          <t>Border DEU</t>
        </is>
      </c>
      <c r="D9" s="1497">
        <f>IF(E9&lt;&gt;"",D8+1,D8)</f>
        <v/>
      </c>
      <c r="E9" s="1497" t="inlineStr">
        <is>
          <t>Rio</t>
        </is>
      </c>
      <c r="F9" s="1427" t="inlineStr">
        <is>
          <t>.</t>
        </is>
      </c>
      <c r="G9" s="1498">
        <f>IF(H9="AIR",0,IF(H8="AIR",G7+1,IF(H9&lt;&gt;"",G8+1,G8)))</f>
        <v/>
      </c>
      <c r="H9" s="1498" t="inlineStr">
        <is>
          <t>Rio</t>
        </is>
      </c>
      <c r="I9" s="1427" t="inlineStr">
        <is>
          <t>.</t>
        </is>
      </c>
      <c r="J9" s="1499" t="n">
        <v>4</v>
      </c>
      <c r="K9" s="1500">
        <f>_xlfn.XLOOKUP(cities[[#This Row],[id]],$D$5:$D$1500,E$5:E$1500,"-")</f>
        <v/>
      </c>
      <c r="L9" s="1500">
        <f>_xlfn.XLOOKUP(cities[[#This Row],[city]],ccc[city],ccc[ctry],"-")</f>
        <v/>
      </c>
      <c r="M9" s="1500">
        <f>SUMIFS(stayCity[stay],stayCity[city],cities[[#This Row],[city]])</f>
        <v/>
      </c>
      <c r="N9" s="1427">
        <f>N8+1</f>
        <v/>
      </c>
      <c r="O9" s="1501">
        <f/>
        <v/>
      </c>
      <c r="P9" s="1501">
        <f/>
        <v/>
      </c>
      <c r="Q9" s="1427" t="inlineStr">
        <is>
          <t>.</t>
        </is>
      </c>
      <c r="R9" s="1473">
        <f>IF(S9&lt;&gt;"",R8+1,R8)</f>
        <v/>
      </c>
      <c r="S9" s="1473" t="inlineStr">
        <is>
          <t>USA</t>
        </is>
      </c>
      <c r="T9" s="1427" t="inlineStr">
        <is>
          <t>.</t>
        </is>
      </c>
      <c r="U9" s="1496" t="n">
        <v>4</v>
      </c>
      <c r="V9" s="1500">
        <f>_xlfn.XLOOKUP(ctries[[#This Row],[id]],$R$5:$R$1000,S$5:S$1000,"-")</f>
        <v/>
      </c>
      <c r="W9" s="1500">
        <f>IF(OR(ctries[[#This Row],[id]]=0,ctries[[#This Row],[id]]=99),"-",COUNTIF(cities[ctry],ctries[[#This Row],[ctry]]))</f>
        <v/>
      </c>
      <c r="X9" s="1503">
        <f>_xlfn.XLOOKUP(ctries[[#This Row],[ctry]],ccc[ctry],ccc[cont],"-")</f>
        <v/>
      </c>
      <c r="Y9" s="1500">
        <f>IF(ctries[[#This Row],[cont]]="B","B","W")</f>
        <v/>
      </c>
      <c r="Z9" s="1427" t="inlineStr">
        <is>
          <t>.</t>
        </is>
      </c>
      <c r="AA9" s="1473">
        <f>IF(AB9&lt;&gt;"",AA8+1,AA8)</f>
        <v/>
      </c>
      <c r="AB9" s="1473" t="inlineStr">
        <is>
          <t>Cuzco-Lima</t>
        </is>
      </c>
      <c r="AC9" s="1473">
        <f>IF(AD9&lt;&gt;"",AC8+1,AC8)</f>
        <v/>
      </c>
      <c r="AD9" s="1473" t="inlineStr">
        <is>
          <t>Cuzco</t>
        </is>
      </c>
      <c r="AE9" s="1427" t="inlineStr">
        <is>
          <t>.</t>
        </is>
      </c>
      <c r="AF9" s="1502" t="n">
        <v>5</v>
      </c>
      <c r="AG9" s="1500">
        <f>_xlfn.XLOOKUP(routes[[#This Row],[id]],$AA$5:$AA$300,$AB$5:$AB$300,"-")</f>
        <v/>
      </c>
      <c r="AH9" s="1500">
        <f>_xlfn.XLOOKUP(routes[[#This Row],[route]],routesUniv[route],routesUniv[outbound],"-")</f>
        <v/>
      </c>
      <c r="AI9" s="1500">
        <f>_xlfn.XLOOKUP(routes[[#This Row],[route]],routesUniv[route],routesUniv[inbound],"-")</f>
        <v/>
      </c>
      <c r="AJ9" s="1500">
        <f>_xlfn.XLOOKUP(routes[[#This Row],[route]],routesUniv[route],routesUniv[km],"-")</f>
        <v/>
      </c>
      <c r="AK9" s="1500">
        <f>COUNTIF(INPUT!BT$5:BT$1000,AG9)</f>
        <v/>
      </c>
      <c r="AL9" s="1505">
        <f>routes[[#This Row],[km]]*routes[[#This Row],[rpt]]/1000</f>
        <v/>
      </c>
      <c r="AM9" s="1481" t="inlineStr">
        <is>
          <t>.</t>
        </is>
      </c>
      <c r="AN9" s="1506" t="n">
        <v>5</v>
      </c>
      <c r="AO9" s="1500">
        <f>IF(AD9&lt;&gt;"",AD9,"-")</f>
        <v/>
      </c>
      <c r="AP9" s="1500">
        <f>_xlfn.XLOOKUP(cityRoutes[[#This Row],[city]],ccc[city],ccc[ctry],"-")</f>
        <v/>
      </c>
      <c r="AQ9" s="1500">
        <f>COUNTIF(INPUT!BR$5:BS$1000,AO9)</f>
        <v/>
      </c>
      <c r="AR9" s="1507">
        <f>(SUMIFS(routes[total],routes[outbound],AO9)+SUMIFS(routes[total],routes[inbound],AO9))/2</f>
        <v/>
      </c>
      <c r="AS9" s="1481" t="inlineStr">
        <is>
          <t>.</t>
        </is>
      </c>
      <c r="AT9" s="1473">
        <f>IF(AU9&lt;&gt;"",AT8+1,AT8)</f>
        <v/>
      </c>
      <c r="AU9" s="1473" t="inlineStr">
        <is>
          <t>Ondina</t>
        </is>
      </c>
      <c r="AV9" s="1506">
        <f>IF(AT9&lt;=AT$3,AT9,0)</f>
        <v/>
      </c>
      <c r="AW9" s="1500">
        <f>AU9</f>
        <v/>
      </c>
      <c r="AX9" s="1508">
        <f>_xlfn.XLOOKUP(homes[[#This Row],[home]],raw[home],raw[city],"-")</f>
        <v/>
      </c>
      <c r="AY9" s="1500">
        <f>_xlfn.XLOOKUP(homes[[#This Row],[city]],ccc[city],ccc[ctry],"-")</f>
        <v/>
      </c>
      <c r="AZ9" s="1509">
        <f>_xlfn.XLOOKUP(AU9,raw[home],raw[in])</f>
        <v/>
      </c>
      <c r="BA9" s="1510" t="n"/>
      <c r="BB9" s="1500">
        <f>COUNTIF(INPUT!BX9:BX104,AU9)</f>
        <v/>
      </c>
      <c r="BC9" s="1511">
        <f>INT(SUMIFS(raw[stay],raw[home],homes[[#This Row],[home]]))</f>
        <v/>
      </c>
      <c r="BD9" s="1511">
        <f>INT(SUMIFS(raw[stay],raw[home],homes[[#This Row],[home]],raw[notHome],0))</f>
        <v/>
      </c>
      <c r="BE9" s="1512">
        <f>IF(homes[[#This Row],[main]]=0,"-",homes[[#This Row],[netmain]]/homes[[#This Row],[main]])</f>
        <v/>
      </c>
      <c r="BF9" s="1511">
        <f>INT(SUMIFS(raw[stay],raw[transit],homes[[#This Row],[home]]))</f>
        <v/>
      </c>
      <c r="BG9" s="1511">
        <f>homes[[#This Row],[netmain]]+homes[[#This Row],[extra]]</f>
        <v/>
      </c>
      <c r="BH9" s="1432" t="inlineStr">
        <is>
          <t>.</t>
        </is>
      </c>
      <c r="BI9" s="1473">
        <f>IF(BJ9&lt;&gt;"",BI8+1,BI8)</f>
        <v/>
      </c>
      <c r="BJ9" s="1473" t="inlineStr">
        <is>
          <t>Bertioga</t>
        </is>
      </c>
      <c r="BK9" s="1473" t="inlineStr">
        <is>
          <t>ITA</t>
        </is>
      </c>
      <c r="BL9" s="1500">
        <f>IF(BJ9="",0,BI9)</f>
        <v/>
      </c>
      <c r="BM9" s="1513">
        <f>BJ9</f>
        <v/>
      </c>
      <c r="BN9" s="1513">
        <f>_xlfn.XLOOKUP(homeCities[[#This Row],[homeCity]],ccc[city],ccc[ctry],"-")</f>
        <v/>
      </c>
      <c r="BO9" s="1467" t="n"/>
      <c r="BP9" s="1514" t="n">
        <v>5</v>
      </c>
      <c r="BQ9" s="1513">
        <f>[1]Sheet1!C10</f>
        <v/>
      </c>
      <c r="BR9" s="1515">
        <f>[1]Sheet1!D10</f>
        <v/>
      </c>
      <c r="BS9" s="1513">
        <f>[1]Sheet1!E10</f>
        <v/>
      </c>
      <c r="BT9" s="1515">
        <f>[1]Sheet1!F10</f>
        <v/>
      </c>
      <c r="BU9" s="1516">
        <f>[1]Sheet1!G10</f>
        <v/>
      </c>
      <c r="BV9" s="1513">
        <f>[1]Sheet1!H10</f>
        <v/>
      </c>
      <c r="BW9" s="1467" t="n"/>
      <c r="BX9" s="1491">
        <f>[1]Sheet1!$J10</f>
        <v/>
      </c>
      <c r="BY9" s="1517">
        <f>[1]Sheet1!$K10</f>
        <v/>
      </c>
      <c r="BZ9" s="1517">
        <f>[1]Sheet1!$L10</f>
        <v/>
      </c>
      <c r="CA9" s="1500">
        <f>[1]Sheet1!$M10</f>
        <v/>
      </c>
      <c r="CB9" s="1467" t="n"/>
      <c r="CC9" s="1467" t="n"/>
      <c r="CD9" s="1500">
        <f>[1]Sheet1!$P10</f>
        <v/>
      </c>
      <c r="CE9" s="1513">
        <f>[1]Sheet1!$Q10</f>
        <v/>
      </c>
      <c r="CF9" s="1515">
        <f>[1]Sheet1!$R10</f>
        <v/>
      </c>
      <c r="CG9" s="1477" t="n"/>
      <c r="CH9" s="1513" t="n"/>
      <c r="CI9" s="1513" t="n"/>
      <c r="CJ9" s="1513" t="n"/>
      <c r="CK9" s="1477" t="n"/>
      <c r="CL9" s="1521" t="n">
        <v>5</v>
      </c>
      <c r="CM9" s="1513" t="inlineStr">
        <is>
          <t>Barcelona-Berlin</t>
        </is>
      </c>
      <c r="CN9" s="1513" t="inlineStr">
        <is>
          <t>Barcelona</t>
        </is>
      </c>
      <c r="CO9" s="1513" t="inlineStr">
        <is>
          <t>Berlin</t>
        </is>
      </c>
      <c r="CP9" s="1514" t="n">
        <v>1500</v>
      </c>
      <c r="CQ9" s="1479" t="n"/>
      <c r="CR9" s="1522">
        <f>IF(COUNTIF(prov[prov_full], CR8)&gt;0, "Yes", "No")</f>
        <v/>
      </c>
      <c r="CS9" s="1522">
        <f>IF(COUNTIF(routesUniv[inbound], CS8)&gt;0, "Yes", "No")</f>
        <v/>
      </c>
      <c r="CT9" s="1432" t="inlineStr">
        <is>
          <t>.</t>
        </is>
      </c>
      <c r="CU9" s="1520" t="inlineStr">
        <is>
          <t>SEA FIN</t>
        </is>
      </c>
      <c r="CV9" s="1435" t="n"/>
      <c r="CW9" s="1520" t="inlineStr">
        <is>
          <t>BORDER DEU</t>
        </is>
      </c>
      <c r="CX9" s="1435" t="n"/>
    </row>
    <row r="10">
      <c r="A10" s="1427" t="inlineStr">
        <is>
          <t>.</t>
        </is>
      </c>
      <c r="B10" s="1496" t="n">
        <v>6</v>
      </c>
      <c r="C10" s="1496" t="inlineStr">
        <is>
          <t>Border NED</t>
        </is>
      </c>
      <c r="D10" s="1497">
        <f>IF(E10&lt;&gt;"",D9+1,D9)</f>
        <v/>
      </c>
      <c r="E10" s="1497" t="inlineStr">
        <is>
          <t>Petropolis</t>
        </is>
      </c>
      <c r="F10" s="1427" t="inlineStr">
        <is>
          <t>.</t>
        </is>
      </c>
      <c r="G10" s="1498">
        <f>IF(H10="AIR",0,IF(H9="AIR",G8+1,IF(H10&lt;&gt;"",G9+1,G9)))</f>
        <v/>
      </c>
      <c r="H10" s="1498" t="inlineStr">
        <is>
          <t>Petropolis</t>
        </is>
      </c>
      <c r="I10" s="1427" t="inlineStr">
        <is>
          <t>.</t>
        </is>
      </c>
      <c r="J10" s="1499" t="n">
        <v>5</v>
      </c>
      <c r="K10" s="1500">
        <f>_xlfn.XLOOKUP(cities[[#This Row],[id]],$D$5:$D$1500,E$5:E$1500,"-")</f>
        <v/>
      </c>
      <c r="L10" s="1500">
        <f>_xlfn.XLOOKUP(cities[[#This Row],[city]],ccc[city],ccc[ctry],"-")</f>
        <v/>
      </c>
      <c r="M10" s="1500">
        <f>SUMIFS(stayCity[stay],stayCity[city],cities[[#This Row],[city]])</f>
        <v/>
      </c>
      <c r="N10" s="1427">
        <f>N9+1</f>
        <v/>
      </c>
      <c r="O10" s="1501">
        <f/>
        <v/>
      </c>
      <c r="P10" s="1501">
        <f/>
        <v/>
      </c>
      <c r="Q10" s="1427" t="inlineStr">
        <is>
          <t>.</t>
        </is>
      </c>
      <c r="R10" s="1473">
        <f>IF(S10&lt;&gt;"",R9+1,R9)</f>
        <v/>
      </c>
      <c r="S10" s="1473" t="inlineStr">
        <is>
          <t>PRT</t>
        </is>
      </c>
      <c r="T10" s="1427" t="inlineStr">
        <is>
          <t>.</t>
        </is>
      </c>
      <c r="U10" s="1496" t="n">
        <v>5</v>
      </c>
      <c r="V10" s="1500">
        <f>_xlfn.XLOOKUP(ctries[[#This Row],[id]],$R$5:$R$1000,S$5:S$1000,"-")</f>
        <v/>
      </c>
      <c r="W10" s="1500">
        <f>IF(OR(ctries[[#This Row],[id]]=0,ctries[[#This Row],[id]]=99),"-",COUNTIF(cities[ctry],ctries[[#This Row],[ctry]]))</f>
        <v/>
      </c>
      <c r="X10" s="1503">
        <f>_xlfn.XLOOKUP(ctries[[#This Row],[ctry]],ccc[ctry],ccc[cont],"-")</f>
        <v/>
      </c>
      <c r="Y10" s="1500">
        <f>IF(ctries[[#This Row],[cont]]="B","B","W")</f>
        <v/>
      </c>
      <c r="Z10" s="1427" t="inlineStr">
        <is>
          <t>.</t>
        </is>
      </c>
      <c r="AA10" s="1473">
        <f>IF(AB10&lt;&gt;"",AA9+1,AA9)</f>
        <v/>
      </c>
      <c r="AB10" s="1473" t="inlineStr">
        <is>
          <t>Lima-Mexico City</t>
        </is>
      </c>
      <c r="AC10" s="1473">
        <f>IF(AD10&lt;&gt;"",AC9+1,AC9)</f>
        <v/>
      </c>
      <c r="AD10" s="1473" t="inlineStr">
        <is>
          <t>Mexico City</t>
        </is>
      </c>
      <c r="AE10" s="1427" t="inlineStr">
        <is>
          <t>.</t>
        </is>
      </c>
      <c r="AF10" s="1502" t="n">
        <v>6</v>
      </c>
      <c r="AG10" s="1500">
        <f>_xlfn.XLOOKUP(routes[[#This Row],[id]],$AA$5:$AA$300,$AB$5:$AB$300,"-")</f>
        <v/>
      </c>
      <c r="AH10" s="1500">
        <f>_xlfn.XLOOKUP(routes[[#This Row],[route]],routesUniv[route],routesUniv[outbound],"-")</f>
        <v/>
      </c>
      <c r="AI10" s="1500">
        <f>_xlfn.XLOOKUP(routes[[#This Row],[route]],routesUniv[route],routesUniv[inbound],"-")</f>
        <v/>
      </c>
      <c r="AJ10" s="1500">
        <f>_xlfn.XLOOKUP(routes[[#This Row],[route]],routesUniv[route],routesUniv[km],"-")</f>
        <v/>
      </c>
      <c r="AK10" s="1500">
        <f>COUNTIF(INPUT!BT$5:BT$1000,AG10)</f>
        <v/>
      </c>
      <c r="AL10" s="1505">
        <f>routes[[#This Row],[km]]*routes[[#This Row],[rpt]]/1000</f>
        <v/>
      </c>
      <c r="AM10" s="1481" t="inlineStr">
        <is>
          <t>.</t>
        </is>
      </c>
      <c r="AN10" s="1506" t="n">
        <v>6</v>
      </c>
      <c r="AO10" s="1500">
        <f>IF(AD10&lt;&gt;"",AD10,"-")</f>
        <v/>
      </c>
      <c r="AP10" s="1500">
        <f>_xlfn.XLOOKUP(cityRoutes[[#This Row],[city]],ccc[city],ccc[ctry],"-")</f>
        <v/>
      </c>
      <c r="AQ10" s="1500">
        <f>COUNTIF(INPUT!BR$5:BS$1000,AO10)</f>
        <v/>
      </c>
      <c r="AR10" s="1507">
        <f>(SUMIFS(routes[total],routes[outbound],AO10)+SUMIFS(routes[total],routes[inbound],AO10))/2</f>
        <v/>
      </c>
      <c r="AS10" s="1481" t="inlineStr">
        <is>
          <t>.</t>
        </is>
      </c>
      <c r="AT10" s="1473">
        <f>IF(AU10&lt;&gt;"",AT9+1,AT9)</f>
        <v/>
      </c>
      <c r="AU10" s="1473" t="inlineStr">
        <is>
          <t>Norbury</t>
        </is>
      </c>
      <c r="AV10" s="1506">
        <f>IF(AT10&lt;=AT$3,AT10,0)</f>
        <v/>
      </c>
      <c r="AW10" s="1500">
        <f>AU10</f>
        <v/>
      </c>
      <c r="AX10" s="1508">
        <f>_xlfn.XLOOKUP(homes[[#This Row],[home]],raw[home],raw[city],"-")</f>
        <v/>
      </c>
      <c r="AY10" s="1500">
        <f>_xlfn.XLOOKUP(homes[[#This Row],[city]],ccc[city],ccc[ctry],"-")</f>
        <v/>
      </c>
      <c r="AZ10" s="1509">
        <f>_xlfn.XLOOKUP(AU10,raw[home],raw[in])</f>
        <v/>
      </c>
      <c r="BA10" s="1510" t="n"/>
      <c r="BB10" s="1500">
        <f>COUNTIF(INPUT!BX10:BX105,AU10)</f>
        <v/>
      </c>
      <c r="BC10" s="1511">
        <f>INT(SUMIFS(raw[stay],raw[home],homes[[#This Row],[home]]))</f>
        <v/>
      </c>
      <c r="BD10" s="1511">
        <f>INT(SUMIFS(raw[stay],raw[home],homes[[#This Row],[home]],raw[notHome],0))</f>
        <v/>
      </c>
      <c r="BE10" s="1512">
        <f>IF(homes[[#This Row],[main]]=0,"-",homes[[#This Row],[netmain]]/homes[[#This Row],[main]])</f>
        <v/>
      </c>
      <c r="BF10" s="1511">
        <f>INT(SUMIFS(raw[stay],raw[transit],homes[[#This Row],[home]]))</f>
        <v/>
      </c>
      <c r="BG10" s="1511">
        <f>homes[[#This Row],[netmain]]+homes[[#This Row],[extra]]</f>
        <v/>
      </c>
      <c r="BH10" s="1432" t="inlineStr">
        <is>
          <t>.</t>
        </is>
      </c>
      <c r="BI10" s="1473">
        <f>IF(BJ10&lt;&gt;"",BI9+1,BI9)</f>
        <v/>
      </c>
      <c r="BJ10" s="1473" t="inlineStr">
        <is>
          <t>Columbia</t>
        </is>
      </c>
      <c r="BK10" s="1473" t="inlineStr">
        <is>
          <t>ESP</t>
        </is>
      </c>
      <c r="BL10" s="1500">
        <f>IF(BJ10="",0,BI10)</f>
        <v/>
      </c>
      <c r="BM10" s="1513">
        <f>BJ10</f>
        <v/>
      </c>
      <c r="BN10" s="1513">
        <f>_xlfn.XLOOKUP(homeCities[[#This Row],[homeCity]],ccc[city],ccc[ctry],"-")</f>
        <v/>
      </c>
      <c r="BO10" s="1467" t="n"/>
      <c r="BP10" s="1514" t="n">
        <v>6</v>
      </c>
      <c r="BQ10" s="1513">
        <f>[1]Sheet1!C11</f>
        <v/>
      </c>
      <c r="BR10" s="1515">
        <f>[1]Sheet1!D11</f>
        <v/>
      </c>
      <c r="BS10" s="1513">
        <f>[1]Sheet1!E11</f>
        <v/>
      </c>
      <c r="BT10" s="1515">
        <f>[1]Sheet1!F11</f>
        <v/>
      </c>
      <c r="BU10" s="1516">
        <f>[1]Sheet1!G11</f>
        <v/>
      </c>
      <c r="BV10" s="1513">
        <f>[1]Sheet1!H11</f>
        <v/>
      </c>
      <c r="BW10" s="1467" t="n"/>
      <c r="BX10" s="1491">
        <f>[1]Sheet1!$J11</f>
        <v/>
      </c>
      <c r="BY10" s="1517">
        <f>[1]Sheet1!$K11</f>
        <v/>
      </c>
      <c r="BZ10" s="1517">
        <f>[1]Sheet1!$L11</f>
        <v/>
      </c>
      <c r="CA10" s="1500">
        <f>[1]Sheet1!$M11</f>
        <v/>
      </c>
      <c r="CB10" s="1467" t="n"/>
      <c r="CC10" s="1467" t="n"/>
      <c r="CD10" s="1500">
        <f>[1]Sheet1!$P11</f>
        <v/>
      </c>
      <c r="CE10" s="1513">
        <f>[1]Sheet1!$Q11</f>
        <v/>
      </c>
      <c r="CF10" s="1515">
        <f>[1]Sheet1!$R11</f>
        <v/>
      </c>
      <c r="CG10" s="1477" t="n"/>
      <c r="CH10" s="1513" t="n"/>
      <c r="CI10" s="1513" t="n"/>
      <c r="CJ10" s="1513" t="n"/>
      <c r="CK10" s="1477" t="n"/>
      <c r="CL10" s="1521" t="n">
        <v>6</v>
      </c>
      <c r="CM10" s="1513" t="inlineStr">
        <is>
          <t>Barcelona-Porto</t>
        </is>
      </c>
      <c r="CN10" s="1513" t="inlineStr">
        <is>
          <t>Barcelona</t>
        </is>
      </c>
      <c r="CO10" s="1513" t="inlineStr">
        <is>
          <t>Porto</t>
        </is>
      </c>
      <c r="CP10" s="1514" t="n">
        <v>900</v>
      </c>
      <c r="CQ10" s="1479" t="n"/>
      <c r="CR10" s="1485" t="inlineStr">
        <is>
          <t>ctry</t>
        </is>
      </c>
      <c r="CS10" s="1485" t="inlineStr">
        <is>
          <t>route</t>
        </is>
      </c>
      <c r="CT10" s="1432" t="inlineStr">
        <is>
          <t>.</t>
        </is>
      </c>
      <c r="CU10" s="1520" t="inlineStr">
        <is>
          <t>TRAIN ITA</t>
        </is>
      </c>
      <c r="CV10" s="1474" t="n"/>
      <c r="CW10" s="1520" t="inlineStr">
        <is>
          <t>BORDER BEL</t>
        </is>
      </c>
      <c r="CX10" s="1474" t="n"/>
    </row>
    <row r="11">
      <c r="A11" s="1427" t="inlineStr">
        <is>
          <t>.</t>
        </is>
      </c>
      <c r="B11" s="1496" t="n">
        <v>7</v>
      </c>
      <c r="C11" s="1496" t="inlineStr">
        <is>
          <t>Border USA</t>
        </is>
      </c>
      <c r="D11" s="1497">
        <f>IF(E11&lt;&gt;"",D10+1,D10)</f>
        <v/>
      </c>
      <c r="E11" s="1497" t="inlineStr">
        <is>
          <t>Sao Lourenço</t>
        </is>
      </c>
      <c r="F11" s="1427" t="inlineStr">
        <is>
          <t>.</t>
        </is>
      </c>
      <c r="G11" s="1498">
        <f>IF(H11="AIR",0,IF(H10="AIR",G9+1,IF(H11&lt;&gt;"",G10+1,G10)))</f>
        <v/>
      </c>
      <c r="H11" s="1498" t="inlineStr">
        <is>
          <t>ROAD</t>
        </is>
      </c>
      <c r="I11" s="1427" t="inlineStr">
        <is>
          <t>.</t>
        </is>
      </c>
      <c r="J11" s="1499" t="n">
        <v>6</v>
      </c>
      <c r="K11" s="1500">
        <f>_xlfn.XLOOKUP(cities[[#This Row],[id]],$D$5:$D$1500,E$5:E$1500,"-")</f>
        <v/>
      </c>
      <c r="L11" s="1500">
        <f>_xlfn.XLOOKUP(cities[[#This Row],[city]],ccc[city],ccc[ctry],"-")</f>
        <v/>
      </c>
      <c r="M11" s="1500">
        <f>SUMIFS(stayCity[stay],stayCity[city],cities[[#This Row],[city]])</f>
        <v/>
      </c>
      <c r="N11" s="1427">
        <f>N10+1</f>
        <v/>
      </c>
      <c r="O11" s="1501">
        <f/>
        <v/>
      </c>
      <c r="P11" s="1501">
        <f/>
        <v/>
      </c>
      <c r="Q11" s="1427" t="inlineStr">
        <is>
          <t>.</t>
        </is>
      </c>
      <c r="R11" s="1473">
        <f>IF(S11&lt;&gt;"",R10+1,R10)</f>
        <v/>
      </c>
      <c r="S11" s="1473" t="inlineStr">
        <is>
          <t>ITA</t>
        </is>
      </c>
      <c r="T11" s="1427" t="inlineStr">
        <is>
          <t>.</t>
        </is>
      </c>
      <c r="U11" s="1496" t="n">
        <v>6</v>
      </c>
      <c r="V11" s="1500">
        <f>_xlfn.XLOOKUP(ctries[[#This Row],[id]],$R$5:$R$1000,S$5:S$1000,"-")</f>
        <v/>
      </c>
      <c r="W11" s="1500">
        <f>IF(OR(ctries[[#This Row],[id]]=0,ctries[[#This Row],[id]]=99),"-",COUNTIF(cities[ctry],ctries[[#This Row],[ctry]]))</f>
        <v/>
      </c>
      <c r="X11" s="1503">
        <f>_xlfn.XLOOKUP(ctries[[#This Row],[ctry]],ccc[ctry],ccc[cont],"-")</f>
        <v/>
      </c>
      <c r="Y11" s="1500">
        <f>IF(ctries[[#This Row],[cont]]="B","B","W")</f>
        <v/>
      </c>
      <c r="Z11" s="1427" t="inlineStr">
        <is>
          <t>.</t>
        </is>
      </c>
      <c r="AA11" s="1473">
        <f>IF(AB11&lt;&gt;"",AA10+1,AA10)</f>
        <v/>
      </c>
      <c r="AB11" s="1473" t="inlineStr">
        <is>
          <t>Mexico City-New Orleans</t>
        </is>
      </c>
      <c r="AC11" s="1473">
        <f>IF(AD11&lt;&gt;"",AC10+1,AC10)</f>
        <v/>
      </c>
      <c r="AD11" s="1473" t="inlineStr">
        <is>
          <t>New Orleans</t>
        </is>
      </c>
      <c r="AE11" s="1427" t="inlineStr">
        <is>
          <t>.</t>
        </is>
      </c>
      <c r="AF11" s="1502" t="n">
        <v>7</v>
      </c>
      <c r="AG11" s="1500">
        <f>_xlfn.XLOOKUP(routes[[#This Row],[id]],$AA$5:$AA$300,$AB$5:$AB$300,"-")</f>
        <v/>
      </c>
      <c r="AH11" s="1500">
        <f>_xlfn.XLOOKUP(routes[[#This Row],[route]],routesUniv[route],routesUniv[outbound],"-")</f>
        <v/>
      </c>
      <c r="AI11" s="1500">
        <f>_xlfn.XLOOKUP(routes[[#This Row],[route]],routesUniv[route],routesUniv[inbound],"-")</f>
        <v/>
      </c>
      <c r="AJ11" s="1500">
        <f>_xlfn.XLOOKUP(routes[[#This Row],[route]],routesUniv[route],routesUniv[km],"-")</f>
        <v/>
      </c>
      <c r="AK11" s="1500">
        <f>COUNTIF(INPUT!BT$5:BT$1000,AG11)</f>
        <v/>
      </c>
      <c r="AL11" s="1505">
        <f>routes[[#This Row],[km]]*routes[[#This Row],[rpt]]/1000</f>
        <v/>
      </c>
      <c r="AM11" s="1481" t="inlineStr">
        <is>
          <t>.</t>
        </is>
      </c>
      <c r="AN11" s="1506" t="n">
        <v>7</v>
      </c>
      <c r="AO11" s="1500">
        <f>IF(AD11&lt;&gt;"",AD11,"-")</f>
        <v/>
      </c>
      <c r="AP11" s="1500">
        <f>_xlfn.XLOOKUP(cityRoutes[[#This Row],[city]],ccc[city],ccc[ctry],"-")</f>
        <v/>
      </c>
      <c r="AQ11" s="1500">
        <f>COUNTIF(INPUT!BR$5:BS$1000,AO11)</f>
        <v/>
      </c>
      <c r="AR11" s="1507">
        <f>(SUMIFS(routes[total],routes[outbound],AO11)+SUMIFS(routes[total],routes[inbound],AO11))/2</f>
        <v/>
      </c>
      <c r="AS11" s="1481" t="inlineStr">
        <is>
          <t>.</t>
        </is>
      </c>
      <c r="AT11" s="1473">
        <f>IF(AU11&lt;&gt;"",AT10+1,AT10)</f>
        <v/>
      </c>
      <c r="AU11" s="1473" t="inlineStr">
        <is>
          <t>Hampstead</t>
        </is>
      </c>
      <c r="AV11" s="1506">
        <f>IF(AT11&lt;=AT$3,AT11,0)</f>
        <v/>
      </c>
      <c r="AW11" s="1500">
        <f>AU11</f>
        <v/>
      </c>
      <c r="AX11" s="1508">
        <f>_xlfn.XLOOKUP(homes[[#This Row],[home]],raw[home],raw[city],"-")</f>
        <v/>
      </c>
      <c r="AY11" s="1500">
        <f>_xlfn.XLOOKUP(homes[[#This Row],[city]],ccc[city],ccc[ctry],"-")</f>
        <v/>
      </c>
      <c r="AZ11" s="1509">
        <f>_xlfn.XLOOKUP(AU11,raw[home],raw[in])</f>
        <v/>
      </c>
      <c r="BA11" s="1510" t="n"/>
      <c r="BB11" s="1500">
        <f>COUNTIF(INPUT!BX11:BX106,AU11)</f>
        <v/>
      </c>
      <c r="BC11" s="1511">
        <f>INT(SUMIFS(raw[stay],raw[home],homes[[#This Row],[home]]))</f>
        <v/>
      </c>
      <c r="BD11" s="1511">
        <f>INT(SUMIFS(raw[stay],raw[home],homes[[#This Row],[home]],raw[notHome],0))</f>
        <v/>
      </c>
      <c r="BE11" s="1512">
        <f>IF(homes[[#This Row],[main]]=0,"-",homes[[#This Row],[netmain]]/homes[[#This Row],[main]])</f>
        <v/>
      </c>
      <c r="BF11" s="1511">
        <f>INT(SUMIFS(raw[stay],raw[transit],homes[[#This Row],[home]]))</f>
        <v/>
      </c>
      <c r="BG11" s="1511">
        <f>homes[[#This Row],[netmain]]+homes[[#This Row],[extra]]</f>
        <v/>
      </c>
      <c r="BH11" s="1432" t="inlineStr">
        <is>
          <t>.</t>
        </is>
      </c>
      <c r="BI11" s="1473">
        <f>IF(BJ11&lt;&gt;"",BI10+1,BI10)</f>
        <v/>
      </c>
      <c r="BJ11" s="1473" t="inlineStr">
        <is>
          <t>Rome</t>
        </is>
      </c>
      <c r="BK11" s="1473" t="inlineStr">
        <is>
          <t>DEU</t>
        </is>
      </c>
      <c r="BL11" s="1500">
        <f>IF(BJ11="",0,BI11)</f>
        <v/>
      </c>
      <c r="BM11" s="1513">
        <f>BJ11</f>
        <v/>
      </c>
      <c r="BN11" s="1513">
        <f>_xlfn.XLOOKUP(homeCities[[#This Row],[homeCity]],ccc[city],ccc[ctry],"-")</f>
        <v/>
      </c>
      <c r="BO11" s="1467" t="n"/>
      <c r="BP11" s="1514" t="n">
        <v>7</v>
      </c>
      <c r="BQ11" s="1513">
        <f>[1]Sheet1!C12</f>
        <v/>
      </c>
      <c r="BR11" s="1515">
        <f>[1]Sheet1!D12</f>
        <v/>
      </c>
      <c r="BS11" s="1513">
        <f>[1]Sheet1!E12</f>
        <v/>
      </c>
      <c r="BT11" s="1515">
        <f>[1]Sheet1!F12</f>
        <v/>
      </c>
      <c r="BU11" s="1516">
        <f>[1]Sheet1!G12</f>
        <v/>
      </c>
      <c r="BV11" s="1513">
        <f>[1]Sheet1!H12</f>
        <v/>
      </c>
      <c r="BW11" s="1467" t="n"/>
      <c r="BX11" s="1491">
        <f>[1]Sheet1!$J12</f>
        <v/>
      </c>
      <c r="BY11" s="1517">
        <f>[1]Sheet1!$K12</f>
        <v/>
      </c>
      <c r="BZ11" s="1517">
        <f>[1]Sheet1!$L12</f>
        <v/>
      </c>
      <c r="CA11" s="1500">
        <f>[1]Sheet1!$M12</f>
        <v/>
      </c>
      <c r="CB11" s="1467" t="n"/>
      <c r="CC11" s="1467" t="n"/>
      <c r="CD11" s="1500">
        <f>[1]Sheet1!$P12</f>
        <v/>
      </c>
      <c r="CE11" s="1513">
        <f>[1]Sheet1!$Q12</f>
        <v/>
      </c>
      <c r="CF11" s="1515">
        <f>[1]Sheet1!$R12</f>
        <v/>
      </c>
      <c r="CG11" s="1477" t="n"/>
      <c r="CH11" s="1513" t="n"/>
      <c r="CI11" s="1513" t="n"/>
      <c r="CJ11" s="1513" t="n"/>
      <c r="CK11" s="1477" t="n"/>
      <c r="CL11" s="1521" t="n">
        <v>7</v>
      </c>
      <c r="CM11" s="1513" t="inlineStr">
        <is>
          <t>Bariloche-SP</t>
        </is>
      </c>
      <c r="CN11" s="1513" t="inlineStr">
        <is>
          <t>Bariloche</t>
        </is>
      </c>
      <c r="CO11" s="1513" t="inlineStr">
        <is>
          <t>SP</t>
        </is>
      </c>
      <c r="CP11" s="1514" t="n">
        <v>3000</v>
      </c>
      <c r="CQ11" s="1477" t="n"/>
      <c r="CR11" s="1519" t="inlineStr">
        <is>
          <t>Brazil</t>
        </is>
      </c>
      <c r="CS11" s="1523">
        <f>CS5&amp;"-"&amp;CS8</f>
        <v/>
      </c>
      <c r="CT11" s="1432" t="inlineStr">
        <is>
          <t>.</t>
        </is>
      </c>
      <c r="CU11" s="1520" t="inlineStr">
        <is>
          <t>TRAIN FRA</t>
        </is>
      </c>
      <c r="CV11" s="1474" t="n"/>
      <c r="CW11" s="1520" t="inlineStr">
        <is>
          <t>BORDER NED</t>
        </is>
      </c>
      <c r="CX11" s="1474" t="n"/>
    </row>
    <row r="12">
      <c r="A12" s="1427" t="inlineStr">
        <is>
          <t>.</t>
        </is>
      </c>
      <c r="B12" s="1496" t="n">
        <v>8</v>
      </c>
      <c r="C12" s="1496" t="inlineStr">
        <is>
          <t>Bus ITA</t>
        </is>
      </c>
      <c r="D12" s="1497">
        <f>IF(E12&lt;&gt;"",D11+1,D11)</f>
        <v/>
      </c>
      <c r="E12" s="1497" t="inlineStr">
        <is>
          <t>Itatiaia</t>
        </is>
      </c>
      <c r="F12" s="1427" t="inlineStr">
        <is>
          <t>.</t>
        </is>
      </c>
      <c r="G12" s="1498">
        <f>IF(H12="AIR",0,IF(H11="AIR",G10+1,IF(H12&lt;&gt;"",G11+1,G11)))</f>
        <v/>
      </c>
      <c r="H12" s="1498" t="inlineStr">
        <is>
          <t>Sao Lourenço</t>
        </is>
      </c>
      <c r="I12" s="1427" t="inlineStr">
        <is>
          <t>.</t>
        </is>
      </c>
      <c r="J12" s="1499" t="n">
        <v>7</v>
      </c>
      <c r="K12" s="1500">
        <f>_xlfn.XLOOKUP(cities[[#This Row],[id]],$D$5:$D$1500,E$5:E$1500,"-")</f>
        <v/>
      </c>
      <c r="L12" s="1500">
        <f>_xlfn.XLOOKUP(cities[[#This Row],[city]],ccc[city],ccc[ctry],"-")</f>
        <v/>
      </c>
      <c r="M12" s="1500">
        <f>SUMIFS(stayCity[stay],stayCity[city],cities[[#This Row],[city]])</f>
        <v/>
      </c>
      <c r="N12" s="1427">
        <f>N11+1</f>
        <v/>
      </c>
      <c r="O12" s="1501">
        <f/>
        <v/>
      </c>
      <c r="P12" s="1501">
        <f/>
        <v/>
      </c>
      <c r="Q12" s="1427" t="inlineStr">
        <is>
          <t>.</t>
        </is>
      </c>
      <c r="R12" s="1473">
        <f>IF(S12&lt;&gt;"",R11+1,R11)</f>
        <v/>
      </c>
      <c r="S12" s="1473" t="inlineStr">
        <is>
          <t>CHE</t>
        </is>
      </c>
      <c r="T12" s="1427" t="inlineStr">
        <is>
          <t>.</t>
        </is>
      </c>
      <c r="U12" s="1496" t="n">
        <v>7</v>
      </c>
      <c r="V12" s="1500">
        <f>_xlfn.XLOOKUP(ctries[[#This Row],[id]],$R$5:$R$1000,S$5:S$1000,"-")</f>
        <v/>
      </c>
      <c r="W12" s="1500">
        <f>IF(OR(ctries[[#This Row],[id]]=0,ctries[[#This Row],[id]]=99),"-",COUNTIF(cities[ctry],ctries[[#This Row],[ctry]]))</f>
        <v/>
      </c>
      <c r="X12" s="1503">
        <f>_xlfn.XLOOKUP(ctries[[#This Row],[ctry]],ccc[ctry],ccc[cont],"-")</f>
        <v/>
      </c>
      <c r="Y12" s="1500">
        <f>IF(ctries[[#This Row],[cont]]="B","B","W")</f>
        <v/>
      </c>
      <c r="Z12" s="1427" t="inlineStr">
        <is>
          <t>.</t>
        </is>
      </c>
      <c r="AA12" s="1473">
        <f>IF(AB12&lt;&gt;"",AA11+1,AA11)</f>
        <v/>
      </c>
      <c r="AB12" s="1473" t="inlineStr">
        <is>
          <t>New Orleans-Orlando</t>
        </is>
      </c>
      <c r="AC12" s="1473">
        <f>IF(AD12&lt;&gt;"",AC11+1,AC11)</f>
        <v/>
      </c>
      <c r="AD12" s="1473" t="inlineStr">
        <is>
          <t>Orlando</t>
        </is>
      </c>
      <c r="AE12" s="1427" t="inlineStr">
        <is>
          <t>.</t>
        </is>
      </c>
      <c r="AF12" s="1502" t="n">
        <v>8</v>
      </c>
      <c r="AG12" s="1500">
        <f>_xlfn.XLOOKUP(routes[[#This Row],[id]],$AA$5:$AA$300,$AB$5:$AB$300,"-")</f>
        <v/>
      </c>
      <c r="AH12" s="1500">
        <f>_xlfn.XLOOKUP(routes[[#This Row],[route]],routesUniv[route],routesUniv[outbound],"-")</f>
        <v/>
      </c>
      <c r="AI12" s="1500">
        <f>_xlfn.XLOOKUP(routes[[#This Row],[route]],routesUniv[route],routesUniv[inbound],"-")</f>
        <v/>
      </c>
      <c r="AJ12" s="1500">
        <f>_xlfn.XLOOKUP(routes[[#This Row],[route]],routesUniv[route],routesUniv[km],"-")</f>
        <v/>
      </c>
      <c r="AK12" s="1500">
        <f>COUNTIF(INPUT!BT$5:BT$1000,AG12)</f>
        <v/>
      </c>
      <c r="AL12" s="1505">
        <f>routes[[#This Row],[km]]*routes[[#This Row],[rpt]]/1000</f>
        <v/>
      </c>
      <c r="AM12" s="1481" t="inlineStr">
        <is>
          <t>.</t>
        </is>
      </c>
      <c r="AN12" s="1506" t="n">
        <v>8</v>
      </c>
      <c r="AO12" s="1500">
        <f>IF(AD12&lt;&gt;"",AD12,"-")</f>
        <v/>
      </c>
      <c r="AP12" s="1500">
        <f>_xlfn.XLOOKUP(cityRoutes[[#This Row],[city]],ccc[city],ccc[ctry],"-")</f>
        <v/>
      </c>
      <c r="AQ12" s="1500">
        <f>COUNTIF(INPUT!BR$5:BS$1000,AO12)</f>
        <v/>
      </c>
      <c r="AR12" s="1507">
        <f>(SUMIFS(routes[total],routes[outbound],AO12)+SUMIFS(routes[total],routes[inbound],AO12))/2</f>
        <v/>
      </c>
      <c r="AS12" s="1481" t="inlineStr">
        <is>
          <t>.</t>
        </is>
      </c>
      <c r="AT12" s="1473">
        <f>IF(AU12&lt;&gt;"",AT11+1,AT11)</f>
        <v/>
      </c>
      <c r="AU12" s="1473" t="inlineStr">
        <is>
          <t>Bobigny</t>
        </is>
      </c>
      <c r="AV12" s="1506">
        <f>IF(AT12&lt;=AT$3,AT12,0)</f>
        <v/>
      </c>
      <c r="AW12" s="1500">
        <f>AU12</f>
        <v/>
      </c>
      <c r="AX12" s="1508">
        <f>_xlfn.XLOOKUP(homes[[#This Row],[home]],raw[home],raw[city],"-")</f>
        <v/>
      </c>
      <c r="AY12" s="1500">
        <f>_xlfn.XLOOKUP(homes[[#This Row],[city]],ccc[city],ccc[ctry],"-")</f>
        <v/>
      </c>
      <c r="AZ12" s="1509">
        <f>_xlfn.XLOOKUP(AU12,raw[home],raw[in])</f>
        <v/>
      </c>
      <c r="BA12" s="1510" t="n"/>
      <c r="BB12" s="1500">
        <f>COUNTIF(INPUT!BX12:BX107,AU12)</f>
        <v/>
      </c>
      <c r="BC12" s="1511">
        <f>INT(SUMIFS(raw[stay],raw[home],homes[[#This Row],[home]]))</f>
        <v/>
      </c>
      <c r="BD12" s="1511">
        <f>INT(SUMIFS(raw[stay],raw[home],homes[[#This Row],[home]],raw[notHome],0))</f>
        <v/>
      </c>
      <c r="BE12" s="1512">
        <f>IF(homes[[#This Row],[main]]=0,"-",homes[[#This Row],[netmain]]/homes[[#This Row],[main]])</f>
        <v/>
      </c>
      <c r="BF12" s="1511">
        <f>INT(SUMIFS(raw[stay],raw[transit],homes[[#This Row],[home]]))</f>
        <v/>
      </c>
      <c r="BG12" s="1511">
        <f>homes[[#This Row],[netmain]]+homes[[#This Row],[extra]]</f>
        <v/>
      </c>
      <c r="BH12" s="1432" t="inlineStr">
        <is>
          <t>.</t>
        </is>
      </c>
      <c r="BI12" s="1473">
        <f>IF(BJ12&lt;&gt;"",BI11+1,BI11)</f>
        <v/>
      </c>
      <c r="BJ12" s="1473" t="inlineStr">
        <is>
          <t>Barcelona</t>
        </is>
      </c>
      <c r="BK12" s="1473" t="inlineStr">
        <is>
          <t>CAN</t>
        </is>
      </c>
      <c r="BL12" s="1500">
        <f>IF(BJ12="",0,BI12)</f>
        <v/>
      </c>
      <c r="BM12" s="1513">
        <f>BJ12</f>
        <v/>
      </c>
      <c r="BN12" s="1513">
        <f>_xlfn.XLOOKUP(homeCities[[#This Row],[homeCity]],ccc[city],ccc[ctry],"-")</f>
        <v/>
      </c>
      <c r="BO12" s="1467" t="n"/>
      <c r="BP12" s="1514" t="n">
        <v>8</v>
      </c>
      <c r="BQ12" s="1513">
        <f>[1]Sheet1!C13</f>
        <v/>
      </c>
      <c r="BR12" s="1515">
        <f>[1]Sheet1!D13</f>
        <v/>
      </c>
      <c r="BS12" s="1513">
        <f>[1]Sheet1!E13</f>
        <v/>
      </c>
      <c r="BT12" s="1515">
        <f>[1]Sheet1!F13</f>
        <v/>
      </c>
      <c r="BU12" s="1516">
        <f>[1]Sheet1!G13</f>
        <v/>
      </c>
      <c r="BV12" s="1513">
        <f>[1]Sheet1!H13</f>
        <v/>
      </c>
      <c r="BW12" s="1467" t="n"/>
      <c r="BX12" s="1491">
        <f>[1]Sheet1!$J13</f>
        <v/>
      </c>
      <c r="BY12" s="1517">
        <f>[1]Sheet1!$K13</f>
        <v/>
      </c>
      <c r="BZ12" s="1517">
        <f>[1]Sheet1!$L13</f>
        <v/>
      </c>
      <c r="CA12" s="1500">
        <f>[1]Sheet1!$M13</f>
        <v/>
      </c>
      <c r="CB12" s="1467" t="n"/>
      <c r="CC12" s="1467" t="n"/>
      <c r="CD12" s="1500">
        <f>[1]Sheet1!$P13</f>
        <v/>
      </c>
      <c r="CE12" s="1513">
        <f>[1]Sheet1!$Q13</f>
        <v/>
      </c>
      <c r="CF12" s="1515">
        <f>[1]Sheet1!$R13</f>
        <v/>
      </c>
      <c r="CG12" s="1477" t="n"/>
      <c r="CH12" s="1513" t="n"/>
      <c r="CI12" s="1513" t="n"/>
      <c r="CJ12" s="1513" t="n"/>
      <c r="CK12" s="1477" t="n"/>
      <c r="CL12" s="1521" t="n">
        <v>8</v>
      </c>
      <c r="CM12" s="1513" t="inlineStr">
        <is>
          <t>Beijing-Toronto</t>
        </is>
      </c>
      <c r="CN12" s="1513" t="inlineStr">
        <is>
          <t>Beijing</t>
        </is>
      </c>
      <c r="CO12" s="1513" t="inlineStr">
        <is>
          <t>Toronto</t>
        </is>
      </c>
      <c r="CP12" s="1514" t="n">
        <v>10600</v>
      </c>
      <c r="CQ12" s="1477" t="n"/>
      <c r="CR12" s="1522">
        <f>IF(COUNTIF(cont[ctry_name], CR11)&gt;0, "Yes", "No")</f>
        <v/>
      </c>
      <c r="CS12" s="1522">
        <f>IF(COUNTIF(routesUniv[route], CS11)&gt;0, "Yes", "No")</f>
        <v/>
      </c>
      <c r="CT12" s="1432" t="inlineStr">
        <is>
          <t>.</t>
        </is>
      </c>
      <c r="CU12" s="1520" t="inlineStr">
        <is>
          <t>BORDER CHE</t>
        </is>
      </c>
      <c r="CV12" s="1474" t="n"/>
      <c r="CW12" s="1520" t="inlineStr">
        <is>
          <t>BORDER DEU</t>
        </is>
      </c>
      <c r="CX12" s="1474" t="n"/>
    </row>
    <row r="13">
      <c r="A13" s="1427" t="inlineStr">
        <is>
          <t>.</t>
        </is>
      </c>
      <c r="B13" s="1496" t="n">
        <v>9</v>
      </c>
      <c r="C13" s="1496" t="inlineStr">
        <is>
          <t>Road</t>
        </is>
      </c>
      <c r="D13" s="1497">
        <f>IF(E13&lt;&gt;"",D12+1,D12)</f>
        <v/>
      </c>
      <c r="E13" s="1497" t="inlineStr">
        <is>
          <t>Vassouras</t>
        </is>
      </c>
      <c r="F13" s="1427" t="inlineStr">
        <is>
          <t>.</t>
        </is>
      </c>
      <c r="G13" s="1498">
        <f>IF(H13="AIR",0,IF(H12="AIR",G11+1,IF(H13&lt;&gt;"",G12+1,G12)))</f>
        <v/>
      </c>
      <c r="H13" s="1498" t="inlineStr">
        <is>
          <t>Itatiaia</t>
        </is>
      </c>
      <c r="I13" s="1427" t="inlineStr">
        <is>
          <t>.</t>
        </is>
      </c>
      <c r="J13" s="1499" t="n">
        <v>8</v>
      </c>
      <c r="K13" s="1500">
        <f>_xlfn.XLOOKUP(cities[[#This Row],[id]],$D$5:$D$1500,E$5:E$1500,"-")</f>
        <v/>
      </c>
      <c r="L13" s="1500">
        <f>_xlfn.XLOOKUP(cities[[#This Row],[city]],ccc[city],ccc[ctry],"-")</f>
        <v/>
      </c>
      <c r="M13" s="1500">
        <f>SUMIFS(stayCity[stay],stayCity[city],cities[[#This Row],[city]])</f>
        <v/>
      </c>
      <c r="N13" s="1427">
        <f>N12+1</f>
        <v/>
      </c>
      <c r="O13" s="1501">
        <f/>
        <v/>
      </c>
      <c r="P13" s="1501">
        <f/>
        <v/>
      </c>
      <c r="Q13" s="1427" t="inlineStr">
        <is>
          <t>.</t>
        </is>
      </c>
      <c r="R13" s="1473">
        <f>IF(S13&lt;&gt;"",R12+1,R12)</f>
        <v/>
      </c>
      <c r="S13" s="1473" t="inlineStr">
        <is>
          <t>DEU</t>
        </is>
      </c>
      <c r="T13" s="1427" t="inlineStr">
        <is>
          <t>.</t>
        </is>
      </c>
      <c r="U13" s="1496" t="n">
        <v>8</v>
      </c>
      <c r="V13" s="1500">
        <f>_xlfn.XLOOKUP(ctries[[#This Row],[id]],$R$5:$R$1000,S$5:S$1000,"-")</f>
        <v/>
      </c>
      <c r="W13" s="1500">
        <f>IF(OR(ctries[[#This Row],[id]]=0,ctries[[#This Row],[id]]=99),"-",COUNTIF(cities[ctry],ctries[[#This Row],[ctry]]))</f>
        <v/>
      </c>
      <c r="X13" s="1503">
        <f>_xlfn.XLOOKUP(ctries[[#This Row],[ctry]],ccc[ctry],ccc[cont],"-")</f>
        <v/>
      </c>
      <c r="Y13" s="1500">
        <f>IF(ctries[[#This Row],[cont]]="B","B","W")</f>
        <v/>
      </c>
      <c r="Z13" s="1427" t="inlineStr">
        <is>
          <t>.</t>
        </is>
      </c>
      <c r="AA13" s="1473">
        <f>IF(AB13&lt;&gt;"",AA12+1,AA12)</f>
        <v/>
      </c>
      <c r="AB13" s="1473" t="inlineStr">
        <is>
          <t>Miami-Manaus</t>
        </is>
      </c>
      <c r="AC13" s="1473">
        <f>IF(AD13&lt;&gt;"",AC12+1,AC12)</f>
        <v/>
      </c>
      <c r="AD13" s="1473" t="inlineStr">
        <is>
          <t>Miami</t>
        </is>
      </c>
      <c r="AE13" s="1427" t="inlineStr">
        <is>
          <t>.</t>
        </is>
      </c>
      <c r="AF13" s="1502" t="n">
        <v>9</v>
      </c>
      <c r="AG13" s="1500">
        <f>_xlfn.XLOOKUP(routes[[#This Row],[id]],$AA$5:$AA$300,$AB$5:$AB$300,"-")</f>
        <v/>
      </c>
      <c r="AH13" s="1500">
        <f>_xlfn.XLOOKUP(routes[[#This Row],[route]],routesUniv[route],routesUniv[outbound],"-")</f>
        <v/>
      </c>
      <c r="AI13" s="1500">
        <f>_xlfn.XLOOKUP(routes[[#This Row],[route]],routesUniv[route],routesUniv[inbound],"-")</f>
        <v/>
      </c>
      <c r="AJ13" s="1500">
        <f>_xlfn.XLOOKUP(routes[[#This Row],[route]],routesUniv[route],routesUniv[km],"-")</f>
        <v/>
      </c>
      <c r="AK13" s="1500">
        <f>COUNTIF(INPUT!BT$5:BT$1000,AG13)</f>
        <v/>
      </c>
      <c r="AL13" s="1505">
        <f>routes[[#This Row],[km]]*routes[[#This Row],[rpt]]/1000</f>
        <v/>
      </c>
      <c r="AM13" s="1481" t="inlineStr">
        <is>
          <t>.</t>
        </is>
      </c>
      <c r="AN13" s="1506" t="n">
        <v>9</v>
      </c>
      <c r="AO13" s="1500">
        <f>IF(AD13&lt;&gt;"",AD13,"-")</f>
        <v/>
      </c>
      <c r="AP13" s="1500">
        <f>_xlfn.XLOOKUP(cityRoutes[[#This Row],[city]],ccc[city],ccc[ctry],"-")</f>
        <v/>
      </c>
      <c r="AQ13" s="1500">
        <f>COUNTIF(INPUT!BR$5:BS$1000,AO13)</f>
        <v/>
      </c>
      <c r="AR13" s="1507">
        <f>(SUMIFS(routes[total],routes[outbound],AO13)+SUMIFS(routes[total],routes[inbound],AO13))/2</f>
        <v/>
      </c>
      <c r="AS13" s="1481" t="inlineStr">
        <is>
          <t>.</t>
        </is>
      </c>
      <c r="AT13" s="1473">
        <f>IF(AU13&lt;&gt;"",AT12+1,AT12)</f>
        <v/>
      </c>
      <c r="AU13" s="1473" t="inlineStr">
        <is>
          <t>Dunkerque</t>
        </is>
      </c>
      <c r="AV13" s="1506">
        <f>IF(AT13&lt;=AT$3,AT13,0)</f>
        <v/>
      </c>
      <c r="AW13" s="1500">
        <f>AU13</f>
        <v/>
      </c>
      <c r="AX13" s="1508">
        <f>_xlfn.XLOOKUP(homes[[#This Row],[home]],raw[home],raw[city],"-")</f>
        <v/>
      </c>
      <c r="AY13" s="1500">
        <f>_xlfn.XLOOKUP(homes[[#This Row],[city]],ccc[city],ccc[ctry],"-")</f>
        <v/>
      </c>
      <c r="AZ13" s="1509">
        <f>_xlfn.XLOOKUP(AU13,raw[home],raw[in])</f>
        <v/>
      </c>
      <c r="BA13" s="1510" t="n"/>
      <c r="BB13" s="1500">
        <f>COUNTIF(INPUT!BX13:BX108,AU13)</f>
        <v/>
      </c>
      <c r="BC13" s="1511">
        <f>INT(SUMIFS(raw[stay],raw[home],homes[[#This Row],[home]]))</f>
        <v/>
      </c>
      <c r="BD13" s="1511">
        <f>INT(SUMIFS(raw[stay],raw[home],homes[[#This Row],[home]],raw[notHome],0))</f>
        <v/>
      </c>
      <c r="BE13" s="1512">
        <f>IF(homes[[#This Row],[main]]=0,"-",homes[[#This Row],[netmain]]/homes[[#This Row],[main]])</f>
        <v/>
      </c>
      <c r="BF13" s="1511">
        <f>INT(SUMIFS(raw[stay],raw[transit],homes[[#This Row],[home]]))</f>
        <v/>
      </c>
      <c r="BG13" s="1511">
        <f>homes[[#This Row],[netmain]]+homes[[#This Row],[extra]]</f>
        <v/>
      </c>
      <c r="BH13" s="1432" t="inlineStr">
        <is>
          <t>.</t>
        </is>
      </c>
      <c r="BI13" s="1473">
        <f>IF(BJ13&lt;&gt;"",BI12+1,BI12)</f>
        <v/>
      </c>
      <c r="BJ13" s="1473" t="inlineStr">
        <is>
          <t>Berlin</t>
        </is>
      </c>
      <c r="BK13" s="1473" t="inlineStr">
        <is>
          <t>PRT</t>
        </is>
      </c>
      <c r="BL13" s="1500">
        <f>IF(BJ13="",0,BI13)</f>
        <v/>
      </c>
      <c r="BM13" s="1513">
        <f>BJ13</f>
        <v/>
      </c>
      <c r="BN13" s="1513">
        <f>_xlfn.XLOOKUP(homeCities[[#This Row],[homeCity]],ccc[city],ccc[ctry],"-")</f>
        <v/>
      </c>
      <c r="BO13" s="1467" t="n"/>
      <c r="BP13" s="1514" t="n">
        <v>9</v>
      </c>
      <c r="BQ13" s="1513">
        <f>[1]Sheet1!C14</f>
        <v/>
      </c>
      <c r="BR13" s="1515">
        <f>[1]Sheet1!D14</f>
        <v/>
      </c>
      <c r="BS13" s="1513">
        <f>[1]Sheet1!E14</f>
        <v/>
      </c>
      <c r="BT13" s="1515">
        <f>[1]Sheet1!F14</f>
        <v/>
      </c>
      <c r="BU13" s="1516">
        <f>[1]Sheet1!G14</f>
        <v/>
      </c>
      <c r="BV13" s="1513">
        <f>[1]Sheet1!H14</f>
        <v/>
      </c>
      <c r="BW13" s="1467" t="n"/>
      <c r="BX13" s="1491">
        <f>[1]Sheet1!$J14</f>
        <v/>
      </c>
      <c r="BY13" s="1517">
        <f>[1]Sheet1!$K14</f>
        <v/>
      </c>
      <c r="BZ13" s="1517">
        <f>[1]Sheet1!$L14</f>
        <v/>
      </c>
      <c r="CA13" s="1500">
        <f>[1]Sheet1!$M14</f>
        <v/>
      </c>
      <c r="CB13" s="1467" t="n"/>
      <c r="CC13" s="1467" t="n"/>
      <c r="CD13" s="1500">
        <f>[1]Sheet1!$P14</f>
        <v/>
      </c>
      <c r="CE13" s="1513">
        <f>[1]Sheet1!$Q14</f>
        <v/>
      </c>
      <c r="CF13" s="1515">
        <f>[1]Sheet1!$R14</f>
        <v/>
      </c>
      <c r="CG13" s="1477" t="n"/>
      <c r="CH13" s="1513" t="n"/>
      <c r="CI13" s="1513" t="n"/>
      <c r="CJ13" s="1513" t="n"/>
      <c r="CK13" s="1477" t="n"/>
      <c r="CL13" s="1521" t="n">
        <v>9</v>
      </c>
      <c r="CM13" s="1513" t="inlineStr">
        <is>
          <t>Beijing-Xi'An</t>
        </is>
      </c>
      <c r="CN13" s="1513" t="inlineStr">
        <is>
          <t>Beijing</t>
        </is>
      </c>
      <c r="CO13" s="1513" t="inlineStr">
        <is>
          <t>Xi'An</t>
        </is>
      </c>
      <c r="CP13" s="1514" t="n">
        <v>900</v>
      </c>
      <c r="CQ13" s="1477" t="n"/>
      <c r="CR13" s="1477" t="n"/>
      <c r="CS13" s="1477" t="n"/>
      <c r="CT13" s="1432" t="inlineStr">
        <is>
          <t>.</t>
        </is>
      </c>
      <c r="CU13" s="1520" t="inlineStr">
        <is>
          <t>SEA ITA</t>
        </is>
      </c>
      <c r="CV13" s="1474" t="n"/>
      <c r="CW13" s="1520" t="inlineStr">
        <is>
          <t>TODAY</t>
        </is>
      </c>
      <c r="CX13" s="1474" t="n"/>
    </row>
    <row r="14">
      <c r="A14" s="1427" t="inlineStr">
        <is>
          <t>.</t>
        </is>
      </c>
      <c r="B14" s="1496" t="n">
        <v>10</v>
      </c>
      <c r="C14" s="1496" t="inlineStr">
        <is>
          <t>Sea FIN</t>
        </is>
      </c>
      <c r="D14" s="1497">
        <f>IF(E14&lt;&gt;"",D13+1,D13)</f>
        <v/>
      </c>
      <c r="E14" s="1497" t="inlineStr">
        <is>
          <t>Recife</t>
        </is>
      </c>
      <c r="F14" s="1427" t="inlineStr">
        <is>
          <t>.</t>
        </is>
      </c>
      <c r="G14" s="1498">
        <f>IF(H14="AIR",0,IF(H13="AIR",G12+1,IF(H14&lt;&gt;"",G13+1,G13)))</f>
        <v/>
      </c>
      <c r="H14" s="1498" t="inlineStr">
        <is>
          <t>Vassouras</t>
        </is>
      </c>
      <c r="I14" s="1427" t="inlineStr">
        <is>
          <t>.</t>
        </is>
      </c>
      <c r="J14" s="1499" t="n">
        <v>9</v>
      </c>
      <c r="K14" s="1500">
        <f>_xlfn.XLOOKUP(cities[[#This Row],[id]],$D$5:$D$1500,E$5:E$1500,"-")</f>
        <v/>
      </c>
      <c r="L14" s="1500">
        <f>_xlfn.XLOOKUP(cities[[#This Row],[city]],ccc[city],ccc[ctry],"-")</f>
        <v/>
      </c>
      <c r="M14" s="1500">
        <f>SUMIFS(stayCity[stay],stayCity[city],cities[[#This Row],[city]])</f>
        <v/>
      </c>
      <c r="N14" s="1427">
        <f>N13+1</f>
        <v/>
      </c>
      <c r="O14" s="1501">
        <f/>
        <v/>
      </c>
      <c r="P14" s="1501">
        <f/>
        <v/>
      </c>
      <c r="Q14" s="1427" t="inlineStr">
        <is>
          <t>.</t>
        </is>
      </c>
      <c r="R14" s="1473">
        <f>IF(S14&lt;&gt;"",R13+1,R13)</f>
        <v/>
      </c>
      <c r="S14" s="1473" t="inlineStr">
        <is>
          <t>NED</t>
        </is>
      </c>
      <c r="T14" s="1427" t="inlineStr">
        <is>
          <t>.</t>
        </is>
      </c>
      <c r="U14" s="1496" t="n">
        <v>9</v>
      </c>
      <c r="V14" s="1500">
        <f>_xlfn.XLOOKUP(ctries[[#This Row],[id]],$R$5:$R$1000,S$5:S$1000,"-")</f>
        <v/>
      </c>
      <c r="W14" s="1500">
        <f>IF(OR(ctries[[#This Row],[id]]=0,ctries[[#This Row],[id]]=99),"-",COUNTIF(cities[ctry],ctries[[#This Row],[ctry]]))</f>
        <v/>
      </c>
      <c r="X14" s="1503">
        <f>_xlfn.XLOOKUP(ctries[[#This Row],[ctry]],ccc[ctry],ccc[cont],"-")</f>
        <v/>
      </c>
      <c r="Y14" s="1500">
        <f>IF(ctries[[#This Row],[cont]]="B","B","W")</f>
        <v/>
      </c>
      <c r="Z14" s="1427" t="inlineStr">
        <is>
          <t>.</t>
        </is>
      </c>
      <c r="AA14" s="1473">
        <f>IF(AB14&lt;&gt;"",AA13+1,AA13)</f>
        <v/>
      </c>
      <c r="AB14" s="1473" t="inlineStr">
        <is>
          <t>Manaus-Brasilia</t>
        </is>
      </c>
      <c r="AC14" s="1473">
        <f>IF(AD14&lt;&gt;"",AC13+1,AC13)</f>
        <v/>
      </c>
      <c r="AD14" s="1473" t="inlineStr">
        <is>
          <t>Manaus</t>
        </is>
      </c>
      <c r="AE14" s="1427" t="inlineStr">
        <is>
          <t>.</t>
        </is>
      </c>
      <c r="AF14" s="1502" t="n">
        <v>10</v>
      </c>
      <c r="AG14" s="1500">
        <f>_xlfn.XLOOKUP(routes[[#This Row],[id]],$AA$5:$AA$300,$AB$5:$AB$300,"-")</f>
        <v/>
      </c>
      <c r="AH14" s="1500">
        <f>_xlfn.XLOOKUP(routes[[#This Row],[route]],routesUniv[route],routesUniv[outbound],"-")</f>
        <v/>
      </c>
      <c r="AI14" s="1500">
        <f>_xlfn.XLOOKUP(routes[[#This Row],[route]],routesUniv[route],routesUniv[inbound],"-")</f>
        <v/>
      </c>
      <c r="AJ14" s="1500">
        <f>_xlfn.XLOOKUP(routes[[#This Row],[route]],routesUniv[route],routesUniv[km],"-")</f>
        <v/>
      </c>
      <c r="AK14" s="1500">
        <f>COUNTIF(INPUT!BT$5:BT$1000,AG14)</f>
        <v/>
      </c>
      <c r="AL14" s="1505">
        <f>routes[[#This Row],[km]]*routes[[#This Row],[rpt]]/1000</f>
        <v/>
      </c>
      <c r="AM14" s="1481" t="inlineStr">
        <is>
          <t>.</t>
        </is>
      </c>
      <c r="AN14" s="1506" t="n">
        <v>10</v>
      </c>
      <c r="AO14" s="1500">
        <f>IF(AD14&lt;&gt;"",AD14,"-")</f>
        <v/>
      </c>
      <c r="AP14" s="1500">
        <f>_xlfn.XLOOKUP(cityRoutes[[#This Row],[city]],ccc[city],ccc[ctry],"-")</f>
        <v/>
      </c>
      <c r="AQ14" s="1500">
        <f>COUNTIF(INPUT!BR$5:BS$1000,AO14)</f>
        <v/>
      </c>
      <c r="AR14" s="1507">
        <f>(SUMIFS(routes[total],routes[outbound],AO14)+SUMIFS(routes[total],routes[inbound],AO14))/2</f>
        <v/>
      </c>
      <c r="AS14" s="1481" t="inlineStr">
        <is>
          <t>.</t>
        </is>
      </c>
      <c r="AT14" s="1473">
        <f>IF(AU14&lt;&gt;"",AT13+1,AT13)</f>
        <v/>
      </c>
      <c r="AU14" s="1473" t="inlineStr">
        <is>
          <t>Buffon</t>
        </is>
      </c>
      <c r="AV14" s="1506">
        <f>IF(AT14&lt;=AT$3,AT14,0)</f>
        <v/>
      </c>
      <c r="AW14" s="1500">
        <f>AU14</f>
        <v/>
      </c>
      <c r="AX14" s="1508">
        <f>_xlfn.XLOOKUP(homes[[#This Row],[home]],raw[home],raw[city],"-")</f>
        <v/>
      </c>
      <c r="AY14" s="1500">
        <f>_xlfn.XLOOKUP(homes[[#This Row],[city]],ccc[city],ccc[ctry],"-")</f>
        <v/>
      </c>
      <c r="AZ14" s="1509">
        <f>_xlfn.XLOOKUP(AU14,raw[home],raw[in])</f>
        <v/>
      </c>
      <c r="BA14" s="1510" t="n"/>
      <c r="BB14" s="1500">
        <f>COUNTIF(INPUT!BX14:BX109,AU14)</f>
        <v/>
      </c>
      <c r="BC14" s="1511">
        <f>INT(SUMIFS(raw[stay],raw[home],homes[[#This Row],[home]]))</f>
        <v/>
      </c>
      <c r="BD14" s="1511">
        <f>INT(SUMIFS(raw[stay],raw[home],homes[[#This Row],[home]],raw[notHome],0))</f>
        <v/>
      </c>
      <c r="BE14" s="1512">
        <f>IF(homes[[#This Row],[main]]=0,"-",homes[[#This Row],[netmain]]/homes[[#This Row],[main]])</f>
        <v/>
      </c>
      <c r="BF14" s="1511">
        <f>INT(SUMIFS(raw[stay],raw[transit],homes[[#This Row],[home]]))</f>
        <v/>
      </c>
      <c r="BG14" s="1511">
        <f>homes[[#This Row],[netmain]]+homes[[#This Row],[extra]]</f>
        <v/>
      </c>
      <c r="BH14" s="1432" t="inlineStr">
        <is>
          <t>.</t>
        </is>
      </c>
      <c r="BI14" s="1473">
        <f>IF(BJ14&lt;&gt;"",BI13+1,BI13)</f>
        <v/>
      </c>
      <c r="BJ14" s="1473" t="inlineStr">
        <is>
          <t>Montreal</t>
        </is>
      </c>
      <c r="BK14" s="1473" t="n"/>
      <c r="BL14" s="1500">
        <f>IF(BJ14="",0,BI14)</f>
        <v/>
      </c>
      <c r="BM14" s="1513">
        <f>BJ14</f>
        <v/>
      </c>
      <c r="BN14" s="1513">
        <f>_xlfn.XLOOKUP(homeCities[[#This Row],[homeCity]],ccc[city],ccc[ctry],"-")</f>
        <v/>
      </c>
      <c r="BO14" s="1467" t="n"/>
      <c r="BP14" s="1514" t="n">
        <v>10</v>
      </c>
      <c r="BQ14" s="1513">
        <f>[1]Sheet1!C15</f>
        <v/>
      </c>
      <c r="BR14" s="1515">
        <f>[1]Sheet1!D15</f>
        <v/>
      </c>
      <c r="BS14" s="1513">
        <f>[1]Sheet1!E15</f>
        <v/>
      </c>
      <c r="BT14" s="1515">
        <f>[1]Sheet1!F15</f>
        <v/>
      </c>
      <c r="BU14" s="1516">
        <f>[1]Sheet1!G15</f>
        <v/>
      </c>
      <c r="BV14" s="1513">
        <f>[1]Sheet1!H15</f>
        <v/>
      </c>
      <c r="BW14" s="1467" t="n"/>
      <c r="BX14" s="1491">
        <f>[1]Sheet1!$J15</f>
        <v/>
      </c>
      <c r="BY14" s="1517">
        <f>[1]Sheet1!$K15</f>
        <v/>
      </c>
      <c r="BZ14" s="1517">
        <f>[1]Sheet1!$L15</f>
        <v/>
      </c>
      <c r="CA14" s="1500">
        <f>[1]Sheet1!$M15</f>
        <v/>
      </c>
      <c r="CB14" s="1467" t="n"/>
      <c r="CC14" s="1467" t="n"/>
      <c r="CD14" s="1500">
        <f>[1]Sheet1!$P15</f>
        <v/>
      </c>
      <c r="CE14" s="1513">
        <f>[1]Sheet1!$Q15</f>
        <v/>
      </c>
      <c r="CF14" s="1515">
        <f>[1]Sheet1!$R15</f>
        <v/>
      </c>
      <c r="CG14" s="1477" t="n"/>
      <c r="CH14" s="1513" t="n"/>
      <c r="CI14" s="1513" t="n"/>
      <c r="CJ14" s="1513" t="n"/>
      <c r="CK14" s="1477" t="n"/>
      <c r="CL14" s="1521" t="n">
        <v>10</v>
      </c>
      <c r="CM14" s="1513" t="inlineStr">
        <is>
          <t>Berlin-London</t>
        </is>
      </c>
      <c r="CN14" s="1513" t="inlineStr">
        <is>
          <t>Berlin</t>
        </is>
      </c>
      <c r="CO14" s="1513" t="inlineStr">
        <is>
          <t>London</t>
        </is>
      </c>
      <c r="CP14" s="1514" t="n">
        <v>900</v>
      </c>
      <c r="CQ14" s="1477" t="n"/>
      <c r="CR14" s="1491" t="n"/>
      <c r="CS14" s="1491" t="n"/>
      <c r="CT14" s="1432" t="inlineStr">
        <is>
          <t>.</t>
        </is>
      </c>
      <c r="CU14" s="1520" t="inlineStr">
        <is>
          <t>BORDER USA</t>
        </is>
      </c>
      <c r="CV14" s="1474" t="n"/>
      <c r="CW14" s="1520" t="n"/>
      <c r="CX14" s="1474" t="n"/>
    </row>
    <row r="15">
      <c r="A15" s="1427" t="inlineStr">
        <is>
          <t>.</t>
        </is>
      </c>
      <c r="B15" s="1496" t="n">
        <v>11</v>
      </c>
      <c r="C15" s="1496" t="inlineStr">
        <is>
          <t>Sea GRC</t>
        </is>
      </c>
      <c r="D15" s="1497">
        <f>IF(E15&lt;&gt;"",D14+1,D14)</f>
        <v/>
      </c>
      <c r="E15" s="1497" t="inlineStr">
        <is>
          <t>SP</t>
        </is>
      </c>
      <c r="F15" s="1427" t="inlineStr">
        <is>
          <t>.</t>
        </is>
      </c>
      <c r="G15" s="1498">
        <f>IF(H15="AIR",0,IF(H14="AIR",G13+1,IF(H15&lt;&gt;"",G14+1,G14)))</f>
        <v/>
      </c>
      <c r="H15" s="1498" t="inlineStr">
        <is>
          <t>Recife</t>
        </is>
      </c>
      <c r="I15" s="1427" t="inlineStr">
        <is>
          <t>.</t>
        </is>
      </c>
      <c r="J15" s="1499" t="n">
        <v>10</v>
      </c>
      <c r="K15" s="1500">
        <f>_xlfn.XLOOKUP(cities[[#This Row],[id]],$D$5:$D$1500,E$5:E$1500,"-")</f>
        <v/>
      </c>
      <c r="L15" s="1500">
        <f>_xlfn.XLOOKUP(cities[[#This Row],[city]],ccc[city],ccc[ctry],"-")</f>
        <v/>
      </c>
      <c r="M15" s="1500">
        <f>SUMIFS(stayCity[stay],stayCity[city],cities[[#This Row],[city]])</f>
        <v/>
      </c>
      <c r="N15" s="1427">
        <f>N14+1</f>
        <v/>
      </c>
      <c r="O15" s="1501">
        <f/>
        <v/>
      </c>
      <c r="P15" s="1501">
        <f/>
        <v/>
      </c>
      <c r="Q15" s="1427" t="inlineStr">
        <is>
          <t>.</t>
        </is>
      </c>
      <c r="R15" s="1473">
        <f>IF(S15&lt;&gt;"",R14+1,R14)</f>
        <v/>
      </c>
      <c r="S15" s="1473" t="inlineStr">
        <is>
          <t>FRA</t>
        </is>
      </c>
      <c r="T15" s="1427" t="inlineStr">
        <is>
          <t>.</t>
        </is>
      </c>
      <c r="U15" s="1496" t="n">
        <v>10</v>
      </c>
      <c r="V15" s="1500">
        <f>_xlfn.XLOOKUP(ctries[[#This Row],[id]],$R$5:$R$1000,S$5:S$1000,"-")</f>
        <v/>
      </c>
      <c r="W15" s="1500">
        <f>IF(OR(ctries[[#This Row],[id]]=0,ctries[[#This Row],[id]]=99),"-",COUNTIF(cities[ctry],ctries[[#This Row],[ctry]]))</f>
        <v/>
      </c>
      <c r="X15" s="1503">
        <f>_xlfn.XLOOKUP(ctries[[#This Row],[ctry]],ccc[ctry],ccc[cont],"-")</f>
        <v/>
      </c>
      <c r="Y15" s="1500">
        <f>IF(ctries[[#This Row],[cont]]="B","B","W")</f>
        <v/>
      </c>
      <c r="Z15" s="1427" t="inlineStr">
        <is>
          <t>.</t>
        </is>
      </c>
      <c r="AA15" s="1473">
        <f>IF(AB15&lt;&gt;"",AA14+1,AA14)</f>
        <v/>
      </c>
      <c r="AB15" s="1473" t="inlineStr">
        <is>
          <t>Brasilia-SSA</t>
        </is>
      </c>
      <c r="AC15" s="1473">
        <f>IF(AD15&lt;&gt;"",AC14+1,AC14)</f>
        <v/>
      </c>
      <c r="AD15" s="1473" t="inlineStr">
        <is>
          <t>Brasilia</t>
        </is>
      </c>
      <c r="AE15" s="1427" t="inlineStr">
        <is>
          <t>.</t>
        </is>
      </c>
      <c r="AF15" s="1502" t="n">
        <v>11</v>
      </c>
      <c r="AG15" s="1500">
        <f>_xlfn.XLOOKUP(routes[[#This Row],[id]],$AA$5:$AA$300,$AB$5:$AB$300,"-")</f>
        <v/>
      </c>
      <c r="AH15" s="1500">
        <f>_xlfn.XLOOKUP(routes[[#This Row],[route]],routesUniv[route],routesUniv[outbound],"-")</f>
        <v/>
      </c>
      <c r="AI15" s="1500">
        <f>_xlfn.XLOOKUP(routes[[#This Row],[route]],routesUniv[route],routesUniv[inbound],"-")</f>
        <v/>
      </c>
      <c r="AJ15" s="1500">
        <f>_xlfn.XLOOKUP(routes[[#This Row],[route]],routesUniv[route],routesUniv[km],"-")</f>
        <v/>
      </c>
      <c r="AK15" s="1500">
        <f>COUNTIF(INPUT!BT$5:BT$1000,AG15)</f>
        <v/>
      </c>
      <c r="AL15" s="1505">
        <f>routes[[#This Row],[km]]*routes[[#This Row],[rpt]]/1000</f>
        <v/>
      </c>
      <c r="AM15" s="1481" t="inlineStr">
        <is>
          <t>.</t>
        </is>
      </c>
      <c r="AN15" s="1506" t="n">
        <v>11</v>
      </c>
      <c r="AO15" s="1500">
        <f>IF(AD15&lt;&gt;"",AD15,"-")</f>
        <v/>
      </c>
      <c r="AP15" s="1500">
        <f>_xlfn.XLOOKUP(cityRoutes[[#This Row],[city]],ccc[city],ccc[ctry],"-")</f>
        <v/>
      </c>
      <c r="AQ15" s="1500">
        <f>COUNTIF(INPUT!BR$5:BS$1000,AO15)</f>
        <v/>
      </c>
      <c r="AR15" s="1507">
        <f>(SUMIFS(routes[total],routes[outbound],AO15)+SUMIFS(routes[total],routes[inbound],AO15))/2</f>
        <v/>
      </c>
      <c r="AS15" s="1481" t="inlineStr">
        <is>
          <t>.</t>
        </is>
      </c>
      <c r="AT15" s="1473">
        <f>IF(AU15&lt;&gt;"",AT14+1,AT14)</f>
        <v/>
      </c>
      <c r="AU15" s="1473" t="inlineStr">
        <is>
          <t>Joao Pondé</t>
        </is>
      </c>
      <c r="AV15" s="1506">
        <f>IF(AT15&lt;=AT$3,AT15,0)</f>
        <v/>
      </c>
      <c r="AW15" s="1500">
        <f>AU15</f>
        <v/>
      </c>
      <c r="AX15" s="1508">
        <f>_xlfn.XLOOKUP(homes[[#This Row],[home]],raw[home],raw[city],"-")</f>
        <v/>
      </c>
      <c r="AY15" s="1500">
        <f>_xlfn.XLOOKUP(homes[[#This Row],[city]],ccc[city],ccc[ctry],"-")</f>
        <v/>
      </c>
      <c r="AZ15" s="1509">
        <f>_xlfn.XLOOKUP(AU15,raw[home],raw[in])</f>
        <v/>
      </c>
      <c r="BA15" s="1510" t="n"/>
      <c r="BB15" s="1500">
        <f>COUNTIF(INPUT!BX15:BX110,AU15)</f>
        <v/>
      </c>
      <c r="BC15" s="1511">
        <f>INT(SUMIFS(raw[stay],raw[home],homes[[#This Row],[home]]))</f>
        <v/>
      </c>
      <c r="BD15" s="1511">
        <f>INT(SUMIFS(raw[stay],raw[home],homes[[#This Row],[home]],raw[notHome],0))</f>
        <v/>
      </c>
      <c r="BE15" s="1512">
        <f>IF(homes[[#This Row],[main]]=0,"-",homes[[#This Row],[netmain]]/homes[[#This Row],[main]])</f>
        <v/>
      </c>
      <c r="BF15" s="1511">
        <f>INT(SUMIFS(raw[stay],raw[transit],homes[[#This Row],[home]]))</f>
        <v/>
      </c>
      <c r="BG15" s="1511">
        <f>homes[[#This Row],[netmain]]+homes[[#This Row],[extra]]</f>
        <v/>
      </c>
      <c r="BH15" s="1432" t="inlineStr">
        <is>
          <t>.</t>
        </is>
      </c>
      <c r="BI15" s="1473">
        <f>IF(BJ15&lt;&gt;"",BI14+1,BI14)</f>
        <v/>
      </c>
      <c r="BJ15" s="1473" t="inlineStr">
        <is>
          <t>Porto</t>
        </is>
      </c>
      <c r="BK15" s="1473" t="n"/>
      <c r="BL15" s="1500">
        <f>IF(BJ15="",0,BI15)</f>
        <v/>
      </c>
      <c r="BM15" s="1513">
        <f>BJ15</f>
        <v/>
      </c>
      <c r="BN15" s="1513">
        <f>_xlfn.XLOOKUP(homeCities[[#This Row],[homeCity]],ccc[city],ccc[ctry],"-")</f>
        <v/>
      </c>
      <c r="BO15" s="1467" t="n"/>
      <c r="BP15" s="1514" t="n">
        <v>11</v>
      </c>
      <c r="BQ15" s="1513">
        <f>[1]Sheet1!C16</f>
        <v/>
      </c>
      <c r="BR15" s="1515">
        <f>[1]Sheet1!D16</f>
        <v/>
      </c>
      <c r="BS15" s="1513">
        <f>[1]Sheet1!E16</f>
        <v/>
      </c>
      <c r="BT15" s="1515">
        <f>[1]Sheet1!F16</f>
        <v/>
      </c>
      <c r="BU15" s="1516">
        <f>[1]Sheet1!G16</f>
        <v/>
      </c>
      <c r="BV15" s="1513">
        <f>[1]Sheet1!H16</f>
        <v/>
      </c>
      <c r="BW15" s="1467" t="n"/>
      <c r="BX15" s="1491">
        <f>[1]Sheet1!$J16</f>
        <v/>
      </c>
      <c r="BY15" s="1517">
        <f>[1]Sheet1!$K16</f>
        <v/>
      </c>
      <c r="BZ15" s="1517">
        <f>[1]Sheet1!$L16</f>
        <v/>
      </c>
      <c r="CA15" s="1500">
        <f>[1]Sheet1!$M16</f>
        <v/>
      </c>
      <c r="CB15" s="1467" t="n"/>
      <c r="CC15" s="1467" t="n"/>
      <c r="CD15" s="1500">
        <f>[1]Sheet1!$P16</f>
        <v/>
      </c>
      <c r="CE15" s="1513">
        <f>[1]Sheet1!$Q16</f>
        <v/>
      </c>
      <c r="CF15" s="1515">
        <f>[1]Sheet1!$R16</f>
        <v/>
      </c>
      <c r="CG15" s="1477" t="n"/>
      <c r="CH15" s="1513" t="n"/>
      <c r="CI15" s="1513" t="n"/>
      <c r="CJ15" s="1513" t="n"/>
      <c r="CK15" s="1477" t="n"/>
      <c r="CL15" s="1521" t="n">
        <v>11</v>
      </c>
      <c r="CM15" s="1513" t="inlineStr">
        <is>
          <t>BH-Miami</t>
        </is>
      </c>
      <c r="CN15" s="1513" t="inlineStr">
        <is>
          <t>BH</t>
        </is>
      </c>
      <c r="CO15" s="1513" t="inlineStr">
        <is>
          <t>Miami</t>
        </is>
      </c>
      <c r="CP15" s="1514" t="n">
        <v>6400</v>
      </c>
      <c r="CQ15" s="1477" t="n"/>
      <c r="CR15" s="1491" t="n"/>
      <c r="CS15" s="1491" t="n"/>
      <c r="CT15" s="1432" t="inlineStr">
        <is>
          <t>.</t>
        </is>
      </c>
      <c r="CU15" s="1520" t="inlineStr">
        <is>
          <t>BORDER CAN</t>
        </is>
      </c>
      <c r="CV15" s="1474" t="n"/>
      <c r="CW15" s="1520" t="n"/>
      <c r="CX15" s="1474" t="n"/>
    </row>
    <row r="16">
      <c r="A16" s="1427" t="inlineStr">
        <is>
          <t>.</t>
        </is>
      </c>
      <c r="B16" s="1496" t="n">
        <v>12</v>
      </c>
      <c r="C16" s="1496" t="inlineStr">
        <is>
          <t>Sea ITA</t>
        </is>
      </c>
      <c r="D16" s="1497">
        <f>IF(E16&lt;&gt;"",D15+1,D15)</f>
        <v/>
      </c>
      <c r="E16" s="1497" t="inlineStr">
        <is>
          <t>Curitiba</t>
        </is>
      </c>
      <c r="F16" s="1427" t="inlineStr">
        <is>
          <t>.</t>
        </is>
      </c>
      <c r="G16" s="1498">
        <f>IF(H16="AIR",0,IF(H15="AIR",G14+1,IF(H16&lt;&gt;"",G15+1,G15)))</f>
        <v/>
      </c>
      <c r="H16" s="1498" t="inlineStr">
        <is>
          <t>SP</t>
        </is>
      </c>
      <c r="I16" s="1427" t="inlineStr">
        <is>
          <t>.</t>
        </is>
      </c>
      <c r="J16" s="1499" t="n">
        <v>11</v>
      </c>
      <c r="K16" s="1500">
        <f>_xlfn.XLOOKUP(cities[[#This Row],[id]],$D$5:$D$1500,E$5:E$1500,"-")</f>
        <v/>
      </c>
      <c r="L16" s="1500">
        <f>_xlfn.XLOOKUP(cities[[#This Row],[city]],ccc[city],ccc[ctry],"-")</f>
        <v/>
      </c>
      <c r="M16" s="1500">
        <f>SUMIFS(stayCity[stay],stayCity[city],cities[[#This Row],[city]])</f>
        <v/>
      </c>
      <c r="N16" s="1427">
        <f>N15+1</f>
        <v/>
      </c>
      <c r="O16" s="1501">
        <f/>
        <v/>
      </c>
      <c r="P16" s="1501">
        <f/>
        <v/>
      </c>
      <c r="Q16" s="1427" t="inlineStr">
        <is>
          <t>.</t>
        </is>
      </c>
      <c r="R16" s="1473">
        <f>IF(S16&lt;&gt;"",R15+1,R15)</f>
        <v/>
      </c>
      <c r="S16" s="1473" t="inlineStr">
        <is>
          <t>UK</t>
        </is>
      </c>
      <c r="T16" s="1427" t="inlineStr">
        <is>
          <t>.</t>
        </is>
      </c>
      <c r="U16" s="1496" t="n">
        <v>11</v>
      </c>
      <c r="V16" s="1500">
        <f>_xlfn.XLOOKUP(ctries[[#This Row],[id]],$R$5:$R$1000,S$5:S$1000,"-")</f>
        <v/>
      </c>
      <c r="W16" s="1500">
        <f>IF(OR(ctries[[#This Row],[id]]=0,ctries[[#This Row],[id]]=99),"-",COUNTIF(cities[ctry],ctries[[#This Row],[ctry]]))</f>
        <v/>
      </c>
      <c r="X16" s="1503">
        <f>_xlfn.XLOOKUP(ctries[[#This Row],[ctry]],ccc[ctry],ccc[cont],"-")</f>
        <v/>
      </c>
      <c r="Y16" s="1500">
        <f>IF(ctries[[#This Row],[cont]]="B","B","W")</f>
        <v/>
      </c>
      <c r="Z16" s="1427" t="inlineStr">
        <is>
          <t>.</t>
        </is>
      </c>
      <c r="AA16" s="1473">
        <f>IF(AB16&lt;&gt;"",AA15+1,AA15)</f>
        <v/>
      </c>
      <c r="AB16" s="1473" t="inlineStr">
        <is>
          <t>SSA-Lisbon</t>
        </is>
      </c>
      <c r="AC16" s="1473">
        <f>IF(AD16&lt;&gt;"",AC15+1,AC15)</f>
        <v/>
      </c>
      <c r="AD16" s="1473" t="inlineStr">
        <is>
          <t>Lisbon</t>
        </is>
      </c>
      <c r="AE16" s="1427" t="inlineStr">
        <is>
          <t>.</t>
        </is>
      </c>
      <c r="AF16" s="1502" t="n">
        <v>12</v>
      </c>
      <c r="AG16" s="1500">
        <f>_xlfn.XLOOKUP(routes[[#This Row],[id]],$AA$5:$AA$300,$AB$5:$AB$300,"-")</f>
        <v/>
      </c>
      <c r="AH16" s="1500">
        <f>_xlfn.XLOOKUP(routes[[#This Row],[route]],routesUniv[route],routesUniv[outbound],"-")</f>
        <v/>
      </c>
      <c r="AI16" s="1500">
        <f>_xlfn.XLOOKUP(routes[[#This Row],[route]],routesUniv[route],routesUniv[inbound],"-")</f>
        <v/>
      </c>
      <c r="AJ16" s="1500">
        <f>_xlfn.XLOOKUP(routes[[#This Row],[route]],routesUniv[route],routesUniv[km],"-")</f>
        <v/>
      </c>
      <c r="AK16" s="1500">
        <f>COUNTIF(INPUT!BT$5:BT$1000,AG16)</f>
        <v/>
      </c>
      <c r="AL16" s="1505">
        <f>routes[[#This Row],[km]]*routes[[#This Row],[rpt]]/1000</f>
        <v/>
      </c>
      <c r="AM16" s="1481" t="inlineStr">
        <is>
          <t>.</t>
        </is>
      </c>
      <c r="AN16" s="1506" t="n">
        <v>12</v>
      </c>
      <c r="AO16" s="1500">
        <f>IF(AD16&lt;&gt;"",AD16,"-")</f>
        <v/>
      </c>
      <c r="AP16" s="1500">
        <f>_xlfn.XLOOKUP(cityRoutes[[#This Row],[city]],ccc[city],ccc[ctry],"-")</f>
        <v/>
      </c>
      <c r="AQ16" s="1500">
        <f>COUNTIF(INPUT!BR$5:BS$1000,AO16)</f>
        <v/>
      </c>
      <c r="AR16" s="1507">
        <f>(SUMIFS(routes[total],routes[outbound],AO16)+SUMIFS(routes[total],routes[inbound],AO16))/2</f>
        <v/>
      </c>
      <c r="AS16" s="1481" t="inlineStr">
        <is>
          <t>.</t>
        </is>
      </c>
      <c r="AT16" s="1473">
        <f>IF(AU16&lt;&gt;"",AT15+1,AT15)</f>
        <v/>
      </c>
      <c r="AU16" s="1473" t="inlineStr">
        <is>
          <t>Joaquim Eugenio</t>
        </is>
      </c>
      <c r="AV16" s="1506">
        <f>IF(AT16&lt;=AT$3,AT16,0)</f>
        <v/>
      </c>
      <c r="AW16" s="1500">
        <f>AU16</f>
        <v/>
      </c>
      <c r="AX16" s="1508">
        <f>_xlfn.XLOOKUP(homes[[#This Row],[home]],raw[home],raw[city],"-")</f>
        <v/>
      </c>
      <c r="AY16" s="1500">
        <f>_xlfn.XLOOKUP(homes[[#This Row],[city]],ccc[city],ccc[ctry],"-")</f>
        <v/>
      </c>
      <c r="AZ16" s="1509">
        <f>_xlfn.XLOOKUP(AU16,raw[home],raw[in])</f>
        <v/>
      </c>
      <c r="BA16" s="1510" t="n"/>
      <c r="BB16" s="1500">
        <f>COUNTIF(INPUT!BX16:BX111,AU16)</f>
        <v/>
      </c>
      <c r="BC16" s="1511">
        <f>INT(SUMIFS(raw[stay],raw[home],homes[[#This Row],[home]]))</f>
        <v/>
      </c>
      <c r="BD16" s="1511">
        <f>INT(SUMIFS(raw[stay],raw[home],homes[[#This Row],[home]],raw[notHome],0))</f>
        <v/>
      </c>
      <c r="BE16" s="1512">
        <f>IF(homes[[#This Row],[main]]=0,"-",homes[[#This Row],[netmain]]/homes[[#This Row],[main]])</f>
        <v/>
      </c>
      <c r="BF16" s="1511">
        <f>INT(SUMIFS(raw[stay],raw[transit],homes[[#This Row],[home]]))</f>
        <v/>
      </c>
      <c r="BG16" s="1511">
        <f>homes[[#This Row],[netmain]]+homes[[#This Row],[extra]]</f>
        <v/>
      </c>
      <c r="BH16" s="1432" t="inlineStr">
        <is>
          <t>.</t>
        </is>
      </c>
      <c r="BI16" s="1473">
        <f>IF(BJ16&lt;&gt;"",BI15+1,BI15)</f>
        <v/>
      </c>
      <c r="BJ16" s="1473" t="inlineStr">
        <is>
          <t>-</t>
        </is>
      </c>
      <c r="BK16" s="1473" t="n"/>
      <c r="BL16" s="1500">
        <f>IF(BJ16="",0,BI16)</f>
        <v/>
      </c>
      <c r="BM16" s="1513">
        <f>BJ16</f>
        <v/>
      </c>
      <c r="BN16" s="1513">
        <f>_xlfn.XLOOKUP(homeCities[[#This Row],[homeCity]],ccc[city],ccc[ctry],"-")</f>
        <v/>
      </c>
      <c r="BO16" s="1467" t="n"/>
      <c r="BP16" s="1514" t="n">
        <v>12</v>
      </c>
      <c r="BQ16" s="1513">
        <f>[1]Sheet1!C17</f>
        <v/>
      </c>
      <c r="BR16" s="1515">
        <f>[1]Sheet1!D17</f>
        <v/>
      </c>
      <c r="BS16" s="1513">
        <f>[1]Sheet1!E17</f>
        <v/>
      </c>
      <c r="BT16" s="1515">
        <f>[1]Sheet1!F17</f>
        <v/>
      </c>
      <c r="BU16" s="1516">
        <f>[1]Sheet1!G17</f>
        <v/>
      </c>
      <c r="BV16" s="1513">
        <f>[1]Sheet1!H17</f>
        <v/>
      </c>
      <c r="BW16" s="1467" t="n"/>
      <c r="BX16" s="1491">
        <f>[1]Sheet1!$J17</f>
        <v/>
      </c>
      <c r="BY16" s="1517">
        <f>[1]Sheet1!$K17</f>
        <v/>
      </c>
      <c r="BZ16" s="1517">
        <f>[1]Sheet1!$L17</f>
        <v/>
      </c>
      <c r="CA16" s="1500">
        <f>[1]Sheet1!$M17</f>
        <v/>
      </c>
      <c r="CB16" s="1467" t="n"/>
      <c r="CC16" s="1467" t="n"/>
      <c r="CD16" s="1500">
        <f>[1]Sheet1!$P17</f>
        <v/>
      </c>
      <c r="CE16" s="1513">
        <f>[1]Sheet1!$Q17</f>
        <v/>
      </c>
      <c r="CF16" s="1515">
        <f>[1]Sheet1!$R17</f>
        <v/>
      </c>
      <c r="CG16" s="1477" t="n"/>
      <c r="CH16" s="1513" t="n"/>
      <c r="CI16" s="1513" t="n"/>
      <c r="CJ16" s="1513" t="n"/>
      <c r="CK16" s="1477" t="n"/>
      <c r="CL16" s="1521" t="n">
        <v>12</v>
      </c>
      <c r="CM16" s="1513" t="inlineStr">
        <is>
          <t>BH-SSA</t>
        </is>
      </c>
      <c r="CN16" s="1513" t="inlineStr">
        <is>
          <t>BH</t>
        </is>
      </c>
      <c r="CO16" s="1513" t="inlineStr">
        <is>
          <t>SSA</t>
        </is>
      </c>
      <c r="CP16" s="1514" t="n">
        <v>1000</v>
      </c>
      <c r="CQ16" s="1477" t="n"/>
      <c r="CR16" s="1491" t="n"/>
      <c r="CS16" s="1491" t="n"/>
      <c r="CT16" s="1432" t="inlineStr">
        <is>
          <t>.</t>
        </is>
      </c>
      <c r="CU16" s="1520" t="inlineStr">
        <is>
          <t>BORDER DEU</t>
        </is>
      </c>
      <c r="CV16" s="1474" t="n"/>
      <c r="CW16" s="1520" t="n"/>
      <c r="CX16" s="1474" t="n"/>
    </row>
    <row r="17">
      <c r="A17" s="1427" t="inlineStr">
        <is>
          <t>.</t>
        </is>
      </c>
      <c r="B17" s="1496" t="n">
        <v>13</v>
      </c>
      <c r="C17" s="1496" t="inlineStr">
        <is>
          <t>Sea SWE</t>
        </is>
      </c>
      <c r="D17" s="1497">
        <f>IF(E17&lt;&gt;"",D16+1,D16)</f>
        <v/>
      </c>
      <c r="E17" s="1497" t="inlineStr">
        <is>
          <t>Florianopolis</t>
        </is>
      </c>
      <c r="F17" s="1427" t="inlineStr">
        <is>
          <t>.</t>
        </is>
      </c>
      <c r="G17" s="1498">
        <f>IF(H17="AIR",0,IF(H16="AIR",G15+1,IF(H17&lt;&gt;"",G16+1,G16)))</f>
        <v/>
      </c>
      <c r="H17" s="1498" t="inlineStr">
        <is>
          <t>Curitiba</t>
        </is>
      </c>
      <c r="I17" s="1427" t="inlineStr">
        <is>
          <t>.</t>
        </is>
      </c>
      <c r="J17" s="1499" t="n">
        <v>12</v>
      </c>
      <c r="K17" s="1500">
        <f>_xlfn.XLOOKUP(cities[[#This Row],[id]],$D$5:$D$1500,E$5:E$1500,"-")</f>
        <v/>
      </c>
      <c r="L17" s="1500">
        <f>_xlfn.XLOOKUP(cities[[#This Row],[city]],ccc[city],ccc[ctry],"-")</f>
        <v/>
      </c>
      <c r="M17" s="1500">
        <f>SUMIFS(stayCity[stay],stayCity[city],cities[[#This Row],[city]])</f>
        <v/>
      </c>
      <c r="N17" s="1427">
        <f>N16+1</f>
        <v/>
      </c>
      <c r="O17" s="1501">
        <f/>
        <v/>
      </c>
      <c r="P17" s="1501">
        <f/>
        <v/>
      </c>
      <c r="Q17" s="1427" t="inlineStr">
        <is>
          <t>.</t>
        </is>
      </c>
      <c r="R17" s="1473">
        <f>IF(S17&lt;&gt;"",R16+1,R16)</f>
        <v/>
      </c>
      <c r="S17" s="1473" t="inlineStr">
        <is>
          <t>AUT</t>
        </is>
      </c>
      <c r="T17" s="1427" t="inlineStr">
        <is>
          <t>.</t>
        </is>
      </c>
      <c r="U17" s="1496" t="n">
        <v>12</v>
      </c>
      <c r="V17" s="1500">
        <f>_xlfn.XLOOKUP(ctries[[#This Row],[id]],$R$5:$R$1000,S$5:S$1000,"-")</f>
        <v/>
      </c>
      <c r="W17" s="1500">
        <f>IF(OR(ctries[[#This Row],[id]]=0,ctries[[#This Row],[id]]=99),"-",COUNTIF(cities[ctry],ctries[[#This Row],[ctry]]))</f>
        <v/>
      </c>
      <c r="X17" s="1503">
        <f>_xlfn.XLOOKUP(ctries[[#This Row],[ctry]],ccc[ctry],ccc[cont],"-")</f>
        <v/>
      </c>
      <c r="Y17" s="1500">
        <f>IF(ctries[[#This Row],[cont]]="B","B","W")</f>
        <v/>
      </c>
      <c r="Z17" s="1427" t="inlineStr">
        <is>
          <t>.</t>
        </is>
      </c>
      <c r="AA17" s="1473">
        <f>IF(AB17&lt;&gt;"",AA16+1,AA16)</f>
        <v/>
      </c>
      <c r="AB17" s="1473" t="inlineStr">
        <is>
          <t>Lisbon-Rome</t>
        </is>
      </c>
      <c r="AC17" s="1473">
        <f>IF(AD17&lt;&gt;"",AC16+1,AC16)</f>
        <v/>
      </c>
      <c r="AD17" s="1473" t="inlineStr">
        <is>
          <t>Rome</t>
        </is>
      </c>
      <c r="AE17" s="1427" t="inlineStr">
        <is>
          <t>.</t>
        </is>
      </c>
      <c r="AF17" s="1502" t="n">
        <v>13</v>
      </c>
      <c r="AG17" s="1500">
        <f>_xlfn.XLOOKUP(routes[[#This Row],[id]],$AA$5:$AA$300,$AB$5:$AB$300,"-")</f>
        <v/>
      </c>
      <c r="AH17" s="1500">
        <f>_xlfn.XLOOKUP(routes[[#This Row],[route]],routesUniv[route],routesUniv[outbound],"-")</f>
        <v/>
      </c>
      <c r="AI17" s="1500">
        <f>_xlfn.XLOOKUP(routes[[#This Row],[route]],routesUniv[route],routesUniv[inbound],"-")</f>
        <v/>
      </c>
      <c r="AJ17" s="1500">
        <f>_xlfn.XLOOKUP(routes[[#This Row],[route]],routesUniv[route],routesUniv[km],"-")</f>
        <v/>
      </c>
      <c r="AK17" s="1500">
        <f>COUNTIF(INPUT!BT$5:BT$1000,AG17)</f>
        <v/>
      </c>
      <c r="AL17" s="1505">
        <f>routes[[#This Row],[km]]*routes[[#This Row],[rpt]]/1000</f>
        <v/>
      </c>
      <c r="AM17" s="1481" t="inlineStr">
        <is>
          <t>.</t>
        </is>
      </c>
      <c r="AN17" s="1506" t="n">
        <v>13</v>
      </c>
      <c r="AO17" s="1500">
        <f>IF(AD17&lt;&gt;"",AD17,"-")</f>
        <v/>
      </c>
      <c r="AP17" s="1500">
        <f>_xlfn.XLOOKUP(cityRoutes[[#This Row],[city]],ccc[city],ccc[ctry],"-")</f>
        <v/>
      </c>
      <c r="AQ17" s="1500">
        <f>COUNTIF(INPUT!BR$5:BS$1000,AO17)</f>
        <v/>
      </c>
      <c r="AR17" s="1507">
        <f>(SUMIFS(routes[total],routes[outbound],AO17)+SUMIFS(routes[total],routes[inbound],AO17))/2</f>
        <v/>
      </c>
      <c r="AS17" s="1481" t="inlineStr">
        <is>
          <t>.</t>
        </is>
      </c>
      <c r="AT17" s="1473">
        <f>IF(AU17&lt;&gt;"",AT16+1,AT16)</f>
        <v/>
      </c>
      <c r="AU17" s="1473" t="inlineStr">
        <is>
          <t>Salto Grande</t>
        </is>
      </c>
      <c r="AV17" s="1506">
        <f>IF(AT17&lt;=AT$3,AT17,0)</f>
        <v/>
      </c>
      <c r="AW17" s="1500">
        <f>AU17</f>
        <v/>
      </c>
      <c r="AX17" s="1508">
        <f>_xlfn.XLOOKUP(homes[[#This Row],[home]],raw[home],raw[city],"-")</f>
        <v/>
      </c>
      <c r="AY17" s="1500">
        <f>_xlfn.XLOOKUP(homes[[#This Row],[city]],ccc[city],ccc[ctry],"-")</f>
        <v/>
      </c>
      <c r="AZ17" s="1509">
        <f>_xlfn.XLOOKUP(AU17,raw[home],raw[in])</f>
        <v/>
      </c>
      <c r="BA17" s="1510" t="n"/>
      <c r="BB17" s="1500">
        <f>COUNTIF(INPUT!BX17:BX112,AU17)</f>
        <v/>
      </c>
      <c r="BC17" s="1511">
        <f>INT(SUMIFS(raw[stay],raw[home],homes[[#This Row],[home]]))</f>
        <v/>
      </c>
      <c r="BD17" s="1511">
        <f>INT(SUMIFS(raw[stay],raw[home],homes[[#This Row],[home]],raw[notHome],0))</f>
        <v/>
      </c>
      <c r="BE17" s="1512">
        <f>IF(homes[[#This Row],[main]]=0,"-",homes[[#This Row],[netmain]]/homes[[#This Row],[main]])</f>
        <v/>
      </c>
      <c r="BF17" s="1511">
        <f>INT(SUMIFS(raw[stay],raw[transit],homes[[#This Row],[home]]))</f>
        <v/>
      </c>
      <c r="BG17" s="1511">
        <f>homes[[#This Row],[netmain]]+homes[[#This Row],[extra]]</f>
        <v/>
      </c>
      <c r="BH17" s="1432" t="inlineStr">
        <is>
          <t>.</t>
        </is>
      </c>
      <c r="BI17" s="1473">
        <f>IF(BJ17&lt;&gt;"",BI16+1,BI16)</f>
        <v/>
      </c>
      <c r="BJ17" s="1473" t="n"/>
      <c r="BK17" s="1473" t="n"/>
      <c r="BL17" s="1500">
        <f>IF(BJ17="",0,BI17)</f>
        <v/>
      </c>
      <c r="BM17" s="1513">
        <f>BJ17</f>
        <v/>
      </c>
      <c r="BN17" s="1513">
        <f>_xlfn.XLOOKUP(homeCities[[#This Row],[homeCity]],ccc[city],ccc[ctry],"-")</f>
        <v/>
      </c>
      <c r="BO17" s="1467" t="n"/>
      <c r="BP17" s="1514" t="n">
        <v>13</v>
      </c>
      <c r="BQ17" s="1513">
        <f>[1]Sheet1!C18</f>
        <v/>
      </c>
      <c r="BR17" s="1515">
        <f>[1]Sheet1!D18</f>
        <v/>
      </c>
      <c r="BS17" s="1513">
        <f>[1]Sheet1!E18</f>
        <v/>
      </c>
      <c r="BT17" s="1515">
        <f>[1]Sheet1!F18</f>
        <v/>
      </c>
      <c r="BU17" s="1516">
        <f>[1]Sheet1!G18</f>
        <v/>
      </c>
      <c r="BV17" s="1513">
        <f>[1]Sheet1!H18</f>
        <v/>
      </c>
      <c r="BW17" s="1467" t="n"/>
      <c r="BX17" s="1491">
        <f>[1]Sheet1!$J18</f>
        <v/>
      </c>
      <c r="BY17" s="1517">
        <f>[1]Sheet1!$K18</f>
        <v/>
      </c>
      <c r="BZ17" s="1517">
        <f>[1]Sheet1!$L18</f>
        <v/>
      </c>
      <c r="CA17" s="1500">
        <f>[1]Sheet1!$M18</f>
        <v/>
      </c>
      <c r="CB17" s="1467" t="n"/>
      <c r="CC17" s="1467" t="n"/>
      <c r="CD17" s="1500">
        <f>[1]Sheet1!$P18</f>
        <v/>
      </c>
      <c r="CE17" s="1513">
        <f>[1]Sheet1!$Q18</f>
        <v/>
      </c>
      <c r="CF17" s="1515">
        <f>[1]Sheet1!$R18</f>
        <v/>
      </c>
      <c r="CG17" s="1477" t="n"/>
      <c r="CH17" s="1513" t="n"/>
      <c r="CI17" s="1513" t="n"/>
      <c r="CJ17" s="1513" t="n"/>
      <c r="CK17" s="1477" t="n"/>
      <c r="CL17" s="1521" t="n">
        <v>13</v>
      </c>
      <c r="CM17" s="1513" t="inlineStr">
        <is>
          <t>Brasilia-Rio</t>
        </is>
      </c>
      <c r="CN17" s="1513" t="inlineStr">
        <is>
          <t>Brasilia</t>
        </is>
      </c>
      <c r="CO17" s="1513" t="inlineStr">
        <is>
          <t>Rio</t>
        </is>
      </c>
      <c r="CP17" s="1514" t="n">
        <v>900</v>
      </c>
      <c r="CQ17" s="1477" t="n"/>
      <c r="CR17" s="1491" t="n"/>
      <c r="CS17" s="1491" t="n"/>
      <c r="CT17" s="1432" t="inlineStr">
        <is>
          <t>.</t>
        </is>
      </c>
      <c r="CU17" s="1520" t="inlineStr">
        <is>
          <t>BORDER BEL</t>
        </is>
      </c>
      <c r="CV17" s="1474" t="n"/>
      <c r="CW17" s="1520" t="n"/>
      <c r="CX17" s="1474" t="n"/>
    </row>
    <row r="18">
      <c r="A18" s="1427" t="inlineStr">
        <is>
          <t>.</t>
        </is>
      </c>
      <c r="B18" s="1496" t="n">
        <v>14</v>
      </c>
      <c r="C18" s="1524" t="inlineStr">
        <is>
          <t>Today</t>
        </is>
      </c>
      <c r="D18" s="1497">
        <f>IF(E18&lt;&gt;"",D17+1,D17)</f>
        <v/>
      </c>
      <c r="E18" s="1497" t="inlineStr">
        <is>
          <t>Blumenau</t>
        </is>
      </c>
      <c r="F18" s="1427" t="inlineStr">
        <is>
          <t>.</t>
        </is>
      </c>
      <c r="G18" s="1498">
        <f>IF(H18="AIR",0,IF(H17="AIR",G16+1,IF(H18&lt;&gt;"",G17+1,G17)))</f>
        <v/>
      </c>
      <c r="H18" s="1498" t="inlineStr">
        <is>
          <t>Florianopolis</t>
        </is>
      </c>
      <c r="I18" s="1427" t="inlineStr">
        <is>
          <t>.</t>
        </is>
      </c>
      <c r="J18" s="1499" t="n">
        <v>13</v>
      </c>
      <c r="K18" s="1500">
        <f>_xlfn.XLOOKUP(cities[[#This Row],[id]],$D$5:$D$1500,E$5:E$1500,"-")</f>
        <v/>
      </c>
      <c r="L18" s="1500">
        <f>_xlfn.XLOOKUP(cities[[#This Row],[city]],ccc[city],ccc[ctry],"-")</f>
        <v/>
      </c>
      <c r="M18" s="1500">
        <f>SUMIFS(stayCity[stay],stayCity[city],cities[[#This Row],[city]])</f>
        <v/>
      </c>
      <c r="N18" s="1427">
        <f>N17+1</f>
        <v/>
      </c>
      <c r="O18" s="1501">
        <f/>
        <v/>
      </c>
      <c r="P18" s="1501">
        <f/>
        <v/>
      </c>
      <c r="Q18" s="1427" t="inlineStr">
        <is>
          <t>.</t>
        </is>
      </c>
      <c r="R18" s="1473">
        <f>IF(S18&lt;&gt;"",R17+1,R17)</f>
        <v/>
      </c>
      <c r="S18" s="1473" t="inlineStr">
        <is>
          <t>HUN</t>
        </is>
      </c>
      <c r="T18" s="1427" t="inlineStr">
        <is>
          <t>.</t>
        </is>
      </c>
      <c r="U18" s="1496" t="n">
        <v>13</v>
      </c>
      <c r="V18" s="1500">
        <f>_xlfn.XLOOKUP(ctries[[#This Row],[id]],$R$5:$R$1000,S$5:S$1000,"-")</f>
        <v/>
      </c>
      <c r="W18" s="1500">
        <f>IF(OR(ctries[[#This Row],[id]]=0,ctries[[#This Row],[id]]=99),"-",COUNTIF(cities[ctry],ctries[[#This Row],[ctry]]))</f>
        <v/>
      </c>
      <c r="X18" s="1503">
        <f>_xlfn.XLOOKUP(ctries[[#This Row],[ctry]],ccc[ctry],ccc[cont],"-")</f>
        <v/>
      </c>
      <c r="Y18" s="1500">
        <f>IF(ctries[[#This Row],[cont]]="B","B","W")</f>
        <v/>
      </c>
      <c r="Z18" s="1427" t="inlineStr">
        <is>
          <t>.</t>
        </is>
      </c>
      <c r="AA18" s="1473">
        <f>IF(AB18&lt;&gt;"",AA17+1,AA17)</f>
        <v/>
      </c>
      <c r="AB18" s="1473" t="inlineStr">
        <is>
          <t>London-NYC</t>
        </is>
      </c>
      <c r="AC18" s="1473">
        <f>IF(AD18&lt;&gt;"",AC17+1,AC17)</f>
        <v/>
      </c>
      <c r="AD18" s="1473" t="inlineStr">
        <is>
          <t>London</t>
        </is>
      </c>
      <c r="AE18" s="1427" t="inlineStr">
        <is>
          <t>.</t>
        </is>
      </c>
      <c r="AF18" s="1502" t="n">
        <v>14</v>
      </c>
      <c r="AG18" s="1500">
        <f>_xlfn.XLOOKUP(routes[[#This Row],[id]],$AA$5:$AA$300,$AB$5:$AB$300,"-")</f>
        <v/>
      </c>
      <c r="AH18" s="1500">
        <f>_xlfn.XLOOKUP(routes[[#This Row],[route]],routesUniv[route],routesUniv[outbound],"-")</f>
        <v/>
      </c>
      <c r="AI18" s="1500">
        <f>_xlfn.XLOOKUP(routes[[#This Row],[route]],routesUniv[route],routesUniv[inbound],"-")</f>
        <v/>
      </c>
      <c r="AJ18" s="1500">
        <f>_xlfn.XLOOKUP(routes[[#This Row],[route]],routesUniv[route],routesUniv[km],"-")</f>
        <v/>
      </c>
      <c r="AK18" s="1500">
        <f>COUNTIF(INPUT!BT$5:BT$1000,AG18)</f>
        <v/>
      </c>
      <c r="AL18" s="1505">
        <f>routes[[#This Row],[km]]*routes[[#This Row],[rpt]]/1000</f>
        <v/>
      </c>
      <c r="AM18" s="1481" t="inlineStr">
        <is>
          <t>.</t>
        </is>
      </c>
      <c r="AN18" s="1506" t="n">
        <v>14</v>
      </c>
      <c r="AO18" s="1500">
        <f>IF(AD18&lt;&gt;"",AD18,"-")</f>
        <v/>
      </c>
      <c r="AP18" s="1500">
        <f>_xlfn.XLOOKUP(cityRoutes[[#This Row],[city]],ccc[city],ccc[ctry],"-")</f>
        <v/>
      </c>
      <c r="AQ18" s="1500">
        <f>COUNTIF(INPUT!BR$5:BS$1000,AO18)</f>
        <v/>
      </c>
      <c r="AR18" s="1507">
        <f>(SUMIFS(routes[total],routes[outbound],AO18)+SUMIFS(routes[total],routes[inbound],AO18))/2</f>
        <v/>
      </c>
      <c r="AS18" s="1481" t="inlineStr">
        <is>
          <t>.</t>
        </is>
      </c>
      <c r="AT18" s="1473">
        <f>IF(AU18&lt;&gt;"",AT17+1,AT17)</f>
        <v/>
      </c>
      <c r="AU18" s="1473" t="inlineStr">
        <is>
          <t>Bertioga</t>
        </is>
      </c>
      <c r="AV18" s="1506">
        <f>IF(AT18&lt;=AT$3,AT18,0)</f>
        <v/>
      </c>
      <c r="AW18" s="1500">
        <f>AU18</f>
        <v/>
      </c>
      <c r="AX18" s="1508">
        <f>_xlfn.XLOOKUP(homes[[#This Row],[home]],raw[home],raw[city],"-")</f>
        <v/>
      </c>
      <c r="AY18" s="1500">
        <f>_xlfn.XLOOKUP(homes[[#This Row],[city]],ccc[city],ccc[ctry],"-")</f>
        <v/>
      </c>
      <c r="AZ18" s="1509">
        <f>_xlfn.XLOOKUP(AU18,raw[home],raw[in])</f>
        <v/>
      </c>
      <c r="BA18" s="1510" t="n"/>
      <c r="BB18" s="1500">
        <f>COUNTIF(INPUT!BX18:BX113,AU18)</f>
        <v/>
      </c>
      <c r="BC18" s="1511">
        <f>INT(SUMIFS(raw[stay],raw[home],homes[[#This Row],[home]]))</f>
        <v/>
      </c>
      <c r="BD18" s="1511">
        <f>INT(SUMIFS(raw[stay],raw[home],homes[[#This Row],[home]],raw[notHome],0))</f>
        <v/>
      </c>
      <c r="BE18" s="1512">
        <f>IF(homes[[#This Row],[main]]=0,"-",homes[[#This Row],[netmain]]/homes[[#This Row],[main]])</f>
        <v/>
      </c>
      <c r="BF18" s="1511">
        <f>INT(SUMIFS(raw[stay],raw[transit],homes[[#This Row],[home]]))</f>
        <v/>
      </c>
      <c r="BG18" s="1511">
        <f>homes[[#This Row],[netmain]]+homes[[#This Row],[extra]]</f>
        <v/>
      </c>
      <c r="BH18" s="1432" t="inlineStr">
        <is>
          <t>.</t>
        </is>
      </c>
      <c r="BI18" s="1473">
        <f>IF(BJ18&lt;&gt;"",BI17+1,BI17)</f>
        <v/>
      </c>
      <c r="BJ18" s="1473" t="n"/>
      <c r="BK18" s="1473" t="n"/>
      <c r="BL18" s="1500">
        <f>IF(BJ18="",0,BI18)</f>
        <v/>
      </c>
      <c r="BM18" s="1513">
        <f>BJ18</f>
        <v/>
      </c>
      <c r="BN18" s="1513">
        <f>_xlfn.XLOOKUP(homeCities[[#This Row],[homeCity]],ccc[city],ccc[ctry],"-")</f>
        <v/>
      </c>
      <c r="BO18" s="1467" t="n"/>
      <c r="BP18" s="1514" t="n">
        <v>14</v>
      </c>
      <c r="BQ18" s="1513">
        <f>[1]Sheet1!C19</f>
        <v/>
      </c>
      <c r="BR18" s="1515">
        <f>[1]Sheet1!D19</f>
        <v/>
      </c>
      <c r="BS18" s="1513">
        <f>[1]Sheet1!E19</f>
        <v/>
      </c>
      <c r="BT18" s="1515">
        <f>[1]Sheet1!F19</f>
        <v/>
      </c>
      <c r="BU18" s="1516">
        <f>[1]Sheet1!G19</f>
        <v/>
      </c>
      <c r="BV18" s="1513">
        <f>[1]Sheet1!H19</f>
        <v/>
      </c>
      <c r="BW18" s="1467" t="n"/>
      <c r="BX18" s="1491">
        <f>[1]Sheet1!$J19</f>
        <v/>
      </c>
      <c r="BY18" s="1517">
        <f>[1]Sheet1!$K19</f>
        <v/>
      </c>
      <c r="BZ18" s="1517">
        <f>[1]Sheet1!$L19</f>
        <v/>
      </c>
      <c r="CA18" s="1500">
        <f>[1]Sheet1!$M19</f>
        <v/>
      </c>
      <c r="CB18" s="1467" t="n"/>
      <c r="CC18" s="1467" t="n"/>
      <c r="CD18" s="1500">
        <f>[1]Sheet1!$P19</f>
        <v/>
      </c>
      <c r="CE18" s="1513">
        <f>[1]Sheet1!$Q19</f>
        <v/>
      </c>
      <c r="CF18" s="1515">
        <f>[1]Sheet1!$R19</f>
        <v/>
      </c>
      <c r="CG18" s="1477" t="n"/>
      <c r="CH18" s="1513" t="n"/>
      <c r="CI18" s="1513" t="n"/>
      <c r="CJ18" s="1513" t="n"/>
      <c r="CK18" s="1477" t="n"/>
      <c r="CL18" s="1521" t="n">
        <v>14</v>
      </c>
      <c r="CM18" s="1500" t="inlineStr">
        <is>
          <t>Brasilia-SSA</t>
        </is>
      </c>
      <c r="CN18" s="1500" t="inlineStr">
        <is>
          <t>Brasilia</t>
        </is>
      </c>
      <c r="CO18" s="1500" t="inlineStr">
        <is>
          <t>SSA</t>
        </is>
      </c>
      <c r="CP18" s="1514" t="n">
        <v>1100</v>
      </c>
      <c r="CQ18" s="1477" t="n"/>
      <c r="CR18" s="1491" t="n"/>
      <c r="CS18" s="1491" t="n"/>
      <c r="CT18" s="1432" t="inlineStr">
        <is>
          <t>.</t>
        </is>
      </c>
      <c r="CU18" s="1520" t="inlineStr">
        <is>
          <t>BORDER NED</t>
        </is>
      </c>
      <c r="CV18" s="1474" t="n"/>
      <c r="CW18" s="1520" t="n"/>
      <c r="CX18" s="1474" t="n"/>
    </row>
    <row r="19">
      <c r="A19" s="1427" t="inlineStr">
        <is>
          <t>.</t>
        </is>
      </c>
      <c r="B19" s="1496" t="n">
        <v>15</v>
      </c>
      <c r="C19" s="1496" t="inlineStr">
        <is>
          <t>Train FRA</t>
        </is>
      </c>
      <c r="D19" s="1497">
        <f>IF(E19&lt;&gt;"",D18+1,D18)</f>
        <v/>
      </c>
      <c r="E19" s="1497" t="inlineStr">
        <is>
          <t>Joinvile</t>
        </is>
      </c>
      <c r="F19" s="1427" t="inlineStr">
        <is>
          <t>.</t>
        </is>
      </c>
      <c r="G19" s="1498">
        <f>IF(H19="AIR",0,IF(H18="AIR",G17+1,IF(H19&lt;&gt;"",G18+1,G18)))</f>
        <v/>
      </c>
      <c r="H19" s="1498" t="inlineStr">
        <is>
          <t>Blumenau</t>
        </is>
      </c>
      <c r="I19" s="1427" t="inlineStr">
        <is>
          <t>.</t>
        </is>
      </c>
      <c r="J19" s="1499" t="n">
        <v>14</v>
      </c>
      <c r="K19" s="1500">
        <f>_xlfn.XLOOKUP(cities[[#This Row],[id]],$D$5:$D$1500,E$5:E$1500,"-")</f>
        <v/>
      </c>
      <c r="L19" s="1500">
        <f>_xlfn.XLOOKUP(cities[[#This Row],[city]],ccc[city],ccc[ctry],"-")</f>
        <v/>
      </c>
      <c r="M19" s="1500">
        <f>SUMIFS(stayCity[stay],stayCity[city],cities[[#This Row],[city]])</f>
        <v/>
      </c>
      <c r="N19" s="1427">
        <f>N18+1</f>
        <v/>
      </c>
      <c r="O19" s="1501">
        <f/>
        <v/>
      </c>
      <c r="P19" s="1501">
        <f/>
        <v/>
      </c>
      <c r="Q19" s="1427" t="inlineStr">
        <is>
          <t>.</t>
        </is>
      </c>
      <c r="R19" s="1473">
        <f>IF(S19&lt;&gt;"",R18+1,R18)</f>
        <v/>
      </c>
      <c r="S19" s="1473" t="inlineStr">
        <is>
          <t>EGY</t>
        </is>
      </c>
      <c r="T19" s="1427" t="inlineStr">
        <is>
          <t>.</t>
        </is>
      </c>
      <c r="U19" s="1496" t="n">
        <v>14</v>
      </c>
      <c r="V19" s="1500">
        <f>_xlfn.XLOOKUP(ctries[[#This Row],[id]],$R$5:$R$1000,S$5:S$1000,"-")</f>
        <v/>
      </c>
      <c r="W19" s="1500">
        <f>IF(OR(ctries[[#This Row],[id]]=0,ctries[[#This Row],[id]]=99),"-",COUNTIF(cities[ctry],ctries[[#This Row],[ctry]]))</f>
        <v/>
      </c>
      <c r="X19" s="1503">
        <f>_xlfn.XLOOKUP(ctries[[#This Row],[ctry]],ccc[ctry],ccc[cont],"-")</f>
        <v/>
      </c>
      <c r="Y19" s="1500">
        <f>IF(ctries[[#This Row],[cont]]="B","B","W")</f>
        <v/>
      </c>
      <c r="Z19" s="1427" t="inlineStr">
        <is>
          <t>.</t>
        </is>
      </c>
      <c r="AA19" s="1473">
        <f>IF(AB19&lt;&gt;"",AA18+1,AA18)</f>
        <v/>
      </c>
      <c r="AB19" s="1473" t="inlineStr">
        <is>
          <t>NYC-Washington</t>
        </is>
      </c>
      <c r="AC19" s="1473">
        <f>IF(AD19&lt;&gt;"",AC18+1,AC18)</f>
        <v/>
      </c>
      <c r="AD19" s="1473" t="inlineStr">
        <is>
          <t>NYC</t>
        </is>
      </c>
      <c r="AE19" s="1427" t="inlineStr">
        <is>
          <t>.</t>
        </is>
      </c>
      <c r="AF19" s="1502" t="n">
        <v>15</v>
      </c>
      <c r="AG19" s="1500">
        <f>_xlfn.XLOOKUP(routes[[#This Row],[id]],$AA$5:$AA$300,$AB$5:$AB$300,"-")</f>
        <v/>
      </c>
      <c r="AH19" s="1500">
        <f>_xlfn.XLOOKUP(routes[[#This Row],[route]],routesUniv[route],routesUniv[outbound],"-")</f>
        <v/>
      </c>
      <c r="AI19" s="1500">
        <f>_xlfn.XLOOKUP(routes[[#This Row],[route]],routesUniv[route],routesUniv[inbound],"-")</f>
        <v/>
      </c>
      <c r="AJ19" s="1500">
        <f>_xlfn.XLOOKUP(routes[[#This Row],[route]],routesUniv[route],routesUniv[km],"-")</f>
        <v/>
      </c>
      <c r="AK19" s="1500">
        <f>COUNTIF(INPUT!BT$5:BT$1000,AG19)</f>
        <v/>
      </c>
      <c r="AL19" s="1505">
        <f>routes[[#This Row],[km]]*routes[[#This Row],[rpt]]/1000</f>
        <v/>
      </c>
      <c r="AM19" s="1481" t="inlineStr">
        <is>
          <t>.</t>
        </is>
      </c>
      <c r="AN19" s="1506" t="n">
        <v>15</v>
      </c>
      <c r="AO19" s="1500">
        <f>IF(AD19&lt;&gt;"",AD19,"-")</f>
        <v/>
      </c>
      <c r="AP19" s="1500">
        <f>_xlfn.XLOOKUP(cityRoutes[[#This Row],[city]],ccc[city],ccc[ctry],"-")</f>
        <v/>
      </c>
      <c r="AQ19" s="1500">
        <f>COUNTIF(INPUT!BR$5:BS$1000,AO19)</f>
        <v/>
      </c>
      <c r="AR19" s="1507">
        <f>(SUMIFS(routes[total],routes[outbound],AO19)+SUMIFS(routes[total],routes[inbound],AO19))/2</f>
        <v/>
      </c>
      <c r="AS19" s="1481" t="inlineStr">
        <is>
          <t>.</t>
        </is>
      </c>
      <c r="AT19" s="1473">
        <f>IF(AU19&lt;&gt;"",AT18+1,AT18)</f>
        <v/>
      </c>
      <c r="AU19" s="1473" t="inlineStr">
        <is>
          <t>Joao Moura</t>
        </is>
      </c>
      <c r="AV19" s="1506">
        <f>IF(AT19&lt;=AT$3,AT19,0)</f>
        <v/>
      </c>
      <c r="AW19" s="1500">
        <f>AU19</f>
        <v/>
      </c>
      <c r="AX19" s="1508">
        <f>_xlfn.XLOOKUP(homes[[#This Row],[home]],raw[home],raw[city],"-")</f>
        <v/>
      </c>
      <c r="AY19" s="1500">
        <f>_xlfn.XLOOKUP(homes[[#This Row],[city]],ccc[city],ccc[ctry],"-")</f>
        <v/>
      </c>
      <c r="AZ19" s="1509">
        <f>_xlfn.XLOOKUP(AU19,raw[home],raw[in])</f>
        <v/>
      </c>
      <c r="BA19" s="1510" t="n"/>
      <c r="BB19" s="1500">
        <f>COUNTIF(INPUT!BX19:BX114,AU19)</f>
        <v/>
      </c>
      <c r="BC19" s="1511">
        <f>INT(SUMIFS(raw[stay],raw[home],homes[[#This Row],[home]]))</f>
        <v/>
      </c>
      <c r="BD19" s="1511">
        <f>INT(SUMIFS(raw[stay],raw[home],homes[[#This Row],[home]],raw[notHome],0))</f>
        <v/>
      </c>
      <c r="BE19" s="1512">
        <f>IF(homes[[#This Row],[main]]=0,"-",homes[[#This Row],[netmain]]/homes[[#This Row],[main]])</f>
        <v/>
      </c>
      <c r="BF19" s="1511">
        <f>INT(SUMIFS(raw[stay],raw[transit],homes[[#This Row],[home]]))</f>
        <v/>
      </c>
      <c r="BG19" s="1511">
        <f>homes[[#This Row],[netmain]]+homes[[#This Row],[extra]]</f>
        <v/>
      </c>
      <c r="BH19" s="1432" t="inlineStr">
        <is>
          <t>.</t>
        </is>
      </c>
      <c r="BI19" s="1473">
        <f>IF(BJ19&lt;&gt;"",BI18+1,BI18)</f>
        <v/>
      </c>
      <c r="BJ19" s="1473" t="n"/>
      <c r="BK19" s="1473" t="n"/>
      <c r="BL19" s="1500">
        <f>IF(BJ19="",0,BI19)</f>
        <v/>
      </c>
      <c r="BM19" s="1513">
        <f>BJ19</f>
        <v/>
      </c>
      <c r="BN19" s="1513">
        <f>_xlfn.XLOOKUP(homeCities[[#This Row],[homeCity]],ccc[city],ccc[ctry],"-")</f>
        <v/>
      </c>
      <c r="BO19" s="1467" t="n"/>
      <c r="BP19" s="1514" t="n">
        <v>15</v>
      </c>
      <c r="BQ19" s="1513">
        <f>[1]Sheet1!C20</f>
        <v/>
      </c>
      <c r="BR19" s="1515">
        <f>[1]Sheet1!D20</f>
        <v/>
      </c>
      <c r="BS19" s="1513">
        <f>[1]Sheet1!E20</f>
        <v/>
      </c>
      <c r="BT19" s="1515">
        <f>[1]Sheet1!F20</f>
        <v/>
      </c>
      <c r="BU19" s="1516">
        <f>[1]Sheet1!G20</f>
        <v/>
      </c>
      <c r="BV19" s="1513">
        <f>[1]Sheet1!H20</f>
        <v/>
      </c>
      <c r="BW19" s="1467" t="n"/>
      <c r="BX19" s="1491">
        <f>[1]Sheet1!$J20</f>
        <v/>
      </c>
      <c r="BY19" s="1517">
        <f>[1]Sheet1!$K20</f>
        <v/>
      </c>
      <c r="BZ19" s="1517">
        <f>[1]Sheet1!$L20</f>
        <v/>
      </c>
      <c r="CA19" s="1500">
        <f>[1]Sheet1!$M20</f>
        <v/>
      </c>
      <c r="CB19" s="1467" t="n"/>
      <c r="CC19" s="1467" t="n"/>
      <c r="CD19" s="1500">
        <f>[1]Sheet1!$P20</f>
        <v/>
      </c>
      <c r="CE19" s="1513">
        <f>[1]Sheet1!$Q20</f>
        <v/>
      </c>
      <c r="CF19" s="1515">
        <f>[1]Sheet1!$R20</f>
        <v/>
      </c>
      <c r="CG19" s="1477" t="n"/>
      <c r="CH19" s="1513" t="n"/>
      <c r="CI19" s="1513" t="n"/>
      <c r="CJ19" s="1513" t="n"/>
      <c r="CK19" s="1477" t="n"/>
      <c r="CL19" s="1521" t="n">
        <v>15</v>
      </c>
      <c r="CM19" s="1500" t="inlineStr">
        <is>
          <t>Bruxelas-Paris</t>
        </is>
      </c>
      <c r="CN19" s="1500" t="inlineStr">
        <is>
          <t>Bruxelas</t>
        </is>
      </c>
      <c r="CO19" s="1500" t="inlineStr">
        <is>
          <t>Paris</t>
        </is>
      </c>
      <c r="CP19" s="1514" t="n">
        <v>300</v>
      </c>
      <c r="CQ19" s="1477" t="n"/>
      <c r="CR19" s="1491" t="n"/>
      <c r="CS19" s="1491" t="n"/>
      <c r="CT19" s="1432" t="inlineStr">
        <is>
          <t>.</t>
        </is>
      </c>
      <c r="CU19" s="1520" t="inlineStr">
        <is>
          <t>BUS ITA</t>
        </is>
      </c>
      <c r="CV19" s="1474" t="n"/>
      <c r="CW19" s="1520" t="n"/>
      <c r="CX19" s="1474" t="n"/>
    </row>
    <row r="20">
      <c r="A20" s="1427" t="inlineStr">
        <is>
          <t>.</t>
        </is>
      </c>
      <c r="B20" s="1496" t="n">
        <v>16</v>
      </c>
      <c r="C20" s="1496" t="inlineStr">
        <is>
          <t>Train ITA</t>
        </is>
      </c>
      <c r="D20" s="1497">
        <f>IF(E20&lt;&gt;"",D19+1,D19)</f>
        <v/>
      </c>
      <c r="E20" s="1497" t="inlineStr">
        <is>
          <t>Porto Alegre</t>
        </is>
      </c>
      <c r="F20" s="1427" t="inlineStr">
        <is>
          <t>.</t>
        </is>
      </c>
      <c r="G20" s="1498">
        <f>IF(H20="AIR",0,IF(H19="AIR",G18+1,IF(H20&lt;&gt;"",G19+1,G19)))</f>
        <v/>
      </c>
      <c r="H20" s="1498" t="inlineStr">
        <is>
          <t>Joinvile</t>
        </is>
      </c>
      <c r="I20" s="1427" t="inlineStr">
        <is>
          <t>.</t>
        </is>
      </c>
      <c r="J20" s="1499" t="n">
        <v>15</v>
      </c>
      <c r="K20" s="1500">
        <f>_xlfn.XLOOKUP(cities[[#This Row],[id]],$D$5:$D$1500,E$5:E$1500,"-")</f>
        <v/>
      </c>
      <c r="L20" s="1500">
        <f>_xlfn.XLOOKUP(cities[[#This Row],[city]],ccc[city],ccc[ctry],"-")</f>
        <v/>
      </c>
      <c r="M20" s="1500">
        <f>SUMIFS(stayCity[stay],stayCity[city],cities[[#This Row],[city]])</f>
        <v/>
      </c>
      <c r="N20" s="1427">
        <f>N19+1</f>
        <v/>
      </c>
      <c r="O20" s="1501">
        <f/>
        <v/>
      </c>
      <c r="P20" s="1501">
        <f/>
        <v/>
      </c>
      <c r="Q20" s="1427" t="inlineStr">
        <is>
          <t>.</t>
        </is>
      </c>
      <c r="R20" s="1473">
        <f>IF(S20&lt;&gt;"",R19+1,R19)</f>
        <v/>
      </c>
      <c r="S20" s="1473" t="inlineStr">
        <is>
          <t>GRC</t>
        </is>
      </c>
      <c r="T20" s="1427" t="inlineStr">
        <is>
          <t>.</t>
        </is>
      </c>
      <c r="U20" s="1496" t="n">
        <v>15</v>
      </c>
      <c r="V20" s="1500">
        <f>_xlfn.XLOOKUP(ctries[[#This Row],[id]],$R$5:$R$1000,S$5:S$1000,"-")</f>
        <v/>
      </c>
      <c r="W20" s="1500">
        <f>IF(OR(ctries[[#This Row],[id]]=0,ctries[[#This Row],[id]]=99),"-",COUNTIF(cities[ctry],ctries[[#This Row],[ctry]]))</f>
        <v/>
      </c>
      <c r="X20" s="1503">
        <f>_xlfn.XLOOKUP(ctries[[#This Row],[ctry]],ccc[ctry],ccc[cont],"-")</f>
        <v/>
      </c>
      <c r="Y20" s="1500">
        <f>IF(ctries[[#This Row],[cont]]="B","B","W")</f>
        <v/>
      </c>
      <c r="Z20" s="1427" t="inlineStr">
        <is>
          <t>.</t>
        </is>
      </c>
      <c r="AA20" s="1473">
        <f>IF(AB20&lt;&gt;"",AA19+1,AA19)</f>
        <v/>
      </c>
      <c r="AB20" s="1473" t="inlineStr">
        <is>
          <t>Washington-Orlando</t>
        </is>
      </c>
      <c r="AC20" s="1473">
        <f>IF(AD20&lt;&gt;"",AC19+1,AC19)</f>
        <v/>
      </c>
      <c r="AD20" s="1473" t="inlineStr">
        <is>
          <t>Washington</t>
        </is>
      </c>
      <c r="AE20" s="1427" t="inlineStr">
        <is>
          <t>.</t>
        </is>
      </c>
      <c r="AF20" s="1502" t="n">
        <v>16</v>
      </c>
      <c r="AG20" s="1500">
        <f>_xlfn.XLOOKUP(routes[[#This Row],[id]],$AA$5:$AA$300,$AB$5:$AB$300,"-")</f>
        <v/>
      </c>
      <c r="AH20" s="1500">
        <f>_xlfn.XLOOKUP(routes[[#This Row],[route]],routesUniv[route],routesUniv[outbound],"-")</f>
        <v/>
      </c>
      <c r="AI20" s="1500">
        <f>_xlfn.XLOOKUP(routes[[#This Row],[route]],routesUniv[route],routesUniv[inbound],"-")</f>
        <v/>
      </c>
      <c r="AJ20" s="1500">
        <f>_xlfn.XLOOKUP(routes[[#This Row],[route]],routesUniv[route],routesUniv[km],"-")</f>
        <v/>
      </c>
      <c r="AK20" s="1500">
        <f>COUNTIF(INPUT!BT$5:BT$1000,AG20)</f>
        <v/>
      </c>
      <c r="AL20" s="1505">
        <f>routes[[#This Row],[km]]*routes[[#This Row],[rpt]]/1000</f>
        <v/>
      </c>
      <c r="AM20" s="1481" t="inlineStr">
        <is>
          <t>.</t>
        </is>
      </c>
      <c r="AN20" s="1506" t="n">
        <v>16</v>
      </c>
      <c r="AO20" s="1500">
        <f>IF(AD20&lt;&gt;"",AD20,"-")</f>
        <v/>
      </c>
      <c r="AP20" s="1500">
        <f>_xlfn.XLOOKUP(cityRoutes[[#This Row],[city]],ccc[city],ccc[ctry],"-")</f>
        <v/>
      </c>
      <c r="AQ20" s="1500">
        <f>COUNTIF(INPUT!BR$5:BS$1000,AO20)</f>
        <v/>
      </c>
      <c r="AR20" s="1507">
        <f>(SUMIFS(routes[total],routes[outbound],AO20)+SUMIFS(routes[total],routes[inbound],AO20))/2</f>
        <v/>
      </c>
      <c r="AS20" s="1481" t="inlineStr">
        <is>
          <t>.</t>
        </is>
      </c>
      <c r="AT20" s="1473">
        <f>IF(AU20&lt;&gt;"",AT19+1,AT19)</f>
        <v/>
      </c>
      <c r="AU20" s="1473" t="inlineStr">
        <is>
          <t>David's</t>
        </is>
      </c>
      <c r="AV20" s="1506">
        <f>IF(AT20&lt;=AT$3,AT20,0)</f>
        <v/>
      </c>
      <c r="AW20" s="1500">
        <f>AU20</f>
        <v/>
      </c>
      <c r="AX20" s="1508">
        <f>_xlfn.XLOOKUP(homes[[#This Row],[home]],raw[home],raw[city],"-")</f>
        <v/>
      </c>
      <c r="AY20" s="1500">
        <f>_xlfn.XLOOKUP(homes[[#This Row],[city]],ccc[city],ccc[ctry],"-")</f>
        <v/>
      </c>
      <c r="AZ20" s="1509">
        <f>_xlfn.XLOOKUP(AU20,raw[home],raw[in])</f>
        <v/>
      </c>
      <c r="BA20" s="1510" t="n"/>
      <c r="BB20" s="1500">
        <f>COUNTIF(INPUT!BX20:BX115,AU20)</f>
        <v/>
      </c>
      <c r="BC20" s="1511">
        <f>INT(SUMIFS(raw[stay],raw[home],homes[[#This Row],[home]]))</f>
        <v/>
      </c>
      <c r="BD20" s="1511">
        <f>INT(SUMIFS(raw[stay],raw[home],homes[[#This Row],[home]],raw[notHome],0))</f>
        <v/>
      </c>
      <c r="BE20" s="1512">
        <f>IF(homes[[#This Row],[main]]=0,"-",homes[[#This Row],[netmain]]/homes[[#This Row],[main]])</f>
        <v/>
      </c>
      <c r="BF20" s="1511">
        <f>INT(SUMIFS(raw[stay],raw[transit],homes[[#This Row],[home]]))</f>
        <v/>
      </c>
      <c r="BG20" s="1511">
        <f>homes[[#This Row],[netmain]]+homes[[#This Row],[extra]]</f>
        <v/>
      </c>
      <c r="BH20" s="1432" t="inlineStr">
        <is>
          <t>.</t>
        </is>
      </c>
      <c r="BI20" s="1473">
        <f>IF(BJ20&lt;&gt;"",BI19+1,BI19)</f>
        <v/>
      </c>
      <c r="BJ20" s="1473" t="n"/>
      <c r="BK20" s="1473" t="n"/>
      <c r="BL20" s="1500">
        <f>IF(BJ20="",0,BI20)</f>
        <v/>
      </c>
      <c r="BM20" s="1513">
        <f>BJ20</f>
        <v/>
      </c>
      <c r="BN20" s="1513">
        <f>_xlfn.XLOOKUP(homeCities[[#This Row],[homeCity]],ccc[city],ccc[ctry],"-")</f>
        <v/>
      </c>
      <c r="BO20" s="1467" t="n"/>
      <c r="BP20" s="1514" t="n">
        <v>16</v>
      </c>
      <c r="BQ20" s="1513">
        <f>[1]Sheet1!C21</f>
        <v/>
      </c>
      <c r="BR20" s="1515">
        <f>[1]Sheet1!D21</f>
        <v/>
      </c>
      <c r="BS20" s="1513">
        <f>[1]Sheet1!E21</f>
        <v/>
      </c>
      <c r="BT20" s="1515">
        <f>[1]Sheet1!F21</f>
        <v/>
      </c>
      <c r="BU20" s="1516">
        <f>[1]Sheet1!G21</f>
        <v/>
      </c>
      <c r="BV20" s="1513">
        <f>[1]Sheet1!H21</f>
        <v/>
      </c>
      <c r="BW20" s="1467" t="n"/>
      <c r="BX20" s="1491">
        <f>[1]Sheet1!$J21</f>
        <v/>
      </c>
      <c r="BY20" s="1517">
        <f>[1]Sheet1!$K21</f>
        <v/>
      </c>
      <c r="BZ20" s="1517">
        <f>[1]Sheet1!$L21</f>
        <v/>
      </c>
      <c r="CA20" s="1500">
        <f>[1]Sheet1!$M21</f>
        <v/>
      </c>
      <c r="CB20" s="1467" t="n"/>
      <c r="CC20" s="1467" t="n"/>
      <c r="CD20" s="1500">
        <f>[1]Sheet1!$P21</f>
        <v/>
      </c>
      <c r="CE20" s="1513">
        <f>[1]Sheet1!$Q21</f>
        <v/>
      </c>
      <c r="CF20" s="1515">
        <f>[1]Sheet1!$R21</f>
        <v/>
      </c>
      <c r="CG20" s="1477" t="n"/>
      <c r="CH20" s="1513" t="n"/>
      <c r="CI20" s="1513" t="n"/>
      <c r="CJ20" s="1513" t="n"/>
      <c r="CK20" s="1477" t="n"/>
      <c r="CL20" s="1521" t="n">
        <v>16</v>
      </c>
      <c r="CM20" s="1500" t="inlineStr">
        <is>
          <t>Bruxelas-SSA</t>
        </is>
      </c>
      <c r="CN20" s="1500" t="inlineStr">
        <is>
          <t>Bruxelas</t>
        </is>
      </c>
      <c r="CO20" s="1500" t="inlineStr">
        <is>
          <t>SSA</t>
        </is>
      </c>
      <c r="CP20" s="1514" t="n">
        <v>8200</v>
      </c>
      <c r="CQ20" s="1477" t="n"/>
      <c r="CR20" s="1491" t="n"/>
      <c r="CS20" s="1491" t="n"/>
      <c r="CT20" s="1432" t="inlineStr">
        <is>
          <t>.</t>
        </is>
      </c>
      <c r="CU20" s="1477" t="n"/>
      <c r="CV20" s="1477" t="n"/>
      <c r="CW20" s="1477" t="n"/>
      <c r="CX20" s="1477" t="n"/>
    </row>
    <row r="21">
      <c r="A21" s="1427" t="inlineStr">
        <is>
          <t>.</t>
        </is>
      </c>
      <c r="B21" s="1496" t="n"/>
      <c r="C21" s="1496" t="n"/>
      <c r="D21" s="1497">
        <f>IF(E21&lt;&gt;"",D20+1,D20)</f>
        <v/>
      </c>
      <c r="E21" s="1497" t="inlineStr">
        <is>
          <t>Gramado</t>
        </is>
      </c>
      <c r="F21" s="1427" t="inlineStr">
        <is>
          <t>.</t>
        </is>
      </c>
      <c r="G21" s="1498">
        <f>IF(H21="AIR",0,IF(H20="AIR",G19+1,IF(H21&lt;&gt;"",G20+1,G20)))</f>
        <v/>
      </c>
      <c r="H21" s="1498" t="inlineStr">
        <is>
          <t>Porto Alegre</t>
        </is>
      </c>
      <c r="I21" s="1427" t="inlineStr">
        <is>
          <t>.</t>
        </is>
      </c>
      <c r="J21" s="1499" t="n">
        <v>16</v>
      </c>
      <c r="K21" s="1500">
        <f>_xlfn.XLOOKUP(cities[[#This Row],[id]],$D$5:$D$1500,E$5:E$1500,"-")</f>
        <v/>
      </c>
      <c r="L21" s="1500">
        <f>_xlfn.XLOOKUP(cities[[#This Row],[city]],ccc[city],ccc[ctry],"-")</f>
        <v/>
      </c>
      <c r="M21" s="1500">
        <f>SUMIFS(stayCity[stay],stayCity[city],cities[[#This Row],[city]])</f>
        <v/>
      </c>
      <c r="N21" s="1427">
        <f>N20+1</f>
        <v/>
      </c>
      <c r="O21" s="1501">
        <f/>
        <v/>
      </c>
      <c r="P21" s="1501">
        <f/>
        <v/>
      </c>
      <c r="Q21" s="1427" t="inlineStr">
        <is>
          <t>.</t>
        </is>
      </c>
      <c r="R21" s="1473">
        <f>IF(S21&lt;&gt;"",R20+1,R20)</f>
        <v/>
      </c>
      <c r="S21" s="1473" t="inlineStr">
        <is>
          <t>TUR-A</t>
        </is>
      </c>
      <c r="T21" s="1427" t="inlineStr">
        <is>
          <t>.</t>
        </is>
      </c>
      <c r="U21" s="1496" t="n">
        <v>16</v>
      </c>
      <c r="V21" s="1500">
        <f>_xlfn.XLOOKUP(ctries[[#This Row],[id]],$R$5:$R$1000,S$5:S$1000,"-")</f>
        <v/>
      </c>
      <c r="W21" s="1500">
        <f>IF(OR(ctries[[#This Row],[id]]=0,ctries[[#This Row],[id]]=99),"-",COUNTIF(cities[ctry],ctries[[#This Row],[ctry]]))</f>
        <v/>
      </c>
      <c r="X21" s="1503">
        <f>_xlfn.XLOOKUP(ctries[[#This Row],[ctry]],ccc[ctry],ccc[cont],"-")</f>
        <v/>
      </c>
      <c r="Y21" s="1500">
        <f>IF(ctries[[#This Row],[cont]]="B","B","W")</f>
        <v/>
      </c>
      <c r="Z21" s="1427" t="inlineStr">
        <is>
          <t>.</t>
        </is>
      </c>
      <c r="AA21" s="1473">
        <f>IF(AB21&lt;&gt;"",AA20+1,AA20)</f>
        <v/>
      </c>
      <c r="AB21" s="1473" t="inlineStr">
        <is>
          <t>Miami-SSA</t>
        </is>
      </c>
      <c r="AC21" s="1473">
        <f>IF(AD21&lt;&gt;"",AC20+1,AC20)</f>
        <v/>
      </c>
      <c r="AD21" s="1473" t="inlineStr">
        <is>
          <t>Recife</t>
        </is>
      </c>
      <c r="AE21" s="1427" t="inlineStr">
        <is>
          <t>.</t>
        </is>
      </c>
      <c r="AF21" s="1502" t="n">
        <v>17</v>
      </c>
      <c r="AG21" s="1500">
        <f>_xlfn.XLOOKUP(routes[[#This Row],[id]],$AA$5:$AA$300,$AB$5:$AB$300,"-")</f>
        <v/>
      </c>
      <c r="AH21" s="1500">
        <f>_xlfn.XLOOKUP(routes[[#This Row],[route]],routesUniv[route],routesUniv[outbound],"-")</f>
        <v/>
      </c>
      <c r="AI21" s="1500">
        <f>_xlfn.XLOOKUP(routes[[#This Row],[route]],routesUniv[route],routesUniv[inbound],"-")</f>
        <v/>
      </c>
      <c r="AJ21" s="1500">
        <f>_xlfn.XLOOKUP(routes[[#This Row],[route]],routesUniv[route],routesUniv[km],"-")</f>
        <v/>
      </c>
      <c r="AK21" s="1500">
        <f>COUNTIF(INPUT!BT$5:BT$1000,AG21)</f>
        <v/>
      </c>
      <c r="AL21" s="1505">
        <f>routes[[#This Row],[km]]*routes[[#This Row],[rpt]]/1000</f>
        <v/>
      </c>
      <c r="AM21" s="1481" t="inlineStr">
        <is>
          <t>.</t>
        </is>
      </c>
      <c r="AN21" s="1506" t="n">
        <v>17</v>
      </c>
      <c r="AO21" s="1500">
        <f>IF(AD21&lt;&gt;"",AD21,"-")</f>
        <v/>
      </c>
      <c r="AP21" s="1500">
        <f>_xlfn.XLOOKUP(cityRoutes[[#This Row],[city]],ccc[city],ccc[ctry],"-")</f>
        <v/>
      </c>
      <c r="AQ21" s="1500">
        <f>COUNTIF(INPUT!BR$5:BS$1000,AO21)</f>
        <v/>
      </c>
      <c r="AR21" s="1507">
        <f>(SUMIFS(routes[total],routes[outbound],AO21)+SUMIFS(routes[total],routes[inbound],AO21))/2</f>
        <v/>
      </c>
      <c r="AS21" s="1481" t="inlineStr">
        <is>
          <t>.</t>
        </is>
      </c>
      <c r="AT21" s="1473">
        <f>IF(AU21&lt;&gt;"",AT20+1,AT20)</f>
        <v/>
      </c>
      <c r="AU21" s="1473" t="inlineStr">
        <is>
          <t>Thomas/Barnfield</t>
        </is>
      </c>
      <c r="AV21" s="1506">
        <f>IF(AT21&lt;=AT$3,AT21,0)</f>
        <v/>
      </c>
      <c r="AW21" s="1500">
        <f>AU21</f>
        <v/>
      </c>
      <c r="AX21" s="1508">
        <f>_xlfn.XLOOKUP(homes[[#This Row],[home]],raw[home],raw[city],"-")</f>
        <v/>
      </c>
      <c r="AY21" s="1500">
        <f>_xlfn.XLOOKUP(homes[[#This Row],[city]],ccc[city],ccc[ctry],"-")</f>
        <v/>
      </c>
      <c r="AZ21" s="1509">
        <f>_xlfn.XLOOKUP(AU21,raw[home],raw[in])</f>
        <v/>
      </c>
      <c r="BA21" s="1510" t="n"/>
      <c r="BB21" s="1500">
        <f>COUNTIF(INPUT!BX21:BX116,AU21)</f>
        <v/>
      </c>
      <c r="BC21" s="1511">
        <f>INT(SUMIFS(raw[stay],raw[home],homes[[#This Row],[home]]))</f>
        <v/>
      </c>
      <c r="BD21" s="1511">
        <f>INT(SUMIFS(raw[stay],raw[home],homes[[#This Row],[home]],raw[notHome],0))</f>
        <v/>
      </c>
      <c r="BE21" s="1512">
        <f>IF(homes[[#This Row],[main]]=0,"-",homes[[#This Row],[netmain]]/homes[[#This Row],[main]])</f>
        <v/>
      </c>
      <c r="BF21" s="1511">
        <f>INT(SUMIFS(raw[stay],raw[transit],homes[[#This Row],[home]]))</f>
        <v/>
      </c>
      <c r="BG21" s="1511">
        <f>homes[[#This Row],[netmain]]+homes[[#This Row],[extra]]</f>
        <v/>
      </c>
      <c r="BH21" s="1432" t="inlineStr">
        <is>
          <t>.</t>
        </is>
      </c>
      <c r="BI21" s="1491" t="n"/>
      <c r="BJ21" s="1491" t="n"/>
      <c r="BK21" s="1491" t="n"/>
      <c r="BL21" s="1491" t="n"/>
      <c r="BM21" s="1491" t="n"/>
      <c r="BN21" s="1491" t="n"/>
      <c r="BO21" s="1467" t="n"/>
      <c r="BP21" s="1514" t="n">
        <v>17</v>
      </c>
      <c r="BQ21" s="1513">
        <f>[1]Sheet1!C22</f>
        <v/>
      </c>
      <c r="BR21" s="1515">
        <f>[1]Sheet1!D22</f>
        <v/>
      </c>
      <c r="BS21" s="1513">
        <f>[1]Sheet1!E22</f>
        <v/>
      </c>
      <c r="BT21" s="1515">
        <f>[1]Sheet1!F22</f>
        <v/>
      </c>
      <c r="BU21" s="1516">
        <f>[1]Sheet1!G22</f>
        <v/>
      </c>
      <c r="BV21" s="1513">
        <f>[1]Sheet1!H22</f>
        <v/>
      </c>
      <c r="BW21" s="1467" t="n"/>
      <c r="BX21" s="1491">
        <f>[1]Sheet1!$J22</f>
        <v/>
      </c>
      <c r="BY21" s="1517">
        <f>[1]Sheet1!$K22</f>
        <v/>
      </c>
      <c r="BZ21" s="1517">
        <f>[1]Sheet1!$L22</f>
        <v/>
      </c>
      <c r="CA21" s="1500">
        <f>[1]Sheet1!$M22</f>
        <v/>
      </c>
      <c r="CB21" s="1467" t="n"/>
      <c r="CC21" s="1467" t="n"/>
      <c r="CD21" s="1500">
        <f>[1]Sheet1!$P22</f>
        <v/>
      </c>
      <c r="CE21" s="1513">
        <f>[1]Sheet1!$Q22</f>
        <v/>
      </c>
      <c r="CF21" s="1515">
        <f>[1]Sheet1!$R22</f>
        <v/>
      </c>
      <c r="CG21" s="1477" t="n"/>
      <c r="CH21" s="1513" t="n"/>
      <c r="CI21" s="1513" t="n"/>
      <c r="CJ21" s="1513" t="n"/>
      <c r="CK21" s="1477" t="n"/>
      <c r="CL21" s="1521" t="n">
        <v>17</v>
      </c>
      <c r="CM21" s="1513" t="inlineStr">
        <is>
          <t>Buenos Aires-SP</t>
        </is>
      </c>
      <c r="CN21" s="1513" t="inlineStr">
        <is>
          <t>Buenos Aires</t>
        </is>
      </c>
      <c r="CO21" s="1513" t="inlineStr">
        <is>
          <t>SP</t>
        </is>
      </c>
      <c r="CP21" s="1514" t="n">
        <v>1700</v>
      </c>
      <c r="CQ21" s="1477" t="n"/>
      <c r="CR21" s="1491" t="n"/>
      <c r="CS21" s="1491" t="n"/>
      <c r="CT21" s="1491" t="n"/>
      <c r="CU21" s="1491" t="n"/>
      <c r="CV21" s="1491" t="n"/>
      <c r="CW21" s="1491" t="n"/>
      <c r="CX21" s="1491" t="n"/>
    </row>
    <row r="22">
      <c r="A22" s="1427" t="inlineStr">
        <is>
          <t>.</t>
        </is>
      </c>
      <c r="B22" s="1496" t="n"/>
      <c r="C22" s="1496" t="n"/>
      <c r="D22" s="1497">
        <f>IF(E22&lt;&gt;"",D21+1,D21)</f>
        <v/>
      </c>
      <c r="E22" s="1497" t="inlineStr">
        <is>
          <t>Aracaju</t>
        </is>
      </c>
      <c r="F22" s="1427" t="inlineStr">
        <is>
          <t>.</t>
        </is>
      </c>
      <c r="G22" s="1498">
        <f>IF(H22="AIR",0,IF(H21="AIR",G20+1,IF(H22&lt;&gt;"",G21+1,G21)))</f>
        <v/>
      </c>
      <c r="H22" s="1498" t="inlineStr">
        <is>
          <t>Gramado</t>
        </is>
      </c>
      <c r="I22" s="1427" t="inlineStr">
        <is>
          <t>.</t>
        </is>
      </c>
      <c r="J22" s="1499" t="n">
        <v>17</v>
      </c>
      <c r="K22" s="1500">
        <f>_xlfn.XLOOKUP(cities[[#This Row],[id]],$D$5:$D$1500,E$5:E$1500,"-")</f>
        <v/>
      </c>
      <c r="L22" s="1500">
        <f>_xlfn.XLOOKUP(cities[[#This Row],[city]],ccc[city],ccc[ctry],"-")</f>
        <v/>
      </c>
      <c r="M22" s="1500">
        <f>SUMIFS(stayCity[stay],stayCity[city],cities[[#This Row],[city]])</f>
        <v/>
      </c>
      <c r="N22" s="1427">
        <f>N21+1</f>
        <v/>
      </c>
      <c r="O22" s="1501">
        <f/>
        <v/>
      </c>
      <c r="P22" s="1501">
        <f/>
        <v/>
      </c>
      <c r="Q22" s="1427" t="inlineStr">
        <is>
          <t>.</t>
        </is>
      </c>
      <c r="R22" s="1473">
        <f>IF(S22&lt;&gt;"",R21+1,R21)</f>
        <v/>
      </c>
      <c r="S22" s="1473" t="inlineStr">
        <is>
          <t>TUR-E</t>
        </is>
      </c>
      <c r="T22" s="1427" t="inlineStr">
        <is>
          <t>.</t>
        </is>
      </c>
      <c r="U22" s="1496" t="n">
        <v>17</v>
      </c>
      <c r="V22" s="1500">
        <f>_xlfn.XLOOKUP(ctries[[#This Row],[id]],$R$5:$R$1000,S$5:S$1000,"-")</f>
        <v/>
      </c>
      <c r="W22" s="1500">
        <f>IF(OR(ctries[[#This Row],[id]]=0,ctries[[#This Row],[id]]=99),"-",COUNTIF(cities[ctry],ctries[[#This Row],[ctry]]))</f>
        <v/>
      </c>
      <c r="X22" s="1503">
        <f>_xlfn.XLOOKUP(ctries[[#This Row],[ctry]],ccc[ctry],ccc[cont],"-")</f>
        <v/>
      </c>
      <c r="Y22" s="1500">
        <f>IF(ctries[[#This Row],[cont]]="B","B","W")</f>
        <v/>
      </c>
      <c r="Z22" s="1427" t="inlineStr">
        <is>
          <t>.</t>
        </is>
      </c>
      <c r="AA22" s="1473">
        <f>IF(AB22&lt;&gt;"",AA21+1,AA21)</f>
        <v/>
      </c>
      <c r="AB22" s="1473" t="inlineStr">
        <is>
          <t>SSA-Recife</t>
        </is>
      </c>
      <c r="AC22" s="1473">
        <f>IF(AD22&lt;&gt;"",AC21+1,AC21)</f>
        <v/>
      </c>
      <c r="AD22" s="1473" t="inlineStr">
        <is>
          <t>Paris</t>
        </is>
      </c>
      <c r="AE22" s="1427" t="inlineStr">
        <is>
          <t>.</t>
        </is>
      </c>
      <c r="AF22" s="1502" t="n">
        <v>18</v>
      </c>
      <c r="AG22" s="1500">
        <f>_xlfn.XLOOKUP(routes[[#This Row],[id]],$AA$5:$AA$300,$AB$5:$AB$300,"-")</f>
        <v/>
      </c>
      <c r="AH22" s="1500">
        <f>_xlfn.XLOOKUP(routes[[#This Row],[route]],routesUniv[route],routesUniv[outbound],"-")</f>
        <v/>
      </c>
      <c r="AI22" s="1500">
        <f>_xlfn.XLOOKUP(routes[[#This Row],[route]],routesUniv[route],routesUniv[inbound],"-")</f>
        <v/>
      </c>
      <c r="AJ22" s="1500">
        <f>_xlfn.XLOOKUP(routes[[#This Row],[route]],routesUniv[route],routesUniv[km],"-")</f>
        <v/>
      </c>
      <c r="AK22" s="1500">
        <f>COUNTIF(INPUT!BT$5:BT$1000,AG22)</f>
        <v/>
      </c>
      <c r="AL22" s="1505">
        <f>routes[[#This Row],[km]]*routes[[#This Row],[rpt]]/1000</f>
        <v/>
      </c>
      <c r="AM22" s="1481" t="inlineStr">
        <is>
          <t>.</t>
        </is>
      </c>
      <c r="AN22" s="1506" t="n">
        <v>18</v>
      </c>
      <c r="AO22" s="1500">
        <f>IF(AD22&lt;&gt;"",AD22,"-")</f>
        <v/>
      </c>
      <c r="AP22" s="1500">
        <f>_xlfn.XLOOKUP(cityRoutes[[#This Row],[city]],ccc[city],ccc[ctry],"-")</f>
        <v/>
      </c>
      <c r="AQ22" s="1500">
        <f>COUNTIF(INPUT!BR$5:BS$1000,AO22)</f>
        <v/>
      </c>
      <c r="AR22" s="1507">
        <f>(SUMIFS(routes[total],routes[outbound],AO22)+SUMIFS(routes[total],routes[inbound],AO22))/2</f>
        <v/>
      </c>
      <c r="AS22" s="1481" t="inlineStr">
        <is>
          <t>.</t>
        </is>
      </c>
      <c r="AT22" s="1473">
        <f>IF(AU22&lt;&gt;"",AT21+1,AT21)</f>
        <v/>
      </c>
      <c r="AU22" s="1473" t="inlineStr">
        <is>
          <t>Columbia</t>
        </is>
      </c>
      <c r="AV22" s="1506">
        <f>IF(AT22&lt;=AT$3,AT22,0)</f>
        <v/>
      </c>
      <c r="AW22" s="1500">
        <f>AU22</f>
        <v/>
      </c>
      <c r="AX22" s="1508">
        <f>_xlfn.XLOOKUP(homes[[#This Row],[home]],raw[home],raw[city],"-")</f>
        <v/>
      </c>
      <c r="AY22" s="1500">
        <f>_xlfn.XLOOKUP(homes[[#This Row],[city]],ccc[city],ccc[ctry],"-")</f>
        <v/>
      </c>
      <c r="AZ22" s="1509">
        <f>_xlfn.XLOOKUP(AU22,raw[home],raw[in])</f>
        <v/>
      </c>
      <c r="BA22" s="1510" t="n"/>
      <c r="BB22" s="1500">
        <f>COUNTIF(INPUT!BX22:BX117,AU22)</f>
        <v/>
      </c>
      <c r="BC22" s="1511">
        <f>INT(SUMIFS(raw[stay],raw[home],homes[[#This Row],[home]]))</f>
        <v/>
      </c>
      <c r="BD22" s="1511">
        <f>INT(SUMIFS(raw[stay],raw[home],homes[[#This Row],[home]],raw[notHome],0))</f>
        <v/>
      </c>
      <c r="BE22" s="1512">
        <f>IF(homes[[#This Row],[main]]=0,"-",homes[[#This Row],[netmain]]/homes[[#This Row],[main]])</f>
        <v/>
      </c>
      <c r="BF22" s="1511">
        <f>INT(SUMIFS(raw[stay],raw[transit],homes[[#This Row],[home]]))</f>
        <v/>
      </c>
      <c r="BG22" s="1511">
        <f>homes[[#This Row],[netmain]]+homes[[#This Row],[extra]]</f>
        <v/>
      </c>
      <c r="BH22" s="1432" t="inlineStr">
        <is>
          <t>.</t>
        </is>
      </c>
      <c r="BI22" s="1491" t="n"/>
      <c r="BJ22" s="1491" t="n"/>
      <c r="BK22" s="1491" t="n"/>
      <c r="BL22" s="1491" t="n"/>
      <c r="BM22" s="1491" t="n"/>
      <c r="BN22" s="1491" t="n"/>
      <c r="BO22" s="1467" t="n"/>
      <c r="BP22" s="1514" t="n">
        <v>18</v>
      </c>
      <c r="BQ22" s="1513">
        <f>[1]Sheet1!C23</f>
        <v/>
      </c>
      <c r="BR22" s="1515">
        <f>[1]Sheet1!D23</f>
        <v/>
      </c>
      <c r="BS22" s="1513">
        <f>[1]Sheet1!E23</f>
        <v/>
      </c>
      <c r="BT22" s="1515">
        <f>[1]Sheet1!F23</f>
        <v/>
      </c>
      <c r="BU22" s="1516">
        <f>[1]Sheet1!G23</f>
        <v/>
      </c>
      <c r="BV22" s="1513">
        <f>[1]Sheet1!H23</f>
        <v/>
      </c>
      <c r="BW22" s="1467" t="n"/>
      <c r="BX22" s="1491">
        <f>[1]Sheet1!$J23</f>
        <v/>
      </c>
      <c r="BY22" s="1517">
        <f>[1]Sheet1!$K23</f>
        <v/>
      </c>
      <c r="BZ22" s="1517">
        <f>[1]Sheet1!$L23</f>
        <v/>
      </c>
      <c r="CA22" s="1500">
        <f>[1]Sheet1!$M23</f>
        <v/>
      </c>
      <c r="CB22" s="1467" t="n"/>
      <c r="CC22" s="1467" t="n"/>
      <c r="CD22" s="1500">
        <f>[1]Sheet1!$P23</f>
        <v/>
      </c>
      <c r="CE22" s="1513">
        <f>[1]Sheet1!$Q23</f>
        <v/>
      </c>
      <c r="CF22" s="1515">
        <f>[1]Sheet1!$R23</f>
        <v/>
      </c>
      <c r="CG22" s="1477" t="n"/>
      <c r="CH22" s="1513" t="n"/>
      <c r="CI22" s="1513" t="n"/>
      <c r="CJ22" s="1513" t="n"/>
      <c r="CK22" s="1477" t="n"/>
      <c r="CL22" s="1521" t="n">
        <v>18</v>
      </c>
      <c r="CM22" s="1500" t="inlineStr">
        <is>
          <t>Cairo-Athens</t>
        </is>
      </c>
      <c r="CN22" s="1500" t="inlineStr">
        <is>
          <t>Cairo</t>
        </is>
      </c>
      <c r="CO22" s="1500" t="inlineStr">
        <is>
          <t>Athens</t>
        </is>
      </c>
      <c r="CP22" s="1514" t="n">
        <v>1200</v>
      </c>
      <c r="CQ22" s="1477" t="n"/>
      <c r="CR22" s="1491" t="n"/>
      <c r="CS22" s="1491" t="n"/>
      <c r="CT22" s="1491" t="n"/>
      <c r="CU22" s="1491" t="n"/>
      <c r="CV22" s="1491" t="n"/>
      <c r="CW22" s="1491" t="n"/>
      <c r="CX22" s="1491" t="n"/>
    </row>
    <row r="23">
      <c r="A23" s="1427" t="inlineStr">
        <is>
          <t>.</t>
        </is>
      </c>
      <c r="B23" s="1496" t="n"/>
      <c r="C23" s="1496" t="n"/>
      <c r="D23" s="1497">
        <f>IF(E23&lt;&gt;"",D22+1,D22)</f>
        <v/>
      </c>
      <c r="E23" s="1497" t="inlineStr">
        <is>
          <t>Lima</t>
        </is>
      </c>
      <c r="F23" s="1427" t="inlineStr">
        <is>
          <t>.</t>
        </is>
      </c>
      <c r="G23" s="1498">
        <f>IF(H23="AIR",0,IF(H22="AIR",G21+1,IF(H23&lt;&gt;"",G22+1,G22)))</f>
        <v/>
      </c>
      <c r="H23" s="1498" t="inlineStr">
        <is>
          <t>Aracaju</t>
        </is>
      </c>
      <c r="I23" s="1427" t="inlineStr">
        <is>
          <t>.</t>
        </is>
      </c>
      <c r="J23" s="1499" t="n">
        <v>18</v>
      </c>
      <c r="K23" s="1500">
        <f>_xlfn.XLOOKUP(cities[[#This Row],[id]],$D$5:$D$1500,E$5:E$1500,"-")</f>
        <v/>
      </c>
      <c r="L23" s="1500">
        <f>_xlfn.XLOOKUP(cities[[#This Row],[city]],ccc[city],ccc[ctry],"-")</f>
        <v/>
      </c>
      <c r="M23" s="1500">
        <f>SUMIFS(stayCity[stay],stayCity[city],cities[[#This Row],[city]])</f>
        <v/>
      </c>
      <c r="N23" s="1427">
        <f>N22+1</f>
        <v/>
      </c>
      <c r="O23" s="1501">
        <f/>
        <v/>
      </c>
      <c r="P23" s="1501">
        <f/>
        <v/>
      </c>
      <c r="Q23" s="1427" t="inlineStr">
        <is>
          <t>.</t>
        </is>
      </c>
      <c r="R23" s="1473">
        <f>IF(S23&lt;&gt;"",R22+1,R22)</f>
        <v/>
      </c>
      <c r="S23" s="1473" t="inlineStr">
        <is>
          <t>BEL</t>
        </is>
      </c>
      <c r="T23" s="1427" t="inlineStr">
        <is>
          <t>.</t>
        </is>
      </c>
      <c r="U23" s="1496" t="n">
        <v>18</v>
      </c>
      <c r="V23" s="1500">
        <f>_xlfn.XLOOKUP(ctries[[#This Row],[id]],$R$5:$R$1000,S$5:S$1000,"-")</f>
        <v/>
      </c>
      <c r="W23" s="1500">
        <f>IF(OR(ctries[[#This Row],[id]]=0,ctries[[#This Row],[id]]=99),"-",COUNTIF(cities[ctry],ctries[[#This Row],[ctry]]))</f>
        <v/>
      </c>
      <c r="X23" s="1503">
        <f>_xlfn.XLOOKUP(ctries[[#This Row],[ctry]],ccc[ctry],ccc[cont],"-")</f>
        <v/>
      </c>
      <c r="Y23" s="1500">
        <f>IF(ctries[[#This Row],[cont]]="B","B","W")</f>
        <v/>
      </c>
      <c r="Z23" s="1427" t="inlineStr">
        <is>
          <t>.</t>
        </is>
      </c>
      <c r="AA23" s="1473">
        <f>IF(AB23&lt;&gt;"",AA22+1,AA22)</f>
        <v/>
      </c>
      <c r="AB23" s="1473" t="inlineStr">
        <is>
          <t>Recife-Paris</t>
        </is>
      </c>
      <c r="AC23" s="1473">
        <f>IF(AD23&lt;&gt;"",AC22+1,AC22)</f>
        <v/>
      </c>
      <c r="AD23" s="1473" t="inlineStr">
        <is>
          <t>Cairo</t>
        </is>
      </c>
      <c r="AE23" s="1427" t="inlineStr">
        <is>
          <t>.</t>
        </is>
      </c>
      <c r="AF23" s="1502" t="n">
        <v>19</v>
      </c>
      <c r="AG23" s="1500">
        <f>_xlfn.XLOOKUP(routes[[#This Row],[id]],$AA$5:$AA$300,$AB$5:$AB$300,"-")</f>
        <v/>
      </c>
      <c r="AH23" s="1500">
        <f>_xlfn.XLOOKUP(routes[[#This Row],[route]],routesUniv[route],routesUniv[outbound],"-")</f>
        <v/>
      </c>
      <c r="AI23" s="1500">
        <f>_xlfn.XLOOKUP(routes[[#This Row],[route]],routesUniv[route],routesUniv[inbound],"-")</f>
        <v/>
      </c>
      <c r="AJ23" s="1500">
        <f>_xlfn.XLOOKUP(routes[[#This Row],[route]],routesUniv[route],routesUniv[km],"-")</f>
        <v/>
      </c>
      <c r="AK23" s="1500">
        <f>COUNTIF(INPUT!BT$5:BT$1000,AG23)</f>
        <v/>
      </c>
      <c r="AL23" s="1505">
        <f>routes[[#This Row],[km]]*routes[[#This Row],[rpt]]/1000</f>
        <v/>
      </c>
      <c r="AM23" s="1481" t="inlineStr">
        <is>
          <t>.</t>
        </is>
      </c>
      <c r="AN23" s="1506" t="n">
        <v>19</v>
      </c>
      <c r="AO23" s="1500">
        <f>IF(AD23&lt;&gt;"",AD23,"-")</f>
        <v/>
      </c>
      <c r="AP23" s="1500">
        <f>_xlfn.XLOOKUP(cityRoutes[[#This Row],[city]],ccc[city],ccc[ctry],"-")</f>
        <v/>
      </c>
      <c r="AQ23" s="1500">
        <f>COUNTIF(INPUT!BR$5:BS$1000,AO23)</f>
        <v/>
      </c>
      <c r="AR23" s="1507">
        <f>(SUMIFS(routes[total],routes[outbound],AO23)+SUMIFS(routes[total],routes[inbound],AO23))/2</f>
        <v/>
      </c>
      <c r="AS23" s="1481" t="inlineStr">
        <is>
          <t>.</t>
        </is>
      </c>
      <c r="AT23" s="1473">
        <f>IF(AU23&lt;&gt;"",AT22+1,AT22)</f>
        <v/>
      </c>
      <c r="AU23" s="1473" t="inlineStr">
        <is>
          <t>Staybridge</t>
        </is>
      </c>
      <c r="AV23" s="1506">
        <f>IF(AT23&lt;=AT$3,AT23,0)</f>
        <v/>
      </c>
      <c r="AW23" s="1500">
        <f>AU23</f>
        <v/>
      </c>
      <c r="AX23" s="1508">
        <f>_xlfn.XLOOKUP(homes[[#This Row],[home]],raw[home],raw[city],"-")</f>
        <v/>
      </c>
      <c r="AY23" s="1500">
        <f>_xlfn.XLOOKUP(homes[[#This Row],[city]],ccc[city],ccc[ctry],"-")</f>
        <v/>
      </c>
      <c r="AZ23" s="1509">
        <f>_xlfn.XLOOKUP(AU23,raw[home],raw[in])</f>
        <v/>
      </c>
      <c r="BA23" s="1510" t="n"/>
      <c r="BB23" s="1500">
        <f>COUNTIF(INPUT!BX23:BX118,AU23)</f>
        <v/>
      </c>
      <c r="BC23" s="1511">
        <f>INT(SUMIFS(raw[stay],raw[home],homes[[#This Row],[home]]))</f>
        <v/>
      </c>
      <c r="BD23" s="1511">
        <f>INT(SUMIFS(raw[stay],raw[home],homes[[#This Row],[home]],raw[notHome],0))</f>
        <v/>
      </c>
      <c r="BE23" s="1512">
        <f>IF(homes[[#This Row],[main]]=0,"-",homes[[#This Row],[netmain]]/homes[[#This Row],[main]])</f>
        <v/>
      </c>
      <c r="BF23" s="1511">
        <f>INT(SUMIFS(raw[stay],raw[transit],homes[[#This Row],[home]]))</f>
        <v/>
      </c>
      <c r="BG23" s="1511">
        <f>homes[[#This Row],[netmain]]+homes[[#This Row],[extra]]</f>
        <v/>
      </c>
      <c r="BH23" s="1432" t="inlineStr">
        <is>
          <t>.</t>
        </is>
      </c>
      <c r="BI23" s="1491" t="n"/>
      <c r="BJ23" s="1491" t="n"/>
      <c r="BK23" s="1491" t="n"/>
      <c r="BL23" s="1491" t="n"/>
      <c r="BM23" s="1491" t="n"/>
      <c r="BN23" s="1491" t="n"/>
      <c r="BO23" s="1467" t="n"/>
      <c r="BP23" s="1514" t="n">
        <v>19</v>
      </c>
      <c r="BQ23" s="1513">
        <f>[1]Sheet1!C24</f>
        <v/>
      </c>
      <c r="BR23" s="1515">
        <f>[1]Sheet1!D24</f>
        <v/>
      </c>
      <c r="BS23" s="1513">
        <f>[1]Sheet1!E24</f>
        <v/>
      </c>
      <c r="BT23" s="1515">
        <f>[1]Sheet1!F24</f>
        <v/>
      </c>
      <c r="BU23" s="1516">
        <f>[1]Sheet1!G24</f>
        <v/>
      </c>
      <c r="BV23" s="1513">
        <f>[1]Sheet1!H24</f>
        <v/>
      </c>
      <c r="BW23" s="1467" t="n"/>
      <c r="BX23" s="1491">
        <f>[1]Sheet1!$J24</f>
        <v/>
      </c>
      <c r="BY23" s="1517">
        <f>[1]Sheet1!$K24</f>
        <v/>
      </c>
      <c r="BZ23" s="1517">
        <f>[1]Sheet1!$L24</f>
        <v/>
      </c>
      <c r="CA23" s="1500">
        <f>[1]Sheet1!$M24</f>
        <v/>
      </c>
      <c r="CB23" s="1467" t="n"/>
      <c r="CC23" s="1467" t="n"/>
      <c r="CD23" s="1500">
        <f>[1]Sheet1!$P24</f>
        <v/>
      </c>
      <c r="CE23" s="1513">
        <f>[1]Sheet1!$Q24</f>
        <v/>
      </c>
      <c r="CF23" s="1515">
        <f>[1]Sheet1!$R24</f>
        <v/>
      </c>
      <c r="CG23" s="1477" t="n"/>
      <c r="CH23" s="1513" t="n"/>
      <c r="CI23" s="1513" t="n"/>
      <c r="CJ23" s="1513" t="n"/>
      <c r="CK23" s="1477" t="n"/>
      <c r="CL23" s="1521" t="n">
        <v>19</v>
      </c>
      <c r="CM23" s="1513" t="inlineStr">
        <is>
          <t>Chicago-SP</t>
        </is>
      </c>
      <c r="CN23" s="1513" t="inlineStr">
        <is>
          <t>Chicago</t>
        </is>
      </c>
      <c r="CO23" s="1513" t="inlineStr">
        <is>
          <t>SP</t>
        </is>
      </c>
      <c r="CP23" s="1514" t="n">
        <v>8400</v>
      </c>
      <c r="CQ23" s="1477" t="n"/>
      <c r="CR23" s="1491" t="n"/>
      <c r="CS23" s="1491" t="n"/>
      <c r="CT23" s="1491" t="n"/>
      <c r="CU23" s="1491" t="n"/>
      <c r="CV23" s="1491" t="n"/>
      <c r="CW23" s="1491" t="n"/>
      <c r="CX23" s="1491" t="n"/>
    </row>
    <row r="24">
      <c r="A24" s="1427" t="inlineStr">
        <is>
          <t>.</t>
        </is>
      </c>
      <c r="B24" s="1496" t="n"/>
      <c r="C24" s="1496" t="n"/>
      <c r="D24" s="1497">
        <f>IF(E24&lt;&gt;"",D23+1,D23)</f>
        <v/>
      </c>
      <c r="E24" s="1497" t="inlineStr">
        <is>
          <t>Cuzco</t>
        </is>
      </c>
      <c r="F24" s="1427" t="inlineStr">
        <is>
          <t>.</t>
        </is>
      </c>
      <c r="G24" s="1498">
        <f>IF(H24="AIR",0,IF(H23="AIR",G22+1,IF(H24&lt;&gt;"",G23+1,G23)))</f>
        <v/>
      </c>
      <c r="H24" s="1498" t="inlineStr">
        <is>
          <t>AIR</t>
        </is>
      </c>
      <c r="I24" s="1427" t="inlineStr">
        <is>
          <t>.</t>
        </is>
      </c>
      <c r="J24" s="1499" t="n">
        <v>19</v>
      </c>
      <c r="K24" s="1500">
        <f>_xlfn.XLOOKUP(cities[[#This Row],[id]],$D$5:$D$1500,E$5:E$1500,"-")</f>
        <v/>
      </c>
      <c r="L24" s="1500">
        <f>_xlfn.XLOOKUP(cities[[#This Row],[city]],ccc[city],ccc[ctry],"-")</f>
        <v/>
      </c>
      <c r="M24" s="1500">
        <f>SUMIFS(stayCity[stay],stayCity[city],cities[[#This Row],[city]])</f>
        <v/>
      </c>
      <c r="N24" s="1427">
        <f>N23+1</f>
        <v/>
      </c>
      <c r="O24" s="1501">
        <f/>
        <v/>
      </c>
      <c r="P24" s="1501">
        <f/>
        <v/>
      </c>
      <c r="Q24" s="1427" t="inlineStr">
        <is>
          <t>.</t>
        </is>
      </c>
      <c r="R24" s="1473">
        <f>IF(S24&lt;&gt;"",R23+1,R23)</f>
        <v/>
      </c>
      <c r="S24" s="1473" t="inlineStr">
        <is>
          <t>ESP</t>
        </is>
      </c>
      <c r="T24" s="1427" t="inlineStr">
        <is>
          <t>.</t>
        </is>
      </c>
      <c r="U24" s="1496" t="n">
        <v>19</v>
      </c>
      <c r="V24" s="1500">
        <f>_xlfn.XLOOKUP(ctries[[#This Row],[id]],$R$5:$R$1000,S$5:S$1000,"-")</f>
        <v/>
      </c>
      <c r="W24" s="1500">
        <f>IF(OR(ctries[[#This Row],[id]]=0,ctries[[#This Row],[id]]=99),"-",COUNTIF(cities[ctry],ctries[[#This Row],[ctry]]))</f>
        <v/>
      </c>
      <c r="X24" s="1503">
        <f>_xlfn.XLOOKUP(ctries[[#This Row],[ctry]],ccc[ctry],ccc[cont],"-")</f>
        <v/>
      </c>
      <c r="Y24" s="1500">
        <f>IF(ctries[[#This Row],[cont]]="B","B","W")</f>
        <v/>
      </c>
      <c r="Z24" s="1427" t="inlineStr">
        <is>
          <t>.</t>
        </is>
      </c>
      <c r="AA24" s="1473">
        <f>IF(AB24&lt;&gt;"",AA23+1,AA23)</f>
        <v/>
      </c>
      <c r="AB24" s="1473" t="inlineStr">
        <is>
          <t>Paris-Recife</t>
        </is>
      </c>
      <c r="AC24" s="1473">
        <f>IF(AD24&lt;&gt;"",AC23+1,AC23)</f>
        <v/>
      </c>
      <c r="AD24" s="1473" t="inlineStr">
        <is>
          <t>Athens</t>
        </is>
      </c>
      <c r="AE24" s="1427" t="inlineStr">
        <is>
          <t>.</t>
        </is>
      </c>
      <c r="AF24" s="1502" t="n">
        <v>20</v>
      </c>
      <c r="AG24" s="1500">
        <f>_xlfn.XLOOKUP(routes[[#This Row],[id]],$AA$5:$AA$300,$AB$5:$AB$300,"-")</f>
        <v/>
      </c>
      <c r="AH24" s="1500">
        <f>_xlfn.XLOOKUP(routes[[#This Row],[route]],routesUniv[route],routesUniv[outbound],"-")</f>
        <v/>
      </c>
      <c r="AI24" s="1500">
        <f>_xlfn.XLOOKUP(routes[[#This Row],[route]],routesUniv[route],routesUniv[inbound],"-")</f>
        <v/>
      </c>
      <c r="AJ24" s="1500">
        <f>_xlfn.XLOOKUP(routes[[#This Row],[route]],routesUniv[route],routesUniv[km],"-")</f>
        <v/>
      </c>
      <c r="AK24" s="1500">
        <f>COUNTIF(INPUT!BT$5:BT$1000,AG24)</f>
        <v/>
      </c>
      <c r="AL24" s="1505">
        <f>routes[[#This Row],[km]]*routes[[#This Row],[rpt]]/1000</f>
        <v/>
      </c>
      <c r="AM24" s="1481" t="inlineStr">
        <is>
          <t>.</t>
        </is>
      </c>
      <c r="AN24" s="1506" t="n">
        <v>20</v>
      </c>
      <c r="AO24" s="1500">
        <f>IF(AD24&lt;&gt;"",AD24,"-")</f>
        <v/>
      </c>
      <c r="AP24" s="1500">
        <f>_xlfn.XLOOKUP(cityRoutes[[#This Row],[city]],ccc[city],ccc[ctry],"-")</f>
        <v/>
      </c>
      <c r="AQ24" s="1500">
        <f>COUNTIF(INPUT!BR$5:BS$1000,AO24)</f>
        <v/>
      </c>
      <c r="AR24" s="1507">
        <f>(SUMIFS(routes[total],routes[outbound],AO24)+SUMIFS(routes[total],routes[inbound],AO24))/2</f>
        <v/>
      </c>
      <c r="AS24" s="1481" t="inlineStr">
        <is>
          <t>.</t>
        </is>
      </c>
      <c r="AT24" s="1473">
        <f>IF(AU24&lt;&gt;"",AT23+1,AT23)</f>
        <v/>
      </c>
      <c r="AU24" s="1473" t="inlineStr">
        <is>
          <t>Fonteiana</t>
        </is>
      </c>
      <c r="AV24" s="1506">
        <f>IF(AT24&lt;=AT$3,AT24,0)</f>
        <v/>
      </c>
      <c r="AW24" s="1500">
        <f>AU24</f>
        <v/>
      </c>
      <c r="AX24" s="1508">
        <f>_xlfn.XLOOKUP(homes[[#This Row],[home]],raw[home],raw[city],"-")</f>
        <v/>
      </c>
      <c r="AY24" s="1500">
        <f>_xlfn.XLOOKUP(homes[[#This Row],[city]],ccc[city],ccc[ctry],"-")</f>
        <v/>
      </c>
      <c r="AZ24" s="1509">
        <f>_xlfn.XLOOKUP(AU24,raw[home],raw[in])</f>
        <v/>
      </c>
      <c r="BA24" s="1510" t="n"/>
      <c r="BB24" s="1500">
        <f>COUNTIF(INPUT!BX24:BX119,AU24)</f>
        <v/>
      </c>
      <c r="BC24" s="1511">
        <f>INT(SUMIFS(raw[stay],raw[home],homes[[#This Row],[home]]))</f>
        <v/>
      </c>
      <c r="BD24" s="1511">
        <f>INT(SUMIFS(raw[stay],raw[home],homes[[#This Row],[home]],raw[notHome],0))</f>
        <v/>
      </c>
      <c r="BE24" s="1512">
        <f>IF(homes[[#This Row],[main]]=0,"-",homes[[#This Row],[netmain]]/homes[[#This Row],[main]])</f>
        <v/>
      </c>
      <c r="BF24" s="1511">
        <f>INT(SUMIFS(raw[stay],raw[transit],homes[[#This Row],[home]]))</f>
        <v/>
      </c>
      <c r="BG24" s="1511">
        <f>homes[[#This Row],[netmain]]+homes[[#This Row],[extra]]</f>
        <v/>
      </c>
      <c r="BH24" s="1432" t="inlineStr">
        <is>
          <t>.</t>
        </is>
      </c>
      <c r="BI24" s="1491" t="n"/>
      <c r="BJ24" s="1491" t="n"/>
      <c r="BK24" s="1491" t="n"/>
      <c r="BL24" s="1491" t="n"/>
      <c r="BM24" s="1491" t="n"/>
      <c r="BN24" s="1491" t="n"/>
      <c r="BO24" s="1467" t="n"/>
      <c r="BP24" s="1514" t="n">
        <v>20</v>
      </c>
      <c r="BQ24" s="1513">
        <f>[1]Sheet1!C25</f>
        <v/>
      </c>
      <c r="BR24" s="1515">
        <f>[1]Sheet1!D25</f>
        <v/>
      </c>
      <c r="BS24" s="1513">
        <f>[1]Sheet1!E25</f>
        <v/>
      </c>
      <c r="BT24" s="1515">
        <f>[1]Sheet1!F25</f>
        <v/>
      </c>
      <c r="BU24" s="1516">
        <f>[1]Sheet1!G25</f>
        <v/>
      </c>
      <c r="BV24" s="1513">
        <f>[1]Sheet1!H25</f>
        <v/>
      </c>
      <c r="BW24" s="1467" t="n"/>
      <c r="BX24" s="1491">
        <f>[1]Sheet1!$J25</f>
        <v/>
      </c>
      <c r="BY24" s="1517">
        <f>[1]Sheet1!$K25</f>
        <v/>
      </c>
      <c r="BZ24" s="1517">
        <f>[1]Sheet1!$L25</f>
        <v/>
      </c>
      <c r="CA24" s="1500">
        <f>[1]Sheet1!$M25</f>
        <v/>
      </c>
      <c r="CB24" s="1467" t="n"/>
      <c r="CC24" s="1467" t="n"/>
      <c r="CD24" s="1500">
        <f>[1]Sheet1!$P25</f>
        <v/>
      </c>
      <c r="CE24" s="1513">
        <f>[1]Sheet1!$Q25</f>
        <v/>
      </c>
      <c r="CF24" s="1515">
        <f>[1]Sheet1!$R25</f>
        <v/>
      </c>
      <c r="CG24" s="1477" t="n"/>
      <c r="CH24" s="1513" t="n"/>
      <c r="CI24" s="1513" t="n"/>
      <c r="CJ24" s="1513" t="n"/>
      <c r="CK24" s="1477" t="n"/>
      <c r="CL24" s="1521" t="n">
        <v>20</v>
      </c>
      <c r="CM24" s="1513" t="inlineStr">
        <is>
          <t>Columbia-Washington</t>
        </is>
      </c>
      <c r="CN24" s="1513" t="inlineStr">
        <is>
          <t>Columbia</t>
        </is>
      </c>
      <c r="CO24" s="1513" t="inlineStr">
        <is>
          <t>Washington</t>
        </is>
      </c>
      <c r="CP24" s="1514" t="n">
        <v>700</v>
      </c>
      <c r="CQ24" s="1477" t="n"/>
      <c r="CR24" s="1491" t="n"/>
      <c r="CS24" s="1491" t="n"/>
      <c r="CT24" s="1491" t="n"/>
      <c r="CU24" s="1491" t="n"/>
      <c r="CV24" s="1491" t="n"/>
      <c r="CW24" s="1491" t="n"/>
      <c r="CX24" s="1491" t="n"/>
    </row>
    <row r="25">
      <c r="A25" s="1427" t="inlineStr">
        <is>
          <t>.</t>
        </is>
      </c>
      <c r="B25" s="1496" t="n"/>
      <c r="C25" s="1496" t="n"/>
      <c r="D25" s="1497">
        <f>IF(E25&lt;&gt;"",D24+1,D24)</f>
        <v/>
      </c>
      <c r="E25" s="1497" t="inlineStr">
        <is>
          <t>Macchu-Picchu</t>
        </is>
      </c>
      <c r="F25" s="1427" t="inlineStr">
        <is>
          <t>.</t>
        </is>
      </c>
      <c r="G25" s="1498">
        <f>IF(H25="AIR",0,IF(H24="AIR",G23+1,IF(H25&lt;&gt;"",G24+1,G24)))</f>
        <v/>
      </c>
      <c r="H25" s="1498" t="inlineStr">
        <is>
          <t>Lima</t>
        </is>
      </c>
      <c r="I25" s="1427" t="inlineStr">
        <is>
          <t>.</t>
        </is>
      </c>
      <c r="J25" s="1499" t="n">
        <v>20</v>
      </c>
      <c r="K25" s="1500">
        <f>_xlfn.XLOOKUP(cities[[#This Row],[id]],$D$5:$D$1500,E$5:E$1500,"-")</f>
        <v/>
      </c>
      <c r="L25" s="1500">
        <f>_xlfn.XLOOKUP(cities[[#This Row],[city]],ccc[city],ccc[ctry],"-")</f>
        <v/>
      </c>
      <c r="M25" s="1500">
        <f>SUMIFS(stayCity[stay],stayCity[city],cities[[#This Row],[city]])</f>
        <v/>
      </c>
      <c r="N25" s="1427">
        <f>N24+1</f>
        <v/>
      </c>
      <c r="O25" s="1501">
        <f/>
        <v/>
      </c>
      <c r="P25" s="1501">
        <f/>
        <v/>
      </c>
      <c r="Q25" s="1427" t="inlineStr">
        <is>
          <t>.</t>
        </is>
      </c>
      <c r="R25" s="1473">
        <f>IF(S25&lt;&gt;"",R24+1,R24)</f>
        <v/>
      </c>
      <c r="S25" s="1473" t="inlineStr">
        <is>
          <t>MAR</t>
        </is>
      </c>
      <c r="T25" s="1427" t="inlineStr">
        <is>
          <t>.</t>
        </is>
      </c>
      <c r="U25" s="1496" t="n">
        <v>20</v>
      </c>
      <c r="V25" s="1500">
        <f>_xlfn.XLOOKUP(ctries[[#This Row],[id]],$R$5:$R$1000,S$5:S$1000,"-")</f>
        <v/>
      </c>
      <c r="W25" s="1500">
        <f>IF(OR(ctries[[#This Row],[id]]=0,ctries[[#This Row],[id]]=99),"-",COUNTIF(cities[ctry],ctries[[#This Row],[ctry]]))</f>
        <v/>
      </c>
      <c r="X25" s="1503">
        <f>_xlfn.XLOOKUP(ctries[[#This Row],[ctry]],ccc[ctry],ccc[cont],"-")</f>
        <v/>
      </c>
      <c r="Y25" s="1500">
        <f>IF(ctries[[#This Row],[cont]]="B","B","W")</f>
        <v/>
      </c>
      <c r="Z25" s="1427" t="inlineStr">
        <is>
          <t>.</t>
        </is>
      </c>
      <c r="AA25" s="1473">
        <f>IF(AB25&lt;&gt;"",AA24+1,AA24)</f>
        <v/>
      </c>
      <c r="AB25" s="1473" t="inlineStr">
        <is>
          <t>Recife-SSA</t>
        </is>
      </c>
      <c r="AC25" s="1473">
        <f>IF(AD25&lt;&gt;"",AC24+1,AC24)</f>
        <v/>
      </c>
      <c r="AD25" s="1473" t="inlineStr">
        <is>
          <t>SP</t>
        </is>
      </c>
      <c r="AE25" s="1427" t="inlineStr">
        <is>
          <t>.</t>
        </is>
      </c>
      <c r="AF25" s="1502" t="n">
        <v>21</v>
      </c>
      <c r="AG25" s="1500">
        <f>_xlfn.XLOOKUP(routes[[#This Row],[id]],$AA$5:$AA$300,$AB$5:$AB$300,"-")</f>
        <v/>
      </c>
      <c r="AH25" s="1500">
        <f>_xlfn.XLOOKUP(routes[[#This Row],[route]],routesUniv[route],routesUniv[outbound],"-")</f>
        <v/>
      </c>
      <c r="AI25" s="1500">
        <f>_xlfn.XLOOKUP(routes[[#This Row],[route]],routesUniv[route],routesUniv[inbound],"-")</f>
        <v/>
      </c>
      <c r="AJ25" s="1500">
        <f>_xlfn.XLOOKUP(routes[[#This Row],[route]],routesUniv[route],routesUniv[km],"-")</f>
        <v/>
      </c>
      <c r="AK25" s="1500">
        <f>COUNTIF(INPUT!BT$5:BT$1000,AG25)</f>
        <v/>
      </c>
      <c r="AL25" s="1505">
        <f>routes[[#This Row],[km]]*routes[[#This Row],[rpt]]/1000</f>
        <v/>
      </c>
      <c r="AM25" s="1481" t="inlineStr">
        <is>
          <t>.</t>
        </is>
      </c>
      <c r="AN25" s="1506" t="n">
        <v>21</v>
      </c>
      <c r="AO25" s="1500">
        <f>IF(AD25&lt;&gt;"",AD25,"-")</f>
        <v/>
      </c>
      <c r="AP25" s="1500">
        <f>_xlfn.XLOOKUP(cityRoutes[[#This Row],[city]],ccc[city],ccc[ctry],"-")</f>
        <v/>
      </c>
      <c r="AQ25" s="1500">
        <f>COUNTIF(INPUT!BR$5:BS$1000,AO25)</f>
        <v/>
      </c>
      <c r="AR25" s="1507">
        <f>(SUMIFS(routes[total],routes[outbound],AO25)+SUMIFS(routes[total],routes[inbound],AO25))/2</f>
        <v/>
      </c>
      <c r="AS25" s="1481" t="inlineStr">
        <is>
          <t>.</t>
        </is>
      </c>
      <c r="AT25" s="1473">
        <f>IF(AU25&lt;&gt;"",AT24+1,AT24)</f>
        <v/>
      </c>
      <c r="AU25" s="1473" t="inlineStr">
        <is>
          <t>Bailen</t>
        </is>
      </c>
      <c r="AV25" s="1506">
        <f>IF(AT25&lt;=AT$3,AT25,0)</f>
        <v/>
      </c>
      <c r="AW25" s="1500">
        <f>AU25</f>
        <v/>
      </c>
      <c r="AX25" s="1508">
        <f>_xlfn.XLOOKUP(homes[[#This Row],[home]],raw[home],raw[city],"-")</f>
        <v/>
      </c>
      <c r="AY25" s="1500">
        <f>_xlfn.XLOOKUP(homes[[#This Row],[city]],ccc[city],ccc[ctry],"-")</f>
        <v/>
      </c>
      <c r="AZ25" s="1509">
        <f>_xlfn.XLOOKUP(AU25,raw[home],raw[in])</f>
        <v/>
      </c>
      <c r="BA25" s="1510" t="n"/>
      <c r="BB25" s="1500">
        <f>COUNTIF(INPUT!BX25:BX120,AU25)</f>
        <v/>
      </c>
      <c r="BC25" s="1511">
        <f>INT(SUMIFS(raw[stay],raw[home],homes[[#This Row],[home]]))</f>
        <v/>
      </c>
      <c r="BD25" s="1511">
        <f>INT(SUMIFS(raw[stay],raw[home],homes[[#This Row],[home]],raw[notHome],0))</f>
        <v/>
      </c>
      <c r="BE25" s="1512">
        <f>IF(homes[[#This Row],[main]]=0,"-",homes[[#This Row],[netmain]]/homes[[#This Row],[main]])</f>
        <v/>
      </c>
      <c r="BF25" s="1511">
        <f>INT(SUMIFS(raw[stay],raw[transit],homes[[#This Row],[home]]))</f>
        <v/>
      </c>
      <c r="BG25" s="1511">
        <f>homes[[#This Row],[netmain]]+homes[[#This Row],[extra]]</f>
        <v/>
      </c>
      <c r="BH25" s="1432" t="inlineStr">
        <is>
          <t>.</t>
        </is>
      </c>
      <c r="BI25" s="1491" t="n"/>
      <c r="BJ25" s="1491" t="n"/>
      <c r="BK25" s="1491" t="n"/>
      <c r="BL25" s="1491" t="n"/>
      <c r="BM25" s="1491" t="n"/>
      <c r="BN25" s="1491" t="n"/>
      <c r="BO25" s="1467" t="n"/>
      <c r="BP25" s="1514" t="n">
        <v>21</v>
      </c>
      <c r="BQ25" s="1513">
        <f>[1]Sheet1!C26</f>
        <v/>
      </c>
      <c r="BR25" s="1515">
        <f>[1]Sheet1!D26</f>
        <v/>
      </c>
      <c r="BS25" s="1513">
        <f>[1]Sheet1!E26</f>
        <v/>
      </c>
      <c r="BT25" s="1515">
        <f>[1]Sheet1!F26</f>
        <v/>
      </c>
      <c r="BU25" s="1516">
        <f>[1]Sheet1!G26</f>
        <v/>
      </c>
      <c r="BV25" s="1513">
        <f>[1]Sheet1!H26</f>
        <v/>
      </c>
      <c r="BW25" s="1467" t="n"/>
      <c r="BX25" s="1491">
        <f>[1]Sheet1!$J26</f>
        <v/>
      </c>
      <c r="BY25" s="1517">
        <f>[1]Sheet1!$K26</f>
        <v/>
      </c>
      <c r="BZ25" s="1517">
        <f>[1]Sheet1!$L26</f>
        <v/>
      </c>
      <c r="CA25" s="1500">
        <f>[1]Sheet1!$M26</f>
        <v/>
      </c>
      <c r="CB25" s="1467" t="n"/>
      <c r="CC25" s="1467" t="n"/>
      <c r="CD25" s="1500">
        <f>[1]Sheet1!$P26</f>
        <v/>
      </c>
      <c r="CE25" s="1513">
        <f>[1]Sheet1!$Q26</f>
        <v/>
      </c>
      <c r="CF25" s="1515">
        <f>[1]Sheet1!$R26</f>
        <v/>
      </c>
      <c r="CG25" s="1477" t="n"/>
      <c r="CH25" s="1513" t="n"/>
      <c r="CI25" s="1513" t="n"/>
      <c r="CJ25" s="1513" t="n"/>
      <c r="CK25" s="1477" t="n"/>
      <c r="CL25" s="1521" t="n">
        <v>21</v>
      </c>
      <c r="CM25" s="1513" t="inlineStr">
        <is>
          <t>Curitiba-SP</t>
        </is>
      </c>
      <c r="CN25" s="1513" t="inlineStr">
        <is>
          <t>Curitiba</t>
        </is>
      </c>
      <c r="CO25" s="1513" t="inlineStr">
        <is>
          <t>SP</t>
        </is>
      </c>
      <c r="CP25" s="1514" t="n">
        <v>300</v>
      </c>
      <c r="CQ25" s="1477" t="n"/>
      <c r="CR25" s="1491" t="n"/>
      <c r="CS25" s="1491" t="n"/>
      <c r="CT25" s="1491" t="n"/>
      <c r="CU25" s="1491" t="n"/>
      <c r="CV25" s="1491" t="n"/>
      <c r="CW25" s="1491" t="n"/>
      <c r="CX25" s="1491" t="n"/>
    </row>
    <row r="26">
      <c r="A26" s="1427" t="inlineStr">
        <is>
          <t>.</t>
        </is>
      </c>
      <c r="B26" s="1496" t="n"/>
      <c r="C26" s="1496" t="n"/>
      <c r="D26" s="1497">
        <f>IF(E26&lt;&gt;"",D25+1,D25)</f>
        <v/>
      </c>
      <c r="E26" s="1497" t="inlineStr">
        <is>
          <t>Mexico City</t>
        </is>
      </c>
      <c r="F26" s="1427" t="inlineStr">
        <is>
          <t>.</t>
        </is>
      </c>
      <c r="G26" s="1498">
        <f>IF(H26="AIR",0,IF(H25="AIR",G24+1,IF(H26&lt;&gt;"",G25+1,G25)))</f>
        <v/>
      </c>
      <c r="H26" s="1498" t="inlineStr">
        <is>
          <t>Cuzco</t>
        </is>
      </c>
      <c r="I26" s="1427" t="inlineStr">
        <is>
          <t>.</t>
        </is>
      </c>
      <c r="J26" s="1499" t="n">
        <v>21</v>
      </c>
      <c r="K26" s="1500">
        <f>_xlfn.XLOOKUP(cities[[#This Row],[id]],$D$5:$D$1500,E$5:E$1500,"-")</f>
        <v/>
      </c>
      <c r="L26" s="1500">
        <f>_xlfn.XLOOKUP(cities[[#This Row],[city]],ccc[city],ccc[ctry],"-")</f>
        <v/>
      </c>
      <c r="M26" s="1500">
        <f>SUMIFS(stayCity[stay],stayCity[city],cities[[#This Row],[city]])</f>
        <v/>
      </c>
      <c r="N26" s="1427">
        <f>N25+1</f>
        <v/>
      </c>
      <c r="O26" s="1501" t="n"/>
      <c r="P26" s="1501">
        <f/>
        <v/>
      </c>
      <c r="Q26" s="1427" t="inlineStr">
        <is>
          <t>.</t>
        </is>
      </c>
      <c r="R26" s="1473">
        <f>IF(S26&lt;&gt;"",R25+1,R25)</f>
        <v/>
      </c>
      <c r="S26" s="1473" t="inlineStr">
        <is>
          <t>SWE</t>
        </is>
      </c>
      <c r="T26" s="1427" t="inlineStr">
        <is>
          <t>.</t>
        </is>
      </c>
      <c r="U26" s="1496" t="n">
        <v>21</v>
      </c>
      <c r="V26" s="1500">
        <f>_xlfn.XLOOKUP(ctries[[#This Row],[id]],$R$5:$R$1000,S$5:S$1000,"-")</f>
        <v/>
      </c>
      <c r="W26" s="1500">
        <f>IF(OR(ctries[[#This Row],[id]]=0,ctries[[#This Row],[id]]=99),"-",COUNTIF(cities[ctry],ctries[[#This Row],[ctry]]))</f>
        <v/>
      </c>
      <c r="X26" s="1503">
        <f>_xlfn.XLOOKUP(ctries[[#This Row],[ctry]],ccc[ctry],ccc[cont],"-")</f>
        <v/>
      </c>
      <c r="Y26" s="1500">
        <f>IF(ctries[[#This Row],[cont]]="B","B","W")</f>
        <v/>
      </c>
      <c r="Z26" s="1427" t="inlineStr">
        <is>
          <t>.</t>
        </is>
      </c>
      <c r="AA26" s="1473">
        <f>IF(AB26&lt;&gt;"",AA25+1,AA25)</f>
        <v/>
      </c>
      <c r="AB26" s="1473" t="inlineStr">
        <is>
          <t>SSA-Cairo</t>
        </is>
      </c>
      <c r="AC26" s="1473">
        <f>IF(AD26&lt;&gt;"",AC25+1,AC25)</f>
        <v/>
      </c>
      <c r="AD26" s="1473" t="inlineStr">
        <is>
          <t>Stockholm</t>
        </is>
      </c>
      <c r="AE26" s="1427" t="inlineStr">
        <is>
          <t>.</t>
        </is>
      </c>
      <c r="AF26" s="1502" t="n">
        <v>22</v>
      </c>
      <c r="AG26" s="1500">
        <f>_xlfn.XLOOKUP(routes[[#This Row],[id]],$AA$5:$AA$300,$AB$5:$AB$300,"-")</f>
        <v/>
      </c>
      <c r="AH26" s="1500">
        <f>_xlfn.XLOOKUP(routes[[#This Row],[route]],routesUniv[route],routesUniv[outbound],"-")</f>
        <v/>
      </c>
      <c r="AI26" s="1500">
        <f>_xlfn.XLOOKUP(routes[[#This Row],[route]],routesUniv[route],routesUniv[inbound],"-")</f>
        <v/>
      </c>
      <c r="AJ26" s="1500">
        <f>_xlfn.XLOOKUP(routes[[#This Row],[route]],routesUniv[route],routesUniv[km],"-")</f>
        <v/>
      </c>
      <c r="AK26" s="1500">
        <f>COUNTIF(INPUT!BT$5:BT$1000,AG26)</f>
        <v/>
      </c>
      <c r="AL26" s="1505">
        <f>routes[[#This Row],[km]]*routes[[#This Row],[rpt]]/1000</f>
        <v/>
      </c>
      <c r="AM26" s="1481" t="inlineStr">
        <is>
          <t>.</t>
        </is>
      </c>
      <c r="AN26" s="1506" t="n">
        <v>22</v>
      </c>
      <c r="AO26" s="1500">
        <f>IF(AD26&lt;&gt;"",AD26,"-")</f>
        <v/>
      </c>
      <c r="AP26" s="1500">
        <f>_xlfn.XLOOKUP(cityRoutes[[#This Row],[city]],ccc[city],ccc[ctry],"-")</f>
        <v/>
      </c>
      <c r="AQ26" s="1500">
        <f>COUNTIF(INPUT!BR$5:BS$1000,AO26)</f>
        <v/>
      </c>
      <c r="AR26" s="1507">
        <f>(SUMIFS(routes[total],routes[outbound],AO26)+SUMIFS(routes[total],routes[inbound],AO26))/2</f>
        <v/>
      </c>
      <c r="AS26" s="1481" t="inlineStr">
        <is>
          <t>.</t>
        </is>
      </c>
      <c r="AT26" s="1473">
        <f>IF(AU26&lt;&gt;"",AT25+1,AT25)</f>
        <v/>
      </c>
      <c r="AU26" s="1473" t="inlineStr">
        <is>
          <t>Berlin</t>
        </is>
      </c>
      <c r="AV26" s="1506">
        <f>IF(AT26&lt;=AT$3,AT26,0)</f>
        <v/>
      </c>
      <c r="AW26" s="1500">
        <f>AU26</f>
        <v/>
      </c>
      <c r="AX26" s="1508">
        <f>_xlfn.XLOOKUP(homes[[#This Row],[home]],raw[home],raw[city],"-")</f>
        <v/>
      </c>
      <c r="AY26" s="1500">
        <f>_xlfn.XLOOKUP(homes[[#This Row],[city]],ccc[city],ccc[ctry],"-")</f>
        <v/>
      </c>
      <c r="AZ26" s="1509">
        <f>_xlfn.XLOOKUP(AU26,raw[home],raw[in])</f>
        <v/>
      </c>
      <c r="BA26" s="1510" t="n"/>
      <c r="BB26" s="1500">
        <f>COUNTIF(INPUT!BX26:BX121,AU26)</f>
        <v/>
      </c>
      <c r="BC26" s="1511">
        <f>INT(SUMIFS(raw[stay],raw[home],homes[[#This Row],[home]]))</f>
        <v/>
      </c>
      <c r="BD26" s="1511">
        <f>INT(SUMIFS(raw[stay],raw[home],homes[[#This Row],[home]],raw[notHome],0))</f>
        <v/>
      </c>
      <c r="BE26" s="1512">
        <f>IF(homes[[#This Row],[main]]=0,"-",homes[[#This Row],[netmain]]/homes[[#This Row],[main]])</f>
        <v/>
      </c>
      <c r="BF26" s="1511">
        <f>INT(SUMIFS(raw[stay],raw[transit],homes[[#This Row],[home]]))</f>
        <v/>
      </c>
      <c r="BG26" s="1511">
        <f>homes[[#This Row],[netmain]]+homes[[#This Row],[extra]]</f>
        <v/>
      </c>
      <c r="BH26" s="1432" t="inlineStr">
        <is>
          <t>.</t>
        </is>
      </c>
      <c r="BI26" s="1491" t="n"/>
      <c r="BJ26" s="1491" t="n"/>
      <c r="BK26" s="1491" t="n"/>
      <c r="BL26" s="1491" t="n"/>
      <c r="BM26" s="1491" t="n"/>
      <c r="BN26" s="1491" t="n"/>
      <c r="BO26" s="1467" t="n"/>
      <c r="BP26" s="1514" t="n">
        <v>22</v>
      </c>
      <c r="BQ26" s="1513">
        <f>[1]Sheet1!C27</f>
        <v/>
      </c>
      <c r="BR26" s="1515">
        <f>[1]Sheet1!D27</f>
        <v/>
      </c>
      <c r="BS26" s="1513">
        <f>[1]Sheet1!E27</f>
        <v/>
      </c>
      <c r="BT26" s="1515">
        <f>[1]Sheet1!F27</f>
        <v/>
      </c>
      <c r="BU26" s="1516">
        <f>[1]Sheet1!G27</f>
        <v/>
      </c>
      <c r="BV26" s="1513">
        <f>[1]Sheet1!H27</f>
        <v/>
      </c>
      <c r="BW26" s="1467" t="n"/>
      <c r="BX26" s="1491">
        <f>[1]Sheet1!$J27</f>
        <v/>
      </c>
      <c r="BY26" s="1517">
        <f>[1]Sheet1!$K27</f>
        <v/>
      </c>
      <c r="BZ26" s="1517">
        <f>[1]Sheet1!$L27</f>
        <v/>
      </c>
      <c r="CA26" s="1500">
        <f>[1]Sheet1!$M27</f>
        <v/>
      </c>
      <c r="CB26" s="1467" t="n"/>
      <c r="CC26" s="1467" t="n"/>
      <c r="CD26" s="1500">
        <f>[1]Sheet1!$P27</f>
        <v/>
      </c>
      <c r="CE26" s="1513">
        <f>[1]Sheet1!$Q27</f>
        <v/>
      </c>
      <c r="CF26" s="1515">
        <f>[1]Sheet1!$R27</f>
        <v/>
      </c>
      <c r="CG26" s="1477" t="n"/>
      <c r="CH26" s="1513" t="n"/>
      <c r="CI26" s="1513" t="n"/>
      <c r="CJ26" s="1513" t="n"/>
      <c r="CK26" s="1477" t="n"/>
      <c r="CL26" s="1521" t="n">
        <v>22</v>
      </c>
      <c r="CM26" s="1500" t="inlineStr">
        <is>
          <t>Cuzco-Lima</t>
        </is>
      </c>
      <c r="CN26" s="1500" t="inlineStr">
        <is>
          <t>Cuzco</t>
        </is>
      </c>
      <c r="CO26" s="1500" t="inlineStr">
        <is>
          <t>Lima</t>
        </is>
      </c>
      <c r="CP26" s="1514" t="n">
        <v>1000</v>
      </c>
      <c r="CQ26" s="1477" t="n"/>
      <c r="CR26" s="1491" t="n"/>
      <c r="CS26" s="1491" t="n"/>
      <c r="CT26" s="1491" t="n"/>
      <c r="CU26" s="1491" t="n"/>
      <c r="CV26" s="1491" t="n"/>
      <c r="CW26" s="1491" t="n"/>
      <c r="CX26" s="1491" t="n"/>
    </row>
    <row r="27">
      <c r="A27" s="1427" t="inlineStr">
        <is>
          <t>.</t>
        </is>
      </c>
      <c r="B27" s="1496" t="n"/>
      <c r="C27" s="1496" t="n"/>
      <c r="D27" s="1497">
        <f>IF(E27&lt;&gt;"",D26+1,D26)</f>
        <v/>
      </c>
      <c r="E27" s="1497" t="inlineStr">
        <is>
          <t>Taxco</t>
        </is>
      </c>
      <c r="F27" s="1427" t="inlineStr">
        <is>
          <t>.</t>
        </is>
      </c>
      <c r="G27" s="1498">
        <f>IF(H27="AIR",0,IF(H26="AIR",G25+1,IF(H27&lt;&gt;"",G26+1,G26)))</f>
        <v/>
      </c>
      <c r="H27" s="1498" t="inlineStr">
        <is>
          <t>Macchu-Picchu</t>
        </is>
      </c>
      <c r="I27" s="1427" t="inlineStr">
        <is>
          <t>.</t>
        </is>
      </c>
      <c r="J27" s="1499" t="n">
        <v>22</v>
      </c>
      <c r="K27" s="1500">
        <f>_xlfn.XLOOKUP(cities[[#This Row],[id]],$D$5:$D$1500,E$5:E$1500,"-")</f>
        <v/>
      </c>
      <c r="L27" s="1500">
        <f>_xlfn.XLOOKUP(cities[[#This Row],[city]],ccc[city],ccc[ctry],"-")</f>
        <v/>
      </c>
      <c r="M27" s="1500">
        <f>SUMIFS(stayCity[stay],stayCity[city],cities[[#This Row],[city]])</f>
        <v/>
      </c>
      <c r="N27" s="1427">
        <f>N26+1</f>
        <v/>
      </c>
      <c r="O27" s="1501" t="n"/>
      <c r="P27" s="1501">
        <f/>
        <v/>
      </c>
      <c r="Q27" s="1427" t="inlineStr">
        <is>
          <t>.</t>
        </is>
      </c>
      <c r="R27" s="1473">
        <f>IF(S27&lt;&gt;"",R26+1,R26)</f>
        <v/>
      </c>
      <c r="S27" s="1473" t="inlineStr">
        <is>
          <t>FIN</t>
        </is>
      </c>
      <c r="T27" s="1427" t="inlineStr">
        <is>
          <t>.</t>
        </is>
      </c>
      <c r="U27" s="1496" t="n">
        <v>22</v>
      </c>
      <c r="V27" s="1500">
        <f>_xlfn.XLOOKUP(ctries[[#This Row],[id]],$R$5:$R$1000,S$5:S$1000,"-")</f>
        <v/>
      </c>
      <c r="W27" s="1500">
        <f>IF(OR(ctries[[#This Row],[id]]=0,ctries[[#This Row],[id]]=99),"-",COUNTIF(cities[ctry],ctries[[#This Row],[ctry]]))</f>
        <v/>
      </c>
      <c r="X27" s="1503">
        <f>_xlfn.XLOOKUP(ctries[[#This Row],[ctry]],ccc[ctry],ccc[cont],"-")</f>
        <v/>
      </c>
      <c r="Y27" s="1500">
        <f>IF(ctries[[#This Row],[cont]]="B","B","W")</f>
        <v/>
      </c>
      <c r="Z27" s="1427" t="inlineStr">
        <is>
          <t>.</t>
        </is>
      </c>
      <c r="AA27" s="1473">
        <f>IF(AB27&lt;&gt;"",AA26+1,AA26)</f>
        <v/>
      </c>
      <c r="AB27" s="1473" t="inlineStr">
        <is>
          <t>Cairo-Athens</t>
        </is>
      </c>
      <c r="AC27" s="1473">
        <f>IF(AD27&lt;&gt;"",AC26+1,AC26)</f>
        <v/>
      </c>
      <c r="AD27" s="1473" t="inlineStr">
        <is>
          <t>Frankfurt</t>
        </is>
      </c>
      <c r="AE27" s="1427" t="inlineStr">
        <is>
          <t>.</t>
        </is>
      </c>
      <c r="AF27" s="1502" t="n">
        <v>23</v>
      </c>
      <c r="AG27" s="1500">
        <f>_xlfn.XLOOKUP(routes[[#This Row],[id]],$AA$5:$AA$300,$AB$5:$AB$300,"-")</f>
        <v/>
      </c>
      <c r="AH27" s="1500">
        <f>_xlfn.XLOOKUP(routes[[#This Row],[route]],routesUniv[route],routesUniv[outbound],"-")</f>
        <v/>
      </c>
      <c r="AI27" s="1500">
        <f>_xlfn.XLOOKUP(routes[[#This Row],[route]],routesUniv[route],routesUniv[inbound],"-")</f>
        <v/>
      </c>
      <c r="AJ27" s="1500">
        <f>_xlfn.XLOOKUP(routes[[#This Row],[route]],routesUniv[route],routesUniv[km],"-")</f>
        <v/>
      </c>
      <c r="AK27" s="1500">
        <f>COUNTIF(INPUT!BT$5:BT$1000,AG27)</f>
        <v/>
      </c>
      <c r="AL27" s="1505">
        <f>routes[[#This Row],[km]]*routes[[#This Row],[rpt]]/1000</f>
        <v/>
      </c>
      <c r="AM27" s="1481" t="inlineStr">
        <is>
          <t>.</t>
        </is>
      </c>
      <c r="AN27" s="1506" t="n">
        <v>23</v>
      </c>
      <c r="AO27" s="1500">
        <f>IF(AD27&lt;&gt;"",AD27,"-")</f>
        <v/>
      </c>
      <c r="AP27" s="1500">
        <f>_xlfn.XLOOKUP(cityRoutes[[#This Row],[city]],ccc[city],ccc[ctry],"-")</f>
        <v/>
      </c>
      <c r="AQ27" s="1500">
        <f>COUNTIF(INPUT!BR$5:BS$1000,AO27)</f>
        <v/>
      </c>
      <c r="AR27" s="1507">
        <f>(SUMIFS(routes[total],routes[outbound],AO27)+SUMIFS(routes[total],routes[inbound],AO27))/2</f>
        <v/>
      </c>
      <c r="AS27" s="1481" t="inlineStr">
        <is>
          <t>.</t>
        </is>
      </c>
      <c r="AT27" s="1473">
        <f>IF(AU27&lt;&gt;"",AT26+1,AT26)</f>
        <v/>
      </c>
      <c r="AU27" s="1473" t="inlineStr">
        <is>
          <t>Summer Flat</t>
        </is>
      </c>
      <c r="AV27" s="1506">
        <f>IF(AT27&lt;=AT$3,AT27,0)</f>
        <v/>
      </c>
      <c r="AW27" s="1500">
        <f>AU27</f>
        <v/>
      </c>
      <c r="AX27" s="1508">
        <f>_xlfn.XLOOKUP(homes[[#This Row],[home]],raw[home],raw[city],"-")</f>
        <v/>
      </c>
      <c r="AY27" s="1500">
        <f>_xlfn.XLOOKUP(homes[[#This Row],[city]],ccc[city],ccc[ctry],"-")</f>
        <v/>
      </c>
      <c r="AZ27" s="1509">
        <f>_xlfn.XLOOKUP(AU27,raw[home],raw[in])</f>
        <v/>
      </c>
      <c r="BA27" s="1510" t="n"/>
      <c r="BB27" s="1500">
        <f>COUNTIF(INPUT!BX27:BX122,AU27)</f>
        <v/>
      </c>
      <c r="BC27" s="1511">
        <f>INT(SUMIFS(raw[stay],raw[home],homes[[#This Row],[home]]))</f>
        <v/>
      </c>
      <c r="BD27" s="1511">
        <f>INT(SUMIFS(raw[stay],raw[home],homes[[#This Row],[home]],raw[notHome],0))</f>
        <v/>
      </c>
      <c r="BE27" s="1512">
        <f>IF(homes[[#This Row],[main]]=0,"-",homes[[#This Row],[netmain]]/homes[[#This Row],[main]])</f>
        <v/>
      </c>
      <c r="BF27" s="1511">
        <f>INT(SUMIFS(raw[stay],raw[transit],homes[[#This Row],[home]]))</f>
        <v/>
      </c>
      <c r="BG27" s="1511">
        <f>homes[[#This Row],[netmain]]+homes[[#This Row],[extra]]</f>
        <v/>
      </c>
      <c r="BH27" s="1432" t="inlineStr">
        <is>
          <t>.</t>
        </is>
      </c>
      <c r="BI27" s="1491" t="n"/>
      <c r="BJ27" s="1491" t="n"/>
      <c r="BK27" s="1491" t="n"/>
      <c r="BL27" s="1491" t="n"/>
      <c r="BM27" s="1491" t="n"/>
      <c r="BN27" s="1491" t="n"/>
      <c r="BO27" s="1467" t="n"/>
      <c r="BP27" s="1514" t="n">
        <v>23</v>
      </c>
      <c r="BQ27" s="1513">
        <f>[1]Sheet1!C28</f>
        <v/>
      </c>
      <c r="BR27" s="1515">
        <f>[1]Sheet1!D28</f>
        <v/>
      </c>
      <c r="BS27" s="1513">
        <f>[1]Sheet1!E28</f>
        <v/>
      </c>
      <c r="BT27" s="1515">
        <f>[1]Sheet1!F28</f>
        <v/>
      </c>
      <c r="BU27" s="1516">
        <f>[1]Sheet1!G28</f>
        <v/>
      </c>
      <c r="BV27" s="1513">
        <f>[1]Sheet1!H28</f>
        <v/>
      </c>
      <c r="BW27" s="1467" t="n"/>
      <c r="BX27" s="1491">
        <f>[1]Sheet1!$J28</f>
        <v/>
      </c>
      <c r="BY27" s="1517">
        <f>[1]Sheet1!$K28</f>
        <v/>
      </c>
      <c r="BZ27" s="1517">
        <f>[1]Sheet1!$L28</f>
        <v/>
      </c>
      <c r="CA27" s="1500">
        <f>[1]Sheet1!$M28</f>
        <v/>
      </c>
      <c r="CB27" s="1467" t="n"/>
      <c r="CC27" s="1467" t="n"/>
      <c r="CD27" s="1500">
        <f>[1]Sheet1!$P28</f>
        <v/>
      </c>
      <c r="CE27" s="1513">
        <f>[1]Sheet1!$Q28</f>
        <v/>
      </c>
      <c r="CF27" s="1515">
        <f>[1]Sheet1!$R28</f>
        <v/>
      </c>
      <c r="CG27" s="1477" t="n"/>
      <c r="CH27" s="1513" t="n"/>
      <c r="CI27" s="1513" t="n"/>
      <c r="CJ27" s="1513" t="n"/>
      <c r="CK27" s="1477" t="n"/>
      <c r="CL27" s="1521" t="n">
        <v>23</v>
      </c>
      <c r="CM27" s="1513" t="inlineStr">
        <is>
          <t>Detroit-Montreal</t>
        </is>
      </c>
      <c r="CN27" s="1513" t="inlineStr">
        <is>
          <t>Detroit</t>
        </is>
      </c>
      <c r="CO27" s="1513" t="inlineStr">
        <is>
          <t>Montreal</t>
        </is>
      </c>
      <c r="CP27" s="1514" t="n">
        <v>800</v>
      </c>
      <c r="CQ27" s="1477" t="n"/>
      <c r="CR27" s="1491" t="n"/>
      <c r="CS27" s="1491" t="n"/>
      <c r="CT27" s="1491" t="n"/>
      <c r="CU27" s="1491" t="n"/>
      <c r="CV27" s="1491" t="n"/>
      <c r="CW27" s="1491" t="n"/>
      <c r="CX27" s="1491" t="n"/>
    </row>
    <row r="28">
      <c r="A28" s="1427" t="inlineStr">
        <is>
          <t>.</t>
        </is>
      </c>
      <c r="B28" s="1496" t="n"/>
      <c r="C28" s="1496" t="n"/>
      <c r="D28" s="1497">
        <f>IF(E28&lt;&gt;"",D27+1,D27)</f>
        <v/>
      </c>
      <c r="E28" s="1497" t="inlineStr">
        <is>
          <t>Cavaglia</t>
        </is>
      </c>
      <c r="F28" s="1427" t="inlineStr">
        <is>
          <t>.</t>
        </is>
      </c>
      <c r="G28" s="1498">
        <f>IF(H28="AIR",0,IF(H27="AIR",G26+1,IF(H28&lt;&gt;"",G27+1,G27)))</f>
        <v/>
      </c>
      <c r="H28" s="1498" t="inlineStr">
        <is>
          <t>Mexico City</t>
        </is>
      </c>
      <c r="I28" s="1427" t="inlineStr">
        <is>
          <t>.</t>
        </is>
      </c>
      <c r="J28" s="1499" t="n">
        <v>23</v>
      </c>
      <c r="K28" s="1500">
        <f>_xlfn.XLOOKUP(cities[[#This Row],[id]],$D$5:$D$1500,E$5:E$1500,"-")</f>
        <v/>
      </c>
      <c r="L28" s="1500">
        <f>_xlfn.XLOOKUP(cities[[#This Row],[city]],ccc[city],ccc[ctry],"-")</f>
        <v/>
      </c>
      <c r="M28" s="1500">
        <f>SUMIFS(stayCity[stay],stayCity[city],cities[[#This Row],[city]])</f>
        <v/>
      </c>
      <c r="N28" s="1427">
        <f>N27+1</f>
        <v/>
      </c>
      <c r="O28" s="1501" t="n"/>
      <c r="P28" s="1501">
        <f/>
        <v/>
      </c>
      <c r="Q28" s="1427" t="inlineStr">
        <is>
          <t>.</t>
        </is>
      </c>
      <c r="R28" s="1473">
        <f>IF(S28&lt;&gt;"",R27+1,R27)</f>
        <v/>
      </c>
      <c r="S28" s="1473" t="inlineStr">
        <is>
          <t>LUX</t>
        </is>
      </c>
      <c r="T28" s="1427" t="inlineStr">
        <is>
          <t>.</t>
        </is>
      </c>
      <c r="U28" s="1496" t="n">
        <v>23</v>
      </c>
      <c r="V28" s="1500">
        <f>_xlfn.XLOOKUP(ctries[[#This Row],[id]],$R$5:$R$1000,S$5:S$1000,"-")</f>
        <v/>
      </c>
      <c r="W28" s="1500">
        <f>IF(OR(ctries[[#This Row],[id]]=0,ctries[[#This Row],[id]]=99),"-",COUNTIF(cities[ctry],ctries[[#This Row],[ctry]]))</f>
        <v/>
      </c>
      <c r="X28" s="1503">
        <f>_xlfn.XLOOKUP(ctries[[#This Row],[ctry]],ccc[ctry],ccc[cont],"-")</f>
        <v/>
      </c>
      <c r="Y28" s="1500">
        <f>IF(ctries[[#This Row],[cont]]="B","B","W")</f>
        <v/>
      </c>
      <c r="Z28" s="1427" t="inlineStr">
        <is>
          <t>.</t>
        </is>
      </c>
      <c r="AA28" s="1473">
        <f>IF(AB28&lt;&gt;"",AA27+1,AA27)</f>
        <v/>
      </c>
      <c r="AB28" s="1473" t="inlineStr">
        <is>
          <t>Athens-Paris</t>
        </is>
      </c>
      <c r="AC28" s="1473">
        <f>IF(AD28&lt;&gt;"",AC27+1,AC27)</f>
        <v/>
      </c>
      <c r="AD28" s="1473" t="inlineStr">
        <is>
          <t>Bruxelas</t>
        </is>
      </c>
      <c r="AE28" s="1427" t="inlineStr">
        <is>
          <t>.</t>
        </is>
      </c>
      <c r="AF28" s="1502" t="n">
        <v>24</v>
      </c>
      <c r="AG28" s="1500">
        <f>_xlfn.XLOOKUP(routes[[#This Row],[id]],$AA$5:$AA$300,$AB$5:$AB$300,"-")</f>
        <v/>
      </c>
      <c r="AH28" s="1500">
        <f>_xlfn.XLOOKUP(routes[[#This Row],[route]],routesUniv[route],routesUniv[outbound],"-")</f>
        <v/>
      </c>
      <c r="AI28" s="1500">
        <f>_xlfn.XLOOKUP(routes[[#This Row],[route]],routesUniv[route],routesUniv[inbound],"-")</f>
        <v/>
      </c>
      <c r="AJ28" s="1500">
        <f>_xlfn.XLOOKUP(routes[[#This Row],[route]],routesUniv[route],routesUniv[km],"-")</f>
        <v/>
      </c>
      <c r="AK28" s="1500">
        <f>COUNTIF(INPUT!BT$5:BT$1000,AG28)</f>
        <v/>
      </c>
      <c r="AL28" s="1505">
        <f>routes[[#This Row],[km]]*routes[[#This Row],[rpt]]/1000</f>
        <v/>
      </c>
      <c r="AM28" s="1481" t="inlineStr">
        <is>
          <t>.</t>
        </is>
      </c>
      <c r="AN28" s="1506" t="n">
        <v>24</v>
      </c>
      <c r="AO28" s="1500">
        <f>IF(AD28&lt;&gt;"",AD28,"-")</f>
        <v/>
      </c>
      <c r="AP28" s="1500">
        <f>_xlfn.XLOOKUP(cityRoutes[[#This Row],[city]],ccc[city],ccc[ctry],"-")</f>
        <v/>
      </c>
      <c r="AQ28" s="1500">
        <f>COUNTIF(INPUT!BR$5:BS$1000,AO28)</f>
        <v/>
      </c>
      <c r="AR28" s="1507">
        <f>(SUMIFS(routes[total],routes[outbound],AO28)+SUMIFS(routes[total],routes[inbound],AO28))/2</f>
        <v/>
      </c>
      <c r="AS28" s="1481" t="inlineStr">
        <is>
          <t>.</t>
        </is>
      </c>
      <c r="AT28" s="1473">
        <f>IF(AU28&lt;&gt;"",AT27+1,AT27)</f>
        <v/>
      </c>
      <c r="AU28" s="1473" t="inlineStr">
        <is>
          <t>Thomas/Tufnell</t>
        </is>
      </c>
      <c r="AV28" s="1506">
        <f>IF(AT28&lt;=AT$3,AT28,0)</f>
        <v/>
      </c>
      <c r="AW28" s="1500">
        <f>AU28</f>
        <v/>
      </c>
      <c r="AX28" s="1508">
        <f>_xlfn.XLOOKUP(homes[[#This Row],[home]],raw[home],raw[city],"-")</f>
        <v/>
      </c>
      <c r="AY28" s="1500">
        <f>_xlfn.XLOOKUP(homes[[#This Row],[city]],ccc[city],ccc[ctry],"-")</f>
        <v/>
      </c>
      <c r="AZ28" s="1509">
        <f>_xlfn.XLOOKUP(AU28,raw[home],raw[in])</f>
        <v/>
      </c>
      <c r="BA28" s="1510" t="n"/>
      <c r="BB28" s="1500">
        <f>COUNTIF(INPUT!BX28:BX123,AU28)</f>
        <v/>
      </c>
      <c r="BC28" s="1511">
        <f>INT(SUMIFS(raw[stay],raw[home],homes[[#This Row],[home]]))</f>
        <v/>
      </c>
      <c r="BD28" s="1511">
        <f>INT(SUMIFS(raw[stay],raw[home],homes[[#This Row],[home]],raw[notHome],0))</f>
        <v/>
      </c>
      <c r="BE28" s="1512">
        <f>IF(homes[[#This Row],[main]]=0,"-",homes[[#This Row],[netmain]]/homes[[#This Row],[main]])</f>
        <v/>
      </c>
      <c r="BF28" s="1511">
        <f>INT(SUMIFS(raw[stay],raw[transit],homes[[#This Row],[home]]))</f>
        <v/>
      </c>
      <c r="BG28" s="1511">
        <f>homes[[#This Row],[netmain]]+homes[[#This Row],[extra]]</f>
        <v/>
      </c>
      <c r="BH28" s="1432" t="inlineStr">
        <is>
          <t>.</t>
        </is>
      </c>
      <c r="BI28" s="1491" t="n"/>
      <c r="BJ28" s="1491" t="n"/>
      <c r="BK28" s="1491" t="n"/>
      <c r="BL28" s="1491" t="n"/>
      <c r="BM28" s="1491" t="n"/>
      <c r="BN28" s="1491" t="n"/>
      <c r="BO28" s="1467" t="n"/>
      <c r="BP28" s="1514" t="n">
        <v>24</v>
      </c>
      <c r="BQ28" s="1513">
        <f>[1]Sheet1!C29</f>
        <v/>
      </c>
      <c r="BR28" s="1515">
        <f>[1]Sheet1!D29</f>
        <v/>
      </c>
      <c r="BS28" s="1513">
        <f>[1]Sheet1!E29</f>
        <v/>
      </c>
      <c r="BT28" s="1515">
        <f>[1]Sheet1!F29</f>
        <v/>
      </c>
      <c r="BU28" s="1516">
        <f>[1]Sheet1!G29</f>
        <v/>
      </c>
      <c r="BV28" s="1513">
        <f>[1]Sheet1!H29</f>
        <v/>
      </c>
      <c r="BW28" s="1467" t="n"/>
      <c r="BX28" s="1491">
        <f>[1]Sheet1!$J29</f>
        <v/>
      </c>
      <c r="BY28" s="1517">
        <f>[1]Sheet1!$K29</f>
        <v/>
      </c>
      <c r="BZ28" s="1517">
        <f>[1]Sheet1!$L29</f>
        <v/>
      </c>
      <c r="CA28" s="1500">
        <f>[1]Sheet1!$M29</f>
        <v/>
      </c>
      <c r="CB28" s="1467" t="n"/>
      <c r="CC28" s="1467" t="n"/>
      <c r="CD28" s="1500">
        <f>[1]Sheet1!$P29</f>
        <v/>
      </c>
      <c r="CE28" s="1513">
        <f>[1]Sheet1!$Q29</f>
        <v/>
      </c>
      <c r="CF28" s="1515">
        <f>[1]Sheet1!$R29</f>
        <v/>
      </c>
      <c r="CG28" s="1477" t="n"/>
      <c r="CH28" s="1513" t="n"/>
      <c r="CI28" s="1513" t="n"/>
      <c r="CJ28" s="1513" t="n"/>
      <c r="CK28" s="1477" t="n"/>
      <c r="CL28" s="1521" t="n">
        <v>24</v>
      </c>
      <c r="CM28" s="1513" t="inlineStr">
        <is>
          <t>Detroit-Orlando</t>
        </is>
      </c>
      <c r="CN28" s="1513" t="inlineStr">
        <is>
          <t>Detroit</t>
        </is>
      </c>
      <c r="CO28" s="1513" t="inlineStr">
        <is>
          <t>Orlando</t>
        </is>
      </c>
      <c r="CP28" s="1514" t="n">
        <v>1850</v>
      </c>
      <c r="CQ28" s="1477" t="n"/>
      <c r="CR28" s="1491" t="n"/>
      <c r="CS28" s="1491" t="n"/>
      <c r="CT28" s="1491" t="n"/>
      <c r="CU28" s="1491" t="n"/>
      <c r="CV28" s="1491" t="n"/>
      <c r="CW28" s="1491" t="n"/>
      <c r="CX28" s="1491" t="n"/>
    </row>
    <row r="29">
      <c r="A29" s="1427" t="inlineStr">
        <is>
          <t>.</t>
        </is>
      </c>
      <c r="B29" s="1496" t="n"/>
      <c r="C29" s="1496" t="n"/>
      <c r="D29" s="1497">
        <f>IF(E29&lt;&gt;"",D28+1,D28)</f>
        <v/>
      </c>
      <c r="E29" s="1497" t="inlineStr">
        <is>
          <t>Acapulco</t>
        </is>
      </c>
      <c r="F29" s="1427" t="inlineStr">
        <is>
          <t>.</t>
        </is>
      </c>
      <c r="G29" s="1498">
        <f>IF(H29="AIR",0,IF(H28="AIR",G27+1,IF(H29&lt;&gt;"",G28+1,G28)))</f>
        <v/>
      </c>
      <c r="H29" s="1498" t="inlineStr">
        <is>
          <t>Taxco</t>
        </is>
      </c>
      <c r="I29" s="1427" t="inlineStr">
        <is>
          <t>.</t>
        </is>
      </c>
      <c r="J29" s="1499" t="n">
        <v>24</v>
      </c>
      <c r="K29" s="1500">
        <f>_xlfn.XLOOKUP(cities[[#This Row],[id]],$D$5:$D$1500,E$5:E$1500,"-")</f>
        <v/>
      </c>
      <c r="L29" s="1500">
        <f>_xlfn.XLOOKUP(cities[[#This Row],[city]],ccc[city],ccc[ctry],"-")</f>
        <v/>
      </c>
      <c r="M29" s="1500">
        <f>SUMIFS(stayCity[stay],stayCity[city],cities[[#This Row],[city]])</f>
        <v/>
      </c>
      <c r="N29" s="1427">
        <f>N28+1</f>
        <v/>
      </c>
      <c r="O29" s="1501" t="n"/>
      <c r="P29" s="1501">
        <f/>
        <v/>
      </c>
      <c r="Q29" s="1427" t="inlineStr">
        <is>
          <t>.</t>
        </is>
      </c>
      <c r="R29" s="1473">
        <f>IF(S29&lt;&gt;"",R28+1,R28)</f>
        <v/>
      </c>
      <c r="S29" s="1473" t="inlineStr">
        <is>
          <t>ISL</t>
        </is>
      </c>
      <c r="T29" s="1427" t="inlineStr">
        <is>
          <t>.</t>
        </is>
      </c>
      <c r="U29" s="1496" t="n">
        <v>24</v>
      </c>
      <c r="V29" s="1500">
        <f>_xlfn.XLOOKUP(ctries[[#This Row],[id]],$R$5:$R$1000,S$5:S$1000,"-")</f>
        <v/>
      </c>
      <c r="W29" s="1500">
        <f>IF(OR(ctries[[#This Row],[id]]=0,ctries[[#This Row],[id]]=99),"-",COUNTIF(cities[ctry],ctries[[#This Row],[ctry]]))</f>
        <v/>
      </c>
      <c r="X29" s="1503">
        <f>_xlfn.XLOOKUP(ctries[[#This Row],[ctry]],ccc[ctry],ccc[cont],"-")</f>
        <v/>
      </c>
      <c r="Y29" s="1500">
        <f>IF(ctries[[#This Row],[cont]]="B","B","W")</f>
        <v/>
      </c>
      <c r="Z29" s="1427" t="inlineStr">
        <is>
          <t>.</t>
        </is>
      </c>
      <c r="AA29" s="1473">
        <f>IF(AB29&lt;&gt;"",AA28+1,AA28)</f>
        <v/>
      </c>
      <c r="AB29" s="1473" t="inlineStr">
        <is>
          <t>Paris-SSA</t>
        </is>
      </c>
      <c r="AC29" s="1473">
        <f>IF(AD29&lt;&gt;"",AC28+1,AC28)</f>
        <v/>
      </c>
      <c r="AD29" s="1473" t="inlineStr">
        <is>
          <t>BH</t>
        </is>
      </c>
      <c r="AE29" s="1427" t="inlineStr">
        <is>
          <t>.</t>
        </is>
      </c>
      <c r="AF29" s="1502" t="n">
        <v>25</v>
      </c>
      <c r="AG29" s="1500">
        <f>_xlfn.XLOOKUP(routes[[#This Row],[id]],$AA$5:$AA$300,$AB$5:$AB$300,"-")</f>
        <v/>
      </c>
      <c r="AH29" s="1500">
        <f>_xlfn.XLOOKUP(routes[[#This Row],[route]],routesUniv[route],routesUniv[outbound],"-")</f>
        <v/>
      </c>
      <c r="AI29" s="1500">
        <f>_xlfn.XLOOKUP(routes[[#This Row],[route]],routesUniv[route],routesUniv[inbound],"-")</f>
        <v/>
      </c>
      <c r="AJ29" s="1500">
        <f>_xlfn.XLOOKUP(routes[[#This Row],[route]],routesUniv[route],routesUniv[km],"-")</f>
        <v/>
      </c>
      <c r="AK29" s="1500">
        <f>COUNTIF(INPUT!BT$5:BT$1000,AG29)</f>
        <v/>
      </c>
      <c r="AL29" s="1505">
        <f>routes[[#This Row],[km]]*routes[[#This Row],[rpt]]/1000</f>
        <v/>
      </c>
      <c r="AM29" s="1481" t="inlineStr">
        <is>
          <t>.</t>
        </is>
      </c>
      <c r="AN29" s="1506" t="n">
        <v>25</v>
      </c>
      <c r="AO29" s="1500">
        <f>IF(AD29&lt;&gt;"",AD29,"-")</f>
        <v/>
      </c>
      <c r="AP29" s="1500">
        <f>_xlfn.XLOOKUP(cityRoutes[[#This Row],[city]],ccc[city],ccc[ctry],"-")</f>
        <v/>
      </c>
      <c r="AQ29" s="1500">
        <f>COUNTIF(INPUT!BR$5:BS$1000,AO29)</f>
        <v/>
      </c>
      <c r="AR29" s="1507">
        <f>(SUMIFS(routes[total],routes[outbound],AO29)+SUMIFS(routes[total],routes[inbound],AO29))/2</f>
        <v/>
      </c>
      <c r="AS29" s="1481" t="inlineStr">
        <is>
          <t>.</t>
        </is>
      </c>
      <c r="AT29" s="1473">
        <f>IF(AU29&lt;&gt;"",AT28+1,AT28)</f>
        <v/>
      </c>
      <c r="AU29" s="1473" t="inlineStr">
        <is>
          <t>North Gower</t>
        </is>
      </c>
      <c r="AV29" s="1506">
        <f>IF(AT29&lt;=AT$3,AT29,0)</f>
        <v/>
      </c>
      <c r="AW29" s="1500">
        <f>AU29</f>
        <v/>
      </c>
      <c r="AX29" s="1508">
        <f>_xlfn.XLOOKUP(homes[[#This Row],[home]],raw[home],raw[city],"-")</f>
        <v/>
      </c>
      <c r="AY29" s="1500">
        <f>_xlfn.XLOOKUP(homes[[#This Row],[city]],ccc[city],ccc[ctry],"-")</f>
        <v/>
      </c>
      <c r="AZ29" s="1509">
        <f>_xlfn.XLOOKUP(AU29,raw[home],raw[in])</f>
        <v/>
      </c>
      <c r="BA29" s="1510" t="n"/>
      <c r="BB29" s="1500">
        <f>COUNTIF(INPUT!BX29:BX124,AU29)</f>
        <v/>
      </c>
      <c r="BC29" s="1511">
        <f>INT(SUMIFS(raw[stay],raw[home],homes[[#This Row],[home]]))</f>
        <v/>
      </c>
      <c r="BD29" s="1511">
        <f>INT(SUMIFS(raw[stay],raw[home],homes[[#This Row],[home]],raw[notHome],0))</f>
        <v/>
      </c>
      <c r="BE29" s="1512">
        <f>IF(homes[[#This Row],[main]]=0,"-",homes[[#This Row],[netmain]]/homes[[#This Row],[main]])</f>
        <v/>
      </c>
      <c r="BF29" s="1511">
        <f>INT(SUMIFS(raw[stay],raw[transit],homes[[#This Row],[home]]))</f>
        <v/>
      </c>
      <c r="BG29" s="1511">
        <f>homes[[#This Row],[netmain]]+homes[[#This Row],[extra]]</f>
        <v/>
      </c>
      <c r="BH29" s="1432" t="inlineStr">
        <is>
          <t>.</t>
        </is>
      </c>
      <c r="BI29" s="1491" t="n"/>
      <c r="BJ29" s="1491" t="n"/>
      <c r="BK29" s="1491" t="n"/>
      <c r="BL29" s="1491" t="n"/>
      <c r="BM29" s="1491" t="n"/>
      <c r="BN29" s="1491" t="n"/>
      <c r="BO29" s="1467" t="n"/>
      <c r="BP29" s="1514" t="n">
        <v>25</v>
      </c>
      <c r="BQ29" s="1513">
        <f>[1]Sheet1!C30</f>
        <v/>
      </c>
      <c r="BR29" s="1515">
        <f>[1]Sheet1!D30</f>
        <v/>
      </c>
      <c r="BS29" s="1513">
        <f>[1]Sheet1!E30</f>
        <v/>
      </c>
      <c r="BT29" s="1515">
        <f>[1]Sheet1!F30</f>
        <v/>
      </c>
      <c r="BU29" s="1516">
        <f>[1]Sheet1!G30</f>
        <v/>
      </c>
      <c r="BV29" s="1513">
        <f>[1]Sheet1!H30</f>
        <v/>
      </c>
      <c r="BW29" s="1467" t="n"/>
      <c r="BX29" s="1491">
        <f>[1]Sheet1!$J30</f>
        <v/>
      </c>
      <c r="BY29" s="1517">
        <f>[1]Sheet1!$K30</f>
        <v/>
      </c>
      <c r="BZ29" s="1517">
        <f>[1]Sheet1!$L30</f>
        <v/>
      </c>
      <c r="CA29" s="1500">
        <f>[1]Sheet1!$M30</f>
        <v/>
      </c>
      <c r="CB29" s="1467" t="n"/>
      <c r="CC29" s="1467" t="n"/>
      <c r="CD29" s="1500">
        <f>[1]Sheet1!$P30</f>
        <v/>
      </c>
      <c r="CE29" s="1513">
        <f>[1]Sheet1!$Q30</f>
        <v/>
      </c>
      <c r="CF29" s="1515">
        <f>[1]Sheet1!$R30</f>
        <v/>
      </c>
      <c r="CG29" s="1477" t="n"/>
      <c r="CH29" s="1513" t="n"/>
      <c r="CI29" s="1513" t="n"/>
      <c r="CJ29" s="1513" t="n"/>
      <c r="CK29" s="1477" t="n"/>
      <c r="CL29" s="1521" t="n">
        <v>25</v>
      </c>
      <c r="CM29" s="1513" t="inlineStr">
        <is>
          <t>Detroit-SP</t>
        </is>
      </c>
      <c r="CN29" s="1513" t="inlineStr">
        <is>
          <t>Detroit</t>
        </is>
      </c>
      <c r="CO29" s="1513" t="inlineStr">
        <is>
          <t>SP</t>
        </is>
      </c>
      <c r="CP29" s="1514" t="n">
        <v>8200</v>
      </c>
      <c r="CQ29" s="1477" t="n"/>
      <c r="CR29" s="1491" t="n"/>
      <c r="CS29" s="1491" t="n"/>
      <c r="CT29" s="1491" t="n"/>
      <c r="CU29" s="1491" t="n"/>
      <c r="CV29" s="1491" t="n"/>
      <c r="CW29" s="1491" t="n"/>
      <c r="CX29" s="1491" t="n"/>
    </row>
    <row r="30">
      <c r="A30" s="1427" t="inlineStr">
        <is>
          <t>.</t>
        </is>
      </c>
      <c r="B30" s="1496" t="n"/>
      <c r="C30" s="1496" t="n"/>
      <c r="D30" s="1497">
        <f>IF(E30&lt;&gt;"",D29+1,D29)</f>
        <v/>
      </c>
      <c r="E30" s="1497" t="inlineStr">
        <is>
          <t>New Orleans</t>
        </is>
      </c>
      <c r="F30" s="1427" t="inlineStr">
        <is>
          <t>.</t>
        </is>
      </c>
      <c r="G30" s="1498">
        <f>IF(H30="AIR",0,IF(H29="AIR",G28+1,IF(H30&lt;&gt;"",G29+1,G29)))</f>
        <v/>
      </c>
      <c r="H30" s="1498" t="inlineStr">
        <is>
          <t>Cavaglia</t>
        </is>
      </c>
      <c r="I30" s="1427" t="inlineStr">
        <is>
          <t>.</t>
        </is>
      </c>
      <c r="J30" s="1499" t="n">
        <v>25</v>
      </c>
      <c r="K30" s="1500">
        <f>_xlfn.XLOOKUP(cities[[#This Row],[id]],$D$5:$D$1500,E$5:E$1500,"-")</f>
        <v/>
      </c>
      <c r="L30" s="1500">
        <f>_xlfn.XLOOKUP(cities[[#This Row],[city]],ccc[city],ccc[ctry],"-")</f>
        <v/>
      </c>
      <c r="M30" s="1500">
        <f>SUMIFS(stayCity[stay],stayCity[city],cities[[#This Row],[city]])</f>
        <v/>
      </c>
      <c r="N30" s="1427">
        <f>N29+1</f>
        <v/>
      </c>
      <c r="O30" s="1501" t="n"/>
      <c r="P30" s="1501">
        <f/>
        <v/>
      </c>
      <c r="Q30" s="1427" t="inlineStr">
        <is>
          <t>.</t>
        </is>
      </c>
      <c r="R30" s="1473">
        <f>IF(S30&lt;&gt;"",R29+1,R29)</f>
        <v/>
      </c>
      <c r="S30" s="1473" t="inlineStr">
        <is>
          <t>ARG</t>
        </is>
      </c>
      <c r="T30" s="1427" t="inlineStr">
        <is>
          <t>.</t>
        </is>
      </c>
      <c r="U30" s="1496" t="n">
        <v>25</v>
      </c>
      <c r="V30" s="1500">
        <f>_xlfn.XLOOKUP(ctries[[#This Row],[id]],$R$5:$R$1000,S$5:S$1000,"-")</f>
        <v/>
      </c>
      <c r="W30" s="1500">
        <f>IF(OR(ctries[[#This Row],[id]]=0,ctries[[#This Row],[id]]=99),"-",COUNTIF(cities[ctry],ctries[[#This Row],[ctry]]))</f>
        <v/>
      </c>
      <c r="X30" s="1503">
        <f>_xlfn.XLOOKUP(ctries[[#This Row],[ctry]],ccc[ctry],ccc[cont],"-")</f>
        <v/>
      </c>
      <c r="Y30" s="1500">
        <f>IF(ctries[[#This Row],[cont]]="B","B","W")</f>
        <v/>
      </c>
      <c r="Z30" s="1427" t="inlineStr">
        <is>
          <t>.</t>
        </is>
      </c>
      <c r="AA30" s="1473">
        <f>IF(AB30&lt;&gt;"",AA29+1,AA29)</f>
        <v/>
      </c>
      <c r="AB30" s="1473" t="inlineStr">
        <is>
          <t>Rio-SSA</t>
        </is>
      </c>
      <c r="AC30" s="1473">
        <f>IF(AD30&lt;&gt;"",AC29+1,AC29)</f>
        <v/>
      </c>
      <c r="AD30" s="1473" t="inlineStr">
        <is>
          <t>Reykjavik</t>
        </is>
      </c>
      <c r="AE30" s="1427" t="inlineStr">
        <is>
          <t>.</t>
        </is>
      </c>
      <c r="AF30" s="1502" t="n">
        <v>26</v>
      </c>
      <c r="AG30" s="1500">
        <f>_xlfn.XLOOKUP(routes[[#This Row],[id]],$AA$5:$AA$300,$AB$5:$AB$300,"-")</f>
        <v/>
      </c>
      <c r="AH30" s="1500">
        <f>_xlfn.XLOOKUP(routes[[#This Row],[route]],routesUniv[route],routesUniv[outbound],"-")</f>
        <v/>
      </c>
      <c r="AI30" s="1500">
        <f>_xlfn.XLOOKUP(routes[[#This Row],[route]],routesUniv[route],routesUniv[inbound],"-")</f>
        <v/>
      </c>
      <c r="AJ30" s="1500">
        <f>_xlfn.XLOOKUP(routes[[#This Row],[route]],routesUniv[route],routesUniv[km],"-")</f>
        <v/>
      </c>
      <c r="AK30" s="1500">
        <f>COUNTIF(INPUT!BT$5:BT$1000,AG30)</f>
        <v/>
      </c>
      <c r="AL30" s="1505">
        <f>routes[[#This Row],[km]]*routes[[#This Row],[rpt]]/1000</f>
        <v/>
      </c>
      <c r="AM30" s="1481" t="inlineStr">
        <is>
          <t>.</t>
        </is>
      </c>
      <c r="AN30" s="1506" t="n">
        <v>26</v>
      </c>
      <c r="AO30" s="1500">
        <f>IF(AD30&lt;&gt;"",AD30,"-")</f>
        <v/>
      </c>
      <c r="AP30" s="1500">
        <f>_xlfn.XLOOKUP(cityRoutes[[#This Row],[city]],ccc[city],ccc[ctry],"-")</f>
        <v/>
      </c>
      <c r="AQ30" s="1500">
        <f>COUNTIF(INPUT!BR$5:BS$1000,AO30)</f>
        <v/>
      </c>
      <c r="AR30" s="1507">
        <f>(SUMIFS(routes[total],routes[outbound],AO30)+SUMIFS(routes[total],routes[inbound],AO30))/2</f>
        <v/>
      </c>
      <c r="AS30" s="1481" t="inlineStr">
        <is>
          <t>.</t>
        </is>
      </c>
      <c r="AT30" s="1473">
        <f>IF(AU30&lt;&gt;"",AT29+1,AT29)</f>
        <v/>
      </c>
      <c r="AU30" s="1473" t="inlineStr">
        <is>
          <t>Loing</t>
        </is>
      </c>
      <c r="AV30" s="1506">
        <f>IF(AT30&lt;=AT$3,AT30,0)</f>
        <v/>
      </c>
      <c r="AW30" s="1500">
        <f>AU30</f>
        <v/>
      </c>
      <c r="AX30" s="1508">
        <f>_xlfn.XLOOKUP(homes[[#This Row],[home]],raw[home],raw[city],"-")</f>
        <v/>
      </c>
      <c r="AY30" s="1500">
        <f>_xlfn.XLOOKUP(homes[[#This Row],[city]],ccc[city],ccc[ctry],"-")</f>
        <v/>
      </c>
      <c r="AZ30" s="1509">
        <f>_xlfn.XLOOKUP(AU30,raw[home],raw[in])</f>
        <v/>
      </c>
      <c r="BA30" s="1510" t="n"/>
      <c r="BB30" s="1500">
        <f>COUNTIF(INPUT!BX30:BX125,AU30)</f>
        <v/>
      </c>
      <c r="BC30" s="1511">
        <f>INT(SUMIFS(raw[stay],raw[home],homes[[#This Row],[home]]))</f>
        <v/>
      </c>
      <c r="BD30" s="1511">
        <f>INT(SUMIFS(raw[stay],raw[home],homes[[#This Row],[home]],raw[notHome],0))</f>
        <v/>
      </c>
      <c r="BE30" s="1512">
        <f>IF(homes[[#This Row],[main]]=0,"-",homes[[#This Row],[netmain]]/homes[[#This Row],[main]])</f>
        <v/>
      </c>
      <c r="BF30" s="1511">
        <f>INT(SUMIFS(raw[stay],raw[transit],homes[[#This Row],[home]]))</f>
        <v/>
      </c>
      <c r="BG30" s="1511">
        <f>homes[[#This Row],[netmain]]+homes[[#This Row],[extra]]</f>
        <v/>
      </c>
      <c r="BH30" s="1432" t="inlineStr">
        <is>
          <t>.</t>
        </is>
      </c>
      <c r="BI30" s="1491" t="n"/>
      <c r="BJ30" s="1491" t="n"/>
      <c r="BK30" s="1491" t="n"/>
      <c r="BL30" s="1491" t="n"/>
      <c r="BM30" s="1491" t="n"/>
      <c r="BN30" s="1491" t="n"/>
      <c r="BO30" s="1467" t="n"/>
      <c r="BP30" s="1514" t="n">
        <v>26</v>
      </c>
      <c r="BQ30" s="1513">
        <f>[1]Sheet1!C31</f>
        <v/>
      </c>
      <c r="BR30" s="1515">
        <f>[1]Sheet1!D31</f>
        <v/>
      </c>
      <c r="BS30" s="1513">
        <f>[1]Sheet1!E31</f>
        <v/>
      </c>
      <c r="BT30" s="1515">
        <f>[1]Sheet1!F31</f>
        <v/>
      </c>
      <c r="BU30" s="1516">
        <f>[1]Sheet1!G31</f>
        <v/>
      </c>
      <c r="BV30" s="1513">
        <f>[1]Sheet1!H31</f>
        <v/>
      </c>
      <c r="BW30" s="1467" t="n"/>
      <c r="BX30" s="1491">
        <f>[1]Sheet1!$J31</f>
        <v/>
      </c>
      <c r="BY30" s="1517">
        <f>[1]Sheet1!$K31</f>
        <v/>
      </c>
      <c r="BZ30" s="1517">
        <f>[1]Sheet1!$L31</f>
        <v/>
      </c>
      <c r="CA30" s="1500">
        <f>[1]Sheet1!$M31</f>
        <v/>
      </c>
      <c r="CB30" s="1467" t="n"/>
      <c r="CC30" s="1467" t="n"/>
      <c r="CD30" s="1500">
        <f>[1]Sheet1!$P31</f>
        <v/>
      </c>
      <c r="CE30" s="1513">
        <f>[1]Sheet1!$Q31</f>
        <v/>
      </c>
      <c r="CF30" s="1515">
        <f>[1]Sheet1!$R31</f>
        <v/>
      </c>
      <c r="CG30" s="1477" t="n"/>
      <c r="CH30" s="1513" t="n"/>
      <c r="CI30" s="1513" t="n"/>
      <c r="CJ30" s="1513" t="n"/>
      <c r="CK30" s="1477" t="n"/>
      <c r="CL30" s="1521" t="n">
        <v>26</v>
      </c>
      <c r="CM30" s="1513" t="inlineStr">
        <is>
          <t>Dublin-London</t>
        </is>
      </c>
      <c r="CN30" s="1513" t="inlineStr">
        <is>
          <t>Dublin</t>
        </is>
      </c>
      <c r="CO30" s="1513" t="inlineStr">
        <is>
          <t>London</t>
        </is>
      </c>
      <c r="CP30" s="1514" t="n">
        <v>500</v>
      </c>
      <c r="CQ30" s="1477" t="n"/>
      <c r="CR30" s="1491" t="n"/>
      <c r="CS30" s="1491" t="n"/>
      <c r="CT30" s="1491" t="n"/>
      <c r="CU30" s="1491" t="n"/>
      <c r="CV30" s="1491" t="n"/>
      <c r="CW30" s="1491" t="n"/>
      <c r="CX30" s="1491" t="n"/>
    </row>
    <row r="31">
      <c r="A31" s="1427" t="inlineStr">
        <is>
          <t>.</t>
        </is>
      </c>
      <c r="B31" s="1496" t="n"/>
      <c r="C31" s="1496" t="n"/>
      <c r="D31" s="1497">
        <f>IF(E31&lt;&gt;"",D30+1,D30)</f>
        <v/>
      </c>
      <c r="E31" s="1497" t="inlineStr">
        <is>
          <t>Orlando</t>
        </is>
      </c>
      <c r="F31" s="1427" t="inlineStr">
        <is>
          <t>.</t>
        </is>
      </c>
      <c r="G31" s="1498">
        <f>IF(H31="AIR",0,IF(H30="AIR",G29+1,IF(H31&lt;&gt;"",G30+1,G30)))</f>
        <v/>
      </c>
      <c r="H31" s="1498" t="inlineStr">
        <is>
          <t>Acapulco</t>
        </is>
      </c>
      <c r="I31" s="1427" t="inlineStr">
        <is>
          <t>.</t>
        </is>
      </c>
      <c r="J31" s="1499" t="n">
        <v>26</v>
      </c>
      <c r="K31" s="1500">
        <f>_xlfn.XLOOKUP(cities[[#This Row],[id]],$D$5:$D$1500,E$5:E$1500,"-")</f>
        <v/>
      </c>
      <c r="L31" s="1500">
        <f>_xlfn.XLOOKUP(cities[[#This Row],[city]],ccc[city],ccc[ctry],"-")</f>
        <v/>
      </c>
      <c r="M31" s="1500">
        <f>SUMIFS(stayCity[stay],stayCity[city],cities[[#This Row],[city]])</f>
        <v/>
      </c>
      <c r="N31" s="1427">
        <f>N30+1</f>
        <v/>
      </c>
      <c r="O31" s="1501" t="n"/>
      <c r="P31" s="1501" t="n"/>
      <c r="Q31" s="1427" t="inlineStr">
        <is>
          <t>.</t>
        </is>
      </c>
      <c r="R31" s="1473">
        <f>IF(S31&lt;&gt;"",R30+1,R30)</f>
        <v/>
      </c>
      <c r="S31" s="1473" t="inlineStr">
        <is>
          <t>URY</t>
        </is>
      </c>
      <c r="T31" s="1427" t="inlineStr">
        <is>
          <t>.</t>
        </is>
      </c>
      <c r="U31" s="1496" t="n">
        <v>26</v>
      </c>
      <c r="V31" s="1500">
        <f>_xlfn.XLOOKUP(ctries[[#This Row],[id]],$R$5:$R$1000,S$5:S$1000,"-")</f>
        <v/>
      </c>
      <c r="W31" s="1500">
        <f>IF(OR(ctries[[#This Row],[id]]=0,ctries[[#This Row],[id]]=99),"-",COUNTIF(cities[ctry],ctries[[#This Row],[ctry]]))</f>
        <v/>
      </c>
      <c r="X31" s="1503">
        <f>_xlfn.XLOOKUP(ctries[[#This Row],[ctry]],ccc[ctry],ccc[cont],"-")</f>
        <v/>
      </c>
      <c r="Y31" s="1500">
        <f>IF(ctries[[#This Row],[cont]]="B","B","W")</f>
        <v/>
      </c>
      <c r="Z31" s="1427" t="inlineStr">
        <is>
          <t>.</t>
        </is>
      </c>
      <c r="AA31" s="1473">
        <f>IF(AB31&lt;&gt;"",AA30+1,AA30)</f>
        <v/>
      </c>
      <c r="AB31" s="1473" t="inlineStr">
        <is>
          <t>SSA-SP</t>
        </is>
      </c>
      <c r="AC31" s="1473">
        <f>IF(AD31&lt;&gt;"",AC30+1,AC30)</f>
        <v/>
      </c>
      <c r="AD31" s="1473" t="inlineStr">
        <is>
          <t>Columbia</t>
        </is>
      </c>
      <c r="AE31" s="1427" t="inlineStr">
        <is>
          <t>.</t>
        </is>
      </c>
      <c r="AF31" s="1502" t="n">
        <v>27</v>
      </c>
      <c r="AG31" s="1500">
        <f>_xlfn.XLOOKUP(routes[[#This Row],[id]],$AA$5:$AA$300,$AB$5:$AB$300,"-")</f>
        <v/>
      </c>
      <c r="AH31" s="1500">
        <f>_xlfn.XLOOKUP(routes[[#This Row],[route]],routesUniv[route],routesUniv[outbound],"-")</f>
        <v/>
      </c>
      <c r="AI31" s="1500">
        <f>_xlfn.XLOOKUP(routes[[#This Row],[route]],routesUniv[route],routesUniv[inbound],"-")</f>
        <v/>
      </c>
      <c r="AJ31" s="1500">
        <f>_xlfn.XLOOKUP(routes[[#This Row],[route]],routesUniv[route],routesUniv[km],"-")</f>
        <v/>
      </c>
      <c r="AK31" s="1500">
        <f>COUNTIF(INPUT!BT$5:BT$1000,AG31)</f>
        <v/>
      </c>
      <c r="AL31" s="1505">
        <f>routes[[#This Row],[km]]*routes[[#This Row],[rpt]]/1000</f>
        <v/>
      </c>
      <c r="AM31" s="1481" t="inlineStr">
        <is>
          <t>.</t>
        </is>
      </c>
      <c r="AN31" s="1506" t="n">
        <v>27</v>
      </c>
      <c r="AO31" s="1500">
        <f>IF(AD31&lt;&gt;"",AD31,"-")</f>
        <v/>
      </c>
      <c r="AP31" s="1500">
        <f>_xlfn.XLOOKUP(cityRoutes[[#This Row],[city]],ccc[city],ccc[ctry],"-")</f>
        <v/>
      </c>
      <c r="AQ31" s="1500">
        <f>COUNTIF(INPUT!BR$5:BS$1000,AO31)</f>
        <v/>
      </c>
      <c r="AR31" s="1507">
        <f>(SUMIFS(routes[total],routes[outbound],AO31)+SUMIFS(routes[total],routes[inbound],AO31))/2</f>
        <v/>
      </c>
      <c r="AS31" s="1481" t="inlineStr">
        <is>
          <t>.</t>
        </is>
      </c>
      <c r="AT31" s="1473">
        <f>IF(AU31&lt;&gt;"",AT30+1,AT30)</f>
        <v/>
      </c>
      <c r="AU31" s="1473" t="inlineStr">
        <is>
          <t>The Place</t>
        </is>
      </c>
      <c r="AV31" s="1506">
        <f>IF(AT31&lt;=AT$3,AT31,0)</f>
        <v/>
      </c>
      <c r="AW31" s="1500">
        <f>AU31</f>
        <v/>
      </c>
      <c r="AX31" s="1508">
        <f>_xlfn.XLOOKUP(homes[[#This Row],[home]],raw[home],raw[city],"-")</f>
        <v/>
      </c>
      <c r="AY31" s="1500">
        <f>_xlfn.XLOOKUP(homes[[#This Row],[city]],ccc[city],ccc[ctry],"-")</f>
        <v/>
      </c>
      <c r="AZ31" s="1509">
        <f>_xlfn.XLOOKUP(AU31,raw[home],raw[in])</f>
        <v/>
      </c>
      <c r="BA31" s="1510" t="n"/>
      <c r="BB31" s="1500">
        <f>COUNTIF(INPUT!BX31:BX126,AU31)</f>
        <v/>
      </c>
      <c r="BC31" s="1511">
        <f>INT(SUMIFS(raw[stay],raw[home],homes[[#This Row],[home]]))</f>
        <v/>
      </c>
      <c r="BD31" s="1511">
        <f>INT(SUMIFS(raw[stay],raw[home],homes[[#This Row],[home]],raw[notHome],0))</f>
        <v/>
      </c>
      <c r="BE31" s="1512">
        <f>IF(homes[[#This Row],[main]]=0,"-",homes[[#This Row],[netmain]]/homes[[#This Row],[main]])</f>
        <v/>
      </c>
      <c r="BF31" s="1511">
        <f>INT(SUMIFS(raw[stay],raw[transit],homes[[#This Row],[home]]))</f>
        <v/>
      </c>
      <c r="BG31" s="1511">
        <f>homes[[#This Row],[netmain]]+homes[[#This Row],[extra]]</f>
        <v/>
      </c>
      <c r="BH31" s="1432" t="inlineStr">
        <is>
          <t>.</t>
        </is>
      </c>
      <c r="BI31" s="1491" t="n"/>
      <c r="BJ31" s="1491" t="n"/>
      <c r="BK31" s="1491" t="n"/>
      <c r="BL31" s="1491" t="n"/>
      <c r="BM31" s="1491" t="n"/>
      <c r="BN31" s="1491" t="n"/>
      <c r="BO31" s="1467" t="n"/>
      <c r="BP31" s="1514" t="n">
        <v>27</v>
      </c>
      <c r="BQ31" s="1513">
        <f>[1]Sheet1!C32</f>
        <v/>
      </c>
      <c r="BR31" s="1515">
        <f>[1]Sheet1!D32</f>
        <v/>
      </c>
      <c r="BS31" s="1513">
        <f>[1]Sheet1!E32</f>
        <v/>
      </c>
      <c r="BT31" s="1515">
        <f>[1]Sheet1!F32</f>
        <v/>
      </c>
      <c r="BU31" s="1516">
        <f>[1]Sheet1!G32</f>
        <v/>
      </c>
      <c r="BV31" s="1513">
        <f>[1]Sheet1!H32</f>
        <v/>
      </c>
      <c r="BW31" s="1467" t="n"/>
      <c r="BX31" s="1491">
        <f>[1]Sheet1!$J32</f>
        <v/>
      </c>
      <c r="BY31" s="1517">
        <f>[1]Sheet1!$K32</f>
        <v/>
      </c>
      <c r="BZ31" s="1517">
        <f>[1]Sheet1!$L32</f>
        <v/>
      </c>
      <c r="CA31" s="1500">
        <f>[1]Sheet1!$M32</f>
        <v/>
      </c>
      <c r="CB31" s="1467" t="n"/>
      <c r="CC31" s="1467" t="n"/>
      <c r="CD31" s="1500">
        <f>[1]Sheet1!$P32</f>
        <v/>
      </c>
      <c r="CE31" s="1513">
        <f>[1]Sheet1!$Q32</f>
        <v/>
      </c>
      <c r="CF31" s="1515">
        <f>[1]Sheet1!$R32</f>
        <v/>
      </c>
      <c r="CG31" s="1477" t="n"/>
      <c r="CH31" s="1513" t="n"/>
      <c r="CI31" s="1513" t="n"/>
      <c r="CJ31" s="1513" t="n"/>
      <c r="CK31" s="1477" t="n"/>
      <c r="CL31" s="1521" t="n">
        <v>27</v>
      </c>
      <c r="CM31" s="1513" t="inlineStr">
        <is>
          <t>Eindhoven-Porto</t>
        </is>
      </c>
      <c r="CN31" s="1513" t="inlineStr">
        <is>
          <t>Eindhoven</t>
        </is>
      </c>
      <c r="CO31" s="1513" t="inlineStr">
        <is>
          <t>Porto</t>
        </is>
      </c>
      <c r="CP31" s="1525" t="n">
        <v>1600</v>
      </c>
      <c r="CQ31" s="1477" t="n"/>
      <c r="CR31" s="1491" t="n"/>
      <c r="CS31" s="1491" t="n"/>
      <c r="CT31" s="1491" t="n"/>
      <c r="CU31" s="1491" t="n"/>
      <c r="CV31" s="1491" t="n"/>
      <c r="CW31" s="1491" t="n"/>
      <c r="CX31" s="1491" t="n"/>
    </row>
    <row r="32">
      <c r="A32" s="1427" t="inlineStr">
        <is>
          <t>.</t>
        </is>
      </c>
      <c r="B32" s="1496" t="n"/>
      <c r="C32" s="1496" t="n"/>
      <c r="D32" s="1497">
        <f>IF(E32&lt;&gt;"",D31+1,D31)</f>
        <v/>
      </c>
      <c r="E32" s="1497" t="inlineStr">
        <is>
          <t>Tampa</t>
        </is>
      </c>
      <c r="F32" s="1427" t="inlineStr">
        <is>
          <t>.</t>
        </is>
      </c>
      <c r="G32" s="1498">
        <f>IF(H32="AIR",0,IF(H31="AIR",G30+1,IF(H32&lt;&gt;"",G31+1,G31)))</f>
        <v/>
      </c>
      <c r="H32" s="1498" t="inlineStr">
        <is>
          <t>New Orleans</t>
        </is>
      </c>
      <c r="I32" s="1427" t="inlineStr">
        <is>
          <t>.</t>
        </is>
      </c>
      <c r="J32" s="1499" t="n">
        <v>27</v>
      </c>
      <c r="K32" s="1500">
        <f>_xlfn.XLOOKUP(cities[[#This Row],[id]],$D$5:$D$1500,E$5:E$1500,"-")</f>
        <v/>
      </c>
      <c r="L32" s="1500">
        <f>_xlfn.XLOOKUP(cities[[#This Row],[city]],ccc[city],ccc[ctry],"-")</f>
        <v/>
      </c>
      <c r="M32" s="1500">
        <f>SUMIFS(stayCity[stay],stayCity[city],cities[[#This Row],[city]])</f>
        <v/>
      </c>
      <c r="N32" s="1427">
        <f>N31+1</f>
        <v/>
      </c>
      <c r="O32" s="1501" t="n"/>
      <c r="P32" s="1501" t="n"/>
      <c r="Q32" s="1427" t="inlineStr">
        <is>
          <t>.</t>
        </is>
      </c>
      <c r="R32" s="1473">
        <f>IF(S32&lt;&gt;"",R31+1,R31)</f>
        <v/>
      </c>
      <c r="S32" s="1473" t="inlineStr">
        <is>
          <t>IRL</t>
        </is>
      </c>
      <c r="T32" s="1427" t="inlineStr">
        <is>
          <t>.</t>
        </is>
      </c>
      <c r="U32" s="1496" t="n">
        <v>27</v>
      </c>
      <c r="V32" s="1500">
        <f>_xlfn.XLOOKUP(ctries[[#This Row],[id]],$R$5:$R$1000,S$5:S$1000,"-")</f>
        <v/>
      </c>
      <c r="W32" s="1500">
        <f>IF(OR(ctries[[#This Row],[id]]=0,ctries[[#This Row],[id]]=99),"-",COUNTIF(cities[ctry],ctries[[#This Row],[ctry]]))</f>
        <v/>
      </c>
      <c r="X32" s="1503">
        <f>_xlfn.XLOOKUP(ctries[[#This Row],[ctry]],ccc[ctry],ccc[cont],"-")</f>
        <v/>
      </c>
      <c r="Y32" s="1500">
        <f>IF(ctries[[#This Row],[cont]]="B","B","W")</f>
        <v/>
      </c>
      <c r="Z32" s="1427" t="inlineStr">
        <is>
          <t>.</t>
        </is>
      </c>
      <c r="AA32" s="1473">
        <f>IF(AB32&lt;&gt;"",AA31+1,AA31)</f>
        <v/>
      </c>
      <c r="AB32" s="1473" t="inlineStr">
        <is>
          <t>SP-SSA</t>
        </is>
      </c>
      <c r="AC32" s="1473">
        <f>IF(AD32&lt;&gt;"",AC31+1,AC31)</f>
        <v/>
      </c>
      <c r="AD32" s="1473" t="inlineStr">
        <is>
          <t>Geneve</t>
        </is>
      </c>
      <c r="AE32" s="1427" t="inlineStr">
        <is>
          <t>.</t>
        </is>
      </c>
      <c r="AF32" s="1502" t="n">
        <v>28</v>
      </c>
      <c r="AG32" s="1500">
        <f>_xlfn.XLOOKUP(routes[[#This Row],[id]],$AA$5:$AA$300,$AB$5:$AB$300,"-")</f>
        <v/>
      </c>
      <c r="AH32" s="1500">
        <f>_xlfn.XLOOKUP(routes[[#This Row],[route]],routesUniv[route],routesUniv[outbound],"-")</f>
        <v/>
      </c>
      <c r="AI32" s="1500">
        <f>_xlfn.XLOOKUP(routes[[#This Row],[route]],routesUniv[route],routesUniv[inbound],"-")</f>
        <v/>
      </c>
      <c r="AJ32" s="1500">
        <f>_xlfn.XLOOKUP(routes[[#This Row],[route]],routesUniv[route],routesUniv[km],"-")</f>
        <v/>
      </c>
      <c r="AK32" s="1500">
        <f>COUNTIF(INPUT!BT$5:BT$1000,AG32)</f>
        <v/>
      </c>
      <c r="AL32" s="1505">
        <f>routes[[#This Row],[km]]*routes[[#This Row],[rpt]]/1000</f>
        <v/>
      </c>
      <c r="AM32" s="1481" t="inlineStr">
        <is>
          <t>.</t>
        </is>
      </c>
      <c r="AN32" s="1506" t="n">
        <v>28</v>
      </c>
      <c r="AO32" s="1500">
        <f>IF(AD32&lt;&gt;"",AD32,"-")</f>
        <v/>
      </c>
      <c r="AP32" s="1500">
        <f>_xlfn.XLOOKUP(cityRoutes[[#This Row],[city]],ccc[city],ccc[ctry],"-")</f>
        <v/>
      </c>
      <c r="AQ32" s="1500">
        <f>COUNTIF(INPUT!BR$5:BS$1000,AO32)</f>
        <v/>
      </c>
      <c r="AR32" s="1507">
        <f>(SUMIFS(routes[total],routes[outbound],AO32)+SUMIFS(routes[total],routes[inbound],AO32))/2</f>
        <v/>
      </c>
      <c r="AS32" s="1481" t="inlineStr">
        <is>
          <t>.</t>
        </is>
      </c>
      <c r="AT32" s="1473">
        <f>IF(AU32&lt;&gt;"",AT31+1,AT31)</f>
        <v/>
      </c>
      <c r="AU32" s="1473" t="inlineStr">
        <is>
          <t>Lasalle</t>
        </is>
      </c>
      <c r="AV32" s="1506">
        <f>IF(AT32&lt;=AT$3,AT32,0)</f>
        <v/>
      </c>
      <c r="AW32" s="1500">
        <f>AU32</f>
        <v/>
      </c>
      <c r="AX32" s="1508">
        <f>_xlfn.XLOOKUP(homes[[#This Row],[home]],raw[home],raw[city],"-")</f>
        <v/>
      </c>
      <c r="AY32" s="1500">
        <f>_xlfn.XLOOKUP(homes[[#This Row],[city]],ccc[city],ccc[ctry],"-")</f>
        <v/>
      </c>
      <c r="AZ32" s="1509">
        <f>_xlfn.XLOOKUP(AU32,raw[home],raw[in])</f>
        <v/>
      </c>
      <c r="BA32" s="1510" t="n"/>
      <c r="BB32" s="1500">
        <f>COUNTIF(INPUT!BX32:BX127,AU32)</f>
        <v/>
      </c>
      <c r="BC32" s="1511">
        <f>INT(SUMIFS(raw[stay],raw[home],homes[[#This Row],[home]]))</f>
        <v/>
      </c>
      <c r="BD32" s="1511">
        <f>INT(SUMIFS(raw[stay],raw[home],homes[[#This Row],[home]],raw[notHome],0))</f>
        <v/>
      </c>
      <c r="BE32" s="1512">
        <f>IF(homes[[#This Row],[main]]=0,"-",homes[[#This Row],[netmain]]/homes[[#This Row],[main]])</f>
        <v/>
      </c>
      <c r="BF32" s="1511">
        <f>INT(SUMIFS(raw[stay],raw[transit],homes[[#This Row],[home]]))</f>
        <v/>
      </c>
      <c r="BG32" s="1511">
        <f>homes[[#This Row],[netmain]]+homes[[#This Row],[extra]]</f>
        <v/>
      </c>
      <c r="BH32" s="1432" t="inlineStr">
        <is>
          <t>.</t>
        </is>
      </c>
      <c r="BI32" s="1491" t="n"/>
      <c r="BJ32" s="1491" t="n"/>
      <c r="BK32" s="1491" t="n"/>
      <c r="BL32" s="1491" t="n"/>
      <c r="BM32" s="1491" t="n"/>
      <c r="BN32" s="1491" t="n"/>
      <c r="BO32" s="1467" t="n"/>
      <c r="BP32" s="1514" t="n">
        <v>28</v>
      </c>
      <c r="BQ32" s="1513">
        <f>[1]Sheet1!C33</f>
        <v/>
      </c>
      <c r="BR32" s="1515">
        <f>[1]Sheet1!D33</f>
        <v/>
      </c>
      <c r="BS32" s="1513">
        <f>[1]Sheet1!E33</f>
        <v/>
      </c>
      <c r="BT32" s="1515">
        <f>[1]Sheet1!F33</f>
        <v/>
      </c>
      <c r="BU32" s="1516">
        <f>[1]Sheet1!G33</f>
        <v/>
      </c>
      <c r="BV32" s="1513">
        <f>[1]Sheet1!H33</f>
        <v/>
      </c>
      <c r="BW32" s="1467" t="n"/>
      <c r="BX32" s="1491">
        <f>[1]Sheet1!$J33</f>
        <v/>
      </c>
      <c r="BY32" s="1517">
        <f>[1]Sheet1!$K33</f>
        <v/>
      </c>
      <c r="BZ32" s="1517">
        <f>[1]Sheet1!$L33</f>
        <v/>
      </c>
      <c r="CA32" s="1500">
        <f>[1]Sheet1!$M33</f>
        <v/>
      </c>
      <c r="CB32" s="1467" t="n"/>
      <c r="CC32" s="1467" t="n"/>
      <c r="CD32" s="1500">
        <f>[1]Sheet1!$P33</f>
        <v/>
      </c>
      <c r="CE32" s="1513">
        <f>[1]Sheet1!$Q33</f>
        <v/>
      </c>
      <c r="CF32" s="1515">
        <f>[1]Sheet1!$R33</f>
        <v/>
      </c>
      <c r="CG32" s="1477" t="n"/>
      <c r="CH32" s="1513" t="n"/>
      <c r="CI32" s="1513" t="n"/>
      <c r="CJ32" s="1513" t="n"/>
      <c r="CK32" s="1477" t="n"/>
      <c r="CL32" s="1521" t="n">
        <v>28</v>
      </c>
      <c r="CM32" s="1513" t="inlineStr">
        <is>
          <t>Fortaleza-SSA</t>
        </is>
      </c>
      <c r="CN32" s="1513" t="inlineStr">
        <is>
          <t>Fortaleza</t>
        </is>
      </c>
      <c r="CO32" s="1513" t="inlineStr">
        <is>
          <t>SSA</t>
        </is>
      </c>
      <c r="CP32" s="1514" t="n">
        <v>1000</v>
      </c>
      <c r="CQ32" s="1477" t="n"/>
      <c r="CR32" s="1491" t="n"/>
      <c r="CS32" s="1491" t="n"/>
      <c r="CT32" s="1491" t="n"/>
      <c r="CU32" s="1491" t="n"/>
      <c r="CV32" s="1491" t="n"/>
      <c r="CW32" s="1491" t="n"/>
      <c r="CX32" s="1491" t="n"/>
    </row>
    <row r="33">
      <c r="A33" s="1427" t="inlineStr">
        <is>
          <t>.</t>
        </is>
      </c>
      <c r="B33" s="1496" t="n"/>
      <c r="C33" s="1496" t="n"/>
      <c r="D33" s="1497">
        <f>IF(E33&lt;&gt;"",D32+1,D32)</f>
        <v/>
      </c>
      <c r="E33" s="1497" t="inlineStr">
        <is>
          <t>Miami</t>
        </is>
      </c>
      <c r="F33" s="1427" t="inlineStr">
        <is>
          <t>.</t>
        </is>
      </c>
      <c r="G33" s="1498">
        <f>IF(H33="AIR",0,IF(H32="AIR",G31+1,IF(H33&lt;&gt;"",G32+1,G32)))</f>
        <v/>
      </c>
      <c r="H33" s="1498" t="inlineStr">
        <is>
          <t>Orlando</t>
        </is>
      </c>
      <c r="I33" s="1427" t="inlineStr">
        <is>
          <t>.</t>
        </is>
      </c>
      <c r="J33" s="1499" t="n">
        <v>28</v>
      </c>
      <c r="K33" s="1500">
        <f>_xlfn.XLOOKUP(cities[[#This Row],[id]],$D$5:$D$1500,E$5:E$1500,"-")</f>
        <v/>
      </c>
      <c r="L33" s="1500">
        <f>_xlfn.XLOOKUP(cities[[#This Row],[city]],ccc[city],ccc[ctry],"-")</f>
        <v/>
      </c>
      <c r="M33" s="1500">
        <f>SUMIFS(stayCity[stay],stayCity[city],cities[[#This Row],[city]])</f>
        <v/>
      </c>
      <c r="N33" s="1427">
        <f>N32+1</f>
        <v/>
      </c>
      <c r="O33" s="1501" t="n"/>
      <c r="P33" s="1501" t="n"/>
      <c r="Q33" s="1427" t="inlineStr">
        <is>
          <t>.</t>
        </is>
      </c>
      <c r="R33" s="1473">
        <f>IF(S33&lt;&gt;"",R32+1,R32)</f>
        <v/>
      </c>
      <c r="S33" s="1473" t="inlineStr">
        <is>
          <t>HRV</t>
        </is>
      </c>
      <c r="T33" s="1427" t="inlineStr">
        <is>
          <t>.</t>
        </is>
      </c>
      <c r="U33" s="1496" t="n">
        <v>28</v>
      </c>
      <c r="V33" s="1500">
        <f>_xlfn.XLOOKUP(ctries[[#This Row],[id]],$R$5:$R$1000,S$5:S$1000,"-")</f>
        <v/>
      </c>
      <c r="W33" s="1500">
        <f>IF(OR(ctries[[#This Row],[id]]=0,ctries[[#This Row],[id]]=99),"-",COUNTIF(cities[ctry],ctries[[#This Row],[ctry]]))</f>
        <v/>
      </c>
      <c r="X33" s="1503">
        <f>_xlfn.XLOOKUP(ctries[[#This Row],[ctry]],ccc[ctry],ccc[cont],"-")</f>
        <v/>
      </c>
      <c r="Y33" s="1500">
        <f>IF(ctries[[#This Row],[cont]]="B","B","W")</f>
        <v/>
      </c>
      <c r="Z33" s="1427" t="inlineStr">
        <is>
          <t>.</t>
        </is>
      </c>
      <c r="AA33" s="1473">
        <f>IF(AB33&lt;&gt;"",AA32+1,AA32)</f>
        <v/>
      </c>
      <c r="AB33" s="1473" t="inlineStr">
        <is>
          <t>Lisbon-SSA</t>
        </is>
      </c>
      <c r="AC33" s="1473">
        <f>IF(AD33&lt;&gt;"",AC32+1,AC32)</f>
        <v/>
      </c>
      <c r="AD33" s="1473" t="inlineStr">
        <is>
          <t>Fortaleza</t>
        </is>
      </c>
      <c r="AE33" s="1427" t="inlineStr">
        <is>
          <t>.</t>
        </is>
      </c>
      <c r="AF33" s="1502" t="n">
        <v>29</v>
      </c>
      <c r="AG33" s="1500">
        <f>_xlfn.XLOOKUP(routes[[#This Row],[id]],$AA$5:$AA$300,$AB$5:$AB$300,"-")</f>
        <v/>
      </c>
      <c r="AH33" s="1500">
        <f>_xlfn.XLOOKUP(routes[[#This Row],[route]],routesUniv[route],routesUniv[outbound],"-")</f>
        <v/>
      </c>
      <c r="AI33" s="1500">
        <f>_xlfn.XLOOKUP(routes[[#This Row],[route]],routesUniv[route],routesUniv[inbound],"-")</f>
        <v/>
      </c>
      <c r="AJ33" s="1500">
        <f>_xlfn.XLOOKUP(routes[[#This Row],[route]],routesUniv[route],routesUniv[km],"-")</f>
        <v/>
      </c>
      <c r="AK33" s="1500">
        <f>COUNTIF(INPUT!BT$5:BT$1000,AG33)</f>
        <v/>
      </c>
      <c r="AL33" s="1505">
        <f>routes[[#This Row],[km]]*routes[[#This Row],[rpt]]/1000</f>
        <v/>
      </c>
      <c r="AM33" s="1481" t="inlineStr">
        <is>
          <t>.</t>
        </is>
      </c>
      <c r="AN33" s="1506" t="n">
        <v>29</v>
      </c>
      <c r="AO33" s="1500">
        <f>IF(AD33&lt;&gt;"",AD33,"-")</f>
        <v/>
      </c>
      <c r="AP33" s="1500">
        <f>_xlfn.XLOOKUP(cityRoutes[[#This Row],[city]],ccc[city],ccc[ctry],"-")</f>
        <v/>
      </c>
      <c r="AQ33" s="1500">
        <f>COUNTIF(INPUT!BR$5:BS$1000,AO33)</f>
        <v/>
      </c>
      <c r="AR33" s="1507">
        <f>(SUMIFS(routes[total],routes[outbound],AO33)+SUMIFS(routes[total],routes[inbound],AO33))/2</f>
        <v/>
      </c>
      <c r="AS33" s="1481" t="inlineStr">
        <is>
          <t>.</t>
        </is>
      </c>
      <c r="AT33" s="1473">
        <f>IF(AU33&lt;&gt;"",AT32+1,AT32)</f>
        <v/>
      </c>
      <c r="AU33" s="1473" t="inlineStr">
        <is>
          <t>Beatty</t>
        </is>
      </c>
      <c r="AV33" s="1506">
        <f>IF(AT33&lt;=AT$3,AT33,0)</f>
        <v/>
      </c>
      <c r="AW33" s="1500">
        <f>AU33</f>
        <v/>
      </c>
      <c r="AX33" s="1508">
        <f>_xlfn.XLOOKUP(homes[[#This Row],[home]],raw[home],raw[city],"-")</f>
        <v/>
      </c>
      <c r="AY33" s="1500">
        <f>_xlfn.XLOOKUP(homes[[#This Row],[city]],ccc[city],ccc[ctry],"-")</f>
        <v/>
      </c>
      <c r="AZ33" s="1509">
        <f>_xlfn.XLOOKUP(AU33,raw[home],raw[in])</f>
        <v/>
      </c>
      <c r="BA33" s="1510" t="n"/>
      <c r="BB33" s="1500">
        <f>COUNTIF(INPUT!BX33:BX128,AU33)</f>
        <v/>
      </c>
      <c r="BC33" s="1511">
        <f>INT(SUMIFS(raw[stay],raw[home],homes[[#This Row],[home]]))</f>
        <v/>
      </c>
      <c r="BD33" s="1511">
        <f>INT(SUMIFS(raw[stay],raw[home],homes[[#This Row],[home]],raw[notHome],0))</f>
        <v/>
      </c>
      <c r="BE33" s="1512">
        <f>IF(homes[[#This Row],[main]]=0,"-",homes[[#This Row],[netmain]]/homes[[#This Row],[main]])</f>
        <v/>
      </c>
      <c r="BF33" s="1511">
        <f>INT(SUMIFS(raw[stay],raw[transit],homes[[#This Row],[home]]))</f>
        <v/>
      </c>
      <c r="BG33" s="1511">
        <f>homes[[#This Row],[netmain]]+homes[[#This Row],[extra]]</f>
        <v/>
      </c>
      <c r="BH33" s="1432" t="inlineStr">
        <is>
          <t>.</t>
        </is>
      </c>
      <c r="BI33" s="1491" t="n"/>
      <c r="BJ33" s="1491" t="n"/>
      <c r="BK33" s="1491" t="n"/>
      <c r="BL33" s="1491" t="n"/>
      <c r="BM33" s="1491" t="n"/>
      <c r="BN33" s="1491" t="n"/>
      <c r="BO33" s="1467" t="n"/>
      <c r="BP33" s="1514" t="n">
        <v>29</v>
      </c>
      <c r="BQ33" s="1513">
        <f>[1]Sheet1!C34</f>
        <v/>
      </c>
      <c r="BR33" s="1515">
        <f>[1]Sheet1!D34</f>
        <v/>
      </c>
      <c r="BS33" s="1513">
        <f>[1]Sheet1!E34</f>
        <v/>
      </c>
      <c r="BT33" s="1515">
        <f>[1]Sheet1!F34</f>
        <v/>
      </c>
      <c r="BU33" s="1516">
        <f>[1]Sheet1!G34</f>
        <v/>
      </c>
      <c r="BV33" s="1513">
        <f>[1]Sheet1!H34</f>
        <v/>
      </c>
      <c r="BW33" s="1467" t="n"/>
      <c r="BX33" s="1491">
        <f>[1]Sheet1!$J34</f>
        <v/>
      </c>
      <c r="BY33" s="1517">
        <f>[1]Sheet1!$K34</f>
        <v/>
      </c>
      <c r="BZ33" s="1517">
        <f>[1]Sheet1!$L34</f>
        <v/>
      </c>
      <c r="CA33" s="1500">
        <f>[1]Sheet1!$M34</f>
        <v/>
      </c>
      <c r="CB33" s="1467" t="n"/>
      <c r="CC33" s="1467" t="n"/>
      <c r="CD33" s="1500">
        <f>[1]Sheet1!$P34</f>
        <v/>
      </c>
      <c r="CE33" s="1513">
        <f>[1]Sheet1!$Q34</f>
        <v/>
      </c>
      <c r="CF33" s="1515">
        <f>[1]Sheet1!$R34</f>
        <v/>
      </c>
      <c r="CG33" s="1477" t="n"/>
      <c r="CH33" s="1513" t="n"/>
      <c r="CI33" s="1513" t="n"/>
      <c r="CJ33" s="1513" t="n"/>
      <c r="CK33" s="1477" t="n"/>
      <c r="CL33" s="1521" t="n">
        <v>29</v>
      </c>
      <c r="CM33" s="1500" t="inlineStr">
        <is>
          <t>Frankfurt-Paris</t>
        </is>
      </c>
      <c r="CN33" s="1500" t="inlineStr">
        <is>
          <t>Frankfurt</t>
        </is>
      </c>
      <c r="CO33" s="1500" t="inlineStr">
        <is>
          <t>Paris</t>
        </is>
      </c>
      <c r="CP33" s="1514" t="n">
        <v>500</v>
      </c>
      <c r="CQ33" s="1477" t="n"/>
      <c r="CR33" s="1491" t="n"/>
      <c r="CS33" s="1491" t="n"/>
      <c r="CT33" s="1491" t="n"/>
      <c r="CU33" s="1491" t="n"/>
      <c r="CV33" s="1491" t="n"/>
      <c r="CW33" s="1491" t="n"/>
      <c r="CX33" s="1491" t="n"/>
    </row>
    <row r="34">
      <c r="A34" s="1427" t="inlineStr">
        <is>
          <t>.</t>
        </is>
      </c>
      <c r="B34" s="1496" t="n"/>
      <c r="C34" s="1496" t="n"/>
      <c r="D34" s="1497">
        <f>IF(E34&lt;&gt;"",D33+1,D33)</f>
        <v/>
      </c>
      <c r="E34" s="1497" t="inlineStr">
        <is>
          <t>Manaus</t>
        </is>
      </c>
      <c r="F34" s="1427" t="inlineStr">
        <is>
          <t>.</t>
        </is>
      </c>
      <c r="G34" s="1498">
        <f>IF(H34="AIR",0,IF(H33="AIR",G32+1,IF(H34&lt;&gt;"",G33+1,G33)))</f>
        <v/>
      </c>
      <c r="H34" s="1498" t="inlineStr">
        <is>
          <t>Tampa</t>
        </is>
      </c>
      <c r="I34" s="1427" t="inlineStr">
        <is>
          <t>.</t>
        </is>
      </c>
      <c r="J34" s="1499" t="n">
        <v>29</v>
      </c>
      <c r="K34" s="1500">
        <f>_xlfn.XLOOKUP(cities[[#This Row],[id]],$D$5:$D$1500,E$5:E$1500,"-")</f>
        <v/>
      </c>
      <c r="L34" s="1500">
        <f>_xlfn.XLOOKUP(cities[[#This Row],[city]],ccc[city],ccc[ctry],"-")</f>
        <v/>
      </c>
      <c r="M34" s="1500">
        <f>SUMIFS(stayCity[stay],stayCity[city],cities[[#This Row],[city]])</f>
        <v/>
      </c>
      <c r="N34" s="1427">
        <f>N33+1</f>
        <v/>
      </c>
      <c r="O34" s="1501" t="n"/>
      <c r="P34" s="1501" t="n"/>
      <c r="Q34" s="1427" t="inlineStr">
        <is>
          <t>.</t>
        </is>
      </c>
      <c r="R34" s="1473">
        <f>IF(S34&lt;&gt;"",R33+1,R33)</f>
        <v/>
      </c>
      <c r="S34" s="1473" t="inlineStr">
        <is>
          <t>CZE</t>
        </is>
      </c>
      <c r="T34" s="1427" t="inlineStr">
        <is>
          <t>.</t>
        </is>
      </c>
      <c r="U34" s="1496" t="n">
        <v>29</v>
      </c>
      <c r="V34" s="1500">
        <f>_xlfn.XLOOKUP(ctries[[#This Row],[id]],$R$5:$R$1000,S$5:S$1000,"-")</f>
        <v/>
      </c>
      <c r="W34" s="1500">
        <f>IF(OR(ctries[[#This Row],[id]]=0,ctries[[#This Row],[id]]=99),"-",COUNTIF(cities[ctry],ctries[[#This Row],[ctry]]))</f>
        <v/>
      </c>
      <c r="X34" s="1503">
        <f>_xlfn.XLOOKUP(ctries[[#This Row],[ctry]],ccc[ctry],ccc[cont],"-")</f>
        <v/>
      </c>
      <c r="Y34" s="1500">
        <f>IF(ctries[[#This Row],[cont]]="B","B","W")</f>
        <v/>
      </c>
      <c r="Z34" s="1427" t="inlineStr">
        <is>
          <t>.</t>
        </is>
      </c>
      <c r="AA34" s="1473">
        <f>IF(AB34&lt;&gt;"",AA33+1,AA33)</f>
        <v/>
      </c>
      <c r="AB34" s="1473" t="inlineStr">
        <is>
          <t>Rio-SP</t>
        </is>
      </c>
      <c r="AC34" s="1473">
        <f>IF(AD34&lt;&gt;"",AC33+1,AC33)</f>
        <v/>
      </c>
      <c r="AD34" s="1473" t="inlineStr">
        <is>
          <t>Joao Pessoa</t>
        </is>
      </c>
      <c r="AE34" s="1427" t="inlineStr">
        <is>
          <t>.</t>
        </is>
      </c>
      <c r="AF34" s="1502" t="n">
        <v>30</v>
      </c>
      <c r="AG34" s="1500">
        <f>_xlfn.XLOOKUP(routes[[#This Row],[id]],$AA$5:$AA$300,$AB$5:$AB$300,"-")</f>
        <v/>
      </c>
      <c r="AH34" s="1500">
        <f>_xlfn.XLOOKUP(routes[[#This Row],[route]],routesUniv[route],routesUniv[outbound],"-")</f>
        <v/>
      </c>
      <c r="AI34" s="1500">
        <f>_xlfn.XLOOKUP(routes[[#This Row],[route]],routesUniv[route],routesUniv[inbound],"-")</f>
        <v/>
      </c>
      <c r="AJ34" s="1500">
        <f>_xlfn.XLOOKUP(routes[[#This Row],[route]],routesUniv[route],routesUniv[km],"-")</f>
        <v/>
      </c>
      <c r="AK34" s="1500">
        <f>COUNTIF(INPUT!BT$5:BT$1000,AG34)</f>
        <v/>
      </c>
      <c r="AL34" s="1505">
        <f>routes[[#This Row],[km]]*routes[[#This Row],[rpt]]/1000</f>
        <v/>
      </c>
      <c r="AM34" s="1481" t="inlineStr">
        <is>
          <t>.</t>
        </is>
      </c>
      <c r="AN34" s="1506" t="n">
        <v>30</v>
      </c>
      <c r="AO34" s="1500">
        <f>IF(AD34&lt;&gt;"",AD34,"-")</f>
        <v/>
      </c>
      <c r="AP34" s="1500">
        <f>_xlfn.XLOOKUP(cityRoutes[[#This Row],[city]],ccc[city],ccc[ctry],"-")</f>
        <v/>
      </c>
      <c r="AQ34" s="1500">
        <f>COUNTIF(INPUT!BR$5:BS$1000,AO34)</f>
        <v/>
      </c>
      <c r="AR34" s="1507">
        <f>(SUMIFS(routes[total],routes[outbound],AO34)+SUMIFS(routes[total],routes[inbound],AO34))/2</f>
        <v/>
      </c>
      <c r="AS34" s="1481" t="inlineStr">
        <is>
          <t>.</t>
        </is>
      </c>
      <c r="AT34" s="1473">
        <f>IF(AU34&lt;&gt;"",AT33+1,AT33)</f>
        <v/>
      </c>
      <c r="AU34" s="1473" t="inlineStr">
        <is>
          <t>Nadeau</t>
        </is>
      </c>
      <c r="AV34" s="1506">
        <f>IF(AT34&lt;=AT$3,AT34,0)</f>
        <v/>
      </c>
      <c r="AW34" s="1500">
        <f>AU34</f>
        <v/>
      </c>
      <c r="AX34" s="1508">
        <f>_xlfn.XLOOKUP(homes[[#This Row],[home]],raw[home],raw[city],"-")</f>
        <v/>
      </c>
      <c r="AY34" s="1500">
        <f>_xlfn.XLOOKUP(homes[[#This Row],[city]],ccc[city],ccc[ctry],"-")</f>
        <v/>
      </c>
      <c r="AZ34" s="1509">
        <f>_xlfn.XLOOKUP(AU34,raw[home],raw[in])</f>
        <v/>
      </c>
      <c r="BA34" s="1510" t="n"/>
      <c r="BB34" s="1500">
        <f>COUNTIF(INPUT!BX34:BX129,AU34)</f>
        <v/>
      </c>
      <c r="BC34" s="1511">
        <f>INT(SUMIFS(raw[stay],raw[home],homes[[#This Row],[home]]))</f>
        <v/>
      </c>
      <c r="BD34" s="1511">
        <f>INT(SUMIFS(raw[stay],raw[home],homes[[#This Row],[home]],raw[notHome],0))</f>
        <v/>
      </c>
      <c r="BE34" s="1512">
        <f>IF(homes[[#This Row],[main]]=0,"-",homes[[#This Row],[netmain]]/homes[[#This Row],[main]])</f>
        <v/>
      </c>
      <c r="BF34" s="1511">
        <f>INT(SUMIFS(raw[stay],raw[transit],homes[[#This Row],[home]]))</f>
        <v/>
      </c>
      <c r="BG34" s="1511">
        <f>homes[[#This Row],[netmain]]+homes[[#This Row],[extra]]</f>
        <v/>
      </c>
      <c r="BH34" s="1432" t="inlineStr">
        <is>
          <t>.</t>
        </is>
      </c>
      <c r="BI34" s="1491" t="n"/>
      <c r="BJ34" s="1491" t="n"/>
      <c r="BK34" s="1491" t="n"/>
      <c r="BL34" s="1491" t="n"/>
      <c r="BM34" s="1491" t="n"/>
      <c r="BN34" s="1491" t="n"/>
      <c r="BO34" s="1467" t="n"/>
      <c r="BP34" s="1514" t="n">
        <v>30</v>
      </c>
      <c r="BQ34" s="1513">
        <f>[1]Sheet1!C35</f>
        <v/>
      </c>
      <c r="BR34" s="1515">
        <f>[1]Sheet1!D35</f>
        <v/>
      </c>
      <c r="BS34" s="1513">
        <f>[1]Sheet1!E35</f>
        <v/>
      </c>
      <c r="BT34" s="1515">
        <f>[1]Sheet1!F35</f>
        <v/>
      </c>
      <c r="BU34" s="1516">
        <f>[1]Sheet1!G35</f>
        <v/>
      </c>
      <c r="BV34" s="1513">
        <f>[1]Sheet1!H35</f>
        <v/>
      </c>
      <c r="BW34" s="1467" t="n"/>
      <c r="BX34" s="1491">
        <f>[1]Sheet1!$J35</f>
        <v/>
      </c>
      <c r="BY34" s="1517">
        <f>[1]Sheet1!$K35</f>
        <v/>
      </c>
      <c r="BZ34" s="1517">
        <f>[1]Sheet1!$L35</f>
        <v/>
      </c>
      <c r="CA34" s="1500">
        <f>[1]Sheet1!$M35</f>
        <v/>
      </c>
      <c r="CB34" s="1467" t="n"/>
      <c r="CC34" s="1467" t="n"/>
      <c r="CD34" s="1500">
        <f>[1]Sheet1!$P35</f>
        <v/>
      </c>
      <c r="CE34" s="1513">
        <f>[1]Sheet1!$Q35</f>
        <v/>
      </c>
      <c r="CF34" s="1515">
        <f>[1]Sheet1!$R35</f>
        <v/>
      </c>
      <c r="CG34" s="1477" t="n"/>
      <c r="CH34" s="1513" t="n"/>
      <c r="CI34" s="1513" t="n"/>
      <c r="CJ34" s="1513" t="n"/>
      <c r="CK34" s="1477" t="n"/>
      <c r="CL34" s="1521" t="n">
        <v>30</v>
      </c>
      <c r="CM34" s="1500" t="inlineStr">
        <is>
          <t>Frankfurt-SP</t>
        </is>
      </c>
      <c r="CN34" s="1500" t="inlineStr">
        <is>
          <t>Frankfurt</t>
        </is>
      </c>
      <c r="CO34" s="1500" t="inlineStr">
        <is>
          <t>SP</t>
        </is>
      </c>
      <c r="CP34" s="1514" t="n">
        <v>9800</v>
      </c>
      <c r="CQ34" s="1477" t="n"/>
      <c r="CR34" s="1491" t="n"/>
      <c r="CS34" s="1491" t="n"/>
      <c r="CT34" s="1491" t="n"/>
      <c r="CU34" s="1491" t="n"/>
      <c r="CV34" s="1491" t="n"/>
      <c r="CW34" s="1491" t="n"/>
      <c r="CX34" s="1491" t="n"/>
    </row>
    <row r="35">
      <c r="A35" s="1427" t="inlineStr">
        <is>
          <t>.</t>
        </is>
      </c>
      <c r="B35" s="1496" t="n"/>
      <c r="C35" s="1496" t="n"/>
      <c r="D35" s="1497">
        <f>IF(E35&lt;&gt;"",D34+1,D34)</f>
        <v/>
      </c>
      <c r="E35" s="1497" t="inlineStr">
        <is>
          <t>Brasilia</t>
        </is>
      </c>
      <c r="F35" s="1427" t="inlineStr">
        <is>
          <t>.</t>
        </is>
      </c>
      <c r="G35" s="1498">
        <f>IF(H35="AIR",0,IF(H34="AIR",G33+1,IF(H35&lt;&gt;"",G34+1,G34)))</f>
        <v/>
      </c>
      <c r="H35" s="1498" t="inlineStr">
        <is>
          <t>Miami</t>
        </is>
      </c>
      <c r="I35" s="1427" t="inlineStr">
        <is>
          <t>.</t>
        </is>
      </c>
      <c r="J35" s="1499" t="n">
        <v>30</v>
      </c>
      <c r="K35" s="1500">
        <f>_xlfn.XLOOKUP(cities[[#This Row],[id]],$D$5:$D$1500,E$5:E$1500,"-")</f>
        <v/>
      </c>
      <c r="L35" s="1500">
        <f>_xlfn.XLOOKUP(cities[[#This Row],[city]],ccc[city],ccc[ctry],"-")</f>
        <v/>
      </c>
      <c r="M35" s="1500">
        <f>SUMIFS(stayCity[stay],stayCity[city],cities[[#This Row],[city]])</f>
        <v/>
      </c>
      <c r="N35" s="1427">
        <f>N34+1</f>
        <v/>
      </c>
      <c r="O35" s="1501" t="n"/>
      <c r="P35" s="1501" t="n"/>
      <c r="Q35" s="1427" t="inlineStr">
        <is>
          <t>.</t>
        </is>
      </c>
      <c r="R35" s="1473">
        <f>IF(S35&lt;&gt;"",R34+1,R34)</f>
        <v/>
      </c>
      <c r="S35" s="1473" t="inlineStr">
        <is>
          <t>CAN</t>
        </is>
      </c>
      <c r="T35" s="1427" t="inlineStr">
        <is>
          <t>.</t>
        </is>
      </c>
      <c r="U35" s="1496" t="n">
        <v>30</v>
      </c>
      <c r="V35" s="1500">
        <f>_xlfn.XLOOKUP(ctries[[#This Row],[id]],$R$5:$R$1000,S$5:S$1000,"-")</f>
        <v/>
      </c>
      <c r="W35" s="1500">
        <f>IF(OR(ctries[[#This Row],[id]]=0,ctries[[#This Row],[id]]=99),"-",COUNTIF(cities[ctry],ctries[[#This Row],[ctry]]))</f>
        <v/>
      </c>
      <c r="X35" s="1503">
        <f>_xlfn.XLOOKUP(ctries[[#This Row],[ctry]],ccc[ctry],ccc[cont],"-")</f>
        <v/>
      </c>
      <c r="Y35" s="1500">
        <f>IF(ctries[[#This Row],[cont]]="B","B","W")</f>
        <v/>
      </c>
      <c r="Z35" s="1427" t="inlineStr">
        <is>
          <t>.</t>
        </is>
      </c>
      <c r="AA35" s="1473">
        <f>IF(AB35&lt;&gt;"",AA34+1,AA34)</f>
        <v/>
      </c>
      <c r="AB35" s="1473" t="inlineStr">
        <is>
          <t>SP-London</t>
        </is>
      </c>
      <c r="AC35" s="1473">
        <f>IF(AD35&lt;&gt;"",AC34+1,AC34)</f>
        <v/>
      </c>
      <c r="AD35" s="1473" t="inlineStr">
        <is>
          <t>Curitiba</t>
        </is>
      </c>
      <c r="AE35" s="1427" t="inlineStr">
        <is>
          <t>.</t>
        </is>
      </c>
      <c r="AF35" s="1502" t="n">
        <v>31</v>
      </c>
      <c r="AG35" s="1500">
        <f>_xlfn.XLOOKUP(routes[[#This Row],[id]],$AA$5:$AA$300,$AB$5:$AB$300,"-")</f>
        <v/>
      </c>
      <c r="AH35" s="1500">
        <f>_xlfn.XLOOKUP(routes[[#This Row],[route]],routesUniv[route],routesUniv[outbound],"-")</f>
        <v/>
      </c>
      <c r="AI35" s="1500">
        <f>_xlfn.XLOOKUP(routes[[#This Row],[route]],routesUniv[route],routesUniv[inbound],"-")</f>
        <v/>
      </c>
      <c r="AJ35" s="1500">
        <f>_xlfn.XLOOKUP(routes[[#This Row],[route]],routesUniv[route],routesUniv[km],"-")</f>
        <v/>
      </c>
      <c r="AK35" s="1500">
        <f>COUNTIF(INPUT!BT$5:BT$1000,AG35)</f>
        <v/>
      </c>
      <c r="AL35" s="1505">
        <f>routes[[#This Row],[km]]*routes[[#This Row],[rpt]]/1000</f>
        <v/>
      </c>
      <c r="AM35" s="1481" t="inlineStr">
        <is>
          <t>.</t>
        </is>
      </c>
      <c r="AN35" s="1506" t="n">
        <v>31</v>
      </c>
      <c r="AO35" s="1500">
        <f>IF(AD35&lt;&gt;"",AD35,"-")</f>
        <v/>
      </c>
      <c r="AP35" s="1500">
        <f>_xlfn.XLOOKUP(cityRoutes[[#This Row],[city]],ccc[city],ccc[ctry],"-")</f>
        <v/>
      </c>
      <c r="AQ35" s="1500">
        <f>COUNTIF(INPUT!BR$5:BS$1000,AO35)</f>
        <v/>
      </c>
      <c r="AR35" s="1507">
        <f>(SUMIFS(routes[total],routes[outbound],AO35)+SUMIFS(routes[total],routes[inbound],AO35))/2</f>
        <v/>
      </c>
      <c r="AS35" s="1481" t="inlineStr">
        <is>
          <t>.</t>
        </is>
      </c>
      <c r="AT35" s="1473">
        <f>IF(AU35&lt;&gt;"",AT34+1,AT34)</f>
        <v/>
      </c>
      <c r="AU35" s="1473" t="inlineStr">
        <is>
          <t>Marie-Victorin</t>
        </is>
      </c>
      <c r="AV35" s="1506">
        <f>IF(AT35&lt;=AT$3,AT35,0)</f>
        <v/>
      </c>
      <c r="AW35" s="1500">
        <f>AU35</f>
        <v/>
      </c>
      <c r="AX35" s="1508">
        <f>_xlfn.XLOOKUP(homes[[#This Row],[home]],raw[home],raw[city],"-")</f>
        <v/>
      </c>
      <c r="AY35" s="1500">
        <f>_xlfn.XLOOKUP(homes[[#This Row],[city]],ccc[city],ccc[ctry],"-")</f>
        <v/>
      </c>
      <c r="AZ35" s="1509">
        <f>_xlfn.XLOOKUP(AU35,raw[home],raw[in])</f>
        <v/>
      </c>
      <c r="BA35" s="1510" t="n"/>
      <c r="BB35" s="1500">
        <f>COUNTIF(INPUT!BX35:BX130,AU35)</f>
        <v/>
      </c>
      <c r="BC35" s="1511">
        <f>INT(SUMIFS(raw[stay],raw[home],homes[[#This Row],[home]]))</f>
        <v/>
      </c>
      <c r="BD35" s="1511">
        <f>INT(SUMIFS(raw[stay],raw[home],homes[[#This Row],[home]],raw[notHome],0))</f>
        <v/>
      </c>
      <c r="BE35" s="1512">
        <f>IF(homes[[#This Row],[main]]=0,"-",homes[[#This Row],[netmain]]/homes[[#This Row],[main]])</f>
        <v/>
      </c>
      <c r="BF35" s="1511">
        <f>INT(SUMIFS(raw[stay],raw[transit],homes[[#This Row],[home]]))</f>
        <v/>
      </c>
      <c r="BG35" s="1511">
        <f>homes[[#This Row],[netmain]]+homes[[#This Row],[extra]]</f>
        <v/>
      </c>
      <c r="BH35" s="1432" t="inlineStr">
        <is>
          <t>.</t>
        </is>
      </c>
      <c r="BI35" s="1491" t="n"/>
      <c r="BJ35" s="1491" t="n"/>
      <c r="BK35" s="1491" t="n"/>
      <c r="BL35" s="1491" t="n"/>
      <c r="BM35" s="1491" t="n"/>
      <c r="BN35" s="1491" t="n"/>
      <c r="BO35" s="1467" t="n"/>
      <c r="BP35" s="1514" t="n">
        <v>31</v>
      </c>
      <c r="BQ35" s="1513">
        <f>[1]Sheet1!C36</f>
        <v/>
      </c>
      <c r="BR35" s="1515">
        <f>[1]Sheet1!D36</f>
        <v/>
      </c>
      <c r="BS35" s="1513">
        <f>[1]Sheet1!E36</f>
        <v/>
      </c>
      <c r="BT35" s="1515">
        <f>[1]Sheet1!F36</f>
        <v/>
      </c>
      <c r="BU35" s="1516">
        <f>[1]Sheet1!G36</f>
        <v/>
      </c>
      <c r="BV35" s="1513">
        <f>[1]Sheet1!H36</f>
        <v/>
      </c>
      <c r="BW35" s="1467" t="n"/>
      <c r="BX35" s="1491">
        <f>[1]Sheet1!$J36</f>
        <v/>
      </c>
      <c r="BY35" s="1517">
        <f>[1]Sheet1!$K36</f>
        <v/>
      </c>
      <c r="BZ35" s="1517">
        <f>[1]Sheet1!$L36</f>
        <v/>
      </c>
      <c r="CA35" s="1500">
        <f>[1]Sheet1!$M36</f>
        <v/>
      </c>
      <c r="CB35" s="1467" t="n"/>
      <c r="CC35" s="1467" t="n"/>
      <c r="CD35" s="1500">
        <f>[1]Sheet1!$P36</f>
        <v/>
      </c>
      <c r="CE35" s="1513">
        <f>[1]Sheet1!$Q36</f>
        <v/>
      </c>
      <c r="CF35" s="1515">
        <f>[1]Sheet1!$R36</f>
        <v/>
      </c>
      <c r="CG35" s="1477" t="n"/>
      <c r="CH35" s="1513" t="n"/>
      <c r="CI35" s="1513" t="n"/>
      <c r="CJ35" s="1513" t="n"/>
      <c r="CK35" s="1477" t="n"/>
      <c r="CL35" s="1521" t="n">
        <v>31</v>
      </c>
      <c r="CM35" s="1500" t="inlineStr">
        <is>
          <t>Frankfurt-SSA</t>
        </is>
      </c>
      <c r="CN35" s="1500" t="inlineStr">
        <is>
          <t>Frankfurt</t>
        </is>
      </c>
      <c r="CO35" s="1500" t="inlineStr">
        <is>
          <t>SSA</t>
        </is>
      </c>
      <c r="CP35" s="1514" t="n">
        <v>8400</v>
      </c>
      <c r="CQ35" s="1477" t="n"/>
      <c r="CR35" s="1491" t="n"/>
      <c r="CS35" s="1491" t="n"/>
      <c r="CT35" s="1491" t="n"/>
      <c r="CU35" s="1491" t="n"/>
      <c r="CV35" s="1491" t="n"/>
      <c r="CW35" s="1491" t="n"/>
      <c r="CX35" s="1491" t="n"/>
    </row>
    <row r="36">
      <c r="A36" s="1427" t="inlineStr">
        <is>
          <t>.</t>
        </is>
      </c>
      <c r="B36" s="1496" t="n"/>
      <c r="C36" s="1496" t="n"/>
      <c r="D36" s="1497">
        <f>IF(E36&lt;&gt;"",D35+1,D35)</f>
        <v/>
      </c>
      <c r="E36" s="1497" t="inlineStr">
        <is>
          <t>Lisbon</t>
        </is>
      </c>
      <c r="F36" s="1427" t="inlineStr">
        <is>
          <t>.</t>
        </is>
      </c>
      <c r="G36" s="1498">
        <f>IF(H36="AIR",0,IF(H35="AIR",G34+1,IF(H36&lt;&gt;"",G35+1,G35)))</f>
        <v/>
      </c>
      <c r="H36" s="1498" t="inlineStr">
        <is>
          <t>Manaus</t>
        </is>
      </c>
      <c r="I36" s="1427" t="inlineStr">
        <is>
          <t>.</t>
        </is>
      </c>
      <c r="J36" s="1499" t="n">
        <v>31</v>
      </c>
      <c r="K36" s="1500">
        <f>_xlfn.XLOOKUP(cities[[#This Row],[id]],$D$5:$D$1500,E$5:E$1500,"-")</f>
        <v/>
      </c>
      <c r="L36" s="1500">
        <f>_xlfn.XLOOKUP(cities[[#This Row],[city]],ccc[city],ccc[ctry],"-")</f>
        <v/>
      </c>
      <c r="M36" s="1500">
        <f>SUMIFS(stayCity[stay],stayCity[city],cities[[#This Row],[city]])</f>
        <v/>
      </c>
      <c r="N36" s="1427">
        <f>N35+1</f>
        <v/>
      </c>
      <c r="O36" s="1501" t="n"/>
      <c r="P36" s="1501" t="n"/>
      <c r="Q36" s="1427" t="inlineStr">
        <is>
          <t>.</t>
        </is>
      </c>
      <c r="R36" s="1473">
        <f>IF(S36&lt;&gt;"",R35+1,R35)</f>
        <v/>
      </c>
      <c r="S36" s="1473" t="inlineStr">
        <is>
          <t>CHN</t>
        </is>
      </c>
      <c r="T36" s="1427" t="inlineStr">
        <is>
          <t>.</t>
        </is>
      </c>
      <c r="U36" s="1496" t="n">
        <v>31</v>
      </c>
      <c r="V36" s="1500">
        <f>_xlfn.XLOOKUP(ctries[[#This Row],[id]],$R$5:$R$1000,S$5:S$1000,"-")</f>
        <v/>
      </c>
      <c r="W36" s="1500">
        <f>IF(OR(ctries[[#This Row],[id]]=0,ctries[[#This Row],[id]]=99),"-",COUNTIF(cities[ctry],ctries[[#This Row],[ctry]]))</f>
        <v/>
      </c>
      <c r="X36" s="1503">
        <f>_xlfn.XLOOKUP(ctries[[#This Row],[ctry]],ccc[ctry],ccc[cont],"-")</f>
        <v/>
      </c>
      <c r="Y36" s="1500">
        <f>IF(ctries[[#This Row],[cont]]="B","B","W")</f>
        <v/>
      </c>
      <c r="Z36" s="1427" t="inlineStr">
        <is>
          <t>.</t>
        </is>
      </c>
      <c r="AA36" s="1473">
        <f>IF(AB36&lt;&gt;"",AA35+1,AA35)</f>
        <v/>
      </c>
      <c r="AB36" s="1473" t="inlineStr">
        <is>
          <t>London-Stockholm</t>
        </is>
      </c>
      <c r="AC36" s="1473">
        <f>IF(AD36&lt;&gt;"",AC35+1,AC35)</f>
        <v/>
      </c>
      <c r="AD36" s="1473" t="inlineStr">
        <is>
          <t>Madrid</t>
        </is>
      </c>
      <c r="AE36" s="1427" t="inlineStr">
        <is>
          <t>.</t>
        </is>
      </c>
      <c r="AF36" s="1502" t="n">
        <v>32</v>
      </c>
      <c r="AG36" s="1500">
        <f>_xlfn.XLOOKUP(routes[[#This Row],[id]],$AA$5:$AA$300,$AB$5:$AB$300,"-")</f>
        <v/>
      </c>
      <c r="AH36" s="1500">
        <f>_xlfn.XLOOKUP(routes[[#This Row],[route]],routesUniv[route],routesUniv[outbound],"-")</f>
        <v/>
      </c>
      <c r="AI36" s="1500">
        <f>_xlfn.XLOOKUP(routes[[#This Row],[route]],routesUniv[route],routesUniv[inbound],"-")</f>
        <v/>
      </c>
      <c r="AJ36" s="1500">
        <f>_xlfn.XLOOKUP(routes[[#This Row],[route]],routesUniv[route],routesUniv[km],"-")</f>
        <v/>
      </c>
      <c r="AK36" s="1500">
        <f>COUNTIF(INPUT!BT$5:BT$1000,AG36)</f>
        <v/>
      </c>
      <c r="AL36" s="1505">
        <f>routes[[#This Row],[km]]*routes[[#This Row],[rpt]]/1000</f>
        <v/>
      </c>
      <c r="AM36" s="1481" t="inlineStr">
        <is>
          <t>.</t>
        </is>
      </c>
      <c r="AN36" s="1506" t="n">
        <v>32</v>
      </c>
      <c r="AO36" s="1500">
        <f>IF(AD36&lt;&gt;"",AD36,"-")</f>
        <v/>
      </c>
      <c r="AP36" s="1500">
        <f>_xlfn.XLOOKUP(cityRoutes[[#This Row],[city]],ccc[city],ccc[ctry],"-")</f>
        <v/>
      </c>
      <c r="AQ36" s="1500">
        <f>COUNTIF(INPUT!BR$5:BS$1000,AO36)</f>
        <v/>
      </c>
      <c r="AR36" s="1507">
        <f>(SUMIFS(routes[total],routes[outbound],AO36)+SUMIFS(routes[total],routes[inbound],AO36))/2</f>
        <v/>
      </c>
      <c r="AS36" s="1481" t="inlineStr">
        <is>
          <t>.</t>
        </is>
      </c>
      <c r="AT36" s="1473">
        <f>IF(AU36&lt;&gt;"",AT35+1,AT35)</f>
        <v/>
      </c>
      <c r="AU36" s="1473" t="inlineStr">
        <is>
          <t>Gaspé</t>
        </is>
      </c>
      <c r="AV36" s="1506">
        <f>IF(AT36&lt;=AT$3,AT36,0)</f>
        <v/>
      </c>
      <c r="AW36" s="1500">
        <f>AU36</f>
        <v/>
      </c>
      <c r="AX36" s="1508">
        <f>_xlfn.XLOOKUP(homes[[#This Row],[home]],raw[home],raw[city],"-")</f>
        <v/>
      </c>
      <c r="AY36" s="1500">
        <f>_xlfn.XLOOKUP(homes[[#This Row],[city]],ccc[city],ccc[ctry],"-")</f>
        <v/>
      </c>
      <c r="AZ36" s="1509">
        <f>_xlfn.XLOOKUP(AU36,raw[home],raw[in])</f>
        <v/>
      </c>
      <c r="BA36" s="1510" t="n"/>
      <c r="BB36" s="1500">
        <f>COUNTIF(INPUT!BX36:BX131,AU36)</f>
        <v/>
      </c>
      <c r="BC36" s="1511">
        <f>INT(SUMIFS(raw[stay],raw[home],homes[[#This Row],[home]]))</f>
        <v/>
      </c>
      <c r="BD36" s="1511">
        <f>INT(SUMIFS(raw[stay],raw[home],homes[[#This Row],[home]],raw[notHome],0))</f>
        <v/>
      </c>
      <c r="BE36" s="1512">
        <f>IF(homes[[#This Row],[main]]=0,"-",homes[[#This Row],[netmain]]/homes[[#This Row],[main]])</f>
        <v/>
      </c>
      <c r="BF36" s="1511">
        <f>INT(SUMIFS(raw[stay],raw[transit],homes[[#This Row],[home]]))</f>
        <v/>
      </c>
      <c r="BG36" s="1511">
        <f>homes[[#This Row],[netmain]]+homes[[#This Row],[extra]]</f>
        <v/>
      </c>
      <c r="BH36" s="1432" t="inlineStr">
        <is>
          <t>.</t>
        </is>
      </c>
      <c r="BI36" s="1491" t="n"/>
      <c r="BJ36" s="1491" t="n"/>
      <c r="BK36" s="1491" t="n"/>
      <c r="BL36" s="1491" t="n"/>
      <c r="BM36" s="1491" t="n"/>
      <c r="BN36" s="1491" t="n"/>
      <c r="BO36" s="1467" t="n"/>
      <c r="BP36" s="1514" t="n">
        <v>32</v>
      </c>
      <c r="BQ36" s="1513">
        <f>[1]Sheet1!C37</f>
        <v/>
      </c>
      <c r="BR36" s="1515">
        <f>[1]Sheet1!D37</f>
        <v/>
      </c>
      <c r="BS36" s="1513">
        <f>[1]Sheet1!E37</f>
        <v/>
      </c>
      <c r="BT36" s="1515">
        <f>[1]Sheet1!F37</f>
        <v/>
      </c>
      <c r="BU36" s="1516">
        <f>[1]Sheet1!G37</f>
        <v/>
      </c>
      <c r="BV36" s="1513">
        <f>[1]Sheet1!H37</f>
        <v/>
      </c>
      <c r="BW36" s="1467" t="n"/>
      <c r="BX36" s="1491">
        <f>[1]Sheet1!$J37</f>
        <v/>
      </c>
      <c r="BY36" s="1517">
        <f>[1]Sheet1!$K37</f>
        <v/>
      </c>
      <c r="BZ36" s="1517">
        <f>[1]Sheet1!$L37</f>
        <v/>
      </c>
      <c r="CA36" s="1500">
        <f>[1]Sheet1!$M37</f>
        <v/>
      </c>
      <c r="CB36" s="1467" t="n"/>
      <c r="CC36" s="1467" t="n"/>
      <c r="CD36" s="1500">
        <f>[1]Sheet1!$P37</f>
        <v/>
      </c>
      <c r="CE36" s="1513">
        <f>[1]Sheet1!$Q37</f>
        <v/>
      </c>
      <c r="CF36" s="1515">
        <f>[1]Sheet1!$R37</f>
        <v/>
      </c>
      <c r="CG36" s="1477" t="n"/>
      <c r="CH36" s="1513" t="n"/>
      <c r="CI36" s="1513" t="n"/>
      <c r="CJ36" s="1513" t="n"/>
      <c r="CK36" s="1477" t="n"/>
      <c r="CL36" s="1521" t="n">
        <v>32</v>
      </c>
      <c r="CM36" s="1513" t="inlineStr">
        <is>
          <t>Geneve-London</t>
        </is>
      </c>
      <c r="CN36" s="1513" t="inlineStr">
        <is>
          <t>Geneve</t>
        </is>
      </c>
      <c r="CO36" s="1513" t="inlineStr">
        <is>
          <t>London</t>
        </is>
      </c>
      <c r="CP36" s="1514" t="n">
        <v>700</v>
      </c>
      <c r="CQ36" s="1477" t="n"/>
      <c r="CR36" s="1491" t="n"/>
      <c r="CS36" s="1491" t="n"/>
      <c r="CT36" s="1491" t="n"/>
      <c r="CU36" s="1491" t="n"/>
      <c r="CV36" s="1491" t="n"/>
      <c r="CW36" s="1491" t="n"/>
      <c r="CX36" s="1491" t="n"/>
    </row>
    <row r="37">
      <c r="A37" s="1427" t="inlineStr">
        <is>
          <t>.</t>
        </is>
      </c>
      <c r="B37" s="1496" t="n"/>
      <c r="C37" s="1496" t="n"/>
      <c r="D37" s="1497">
        <f>IF(E37&lt;&gt;"",D36+1,D36)</f>
        <v/>
      </c>
      <c r="E37" s="1497" t="inlineStr">
        <is>
          <t>Rome</t>
        </is>
      </c>
      <c r="F37" s="1427" t="inlineStr">
        <is>
          <t>.</t>
        </is>
      </c>
      <c r="G37" s="1498">
        <f>IF(H37="AIR",0,IF(H36="AIR",G35+1,IF(H37&lt;&gt;"",G36+1,G36)))</f>
        <v/>
      </c>
      <c r="H37" s="1498" t="inlineStr">
        <is>
          <t>Brasilia</t>
        </is>
      </c>
      <c r="I37" s="1427" t="inlineStr">
        <is>
          <t>.</t>
        </is>
      </c>
      <c r="J37" s="1499" t="n">
        <v>32</v>
      </c>
      <c r="K37" s="1500">
        <f>_xlfn.XLOOKUP(cities[[#This Row],[id]],$D$5:$D$1500,E$5:E$1500,"-")</f>
        <v/>
      </c>
      <c r="L37" s="1500">
        <f>_xlfn.XLOOKUP(cities[[#This Row],[city]],ccc[city],ccc[ctry],"-")</f>
        <v/>
      </c>
      <c r="M37" s="1500">
        <f>SUMIFS(stayCity[stay],stayCity[city],cities[[#This Row],[city]])</f>
        <v/>
      </c>
      <c r="N37" s="1427">
        <f>N36+1</f>
        <v/>
      </c>
      <c r="O37" s="1501" t="n"/>
      <c r="P37" s="1501" t="n"/>
      <c r="Q37" s="1427" t="inlineStr">
        <is>
          <t>.</t>
        </is>
      </c>
      <c r="R37" s="1473">
        <f>IF(S37&lt;&gt;"",R36+1,R36)</f>
        <v/>
      </c>
      <c r="S37" s="1473" t="inlineStr">
        <is>
          <t>PAN</t>
        </is>
      </c>
      <c r="T37" s="1427" t="inlineStr">
        <is>
          <t>.</t>
        </is>
      </c>
      <c r="U37" s="1496" t="n">
        <v>32</v>
      </c>
      <c r="V37" s="1500">
        <f>_xlfn.XLOOKUP(ctries[[#This Row],[id]],$R$5:$R$1000,S$5:S$1000,"-")</f>
        <v/>
      </c>
      <c r="W37" s="1500">
        <f>IF(OR(ctries[[#This Row],[id]]=0,ctries[[#This Row],[id]]=99),"-",COUNTIF(cities[ctry],ctries[[#This Row],[ctry]]))</f>
        <v/>
      </c>
      <c r="X37" s="1503">
        <f>_xlfn.XLOOKUP(ctries[[#This Row],[ctry]],ccc[ctry],ccc[cont],"-")</f>
        <v/>
      </c>
      <c r="Y37" s="1500" t="inlineStr">
        <is>
          <t>W</t>
        </is>
      </c>
      <c r="Z37" s="1427" t="inlineStr">
        <is>
          <t>.</t>
        </is>
      </c>
      <c r="AA37" s="1473">
        <f>IF(AB37&lt;&gt;"",AA36+1,AA36)</f>
        <v/>
      </c>
      <c r="AB37" s="1473" t="inlineStr">
        <is>
          <t>Stockholm-London</t>
        </is>
      </c>
      <c r="AC37" s="1473">
        <f>IF(AD37&lt;&gt;"",AC36+1,AC36)</f>
        <v/>
      </c>
      <c r="AD37" s="1473" t="inlineStr">
        <is>
          <t>Barcelona</t>
        </is>
      </c>
      <c r="AE37" s="1427" t="inlineStr">
        <is>
          <t>.</t>
        </is>
      </c>
      <c r="AF37" s="1502" t="n">
        <v>33</v>
      </c>
      <c r="AG37" s="1500">
        <f>_xlfn.XLOOKUP(routes[[#This Row],[id]],$AA$5:$AA$300,$AB$5:$AB$300,"-")</f>
        <v/>
      </c>
      <c r="AH37" s="1500">
        <f>_xlfn.XLOOKUP(routes[[#This Row],[route]],routesUniv[route],routesUniv[outbound],"-")</f>
        <v/>
      </c>
      <c r="AI37" s="1500">
        <f>_xlfn.XLOOKUP(routes[[#This Row],[route]],routesUniv[route],routesUniv[inbound],"-")</f>
        <v/>
      </c>
      <c r="AJ37" s="1500">
        <f>_xlfn.XLOOKUP(routes[[#This Row],[route]],routesUniv[route],routesUniv[km],"-")</f>
        <v/>
      </c>
      <c r="AK37" s="1500">
        <f>COUNTIF(INPUT!BT$5:BT$1000,AG37)</f>
        <v/>
      </c>
      <c r="AL37" s="1505">
        <f>routes[[#This Row],[km]]*routes[[#This Row],[rpt]]/1000</f>
        <v/>
      </c>
      <c r="AM37" s="1481" t="inlineStr">
        <is>
          <t>.</t>
        </is>
      </c>
      <c r="AN37" s="1506" t="n">
        <v>33</v>
      </c>
      <c r="AO37" s="1500">
        <f>IF(AD37&lt;&gt;"",AD37,"-")</f>
        <v/>
      </c>
      <c r="AP37" s="1500">
        <f>_xlfn.XLOOKUP(cityRoutes[[#This Row],[city]],ccc[city],ccc[ctry],"-")</f>
        <v/>
      </c>
      <c r="AQ37" s="1500">
        <f>COUNTIF(INPUT!BR$5:BS$1000,AO37)</f>
        <v/>
      </c>
      <c r="AR37" s="1507">
        <f>(SUMIFS(routes[total],routes[outbound],AO37)+SUMIFS(routes[total],routes[inbound],AO37))/2</f>
        <v/>
      </c>
      <c r="AS37" s="1481" t="inlineStr">
        <is>
          <t>.</t>
        </is>
      </c>
      <c r="AT37" s="1473">
        <f>IF(AU37&lt;&gt;"",AT36+1,AT36)</f>
        <v/>
      </c>
      <c r="AU37" s="1473" t="inlineStr">
        <is>
          <t>Joao I</t>
        </is>
      </c>
      <c r="AV37" s="1506">
        <f>IF(AT37&lt;=AT$3,AT37,0)</f>
        <v/>
      </c>
      <c r="AW37" s="1500">
        <f>AU37</f>
        <v/>
      </c>
      <c r="AX37" s="1508">
        <f>_xlfn.XLOOKUP(homes[[#This Row],[home]],raw[home],raw[city],"-")</f>
        <v/>
      </c>
      <c r="AY37" s="1500">
        <f>_xlfn.XLOOKUP(homes[[#This Row],[city]],ccc[city],ccc[ctry],"-")</f>
        <v/>
      </c>
      <c r="AZ37" s="1509">
        <f>_xlfn.XLOOKUP(AU37,raw[home],raw[in])</f>
        <v/>
      </c>
      <c r="BA37" s="1510" t="n"/>
      <c r="BB37" s="1500">
        <f>COUNTIF(INPUT!BX37:BX132,AU37)</f>
        <v/>
      </c>
      <c r="BC37" s="1511">
        <f>INT(SUMIFS(raw[stay],raw[home],homes[[#This Row],[home]]))</f>
        <v/>
      </c>
      <c r="BD37" s="1511">
        <f>INT(SUMIFS(raw[stay],raw[home],homes[[#This Row],[home]],raw[notHome],0))</f>
        <v/>
      </c>
      <c r="BE37" s="1512">
        <f>IF(homes[[#This Row],[main]]=0,"-",homes[[#This Row],[netmain]]/homes[[#This Row],[main]])</f>
        <v/>
      </c>
      <c r="BF37" s="1511">
        <f>INT(SUMIFS(raw[stay],raw[transit],homes[[#This Row],[home]]))</f>
        <v/>
      </c>
      <c r="BG37" s="1511">
        <f>homes[[#This Row],[netmain]]+homes[[#This Row],[extra]]</f>
        <v/>
      </c>
      <c r="BH37" s="1432" t="inlineStr">
        <is>
          <t>.</t>
        </is>
      </c>
      <c r="BI37" s="1491" t="n"/>
      <c r="BJ37" s="1491" t="n"/>
      <c r="BK37" s="1491" t="n"/>
      <c r="BL37" s="1491" t="n"/>
      <c r="BM37" s="1491" t="n"/>
      <c r="BN37" s="1491" t="n"/>
      <c r="BO37" s="1467" t="n"/>
      <c r="BP37" s="1514" t="n">
        <v>33</v>
      </c>
      <c r="BQ37" s="1513">
        <f>[1]Sheet1!C38</f>
        <v/>
      </c>
      <c r="BR37" s="1515">
        <f>[1]Sheet1!D38</f>
        <v/>
      </c>
      <c r="BS37" s="1513">
        <f>[1]Sheet1!E38</f>
        <v/>
      </c>
      <c r="BT37" s="1515">
        <f>[1]Sheet1!F38</f>
        <v/>
      </c>
      <c r="BU37" s="1516">
        <f>[1]Sheet1!G38</f>
        <v/>
      </c>
      <c r="BV37" s="1513">
        <f>[1]Sheet1!H38</f>
        <v/>
      </c>
      <c r="BW37" s="1467" t="n"/>
      <c r="BX37" s="1491">
        <f>[1]Sheet1!$J38</f>
        <v/>
      </c>
      <c r="BY37" s="1517">
        <f>[1]Sheet1!$K38</f>
        <v/>
      </c>
      <c r="BZ37" s="1517">
        <f>[1]Sheet1!$L38</f>
        <v/>
      </c>
      <c r="CA37" s="1500">
        <f>[1]Sheet1!$M38</f>
        <v/>
      </c>
      <c r="CB37" s="1467" t="n"/>
      <c r="CC37" s="1467" t="n"/>
      <c r="CD37" s="1500">
        <f>[1]Sheet1!$P38</f>
        <v/>
      </c>
      <c r="CE37" s="1513">
        <f>[1]Sheet1!$Q38</f>
        <v/>
      </c>
      <c r="CF37" s="1515">
        <f>[1]Sheet1!$R38</f>
        <v/>
      </c>
      <c r="CG37" s="1477" t="n"/>
      <c r="CH37" s="1513" t="n"/>
      <c r="CI37" s="1513" t="n"/>
      <c r="CJ37" s="1513" t="n"/>
      <c r="CK37" s="1477" t="n"/>
      <c r="CL37" s="1521" t="n">
        <v>33</v>
      </c>
      <c r="CM37" s="1513" t="inlineStr">
        <is>
          <t>Halifax-Montreal</t>
        </is>
      </c>
      <c r="CN37" s="1513" t="inlineStr">
        <is>
          <t>Halifax</t>
        </is>
      </c>
      <c r="CO37" s="1513" t="inlineStr">
        <is>
          <t>Montreal</t>
        </is>
      </c>
      <c r="CP37" s="1514" t="n">
        <v>800</v>
      </c>
      <c r="CQ37" s="1477" t="n"/>
      <c r="CR37" s="1491" t="n"/>
      <c r="CS37" s="1491" t="n"/>
      <c r="CT37" s="1491" t="n"/>
      <c r="CU37" s="1491" t="n"/>
      <c r="CV37" s="1491" t="n"/>
      <c r="CW37" s="1491" t="n"/>
      <c r="CX37" s="1491" t="n"/>
    </row>
    <row r="38">
      <c r="A38" s="1427" t="inlineStr">
        <is>
          <t>.</t>
        </is>
      </c>
      <c r="B38" s="1496" t="n"/>
      <c r="C38" s="1496" t="n"/>
      <c r="D38" s="1497">
        <f>IF(E38&lt;&gt;"",D37+1,D37)</f>
        <v/>
      </c>
      <c r="E38" s="1497" t="inlineStr">
        <is>
          <t>Venice</t>
        </is>
      </c>
      <c r="F38" s="1427" t="inlineStr">
        <is>
          <t>.</t>
        </is>
      </c>
      <c r="G38" s="1498">
        <f>IF(H38="AIR",0,IF(H37="AIR",G36+1,IF(H38&lt;&gt;"",G37+1,G37)))</f>
        <v/>
      </c>
      <c r="H38" s="1498" t="inlineStr">
        <is>
          <t>Lisbon</t>
        </is>
      </c>
      <c r="I38" s="1427" t="inlineStr">
        <is>
          <t>.</t>
        </is>
      </c>
      <c r="J38" s="1499" t="n">
        <v>33</v>
      </c>
      <c r="K38" s="1500">
        <f>_xlfn.XLOOKUP(cities[[#This Row],[id]],$D$5:$D$1500,E$5:E$1500,"-")</f>
        <v/>
      </c>
      <c r="L38" s="1500">
        <f>_xlfn.XLOOKUP(cities[[#This Row],[city]],ccc[city],ccc[ctry],"-")</f>
        <v/>
      </c>
      <c r="M38" s="1500">
        <f>SUMIFS(stayCity[stay],stayCity[city],cities[[#This Row],[city]])</f>
        <v/>
      </c>
      <c r="N38" s="1427">
        <f>N37+1</f>
        <v/>
      </c>
      <c r="O38" s="1501" t="n"/>
      <c r="P38" s="1501" t="n"/>
      <c r="Q38" s="1427" t="inlineStr">
        <is>
          <t>.</t>
        </is>
      </c>
      <c r="R38" s="1473">
        <f>IF(S38&lt;&gt;"",R37+1,R37)</f>
        <v/>
      </c>
      <c r="S38" s="1473" t="n"/>
      <c r="T38" s="1427" t="inlineStr">
        <is>
          <t>.</t>
        </is>
      </c>
      <c r="U38" s="1459" t="n">
        <v>99</v>
      </c>
      <c r="V38" s="1500">
        <f>_xlfn.XLOOKUP(ctries[[#This Row],[id]],$R$5:$R$1000,S$5:S$1000,"-")</f>
        <v/>
      </c>
      <c r="W38" s="1500">
        <f>IF(OR(ctries[[#This Row],[id]]=0,ctries[[#This Row],[id]]=99),"-",COUNTIF(cities[ctry],ctries[[#This Row],[ctry]]))</f>
        <v/>
      </c>
      <c r="X38" s="1500" t="n"/>
      <c r="Y38" s="1500">
        <f>IF(ctries[[#This Row],[cont]]="B","B","W")</f>
        <v/>
      </c>
      <c r="Z38" s="1427" t="inlineStr">
        <is>
          <t>.</t>
        </is>
      </c>
      <c r="AA38" s="1473">
        <f>IF(AB38&lt;&gt;"",AA37+1,AA37)</f>
        <v/>
      </c>
      <c r="AB38" s="1473" t="inlineStr">
        <is>
          <t>London-SP</t>
        </is>
      </c>
      <c r="AC38" s="1473">
        <f>IF(AD38&lt;&gt;"",AC37+1,AC37)</f>
        <v/>
      </c>
      <c r="AD38" s="1473" t="inlineStr">
        <is>
          <t>Berlin</t>
        </is>
      </c>
      <c r="AE38" s="1427" t="inlineStr">
        <is>
          <t>.</t>
        </is>
      </c>
      <c r="AF38" s="1502" t="n">
        <v>34</v>
      </c>
      <c r="AG38" s="1500">
        <f>_xlfn.XLOOKUP(routes[[#This Row],[id]],$AA$5:$AA$300,$AB$5:$AB$300,"-")</f>
        <v/>
      </c>
      <c r="AH38" s="1500">
        <f>_xlfn.XLOOKUP(routes[[#This Row],[route]],routesUniv[route],routesUniv[outbound],"-")</f>
        <v/>
      </c>
      <c r="AI38" s="1500">
        <f>_xlfn.XLOOKUP(routes[[#This Row],[route]],routesUniv[route],routesUniv[inbound],"-")</f>
        <v/>
      </c>
      <c r="AJ38" s="1500">
        <f>_xlfn.XLOOKUP(routes[[#This Row],[route]],routesUniv[route],routesUniv[km],"-")</f>
        <v/>
      </c>
      <c r="AK38" s="1500">
        <f>COUNTIF(INPUT!BT$5:BT$1000,AG38)</f>
        <v/>
      </c>
      <c r="AL38" s="1505">
        <f>routes[[#This Row],[km]]*routes[[#This Row],[rpt]]/1000</f>
        <v/>
      </c>
      <c r="AM38" s="1481" t="inlineStr">
        <is>
          <t>.</t>
        </is>
      </c>
      <c r="AN38" s="1506" t="n">
        <v>34</v>
      </c>
      <c r="AO38" s="1500">
        <f>IF(AD38&lt;&gt;"",AD38,"-")</f>
        <v/>
      </c>
      <c r="AP38" s="1500">
        <f>_xlfn.XLOOKUP(cityRoutes[[#This Row],[city]],ccc[city],ccc[ctry],"-")</f>
        <v/>
      </c>
      <c r="AQ38" s="1500">
        <f>COUNTIF(INPUT!BR$5:BS$1000,AO38)</f>
        <v/>
      </c>
      <c r="AR38" s="1507">
        <f>(SUMIFS(routes[total],routes[outbound],AO38)+SUMIFS(routes[total],routes[inbound],AO38))/2</f>
        <v/>
      </c>
      <c r="AS38" s="1481" t="inlineStr">
        <is>
          <t>.</t>
        </is>
      </c>
      <c r="AT38" s="1473">
        <f>IF(AU38&lt;&gt;"",AT37+1,AT37)</f>
        <v/>
      </c>
      <c r="AU38" s="1473" t="n"/>
      <c r="AV38" s="1506">
        <f>IF(AT38&lt;=AT$3,AT38,0)</f>
        <v/>
      </c>
      <c r="AW38" s="1500">
        <f>AU38</f>
        <v/>
      </c>
      <c r="AX38" s="1508">
        <f>_xlfn.XLOOKUP(homes[[#This Row],[home]],raw[home],raw[city],"-")</f>
        <v/>
      </c>
      <c r="AY38" s="1513" t="n"/>
      <c r="AZ38" s="1509" t="n"/>
      <c r="BA38" s="1526" t="n"/>
      <c r="BB38" s="1500">
        <f>COUNTIF(INPUT!BX38:BX133,AU38)</f>
        <v/>
      </c>
      <c r="BC38" s="1511">
        <f>INT(SUMIFS(raw[stay],raw[home],homes[[#This Row],[home]]))</f>
        <v/>
      </c>
      <c r="BD38" s="1511">
        <f>INT(SUMIFS(raw[stay],raw[home],homes[[#This Row],[home]],raw[notHome],0))</f>
        <v/>
      </c>
      <c r="BE38" s="1512">
        <f>IF(homes[[#This Row],[main]]=0,"-",homes[[#This Row],[netmain]]/homes[[#This Row],[main]])</f>
        <v/>
      </c>
      <c r="BF38" s="1511">
        <f>INT(SUMIFS(raw[stay],raw[transit],homes[[#This Row],[home]]))</f>
        <v/>
      </c>
      <c r="BG38" s="1511">
        <f>homes[[#This Row],[netmain]]+homes[[#This Row],[extra]]</f>
        <v/>
      </c>
      <c r="BH38" s="1432" t="inlineStr">
        <is>
          <t>.</t>
        </is>
      </c>
      <c r="BI38" s="1491" t="n"/>
      <c r="BJ38" s="1491" t="n"/>
      <c r="BK38" s="1491" t="n"/>
      <c r="BL38" s="1491" t="n"/>
      <c r="BM38" s="1491" t="n"/>
      <c r="BN38" s="1491" t="n"/>
      <c r="BO38" s="1467" t="n"/>
      <c r="BP38" s="1514" t="n">
        <v>34</v>
      </c>
      <c r="BQ38" s="1513">
        <f>[1]Sheet1!C39</f>
        <v/>
      </c>
      <c r="BR38" s="1515">
        <f>[1]Sheet1!D39</f>
        <v/>
      </c>
      <c r="BS38" s="1513">
        <f>[1]Sheet1!E39</f>
        <v/>
      </c>
      <c r="BT38" s="1515">
        <f>[1]Sheet1!F39</f>
        <v/>
      </c>
      <c r="BU38" s="1516">
        <f>[1]Sheet1!G39</f>
        <v/>
      </c>
      <c r="BV38" s="1513">
        <f>[1]Sheet1!H39</f>
        <v/>
      </c>
      <c r="BW38" s="1467" t="n"/>
      <c r="BX38" s="1491">
        <f>[1]Sheet1!$J39</f>
        <v/>
      </c>
      <c r="BY38" s="1517">
        <f>[1]Sheet1!$K39</f>
        <v/>
      </c>
      <c r="BZ38" s="1517">
        <f>[1]Sheet1!$L39</f>
        <v/>
      </c>
      <c r="CA38" s="1500">
        <f>[1]Sheet1!$M39</f>
        <v/>
      </c>
      <c r="CB38" s="1467" t="n"/>
      <c r="CC38" s="1467" t="n"/>
      <c r="CD38" s="1500">
        <f>[1]Sheet1!$P39</f>
        <v/>
      </c>
      <c r="CE38" s="1513">
        <f>[1]Sheet1!$Q39</f>
        <v/>
      </c>
      <c r="CF38" s="1515">
        <f>[1]Sheet1!$R39</f>
        <v/>
      </c>
      <c r="CG38" s="1477" t="n"/>
      <c r="CH38" s="1513" t="n"/>
      <c r="CI38" s="1513" t="n"/>
      <c r="CJ38" s="1513" t="n"/>
      <c r="CK38" s="1477" t="n"/>
      <c r="CL38" s="1521" t="n">
        <v>34</v>
      </c>
      <c r="CM38" s="1513" t="inlineStr">
        <is>
          <t>Joao Pessoa-Recife</t>
        </is>
      </c>
      <c r="CN38" s="1513" t="inlineStr">
        <is>
          <t>Joao Pessoa</t>
        </is>
      </c>
      <c r="CO38" s="1513" t="inlineStr">
        <is>
          <t>Recife</t>
        </is>
      </c>
      <c r="CP38" s="1514" t="n">
        <v>100</v>
      </c>
      <c r="CQ38" s="1477" t="n"/>
      <c r="CR38" s="1491" t="n"/>
      <c r="CS38" s="1491" t="n"/>
      <c r="CT38" s="1491" t="n"/>
      <c r="CU38" s="1491" t="n"/>
      <c r="CV38" s="1491" t="n"/>
      <c r="CW38" s="1491" t="n"/>
      <c r="CX38" s="1491" t="n"/>
    </row>
    <row r="39">
      <c r="A39" s="1427" t="inlineStr">
        <is>
          <t>.</t>
        </is>
      </c>
      <c r="B39" s="1496" t="n"/>
      <c r="C39" s="1496" t="n"/>
      <c r="D39" s="1497">
        <f>IF(E39&lt;&gt;"",D38+1,D38)</f>
        <v/>
      </c>
      <c r="E39" s="1497" t="inlineStr">
        <is>
          <t>Verona</t>
        </is>
      </c>
      <c r="F39" s="1427" t="inlineStr">
        <is>
          <t>.</t>
        </is>
      </c>
      <c r="G39" s="1498">
        <f>IF(H39="AIR",0,IF(H38="AIR",G37+1,IF(H39&lt;&gt;"",G38+1,G38)))</f>
        <v/>
      </c>
      <c r="H39" s="1498" t="inlineStr">
        <is>
          <t>Rome</t>
        </is>
      </c>
      <c r="I39" s="1427" t="inlineStr">
        <is>
          <t>.</t>
        </is>
      </c>
      <c r="J39" s="1499" t="n">
        <v>34</v>
      </c>
      <c r="K39" s="1500">
        <f>_xlfn.XLOOKUP(cities[[#This Row],[id]],$D$5:$D$1500,E$5:E$1500,"-")</f>
        <v/>
      </c>
      <c r="L39" s="1500">
        <f>_xlfn.XLOOKUP(cities[[#This Row],[city]],ccc[city],ccc[ctry],"-")</f>
        <v/>
      </c>
      <c r="M39" s="1500">
        <f>SUMIFS(stayCity[stay],stayCity[city],cities[[#This Row],[city]])</f>
        <v/>
      </c>
      <c r="N39" s="1427">
        <f>N38+1</f>
        <v/>
      </c>
      <c r="O39" s="1501" t="n"/>
      <c r="P39" s="1501" t="n"/>
      <c r="Q39" s="1427" t="inlineStr">
        <is>
          <t>.</t>
        </is>
      </c>
      <c r="R39" s="1473">
        <f>IF(S39&lt;&gt;"",R38+1,R38)</f>
        <v/>
      </c>
      <c r="S39" s="1473" t="n"/>
      <c r="T39" s="1427" t="inlineStr">
        <is>
          <t>.</t>
        </is>
      </c>
      <c r="U39" s="1500" t="n"/>
      <c r="V39" s="1500" t="n"/>
      <c r="W39" s="1500" t="n"/>
      <c r="X39" s="1500" t="n"/>
      <c r="Y39" s="1500" t="n"/>
      <c r="Z39" s="1427" t="inlineStr">
        <is>
          <t>.</t>
        </is>
      </c>
      <c r="AA39" s="1473">
        <f>IF(AB39&lt;&gt;"",AA38+1,AA38)</f>
        <v/>
      </c>
      <c r="AB39" s="1473" t="inlineStr">
        <is>
          <t>SP-Frankfurt</t>
        </is>
      </c>
      <c r="AC39" s="1473">
        <f>IF(AD39&lt;&gt;"",AC38+1,AC38)</f>
        <v/>
      </c>
      <c r="AD39" s="1473" t="inlineStr">
        <is>
          <t>Natal</t>
        </is>
      </c>
      <c r="AE39" s="1427" t="inlineStr">
        <is>
          <t>.</t>
        </is>
      </c>
      <c r="AF39" s="1502" t="n">
        <v>35</v>
      </c>
      <c r="AG39" s="1500">
        <f>_xlfn.XLOOKUP(routes[[#This Row],[id]],$AA$5:$AA$300,$AB$5:$AB$300,"-")</f>
        <v/>
      </c>
      <c r="AH39" s="1500">
        <f>_xlfn.XLOOKUP(routes[[#This Row],[route]],routesUniv[route],routesUniv[outbound],"-")</f>
        <v/>
      </c>
      <c r="AI39" s="1500">
        <f>_xlfn.XLOOKUP(routes[[#This Row],[route]],routesUniv[route],routesUniv[inbound],"-")</f>
        <v/>
      </c>
      <c r="AJ39" s="1500">
        <f>_xlfn.XLOOKUP(routes[[#This Row],[route]],routesUniv[route],routesUniv[km],"-")</f>
        <v/>
      </c>
      <c r="AK39" s="1500">
        <f>COUNTIF(INPUT!BT$5:BT$1000,AG39)</f>
        <v/>
      </c>
      <c r="AL39" s="1505">
        <f>routes[[#This Row],[km]]*routes[[#This Row],[rpt]]/1000</f>
        <v/>
      </c>
      <c r="AM39" s="1481" t="inlineStr">
        <is>
          <t>.</t>
        </is>
      </c>
      <c r="AN39" s="1506" t="n">
        <v>35</v>
      </c>
      <c r="AO39" s="1500">
        <f>IF(AD39&lt;&gt;"",AD39,"-")</f>
        <v/>
      </c>
      <c r="AP39" s="1500">
        <f>_xlfn.XLOOKUP(cityRoutes[[#This Row],[city]],ccc[city],ccc[ctry],"-")</f>
        <v/>
      </c>
      <c r="AQ39" s="1500">
        <f>COUNTIF(INPUT!BR$5:BS$1000,AO39)</f>
        <v/>
      </c>
      <c r="AR39" s="1507">
        <f>(SUMIFS(routes[total],routes[outbound],AO39)+SUMIFS(routes[total],routes[inbound],AO39))/2</f>
        <v/>
      </c>
      <c r="AS39" s="1481" t="inlineStr">
        <is>
          <t>.</t>
        </is>
      </c>
      <c r="AT39" s="1473">
        <f>IF(AU39&lt;&gt;"",AT38+1,AT38)</f>
        <v/>
      </c>
      <c r="AU39" s="1473" t="n"/>
      <c r="AV39" s="1506">
        <f>IF(AT39&lt;=AT$3,AT39,0)</f>
        <v/>
      </c>
      <c r="AW39" s="1500">
        <f>AU39</f>
        <v/>
      </c>
      <c r="AX39" s="1508">
        <f>_xlfn.XLOOKUP(homes[[#This Row],[home]],raw[home],raw[city],"-")</f>
        <v/>
      </c>
      <c r="AY39" s="1513" t="n"/>
      <c r="AZ39" s="1509" t="n"/>
      <c r="BA39" s="1526" t="n"/>
      <c r="BB39" s="1500">
        <f>COUNTIF(INPUT!BX39:BX134,AU39)</f>
        <v/>
      </c>
      <c r="BC39" s="1511">
        <f>INT(SUMIFS(raw[stay],raw[home],homes[[#This Row],[home]]))</f>
        <v/>
      </c>
      <c r="BD39" s="1511">
        <f>INT(SUMIFS(raw[stay],raw[home],homes[[#This Row],[home]],raw[notHome],0))</f>
        <v/>
      </c>
      <c r="BE39" s="1512">
        <f>IF(homes[[#This Row],[main]]=0,"-",homes[[#This Row],[netmain]]/homes[[#This Row],[main]])</f>
        <v/>
      </c>
      <c r="BF39" s="1511">
        <f>INT(SUMIFS(raw[stay],raw[transit],homes[[#This Row],[home]]))</f>
        <v/>
      </c>
      <c r="BG39" s="1511">
        <f>homes[[#This Row],[netmain]]+homes[[#This Row],[extra]]</f>
        <v/>
      </c>
      <c r="BH39" s="1432" t="inlineStr">
        <is>
          <t>.</t>
        </is>
      </c>
      <c r="BI39" s="1491" t="n"/>
      <c r="BJ39" s="1491" t="n"/>
      <c r="BK39" s="1491" t="n"/>
      <c r="BL39" s="1491" t="n"/>
      <c r="BM39" s="1491" t="n"/>
      <c r="BN39" s="1491" t="n"/>
      <c r="BO39" s="1467" t="n"/>
      <c r="BP39" s="1514" t="n">
        <v>35</v>
      </c>
      <c r="BQ39" s="1513">
        <f>[1]Sheet1!C40</f>
        <v/>
      </c>
      <c r="BR39" s="1515">
        <f>[1]Sheet1!D40</f>
        <v/>
      </c>
      <c r="BS39" s="1513">
        <f>[1]Sheet1!E40</f>
        <v/>
      </c>
      <c r="BT39" s="1515">
        <f>[1]Sheet1!F40</f>
        <v/>
      </c>
      <c r="BU39" s="1516">
        <f>[1]Sheet1!G40</f>
        <v/>
      </c>
      <c r="BV39" s="1513">
        <f>[1]Sheet1!H40</f>
        <v/>
      </c>
      <c r="BW39" s="1467" t="n"/>
      <c r="BX39" s="1491">
        <f>[1]Sheet1!$J40</f>
        <v/>
      </c>
      <c r="BY39" s="1517">
        <f>[1]Sheet1!$K40</f>
        <v/>
      </c>
      <c r="BZ39" s="1517">
        <f>[1]Sheet1!$L40</f>
        <v/>
      </c>
      <c r="CA39" s="1500">
        <f>[1]Sheet1!$M40</f>
        <v/>
      </c>
      <c r="CB39" s="1467" t="n"/>
      <c r="CC39" s="1467" t="n"/>
      <c r="CD39" s="1500">
        <f>[1]Sheet1!$P40</f>
        <v/>
      </c>
      <c r="CE39" s="1513">
        <f>[1]Sheet1!$Q40</f>
        <v/>
      </c>
      <c r="CF39" s="1515">
        <f>[1]Sheet1!$R40</f>
        <v/>
      </c>
      <c r="CG39" s="1477" t="n"/>
      <c r="CH39" s="1513" t="n"/>
      <c r="CI39" s="1513" t="n"/>
      <c r="CJ39" s="1513" t="n"/>
      <c r="CK39" s="1477" t="n"/>
      <c r="CL39" s="1521" t="n">
        <v>35</v>
      </c>
      <c r="CM39" s="1500" t="inlineStr">
        <is>
          <t>Lima-Cuzco</t>
        </is>
      </c>
      <c r="CN39" s="1500" t="inlineStr">
        <is>
          <t>Lima</t>
        </is>
      </c>
      <c r="CO39" s="1500" t="inlineStr">
        <is>
          <t>Cuzco</t>
        </is>
      </c>
      <c r="CP39" s="1514" t="n">
        <v>1000</v>
      </c>
      <c r="CQ39" s="1477" t="n"/>
      <c r="CR39" s="1491" t="n"/>
      <c r="CS39" s="1491" t="n"/>
      <c r="CT39" s="1491" t="n"/>
      <c r="CU39" s="1491" t="n"/>
      <c r="CV39" s="1491" t="n"/>
      <c r="CW39" s="1491" t="n"/>
      <c r="CX39" s="1491" t="n"/>
    </row>
    <row r="40">
      <c r="A40" s="1427" t="inlineStr">
        <is>
          <t>.</t>
        </is>
      </c>
      <c r="B40" s="1496" t="n"/>
      <c r="C40" s="1496" t="n"/>
      <c r="D40" s="1497">
        <f>IF(E40&lt;&gt;"",D39+1,D39)</f>
        <v/>
      </c>
      <c r="E40" s="1497" t="inlineStr">
        <is>
          <t>Milan</t>
        </is>
      </c>
      <c r="F40" s="1427" t="inlineStr">
        <is>
          <t>.</t>
        </is>
      </c>
      <c r="G40" s="1498">
        <f>IF(H40="AIR",0,IF(H39="AIR",G38+1,IF(H40&lt;&gt;"",G39+1,G39)))</f>
        <v/>
      </c>
      <c r="H40" s="1498" t="inlineStr">
        <is>
          <t>Venice</t>
        </is>
      </c>
      <c r="I40" s="1427" t="inlineStr">
        <is>
          <t>.</t>
        </is>
      </c>
      <c r="J40" s="1499" t="n">
        <v>35</v>
      </c>
      <c r="K40" s="1500">
        <f>_xlfn.XLOOKUP(cities[[#This Row],[id]],$D$5:$D$1500,E$5:E$1500,"-")</f>
        <v/>
      </c>
      <c r="L40" s="1500">
        <f>_xlfn.XLOOKUP(cities[[#This Row],[city]],ccc[city],ccc[ctry],"-")</f>
        <v/>
      </c>
      <c r="M40" s="1500">
        <f>SUMIFS(stayCity[stay],stayCity[city],cities[[#This Row],[city]])</f>
        <v/>
      </c>
      <c r="N40" s="1427">
        <f>N39+1</f>
        <v/>
      </c>
      <c r="O40" s="1501" t="n"/>
      <c r="P40" s="1501" t="n"/>
      <c r="Q40" s="1427" t="inlineStr">
        <is>
          <t>.</t>
        </is>
      </c>
      <c r="R40" s="1473">
        <f>IF(S40&lt;&gt;"",R39+1,R39)</f>
        <v/>
      </c>
      <c r="S40" s="1473" t="n"/>
      <c r="T40" s="1427" t="inlineStr">
        <is>
          <t>.</t>
        </is>
      </c>
      <c r="U40" s="1500" t="n"/>
      <c r="V40" s="1500" t="n"/>
      <c r="W40" s="1500" t="n"/>
      <c r="X40" s="1500" t="n"/>
      <c r="Y40" s="1500" t="n"/>
      <c r="Z40" s="1427" t="inlineStr">
        <is>
          <t>.</t>
        </is>
      </c>
      <c r="AA40" s="1473">
        <f>IF(AB40&lt;&gt;"",AA39+1,AA39)</f>
        <v/>
      </c>
      <c r="AB40" s="1473" t="inlineStr">
        <is>
          <t>Frankfurt-Paris</t>
        </is>
      </c>
      <c r="AC40" s="1473">
        <f>IF(AD40&lt;&gt;"",AC39+1,AC39)</f>
        <v/>
      </c>
      <c r="AD40" s="1473" t="inlineStr">
        <is>
          <t>Buenos Aires</t>
        </is>
      </c>
      <c r="AE40" s="1427" t="inlineStr">
        <is>
          <t>.</t>
        </is>
      </c>
      <c r="AF40" s="1502" t="n">
        <v>36</v>
      </c>
      <c r="AG40" s="1500">
        <f>_xlfn.XLOOKUP(routes[[#This Row],[id]],$AA$5:$AA$300,$AB$5:$AB$300,"-")</f>
        <v/>
      </c>
      <c r="AH40" s="1500">
        <f>_xlfn.XLOOKUP(routes[[#This Row],[route]],routesUniv[route],routesUniv[outbound],"-")</f>
        <v/>
      </c>
      <c r="AI40" s="1500">
        <f>_xlfn.XLOOKUP(routes[[#This Row],[route]],routesUniv[route],routesUniv[inbound],"-")</f>
        <v/>
      </c>
      <c r="AJ40" s="1500">
        <f>_xlfn.XLOOKUP(routes[[#This Row],[route]],routesUniv[route],routesUniv[km],"-")</f>
        <v/>
      </c>
      <c r="AK40" s="1500">
        <f>COUNTIF(INPUT!BT$5:BT$1000,AG40)</f>
        <v/>
      </c>
      <c r="AL40" s="1505">
        <f>routes[[#This Row],[km]]*routes[[#This Row],[rpt]]/1000</f>
        <v/>
      </c>
      <c r="AM40" s="1481" t="inlineStr">
        <is>
          <t>.</t>
        </is>
      </c>
      <c r="AN40" s="1506" t="n">
        <v>36</v>
      </c>
      <c r="AO40" s="1500">
        <f>IF(AD40&lt;&gt;"",AD40,"-")</f>
        <v/>
      </c>
      <c r="AP40" s="1500">
        <f>_xlfn.XLOOKUP(cityRoutes[[#This Row],[city]],ccc[city],ccc[ctry],"-")</f>
        <v/>
      </c>
      <c r="AQ40" s="1500">
        <f>COUNTIF(INPUT!BR$5:BS$1000,AO40)</f>
        <v/>
      </c>
      <c r="AR40" s="1507">
        <f>(SUMIFS(routes[total],routes[outbound],AO40)+SUMIFS(routes[total],routes[inbound],AO40))/2</f>
        <v/>
      </c>
      <c r="AS40" s="1481" t="inlineStr">
        <is>
          <t>.</t>
        </is>
      </c>
      <c r="AT40" s="1473">
        <f>IF(AU40&lt;&gt;"",AT39+1,AT39)</f>
        <v/>
      </c>
      <c r="AU40" s="1473" t="n"/>
      <c r="AV40" s="1506">
        <f>IF(AT40&lt;=AT$3,AT40,0)</f>
        <v/>
      </c>
      <c r="AW40" s="1500">
        <f>AU40</f>
        <v/>
      </c>
      <c r="AX40" s="1508">
        <f>_xlfn.XLOOKUP(homes[[#This Row],[home]],raw[home],raw[city],"-")</f>
        <v/>
      </c>
      <c r="AY40" s="1513" t="n"/>
      <c r="AZ40" s="1509" t="n"/>
      <c r="BA40" s="1526" t="n"/>
      <c r="BB40" s="1500">
        <f>COUNTIF(INPUT!BX40:BX135,AU40)</f>
        <v/>
      </c>
      <c r="BC40" s="1511">
        <f>INT(SUMIFS(raw[stay],raw[home],homes[[#This Row],[home]]))</f>
        <v/>
      </c>
      <c r="BD40" s="1511">
        <f>INT(SUMIFS(raw[stay],raw[home],homes[[#This Row],[home]],raw[notHome],0))</f>
        <v/>
      </c>
      <c r="BE40" s="1512">
        <f>IF(homes[[#This Row],[main]]=0,"-",homes[[#This Row],[netmain]]/homes[[#This Row],[main]])</f>
        <v/>
      </c>
      <c r="BF40" s="1511">
        <f>INT(SUMIFS(raw[stay],raw[transit],homes[[#This Row],[home]]))</f>
        <v/>
      </c>
      <c r="BG40" s="1511">
        <f>homes[[#This Row],[netmain]]+homes[[#This Row],[extra]]</f>
        <v/>
      </c>
      <c r="BH40" s="1432" t="inlineStr">
        <is>
          <t>.</t>
        </is>
      </c>
      <c r="BI40" s="1491" t="n"/>
      <c r="BJ40" s="1491" t="n"/>
      <c r="BK40" s="1491" t="n"/>
      <c r="BL40" s="1491" t="n"/>
      <c r="BM40" s="1491" t="n"/>
      <c r="BN40" s="1491" t="n"/>
      <c r="BO40" s="1467" t="n"/>
      <c r="BP40" s="1514" t="n">
        <v>36</v>
      </c>
      <c r="BQ40" s="1513">
        <f>[1]Sheet1!C41</f>
        <v/>
      </c>
      <c r="BR40" s="1515">
        <f>[1]Sheet1!D41</f>
        <v/>
      </c>
      <c r="BS40" s="1513">
        <f>[1]Sheet1!E41</f>
        <v/>
      </c>
      <c r="BT40" s="1515">
        <f>[1]Sheet1!F41</f>
        <v/>
      </c>
      <c r="BU40" s="1516">
        <f>[1]Sheet1!G41</f>
        <v/>
      </c>
      <c r="BV40" s="1513">
        <f>[1]Sheet1!H41</f>
        <v/>
      </c>
      <c r="BW40" s="1467" t="n"/>
      <c r="BX40" s="1491">
        <f>[1]Sheet1!$J41</f>
        <v/>
      </c>
      <c r="BY40" s="1517">
        <f>[1]Sheet1!$K41</f>
        <v/>
      </c>
      <c r="BZ40" s="1517">
        <f>[1]Sheet1!$L41</f>
        <v/>
      </c>
      <c r="CA40" s="1500">
        <f>[1]Sheet1!$M41</f>
        <v/>
      </c>
      <c r="CB40" s="1467" t="n"/>
      <c r="CC40" s="1467" t="n"/>
      <c r="CD40" s="1500">
        <f>[1]Sheet1!$P41</f>
        <v/>
      </c>
      <c r="CE40" s="1513">
        <f>[1]Sheet1!$Q41</f>
        <v/>
      </c>
      <c r="CF40" s="1515">
        <f>[1]Sheet1!$R41</f>
        <v/>
      </c>
      <c r="CG40" s="1477" t="n"/>
      <c r="CH40" s="1513" t="n"/>
      <c r="CI40" s="1513" t="n"/>
      <c r="CJ40" s="1513" t="n"/>
      <c r="CK40" s="1477" t="n"/>
      <c r="CL40" s="1521" t="n">
        <v>36</v>
      </c>
      <c r="CM40" s="1500" t="inlineStr">
        <is>
          <t>Lima-Mexico City</t>
        </is>
      </c>
      <c r="CN40" s="1500" t="inlineStr">
        <is>
          <t>Lima</t>
        </is>
      </c>
      <c r="CO40" s="1500" t="inlineStr">
        <is>
          <t>Mexico City</t>
        </is>
      </c>
      <c r="CP40" s="1514" t="n">
        <v>4500</v>
      </c>
      <c r="CQ40" s="1477" t="n"/>
      <c r="CR40" s="1491" t="n"/>
      <c r="CS40" s="1491" t="n"/>
      <c r="CT40" s="1491" t="n"/>
      <c r="CU40" s="1491" t="n"/>
      <c r="CV40" s="1491" t="n"/>
      <c r="CW40" s="1491" t="n"/>
      <c r="CX40" s="1491" t="n"/>
    </row>
    <row r="41">
      <c r="A41" s="1427" t="inlineStr">
        <is>
          <t>.</t>
        </is>
      </c>
      <c r="B41" s="1496" t="n"/>
      <c r="C41" s="1496" t="n"/>
      <c r="D41" s="1497">
        <f>IF(E41&lt;&gt;"",D40+1,D40)</f>
        <v/>
      </c>
      <c r="E41" s="1497" t="inlineStr">
        <is>
          <t>Bern</t>
        </is>
      </c>
      <c r="F41" s="1427" t="inlineStr">
        <is>
          <t>.</t>
        </is>
      </c>
      <c r="G41" s="1498">
        <f>IF(H41="AIR",0,IF(H40="AIR",G39+1,IF(H41&lt;&gt;"",G40+1,G40)))</f>
        <v/>
      </c>
      <c r="H41" s="1498" t="inlineStr">
        <is>
          <t>Verona</t>
        </is>
      </c>
      <c r="I41" s="1427" t="inlineStr">
        <is>
          <t>.</t>
        </is>
      </c>
      <c r="J41" s="1499" t="n">
        <v>36</v>
      </c>
      <c r="K41" s="1500">
        <f>_xlfn.XLOOKUP(cities[[#This Row],[id]],$D$5:$D$1500,E$5:E$1500,"-")</f>
        <v/>
      </c>
      <c r="L41" s="1500">
        <f>_xlfn.XLOOKUP(cities[[#This Row],[city]],ccc[city],ccc[ctry],"-")</f>
        <v/>
      </c>
      <c r="M41" s="1500">
        <f>SUMIFS(stayCity[stay],stayCity[city],cities[[#This Row],[city]])</f>
        <v/>
      </c>
      <c r="N41" s="1427">
        <f>N40+1</f>
        <v/>
      </c>
      <c r="O41" s="1501" t="n"/>
      <c r="P41" s="1501" t="n"/>
      <c r="Q41" s="1427" t="inlineStr">
        <is>
          <t>.</t>
        </is>
      </c>
      <c r="R41" s="1473">
        <f>IF(S41&lt;&gt;"",R40+1,R40)</f>
        <v/>
      </c>
      <c r="S41" s="1473" t="n"/>
      <c r="T41" s="1427" t="inlineStr">
        <is>
          <t>.</t>
        </is>
      </c>
      <c r="U41" s="1500" t="n"/>
      <c r="V41" s="1500" t="n"/>
      <c r="W41" s="1500" t="n"/>
      <c r="X41" s="1500" t="n"/>
      <c r="Y41" s="1500" t="n"/>
      <c r="Z41" s="1427" t="inlineStr">
        <is>
          <t>.</t>
        </is>
      </c>
      <c r="AA41" s="1473">
        <f>IF(AB41&lt;&gt;"",AA40+1,AA40)</f>
        <v/>
      </c>
      <c r="AB41" s="1473" t="inlineStr">
        <is>
          <t>Paris-Frankfurt</t>
        </is>
      </c>
      <c r="AC41" s="1473">
        <f>IF(AD41&lt;&gt;"",AC40+1,AC40)</f>
        <v/>
      </c>
      <c r="AD41" s="1473" t="inlineStr">
        <is>
          <t>Bariloche</t>
        </is>
      </c>
      <c r="AE41" s="1427" t="inlineStr">
        <is>
          <t>.</t>
        </is>
      </c>
      <c r="AF41" s="1502" t="n">
        <v>37</v>
      </c>
      <c r="AG41" s="1500">
        <f>_xlfn.XLOOKUP(routes[[#This Row],[id]],$AA$5:$AA$300,$AB$5:$AB$300,"-")</f>
        <v/>
      </c>
      <c r="AH41" s="1500">
        <f>_xlfn.XLOOKUP(routes[[#This Row],[route]],routesUniv[route],routesUniv[outbound],"-")</f>
        <v/>
      </c>
      <c r="AI41" s="1500">
        <f>_xlfn.XLOOKUP(routes[[#This Row],[route]],routesUniv[route],routesUniv[inbound],"-")</f>
        <v/>
      </c>
      <c r="AJ41" s="1500">
        <f>_xlfn.XLOOKUP(routes[[#This Row],[route]],routesUniv[route],routesUniv[km],"-")</f>
        <v/>
      </c>
      <c r="AK41" s="1500">
        <f>COUNTIF(INPUT!BT$5:BT$1000,AG41)</f>
        <v/>
      </c>
      <c r="AL41" s="1505">
        <f>routes[[#This Row],[km]]*routes[[#This Row],[rpt]]/1000</f>
        <v/>
      </c>
      <c r="AM41" s="1481" t="inlineStr">
        <is>
          <t>.</t>
        </is>
      </c>
      <c r="AN41" s="1506" t="n">
        <v>37</v>
      </c>
      <c r="AO41" s="1500">
        <f>IF(AD41&lt;&gt;"",AD41,"-")</f>
        <v/>
      </c>
      <c r="AP41" s="1500">
        <f>_xlfn.XLOOKUP(cityRoutes[[#This Row],[city]],ccc[city],ccc[ctry],"-")</f>
        <v/>
      </c>
      <c r="AQ41" s="1500">
        <f>COUNTIF(INPUT!BR$5:BS$1000,AO41)</f>
        <v/>
      </c>
      <c r="AR41" s="1507">
        <f>(SUMIFS(routes[total],routes[outbound],AO41)+SUMIFS(routes[total],routes[inbound],AO41))/2</f>
        <v/>
      </c>
      <c r="AS41" s="1481" t="inlineStr">
        <is>
          <t>.</t>
        </is>
      </c>
      <c r="AT41" s="1473">
        <f>IF(AU41&lt;&gt;"",AT40+1,AT40)</f>
        <v/>
      </c>
      <c r="AU41" s="1473" t="n"/>
      <c r="AV41" s="1506">
        <f>IF(AT41&lt;=AT$3,AT41,0)</f>
        <v/>
      </c>
      <c r="AW41" s="1500">
        <f>AU41</f>
        <v/>
      </c>
      <c r="AX41" s="1508">
        <f>_xlfn.XLOOKUP(homes[[#This Row],[home]],raw[home],raw[city],"-")</f>
        <v/>
      </c>
      <c r="AY41" s="1513" t="n"/>
      <c r="AZ41" s="1509" t="n"/>
      <c r="BA41" s="1526" t="n"/>
      <c r="BB41" s="1500">
        <f>COUNTIF(INPUT!BX41:BX136,AU41)</f>
        <v/>
      </c>
      <c r="BC41" s="1511">
        <f>INT(SUMIFS(raw[stay],raw[home],homes[[#This Row],[home]]))</f>
        <v/>
      </c>
      <c r="BD41" s="1511">
        <f>INT(SUMIFS(raw[stay],raw[home],homes[[#This Row],[home]],raw[notHome],0))</f>
        <v/>
      </c>
      <c r="BE41" s="1512">
        <f>IF(homes[[#This Row],[main]]=0,"-",homes[[#This Row],[netmain]]/homes[[#This Row],[main]])</f>
        <v/>
      </c>
      <c r="BF41" s="1511">
        <f>INT(SUMIFS(raw[stay],raw[transit],homes[[#This Row],[home]]))</f>
        <v/>
      </c>
      <c r="BG41" s="1511">
        <f>homes[[#This Row],[netmain]]+homes[[#This Row],[extra]]</f>
        <v/>
      </c>
      <c r="BH41" s="1432" t="inlineStr">
        <is>
          <t>.</t>
        </is>
      </c>
      <c r="BI41" s="1491" t="n"/>
      <c r="BJ41" s="1491" t="n"/>
      <c r="BK41" s="1491" t="n"/>
      <c r="BL41" s="1491" t="n"/>
      <c r="BM41" s="1491" t="n"/>
      <c r="BN41" s="1491" t="n"/>
      <c r="BO41" s="1467" t="n"/>
      <c r="BP41" s="1514" t="n">
        <v>37</v>
      </c>
      <c r="BQ41" s="1513">
        <f>[1]Sheet1!C42</f>
        <v/>
      </c>
      <c r="BR41" s="1515">
        <f>[1]Sheet1!D42</f>
        <v/>
      </c>
      <c r="BS41" s="1513">
        <f>[1]Sheet1!E42</f>
        <v/>
      </c>
      <c r="BT41" s="1515">
        <f>[1]Sheet1!F42</f>
        <v/>
      </c>
      <c r="BU41" s="1516">
        <f>[1]Sheet1!G42</f>
        <v/>
      </c>
      <c r="BV41" s="1513">
        <f>[1]Sheet1!H42</f>
        <v/>
      </c>
      <c r="BW41" s="1467" t="n"/>
      <c r="BX41" s="1491">
        <f>[1]Sheet1!$J42</f>
        <v/>
      </c>
      <c r="BY41" s="1517">
        <f>[1]Sheet1!$K42</f>
        <v/>
      </c>
      <c r="BZ41" s="1517">
        <f>[1]Sheet1!$L42</f>
        <v/>
      </c>
      <c r="CA41" s="1500">
        <f>[1]Sheet1!$M42</f>
        <v/>
      </c>
      <c r="CB41" s="1467" t="n"/>
      <c r="CC41" s="1467" t="n"/>
      <c r="CD41" s="1500">
        <f>[1]Sheet1!$P42</f>
        <v/>
      </c>
      <c r="CE41" s="1513">
        <f>[1]Sheet1!$Q42</f>
        <v/>
      </c>
      <c r="CF41" s="1515">
        <f>[1]Sheet1!$R42</f>
        <v/>
      </c>
      <c r="CG41" s="1477" t="n"/>
      <c r="CH41" s="1513" t="n"/>
      <c r="CI41" s="1513" t="n"/>
      <c r="CJ41" s="1513" t="n"/>
      <c r="CK41" s="1477" t="n"/>
      <c r="CL41" s="1521" t="n">
        <v>37</v>
      </c>
      <c r="CM41" s="1513" t="inlineStr">
        <is>
          <t>Lisbon-Amsterdam</t>
        </is>
      </c>
      <c r="CN41" s="1513" t="inlineStr">
        <is>
          <t>Lisbon</t>
        </is>
      </c>
      <c r="CO41" s="1513" t="inlineStr">
        <is>
          <t>Amsterdam</t>
        </is>
      </c>
      <c r="CP41" s="1514" t="n">
        <v>1900</v>
      </c>
      <c r="CQ41" s="1477" t="n"/>
      <c r="CR41" s="1491" t="n"/>
      <c r="CS41" s="1491" t="n"/>
      <c r="CT41" s="1491" t="n"/>
      <c r="CU41" s="1491" t="n"/>
      <c r="CV41" s="1491" t="n"/>
      <c r="CW41" s="1491" t="n"/>
      <c r="CX41" s="1491" t="n"/>
    </row>
    <row r="42">
      <c r="A42" s="1427" t="inlineStr">
        <is>
          <t>.</t>
        </is>
      </c>
      <c r="B42" s="1496" t="n"/>
      <c r="C42" s="1496" t="n"/>
      <c r="D42" s="1497">
        <f>IF(E42&lt;&gt;"",D41+1,D41)</f>
        <v/>
      </c>
      <c r="E42" s="1497" t="inlineStr">
        <is>
          <t>Interlaken</t>
        </is>
      </c>
      <c r="F42" s="1427" t="inlineStr">
        <is>
          <t>.</t>
        </is>
      </c>
      <c r="G42" s="1498">
        <f>IF(H42="AIR",0,IF(H41="AIR",G40+1,IF(H42&lt;&gt;"",G41+1,G41)))</f>
        <v/>
      </c>
      <c r="H42" s="1498" t="inlineStr">
        <is>
          <t>Milan</t>
        </is>
      </c>
      <c r="I42" s="1427" t="inlineStr">
        <is>
          <t>.</t>
        </is>
      </c>
      <c r="J42" s="1499" t="n">
        <v>37</v>
      </c>
      <c r="K42" s="1500">
        <f>_xlfn.XLOOKUP(cities[[#This Row],[id]],$D$5:$D$1500,E$5:E$1500,"-")</f>
        <v/>
      </c>
      <c r="L42" s="1500">
        <f>_xlfn.XLOOKUP(cities[[#This Row],[city]],ccc[city],ccc[ctry],"-")</f>
        <v/>
      </c>
      <c r="M42" s="1500">
        <f>SUMIFS(stayCity[stay],stayCity[city],cities[[#This Row],[city]])</f>
        <v/>
      </c>
      <c r="N42" s="1427">
        <f>N41+1</f>
        <v/>
      </c>
      <c r="O42" s="1501" t="n"/>
      <c r="P42" s="1501" t="n"/>
      <c r="Q42" s="1427" t="inlineStr">
        <is>
          <t>.</t>
        </is>
      </c>
      <c r="R42" s="1473">
        <f>IF(S42&lt;&gt;"",R41+1,R41)</f>
        <v/>
      </c>
      <c r="S42" s="1473" t="n"/>
      <c r="T42" s="1427" t="inlineStr">
        <is>
          <t>.</t>
        </is>
      </c>
      <c r="U42" s="1500" t="n"/>
      <c r="V42" s="1500" t="n"/>
      <c r="W42" s="1500" t="n"/>
      <c r="X42" s="1500" t="n"/>
      <c r="Y42" s="1500" t="n"/>
      <c r="Z42" s="1427" t="inlineStr">
        <is>
          <t>.</t>
        </is>
      </c>
      <c r="AA42" s="1473">
        <f>IF(AB42&lt;&gt;"",AA41+1,AA41)</f>
        <v/>
      </c>
      <c r="AB42" s="1473" t="inlineStr">
        <is>
          <t>Frankfurt-SSA</t>
        </is>
      </c>
      <c r="AC42" s="1473">
        <f>IF(AD42&lt;&gt;"",AC41+1,AC41)</f>
        <v/>
      </c>
      <c r="AD42" s="1473" t="inlineStr">
        <is>
          <t>Zurich</t>
        </is>
      </c>
      <c r="AE42" s="1427" t="inlineStr">
        <is>
          <t>.</t>
        </is>
      </c>
      <c r="AF42" s="1502" t="n">
        <v>38</v>
      </c>
      <c r="AG42" s="1500">
        <f>_xlfn.XLOOKUP(routes[[#This Row],[id]],$AA$5:$AA$300,$AB$5:$AB$300,"-")</f>
        <v/>
      </c>
      <c r="AH42" s="1500">
        <f>_xlfn.XLOOKUP(routes[[#This Row],[route]],routesUniv[route],routesUniv[outbound],"-")</f>
        <v/>
      </c>
      <c r="AI42" s="1500">
        <f>_xlfn.XLOOKUP(routes[[#This Row],[route]],routesUniv[route],routesUniv[inbound],"-")</f>
        <v/>
      </c>
      <c r="AJ42" s="1500">
        <f>_xlfn.XLOOKUP(routes[[#This Row],[route]],routesUniv[route],routesUniv[km],"-")</f>
        <v/>
      </c>
      <c r="AK42" s="1500">
        <f>COUNTIF(INPUT!BT$5:BT$1000,AG42)</f>
        <v/>
      </c>
      <c r="AL42" s="1505">
        <f>routes[[#This Row],[km]]*routes[[#This Row],[rpt]]/1000</f>
        <v/>
      </c>
      <c r="AM42" s="1481" t="inlineStr">
        <is>
          <t>.</t>
        </is>
      </c>
      <c r="AN42" s="1506" t="n">
        <v>38</v>
      </c>
      <c r="AO42" s="1500">
        <f>IF(AD42&lt;&gt;"",AD42,"-")</f>
        <v/>
      </c>
      <c r="AP42" s="1500">
        <f>_xlfn.XLOOKUP(cityRoutes[[#This Row],[city]],ccc[city],ccc[ctry],"-")</f>
        <v/>
      </c>
      <c r="AQ42" s="1500">
        <f>COUNTIF(INPUT!BR$5:BS$1000,AO42)</f>
        <v/>
      </c>
      <c r="AR42" s="1507">
        <f>(SUMIFS(routes[total],routes[outbound],AO42)+SUMIFS(routes[total],routes[inbound],AO42))/2</f>
        <v/>
      </c>
      <c r="AS42" s="1481" t="inlineStr">
        <is>
          <t>.</t>
        </is>
      </c>
      <c r="AT42" s="1473">
        <f>IF(AU42&lt;&gt;"",AT41+1,AT41)</f>
        <v/>
      </c>
      <c r="AU42" s="1473" t="n"/>
      <c r="AV42" s="1506">
        <f>IF(AT42&lt;=AT$3,AT42,0)</f>
        <v/>
      </c>
      <c r="AW42" s="1500">
        <f>AU42</f>
        <v/>
      </c>
      <c r="AX42" s="1508">
        <f>_xlfn.XLOOKUP(homes[[#This Row],[home]],raw[home],raw[city],"-")</f>
        <v/>
      </c>
      <c r="AY42" s="1513" t="n"/>
      <c r="AZ42" s="1509" t="n"/>
      <c r="BA42" s="1526" t="n"/>
      <c r="BB42" s="1500">
        <f>COUNTIF(INPUT!BX42:BX137,AU42)</f>
        <v/>
      </c>
      <c r="BC42" s="1511">
        <f>INT(SUMIFS(raw[stay],raw[home],homes[[#This Row],[home]]))</f>
        <v/>
      </c>
      <c r="BD42" s="1511">
        <f>INT(SUMIFS(raw[stay],raw[home],homes[[#This Row],[home]],raw[notHome],0))</f>
        <v/>
      </c>
      <c r="BE42" s="1512">
        <f>IF(homes[[#This Row],[main]]=0,"-",homes[[#This Row],[netmain]]/homes[[#This Row],[main]])</f>
        <v/>
      </c>
      <c r="BF42" s="1511">
        <f>INT(SUMIFS(raw[stay],raw[transit],homes[[#This Row],[home]]))</f>
        <v/>
      </c>
      <c r="BG42" s="1511">
        <f>homes[[#This Row],[netmain]]+homes[[#This Row],[extra]]</f>
        <v/>
      </c>
      <c r="BH42" s="1432" t="inlineStr">
        <is>
          <t>.</t>
        </is>
      </c>
      <c r="BI42" s="1491" t="n"/>
      <c r="BJ42" s="1491" t="n"/>
      <c r="BK42" s="1491" t="n"/>
      <c r="BL42" s="1491" t="n"/>
      <c r="BM42" s="1491" t="n"/>
      <c r="BN42" s="1491" t="n"/>
      <c r="BO42" s="1467" t="n"/>
      <c r="BP42" s="1514" t="n">
        <v>38</v>
      </c>
      <c r="BQ42" s="1513">
        <f>[1]Sheet1!C43</f>
        <v/>
      </c>
      <c r="BR42" s="1515">
        <f>[1]Sheet1!D43</f>
        <v/>
      </c>
      <c r="BS42" s="1513">
        <f>[1]Sheet1!E43</f>
        <v/>
      </c>
      <c r="BT42" s="1515">
        <f>[1]Sheet1!F43</f>
        <v/>
      </c>
      <c r="BU42" s="1516">
        <f>[1]Sheet1!G43</f>
        <v/>
      </c>
      <c r="BV42" s="1513">
        <f>[1]Sheet1!H43</f>
        <v/>
      </c>
      <c r="BW42" s="1467" t="n"/>
      <c r="BX42" s="1491">
        <f>[1]Sheet1!$J43</f>
        <v/>
      </c>
      <c r="BY42" s="1517">
        <f>[1]Sheet1!$K43</f>
        <v/>
      </c>
      <c r="BZ42" s="1517">
        <f>[1]Sheet1!$L43</f>
        <v/>
      </c>
      <c r="CA42" s="1500">
        <f>[1]Sheet1!$M43</f>
        <v/>
      </c>
      <c r="CB42" s="1467" t="n"/>
      <c r="CC42" s="1467" t="n"/>
      <c r="CD42" s="1500">
        <f>[1]Sheet1!$P43</f>
        <v/>
      </c>
      <c r="CE42" s="1513">
        <f>[1]Sheet1!$Q43</f>
        <v/>
      </c>
      <c r="CF42" s="1515">
        <f>[1]Sheet1!$R43</f>
        <v/>
      </c>
      <c r="CG42" s="1477" t="n"/>
      <c r="CH42" s="1513" t="n"/>
      <c r="CI42" s="1513" t="n"/>
      <c r="CJ42" s="1513" t="n"/>
      <c r="CK42" s="1477" t="n"/>
      <c r="CL42" s="1521" t="n">
        <v>38</v>
      </c>
      <c r="CM42" s="1500" t="inlineStr">
        <is>
          <t>Lisbon-London</t>
        </is>
      </c>
      <c r="CN42" s="1500" t="inlineStr">
        <is>
          <t>Lisbon</t>
        </is>
      </c>
      <c r="CO42" s="1500" t="inlineStr">
        <is>
          <t>London</t>
        </is>
      </c>
      <c r="CP42" s="1514" t="n">
        <v>1600</v>
      </c>
      <c r="CQ42" s="1477" t="n"/>
      <c r="CR42" s="1491" t="n"/>
      <c r="CS42" s="1491" t="n"/>
      <c r="CT42" s="1491" t="n"/>
      <c r="CU42" s="1491" t="n"/>
      <c r="CV42" s="1491" t="n"/>
      <c r="CW42" s="1491" t="n"/>
      <c r="CX42" s="1491" t="n"/>
    </row>
    <row r="43">
      <c r="A43" s="1427" t="inlineStr">
        <is>
          <t>.</t>
        </is>
      </c>
      <c r="B43" s="1496" t="n"/>
      <c r="C43" s="1496" t="n"/>
      <c r="D43" s="1497">
        <f>IF(E43&lt;&gt;"",D42+1,D42)</f>
        <v/>
      </c>
      <c r="E43" s="1497" t="inlineStr">
        <is>
          <t>Grindenwald</t>
        </is>
      </c>
      <c r="F43" s="1427" t="inlineStr">
        <is>
          <t>.</t>
        </is>
      </c>
      <c r="G43" s="1498">
        <f>IF(H43="AIR",0,IF(H42="AIR",G41+1,IF(H43&lt;&gt;"",G42+1,G42)))</f>
        <v/>
      </c>
      <c r="H43" s="1498" t="inlineStr">
        <is>
          <t>Bern</t>
        </is>
      </c>
      <c r="I43" s="1427" t="inlineStr">
        <is>
          <t>.</t>
        </is>
      </c>
      <c r="J43" s="1499" t="n">
        <v>38</v>
      </c>
      <c r="K43" s="1500">
        <f>_xlfn.XLOOKUP(cities[[#This Row],[id]],$D$5:$D$1500,E$5:E$1500,"-")</f>
        <v/>
      </c>
      <c r="L43" s="1500">
        <f>_xlfn.XLOOKUP(cities[[#This Row],[city]],ccc[city],ccc[ctry],"-")</f>
        <v/>
      </c>
      <c r="M43" s="1500">
        <f>SUMIFS(stayCity[stay],stayCity[city],cities[[#This Row],[city]])</f>
        <v/>
      </c>
      <c r="N43" s="1427">
        <f>N42+1</f>
        <v/>
      </c>
      <c r="O43" s="1501" t="n"/>
      <c r="P43" s="1501" t="n"/>
      <c r="Q43" s="1427" t="inlineStr">
        <is>
          <t>.</t>
        </is>
      </c>
      <c r="R43" s="1473">
        <f>IF(S43&lt;&gt;"",R42+1,R42)</f>
        <v/>
      </c>
      <c r="S43" s="1473" t="n"/>
      <c r="T43" s="1427" t="inlineStr">
        <is>
          <t>.</t>
        </is>
      </c>
      <c r="U43" s="1500" t="n"/>
      <c r="V43" s="1500" t="n"/>
      <c r="W43" s="1500" t="n"/>
      <c r="X43" s="1500" t="n"/>
      <c r="Y43" s="1500" t="n"/>
      <c r="Z43" s="1427" t="inlineStr">
        <is>
          <t>.</t>
        </is>
      </c>
      <c r="AA43" s="1473">
        <f>IF(AB43&lt;&gt;"",AA42+1,AA42)</f>
        <v/>
      </c>
      <c r="AB43" s="1473" t="inlineStr">
        <is>
          <t>SSA-Frankfurt</t>
        </is>
      </c>
      <c r="AC43" s="1473">
        <f>IF(AD43&lt;&gt;"",AC42+1,AC42)</f>
        <v/>
      </c>
      <c r="AD43" s="1473" t="inlineStr">
        <is>
          <t>Dublin</t>
        </is>
      </c>
      <c r="AE43" s="1427" t="inlineStr">
        <is>
          <t>.</t>
        </is>
      </c>
      <c r="AF43" s="1502" t="n">
        <v>39</v>
      </c>
      <c r="AG43" s="1500">
        <f>_xlfn.XLOOKUP(routes[[#This Row],[id]],$AA$5:$AA$300,$AB$5:$AB$300,"-")</f>
        <v/>
      </c>
      <c r="AH43" s="1500">
        <f>_xlfn.XLOOKUP(routes[[#This Row],[route]],routesUniv[route],routesUniv[outbound],"-")</f>
        <v/>
      </c>
      <c r="AI43" s="1500">
        <f>_xlfn.XLOOKUP(routes[[#This Row],[route]],routesUniv[route],routesUniv[inbound],"-")</f>
        <v/>
      </c>
      <c r="AJ43" s="1500">
        <f>_xlfn.XLOOKUP(routes[[#This Row],[route]],routesUniv[route],routesUniv[km],"-")</f>
        <v/>
      </c>
      <c r="AK43" s="1500">
        <f>COUNTIF(INPUT!BT$5:BT$1000,AG43)</f>
        <v/>
      </c>
      <c r="AL43" s="1505">
        <f>routes[[#This Row],[km]]*routes[[#This Row],[rpt]]/1000</f>
        <v/>
      </c>
      <c r="AM43" s="1481" t="inlineStr">
        <is>
          <t>.</t>
        </is>
      </c>
      <c r="AN43" s="1506" t="n">
        <v>39</v>
      </c>
      <c r="AO43" s="1500">
        <f>IF(AD43&lt;&gt;"",AD43,"-")</f>
        <v/>
      </c>
      <c r="AP43" s="1500">
        <f>_xlfn.XLOOKUP(cityRoutes[[#This Row],[city]],ccc[city],ccc[ctry],"-")</f>
        <v/>
      </c>
      <c r="AQ43" s="1500">
        <f>COUNTIF(INPUT!BR$5:BS$1000,AO43)</f>
        <v/>
      </c>
      <c r="AR43" s="1507">
        <f>(SUMIFS(routes[total],routes[outbound],AO43)+SUMIFS(routes[total],routes[inbound],AO43))/2</f>
        <v/>
      </c>
      <c r="AS43" s="1481" t="inlineStr">
        <is>
          <t>.</t>
        </is>
      </c>
      <c r="AT43" s="1473">
        <f>IF(AU43&lt;&gt;"",AT42+1,AT42)</f>
        <v/>
      </c>
      <c r="AU43" s="1473" t="n"/>
      <c r="AV43" s="1506">
        <f>IF(AT43&lt;=AT$3,AT43,0)</f>
        <v/>
      </c>
      <c r="AW43" s="1500">
        <f>AU43</f>
        <v/>
      </c>
      <c r="AX43" s="1508">
        <f>_xlfn.XLOOKUP(homes[[#This Row],[home]],raw[home],raw[city],"-")</f>
        <v/>
      </c>
      <c r="AY43" s="1513" t="n"/>
      <c r="AZ43" s="1509" t="n"/>
      <c r="BA43" s="1526" t="n"/>
      <c r="BB43" s="1500">
        <f>COUNTIF(INPUT!BX43:BX138,AU43)</f>
        <v/>
      </c>
      <c r="BC43" s="1511">
        <f>INT(SUMIFS(raw[stay],raw[home],homes[[#This Row],[home]]))</f>
        <v/>
      </c>
      <c r="BD43" s="1511">
        <f>INT(SUMIFS(raw[stay],raw[home],homes[[#This Row],[home]],raw[notHome],0))</f>
        <v/>
      </c>
      <c r="BE43" s="1512">
        <f>IF(homes[[#This Row],[main]]=0,"-",homes[[#This Row],[netmain]]/homes[[#This Row],[main]])</f>
        <v/>
      </c>
      <c r="BF43" s="1511">
        <f>INT(SUMIFS(raw[stay],raw[transit],homes[[#This Row],[home]]))</f>
        <v/>
      </c>
      <c r="BG43" s="1511">
        <f>homes[[#This Row],[netmain]]+homes[[#This Row],[extra]]</f>
        <v/>
      </c>
      <c r="BH43" s="1432" t="inlineStr">
        <is>
          <t>.</t>
        </is>
      </c>
      <c r="BI43" s="1491" t="n"/>
      <c r="BJ43" s="1491" t="n"/>
      <c r="BK43" s="1491" t="n"/>
      <c r="BL43" s="1491" t="n"/>
      <c r="BM43" s="1491" t="n"/>
      <c r="BN43" s="1491" t="n"/>
      <c r="BO43" s="1467" t="n"/>
      <c r="BP43" s="1514" t="n">
        <v>39</v>
      </c>
      <c r="BQ43" s="1513">
        <f>[1]Sheet1!C44</f>
        <v/>
      </c>
      <c r="BR43" s="1515">
        <f>[1]Sheet1!D44</f>
        <v/>
      </c>
      <c r="BS43" s="1513">
        <f>[1]Sheet1!E44</f>
        <v/>
      </c>
      <c r="BT43" s="1515">
        <f>[1]Sheet1!F44</f>
        <v/>
      </c>
      <c r="BU43" s="1516">
        <f>[1]Sheet1!G44</f>
        <v/>
      </c>
      <c r="BV43" s="1513">
        <f>[1]Sheet1!H44</f>
        <v/>
      </c>
      <c r="BW43" s="1467" t="n"/>
      <c r="BX43" s="1491">
        <f>[1]Sheet1!$J44</f>
        <v/>
      </c>
      <c r="BY43" s="1517">
        <f>[1]Sheet1!$K44</f>
        <v/>
      </c>
      <c r="BZ43" s="1517">
        <f>[1]Sheet1!$L44</f>
        <v/>
      </c>
      <c r="CA43" s="1500">
        <f>[1]Sheet1!$M44</f>
        <v/>
      </c>
      <c r="CB43" s="1467" t="n"/>
      <c r="CC43" s="1467" t="n"/>
      <c r="CD43" s="1500">
        <f>[1]Sheet1!$P44</f>
        <v/>
      </c>
      <c r="CE43" s="1513">
        <f>[1]Sheet1!$Q44</f>
        <v/>
      </c>
      <c r="CF43" s="1515">
        <f>[1]Sheet1!$R44</f>
        <v/>
      </c>
      <c r="CG43" s="1477" t="n"/>
      <c r="CH43" s="1513" t="n"/>
      <c r="CI43" s="1513" t="n"/>
      <c r="CJ43" s="1513" t="n"/>
      <c r="CK43" s="1477" t="n"/>
      <c r="CL43" s="1521" t="n">
        <v>39</v>
      </c>
      <c r="CM43" s="1513" t="inlineStr">
        <is>
          <t>Lisbon-Montreal</t>
        </is>
      </c>
      <c r="CN43" s="1513" t="inlineStr">
        <is>
          <t>Lisbon</t>
        </is>
      </c>
      <c r="CO43" s="1513" t="inlineStr">
        <is>
          <t>Montreal</t>
        </is>
      </c>
      <c r="CP43" s="1514" t="n">
        <v>5300</v>
      </c>
      <c r="CQ43" s="1477" t="n"/>
      <c r="CR43" s="1491" t="n"/>
      <c r="CS43" s="1491" t="n"/>
      <c r="CT43" s="1491" t="n"/>
      <c r="CU43" s="1491" t="n"/>
      <c r="CV43" s="1491" t="n"/>
      <c r="CW43" s="1491" t="n"/>
      <c r="CX43" s="1491" t="n"/>
    </row>
    <row r="44">
      <c r="A44" s="1427" t="inlineStr">
        <is>
          <t>.</t>
        </is>
      </c>
      <c r="B44" s="1496" t="n"/>
      <c r="C44" s="1496" t="n"/>
      <c r="D44" s="1497">
        <f>IF(E44&lt;&gt;"",D43+1,D43)</f>
        <v/>
      </c>
      <c r="E44" s="1497" t="inlineStr">
        <is>
          <t>Freiburg</t>
        </is>
      </c>
      <c r="F44" s="1427" t="inlineStr">
        <is>
          <t>.</t>
        </is>
      </c>
      <c r="G44" s="1498">
        <f>IF(H44="AIR",0,IF(H43="AIR",G42+1,IF(H44&lt;&gt;"",G43+1,G43)))</f>
        <v/>
      </c>
      <c r="H44" s="1498" t="inlineStr">
        <is>
          <t>Interlaken</t>
        </is>
      </c>
      <c r="I44" s="1427" t="inlineStr">
        <is>
          <t>.</t>
        </is>
      </c>
      <c r="J44" s="1499" t="n">
        <v>39</v>
      </c>
      <c r="K44" s="1500">
        <f>_xlfn.XLOOKUP(cities[[#This Row],[id]],$D$5:$D$1500,E$5:E$1500,"-")</f>
        <v/>
      </c>
      <c r="L44" s="1500">
        <f>_xlfn.XLOOKUP(cities[[#This Row],[city]],ccc[city],ccc[ctry],"-")</f>
        <v/>
      </c>
      <c r="M44" s="1500">
        <f>SUMIFS(stayCity[stay],stayCity[city],cities[[#This Row],[city]])</f>
        <v/>
      </c>
      <c r="N44" s="1427">
        <f>N43+1</f>
        <v/>
      </c>
      <c r="O44" s="1501" t="n"/>
      <c r="P44" s="1501" t="n"/>
      <c r="Q44" s="1427" t="inlineStr">
        <is>
          <t>.</t>
        </is>
      </c>
      <c r="R44" s="1473">
        <f>IF(S44&lt;&gt;"",R43+1,R43)</f>
        <v/>
      </c>
      <c r="S44" s="1473" t="n"/>
      <c r="T44" s="1427" t="inlineStr">
        <is>
          <t>.</t>
        </is>
      </c>
      <c r="U44" s="1500" t="n"/>
      <c r="V44" s="1500" t="n"/>
      <c r="W44" s="1500" t="n"/>
      <c r="X44" s="1500" t="n"/>
      <c r="Y44" s="1500" t="n"/>
      <c r="Z44" s="1427" t="inlineStr">
        <is>
          <t>.</t>
        </is>
      </c>
      <c r="AA44" s="1473">
        <f>IF(AB44&lt;&gt;"",AA43+1,AA43)</f>
        <v/>
      </c>
      <c r="AB44" s="1473" t="inlineStr">
        <is>
          <t>Paris-Bruxelas</t>
        </is>
      </c>
      <c r="AC44" s="1473">
        <f>IF(AD44&lt;&gt;"",AC43+1,AC43)</f>
        <v/>
      </c>
      <c r="AD44" s="1473" t="inlineStr">
        <is>
          <t>Venice</t>
        </is>
      </c>
      <c r="AE44" s="1427" t="inlineStr">
        <is>
          <t>.</t>
        </is>
      </c>
      <c r="AF44" s="1502" t="n">
        <v>40</v>
      </c>
      <c r="AG44" s="1500">
        <f>_xlfn.XLOOKUP(routes[[#This Row],[id]],$AA$5:$AA$300,$AB$5:$AB$300,"-")</f>
        <v/>
      </c>
      <c r="AH44" s="1500">
        <f>_xlfn.XLOOKUP(routes[[#This Row],[route]],routesUniv[route],routesUniv[outbound],"-")</f>
        <v/>
      </c>
      <c r="AI44" s="1500">
        <f>_xlfn.XLOOKUP(routes[[#This Row],[route]],routesUniv[route],routesUniv[inbound],"-")</f>
        <v/>
      </c>
      <c r="AJ44" s="1500">
        <f>_xlfn.XLOOKUP(routes[[#This Row],[route]],routesUniv[route],routesUniv[km],"-")</f>
        <v/>
      </c>
      <c r="AK44" s="1500">
        <f>COUNTIF(INPUT!BT$5:BT$1000,AG44)</f>
        <v/>
      </c>
      <c r="AL44" s="1505">
        <f>routes[[#This Row],[km]]*routes[[#This Row],[rpt]]/1000</f>
        <v/>
      </c>
      <c r="AM44" s="1481" t="inlineStr">
        <is>
          <t>.</t>
        </is>
      </c>
      <c r="AN44" s="1506" t="n">
        <v>40</v>
      </c>
      <c r="AO44" s="1500">
        <f>IF(AD44&lt;&gt;"",AD44,"-")</f>
        <v/>
      </c>
      <c r="AP44" s="1500">
        <f>_xlfn.XLOOKUP(cityRoutes[[#This Row],[city]],ccc[city],ccc[ctry],"-")</f>
        <v/>
      </c>
      <c r="AQ44" s="1500">
        <f>COUNTIF(INPUT!BR$5:BS$1000,AO44)</f>
        <v/>
      </c>
      <c r="AR44" s="1507">
        <f>(SUMIFS(routes[total],routes[outbound],AO44)+SUMIFS(routes[total],routes[inbound],AO44))/2</f>
        <v/>
      </c>
      <c r="AS44" s="1481" t="inlineStr">
        <is>
          <t>.</t>
        </is>
      </c>
      <c r="AT44" s="1473">
        <f>IF(AU44&lt;&gt;"",AT43+1,AT43)</f>
        <v/>
      </c>
      <c r="AU44" s="1473" t="n"/>
      <c r="AV44" s="1506">
        <f>IF(AT44&lt;=AT$3,AT44,0)</f>
        <v/>
      </c>
      <c r="AW44" s="1500">
        <f>AU44</f>
        <v/>
      </c>
      <c r="AX44" s="1508">
        <f>_xlfn.XLOOKUP(homes[[#This Row],[home]],raw[home],raw[city],"-")</f>
        <v/>
      </c>
      <c r="AY44" s="1513" t="n"/>
      <c r="AZ44" s="1509" t="n"/>
      <c r="BA44" s="1526" t="n"/>
      <c r="BB44" s="1500">
        <f>COUNTIF(INPUT!BX44:BX139,AU44)</f>
        <v/>
      </c>
      <c r="BC44" s="1511">
        <f>INT(SUMIFS(raw[stay],raw[home],homes[[#This Row],[home]]))</f>
        <v/>
      </c>
      <c r="BD44" s="1511">
        <f>INT(SUMIFS(raw[stay],raw[home],homes[[#This Row],[home]],raw[notHome],0))</f>
        <v/>
      </c>
      <c r="BE44" s="1512">
        <f>IF(homes[[#This Row],[main]]=0,"-",homes[[#This Row],[netmain]]/homes[[#This Row],[main]])</f>
        <v/>
      </c>
      <c r="BF44" s="1511">
        <f>INT(SUMIFS(raw[stay],raw[transit],homes[[#This Row],[home]]))</f>
        <v/>
      </c>
      <c r="BG44" s="1511">
        <f>homes[[#This Row],[netmain]]+homes[[#This Row],[extra]]</f>
        <v/>
      </c>
      <c r="BH44" s="1432" t="inlineStr">
        <is>
          <t>.</t>
        </is>
      </c>
      <c r="BI44" s="1491" t="n"/>
      <c r="BJ44" s="1491" t="n"/>
      <c r="BK44" s="1491" t="n"/>
      <c r="BL44" s="1491" t="n"/>
      <c r="BM44" s="1491" t="n"/>
      <c r="BN44" s="1491" t="n"/>
      <c r="BO44" s="1467" t="n"/>
      <c r="BP44" s="1514" t="n">
        <v>40</v>
      </c>
      <c r="BQ44" s="1513">
        <f>[1]Sheet1!C45</f>
        <v/>
      </c>
      <c r="BR44" s="1515">
        <f>[1]Sheet1!D45</f>
        <v/>
      </c>
      <c r="BS44" s="1513">
        <f>[1]Sheet1!E45</f>
        <v/>
      </c>
      <c r="BT44" s="1515">
        <f>[1]Sheet1!F45</f>
        <v/>
      </c>
      <c r="BU44" s="1516">
        <f>[1]Sheet1!G45</f>
        <v/>
      </c>
      <c r="BV44" s="1513">
        <f>[1]Sheet1!H45</f>
        <v/>
      </c>
      <c r="BW44" s="1467" t="n"/>
      <c r="BX44" s="1491">
        <f>[1]Sheet1!$J45</f>
        <v/>
      </c>
      <c r="BY44" s="1517">
        <f>[1]Sheet1!$K45</f>
        <v/>
      </c>
      <c r="BZ44" s="1517">
        <f>[1]Sheet1!$L45</f>
        <v/>
      </c>
      <c r="CA44" s="1500">
        <f>[1]Sheet1!$M45</f>
        <v/>
      </c>
      <c r="CB44" s="1467" t="n"/>
      <c r="CC44" s="1467" t="n"/>
      <c r="CD44" s="1500">
        <f>[1]Sheet1!$P45</f>
        <v/>
      </c>
      <c r="CE44" s="1513">
        <f>[1]Sheet1!$Q45</f>
        <v/>
      </c>
      <c r="CF44" s="1515">
        <f>[1]Sheet1!$R45</f>
        <v/>
      </c>
      <c r="CG44" s="1477" t="n"/>
      <c r="CH44" s="1513" t="n"/>
      <c r="CI44" s="1513" t="n"/>
      <c r="CJ44" s="1513" t="n"/>
      <c r="CK44" s="1477" t="n"/>
      <c r="CL44" s="1521" t="n">
        <v>40</v>
      </c>
      <c r="CM44" s="1513" t="inlineStr">
        <is>
          <t>Lisbon-Paris</t>
        </is>
      </c>
      <c r="CN44" s="1513" t="inlineStr">
        <is>
          <t>Lisbon</t>
        </is>
      </c>
      <c r="CO44" s="1513" t="inlineStr">
        <is>
          <t>Paris</t>
        </is>
      </c>
      <c r="CP44" s="1514" t="n">
        <v>1500</v>
      </c>
      <c r="CQ44" s="1477" t="n"/>
      <c r="CR44" s="1491" t="n"/>
      <c r="CS44" s="1491" t="n"/>
      <c r="CT44" s="1491" t="n"/>
      <c r="CU44" s="1491" t="n"/>
      <c r="CV44" s="1491" t="n"/>
      <c r="CW44" s="1491" t="n"/>
      <c r="CX44" s="1491" t="n"/>
    </row>
    <row r="45">
      <c r="A45" s="1427" t="inlineStr">
        <is>
          <t>.</t>
        </is>
      </c>
      <c r="B45" s="1496" t="n"/>
      <c r="C45" s="1496" t="n"/>
      <c r="D45" s="1497">
        <f>IF(E45&lt;&gt;"",D44+1,D44)</f>
        <v/>
      </c>
      <c r="E45" s="1497" t="inlineStr">
        <is>
          <t>Offenburg</t>
        </is>
      </c>
      <c r="F45" s="1427" t="inlineStr">
        <is>
          <t>.</t>
        </is>
      </c>
      <c r="G45" s="1498">
        <f>IF(H45="AIR",0,IF(H44="AIR",G43+1,IF(H45&lt;&gt;"",G44+1,G44)))</f>
        <v/>
      </c>
      <c r="H45" s="1498" t="inlineStr">
        <is>
          <t>Grindenwald</t>
        </is>
      </c>
      <c r="I45" s="1427" t="inlineStr">
        <is>
          <t>.</t>
        </is>
      </c>
      <c r="J45" s="1499" t="n">
        <v>40</v>
      </c>
      <c r="K45" s="1500">
        <f>_xlfn.XLOOKUP(cities[[#This Row],[id]],$D$5:$D$1500,E$5:E$1500,"-")</f>
        <v/>
      </c>
      <c r="L45" s="1500">
        <f>_xlfn.XLOOKUP(cities[[#This Row],[city]],ccc[city],ccc[ctry],"-")</f>
        <v/>
      </c>
      <c r="M45" s="1500">
        <f>SUMIFS(stayCity[stay],stayCity[city],cities[[#This Row],[city]])</f>
        <v/>
      </c>
      <c r="N45" s="1427">
        <f>N44+1</f>
        <v/>
      </c>
      <c r="O45" s="1501" t="n"/>
      <c r="P45" s="1501" t="n"/>
      <c r="Q45" s="1427" t="inlineStr">
        <is>
          <t>.</t>
        </is>
      </c>
      <c r="R45" s="1473">
        <f>IF(S45&lt;&gt;"",R44+1,R44)</f>
        <v/>
      </c>
      <c r="S45" s="1473" t="n"/>
      <c r="T45" s="1427" t="inlineStr">
        <is>
          <t>.</t>
        </is>
      </c>
      <c r="U45" s="1500" t="n"/>
      <c r="V45" s="1500" t="n"/>
      <c r="W45" s="1500" t="n"/>
      <c r="X45" s="1500" t="n"/>
      <c r="Y45" s="1500" t="n"/>
      <c r="Z45" s="1427" t="inlineStr">
        <is>
          <t>.</t>
        </is>
      </c>
      <c r="AA45" s="1473">
        <f>IF(AB45&lt;&gt;"",AA44+1,AA44)</f>
        <v/>
      </c>
      <c r="AB45" s="1473" t="inlineStr">
        <is>
          <t>Bruxelas-SSA</t>
        </is>
      </c>
      <c r="AC45" s="1473">
        <f>IF(AD45&lt;&gt;"",AC44+1,AC44)</f>
        <v/>
      </c>
      <c r="AD45" s="1473" t="inlineStr">
        <is>
          <t>Milan</t>
        </is>
      </c>
      <c r="AE45" s="1427" t="inlineStr">
        <is>
          <t>.</t>
        </is>
      </c>
      <c r="AF45" s="1502" t="n">
        <v>41</v>
      </c>
      <c r="AG45" s="1500">
        <f>_xlfn.XLOOKUP(routes[[#This Row],[id]],$AA$5:$AA$300,$AB$5:$AB$300,"-")</f>
        <v/>
      </c>
      <c r="AH45" s="1500">
        <f>_xlfn.XLOOKUP(routes[[#This Row],[route]],routesUniv[route],routesUniv[outbound],"-")</f>
        <v/>
      </c>
      <c r="AI45" s="1500">
        <f>_xlfn.XLOOKUP(routes[[#This Row],[route]],routesUniv[route],routesUniv[inbound],"-")</f>
        <v/>
      </c>
      <c r="AJ45" s="1500">
        <f>_xlfn.XLOOKUP(routes[[#This Row],[route]],routesUniv[route],routesUniv[km],"-")</f>
        <v/>
      </c>
      <c r="AK45" s="1500">
        <f>COUNTIF(INPUT!BT$5:BT$1000,AG45)</f>
        <v/>
      </c>
      <c r="AL45" s="1505">
        <f>routes[[#This Row],[km]]*routes[[#This Row],[rpt]]/1000</f>
        <v/>
      </c>
      <c r="AM45" s="1481" t="inlineStr">
        <is>
          <t>.</t>
        </is>
      </c>
      <c r="AN45" s="1506" t="n">
        <v>41</v>
      </c>
      <c r="AO45" s="1500">
        <f>IF(AD45&lt;&gt;"",AD45,"-")</f>
        <v/>
      </c>
      <c r="AP45" s="1500">
        <f>_xlfn.XLOOKUP(cityRoutes[[#This Row],[city]],ccc[city],ccc[ctry],"-")</f>
        <v/>
      </c>
      <c r="AQ45" s="1500">
        <f>COUNTIF(INPUT!BR$5:BS$1000,AO45)</f>
        <v/>
      </c>
      <c r="AR45" s="1507">
        <f>(SUMIFS(routes[total],routes[outbound],AO45)+SUMIFS(routes[total],routes[inbound],AO45))/2</f>
        <v/>
      </c>
      <c r="AS45" s="1481" t="inlineStr">
        <is>
          <t>.</t>
        </is>
      </c>
      <c r="AT45" s="1473">
        <f>IF(AU45&lt;&gt;"",AT44+1,AT44)</f>
        <v/>
      </c>
      <c r="AU45" s="1473" t="n"/>
      <c r="AV45" s="1506">
        <f>IF(AT45&lt;=AT$3,AT45,0)</f>
        <v/>
      </c>
      <c r="AW45" s="1500">
        <f>AU45</f>
        <v/>
      </c>
      <c r="AX45" s="1508">
        <f>_xlfn.XLOOKUP(homes[[#This Row],[home]],raw[home],raw[city],"-")</f>
        <v/>
      </c>
      <c r="AY45" s="1513" t="n"/>
      <c r="AZ45" s="1509" t="n"/>
      <c r="BA45" s="1526" t="n"/>
      <c r="BB45" s="1500">
        <f>COUNTIF(INPUT!BX45:BX140,AU45)</f>
        <v/>
      </c>
      <c r="BC45" s="1511">
        <f>INT(SUMIFS(raw[stay],raw[home],homes[[#This Row],[home]]))</f>
        <v/>
      </c>
      <c r="BD45" s="1511">
        <f>INT(SUMIFS(raw[stay],raw[home],homes[[#This Row],[home]],raw[notHome],0))</f>
        <v/>
      </c>
      <c r="BE45" s="1512">
        <f>IF(homes[[#This Row],[main]]=0,"-",homes[[#This Row],[netmain]]/homes[[#This Row],[main]])</f>
        <v/>
      </c>
      <c r="BF45" s="1511">
        <f>INT(SUMIFS(raw[stay],raw[transit],homes[[#This Row],[home]]))</f>
        <v/>
      </c>
      <c r="BG45" s="1511">
        <f>homes[[#This Row],[netmain]]+homes[[#This Row],[extra]]</f>
        <v/>
      </c>
      <c r="BH45" s="1432" t="inlineStr">
        <is>
          <t>.</t>
        </is>
      </c>
      <c r="BI45" s="1491" t="n"/>
      <c r="BJ45" s="1491" t="n"/>
      <c r="BK45" s="1491" t="n"/>
      <c r="BL45" s="1491" t="n"/>
      <c r="BM45" s="1491" t="n"/>
      <c r="BN45" s="1491" t="n"/>
      <c r="BO45" s="1467" t="n"/>
      <c r="BP45" s="1514" t="n">
        <v>41</v>
      </c>
      <c r="BQ45" s="1513">
        <f>[1]Sheet1!C46</f>
        <v/>
      </c>
      <c r="BR45" s="1515">
        <f>[1]Sheet1!D46</f>
        <v/>
      </c>
      <c r="BS45" s="1513">
        <f>[1]Sheet1!E46</f>
        <v/>
      </c>
      <c r="BT45" s="1515">
        <f>[1]Sheet1!F46</f>
        <v/>
      </c>
      <c r="BU45" s="1516">
        <f>[1]Sheet1!G46</f>
        <v/>
      </c>
      <c r="BV45" s="1513">
        <f>[1]Sheet1!H46</f>
        <v/>
      </c>
      <c r="BW45" s="1467" t="n"/>
      <c r="BX45" s="1491">
        <f>[1]Sheet1!$J46</f>
        <v/>
      </c>
      <c r="BY45" s="1517">
        <f>[1]Sheet1!$K46</f>
        <v/>
      </c>
      <c r="BZ45" s="1517">
        <f>[1]Sheet1!$L46</f>
        <v/>
      </c>
      <c r="CA45" s="1500">
        <f>[1]Sheet1!$M46</f>
        <v/>
      </c>
      <c r="CB45" s="1467" t="n"/>
      <c r="CC45" s="1467" t="n"/>
      <c r="CD45" s="1500">
        <f>[1]Sheet1!$P46</f>
        <v/>
      </c>
      <c r="CE45" s="1513">
        <f>[1]Sheet1!$Q46</f>
        <v/>
      </c>
      <c r="CF45" s="1515">
        <f>[1]Sheet1!$R46</f>
        <v/>
      </c>
      <c r="CG45" s="1477" t="n"/>
      <c r="CH45" s="1513" t="n"/>
      <c r="CI45" s="1513" t="n"/>
      <c r="CJ45" s="1513" t="n"/>
      <c r="CK45" s="1477" t="n"/>
      <c r="CL45" s="1521" t="n">
        <v>41</v>
      </c>
      <c r="CM45" s="1513" t="inlineStr">
        <is>
          <t>Lisbon-Porto</t>
        </is>
      </c>
      <c r="CN45" s="1513" t="inlineStr">
        <is>
          <t>Lisbon</t>
        </is>
      </c>
      <c r="CO45" s="1513" t="inlineStr">
        <is>
          <t>Porto</t>
        </is>
      </c>
      <c r="CP45" s="1514" t="n">
        <v>300</v>
      </c>
      <c r="CQ45" s="1477" t="n"/>
      <c r="CR45" s="1491" t="n"/>
      <c r="CS45" s="1491" t="n"/>
      <c r="CT45" s="1491" t="n"/>
      <c r="CU45" s="1491" t="n"/>
      <c r="CV45" s="1491" t="n"/>
      <c r="CW45" s="1491" t="n"/>
      <c r="CX45" s="1491" t="n"/>
    </row>
    <row r="46">
      <c r="A46" s="1427" t="inlineStr">
        <is>
          <t>.</t>
        </is>
      </c>
      <c r="B46" s="1496" t="n"/>
      <c r="C46" s="1496" t="n"/>
      <c r="D46" s="1497">
        <f>IF(E46&lt;&gt;"",D45+1,D45)</f>
        <v/>
      </c>
      <c r="E46" s="1497" t="inlineStr">
        <is>
          <t>Baden-Baden</t>
        </is>
      </c>
      <c r="F46" s="1427" t="inlineStr">
        <is>
          <t>.</t>
        </is>
      </c>
      <c r="G46" s="1498">
        <f>IF(H46="AIR",0,IF(H45="AIR",G44+1,IF(H46&lt;&gt;"",G45+1,G45)))</f>
        <v/>
      </c>
      <c r="H46" s="1498" t="inlineStr">
        <is>
          <t>Freiburg</t>
        </is>
      </c>
      <c r="I46" s="1427" t="inlineStr">
        <is>
          <t>.</t>
        </is>
      </c>
      <c r="J46" s="1499" t="n">
        <v>41</v>
      </c>
      <c r="K46" s="1500">
        <f>_xlfn.XLOOKUP(cities[[#This Row],[id]],$D$5:$D$1500,E$5:E$1500,"-")</f>
        <v/>
      </c>
      <c r="L46" s="1500">
        <f>_xlfn.XLOOKUP(cities[[#This Row],[city]],ccc[city],ccc[ctry],"-")</f>
        <v/>
      </c>
      <c r="M46" s="1500">
        <f>SUMIFS(stayCity[stay],stayCity[city],cities[[#This Row],[city]])</f>
        <v/>
      </c>
      <c r="N46" s="1427">
        <f>N45+1</f>
        <v/>
      </c>
      <c r="O46" s="1501" t="n"/>
      <c r="P46" s="1501" t="n"/>
      <c r="Q46" s="1427" t="inlineStr">
        <is>
          <t>.</t>
        </is>
      </c>
      <c r="R46" s="1473">
        <f>IF(S46&lt;&gt;"",R45+1,R45)</f>
        <v/>
      </c>
      <c r="S46" s="1473" t="n"/>
      <c r="T46" s="1427" t="inlineStr">
        <is>
          <t>.</t>
        </is>
      </c>
      <c r="U46" s="1500" t="n"/>
      <c r="V46" s="1500" t="n"/>
      <c r="W46" s="1500" t="n"/>
      <c r="X46" s="1500" t="n"/>
      <c r="Y46" s="1500" t="n"/>
      <c r="Z46" s="1427" t="inlineStr">
        <is>
          <t>.</t>
        </is>
      </c>
      <c r="AA46" s="1473">
        <f>IF(AB46&lt;&gt;"",AA45+1,AA45)</f>
        <v/>
      </c>
      <c r="AB46" s="1473" t="inlineStr">
        <is>
          <t>SSA-Bruxelas</t>
        </is>
      </c>
      <c r="AC46" s="1473">
        <f>IF(AD46&lt;&gt;"",AC45+1,AC45)</f>
        <v/>
      </c>
      <c r="AD46" s="1473" t="inlineStr">
        <is>
          <t>Praga</t>
        </is>
      </c>
      <c r="AE46" s="1427" t="inlineStr">
        <is>
          <t>.</t>
        </is>
      </c>
      <c r="AF46" s="1502" t="n">
        <v>42</v>
      </c>
      <c r="AG46" s="1500">
        <f>_xlfn.XLOOKUP(routes[[#This Row],[id]],$AA$5:$AA$300,$AB$5:$AB$300,"-")</f>
        <v/>
      </c>
      <c r="AH46" s="1500">
        <f>_xlfn.XLOOKUP(routes[[#This Row],[route]],routesUniv[route],routesUniv[outbound],"-")</f>
        <v/>
      </c>
      <c r="AI46" s="1500">
        <f>_xlfn.XLOOKUP(routes[[#This Row],[route]],routesUniv[route],routesUniv[inbound],"-")</f>
        <v/>
      </c>
      <c r="AJ46" s="1500">
        <f>_xlfn.XLOOKUP(routes[[#This Row],[route]],routesUniv[route],routesUniv[km],"-")</f>
        <v/>
      </c>
      <c r="AK46" s="1500">
        <f>COUNTIF(INPUT!BT$5:BT$1000,AG46)</f>
        <v/>
      </c>
      <c r="AL46" s="1505">
        <f>routes[[#This Row],[km]]*routes[[#This Row],[rpt]]/1000</f>
        <v/>
      </c>
      <c r="AM46" s="1481" t="inlineStr">
        <is>
          <t>.</t>
        </is>
      </c>
      <c r="AN46" s="1506" t="n">
        <v>42</v>
      </c>
      <c r="AO46" s="1500">
        <f>IF(AD46&lt;&gt;"",AD46,"-")</f>
        <v/>
      </c>
      <c r="AP46" s="1500">
        <f>_xlfn.XLOOKUP(cityRoutes[[#This Row],[city]],ccc[city],ccc[ctry],"-")</f>
        <v/>
      </c>
      <c r="AQ46" s="1500">
        <f>COUNTIF(INPUT!BR$5:BS$1000,AO46)</f>
        <v/>
      </c>
      <c r="AR46" s="1507">
        <f>(SUMIFS(routes[total],routes[outbound],AO46)+SUMIFS(routes[total],routes[inbound],AO46))/2</f>
        <v/>
      </c>
      <c r="AS46" s="1481" t="inlineStr">
        <is>
          <t>.</t>
        </is>
      </c>
      <c r="AT46" s="1473">
        <f>IF(AU46&lt;&gt;"",AT45+1,AT45)</f>
        <v/>
      </c>
      <c r="AU46" s="1473" t="n"/>
      <c r="AV46" s="1506">
        <f>IF(AT46&lt;=AT$3,AT46,0)</f>
        <v/>
      </c>
      <c r="AW46" s="1500">
        <f>AU46</f>
        <v/>
      </c>
      <c r="AX46" s="1508">
        <f>_xlfn.XLOOKUP(homes[[#This Row],[home]],raw[home],raw[city],"-")</f>
        <v/>
      </c>
      <c r="AY46" s="1513" t="n"/>
      <c r="AZ46" s="1509" t="n"/>
      <c r="BA46" s="1526" t="n"/>
      <c r="BB46" s="1500">
        <f>COUNTIF(INPUT!BX46:BX141,AU46)</f>
        <v/>
      </c>
      <c r="BC46" s="1511">
        <f>INT(SUMIFS(raw[stay],raw[home],homes[[#This Row],[home]]))</f>
        <v/>
      </c>
      <c r="BD46" s="1511">
        <f>INT(SUMIFS(raw[stay],raw[home],homes[[#This Row],[home]],raw[notHome],0))</f>
        <v/>
      </c>
      <c r="BE46" s="1512">
        <f>IF(homes[[#This Row],[main]]=0,"-",homes[[#This Row],[netmain]]/homes[[#This Row],[main]])</f>
        <v/>
      </c>
      <c r="BF46" s="1511">
        <f>INT(SUMIFS(raw[stay],raw[transit],homes[[#This Row],[home]]))</f>
        <v/>
      </c>
      <c r="BG46" s="1511">
        <f>homes[[#This Row],[netmain]]+homes[[#This Row],[extra]]</f>
        <v/>
      </c>
      <c r="BH46" s="1432" t="inlineStr">
        <is>
          <t>.</t>
        </is>
      </c>
      <c r="BI46" s="1491" t="n"/>
      <c r="BJ46" s="1491" t="n"/>
      <c r="BK46" s="1491" t="n"/>
      <c r="BL46" s="1491" t="n"/>
      <c r="BM46" s="1491" t="n"/>
      <c r="BN46" s="1491" t="n"/>
      <c r="BO46" s="1467" t="n"/>
      <c r="BP46" s="1514" t="n">
        <v>42</v>
      </c>
      <c r="BQ46" s="1513">
        <f>[1]Sheet1!C47</f>
        <v/>
      </c>
      <c r="BR46" s="1515">
        <f>[1]Sheet1!D47</f>
        <v/>
      </c>
      <c r="BS46" s="1513">
        <f>[1]Sheet1!E47</f>
        <v/>
      </c>
      <c r="BT46" s="1515">
        <f>[1]Sheet1!F47</f>
        <v/>
      </c>
      <c r="BU46" s="1516">
        <f>[1]Sheet1!G47</f>
        <v/>
      </c>
      <c r="BV46" s="1513">
        <f>[1]Sheet1!H47</f>
        <v/>
      </c>
      <c r="BW46" s="1467" t="n"/>
      <c r="BX46" s="1491">
        <f>[1]Sheet1!$J47</f>
        <v/>
      </c>
      <c r="BY46" s="1517">
        <f>[1]Sheet1!$K47</f>
        <v/>
      </c>
      <c r="BZ46" s="1517">
        <f>[1]Sheet1!$L47</f>
        <v/>
      </c>
      <c r="CA46" s="1500">
        <f>[1]Sheet1!$M47</f>
        <v/>
      </c>
      <c r="CB46" s="1467" t="n"/>
      <c r="CC46" s="1467" t="n"/>
      <c r="CD46" s="1500">
        <f>[1]Sheet1!$P47</f>
        <v/>
      </c>
      <c r="CE46" s="1513">
        <f>[1]Sheet1!$Q47</f>
        <v/>
      </c>
      <c r="CF46" s="1515">
        <f>[1]Sheet1!$R47</f>
        <v/>
      </c>
      <c r="CG46" s="1477" t="n"/>
      <c r="CH46" s="1513" t="n"/>
      <c r="CI46" s="1513" t="n"/>
      <c r="CJ46" s="1513" t="n"/>
      <c r="CK46" s="1477" t="n"/>
      <c r="CL46" s="1521" t="n">
        <v>42</v>
      </c>
      <c r="CM46" s="1500" t="inlineStr">
        <is>
          <t>Lisbon-Rome</t>
        </is>
      </c>
      <c r="CN46" s="1500" t="inlineStr">
        <is>
          <t>Lisbon</t>
        </is>
      </c>
      <c r="CO46" s="1500" t="inlineStr">
        <is>
          <t>Rome</t>
        </is>
      </c>
      <c r="CP46" s="1514" t="n">
        <v>1900</v>
      </c>
      <c r="CQ46" s="1477" t="n"/>
      <c r="CR46" s="1491" t="n"/>
      <c r="CS46" s="1491" t="n"/>
      <c r="CT46" s="1491" t="n"/>
      <c r="CU46" s="1491" t="n"/>
      <c r="CV46" s="1491" t="n"/>
      <c r="CW46" s="1491" t="n"/>
      <c r="CX46" s="1491" t="n"/>
    </row>
    <row r="47">
      <c r="A47" s="1427" t="inlineStr">
        <is>
          <t>.</t>
        </is>
      </c>
      <c r="B47" s="1496" t="n"/>
      <c r="C47" s="1496" t="n"/>
      <c r="D47" s="1497">
        <f>IF(E47&lt;&gt;"",D46+1,D46)</f>
        <v/>
      </c>
      <c r="E47" s="1497" t="inlineStr">
        <is>
          <t>Freudenstadt</t>
        </is>
      </c>
      <c r="F47" s="1427" t="inlineStr">
        <is>
          <t>.</t>
        </is>
      </c>
      <c r="G47" s="1498">
        <f>IF(H47="AIR",0,IF(H46="AIR",G45+1,IF(H47&lt;&gt;"",G46+1,G46)))</f>
        <v/>
      </c>
      <c r="H47" s="1498" t="inlineStr">
        <is>
          <t>Offenburg</t>
        </is>
      </c>
      <c r="I47" s="1427" t="inlineStr">
        <is>
          <t>.</t>
        </is>
      </c>
      <c r="J47" s="1499" t="n">
        <v>42</v>
      </c>
      <c r="K47" s="1500">
        <f>_xlfn.XLOOKUP(cities[[#This Row],[id]],$D$5:$D$1500,E$5:E$1500,"-")</f>
        <v/>
      </c>
      <c r="L47" s="1500">
        <f>_xlfn.XLOOKUP(cities[[#This Row],[city]],ccc[city],ccc[ctry],"-")</f>
        <v/>
      </c>
      <c r="M47" s="1500">
        <f>SUMIFS(stayCity[stay],stayCity[city],cities[[#This Row],[city]])</f>
        <v/>
      </c>
      <c r="N47" s="1427">
        <f>N46+1</f>
        <v/>
      </c>
      <c r="O47" s="1501" t="n"/>
      <c r="P47" s="1501" t="n"/>
      <c r="Q47" s="1427" t="inlineStr">
        <is>
          <t>.</t>
        </is>
      </c>
      <c r="R47" s="1473">
        <f>IF(S47&lt;&gt;"",R46+1,R46)</f>
        <v/>
      </c>
      <c r="S47" s="1473" t="n"/>
      <c r="T47" s="1427" t="inlineStr">
        <is>
          <t>.</t>
        </is>
      </c>
      <c r="U47" s="1500" t="n"/>
      <c r="V47" s="1500" t="n"/>
      <c r="W47" s="1500" t="n"/>
      <c r="X47" s="1500" t="n"/>
      <c r="Y47" s="1500" t="n"/>
      <c r="Z47" s="1427" t="inlineStr">
        <is>
          <t>.</t>
        </is>
      </c>
      <c r="AA47" s="1473">
        <f>IF(AB47&lt;&gt;"",AA46+1,AA46)</f>
        <v/>
      </c>
      <c r="AB47" s="1473" t="inlineStr">
        <is>
          <t>Bruxelas-Paris</t>
        </is>
      </c>
      <c r="AC47" s="1473">
        <f>IF(AD47&lt;&gt;"",AC46+1,AC46)</f>
        <v/>
      </c>
      <c r="AD47" s="1473" t="inlineStr">
        <is>
          <t>Marrakech</t>
        </is>
      </c>
      <c r="AE47" s="1427" t="inlineStr">
        <is>
          <t>.</t>
        </is>
      </c>
      <c r="AF47" s="1502" t="n">
        <v>43</v>
      </c>
      <c r="AG47" s="1500">
        <f>_xlfn.XLOOKUP(routes[[#This Row],[id]],$AA$5:$AA$300,$AB$5:$AB$300,"-")</f>
        <v/>
      </c>
      <c r="AH47" s="1500">
        <f>_xlfn.XLOOKUP(routes[[#This Row],[route]],routesUniv[route],routesUniv[outbound],"-")</f>
        <v/>
      </c>
      <c r="AI47" s="1500">
        <f>_xlfn.XLOOKUP(routes[[#This Row],[route]],routesUniv[route],routesUniv[inbound],"-")</f>
        <v/>
      </c>
      <c r="AJ47" s="1500">
        <f>_xlfn.XLOOKUP(routes[[#This Row],[route]],routesUniv[route],routesUniv[km],"-")</f>
        <v/>
      </c>
      <c r="AK47" s="1500">
        <f>COUNTIF(INPUT!BT$5:BT$1000,AG47)</f>
        <v/>
      </c>
      <c r="AL47" s="1505">
        <f>routes[[#This Row],[km]]*routes[[#This Row],[rpt]]/1000</f>
        <v/>
      </c>
      <c r="AM47" s="1481" t="inlineStr">
        <is>
          <t>.</t>
        </is>
      </c>
      <c r="AN47" s="1506" t="n">
        <v>43</v>
      </c>
      <c r="AO47" s="1500">
        <f>IF(AD47&lt;&gt;"",AD47,"-")</f>
        <v/>
      </c>
      <c r="AP47" s="1500">
        <f>_xlfn.XLOOKUP(cityRoutes[[#This Row],[city]],ccc[city],ccc[ctry],"-")</f>
        <v/>
      </c>
      <c r="AQ47" s="1500">
        <f>COUNTIF(INPUT!BR$5:BS$1000,AO47)</f>
        <v/>
      </c>
      <c r="AR47" s="1507">
        <f>(SUMIFS(routes[total],routes[outbound],AO47)+SUMIFS(routes[total],routes[inbound],AO47))/2</f>
        <v/>
      </c>
      <c r="AS47" s="1481" t="inlineStr">
        <is>
          <t>.</t>
        </is>
      </c>
      <c r="AT47" s="1473">
        <f>IF(AU47&lt;&gt;"",AT46+1,AT46)</f>
        <v/>
      </c>
      <c r="AU47" s="1473" t="n"/>
      <c r="AV47" s="1506">
        <f>IF(AT47&lt;=AT$3,AT47,0)</f>
        <v/>
      </c>
      <c r="AW47" s="1500">
        <f>AU47</f>
        <v/>
      </c>
      <c r="AX47" s="1508">
        <f>_xlfn.XLOOKUP(homes[[#This Row],[home]],raw[home],raw[city],"-")</f>
        <v/>
      </c>
      <c r="AY47" s="1513" t="n"/>
      <c r="AZ47" s="1509" t="n"/>
      <c r="BA47" s="1526" t="n"/>
      <c r="BB47" s="1500">
        <f>COUNTIF(INPUT!BX47:BX142,AU47)</f>
        <v/>
      </c>
      <c r="BC47" s="1511">
        <f>INT(SUMIFS(raw[stay],raw[home],homes[[#This Row],[home]]))</f>
        <v/>
      </c>
      <c r="BD47" s="1511">
        <f>INT(SUMIFS(raw[stay],raw[home],homes[[#This Row],[home]],raw[notHome],0))</f>
        <v/>
      </c>
      <c r="BE47" s="1512">
        <f>IF(homes[[#This Row],[main]]=0,"-",homes[[#This Row],[netmain]]/homes[[#This Row],[main]])</f>
        <v/>
      </c>
      <c r="BF47" s="1511">
        <f>INT(SUMIFS(raw[stay],raw[transit],homes[[#This Row],[home]]))</f>
        <v/>
      </c>
      <c r="BG47" s="1511">
        <f>homes[[#This Row],[netmain]]+homes[[#This Row],[extra]]</f>
        <v/>
      </c>
      <c r="BH47" s="1432" t="inlineStr">
        <is>
          <t>.</t>
        </is>
      </c>
      <c r="BI47" s="1491" t="n"/>
      <c r="BJ47" s="1491" t="n"/>
      <c r="BK47" s="1491" t="n"/>
      <c r="BL47" s="1491" t="n"/>
      <c r="BM47" s="1491" t="n"/>
      <c r="BN47" s="1491" t="n"/>
      <c r="BO47" s="1467" t="n"/>
      <c r="BP47" s="1514" t="n">
        <v>43</v>
      </c>
      <c r="BQ47" s="1513">
        <f>[1]Sheet1!C48</f>
        <v/>
      </c>
      <c r="BR47" s="1515">
        <f>[1]Sheet1!D48</f>
        <v/>
      </c>
      <c r="BS47" s="1513">
        <f>[1]Sheet1!E48</f>
        <v/>
      </c>
      <c r="BT47" s="1515">
        <f>[1]Sheet1!F48</f>
        <v/>
      </c>
      <c r="BU47" s="1516">
        <f>[1]Sheet1!G48</f>
        <v/>
      </c>
      <c r="BV47" s="1513">
        <f>[1]Sheet1!H48</f>
        <v/>
      </c>
      <c r="BW47" s="1467" t="n"/>
      <c r="BX47" s="1491">
        <f>[1]Sheet1!$J48</f>
        <v/>
      </c>
      <c r="BY47" s="1517">
        <f>[1]Sheet1!$K48</f>
        <v/>
      </c>
      <c r="BZ47" s="1517">
        <f>[1]Sheet1!$L48</f>
        <v/>
      </c>
      <c r="CA47" s="1500">
        <f>[1]Sheet1!$M48</f>
        <v/>
      </c>
      <c r="CB47" s="1467" t="n"/>
      <c r="CC47" s="1467" t="n"/>
      <c r="CD47" s="1500">
        <f>[1]Sheet1!$P48</f>
        <v/>
      </c>
      <c r="CE47" s="1513">
        <f>[1]Sheet1!$Q48</f>
        <v/>
      </c>
      <c r="CF47" s="1515">
        <f>[1]Sheet1!$R48</f>
        <v/>
      </c>
      <c r="CG47" s="1477" t="n"/>
      <c r="CH47" s="1513" t="n"/>
      <c r="CI47" s="1513" t="n"/>
      <c r="CJ47" s="1513" t="n"/>
      <c r="CK47" s="1477" t="n"/>
      <c r="CL47" s="1521" t="n">
        <v>43</v>
      </c>
      <c r="CM47" s="1500" t="inlineStr">
        <is>
          <t>Lisbon-SSA</t>
        </is>
      </c>
      <c r="CN47" s="1500" t="inlineStr">
        <is>
          <t>Lisbon</t>
        </is>
      </c>
      <c r="CO47" s="1500" t="inlineStr">
        <is>
          <t>SSA</t>
        </is>
      </c>
      <c r="CP47" s="1514" t="n">
        <v>6500</v>
      </c>
      <c r="CQ47" s="1477" t="n"/>
      <c r="CR47" s="1491" t="n"/>
      <c r="CS47" s="1491" t="n"/>
      <c r="CT47" s="1491" t="n"/>
      <c r="CU47" s="1491" t="n"/>
      <c r="CV47" s="1491" t="n"/>
      <c r="CW47" s="1491" t="n"/>
      <c r="CX47" s="1491" t="n"/>
    </row>
    <row r="48">
      <c r="A48" s="1427" t="inlineStr">
        <is>
          <t>.</t>
        </is>
      </c>
      <c r="B48" s="1496" t="n"/>
      <c r="C48" s="1496" t="n"/>
      <c r="D48" s="1497">
        <f>IF(E48&lt;&gt;"",D47+1,D47)</f>
        <v/>
      </c>
      <c r="E48" s="1497" t="inlineStr">
        <is>
          <t>Wiesbaden</t>
        </is>
      </c>
      <c r="F48" s="1427" t="inlineStr">
        <is>
          <t>.</t>
        </is>
      </c>
      <c r="G48" s="1498">
        <f>IF(H48="AIR",0,IF(H47="AIR",G46+1,IF(H48&lt;&gt;"",G47+1,G47)))</f>
        <v/>
      </c>
      <c r="H48" s="1498" t="inlineStr">
        <is>
          <t>Baden-Baden</t>
        </is>
      </c>
      <c r="I48" s="1427" t="inlineStr">
        <is>
          <t>.</t>
        </is>
      </c>
      <c r="J48" s="1499" t="n">
        <v>43</v>
      </c>
      <c r="K48" s="1500">
        <f>_xlfn.XLOOKUP(cities[[#This Row],[id]],$D$5:$D$1500,E$5:E$1500,"-")</f>
        <v/>
      </c>
      <c r="L48" s="1500">
        <f>_xlfn.XLOOKUP(cities[[#This Row],[city]],ccc[city],ccc[ctry],"-")</f>
        <v/>
      </c>
      <c r="M48" s="1500">
        <f>SUMIFS(stayCity[stay],stayCity[city],cities[[#This Row],[city]])</f>
        <v/>
      </c>
      <c r="N48" s="1427">
        <f>N47+1</f>
        <v/>
      </c>
      <c r="O48" s="1501" t="n"/>
      <c r="P48" s="1501" t="n"/>
      <c r="Q48" s="1427" t="inlineStr">
        <is>
          <t>.</t>
        </is>
      </c>
      <c r="R48" s="1473">
        <f>IF(S48&lt;&gt;"",R47+1,R47)</f>
        <v/>
      </c>
      <c r="S48" s="1473" t="n"/>
      <c r="T48" s="1427" t="inlineStr">
        <is>
          <t>.</t>
        </is>
      </c>
      <c r="U48" s="1500" t="n"/>
      <c r="V48" s="1500" t="n"/>
      <c r="W48" s="1500" t="n"/>
      <c r="X48" s="1500" t="n"/>
      <c r="Y48" s="1500" t="n"/>
      <c r="Z48" s="1427" t="inlineStr">
        <is>
          <t>.</t>
        </is>
      </c>
      <c r="AA48" s="1473">
        <f>IF(AB48&lt;&gt;"",AA47+1,AA47)</f>
        <v/>
      </c>
      <c r="AB48" s="1473" t="inlineStr">
        <is>
          <t>Frankfurt-SP</t>
        </is>
      </c>
      <c r="AC48" s="1473">
        <f>IF(AD48&lt;&gt;"",AC47+1,AC47)</f>
        <v/>
      </c>
      <c r="AD48" s="1473" t="inlineStr">
        <is>
          <t>Montreal</t>
        </is>
      </c>
      <c r="AE48" s="1427" t="inlineStr">
        <is>
          <t>.</t>
        </is>
      </c>
      <c r="AF48" s="1502" t="n">
        <v>44</v>
      </c>
      <c r="AG48" s="1500">
        <f>_xlfn.XLOOKUP(routes[[#This Row],[id]],$AA$5:$AA$300,$AB$5:$AB$300,"-")</f>
        <v/>
      </c>
      <c r="AH48" s="1500">
        <f>_xlfn.XLOOKUP(routes[[#This Row],[route]],routesUniv[route],routesUniv[outbound],"-")</f>
        <v/>
      </c>
      <c r="AI48" s="1500">
        <f>_xlfn.XLOOKUP(routes[[#This Row],[route]],routesUniv[route],routesUniv[inbound],"-")</f>
        <v/>
      </c>
      <c r="AJ48" s="1500">
        <f>_xlfn.XLOOKUP(routes[[#This Row],[route]],routesUniv[route],routesUniv[km],"-")</f>
        <v/>
      </c>
      <c r="AK48" s="1500">
        <f>COUNTIF(INPUT!BT$5:BT$1000,AG48)</f>
        <v/>
      </c>
      <c r="AL48" s="1505">
        <f>routes[[#This Row],[km]]*routes[[#This Row],[rpt]]/1000</f>
        <v/>
      </c>
      <c r="AM48" s="1481" t="inlineStr">
        <is>
          <t>.</t>
        </is>
      </c>
      <c r="AN48" s="1506" t="n">
        <v>44</v>
      </c>
      <c r="AO48" s="1500">
        <f>IF(AD48&lt;&gt;"",AD48,"-")</f>
        <v/>
      </c>
      <c r="AP48" s="1500">
        <f>_xlfn.XLOOKUP(cityRoutes[[#This Row],[city]],ccc[city],ccc[ctry],"-")</f>
        <v/>
      </c>
      <c r="AQ48" s="1500">
        <f>COUNTIF(INPUT!BR$5:BS$1000,AO48)</f>
        <v/>
      </c>
      <c r="AR48" s="1507">
        <f>(SUMIFS(routes[total],routes[outbound],AO48)+SUMIFS(routes[total],routes[inbound],AO48))/2</f>
        <v/>
      </c>
      <c r="AS48" s="1481" t="inlineStr">
        <is>
          <t>.</t>
        </is>
      </c>
      <c r="AT48" s="1473">
        <f>IF(AU48&lt;&gt;"",AT47+1,AT47)</f>
        <v/>
      </c>
      <c r="AU48" s="1473" t="n"/>
      <c r="AV48" s="1506">
        <f>IF(AT48&lt;=AT$3,AT48,0)</f>
        <v/>
      </c>
      <c r="AW48" s="1500">
        <f>AU48</f>
        <v/>
      </c>
      <c r="AX48" s="1508">
        <f>_xlfn.XLOOKUP(homes[[#This Row],[home]],raw[home],raw[city],"-")</f>
        <v/>
      </c>
      <c r="AY48" s="1513" t="n"/>
      <c r="AZ48" s="1509" t="n"/>
      <c r="BA48" s="1526" t="n"/>
      <c r="BB48" s="1500">
        <f>COUNTIF(INPUT!BX48:BX143,AU48)</f>
        <v/>
      </c>
      <c r="BC48" s="1511">
        <f>INT(SUMIFS(raw[stay],raw[home],homes[[#This Row],[home]]))</f>
        <v/>
      </c>
      <c r="BD48" s="1511">
        <f>INT(SUMIFS(raw[stay],raw[home],homes[[#This Row],[home]],raw[notHome],0))</f>
        <v/>
      </c>
      <c r="BE48" s="1512">
        <f>IF(homes[[#This Row],[main]]=0,"-",homes[[#This Row],[netmain]]/homes[[#This Row],[main]])</f>
        <v/>
      </c>
      <c r="BF48" s="1511">
        <f>INT(SUMIFS(raw[stay],raw[transit],homes[[#This Row],[home]]))</f>
        <v/>
      </c>
      <c r="BG48" s="1511">
        <f>homes[[#This Row],[netmain]]+homes[[#This Row],[extra]]</f>
        <v/>
      </c>
      <c r="BH48" s="1432" t="inlineStr">
        <is>
          <t>.</t>
        </is>
      </c>
      <c r="BI48" s="1491" t="n"/>
      <c r="BJ48" s="1491" t="n"/>
      <c r="BK48" s="1491" t="n"/>
      <c r="BL48" s="1491" t="n"/>
      <c r="BM48" s="1491" t="n"/>
      <c r="BN48" s="1491" t="n"/>
      <c r="BO48" s="1467" t="n"/>
      <c r="BP48" s="1514" t="n">
        <v>44</v>
      </c>
      <c r="BQ48" s="1513">
        <f>[1]Sheet1!C49</f>
        <v/>
      </c>
      <c r="BR48" s="1515">
        <f>[1]Sheet1!D49</f>
        <v/>
      </c>
      <c r="BS48" s="1513">
        <f>[1]Sheet1!E49</f>
        <v/>
      </c>
      <c r="BT48" s="1515">
        <f>[1]Sheet1!F49</f>
        <v/>
      </c>
      <c r="BU48" s="1516">
        <f>[1]Sheet1!G49</f>
        <v/>
      </c>
      <c r="BV48" s="1513">
        <f>[1]Sheet1!H49</f>
        <v/>
      </c>
      <c r="BW48" s="1467" t="n"/>
      <c r="BX48" s="1491">
        <f>[1]Sheet1!$J49</f>
        <v/>
      </c>
      <c r="BY48" s="1517">
        <f>[1]Sheet1!$K49</f>
        <v/>
      </c>
      <c r="BZ48" s="1517">
        <f>[1]Sheet1!$L49</f>
        <v/>
      </c>
      <c r="CA48" s="1500">
        <f>[1]Sheet1!$M49</f>
        <v/>
      </c>
      <c r="CB48" s="1467" t="n"/>
      <c r="CC48" s="1467" t="n"/>
      <c r="CD48" s="1500">
        <f>[1]Sheet1!$P49</f>
        <v/>
      </c>
      <c r="CE48" s="1513">
        <f>[1]Sheet1!$Q49</f>
        <v/>
      </c>
      <c r="CF48" s="1515">
        <f>[1]Sheet1!$R49</f>
        <v/>
      </c>
      <c r="CG48" s="1477" t="n"/>
      <c r="CH48" s="1513" t="n"/>
      <c r="CI48" s="1513" t="n"/>
      <c r="CJ48" s="1513" t="n"/>
      <c r="CK48" s="1477" t="n"/>
      <c r="CL48" s="1521" t="n">
        <v>44</v>
      </c>
      <c r="CM48" s="1513" t="inlineStr">
        <is>
          <t>Lisbon-Toronto</t>
        </is>
      </c>
      <c r="CN48" s="1513" t="inlineStr">
        <is>
          <t>Lisbon</t>
        </is>
      </c>
      <c r="CO48" s="1513" t="inlineStr">
        <is>
          <t>Toronto</t>
        </is>
      </c>
      <c r="CP48" s="1514" t="n">
        <v>5700</v>
      </c>
      <c r="CQ48" s="1477" t="n"/>
      <c r="CR48" s="1491" t="n"/>
      <c r="CS48" s="1491" t="n"/>
      <c r="CT48" s="1491" t="n"/>
      <c r="CU48" s="1491" t="n"/>
      <c r="CV48" s="1491" t="n"/>
      <c r="CW48" s="1491" t="n"/>
      <c r="CX48" s="1491" t="n"/>
    </row>
    <row r="49">
      <c r="A49" s="1427" t="inlineStr">
        <is>
          <t>.</t>
        </is>
      </c>
      <c r="B49" s="1496" t="n"/>
      <c r="C49" s="1496" t="n"/>
      <c r="D49" s="1497">
        <f>IF(E49&lt;&gt;"",D48+1,D48)</f>
        <v/>
      </c>
      <c r="E49" s="1497" t="inlineStr">
        <is>
          <t>Rudesheim</t>
        </is>
      </c>
      <c r="F49" s="1427" t="inlineStr">
        <is>
          <t>.</t>
        </is>
      </c>
      <c r="G49" s="1498">
        <f>IF(H49="AIR",0,IF(H48="AIR",G47+1,IF(H49&lt;&gt;"",G48+1,G48)))</f>
        <v/>
      </c>
      <c r="H49" s="1498" t="inlineStr">
        <is>
          <t>Freudenstadt</t>
        </is>
      </c>
      <c r="I49" s="1427" t="inlineStr">
        <is>
          <t>.</t>
        </is>
      </c>
      <c r="J49" s="1499" t="n">
        <v>44</v>
      </c>
      <c r="K49" s="1500">
        <f>_xlfn.XLOOKUP(cities[[#This Row],[id]],$D$5:$D$1500,E$5:E$1500,"-")</f>
        <v/>
      </c>
      <c r="L49" s="1500">
        <f>_xlfn.XLOOKUP(cities[[#This Row],[city]],ccc[city],ccc[ctry],"-")</f>
        <v/>
      </c>
      <c r="M49" s="1500">
        <f>SUMIFS(stayCity[stay],stayCity[city],cities[[#This Row],[city]])</f>
        <v/>
      </c>
      <c r="N49" s="1427">
        <f>N48+1</f>
        <v/>
      </c>
      <c r="O49" s="1501" t="n"/>
      <c r="P49" s="1501" t="n"/>
      <c r="Q49" s="1427" t="inlineStr">
        <is>
          <t>.</t>
        </is>
      </c>
      <c r="R49" s="1473">
        <f>IF(S49&lt;&gt;"",R48+1,R48)</f>
        <v/>
      </c>
      <c r="S49" s="1473" t="n"/>
      <c r="T49" s="1427" t="inlineStr">
        <is>
          <t>.</t>
        </is>
      </c>
      <c r="U49" s="1500" t="n"/>
      <c r="V49" s="1500" t="n"/>
      <c r="W49" s="1500" t="n"/>
      <c r="X49" s="1500" t="n"/>
      <c r="Y49" s="1500" t="n"/>
      <c r="Z49" s="1427" t="inlineStr">
        <is>
          <t>.</t>
        </is>
      </c>
      <c r="AA49" s="1473">
        <f>IF(AB49&lt;&gt;"",AA48+1,AA48)</f>
        <v/>
      </c>
      <c r="AB49" s="1473" t="inlineStr">
        <is>
          <t>Lisbon-London</t>
        </is>
      </c>
      <c r="AC49" s="1473">
        <f>IF(AD49&lt;&gt;"",AC48+1,AC48)</f>
        <v/>
      </c>
      <c r="AD49" s="1473" t="inlineStr">
        <is>
          <t>Detroit</t>
        </is>
      </c>
      <c r="AE49" s="1427" t="inlineStr">
        <is>
          <t>.</t>
        </is>
      </c>
      <c r="AF49" s="1502" t="n">
        <v>45</v>
      </c>
      <c r="AG49" s="1500">
        <f>_xlfn.XLOOKUP(routes[[#This Row],[id]],$AA$5:$AA$300,$AB$5:$AB$300,"-")</f>
        <v/>
      </c>
      <c r="AH49" s="1500">
        <f>_xlfn.XLOOKUP(routes[[#This Row],[route]],routesUniv[route],routesUniv[outbound],"-")</f>
        <v/>
      </c>
      <c r="AI49" s="1500">
        <f>_xlfn.XLOOKUP(routes[[#This Row],[route]],routesUniv[route],routesUniv[inbound],"-")</f>
        <v/>
      </c>
      <c r="AJ49" s="1500">
        <f>_xlfn.XLOOKUP(routes[[#This Row],[route]],routesUniv[route],routesUniv[km],"-")</f>
        <v/>
      </c>
      <c r="AK49" s="1500">
        <f>COUNTIF(INPUT!BT$5:BT$1000,AG49)</f>
        <v/>
      </c>
      <c r="AL49" s="1505">
        <f>routes[[#This Row],[km]]*routes[[#This Row],[rpt]]/1000</f>
        <v/>
      </c>
      <c r="AM49" s="1481" t="inlineStr">
        <is>
          <t>.</t>
        </is>
      </c>
      <c r="AN49" s="1506" t="n">
        <v>45</v>
      </c>
      <c r="AO49" s="1500">
        <f>IF(AD49&lt;&gt;"",AD49,"-")</f>
        <v/>
      </c>
      <c r="AP49" s="1500">
        <f>_xlfn.XLOOKUP(cityRoutes[[#This Row],[city]],ccc[city],ccc[ctry],"-")</f>
        <v/>
      </c>
      <c r="AQ49" s="1500">
        <f>COUNTIF(INPUT!BR$5:BS$1000,AO49)</f>
        <v/>
      </c>
      <c r="AR49" s="1507">
        <f>(SUMIFS(routes[total],routes[outbound],AO49)+SUMIFS(routes[total],routes[inbound],AO49))/2</f>
        <v/>
      </c>
      <c r="AS49" s="1481" t="inlineStr">
        <is>
          <t>.</t>
        </is>
      </c>
      <c r="AT49" s="1473">
        <f>IF(AU49&lt;&gt;"",AT48+1,AT48)</f>
        <v/>
      </c>
      <c r="AU49" s="1473" t="n"/>
      <c r="AV49" s="1506">
        <f>IF(AT49&lt;=AT$3,AT49,0)</f>
        <v/>
      </c>
      <c r="AW49" s="1500">
        <f>AU49</f>
        <v/>
      </c>
      <c r="AX49" s="1508">
        <f>_xlfn.XLOOKUP(homes[[#This Row],[home]],raw[home],raw[city],"-")</f>
        <v/>
      </c>
      <c r="AY49" s="1513" t="n"/>
      <c r="AZ49" s="1509" t="n"/>
      <c r="BA49" s="1526" t="n"/>
      <c r="BB49" s="1500">
        <f>COUNTIF(INPUT!BX49:BX144,AU49)</f>
        <v/>
      </c>
      <c r="BC49" s="1511">
        <f>INT(SUMIFS(raw[stay],raw[home],homes[[#This Row],[home]]))</f>
        <v/>
      </c>
      <c r="BD49" s="1511">
        <f>INT(SUMIFS(raw[stay],raw[home],homes[[#This Row],[home]],raw[notHome],0))</f>
        <v/>
      </c>
      <c r="BE49" s="1512">
        <f>IF(homes[[#This Row],[main]]=0,"-",homes[[#This Row],[netmain]]/homes[[#This Row],[main]])</f>
        <v/>
      </c>
      <c r="BF49" s="1511">
        <f>INT(SUMIFS(raw[stay],raw[transit],homes[[#This Row],[home]]))</f>
        <v/>
      </c>
      <c r="BG49" s="1511">
        <f>homes[[#This Row],[netmain]]+homes[[#This Row],[extra]]</f>
        <v/>
      </c>
      <c r="BH49" s="1432" t="inlineStr">
        <is>
          <t>.</t>
        </is>
      </c>
      <c r="BI49" s="1491" t="n"/>
      <c r="BJ49" s="1491" t="n"/>
      <c r="BK49" s="1491" t="n"/>
      <c r="BL49" s="1491" t="n"/>
      <c r="BM49" s="1491" t="n"/>
      <c r="BN49" s="1491" t="n"/>
      <c r="BO49" s="1467" t="n"/>
      <c r="BP49" s="1514" t="n">
        <v>45</v>
      </c>
      <c r="BQ49" s="1513">
        <f>[1]Sheet1!C50</f>
        <v/>
      </c>
      <c r="BR49" s="1515">
        <f>[1]Sheet1!D50</f>
        <v/>
      </c>
      <c r="BS49" s="1513">
        <f>[1]Sheet1!E50</f>
        <v/>
      </c>
      <c r="BT49" s="1515">
        <f>[1]Sheet1!F50</f>
        <v/>
      </c>
      <c r="BU49" s="1516">
        <f>[1]Sheet1!G50</f>
        <v/>
      </c>
      <c r="BV49" s="1513">
        <f>[1]Sheet1!H50</f>
        <v/>
      </c>
      <c r="BW49" s="1467" t="n"/>
      <c r="BX49" s="1491">
        <f>[1]Sheet1!$J50</f>
        <v/>
      </c>
      <c r="BY49" s="1517">
        <f>[1]Sheet1!$K50</f>
        <v/>
      </c>
      <c r="BZ49" s="1517">
        <f>[1]Sheet1!$L50</f>
        <v/>
      </c>
      <c r="CA49" s="1500">
        <f>[1]Sheet1!$M50</f>
        <v/>
      </c>
      <c r="CB49" s="1467" t="n"/>
      <c r="CC49" s="1467" t="n"/>
      <c r="CD49" s="1500">
        <f>[1]Sheet1!$P50</f>
        <v/>
      </c>
      <c r="CE49" s="1513">
        <f>[1]Sheet1!$Q50</f>
        <v/>
      </c>
      <c r="CF49" s="1515">
        <f>[1]Sheet1!$R50</f>
        <v/>
      </c>
      <c r="CG49" s="1477" t="n"/>
      <c r="CH49" s="1513" t="n"/>
      <c r="CI49" s="1513" t="n"/>
      <c r="CJ49" s="1513" t="n"/>
      <c r="CK49" s="1477" t="n"/>
      <c r="CL49" s="1521" t="n">
        <v>45</v>
      </c>
      <c r="CM49" s="1513" t="inlineStr">
        <is>
          <t>London-Dublin</t>
        </is>
      </c>
      <c r="CN49" s="1513" t="inlineStr">
        <is>
          <t>London</t>
        </is>
      </c>
      <c r="CO49" s="1513" t="inlineStr">
        <is>
          <t>Dublin</t>
        </is>
      </c>
      <c r="CP49" s="1514" t="n">
        <v>500</v>
      </c>
      <c r="CQ49" s="1477" t="n"/>
      <c r="CR49" s="1491" t="n"/>
      <c r="CS49" s="1491" t="n"/>
      <c r="CT49" s="1491" t="n"/>
      <c r="CU49" s="1491" t="n"/>
      <c r="CV49" s="1491" t="n"/>
      <c r="CW49" s="1491" t="n"/>
      <c r="CX49" s="1491" t="n"/>
    </row>
    <row r="50">
      <c r="A50" s="1427" t="inlineStr">
        <is>
          <t>.</t>
        </is>
      </c>
      <c r="B50" s="1496" t="n"/>
      <c r="C50" s="1496" t="n"/>
      <c r="D50" s="1497">
        <f>IF(E50&lt;&gt;"",D49+1,D49)</f>
        <v/>
      </c>
      <c r="E50" s="1497" t="inlineStr">
        <is>
          <t>Assmannshausen</t>
        </is>
      </c>
      <c r="F50" s="1427" t="inlineStr">
        <is>
          <t>.</t>
        </is>
      </c>
      <c r="G50" s="1498">
        <f>IF(H50="AIR",0,IF(H49="AIR",G48+1,IF(H50&lt;&gt;"",G49+1,G49)))</f>
        <v/>
      </c>
      <c r="H50" s="1498" t="inlineStr">
        <is>
          <t>Wiesbaden</t>
        </is>
      </c>
      <c r="I50" s="1427" t="inlineStr">
        <is>
          <t>.</t>
        </is>
      </c>
      <c r="J50" s="1499" t="n">
        <v>45</v>
      </c>
      <c r="K50" s="1500">
        <f>_xlfn.XLOOKUP(cities[[#This Row],[id]],$D$5:$D$1500,E$5:E$1500,"-")</f>
        <v/>
      </c>
      <c r="L50" s="1500">
        <f>_xlfn.XLOOKUP(cities[[#This Row],[city]],ccc[city],ccc[ctry],"-")</f>
        <v/>
      </c>
      <c r="M50" s="1500">
        <f>SUMIFS(stayCity[stay],stayCity[city],cities[[#This Row],[city]])</f>
        <v/>
      </c>
      <c r="N50" s="1427">
        <f>N49+1</f>
        <v/>
      </c>
      <c r="O50" s="1501" t="n"/>
      <c r="P50" s="1501" t="n"/>
      <c r="Q50" s="1427" t="inlineStr">
        <is>
          <t>.</t>
        </is>
      </c>
      <c r="R50" s="1473">
        <f>IF(S50&lt;&gt;"",R49+1,R49)</f>
        <v/>
      </c>
      <c r="S50" s="1473" t="n"/>
      <c r="T50" s="1427" t="inlineStr">
        <is>
          <t>.</t>
        </is>
      </c>
      <c r="U50" s="1500" t="n"/>
      <c r="V50" s="1500" t="n"/>
      <c r="W50" s="1500" t="n"/>
      <c r="X50" s="1500" t="n"/>
      <c r="Y50" s="1500" t="n"/>
      <c r="Z50" s="1427" t="inlineStr">
        <is>
          <t>.</t>
        </is>
      </c>
      <c r="AA50" s="1473">
        <f>IF(AB50&lt;&gt;"",AA49+1,AA49)</f>
        <v/>
      </c>
      <c r="AB50" s="1473" t="inlineStr">
        <is>
          <t>London-Lisbon</t>
        </is>
      </c>
      <c r="AC50" s="1473">
        <f>IF(AD50&lt;&gt;"",AC49+1,AC49)</f>
        <v/>
      </c>
      <c r="AD50" s="1473" t="inlineStr">
        <is>
          <t>Toronto</t>
        </is>
      </c>
      <c r="AE50" s="1427" t="inlineStr">
        <is>
          <t>.</t>
        </is>
      </c>
      <c r="AF50" s="1502" t="n">
        <v>46</v>
      </c>
      <c r="AG50" s="1500">
        <f>_xlfn.XLOOKUP(routes[[#This Row],[id]],$AA$5:$AA$300,$AB$5:$AB$300,"-")</f>
        <v/>
      </c>
      <c r="AH50" s="1500">
        <f>_xlfn.XLOOKUP(routes[[#This Row],[route]],routesUniv[route],routesUniv[outbound],"-")</f>
        <v/>
      </c>
      <c r="AI50" s="1500">
        <f>_xlfn.XLOOKUP(routes[[#This Row],[route]],routesUniv[route],routesUniv[inbound],"-")</f>
        <v/>
      </c>
      <c r="AJ50" s="1500">
        <f>_xlfn.XLOOKUP(routes[[#This Row],[route]],routesUniv[route],routesUniv[km],"-")</f>
        <v/>
      </c>
      <c r="AK50" s="1500">
        <f>COUNTIF(INPUT!BT$5:BT$1000,AG50)</f>
        <v/>
      </c>
      <c r="AL50" s="1505">
        <f>routes[[#This Row],[km]]*routes[[#This Row],[rpt]]/1000</f>
        <v/>
      </c>
      <c r="AM50" s="1481" t="inlineStr">
        <is>
          <t>.</t>
        </is>
      </c>
      <c r="AN50" s="1506" t="n">
        <v>46</v>
      </c>
      <c r="AO50" s="1500">
        <f>IF(AD50&lt;&gt;"",AD50,"-")</f>
        <v/>
      </c>
      <c r="AP50" s="1500">
        <f>_xlfn.XLOOKUP(cityRoutes[[#This Row],[city]],ccc[city],ccc[ctry],"-")</f>
        <v/>
      </c>
      <c r="AQ50" s="1500">
        <f>COUNTIF(INPUT!BR$5:BS$1000,AO50)</f>
        <v/>
      </c>
      <c r="AR50" s="1507">
        <f>(SUMIFS(routes[total],routes[outbound],AO50)+SUMIFS(routes[total],routes[inbound],AO50))/2</f>
        <v/>
      </c>
      <c r="AS50" s="1481" t="inlineStr">
        <is>
          <t>.</t>
        </is>
      </c>
      <c r="AT50" s="1473">
        <f>IF(AU50&lt;&gt;"",AT49+1,AT49)</f>
        <v/>
      </c>
      <c r="AU50" s="1473" t="n"/>
      <c r="AV50" s="1506">
        <f>IF(AT50&lt;=AT$3,AT50,0)</f>
        <v/>
      </c>
      <c r="AW50" s="1500">
        <f>AU50</f>
        <v/>
      </c>
      <c r="AX50" s="1508">
        <f>_xlfn.XLOOKUP(homes[[#This Row],[home]],raw[home],raw[city],"-")</f>
        <v/>
      </c>
      <c r="AY50" s="1513" t="n"/>
      <c r="AZ50" s="1509" t="n"/>
      <c r="BA50" s="1526" t="n"/>
      <c r="BB50" s="1500">
        <f>COUNTIF(INPUT!BX50:BX145,AU50)</f>
        <v/>
      </c>
      <c r="BC50" s="1511">
        <f>INT(SUMIFS(raw[stay],raw[home],homes[[#This Row],[home]]))</f>
        <v/>
      </c>
      <c r="BD50" s="1511">
        <f>INT(SUMIFS(raw[stay],raw[home],homes[[#This Row],[home]],raw[notHome],0))</f>
        <v/>
      </c>
      <c r="BE50" s="1512">
        <f>IF(homes[[#This Row],[main]]=0,"-",homes[[#This Row],[netmain]]/homes[[#This Row],[main]])</f>
        <v/>
      </c>
      <c r="BF50" s="1511">
        <f>INT(SUMIFS(raw[stay],raw[transit],homes[[#This Row],[home]]))</f>
        <v/>
      </c>
      <c r="BG50" s="1511">
        <f>homes[[#This Row],[netmain]]+homes[[#This Row],[extra]]</f>
        <v/>
      </c>
      <c r="BH50" s="1432" t="inlineStr">
        <is>
          <t>.</t>
        </is>
      </c>
      <c r="BI50" s="1491" t="n"/>
      <c r="BJ50" s="1491" t="n"/>
      <c r="BK50" s="1491" t="n"/>
      <c r="BL50" s="1491" t="n"/>
      <c r="BM50" s="1491" t="n"/>
      <c r="BN50" s="1491" t="n"/>
      <c r="BO50" s="1467" t="n"/>
      <c r="BP50" s="1514" t="n">
        <v>46</v>
      </c>
      <c r="BQ50" s="1513">
        <f>[1]Sheet1!C51</f>
        <v/>
      </c>
      <c r="BR50" s="1515">
        <f>[1]Sheet1!D51</f>
        <v/>
      </c>
      <c r="BS50" s="1513">
        <f>[1]Sheet1!E51</f>
        <v/>
      </c>
      <c r="BT50" s="1515">
        <f>[1]Sheet1!F51</f>
        <v/>
      </c>
      <c r="BU50" s="1516">
        <f>[1]Sheet1!G51</f>
        <v/>
      </c>
      <c r="BV50" s="1513">
        <f>[1]Sheet1!H51</f>
        <v/>
      </c>
      <c r="BW50" s="1467" t="n"/>
      <c r="BX50" s="1491">
        <f>[1]Sheet1!$J51</f>
        <v/>
      </c>
      <c r="BY50" s="1517">
        <f>[1]Sheet1!$K51</f>
        <v/>
      </c>
      <c r="BZ50" s="1517">
        <f>[1]Sheet1!$L51</f>
        <v/>
      </c>
      <c r="CA50" s="1500">
        <f>[1]Sheet1!$M51</f>
        <v/>
      </c>
      <c r="CB50" s="1467" t="n"/>
      <c r="CC50" s="1467" t="n"/>
      <c r="CD50" s="1500">
        <f>[1]Sheet1!$P51</f>
        <v/>
      </c>
      <c r="CE50" s="1513">
        <f>[1]Sheet1!$Q51</f>
        <v/>
      </c>
      <c r="CF50" s="1515">
        <f>[1]Sheet1!$R51</f>
        <v/>
      </c>
      <c r="CG50" s="1477" t="n"/>
      <c r="CH50" s="1513" t="n"/>
      <c r="CI50" s="1513" t="n"/>
      <c r="CJ50" s="1513" t="n"/>
      <c r="CK50" s="1477" t="n"/>
      <c r="CL50" s="1521" t="n">
        <v>46</v>
      </c>
      <c r="CM50" s="1513" t="inlineStr">
        <is>
          <t>London-Geneve</t>
        </is>
      </c>
      <c r="CN50" s="1513" t="inlineStr">
        <is>
          <t>London</t>
        </is>
      </c>
      <c r="CO50" s="1513" t="inlineStr">
        <is>
          <t>Geneve</t>
        </is>
      </c>
      <c r="CP50" s="1514" t="n">
        <v>700</v>
      </c>
      <c r="CQ50" s="1477" t="n"/>
      <c r="CR50" s="1491" t="n"/>
      <c r="CS50" s="1491" t="n"/>
      <c r="CT50" s="1491" t="n"/>
      <c r="CU50" s="1491" t="n"/>
      <c r="CV50" s="1491" t="n"/>
      <c r="CW50" s="1491" t="n"/>
      <c r="CX50" s="1491" t="n"/>
    </row>
    <row r="51">
      <c r="A51" s="1427" t="inlineStr">
        <is>
          <t>.</t>
        </is>
      </c>
      <c r="B51" s="1496" t="n"/>
      <c r="C51" s="1496" t="n"/>
      <c r="D51" s="1497">
        <f>IF(E51&lt;&gt;"",D50+1,D50)</f>
        <v/>
      </c>
      <c r="E51" s="1497" t="inlineStr">
        <is>
          <t>Bacharach</t>
        </is>
      </c>
      <c r="F51" s="1427" t="inlineStr">
        <is>
          <t>.</t>
        </is>
      </c>
      <c r="G51" s="1498">
        <f>IF(H51="AIR",0,IF(H50="AIR",G49+1,IF(H51&lt;&gt;"",G50+1,G50)))</f>
        <v/>
      </c>
      <c r="H51" s="1498" t="inlineStr">
        <is>
          <t>Rudesheim</t>
        </is>
      </c>
      <c r="I51" s="1427" t="inlineStr">
        <is>
          <t>.</t>
        </is>
      </c>
      <c r="J51" s="1499" t="n">
        <v>46</v>
      </c>
      <c r="K51" s="1500">
        <f>_xlfn.XLOOKUP(cities[[#This Row],[id]],$D$5:$D$1500,E$5:E$1500,"-")</f>
        <v/>
      </c>
      <c r="L51" s="1500">
        <f>_xlfn.XLOOKUP(cities[[#This Row],[city]],ccc[city],ccc[ctry],"-")</f>
        <v/>
      </c>
      <c r="M51" s="1500">
        <f>SUMIFS(stayCity[stay],stayCity[city],cities[[#This Row],[city]])</f>
        <v/>
      </c>
      <c r="N51" s="1427">
        <f>N50+1</f>
        <v/>
      </c>
      <c r="O51" s="1501" t="n"/>
      <c r="P51" s="1501" t="n"/>
      <c r="Q51" s="1427" t="inlineStr">
        <is>
          <t>.</t>
        </is>
      </c>
      <c r="R51" s="1473">
        <f>IF(S51&lt;&gt;"",R50+1,R50)</f>
        <v/>
      </c>
      <c r="S51" s="1473" t="n"/>
      <c r="T51" s="1427" t="inlineStr">
        <is>
          <t>.</t>
        </is>
      </c>
      <c r="U51" s="1500" t="n"/>
      <c r="V51" s="1500" t="n"/>
      <c r="W51" s="1500" t="n"/>
      <c r="X51" s="1500" t="n"/>
      <c r="Y51" s="1500" t="n"/>
      <c r="Z51" s="1427" t="inlineStr">
        <is>
          <t>.</t>
        </is>
      </c>
      <c r="AA51" s="1473">
        <f>IF(AB51&lt;&gt;"",AA50+1,AA50)</f>
        <v/>
      </c>
      <c r="AB51" s="1473" t="inlineStr">
        <is>
          <t>SP-BH</t>
        </is>
      </c>
      <c r="AC51" s="1473">
        <f>IF(AD51&lt;&gt;"",AC50+1,AC50)</f>
        <v/>
      </c>
      <c r="AD51" s="1473" t="inlineStr">
        <is>
          <t>Halifax</t>
        </is>
      </c>
      <c r="AE51" s="1427" t="inlineStr">
        <is>
          <t>.</t>
        </is>
      </c>
      <c r="AF51" s="1502" t="n">
        <v>47</v>
      </c>
      <c r="AG51" s="1500">
        <f>_xlfn.XLOOKUP(routes[[#This Row],[id]],$AA$5:$AA$300,$AB$5:$AB$300,"-")</f>
        <v/>
      </c>
      <c r="AH51" s="1500">
        <f>_xlfn.XLOOKUP(routes[[#This Row],[route]],routesUniv[route],routesUniv[outbound],"-")</f>
        <v/>
      </c>
      <c r="AI51" s="1500">
        <f>_xlfn.XLOOKUP(routes[[#This Row],[route]],routesUniv[route],routesUniv[inbound],"-")</f>
        <v/>
      </c>
      <c r="AJ51" s="1500">
        <f>_xlfn.XLOOKUP(routes[[#This Row],[route]],routesUniv[route],routesUniv[km],"-")</f>
        <v/>
      </c>
      <c r="AK51" s="1500">
        <f>COUNTIF(INPUT!BT$5:BT$1000,AG51)</f>
        <v/>
      </c>
      <c r="AL51" s="1505">
        <f>routes[[#This Row],[km]]*routes[[#This Row],[rpt]]/1000</f>
        <v/>
      </c>
      <c r="AM51" s="1481" t="inlineStr">
        <is>
          <t>.</t>
        </is>
      </c>
      <c r="AN51" s="1506" t="n">
        <v>47</v>
      </c>
      <c r="AO51" s="1500">
        <f>IF(AD51&lt;&gt;"",AD51,"-")</f>
        <v/>
      </c>
      <c r="AP51" s="1500">
        <f>_xlfn.XLOOKUP(cityRoutes[[#This Row],[city]],ccc[city],ccc[ctry],"-")</f>
        <v/>
      </c>
      <c r="AQ51" s="1500">
        <f>COUNTIF(INPUT!BR$5:BS$1000,AO51)</f>
        <v/>
      </c>
      <c r="AR51" s="1507">
        <f>(SUMIFS(routes[total],routes[outbound],AO51)+SUMIFS(routes[total],routes[inbound],AO51))/2</f>
        <v/>
      </c>
      <c r="AS51" s="1481" t="inlineStr">
        <is>
          <t>.</t>
        </is>
      </c>
      <c r="AT51" s="1473">
        <f>IF(AU51&lt;&gt;"",AT50+1,AT50)</f>
        <v/>
      </c>
      <c r="AU51" s="1473" t="n"/>
      <c r="AV51" s="1506">
        <f>IF(AT51&lt;=AT$3,AT51,0)</f>
        <v/>
      </c>
      <c r="AW51" s="1500">
        <f>AU51</f>
        <v/>
      </c>
      <c r="AX51" s="1508">
        <f>_xlfn.XLOOKUP(homes[[#This Row],[home]],raw[home],raw[city],"-")</f>
        <v/>
      </c>
      <c r="AY51" s="1513" t="n"/>
      <c r="AZ51" s="1509" t="n"/>
      <c r="BA51" s="1526" t="n"/>
      <c r="BB51" s="1500">
        <f>COUNTIF(INPUT!BX51:BX146,AU51)</f>
        <v/>
      </c>
      <c r="BC51" s="1511">
        <f>INT(SUMIFS(raw[stay],raw[home],homes[[#This Row],[home]]))</f>
        <v/>
      </c>
      <c r="BD51" s="1511">
        <f>INT(SUMIFS(raw[stay],raw[home],homes[[#This Row],[home]],raw[notHome],0))</f>
        <v/>
      </c>
      <c r="BE51" s="1512">
        <f>IF(homes[[#This Row],[main]]=0,"-",homes[[#This Row],[netmain]]/homes[[#This Row],[main]])</f>
        <v/>
      </c>
      <c r="BF51" s="1511">
        <f>INT(SUMIFS(raw[stay],raw[transit],homes[[#This Row],[home]]))</f>
        <v/>
      </c>
      <c r="BG51" s="1511">
        <f>homes[[#This Row],[netmain]]+homes[[#This Row],[extra]]</f>
        <v/>
      </c>
      <c r="BH51" s="1432" t="inlineStr">
        <is>
          <t>.</t>
        </is>
      </c>
      <c r="BI51" s="1491" t="n"/>
      <c r="BJ51" s="1491" t="n"/>
      <c r="BK51" s="1491" t="n"/>
      <c r="BL51" s="1491" t="n"/>
      <c r="BM51" s="1491" t="n"/>
      <c r="BN51" s="1491" t="n"/>
      <c r="BO51" s="1467" t="n"/>
      <c r="BP51" s="1514" t="n">
        <v>47</v>
      </c>
      <c r="BQ51" s="1513">
        <f>[1]Sheet1!C52</f>
        <v/>
      </c>
      <c r="BR51" s="1515">
        <f>[1]Sheet1!D52</f>
        <v/>
      </c>
      <c r="BS51" s="1513">
        <f>[1]Sheet1!E52</f>
        <v/>
      </c>
      <c r="BT51" s="1515">
        <f>[1]Sheet1!F52</f>
        <v/>
      </c>
      <c r="BU51" s="1516">
        <f>[1]Sheet1!G52</f>
        <v/>
      </c>
      <c r="BV51" s="1513">
        <f>[1]Sheet1!H52</f>
        <v/>
      </c>
      <c r="BW51" s="1467" t="n"/>
      <c r="BX51" s="1491">
        <f>[1]Sheet1!$J52</f>
        <v/>
      </c>
      <c r="BY51" s="1517">
        <f>[1]Sheet1!$K52</f>
        <v/>
      </c>
      <c r="BZ51" s="1517">
        <f>[1]Sheet1!$L52</f>
        <v/>
      </c>
      <c r="CA51" s="1500">
        <f>[1]Sheet1!$M52</f>
        <v/>
      </c>
      <c r="CB51" s="1467" t="n"/>
      <c r="CC51" s="1467" t="n"/>
      <c r="CD51" s="1500">
        <f>[1]Sheet1!$P52</f>
        <v/>
      </c>
      <c r="CE51" s="1513">
        <f>[1]Sheet1!$Q52</f>
        <v/>
      </c>
      <c r="CF51" s="1515">
        <f>[1]Sheet1!$R52</f>
        <v/>
      </c>
      <c r="CG51" s="1477" t="n"/>
      <c r="CH51" s="1513" t="n"/>
      <c r="CI51" s="1513" t="n"/>
      <c r="CJ51" s="1513" t="n"/>
      <c r="CK51" s="1477" t="n"/>
      <c r="CL51" s="1521" t="n">
        <v>47</v>
      </c>
      <c r="CM51" s="1500" t="inlineStr">
        <is>
          <t>London-Lisbon</t>
        </is>
      </c>
      <c r="CN51" s="1500" t="inlineStr">
        <is>
          <t>London</t>
        </is>
      </c>
      <c r="CO51" s="1500" t="inlineStr">
        <is>
          <t>Lisbon</t>
        </is>
      </c>
      <c r="CP51" s="1514" t="n">
        <v>1600</v>
      </c>
      <c r="CQ51" s="1477" t="n"/>
      <c r="CR51" s="1491" t="n"/>
      <c r="CS51" s="1491" t="n"/>
      <c r="CT51" s="1491" t="n"/>
      <c r="CU51" s="1491" t="n"/>
      <c r="CV51" s="1491" t="n"/>
      <c r="CW51" s="1491" t="n"/>
      <c r="CX51" s="1491" t="n"/>
    </row>
    <row r="52">
      <c r="A52" s="1427" t="inlineStr">
        <is>
          <t>.</t>
        </is>
      </c>
      <c r="B52" s="1496" t="n"/>
      <c r="C52" s="1496" t="n"/>
      <c r="D52" s="1497">
        <f>IF(E52&lt;&gt;"",D51+1,D51)</f>
        <v/>
      </c>
      <c r="E52" s="1497" t="inlineStr">
        <is>
          <t>St. Goarshausen</t>
        </is>
      </c>
      <c r="F52" s="1427" t="inlineStr">
        <is>
          <t>.</t>
        </is>
      </c>
      <c r="G52" s="1498">
        <f>IF(H52="AIR",0,IF(H51="AIR",G50+1,IF(H52&lt;&gt;"",G51+1,G51)))</f>
        <v/>
      </c>
      <c r="H52" s="1498" t="inlineStr">
        <is>
          <t>Assmannshausen</t>
        </is>
      </c>
      <c r="I52" s="1427" t="inlineStr">
        <is>
          <t>.</t>
        </is>
      </c>
      <c r="J52" s="1499" t="n">
        <v>47</v>
      </c>
      <c r="K52" s="1500">
        <f>_xlfn.XLOOKUP(cities[[#This Row],[id]],$D$5:$D$1500,E$5:E$1500,"-")</f>
        <v/>
      </c>
      <c r="L52" s="1500">
        <f>_xlfn.XLOOKUP(cities[[#This Row],[city]],ccc[city],ccc[ctry],"-")</f>
        <v/>
      </c>
      <c r="M52" s="1500">
        <f>SUMIFS(stayCity[stay],stayCity[city],cities[[#This Row],[city]])</f>
        <v/>
      </c>
      <c r="N52" s="1427">
        <f>N51+1</f>
        <v/>
      </c>
      <c r="O52" s="1501" t="n"/>
      <c r="P52" s="1501" t="n"/>
      <c r="Q52" s="1427" t="inlineStr">
        <is>
          <t>.</t>
        </is>
      </c>
      <c r="R52" s="1473">
        <f>IF(S52&lt;&gt;"",R51+1,R51)</f>
        <v/>
      </c>
      <c r="S52" s="1473" t="n"/>
      <c r="T52" s="1427" t="inlineStr">
        <is>
          <t>.</t>
        </is>
      </c>
      <c r="U52" s="1500" t="n"/>
      <c r="V52" s="1500" t="n"/>
      <c r="W52" s="1500" t="n"/>
      <c r="X52" s="1500" t="n"/>
      <c r="Y52" s="1500" t="n"/>
      <c r="Z52" s="1427" t="inlineStr">
        <is>
          <t>.</t>
        </is>
      </c>
      <c r="AA52" s="1473">
        <f>IF(AB52&lt;&gt;"",AA51+1,AA51)</f>
        <v/>
      </c>
      <c r="AB52" s="1473" t="inlineStr">
        <is>
          <t>SP-Rio</t>
        </is>
      </c>
      <c r="AC52" s="1473">
        <f>IF(AD52&lt;&gt;"",AC51+1,AC51)</f>
        <v/>
      </c>
      <c r="AD52" s="1473" t="inlineStr">
        <is>
          <t>Vancouver</t>
        </is>
      </c>
      <c r="AE52" s="1427" t="inlineStr">
        <is>
          <t>.</t>
        </is>
      </c>
      <c r="AF52" s="1502" t="n">
        <v>48</v>
      </c>
      <c r="AG52" s="1500">
        <f>_xlfn.XLOOKUP(routes[[#This Row],[id]],$AA$5:$AA$300,$AB$5:$AB$300,"-")</f>
        <v/>
      </c>
      <c r="AH52" s="1500">
        <f>_xlfn.XLOOKUP(routes[[#This Row],[route]],routesUniv[route],routesUniv[outbound],"-")</f>
        <v/>
      </c>
      <c r="AI52" s="1500">
        <f>_xlfn.XLOOKUP(routes[[#This Row],[route]],routesUniv[route],routesUniv[inbound],"-")</f>
        <v/>
      </c>
      <c r="AJ52" s="1500">
        <f>_xlfn.XLOOKUP(routes[[#This Row],[route]],routesUniv[route],routesUniv[km],"-")</f>
        <v/>
      </c>
      <c r="AK52" s="1500">
        <f>COUNTIF(INPUT!BT$5:BT$1000,AG52)</f>
        <v/>
      </c>
      <c r="AL52" s="1505">
        <f>routes[[#This Row],[km]]*routes[[#This Row],[rpt]]/1000</f>
        <v/>
      </c>
      <c r="AM52" s="1481" t="inlineStr">
        <is>
          <t>.</t>
        </is>
      </c>
      <c r="AN52" s="1506" t="n">
        <v>48</v>
      </c>
      <c r="AO52" s="1500">
        <f>IF(AD52&lt;&gt;"",AD52,"-")</f>
        <v/>
      </c>
      <c r="AP52" s="1500">
        <f>_xlfn.XLOOKUP(cityRoutes[[#This Row],[city]],ccc[city],ccc[ctry],"-")</f>
        <v/>
      </c>
      <c r="AQ52" s="1500">
        <f>COUNTIF(INPUT!BR$5:BS$1000,AO52)</f>
        <v/>
      </c>
      <c r="AR52" s="1507">
        <f>(SUMIFS(routes[total],routes[outbound],AO52)+SUMIFS(routes[total],routes[inbound],AO52))/2</f>
        <v/>
      </c>
      <c r="AS52" s="1481" t="inlineStr">
        <is>
          <t>.</t>
        </is>
      </c>
      <c r="AT52" s="1473">
        <f>IF(AU52&lt;&gt;"",AT51+1,AT51)</f>
        <v/>
      </c>
      <c r="AU52" s="1473" t="n"/>
      <c r="AV52" s="1506">
        <f>IF(AT52&lt;=AT$3,AT52,0)</f>
        <v/>
      </c>
      <c r="AW52" s="1500">
        <f>AU52</f>
        <v/>
      </c>
      <c r="AX52" s="1508">
        <f>_xlfn.XLOOKUP(homes[[#This Row],[home]],raw[home],raw[city],"-")</f>
        <v/>
      </c>
      <c r="AY52" s="1513" t="n"/>
      <c r="AZ52" s="1509" t="n"/>
      <c r="BA52" s="1526" t="n"/>
      <c r="BB52" s="1500">
        <f>COUNTIF(INPUT!BX52:BX147,AU52)</f>
        <v/>
      </c>
      <c r="BC52" s="1511">
        <f>INT(SUMIFS(raw[stay],raw[home],homes[[#This Row],[home]]))</f>
        <v/>
      </c>
      <c r="BD52" s="1511">
        <f>INT(SUMIFS(raw[stay],raw[home],homes[[#This Row],[home]],raw[notHome],0))</f>
        <v/>
      </c>
      <c r="BE52" s="1512">
        <f>IF(homes[[#This Row],[main]]=0,"-",homes[[#This Row],[netmain]]/homes[[#This Row],[main]])</f>
        <v/>
      </c>
      <c r="BF52" s="1511">
        <f>INT(SUMIFS(raw[stay],raw[transit],homes[[#This Row],[home]]))</f>
        <v/>
      </c>
      <c r="BG52" s="1511">
        <f>homes[[#This Row],[netmain]]+homes[[#This Row],[extra]]</f>
        <v/>
      </c>
      <c r="BH52" s="1432" t="inlineStr">
        <is>
          <t>.</t>
        </is>
      </c>
      <c r="BI52" s="1491" t="n"/>
      <c r="BJ52" s="1491" t="n"/>
      <c r="BK52" s="1491" t="n"/>
      <c r="BL52" s="1491" t="n"/>
      <c r="BM52" s="1491" t="n"/>
      <c r="BN52" s="1491" t="n"/>
      <c r="BO52" s="1467" t="n"/>
      <c r="BP52" s="1514" t="n">
        <v>48</v>
      </c>
      <c r="BQ52" s="1513">
        <f>[1]Sheet1!C53</f>
        <v/>
      </c>
      <c r="BR52" s="1515">
        <f>[1]Sheet1!D53</f>
        <v/>
      </c>
      <c r="BS52" s="1513">
        <f>[1]Sheet1!E53</f>
        <v/>
      </c>
      <c r="BT52" s="1515">
        <f>[1]Sheet1!F53</f>
        <v/>
      </c>
      <c r="BU52" s="1516">
        <f>[1]Sheet1!G53</f>
        <v/>
      </c>
      <c r="BV52" s="1513">
        <f>[1]Sheet1!H53</f>
        <v/>
      </c>
      <c r="BW52" s="1467" t="n"/>
      <c r="BX52" s="1491">
        <f>[1]Sheet1!$J53</f>
        <v/>
      </c>
      <c r="BY52" s="1517">
        <f>[1]Sheet1!$K53</f>
        <v/>
      </c>
      <c r="BZ52" s="1517">
        <f>[1]Sheet1!$L53</f>
        <v/>
      </c>
      <c r="CA52" s="1500">
        <f>[1]Sheet1!$M53</f>
        <v/>
      </c>
      <c r="CB52" s="1467" t="n"/>
      <c r="CC52" s="1467" t="n"/>
      <c r="CD52" s="1500">
        <f>[1]Sheet1!$P53</f>
        <v/>
      </c>
      <c r="CE52" s="1513">
        <f>[1]Sheet1!$Q53</f>
        <v/>
      </c>
      <c r="CF52" s="1515">
        <f>[1]Sheet1!$R53</f>
        <v/>
      </c>
      <c r="CG52" s="1477" t="n"/>
      <c r="CH52" s="1513" t="n"/>
      <c r="CI52" s="1513" t="n"/>
      <c r="CJ52" s="1513" t="n"/>
      <c r="CK52" s="1477" t="n"/>
      <c r="CL52" s="1521" t="n">
        <v>48</v>
      </c>
      <c r="CM52" s="1513" t="inlineStr">
        <is>
          <t>London-Madrid</t>
        </is>
      </c>
      <c r="CN52" s="1513" t="inlineStr">
        <is>
          <t>London</t>
        </is>
      </c>
      <c r="CO52" s="1513" t="inlineStr">
        <is>
          <t>Madrid</t>
        </is>
      </c>
      <c r="CP52" s="1514" t="n">
        <v>1300</v>
      </c>
      <c r="CQ52" s="1477" t="n"/>
      <c r="CR52" s="1491" t="n"/>
      <c r="CS52" s="1491" t="n"/>
      <c r="CT52" s="1491" t="n"/>
      <c r="CU52" s="1491" t="n"/>
      <c r="CV52" s="1491" t="n"/>
      <c r="CW52" s="1491" t="n"/>
      <c r="CX52" s="1491" t="n"/>
    </row>
    <row r="53">
      <c r="A53" s="1427" t="inlineStr">
        <is>
          <t>.</t>
        </is>
      </c>
      <c r="B53" s="1496" t="n"/>
      <c r="C53" s="1496" t="n"/>
      <c r="D53" s="1497">
        <f>IF(E53&lt;&gt;"",D52+1,D52)</f>
        <v/>
      </c>
      <c r="E53" s="1497" t="inlineStr">
        <is>
          <t>Oberwesel</t>
        </is>
      </c>
      <c r="F53" s="1427" t="inlineStr">
        <is>
          <t>.</t>
        </is>
      </c>
      <c r="G53" s="1498">
        <f>IF(H53="AIR",0,IF(H52="AIR",G51+1,IF(H53&lt;&gt;"",G52+1,G52)))</f>
        <v/>
      </c>
      <c r="H53" s="1498" t="inlineStr">
        <is>
          <t>Bacharach</t>
        </is>
      </c>
      <c r="I53" s="1427" t="inlineStr">
        <is>
          <t>.</t>
        </is>
      </c>
      <c r="J53" s="1499" t="n">
        <v>48</v>
      </c>
      <c r="K53" s="1500">
        <f>_xlfn.XLOOKUP(cities[[#This Row],[id]],$D$5:$D$1500,E$5:E$1500,"-")</f>
        <v/>
      </c>
      <c r="L53" s="1500">
        <f>_xlfn.XLOOKUP(cities[[#This Row],[city]],ccc[city],ccc[ctry],"-")</f>
        <v/>
      </c>
      <c r="M53" s="1500">
        <f>SUMIFS(stayCity[stay],stayCity[city],cities[[#This Row],[city]])</f>
        <v/>
      </c>
      <c r="N53" s="1427">
        <f>N52+1</f>
        <v/>
      </c>
      <c r="O53" s="1501" t="n"/>
      <c r="P53" s="1501" t="n"/>
      <c r="Q53" s="1427" t="inlineStr">
        <is>
          <t>.</t>
        </is>
      </c>
      <c r="R53" s="1473">
        <f>IF(S53&lt;&gt;"",R52+1,R52)</f>
        <v/>
      </c>
      <c r="S53" s="1473" t="n"/>
      <c r="T53" s="1427" t="inlineStr">
        <is>
          <t>.</t>
        </is>
      </c>
      <c r="U53" s="1500" t="n"/>
      <c r="V53" s="1500" t="n"/>
      <c r="W53" s="1500" t="n"/>
      <c r="X53" s="1500" t="n"/>
      <c r="Y53" s="1500" t="n"/>
      <c r="Z53" s="1427" t="inlineStr">
        <is>
          <t>.</t>
        </is>
      </c>
      <c r="AA53" s="1473">
        <f>IF(AB53&lt;&gt;"",AA52+1,AA52)</f>
        <v/>
      </c>
      <c r="AB53" s="1473" t="inlineStr">
        <is>
          <t>SP-NYC</t>
        </is>
      </c>
      <c r="AC53" s="1473">
        <f>IF(AD53&lt;&gt;"",AC52+1,AC52)</f>
        <v/>
      </c>
      <c r="AD53" s="1473" t="inlineStr">
        <is>
          <t>Beijing</t>
        </is>
      </c>
      <c r="AE53" s="1427" t="inlineStr">
        <is>
          <t>.</t>
        </is>
      </c>
      <c r="AF53" s="1502" t="n">
        <v>49</v>
      </c>
      <c r="AG53" s="1500">
        <f>_xlfn.XLOOKUP(routes[[#This Row],[id]],$AA$5:$AA$300,$AB$5:$AB$300,"-")</f>
        <v/>
      </c>
      <c r="AH53" s="1500">
        <f>_xlfn.XLOOKUP(routes[[#This Row],[route]],routesUniv[route],routesUniv[outbound],"-")</f>
        <v/>
      </c>
      <c r="AI53" s="1500">
        <f>_xlfn.XLOOKUP(routes[[#This Row],[route]],routesUniv[route],routesUniv[inbound],"-")</f>
        <v/>
      </c>
      <c r="AJ53" s="1500">
        <f>_xlfn.XLOOKUP(routes[[#This Row],[route]],routesUniv[route],routesUniv[km],"-")</f>
        <v/>
      </c>
      <c r="AK53" s="1500">
        <f>COUNTIF(INPUT!BT$5:BT$1000,AG53)</f>
        <v/>
      </c>
      <c r="AL53" s="1505">
        <f>routes[[#This Row],[km]]*routes[[#This Row],[rpt]]/1000</f>
        <v/>
      </c>
      <c r="AM53" s="1481" t="inlineStr">
        <is>
          <t>.</t>
        </is>
      </c>
      <c r="AN53" s="1506" t="n">
        <v>49</v>
      </c>
      <c r="AO53" s="1500">
        <f>IF(AD53&lt;&gt;"",AD53,"-")</f>
        <v/>
      </c>
      <c r="AP53" s="1500">
        <f>_xlfn.XLOOKUP(cityRoutes[[#This Row],[city]],ccc[city],ccc[ctry],"-")</f>
        <v/>
      </c>
      <c r="AQ53" s="1500">
        <f>COUNTIF(INPUT!BR$5:BS$1000,AO53)</f>
        <v/>
      </c>
      <c r="AR53" s="1507">
        <f>(SUMIFS(routes[total],routes[outbound],AO53)+SUMIFS(routes[total],routes[inbound],AO53))/2</f>
        <v/>
      </c>
      <c r="AS53" s="1481" t="inlineStr">
        <is>
          <t>.</t>
        </is>
      </c>
      <c r="AT53" s="1473">
        <f>IF(AU53&lt;&gt;"",AT52+1,AT52)</f>
        <v/>
      </c>
      <c r="AU53" s="1473" t="n"/>
      <c r="AV53" s="1506">
        <f>IF(AT53&lt;=AT$3,AT53,0)</f>
        <v/>
      </c>
      <c r="AW53" s="1500">
        <f>AU53</f>
        <v/>
      </c>
      <c r="AX53" s="1508">
        <f>_xlfn.XLOOKUP(homes[[#This Row],[home]],raw[home],raw[city],"-")</f>
        <v/>
      </c>
      <c r="AY53" s="1513" t="n"/>
      <c r="AZ53" s="1509" t="n"/>
      <c r="BA53" s="1526" t="n"/>
      <c r="BB53" s="1500">
        <f>COUNTIF(INPUT!BX53:BX148,AU53)</f>
        <v/>
      </c>
      <c r="BC53" s="1511">
        <f>INT(SUMIFS(raw[stay],raw[home],homes[[#This Row],[home]]))</f>
        <v/>
      </c>
      <c r="BD53" s="1511">
        <f>INT(SUMIFS(raw[stay],raw[home],homes[[#This Row],[home]],raw[notHome],0))</f>
        <v/>
      </c>
      <c r="BE53" s="1512">
        <f>IF(homes[[#This Row],[main]]=0,"-",homes[[#This Row],[netmain]]/homes[[#This Row],[main]])</f>
        <v/>
      </c>
      <c r="BF53" s="1511">
        <f>INT(SUMIFS(raw[stay],raw[transit],homes[[#This Row],[home]]))</f>
        <v/>
      </c>
      <c r="BG53" s="1511">
        <f>homes[[#This Row],[netmain]]+homes[[#This Row],[extra]]</f>
        <v/>
      </c>
      <c r="BH53" s="1432" t="inlineStr">
        <is>
          <t>.</t>
        </is>
      </c>
      <c r="BI53" s="1491" t="n"/>
      <c r="BJ53" s="1491" t="n"/>
      <c r="BK53" s="1491" t="n"/>
      <c r="BL53" s="1491" t="n"/>
      <c r="BM53" s="1491" t="n"/>
      <c r="BN53" s="1491" t="n"/>
      <c r="BO53" s="1467" t="n"/>
      <c r="BP53" s="1514" t="n">
        <v>49</v>
      </c>
      <c r="BQ53" s="1513">
        <f>[1]Sheet1!C54</f>
        <v/>
      </c>
      <c r="BR53" s="1515">
        <f>[1]Sheet1!D54</f>
        <v/>
      </c>
      <c r="BS53" s="1513">
        <f>[1]Sheet1!E54</f>
        <v/>
      </c>
      <c r="BT53" s="1515">
        <f>[1]Sheet1!F54</f>
        <v/>
      </c>
      <c r="BU53" s="1516">
        <f>[1]Sheet1!G54</f>
        <v/>
      </c>
      <c r="BV53" s="1513">
        <f>[1]Sheet1!H54</f>
        <v/>
      </c>
      <c r="BW53" s="1467" t="n"/>
      <c r="BX53" s="1491">
        <f>[1]Sheet1!$J54</f>
        <v/>
      </c>
      <c r="BY53" s="1517">
        <f>[1]Sheet1!$K54</f>
        <v/>
      </c>
      <c r="BZ53" s="1517">
        <f>[1]Sheet1!$L54</f>
        <v/>
      </c>
      <c r="CA53" s="1500">
        <f>[1]Sheet1!$M54</f>
        <v/>
      </c>
      <c r="CB53" s="1467" t="n"/>
      <c r="CC53" s="1467" t="n"/>
      <c r="CD53" s="1500">
        <f>[1]Sheet1!$P54</f>
        <v/>
      </c>
      <c r="CE53" s="1513">
        <f>[1]Sheet1!$Q54</f>
        <v/>
      </c>
      <c r="CF53" s="1515">
        <f>[1]Sheet1!$R54</f>
        <v/>
      </c>
      <c r="CG53" s="1477" t="n"/>
      <c r="CH53" s="1513" t="n"/>
      <c r="CI53" s="1513" t="n"/>
      <c r="CJ53" s="1513" t="n"/>
      <c r="CK53" s="1477" t="n"/>
      <c r="CL53" s="1521" t="n">
        <v>49</v>
      </c>
      <c r="CM53" s="1513" t="inlineStr">
        <is>
          <t>London-Montreal</t>
        </is>
      </c>
      <c r="CN53" s="1513" t="inlineStr">
        <is>
          <t>London</t>
        </is>
      </c>
      <c r="CO53" s="1513" t="inlineStr">
        <is>
          <t>Montreal</t>
        </is>
      </c>
      <c r="CP53" s="1514" t="n">
        <v>5200</v>
      </c>
      <c r="CQ53" s="1477" t="n"/>
      <c r="CR53" s="1491" t="n"/>
      <c r="CS53" s="1491" t="n"/>
      <c r="CT53" s="1491" t="n"/>
      <c r="CU53" s="1491" t="n"/>
      <c r="CV53" s="1491" t="n"/>
      <c r="CW53" s="1491" t="n"/>
      <c r="CX53" s="1491" t="n"/>
    </row>
    <row r="54">
      <c r="A54" s="1427" t="inlineStr">
        <is>
          <t>.</t>
        </is>
      </c>
      <c r="B54" s="1496" t="n"/>
      <c r="C54" s="1496" t="n"/>
      <c r="D54" s="1497">
        <f>IF(E54&lt;&gt;"",D53+1,D53)</f>
        <v/>
      </c>
      <c r="E54" s="1497" t="inlineStr">
        <is>
          <t>Bonn</t>
        </is>
      </c>
      <c r="F54" s="1427" t="inlineStr">
        <is>
          <t>.</t>
        </is>
      </c>
      <c r="G54" s="1498">
        <f>IF(H54="AIR",0,IF(H53="AIR",G52+1,IF(H54&lt;&gt;"",G53+1,G53)))</f>
        <v/>
      </c>
      <c r="H54" s="1498" t="inlineStr">
        <is>
          <t>St. Goarshausen</t>
        </is>
      </c>
      <c r="I54" s="1427" t="inlineStr">
        <is>
          <t>.</t>
        </is>
      </c>
      <c r="J54" s="1499" t="n">
        <v>49</v>
      </c>
      <c r="K54" s="1500">
        <f>_xlfn.XLOOKUP(cities[[#This Row],[id]],$D$5:$D$1500,E$5:E$1500,"-")</f>
        <v/>
      </c>
      <c r="L54" s="1500">
        <f>_xlfn.XLOOKUP(cities[[#This Row],[city]],ccc[city],ccc[ctry],"-")</f>
        <v/>
      </c>
      <c r="M54" s="1500">
        <f>SUMIFS(stayCity[stay],stayCity[city],cities[[#This Row],[city]])</f>
        <v/>
      </c>
      <c r="N54" s="1427">
        <f>N53+1</f>
        <v/>
      </c>
      <c r="O54" s="1501" t="n"/>
      <c r="P54" s="1501" t="n"/>
      <c r="Q54" s="1427" t="inlineStr">
        <is>
          <t>.</t>
        </is>
      </c>
      <c r="R54" s="1473">
        <f>IF(S54&lt;&gt;"",R53+1,R53)</f>
        <v/>
      </c>
      <c r="S54" s="1473" t="n"/>
      <c r="T54" s="1427" t="inlineStr">
        <is>
          <t>.</t>
        </is>
      </c>
      <c r="U54" s="1500" t="n"/>
      <c r="V54" s="1500" t="n"/>
      <c r="W54" s="1500" t="n"/>
      <c r="X54" s="1500" t="n"/>
      <c r="Y54" s="1500" t="n"/>
      <c r="Z54" s="1427" t="inlineStr">
        <is>
          <t>.</t>
        </is>
      </c>
      <c r="AA54" s="1473">
        <f>IF(AB54&lt;&gt;"",AA53+1,AA53)</f>
        <v/>
      </c>
      <c r="AB54" s="1473" t="inlineStr">
        <is>
          <t>NYC-London</t>
        </is>
      </c>
      <c r="AC54" s="1473">
        <f>IF(AD54&lt;&gt;"",AC53+1,AC53)</f>
        <v/>
      </c>
      <c r="AD54" s="1473" t="inlineStr">
        <is>
          <t>Xi'An</t>
        </is>
      </c>
      <c r="AE54" s="1427" t="inlineStr">
        <is>
          <t>.</t>
        </is>
      </c>
      <c r="AF54" s="1502" t="n">
        <v>50</v>
      </c>
      <c r="AG54" s="1500">
        <f>_xlfn.XLOOKUP(routes[[#This Row],[id]],$AA$5:$AA$300,$AB$5:$AB$300,"-")</f>
        <v/>
      </c>
      <c r="AH54" s="1500">
        <f>_xlfn.XLOOKUP(routes[[#This Row],[route]],routesUniv[route],routesUniv[outbound],"-")</f>
        <v/>
      </c>
      <c r="AI54" s="1500">
        <f>_xlfn.XLOOKUP(routes[[#This Row],[route]],routesUniv[route],routesUniv[inbound],"-")</f>
        <v/>
      </c>
      <c r="AJ54" s="1500">
        <f>_xlfn.XLOOKUP(routes[[#This Row],[route]],routesUniv[route],routesUniv[km],"-")</f>
        <v/>
      </c>
      <c r="AK54" s="1500">
        <f>COUNTIF(INPUT!BT$5:BT$1000,AG54)</f>
        <v/>
      </c>
      <c r="AL54" s="1505">
        <f>routes[[#This Row],[km]]*routes[[#This Row],[rpt]]/1000</f>
        <v/>
      </c>
      <c r="AM54" s="1481" t="inlineStr">
        <is>
          <t>.</t>
        </is>
      </c>
      <c r="AN54" s="1506" t="n">
        <v>50</v>
      </c>
      <c r="AO54" s="1500">
        <f>IF(AD54&lt;&gt;"",AD54,"-")</f>
        <v/>
      </c>
      <c r="AP54" s="1500">
        <f>_xlfn.XLOOKUP(cityRoutes[[#This Row],[city]],ccc[city],ccc[ctry],"-")</f>
        <v/>
      </c>
      <c r="AQ54" s="1500">
        <f>COUNTIF(INPUT!BR$5:BS$1000,AO54)</f>
        <v/>
      </c>
      <c r="AR54" s="1507">
        <f>(SUMIFS(routes[total],routes[outbound],AO54)+SUMIFS(routes[total],routes[inbound],AO54))/2</f>
        <v/>
      </c>
      <c r="AS54" s="1481" t="inlineStr">
        <is>
          <t>.</t>
        </is>
      </c>
      <c r="AT54" s="1473">
        <f>IF(AU54&lt;&gt;"",AT53+1,AT53)</f>
        <v/>
      </c>
      <c r="AU54" s="1473" t="n"/>
      <c r="AV54" s="1527">
        <f>IF(AT54&lt;=AT$3,AT54,0)</f>
        <v/>
      </c>
      <c r="AW54" s="1528">
        <f>AU54</f>
        <v/>
      </c>
      <c r="AX54" s="1508">
        <f>_xlfn.XLOOKUP(homes[[#This Row],[home]],raw[home],raw[city],"-")</f>
        <v/>
      </c>
      <c r="AY54" s="1529" t="n"/>
      <c r="AZ54" s="1530" t="n"/>
      <c r="BA54" s="1531" t="n"/>
      <c r="BB54" s="1528">
        <f>COUNTIF(INPUT!BX54:BX149,AU54)</f>
        <v/>
      </c>
      <c r="BC54" s="1532">
        <f>INT(SUMIFS(raw[stay],raw[home],homes[[#This Row],[home]]))</f>
        <v/>
      </c>
      <c r="BD54" s="1532">
        <f>INT(SUMIFS(raw[stay],raw[home],homes[[#This Row],[home]],raw[notHome],0))</f>
        <v/>
      </c>
      <c r="BE54" s="1533">
        <f>IF(homes[[#This Row],[main]]=0,"-",homes[[#This Row],[netmain]]/homes[[#This Row],[main]])</f>
        <v/>
      </c>
      <c r="BF54" s="1532">
        <f>INT(SUMIFS(raw[stay],raw[transit],homes[[#This Row],[home]]))</f>
        <v/>
      </c>
      <c r="BG54" s="1511">
        <f>homes[[#This Row],[netmain]]+homes[[#This Row],[extra]]</f>
        <v/>
      </c>
      <c r="BH54" s="1432" t="inlineStr">
        <is>
          <t>.</t>
        </is>
      </c>
      <c r="BI54" s="1491" t="n"/>
      <c r="BJ54" s="1491" t="n"/>
      <c r="BK54" s="1491" t="n"/>
      <c r="BL54" s="1491" t="n"/>
      <c r="BM54" s="1491" t="n"/>
      <c r="BN54" s="1491" t="n"/>
      <c r="BO54" s="1467" t="n"/>
      <c r="BP54" s="1514" t="n">
        <v>50</v>
      </c>
      <c r="BQ54" s="1513">
        <f>[1]Sheet1!C55</f>
        <v/>
      </c>
      <c r="BR54" s="1515">
        <f>[1]Sheet1!D55</f>
        <v/>
      </c>
      <c r="BS54" s="1513">
        <f>[1]Sheet1!E55</f>
        <v/>
      </c>
      <c r="BT54" s="1515">
        <f>[1]Sheet1!F55</f>
        <v/>
      </c>
      <c r="BU54" s="1516">
        <f>[1]Sheet1!G55</f>
        <v/>
      </c>
      <c r="BV54" s="1513">
        <f>[1]Sheet1!H55</f>
        <v/>
      </c>
      <c r="BW54" s="1467" t="n"/>
      <c r="BX54" s="1491">
        <f>[1]Sheet1!$J55</f>
        <v/>
      </c>
      <c r="BY54" s="1517">
        <f>[1]Sheet1!$K55</f>
        <v/>
      </c>
      <c r="BZ54" s="1517">
        <f>[1]Sheet1!$L55</f>
        <v/>
      </c>
      <c r="CA54" s="1500">
        <f>[1]Sheet1!$M55</f>
        <v/>
      </c>
      <c r="CB54" s="1467" t="n"/>
      <c r="CC54" s="1467" t="n"/>
      <c r="CD54" s="1500">
        <f>[1]Sheet1!$P55</f>
        <v/>
      </c>
      <c r="CE54" s="1513">
        <f>[1]Sheet1!$Q55</f>
        <v/>
      </c>
      <c r="CF54" s="1515">
        <f>[1]Sheet1!$R55</f>
        <v/>
      </c>
      <c r="CG54" s="1477" t="n"/>
      <c r="CH54" s="1513" t="n"/>
      <c r="CI54" s="1513" t="n"/>
      <c r="CJ54" s="1513" t="n"/>
      <c r="CK54" s="1477" t="n"/>
      <c r="CL54" s="1521" t="n">
        <v>50</v>
      </c>
      <c r="CM54" s="1500" t="inlineStr">
        <is>
          <t>London-NYC</t>
        </is>
      </c>
      <c r="CN54" s="1500" t="inlineStr">
        <is>
          <t>London</t>
        </is>
      </c>
      <c r="CO54" s="1500" t="inlineStr">
        <is>
          <t>NYC</t>
        </is>
      </c>
      <c r="CP54" s="1514" t="n">
        <v>5600</v>
      </c>
      <c r="CQ54" s="1477" t="n"/>
      <c r="CR54" s="1491" t="n"/>
      <c r="CS54" s="1491" t="n"/>
      <c r="CT54" s="1491" t="n"/>
      <c r="CU54" s="1491" t="n"/>
      <c r="CV54" s="1491" t="n"/>
      <c r="CW54" s="1491" t="n"/>
      <c r="CX54" s="1491" t="n"/>
    </row>
    <row r="55">
      <c r="A55" s="1427" t="inlineStr">
        <is>
          <t>.</t>
        </is>
      </c>
      <c r="B55" s="1496" t="n"/>
      <c r="C55" s="1496" t="n"/>
      <c r="D55" s="1497">
        <f>IF(E55&lt;&gt;"",D54+1,D54)</f>
        <v/>
      </c>
      <c r="E55" s="1497" t="inlineStr">
        <is>
          <t>Koln</t>
        </is>
      </c>
      <c r="F55" s="1427" t="inlineStr">
        <is>
          <t>.</t>
        </is>
      </c>
      <c r="G55" s="1498">
        <f>IF(H55="AIR",0,IF(H54="AIR",G53+1,IF(H55&lt;&gt;"",G54+1,G54)))</f>
        <v/>
      </c>
      <c r="H55" s="1498" t="inlineStr">
        <is>
          <t>Oberwesel</t>
        </is>
      </c>
      <c r="I55" s="1427" t="inlineStr">
        <is>
          <t>.</t>
        </is>
      </c>
      <c r="J55" s="1499" t="n">
        <v>50</v>
      </c>
      <c r="K55" s="1500">
        <f>_xlfn.XLOOKUP(cities[[#This Row],[id]],$D$5:$D$1500,E$5:E$1500,"-")</f>
        <v/>
      </c>
      <c r="L55" s="1500">
        <f>_xlfn.XLOOKUP(cities[[#This Row],[city]],ccc[city],ccc[ctry],"-")</f>
        <v/>
      </c>
      <c r="M55" s="1500">
        <f>SUMIFS(stayCity[stay],stayCity[city],cities[[#This Row],[city]])</f>
        <v/>
      </c>
      <c r="N55" s="1427">
        <f>N54+1</f>
        <v/>
      </c>
      <c r="O55" s="1501" t="n"/>
      <c r="P55" s="1501" t="n"/>
      <c r="Q55" s="1427" t="inlineStr">
        <is>
          <t>.</t>
        </is>
      </c>
      <c r="R55" s="1473">
        <f>IF(S55&lt;&gt;"",R54+1,R54)</f>
        <v/>
      </c>
      <c r="S55" s="1473" t="n"/>
      <c r="T55" s="1427" t="inlineStr">
        <is>
          <t>.</t>
        </is>
      </c>
      <c r="U55" s="1518" t="n"/>
      <c r="V55" s="1500" t="n"/>
      <c r="W55" s="1500" t="n"/>
      <c r="X55" s="1500" t="n"/>
      <c r="Y55" s="1500" t="n"/>
      <c r="Z55" s="1427" t="inlineStr">
        <is>
          <t>.</t>
        </is>
      </c>
      <c r="AA55" s="1473">
        <f>IF(AB55&lt;&gt;"",AA54+1,AA54)</f>
        <v/>
      </c>
      <c r="AB55" s="1473" t="inlineStr">
        <is>
          <t>London-Reykjavik</t>
        </is>
      </c>
      <c r="AC55" s="1473">
        <f>IF(AD55&lt;&gt;"",AC54+1,AC54)</f>
        <v/>
      </c>
      <c r="AD55" s="1473" t="inlineStr">
        <is>
          <t>Porto</t>
        </is>
      </c>
      <c r="AE55" s="1427" t="inlineStr">
        <is>
          <t>.</t>
        </is>
      </c>
      <c r="AF55" s="1502" t="n">
        <v>51</v>
      </c>
      <c r="AG55" s="1500">
        <f>_xlfn.XLOOKUP(routes[[#This Row],[id]],$AA$5:$AA$300,$AB$5:$AB$300,"-")</f>
        <v/>
      </c>
      <c r="AH55" s="1500">
        <f>_xlfn.XLOOKUP(routes[[#This Row],[route]],routesUniv[route],routesUniv[outbound],"-")</f>
        <v/>
      </c>
      <c r="AI55" s="1500">
        <f>_xlfn.XLOOKUP(routes[[#This Row],[route]],routesUniv[route],routesUniv[inbound],"-")</f>
        <v/>
      </c>
      <c r="AJ55" s="1500">
        <f>_xlfn.XLOOKUP(routes[[#This Row],[route]],routesUniv[route],routesUniv[km],"-")</f>
        <v/>
      </c>
      <c r="AK55" s="1500">
        <f>COUNTIF(INPUT!BT$5:BT$1000,AG55)</f>
        <v/>
      </c>
      <c r="AL55" s="1505">
        <f>routes[[#This Row],[km]]*routes[[#This Row],[rpt]]/1000</f>
        <v/>
      </c>
      <c r="AM55" s="1481" t="inlineStr">
        <is>
          <t>.</t>
        </is>
      </c>
      <c r="AN55" s="1506" t="n">
        <v>51</v>
      </c>
      <c r="AO55" s="1500">
        <f>IF(AD55&lt;&gt;"",AD55,"-")</f>
        <v/>
      </c>
      <c r="AP55" s="1500">
        <f>_xlfn.XLOOKUP(cityRoutes[[#This Row],[city]],ccc[city],ccc[ctry],"-")</f>
        <v/>
      </c>
      <c r="AQ55" s="1500">
        <f>COUNTIF(INPUT!BR$5:BS$1000,AO55)</f>
        <v/>
      </c>
      <c r="AR55" s="1507">
        <f>(SUMIFS(routes[total],routes[outbound],AO55)+SUMIFS(routes[total],routes[inbound],AO55))/2</f>
        <v/>
      </c>
      <c r="AS55" s="1481" t="inlineStr">
        <is>
          <t>.</t>
        </is>
      </c>
      <c r="AT55" s="1491" t="n"/>
      <c r="AU55" s="1491" t="n"/>
      <c r="AV55" s="1491" t="n"/>
      <c r="AW55" s="1491" t="n"/>
      <c r="AX55" s="1491" t="n"/>
      <c r="AY55" s="1491" t="n"/>
      <c r="AZ55" s="1491" t="n"/>
      <c r="BA55" s="1491" t="n"/>
      <c r="BB55" s="1491" t="n"/>
      <c r="BC55" s="1491" t="n"/>
      <c r="BD55" s="1491" t="n"/>
      <c r="BE55" s="1491" t="n"/>
      <c r="BF55" s="1491" t="n"/>
      <c r="BG55" s="1491" t="n"/>
      <c r="BH55" s="1491" t="n"/>
      <c r="BI55" s="1491" t="n"/>
      <c r="BJ55" s="1491" t="n"/>
      <c r="BK55" s="1491" t="n"/>
      <c r="BL55" s="1491" t="n"/>
      <c r="BM55" s="1491" t="n"/>
      <c r="BN55" s="1491" t="n"/>
      <c r="BO55" s="1467" t="n"/>
      <c r="BP55" s="1514" t="n">
        <v>51</v>
      </c>
      <c r="BQ55" s="1513">
        <f>[1]Sheet1!C56</f>
        <v/>
      </c>
      <c r="BR55" s="1515">
        <f>[1]Sheet1!D56</f>
        <v/>
      </c>
      <c r="BS55" s="1513">
        <f>[1]Sheet1!E56</f>
        <v/>
      </c>
      <c r="BT55" s="1515">
        <f>[1]Sheet1!F56</f>
        <v/>
      </c>
      <c r="BU55" s="1516">
        <f>[1]Sheet1!G56</f>
        <v/>
      </c>
      <c r="BV55" s="1513">
        <f>[1]Sheet1!H56</f>
        <v/>
      </c>
      <c r="BW55" s="1467" t="n"/>
      <c r="BX55" s="1491">
        <f>[1]Sheet1!$J56</f>
        <v/>
      </c>
      <c r="BY55" s="1517">
        <f>[1]Sheet1!$K56</f>
        <v/>
      </c>
      <c r="BZ55" s="1517">
        <f>[1]Sheet1!$L56</f>
        <v/>
      </c>
      <c r="CA55" s="1500">
        <f>[1]Sheet1!$M56</f>
        <v/>
      </c>
      <c r="CB55" s="1467" t="n"/>
      <c r="CC55" s="1467" t="n"/>
      <c r="CD55" s="1500">
        <f>[1]Sheet1!$P56</f>
        <v/>
      </c>
      <c r="CE55" s="1513">
        <f>[1]Sheet1!$Q56</f>
        <v/>
      </c>
      <c r="CF55" s="1515">
        <f>[1]Sheet1!$R56</f>
        <v/>
      </c>
      <c r="CG55" s="1477" t="n"/>
      <c r="CH55" s="1513" t="n"/>
      <c r="CI55" s="1513" t="n"/>
      <c r="CJ55" s="1513" t="n"/>
      <c r="CK55" s="1477" t="n"/>
      <c r="CL55" s="1521" t="n">
        <v>51</v>
      </c>
      <c r="CM55" s="1513" t="inlineStr">
        <is>
          <t>London-Porto</t>
        </is>
      </c>
      <c r="CN55" s="1513" t="inlineStr">
        <is>
          <t>London</t>
        </is>
      </c>
      <c r="CO55" s="1513" t="inlineStr">
        <is>
          <t>Porto</t>
        </is>
      </c>
      <c r="CP55" s="1514" t="n">
        <v>1400</v>
      </c>
      <c r="CQ55" s="1477" t="n"/>
      <c r="CR55" s="1491" t="n"/>
      <c r="CS55" s="1491" t="n"/>
      <c r="CT55" s="1491" t="n"/>
      <c r="CU55" s="1491" t="n"/>
      <c r="CV55" s="1491" t="n"/>
      <c r="CW55" s="1491" t="n"/>
      <c r="CX55" s="1491" t="n"/>
    </row>
    <row r="56">
      <c r="A56" s="1427" t="inlineStr">
        <is>
          <t>.</t>
        </is>
      </c>
      <c r="B56" s="1496" t="n"/>
      <c r="C56" s="1496" t="n"/>
      <c r="D56" s="1497">
        <f>IF(E56&lt;&gt;"",D55+1,D55)</f>
        <v/>
      </c>
      <c r="E56" s="1497" t="inlineStr">
        <is>
          <t>Amsterdam</t>
        </is>
      </c>
      <c r="F56" s="1427" t="inlineStr">
        <is>
          <t>.</t>
        </is>
      </c>
      <c r="G56" s="1498">
        <f>IF(H56="AIR",0,IF(H55="AIR",G54+1,IF(H56&lt;&gt;"",G55+1,G55)))</f>
        <v/>
      </c>
      <c r="H56" s="1498" t="inlineStr">
        <is>
          <t>Bonn</t>
        </is>
      </c>
      <c r="I56" s="1427" t="inlineStr">
        <is>
          <t>.</t>
        </is>
      </c>
      <c r="J56" s="1499" t="n">
        <v>51</v>
      </c>
      <c r="K56" s="1500">
        <f>_xlfn.XLOOKUP(cities[[#This Row],[id]],$D$5:$D$1500,E$5:E$1500,"-")</f>
        <v/>
      </c>
      <c r="L56" s="1500">
        <f>_xlfn.XLOOKUP(cities[[#This Row],[city]],ccc[city],ccc[ctry],"-")</f>
        <v/>
      </c>
      <c r="M56" s="1500">
        <f>SUMIFS(stayCity[stay],stayCity[city],cities[[#This Row],[city]])</f>
        <v/>
      </c>
      <c r="N56" s="1427">
        <f>N55+1</f>
        <v/>
      </c>
      <c r="O56" s="1501" t="n"/>
      <c r="P56" s="1501" t="n"/>
      <c r="Q56" s="1427" t="inlineStr">
        <is>
          <t>.</t>
        </is>
      </c>
      <c r="R56" s="1491" t="n"/>
      <c r="S56" s="1491" t="n"/>
      <c r="T56" s="1491" t="n"/>
      <c r="U56" s="1491" t="n"/>
      <c r="V56" s="1491" t="n"/>
      <c r="W56" s="1491" t="n"/>
      <c r="X56" s="1491" t="n"/>
      <c r="Y56" s="1491" t="n"/>
      <c r="Z56" s="1427" t="inlineStr">
        <is>
          <t>.</t>
        </is>
      </c>
      <c r="AA56" s="1473">
        <f>IF(AB56&lt;&gt;"",AA55+1,AA55)</f>
        <v/>
      </c>
      <c r="AB56" s="1534" t="inlineStr">
        <is>
          <t>Reykjavik-NYC</t>
        </is>
      </c>
      <c r="AC56" s="1473">
        <f>IF(AD56&lt;&gt;"",AC55+1,AC55)</f>
        <v/>
      </c>
      <c r="AD56" s="1534" t="inlineStr">
        <is>
          <t>Santiago</t>
        </is>
      </c>
      <c r="AE56" s="1427" t="inlineStr">
        <is>
          <t>.</t>
        </is>
      </c>
      <c r="AF56" s="1502" t="n">
        <v>52</v>
      </c>
      <c r="AG56" s="1500">
        <f>_xlfn.XLOOKUP(routes[[#This Row],[id]],$AA$5:$AA$300,$AB$5:$AB$300,"-")</f>
        <v/>
      </c>
      <c r="AH56" s="1500">
        <f>_xlfn.XLOOKUP(routes[[#This Row],[route]],routesUniv[route],routesUniv[outbound],"-")</f>
        <v/>
      </c>
      <c r="AI56" s="1500">
        <f>_xlfn.XLOOKUP(routes[[#This Row],[route]],routesUniv[route],routesUniv[inbound],"-")</f>
        <v/>
      </c>
      <c r="AJ56" s="1500">
        <f>_xlfn.XLOOKUP(routes[[#This Row],[route]],routesUniv[route],routesUniv[km],"-")</f>
        <v/>
      </c>
      <c r="AK56" s="1500">
        <f>COUNTIF(INPUT!BT$5:BT$1000,AG56)</f>
        <v/>
      </c>
      <c r="AL56" s="1505">
        <f>routes[[#This Row],[km]]*routes[[#This Row],[rpt]]/1000</f>
        <v/>
      </c>
      <c r="AM56" s="1481" t="inlineStr">
        <is>
          <t>.</t>
        </is>
      </c>
      <c r="AN56" s="1506" t="n">
        <v>52</v>
      </c>
      <c r="AO56" s="1500">
        <f>IF(AD56&lt;&gt;"",AD56,"-")</f>
        <v/>
      </c>
      <c r="AP56" s="1500">
        <f>_xlfn.XLOOKUP(cityRoutes[[#This Row],[city]],ccc[city],ccc[ctry],"-")</f>
        <v/>
      </c>
      <c r="AQ56" s="1500">
        <f>COUNTIF(INPUT!BR$5:BS$1000,AO56)</f>
        <v/>
      </c>
      <c r="AR56" s="1507">
        <f>(SUMIFS(routes[total],routes[outbound],AO56)+SUMIFS(routes[total],routes[inbound],AO56))/2</f>
        <v/>
      </c>
      <c r="AS56" s="1481" t="inlineStr">
        <is>
          <t>.</t>
        </is>
      </c>
      <c r="AT56" s="1491" t="n"/>
      <c r="AU56" s="1491" t="n"/>
      <c r="AV56" s="1491" t="n"/>
      <c r="AW56" s="1491" t="n"/>
      <c r="AX56" s="1491" t="n"/>
      <c r="AY56" s="1491" t="n"/>
      <c r="AZ56" s="1491" t="n"/>
      <c r="BA56" s="1491" t="n"/>
      <c r="BB56" s="1491" t="n"/>
      <c r="BC56" s="1491" t="n"/>
      <c r="BD56" s="1491" t="n"/>
      <c r="BE56" s="1491" t="n"/>
      <c r="BF56" s="1491" t="n"/>
      <c r="BG56" s="1491" t="n"/>
      <c r="BH56" s="1491" t="n"/>
      <c r="BI56" s="1491" t="n"/>
      <c r="BJ56" s="1491" t="n"/>
      <c r="BK56" s="1491" t="n"/>
      <c r="BL56" s="1491" t="n"/>
      <c r="BM56" s="1491" t="n"/>
      <c r="BN56" s="1491" t="n"/>
      <c r="BO56" s="1467" t="n"/>
      <c r="BP56" s="1514" t="n">
        <v>52</v>
      </c>
      <c r="BQ56" s="1513">
        <f>[1]Sheet1!C57</f>
        <v/>
      </c>
      <c r="BR56" s="1515">
        <f>[1]Sheet1!D57</f>
        <v/>
      </c>
      <c r="BS56" s="1513">
        <f>[1]Sheet1!E57</f>
        <v/>
      </c>
      <c r="BT56" s="1515">
        <f>[1]Sheet1!F57</f>
        <v/>
      </c>
      <c r="BU56" s="1516">
        <f>[1]Sheet1!G57</f>
        <v/>
      </c>
      <c r="BV56" s="1513">
        <f>[1]Sheet1!H57</f>
        <v/>
      </c>
      <c r="BW56" s="1467" t="n"/>
      <c r="BX56" s="1491">
        <f>[1]Sheet1!$J57</f>
        <v/>
      </c>
      <c r="BY56" s="1517">
        <f>[1]Sheet1!$K57</f>
        <v/>
      </c>
      <c r="BZ56" s="1517">
        <f>[1]Sheet1!$L57</f>
        <v/>
      </c>
      <c r="CA56" s="1500">
        <f>[1]Sheet1!$M57</f>
        <v/>
      </c>
      <c r="CB56" s="1467" t="n"/>
      <c r="CC56" s="1467" t="n"/>
      <c r="CD56" s="1500">
        <f>[1]Sheet1!$P57</f>
        <v/>
      </c>
      <c r="CE56" s="1513">
        <f>[1]Sheet1!$Q57</f>
        <v/>
      </c>
      <c r="CF56" s="1515">
        <f>[1]Sheet1!$R57</f>
        <v/>
      </c>
      <c r="CG56" s="1477" t="n"/>
      <c r="CH56" s="1513" t="n"/>
      <c r="CI56" s="1513" t="n"/>
      <c r="CJ56" s="1513" t="n"/>
      <c r="CK56" s="1477" t="n"/>
      <c r="CL56" s="1521" t="n">
        <v>52</v>
      </c>
      <c r="CM56" s="1500" t="inlineStr">
        <is>
          <t>London-Reykjavik</t>
        </is>
      </c>
      <c r="CN56" s="1500" t="inlineStr">
        <is>
          <t>London</t>
        </is>
      </c>
      <c r="CO56" s="1500" t="inlineStr">
        <is>
          <t>Reykjavik</t>
        </is>
      </c>
      <c r="CP56" s="1514" t="n">
        <v>1900</v>
      </c>
      <c r="CQ56" s="1477" t="n"/>
      <c r="CR56" s="1491" t="n"/>
      <c r="CS56" s="1491" t="n"/>
      <c r="CT56" s="1491" t="n"/>
      <c r="CU56" s="1491" t="n"/>
      <c r="CV56" s="1491" t="n"/>
      <c r="CW56" s="1491" t="n"/>
      <c r="CX56" s="1491" t="n"/>
    </row>
    <row r="57">
      <c r="A57" s="1491" t="n"/>
      <c r="B57" s="1491" t="n"/>
      <c r="C57" s="1491" t="n"/>
      <c r="D57" s="1497">
        <f>IF(E57&lt;&gt;"",D56+1,D56)</f>
        <v/>
      </c>
      <c r="E57" s="1497" t="inlineStr">
        <is>
          <t>Paris</t>
        </is>
      </c>
      <c r="F57" s="1535" t="inlineStr">
        <is>
          <t>.</t>
        </is>
      </c>
      <c r="G57" s="1498">
        <f>IF(H57="AIR",0,IF(H56="AIR",G55+1,IF(H57&lt;&gt;"",G56+1,G56)))</f>
        <v/>
      </c>
      <c r="H57" s="1498" t="inlineStr">
        <is>
          <t>Koln</t>
        </is>
      </c>
      <c r="I57" s="1427" t="inlineStr">
        <is>
          <t>.</t>
        </is>
      </c>
      <c r="J57" s="1499" t="n">
        <v>52</v>
      </c>
      <c r="K57" s="1500">
        <f>_xlfn.XLOOKUP(cities[[#This Row],[id]],$D$5:$D$1500,E$5:E$1500,"-")</f>
        <v/>
      </c>
      <c r="L57" s="1500">
        <f>_xlfn.XLOOKUP(cities[[#This Row],[city]],ccc[city],ccc[ctry],"-")</f>
        <v/>
      </c>
      <c r="M57" s="1500">
        <f>SUMIFS(stayCity[stay],stayCity[city],cities[[#This Row],[city]])</f>
        <v/>
      </c>
      <c r="N57" s="1427">
        <f>N56+1</f>
        <v/>
      </c>
      <c r="O57" s="1501" t="n"/>
      <c r="P57" s="1501" t="n"/>
      <c r="Q57" s="1427" t="inlineStr">
        <is>
          <t>.</t>
        </is>
      </c>
      <c r="R57" s="1491" t="n"/>
      <c r="S57" s="1491" t="n"/>
      <c r="T57" s="1491" t="n"/>
      <c r="U57" s="1491" t="n"/>
      <c r="V57" s="1491" t="n"/>
      <c r="W57" s="1491" t="n"/>
      <c r="X57" s="1491" t="n"/>
      <c r="Y57" s="1491" t="n"/>
      <c r="Z57" s="1427" t="inlineStr">
        <is>
          <t>.</t>
        </is>
      </c>
      <c r="AA57" s="1473">
        <f>IF(AB57&lt;&gt;"",AA56+1,AA56)</f>
        <v/>
      </c>
      <c r="AB57" s="1534" t="inlineStr">
        <is>
          <t>Washington-Columbia</t>
        </is>
      </c>
      <c r="AC57" s="1473">
        <f>IF(AD57&lt;&gt;"",AC56+1,AC56)</f>
        <v/>
      </c>
      <c r="AD57" s="1534" t="inlineStr">
        <is>
          <t>Panama</t>
        </is>
      </c>
      <c r="AE57" s="1427" t="inlineStr">
        <is>
          <t>.</t>
        </is>
      </c>
      <c r="AF57" s="1502" t="n">
        <v>53</v>
      </c>
      <c r="AG57" s="1500">
        <f>_xlfn.XLOOKUP(routes[[#This Row],[id]],$AA$5:$AA$300,$AB$5:$AB$300,"-")</f>
        <v/>
      </c>
      <c r="AH57" s="1500">
        <f>_xlfn.XLOOKUP(routes[[#This Row],[route]],routesUniv[route],routesUniv[outbound],"-")</f>
        <v/>
      </c>
      <c r="AI57" s="1500">
        <f>_xlfn.XLOOKUP(routes[[#This Row],[route]],routesUniv[route],routesUniv[inbound],"-")</f>
        <v/>
      </c>
      <c r="AJ57" s="1500">
        <f>_xlfn.XLOOKUP(routes[[#This Row],[route]],routesUniv[route],routesUniv[km],"-")</f>
        <v/>
      </c>
      <c r="AK57" s="1500">
        <f>COUNTIF(INPUT!BT$5:BT$1000,AG57)</f>
        <v/>
      </c>
      <c r="AL57" s="1505">
        <f>routes[[#This Row],[km]]*routes[[#This Row],[rpt]]/1000</f>
        <v/>
      </c>
      <c r="AM57" s="1481" t="inlineStr">
        <is>
          <t>.</t>
        </is>
      </c>
      <c r="AN57" s="1506" t="n">
        <v>53</v>
      </c>
      <c r="AO57" s="1500">
        <f>IF(AD57&lt;&gt;"",AD57,"-")</f>
        <v/>
      </c>
      <c r="AP57" s="1500">
        <f>_xlfn.XLOOKUP(cityRoutes[[#This Row],[city]],ccc[city],ccc[ctry],"-")</f>
        <v/>
      </c>
      <c r="AQ57" s="1500">
        <f>COUNTIF(INPUT!BR$5:BS$1000,AO57)</f>
        <v/>
      </c>
      <c r="AR57" s="1507">
        <f>(SUMIFS(routes[total],routes[outbound],AO57)+SUMIFS(routes[total],routes[inbound],AO57))/2</f>
        <v/>
      </c>
      <c r="AS57" s="1481" t="inlineStr">
        <is>
          <t>.</t>
        </is>
      </c>
      <c r="AT57" s="1491" t="n"/>
      <c r="AU57" s="1491" t="n"/>
      <c r="AV57" s="1491" t="n"/>
      <c r="AW57" s="1491" t="n"/>
      <c r="AX57" s="1491" t="n"/>
      <c r="AY57" s="1491" t="n"/>
      <c r="AZ57" s="1491" t="n"/>
      <c r="BA57" s="1491" t="n"/>
      <c r="BB57" s="1491" t="n"/>
      <c r="BC57" s="1491" t="n"/>
      <c r="BD57" s="1491" t="n"/>
      <c r="BE57" s="1491" t="n"/>
      <c r="BF57" s="1491" t="n"/>
      <c r="BG57" s="1491" t="n"/>
      <c r="BH57" s="1491" t="n"/>
      <c r="BI57" s="1491" t="n"/>
      <c r="BJ57" s="1491" t="n"/>
      <c r="BK57" s="1491" t="n"/>
      <c r="BL57" s="1491" t="n"/>
      <c r="BM57" s="1491" t="n"/>
      <c r="BN57" s="1491" t="n"/>
      <c r="BO57" s="1467" t="n"/>
      <c r="BP57" s="1514" t="n">
        <v>53</v>
      </c>
      <c r="BQ57" s="1513">
        <f>[1]Sheet1!C58</f>
        <v/>
      </c>
      <c r="BR57" s="1515">
        <f>[1]Sheet1!D58</f>
        <v/>
      </c>
      <c r="BS57" s="1513">
        <f>[1]Sheet1!E58</f>
        <v/>
      </c>
      <c r="BT57" s="1515">
        <f>[1]Sheet1!F58</f>
        <v/>
      </c>
      <c r="BU57" s="1516">
        <f>[1]Sheet1!G58</f>
        <v/>
      </c>
      <c r="BV57" s="1513">
        <f>[1]Sheet1!H58</f>
        <v/>
      </c>
      <c r="BW57" s="1467" t="n"/>
      <c r="BX57" s="1491">
        <f>[1]Sheet1!$J58</f>
        <v/>
      </c>
      <c r="BY57" s="1517">
        <f>[1]Sheet1!$K58</f>
        <v/>
      </c>
      <c r="BZ57" s="1517">
        <f>[1]Sheet1!$L58</f>
        <v/>
      </c>
      <c r="CA57" s="1500">
        <f>[1]Sheet1!$M58</f>
        <v/>
      </c>
      <c r="CB57" s="1467" t="n"/>
      <c r="CC57" s="1467" t="n"/>
      <c r="CD57" s="1500">
        <f>[1]Sheet1!$P58</f>
        <v/>
      </c>
      <c r="CE57" s="1513">
        <f>[1]Sheet1!$Q58</f>
        <v/>
      </c>
      <c r="CF57" s="1515">
        <f>[1]Sheet1!$R58</f>
        <v/>
      </c>
      <c r="CG57" s="1477" t="n"/>
      <c r="CH57" s="1513" t="n"/>
      <c r="CI57" s="1513" t="n"/>
      <c r="CJ57" s="1513" t="n"/>
      <c r="CK57" s="1477" t="n"/>
      <c r="CL57" s="1521" t="n">
        <v>53</v>
      </c>
      <c r="CM57" s="1500" t="inlineStr">
        <is>
          <t>London-SP</t>
        </is>
      </c>
      <c r="CN57" s="1500" t="inlineStr">
        <is>
          <t>London</t>
        </is>
      </c>
      <c r="CO57" s="1500" t="inlineStr">
        <is>
          <t>SP</t>
        </is>
      </c>
      <c r="CP57" s="1514" t="n">
        <v>9500</v>
      </c>
      <c r="CQ57" s="1477" t="n"/>
      <c r="CR57" s="1491" t="n"/>
      <c r="CS57" s="1491" t="n"/>
      <c r="CT57" s="1491" t="n"/>
      <c r="CU57" s="1491" t="n"/>
      <c r="CV57" s="1491" t="n"/>
      <c r="CW57" s="1491" t="n"/>
      <c r="CX57" s="1491" t="n"/>
    </row>
    <row r="58">
      <c r="A58" s="1491" t="n"/>
      <c r="B58" s="1491" t="n"/>
      <c r="C58" s="1491" t="n"/>
      <c r="D58" s="1497">
        <f>IF(E58&lt;&gt;"",D57+1,D57)</f>
        <v/>
      </c>
      <c r="E58" s="1497" t="inlineStr">
        <is>
          <t>London</t>
        </is>
      </c>
      <c r="F58" s="1535" t="inlineStr">
        <is>
          <t>.</t>
        </is>
      </c>
      <c r="G58" s="1498">
        <f>IF(H58="AIR",0,IF(H57="AIR",G56+1,IF(H58&lt;&gt;"",G57+1,G57)))</f>
        <v/>
      </c>
      <c r="H58" s="1498" t="inlineStr">
        <is>
          <t>Amsterdam</t>
        </is>
      </c>
      <c r="I58" s="1427" t="inlineStr">
        <is>
          <t>.</t>
        </is>
      </c>
      <c r="J58" s="1499" t="n">
        <v>53</v>
      </c>
      <c r="K58" s="1500">
        <f>_xlfn.XLOOKUP(cities[[#This Row],[id]],$D$5:$D$1500,E$5:E$1500,"-")</f>
        <v/>
      </c>
      <c r="L58" s="1500">
        <f>_xlfn.XLOOKUP(cities[[#This Row],[city]],ccc[city],ccc[ctry],"-")</f>
        <v/>
      </c>
      <c r="M58" s="1500">
        <f>SUMIFS(stayCity[stay],stayCity[city],cities[[#This Row],[city]])</f>
        <v/>
      </c>
      <c r="N58" s="1427">
        <f>N57+1</f>
        <v/>
      </c>
      <c r="O58" s="1501" t="n"/>
      <c r="P58" s="1501" t="n"/>
      <c r="Q58" s="1427" t="inlineStr">
        <is>
          <t>.</t>
        </is>
      </c>
      <c r="R58" s="1491" t="n"/>
      <c r="S58" s="1491" t="n"/>
      <c r="T58" s="1491" t="n"/>
      <c r="U58" s="1491" t="n"/>
      <c r="V58" s="1491" t="n"/>
      <c r="W58" s="1491" t="n"/>
      <c r="X58" s="1491" t="n"/>
      <c r="Y58" s="1491" t="n"/>
      <c r="Z58" s="1427" t="inlineStr">
        <is>
          <t>.</t>
        </is>
      </c>
      <c r="AA58" s="1473">
        <f>IF(AB58&lt;&gt;"",AA57+1,AA57)</f>
        <v/>
      </c>
      <c r="AB58" s="1534" t="inlineStr">
        <is>
          <t>Columbia-Washington</t>
        </is>
      </c>
      <c r="AC58" s="1473">
        <f>IF(AD58&lt;&gt;"",AC57+1,AC57)</f>
        <v/>
      </c>
      <c r="AD58" s="1534" t="inlineStr">
        <is>
          <t>Atlanta</t>
        </is>
      </c>
      <c r="AE58" s="1427" t="inlineStr">
        <is>
          <t>.</t>
        </is>
      </c>
      <c r="AF58" s="1502" t="n">
        <v>54</v>
      </c>
      <c r="AG58" s="1500">
        <f>_xlfn.XLOOKUP(routes[[#This Row],[id]],$AA$5:$AA$300,$AB$5:$AB$300,"-")</f>
        <v/>
      </c>
      <c r="AH58" s="1500">
        <f>_xlfn.XLOOKUP(routes[[#This Row],[route]],routesUniv[route],routesUniv[outbound],"-")</f>
        <v/>
      </c>
      <c r="AI58" s="1500">
        <f>_xlfn.XLOOKUP(routes[[#This Row],[route]],routesUniv[route],routesUniv[inbound],"-")</f>
        <v/>
      </c>
      <c r="AJ58" s="1500">
        <f>_xlfn.XLOOKUP(routes[[#This Row],[route]],routesUniv[route],routesUniv[km],"-")</f>
        <v/>
      </c>
      <c r="AK58" s="1500">
        <f>COUNTIF(INPUT!BT$5:BT$1000,AG58)</f>
        <v/>
      </c>
      <c r="AL58" s="1505">
        <f>routes[[#This Row],[km]]*routes[[#This Row],[rpt]]/1000</f>
        <v/>
      </c>
      <c r="AM58" s="1481" t="inlineStr">
        <is>
          <t>.</t>
        </is>
      </c>
      <c r="AN58" s="1506" t="n">
        <v>54</v>
      </c>
      <c r="AO58" s="1500">
        <f>IF(AD58&lt;&gt;"",AD58,"-")</f>
        <v/>
      </c>
      <c r="AP58" s="1500">
        <f>_xlfn.XLOOKUP(cityRoutes[[#This Row],[city]],ccc[city],ccc[ctry],"-")</f>
        <v/>
      </c>
      <c r="AQ58" s="1500">
        <f>COUNTIF(INPUT!BR$5:BS$1000,AO58)</f>
        <v/>
      </c>
      <c r="AR58" s="1507">
        <f>(SUMIFS(routes[total],routes[outbound],AO58)+SUMIFS(routes[total],routes[inbound],AO58))/2</f>
        <v/>
      </c>
      <c r="AS58" s="1481" t="inlineStr">
        <is>
          <t>.</t>
        </is>
      </c>
      <c r="AT58" s="1491" t="n"/>
      <c r="AU58" s="1491" t="n"/>
      <c r="AV58" s="1491" t="n"/>
      <c r="AW58" s="1491" t="n"/>
      <c r="AX58" s="1491" t="n"/>
      <c r="AY58" s="1491" t="n"/>
      <c r="AZ58" s="1491" t="n"/>
      <c r="BA58" s="1491" t="n"/>
      <c r="BB58" s="1491" t="n"/>
      <c r="BC58" s="1491" t="n"/>
      <c r="BD58" s="1491" t="n"/>
      <c r="BE58" s="1491" t="n"/>
      <c r="BF58" s="1491" t="n"/>
      <c r="BG58" s="1491" t="n"/>
      <c r="BH58" s="1491" t="n"/>
      <c r="BI58" s="1491" t="n"/>
      <c r="BJ58" s="1491" t="n"/>
      <c r="BK58" s="1491" t="n"/>
      <c r="BL58" s="1491" t="n"/>
      <c r="BM58" s="1491" t="n"/>
      <c r="BN58" s="1491" t="n"/>
      <c r="BO58" s="1467" t="n"/>
      <c r="BP58" s="1514" t="n">
        <v>54</v>
      </c>
      <c r="BQ58" s="1513">
        <f>[1]Sheet1!C59</f>
        <v/>
      </c>
      <c r="BR58" s="1515">
        <f>[1]Sheet1!D59</f>
        <v/>
      </c>
      <c r="BS58" s="1513">
        <f>[1]Sheet1!E59</f>
        <v/>
      </c>
      <c r="BT58" s="1515">
        <f>[1]Sheet1!F59</f>
        <v/>
      </c>
      <c r="BU58" s="1516">
        <f>[1]Sheet1!G59</f>
        <v/>
      </c>
      <c r="BV58" s="1513">
        <f>[1]Sheet1!H59</f>
        <v/>
      </c>
      <c r="BW58" s="1467" t="n"/>
      <c r="BX58" s="1491">
        <f>[1]Sheet1!$J59</f>
        <v/>
      </c>
      <c r="BY58" s="1517">
        <f>[1]Sheet1!$K59</f>
        <v/>
      </c>
      <c r="BZ58" s="1517">
        <f>[1]Sheet1!$L59</f>
        <v/>
      </c>
      <c r="CA58" s="1500">
        <f>[1]Sheet1!$M59</f>
        <v/>
      </c>
      <c r="CB58" s="1467" t="n"/>
      <c r="CC58" s="1467" t="n"/>
      <c r="CD58" s="1500">
        <f>[1]Sheet1!$P59</f>
        <v/>
      </c>
      <c r="CE58" s="1513">
        <f>[1]Sheet1!$Q59</f>
        <v/>
      </c>
      <c r="CF58" s="1515">
        <f>[1]Sheet1!$R59</f>
        <v/>
      </c>
      <c r="CG58" s="1477" t="n"/>
      <c r="CH58" s="1513" t="n"/>
      <c r="CI58" s="1513" t="n"/>
      <c r="CJ58" s="1513" t="n"/>
      <c r="CK58" s="1477" t="n"/>
      <c r="CL58" s="1521" t="n">
        <v>54</v>
      </c>
      <c r="CM58" s="1500" t="inlineStr">
        <is>
          <t>London-Stockholm</t>
        </is>
      </c>
      <c r="CN58" s="1500" t="inlineStr">
        <is>
          <t>London</t>
        </is>
      </c>
      <c r="CO58" s="1500" t="inlineStr">
        <is>
          <t>Stockholm</t>
        </is>
      </c>
      <c r="CP58" s="1514" t="n">
        <v>1400</v>
      </c>
      <c r="CQ58" s="1477" t="n"/>
      <c r="CR58" s="1491" t="n"/>
      <c r="CS58" s="1491" t="n"/>
      <c r="CT58" s="1491" t="n"/>
      <c r="CU58" s="1491" t="n"/>
      <c r="CV58" s="1491" t="n"/>
      <c r="CW58" s="1491" t="n"/>
      <c r="CX58" s="1491" t="n"/>
    </row>
    <row r="59">
      <c r="A59" s="1491" t="n"/>
      <c r="B59" s="1491" t="n"/>
      <c r="C59" s="1491" t="n"/>
      <c r="D59" s="1497">
        <f>IF(E59&lt;&gt;"",D58+1,D58)</f>
        <v/>
      </c>
      <c r="E59" s="1497" t="inlineStr">
        <is>
          <t>NYC</t>
        </is>
      </c>
      <c r="F59" s="1535" t="inlineStr">
        <is>
          <t>.</t>
        </is>
      </c>
      <c r="G59" s="1498">
        <f>IF(H59="AIR",0,IF(H58="AIR",G57+1,IF(H59&lt;&gt;"",G58+1,G58)))</f>
        <v/>
      </c>
      <c r="H59" s="1498" t="inlineStr">
        <is>
          <t>Paris</t>
        </is>
      </c>
      <c r="I59" s="1427" t="inlineStr">
        <is>
          <t>.</t>
        </is>
      </c>
      <c r="J59" s="1499" t="n">
        <v>54</v>
      </c>
      <c r="K59" s="1500">
        <f>_xlfn.XLOOKUP(cities[[#This Row],[id]],$D$5:$D$1500,E$5:E$1500,"-")</f>
        <v/>
      </c>
      <c r="L59" s="1500">
        <f>_xlfn.XLOOKUP(cities[[#This Row],[city]],ccc[city],ccc[ctry],"-")</f>
        <v/>
      </c>
      <c r="M59" s="1500">
        <f>SUMIFS(stayCity[stay],stayCity[city],cities[[#This Row],[city]])</f>
        <v/>
      </c>
      <c r="N59" s="1427">
        <f>N58+1</f>
        <v/>
      </c>
      <c r="O59" s="1501" t="n"/>
      <c r="P59" s="1501" t="n"/>
      <c r="Q59" s="1427" t="inlineStr">
        <is>
          <t>.</t>
        </is>
      </c>
      <c r="R59" s="1491" t="n"/>
      <c r="S59" s="1491" t="n"/>
      <c r="T59" s="1491" t="n"/>
      <c r="U59" s="1491" t="n"/>
      <c r="V59" s="1491" t="n"/>
      <c r="W59" s="1491" t="n"/>
      <c r="X59" s="1491" t="n"/>
      <c r="Y59" s="1491" t="n"/>
      <c r="Z59" s="1427" t="inlineStr">
        <is>
          <t>.</t>
        </is>
      </c>
      <c r="AA59" s="1473">
        <f>IF(AB59&lt;&gt;"",AA58+1,AA58)</f>
        <v/>
      </c>
      <c r="AB59" s="1534" t="inlineStr">
        <is>
          <t>Washington-London</t>
        </is>
      </c>
      <c r="AC59" s="1473">
        <f>IF(AD59&lt;&gt;"",AC58+1,AC58)</f>
        <v/>
      </c>
      <c r="AD59" s="1534" t="inlineStr">
        <is>
          <t>Newark</t>
        </is>
      </c>
      <c r="AE59" s="1427" t="inlineStr">
        <is>
          <t>.</t>
        </is>
      </c>
      <c r="AF59" s="1502" t="n">
        <v>55</v>
      </c>
      <c r="AG59" s="1500">
        <f>_xlfn.XLOOKUP(routes[[#This Row],[id]],$AA$5:$AA$300,$AB$5:$AB$300,"-")</f>
        <v/>
      </c>
      <c r="AH59" s="1500">
        <f>_xlfn.XLOOKUP(routes[[#This Row],[route]],routesUniv[route],routesUniv[outbound],"-")</f>
        <v/>
      </c>
      <c r="AI59" s="1500">
        <f>_xlfn.XLOOKUP(routes[[#This Row],[route]],routesUniv[route],routesUniv[inbound],"-")</f>
        <v/>
      </c>
      <c r="AJ59" s="1500">
        <f>_xlfn.XLOOKUP(routes[[#This Row],[route]],routesUniv[route],routesUniv[km],"-")</f>
        <v/>
      </c>
      <c r="AK59" s="1500">
        <f>COUNTIF(INPUT!BT$5:BT$1000,AG59)</f>
        <v/>
      </c>
      <c r="AL59" s="1505">
        <f>routes[[#This Row],[km]]*routes[[#This Row],[rpt]]/1000</f>
        <v/>
      </c>
      <c r="AM59" s="1481" t="inlineStr">
        <is>
          <t>.</t>
        </is>
      </c>
      <c r="AN59" s="1506" t="n">
        <v>55</v>
      </c>
      <c r="AO59" s="1500">
        <f>IF(AD59&lt;&gt;"",AD59,"-")</f>
        <v/>
      </c>
      <c r="AP59" s="1500">
        <f>_xlfn.XLOOKUP(cityRoutes[[#This Row],[city]],ccc[city],ccc[ctry],"-")</f>
        <v/>
      </c>
      <c r="AQ59" s="1500">
        <f>COUNTIF(INPUT!BR$5:BS$1000,AO59)</f>
        <v/>
      </c>
      <c r="AR59" s="1507">
        <f>(SUMIFS(routes[total],routes[outbound],AO59)+SUMIFS(routes[total],routes[inbound],AO59))/2</f>
        <v/>
      </c>
      <c r="AS59" s="1481" t="inlineStr">
        <is>
          <t>.</t>
        </is>
      </c>
      <c r="AT59" s="1491" t="n"/>
      <c r="AU59" s="1491" t="n"/>
      <c r="AV59" s="1491" t="n"/>
      <c r="AW59" s="1491" t="n"/>
      <c r="AX59" s="1491" t="n"/>
      <c r="AY59" s="1491" t="n"/>
      <c r="AZ59" s="1491" t="n"/>
      <c r="BA59" s="1491" t="n"/>
      <c r="BB59" s="1491" t="n"/>
      <c r="BC59" s="1491" t="n"/>
      <c r="BD59" s="1491" t="n"/>
      <c r="BE59" s="1491" t="n"/>
      <c r="BF59" s="1491" t="n"/>
      <c r="BG59" s="1491" t="n"/>
      <c r="BH59" s="1491" t="n"/>
      <c r="BI59" s="1491" t="n"/>
      <c r="BJ59" s="1491" t="n"/>
      <c r="BK59" s="1491" t="n"/>
      <c r="BL59" s="1491" t="n"/>
      <c r="BM59" s="1491" t="n"/>
      <c r="BN59" s="1491" t="n"/>
      <c r="BO59" s="1467" t="n"/>
      <c r="BP59" s="1514" t="n">
        <v>55</v>
      </c>
      <c r="BQ59" s="1513">
        <f>[1]Sheet1!C60</f>
        <v/>
      </c>
      <c r="BR59" s="1515">
        <f>[1]Sheet1!D60</f>
        <v/>
      </c>
      <c r="BS59" s="1513">
        <f>[1]Sheet1!E60</f>
        <v/>
      </c>
      <c r="BT59" s="1515">
        <f>[1]Sheet1!F60</f>
        <v/>
      </c>
      <c r="BU59" s="1516">
        <f>[1]Sheet1!G60</f>
        <v/>
      </c>
      <c r="BV59" s="1513">
        <f>[1]Sheet1!H60</f>
        <v/>
      </c>
      <c r="BW59" s="1467" t="n"/>
      <c r="BX59" s="1491">
        <f>[1]Sheet1!$J60</f>
        <v/>
      </c>
      <c r="BY59" s="1517">
        <f>[1]Sheet1!$K60</f>
        <v/>
      </c>
      <c r="BZ59" s="1517">
        <f>[1]Sheet1!$L60</f>
        <v/>
      </c>
      <c r="CA59" s="1500">
        <f>[1]Sheet1!$M60</f>
        <v/>
      </c>
      <c r="CB59" s="1467" t="n"/>
      <c r="CC59" s="1467" t="n"/>
      <c r="CD59" s="1500">
        <f>[1]Sheet1!$P60</f>
        <v/>
      </c>
      <c r="CE59" s="1513">
        <f>[1]Sheet1!$Q60</f>
        <v/>
      </c>
      <c r="CF59" s="1515">
        <f>[1]Sheet1!$R60</f>
        <v/>
      </c>
      <c r="CG59" s="1477" t="n"/>
      <c r="CH59" s="1513" t="n"/>
      <c r="CI59" s="1513" t="n"/>
      <c r="CJ59" s="1513" t="n"/>
      <c r="CK59" s="1477" t="n"/>
      <c r="CL59" s="1521" t="n">
        <v>55</v>
      </c>
      <c r="CM59" s="1513" t="inlineStr">
        <is>
          <t>London-Venice</t>
        </is>
      </c>
      <c r="CN59" s="1513" t="inlineStr">
        <is>
          <t>London</t>
        </is>
      </c>
      <c r="CO59" s="1513" t="inlineStr">
        <is>
          <t>Venice</t>
        </is>
      </c>
      <c r="CP59" s="1514" t="n">
        <v>1100</v>
      </c>
      <c r="CQ59" s="1477" t="n"/>
      <c r="CR59" s="1491" t="n"/>
      <c r="CS59" s="1491" t="n"/>
      <c r="CT59" s="1491" t="n"/>
      <c r="CU59" s="1491" t="n"/>
      <c r="CV59" s="1491" t="n"/>
      <c r="CW59" s="1491" t="n"/>
      <c r="CX59" s="1491" t="n"/>
    </row>
    <row r="60">
      <c r="A60" s="1491" t="n"/>
      <c r="B60" s="1491" t="n"/>
      <c r="C60" s="1491" t="n"/>
      <c r="D60" s="1497">
        <f>IF(E60&lt;&gt;"",D59+1,D59)</f>
        <v/>
      </c>
      <c r="E60" s="1497" t="inlineStr">
        <is>
          <t>Washington</t>
        </is>
      </c>
      <c r="F60" s="1535" t="inlineStr">
        <is>
          <t>.</t>
        </is>
      </c>
      <c r="G60" s="1498">
        <f>IF(H60="AIR",0,IF(H59="AIR",G58+1,IF(H60&lt;&gt;"",G59+1,G59)))</f>
        <v/>
      </c>
      <c r="H60" s="1498" t="inlineStr">
        <is>
          <t>London</t>
        </is>
      </c>
      <c r="I60" s="1427" t="inlineStr">
        <is>
          <t>.</t>
        </is>
      </c>
      <c r="J60" s="1499" t="n">
        <v>55</v>
      </c>
      <c r="K60" s="1500">
        <f>_xlfn.XLOOKUP(cities[[#This Row],[id]],$D$5:$D$1500,E$5:E$1500,"-")</f>
        <v/>
      </c>
      <c r="L60" s="1500">
        <f>_xlfn.XLOOKUP(cities[[#This Row],[city]],ccc[city],ccc[ctry],"-")</f>
        <v/>
      </c>
      <c r="M60" s="1500">
        <f>SUMIFS(stayCity[stay],stayCity[city],cities[[#This Row],[city]])</f>
        <v/>
      </c>
      <c r="N60" s="1427">
        <f>N59+1</f>
        <v/>
      </c>
      <c r="O60" s="1501" t="n"/>
      <c r="P60" s="1501" t="n"/>
      <c r="Q60" s="1427" t="inlineStr">
        <is>
          <t>.</t>
        </is>
      </c>
      <c r="R60" s="1491" t="n"/>
      <c r="S60" s="1491" t="n"/>
      <c r="T60" s="1491" t="n"/>
      <c r="U60" s="1491" t="n"/>
      <c r="V60" s="1491" t="n"/>
      <c r="W60" s="1491" t="n"/>
      <c r="X60" s="1491" t="n"/>
      <c r="Y60" s="1491" t="n"/>
      <c r="Z60" s="1427" t="inlineStr">
        <is>
          <t>.</t>
        </is>
      </c>
      <c r="AA60" s="1473">
        <f>IF(AB60&lt;&gt;"",AA59+1,AA59)</f>
        <v/>
      </c>
      <c r="AB60" s="1534" t="inlineStr">
        <is>
          <t>London-Geneve</t>
        </is>
      </c>
      <c r="AC60" s="1473">
        <f>IF(AD60&lt;&gt;"",AC59+1,AC59)</f>
        <v/>
      </c>
      <c r="AD60" s="1534" t="inlineStr">
        <is>
          <t>Chicago</t>
        </is>
      </c>
      <c r="AE60" s="1427" t="inlineStr">
        <is>
          <t>.</t>
        </is>
      </c>
      <c r="AF60" s="1502" t="n">
        <v>56</v>
      </c>
      <c r="AG60" s="1500">
        <f>_xlfn.XLOOKUP(routes[[#This Row],[id]],$AA$5:$AA$300,$AB$5:$AB$300,"-")</f>
        <v/>
      </c>
      <c r="AH60" s="1500">
        <f>_xlfn.XLOOKUP(routes[[#This Row],[route]],routesUniv[route],routesUniv[outbound],"-")</f>
        <v/>
      </c>
      <c r="AI60" s="1500">
        <f>_xlfn.XLOOKUP(routes[[#This Row],[route]],routesUniv[route],routesUniv[inbound],"-")</f>
        <v/>
      </c>
      <c r="AJ60" s="1500">
        <f>_xlfn.XLOOKUP(routes[[#This Row],[route]],routesUniv[route],routesUniv[km],"-")</f>
        <v/>
      </c>
      <c r="AK60" s="1500">
        <f>COUNTIF(INPUT!BT$5:BT$1000,AG60)</f>
        <v/>
      </c>
      <c r="AL60" s="1505">
        <f>routes[[#This Row],[km]]*routes[[#This Row],[rpt]]/1000</f>
        <v/>
      </c>
      <c r="AM60" s="1481" t="inlineStr">
        <is>
          <t>.</t>
        </is>
      </c>
      <c r="AN60" s="1506" t="n">
        <v>56</v>
      </c>
      <c r="AO60" s="1500">
        <f>IF(AD60&lt;&gt;"",AD60,"-")</f>
        <v/>
      </c>
      <c r="AP60" s="1500">
        <f>_xlfn.XLOOKUP(cityRoutes[[#This Row],[city]],ccc[city],ccc[ctry],"-")</f>
        <v/>
      </c>
      <c r="AQ60" s="1500">
        <f>COUNTIF(INPUT!BR$5:BS$1000,AO60)</f>
        <v/>
      </c>
      <c r="AR60" s="1507">
        <f>(SUMIFS(routes[total],routes[outbound],AO60)+SUMIFS(routes[total],routes[inbound],AO60))/2</f>
        <v/>
      </c>
      <c r="AS60" s="1481" t="inlineStr">
        <is>
          <t>.</t>
        </is>
      </c>
      <c r="AT60" s="1491" t="n"/>
      <c r="AU60" s="1491" t="n"/>
      <c r="AV60" s="1491" t="n"/>
      <c r="AW60" s="1491" t="n"/>
      <c r="AX60" s="1491" t="n"/>
      <c r="AY60" s="1491" t="n"/>
      <c r="AZ60" s="1491" t="n"/>
      <c r="BA60" s="1491" t="n"/>
      <c r="BB60" s="1491" t="n"/>
      <c r="BC60" s="1491" t="n"/>
      <c r="BD60" s="1491" t="n"/>
      <c r="BE60" s="1491" t="n"/>
      <c r="BF60" s="1491" t="n"/>
      <c r="BG60" s="1491" t="n"/>
      <c r="BH60" s="1491" t="n"/>
      <c r="BI60" s="1491" t="n"/>
      <c r="BJ60" s="1491" t="n"/>
      <c r="BK60" s="1491" t="n"/>
      <c r="BL60" s="1491" t="n"/>
      <c r="BM60" s="1491" t="n"/>
      <c r="BN60" s="1491" t="n"/>
      <c r="BO60" s="1467" t="n"/>
      <c r="BP60" s="1514" t="n">
        <v>56</v>
      </c>
      <c r="BQ60" s="1513">
        <f>[1]Sheet1!C61</f>
        <v/>
      </c>
      <c r="BR60" s="1515">
        <f>[1]Sheet1!D61</f>
        <v/>
      </c>
      <c r="BS60" s="1513">
        <f>[1]Sheet1!E61</f>
        <v/>
      </c>
      <c r="BT60" s="1515">
        <f>[1]Sheet1!F61</f>
        <v/>
      </c>
      <c r="BU60" s="1516">
        <f>[1]Sheet1!G61</f>
        <v/>
      </c>
      <c r="BV60" s="1513">
        <f>[1]Sheet1!H61</f>
        <v/>
      </c>
      <c r="BW60" s="1467" t="n"/>
      <c r="BX60" s="1491">
        <f>[1]Sheet1!$J61</f>
        <v/>
      </c>
      <c r="BY60" s="1517">
        <f>[1]Sheet1!$K61</f>
        <v/>
      </c>
      <c r="BZ60" s="1517">
        <f>[1]Sheet1!$L61</f>
        <v/>
      </c>
      <c r="CA60" s="1500">
        <f>[1]Sheet1!$M61</f>
        <v/>
      </c>
      <c r="CB60" s="1467" t="n"/>
      <c r="CC60" s="1467" t="n"/>
      <c r="CD60" s="1500">
        <f>[1]Sheet1!$P61</f>
        <v/>
      </c>
      <c r="CE60" s="1513">
        <f>[1]Sheet1!$Q61</f>
        <v/>
      </c>
      <c r="CF60" s="1515">
        <f>[1]Sheet1!$R61</f>
        <v/>
      </c>
      <c r="CG60" s="1477" t="n"/>
      <c r="CH60" s="1513" t="n"/>
      <c r="CI60" s="1513" t="n"/>
      <c r="CJ60" s="1513" t="n"/>
      <c r="CK60" s="1477" t="n"/>
      <c r="CL60" s="1521" t="n">
        <v>56</v>
      </c>
      <c r="CM60" s="1513" t="inlineStr">
        <is>
          <t>London-Washington</t>
        </is>
      </c>
      <c r="CN60" s="1513" t="inlineStr">
        <is>
          <t>London</t>
        </is>
      </c>
      <c r="CO60" s="1513" t="inlineStr">
        <is>
          <t>Washington</t>
        </is>
      </c>
      <c r="CP60" s="1514" t="n">
        <v>5900</v>
      </c>
      <c r="CQ60" s="1477" t="n"/>
      <c r="CR60" s="1491" t="n"/>
      <c r="CS60" s="1491" t="n"/>
      <c r="CT60" s="1491" t="n"/>
      <c r="CU60" s="1491" t="n"/>
      <c r="CV60" s="1491" t="n"/>
      <c r="CW60" s="1491" t="n"/>
      <c r="CX60" s="1491" t="n"/>
    </row>
    <row r="61">
      <c r="A61" s="1491" t="n"/>
      <c r="B61" s="1491" t="n"/>
      <c r="C61" s="1491" t="n"/>
      <c r="D61" s="1497">
        <f>IF(E61&lt;&gt;"",D60+1,D60)</f>
        <v/>
      </c>
      <c r="E61" s="1497" t="inlineStr">
        <is>
          <t>Olinda</t>
        </is>
      </c>
      <c r="F61" s="1535" t="inlineStr">
        <is>
          <t>.</t>
        </is>
      </c>
      <c r="G61" s="1498">
        <f>IF(H61="AIR",0,IF(H60="AIR",G59+1,IF(H61&lt;&gt;"",G60+1,G60)))</f>
        <v/>
      </c>
      <c r="H61" s="1498" t="inlineStr">
        <is>
          <t>NYC</t>
        </is>
      </c>
      <c r="I61" s="1427" t="inlineStr">
        <is>
          <t>.</t>
        </is>
      </c>
      <c r="J61" s="1499" t="n">
        <v>56</v>
      </c>
      <c r="K61" s="1500">
        <f>_xlfn.XLOOKUP(cities[[#This Row],[id]],$D$5:$D$1500,E$5:E$1500,"-")</f>
        <v/>
      </c>
      <c r="L61" s="1500">
        <f>_xlfn.XLOOKUP(cities[[#This Row],[city]],ccc[city],ccc[ctry],"-")</f>
        <v/>
      </c>
      <c r="M61" s="1500">
        <f>SUMIFS(stayCity[stay],stayCity[city],cities[[#This Row],[city]])</f>
        <v/>
      </c>
      <c r="N61" s="1427">
        <f>N60+1</f>
        <v/>
      </c>
      <c r="O61" s="1501" t="n"/>
      <c r="P61" s="1501" t="n"/>
      <c r="Q61" s="1427" t="inlineStr">
        <is>
          <t>.</t>
        </is>
      </c>
      <c r="R61" s="1491" t="n"/>
      <c r="S61" s="1491" t="n"/>
      <c r="T61" s="1491" t="n"/>
      <c r="U61" s="1491" t="n"/>
      <c r="V61" s="1491" t="n"/>
      <c r="W61" s="1491" t="n"/>
      <c r="X61" s="1491" t="n"/>
      <c r="Y61" s="1491" t="n"/>
      <c r="Z61" s="1427" t="inlineStr">
        <is>
          <t>.</t>
        </is>
      </c>
      <c r="AA61" s="1473">
        <f>IF(AB61&lt;&gt;"",AA60+1,AA60)</f>
        <v/>
      </c>
      <c r="AB61" s="1534" t="inlineStr">
        <is>
          <t>Geneve-London</t>
        </is>
      </c>
      <c r="AC61" s="1473">
        <f>IF(AD61&lt;&gt;"",AC60+1,AC60)</f>
        <v/>
      </c>
      <c r="AD61" s="1534" t="inlineStr">
        <is>
          <t>Amsterdam</t>
        </is>
      </c>
      <c r="AE61" s="1427" t="inlineStr">
        <is>
          <t>.</t>
        </is>
      </c>
      <c r="AF61" s="1502" t="n">
        <v>57</v>
      </c>
      <c r="AG61" s="1500">
        <f>_xlfn.XLOOKUP(routes[[#This Row],[id]],$AA$5:$AA$300,$AB$5:$AB$300,"-")</f>
        <v/>
      </c>
      <c r="AH61" s="1500">
        <f>_xlfn.XLOOKUP(routes[[#This Row],[route]],routesUniv[route],routesUniv[outbound],"-")</f>
        <v/>
      </c>
      <c r="AI61" s="1500">
        <f>_xlfn.XLOOKUP(routes[[#This Row],[route]],routesUniv[route],routesUniv[inbound],"-")</f>
        <v/>
      </c>
      <c r="AJ61" s="1500">
        <f>_xlfn.XLOOKUP(routes[[#This Row],[route]],routesUniv[route],routesUniv[km],"-")</f>
        <v/>
      </c>
      <c r="AK61" s="1500">
        <f>COUNTIF(INPUT!BT$5:BT$1000,AG61)</f>
        <v/>
      </c>
      <c r="AL61" s="1505">
        <f>routes[[#This Row],[km]]*routes[[#This Row],[rpt]]/1000</f>
        <v/>
      </c>
      <c r="AM61" s="1481" t="inlineStr">
        <is>
          <t>.</t>
        </is>
      </c>
      <c r="AN61" s="1506" t="n">
        <v>57</v>
      </c>
      <c r="AO61" s="1500">
        <f>IF(AD61&lt;&gt;"",AD61,"-")</f>
        <v/>
      </c>
      <c r="AP61" s="1500">
        <f>_xlfn.XLOOKUP(cityRoutes[[#This Row],[city]],ccc[city],ccc[ctry],"-")</f>
        <v/>
      </c>
      <c r="AQ61" s="1500">
        <f>COUNTIF(INPUT!BR$5:BS$1000,AO61)</f>
        <v/>
      </c>
      <c r="AR61" s="1507">
        <f>(SUMIFS(routes[total],routes[outbound],AO61)+SUMIFS(routes[total],routes[inbound],AO61))/2</f>
        <v/>
      </c>
      <c r="AS61" s="1481" t="inlineStr">
        <is>
          <t>.</t>
        </is>
      </c>
      <c r="AT61" s="1491" t="n"/>
      <c r="AU61" s="1491" t="n"/>
      <c r="AV61" s="1491" t="n"/>
      <c r="AW61" s="1491" t="n"/>
      <c r="AX61" s="1491" t="n"/>
      <c r="AY61" s="1491" t="n"/>
      <c r="AZ61" s="1491" t="n"/>
      <c r="BA61" s="1491" t="n"/>
      <c r="BB61" s="1491" t="n"/>
      <c r="BC61" s="1491" t="n"/>
      <c r="BD61" s="1491" t="n"/>
      <c r="BE61" s="1491" t="n"/>
      <c r="BF61" s="1491" t="n"/>
      <c r="BG61" s="1491" t="n"/>
      <c r="BH61" s="1491" t="n"/>
      <c r="BI61" s="1491" t="n"/>
      <c r="BJ61" s="1491" t="n"/>
      <c r="BK61" s="1491" t="n"/>
      <c r="BL61" s="1491" t="n"/>
      <c r="BM61" s="1491" t="n"/>
      <c r="BN61" s="1491" t="n"/>
      <c r="BO61" s="1467" t="n"/>
      <c r="BP61" s="1514" t="n">
        <v>57</v>
      </c>
      <c r="BQ61" s="1513">
        <f>[1]Sheet1!C62</f>
        <v/>
      </c>
      <c r="BR61" s="1515">
        <f>[1]Sheet1!D62</f>
        <v/>
      </c>
      <c r="BS61" s="1513">
        <f>[1]Sheet1!E62</f>
        <v/>
      </c>
      <c r="BT61" s="1515">
        <f>[1]Sheet1!F62</f>
        <v/>
      </c>
      <c r="BU61" s="1516">
        <f>[1]Sheet1!G62</f>
        <v/>
      </c>
      <c r="BV61" s="1513">
        <f>[1]Sheet1!H62</f>
        <v/>
      </c>
      <c r="BW61" s="1467" t="n"/>
      <c r="BX61" s="1491">
        <f>[1]Sheet1!$J62</f>
        <v/>
      </c>
      <c r="BY61" s="1517">
        <f>[1]Sheet1!$K62</f>
        <v/>
      </c>
      <c r="BZ61" s="1517">
        <f>[1]Sheet1!$L62</f>
        <v/>
      </c>
      <c r="CA61" s="1500">
        <f>[1]Sheet1!$M62</f>
        <v/>
      </c>
      <c r="CB61" s="1467" t="n"/>
      <c r="CC61" s="1467" t="n"/>
      <c r="CD61" s="1500">
        <f>[1]Sheet1!$P62</f>
        <v/>
      </c>
      <c r="CE61" s="1513">
        <f>[1]Sheet1!$Q62</f>
        <v/>
      </c>
      <c r="CF61" s="1515">
        <f>[1]Sheet1!$R62</f>
        <v/>
      </c>
      <c r="CG61" s="1477" t="n"/>
      <c r="CH61" s="1513" t="n"/>
      <c r="CI61" s="1513" t="n"/>
      <c r="CJ61" s="1513" t="n"/>
      <c r="CK61" s="1477" t="n"/>
      <c r="CL61" s="1521" t="n">
        <v>57</v>
      </c>
      <c r="CM61" s="1513" t="inlineStr">
        <is>
          <t>Madrid-Lisbon</t>
        </is>
      </c>
      <c r="CN61" s="1513" t="inlineStr">
        <is>
          <t>Madrid</t>
        </is>
      </c>
      <c r="CO61" s="1513" t="inlineStr">
        <is>
          <t>Lisbon</t>
        </is>
      </c>
      <c r="CP61" s="1514" t="n">
        <v>500</v>
      </c>
      <c r="CQ61" s="1477" t="n"/>
      <c r="CR61" s="1491" t="n"/>
      <c r="CS61" s="1491" t="n"/>
      <c r="CT61" s="1491" t="n"/>
      <c r="CU61" s="1491" t="n"/>
      <c r="CV61" s="1491" t="n"/>
      <c r="CW61" s="1491" t="n"/>
      <c r="CX61" s="1491" t="n"/>
    </row>
    <row r="62">
      <c r="A62" s="1491" t="n"/>
      <c r="B62" s="1491" t="n"/>
      <c r="C62" s="1491" t="n"/>
      <c r="D62" s="1497">
        <f>IF(E62&lt;&gt;"",D61+1,D61)</f>
        <v/>
      </c>
      <c r="E62" s="1497" t="inlineStr">
        <is>
          <t>Vernon</t>
        </is>
      </c>
      <c r="F62" s="1535" t="inlineStr">
        <is>
          <t>.</t>
        </is>
      </c>
      <c r="G62" s="1498">
        <f>IF(H62="AIR",0,IF(H61="AIR",G60+1,IF(H62&lt;&gt;"",G61+1,G61)))</f>
        <v/>
      </c>
      <c r="H62" s="1498" t="inlineStr">
        <is>
          <t>Washington</t>
        </is>
      </c>
      <c r="I62" s="1427" t="inlineStr">
        <is>
          <t>.</t>
        </is>
      </c>
      <c r="J62" s="1499" t="n">
        <v>57</v>
      </c>
      <c r="K62" s="1500">
        <f>_xlfn.XLOOKUP(cities[[#This Row],[id]],$D$5:$D$1500,E$5:E$1500,"-")</f>
        <v/>
      </c>
      <c r="L62" s="1500">
        <f>_xlfn.XLOOKUP(cities[[#This Row],[city]],ccc[city],ccc[ctry],"-")</f>
        <v/>
      </c>
      <c r="M62" s="1500">
        <f>SUMIFS(stayCity[stay],stayCity[city],cities[[#This Row],[city]])</f>
        <v/>
      </c>
      <c r="N62" s="1427">
        <f>N61+1</f>
        <v/>
      </c>
      <c r="O62" s="1501" t="n"/>
      <c r="P62" s="1501" t="n"/>
      <c r="Q62" s="1427" t="inlineStr">
        <is>
          <t>.</t>
        </is>
      </c>
      <c r="R62" s="1491" t="n"/>
      <c r="S62" s="1491" t="n"/>
      <c r="T62" s="1491" t="n"/>
      <c r="U62" s="1491" t="n"/>
      <c r="V62" s="1491" t="n"/>
      <c r="W62" s="1491" t="n"/>
      <c r="X62" s="1491" t="n"/>
      <c r="Y62" s="1491" t="n"/>
      <c r="Z62" s="1427" t="inlineStr">
        <is>
          <t>.</t>
        </is>
      </c>
      <c r="AA62" s="1473">
        <f>IF(AB62&lt;&gt;"",AA61+1,AA61)</f>
        <v/>
      </c>
      <c r="AB62" s="1534" t="inlineStr">
        <is>
          <t>London-Washington</t>
        </is>
      </c>
      <c r="AC62" s="1473">
        <f>IF(AD62&lt;&gt;"",AC61+1,AC61)</f>
        <v/>
      </c>
      <c r="AD62" s="1534" t="inlineStr">
        <is>
          <t>Philadelphia</t>
        </is>
      </c>
      <c r="AE62" s="1427" t="inlineStr">
        <is>
          <t>.</t>
        </is>
      </c>
      <c r="AF62" s="1502" t="n">
        <v>58</v>
      </c>
      <c r="AG62" s="1500">
        <f>_xlfn.XLOOKUP(routes[[#This Row],[id]],$AA$5:$AA$300,$AB$5:$AB$300,"-")</f>
        <v/>
      </c>
      <c r="AH62" s="1500">
        <f>_xlfn.XLOOKUP(routes[[#This Row],[route]],routesUniv[route],routesUniv[outbound],"-")</f>
        <v/>
      </c>
      <c r="AI62" s="1500">
        <f>_xlfn.XLOOKUP(routes[[#This Row],[route]],routesUniv[route],routesUniv[inbound],"-")</f>
        <v/>
      </c>
      <c r="AJ62" s="1500">
        <f>_xlfn.XLOOKUP(routes[[#This Row],[route]],routesUniv[route],routesUniv[km],"-")</f>
        <v/>
      </c>
      <c r="AK62" s="1500">
        <f>COUNTIF(INPUT!BT$5:BT$1000,AG62)</f>
        <v/>
      </c>
      <c r="AL62" s="1505">
        <f>routes[[#This Row],[km]]*routes[[#This Row],[rpt]]/1000</f>
        <v/>
      </c>
      <c r="AM62" s="1481" t="inlineStr">
        <is>
          <t>.</t>
        </is>
      </c>
      <c r="AN62" s="1506" t="n">
        <v>58</v>
      </c>
      <c r="AO62" s="1500">
        <f>IF(AD62&lt;&gt;"",AD62,"-")</f>
        <v/>
      </c>
      <c r="AP62" s="1500">
        <f>_xlfn.XLOOKUP(cityRoutes[[#This Row],[city]],ccc[city],ccc[ctry],"-")</f>
        <v/>
      </c>
      <c r="AQ62" s="1500">
        <f>COUNTIF(INPUT!BR$5:BS$1000,AO62)</f>
        <v/>
      </c>
      <c r="AR62" s="1507">
        <f>(SUMIFS(routes[total],routes[outbound],AO62)+SUMIFS(routes[total],routes[inbound],AO62))/2</f>
        <v/>
      </c>
      <c r="AS62" s="1481" t="inlineStr">
        <is>
          <t>.</t>
        </is>
      </c>
      <c r="AT62" s="1491" t="n"/>
      <c r="AU62" s="1491" t="n"/>
      <c r="AV62" s="1491" t="n"/>
      <c r="AW62" s="1491" t="n"/>
      <c r="AX62" s="1491" t="n"/>
      <c r="AY62" s="1491" t="n"/>
      <c r="AZ62" s="1491" t="n"/>
      <c r="BA62" s="1491" t="n"/>
      <c r="BB62" s="1491" t="n"/>
      <c r="BC62" s="1491" t="n"/>
      <c r="BD62" s="1491" t="n"/>
      <c r="BE62" s="1491" t="n"/>
      <c r="BF62" s="1491" t="n"/>
      <c r="BG62" s="1491" t="n"/>
      <c r="BH62" s="1491" t="n"/>
      <c r="BI62" s="1491" t="n"/>
      <c r="BJ62" s="1491" t="n"/>
      <c r="BK62" s="1491" t="n"/>
      <c r="BL62" s="1491" t="n"/>
      <c r="BM62" s="1491" t="n"/>
      <c r="BN62" s="1491" t="n"/>
      <c r="BO62" s="1467" t="n"/>
      <c r="BP62" s="1514" t="n">
        <v>58</v>
      </c>
      <c r="BQ62" s="1513">
        <f>[1]Sheet1!C63</f>
        <v/>
      </c>
      <c r="BR62" s="1515">
        <f>[1]Sheet1!D63</f>
        <v/>
      </c>
      <c r="BS62" s="1513">
        <f>[1]Sheet1!E63</f>
        <v/>
      </c>
      <c r="BT62" s="1515">
        <f>[1]Sheet1!F63</f>
        <v/>
      </c>
      <c r="BU62" s="1516">
        <f>[1]Sheet1!G63</f>
        <v/>
      </c>
      <c r="BV62" s="1513">
        <f>[1]Sheet1!H63</f>
        <v/>
      </c>
      <c r="BW62" s="1467" t="n"/>
      <c r="BX62" s="1491">
        <f>[1]Sheet1!$J63</f>
        <v/>
      </c>
      <c r="BY62" s="1517">
        <f>[1]Sheet1!$K63</f>
        <v/>
      </c>
      <c r="BZ62" s="1517">
        <f>[1]Sheet1!$L63</f>
        <v/>
      </c>
      <c r="CA62" s="1500">
        <f>[1]Sheet1!$M63</f>
        <v/>
      </c>
      <c r="CB62" s="1467" t="n"/>
      <c r="CC62" s="1467" t="n"/>
      <c r="CD62" s="1500">
        <f>[1]Sheet1!$P63</f>
        <v/>
      </c>
      <c r="CE62" s="1513">
        <f>[1]Sheet1!$Q63</f>
        <v/>
      </c>
      <c r="CF62" s="1515">
        <f>[1]Sheet1!$R63</f>
        <v/>
      </c>
      <c r="CG62" s="1477" t="n"/>
      <c r="CH62" s="1513" t="n"/>
      <c r="CI62" s="1513" t="n"/>
      <c r="CJ62" s="1513" t="n"/>
      <c r="CK62" s="1477" t="n"/>
      <c r="CL62" s="1521" t="n">
        <v>58</v>
      </c>
      <c r="CM62" s="1513" t="inlineStr">
        <is>
          <t>Madrid-London</t>
        </is>
      </c>
      <c r="CN62" s="1513" t="inlineStr">
        <is>
          <t>Madrid</t>
        </is>
      </c>
      <c r="CO62" s="1513" t="inlineStr">
        <is>
          <t>London</t>
        </is>
      </c>
      <c r="CP62" s="1514" t="n">
        <v>1300</v>
      </c>
      <c r="CQ62" s="1477" t="n"/>
      <c r="CR62" s="1491" t="n"/>
      <c r="CS62" s="1491" t="n"/>
      <c r="CT62" s="1491" t="n"/>
      <c r="CU62" s="1491" t="n"/>
      <c r="CV62" s="1491" t="n"/>
      <c r="CW62" s="1491" t="n"/>
      <c r="CX62" s="1491" t="n"/>
    </row>
    <row r="63">
      <c r="A63" s="1491" t="n"/>
      <c r="B63" s="1491" t="n"/>
      <c r="C63" s="1491" t="n"/>
      <c r="D63" s="1497">
        <f>IF(E63&lt;&gt;"",D62+1,D62)</f>
        <v/>
      </c>
      <c r="E63" s="1497" t="inlineStr">
        <is>
          <t>Les Andalys</t>
        </is>
      </c>
      <c r="F63" s="1535" t="inlineStr">
        <is>
          <t>.</t>
        </is>
      </c>
      <c r="G63" s="1498">
        <f>IF(H63="AIR",0,IF(H62="AIR",G61+1,IF(H63&lt;&gt;"",G62+1,G62)))</f>
        <v/>
      </c>
      <c r="H63" s="1498" t="inlineStr">
        <is>
          <t>Olinda</t>
        </is>
      </c>
      <c r="I63" s="1427" t="inlineStr">
        <is>
          <t>.</t>
        </is>
      </c>
      <c r="J63" s="1499" t="n">
        <v>58</v>
      </c>
      <c r="K63" s="1500">
        <f>_xlfn.XLOOKUP(cities[[#This Row],[id]],$D$5:$D$1500,E$5:E$1500,"-")</f>
        <v/>
      </c>
      <c r="L63" s="1500">
        <f>_xlfn.XLOOKUP(cities[[#This Row],[city]],ccc[city],ccc[ctry],"-")</f>
        <v/>
      </c>
      <c r="M63" s="1500">
        <f>SUMIFS(stayCity[stay],stayCity[city],cities[[#This Row],[city]])</f>
        <v/>
      </c>
      <c r="N63" s="1427">
        <f>N62+1</f>
        <v/>
      </c>
      <c r="O63" s="1501" t="n"/>
      <c r="P63" s="1501" t="n"/>
      <c r="Q63" s="1427" t="inlineStr">
        <is>
          <t>.</t>
        </is>
      </c>
      <c r="R63" s="1491" t="n"/>
      <c r="S63" s="1491" t="n"/>
      <c r="T63" s="1491" t="n"/>
      <c r="U63" s="1491" t="n"/>
      <c r="V63" s="1491" t="n"/>
      <c r="W63" s="1491" t="n"/>
      <c r="X63" s="1491" t="n"/>
      <c r="Y63" s="1491" t="n"/>
      <c r="Z63" s="1427" t="inlineStr">
        <is>
          <t>.</t>
        </is>
      </c>
      <c r="AA63" s="1473">
        <f>IF(AB63&lt;&gt;"",AA62+1,AA62)</f>
        <v/>
      </c>
      <c r="AB63" s="1534" t="inlineStr">
        <is>
          <t>Washington-NYC</t>
        </is>
      </c>
      <c r="AC63" s="1473">
        <f>IF(AD63&lt;&gt;"",AC62+1,AC62)</f>
        <v/>
      </c>
      <c r="AD63" s="1534" t="n"/>
      <c r="AE63" s="1427" t="inlineStr">
        <is>
          <t>.</t>
        </is>
      </c>
      <c r="AF63" s="1502" t="n">
        <v>59</v>
      </c>
      <c r="AG63" s="1500">
        <f>_xlfn.XLOOKUP(routes[[#This Row],[id]],$AA$5:$AA$300,$AB$5:$AB$300,"-")</f>
        <v/>
      </c>
      <c r="AH63" s="1500">
        <f>_xlfn.XLOOKUP(routes[[#This Row],[route]],routesUniv[route],routesUniv[outbound],"-")</f>
        <v/>
      </c>
      <c r="AI63" s="1500">
        <f>_xlfn.XLOOKUP(routes[[#This Row],[route]],routesUniv[route],routesUniv[inbound],"-")</f>
        <v/>
      </c>
      <c r="AJ63" s="1500">
        <f>_xlfn.XLOOKUP(routes[[#This Row],[route]],routesUniv[route],routesUniv[km],"-")</f>
        <v/>
      </c>
      <c r="AK63" s="1500">
        <f>COUNTIF(INPUT!BT$5:BT$1000,AG63)</f>
        <v/>
      </c>
      <c r="AL63" s="1505">
        <f>routes[[#This Row],[km]]*routes[[#This Row],[rpt]]/1000</f>
        <v/>
      </c>
      <c r="AM63" s="1481" t="inlineStr">
        <is>
          <t>.</t>
        </is>
      </c>
      <c r="AN63" s="1506" t="n"/>
      <c r="AO63" s="1500">
        <f>IF(AD63&lt;&gt;"",AD63,"-")</f>
        <v/>
      </c>
      <c r="AP63" s="1500">
        <f>_xlfn.XLOOKUP(cityRoutes[[#This Row],[city]],ccc[city],ccc[ctry],"-")</f>
        <v/>
      </c>
      <c r="AQ63" s="1500">
        <f>COUNTIF(INPUT!BR$5:BS$1000,AO63)</f>
        <v/>
      </c>
      <c r="AR63" s="1507">
        <f>(SUMIFS(routes[total],routes[outbound],AO63)+SUMIFS(routes[total],routes[inbound],AO63))/2</f>
        <v/>
      </c>
      <c r="AS63" s="1481" t="inlineStr">
        <is>
          <t>.</t>
        </is>
      </c>
      <c r="AT63" s="1491" t="n"/>
      <c r="AU63" s="1491" t="n"/>
      <c r="AV63" s="1491" t="n"/>
      <c r="AW63" s="1491" t="n"/>
      <c r="AX63" s="1491" t="n"/>
      <c r="AY63" s="1491" t="n"/>
      <c r="AZ63" s="1491" t="n"/>
      <c r="BA63" s="1491" t="n"/>
      <c r="BB63" s="1491" t="n"/>
      <c r="BC63" s="1491" t="n"/>
      <c r="BD63" s="1491" t="n"/>
      <c r="BE63" s="1491" t="n"/>
      <c r="BF63" s="1491" t="n"/>
      <c r="BG63" s="1491" t="n"/>
      <c r="BH63" s="1491" t="n"/>
      <c r="BI63" s="1491" t="n"/>
      <c r="BJ63" s="1491" t="n"/>
      <c r="BK63" s="1491" t="n"/>
      <c r="BL63" s="1491" t="n"/>
      <c r="BM63" s="1491" t="n"/>
      <c r="BN63" s="1491" t="n"/>
      <c r="BO63" s="1467" t="n"/>
      <c r="BP63" s="1514" t="n">
        <v>59</v>
      </c>
      <c r="BQ63" s="1513">
        <f>[1]Sheet1!C64</f>
        <v/>
      </c>
      <c r="BR63" s="1515">
        <f>[1]Sheet1!D64</f>
        <v/>
      </c>
      <c r="BS63" s="1513">
        <f>[1]Sheet1!E64</f>
        <v/>
      </c>
      <c r="BT63" s="1515">
        <f>[1]Sheet1!F64</f>
        <v/>
      </c>
      <c r="BU63" s="1516">
        <f>[1]Sheet1!G64</f>
        <v/>
      </c>
      <c r="BV63" s="1513">
        <f>[1]Sheet1!H64</f>
        <v/>
      </c>
      <c r="BW63" s="1467" t="n"/>
      <c r="BX63" s="1491">
        <f>[1]Sheet1!$J64</f>
        <v/>
      </c>
      <c r="BY63" s="1517">
        <f>[1]Sheet1!$K64</f>
        <v/>
      </c>
      <c r="BZ63" s="1517">
        <f>[1]Sheet1!$L64</f>
        <v/>
      </c>
      <c r="CA63" s="1500">
        <f>[1]Sheet1!$M64</f>
        <v/>
      </c>
      <c r="CB63" s="1467" t="n"/>
      <c r="CC63" s="1467" t="n"/>
      <c r="CD63" s="1500">
        <f>[1]Sheet1!$P64</f>
        <v/>
      </c>
      <c r="CE63" s="1513">
        <f>[1]Sheet1!$Q64</f>
        <v/>
      </c>
      <c r="CF63" s="1515">
        <f>[1]Sheet1!$R64</f>
        <v/>
      </c>
      <c r="CG63" s="1477" t="n"/>
      <c r="CH63" s="1513" t="n"/>
      <c r="CI63" s="1513" t="n"/>
      <c r="CJ63" s="1513" t="n"/>
      <c r="CK63" s="1477" t="n"/>
      <c r="CL63" s="1521" t="n">
        <v>59</v>
      </c>
      <c r="CM63" s="1500" t="inlineStr">
        <is>
          <t>Manaus-Brasilia</t>
        </is>
      </c>
      <c r="CN63" s="1500" t="inlineStr">
        <is>
          <t>Manaus</t>
        </is>
      </c>
      <c r="CO63" s="1500" t="inlineStr">
        <is>
          <t>Brasilia</t>
        </is>
      </c>
      <c r="CP63" s="1514" t="n">
        <v>2000</v>
      </c>
      <c r="CQ63" s="1477" t="n"/>
      <c r="CR63" s="1491" t="n"/>
      <c r="CS63" s="1491" t="n"/>
      <c r="CT63" s="1491" t="n"/>
      <c r="CU63" s="1491" t="n"/>
      <c r="CV63" s="1491" t="n"/>
      <c r="CW63" s="1491" t="n"/>
      <c r="CX63" s="1491" t="n"/>
    </row>
    <row r="64">
      <c r="A64" s="1491" t="n"/>
      <c r="B64" s="1491" t="n"/>
      <c r="C64" s="1491" t="n"/>
      <c r="D64" s="1497">
        <f>IF(E64&lt;&gt;"",D63+1,D63)</f>
        <v/>
      </c>
      <c r="E64" s="1497" t="inlineStr">
        <is>
          <t>Rouen</t>
        </is>
      </c>
      <c r="F64" s="1535" t="inlineStr">
        <is>
          <t>.</t>
        </is>
      </c>
      <c r="G64" s="1498">
        <f>IF(H64="AIR",0,IF(H63="AIR",G62+1,IF(H64&lt;&gt;"",G63+1,G63)))</f>
        <v/>
      </c>
      <c r="H64" s="1498" t="inlineStr">
        <is>
          <t>Vernon</t>
        </is>
      </c>
      <c r="I64" s="1427" t="inlineStr">
        <is>
          <t>.</t>
        </is>
      </c>
      <c r="J64" s="1499" t="n">
        <v>59</v>
      </c>
      <c r="K64" s="1500">
        <f>_xlfn.XLOOKUP(cities[[#This Row],[id]],$D$5:$D$1500,E$5:E$1500,"-")</f>
        <v/>
      </c>
      <c r="L64" s="1500">
        <f>_xlfn.XLOOKUP(cities[[#This Row],[city]],ccc[city],ccc[ctry],"-")</f>
        <v/>
      </c>
      <c r="M64" s="1500">
        <f>SUMIFS(stayCity[stay],stayCity[city],cities[[#This Row],[city]])</f>
        <v/>
      </c>
      <c r="N64" s="1427">
        <f>N63+1</f>
        <v/>
      </c>
      <c r="O64" s="1501" t="n"/>
      <c r="P64" s="1501" t="n"/>
      <c r="Q64" s="1427" t="inlineStr">
        <is>
          <t>.</t>
        </is>
      </c>
      <c r="R64" s="1491" t="n"/>
      <c r="S64" s="1491" t="n"/>
      <c r="T64" s="1491" t="n"/>
      <c r="U64" s="1491" t="n"/>
      <c r="V64" s="1491" t="n"/>
      <c r="W64" s="1491" t="n"/>
      <c r="X64" s="1491" t="n"/>
      <c r="Y64" s="1491" t="n"/>
      <c r="Z64" s="1427" t="inlineStr">
        <is>
          <t>.</t>
        </is>
      </c>
      <c r="AA64" s="1473">
        <f>IF(AB64&lt;&gt;"",AA63+1,AA63)</f>
        <v/>
      </c>
      <c r="AB64" s="1534" t="inlineStr">
        <is>
          <t>NYC-SP</t>
        </is>
      </c>
      <c r="AC64" s="1473">
        <f>IF(AD64&lt;&gt;"",AC63+1,AC63)</f>
        <v/>
      </c>
      <c r="AD64" s="1534" t="n"/>
      <c r="AE64" s="1427" t="inlineStr">
        <is>
          <t>.</t>
        </is>
      </c>
      <c r="AF64" s="1502" t="n">
        <v>60</v>
      </c>
      <c r="AG64" s="1500">
        <f>_xlfn.XLOOKUP(routes[[#This Row],[id]],$AA$5:$AA$300,$AB$5:$AB$300,"-")</f>
        <v/>
      </c>
      <c r="AH64" s="1500">
        <f>_xlfn.XLOOKUP(routes[[#This Row],[route]],routesUniv[route],routesUniv[outbound],"-")</f>
        <v/>
      </c>
      <c r="AI64" s="1500">
        <f>_xlfn.XLOOKUP(routes[[#This Row],[route]],routesUniv[route],routesUniv[inbound],"-")</f>
        <v/>
      </c>
      <c r="AJ64" s="1500">
        <f>_xlfn.XLOOKUP(routes[[#This Row],[route]],routesUniv[route],routesUniv[km],"-")</f>
        <v/>
      </c>
      <c r="AK64" s="1500">
        <f>COUNTIF(INPUT!BT$5:BT$1000,AG64)</f>
        <v/>
      </c>
      <c r="AL64" s="1505">
        <f>routes[[#This Row],[km]]*routes[[#This Row],[rpt]]/1000</f>
        <v/>
      </c>
      <c r="AM64" s="1481" t="inlineStr">
        <is>
          <t>.</t>
        </is>
      </c>
      <c r="AN64" s="1506" t="n"/>
      <c r="AO64" s="1500">
        <f>IF(AD64&lt;&gt;"",AD64,"-")</f>
        <v/>
      </c>
      <c r="AP64" s="1500">
        <f>_xlfn.XLOOKUP(cityRoutes[[#This Row],[city]],ccc[city],ccc[ctry],"-")</f>
        <v/>
      </c>
      <c r="AQ64" s="1500">
        <f>COUNTIF(INPUT!BR$5:BS$1000,AO64)</f>
        <v/>
      </c>
      <c r="AR64" s="1507">
        <f>(SUMIFS(routes[total],routes[outbound],AO64)+SUMIFS(routes[total],routes[inbound],AO64))/2</f>
        <v/>
      </c>
      <c r="AS64" s="1481" t="inlineStr">
        <is>
          <t>.</t>
        </is>
      </c>
      <c r="AT64" s="1491" t="n"/>
      <c r="AU64" s="1491" t="n"/>
      <c r="AV64" s="1491" t="n"/>
      <c r="AW64" s="1491" t="n"/>
      <c r="AX64" s="1491" t="n"/>
      <c r="AY64" s="1491" t="n"/>
      <c r="AZ64" s="1491" t="n"/>
      <c r="BA64" s="1491" t="n"/>
      <c r="BB64" s="1491" t="n"/>
      <c r="BC64" s="1491" t="n"/>
      <c r="BD64" s="1491" t="n"/>
      <c r="BE64" s="1491" t="n"/>
      <c r="BF64" s="1491" t="n"/>
      <c r="BG64" s="1491" t="n"/>
      <c r="BH64" s="1491" t="n"/>
      <c r="BI64" s="1491" t="n"/>
      <c r="BJ64" s="1491" t="n"/>
      <c r="BK64" s="1491" t="n"/>
      <c r="BL64" s="1491" t="n"/>
      <c r="BM64" s="1491" t="n"/>
      <c r="BN64" s="1491" t="n"/>
      <c r="BO64" s="1467" t="n"/>
      <c r="BP64" s="1514" t="n">
        <v>60</v>
      </c>
      <c r="BQ64" s="1513">
        <f>[1]Sheet1!C65</f>
        <v/>
      </c>
      <c r="BR64" s="1515">
        <f>[1]Sheet1!D65</f>
        <v/>
      </c>
      <c r="BS64" s="1513">
        <f>[1]Sheet1!E65</f>
        <v/>
      </c>
      <c r="BT64" s="1515">
        <f>[1]Sheet1!F65</f>
        <v/>
      </c>
      <c r="BU64" s="1516">
        <f>[1]Sheet1!G65</f>
        <v/>
      </c>
      <c r="BV64" s="1513">
        <f>[1]Sheet1!H65</f>
        <v/>
      </c>
      <c r="BW64" s="1467" t="n"/>
      <c r="BX64" s="1491">
        <f>[1]Sheet1!$J65</f>
        <v/>
      </c>
      <c r="BY64" s="1517">
        <f>[1]Sheet1!$K65</f>
        <v/>
      </c>
      <c r="BZ64" s="1517">
        <f>[1]Sheet1!$L65</f>
        <v/>
      </c>
      <c r="CA64" s="1500">
        <f>[1]Sheet1!$M65</f>
        <v/>
      </c>
      <c r="CB64" s="1467" t="n"/>
      <c r="CC64" s="1467" t="n"/>
      <c r="CD64" s="1500">
        <f>[1]Sheet1!$P65</f>
        <v/>
      </c>
      <c r="CE64" s="1513">
        <f>[1]Sheet1!$Q65</f>
        <v/>
      </c>
      <c r="CF64" s="1515">
        <f>[1]Sheet1!$R65</f>
        <v/>
      </c>
      <c r="CG64" s="1477" t="n"/>
      <c r="CH64" s="1513" t="n"/>
      <c r="CI64" s="1513" t="n"/>
      <c r="CJ64" s="1513" t="n"/>
      <c r="CK64" s="1477" t="n"/>
      <c r="CL64" s="1521" t="n">
        <v>60</v>
      </c>
      <c r="CM64" s="1513" t="inlineStr">
        <is>
          <t>Marrakech-London</t>
        </is>
      </c>
      <c r="CN64" s="1513" t="inlineStr">
        <is>
          <t>Marrakech</t>
        </is>
      </c>
      <c r="CO64" s="1513" t="inlineStr">
        <is>
          <t>London</t>
        </is>
      </c>
      <c r="CP64" s="1514" t="n">
        <v>2300</v>
      </c>
      <c r="CQ64" s="1477" t="n"/>
      <c r="CR64" s="1491" t="n"/>
      <c r="CS64" s="1491" t="n"/>
      <c r="CT64" s="1491" t="n"/>
      <c r="CU64" s="1491" t="n"/>
      <c r="CV64" s="1491" t="n"/>
      <c r="CW64" s="1491" t="n"/>
      <c r="CX64" s="1491" t="n"/>
    </row>
    <row r="65">
      <c r="A65" s="1491" t="n"/>
      <c r="B65" s="1491" t="n"/>
      <c r="C65" s="1491" t="n"/>
      <c r="D65" s="1497">
        <f>IF(E65&lt;&gt;"",D64+1,D64)</f>
        <v/>
      </c>
      <c r="E65" s="1497" t="inlineStr">
        <is>
          <t>Honfleur</t>
        </is>
      </c>
      <c r="F65" s="1535" t="inlineStr">
        <is>
          <t>.</t>
        </is>
      </c>
      <c r="G65" s="1498">
        <f>IF(H65="AIR",0,IF(H64="AIR",G63+1,IF(H65&lt;&gt;"",G64+1,G64)))</f>
        <v/>
      </c>
      <c r="H65" s="1498" t="inlineStr">
        <is>
          <t>Les Andalys</t>
        </is>
      </c>
      <c r="I65" s="1427" t="inlineStr">
        <is>
          <t>.</t>
        </is>
      </c>
      <c r="J65" s="1499" t="n">
        <v>60</v>
      </c>
      <c r="K65" s="1500">
        <f>_xlfn.XLOOKUP(cities[[#This Row],[id]],$D$5:$D$1500,E$5:E$1500,"-")</f>
        <v/>
      </c>
      <c r="L65" s="1500">
        <f>_xlfn.XLOOKUP(cities[[#This Row],[city]],ccc[city],ccc[ctry],"-")</f>
        <v/>
      </c>
      <c r="M65" s="1500">
        <f>SUMIFS(stayCity[stay],stayCity[city],cities[[#This Row],[city]])</f>
        <v/>
      </c>
      <c r="N65" s="1427">
        <f>N64+1</f>
        <v/>
      </c>
      <c r="O65" s="1501" t="n"/>
      <c r="P65" s="1501" t="n"/>
      <c r="Q65" s="1427" t="inlineStr">
        <is>
          <t>.</t>
        </is>
      </c>
      <c r="R65" s="1491" t="n"/>
      <c r="S65" s="1491" t="n"/>
      <c r="T65" s="1491" t="n"/>
      <c r="U65" s="1491" t="n"/>
      <c r="V65" s="1491" t="n"/>
      <c r="W65" s="1491" t="n"/>
      <c r="X65" s="1491" t="n"/>
      <c r="Y65" s="1491" t="n"/>
      <c r="Z65" s="1427" t="inlineStr">
        <is>
          <t>.</t>
        </is>
      </c>
      <c r="AA65" s="1473">
        <f>IF(AB65&lt;&gt;"",AA64+1,AA64)</f>
        <v/>
      </c>
      <c r="AB65" s="1534" t="inlineStr">
        <is>
          <t>Rome-London</t>
        </is>
      </c>
      <c r="AC65" s="1473">
        <f>IF(AD65&lt;&gt;"",AC64+1,AC64)</f>
        <v/>
      </c>
      <c r="AD65" s="1534" t="n"/>
      <c r="AE65" s="1427" t="inlineStr">
        <is>
          <t>.</t>
        </is>
      </c>
      <c r="AF65" s="1502" t="n">
        <v>61</v>
      </c>
      <c r="AG65" s="1500">
        <f>_xlfn.XLOOKUP(routes[[#This Row],[id]],$AA$5:$AA$300,$AB$5:$AB$300,"-")</f>
        <v/>
      </c>
      <c r="AH65" s="1500">
        <f>_xlfn.XLOOKUP(routes[[#This Row],[route]],routesUniv[route],routesUniv[outbound],"-")</f>
        <v/>
      </c>
      <c r="AI65" s="1500">
        <f>_xlfn.XLOOKUP(routes[[#This Row],[route]],routesUniv[route],routesUniv[inbound],"-")</f>
        <v/>
      </c>
      <c r="AJ65" s="1500">
        <f>_xlfn.XLOOKUP(routes[[#This Row],[route]],routesUniv[route],routesUniv[km],"-")</f>
        <v/>
      </c>
      <c r="AK65" s="1500">
        <f>COUNTIF(INPUT!BT$5:BT$1000,AG65)</f>
        <v/>
      </c>
      <c r="AL65" s="1505">
        <f>routes[[#This Row],[km]]*routes[[#This Row],[rpt]]/1000</f>
        <v/>
      </c>
      <c r="AM65" s="1481" t="inlineStr">
        <is>
          <t>.</t>
        </is>
      </c>
      <c r="AN65" s="1506" t="n"/>
      <c r="AO65" s="1500">
        <f>IF(AD65&lt;&gt;"",AD65,"-")</f>
        <v/>
      </c>
      <c r="AP65" s="1500">
        <f>_xlfn.XLOOKUP(cityRoutes[[#This Row],[city]],ccc[city],ccc[ctry],"-")</f>
        <v/>
      </c>
      <c r="AQ65" s="1500">
        <f>COUNTIF(INPUT!BR$5:BS$1000,AO65)</f>
        <v/>
      </c>
      <c r="AR65" s="1507">
        <f>(SUMIFS(routes[total],routes[outbound],AO65)+SUMIFS(routes[total],routes[inbound],AO65))/2</f>
        <v/>
      </c>
      <c r="AS65" s="1481" t="inlineStr">
        <is>
          <t>.</t>
        </is>
      </c>
      <c r="AT65" s="1491" t="n"/>
      <c r="AU65" s="1491" t="n"/>
      <c r="AV65" s="1491" t="n"/>
      <c r="AW65" s="1491" t="n"/>
      <c r="AX65" s="1491" t="n"/>
      <c r="AY65" s="1491" t="n"/>
      <c r="AZ65" s="1491" t="n"/>
      <c r="BA65" s="1491" t="n"/>
      <c r="BB65" s="1491" t="n"/>
      <c r="BC65" s="1491" t="n"/>
      <c r="BD65" s="1491" t="n"/>
      <c r="BE65" s="1491" t="n"/>
      <c r="BF65" s="1491" t="n"/>
      <c r="BG65" s="1491" t="n"/>
      <c r="BH65" s="1491" t="n"/>
      <c r="BI65" s="1491" t="n"/>
      <c r="BJ65" s="1491" t="n"/>
      <c r="BK65" s="1491" t="n"/>
      <c r="BL65" s="1491" t="n"/>
      <c r="BM65" s="1491" t="n"/>
      <c r="BN65" s="1491" t="n"/>
      <c r="BO65" s="1467" t="n"/>
      <c r="BP65" s="1514" t="n">
        <v>61</v>
      </c>
      <c r="BQ65" s="1513">
        <f>[1]Sheet1!C66</f>
        <v/>
      </c>
      <c r="BR65" s="1515">
        <f>[1]Sheet1!D66</f>
        <v/>
      </c>
      <c r="BS65" s="1513">
        <f>[1]Sheet1!E66</f>
        <v/>
      </c>
      <c r="BT65" s="1515">
        <f>[1]Sheet1!F66</f>
        <v/>
      </c>
      <c r="BU65" s="1516">
        <f>[1]Sheet1!G66</f>
        <v/>
      </c>
      <c r="BV65" s="1513">
        <f>[1]Sheet1!H66</f>
        <v/>
      </c>
      <c r="BW65" s="1467" t="n"/>
      <c r="BX65" s="1491">
        <f>[1]Sheet1!$J66</f>
        <v/>
      </c>
      <c r="BY65" s="1517">
        <f>[1]Sheet1!$K66</f>
        <v/>
      </c>
      <c r="BZ65" s="1517">
        <f>[1]Sheet1!$L66</f>
        <v/>
      </c>
      <c r="CA65" s="1500">
        <f>[1]Sheet1!$M66</f>
        <v/>
      </c>
      <c r="CB65" s="1467" t="n"/>
      <c r="CC65" s="1467" t="n"/>
      <c r="CD65" s="1500">
        <f>[1]Sheet1!$P66</f>
        <v/>
      </c>
      <c r="CE65" s="1513">
        <f>[1]Sheet1!$Q66</f>
        <v/>
      </c>
      <c r="CF65" s="1515">
        <f>[1]Sheet1!$R66</f>
        <v/>
      </c>
      <c r="CG65" s="1477" t="n"/>
      <c r="CH65" s="1513" t="n"/>
      <c r="CI65" s="1513" t="n"/>
      <c r="CJ65" s="1513" t="n"/>
      <c r="CK65" s="1477" t="n"/>
      <c r="CL65" s="1521" t="n">
        <v>61</v>
      </c>
      <c r="CM65" s="1513" t="inlineStr">
        <is>
          <t>Mexico City-Montreal</t>
        </is>
      </c>
      <c r="CN65" s="1513" t="inlineStr">
        <is>
          <t>Mexico City</t>
        </is>
      </c>
      <c r="CO65" s="1513" t="inlineStr">
        <is>
          <t>Montreal</t>
        </is>
      </c>
      <c r="CP65" s="1514" t="n">
        <v>3700</v>
      </c>
      <c r="CQ65" s="1477" t="n"/>
      <c r="CR65" s="1491" t="n"/>
      <c r="CS65" s="1491" t="n"/>
      <c r="CT65" s="1491" t="n"/>
      <c r="CU65" s="1491" t="n"/>
      <c r="CV65" s="1491" t="n"/>
      <c r="CW65" s="1491" t="n"/>
      <c r="CX65" s="1491" t="n"/>
    </row>
    <row r="66">
      <c r="A66" s="1491" t="n"/>
      <c r="B66" s="1491" t="n"/>
      <c r="C66" s="1491" t="n"/>
      <c r="D66" s="1497">
        <f>IF(E66&lt;&gt;"",D65+1,D65)</f>
        <v/>
      </c>
      <c r="E66" s="1497" t="inlineStr">
        <is>
          <t>Caen</t>
        </is>
      </c>
      <c r="F66" s="1535" t="inlineStr">
        <is>
          <t>.</t>
        </is>
      </c>
      <c r="G66" s="1498">
        <f>IF(H66="AIR",0,IF(H65="AIR",G64+1,IF(H66&lt;&gt;"",G65+1,G65)))</f>
        <v/>
      </c>
      <c r="H66" s="1498" t="inlineStr">
        <is>
          <t>Rouen</t>
        </is>
      </c>
      <c r="I66" s="1427" t="inlineStr">
        <is>
          <t>.</t>
        </is>
      </c>
      <c r="J66" s="1499" t="n">
        <v>61</v>
      </c>
      <c r="K66" s="1500">
        <f>_xlfn.XLOOKUP(cities[[#This Row],[id]],$D$5:$D$1500,E$5:E$1500,"-")</f>
        <v/>
      </c>
      <c r="L66" s="1500">
        <f>_xlfn.XLOOKUP(cities[[#This Row],[city]],ccc[city],ccc[ctry],"-")</f>
        <v/>
      </c>
      <c r="M66" s="1500">
        <f>SUMIFS(stayCity[stay],stayCity[city],cities[[#This Row],[city]])</f>
        <v/>
      </c>
      <c r="N66" s="1427">
        <f>N65+1</f>
        <v/>
      </c>
      <c r="O66" s="1501" t="n"/>
      <c r="P66" s="1501" t="n"/>
      <c r="Q66" s="1427" t="inlineStr">
        <is>
          <t>.</t>
        </is>
      </c>
      <c r="R66" s="1491" t="n"/>
      <c r="S66" s="1491" t="n"/>
      <c r="T66" s="1491" t="n"/>
      <c r="U66" s="1491" t="n"/>
      <c r="V66" s="1491" t="n"/>
      <c r="W66" s="1491" t="n"/>
      <c r="X66" s="1491" t="n"/>
      <c r="Y66" s="1491" t="n"/>
      <c r="Z66" s="1427" t="inlineStr">
        <is>
          <t>.</t>
        </is>
      </c>
      <c r="AA66" s="1473">
        <f>IF(AB66&lt;&gt;"",AA65+1,AA65)</f>
        <v/>
      </c>
      <c r="AB66" s="1534" t="inlineStr">
        <is>
          <t>SP-Miami</t>
        </is>
      </c>
      <c r="AC66" s="1473">
        <f>IF(AD66&lt;&gt;"",AC65+1,AC65)</f>
        <v/>
      </c>
      <c r="AD66" s="1534" t="n"/>
      <c r="AE66" s="1427" t="inlineStr">
        <is>
          <t>.</t>
        </is>
      </c>
      <c r="AF66" s="1502" t="n">
        <v>62</v>
      </c>
      <c r="AG66" s="1500">
        <f>_xlfn.XLOOKUP(routes[[#This Row],[id]],$AA$5:$AA$300,$AB$5:$AB$300,"-")</f>
        <v/>
      </c>
      <c r="AH66" s="1500">
        <f>_xlfn.XLOOKUP(routes[[#This Row],[route]],routesUniv[route],routesUniv[outbound],"-")</f>
        <v/>
      </c>
      <c r="AI66" s="1500">
        <f>_xlfn.XLOOKUP(routes[[#This Row],[route]],routesUniv[route],routesUniv[inbound],"-")</f>
        <v/>
      </c>
      <c r="AJ66" s="1500">
        <f>_xlfn.XLOOKUP(routes[[#This Row],[route]],routesUniv[route],routesUniv[km],"-")</f>
        <v/>
      </c>
      <c r="AK66" s="1500">
        <f>COUNTIF(INPUT!BT$5:BT$1000,AG66)</f>
        <v/>
      </c>
      <c r="AL66" s="1505">
        <f>routes[[#This Row],[km]]*routes[[#This Row],[rpt]]/1000</f>
        <v/>
      </c>
      <c r="AM66" s="1481" t="inlineStr">
        <is>
          <t>.</t>
        </is>
      </c>
      <c r="AN66" s="1506" t="n"/>
      <c r="AO66" s="1500">
        <f>IF(AD66&lt;&gt;"",AD66,"-")</f>
        <v/>
      </c>
      <c r="AP66" s="1500">
        <f>_xlfn.XLOOKUP(cityRoutes[[#This Row],[city]],ccc[city],ccc[ctry],"-")</f>
        <v/>
      </c>
      <c r="AQ66" s="1500">
        <f>COUNTIF(INPUT!BR$5:BS$1000,AO66)</f>
        <v/>
      </c>
      <c r="AR66" s="1507">
        <f>(SUMIFS(routes[total],routes[outbound],AO66)+SUMIFS(routes[total],routes[inbound],AO66))/2</f>
        <v/>
      </c>
      <c r="AS66" s="1481" t="inlineStr">
        <is>
          <t>.</t>
        </is>
      </c>
      <c r="AT66" s="1491" t="n"/>
      <c r="AU66" s="1491" t="n"/>
      <c r="AV66" s="1491" t="n"/>
      <c r="AW66" s="1491" t="n"/>
      <c r="AX66" s="1491" t="n"/>
      <c r="AY66" s="1491" t="n"/>
      <c r="AZ66" s="1491" t="n"/>
      <c r="BA66" s="1491" t="n"/>
      <c r="BB66" s="1491" t="n"/>
      <c r="BC66" s="1491" t="n"/>
      <c r="BD66" s="1491" t="n"/>
      <c r="BE66" s="1491" t="n"/>
      <c r="BF66" s="1491" t="n"/>
      <c r="BG66" s="1491" t="n"/>
      <c r="BH66" s="1491" t="n"/>
      <c r="BI66" s="1491" t="n"/>
      <c r="BJ66" s="1491" t="n"/>
      <c r="BK66" s="1491" t="n"/>
      <c r="BL66" s="1491" t="n"/>
      <c r="BM66" s="1491" t="n"/>
      <c r="BN66" s="1491" t="n"/>
      <c r="BO66" s="1467" t="n"/>
      <c r="BP66" s="1514" t="n">
        <v>62</v>
      </c>
      <c r="BQ66" s="1513">
        <f>[1]Sheet1!C67</f>
        <v/>
      </c>
      <c r="BR66" s="1515">
        <f>[1]Sheet1!D67</f>
        <v/>
      </c>
      <c r="BS66" s="1513">
        <f>[1]Sheet1!E67</f>
        <v/>
      </c>
      <c r="BT66" s="1515">
        <f>[1]Sheet1!F67</f>
        <v/>
      </c>
      <c r="BU66" s="1516">
        <f>[1]Sheet1!G67</f>
        <v/>
      </c>
      <c r="BV66" s="1513">
        <f>[1]Sheet1!H67</f>
        <v/>
      </c>
      <c r="BW66" s="1467" t="n"/>
      <c r="BX66" s="1491">
        <f>[1]Sheet1!$J67</f>
        <v/>
      </c>
      <c r="BY66" s="1517">
        <f>[1]Sheet1!$K67</f>
        <v/>
      </c>
      <c r="BZ66" s="1517">
        <f>[1]Sheet1!$L67</f>
        <v/>
      </c>
      <c r="CA66" s="1500">
        <f>[1]Sheet1!$M67</f>
        <v/>
      </c>
      <c r="CB66" s="1467" t="n"/>
      <c r="CC66" s="1467" t="n"/>
      <c r="CD66" s="1500">
        <f>[1]Sheet1!$P67</f>
        <v/>
      </c>
      <c r="CE66" s="1513">
        <f>[1]Sheet1!$Q67</f>
        <v/>
      </c>
      <c r="CF66" s="1515">
        <f>[1]Sheet1!$R67</f>
        <v/>
      </c>
      <c r="CG66" s="1477" t="n"/>
      <c r="CH66" s="1513" t="n"/>
      <c r="CI66" s="1513" t="n"/>
      <c r="CJ66" s="1513" t="n"/>
      <c r="CK66" s="1477" t="n"/>
      <c r="CL66" s="1521" t="n">
        <v>62</v>
      </c>
      <c r="CM66" s="1500" t="inlineStr">
        <is>
          <t>Mexico City-New Orleans</t>
        </is>
      </c>
      <c r="CN66" s="1500" t="inlineStr">
        <is>
          <t>Mexico City</t>
        </is>
      </c>
      <c r="CO66" s="1500" t="inlineStr">
        <is>
          <t>New Orleans</t>
        </is>
      </c>
      <c r="CP66" s="1514" t="n">
        <v>1500</v>
      </c>
      <c r="CQ66" s="1477" t="n"/>
      <c r="CR66" s="1491" t="n"/>
      <c r="CS66" s="1491" t="n"/>
      <c r="CT66" s="1491" t="n"/>
      <c r="CU66" s="1491" t="n"/>
      <c r="CV66" s="1491" t="n"/>
      <c r="CW66" s="1491" t="n"/>
      <c r="CX66" s="1491" t="n"/>
    </row>
    <row r="67">
      <c r="A67" s="1491" t="n"/>
      <c r="B67" s="1491" t="n"/>
      <c r="C67" s="1491" t="n"/>
      <c r="D67" s="1497">
        <f>IF(E67&lt;&gt;"",D66+1,D66)</f>
        <v/>
      </c>
      <c r="E67" s="1497" t="inlineStr">
        <is>
          <t>Deauville</t>
        </is>
      </c>
      <c r="F67" s="1535" t="inlineStr">
        <is>
          <t>.</t>
        </is>
      </c>
      <c r="G67" s="1498">
        <f>IF(H67="AIR",0,IF(H66="AIR",G65+1,IF(H67&lt;&gt;"",G66+1,G66)))</f>
        <v/>
      </c>
      <c r="H67" s="1498" t="inlineStr">
        <is>
          <t>Honfleur</t>
        </is>
      </c>
      <c r="I67" s="1427" t="inlineStr">
        <is>
          <t>.</t>
        </is>
      </c>
      <c r="J67" s="1499" t="n">
        <v>62</v>
      </c>
      <c r="K67" s="1500">
        <f>_xlfn.XLOOKUP(cities[[#This Row],[id]],$D$5:$D$1500,E$5:E$1500,"-")</f>
        <v/>
      </c>
      <c r="L67" s="1500">
        <f>_xlfn.XLOOKUP(cities[[#This Row],[city]],ccc[city],ccc[ctry],"-")</f>
        <v/>
      </c>
      <c r="M67" s="1500">
        <f>SUMIFS(stayCity[stay],stayCity[city],cities[[#This Row],[city]])</f>
        <v/>
      </c>
      <c r="N67" s="1427">
        <f>N66+1</f>
        <v/>
      </c>
      <c r="O67" s="1500" t="n"/>
      <c r="P67" s="1500" t="n"/>
      <c r="Q67" s="1427" t="inlineStr">
        <is>
          <t>.</t>
        </is>
      </c>
      <c r="R67" s="1491" t="n"/>
      <c r="S67" s="1491" t="n"/>
      <c r="T67" s="1491" t="n"/>
      <c r="U67" s="1491" t="n"/>
      <c r="V67" s="1491" t="n"/>
      <c r="W67" s="1491" t="n"/>
      <c r="X67" s="1491" t="n"/>
      <c r="Y67" s="1491" t="n"/>
      <c r="Z67" s="1427" t="inlineStr">
        <is>
          <t>.</t>
        </is>
      </c>
      <c r="AA67" s="1473">
        <f>IF(AB67&lt;&gt;"",AA66+1,AA66)</f>
        <v/>
      </c>
      <c r="AB67" s="1534" t="inlineStr">
        <is>
          <t>Miami-Orlando</t>
        </is>
      </c>
      <c r="AC67" s="1473">
        <f>IF(AD67&lt;&gt;"",AC66+1,AC66)</f>
        <v/>
      </c>
      <c r="AD67" s="1534" t="n"/>
      <c r="AE67" s="1427" t="inlineStr">
        <is>
          <t>.</t>
        </is>
      </c>
      <c r="AF67" s="1502" t="n">
        <v>63</v>
      </c>
      <c r="AG67" s="1500">
        <f>_xlfn.XLOOKUP(routes[[#This Row],[id]],$AA$5:$AA$300,$AB$5:$AB$300,"-")</f>
        <v/>
      </c>
      <c r="AH67" s="1500">
        <f>_xlfn.XLOOKUP(routes[[#This Row],[route]],routesUniv[route],routesUniv[outbound],"-")</f>
        <v/>
      </c>
      <c r="AI67" s="1500">
        <f>_xlfn.XLOOKUP(routes[[#This Row],[route]],routesUniv[route],routesUniv[inbound],"-")</f>
        <v/>
      </c>
      <c r="AJ67" s="1500">
        <f>_xlfn.XLOOKUP(routes[[#This Row],[route]],routesUniv[route],routesUniv[km],"-")</f>
        <v/>
      </c>
      <c r="AK67" s="1500">
        <f>COUNTIF(INPUT!BT$5:BT$1000,AG67)</f>
        <v/>
      </c>
      <c r="AL67" s="1505">
        <f>routes[[#This Row],[km]]*routes[[#This Row],[rpt]]/1000</f>
        <v/>
      </c>
      <c r="AM67" s="1481" t="inlineStr">
        <is>
          <t>.</t>
        </is>
      </c>
      <c r="AN67" s="1506" t="n"/>
      <c r="AO67" s="1500">
        <f>IF(AD67&lt;&gt;"",AD67,"-")</f>
        <v/>
      </c>
      <c r="AP67" s="1500">
        <f>_xlfn.XLOOKUP(cityRoutes[[#This Row],[city]],ccc[city],ccc[ctry],"-")</f>
        <v/>
      </c>
      <c r="AQ67" s="1500">
        <f>COUNTIF(INPUT!BR$5:BS$1000,AO67)</f>
        <v/>
      </c>
      <c r="AR67" s="1507">
        <f>(SUMIFS(routes[total],routes[outbound],AO67)+SUMIFS(routes[total],routes[inbound],AO67))/2</f>
        <v/>
      </c>
      <c r="AS67" s="1481" t="inlineStr">
        <is>
          <t>.</t>
        </is>
      </c>
      <c r="AT67" s="1491" t="n"/>
      <c r="AU67" s="1491" t="n"/>
      <c r="AV67" s="1491" t="n"/>
      <c r="AW67" s="1491" t="n"/>
      <c r="AX67" s="1491" t="n"/>
      <c r="AY67" s="1491" t="n"/>
      <c r="AZ67" s="1491" t="n"/>
      <c r="BA67" s="1491" t="n"/>
      <c r="BB67" s="1491" t="n"/>
      <c r="BC67" s="1491" t="n"/>
      <c r="BD67" s="1491" t="n"/>
      <c r="BE67" s="1491" t="n"/>
      <c r="BF67" s="1491" t="n"/>
      <c r="BG67" s="1491" t="n"/>
      <c r="BH67" s="1491" t="n"/>
      <c r="BI67" s="1491" t="n"/>
      <c r="BJ67" s="1491" t="n"/>
      <c r="BK67" s="1491" t="n"/>
      <c r="BL67" s="1491" t="n"/>
      <c r="BM67" s="1491" t="n"/>
      <c r="BN67" s="1491" t="n"/>
      <c r="BO67" s="1467" t="n"/>
      <c r="BP67" s="1514" t="n">
        <v>63</v>
      </c>
      <c r="BQ67" s="1513">
        <f>[1]Sheet1!C68</f>
        <v/>
      </c>
      <c r="BR67" s="1515">
        <f>[1]Sheet1!D68</f>
        <v/>
      </c>
      <c r="BS67" s="1513">
        <f>[1]Sheet1!E68</f>
        <v/>
      </c>
      <c r="BT67" s="1515">
        <f>[1]Sheet1!F68</f>
        <v/>
      </c>
      <c r="BU67" s="1516">
        <f>[1]Sheet1!G68</f>
        <v/>
      </c>
      <c r="BV67" s="1513">
        <f>[1]Sheet1!H68</f>
        <v/>
      </c>
      <c r="BW67" s="1467" t="n"/>
      <c r="BX67" s="1491">
        <f>[1]Sheet1!$J68</f>
        <v/>
      </c>
      <c r="BY67" s="1517">
        <f>[1]Sheet1!$K68</f>
        <v/>
      </c>
      <c r="BZ67" s="1517">
        <f>[1]Sheet1!$L68</f>
        <v/>
      </c>
      <c r="CA67" s="1500">
        <f>[1]Sheet1!$M68</f>
        <v/>
      </c>
      <c r="CB67" s="1467" t="n"/>
      <c r="CC67" s="1467" t="n"/>
      <c r="CD67" s="1500">
        <f>[1]Sheet1!$P68</f>
        <v/>
      </c>
      <c r="CE67" s="1513">
        <f>[1]Sheet1!$Q68</f>
        <v/>
      </c>
      <c r="CF67" s="1515">
        <f>[1]Sheet1!$R68</f>
        <v/>
      </c>
      <c r="CG67" s="1477" t="n"/>
      <c r="CH67" s="1513" t="n"/>
      <c r="CI67" s="1513" t="n"/>
      <c r="CJ67" s="1513" t="n"/>
      <c r="CK67" s="1477" t="n"/>
      <c r="CL67" s="1521" t="n">
        <v>63</v>
      </c>
      <c r="CM67" s="1513" t="inlineStr">
        <is>
          <t>Mexico City-SP</t>
        </is>
      </c>
      <c r="CN67" s="1513" t="inlineStr">
        <is>
          <t>Mexico City</t>
        </is>
      </c>
      <c r="CO67" s="1513" t="inlineStr">
        <is>
          <t>SP</t>
        </is>
      </c>
      <c r="CP67" s="1514" t="n">
        <v>7400</v>
      </c>
      <c r="CQ67" s="1477" t="n"/>
      <c r="CR67" s="1491" t="n"/>
      <c r="CS67" s="1491" t="n"/>
      <c r="CT67" s="1491" t="n"/>
      <c r="CU67" s="1491" t="n"/>
      <c r="CV67" s="1491" t="n"/>
      <c r="CW67" s="1491" t="n"/>
      <c r="CX67" s="1491" t="n"/>
    </row>
    <row r="68">
      <c r="A68" s="1491" t="n"/>
      <c r="B68" s="1491" t="n"/>
      <c r="C68" s="1491" t="n"/>
      <c r="D68" s="1497">
        <f>IF(E68&lt;&gt;"",D67+1,D67)</f>
        <v/>
      </c>
      <c r="E68" s="1497" t="inlineStr">
        <is>
          <t>Ville-sur-Mer</t>
        </is>
      </c>
      <c r="F68" s="1535" t="inlineStr">
        <is>
          <t>.</t>
        </is>
      </c>
      <c r="G68" s="1498">
        <f>IF(H68="AIR",0,IF(H67="AIR",G66+1,IF(H68&lt;&gt;"",G67+1,G67)))</f>
        <v/>
      </c>
      <c r="H68" s="1498" t="inlineStr">
        <is>
          <t>Caen</t>
        </is>
      </c>
      <c r="I68" s="1427" t="inlineStr">
        <is>
          <t>.</t>
        </is>
      </c>
      <c r="J68" s="1499" t="n">
        <v>63</v>
      </c>
      <c r="K68" s="1500">
        <f>_xlfn.XLOOKUP(cities[[#This Row],[id]],$D$5:$D$1500,E$5:E$1500,"-")</f>
        <v/>
      </c>
      <c r="L68" s="1500">
        <f>_xlfn.XLOOKUP(cities[[#This Row],[city]],ccc[city],ccc[ctry],"-")</f>
        <v/>
      </c>
      <c r="M68" s="1500">
        <f>SUMIFS(stayCity[stay],stayCity[city],cities[[#This Row],[city]])</f>
        <v/>
      </c>
      <c r="N68" s="1427">
        <f>N67+1</f>
        <v/>
      </c>
      <c r="O68" s="1500" t="n"/>
      <c r="P68" s="1500" t="n"/>
      <c r="Q68" s="1427" t="inlineStr">
        <is>
          <t>.</t>
        </is>
      </c>
      <c r="R68" s="1491" t="n"/>
      <c r="S68" s="1491" t="n"/>
      <c r="T68" s="1491" t="n"/>
      <c r="U68" s="1491" t="n"/>
      <c r="V68" s="1491" t="n"/>
      <c r="W68" s="1491" t="n"/>
      <c r="X68" s="1491" t="n"/>
      <c r="Y68" s="1491" t="n"/>
      <c r="Z68" s="1427" t="inlineStr">
        <is>
          <t>.</t>
        </is>
      </c>
      <c r="AA68" s="1473">
        <f>IF(AB68&lt;&gt;"",AA67+1,AA67)</f>
        <v/>
      </c>
      <c r="AB68" s="1534" t="inlineStr">
        <is>
          <t>SSA-Fortaleza</t>
        </is>
      </c>
      <c r="AC68" s="1473">
        <f>IF(AD68&lt;&gt;"",AC67+1,AC67)</f>
        <v/>
      </c>
      <c r="AD68" s="1534" t="n"/>
      <c r="AE68" s="1427" t="inlineStr">
        <is>
          <t>.</t>
        </is>
      </c>
      <c r="AF68" s="1502" t="n">
        <v>64</v>
      </c>
      <c r="AG68" s="1500">
        <f>_xlfn.XLOOKUP(routes[[#This Row],[id]],$AA$5:$AA$300,$AB$5:$AB$300,"-")</f>
        <v/>
      </c>
      <c r="AH68" s="1500">
        <f>_xlfn.XLOOKUP(routes[[#This Row],[route]],routesUniv[route],routesUniv[outbound],"-")</f>
        <v/>
      </c>
      <c r="AI68" s="1500">
        <f>_xlfn.XLOOKUP(routes[[#This Row],[route]],routesUniv[route],routesUniv[inbound],"-")</f>
        <v/>
      </c>
      <c r="AJ68" s="1500">
        <f>_xlfn.XLOOKUP(routes[[#This Row],[route]],routesUniv[route],routesUniv[km],"-")</f>
        <v/>
      </c>
      <c r="AK68" s="1500">
        <f>COUNTIF(INPUT!BT$5:BT$1000,AG68)</f>
        <v/>
      </c>
      <c r="AL68" s="1505">
        <f>routes[[#This Row],[km]]*routes[[#This Row],[rpt]]/1000</f>
        <v/>
      </c>
      <c r="AM68" s="1481" t="inlineStr">
        <is>
          <t>.</t>
        </is>
      </c>
      <c r="AN68" s="1506" t="n"/>
      <c r="AO68" s="1500">
        <f>IF(AD68&lt;&gt;"",AD68,"-")</f>
        <v/>
      </c>
      <c r="AP68" s="1500">
        <f>_xlfn.XLOOKUP(cityRoutes[[#This Row],[city]],ccc[city],ccc[ctry],"-")</f>
        <v/>
      </c>
      <c r="AQ68" s="1500">
        <f>COUNTIF(INPUT!BR$5:BS$1000,AO68)</f>
        <v/>
      </c>
      <c r="AR68" s="1507">
        <f>(SUMIFS(routes[total],routes[outbound],AO68)+SUMIFS(routes[total],routes[inbound],AO68))/2</f>
        <v/>
      </c>
      <c r="AS68" s="1481" t="inlineStr">
        <is>
          <t>.</t>
        </is>
      </c>
      <c r="AT68" s="1491" t="n"/>
      <c r="AU68" s="1491" t="n"/>
      <c r="AV68" s="1491" t="n"/>
      <c r="AW68" s="1491" t="n"/>
      <c r="AX68" s="1491" t="n"/>
      <c r="AY68" s="1491" t="n"/>
      <c r="AZ68" s="1491" t="n"/>
      <c r="BA68" s="1491" t="n"/>
      <c r="BB68" s="1491" t="n"/>
      <c r="BC68" s="1491" t="n"/>
      <c r="BD68" s="1491" t="n"/>
      <c r="BE68" s="1491" t="n"/>
      <c r="BF68" s="1491" t="n"/>
      <c r="BG68" s="1491" t="n"/>
      <c r="BH68" s="1491" t="n"/>
      <c r="BI68" s="1491" t="n"/>
      <c r="BJ68" s="1491" t="n"/>
      <c r="BK68" s="1491" t="n"/>
      <c r="BL68" s="1491" t="n"/>
      <c r="BM68" s="1491" t="n"/>
      <c r="BN68" s="1491" t="n"/>
      <c r="BO68" s="1467" t="n"/>
      <c r="BP68" s="1514" t="n">
        <v>64</v>
      </c>
      <c r="BQ68" s="1513">
        <f>[1]Sheet1!C69</f>
        <v/>
      </c>
      <c r="BR68" s="1515">
        <f>[1]Sheet1!D69</f>
        <v/>
      </c>
      <c r="BS68" s="1513">
        <f>[1]Sheet1!E69</f>
        <v/>
      </c>
      <c r="BT68" s="1515">
        <f>[1]Sheet1!F69</f>
        <v/>
      </c>
      <c r="BU68" s="1516">
        <f>[1]Sheet1!G69</f>
        <v/>
      </c>
      <c r="BV68" s="1513">
        <f>[1]Sheet1!H69</f>
        <v/>
      </c>
      <c r="BW68" s="1467" t="n"/>
      <c r="BX68" s="1491">
        <f>[1]Sheet1!$J69</f>
        <v/>
      </c>
      <c r="BY68" s="1517">
        <f>[1]Sheet1!$K69</f>
        <v/>
      </c>
      <c r="BZ68" s="1517">
        <f>[1]Sheet1!$L69</f>
        <v/>
      </c>
      <c r="CA68" s="1500">
        <f>[1]Sheet1!$M69</f>
        <v/>
      </c>
      <c r="CB68" s="1467" t="n"/>
      <c r="CC68" s="1467" t="n"/>
      <c r="CD68" s="1500">
        <f>[1]Sheet1!$P69</f>
        <v/>
      </c>
      <c r="CE68" s="1513">
        <f>[1]Sheet1!$Q69</f>
        <v/>
      </c>
      <c r="CF68" s="1515">
        <f>[1]Sheet1!$R69</f>
        <v/>
      </c>
      <c r="CG68" s="1477" t="n"/>
      <c r="CH68" s="1513" t="n"/>
      <c r="CI68" s="1513" t="n"/>
      <c r="CJ68" s="1513" t="n"/>
      <c r="CK68" s="1477" t="n"/>
      <c r="CL68" s="1521" t="n">
        <v>64</v>
      </c>
      <c r="CM68" s="1500" t="inlineStr">
        <is>
          <t>Miami-Manaus</t>
        </is>
      </c>
      <c r="CN68" s="1500" t="inlineStr">
        <is>
          <t>Miami</t>
        </is>
      </c>
      <c r="CO68" s="1500" t="inlineStr">
        <is>
          <t>Manaus</t>
        </is>
      </c>
      <c r="CP68" s="1514" t="n">
        <v>3900</v>
      </c>
      <c r="CQ68" s="1477" t="n"/>
      <c r="CR68" s="1491" t="n"/>
      <c r="CS68" s="1491" t="n"/>
      <c r="CT68" s="1491" t="n"/>
      <c r="CU68" s="1491" t="n"/>
      <c r="CV68" s="1491" t="n"/>
      <c r="CW68" s="1491" t="n"/>
      <c r="CX68" s="1491" t="n"/>
    </row>
    <row r="69">
      <c r="A69" s="1491" t="n"/>
      <c r="B69" s="1491" t="n"/>
      <c r="C69" s="1491" t="n"/>
      <c r="D69" s="1497">
        <f>IF(E69&lt;&gt;"",D68+1,D68)</f>
        <v/>
      </c>
      <c r="E69" s="1497" t="inlineStr">
        <is>
          <t>Mont St Michel</t>
        </is>
      </c>
      <c r="F69" s="1535" t="inlineStr">
        <is>
          <t>.</t>
        </is>
      </c>
      <c r="G69" s="1498">
        <f>IF(H69="AIR",0,IF(H68="AIR",G67+1,IF(H69&lt;&gt;"",G68+1,G68)))</f>
        <v/>
      </c>
      <c r="H69" s="1498" t="inlineStr">
        <is>
          <t>Deauville</t>
        </is>
      </c>
      <c r="I69" s="1427" t="inlineStr">
        <is>
          <t>.</t>
        </is>
      </c>
      <c r="J69" s="1499" t="n">
        <v>64</v>
      </c>
      <c r="K69" s="1500">
        <f>_xlfn.XLOOKUP(cities[[#This Row],[id]],$D$5:$D$1500,E$5:E$1500,"-")</f>
        <v/>
      </c>
      <c r="L69" s="1500">
        <f>_xlfn.XLOOKUP(cities[[#This Row],[city]],ccc[city],ccc[ctry],"-")</f>
        <v/>
      </c>
      <c r="M69" s="1500">
        <f>SUMIFS(stayCity[stay],stayCity[city],cities[[#This Row],[city]])</f>
        <v/>
      </c>
      <c r="N69" s="1427">
        <f>N68+1</f>
        <v/>
      </c>
      <c r="O69" s="1500" t="n"/>
      <c r="P69" s="1500" t="n"/>
      <c r="Q69" s="1427" t="inlineStr">
        <is>
          <t>.</t>
        </is>
      </c>
      <c r="R69" s="1491" t="n"/>
      <c r="S69" s="1491" t="n"/>
      <c r="T69" s="1491" t="n"/>
      <c r="U69" s="1491" t="n"/>
      <c r="V69" s="1491" t="n"/>
      <c r="W69" s="1491" t="n"/>
      <c r="X69" s="1491" t="n"/>
      <c r="Y69" s="1491" t="n"/>
      <c r="Z69" s="1427" t="inlineStr">
        <is>
          <t>.</t>
        </is>
      </c>
      <c r="AA69" s="1473">
        <f>IF(AB69&lt;&gt;"",AA68+1,AA68)</f>
        <v/>
      </c>
      <c r="AB69" s="1534" t="inlineStr">
        <is>
          <t>Fortaleza-SSA</t>
        </is>
      </c>
      <c r="AC69" s="1473">
        <f>IF(AD69&lt;&gt;"",AC68+1,AC68)</f>
        <v/>
      </c>
      <c r="AD69" s="1534" t="n"/>
      <c r="AE69" s="1427" t="inlineStr">
        <is>
          <t>.</t>
        </is>
      </c>
      <c r="AF69" s="1502" t="n">
        <v>65</v>
      </c>
      <c r="AG69" s="1500">
        <f>_xlfn.XLOOKUP(routes[[#This Row],[id]],$AA$5:$AA$300,$AB$5:$AB$300,"-")</f>
        <v/>
      </c>
      <c r="AH69" s="1500">
        <f>_xlfn.XLOOKUP(routes[[#This Row],[route]],routesUniv[route],routesUniv[outbound],"-")</f>
        <v/>
      </c>
      <c r="AI69" s="1500">
        <f>_xlfn.XLOOKUP(routes[[#This Row],[route]],routesUniv[route],routesUniv[inbound],"-")</f>
        <v/>
      </c>
      <c r="AJ69" s="1500">
        <f>_xlfn.XLOOKUP(routes[[#This Row],[route]],routesUniv[route],routesUniv[km],"-")</f>
        <v/>
      </c>
      <c r="AK69" s="1500">
        <f>COUNTIF(INPUT!BT$5:BT$1000,AG69)</f>
        <v/>
      </c>
      <c r="AL69" s="1505">
        <f>routes[[#This Row],[km]]*routes[[#This Row],[rpt]]/1000</f>
        <v/>
      </c>
      <c r="AM69" s="1481" t="inlineStr">
        <is>
          <t>.</t>
        </is>
      </c>
      <c r="AN69" s="1506" t="n"/>
      <c r="AO69" s="1500">
        <f>IF(AD69&lt;&gt;"",AD69,"-")</f>
        <v/>
      </c>
      <c r="AP69" s="1500">
        <f>_xlfn.XLOOKUP(cityRoutes[[#This Row],[city]],ccc[city],ccc[ctry],"-")</f>
        <v/>
      </c>
      <c r="AQ69" s="1500">
        <f>COUNTIF(INPUT!BR$5:BS$1000,AO69)</f>
        <v/>
      </c>
      <c r="AR69" s="1507">
        <f>(SUMIFS(routes[total],routes[outbound],AO69)+SUMIFS(routes[total],routes[inbound],AO69))/2</f>
        <v/>
      </c>
      <c r="AS69" s="1481" t="inlineStr">
        <is>
          <t>.</t>
        </is>
      </c>
      <c r="AT69" s="1491" t="n"/>
      <c r="AU69" s="1491" t="n"/>
      <c r="AV69" s="1491" t="n"/>
      <c r="AW69" s="1491" t="n"/>
      <c r="AX69" s="1491" t="n"/>
      <c r="AY69" s="1491" t="n"/>
      <c r="AZ69" s="1491" t="n"/>
      <c r="BA69" s="1491" t="n"/>
      <c r="BB69" s="1491" t="n"/>
      <c r="BC69" s="1491" t="n"/>
      <c r="BD69" s="1491" t="n"/>
      <c r="BE69" s="1491" t="n"/>
      <c r="BF69" s="1491" t="n"/>
      <c r="BG69" s="1491" t="n"/>
      <c r="BH69" s="1491" t="n"/>
      <c r="BI69" s="1491" t="n"/>
      <c r="BJ69" s="1491" t="n"/>
      <c r="BK69" s="1491" t="n"/>
      <c r="BL69" s="1491" t="n"/>
      <c r="BM69" s="1491" t="n"/>
      <c r="BN69" s="1491" t="n"/>
      <c r="BO69" s="1467" t="n"/>
      <c r="BP69" s="1514" t="n">
        <v>65</v>
      </c>
      <c r="BQ69" s="1513">
        <f>[1]Sheet1!C70</f>
        <v/>
      </c>
      <c r="BR69" s="1515">
        <f>[1]Sheet1!D70</f>
        <v/>
      </c>
      <c r="BS69" s="1513">
        <f>[1]Sheet1!E70</f>
        <v/>
      </c>
      <c r="BT69" s="1515">
        <f>[1]Sheet1!F70</f>
        <v/>
      </c>
      <c r="BU69" s="1516">
        <f>[1]Sheet1!G70</f>
        <v/>
      </c>
      <c r="BV69" s="1513">
        <f>[1]Sheet1!H70</f>
        <v/>
      </c>
      <c r="BW69" s="1467" t="n"/>
      <c r="BX69" s="1491">
        <f>[1]Sheet1!$J70</f>
        <v/>
      </c>
      <c r="BY69" s="1517">
        <f>[1]Sheet1!$K70</f>
        <v/>
      </c>
      <c r="BZ69" s="1517">
        <f>[1]Sheet1!$L70</f>
        <v/>
      </c>
      <c r="CA69" s="1500">
        <f>[1]Sheet1!$M70</f>
        <v/>
      </c>
      <c r="CB69" s="1467" t="n"/>
      <c r="CC69" s="1467" t="n"/>
      <c r="CD69" s="1500">
        <f>[1]Sheet1!$P70</f>
        <v/>
      </c>
      <c r="CE69" s="1513">
        <f>[1]Sheet1!$Q70</f>
        <v/>
      </c>
      <c r="CF69" s="1515">
        <f>[1]Sheet1!$R70</f>
        <v/>
      </c>
      <c r="CG69" s="1477" t="n"/>
      <c r="CH69" s="1513" t="n"/>
      <c r="CI69" s="1513" t="n"/>
      <c r="CJ69" s="1513" t="n"/>
      <c r="CK69" s="1477" t="n"/>
      <c r="CL69" s="1521" t="n">
        <v>65</v>
      </c>
      <c r="CM69" s="1513" t="inlineStr">
        <is>
          <t>Miami-Montreal</t>
        </is>
      </c>
      <c r="CN69" s="1513" t="inlineStr">
        <is>
          <t>Miami</t>
        </is>
      </c>
      <c r="CO69" s="1513" t="inlineStr">
        <is>
          <t>Montreal</t>
        </is>
      </c>
      <c r="CP69" s="1514" t="n">
        <v>2300</v>
      </c>
      <c r="CQ69" s="1477" t="n"/>
      <c r="CR69" s="1491" t="n"/>
      <c r="CS69" s="1491" t="n"/>
      <c r="CT69" s="1491" t="n"/>
      <c r="CU69" s="1491" t="n"/>
      <c r="CV69" s="1491" t="n"/>
      <c r="CW69" s="1491" t="n"/>
      <c r="CX69" s="1491" t="n"/>
    </row>
    <row r="70">
      <c r="A70" s="1491" t="n"/>
      <c r="B70" s="1491" t="n"/>
      <c r="C70" s="1491" t="n"/>
      <c r="D70" s="1497">
        <f>IF(E70&lt;&gt;"",D69+1,D69)</f>
        <v/>
      </c>
      <c r="E70" s="1497" t="inlineStr">
        <is>
          <t>Dinan</t>
        </is>
      </c>
      <c r="F70" s="1535" t="inlineStr">
        <is>
          <t>.</t>
        </is>
      </c>
      <c r="G70" s="1498">
        <f>IF(H70="AIR",0,IF(H69="AIR",G68+1,IF(H70&lt;&gt;"",G69+1,G69)))</f>
        <v/>
      </c>
      <c r="H70" s="1498" t="inlineStr">
        <is>
          <t>Ville-sur-Mer</t>
        </is>
      </c>
      <c r="I70" s="1427" t="inlineStr">
        <is>
          <t>.</t>
        </is>
      </c>
      <c r="J70" s="1499" t="n">
        <v>65</v>
      </c>
      <c r="K70" s="1500">
        <f>_xlfn.XLOOKUP(cities[[#This Row],[id]],$D$5:$D$1500,E$5:E$1500,"-")</f>
        <v/>
      </c>
      <c r="L70" s="1500">
        <f>_xlfn.XLOOKUP(cities[[#This Row],[city]],ccc[city],ccc[ctry],"-")</f>
        <v/>
      </c>
      <c r="M70" s="1500">
        <f>SUMIFS(stayCity[stay],stayCity[city],cities[[#This Row],[city]])</f>
        <v/>
      </c>
      <c r="N70" s="1427">
        <f>N69+1</f>
        <v/>
      </c>
      <c r="O70" s="1500" t="n"/>
      <c r="P70" s="1500" t="n"/>
      <c r="Q70" s="1427" t="inlineStr">
        <is>
          <t>.</t>
        </is>
      </c>
      <c r="R70" s="1491" t="n"/>
      <c r="S70" s="1491" t="n"/>
      <c r="T70" s="1491" t="n"/>
      <c r="U70" s="1491" t="n"/>
      <c r="V70" s="1491" t="n"/>
      <c r="W70" s="1491" t="n"/>
      <c r="X70" s="1491" t="n"/>
      <c r="Y70" s="1491" t="n"/>
      <c r="Z70" s="1427" t="inlineStr">
        <is>
          <t>.</t>
        </is>
      </c>
      <c r="AA70" s="1473">
        <f>IF(AB70&lt;&gt;"",AA69+1,AA69)</f>
        <v/>
      </c>
      <c r="AB70" s="1534" t="inlineStr">
        <is>
          <t>Recife-Joao Pessoa</t>
        </is>
      </c>
      <c r="AC70" s="1473">
        <f>IF(AD70&lt;&gt;"",AC69+1,AC69)</f>
        <v/>
      </c>
      <c r="AD70" s="1534" t="n"/>
      <c r="AE70" s="1427" t="inlineStr">
        <is>
          <t>.</t>
        </is>
      </c>
      <c r="AF70" s="1502" t="n">
        <v>66</v>
      </c>
      <c r="AG70" s="1500">
        <f>_xlfn.XLOOKUP(routes[[#This Row],[id]],$AA$5:$AA$300,$AB$5:$AB$300,"-")</f>
        <v/>
      </c>
      <c r="AH70" s="1500">
        <f>_xlfn.XLOOKUP(routes[[#This Row],[route]],routesUniv[route],routesUniv[outbound],"-")</f>
        <v/>
      </c>
      <c r="AI70" s="1500">
        <f>_xlfn.XLOOKUP(routes[[#This Row],[route]],routesUniv[route],routesUniv[inbound],"-")</f>
        <v/>
      </c>
      <c r="AJ70" s="1500">
        <f>_xlfn.XLOOKUP(routes[[#This Row],[route]],routesUniv[route],routesUniv[km],"-")</f>
        <v/>
      </c>
      <c r="AK70" s="1500">
        <f>COUNTIF(INPUT!BT$5:BT$1000,AG70)</f>
        <v/>
      </c>
      <c r="AL70" s="1505">
        <f>routes[[#This Row],[km]]*routes[[#This Row],[rpt]]/1000</f>
        <v/>
      </c>
      <c r="AM70" s="1481" t="inlineStr">
        <is>
          <t>.</t>
        </is>
      </c>
      <c r="AN70" s="1506" t="n"/>
      <c r="AO70" s="1500">
        <f>IF(AD70&lt;&gt;"",AD70,"-")</f>
        <v/>
      </c>
      <c r="AP70" s="1500">
        <f>_xlfn.XLOOKUP(cityRoutes[[#This Row],[city]],ccc[city],ccc[ctry],"-")</f>
        <v/>
      </c>
      <c r="AQ70" s="1500">
        <f>COUNTIF(INPUT!BR$5:BS$1000,AO70)</f>
        <v/>
      </c>
      <c r="AR70" s="1507">
        <f>(SUMIFS(routes[total],routes[outbound],AO70)+SUMIFS(routes[total],routes[inbound],AO70))/2</f>
        <v/>
      </c>
      <c r="AS70" s="1481" t="inlineStr">
        <is>
          <t>.</t>
        </is>
      </c>
      <c r="AT70" s="1491" t="n"/>
      <c r="AU70" s="1491" t="n"/>
      <c r="AV70" s="1491" t="n"/>
      <c r="AW70" s="1491" t="n"/>
      <c r="AX70" s="1491" t="n"/>
      <c r="AY70" s="1491" t="n"/>
      <c r="AZ70" s="1491" t="n"/>
      <c r="BA70" s="1491" t="n"/>
      <c r="BB70" s="1491" t="n"/>
      <c r="BC70" s="1491" t="n"/>
      <c r="BD70" s="1491" t="n"/>
      <c r="BE70" s="1491" t="n"/>
      <c r="BF70" s="1491" t="n"/>
      <c r="BG70" s="1491" t="n"/>
      <c r="BH70" s="1491" t="n"/>
      <c r="BI70" s="1491" t="n"/>
      <c r="BJ70" s="1491" t="n"/>
      <c r="BK70" s="1491" t="n"/>
      <c r="BL70" s="1491" t="n"/>
      <c r="BM70" s="1491" t="n"/>
      <c r="BN70" s="1491" t="n"/>
      <c r="BO70" s="1467" t="n"/>
      <c r="BP70" s="1514" t="n">
        <v>66</v>
      </c>
      <c r="BQ70" s="1513">
        <f>[1]Sheet1!C71</f>
        <v/>
      </c>
      <c r="BR70" s="1515">
        <f>[1]Sheet1!D71</f>
        <v/>
      </c>
      <c r="BS70" s="1513">
        <f>[1]Sheet1!E71</f>
        <v/>
      </c>
      <c r="BT70" s="1515">
        <f>[1]Sheet1!F71</f>
        <v/>
      </c>
      <c r="BU70" s="1516">
        <f>[1]Sheet1!G71</f>
        <v/>
      </c>
      <c r="BV70" s="1513">
        <f>[1]Sheet1!H71</f>
        <v/>
      </c>
      <c r="BW70" s="1467" t="n"/>
      <c r="BX70" s="1491">
        <f>[1]Sheet1!$J71</f>
        <v/>
      </c>
      <c r="BY70" s="1517">
        <f>[1]Sheet1!$K71</f>
        <v/>
      </c>
      <c r="BZ70" s="1517">
        <f>[1]Sheet1!$L71</f>
        <v/>
      </c>
      <c r="CA70" s="1500">
        <f>[1]Sheet1!$M71</f>
        <v/>
      </c>
      <c r="CB70" s="1467" t="n"/>
      <c r="CC70" s="1467" t="n"/>
      <c r="CD70" s="1500">
        <f>[1]Sheet1!$P71</f>
        <v/>
      </c>
      <c r="CE70" s="1513">
        <f>[1]Sheet1!$Q71</f>
        <v/>
      </c>
      <c r="CF70" s="1515">
        <f>[1]Sheet1!$R71</f>
        <v/>
      </c>
      <c r="CG70" s="1477" t="n"/>
      <c r="CH70" s="1513" t="n"/>
      <c r="CI70" s="1513" t="n"/>
      <c r="CJ70" s="1513" t="n"/>
      <c r="CK70" s="1477" t="n"/>
      <c r="CL70" s="1521" t="n">
        <v>66</v>
      </c>
      <c r="CM70" s="1513" t="inlineStr">
        <is>
          <t>Miami-Orlando</t>
        </is>
      </c>
      <c r="CN70" s="1513" t="inlineStr">
        <is>
          <t>Miami</t>
        </is>
      </c>
      <c r="CO70" s="1513" t="inlineStr">
        <is>
          <t>Orlando</t>
        </is>
      </c>
      <c r="CP70" s="1514" t="n">
        <v>300</v>
      </c>
      <c r="CQ70" s="1477" t="n"/>
      <c r="CR70" s="1491" t="n"/>
      <c r="CS70" s="1491" t="n"/>
      <c r="CT70" s="1491" t="n"/>
      <c r="CU70" s="1491" t="n"/>
      <c r="CV70" s="1491" t="n"/>
      <c r="CW70" s="1491" t="n"/>
      <c r="CX70" s="1491" t="n"/>
    </row>
    <row r="71">
      <c r="A71" s="1491" t="n"/>
      <c r="B71" s="1491" t="n"/>
      <c r="C71" s="1491" t="n"/>
      <c r="D71" s="1497">
        <f>IF(E71&lt;&gt;"",D70+1,D70)</f>
        <v/>
      </c>
      <c r="E71" s="1497" t="inlineStr">
        <is>
          <t>Dinard</t>
        </is>
      </c>
      <c r="F71" s="1535" t="inlineStr">
        <is>
          <t>.</t>
        </is>
      </c>
      <c r="G71" s="1498">
        <f>IF(H71="AIR",0,IF(H70="AIR",G69+1,IF(H71&lt;&gt;"",G70+1,G70)))</f>
        <v/>
      </c>
      <c r="H71" s="1498" t="inlineStr">
        <is>
          <t>Mont St Michel</t>
        </is>
      </c>
      <c r="I71" s="1427" t="inlineStr">
        <is>
          <t>.</t>
        </is>
      </c>
      <c r="J71" s="1499" t="n">
        <v>66</v>
      </c>
      <c r="K71" s="1500">
        <f>_xlfn.XLOOKUP(cities[[#This Row],[id]],$D$5:$D$1500,E$5:E$1500,"-")</f>
        <v/>
      </c>
      <c r="L71" s="1500">
        <f>_xlfn.XLOOKUP(cities[[#This Row],[city]],ccc[city],ccc[ctry],"-")</f>
        <v/>
      </c>
      <c r="M71" s="1500">
        <f>SUMIFS(stayCity[stay],stayCity[city],cities[[#This Row],[city]])</f>
        <v/>
      </c>
      <c r="N71" s="1427">
        <f>N70+1</f>
        <v/>
      </c>
      <c r="O71" s="1500" t="n"/>
      <c r="P71" s="1500" t="n"/>
      <c r="Q71" s="1427" t="inlineStr">
        <is>
          <t>.</t>
        </is>
      </c>
      <c r="R71" s="1491" t="n"/>
      <c r="S71" s="1491" t="n"/>
      <c r="T71" s="1491" t="n"/>
      <c r="U71" s="1491" t="n"/>
      <c r="V71" s="1491" t="n"/>
      <c r="W71" s="1491" t="n"/>
      <c r="X71" s="1491" t="n"/>
      <c r="Y71" s="1491" t="n"/>
      <c r="Z71" s="1427" t="inlineStr">
        <is>
          <t>.</t>
        </is>
      </c>
      <c r="AA71" s="1473">
        <f>IF(AB71&lt;&gt;"",AA70+1,AA70)</f>
        <v/>
      </c>
      <c r="AB71" s="1534" t="inlineStr">
        <is>
          <t>Joao Pessoa-Recife</t>
        </is>
      </c>
      <c r="AC71" s="1473">
        <f>IF(AD71&lt;&gt;"",AC70+1,AC70)</f>
        <v/>
      </c>
      <c r="AD71" s="1534" t="n"/>
      <c r="AE71" s="1427" t="inlineStr">
        <is>
          <t>.</t>
        </is>
      </c>
      <c r="AF71" s="1502" t="n">
        <v>67</v>
      </c>
      <c r="AG71" s="1500">
        <f>_xlfn.XLOOKUP(routes[[#This Row],[id]],$AA$5:$AA$300,$AB$5:$AB$300,"-")</f>
        <v/>
      </c>
      <c r="AH71" s="1500">
        <f>_xlfn.XLOOKUP(routes[[#This Row],[route]],routesUniv[route],routesUniv[outbound],"-")</f>
        <v/>
      </c>
      <c r="AI71" s="1500">
        <f>_xlfn.XLOOKUP(routes[[#This Row],[route]],routesUniv[route],routesUniv[inbound],"-")</f>
        <v/>
      </c>
      <c r="AJ71" s="1500">
        <f>_xlfn.XLOOKUP(routes[[#This Row],[route]],routesUniv[route],routesUniv[km],"-")</f>
        <v/>
      </c>
      <c r="AK71" s="1500">
        <f>COUNTIF(INPUT!BT$5:BT$1000,AG71)</f>
        <v/>
      </c>
      <c r="AL71" s="1505">
        <f>routes[[#This Row],[km]]*routes[[#This Row],[rpt]]/1000</f>
        <v/>
      </c>
      <c r="AM71" s="1481" t="inlineStr">
        <is>
          <t>.</t>
        </is>
      </c>
      <c r="AN71" s="1506" t="n"/>
      <c r="AO71" s="1500">
        <f>IF(AD71&lt;&gt;"",AD71,"-")</f>
        <v/>
      </c>
      <c r="AP71" s="1500">
        <f>_xlfn.XLOOKUP(cityRoutes[[#This Row],[city]],ccc[city],ccc[ctry],"-")</f>
        <v/>
      </c>
      <c r="AQ71" s="1500">
        <f>COUNTIF(INPUT!BR$5:BS$1000,AO71)</f>
        <v/>
      </c>
      <c r="AR71" s="1507">
        <f>(SUMIFS(routes[total],routes[outbound],AO71)+SUMIFS(routes[total],routes[inbound],AO71))/2</f>
        <v/>
      </c>
      <c r="AS71" s="1481" t="inlineStr">
        <is>
          <t>.</t>
        </is>
      </c>
      <c r="AT71" s="1491" t="n"/>
      <c r="AU71" s="1491" t="n"/>
      <c r="AV71" s="1491" t="n"/>
      <c r="AW71" s="1491" t="n"/>
      <c r="AX71" s="1491" t="n"/>
      <c r="AY71" s="1491" t="n"/>
      <c r="AZ71" s="1491" t="n"/>
      <c r="BA71" s="1491" t="n"/>
      <c r="BB71" s="1491" t="n"/>
      <c r="BC71" s="1491" t="n"/>
      <c r="BD71" s="1491" t="n"/>
      <c r="BE71" s="1491" t="n"/>
      <c r="BF71" s="1491" t="n"/>
      <c r="BG71" s="1491" t="n"/>
      <c r="BH71" s="1491" t="n"/>
      <c r="BI71" s="1491" t="n"/>
      <c r="BJ71" s="1491" t="n"/>
      <c r="BK71" s="1491" t="n"/>
      <c r="BL71" s="1491" t="n"/>
      <c r="BM71" s="1491" t="n"/>
      <c r="BN71" s="1491" t="n"/>
      <c r="BO71" s="1467" t="n"/>
      <c r="BP71" s="1514" t="n">
        <v>67</v>
      </c>
      <c r="BQ71" s="1513">
        <f>[1]Sheet1!C72</f>
        <v/>
      </c>
      <c r="BR71" s="1515">
        <f>[1]Sheet1!D72</f>
        <v/>
      </c>
      <c r="BS71" s="1513">
        <f>[1]Sheet1!E72</f>
        <v/>
      </c>
      <c r="BT71" s="1515">
        <f>[1]Sheet1!F72</f>
        <v/>
      </c>
      <c r="BU71" s="1516">
        <f>[1]Sheet1!G72</f>
        <v/>
      </c>
      <c r="BV71" s="1513">
        <f>[1]Sheet1!H72</f>
        <v/>
      </c>
      <c r="BW71" s="1467" t="n"/>
      <c r="BX71" s="1491">
        <f>[1]Sheet1!$J72</f>
        <v/>
      </c>
      <c r="BY71" s="1517">
        <f>[1]Sheet1!$K72</f>
        <v/>
      </c>
      <c r="BZ71" s="1517">
        <f>[1]Sheet1!$L72</f>
        <v/>
      </c>
      <c r="CA71" s="1500">
        <f>[1]Sheet1!$M72</f>
        <v/>
      </c>
      <c r="CB71" s="1467" t="n"/>
      <c r="CC71" s="1467" t="n"/>
      <c r="CD71" s="1500">
        <f>[1]Sheet1!$P72</f>
        <v/>
      </c>
      <c r="CE71" s="1513">
        <f>[1]Sheet1!$Q72</f>
        <v/>
      </c>
      <c r="CF71" s="1515">
        <f>[1]Sheet1!$R72</f>
        <v/>
      </c>
      <c r="CG71" s="1477" t="n"/>
      <c r="CH71" s="1513" t="n"/>
      <c r="CI71" s="1513" t="n"/>
      <c r="CJ71" s="1513" t="n"/>
      <c r="CK71" s="1477" t="n"/>
      <c r="CL71" s="1521" t="n">
        <v>67</v>
      </c>
      <c r="CM71" s="1513" t="inlineStr">
        <is>
          <t>Miami-Rio</t>
        </is>
      </c>
      <c r="CN71" s="1513" t="inlineStr">
        <is>
          <t>Miami</t>
        </is>
      </c>
      <c r="CO71" s="1513" t="inlineStr">
        <is>
          <t>Rio</t>
        </is>
      </c>
      <c r="CP71" s="1514" t="n">
        <v>6700</v>
      </c>
      <c r="CQ71" s="1477" t="n"/>
      <c r="CR71" s="1491" t="n"/>
      <c r="CS71" s="1491" t="n"/>
      <c r="CT71" s="1491" t="n"/>
      <c r="CU71" s="1491" t="n"/>
      <c r="CV71" s="1491" t="n"/>
      <c r="CW71" s="1491" t="n"/>
      <c r="CX71" s="1491" t="n"/>
    </row>
    <row r="72">
      <c r="A72" s="1491" t="n"/>
      <c r="B72" s="1491" t="n"/>
      <c r="C72" s="1491" t="n"/>
      <c r="D72" s="1497">
        <f>IF(E72&lt;&gt;"",D71+1,D71)</f>
        <v/>
      </c>
      <c r="E72" s="1497" t="inlineStr">
        <is>
          <t>Rennes</t>
        </is>
      </c>
      <c r="F72" s="1535" t="inlineStr">
        <is>
          <t>.</t>
        </is>
      </c>
      <c r="G72" s="1498">
        <f>IF(H72="AIR",0,IF(H71="AIR",G70+1,IF(H72&lt;&gt;"",G71+1,G71)))</f>
        <v/>
      </c>
      <c r="H72" s="1498" t="inlineStr">
        <is>
          <t>Dinan</t>
        </is>
      </c>
      <c r="I72" s="1427" t="inlineStr">
        <is>
          <t>.</t>
        </is>
      </c>
      <c r="J72" s="1499" t="n">
        <v>67</v>
      </c>
      <c r="K72" s="1500">
        <f>_xlfn.XLOOKUP(cities[[#This Row],[id]],$D$5:$D$1500,E$5:E$1500,"-")</f>
        <v/>
      </c>
      <c r="L72" s="1500">
        <f>_xlfn.XLOOKUP(cities[[#This Row],[city]],ccc[city],ccc[ctry],"-")</f>
        <v/>
      </c>
      <c r="M72" s="1500">
        <f>SUMIFS(stayCity[stay],stayCity[city],cities[[#This Row],[city]])</f>
        <v/>
      </c>
      <c r="N72" s="1427">
        <f>N71+1</f>
        <v/>
      </c>
      <c r="O72" s="1500" t="n"/>
      <c r="P72" s="1500" t="n"/>
      <c r="Q72" s="1427" t="inlineStr">
        <is>
          <t>.</t>
        </is>
      </c>
      <c r="R72" s="1491" t="n"/>
      <c r="S72" s="1491" t="n"/>
      <c r="T72" s="1491" t="n"/>
      <c r="U72" s="1491" t="n"/>
      <c r="V72" s="1491" t="n"/>
      <c r="W72" s="1491" t="n"/>
      <c r="X72" s="1491" t="n"/>
      <c r="Y72" s="1491" t="n"/>
      <c r="Z72" s="1427" t="inlineStr">
        <is>
          <t>.</t>
        </is>
      </c>
      <c r="AA72" s="1473">
        <f>IF(AB72&lt;&gt;"",AA71+1,AA71)</f>
        <v/>
      </c>
      <c r="AB72" s="1534" t="inlineStr">
        <is>
          <t>SP-Curitiba</t>
        </is>
      </c>
      <c r="AC72" s="1473">
        <f>IF(AD72&lt;&gt;"",AC71+1,AC71)</f>
        <v/>
      </c>
      <c r="AD72" s="1534" t="n"/>
      <c r="AE72" s="1427" t="inlineStr">
        <is>
          <t>.</t>
        </is>
      </c>
      <c r="AF72" s="1502" t="n">
        <v>68</v>
      </c>
      <c r="AG72" s="1500">
        <f>_xlfn.XLOOKUP(routes[[#This Row],[id]],$AA$5:$AA$300,$AB$5:$AB$300,"-")</f>
        <v/>
      </c>
      <c r="AH72" s="1500">
        <f>_xlfn.XLOOKUP(routes[[#This Row],[route]],routesUniv[route],routesUniv[outbound],"-")</f>
        <v/>
      </c>
      <c r="AI72" s="1500">
        <f>_xlfn.XLOOKUP(routes[[#This Row],[route]],routesUniv[route],routesUniv[inbound],"-")</f>
        <v/>
      </c>
      <c r="AJ72" s="1500">
        <f>_xlfn.XLOOKUP(routes[[#This Row],[route]],routesUniv[route],routesUniv[km],"-")</f>
        <v/>
      </c>
      <c r="AK72" s="1500">
        <f>COUNTIF(INPUT!BT$5:BT$1000,AG72)</f>
        <v/>
      </c>
      <c r="AL72" s="1505">
        <f>routes[[#This Row],[km]]*routes[[#This Row],[rpt]]/1000</f>
        <v/>
      </c>
      <c r="AM72" s="1481" t="inlineStr">
        <is>
          <t>.</t>
        </is>
      </c>
      <c r="AN72" s="1506" t="n"/>
      <c r="AO72" s="1500">
        <f>IF(AD72&lt;&gt;"",AD72,"-")</f>
        <v/>
      </c>
      <c r="AP72" s="1500">
        <f>_xlfn.XLOOKUP(cityRoutes[[#This Row],[city]],ccc[city],ccc[ctry],"-")</f>
        <v/>
      </c>
      <c r="AQ72" s="1500">
        <f>COUNTIF(INPUT!BR$5:BS$1000,AO72)</f>
        <v/>
      </c>
      <c r="AR72" s="1507">
        <f>(SUMIFS(routes[total],routes[outbound],AO72)+SUMIFS(routes[total],routes[inbound],AO72))/2</f>
        <v/>
      </c>
      <c r="AS72" s="1481" t="inlineStr">
        <is>
          <t>.</t>
        </is>
      </c>
      <c r="AT72" s="1491" t="n"/>
      <c r="AU72" s="1491" t="n"/>
      <c r="AV72" s="1491" t="n"/>
      <c r="AW72" s="1491" t="n"/>
      <c r="AX72" s="1491" t="n"/>
      <c r="AY72" s="1491" t="n"/>
      <c r="AZ72" s="1491" t="n"/>
      <c r="BA72" s="1491" t="n"/>
      <c r="BB72" s="1491" t="n"/>
      <c r="BC72" s="1491" t="n"/>
      <c r="BD72" s="1491" t="n"/>
      <c r="BE72" s="1491" t="n"/>
      <c r="BF72" s="1491" t="n"/>
      <c r="BG72" s="1491" t="n"/>
      <c r="BH72" s="1491" t="n"/>
      <c r="BI72" s="1491" t="n"/>
      <c r="BJ72" s="1491" t="n"/>
      <c r="BK72" s="1491" t="n"/>
      <c r="BL72" s="1491" t="n"/>
      <c r="BM72" s="1491" t="n"/>
      <c r="BN72" s="1491" t="n"/>
      <c r="BO72" s="1467" t="n"/>
      <c r="BP72" s="1514" t="n">
        <v>68</v>
      </c>
      <c r="BQ72" s="1513">
        <f>[1]Sheet1!C73</f>
        <v/>
      </c>
      <c r="BR72" s="1515">
        <f>[1]Sheet1!D73</f>
        <v/>
      </c>
      <c r="BS72" s="1513">
        <f>[1]Sheet1!E73</f>
        <v/>
      </c>
      <c r="BT72" s="1515">
        <f>[1]Sheet1!F73</f>
        <v/>
      </c>
      <c r="BU72" s="1516">
        <f>[1]Sheet1!G73</f>
        <v/>
      </c>
      <c r="BV72" s="1513">
        <f>[1]Sheet1!H73</f>
        <v/>
      </c>
      <c r="BW72" s="1467" t="n"/>
      <c r="BX72" s="1491">
        <f>[1]Sheet1!$J73</f>
        <v/>
      </c>
      <c r="BY72" s="1517">
        <f>[1]Sheet1!$K73</f>
        <v/>
      </c>
      <c r="BZ72" s="1517">
        <f>[1]Sheet1!$L73</f>
        <v/>
      </c>
      <c r="CA72" s="1500">
        <f>[1]Sheet1!$M73</f>
        <v/>
      </c>
      <c r="CB72" s="1467" t="n"/>
      <c r="CC72" s="1467" t="n"/>
      <c r="CD72" s="1513" t="n"/>
      <c r="CE72" s="1513" t="n"/>
      <c r="CF72" s="1513" t="n"/>
      <c r="CG72" s="1477" t="n"/>
      <c r="CH72" s="1513" t="n"/>
      <c r="CI72" s="1513" t="n"/>
      <c r="CJ72" s="1513" t="n"/>
      <c r="CK72" s="1477" t="n"/>
      <c r="CL72" s="1521" t="n">
        <v>68</v>
      </c>
      <c r="CM72" s="1500" t="inlineStr">
        <is>
          <t>Miami-SSA</t>
        </is>
      </c>
      <c r="CN72" s="1500" t="inlineStr">
        <is>
          <t>Miami</t>
        </is>
      </c>
      <c r="CO72" s="1500" t="inlineStr">
        <is>
          <t>SSA</t>
        </is>
      </c>
      <c r="CP72" s="1514" t="n">
        <v>6300</v>
      </c>
      <c r="CQ72" s="1477" t="n"/>
      <c r="CR72" s="1491" t="n"/>
      <c r="CS72" s="1491" t="n"/>
      <c r="CT72" s="1491" t="n"/>
      <c r="CU72" s="1491" t="n"/>
      <c r="CV72" s="1491" t="n"/>
      <c r="CW72" s="1491" t="n"/>
      <c r="CX72" s="1491" t="n"/>
    </row>
    <row r="73">
      <c r="A73" s="1491" t="n"/>
      <c r="B73" s="1491" t="n"/>
      <c r="C73" s="1491" t="n"/>
      <c r="D73" s="1497">
        <f>IF(E73&lt;&gt;"",D72+1,D72)</f>
        <v/>
      </c>
      <c r="E73" s="1497" t="inlineStr">
        <is>
          <t>Poitiens</t>
        </is>
      </c>
      <c r="F73" s="1535" t="inlineStr">
        <is>
          <t>.</t>
        </is>
      </c>
      <c r="G73" s="1498">
        <f>IF(H73="AIR",0,IF(H72="AIR",G71+1,IF(H73&lt;&gt;"",G72+1,G72)))</f>
        <v/>
      </c>
      <c r="H73" s="1498" t="inlineStr">
        <is>
          <t>Dinard</t>
        </is>
      </c>
      <c r="I73" s="1427" t="inlineStr">
        <is>
          <t>.</t>
        </is>
      </c>
      <c r="J73" s="1499" t="n">
        <v>68</v>
      </c>
      <c r="K73" s="1500">
        <f>_xlfn.XLOOKUP(cities[[#This Row],[id]],$D$5:$D$1500,E$5:E$1500,"-")</f>
        <v/>
      </c>
      <c r="L73" s="1500">
        <f>_xlfn.XLOOKUP(cities[[#This Row],[city]],ccc[city],ccc[ctry],"-")</f>
        <v/>
      </c>
      <c r="M73" s="1500">
        <f>SUMIFS(stayCity[stay],stayCity[city],cities[[#This Row],[city]])</f>
        <v/>
      </c>
      <c r="N73" s="1427">
        <f>N72+1</f>
        <v/>
      </c>
      <c r="O73" s="1500" t="n"/>
      <c r="P73" s="1500" t="n"/>
      <c r="Q73" s="1427" t="inlineStr">
        <is>
          <t>.</t>
        </is>
      </c>
      <c r="R73" s="1491" t="n"/>
      <c r="S73" s="1491" t="n"/>
      <c r="T73" s="1491" t="n"/>
      <c r="U73" s="1491" t="n"/>
      <c r="V73" s="1491" t="n"/>
      <c r="W73" s="1491" t="n"/>
      <c r="X73" s="1491" t="n"/>
      <c r="Y73" s="1491" t="n"/>
      <c r="Z73" s="1427" t="inlineStr">
        <is>
          <t>.</t>
        </is>
      </c>
      <c r="AA73" s="1473">
        <f>IF(AB73&lt;&gt;"",AA72+1,AA72)</f>
        <v/>
      </c>
      <c r="AB73" s="1534" t="inlineStr">
        <is>
          <t>Curitiba-SP</t>
        </is>
      </c>
      <c r="AC73" s="1473">
        <f>IF(AD73&lt;&gt;"",AC72+1,AC72)</f>
        <v/>
      </c>
      <c r="AD73" s="1534" t="n"/>
      <c r="AE73" s="1427" t="inlineStr">
        <is>
          <t>.</t>
        </is>
      </c>
      <c r="AF73" s="1502" t="n">
        <v>69</v>
      </c>
      <c r="AG73" s="1500">
        <f>_xlfn.XLOOKUP(routes[[#This Row],[id]],$AA$5:$AA$300,$AB$5:$AB$300,"-")</f>
        <v/>
      </c>
      <c r="AH73" s="1500">
        <f>_xlfn.XLOOKUP(routes[[#This Row],[route]],routesUniv[route],routesUniv[outbound],"-")</f>
        <v/>
      </c>
      <c r="AI73" s="1500">
        <f>_xlfn.XLOOKUP(routes[[#This Row],[route]],routesUniv[route],routesUniv[inbound],"-")</f>
        <v/>
      </c>
      <c r="AJ73" s="1500">
        <f>_xlfn.XLOOKUP(routes[[#This Row],[route]],routesUniv[route],routesUniv[km],"-")</f>
        <v/>
      </c>
      <c r="AK73" s="1500">
        <f>COUNTIF(INPUT!BT$5:BT$1000,AG73)</f>
        <v/>
      </c>
      <c r="AL73" s="1505">
        <f>routes[[#This Row],[km]]*routes[[#This Row],[rpt]]/1000</f>
        <v/>
      </c>
      <c r="AM73" s="1481" t="inlineStr">
        <is>
          <t>.</t>
        </is>
      </c>
      <c r="AN73" s="1506" t="n"/>
      <c r="AO73" s="1500">
        <f>IF(AD73&lt;&gt;"",AD73,"-")</f>
        <v/>
      </c>
      <c r="AP73" s="1500">
        <f>_xlfn.XLOOKUP(cityRoutes[[#This Row],[city]],ccc[city],ccc[ctry],"-")</f>
        <v/>
      </c>
      <c r="AQ73" s="1500">
        <f>COUNTIF(INPUT!BR$5:BS$1000,AO73)</f>
        <v/>
      </c>
      <c r="AR73" s="1507">
        <f>(SUMIFS(routes[total],routes[outbound],AO73)+SUMIFS(routes[total],routes[inbound],AO73))/2</f>
        <v/>
      </c>
      <c r="AS73" s="1481" t="inlineStr">
        <is>
          <t>.</t>
        </is>
      </c>
      <c r="AT73" s="1491" t="n"/>
      <c r="AU73" s="1491" t="n"/>
      <c r="AV73" s="1491" t="n"/>
      <c r="AW73" s="1491" t="n"/>
      <c r="AX73" s="1491" t="n"/>
      <c r="AY73" s="1491" t="n"/>
      <c r="AZ73" s="1491" t="n"/>
      <c r="BA73" s="1491" t="n"/>
      <c r="BB73" s="1491" t="n"/>
      <c r="BC73" s="1491" t="n"/>
      <c r="BD73" s="1491" t="n"/>
      <c r="BE73" s="1491" t="n"/>
      <c r="BF73" s="1491" t="n"/>
      <c r="BG73" s="1491" t="n"/>
      <c r="BH73" s="1491" t="n"/>
      <c r="BI73" s="1491" t="n"/>
      <c r="BJ73" s="1491" t="n"/>
      <c r="BK73" s="1491" t="n"/>
      <c r="BL73" s="1491" t="n"/>
      <c r="BM73" s="1491" t="n"/>
      <c r="BN73" s="1491" t="n"/>
      <c r="BO73" s="1467" t="n"/>
      <c r="BP73" s="1514" t="n">
        <v>69</v>
      </c>
      <c r="BQ73" s="1513">
        <f>[1]Sheet1!C74</f>
        <v/>
      </c>
      <c r="BR73" s="1515">
        <f>[1]Sheet1!D74</f>
        <v/>
      </c>
      <c r="BS73" s="1513">
        <f>[1]Sheet1!E74</f>
        <v/>
      </c>
      <c r="BT73" s="1515">
        <f>[1]Sheet1!F74</f>
        <v/>
      </c>
      <c r="BU73" s="1516">
        <f>[1]Sheet1!G74</f>
        <v/>
      </c>
      <c r="BV73" s="1513">
        <f>[1]Sheet1!H74</f>
        <v/>
      </c>
      <c r="BW73" s="1467" t="n"/>
      <c r="BX73" s="1491">
        <f>[1]Sheet1!$J74</f>
        <v/>
      </c>
      <c r="BY73" s="1517">
        <f>[1]Sheet1!$K74</f>
        <v/>
      </c>
      <c r="BZ73" s="1517">
        <f>[1]Sheet1!$L74</f>
        <v/>
      </c>
      <c r="CA73" s="1500">
        <f>[1]Sheet1!$M74</f>
        <v/>
      </c>
      <c r="CB73" s="1467" t="n"/>
      <c r="CC73" s="1467" t="n"/>
      <c r="CD73" s="1500" t="n"/>
      <c r="CE73" s="1513" t="n"/>
      <c r="CF73" s="1513" t="n"/>
      <c r="CG73" s="1477" t="n"/>
      <c r="CH73" s="1513" t="n"/>
      <c r="CI73" s="1513" t="n"/>
      <c r="CJ73" s="1513" t="n"/>
      <c r="CK73" s="1477" t="n"/>
      <c r="CL73" s="1521" t="n">
        <v>69</v>
      </c>
      <c r="CM73" s="1513" t="inlineStr">
        <is>
          <t>Milan-Praga</t>
        </is>
      </c>
      <c r="CN73" s="1513" t="inlineStr">
        <is>
          <t>Milan</t>
        </is>
      </c>
      <c r="CO73" s="1513" t="inlineStr">
        <is>
          <t>Praga</t>
        </is>
      </c>
      <c r="CP73" s="1514" t="n">
        <v>600</v>
      </c>
      <c r="CQ73" s="1477" t="n"/>
      <c r="CR73" s="1491" t="n"/>
      <c r="CS73" s="1491" t="n"/>
      <c r="CT73" s="1491" t="n"/>
      <c r="CU73" s="1491" t="n"/>
      <c r="CV73" s="1491" t="n"/>
      <c r="CW73" s="1491" t="n"/>
      <c r="CX73" s="1491" t="n"/>
    </row>
    <row r="74">
      <c r="A74" s="1491" t="n"/>
      <c r="B74" s="1491" t="n"/>
      <c r="C74" s="1491" t="n"/>
      <c r="D74" s="1497">
        <f>IF(E74&lt;&gt;"",D73+1,D73)</f>
        <v/>
      </c>
      <c r="E74" s="1497" t="inlineStr">
        <is>
          <t>Angouleme</t>
        </is>
      </c>
      <c r="F74" s="1535" t="inlineStr">
        <is>
          <t>.</t>
        </is>
      </c>
      <c r="G74" s="1498">
        <f>IF(H74="AIR",0,IF(H73="AIR",G72+1,IF(H74&lt;&gt;"",G73+1,G73)))</f>
        <v/>
      </c>
      <c r="H74" s="1498" t="inlineStr">
        <is>
          <t>Rennes</t>
        </is>
      </c>
      <c r="I74" s="1427" t="inlineStr">
        <is>
          <t>.</t>
        </is>
      </c>
      <c r="J74" s="1499" t="n">
        <v>69</v>
      </c>
      <c r="K74" s="1500">
        <f>_xlfn.XLOOKUP(cities[[#This Row],[id]],$D$5:$D$1500,E$5:E$1500,"-")</f>
        <v/>
      </c>
      <c r="L74" s="1500">
        <f>_xlfn.XLOOKUP(cities[[#This Row],[city]],ccc[city],ccc[ctry],"-")</f>
        <v/>
      </c>
      <c r="M74" s="1500">
        <f>SUMIFS(stayCity[stay],stayCity[city],cities[[#This Row],[city]])</f>
        <v/>
      </c>
      <c r="N74" s="1427">
        <f>N73+1</f>
        <v/>
      </c>
      <c r="O74" s="1500" t="n"/>
      <c r="P74" s="1500" t="n"/>
      <c r="Q74" s="1427" t="inlineStr">
        <is>
          <t>.</t>
        </is>
      </c>
      <c r="R74" s="1491" t="n"/>
      <c r="S74" s="1491" t="n"/>
      <c r="T74" s="1491" t="n"/>
      <c r="U74" s="1491" t="n"/>
      <c r="V74" s="1491" t="n"/>
      <c r="W74" s="1491" t="n"/>
      <c r="X74" s="1491" t="n"/>
      <c r="Y74" s="1491" t="n"/>
      <c r="Z74" s="1427" t="inlineStr">
        <is>
          <t>.</t>
        </is>
      </c>
      <c r="AA74" s="1473">
        <f>IF(AB74&lt;&gt;"",AA73+1,AA73)</f>
        <v/>
      </c>
      <c r="AB74" s="1534" t="inlineStr">
        <is>
          <t>SSA-Madrid</t>
        </is>
      </c>
      <c r="AC74" s="1473">
        <f>IF(AD74&lt;&gt;"",AC73+1,AC73)</f>
        <v/>
      </c>
      <c r="AD74" s="1534" t="n"/>
      <c r="AE74" s="1427" t="inlineStr">
        <is>
          <t>.</t>
        </is>
      </c>
      <c r="AF74" s="1502" t="n">
        <v>70</v>
      </c>
      <c r="AG74" s="1500">
        <f>_xlfn.XLOOKUP(routes[[#This Row],[id]],$AA$5:$AA$300,$AB$5:$AB$300,"-")</f>
        <v/>
      </c>
      <c r="AH74" s="1500">
        <f>_xlfn.XLOOKUP(routes[[#This Row],[route]],routesUniv[route],routesUniv[outbound],"-")</f>
        <v/>
      </c>
      <c r="AI74" s="1500">
        <f>_xlfn.XLOOKUP(routes[[#This Row],[route]],routesUniv[route],routesUniv[inbound],"-")</f>
        <v/>
      </c>
      <c r="AJ74" s="1500">
        <f>_xlfn.XLOOKUP(routes[[#This Row],[route]],routesUniv[route],routesUniv[km],"-")</f>
        <v/>
      </c>
      <c r="AK74" s="1500">
        <f>COUNTIF(INPUT!BT$5:BT$1000,AG74)</f>
        <v/>
      </c>
      <c r="AL74" s="1505">
        <f>routes[[#This Row],[km]]*routes[[#This Row],[rpt]]/1000</f>
        <v/>
      </c>
      <c r="AM74" s="1481" t="inlineStr">
        <is>
          <t>.</t>
        </is>
      </c>
      <c r="AN74" s="1506" t="n"/>
      <c r="AO74" s="1500">
        <f>IF(AD74&lt;&gt;"",AD74,"-")</f>
        <v/>
      </c>
      <c r="AP74" s="1500">
        <f>_xlfn.XLOOKUP(cityRoutes[[#This Row],[city]],ccc[city],ccc[ctry],"-")</f>
        <v/>
      </c>
      <c r="AQ74" s="1500">
        <f>COUNTIF(INPUT!BR$5:BS$1000,AO74)</f>
        <v/>
      </c>
      <c r="AR74" s="1507">
        <f>(SUMIFS(routes[total],routes[outbound],AO74)+SUMIFS(routes[total],routes[inbound],AO74))/2</f>
        <v/>
      </c>
      <c r="AS74" s="1481" t="inlineStr">
        <is>
          <t>.</t>
        </is>
      </c>
      <c r="AT74" s="1491" t="n"/>
      <c r="AU74" s="1491" t="n"/>
      <c r="AV74" s="1491" t="n"/>
      <c r="AW74" s="1491" t="n"/>
      <c r="AX74" s="1491" t="n"/>
      <c r="AY74" s="1491" t="n"/>
      <c r="AZ74" s="1491" t="n"/>
      <c r="BA74" s="1491" t="n"/>
      <c r="BB74" s="1491" t="n"/>
      <c r="BC74" s="1491" t="n"/>
      <c r="BD74" s="1491" t="n"/>
      <c r="BE74" s="1491" t="n"/>
      <c r="BF74" s="1491" t="n"/>
      <c r="BG74" s="1491" t="n"/>
      <c r="BH74" s="1491" t="n"/>
      <c r="BI74" s="1491" t="n"/>
      <c r="BJ74" s="1491" t="n"/>
      <c r="BK74" s="1491" t="n"/>
      <c r="BL74" s="1491" t="n"/>
      <c r="BM74" s="1491" t="n"/>
      <c r="BN74" s="1491" t="n"/>
      <c r="BO74" s="1467" t="n"/>
      <c r="BP74" s="1514" t="n">
        <v>70</v>
      </c>
      <c r="BQ74" s="1513">
        <f>[1]Sheet1!C75</f>
        <v/>
      </c>
      <c r="BR74" s="1515">
        <f>[1]Sheet1!D75</f>
        <v/>
      </c>
      <c r="BS74" s="1513">
        <f>[1]Sheet1!E75</f>
        <v/>
      </c>
      <c r="BT74" s="1515">
        <f>[1]Sheet1!F75</f>
        <v/>
      </c>
      <c r="BU74" s="1516">
        <f>[1]Sheet1!G75</f>
        <v/>
      </c>
      <c r="BV74" s="1513">
        <f>[1]Sheet1!H75</f>
        <v/>
      </c>
      <c r="BW74" s="1467" t="n"/>
      <c r="BX74" s="1491">
        <f>[1]Sheet1!$J75</f>
        <v/>
      </c>
      <c r="BY74" s="1517">
        <f>[1]Sheet1!$K75</f>
        <v/>
      </c>
      <c r="BZ74" s="1517">
        <f>[1]Sheet1!$L75</f>
        <v/>
      </c>
      <c r="CA74" s="1500">
        <f>[1]Sheet1!$M75</f>
        <v/>
      </c>
      <c r="CB74" s="1467" t="n"/>
      <c r="CC74" s="1467" t="n"/>
      <c r="CD74" s="1500" t="n"/>
      <c r="CE74" s="1513" t="n"/>
      <c r="CF74" s="1513" t="n"/>
      <c r="CG74" s="1477" t="n"/>
      <c r="CH74" s="1513" t="n"/>
      <c r="CI74" s="1513" t="n"/>
      <c r="CJ74" s="1513" t="n"/>
      <c r="CK74" s="1477" t="n"/>
      <c r="CL74" s="1521" t="n">
        <v>70</v>
      </c>
      <c r="CM74" s="1513" t="inlineStr">
        <is>
          <t>Montreal-Chicago</t>
        </is>
      </c>
      <c r="CN74" s="1513" t="inlineStr">
        <is>
          <t>Montreal</t>
        </is>
      </c>
      <c r="CO74" s="1513" t="inlineStr">
        <is>
          <t>Chicago</t>
        </is>
      </c>
      <c r="CP74" s="1514" t="n">
        <v>1200</v>
      </c>
      <c r="CQ74" s="1477" t="n"/>
      <c r="CR74" s="1491" t="n"/>
      <c r="CS74" s="1491" t="n"/>
      <c r="CT74" s="1491" t="n"/>
      <c r="CU74" s="1491" t="n"/>
      <c r="CV74" s="1491" t="n"/>
      <c r="CW74" s="1491" t="n"/>
      <c r="CX74" s="1491" t="n"/>
    </row>
    <row r="75">
      <c r="A75" s="1491" t="n"/>
      <c r="B75" s="1491" t="n"/>
      <c r="C75" s="1491" t="n"/>
      <c r="D75" s="1497">
        <f>IF(E75&lt;&gt;"",D74+1,D74)</f>
        <v/>
      </c>
      <c r="E75" s="1497" t="inlineStr">
        <is>
          <t>Saint Malo</t>
        </is>
      </c>
      <c r="F75" s="1535" t="inlineStr">
        <is>
          <t>.</t>
        </is>
      </c>
      <c r="G75" s="1498">
        <f>IF(H75="AIR",0,IF(H74="AIR",G73+1,IF(H75&lt;&gt;"",G74+1,G74)))</f>
        <v/>
      </c>
      <c r="H75" s="1498" t="inlineStr">
        <is>
          <t>Poitiens</t>
        </is>
      </c>
      <c r="I75" s="1427" t="inlineStr">
        <is>
          <t>.</t>
        </is>
      </c>
      <c r="J75" s="1499" t="n">
        <v>70</v>
      </c>
      <c r="K75" s="1500">
        <f>_xlfn.XLOOKUP(cities[[#This Row],[id]],$D$5:$D$1500,E$5:E$1500,"-")</f>
        <v/>
      </c>
      <c r="L75" s="1500">
        <f>_xlfn.XLOOKUP(cities[[#This Row],[city]],ccc[city],ccc[ctry],"-")</f>
        <v/>
      </c>
      <c r="M75" s="1500">
        <f>SUMIFS(stayCity[stay],stayCity[city],cities[[#This Row],[city]])</f>
        <v/>
      </c>
      <c r="N75" s="1427">
        <f>N74+1</f>
        <v/>
      </c>
      <c r="O75" s="1500" t="n"/>
      <c r="P75" s="1500" t="n"/>
      <c r="Q75" s="1427" t="inlineStr">
        <is>
          <t>.</t>
        </is>
      </c>
      <c r="R75" s="1491" t="n"/>
      <c r="S75" s="1491" t="n"/>
      <c r="T75" s="1491" t="n"/>
      <c r="U75" s="1491" t="n"/>
      <c r="V75" s="1491" t="n"/>
      <c r="W75" s="1491" t="n"/>
      <c r="X75" s="1491" t="n"/>
      <c r="Y75" s="1491" t="n"/>
      <c r="Z75" s="1427" t="inlineStr">
        <is>
          <t>.</t>
        </is>
      </c>
      <c r="AA75" s="1473">
        <f>IF(AB75&lt;&gt;"",AA74+1,AA74)</f>
        <v/>
      </c>
      <c r="AB75" s="1534" t="inlineStr">
        <is>
          <t>Madrid-London</t>
        </is>
      </c>
      <c r="AC75" s="1473">
        <f>IF(AD75&lt;&gt;"",AC74+1,AC74)</f>
        <v/>
      </c>
      <c r="AD75" s="1534" t="n"/>
      <c r="AE75" s="1427" t="inlineStr">
        <is>
          <t>.</t>
        </is>
      </c>
      <c r="AF75" s="1502" t="n">
        <v>71</v>
      </c>
      <c r="AG75" s="1500">
        <f>_xlfn.XLOOKUP(routes[[#This Row],[id]],$AA$5:$AA$300,$AB$5:$AB$300,"-")</f>
        <v/>
      </c>
      <c r="AH75" s="1500">
        <f>_xlfn.XLOOKUP(routes[[#This Row],[route]],routesUniv[route],routesUniv[outbound],"-")</f>
        <v/>
      </c>
      <c r="AI75" s="1500">
        <f>_xlfn.XLOOKUP(routes[[#This Row],[route]],routesUniv[route],routesUniv[inbound],"-")</f>
        <v/>
      </c>
      <c r="AJ75" s="1500">
        <f>_xlfn.XLOOKUP(routes[[#This Row],[route]],routesUniv[route],routesUniv[km],"-")</f>
        <v/>
      </c>
      <c r="AK75" s="1500">
        <f>COUNTIF(INPUT!BT$5:BT$1000,AG75)</f>
        <v/>
      </c>
      <c r="AL75" s="1505">
        <f>routes[[#This Row],[km]]*routes[[#This Row],[rpt]]/1000</f>
        <v/>
      </c>
      <c r="AM75" s="1481" t="inlineStr">
        <is>
          <t>.</t>
        </is>
      </c>
      <c r="AN75" s="1506" t="n"/>
      <c r="AO75" s="1500">
        <f>IF(AD75&lt;&gt;"",AD75,"-")</f>
        <v/>
      </c>
      <c r="AP75" s="1500">
        <f>_xlfn.XLOOKUP(cityRoutes[[#This Row],[city]],ccc[city],ccc[ctry],"-")</f>
        <v/>
      </c>
      <c r="AQ75" s="1500">
        <f>COUNTIF(INPUT!BR$5:BS$1000,AO75)</f>
        <v/>
      </c>
      <c r="AR75" s="1507">
        <f>(SUMIFS(routes[total],routes[outbound],AO75)+SUMIFS(routes[total],routes[inbound],AO75))/2</f>
        <v/>
      </c>
      <c r="AS75" s="1481" t="inlineStr">
        <is>
          <t>.</t>
        </is>
      </c>
      <c r="AT75" s="1491" t="n"/>
      <c r="AU75" s="1491" t="n"/>
      <c r="AV75" s="1491" t="n"/>
      <c r="AW75" s="1491" t="n"/>
      <c r="AX75" s="1491" t="n"/>
      <c r="AY75" s="1491" t="n"/>
      <c r="AZ75" s="1491" t="n"/>
      <c r="BA75" s="1491" t="n"/>
      <c r="BB75" s="1491" t="n"/>
      <c r="BC75" s="1491" t="n"/>
      <c r="BD75" s="1491" t="n"/>
      <c r="BE75" s="1491" t="n"/>
      <c r="BF75" s="1491" t="n"/>
      <c r="BG75" s="1491" t="n"/>
      <c r="BH75" s="1491" t="n"/>
      <c r="BI75" s="1491" t="n"/>
      <c r="BJ75" s="1491" t="n"/>
      <c r="BK75" s="1491" t="n"/>
      <c r="BL75" s="1491" t="n"/>
      <c r="BM75" s="1491" t="n"/>
      <c r="BN75" s="1491" t="n"/>
      <c r="BO75" s="1467" t="n"/>
      <c r="BP75" s="1514" t="n">
        <v>71</v>
      </c>
      <c r="BQ75" s="1513">
        <f>[1]Sheet1!C76</f>
        <v/>
      </c>
      <c r="BR75" s="1515">
        <f>[1]Sheet1!D76</f>
        <v/>
      </c>
      <c r="BS75" s="1513">
        <f>[1]Sheet1!E76</f>
        <v/>
      </c>
      <c r="BT75" s="1515">
        <f>[1]Sheet1!F76</f>
        <v/>
      </c>
      <c r="BU75" s="1516">
        <f>[1]Sheet1!G76</f>
        <v/>
      </c>
      <c r="BV75" s="1513">
        <f>[1]Sheet1!H76</f>
        <v/>
      </c>
      <c r="BW75" s="1467" t="n"/>
      <c r="BX75" s="1491">
        <f>[1]Sheet1!$J76</f>
        <v/>
      </c>
      <c r="BY75" s="1517">
        <f>[1]Sheet1!$K76</f>
        <v/>
      </c>
      <c r="BZ75" s="1517">
        <f>[1]Sheet1!$L76</f>
        <v/>
      </c>
      <c r="CA75" s="1500">
        <f>[1]Sheet1!$M76</f>
        <v/>
      </c>
      <c r="CB75" s="1467" t="n"/>
      <c r="CC75" s="1467" t="n"/>
      <c r="CD75" s="1500" t="n"/>
      <c r="CE75" s="1513" t="n"/>
      <c r="CF75" s="1513" t="n"/>
      <c r="CG75" s="1477" t="n"/>
      <c r="CH75" s="1513" t="n"/>
      <c r="CI75" s="1513" t="n"/>
      <c r="CJ75" s="1513" t="n"/>
      <c r="CK75" s="1477" t="n"/>
      <c r="CL75" s="1521" t="n">
        <v>71</v>
      </c>
      <c r="CM75" s="1513" t="inlineStr">
        <is>
          <t>Montreal-Detroit</t>
        </is>
      </c>
      <c r="CN75" s="1513" t="inlineStr">
        <is>
          <t>Montreal</t>
        </is>
      </c>
      <c r="CO75" s="1513" t="inlineStr">
        <is>
          <t>Detroit</t>
        </is>
      </c>
      <c r="CP75" s="1514" t="n">
        <v>800</v>
      </c>
      <c r="CQ75" s="1477" t="n"/>
      <c r="CR75" s="1491" t="n"/>
      <c r="CS75" s="1491" t="n"/>
      <c r="CT75" s="1491" t="n"/>
      <c r="CU75" s="1491" t="n"/>
      <c r="CV75" s="1491" t="n"/>
      <c r="CW75" s="1491" t="n"/>
      <c r="CX75" s="1491" t="n"/>
    </row>
    <row r="76">
      <c r="A76" s="1491" t="n"/>
      <c r="B76" s="1491" t="n"/>
      <c r="C76" s="1491" t="n"/>
      <c r="D76" s="1497">
        <f>IF(E76&lt;&gt;"",D75+1,D75)</f>
        <v/>
      </c>
      <c r="E76" s="1497" t="inlineStr">
        <is>
          <t>Les Eyzies</t>
        </is>
      </c>
      <c r="F76" s="1535" t="inlineStr">
        <is>
          <t>.</t>
        </is>
      </c>
      <c r="G76" s="1498">
        <f>IF(H76="AIR",0,IF(H75="AIR",G74+1,IF(H76&lt;&gt;"",G75+1,G75)))</f>
        <v/>
      </c>
      <c r="H76" s="1498" t="inlineStr">
        <is>
          <t>Angouleme</t>
        </is>
      </c>
      <c r="I76" s="1427" t="inlineStr">
        <is>
          <t>.</t>
        </is>
      </c>
      <c r="J76" s="1499" t="n">
        <v>71</v>
      </c>
      <c r="K76" s="1500">
        <f>_xlfn.XLOOKUP(cities[[#This Row],[id]],$D$5:$D$1500,E$5:E$1500,"-")</f>
        <v/>
      </c>
      <c r="L76" s="1500">
        <f>_xlfn.XLOOKUP(cities[[#This Row],[city]],ccc[city],ccc[ctry],"-")</f>
        <v/>
      </c>
      <c r="M76" s="1500">
        <f>SUMIFS(stayCity[stay],stayCity[city],cities[[#This Row],[city]])</f>
        <v/>
      </c>
      <c r="N76" s="1427">
        <f>N75+1</f>
        <v/>
      </c>
      <c r="O76" s="1500" t="n"/>
      <c r="P76" s="1500" t="n"/>
      <c r="Q76" s="1427" t="inlineStr">
        <is>
          <t>.</t>
        </is>
      </c>
      <c r="R76" s="1491" t="n"/>
      <c r="S76" s="1491" t="n"/>
      <c r="T76" s="1491" t="n"/>
      <c r="U76" s="1491" t="n"/>
      <c r="V76" s="1491" t="n"/>
      <c r="W76" s="1491" t="n"/>
      <c r="X76" s="1491" t="n"/>
      <c r="Y76" s="1491" t="n"/>
      <c r="Z76" s="1427" t="inlineStr">
        <is>
          <t>.</t>
        </is>
      </c>
      <c r="AA76" s="1473">
        <f>IF(AB76&lt;&gt;"",AA75+1,AA75)</f>
        <v/>
      </c>
      <c r="AB76" s="1534" t="inlineStr">
        <is>
          <t>Barcelona-Berlin</t>
        </is>
      </c>
      <c r="AC76" s="1473">
        <f>IF(AD76&lt;&gt;"",AC75+1,AC75)</f>
        <v/>
      </c>
      <c r="AD76" s="1534" t="n"/>
      <c r="AE76" s="1427" t="inlineStr">
        <is>
          <t>.</t>
        </is>
      </c>
      <c r="AF76" s="1502" t="n">
        <v>72</v>
      </c>
      <c r="AG76" s="1500">
        <f>_xlfn.XLOOKUP(routes[[#This Row],[id]],$AA$5:$AA$300,$AB$5:$AB$300,"-")</f>
        <v/>
      </c>
      <c r="AH76" s="1500">
        <f>_xlfn.XLOOKUP(routes[[#This Row],[route]],routesUniv[route],routesUniv[outbound],"-")</f>
        <v/>
      </c>
      <c r="AI76" s="1500">
        <f>_xlfn.XLOOKUP(routes[[#This Row],[route]],routesUniv[route],routesUniv[inbound],"-")</f>
        <v/>
      </c>
      <c r="AJ76" s="1500">
        <f>_xlfn.XLOOKUP(routes[[#This Row],[route]],routesUniv[route],routesUniv[km],"-")</f>
        <v/>
      </c>
      <c r="AK76" s="1500">
        <f>COUNTIF(INPUT!BT$5:BT$1000,AG76)</f>
        <v/>
      </c>
      <c r="AL76" s="1505">
        <f>routes[[#This Row],[km]]*routes[[#This Row],[rpt]]/1000</f>
        <v/>
      </c>
      <c r="AM76" s="1481" t="inlineStr">
        <is>
          <t>.</t>
        </is>
      </c>
      <c r="AN76" s="1506" t="n"/>
      <c r="AO76" s="1500">
        <f>IF(AD76&lt;&gt;"",AD76,"-")</f>
        <v/>
      </c>
      <c r="AP76" s="1500">
        <f>_xlfn.XLOOKUP(cityRoutes[[#This Row],[city]],ccc[city],ccc[ctry],"-")</f>
        <v/>
      </c>
      <c r="AQ76" s="1500">
        <f>COUNTIF(INPUT!BR$5:BS$1000,AO76)</f>
        <v/>
      </c>
      <c r="AR76" s="1507">
        <f>(SUMIFS(routes[total],routes[outbound],AO76)+SUMIFS(routes[total],routes[inbound],AO76))/2</f>
        <v/>
      </c>
      <c r="AS76" s="1481" t="inlineStr">
        <is>
          <t>.</t>
        </is>
      </c>
      <c r="AT76" s="1491" t="n"/>
      <c r="AU76" s="1491" t="n"/>
      <c r="AV76" s="1491" t="n"/>
      <c r="AW76" s="1491" t="n"/>
      <c r="AX76" s="1491" t="n"/>
      <c r="AY76" s="1491" t="n"/>
      <c r="AZ76" s="1491" t="n"/>
      <c r="BA76" s="1491" t="n"/>
      <c r="BB76" s="1491" t="n"/>
      <c r="BC76" s="1491" t="n"/>
      <c r="BD76" s="1491" t="n"/>
      <c r="BE76" s="1491" t="n"/>
      <c r="BF76" s="1491" t="n"/>
      <c r="BG76" s="1491" t="n"/>
      <c r="BH76" s="1491" t="n"/>
      <c r="BI76" s="1491" t="n"/>
      <c r="BJ76" s="1491" t="n"/>
      <c r="BK76" s="1491" t="n"/>
      <c r="BL76" s="1491" t="n"/>
      <c r="BM76" s="1491" t="n"/>
      <c r="BN76" s="1491" t="n"/>
      <c r="BO76" s="1467" t="n"/>
      <c r="BP76" s="1514" t="n">
        <v>72</v>
      </c>
      <c r="BQ76" s="1513">
        <f>[1]Sheet1!C77</f>
        <v/>
      </c>
      <c r="BR76" s="1515">
        <f>[1]Sheet1!D77</f>
        <v/>
      </c>
      <c r="BS76" s="1513">
        <f>[1]Sheet1!E77</f>
        <v/>
      </c>
      <c r="BT76" s="1515">
        <f>[1]Sheet1!F77</f>
        <v/>
      </c>
      <c r="BU76" s="1516">
        <f>[1]Sheet1!G77</f>
        <v/>
      </c>
      <c r="BV76" s="1513">
        <f>[1]Sheet1!H77</f>
        <v/>
      </c>
      <c r="BW76" s="1467" t="n"/>
      <c r="BX76" s="1491">
        <f>[1]Sheet1!$J77</f>
        <v/>
      </c>
      <c r="BY76" s="1517">
        <f>[1]Sheet1!$K77</f>
        <v/>
      </c>
      <c r="BZ76" s="1517">
        <f>[1]Sheet1!$L77</f>
        <v/>
      </c>
      <c r="CA76" s="1500">
        <f>[1]Sheet1!$M77</f>
        <v/>
      </c>
      <c r="CB76" s="1467" t="n"/>
      <c r="CC76" s="1467" t="n"/>
      <c r="CD76" s="1513" t="n"/>
      <c r="CE76" s="1513" t="n"/>
      <c r="CF76" s="1513" t="n"/>
      <c r="CG76" s="1477" t="n"/>
      <c r="CH76" s="1513" t="n"/>
      <c r="CI76" s="1513" t="n"/>
      <c r="CJ76" s="1513" t="n"/>
      <c r="CK76" s="1477" t="n"/>
      <c r="CL76" s="1521" t="n">
        <v>72</v>
      </c>
      <c r="CM76" s="1513" t="inlineStr">
        <is>
          <t>Montreal-Halifax</t>
        </is>
      </c>
      <c r="CN76" s="1513" t="inlineStr">
        <is>
          <t>Montreal</t>
        </is>
      </c>
      <c r="CO76" s="1513" t="inlineStr">
        <is>
          <t>Halifax</t>
        </is>
      </c>
      <c r="CP76" s="1514" t="n">
        <v>800</v>
      </c>
      <c r="CQ76" s="1477" t="n"/>
      <c r="CR76" s="1491" t="n"/>
      <c r="CS76" s="1491" t="n"/>
      <c r="CT76" s="1491" t="n"/>
      <c r="CU76" s="1491" t="n"/>
      <c r="CV76" s="1491" t="n"/>
      <c r="CW76" s="1491" t="n"/>
      <c r="CX76" s="1491" t="n"/>
    </row>
    <row r="77">
      <c r="A77" s="1491" t="n"/>
      <c r="B77" s="1491" t="n"/>
      <c r="C77" s="1491" t="n"/>
      <c r="D77" s="1497">
        <f>IF(E77&lt;&gt;"",D76+1,D76)</f>
        <v/>
      </c>
      <c r="E77" s="1497" t="inlineStr">
        <is>
          <t>Lascaux</t>
        </is>
      </c>
      <c r="F77" s="1535" t="inlineStr">
        <is>
          <t>.</t>
        </is>
      </c>
      <c r="G77" s="1498">
        <f>IF(H77="AIR",0,IF(H76="AIR",G75+1,IF(H77&lt;&gt;"",G76+1,G76)))</f>
        <v/>
      </c>
      <c r="H77" s="1498" t="inlineStr">
        <is>
          <t>Saint Malo</t>
        </is>
      </c>
      <c r="I77" s="1427" t="inlineStr">
        <is>
          <t>.</t>
        </is>
      </c>
      <c r="J77" s="1499" t="n">
        <v>72</v>
      </c>
      <c r="K77" s="1500">
        <f>_xlfn.XLOOKUP(cities[[#This Row],[id]],$D$5:$D$1500,E$5:E$1500,"-")</f>
        <v/>
      </c>
      <c r="L77" s="1500">
        <f>_xlfn.XLOOKUP(cities[[#This Row],[city]],ccc[city],ccc[ctry],"-")</f>
        <v/>
      </c>
      <c r="M77" s="1500">
        <f>SUMIFS(stayCity[stay],stayCity[city],cities[[#This Row],[city]])</f>
        <v/>
      </c>
      <c r="N77" s="1427">
        <f>N76+1</f>
        <v/>
      </c>
      <c r="O77" s="1500" t="n"/>
      <c r="P77" s="1500" t="n"/>
      <c r="Q77" s="1427" t="inlineStr">
        <is>
          <t>.</t>
        </is>
      </c>
      <c r="R77" s="1491" t="n"/>
      <c r="S77" s="1491" t="n"/>
      <c r="T77" s="1491" t="n"/>
      <c r="U77" s="1491" t="n"/>
      <c r="V77" s="1491" t="n"/>
      <c r="W77" s="1491" t="n"/>
      <c r="X77" s="1491" t="n"/>
      <c r="Y77" s="1491" t="n"/>
      <c r="Z77" s="1427" t="inlineStr">
        <is>
          <t>.</t>
        </is>
      </c>
      <c r="AA77" s="1473">
        <f>IF(AB77&lt;&gt;"",AA76+1,AA76)</f>
        <v/>
      </c>
      <c r="AB77" s="1534" t="inlineStr">
        <is>
          <t>Berlin-London</t>
        </is>
      </c>
      <c r="AC77" s="1473">
        <f>IF(AD77&lt;&gt;"",AC76+1,AC76)</f>
        <v/>
      </c>
      <c r="AD77" s="1534" t="n"/>
      <c r="AE77" s="1427" t="inlineStr">
        <is>
          <t>.</t>
        </is>
      </c>
      <c r="AF77" s="1502" t="n">
        <v>73</v>
      </c>
      <c r="AG77" s="1500">
        <f>_xlfn.XLOOKUP(routes[[#This Row],[id]],$AA$5:$AA$300,$AB$5:$AB$300,"-")</f>
        <v/>
      </c>
      <c r="AH77" s="1500">
        <f>_xlfn.XLOOKUP(routes[[#This Row],[route]],routesUniv[route],routesUniv[outbound],"-")</f>
        <v/>
      </c>
      <c r="AI77" s="1500">
        <f>_xlfn.XLOOKUP(routes[[#This Row],[route]],routesUniv[route],routesUniv[inbound],"-")</f>
        <v/>
      </c>
      <c r="AJ77" s="1500">
        <f>_xlfn.XLOOKUP(routes[[#This Row],[route]],routesUniv[route],routesUniv[km],"-")</f>
        <v/>
      </c>
      <c r="AK77" s="1500">
        <f>COUNTIF(INPUT!BT$5:BT$1000,AG77)</f>
        <v/>
      </c>
      <c r="AL77" s="1505">
        <f>routes[[#This Row],[km]]*routes[[#This Row],[rpt]]/1000</f>
        <v/>
      </c>
      <c r="AM77" s="1481" t="inlineStr">
        <is>
          <t>.</t>
        </is>
      </c>
      <c r="AN77" s="1506" t="n"/>
      <c r="AO77" s="1500">
        <f>IF(AD77&lt;&gt;"",AD77,"-")</f>
        <v/>
      </c>
      <c r="AP77" s="1500">
        <f>_xlfn.XLOOKUP(cityRoutes[[#This Row],[city]],ccc[city],ccc[ctry],"-")</f>
        <v/>
      </c>
      <c r="AQ77" s="1500">
        <f>COUNTIF(INPUT!BR$5:BS$1000,AO77)</f>
        <v/>
      </c>
      <c r="AR77" s="1507">
        <f>(SUMIFS(routes[total],routes[outbound],AO77)+SUMIFS(routes[total],routes[inbound],AO77))/2</f>
        <v/>
      </c>
      <c r="AS77" s="1481" t="inlineStr">
        <is>
          <t>.</t>
        </is>
      </c>
      <c r="AT77" s="1491" t="n"/>
      <c r="AU77" s="1491" t="n"/>
      <c r="AV77" s="1491" t="n"/>
      <c r="AW77" s="1491" t="n"/>
      <c r="AX77" s="1491" t="n"/>
      <c r="AY77" s="1491" t="n"/>
      <c r="AZ77" s="1491" t="n"/>
      <c r="BA77" s="1491" t="n"/>
      <c r="BB77" s="1491" t="n"/>
      <c r="BC77" s="1491" t="n"/>
      <c r="BD77" s="1491" t="n"/>
      <c r="BE77" s="1491" t="n"/>
      <c r="BF77" s="1491" t="n"/>
      <c r="BG77" s="1491" t="n"/>
      <c r="BH77" s="1491" t="n"/>
      <c r="BI77" s="1491" t="n"/>
      <c r="BJ77" s="1491" t="n"/>
      <c r="BK77" s="1491" t="n"/>
      <c r="BL77" s="1491" t="n"/>
      <c r="BM77" s="1491" t="n"/>
      <c r="BN77" s="1491" t="n"/>
      <c r="BO77" s="1467" t="n"/>
      <c r="BP77" s="1514" t="n">
        <v>73</v>
      </c>
      <c r="BQ77" s="1513">
        <f>[1]Sheet1!C78</f>
        <v/>
      </c>
      <c r="BR77" s="1515">
        <f>[1]Sheet1!D78</f>
        <v/>
      </c>
      <c r="BS77" s="1513">
        <f>[1]Sheet1!E78</f>
        <v/>
      </c>
      <c r="BT77" s="1515">
        <f>[1]Sheet1!F78</f>
        <v/>
      </c>
      <c r="BU77" s="1516">
        <f>[1]Sheet1!G78</f>
        <v/>
      </c>
      <c r="BV77" s="1513">
        <f>[1]Sheet1!H78</f>
        <v/>
      </c>
      <c r="BW77" s="1467" t="n"/>
      <c r="BX77" s="1491">
        <f>[1]Sheet1!$J78</f>
        <v/>
      </c>
      <c r="BY77" s="1517">
        <f>[1]Sheet1!$K78</f>
        <v/>
      </c>
      <c r="BZ77" s="1517">
        <f>[1]Sheet1!$L78</f>
        <v/>
      </c>
      <c r="CA77" s="1500">
        <f>[1]Sheet1!$M78</f>
        <v/>
      </c>
      <c r="CB77" s="1467" t="n"/>
      <c r="CC77" s="1467" t="n"/>
      <c r="CD77" s="1513" t="n"/>
      <c r="CE77" s="1513" t="n"/>
      <c r="CF77" s="1513" t="n"/>
      <c r="CG77" s="1477" t="n"/>
      <c r="CH77" s="1513" t="n"/>
      <c r="CI77" s="1513" t="n"/>
      <c r="CJ77" s="1513" t="n"/>
      <c r="CK77" s="1477" t="n"/>
      <c r="CL77" s="1521" t="n">
        <v>73</v>
      </c>
      <c r="CM77" s="1513" t="inlineStr">
        <is>
          <t>Montreal-Lisbon</t>
        </is>
      </c>
      <c r="CN77" s="1513" t="inlineStr">
        <is>
          <t>Montreal</t>
        </is>
      </c>
      <c r="CO77" s="1513" t="inlineStr">
        <is>
          <t>Lisbon</t>
        </is>
      </c>
      <c r="CP77" s="1514" t="n">
        <v>5200</v>
      </c>
      <c r="CQ77" s="1477" t="n"/>
      <c r="CR77" s="1491" t="n"/>
      <c r="CS77" s="1491" t="n"/>
      <c r="CT77" s="1491" t="n"/>
      <c r="CU77" s="1491" t="n"/>
      <c r="CV77" s="1491" t="n"/>
      <c r="CW77" s="1491" t="n"/>
      <c r="CX77" s="1491" t="n"/>
    </row>
    <row r="78">
      <c r="A78" s="1491" t="n"/>
      <c r="B78" s="1491" t="n"/>
      <c r="C78" s="1491" t="n"/>
      <c r="D78" s="1497">
        <f>IF(E78&lt;&gt;"",D77+1,D77)</f>
        <v/>
      </c>
      <c r="E78" s="1497" t="inlineStr">
        <is>
          <t>La Rogue</t>
        </is>
      </c>
      <c r="F78" s="1535" t="inlineStr">
        <is>
          <t>.</t>
        </is>
      </c>
      <c r="G78" s="1498">
        <f>IF(H78="AIR",0,IF(H77="AIR",G76+1,IF(H78&lt;&gt;"",G77+1,G77)))</f>
        <v/>
      </c>
      <c r="H78" s="1498" t="inlineStr">
        <is>
          <t>Les Eyzies</t>
        </is>
      </c>
      <c r="I78" s="1427" t="inlineStr">
        <is>
          <t>.</t>
        </is>
      </c>
      <c r="J78" s="1499" t="n">
        <v>73</v>
      </c>
      <c r="K78" s="1500">
        <f>_xlfn.XLOOKUP(cities[[#This Row],[id]],$D$5:$D$1500,E$5:E$1500,"-")</f>
        <v/>
      </c>
      <c r="L78" s="1500">
        <f>_xlfn.XLOOKUP(cities[[#This Row],[city]],ccc[city],ccc[ctry],"-")</f>
        <v/>
      </c>
      <c r="M78" s="1500">
        <f>SUMIFS(stayCity[stay],stayCity[city],cities[[#This Row],[city]])</f>
        <v/>
      </c>
      <c r="N78" s="1427">
        <f>N77+1</f>
        <v/>
      </c>
      <c r="O78" s="1500" t="n"/>
      <c r="P78" s="1500" t="n"/>
      <c r="Q78" s="1427" t="inlineStr">
        <is>
          <t>.</t>
        </is>
      </c>
      <c r="R78" s="1491" t="n"/>
      <c r="S78" s="1491" t="n"/>
      <c r="T78" s="1491" t="n"/>
      <c r="U78" s="1491" t="n"/>
      <c r="V78" s="1491" t="n"/>
      <c r="W78" s="1491" t="n"/>
      <c r="X78" s="1491" t="n"/>
      <c r="Y78" s="1491" t="n"/>
      <c r="Z78" s="1427" t="inlineStr">
        <is>
          <t>.</t>
        </is>
      </c>
      <c r="AA78" s="1473">
        <f>IF(AB78&lt;&gt;"",AA77+1,AA77)</f>
        <v/>
      </c>
      <c r="AB78" s="1534" t="inlineStr">
        <is>
          <t>London-Madrid</t>
        </is>
      </c>
      <c r="AC78" s="1473">
        <f>IF(AD78&lt;&gt;"",AC77+1,AC77)</f>
        <v/>
      </c>
      <c r="AD78" s="1534" t="n"/>
      <c r="AE78" s="1427" t="inlineStr">
        <is>
          <t>.</t>
        </is>
      </c>
      <c r="AF78" s="1502" t="n">
        <v>74</v>
      </c>
      <c r="AG78" s="1500">
        <f>_xlfn.XLOOKUP(routes[[#This Row],[id]],$AA$5:$AA$300,$AB$5:$AB$300,"-")</f>
        <v/>
      </c>
      <c r="AH78" s="1500">
        <f>_xlfn.XLOOKUP(routes[[#This Row],[route]],routesUniv[route],routesUniv[outbound],"-")</f>
        <v/>
      </c>
      <c r="AI78" s="1500">
        <f>_xlfn.XLOOKUP(routes[[#This Row],[route]],routesUniv[route],routesUniv[inbound],"-")</f>
        <v/>
      </c>
      <c r="AJ78" s="1500">
        <f>_xlfn.XLOOKUP(routes[[#This Row],[route]],routesUniv[route],routesUniv[km],"-")</f>
        <v/>
      </c>
      <c r="AK78" s="1500">
        <f>COUNTIF(INPUT!BT$5:BT$1000,AG78)</f>
        <v/>
      </c>
      <c r="AL78" s="1505">
        <f>routes[[#This Row],[km]]*routes[[#This Row],[rpt]]/1000</f>
        <v/>
      </c>
      <c r="AM78" s="1481" t="inlineStr">
        <is>
          <t>.</t>
        </is>
      </c>
      <c r="AN78" s="1506" t="n"/>
      <c r="AO78" s="1500">
        <f>IF(AD78&lt;&gt;"",AD78,"-")</f>
        <v/>
      </c>
      <c r="AP78" s="1500">
        <f>_xlfn.XLOOKUP(cityRoutes[[#This Row],[city]],ccc[city],ccc[ctry],"-")</f>
        <v/>
      </c>
      <c r="AQ78" s="1500">
        <f>COUNTIF(INPUT!BR$5:BS$1000,AO78)</f>
        <v/>
      </c>
      <c r="AR78" s="1507">
        <f>(SUMIFS(routes[total],routes[outbound],AO78)+SUMIFS(routes[total],routes[inbound],AO78))/2</f>
        <v/>
      </c>
      <c r="AS78" s="1481" t="inlineStr">
        <is>
          <t>.</t>
        </is>
      </c>
      <c r="AT78" s="1491" t="n"/>
      <c r="AU78" s="1491" t="n"/>
      <c r="AV78" s="1491" t="n"/>
      <c r="AW78" s="1491" t="n"/>
      <c r="AX78" s="1491" t="n"/>
      <c r="AY78" s="1491" t="n"/>
      <c r="AZ78" s="1491" t="n"/>
      <c r="BA78" s="1491" t="n"/>
      <c r="BB78" s="1491" t="n"/>
      <c r="BC78" s="1491" t="n"/>
      <c r="BD78" s="1491" t="n"/>
      <c r="BE78" s="1491" t="n"/>
      <c r="BF78" s="1491" t="n"/>
      <c r="BG78" s="1491" t="n"/>
      <c r="BH78" s="1491" t="n"/>
      <c r="BI78" s="1491" t="n"/>
      <c r="BJ78" s="1491" t="n"/>
      <c r="BK78" s="1491" t="n"/>
      <c r="BL78" s="1491" t="n"/>
      <c r="BM78" s="1491" t="n"/>
      <c r="BN78" s="1491" t="n"/>
      <c r="BO78" s="1467" t="n"/>
      <c r="BP78" s="1514" t="n">
        <v>74</v>
      </c>
      <c r="BQ78" s="1513">
        <f>[1]Sheet1!C79</f>
        <v/>
      </c>
      <c r="BR78" s="1515">
        <f>[1]Sheet1!D79</f>
        <v/>
      </c>
      <c r="BS78" s="1513">
        <f>[1]Sheet1!E79</f>
        <v/>
      </c>
      <c r="BT78" s="1515">
        <f>[1]Sheet1!F79</f>
        <v/>
      </c>
      <c r="BU78" s="1516">
        <f>[1]Sheet1!G79</f>
        <v/>
      </c>
      <c r="BV78" s="1513">
        <f>[1]Sheet1!H79</f>
        <v/>
      </c>
      <c r="BW78" s="1467" t="n"/>
      <c r="BX78" s="1491">
        <f>[1]Sheet1!$J79</f>
        <v/>
      </c>
      <c r="BY78" s="1517">
        <f>[1]Sheet1!$K79</f>
        <v/>
      </c>
      <c r="BZ78" s="1517">
        <f>[1]Sheet1!$L79</f>
        <v/>
      </c>
      <c r="CA78" s="1500">
        <f>[1]Sheet1!$M79</f>
        <v/>
      </c>
      <c r="CB78" s="1467" t="n"/>
      <c r="CC78" s="1467" t="n"/>
      <c r="CD78" s="1513" t="n"/>
      <c r="CE78" s="1513" t="n"/>
      <c r="CF78" s="1513" t="n"/>
      <c r="CG78" s="1477" t="n"/>
      <c r="CH78" s="1513" t="n"/>
      <c r="CI78" s="1513" t="n"/>
      <c r="CJ78" s="1513" t="n"/>
      <c r="CK78" s="1477" t="n"/>
      <c r="CL78" s="1521" t="n">
        <v>74</v>
      </c>
      <c r="CM78" s="1513" t="inlineStr">
        <is>
          <t>Montreal-London</t>
        </is>
      </c>
      <c r="CN78" s="1513" t="inlineStr">
        <is>
          <t>Montreal</t>
        </is>
      </c>
      <c r="CO78" s="1513" t="inlineStr">
        <is>
          <t>London</t>
        </is>
      </c>
      <c r="CP78" s="1514" t="n">
        <v>5200</v>
      </c>
      <c r="CQ78" s="1477" t="n"/>
      <c r="CR78" s="1491" t="n"/>
      <c r="CS78" s="1491" t="n"/>
      <c r="CT78" s="1491" t="n"/>
      <c r="CU78" s="1491" t="n"/>
      <c r="CV78" s="1491" t="n"/>
      <c r="CW78" s="1491" t="n"/>
      <c r="CX78" s="1491" t="n"/>
    </row>
    <row r="79">
      <c r="A79" s="1491" t="n"/>
      <c r="B79" s="1491" t="n"/>
      <c r="C79" s="1491" t="n"/>
      <c r="D79" s="1497">
        <f>IF(E79&lt;&gt;"",D78+1,D78)</f>
        <v/>
      </c>
      <c r="E79" s="1497" t="inlineStr">
        <is>
          <t>Gageac</t>
        </is>
      </c>
      <c r="F79" s="1535" t="inlineStr">
        <is>
          <t>.</t>
        </is>
      </c>
      <c r="G79" s="1498">
        <f>IF(H79="AIR",0,IF(H78="AIR",G77+1,IF(H79&lt;&gt;"",G78+1,G78)))</f>
        <v/>
      </c>
      <c r="H79" s="1498" t="inlineStr">
        <is>
          <t>Lascaux</t>
        </is>
      </c>
      <c r="I79" s="1427" t="inlineStr">
        <is>
          <t>.</t>
        </is>
      </c>
      <c r="J79" s="1499" t="n">
        <v>74</v>
      </c>
      <c r="K79" s="1500">
        <f>_xlfn.XLOOKUP(cities[[#This Row],[id]],$D$5:$D$1500,E$5:E$1500,"-")</f>
        <v/>
      </c>
      <c r="L79" s="1500">
        <f>_xlfn.XLOOKUP(cities[[#This Row],[city]],ccc[city],ccc[ctry],"-")</f>
        <v/>
      </c>
      <c r="M79" s="1500">
        <f>SUMIFS(stayCity[stay],stayCity[city],cities[[#This Row],[city]])</f>
        <v/>
      </c>
      <c r="N79" s="1427">
        <f>N78+1</f>
        <v/>
      </c>
      <c r="O79" s="1500" t="n"/>
      <c r="P79" s="1500" t="n"/>
      <c r="Q79" s="1427" t="inlineStr">
        <is>
          <t>.</t>
        </is>
      </c>
      <c r="R79" s="1491" t="n"/>
      <c r="S79" s="1491" t="n"/>
      <c r="T79" s="1491" t="n"/>
      <c r="U79" s="1491" t="n"/>
      <c r="V79" s="1491" t="n"/>
      <c r="W79" s="1491" t="n"/>
      <c r="X79" s="1491" t="n"/>
      <c r="Y79" s="1491" t="n"/>
      <c r="Z79" s="1427" t="inlineStr">
        <is>
          <t>.</t>
        </is>
      </c>
      <c r="AA79" s="1473">
        <f>IF(AB79&lt;&gt;"",AA78+1,AA78)</f>
        <v/>
      </c>
      <c r="AB79" s="1534" t="inlineStr">
        <is>
          <t>Madrid-Lisbon</t>
        </is>
      </c>
      <c r="AC79" s="1473">
        <f>IF(AD79&lt;&gt;"",AC78+1,AC78)</f>
        <v/>
      </c>
      <c r="AD79" s="1534" t="n"/>
      <c r="AE79" s="1427" t="inlineStr">
        <is>
          <t>.</t>
        </is>
      </c>
      <c r="AF79" s="1502" t="n">
        <v>75</v>
      </c>
      <c r="AG79" s="1500">
        <f>_xlfn.XLOOKUP(routes[[#This Row],[id]],$AA$5:$AA$300,$AB$5:$AB$300,"-")</f>
        <v/>
      </c>
      <c r="AH79" s="1500">
        <f>_xlfn.XLOOKUP(routes[[#This Row],[route]],routesUniv[route],routesUniv[outbound],"-")</f>
        <v/>
      </c>
      <c r="AI79" s="1500">
        <f>_xlfn.XLOOKUP(routes[[#This Row],[route]],routesUniv[route],routesUniv[inbound],"-")</f>
        <v/>
      </c>
      <c r="AJ79" s="1500">
        <f>_xlfn.XLOOKUP(routes[[#This Row],[route]],routesUniv[route],routesUniv[km],"-")</f>
        <v/>
      </c>
      <c r="AK79" s="1500">
        <f>COUNTIF(INPUT!BT$5:BT$1000,AG79)</f>
        <v/>
      </c>
      <c r="AL79" s="1505">
        <f>routes[[#This Row],[km]]*routes[[#This Row],[rpt]]/1000</f>
        <v/>
      </c>
      <c r="AM79" s="1481" t="inlineStr">
        <is>
          <t>.</t>
        </is>
      </c>
      <c r="AN79" s="1506" t="n"/>
      <c r="AO79" s="1500">
        <f>IF(AD79&lt;&gt;"",AD79,"-")</f>
        <v/>
      </c>
      <c r="AP79" s="1500">
        <f>_xlfn.XLOOKUP(cityRoutes[[#This Row],[city]],ccc[city],ccc[ctry],"-")</f>
        <v/>
      </c>
      <c r="AQ79" s="1500">
        <f>COUNTIF(INPUT!BR$5:BS$1000,AO79)</f>
        <v/>
      </c>
      <c r="AR79" s="1507">
        <f>(SUMIFS(routes[total],routes[outbound],AO79)+SUMIFS(routes[total],routes[inbound],AO79))/2</f>
        <v/>
      </c>
      <c r="AS79" s="1481" t="inlineStr">
        <is>
          <t>.</t>
        </is>
      </c>
      <c r="AT79" s="1491" t="n"/>
      <c r="AU79" s="1491" t="n"/>
      <c r="AV79" s="1491" t="n"/>
      <c r="AW79" s="1491" t="n"/>
      <c r="AX79" s="1491" t="n"/>
      <c r="AY79" s="1491" t="n"/>
      <c r="AZ79" s="1491" t="n"/>
      <c r="BA79" s="1491" t="n"/>
      <c r="BB79" s="1491" t="n"/>
      <c r="BC79" s="1491" t="n"/>
      <c r="BD79" s="1491" t="n"/>
      <c r="BE79" s="1491" t="n"/>
      <c r="BF79" s="1491" t="n"/>
      <c r="BG79" s="1491" t="n"/>
      <c r="BH79" s="1491" t="n"/>
      <c r="BI79" s="1491" t="n"/>
      <c r="BJ79" s="1491" t="n"/>
      <c r="BK79" s="1491" t="n"/>
      <c r="BL79" s="1491" t="n"/>
      <c r="BM79" s="1491" t="n"/>
      <c r="BN79" s="1491" t="n"/>
      <c r="BO79" s="1467" t="n"/>
      <c r="BP79" s="1514" t="n">
        <v>75</v>
      </c>
      <c r="BQ79" s="1513">
        <f>[1]Sheet1!C80</f>
        <v/>
      </c>
      <c r="BR79" s="1515">
        <f>[1]Sheet1!D80</f>
        <v/>
      </c>
      <c r="BS79" s="1513">
        <f>[1]Sheet1!E80</f>
        <v/>
      </c>
      <c r="BT79" s="1515">
        <f>[1]Sheet1!F80</f>
        <v/>
      </c>
      <c r="BU79" s="1516">
        <f>[1]Sheet1!G80</f>
        <v/>
      </c>
      <c r="BV79" s="1513">
        <f>[1]Sheet1!H80</f>
        <v/>
      </c>
      <c r="BW79" s="1467" t="n"/>
      <c r="BX79" s="1491">
        <f>[1]Sheet1!$J80</f>
        <v/>
      </c>
      <c r="BY79" s="1517">
        <f>[1]Sheet1!$K80</f>
        <v/>
      </c>
      <c r="BZ79" s="1517">
        <f>[1]Sheet1!$L80</f>
        <v/>
      </c>
      <c r="CA79" s="1500">
        <f>[1]Sheet1!$M80</f>
        <v/>
      </c>
      <c r="CB79" s="1467" t="n"/>
      <c r="CC79" s="1467" t="n"/>
      <c r="CD79" s="1513" t="n"/>
      <c r="CE79" s="1513" t="n"/>
      <c r="CF79" s="1513" t="n"/>
      <c r="CG79" s="1477" t="n"/>
      <c r="CH79" s="1513" t="n"/>
      <c r="CI79" s="1513" t="n"/>
      <c r="CJ79" s="1500" t="n"/>
      <c r="CK79" s="1477" t="n"/>
      <c r="CL79" s="1521" t="n">
        <v>75</v>
      </c>
      <c r="CM79" s="1513" t="inlineStr">
        <is>
          <t>Montreal-Madrid</t>
        </is>
      </c>
      <c r="CN79" s="1513" t="inlineStr">
        <is>
          <t>Montreal</t>
        </is>
      </c>
      <c r="CO79" s="1513" t="inlineStr">
        <is>
          <t>Madrid</t>
        </is>
      </c>
      <c r="CP79" s="1514" t="n">
        <v>5500</v>
      </c>
      <c r="CQ79" s="1477" t="n"/>
      <c r="CR79" s="1491" t="n"/>
      <c r="CS79" s="1491" t="n"/>
      <c r="CT79" s="1491" t="n"/>
      <c r="CU79" s="1491" t="n"/>
      <c r="CV79" s="1491" t="n"/>
      <c r="CW79" s="1491" t="n"/>
      <c r="CX79" s="1491" t="n"/>
    </row>
    <row r="80">
      <c r="A80" s="1491" t="n"/>
      <c r="B80" s="1491" t="n"/>
      <c r="C80" s="1491" t="n"/>
      <c r="D80" s="1497">
        <f>IF(E80&lt;&gt;"",D79+1,D79)</f>
        <v/>
      </c>
      <c r="E80" s="1497" t="inlineStr">
        <is>
          <t>Serlat</t>
        </is>
      </c>
      <c r="F80" s="1535" t="inlineStr">
        <is>
          <t>.</t>
        </is>
      </c>
      <c r="G80" s="1498">
        <f>IF(H80="AIR",0,IF(H79="AIR",G78+1,IF(H80&lt;&gt;"",G79+1,G79)))</f>
        <v/>
      </c>
      <c r="H80" s="1498" t="inlineStr">
        <is>
          <t>La Rogue</t>
        </is>
      </c>
      <c r="I80" s="1427" t="inlineStr">
        <is>
          <t>.</t>
        </is>
      </c>
      <c r="J80" s="1499" t="n">
        <v>75</v>
      </c>
      <c r="K80" s="1500">
        <f>_xlfn.XLOOKUP(cities[[#This Row],[id]],$D$5:$D$1500,E$5:E$1500,"-")</f>
        <v/>
      </c>
      <c r="L80" s="1500">
        <f>_xlfn.XLOOKUP(cities[[#This Row],[city]],ccc[city],ccc[ctry],"-")</f>
        <v/>
      </c>
      <c r="M80" s="1500">
        <f>SUMIFS(stayCity[stay],stayCity[city],cities[[#This Row],[city]])</f>
        <v/>
      </c>
      <c r="N80" s="1427">
        <f>N79+1</f>
        <v/>
      </c>
      <c r="O80" s="1500" t="n"/>
      <c r="P80" s="1500" t="n"/>
      <c r="Q80" s="1427" t="inlineStr">
        <is>
          <t>.</t>
        </is>
      </c>
      <c r="R80" s="1491" t="n"/>
      <c r="S80" s="1491" t="n"/>
      <c r="T80" s="1491" t="n"/>
      <c r="U80" s="1491" t="n"/>
      <c r="V80" s="1491" t="n"/>
      <c r="W80" s="1491" t="n"/>
      <c r="X80" s="1491" t="n"/>
      <c r="Y80" s="1491" t="n"/>
      <c r="Z80" s="1427" t="inlineStr">
        <is>
          <t>.</t>
        </is>
      </c>
      <c r="AA80" s="1473">
        <f>IF(AB80&lt;&gt;"",AA79+1,AA79)</f>
        <v/>
      </c>
      <c r="AB80" s="1534" t="inlineStr">
        <is>
          <t>SSA-Natal</t>
        </is>
      </c>
      <c r="AC80" s="1473">
        <f>IF(AD80&lt;&gt;"",AC79+1,AC79)</f>
        <v/>
      </c>
      <c r="AD80" s="1534" t="n"/>
      <c r="AE80" s="1427" t="inlineStr">
        <is>
          <t>.</t>
        </is>
      </c>
      <c r="AF80" s="1502" t="n">
        <v>76</v>
      </c>
      <c r="AG80" s="1500">
        <f>_xlfn.XLOOKUP(routes[[#This Row],[id]],$AA$5:$AA$300,$AB$5:$AB$300,"-")</f>
        <v/>
      </c>
      <c r="AH80" s="1500">
        <f>_xlfn.XLOOKUP(routes[[#This Row],[route]],routesUniv[route],routesUniv[outbound],"-")</f>
        <v/>
      </c>
      <c r="AI80" s="1500">
        <f>_xlfn.XLOOKUP(routes[[#This Row],[route]],routesUniv[route],routesUniv[inbound],"-")</f>
        <v/>
      </c>
      <c r="AJ80" s="1500">
        <f>_xlfn.XLOOKUP(routes[[#This Row],[route]],routesUniv[route],routesUniv[km],"-")</f>
        <v/>
      </c>
      <c r="AK80" s="1500">
        <f>COUNTIF(INPUT!BT$5:BT$1000,AG80)</f>
        <v/>
      </c>
      <c r="AL80" s="1505">
        <f>routes[[#This Row],[km]]*routes[[#This Row],[rpt]]/1000</f>
        <v/>
      </c>
      <c r="AM80" s="1481" t="inlineStr">
        <is>
          <t>.</t>
        </is>
      </c>
      <c r="AN80" s="1506" t="n"/>
      <c r="AO80" s="1500">
        <f>IF(AD80&lt;&gt;"",AD80,"-")</f>
        <v/>
      </c>
      <c r="AP80" s="1500">
        <f>_xlfn.XLOOKUP(cityRoutes[[#This Row],[city]],ccc[city],ccc[ctry],"-")</f>
        <v/>
      </c>
      <c r="AQ80" s="1500">
        <f>COUNTIF(INPUT!BR$5:BS$1000,AO80)</f>
        <v/>
      </c>
      <c r="AR80" s="1507">
        <f>(SUMIFS(routes[total],routes[outbound],AO80)+SUMIFS(routes[total],routes[inbound],AO80))/2</f>
        <v/>
      </c>
      <c r="AS80" s="1481" t="inlineStr">
        <is>
          <t>.</t>
        </is>
      </c>
      <c r="AT80" s="1491" t="n"/>
      <c r="AU80" s="1491" t="n"/>
      <c r="AV80" s="1491" t="n"/>
      <c r="AW80" s="1491" t="n"/>
      <c r="AX80" s="1491" t="n"/>
      <c r="AY80" s="1491" t="n"/>
      <c r="AZ80" s="1491" t="n"/>
      <c r="BA80" s="1491" t="n"/>
      <c r="BB80" s="1491" t="n"/>
      <c r="BC80" s="1491" t="n"/>
      <c r="BD80" s="1491" t="n"/>
      <c r="BE80" s="1491" t="n"/>
      <c r="BF80" s="1491" t="n"/>
      <c r="BG80" s="1491" t="n"/>
      <c r="BH80" s="1491" t="n"/>
      <c r="BI80" s="1491" t="n"/>
      <c r="BJ80" s="1491" t="n"/>
      <c r="BK80" s="1491" t="n"/>
      <c r="BL80" s="1491" t="n"/>
      <c r="BM80" s="1491" t="n"/>
      <c r="BN80" s="1491" t="n"/>
      <c r="BO80" s="1467" t="n"/>
      <c r="BP80" s="1514" t="n">
        <v>76</v>
      </c>
      <c r="BQ80" s="1513">
        <f>[1]Sheet1!C81</f>
        <v/>
      </c>
      <c r="BR80" s="1515">
        <f>[1]Sheet1!D81</f>
        <v/>
      </c>
      <c r="BS80" s="1513">
        <f>[1]Sheet1!E81</f>
        <v/>
      </c>
      <c r="BT80" s="1515">
        <f>[1]Sheet1!F81</f>
        <v/>
      </c>
      <c r="BU80" s="1516">
        <f>[1]Sheet1!G81</f>
        <v/>
      </c>
      <c r="BV80" s="1513">
        <f>[1]Sheet1!H81</f>
        <v/>
      </c>
      <c r="BW80" s="1467" t="n"/>
      <c r="BX80" s="1491">
        <f>[1]Sheet1!$J81</f>
        <v/>
      </c>
      <c r="BY80" s="1517">
        <f>[1]Sheet1!$K81</f>
        <v/>
      </c>
      <c r="BZ80" s="1517">
        <f>[1]Sheet1!$L81</f>
        <v/>
      </c>
      <c r="CA80" s="1500">
        <f>[1]Sheet1!$M81</f>
        <v/>
      </c>
      <c r="CB80" s="1467" t="n"/>
      <c r="CC80" s="1467" t="n"/>
      <c r="CD80" s="1513" t="n"/>
      <c r="CE80" s="1513" t="n"/>
      <c r="CF80" s="1513" t="n"/>
      <c r="CG80" s="1477" t="n"/>
      <c r="CH80" s="1513" t="n"/>
      <c r="CI80" s="1513" t="n"/>
      <c r="CJ80" s="1500" t="n"/>
      <c r="CK80" s="1477" t="n"/>
      <c r="CL80" s="1521" t="n">
        <v>76</v>
      </c>
      <c r="CM80" s="1513" t="inlineStr">
        <is>
          <t>Montreal-Mexico City</t>
        </is>
      </c>
      <c r="CN80" s="1513" t="inlineStr">
        <is>
          <t>Montreal</t>
        </is>
      </c>
      <c r="CO80" s="1513" t="inlineStr">
        <is>
          <t>Mexico City</t>
        </is>
      </c>
      <c r="CP80" s="1514" t="n">
        <v>3700</v>
      </c>
      <c r="CQ80" s="1477" t="n"/>
      <c r="CR80" s="1491" t="n"/>
      <c r="CS80" s="1491" t="n"/>
      <c r="CT80" s="1491" t="n"/>
      <c r="CU80" s="1491" t="n"/>
      <c r="CV80" s="1491" t="n"/>
      <c r="CW80" s="1491" t="n"/>
      <c r="CX80" s="1491" t="n"/>
    </row>
    <row r="81">
      <c r="A81" s="1491" t="n"/>
      <c r="B81" s="1491" t="n"/>
      <c r="C81" s="1491" t="n"/>
      <c r="D81" s="1497">
        <f>IF(E81&lt;&gt;"",D80+1,D80)</f>
        <v/>
      </c>
      <c r="E81" s="1497" t="inlineStr">
        <is>
          <t>Begnac</t>
        </is>
      </c>
      <c r="F81" s="1535" t="inlineStr">
        <is>
          <t>.</t>
        </is>
      </c>
      <c r="G81" s="1498">
        <f>IF(H81="AIR",0,IF(H80="AIR",G79+1,IF(H81&lt;&gt;"",G80+1,G80)))</f>
        <v/>
      </c>
      <c r="H81" s="1498" t="inlineStr">
        <is>
          <t>Gageac</t>
        </is>
      </c>
      <c r="I81" s="1427" t="inlineStr">
        <is>
          <t>.</t>
        </is>
      </c>
      <c r="J81" s="1499" t="n">
        <v>76</v>
      </c>
      <c r="K81" s="1500">
        <f>_xlfn.XLOOKUP(cities[[#This Row],[id]],$D$5:$D$1500,E$5:E$1500,"-")</f>
        <v/>
      </c>
      <c r="L81" s="1500">
        <f>_xlfn.XLOOKUP(cities[[#This Row],[city]],ccc[city],ccc[ctry],"-")</f>
        <v/>
      </c>
      <c r="M81" s="1500">
        <f>SUMIFS(stayCity[stay],stayCity[city],cities[[#This Row],[city]])</f>
        <v/>
      </c>
      <c r="N81" s="1427">
        <f>N80+1</f>
        <v/>
      </c>
      <c r="O81" s="1500" t="n"/>
      <c r="P81" s="1500" t="n"/>
      <c r="Q81" s="1427" t="inlineStr">
        <is>
          <t>.</t>
        </is>
      </c>
      <c r="R81" s="1491" t="n"/>
      <c r="S81" s="1491" t="n"/>
      <c r="T81" s="1491" t="n"/>
      <c r="U81" s="1491" t="n"/>
      <c r="V81" s="1491" t="n"/>
      <c r="W81" s="1491" t="n"/>
      <c r="X81" s="1491" t="n"/>
      <c r="Y81" s="1491" t="n"/>
      <c r="Z81" s="1427" t="inlineStr">
        <is>
          <t>.</t>
        </is>
      </c>
      <c r="AA81" s="1473">
        <f>IF(AB81&lt;&gt;"",AA80+1,AA80)</f>
        <v/>
      </c>
      <c r="AB81" s="1534" t="inlineStr">
        <is>
          <t>Natal-Brasilia</t>
        </is>
      </c>
      <c r="AC81" s="1473">
        <f>IF(AD81&lt;&gt;"",AC80+1,AC80)</f>
        <v/>
      </c>
      <c r="AD81" s="1534" t="n"/>
      <c r="AE81" s="1427" t="inlineStr">
        <is>
          <t>.</t>
        </is>
      </c>
      <c r="AF81" s="1502" t="n">
        <v>77</v>
      </c>
      <c r="AG81" s="1500">
        <f>_xlfn.XLOOKUP(routes[[#This Row],[id]],$AA$5:$AA$300,$AB$5:$AB$300,"-")</f>
        <v/>
      </c>
      <c r="AH81" s="1500">
        <f>_xlfn.XLOOKUP(routes[[#This Row],[route]],routesUniv[route],routesUniv[outbound],"-")</f>
        <v/>
      </c>
      <c r="AI81" s="1500">
        <f>_xlfn.XLOOKUP(routes[[#This Row],[route]],routesUniv[route],routesUniv[inbound],"-")</f>
        <v/>
      </c>
      <c r="AJ81" s="1500">
        <f>_xlfn.XLOOKUP(routes[[#This Row],[route]],routesUniv[route],routesUniv[km],"-")</f>
        <v/>
      </c>
      <c r="AK81" s="1500">
        <f>COUNTIF(INPUT!BT$5:BT$1000,AG81)</f>
        <v/>
      </c>
      <c r="AL81" s="1505">
        <f>routes[[#This Row],[km]]*routes[[#This Row],[rpt]]/1000</f>
        <v/>
      </c>
      <c r="AM81" s="1481" t="inlineStr">
        <is>
          <t>.</t>
        </is>
      </c>
      <c r="AN81" s="1506" t="n"/>
      <c r="AO81" s="1500">
        <f>IF(AD81&lt;&gt;"",AD81,"-")</f>
        <v/>
      </c>
      <c r="AP81" s="1500">
        <f>_xlfn.XLOOKUP(cityRoutes[[#This Row],[city]],ccc[city],ccc[ctry],"-")</f>
        <v/>
      </c>
      <c r="AQ81" s="1500">
        <f>COUNTIF(INPUT!BR$5:BS$1000,AO81)</f>
        <v/>
      </c>
      <c r="AR81" s="1507">
        <f>(SUMIFS(routes[total],routes[outbound],AO81)+SUMIFS(routes[total],routes[inbound],AO81))/2</f>
        <v/>
      </c>
      <c r="AS81" s="1481" t="inlineStr">
        <is>
          <t>.</t>
        </is>
      </c>
      <c r="AT81" s="1491" t="n"/>
      <c r="AU81" s="1491" t="n"/>
      <c r="AV81" s="1491" t="n"/>
      <c r="AW81" s="1491" t="n"/>
      <c r="AX81" s="1491" t="n"/>
      <c r="AY81" s="1491" t="n"/>
      <c r="AZ81" s="1491" t="n"/>
      <c r="BA81" s="1491" t="n"/>
      <c r="BB81" s="1491" t="n"/>
      <c r="BC81" s="1491" t="n"/>
      <c r="BD81" s="1491" t="n"/>
      <c r="BE81" s="1491" t="n"/>
      <c r="BF81" s="1491" t="n"/>
      <c r="BG81" s="1491" t="n"/>
      <c r="BH81" s="1491" t="n"/>
      <c r="BI81" s="1491" t="n"/>
      <c r="BJ81" s="1491" t="n"/>
      <c r="BK81" s="1491" t="n"/>
      <c r="BL81" s="1491" t="n"/>
      <c r="BM81" s="1491" t="n"/>
      <c r="BN81" s="1491" t="n"/>
      <c r="BO81" s="1467" t="n"/>
      <c r="BP81" s="1514" t="n">
        <v>77</v>
      </c>
      <c r="BQ81" s="1513">
        <f>[1]Sheet1!C82</f>
        <v/>
      </c>
      <c r="BR81" s="1515">
        <f>[1]Sheet1!D82</f>
        <v/>
      </c>
      <c r="BS81" s="1513">
        <f>[1]Sheet1!E82</f>
        <v/>
      </c>
      <c r="BT81" s="1515">
        <f>[1]Sheet1!F82</f>
        <v/>
      </c>
      <c r="BU81" s="1516">
        <f>[1]Sheet1!G82</f>
        <v/>
      </c>
      <c r="BV81" s="1513">
        <f>[1]Sheet1!H82</f>
        <v/>
      </c>
      <c r="BW81" s="1467" t="n"/>
      <c r="BX81" s="1491">
        <f>[1]Sheet1!$J82</f>
        <v/>
      </c>
      <c r="BY81" s="1517">
        <f>[1]Sheet1!$K82</f>
        <v/>
      </c>
      <c r="BZ81" s="1517">
        <f>[1]Sheet1!$L82</f>
        <v/>
      </c>
      <c r="CA81" s="1500">
        <f>[1]Sheet1!$M82</f>
        <v/>
      </c>
      <c r="CB81" s="1467" t="n"/>
      <c r="CC81" s="1467" t="n"/>
      <c r="CD81" s="1513" t="n"/>
      <c r="CE81" s="1513" t="n"/>
      <c r="CF81" s="1513" t="n"/>
      <c r="CG81" s="1477" t="n"/>
      <c r="CH81" s="1513" t="n"/>
      <c r="CI81" s="1513" t="n"/>
      <c r="CJ81" s="1500" t="n"/>
      <c r="CK81" s="1477" t="n"/>
      <c r="CL81" s="1521" t="n">
        <v>77</v>
      </c>
      <c r="CM81" s="1513" t="inlineStr">
        <is>
          <t>Montreal-Miami</t>
        </is>
      </c>
      <c r="CN81" s="1513" t="inlineStr">
        <is>
          <t>Montreal</t>
        </is>
      </c>
      <c r="CO81" s="1513" t="inlineStr">
        <is>
          <t>Miami</t>
        </is>
      </c>
      <c r="CP81" s="1514" t="n">
        <v>2300</v>
      </c>
      <c r="CQ81" s="1477" t="n"/>
      <c r="CR81" s="1491" t="n"/>
      <c r="CS81" s="1491" t="n"/>
      <c r="CT81" s="1491" t="n"/>
      <c r="CU81" s="1491" t="n"/>
      <c r="CV81" s="1491" t="n"/>
      <c r="CW81" s="1491" t="n"/>
      <c r="CX81" s="1491" t="n"/>
    </row>
    <row r="82">
      <c r="A82" s="1491" t="n"/>
      <c r="B82" s="1491" t="n"/>
      <c r="C82" s="1491" t="n"/>
      <c r="D82" s="1497">
        <f>IF(E82&lt;&gt;"",D81+1,D81)</f>
        <v/>
      </c>
      <c r="E82" s="1497" t="inlineStr">
        <is>
          <t>Cahors</t>
        </is>
      </c>
      <c r="F82" s="1535" t="inlineStr">
        <is>
          <t>.</t>
        </is>
      </c>
      <c r="G82" s="1498">
        <f>IF(H82="AIR",0,IF(H81="AIR",G80+1,IF(H82&lt;&gt;"",G81+1,G81)))</f>
        <v/>
      </c>
      <c r="H82" s="1498" t="inlineStr">
        <is>
          <t>Serlat</t>
        </is>
      </c>
      <c r="I82" s="1427" t="inlineStr">
        <is>
          <t>.</t>
        </is>
      </c>
      <c r="J82" s="1499" t="n">
        <v>77</v>
      </c>
      <c r="K82" s="1500">
        <f>_xlfn.XLOOKUP(cities[[#This Row],[id]],$D$5:$D$1500,E$5:E$1500,"-")</f>
        <v/>
      </c>
      <c r="L82" s="1500">
        <f>_xlfn.XLOOKUP(cities[[#This Row],[city]],ccc[city],ccc[ctry],"-")</f>
        <v/>
      </c>
      <c r="M82" s="1500">
        <f>SUMIFS(stayCity[stay],stayCity[city],cities[[#This Row],[city]])</f>
        <v/>
      </c>
      <c r="N82" s="1427">
        <f>N81+1</f>
        <v/>
      </c>
      <c r="O82" s="1500" t="n"/>
      <c r="P82" s="1500" t="n"/>
      <c r="Q82" s="1427" t="inlineStr">
        <is>
          <t>.</t>
        </is>
      </c>
      <c r="R82" s="1491" t="n"/>
      <c r="S82" s="1491" t="n"/>
      <c r="T82" s="1491" t="n"/>
      <c r="U82" s="1491" t="n"/>
      <c r="V82" s="1491" t="n"/>
      <c r="W82" s="1491" t="n"/>
      <c r="X82" s="1491" t="n"/>
      <c r="Y82" s="1491" t="n"/>
      <c r="Z82" s="1427" t="inlineStr">
        <is>
          <t>.</t>
        </is>
      </c>
      <c r="AA82" s="1473">
        <f>IF(AB82&lt;&gt;"",AA81+1,AA81)</f>
        <v/>
      </c>
      <c r="AB82" s="1534" t="inlineStr">
        <is>
          <t>SSA-Aracaju</t>
        </is>
      </c>
      <c r="AC82" s="1473">
        <f>IF(AD82&lt;&gt;"",AC81+1,AC81)</f>
        <v/>
      </c>
      <c r="AD82" s="1534" t="n"/>
      <c r="AE82" s="1427" t="inlineStr">
        <is>
          <t>.</t>
        </is>
      </c>
      <c r="AF82" s="1502" t="n">
        <v>78</v>
      </c>
      <c r="AG82" s="1500">
        <f>_xlfn.XLOOKUP(routes[[#This Row],[id]],$AA$5:$AA$300,$AB$5:$AB$300,"-")</f>
        <v/>
      </c>
      <c r="AH82" s="1500">
        <f>_xlfn.XLOOKUP(routes[[#This Row],[route]],routesUniv[route],routesUniv[outbound],"-")</f>
        <v/>
      </c>
      <c r="AI82" s="1500">
        <f>_xlfn.XLOOKUP(routes[[#This Row],[route]],routesUniv[route],routesUniv[inbound],"-")</f>
        <v/>
      </c>
      <c r="AJ82" s="1500">
        <f>_xlfn.XLOOKUP(routes[[#This Row],[route]],routesUniv[route],routesUniv[km],"-")</f>
        <v/>
      </c>
      <c r="AK82" s="1500">
        <f>COUNTIF(INPUT!BT$5:BT$1000,AG82)</f>
        <v/>
      </c>
      <c r="AL82" s="1505">
        <f>routes[[#This Row],[km]]*routes[[#This Row],[rpt]]/1000</f>
        <v/>
      </c>
      <c r="AM82" s="1481" t="inlineStr">
        <is>
          <t>.</t>
        </is>
      </c>
      <c r="AN82" s="1506" t="n"/>
      <c r="AO82" s="1500">
        <f>IF(AD82&lt;&gt;"",AD82,"-")</f>
        <v/>
      </c>
      <c r="AP82" s="1500">
        <f>_xlfn.XLOOKUP(cityRoutes[[#This Row],[city]],ccc[city],ccc[ctry],"-")</f>
        <v/>
      </c>
      <c r="AQ82" s="1500">
        <f>COUNTIF(INPUT!BR$5:BS$1000,AO82)</f>
        <v/>
      </c>
      <c r="AR82" s="1507">
        <f>(SUMIFS(routes[total],routes[outbound],AO82)+SUMIFS(routes[total],routes[inbound],AO82))/2</f>
        <v/>
      </c>
      <c r="AS82" s="1481" t="inlineStr">
        <is>
          <t>.</t>
        </is>
      </c>
      <c r="AT82" s="1491" t="n"/>
      <c r="AU82" s="1491" t="n"/>
      <c r="AV82" s="1491" t="n"/>
      <c r="AW82" s="1491" t="n"/>
      <c r="AX82" s="1491" t="n"/>
      <c r="AY82" s="1491" t="n"/>
      <c r="AZ82" s="1491" t="n"/>
      <c r="BA82" s="1491" t="n"/>
      <c r="BB82" s="1491" t="n"/>
      <c r="BC82" s="1491" t="n"/>
      <c r="BD82" s="1491" t="n"/>
      <c r="BE82" s="1491" t="n"/>
      <c r="BF82" s="1491" t="n"/>
      <c r="BG82" s="1491" t="n"/>
      <c r="BH82" s="1491" t="n"/>
      <c r="BI82" s="1491" t="n"/>
      <c r="BJ82" s="1491" t="n"/>
      <c r="BK82" s="1491" t="n"/>
      <c r="BL82" s="1491" t="n"/>
      <c r="BM82" s="1491" t="n"/>
      <c r="BN82" s="1491" t="n"/>
      <c r="BO82" s="1467" t="n"/>
      <c r="BP82" s="1514" t="n">
        <v>78</v>
      </c>
      <c r="BQ82" s="1513">
        <f>[1]Sheet1!C83</f>
        <v/>
      </c>
      <c r="BR82" s="1515">
        <f>[1]Sheet1!D83</f>
        <v/>
      </c>
      <c r="BS82" s="1513">
        <f>[1]Sheet1!E83</f>
        <v/>
      </c>
      <c r="BT82" s="1515">
        <f>[1]Sheet1!F83</f>
        <v/>
      </c>
      <c r="BU82" s="1516">
        <f>[1]Sheet1!G83</f>
        <v/>
      </c>
      <c r="BV82" s="1513">
        <f>[1]Sheet1!H83</f>
        <v/>
      </c>
      <c r="BW82" s="1467" t="n"/>
      <c r="BX82" s="1491">
        <f>[1]Sheet1!$J83</f>
        <v/>
      </c>
      <c r="BY82" s="1517">
        <f>[1]Sheet1!$K83</f>
        <v/>
      </c>
      <c r="BZ82" s="1517">
        <f>[1]Sheet1!$L83</f>
        <v/>
      </c>
      <c r="CA82" s="1500">
        <f>[1]Sheet1!$M83</f>
        <v/>
      </c>
      <c r="CB82" s="1467" t="n"/>
      <c r="CC82" s="1467" t="n"/>
      <c r="CD82" s="1513" t="n"/>
      <c r="CE82" s="1513" t="n"/>
      <c r="CF82" s="1513" t="n"/>
      <c r="CG82" s="1477" t="n"/>
      <c r="CH82" s="1513" t="n"/>
      <c r="CI82" s="1513" t="n"/>
      <c r="CJ82" s="1500" t="n"/>
      <c r="CK82" s="1477" t="n"/>
      <c r="CL82" s="1521" t="n">
        <v>78</v>
      </c>
      <c r="CM82" s="1513" t="inlineStr">
        <is>
          <t>Montreal-NYC</t>
        </is>
      </c>
      <c r="CN82" s="1513" t="inlineStr">
        <is>
          <t>Montreal</t>
        </is>
      </c>
      <c r="CO82" s="1513" t="inlineStr">
        <is>
          <t>NYC</t>
        </is>
      </c>
      <c r="CP82" s="1514" t="n">
        <v>500</v>
      </c>
      <c r="CQ82" s="1477" t="n"/>
      <c r="CR82" s="1491" t="n"/>
      <c r="CS82" s="1491" t="n"/>
      <c r="CT82" s="1491" t="n"/>
      <c r="CU82" s="1491" t="n"/>
      <c r="CV82" s="1491" t="n"/>
      <c r="CW82" s="1491" t="n"/>
      <c r="CX82" s="1491" t="n"/>
    </row>
    <row r="83">
      <c r="A83" s="1491" t="n"/>
      <c r="B83" s="1491" t="n"/>
      <c r="C83" s="1491" t="n"/>
      <c r="D83" s="1497">
        <f>IF(E83&lt;&gt;"",D82+1,D82)</f>
        <v/>
      </c>
      <c r="E83" s="1497" t="inlineStr">
        <is>
          <t>Saint-Cirq-Lapopie</t>
        </is>
      </c>
      <c r="F83" s="1535" t="inlineStr">
        <is>
          <t>.</t>
        </is>
      </c>
      <c r="G83" s="1498">
        <f>IF(H83="AIR",0,IF(H82="AIR",G81+1,IF(H83&lt;&gt;"",G82+1,G82)))</f>
        <v/>
      </c>
      <c r="H83" s="1498" t="inlineStr">
        <is>
          <t>Begnac</t>
        </is>
      </c>
      <c r="I83" s="1427" t="inlineStr">
        <is>
          <t>.</t>
        </is>
      </c>
      <c r="J83" s="1499" t="n">
        <v>78</v>
      </c>
      <c r="K83" s="1500">
        <f>_xlfn.XLOOKUP(cities[[#This Row],[id]],$D$5:$D$1500,E$5:E$1500,"-")</f>
        <v/>
      </c>
      <c r="L83" s="1500">
        <f>_xlfn.XLOOKUP(cities[[#This Row],[city]],ccc[city],ccc[ctry],"-")</f>
        <v/>
      </c>
      <c r="M83" s="1500">
        <f>SUMIFS(stayCity[stay],stayCity[city],cities[[#This Row],[city]])</f>
        <v/>
      </c>
      <c r="N83" s="1427">
        <f>N82+1</f>
        <v/>
      </c>
      <c r="O83" s="1500" t="n"/>
      <c r="P83" s="1500" t="n"/>
      <c r="Q83" s="1427" t="inlineStr">
        <is>
          <t>.</t>
        </is>
      </c>
      <c r="R83" s="1491" t="n"/>
      <c r="S83" s="1491" t="n"/>
      <c r="T83" s="1491" t="n"/>
      <c r="U83" s="1491" t="n"/>
      <c r="V83" s="1491" t="n"/>
      <c r="W83" s="1491" t="n"/>
      <c r="X83" s="1491" t="n"/>
      <c r="Y83" s="1491" t="n"/>
      <c r="Z83" s="1427" t="inlineStr">
        <is>
          <t>.</t>
        </is>
      </c>
      <c r="AA83" s="1473">
        <f>IF(AB83&lt;&gt;"",AA82+1,AA82)</f>
        <v/>
      </c>
      <c r="AB83" s="1534" t="inlineStr">
        <is>
          <t>SP-Buenos Aires</t>
        </is>
      </c>
      <c r="AC83" s="1473">
        <f>IF(AD83&lt;&gt;"",AC82+1,AC82)</f>
        <v/>
      </c>
      <c r="AD83" s="1534" t="n"/>
      <c r="AE83" s="1427" t="inlineStr">
        <is>
          <t>.</t>
        </is>
      </c>
      <c r="AF83" s="1502" t="n">
        <v>79</v>
      </c>
      <c r="AG83" s="1500">
        <f>_xlfn.XLOOKUP(routes[[#This Row],[id]],$AA$5:$AA$300,$AB$5:$AB$300,"-")</f>
        <v/>
      </c>
      <c r="AH83" s="1500">
        <f>_xlfn.XLOOKUP(routes[[#This Row],[route]],routesUniv[route],routesUniv[outbound],"-")</f>
        <v/>
      </c>
      <c r="AI83" s="1500">
        <f>_xlfn.XLOOKUP(routes[[#This Row],[route]],routesUniv[route],routesUniv[inbound],"-")</f>
        <v/>
      </c>
      <c r="AJ83" s="1500">
        <f>_xlfn.XLOOKUP(routes[[#This Row],[route]],routesUniv[route],routesUniv[km],"-")</f>
        <v/>
      </c>
      <c r="AK83" s="1500">
        <f>COUNTIF(INPUT!BT$5:BT$1000,AG83)</f>
        <v/>
      </c>
      <c r="AL83" s="1505">
        <f>routes[[#This Row],[km]]*routes[[#This Row],[rpt]]/1000</f>
        <v/>
      </c>
      <c r="AM83" s="1481" t="inlineStr">
        <is>
          <t>.</t>
        </is>
      </c>
      <c r="AN83" s="1506" t="n"/>
      <c r="AO83" s="1500">
        <f>IF(AD83&lt;&gt;"",AD83,"-")</f>
        <v/>
      </c>
      <c r="AP83" s="1500">
        <f>_xlfn.XLOOKUP(cityRoutes[[#This Row],[city]],ccc[city],ccc[ctry],"-")</f>
        <v/>
      </c>
      <c r="AQ83" s="1500">
        <f>COUNTIF(INPUT!BR$5:BS$1000,AO83)</f>
        <v/>
      </c>
      <c r="AR83" s="1507">
        <f>(SUMIFS(routes[total],routes[outbound],AO83)+SUMIFS(routes[total],routes[inbound],AO83))/2</f>
        <v/>
      </c>
      <c r="AS83" s="1481" t="inlineStr">
        <is>
          <t>.</t>
        </is>
      </c>
      <c r="AT83" s="1491" t="n"/>
      <c r="AU83" s="1491" t="n"/>
      <c r="AV83" s="1491" t="n"/>
      <c r="AW83" s="1491" t="n"/>
      <c r="AX83" s="1491" t="n"/>
      <c r="AY83" s="1491" t="n"/>
      <c r="AZ83" s="1491" t="n"/>
      <c r="BA83" s="1491" t="n"/>
      <c r="BB83" s="1491" t="n"/>
      <c r="BC83" s="1491" t="n"/>
      <c r="BD83" s="1491" t="n"/>
      <c r="BE83" s="1491" t="n"/>
      <c r="BF83" s="1491" t="n"/>
      <c r="BG83" s="1491" t="n"/>
      <c r="BH83" s="1491" t="n"/>
      <c r="BI83" s="1491" t="n"/>
      <c r="BJ83" s="1491" t="n"/>
      <c r="BK83" s="1491" t="n"/>
      <c r="BL83" s="1491" t="n"/>
      <c r="BM83" s="1491" t="n"/>
      <c r="BN83" s="1491" t="n"/>
      <c r="BO83" s="1467" t="n"/>
      <c r="BP83" s="1514" t="n">
        <v>79</v>
      </c>
      <c r="BQ83" s="1513">
        <f>[1]Sheet1!C84</f>
        <v/>
      </c>
      <c r="BR83" s="1515">
        <f>[1]Sheet1!D84</f>
        <v/>
      </c>
      <c r="BS83" s="1513">
        <f>[1]Sheet1!E84</f>
        <v/>
      </c>
      <c r="BT83" s="1515">
        <f>[1]Sheet1!F84</f>
        <v/>
      </c>
      <c r="BU83" s="1516">
        <f>[1]Sheet1!G84</f>
        <v/>
      </c>
      <c r="BV83" s="1513">
        <f>[1]Sheet1!H84</f>
        <v/>
      </c>
      <c r="BW83" s="1467" t="n"/>
      <c r="BX83" s="1491">
        <f>[1]Sheet1!$J84</f>
        <v/>
      </c>
      <c r="BY83" s="1517">
        <f>[1]Sheet1!$K84</f>
        <v/>
      </c>
      <c r="BZ83" s="1517">
        <f>[1]Sheet1!$L84</f>
        <v/>
      </c>
      <c r="CA83" s="1500">
        <f>[1]Sheet1!$M84</f>
        <v/>
      </c>
      <c r="CB83" s="1467" t="n"/>
      <c r="CC83" s="1467" t="n"/>
      <c r="CD83" s="1513" t="n"/>
      <c r="CE83" s="1513" t="n"/>
      <c r="CF83" s="1513" t="n"/>
      <c r="CG83" s="1477" t="n"/>
      <c r="CH83" s="1513" t="n"/>
      <c r="CI83" s="1513" t="n"/>
      <c r="CJ83" s="1500" t="n"/>
      <c r="CK83" s="1477" t="n"/>
      <c r="CL83" s="1521" t="n">
        <v>79</v>
      </c>
      <c r="CM83" s="1513" t="inlineStr">
        <is>
          <t>Montreal-Orlando</t>
        </is>
      </c>
      <c r="CN83" s="1513" t="inlineStr">
        <is>
          <t>Montreal</t>
        </is>
      </c>
      <c r="CO83" s="1513" t="inlineStr">
        <is>
          <t>Orlando</t>
        </is>
      </c>
      <c r="CP83" s="1514" t="n">
        <v>2000</v>
      </c>
      <c r="CQ83" s="1477" t="n"/>
      <c r="CR83" s="1491" t="n"/>
      <c r="CS83" s="1491" t="n"/>
      <c r="CT83" s="1491" t="n"/>
      <c r="CU83" s="1491" t="n"/>
      <c r="CV83" s="1491" t="n"/>
      <c r="CW83" s="1491" t="n"/>
      <c r="CX83" s="1491" t="n"/>
    </row>
    <row r="84">
      <c r="A84" s="1491" t="n"/>
      <c r="B84" s="1491" t="n"/>
      <c r="C84" s="1491" t="n"/>
      <c r="D84" s="1497">
        <f>IF(E84&lt;&gt;"",D83+1,D83)</f>
        <v/>
      </c>
      <c r="E84" s="1497" t="inlineStr">
        <is>
          <t>Cordes-sur-Ciel</t>
        </is>
      </c>
      <c r="F84" s="1535" t="inlineStr">
        <is>
          <t>.</t>
        </is>
      </c>
      <c r="G84" s="1498">
        <f>IF(H84="AIR",0,IF(H83="AIR",G82+1,IF(H84&lt;&gt;"",G83+1,G83)))</f>
        <v/>
      </c>
      <c r="H84" s="1498" t="inlineStr">
        <is>
          <t>Cahors</t>
        </is>
      </c>
      <c r="I84" s="1427" t="inlineStr">
        <is>
          <t>.</t>
        </is>
      </c>
      <c r="J84" s="1499" t="n">
        <v>79</v>
      </c>
      <c r="K84" s="1500">
        <f>_xlfn.XLOOKUP(cities[[#This Row],[id]],$D$5:$D$1500,E$5:E$1500,"-")</f>
        <v/>
      </c>
      <c r="L84" s="1500">
        <f>_xlfn.XLOOKUP(cities[[#This Row],[city]],ccc[city],ccc[ctry],"-")</f>
        <v/>
      </c>
      <c r="M84" s="1500">
        <f>SUMIFS(stayCity[stay],stayCity[city],cities[[#This Row],[city]])</f>
        <v/>
      </c>
      <c r="N84" s="1427">
        <f>N83+1</f>
        <v/>
      </c>
      <c r="O84" s="1500" t="n"/>
      <c r="P84" s="1500" t="n"/>
      <c r="Q84" s="1427" t="inlineStr">
        <is>
          <t>.</t>
        </is>
      </c>
      <c r="R84" s="1491" t="n"/>
      <c r="S84" s="1491" t="n"/>
      <c r="T84" s="1491" t="n"/>
      <c r="U84" s="1491" t="n"/>
      <c r="V84" s="1491" t="n"/>
      <c r="W84" s="1491" t="n"/>
      <c r="X84" s="1491" t="n"/>
      <c r="Y84" s="1491" t="n"/>
      <c r="Z84" s="1427" t="inlineStr">
        <is>
          <t>.</t>
        </is>
      </c>
      <c r="AA84" s="1473">
        <f>IF(AB84&lt;&gt;"",AA83+1,AA83)</f>
        <v/>
      </c>
      <c r="AB84" s="1534" t="inlineStr">
        <is>
          <t>Buenos Aires-SP</t>
        </is>
      </c>
      <c r="AC84" s="1473">
        <f>IF(AD84&lt;&gt;"",AC83+1,AC83)</f>
        <v/>
      </c>
      <c r="AD84" s="1534" t="n"/>
      <c r="AE84" s="1427" t="inlineStr">
        <is>
          <t>.</t>
        </is>
      </c>
      <c r="AF84" s="1502" t="n">
        <v>80</v>
      </c>
      <c r="AG84" s="1500">
        <f>_xlfn.XLOOKUP(routes[[#This Row],[id]],$AA$5:$AA$300,$AB$5:$AB$300,"-")</f>
        <v/>
      </c>
      <c r="AH84" s="1500">
        <f>_xlfn.XLOOKUP(routes[[#This Row],[route]],routesUniv[route],routesUniv[outbound],"-")</f>
        <v/>
      </c>
      <c r="AI84" s="1500">
        <f>_xlfn.XLOOKUP(routes[[#This Row],[route]],routesUniv[route],routesUniv[inbound],"-")</f>
        <v/>
      </c>
      <c r="AJ84" s="1500">
        <f>_xlfn.XLOOKUP(routes[[#This Row],[route]],routesUniv[route],routesUniv[km],"-")</f>
        <v/>
      </c>
      <c r="AK84" s="1500">
        <f>COUNTIF(INPUT!BT$5:BT$1000,AG84)</f>
        <v/>
      </c>
      <c r="AL84" s="1505">
        <f>routes[[#This Row],[km]]*routes[[#This Row],[rpt]]/1000</f>
        <v/>
      </c>
      <c r="AM84" s="1481" t="inlineStr">
        <is>
          <t>.</t>
        </is>
      </c>
      <c r="AN84" s="1506" t="n"/>
      <c r="AO84" s="1500">
        <f>IF(AD84&lt;&gt;"",AD84,"-")</f>
        <v/>
      </c>
      <c r="AP84" s="1500">
        <f>_xlfn.XLOOKUP(cityRoutes[[#This Row],[city]],ccc[city],ccc[ctry],"-")</f>
        <v/>
      </c>
      <c r="AQ84" s="1500">
        <f>COUNTIF(INPUT!BR$5:BS$1000,AO84)</f>
        <v/>
      </c>
      <c r="AR84" s="1507">
        <f>(SUMIFS(routes[total],routes[outbound],AO84)+SUMIFS(routes[total],routes[inbound],AO84))/2</f>
        <v/>
      </c>
      <c r="AS84" s="1481" t="inlineStr">
        <is>
          <t>.</t>
        </is>
      </c>
      <c r="AT84" s="1491" t="n"/>
      <c r="AU84" s="1491" t="n"/>
      <c r="AV84" s="1491" t="n"/>
      <c r="AW84" s="1491" t="n"/>
      <c r="AX84" s="1491" t="n"/>
      <c r="AY84" s="1491" t="n"/>
      <c r="AZ84" s="1491" t="n"/>
      <c r="BA84" s="1491" t="n"/>
      <c r="BB84" s="1491" t="n"/>
      <c r="BC84" s="1491" t="n"/>
      <c r="BD84" s="1491" t="n"/>
      <c r="BE84" s="1491" t="n"/>
      <c r="BF84" s="1491" t="n"/>
      <c r="BG84" s="1491" t="n"/>
      <c r="BH84" s="1491" t="n"/>
      <c r="BI84" s="1491" t="n"/>
      <c r="BJ84" s="1491" t="n"/>
      <c r="BK84" s="1491" t="n"/>
      <c r="BL84" s="1491" t="n"/>
      <c r="BM84" s="1491" t="n"/>
      <c r="BN84" s="1491" t="n"/>
      <c r="BO84" s="1467" t="n"/>
      <c r="BP84" s="1514" t="n">
        <v>80</v>
      </c>
      <c r="BQ84" s="1513">
        <f>[1]Sheet1!C85</f>
        <v/>
      </c>
      <c r="BR84" s="1515">
        <f>[1]Sheet1!D85</f>
        <v/>
      </c>
      <c r="BS84" s="1513">
        <f>[1]Sheet1!E85</f>
        <v/>
      </c>
      <c r="BT84" s="1515">
        <f>[1]Sheet1!F85</f>
        <v/>
      </c>
      <c r="BU84" s="1516">
        <f>[1]Sheet1!G85</f>
        <v/>
      </c>
      <c r="BV84" s="1513">
        <f>[1]Sheet1!H85</f>
        <v/>
      </c>
      <c r="BW84" s="1467" t="n"/>
      <c r="BX84" s="1491">
        <f>[1]Sheet1!$J85</f>
        <v/>
      </c>
      <c r="BY84" s="1517">
        <f>[1]Sheet1!$K85</f>
        <v/>
      </c>
      <c r="BZ84" s="1517">
        <f>[1]Sheet1!$L85</f>
        <v/>
      </c>
      <c r="CA84" s="1500">
        <f>[1]Sheet1!$M85</f>
        <v/>
      </c>
      <c r="CB84" s="1467" t="n"/>
      <c r="CC84" s="1467" t="n"/>
      <c r="CD84" s="1513" t="n"/>
      <c r="CE84" s="1513" t="n"/>
      <c r="CF84" s="1513" t="n"/>
      <c r="CG84" s="1477" t="n"/>
      <c r="CH84" s="1513" t="n"/>
      <c r="CI84" s="1513" t="n"/>
      <c r="CJ84" s="1500" t="n"/>
      <c r="CK84" s="1477" t="n"/>
      <c r="CL84" s="1521" t="n">
        <v>80</v>
      </c>
      <c r="CM84" s="1513" t="inlineStr">
        <is>
          <t>Montreal-Panama</t>
        </is>
      </c>
      <c r="CN84" s="1513" t="inlineStr">
        <is>
          <t>Montreal</t>
        </is>
      </c>
      <c r="CO84" s="1513" t="inlineStr">
        <is>
          <t>Panama</t>
        </is>
      </c>
      <c r="CP84" s="1514" t="n">
        <v>4100</v>
      </c>
      <c r="CQ84" s="1477" t="n"/>
      <c r="CR84" s="1491" t="n"/>
      <c r="CS84" s="1491" t="n"/>
      <c r="CT84" s="1491" t="n"/>
      <c r="CU84" s="1491" t="n"/>
      <c r="CV84" s="1491" t="n"/>
      <c r="CW84" s="1491" t="n"/>
      <c r="CX84" s="1491" t="n"/>
    </row>
    <row r="85">
      <c r="A85" s="1491" t="n"/>
      <c r="B85" s="1491" t="n"/>
      <c r="C85" s="1491" t="n"/>
      <c r="D85" s="1497">
        <f>IF(E85&lt;&gt;"",D84+1,D84)</f>
        <v/>
      </c>
      <c r="E85" s="1497" t="inlineStr">
        <is>
          <t>Albi</t>
        </is>
      </c>
      <c r="F85" s="1535" t="inlineStr">
        <is>
          <t>.</t>
        </is>
      </c>
      <c r="G85" s="1498">
        <f>IF(H85="AIR",0,IF(H84="AIR",G83+1,IF(H85&lt;&gt;"",G84+1,G84)))</f>
        <v/>
      </c>
      <c r="H85" s="1498" t="inlineStr">
        <is>
          <t>Saint-Cirq-Lapopie</t>
        </is>
      </c>
      <c r="I85" s="1427" t="inlineStr">
        <is>
          <t>.</t>
        </is>
      </c>
      <c r="J85" s="1499" t="n">
        <v>80</v>
      </c>
      <c r="K85" s="1500">
        <f>_xlfn.XLOOKUP(cities[[#This Row],[id]],$D$5:$D$1500,E$5:E$1500,"-")</f>
        <v/>
      </c>
      <c r="L85" s="1500">
        <f>_xlfn.XLOOKUP(cities[[#This Row],[city]],ccc[city],ccc[ctry],"-")</f>
        <v/>
      </c>
      <c r="M85" s="1500">
        <f>SUMIFS(stayCity[stay],stayCity[city],cities[[#This Row],[city]])</f>
        <v/>
      </c>
      <c r="N85" s="1427">
        <f>N84+1</f>
        <v/>
      </c>
      <c r="O85" s="1500" t="n"/>
      <c r="P85" s="1500" t="n"/>
      <c r="Q85" s="1427" t="inlineStr">
        <is>
          <t>.</t>
        </is>
      </c>
      <c r="R85" s="1491" t="n"/>
      <c r="S85" s="1491" t="n"/>
      <c r="T85" s="1491" t="n"/>
      <c r="U85" s="1491" t="n"/>
      <c r="V85" s="1491" t="n"/>
      <c r="W85" s="1491" t="n"/>
      <c r="X85" s="1491" t="n"/>
      <c r="Y85" s="1491" t="n"/>
      <c r="Z85" s="1427" t="inlineStr">
        <is>
          <t>.</t>
        </is>
      </c>
      <c r="AA85" s="1473">
        <f>IF(AB85&lt;&gt;"",AA84+1,AA84)</f>
        <v/>
      </c>
      <c r="AB85" s="1534" t="inlineStr">
        <is>
          <t>SP-Bariloche</t>
        </is>
      </c>
      <c r="AC85" s="1473">
        <f>IF(AD85&lt;&gt;"",AC84+1,AC84)</f>
        <v/>
      </c>
      <c r="AD85" s="1534" t="n"/>
      <c r="AE85" s="1427" t="inlineStr">
        <is>
          <t>.</t>
        </is>
      </c>
      <c r="AF85" s="1502" t="n">
        <v>81</v>
      </c>
      <c r="AG85" s="1500">
        <f>_xlfn.XLOOKUP(routes[[#This Row],[id]],$AA$5:$AA$300,$AB$5:$AB$300,"-")</f>
        <v/>
      </c>
      <c r="AH85" s="1500">
        <f>_xlfn.XLOOKUP(routes[[#This Row],[route]],routesUniv[route],routesUniv[outbound],"-")</f>
        <v/>
      </c>
      <c r="AI85" s="1500">
        <f>_xlfn.XLOOKUP(routes[[#This Row],[route]],routesUniv[route],routesUniv[inbound],"-")</f>
        <v/>
      </c>
      <c r="AJ85" s="1500">
        <f>_xlfn.XLOOKUP(routes[[#This Row],[route]],routesUniv[route],routesUniv[km],"-")</f>
        <v/>
      </c>
      <c r="AK85" s="1500">
        <f>COUNTIF(INPUT!BT$5:BT$1000,AG85)</f>
        <v/>
      </c>
      <c r="AL85" s="1505">
        <f>routes[[#This Row],[km]]*routes[[#This Row],[rpt]]/1000</f>
        <v/>
      </c>
      <c r="AM85" s="1481" t="inlineStr">
        <is>
          <t>.</t>
        </is>
      </c>
      <c r="AN85" s="1506" t="n"/>
      <c r="AO85" s="1500">
        <f>IF(AD85&lt;&gt;"",AD85,"-")</f>
        <v/>
      </c>
      <c r="AP85" s="1500">
        <f>_xlfn.XLOOKUP(cityRoutes[[#This Row],[city]],ccc[city],ccc[ctry],"-")</f>
        <v/>
      </c>
      <c r="AQ85" s="1500">
        <f>COUNTIF(INPUT!BR$5:BS$1000,AO85)</f>
        <v/>
      </c>
      <c r="AR85" s="1507">
        <f>(SUMIFS(routes[total],routes[outbound],AO85)+SUMIFS(routes[total],routes[inbound],AO85))/2</f>
        <v/>
      </c>
      <c r="AS85" s="1481" t="inlineStr">
        <is>
          <t>.</t>
        </is>
      </c>
      <c r="AT85" s="1491" t="n"/>
      <c r="AU85" s="1491" t="n"/>
      <c r="AV85" s="1491" t="n"/>
      <c r="AW85" s="1491" t="n"/>
      <c r="AX85" s="1491" t="n"/>
      <c r="AY85" s="1491" t="n"/>
      <c r="AZ85" s="1491" t="n"/>
      <c r="BA85" s="1491" t="n"/>
      <c r="BB85" s="1491" t="n"/>
      <c r="BC85" s="1491" t="n"/>
      <c r="BD85" s="1491" t="n"/>
      <c r="BE85" s="1491" t="n"/>
      <c r="BF85" s="1491" t="n"/>
      <c r="BG85" s="1491" t="n"/>
      <c r="BH85" s="1491" t="n"/>
      <c r="BI85" s="1491" t="n"/>
      <c r="BJ85" s="1491" t="n"/>
      <c r="BK85" s="1491" t="n"/>
      <c r="BL85" s="1491" t="n"/>
      <c r="BM85" s="1491" t="n"/>
      <c r="BN85" s="1491" t="n"/>
      <c r="BO85" s="1467" t="n"/>
      <c r="BP85" s="1514" t="n">
        <v>81</v>
      </c>
      <c r="BQ85" s="1513">
        <f>[1]Sheet1!C86</f>
        <v/>
      </c>
      <c r="BR85" s="1515">
        <f>[1]Sheet1!D86</f>
        <v/>
      </c>
      <c r="BS85" s="1513">
        <f>[1]Sheet1!E86</f>
        <v/>
      </c>
      <c r="BT85" s="1515">
        <f>[1]Sheet1!F86</f>
        <v/>
      </c>
      <c r="BU85" s="1516">
        <f>[1]Sheet1!G86</f>
        <v/>
      </c>
      <c r="BV85" s="1513">
        <f>[1]Sheet1!H86</f>
        <v/>
      </c>
      <c r="BW85" s="1467" t="n"/>
      <c r="BX85" s="1491">
        <f>[1]Sheet1!$J86</f>
        <v/>
      </c>
      <c r="BY85" s="1517">
        <f>[1]Sheet1!$K86</f>
        <v/>
      </c>
      <c r="BZ85" s="1517">
        <f>[1]Sheet1!$L86</f>
        <v/>
      </c>
      <c r="CA85" s="1500">
        <f>[1]Sheet1!$M86</f>
        <v/>
      </c>
      <c r="CB85" s="1467" t="n"/>
      <c r="CC85" s="1467" t="n"/>
      <c r="CD85" s="1513" t="n"/>
      <c r="CE85" s="1513" t="n"/>
      <c r="CF85" s="1513" t="n"/>
      <c r="CG85" s="1477" t="n"/>
      <c r="CH85" s="1513" t="n"/>
      <c r="CI85" s="1513" t="n"/>
      <c r="CJ85" s="1500" t="n"/>
      <c r="CK85" s="1477" t="n"/>
      <c r="CL85" s="1521" t="n">
        <v>81</v>
      </c>
      <c r="CM85" s="1513" t="inlineStr">
        <is>
          <t>Montreal-Philadelphia</t>
        </is>
      </c>
      <c r="CN85" s="1513" t="inlineStr">
        <is>
          <t>Montreal</t>
        </is>
      </c>
      <c r="CO85" s="1513" t="inlineStr">
        <is>
          <t>Philadelphia</t>
        </is>
      </c>
      <c r="CP85" s="1514" t="n">
        <v>650</v>
      </c>
      <c r="CQ85" s="1477" t="n"/>
      <c r="CR85" s="1491" t="n"/>
      <c r="CS85" s="1491" t="n"/>
      <c r="CT85" s="1491" t="n"/>
      <c r="CU85" s="1491" t="n"/>
      <c r="CV85" s="1491" t="n"/>
      <c r="CW85" s="1491" t="n"/>
      <c r="CX85" s="1491" t="n"/>
    </row>
    <row r="86">
      <c r="A86" s="1491" t="n"/>
      <c r="B86" s="1491" t="n"/>
      <c r="C86" s="1491" t="n"/>
      <c r="D86" s="1497">
        <f>IF(E86&lt;&gt;"",D85+1,D85)</f>
        <v/>
      </c>
      <c r="E86" s="1497" t="inlineStr">
        <is>
          <t>Carcassone</t>
        </is>
      </c>
      <c r="F86" s="1535" t="inlineStr">
        <is>
          <t>.</t>
        </is>
      </c>
      <c r="G86" s="1498">
        <f>IF(H86="AIR",0,IF(H85="AIR",G84+1,IF(H86&lt;&gt;"",G85+1,G85)))</f>
        <v/>
      </c>
      <c r="H86" s="1498" t="inlineStr">
        <is>
          <t>Cordes-sur-Ciel</t>
        </is>
      </c>
      <c r="I86" s="1427" t="inlineStr">
        <is>
          <t>.</t>
        </is>
      </c>
      <c r="J86" s="1499" t="n">
        <v>81</v>
      </c>
      <c r="K86" s="1500">
        <f>_xlfn.XLOOKUP(cities[[#This Row],[id]],$D$5:$D$1500,E$5:E$1500,"-")</f>
        <v/>
      </c>
      <c r="L86" s="1500">
        <f>_xlfn.XLOOKUP(cities[[#This Row],[city]],ccc[city],ccc[ctry],"-")</f>
        <v/>
      </c>
      <c r="M86" s="1500">
        <f>SUMIFS(stayCity[stay],stayCity[city],cities[[#This Row],[city]])</f>
        <v/>
      </c>
      <c r="N86" s="1427">
        <f>N85+1</f>
        <v/>
      </c>
      <c r="O86" s="1500" t="n"/>
      <c r="P86" s="1500" t="n"/>
      <c r="Q86" s="1427" t="inlineStr">
        <is>
          <t>.</t>
        </is>
      </c>
      <c r="R86" s="1491" t="n"/>
      <c r="S86" s="1491" t="n"/>
      <c r="T86" s="1491" t="n"/>
      <c r="U86" s="1491" t="n"/>
      <c r="V86" s="1491" t="n"/>
      <c r="W86" s="1491" t="n"/>
      <c r="X86" s="1491" t="n"/>
      <c r="Y86" s="1491" t="n"/>
      <c r="Z86" s="1427" t="inlineStr">
        <is>
          <t>.</t>
        </is>
      </c>
      <c r="AA86" s="1473">
        <f>IF(AB86&lt;&gt;"",AA85+1,AA85)</f>
        <v/>
      </c>
      <c r="AB86" s="1534" t="inlineStr">
        <is>
          <t>Bariloche-SP</t>
        </is>
      </c>
      <c r="AC86" s="1473">
        <f>IF(AD86&lt;&gt;"",AC85+1,AC85)</f>
        <v/>
      </c>
      <c r="AD86" s="1534" t="n"/>
      <c r="AE86" s="1427" t="inlineStr">
        <is>
          <t>.</t>
        </is>
      </c>
      <c r="AF86" s="1502" t="n">
        <v>82</v>
      </c>
      <c r="AG86" s="1500">
        <f>_xlfn.XLOOKUP(routes[[#This Row],[id]],$AA$5:$AA$300,$AB$5:$AB$300,"-")</f>
        <v/>
      </c>
      <c r="AH86" s="1500">
        <f>_xlfn.XLOOKUP(routes[[#This Row],[route]],routesUniv[route],routesUniv[outbound],"-")</f>
        <v/>
      </c>
      <c r="AI86" s="1500">
        <f>_xlfn.XLOOKUP(routes[[#This Row],[route]],routesUniv[route],routesUniv[inbound],"-")</f>
        <v/>
      </c>
      <c r="AJ86" s="1500">
        <f>_xlfn.XLOOKUP(routes[[#This Row],[route]],routesUniv[route],routesUniv[km],"-")</f>
        <v/>
      </c>
      <c r="AK86" s="1500">
        <f>COUNTIF(INPUT!BT$5:BT$1000,AG86)</f>
        <v/>
      </c>
      <c r="AL86" s="1505">
        <f>routes[[#This Row],[km]]*routes[[#This Row],[rpt]]/1000</f>
        <v/>
      </c>
      <c r="AM86" s="1481" t="inlineStr">
        <is>
          <t>.</t>
        </is>
      </c>
      <c r="AN86" s="1506" t="n"/>
      <c r="AO86" s="1500">
        <f>IF(AD86&lt;&gt;"",AD86,"-")</f>
        <v/>
      </c>
      <c r="AP86" s="1500">
        <f>_xlfn.XLOOKUP(cityRoutes[[#This Row],[city]],ccc[city],ccc[ctry],"-")</f>
        <v/>
      </c>
      <c r="AQ86" s="1500">
        <f>COUNTIF(INPUT!BR$5:BS$1000,AO86)</f>
        <v/>
      </c>
      <c r="AR86" s="1507">
        <f>(SUMIFS(routes[total],routes[outbound],AO86)+SUMIFS(routes[total],routes[inbound],AO86))/2</f>
        <v/>
      </c>
      <c r="AS86" s="1481" t="inlineStr">
        <is>
          <t>.</t>
        </is>
      </c>
      <c r="AT86" s="1491" t="n"/>
      <c r="AU86" s="1491" t="n"/>
      <c r="AV86" s="1491" t="n"/>
      <c r="AW86" s="1491" t="n"/>
      <c r="AX86" s="1491" t="n"/>
      <c r="AY86" s="1491" t="n"/>
      <c r="AZ86" s="1491" t="n"/>
      <c r="BA86" s="1491" t="n"/>
      <c r="BB86" s="1491" t="n"/>
      <c r="BC86" s="1491" t="n"/>
      <c r="BD86" s="1491" t="n"/>
      <c r="BE86" s="1491" t="n"/>
      <c r="BF86" s="1491" t="n"/>
      <c r="BG86" s="1491" t="n"/>
      <c r="BH86" s="1491" t="n"/>
      <c r="BI86" s="1491" t="n"/>
      <c r="BJ86" s="1491" t="n"/>
      <c r="BK86" s="1491" t="n"/>
      <c r="BL86" s="1491" t="n"/>
      <c r="BM86" s="1491" t="n"/>
      <c r="BN86" s="1491" t="n"/>
      <c r="BO86" s="1467" t="n"/>
      <c r="BP86" s="1514" t="n">
        <v>82</v>
      </c>
      <c r="BQ86" s="1513">
        <f>[1]Sheet1!C87</f>
        <v/>
      </c>
      <c r="BR86" s="1515">
        <f>[1]Sheet1!D87</f>
        <v/>
      </c>
      <c r="BS86" s="1513">
        <f>[1]Sheet1!E87</f>
        <v/>
      </c>
      <c r="BT86" s="1515">
        <f>[1]Sheet1!F87</f>
        <v/>
      </c>
      <c r="BU86" s="1516">
        <f>[1]Sheet1!G87</f>
        <v/>
      </c>
      <c r="BV86" s="1513">
        <f>[1]Sheet1!H87</f>
        <v/>
      </c>
      <c r="BW86" s="1467" t="n"/>
      <c r="BX86" s="1491">
        <f>[1]Sheet1!$J87</f>
        <v/>
      </c>
      <c r="BY86" s="1517">
        <f>[1]Sheet1!$K87</f>
        <v/>
      </c>
      <c r="BZ86" s="1517">
        <f>[1]Sheet1!$L87</f>
        <v/>
      </c>
      <c r="CA86" s="1500">
        <f>[1]Sheet1!$M87</f>
        <v/>
      </c>
      <c r="CB86" s="1467" t="n"/>
      <c r="CC86" s="1467" t="n"/>
      <c r="CD86" s="1500" t="n"/>
      <c r="CE86" s="1513" t="n"/>
      <c r="CF86" s="1513" t="n"/>
      <c r="CG86" s="1477" t="n"/>
      <c r="CH86" s="1513" t="n"/>
      <c r="CI86" s="1513" t="n"/>
      <c r="CJ86" s="1500" t="n"/>
      <c r="CK86" s="1477" t="n"/>
      <c r="CL86" s="1521" t="n">
        <v>82</v>
      </c>
      <c r="CM86" s="1513" t="inlineStr">
        <is>
          <t>Montreal-Porto</t>
        </is>
      </c>
      <c r="CN86" s="1513" t="inlineStr">
        <is>
          <t>Montreal</t>
        </is>
      </c>
      <c r="CO86" s="1513" t="inlineStr">
        <is>
          <t>Porto</t>
        </is>
      </c>
      <c r="CP86" s="1514" t="n">
        <v>5100</v>
      </c>
      <c r="CQ86" s="1477" t="n"/>
      <c r="CR86" s="1491" t="n"/>
      <c r="CS86" s="1491" t="n"/>
      <c r="CT86" s="1491" t="n"/>
      <c r="CU86" s="1491" t="n"/>
      <c r="CV86" s="1491" t="n"/>
      <c r="CW86" s="1491" t="n"/>
      <c r="CX86" s="1491" t="n"/>
    </row>
    <row r="87">
      <c r="A87" s="1491" t="n"/>
      <c r="B87" s="1491" t="n"/>
      <c r="C87" s="1491" t="n"/>
      <c r="D87" s="1497">
        <f>IF(E87&lt;&gt;"",D86+1,D86)</f>
        <v/>
      </c>
      <c r="E87" s="1497" t="inlineStr">
        <is>
          <t>Millau</t>
        </is>
      </c>
      <c r="F87" s="1535" t="inlineStr">
        <is>
          <t>.</t>
        </is>
      </c>
      <c r="G87" s="1498">
        <f>IF(H87="AIR",0,IF(H86="AIR",G85+1,IF(H87&lt;&gt;"",G86+1,G86)))</f>
        <v/>
      </c>
      <c r="H87" s="1498" t="inlineStr">
        <is>
          <t>Albi</t>
        </is>
      </c>
      <c r="I87" s="1427" t="inlineStr">
        <is>
          <t>.</t>
        </is>
      </c>
      <c r="J87" s="1499" t="n">
        <v>82</v>
      </c>
      <c r="K87" s="1500">
        <f>_xlfn.XLOOKUP(cities[[#This Row],[id]],$D$5:$D$1500,E$5:E$1500,"-")</f>
        <v/>
      </c>
      <c r="L87" s="1500">
        <f>_xlfn.XLOOKUP(cities[[#This Row],[city]],ccc[city],ccc[ctry],"-")</f>
        <v/>
      </c>
      <c r="M87" s="1500">
        <f>SUMIFS(stayCity[stay],stayCity[city],cities[[#This Row],[city]])</f>
        <v/>
      </c>
      <c r="N87" s="1427">
        <f>N86+1</f>
        <v/>
      </c>
      <c r="O87" s="1500" t="n"/>
      <c r="P87" s="1500" t="n"/>
      <c r="Q87" s="1427" t="inlineStr">
        <is>
          <t>.</t>
        </is>
      </c>
      <c r="R87" s="1491" t="n"/>
      <c r="S87" s="1491" t="n"/>
      <c r="T87" s="1491" t="n"/>
      <c r="U87" s="1491" t="n"/>
      <c r="V87" s="1491" t="n"/>
      <c r="W87" s="1491" t="n"/>
      <c r="X87" s="1491" t="n"/>
      <c r="Y87" s="1491" t="n"/>
      <c r="Z87" s="1427" t="inlineStr">
        <is>
          <t>.</t>
        </is>
      </c>
      <c r="AA87" s="1473">
        <f>IF(AB87&lt;&gt;"",AA86+1,AA86)</f>
        <v/>
      </c>
      <c r="AB87" s="1534" t="inlineStr">
        <is>
          <t>SSA-Brasilia</t>
        </is>
      </c>
      <c r="AC87" s="1473">
        <f>IF(AD87&lt;&gt;"",AC86+1,AC86)</f>
        <v/>
      </c>
      <c r="AD87" s="1534" t="n"/>
      <c r="AE87" s="1427" t="inlineStr">
        <is>
          <t>.</t>
        </is>
      </c>
      <c r="AF87" s="1502" t="n">
        <v>83</v>
      </c>
      <c r="AG87" s="1500">
        <f>_xlfn.XLOOKUP(routes[[#This Row],[id]],$AA$5:$AA$300,$AB$5:$AB$300,"-")</f>
        <v/>
      </c>
      <c r="AH87" s="1500">
        <f>_xlfn.XLOOKUP(routes[[#This Row],[route]],routesUniv[route],routesUniv[outbound],"-")</f>
        <v/>
      </c>
      <c r="AI87" s="1500">
        <f>_xlfn.XLOOKUP(routes[[#This Row],[route]],routesUniv[route],routesUniv[inbound],"-")</f>
        <v/>
      </c>
      <c r="AJ87" s="1500">
        <f>_xlfn.XLOOKUP(routes[[#This Row],[route]],routesUniv[route],routesUniv[km],"-")</f>
        <v/>
      </c>
      <c r="AK87" s="1500">
        <f>COUNTIF(INPUT!BT$5:BT$1000,AG87)</f>
        <v/>
      </c>
      <c r="AL87" s="1505">
        <f>routes[[#This Row],[km]]*routes[[#This Row],[rpt]]/1000</f>
        <v/>
      </c>
      <c r="AM87" s="1481" t="inlineStr">
        <is>
          <t>.</t>
        </is>
      </c>
      <c r="AN87" s="1506" t="n"/>
      <c r="AO87" s="1500">
        <f>IF(AD87&lt;&gt;"",AD87,"-")</f>
        <v/>
      </c>
      <c r="AP87" s="1500">
        <f>_xlfn.XLOOKUP(cityRoutes[[#This Row],[city]],ccc[city],ccc[ctry],"-")</f>
        <v/>
      </c>
      <c r="AQ87" s="1500">
        <f>COUNTIF(INPUT!BR$5:BS$1000,AO87)</f>
        <v/>
      </c>
      <c r="AR87" s="1507">
        <f>(SUMIFS(routes[total],routes[outbound],AO87)+SUMIFS(routes[total],routes[inbound],AO87))/2</f>
        <v/>
      </c>
      <c r="AS87" s="1481" t="inlineStr">
        <is>
          <t>.</t>
        </is>
      </c>
      <c r="AT87" s="1491" t="n"/>
      <c r="AU87" s="1491" t="n"/>
      <c r="AV87" s="1491" t="n"/>
      <c r="AW87" s="1491" t="n"/>
      <c r="AX87" s="1491" t="n"/>
      <c r="AY87" s="1491" t="n"/>
      <c r="AZ87" s="1491" t="n"/>
      <c r="BA87" s="1491" t="n"/>
      <c r="BB87" s="1491" t="n"/>
      <c r="BC87" s="1491" t="n"/>
      <c r="BD87" s="1491" t="n"/>
      <c r="BE87" s="1491" t="n"/>
      <c r="BF87" s="1491" t="n"/>
      <c r="BG87" s="1491" t="n"/>
      <c r="BH87" s="1491" t="n"/>
      <c r="BI87" s="1491" t="n"/>
      <c r="BJ87" s="1491" t="n"/>
      <c r="BK87" s="1491" t="n"/>
      <c r="BL87" s="1491" t="n"/>
      <c r="BM87" s="1491" t="n"/>
      <c r="BN87" s="1491" t="n"/>
      <c r="BO87" s="1467" t="n"/>
      <c r="BP87" s="1514" t="n">
        <v>83</v>
      </c>
      <c r="BQ87" s="1513">
        <f>[1]Sheet1!C88</f>
        <v/>
      </c>
      <c r="BR87" s="1515">
        <f>[1]Sheet1!D88</f>
        <v/>
      </c>
      <c r="BS87" s="1513">
        <f>[1]Sheet1!E88</f>
        <v/>
      </c>
      <c r="BT87" s="1515">
        <f>[1]Sheet1!F88</f>
        <v/>
      </c>
      <c r="BU87" s="1516">
        <f>[1]Sheet1!G88</f>
        <v/>
      </c>
      <c r="BV87" s="1513">
        <f>[1]Sheet1!H88</f>
        <v/>
      </c>
      <c r="BW87" s="1467" t="n"/>
      <c r="BX87" s="1491">
        <f>[1]Sheet1!$J88</f>
        <v/>
      </c>
      <c r="BY87" s="1517">
        <f>[1]Sheet1!$K88</f>
        <v/>
      </c>
      <c r="BZ87" s="1517">
        <f>[1]Sheet1!$L88</f>
        <v/>
      </c>
      <c r="CA87" s="1500">
        <f>[1]Sheet1!$M88</f>
        <v/>
      </c>
      <c r="CB87" s="1467" t="n"/>
      <c r="CC87" s="1467" t="n"/>
      <c r="CD87" s="1513" t="n"/>
      <c r="CE87" s="1513" t="n"/>
      <c r="CF87" s="1513" t="n"/>
      <c r="CG87" s="1477" t="n"/>
      <c r="CH87" s="1513" t="n"/>
      <c r="CI87" s="1513" t="n"/>
      <c r="CJ87" s="1500" t="n"/>
      <c r="CK87" s="1477" t="n"/>
      <c r="CL87" s="1521" t="n">
        <v>83</v>
      </c>
      <c r="CM87" s="1513" t="inlineStr">
        <is>
          <t>Montreal-SP</t>
        </is>
      </c>
      <c r="CN87" s="1513" t="inlineStr">
        <is>
          <t>Montreal</t>
        </is>
      </c>
      <c r="CO87" s="1513" t="inlineStr">
        <is>
          <t>SP</t>
        </is>
      </c>
      <c r="CP87" s="1514" t="n">
        <v>8500</v>
      </c>
      <c r="CQ87" s="1477" t="n"/>
      <c r="CR87" s="1491" t="n"/>
      <c r="CS87" s="1491" t="n"/>
      <c r="CT87" s="1491" t="n"/>
      <c r="CU87" s="1491" t="n"/>
      <c r="CV87" s="1491" t="n"/>
      <c r="CW87" s="1491" t="n"/>
      <c r="CX87" s="1491" t="n"/>
    </row>
    <row r="88">
      <c r="A88" s="1491" t="n"/>
      <c r="B88" s="1491" t="n"/>
      <c r="C88" s="1491" t="n"/>
      <c r="D88" s="1497">
        <f>IF(E88&lt;&gt;"",D87+1,D87)</f>
        <v/>
      </c>
      <c r="E88" s="1497" t="inlineStr">
        <is>
          <t>Aigues-Mortes</t>
        </is>
      </c>
      <c r="F88" s="1535" t="inlineStr">
        <is>
          <t>.</t>
        </is>
      </c>
      <c r="G88" s="1498">
        <f>IF(H88="AIR",0,IF(H87="AIR",G86+1,IF(H88&lt;&gt;"",G87+1,G87)))</f>
        <v/>
      </c>
      <c r="H88" s="1498" t="inlineStr">
        <is>
          <t>Carcassone</t>
        </is>
      </c>
      <c r="I88" s="1427" t="inlineStr">
        <is>
          <t>.</t>
        </is>
      </c>
      <c r="J88" s="1499" t="n">
        <v>83</v>
      </c>
      <c r="K88" s="1500">
        <f>_xlfn.XLOOKUP(cities[[#This Row],[id]],$D$5:$D$1500,E$5:E$1500,"-")</f>
        <v/>
      </c>
      <c r="L88" s="1500">
        <f>_xlfn.XLOOKUP(cities[[#This Row],[city]],ccc[city],ccc[ctry],"-")</f>
        <v/>
      </c>
      <c r="M88" s="1500">
        <f>SUMIFS(stayCity[stay],stayCity[city],cities[[#This Row],[city]])</f>
        <v/>
      </c>
      <c r="N88" s="1427">
        <f>N87+1</f>
        <v/>
      </c>
      <c r="O88" s="1500" t="n"/>
      <c r="P88" s="1500" t="n"/>
      <c r="Q88" s="1427" t="inlineStr">
        <is>
          <t>.</t>
        </is>
      </c>
      <c r="R88" s="1491" t="n"/>
      <c r="S88" s="1491" t="n"/>
      <c r="T88" s="1491" t="n"/>
      <c r="U88" s="1491" t="n"/>
      <c r="V88" s="1491" t="n"/>
      <c r="W88" s="1491" t="n"/>
      <c r="X88" s="1491" t="n"/>
      <c r="Y88" s="1491" t="n"/>
      <c r="Z88" s="1427" t="inlineStr">
        <is>
          <t>.</t>
        </is>
      </c>
      <c r="AA88" s="1473">
        <f>IF(AB88&lt;&gt;"",AA87+1,AA87)</f>
        <v/>
      </c>
      <c r="AB88" s="1534" t="inlineStr">
        <is>
          <t>Brasilia-Rio</t>
        </is>
      </c>
      <c r="AC88" s="1473">
        <f>IF(AD88&lt;&gt;"",AC87+1,AC87)</f>
        <v/>
      </c>
      <c r="AD88" s="1534" t="n"/>
      <c r="AE88" s="1427" t="inlineStr">
        <is>
          <t>.</t>
        </is>
      </c>
      <c r="AF88" s="1502" t="n">
        <v>84</v>
      </c>
      <c r="AG88" s="1500">
        <f>_xlfn.XLOOKUP(routes[[#This Row],[id]],$AA$5:$AA$300,$AB$5:$AB$300,"-")</f>
        <v/>
      </c>
      <c r="AH88" s="1500">
        <f>_xlfn.XLOOKUP(routes[[#This Row],[route]],routesUniv[route],routesUniv[outbound],"-")</f>
        <v/>
      </c>
      <c r="AI88" s="1500">
        <f>_xlfn.XLOOKUP(routes[[#This Row],[route]],routesUniv[route],routesUniv[inbound],"-")</f>
        <v/>
      </c>
      <c r="AJ88" s="1500">
        <f>_xlfn.XLOOKUP(routes[[#This Row],[route]],routesUniv[route],routesUniv[km],"-")</f>
        <v/>
      </c>
      <c r="AK88" s="1500">
        <f>COUNTIF(INPUT!BT$5:BT$1000,AG88)</f>
        <v/>
      </c>
      <c r="AL88" s="1505">
        <f>routes[[#This Row],[km]]*routes[[#This Row],[rpt]]/1000</f>
        <v/>
      </c>
      <c r="AM88" s="1481" t="inlineStr">
        <is>
          <t>.</t>
        </is>
      </c>
      <c r="AN88" s="1506" t="n"/>
      <c r="AO88" s="1500">
        <f>IF(AD88&lt;&gt;"",AD88,"-")</f>
        <v/>
      </c>
      <c r="AP88" s="1500">
        <f>_xlfn.XLOOKUP(cityRoutes[[#This Row],[city]],ccc[city],ccc[ctry],"-")</f>
        <v/>
      </c>
      <c r="AQ88" s="1500">
        <f>COUNTIF(INPUT!BR$5:BS$1000,AO88)</f>
        <v/>
      </c>
      <c r="AR88" s="1507">
        <f>(SUMIFS(routes[total],routes[outbound],AO88)+SUMIFS(routes[total],routes[inbound],AO88))/2</f>
        <v/>
      </c>
      <c r="AS88" s="1481" t="inlineStr">
        <is>
          <t>.</t>
        </is>
      </c>
      <c r="AT88" s="1491" t="n"/>
      <c r="AU88" s="1491" t="n"/>
      <c r="AV88" s="1491" t="n"/>
      <c r="AW88" s="1491" t="n"/>
      <c r="AX88" s="1491" t="n"/>
      <c r="AY88" s="1491" t="n"/>
      <c r="AZ88" s="1491" t="n"/>
      <c r="BA88" s="1491" t="n"/>
      <c r="BB88" s="1491" t="n"/>
      <c r="BC88" s="1491" t="n"/>
      <c r="BD88" s="1491" t="n"/>
      <c r="BE88" s="1491" t="n"/>
      <c r="BF88" s="1491" t="n"/>
      <c r="BG88" s="1491" t="n"/>
      <c r="BH88" s="1491" t="n"/>
      <c r="BI88" s="1491" t="n"/>
      <c r="BJ88" s="1491" t="n"/>
      <c r="BK88" s="1491" t="n"/>
      <c r="BL88" s="1491" t="n"/>
      <c r="BM88" s="1491" t="n"/>
      <c r="BN88" s="1491" t="n"/>
      <c r="BO88" s="1467" t="n"/>
      <c r="BP88" s="1514" t="n">
        <v>84</v>
      </c>
      <c r="BQ88" s="1513">
        <f>[1]Sheet1!C89</f>
        <v/>
      </c>
      <c r="BR88" s="1515">
        <f>[1]Sheet1!D89</f>
        <v/>
      </c>
      <c r="BS88" s="1513">
        <f>[1]Sheet1!E89</f>
        <v/>
      </c>
      <c r="BT88" s="1515">
        <f>[1]Sheet1!F89</f>
        <v/>
      </c>
      <c r="BU88" s="1516">
        <f>[1]Sheet1!G89</f>
        <v/>
      </c>
      <c r="BV88" s="1513">
        <f>[1]Sheet1!H89</f>
        <v/>
      </c>
      <c r="BW88" s="1467" t="n"/>
      <c r="BX88" s="1491">
        <f>[1]Sheet1!$J89</f>
        <v/>
      </c>
      <c r="BY88" s="1517">
        <f>[1]Sheet1!$K89</f>
        <v/>
      </c>
      <c r="BZ88" s="1517">
        <f>[1]Sheet1!$L89</f>
        <v/>
      </c>
      <c r="CA88" s="1500">
        <f>[1]Sheet1!$M89</f>
        <v/>
      </c>
      <c r="CB88" s="1467" t="n"/>
      <c r="CC88" s="1467" t="n"/>
      <c r="CD88" s="1500" t="n"/>
      <c r="CE88" s="1513" t="n"/>
      <c r="CF88" s="1513" t="n"/>
      <c r="CG88" s="1477" t="n"/>
      <c r="CH88" s="1513" t="n"/>
      <c r="CI88" s="1513" t="n"/>
      <c r="CJ88" s="1500" t="n"/>
      <c r="CK88" s="1477" t="n"/>
      <c r="CL88" s="1521" t="n">
        <v>84</v>
      </c>
      <c r="CM88" s="1513" t="inlineStr">
        <is>
          <t>Montreal-Toronto</t>
        </is>
      </c>
      <c r="CN88" s="1513" t="inlineStr">
        <is>
          <t>Montreal</t>
        </is>
      </c>
      <c r="CO88" s="1513" t="inlineStr">
        <is>
          <t>Toronto</t>
        </is>
      </c>
      <c r="CP88" s="1514" t="n">
        <v>500</v>
      </c>
      <c r="CQ88" s="1477" t="n"/>
      <c r="CR88" s="1491" t="n"/>
      <c r="CS88" s="1491" t="n"/>
      <c r="CT88" s="1491" t="n"/>
      <c r="CU88" s="1491" t="n"/>
      <c r="CV88" s="1491" t="n"/>
      <c r="CW88" s="1491" t="n"/>
      <c r="CX88" s="1491" t="n"/>
    </row>
    <row r="89">
      <c r="A89" s="1491" t="n"/>
      <c r="B89" s="1491" t="n"/>
      <c r="C89" s="1491" t="n"/>
      <c r="D89" s="1497">
        <f>IF(E89&lt;&gt;"",D88+1,D88)</f>
        <v/>
      </c>
      <c r="E89" s="1497" t="inlineStr">
        <is>
          <t>Florac</t>
        </is>
      </c>
      <c r="F89" s="1535" t="inlineStr">
        <is>
          <t>.</t>
        </is>
      </c>
      <c r="G89" s="1498">
        <f>IF(H89="AIR",0,IF(H88="AIR",G87+1,IF(H89&lt;&gt;"",G88+1,G88)))</f>
        <v/>
      </c>
      <c r="H89" s="1498" t="inlineStr">
        <is>
          <t>Millau</t>
        </is>
      </c>
      <c r="I89" s="1427" t="inlineStr">
        <is>
          <t>.</t>
        </is>
      </c>
      <c r="J89" s="1499" t="n">
        <v>84</v>
      </c>
      <c r="K89" s="1500">
        <f>_xlfn.XLOOKUP(cities[[#This Row],[id]],$D$5:$D$1500,E$5:E$1500,"-")</f>
        <v/>
      </c>
      <c r="L89" s="1500">
        <f>_xlfn.XLOOKUP(cities[[#This Row],[city]],ccc[city],ccc[ctry],"-")</f>
        <v/>
      </c>
      <c r="M89" s="1500">
        <f>SUMIFS(stayCity[stay],stayCity[city],cities[[#This Row],[city]])</f>
        <v/>
      </c>
      <c r="N89" s="1427">
        <f>N88+1</f>
        <v/>
      </c>
      <c r="O89" s="1500" t="n"/>
      <c r="P89" s="1500" t="n"/>
      <c r="Q89" s="1427" t="inlineStr">
        <is>
          <t>.</t>
        </is>
      </c>
      <c r="R89" s="1491" t="n"/>
      <c r="S89" s="1491" t="n"/>
      <c r="T89" s="1491" t="n"/>
      <c r="U89" s="1491" t="n"/>
      <c r="V89" s="1491" t="n"/>
      <c r="W89" s="1491" t="n"/>
      <c r="X89" s="1491" t="n"/>
      <c r="Y89" s="1491" t="n"/>
      <c r="Z89" s="1427" t="inlineStr">
        <is>
          <t>.</t>
        </is>
      </c>
      <c r="AA89" s="1473">
        <f>IF(AB89&lt;&gt;"",AA88+1,AA88)</f>
        <v/>
      </c>
      <c r="AB89" s="1534" t="inlineStr">
        <is>
          <t>Natal-SSA</t>
        </is>
      </c>
      <c r="AC89" s="1473">
        <f>IF(AD89&lt;&gt;"",AC88+1,AC88)</f>
        <v/>
      </c>
      <c r="AD89" s="1534" t="n"/>
      <c r="AE89" s="1427" t="inlineStr">
        <is>
          <t>.</t>
        </is>
      </c>
      <c r="AF89" s="1502" t="n">
        <v>85</v>
      </c>
      <c r="AG89" s="1500">
        <f>_xlfn.XLOOKUP(routes[[#This Row],[id]],$AA$5:$AA$300,$AB$5:$AB$300,"-")</f>
        <v/>
      </c>
      <c r="AH89" s="1500">
        <f>_xlfn.XLOOKUP(routes[[#This Row],[route]],routesUniv[route],routesUniv[outbound],"-")</f>
        <v/>
      </c>
      <c r="AI89" s="1500">
        <f>_xlfn.XLOOKUP(routes[[#This Row],[route]],routesUniv[route],routesUniv[inbound],"-")</f>
        <v/>
      </c>
      <c r="AJ89" s="1500">
        <f>_xlfn.XLOOKUP(routes[[#This Row],[route]],routesUniv[route],routesUniv[km],"-")</f>
        <v/>
      </c>
      <c r="AK89" s="1500">
        <f>COUNTIF(INPUT!BT$5:BT$1000,AG89)</f>
        <v/>
      </c>
      <c r="AL89" s="1505">
        <f>routes[[#This Row],[km]]*routes[[#This Row],[rpt]]/1000</f>
        <v/>
      </c>
      <c r="AM89" s="1481" t="inlineStr">
        <is>
          <t>.</t>
        </is>
      </c>
      <c r="AN89" s="1506" t="n"/>
      <c r="AO89" s="1500">
        <f>IF(AD89&lt;&gt;"",AD89,"-")</f>
        <v/>
      </c>
      <c r="AP89" s="1500">
        <f>_xlfn.XLOOKUP(cityRoutes[[#This Row],[city]],ccc[city],ccc[ctry],"-")</f>
        <v/>
      </c>
      <c r="AQ89" s="1500">
        <f>COUNTIF(INPUT!BR$5:BS$1000,AO89)</f>
        <v/>
      </c>
      <c r="AR89" s="1507">
        <f>(SUMIFS(routes[total],routes[outbound],AO89)+SUMIFS(routes[total],routes[inbound],AO89))/2</f>
        <v/>
      </c>
      <c r="AS89" s="1481" t="inlineStr">
        <is>
          <t>.</t>
        </is>
      </c>
      <c r="AT89" s="1491" t="n"/>
      <c r="AU89" s="1491" t="n"/>
      <c r="AV89" s="1491" t="n"/>
      <c r="AW89" s="1491" t="n"/>
      <c r="AX89" s="1491" t="n"/>
      <c r="AY89" s="1491" t="n"/>
      <c r="AZ89" s="1491" t="n"/>
      <c r="BA89" s="1491" t="n"/>
      <c r="BB89" s="1491" t="n"/>
      <c r="BC89" s="1491" t="n"/>
      <c r="BD89" s="1491" t="n"/>
      <c r="BE89" s="1491" t="n"/>
      <c r="BF89" s="1491" t="n"/>
      <c r="BG89" s="1491" t="n"/>
      <c r="BH89" s="1491" t="n"/>
      <c r="BI89" s="1491" t="n"/>
      <c r="BJ89" s="1491" t="n"/>
      <c r="BK89" s="1491" t="n"/>
      <c r="BL89" s="1491" t="n"/>
      <c r="BM89" s="1491" t="n"/>
      <c r="BN89" s="1491" t="n"/>
      <c r="BO89" s="1467" t="n"/>
      <c r="BP89" s="1514" t="n">
        <v>85</v>
      </c>
      <c r="BQ89" s="1513">
        <f>[1]Sheet1!C90</f>
        <v/>
      </c>
      <c r="BR89" s="1515">
        <f>[1]Sheet1!D90</f>
        <v/>
      </c>
      <c r="BS89" s="1513">
        <f>[1]Sheet1!E90</f>
        <v/>
      </c>
      <c r="BT89" s="1515">
        <f>[1]Sheet1!F90</f>
        <v/>
      </c>
      <c r="BU89" s="1516">
        <f>[1]Sheet1!G90</f>
        <v/>
      </c>
      <c r="BV89" s="1513">
        <f>[1]Sheet1!H90</f>
        <v/>
      </c>
      <c r="BW89" s="1467" t="n"/>
      <c r="BX89" s="1491">
        <f>[1]Sheet1!$J90</f>
        <v/>
      </c>
      <c r="BY89" s="1517">
        <f>[1]Sheet1!$K90</f>
        <v/>
      </c>
      <c r="BZ89" s="1517">
        <f>[1]Sheet1!$L90</f>
        <v/>
      </c>
      <c r="CA89" s="1500">
        <f>[1]Sheet1!$M90</f>
        <v/>
      </c>
      <c r="CB89" s="1467" t="n"/>
      <c r="CC89" s="1467" t="n"/>
      <c r="CD89" s="1513" t="n"/>
      <c r="CE89" s="1513" t="n"/>
      <c r="CF89" s="1513" t="n"/>
      <c r="CG89" s="1477" t="n"/>
      <c r="CH89" s="1513" t="n"/>
      <c r="CI89" s="1513" t="n"/>
      <c r="CJ89" s="1500" t="n"/>
      <c r="CK89" s="1477" t="n"/>
      <c r="CL89" s="1521" t="n">
        <v>85</v>
      </c>
      <c r="CM89" s="1513" t="inlineStr">
        <is>
          <t>Montreal-Vancouver</t>
        </is>
      </c>
      <c r="CN89" s="1513" t="inlineStr">
        <is>
          <t>Montreal</t>
        </is>
      </c>
      <c r="CO89" s="1513" t="inlineStr">
        <is>
          <t>Vancouver</t>
        </is>
      </c>
      <c r="CP89" s="1514" t="n">
        <v>3700</v>
      </c>
      <c r="CQ89" s="1477" t="n"/>
      <c r="CR89" s="1491" t="n"/>
      <c r="CS89" s="1491" t="n"/>
      <c r="CT89" s="1491" t="n"/>
      <c r="CU89" s="1491" t="n"/>
      <c r="CV89" s="1491" t="n"/>
      <c r="CW89" s="1491" t="n"/>
      <c r="CX89" s="1491" t="n"/>
    </row>
    <row r="90">
      <c r="A90" s="1491" t="n"/>
      <c r="B90" s="1491" t="n"/>
      <c r="C90" s="1491" t="n"/>
      <c r="D90" s="1497">
        <f>IF(E90&lt;&gt;"",D89+1,D89)</f>
        <v/>
      </c>
      <c r="E90" s="1497" t="inlineStr">
        <is>
          <t>Chateneuf du Pape</t>
        </is>
      </c>
      <c r="F90" s="1535" t="inlineStr">
        <is>
          <t>.</t>
        </is>
      </c>
      <c r="G90" s="1498">
        <f>IF(H90="AIR",0,IF(H89="AIR",G88+1,IF(H90&lt;&gt;"",G89+1,G89)))</f>
        <v/>
      </c>
      <c r="H90" s="1498" t="inlineStr">
        <is>
          <t>Aigues-Mortes</t>
        </is>
      </c>
      <c r="I90" s="1427" t="inlineStr">
        <is>
          <t>.</t>
        </is>
      </c>
      <c r="J90" s="1499" t="n">
        <v>85</v>
      </c>
      <c r="K90" s="1500">
        <f>_xlfn.XLOOKUP(cities[[#This Row],[id]],$D$5:$D$1500,E$5:E$1500,"-")</f>
        <v/>
      </c>
      <c r="L90" s="1500">
        <f>_xlfn.XLOOKUP(cities[[#This Row],[city]],ccc[city],ccc[ctry],"-")</f>
        <v/>
      </c>
      <c r="M90" s="1500">
        <f>SUMIFS(stayCity[stay],stayCity[city],cities[[#This Row],[city]])</f>
        <v/>
      </c>
      <c r="N90" s="1427">
        <f>N89+1</f>
        <v/>
      </c>
      <c r="O90" s="1500" t="n"/>
      <c r="P90" s="1500" t="n"/>
      <c r="Q90" s="1427" t="inlineStr">
        <is>
          <t>.</t>
        </is>
      </c>
      <c r="R90" s="1491" t="n"/>
      <c r="S90" s="1491" t="n"/>
      <c r="T90" s="1491" t="n"/>
      <c r="U90" s="1491" t="n"/>
      <c r="V90" s="1491" t="n"/>
      <c r="W90" s="1491" t="n"/>
      <c r="X90" s="1491" t="n"/>
      <c r="Y90" s="1491" t="n"/>
      <c r="Z90" s="1427" t="inlineStr">
        <is>
          <t>.</t>
        </is>
      </c>
      <c r="AA90" s="1473">
        <f>IF(AB90&lt;&gt;"",AA89+1,AA89)</f>
        <v/>
      </c>
      <c r="AB90" s="1534" t="inlineStr">
        <is>
          <t>SP-Zurich</t>
        </is>
      </c>
      <c r="AC90" s="1473">
        <f>IF(AD90&lt;&gt;"",AC89+1,AC89)</f>
        <v/>
      </c>
      <c r="AD90" s="1534" t="n"/>
      <c r="AE90" s="1427" t="inlineStr">
        <is>
          <t>.</t>
        </is>
      </c>
      <c r="AF90" s="1502" t="n">
        <v>86</v>
      </c>
      <c r="AG90" s="1500">
        <f>_xlfn.XLOOKUP(routes[[#This Row],[id]],$AA$5:$AA$300,$AB$5:$AB$300,"-")</f>
        <v/>
      </c>
      <c r="AH90" s="1500">
        <f>_xlfn.XLOOKUP(routes[[#This Row],[route]],routesUniv[route],routesUniv[outbound],"-")</f>
        <v/>
      </c>
      <c r="AI90" s="1500">
        <f>_xlfn.XLOOKUP(routes[[#This Row],[route]],routesUniv[route],routesUniv[inbound],"-")</f>
        <v/>
      </c>
      <c r="AJ90" s="1500">
        <f>_xlfn.XLOOKUP(routes[[#This Row],[route]],routesUniv[route],routesUniv[km],"-")</f>
        <v/>
      </c>
      <c r="AK90" s="1500">
        <f>COUNTIF(INPUT!BT$5:BT$1000,AG90)</f>
        <v/>
      </c>
      <c r="AL90" s="1505">
        <f>routes[[#This Row],[km]]*routes[[#This Row],[rpt]]/1000</f>
        <v/>
      </c>
      <c r="AM90" s="1481" t="inlineStr">
        <is>
          <t>.</t>
        </is>
      </c>
      <c r="AN90" s="1506" t="n"/>
      <c r="AO90" s="1500">
        <f>IF(AD90&lt;&gt;"",AD90,"-")</f>
        <v/>
      </c>
      <c r="AP90" s="1500">
        <f>_xlfn.XLOOKUP(cityRoutes[[#This Row],[city]],ccc[city],ccc[ctry],"-")</f>
        <v/>
      </c>
      <c r="AQ90" s="1500">
        <f>COUNTIF(INPUT!BR$5:BS$1000,AO90)</f>
        <v/>
      </c>
      <c r="AR90" s="1507">
        <f>(SUMIFS(routes[total],routes[outbound],AO90)+SUMIFS(routes[total],routes[inbound],AO90))/2</f>
        <v/>
      </c>
      <c r="AS90" s="1481" t="inlineStr">
        <is>
          <t>.</t>
        </is>
      </c>
      <c r="AT90" s="1491" t="n"/>
      <c r="AU90" s="1491" t="n"/>
      <c r="AV90" s="1491" t="n"/>
      <c r="AW90" s="1491" t="n"/>
      <c r="AX90" s="1491" t="n"/>
      <c r="AY90" s="1491" t="n"/>
      <c r="AZ90" s="1491" t="n"/>
      <c r="BA90" s="1491" t="n"/>
      <c r="BB90" s="1491" t="n"/>
      <c r="BC90" s="1491" t="n"/>
      <c r="BD90" s="1491" t="n"/>
      <c r="BE90" s="1491" t="n"/>
      <c r="BF90" s="1491" t="n"/>
      <c r="BG90" s="1491" t="n"/>
      <c r="BH90" s="1491" t="n"/>
      <c r="BI90" s="1491" t="n"/>
      <c r="BJ90" s="1491" t="n"/>
      <c r="BK90" s="1491" t="n"/>
      <c r="BL90" s="1491" t="n"/>
      <c r="BM90" s="1491" t="n"/>
      <c r="BN90" s="1491" t="n"/>
      <c r="BO90" s="1467" t="n"/>
      <c r="BP90" s="1514" t="n">
        <v>86</v>
      </c>
      <c r="BQ90" s="1513">
        <f>[1]Sheet1!C91</f>
        <v/>
      </c>
      <c r="BR90" s="1515">
        <f>[1]Sheet1!D91</f>
        <v/>
      </c>
      <c r="BS90" s="1513">
        <f>[1]Sheet1!E91</f>
        <v/>
      </c>
      <c r="BT90" s="1515">
        <f>[1]Sheet1!F91</f>
        <v/>
      </c>
      <c r="BU90" s="1516">
        <f>[1]Sheet1!G91</f>
        <v/>
      </c>
      <c r="BV90" s="1513">
        <f>[1]Sheet1!H91</f>
        <v/>
      </c>
      <c r="BW90" s="1467" t="n"/>
      <c r="BX90" s="1491">
        <f>[1]Sheet1!$J91</f>
        <v/>
      </c>
      <c r="BY90" s="1517">
        <f>[1]Sheet1!$K91</f>
        <v/>
      </c>
      <c r="BZ90" s="1517">
        <f>[1]Sheet1!$L91</f>
        <v/>
      </c>
      <c r="CA90" s="1500">
        <f>[1]Sheet1!$M91</f>
        <v/>
      </c>
      <c r="CB90" s="1467" t="n"/>
      <c r="CC90" s="1467" t="n"/>
      <c r="CD90" s="1513" t="n"/>
      <c r="CE90" s="1513" t="n"/>
      <c r="CF90" s="1513" t="n"/>
      <c r="CG90" s="1477" t="n"/>
      <c r="CH90" s="1513" t="n"/>
      <c r="CI90" s="1513" t="n"/>
      <c r="CJ90" s="1500" t="n"/>
      <c r="CK90" s="1477" t="n"/>
      <c r="CL90" s="1521" t="n">
        <v>86</v>
      </c>
      <c r="CM90" s="1513" t="inlineStr">
        <is>
          <t>Natal-Brasilia</t>
        </is>
      </c>
      <c r="CN90" s="1513" t="inlineStr">
        <is>
          <t>Natal</t>
        </is>
      </c>
      <c r="CO90" s="1513" t="inlineStr">
        <is>
          <t>Brasilia</t>
        </is>
      </c>
      <c r="CP90" s="1514" t="n">
        <v>1800</v>
      </c>
      <c r="CQ90" s="1477" t="n"/>
      <c r="CR90" s="1491" t="n"/>
      <c r="CS90" s="1491" t="n"/>
      <c r="CT90" s="1491" t="n"/>
      <c r="CU90" s="1491" t="n"/>
      <c r="CV90" s="1491" t="n"/>
      <c r="CW90" s="1491" t="n"/>
      <c r="CX90" s="1491" t="n"/>
    </row>
    <row r="91">
      <c r="A91" s="1491" t="n"/>
      <c r="B91" s="1491" t="n"/>
      <c r="C91" s="1491" t="n"/>
      <c r="D91" s="1497">
        <f>IF(E91&lt;&gt;"",D90+1,D90)</f>
        <v/>
      </c>
      <c r="E91" s="1497" t="inlineStr">
        <is>
          <t>Orange</t>
        </is>
      </c>
      <c r="F91" s="1535" t="inlineStr">
        <is>
          <t>.</t>
        </is>
      </c>
      <c r="G91" s="1498">
        <f>IF(H91="AIR",0,IF(H90="AIR",G89+1,IF(H91&lt;&gt;"",G90+1,G90)))</f>
        <v/>
      </c>
      <c r="H91" s="1498" t="inlineStr">
        <is>
          <t>Florac</t>
        </is>
      </c>
      <c r="I91" s="1427" t="inlineStr">
        <is>
          <t>.</t>
        </is>
      </c>
      <c r="J91" s="1499" t="n">
        <v>86</v>
      </c>
      <c r="K91" s="1500">
        <f>_xlfn.XLOOKUP(cities[[#This Row],[id]],$D$5:$D$1500,E$5:E$1500,"-")</f>
        <v/>
      </c>
      <c r="L91" s="1500">
        <f>_xlfn.XLOOKUP(cities[[#This Row],[city]],ccc[city],ccc[ctry],"-")</f>
        <v/>
      </c>
      <c r="M91" s="1500">
        <f>SUMIFS(stayCity[stay],stayCity[city],cities[[#This Row],[city]])</f>
        <v/>
      </c>
      <c r="N91" s="1427">
        <f>N90+1</f>
        <v/>
      </c>
      <c r="O91" s="1500" t="n"/>
      <c r="P91" s="1500" t="n"/>
      <c r="Q91" s="1427" t="inlineStr">
        <is>
          <t>.</t>
        </is>
      </c>
      <c r="R91" s="1491" t="n"/>
      <c r="S91" s="1491" t="n"/>
      <c r="T91" s="1491" t="n"/>
      <c r="U91" s="1491" t="n"/>
      <c r="V91" s="1491" t="n"/>
      <c r="W91" s="1491" t="n"/>
      <c r="X91" s="1491" t="n"/>
      <c r="Y91" s="1491" t="n"/>
      <c r="Z91" s="1427" t="inlineStr">
        <is>
          <t>.</t>
        </is>
      </c>
      <c r="AA91" s="1473">
        <f>IF(AB91&lt;&gt;"",AA90+1,AA90)</f>
        <v/>
      </c>
      <c r="AB91" s="1534" t="inlineStr">
        <is>
          <t>Zurich-Paris</t>
        </is>
      </c>
      <c r="AC91" s="1473">
        <f>IF(AD91&lt;&gt;"",AC90+1,AC90)</f>
        <v/>
      </c>
      <c r="AD91" s="1534" t="n"/>
      <c r="AE91" s="1427" t="inlineStr">
        <is>
          <t>.</t>
        </is>
      </c>
      <c r="AF91" s="1502" t="n">
        <v>87</v>
      </c>
      <c r="AG91" s="1500">
        <f>_xlfn.XLOOKUP(routes[[#This Row],[id]],$AA$5:$AA$300,$AB$5:$AB$300,"-")</f>
        <v/>
      </c>
      <c r="AH91" s="1500">
        <f>_xlfn.XLOOKUP(routes[[#This Row],[route]],routesUniv[route],routesUniv[outbound],"-")</f>
        <v/>
      </c>
      <c r="AI91" s="1500">
        <f>_xlfn.XLOOKUP(routes[[#This Row],[route]],routesUniv[route],routesUniv[inbound],"-")</f>
        <v/>
      </c>
      <c r="AJ91" s="1500">
        <f>_xlfn.XLOOKUP(routes[[#This Row],[route]],routesUniv[route],routesUniv[km],"-")</f>
        <v/>
      </c>
      <c r="AK91" s="1500">
        <f>COUNTIF(INPUT!BT$5:BT$1000,AG91)</f>
        <v/>
      </c>
      <c r="AL91" s="1505">
        <f>routes[[#This Row],[km]]*routes[[#This Row],[rpt]]/1000</f>
        <v/>
      </c>
      <c r="AM91" s="1481" t="inlineStr">
        <is>
          <t>.</t>
        </is>
      </c>
      <c r="AN91" s="1506" t="n"/>
      <c r="AO91" s="1500">
        <f>IF(AD91&lt;&gt;"",AD91,"-")</f>
        <v/>
      </c>
      <c r="AP91" s="1500">
        <f>_xlfn.XLOOKUP(cityRoutes[[#This Row],[city]],ccc[city],ccc[ctry],"-")</f>
        <v/>
      </c>
      <c r="AQ91" s="1500">
        <f>COUNTIF(INPUT!BR$5:BS$1000,AO91)</f>
        <v/>
      </c>
      <c r="AR91" s="1507">
        <f>(SUMIFS(routes[total],routes[outbound],AO91)+SUMIFS(routes[total],routes[inbound],AO91))/2</f>
        <v/>
      </c>
      <c r="AS91" s="1481" t="inlineStr">
        <is>
          <t>.</t>
        </is>
      </c>
      <c r="AT91" s="1491" t="n"/>
      <c r="AU91" s="1491" t="n"/>
      <c r="AV91" s="1491" t="n"/>
      <c r="AW91" s="1491" t="n"/>
      <c r="AX91" s="1491" t="n"/>
      <c r="AY91" s="1491" t="n"/>
      <c r="AZ91" s="1491" t="n"/>
      <c r="BA91" s="1491" t="n"/>
      <c r="BB91" s="1491" t="n"/>
      <c r="BC91" s="1491" t="n"/>
      <c r="BD91" s="1491" t="n"/>
      <c r="BE91" s="1491" t="n"/>
      <c r="BF91" s="1491" t="n"/>
      <c r="BG91" s="1491" t="n"/>
      <c r="BH91" s="1491" t="n"/>
      <c r="BI91" s="1491" t="n"/>
      <c r="BJ91" s="1491" t="n"/>
      <c r="BK91" s="1491" t="n"/>
      <c r="BL91" s="1491" t="n"/>
      <c r="BM91" s="1491" t="n"/>
      <c r="BN91" s="1491" t="n"/>
      <c r="BO91" s="1467" t="n"/>
      <c r="BP91" s="1514" t="n">
        <v>87</v>
      </c>
      <c r="BQ91" s="1513">
        <f>[1]Sheet1!C92</f>
        <v/>
      </c>
      <c r="BR91" s="1515">
        <f>[1]Sheet1!D92</f>
        <v/>
      </c>
      <c r="BS91" s="1513">
        <f>[1]Sheet1!E92</f>
        <v/>
      </c>
      <c r="BT91" s="1515">
        <f>[1]Sheet1!F92</f>
        <v/>
      </c>
      <c r="BU91" s="1516">
        <f>[1]Sheet1!G92</f>
        <v/>
      </c>
      <c r="BV91" s="1513">
        <f>[1]Sheet1!H92</f>
        <v/>
      </c>
      <c r="BW91" s="1467" t="n"/>
      <c r="BX91" s="1491">
        <f>[1]Sheet1!$J92</f>
        <v/>
      </c>
      <c r="BY91" s="1517">
        <f>[1]Sheet1!$K92</f>
        <v/>
      </c>
      <c r="BZ91" s="1517">
        <f>[1]Sheet1!$L92</f>
        <v/>
      </c>
      <c r="CA91" s="1500">
        <f>[1]Sheet1!$M92</f>
        <v/>
      </c>
      <c r="CB91" s="1467" t="n"/>
      <c r="CC91" s="1467" t="n"/>
      <c r="CD91" s="1500" t="n"/>
      <c r="CE91" s="1513" t="n"/>
      <c r="CF91" s="1513" t="n"/>
      <c r="CG91" s="1477" t="n"/>
      <c r="CH91" s="1513" t="n"/>
      <c r="CI91" s="1513" t="n"/>
      <c r="CJ91" s="1500" t="n"/>
      <c r="CK91" s="1477" t="n"/>
      <c r="CL91" s="1521" t="n">
        <v>87</v>
      </c>
      <c r="CM91" s="1513" t="inlineStr">
        <is>
          <t>Natal-SSA</t>
        </is>
      </c>
      <c r="CN91" s="1513" t="inlineStr">
        <is>
          <t>Natal</t>
        </is>
      </c>
      <c r="CO91" s="1513" t="inlineStr">
        <is>
          <t>SSA</t>
        </is>
      </c>
      <c r="CP91" s="1514" t="n">
        <v>900</v>
      </c>
      <c r="CQ91" s="1477" t="n"/>
      <c r="CR91" s="1491" t="n"/>
      <c r="CS91" s="1491" t="n"/>
      <c r="CT91" s="1491" t="n"/>
      <c r="CU91" s="1491" t="n"/>
      <c r="CV91" s="1491" t="n"/>
      <c r="CW91" s="1491" t="n"/>
      <c r="CX91" s="1491" t="n"/>
    </row>
    <row r="92">
      <c r="A92" s="1491" t="n"/>
      <c r="B92" s="1491" t="n"/>
      <c r="C92" s="1491" t="n"/>
      <c r="D92" s="1497">
        <f>IF(E92&lt;&gt;"",D91+1,D91)</f>
        <v/>
      </c>
      <c r="E92" s="1497" t="inlineStr">
        <is>
          <t>Avignon</t>
        </is>
      </c>
      <c r="F92" s="1535" t="inlineStr">
        <is>
          <t>.</t>
        </is>
      </c>
      <c r="G92" s="1498">
        <f>IF(H92="AIR",0,IF(H91="AIR",G90+1,IF(H92&lt;&gt;"",G91+1,G91)))</f>
        <v/>
      </c>
      <c r="H92" s="1498" t="inlineStr">
        <is>
          <t>Chateneuf du Pape</t>
        </is>
      </c>
      <c r="I92" s="1427" t="inlineStr">
        <is>
          <t>.</t>
        </is>
      </c>
      <c r="J92" s="1499" t="n">
        <v>87</v>
      </c>
      <c r="K92" s="1500">
        <f>_xlfn.XLOOKUP(cities[[#This Row],[id]],$D$5:$D$1500,E$5:E$1500,"-")</f>
        <v/>
      </c>
      <c r="L92" s="1500">
        <f>_xlfn.XLOOKUP(cities[[#This Row],[city]],ccc[city],ccc[ctry],"-")</f>
        <v/>
      </c>
      <c r="M92" s="1500">
        <f>SUMIFS(stayCity[stay],stayCity[city],cities[[#This Row],[city]])</f>
        <v/>
      </c>
      <c r="N92" s="1427">
        <f>N91+1</f>
        <v/>
      </c>
      <c r="O92" s="1500" t="n"/>
      <c r="P92" s="1500" t="n"/>
      <c r="Q92" s="1427" t="inlineStr">
        <is>
          <t>.</t>
        </is>
      </c>
      <c r="R92" s="1491" t="n"/>
      <c r="S92" s="1491" t="n"/>
      <c r="T92" s="1491" t="n"/>
      <c r="U92" s="1491" t="n"/>
      <c r="V92" s="1491" t="n"/>
      <c r="W92" s="1491" t="n"/>
      <c r="X92" s="1491" t="n"/>
      <c r="Y92" s="1491" t="n"/>
      <c r="Z92" s="1427" t="inlineStr">
        <is>
          <t>.</t>
        </is>
      </c>
      <c r="AA92" s="1473">
        <f>IF(AB92&lt;&gt;"",AA91+1,AA91)</f>
        <v/>
      </c>
      <c r="AB92" s="1534" t="inlineStr">
        <is>
          <t>London-Dublin</t>
        </is>
      </c>
      <c r="AC92" s="1473">
        <f>IF(AD92&lt;&gt;"",AC91+1,AC91)</f>
        <v/>
      </c>
      <c r="AD92" s="1534" t="n"/>
      <c r="AE92" s="1427" t="inlineStr">
        <is>
          <t>.</t>
        </is>
      </c>
      <c r="AF92" s="1502" t="n">
        <v>88</v>
      </c>
      <c r="AG92" s="1500">
        <f>_xlfn.XLOOKUP(routes[[#This Row],[id]],$AA$5:$AA$300,$AB$5:$AB$300,"-")</f>
        <v/>
      </c>
      <c r="AH92" s="1500">
        <f>_xlfn.XLOOKUP(routes[[#This Row],[route]],routesUniv[route],routesUniv[outbound],"-")</f>
        <v/>
      </c>
      <c r="AI92" s="1500">
        <f>_xlfn.XLOOKUP(routes[[#This Row],[route]],routesUniv[route],routesUniv[inbound],"-")</f>
        <v/>
      </c>
      <c r="AJ92" s="1500">
        <f>_xlfn.XLOOKUP(routes[[#This Row],[route]],routesUniv[route],routesUniv[km],"-")</f>
        <v/>
      </c>
      <c r="AK92" s="1500">
        <f>COUNTIF(INPUT!BT$5:BT$1000,AG92)</f>
        <v/>
      </c>
      <c r="AL92" s="1505">
        <f>routes[[#This Row],[km]]*routes[[#This Row],[rpt]]/1000</f>
        <v/>
      </c>
      <c r="AM92" s="1481" t="inlineStr">
        <is>
          <t>.</t>
        </is>
      </c>
      <c r="AN92" s="1506" t="n"/>
      <c r="AO92" s="1500">
        <f>IF(AD92&lt;&gt;"",AD92,"-")</f>
        <v/>
      </c>
      <c r="AP92" s="1500">
        <f>_xlfn.XLOOKUP(cityRoutes[[#This Row],[city]],ccc[city],ccc[ctry],"-")</f>
        <v/>
      </c>
      <c r="AQ92" s="1500">
        <f>COUNTIF(INPUT!BR$5:BS$1000,AO92)</f>
        <v/>
      </c>
      <c r="AR92" s="1507">
        <f>(SUMIFS(routes[total],routes[outbound],AO92)+SUMIFS(routes[total],routes[inbound],AO92))/2</f>
        <v/>
      </c>
      <c r="AS92" s="1481" t="inlineStr">
        <is>
          <t>.</t>
        </is>
      </c>
      <c r="AT92" s="1491" t="n"/>
      <c r="AU92" s="1491" t="n"/>
      <c r="AV92" s="1491" t="n"/>
      <c r="AW92" s="1491" t="n"/>
      <c r="AX92" s="1491" t="n"/>
      <c r="AY92" s="1491" t="n"/>
      <c r="AZ92" s="1491" t="n"/>
      <c r="BA92" s="1491" t="n"/>
      <c r="BB92" s="1491" t="n"/>
      <c r="BC92" s="1491" t="n"/>
      <c r="BD92" s="1491" t="n"/>
      <c r="BE92" s="1491" t="n"/>
      <c r="BF92" s="1491" t="n"/>
      <c r="BG92" s="1491" t="n"/>
      <c r="BH92" s="1491" t="n"/>
      <c r="BI92" s="1491" t="n"/>
      <c r="BJ92" s="1491" t="n"/>
      <c r="BK92" s="1491" t="n"/>
      <c r="BL92" s="1491" t="n"/>
      <c r="BM92" s="1491" t="n"/>
      <c r="BN92" s="1491" t="n"/>
      <c r="BO92" s="1467" t="n"/>
      <c r="BP92" s="1514" t="n">
        <v>88</v>
      </c>
      <c r="BQ92" s="1513">
        <f>[1]Sheet1!C93</f>
        <v/>
      </c>
      <c r="BR92" s="1515">
        <f>[1]Sheet1!D93</f>
        <v/>
      </c>
      <c r="BS92" s="1513">
        <f>[1]Sheet1!E93</f>
        <v/>
      </c>
      <c r="BT92" s="1515">
        <f>[1]Sheet1!F93</f>
        <v/>
      </c>
      <c r="BU92" s="1516">
        <f>[1]Sheet1!G93</f>
        <v/>
      </c>
      <c r="BV92" s="1513">
        <f>[1]Sheet1!H93</f>
        <v/>
      </c>
      <c r="BW92" s="1467" t="n"/>
      <c r="BX92" s="1491">
        <f>[1]Sheet1!$J93</f>
        <v/>
      </c>
      <c r="BY92" s="1517">
        <f>[1]Sheet1!$K93</f>
        <v/>
      </c>
      <c r="BZ92" s="1517">
        <f>[1]Sheet1!$L93</f>
        <v/>
      </c>
      <c r="CA92" s="1500">
        <f>[1]Sheet1!$M93</f>
        <v/>
      </c>
      <c r="CB92" s="1467" t="n"/>
      <c r="CC92" s="1467" t="n"/>
      <c r="CD92" s="1500" t="n"/>
      <c r="CE92" s="1513" t="n"/>
      <c r="CF92" s="1513" t="n"/>
      <c r="CG92" s="1477" t="n"/>
      <c r="CH92" s="1513" t="n"/>
      <c r="CI92" s="1513" t="n"/>
      <c r="CJ92" s="1500" t="n"/>
      <c r="CK92" s="1477" t="n"/>
      <c r="CL92" s="1521" t="n">
        <v>88</v>
      </c>
      <c r="CM92" s="1500" t="inlineStr">
        <is>
          <t>New Orleans-Orlando</t>
        </is>
      </c>
      <c r="CN92" s="1500" t="inlineStr">
        <is>
          <t>New Orleans</t>
        </is>
      </c>
      <c r="CO92" s="1500" t="inlineStr">
        <is>
          <t>Orlando</t>
        </is>
      </c>
      <c r="CP92" s="1514" t="n">
        <v>1100</v>
      </c>
      <c r="CQ92" s="1477" t="n"/>
      <c r="CR92" s="1491" t="n"/>
      <c r="CS92" s="1491" t="n"/>
      <c r="CT92" s="1491" t="n"/>
      <c r="CU92" s="1491" t="n"/>
      <c r="CV92" s="1491" t="n"/>
      <c r="CW92" s="1491" t="n"/>
      <c r="CX92" s="1491" t="n"/>
    </row>
    <row r="93">
      <c r="A93" s="1491" t="n"/>
      <c r="B93" s="1491" t="n"/>
      <c r="C93" s="1491" t="n"/>
      <c r="D93" s="1497">
        <f>IF(E93&lt;&gt;"",D92+1,D92)</f>
        <v/>
      </c>
      <c r="E93" s="1497" t="inlineStr">
        <is>
          <t>Les Baux-de-Provence</t>
        </is>
      </c>
      <c r="F93" s="1535" t="inlineStr">
        <is>
          <t>.</t>
        </is>
      </c>
      <c r="G93" s="1498">
        <f>IF(H93="AIR",0,IF(H92="AIR",G91+1,IF(H93&lt;&gt;"",G92+1,G92)))</f>
        <v/>
      </c>
      <c r="H93" s="1498" t="inlineStr">
        <is>
          <t>Orange</t>
        </is>
      </c>
      <c r="I93" s="1427" t="inlineStr">
        <is>
          <t>.</t>
        </is>
      </c>
      <c r="J93" s="1499" t="n">
        <v>88</v>
      </c>
      <c r="K93" s="1500">
        <f>_xlfn.XLOOKUP(cities[[#This Row],[id]],$D$5:$D$1500,E$5:E$1500,"-")</f>
        <v/>
      </c>
      <c r="L93" s="1500">
        <f>_xlfn.XLOOKUP(cities[[#This Row],[city]],ccc[city],ccc[ctry],"-")</f>
        <v/>
      </c>
      <c r="M93" s="1500">
        <f>SUMIFS(stayCity[stay],stayCity[city],cities[[#This Row],[city]])</f>
        <v/>
      </c>
      <c r="N93" s="1427">
        <f>N92+1</f>
        <v/>
      </c>
      <c r="O93" s="1500" t="n"/>
      <c r="P93" s="1500" t="n"/>
      <c r="Q93" s="1427" t="inlineStr">
        <is>
          <t>.</t>
        </is>
      </c>
      <c r="R93" s="1491" t="n"/>
      <c r="S93" s="1491" t="n"/>
      <c r="T93" s="1491" t="n"/>
      <c r="U93" s="1491" t="n"/>
      <c r="V93" s="1491" t="n"/>
      <c r="W93" s="1491" t="n"/>
      <c r="X93" s="1491" t="n"/>
      <c r="Y93" s="1491" t="n"/>
      <c r="Z93" s="1427" t="inlineStr">
        <is>
          <t>.</t>
        </is>
      </c>
      <c r="AA93" s="1473">
        <f>IF(AB93&lt;&gt;"",AA92+1,AA92)</f>
        <v/>
      </c>
      <c r="AB93" s="1534" t="inlineStr">
        <is>
          <t>Dublin-London</t>
        </is>
      </c>
      <c r="AC93" s="1473">
        <f>IF(AD93&lt;&gt;"",AC92+1,AC92)</f>
        <v/>
      </c>
      <c r="AD93" s="1534" t="n"/>
      <c r="AE93" s="1427" t="inlineStr">
        <is>
          <t>.</t>
        </is>
      </c>
      <c r="AF93" s="1502" t="n">
        <v>89</v>
      </c>
      <c r="AG93" s="1500">
        <f>_xlfn.XLOOKUP(routes[[#This Row],[id]],$AA$5:$AA$300,$AB$5:$AB$300,"-")</f>
        <v/>
      </c>
      <c r="AH93" s="1500">
        <f>_xlfn.XLOOKUP(routes[[#This Row],[route]],routesUniv[route],routesUniv[outbound],"-")</f>
        <v/>
      </c>
      <c r="AI93" s="1500">
        <f>_xlfn.XLOOKUP(routes[[#This Row],[route]],routesUniv[route],routesUniv[inbound],"-")</f>
        <v/>
      </c>
      <c r="AJ93" s="1500">
        <f>_xlfn.XLOOKUP(routes[[#This Row],[route]],routesUniv[route],routesUniv[km],"-")</f>
        <v/>
      </c>
      <c r="AK93" s="1500">
        <f>COUNTIF(INPUT!BT$5:BT$1000,AG93)</f>
        <v/>
      </c>
      <c r="AL93" s="1505">
        <f>routes[[#This Row],[km]]*routes[[#This Row],[rpt]]/1000</f>
        <v/>
      </c>
      <c r="AM93" s="1481" t="inlineStr">
        <is>
          <t>.</t>
        </is>
      </c>
      <c r="AN93" s="1506" t="n"/>
      <c r="AO93" s="1500">
        <f>IF(AD93&lt;&gt;"",AD93,"-")</f>
        <v/>
      </c>
      <c r="AP93" s="1500">
        <f>_xlfn.XLOOKUP(cityRoutes[[#This Row],[city]],ccc[city],ccc[ctry],"-")</f>
        <v/>
      </c>
      <c r="AQ93" s="1500">
        <f>COUNTIF(INPUT!BR$5:BS$1000,AO93)</f>
        <v/>
      </c>
      <c r="AR93" s="1507">
        <f>(SUMIFS(routes[total],routes[outbound],AO93)+SUMIFS(routes[total],routes[inbound],AO93))/2</f>
        <v/>
      </c>
      <c r="AS93" s="1481" t="inlineStr">
        <is>
          <t>.</t>
        </is>
      </c>
      <c r="AT93" s="1491" t="n"/>
      <c r="AU93" s="1491" t="n"/>
      <c r="AV93" s="1491" t="n"/>
      <c r="AW93" s="1491" t="n"/>
      <c r="AX93" s="1491" t="n"/>
      <c r="AY93" s="1491" t="n"/>
      <c r="AZ93" s="1491" t="n"/>
      <c r="BA93" s="1491" t="n"/>
      <c r="BB93" s="1491" t="n"/>
      <c r="BC93" s="1491" t="n"/>
      <c r="BD93" s="1491" t="n"/>
      <c r="BE93" s="1491" t="n"/>
      <c r="BF93" s="1491" t="n"/>
      <c r="BG93" s="1491" t="n"/>
      <c r="BH93" s="1491" t="n"/>
      <c r="BI93" s="1491" t="n"/>
      <c r="BJ93" s="1491" t="n"/>
      <c r="BK93" s="1491" t="n"/>
      <c r="BL93" s="1491" t="n"/>
      <c r="BM93" s="1491" t="n"/>
      <c r="BN93" s="1491" t="n"/>
      <c r="BO93" s="1467" t="n"/>
      <c r="BP93" s="1514" t="n">
        <v>89</v>
      </c>
      <c r="BQ93" s="1513">
        <f>[1]Sheet1!C94</f>
        <v/>
      </c>
      <c r="BR93" s="1515">
        <f>[1]Sheet1!D94</f>
        <v/>
      </c>
      <c r="BS93" s="1513">
        <f>[1]Sheet1!E94</f>
        <v/>
      </c>
      <c r="BT93" s="1515">
        <f>[1]Sheet1!F94</f>
        <v/>
      </c>
      <c r="BU93" s="1516">
        <f>[1]Sheet1!G94</f>
        <v/>
      </c>
      <c r="BV93" s="1513">
        <f>[1]Sheet1!H94</f>
        <v/>
      </c>
      <c r="BW93" s="1467" t="n"/>
      <c r="BX93" s="1491">
        <f>[1]Sheet1!$J94</f>
        <v/>
      </c>
      <c r="BY93" s="1517">
        <f>[1]Sheet1!$K94</f>
        <v/>
      </c>
      <c r="BZ93" s="1517">
        <f>[1]Sheet1!$L94</f>
        <v/>
      </c>
      <c r="CA93" s="1500">
        <f>[1]Sheet1!$M94</f>
        <v/>
      </c>
      <c r="CB93" s="1467" t="n"/>
      <c r="CC93" s="1467" t="n"/>
      <c r="CD93" s="1500" t="n"/>
      <c r="CE93" s="1513" t="n"/>
      <c r="CF93" s="1513" t="n"/>
      <c r="CG93" s="1477" t="n"/>
      <c r="CH93" s="1513" t="n"/>
      <c r="CI93" s="1513" t="n"/>
      <c r="CJ93" s="1500" t="n"/>
      <c r="CK93" s="1477" t="n"/>
      <c r="CL93" s="1521" t="n">
        <v>89</v>
      </c>
      <c r="CM93" s="1513" t="inlineStr">
        <is>
          <t>Newark-Washington</t>
        </is>
      </c>
      <c r="CN93" s="1513" t="inlineStr">
        <is>
          <t>Newark</t>
        </is>
      </c>
      <c r="CO93" s="1513" t="inlineStr">
        <is>
          <t>Washington</t>
        </is>
      </c>
      <c r="CP93" s="1514" t="n">
        <v>300</v>
      </c>
      <c r="CQ93" s="1477" t="n"/>
      <c r="CR93" s="1491" t="n"/>
      <c r="CS93" s="1491" t="n"/>
      <c r="CT93" s="1491" t="n"/>
      <c r="CU93" s="1491" t="n"/>
      <c r="CV93" s="1491" t="n"/>
      <c r="CW93" s="1491" t="n"/>
      <c r="CX93" s="1491" t="n"/>
    </row>
    <row r="94">
      <c r="A94" s="1491" t="n"/>
      <c r="B94" s="1491" t="n"/>
      <c r="C94" s="1491" t="n"/>
      <c r="D94" s="1497">
        <f>IF(E94&lt;&gt;"",D93+1,D93)</f>
        <v/>
      </c>
      <c r="E94" s="1497" t="inlineStr">
        <is>
          <t>Nimes</t>
        </is>
      </c>
      <c r="F94" s="1535" t="inlineStr">
        <is>
          <t>.</t>
        </is>
      </c>
      <c r="G94" s="1498">
        <f>IF(H94="AIR",0,IF(H93="AIR",G92+1,IF(H94&lt;&gt;"",G93+1,G93)))</f>
        <v/>
      </c>
      <c r="H94" s="1498" t="inlineStr">
        <is>
          <t>Avignon</t>
        </is>
      </c>
      <c r="I94" s="1427" t="inlineStr">
        <is>
          <t>.</t>
        </is>
      </c>
      <c r="J94" s="1499" t="n">
        <v>89</v>
      </c>
      <c r="K94" s="1500">
        <f>_xlfn.XLOOKUP(cities[[#This Row],[id]],$D$5:$D$1500,E$5:E$1500,"-")</f>
        <v/>
      </c>
      <c r="L94" s="1500">
        <f>_xlfn.XLOOKUP(cities[[#This Row],[city]],ccc[city],ccc[ctry],"-")</f>
        <v/>
      </c>
      <c r="M94" s="1500">
        <f>SUMIFS(stayCity[stay],stayCity[city],cities[[#This Row],[city]])</f>
        <v/>
      </c>
      <c r="N94" s="1427">
        <f>N93+1</f>
        <v/>
      </c>
      <c r="O94" s="1500" t="n"/>
      <c r="P94" s="1500" t="n"/>
      <c r="Q94" s="1427" t="inlineStr">
        <is>
          <t>.</t>
        </is>
      </c>
      <c r="R94" s="1491" t="n"/>
      <c r="S94" s="1491" t="n"/>
      <c r="T94" s="1491" t="n"/>
      <c r="U94" s="1491" t="n"/>
      <c r="V94" s="1491" t="n"/>
      <c r="W94" s="1491" t="n"/>
      <c r="X94" s="1491" t="n"/>
      <c r="Y94" s="1491" t="n"/>
      <c r="Z94" s="1427" t="inlineStr">
        <is>
          <t>.</t>
        </is>
      </c>
      <c r="AA94" s="1473">
        <f>IF(AB94&lt;&gt;"",AA93+1,AA93)</f>
        <v/>
      </c>
      <c r="AB94" s="1534" t="inlineStr">
        <is>
          <t>London-Venice</t>
        </is>
      </c>
      <c r="AC94" s="1473">
        <f>IF(AD94&lt;&gt;"",AC93+1,AC93)</f>
        <v/>
      </c>
      <c r="AD94" s="1534" t="n"/>
      <c r="AE94" s="1427" t="inlineStr">
        <is>
          <t>.</t>
        </is>
      </c>
      <c r="AF94" s="1502" t="n">
        <v>90</v>
      </c>
      <c r="AG94" s="1500">
        <f>_xlfn.XLOOKUP(routes[[#This Row],[id]],$AA$5:$AA$300,$AB$5:$AB$300,"-")</f>
        <v/>
      </c>
      <c r="AH94" s="1500">
        <f>_xlfn.XLOOKUP(routes[[#This Row],[route]],routesUniv[route],routesUniv[outbound],"-")</f>
        <v/>
      </c>
      <c r="AI94" s="1500">
        <f>_xlfn.XLOOKUP(routes[[#This Row],[route]],routesUniv[route],routesUniv[inbound],"-")</f>
        <v/>
      </c>
      <c r="AJ94" s="1500">
        <f>_xlfn.XLOOKUP(routes[[#This Row],[route]],routesUniv[route],routesUniv[km],"-")</f>
        <v/>
      </c>
      <c r="AK94" s="1500">
        <f>COUNTIF(INPUT!BT$5:BT$1000,AG94)</f>
        <v/>
      </c>
      <c r="AL94" s="1505">
        <f>routes[[#This Row],[km]]*routes[[#This Row],[rpt]]/1000</f>
        <v/>
      </c>
      <c r="AM94" s="1481" t="inlineStr">
        <is>
          <t>.</t>
        </is>
      </c>
      <c r="AN94" s="1506" t="n"/>
      <c r="AO94" s="1500">
        <f>IF(AD94&lt;&gt;"",AD94,"-")</f>
        <v/>
      </c>
      <c r="AP94" s="1500">
        <f>_xlfn.XLOOKUP(cityRoutes[[#This Row],[city]],ccc[city],ccc[ctry],"-")</f>
        <v/>
      </c>
      <c r="AQ94" s="1500">
        <f>COUNTIF(INPUT!BR$5:BS$1000,AO94)</f>
        <v/>
      </c>
      <c r="AR94" s="1507">
        <f>(SUMIFS(routes[total],routes[outbound],AO94)+SUMIFS(routes[total],routes[inbound],AO94))/2</f>
        <v/>
      </c>
      <c r="AS94" s="1481" t="inlineStr">
        <is>
          <t>.</t>
        </is>
      </c>
      <c r="AT94" s="1491" t="n"/>
      <c r="AU94" s="1491" t="n"/>
      <c r="AV94" s="1491" t="n"/>
      <c r="AW94" s="1491" t="n"/>
      <c r="AX94" s="1491" t="n"/>
      <c r="AY94" s="1491" t="n"/>
      <c r="AZ94" s="1491" t="n"/>
      <c r="BA94" s="1491" t="n"/>
      <c r="BB94" s="1491" t="n"/>
      <c r="BC94" s="1491" t="n"/>
      <c r="BD94" s="1491" t="n"/>
      <c r="BE94" s="1491" t="n"/>
      <c r="BF94" s="1491" t="n"/>
      <c r="BG94" s="1491" t="n"/>
      <c r="BH94" s="1491" t="n"/>
      <c r="BI94" s="1491" t="n"/>
      <c r="BJ94" s="1491" t="n"/>
      <c r="BK94" s="1491" t="n"/>
      <c r="BL94" s="1491" t="n"/>
      <c r="BM94" s="1491" t="n"/>
      <c r="BN94" s="1491" t="n"/>
      <c r="BO94" s="1467" t="n"/>
      <c r="BP94" s="1514" t="n">
        <v>90</v>
      </c>
      <c r="BQ94" s="1513">
        <f>[1]Sheet1!C95</f>
        <v/>
      </c>
      <c r="BR94" s="1515">
        <f>[1]Sheet1!D95</f>
        <v/>
      </c>
      <c r="BS94" s="1513">
        <f>[1]Sheet1!E95</f>
        <v/>
      </c>
      <c r="BT94" s="1515">
        <f>[1]Sheet1!F95</f>
        <v/>
      </c>
      <c r="BU94" s="1516">
        <f>[1]Sheet1!G95</f>
        <v/>
      </c>
      <c r="BV94" s="1513">
        <f>[1]Sheet1!H95</f>
        <v/>
      </c>
      <c r="BW94" s="1467" t="n"/>
      <c r="BX94" s="1491">
        <f>[1]Sheet1!$J95</f>
        <v/>
      </c>
      <c r="BY94" s="1517">
        <f>[1]Sheet1!$K95</f>
        <v/>
      </c>
      <c r="BZ94" s="1517">
        <f>[1]Sheet1!$L95</f>
        <v/>
      </c>
      <c r="CA94" s="1500">
        <f>[1]Sheet1!$M95</f>
        <v/>
      </c>
      <c r="CB94" s="1467" t="n"/>
      <c r="CC94" s="1467" t="n"/>
      <c r="CD94" s="1500" t="n"/>
      <c r="CE94" s="1513" t="n"/>
      <c r="CF94" s="1513" t="n"/>
      <c r="CG94" s="1477" t="n"/>
      <c r="CH94" s="1513" t="n"/>
      <c r="CI94" s="1513" t="n"/>
      <c r="CJ94" s="1500" t="n"/>
      <c r="CK94" s="1477" t="n"/>
      <c r="CL94" s="1521" t="n">
        <v>90</v>
      </c>
      <c r="CM94" s="1500" t="inlineStr">
        <is>
          <t>NYC-London</t>
        </is>
      </c>
      <c r="CN94" s="1500" t="inlineStr">
        <is>
          <t>NYC</t>
        </is>
      </c>
      <c r="CO94" s="1500" t="inlineStr">
        <is>
          <t>London</t>
        </is>
      </c>
      <c r="CP94" s="1514" t="n">
        <v>5600</v>
      </c>
      <c r="CQ94" s="1477" t="n"/>
      <c r="CR94" s="1491" t="n"/>
      <c r="CS94" s="1491" t="n"/>
      <c r="CT94" s="1491" t="n"/>
      <c r="CU94" s="1491" t="n"/>
      <c r="CV94" s="1491" t="n"/>
      <c r="CW94" s="1491" t="n"/>
      <c r="CX94" s="1491" t="n"/>
    </row>
    <row r="95">
      <c r="A95" s="1491" t="n"/>
      <c r="B95" s="1491" t="n"/>
      <c r="C95" s="1491" t="n"/>
      <c r="D95" s="1497">
        <f>IF(E95&lt;&gt;"",D94+1,D94)</f>
        <v/>
      </c>
      <c r="E95" s="1497" t="inlineStr">
        <is>
          <t>La Grande-Motte</t>
        </is>
      </c>
      <c r="F95" s="1535" t="inlineStr">
        <is>
          <t>.</t>
        </is>
      </c>
      <c r="G95" s="1498">
        <f>IF(H95="AIR",0,IF(H94="AIR",G93+1,IF(H95&lt;&gt;"",G94+1,G94)))</f>
        <v/>
      </c>
      <c r="H95" s="1498" t="inlineStr">
        <is>
          <t>Les Baux-de-Provence</t>
        </is>
      </c>
      <c r="I95" s="1427" t="inlineStr">
        <is>
          <t>.</t>
        </is>
      </c>
      <c r="J95" s="1499" t="n">
        <v>90</v>
      </c>
      <c r="K95" s="1500">
        <f>_xlfn.XLOOKUP(cities[[#This Row],[id]],$D$5:$D$1500,E$5:E$1500,"-")</f>
        <v/>
      </c>
      <c r="L95" s="1500">
        <f>_xlfn.XLOOKUP(cities[[#This Row],[city]],ccc[city],ccc[ctry],"-")</f>
        <v/>
      </c>
      <c r="M95" s="1500">
        <f>SUMIFS(stayCity[stay],stayCity[city],cities[[#This Row],[city]])</f>
        <v/>
      </c>
      <c r="N95" s="1427">
        <f>N94+1</f>
        <v/>
      </c>
      <c r="O95" s="1500" t="n"/>
      <c r="P95" s="1500" t="n"/>
      <c r="Q95" s="1427" t="inlineStr">
        <is>
          <t>.</t>
        </is>
      </c>
      <c r="R95" s="1491" t="n"/>
      <c r="S95" s="1491" t="n"/>
      <c r="T95" s="1491" t="n"/>
      <c r="U95" s="1491" t="n"/>
      <c r="V95" s="1491" t="n"/>
      <c r="W95" s="1491" t="n"/>
      <c r="X95" s="1491" t="n"/>
      <c r="Y95" s="1491" t="n"/>
      <c r="Z95" s="1427" t="inlineStr">
        <is>
          <t>.</t>
        </is>
      </c>
      <c r="AA95" s="1473">
        <f>IF(AB95&lt;&gt;"",AA94+1,AA94)</f>
        <v/>
      </c>
      <c r="AB95" s="1534" t="inlineStr">
        <is>
          <t>Venice-Rome</t>
        </is>
      </c>
      <c r="AC95" s="1473">
        <f>IF(AD95&lt;&gt;"",AC94+1,AC94)</f>
        <v/>
      </c>
      <c r="AD95" s="1534" t="n"/>
      <c r="AE95" s="1427" t="inlineStr">
        <is>
          <t>.</t>
        </is>
      </c>
      <c r="AF95" s="1502" t="n">
        <v>91</v>
      </c>
      <c r="AG95" s="1500">
        <f>_xlfn.XLOOKUP(routes[[#This Row],[id]],$AA$5:$AA$300,$AB$5:$AB$300,"-")</f>
        <v/>
      </c>
      <c r="AH95" s="1500">
        <f>_xlfn.XLOOKUP(routes[[#This Row],[route]],routesUniv[route],routesUniv[outbound],"-")</f>
        <v/>
      </c>
      <c r="AI95" s="1500">
        <f>_xlfn.XLOOKUP(routes[[#This Row],[route]],routesUniv[route],routesUniv[inbound],"-")</f>
        <v/>
      </c>
      <c r="AJ95" s="1500">
        <f>_xlfn.XLOOKUP(routes[[#This Row],[route]],routesUniv[route],routesUniv[km],"-")</f>
        <v/>
      </c>
      <c r="AK95" s="1500">
        <f>COUNTIF(INPUT!BT$5:BT$1000,AG95)</f>
        <v/>
      </c>
      <c r="AL95" s="1505">
        <f>routes[[#This Row],[km]]*routes[[#This Row],[rpt]]/1000</f>
        <v/>
      </c>
      <c r="AM95" s="1481" t="inlineStr">
        <is>
          <t>.</t>
        </is>
      </c>
      <c r="AN95" s="1506" t="n"/>
      <c r="AO95" s="1500">
        <f>IF(AD95&lt;&gt;"",AD95,"-")</f>
        <v/>
      </c>
      <c r="AP95" s="1500">
        <f>_xlfn.XLOOKUP(cityRoutes[[#This Row],[city]],ccc[city],ccc[ctry],"-")</f>
        <v/>
      </c>
      <c r="AQ95" s="1500">
        <f>COUNTIF(INPUT!BR$5:BS$1000,AO95)</f>
        <v/>
      </c>
      <c r="AR95" s="1507">
        <f>(SUMIFS(routes[total],routes[outbound],AO95)+SUMIFS(routes[total],routes[inbound],AO95))/2</f>
        <v/>
      </c>
      <c r="AS95" s="1481" t="inlineStr">
        <is>
          <t>.</t>
        </is>
      </c>
      <c r="AT95" s="1491" t="n"/>
      <c r="AU95" s="1491" t="n"/>
      <c r="AV95" s="1491" t="n"/>
      <c r="AW95" s="1491" t="n"/>
      <c r="AX95" s="1491" t="n"/>
      <c r="AY95" s="1491" t="n"/>
      <c r="AZ95" s="1491" t="n"/>
      <c r="BA95" s="1491" t="n"/>
      <c r="BB95" s="1491" t="n"/>
      <c r="BC95" s="1491" t="n"/>
      <c r="BD95" s="1491" t="n"/>
      <c r="BE95" s="1491" t="n"/>
      <c r="BF95" s="1491" t="n"/>
      <c r="BG95" s="1491" t="n"/>
      <c r="BH95" s="1491" t="n"/>
      <c r="BI95" s="1491" t="n"/>
      <c r="BJ95" s="1491" t="n"/>
      <c r="BK95" s="1491" t="n"/>
      <c r="BL95" s="1491" t="n"/>
      <c r="BM95" s="1491" t="n"/>
      <c r="BN95" s="1491" t="n"/>
      <c r="BO95" s="1467" t="n"/>
      <c r="BP95" s="1514" t="n">
        <v>91</v>
      </c>
      <c r="BQ95" s="1513">
        <f>[1]Sheet1!C96</f>
        <v/>
      </c>
      <c r="BR95" s="1515">
        <f>[1]Sheet1!D96</f>
        <v/>
      </c>
      <c r="BS95" s="1513">
        <f>[1]Sheet1!E96</f>
        <v/>
      </c>
      <c r="BT95" s="1515">
        <f>[1]Sheet1!F96</f>
        <v/>
      </c>
      <c r="BU95" s="1516">
        <f>[1]Sheet1!G96</f>
        <v/>
      </c>
      <c r="BV95" s="1513">
        <f>[1]Sheet1!H96</f>
        <v/>
      </c>
      <c r="BW95" s="1467" t="n"/>
      <c r="BX95" s="1491">
        <f>[1]Sheet1!$J96</f>
        <v/>
      </c>
      <c r="BY95" s="1517">
        <f>[1]Sheet1!$K96</f>
        <v/>
      </c>
      <c r="BZ95" s="1517">
        <f>[1]Sheet1!$L96</f>
        <v/>
      </c>
      <c r="CA95" s="1500">
        <f>[1]Sheet1!$M96</f>
        <v/>
      </c>
      <c r="CB95" s="1467" t="n"/>
      <c r="CC95" s="1467" t="n"/>
      <c r="CD95" s="1500" t="n"/>
      <c r="CE95" s="1513" t="n"/>
      <c r="CF95" s="1513" t="n"/>
      <c r="CG95" s="1477" t="n"/>
      <c r="CH95" s="1513" t="n"/>
      <c r="CI95" s="1513" t="n"/>
      <c r="CJ95" s="1500" t="n"/>
      <c r="CK95" s="1477" t="n"/>
      <c r="CL95" s="1521" t="n">
        <v>91</v>
      </c>
      <c r="CM95" s="1513" t="inlineStr">
        <is>
          <t>NYC-Montreal</t>
        </is>
      </c>
      <c r="CN95" s="1513" t="inlineStr">
        <is>
          <t>NYC</t>
        </is>
      </c>
      <c r="CO95" s="1513" t="inlineStr">
        <is>
          <t>Montreal</t>
        </is>
      </c>
      <c r="CP95" s="1514" t="n">
        <v>500</v>
      </c>
      <c r="CQ95" s="1477" t="n"/>
      <c r="CR95" s="1491" t="n"/>
      <c r="CS95" s="1491" t="n"/>
      <c r="CT95" s="1491" t="n"/>
      <c r="CU95" s="1491" t="n"/>
      <c r="CV95" s="1491" t="n"/>
      <c r="CW95" s="1491" t="n"/>
      <c r="CX95" s="1491" t="n"/>
    </row>
    <row r="96">
      <c r="A96" s="1491" t="n"/>
      <c r="B96" s="1491" t="n"/>
      <c r="C96" s="1491" t="n"/>
      <c r="D96" s="1497">
        <f>IF(E96&lt;&gt;"",D95+1,D95)</f>
        <v/>
      </c>
      <c r="E96" s="1497" t="inlineStr">
        <is>
          <t>Arles</t>
        </is>
      </c>
      <c r="F96" s="1535" t="inlineStr">
        <is>
          <t>.</t>
        </is>
      </c>
      <c r="G96" s="1498">
        <f>IF(H96="AIR",0,IF(H95="AIR",G94+1,IF(H96&lt;&gt;"",G95+1,G95)))</f>
        <v/>
      </c>
      <c r="H96" s="1498" t="inlineStr">
        <is>
          <t>Nimes</t>
        </is>
      </c>
      <c r="I96" s="1427" t="inlineStr">
        <is>
          <t>.</t>
        </is>
      </c>
      <c r="J96" s="1499" t="n">
        <v>91</v>
      </c>
      <c r="K96" s="1500">
        <f>_xlfn.XLOOKUP(cities[[#This Row],[id]],$D$5:$D$1500,E$5:E$1500,"-")</f>
        <v/>
      </c>
      <c r="L96" s="1500">
        <f>_xlfn.XLOOKUP(cities[[#This Row],[city]],ccc[city],ccc[ctry],"-")</f>
        <v/>
      </c>
      <c r="M96" s="1500">
        <f>SUMIFS(stayCity[stay],stayCity[city],cities[[#This Row],[city]])</f>
        <v/>
      </c>
      <c r="N96" s="1427">
        <f>N95+1</f>
        <v/>
      </c>
      <c r="O96" s="1500" t="n"/>
      <c r="P96" s="1500" t="n"/>
      <c r="Q96" s="1427" t="inlineStr">
        <is>
          <t>.</t>
        </is>
      </c>
      <c r="R96" s="1491" t="n"/>
      <c r="S96" s="1491" t="n"/>
      <c r="T96" s="1491" t="n"/>
      <c r="U96" s="1491" t="n"/>
      <c r="V96" s="1491" t="n"/>
      <c r="W96" s="1491" t="n"/>
      <c r="X96" s="1491" t="n"/>
      <c r="Y96" s="1491" t="n"/>
      <c r="Z96" s="1427" t="inlineStr">
        <is>
          <t>.</t>
        </is>
      </c>
      <c r="AA96" s="1473">
        <f>IF(AB96&lt;&gt;"",AA95+1,AA95)</f>
        <v/>
      </c>
      <c r="AB96" s="1534" t="inlineStr">
        <is>
          <t>Paris-Milan</t>
        </is>
      </c>
      <c r="AC96" s="1473">
        <f>IF(AD96&lt;&gt;"",AC95+1,AC95)</f>
        <v/>
      </c>
      <c r="AD96" s="1534" t="n"/>
      <c r="AE96" s="1427" t="inlineStr">
        <is>
          <t>.</t>
        </is>
      </c>
      <c r="AF96" s="1502" t="n">
        <v>92</v>
      </c>
      <c r="AG96" s="1500">
        <f>_xlfn.XLOOKUP(routes[[#This Row],[id]],$AA$5:$AA$300,$AB$5:$AB$300,"-")</f>
        <v/>
      </c>
      <c r="AH96" s="1500">
        <f>_xlfn.XLOOKUP(routes[[#This Row],[route]],routesUniv[route],routesUniv[outbound],"-")</f>
        <v/>
      </c>
      <c r="AI96" s="1500">
        <f>_xlfn.XLOOKUP(routes[[#This Row],[route]],routesUniv[route],routesUniv[inbound],"-")</f>
        <v/>
      </c>
      <c r="AJ96" s="1500">
        <f>_xlfn.XLOOKUP(routes[[#This Row],[route]],routesUniv[route],routesUniv[km],"-")</f>
        <v/>
      </c>
      <c r="AK96" s="1500">
        <f>COUNTIF(INPUT!BT$5:BT$1000,AG96)</f>
        <v/>
      </c>
      <c r="AL96" s="1505">
        <f>routes[[#This Row],[km]]*routes[[#This Row],[rpt]]/1000</f>
        <v/>
      </c>
      <c r="AM96" s="1481" t="inlineStr">
        <is>
          <t>.</t>
        </is>
      </c>
      <c r="AN96" s="1506" t="n"/>
      <c r="AO96" s="1500">
        <f>IF(AD96&lt;&gt;"",AD96,"-")</f>
        <v/>
      </c>
      <c r="AP96" s="1500">
        <f>_xlfn.XLOOKUP(cityRoutes[[#This Row],[city]],ccc[city],ccc[ctry],"-")</f>
        <v/>
      </c>
      <c r="AQ96" s="1500">
        <f>COUNTIF(INPUT!BR$5:BS$1000,AO96)</f>
        <v/>
      </c>
      <c r="AR96" s="1507">
        <f>(SUMIFS(routes[total],routes[outbound],AO96)+SUMIFS(routes[total],routes[inbound],AO96))/2</f>
        <v/>
      </c>
      <c r="AS96" s="1481" t="inlineStr">
        <is>
          <t>.</t>
        </is>
      </c>
      <c r="AT96" s="1491" t="n"/>
      <c r="AU96" s="1491" t="n"/>
      <c r="AV96" s="1491" t="n"/>
      <c r="AW96" s="1491" t="n"/>
      <c r="AX96" s="1491" t="n"/>
      <c r="AY96" s="1491" t="n"/>
      <c r="AZ96" s="1491" t="n"/>
      <c r="BA96" s="1491" t="n"/>
      <c r="BB96" s="1491" t="n"/>
      <c r="BC96" s="1491" t="n"/>
      <c r="BD96" s="1491" t="n"/>
      <c r="BE96" s="1491" t="n"/>
      <c r="BF96" s="1491" t="n"/>
      <c r="BG96" s="1491" t="n"/>
      <c r="BH96" s="1491" t="n"/>
      <c r="BI96" s="1491" t="n"/>
      <c r="BJ96" s="1491" t="n"/>
      <c r="BK96" s="1491" t="n"/>
      <c r="BL96" s="1491" t="n"/>
      <c r="BM96" s="1491" t="n"/>
      <c r="BN96" s="1491" t="n"/>
      <c r="BO96" s="1467" t="n"/>
      <c r="BP96" s="1514" t="n">
        <v>92</v>
      </c>
      <c r="BQ96" s="1513">
        <f>[1]Sheet1!C97</f>
        <v/>
      </c>
      <c r="BR96" s="1515">
        <f>[1]Sheet1!D97</f>
        <v/>
      </c>
      <c r="BS96" s="1513">
        <f>[1]Sheet1!E97</f>
        <v/>
      </c>
      <c r="BT96" s="1515">
        <f>[1]Sheet1!F97</f>
        <v/>
      </c>
      <c r="BU96" s="1516">
        <f>[1]Sheet1!G97</f>
        <v/>
      </c>
      <c r="BV96" s="1513">
        <f>[1]Sheet1!H97</f>
        <v/>
      </c>
      <c r="BW96" s="1467" t="n"/>
      <c r="BX96" s="1491">
        <f>[1]Sheet1!$J97</f>
        <v/>
      </c>
      <c r="BY96" s="1517">
        <f>[1]Sheet1!$K97</f>
        <v/>
      </c>
      <c r="BZ96" s="1517">
        <f>[1]Sheet1!$L97</f>
        <v/>
      </c>
      <c r="CA96" s="1500">
        <f>[1]Sheet1!$M97</f>
        <v/>
      </c>
      <c r="CB96" s="1467" t="n"/>
      <c r="CC96" s="1467" t="n"/>
      <c r="CD96" s="1500" t="n"/>
      <c r="CE96" s="1513" t="n"/>
      <c r="CF96" s="1513" t="n"/>
      <c r="CG96" s="1477" t="n"/>
      <c r="CH96" s="1513" t="n"/>
      <c r="CI96" s="1513" t="n"/>
      <c r="CJ96" s="1500" t="n"/>
      <c r="CK96" s="1477" t="n"/>
      <c r="CL96" s="1521" t="n">
        <v>92</v>
      </c>
      <c r="CM96" s="1513" t="inlineStr">
        <is>
          <t>NYC-Orlando</t>
        </is>
      </c>
      <c r="CN96" s="1513" t="inlineStr">
        <is>
          <t>NYC</t>
        </is>
      </c>
      <c r="CO96" s="1513" t="inlineStr">
        <is>
          <t>Orlando</t>
        </is>
      </c>
      <c r="CP96" s="1514" t="n">
        <v>1500</v>
      </c>
      <c r="CQ96" s="1477" t="n"/>
      <c r="CR96" s="1491" t="n"/>
      <c r="CS96" s="1491" t="n"/>
      <c r="CT96" s="1491" t="n"/>
      <c r="CU96" s="1491" t="n"/>
      <c r="CV96" s="1491" t="n"/>
      <c r="CW96" s="1491" t="n"/>
      <c r="CX96" s="1491" t="n"/>
    </row>
    <row r="97">
      <c r="A97" s="1491" t="n"/>
      <c r="B97" s="1491" t="n"/>
      <c r="C97" s="1491" t="n"/>
      <c r="D97" s="1497">
        <f>IF(E97&lt;&gt;"",D96+1,D96)</f>
        <v/>
      </c>
      <c r="E97" s="1497" t="inlineStr">
        <is>
          <t>Lausanne</t>
        </is>
      </c>
      <c r="F97" s="1535" t="inlineStr">
        <is>
          <t>.</t>
        </is>
      </c>
      <c r="G97" s="1498">
        <f>IF(H97="AIR",0,IF(H96="AIR",G95+1,IF(H97&lt;&gt;"",G96+1,G96)))</f>
        <v/>
      </c>
      <c r="H97" s="1498" t="inlineStr">
        <is>
          <t>La Grande-Motte</t>
        </is>
      </c>
      <c r="I97" s="1427" t="inlineStr">
        <is>
          <t>.</t>
        </is>
      </c>
      <c r="J97" s="1499" t="n">
        <v>92</v>
      </c>
      <c r="K97" s="1500">
        <f>_xlfn.XLOOKUP(cities[[#This Row],[id]],$D$5:$D$1500,E$5:E$1500,"-")</f>
        <v/>
      </c>
      <c r="L97" s="1500">
        <f>_xlfn.XLOOKUP(cities[[#This Row],[city]],ccc[city],ccc[ctry],"-")</f>
        <v/>
      </c>
      <c r="M97" s="1500">
        <f>SUMIFS(stayCity[stay],stayCity[city],cities[[#This Row],[city]])</f>
        <v/>
      </c>
      <c r="N97" s="1427">
        <f>N96+1</f>
        <v/>
      </c>
      <c r="O97" s="1500" t="n"/>
      <c r="P97" s="1500" t="n"/>
      <c r="Q97" s="1427" t="inlineStr">
        <is>
          <t>.</t>
        </is>
      </c>
      <c r="R97" s="1491" t="n"/>
      <c r="S97" s="1491" t="n"/>
      <c r="T97" s="1491" t="n"/>
      <c r="U97" s="1491" t="n"/>
      <c r="V97" s="1491" t="n"/>
      <c r="W97" s="1491" t="n"/>
      <c r="X97" s="1491" t="n"/>
      <c r="Y97" s="1491" t="n"/>
      <c r="Z97" s="1427" t="inlineStr">
        <is>
          <t>.</t>
        </is>
      </c>
      <c r="AA97" s="1473">
        <f>IF(AB97&lt;&gt;"",AA96+1,AA96)</f>
        <v/>
      </c>
      <c r="AB97" s="1534" t="inlineStr">
        <is>
          <t>Milan-Praga</t>
        </is>
      </c>
      <c r="AC97" s="1473">
        <f>IF(AD97&lt;&gt;"",AC96+1,AC96)</f>
        <v/>
      </c>
      <c r="AD97" s="1534" t="n"/>
      <c r="AE97" s="1427" t="inlineStr">
        <is>
          <t>.</t>
        </is>
      </c>
      <c r="AF97" s="1502" t="n">
        <v>93</v>
      </c>
      <c r="AG97" s="1500">
        <f>_xlfn.XLOOKUP(routes[[#This Row],[id]],$AA$5:$AA$300,$AB$5:$AB$300,"-")</f>
        <v/>
      </c>
      <c r="AH97" s="1500">
        <f>_xlfn.XLOOKUP(routes[[#This Row],[route]],routesUniv[route],routesUniv[outbound],"-")</f>
        <v/>
      </c>
      <c r="AI97" s="1500">
        <f>_xlfn.XLOOKUP(routes[[#This Row],[route]],routesUniv[route],routesUniv[inbound],"-")</f>
        <v/>
      </c>
      <c r="AJ97" s="1500">
        <f>_xlfn.XLOOKUP(routes[[#This Row],[route]],routesUniv[route],routesUniv[km],"-")</f>
        <v/>
      </c>
      <c r="AK97" s="1500">
        <f>COUNTIF(INPUT!BT$5:BT$1000,AG97)</f>
        <v/>
      </c>
      <c r="AL97" s="1505">
        <f>routes[[#This Row],[km]]*routes[[#This Row],[rpt]]/1000</f>
        <v/>
      </c>
      <c r="AM97" s="1481" t="inlineStr">
        <is>
          <t>.</t>
        </is>
      </c>
      <c r="AN97" s="1506" t="n"/>
      <c r="AO97" s="1500">
        <f>IF(AD97&lt;&gt;"",AD97,"-")</f>
        <v/>
      </c>
      <c r="AP97" s="1500">
        <f>_xlfn.XLOOKUP(cityRoutes[[#This Row],[city]],ccc[city],ccc[ctry],"-")</f>
        <v/>
      </c>
      <c r="AQ97" s="1500">
        <f>COUNTIF(INPUT!BR$5:BS$1000,AO97)</f>
        <v/>
      </c>
      <c r="AR97" s="1507">
        <f>(SUMIFS(routes[total],routes[outbound],AO97)+SUMIFS(routes[total],routes[inbound],AO97))/2</f>
        <v/>
      </c>
      <c r="AS97" s="1481" t="inlineStr">
        <is>
          <t>.</t>
        </is>
      </c>
      <c r="AT97" s="1491" t="n"/>
      <c r="AU97" s="1491" t="n"/>
      <c r="AV97" s="1491" t="n"/>
      <c r="AW97" s="1491" t="n"/>
      <c r="AX97" s="1491" t="n"/>
      <c r="AY97" s="1491" t="n"/>
      <c r="AZ97" s="1491" t="n"/>
      <c r="BA97" s="1491" t="n"/>
      <c r="BB97" s="1491" t="n"/>
      <c r="BC97" s="1491" t="n"/>
      <c r="BD97" s="1491" t="n"/>
      <c r="BE97" s="1491" t="n"/>
      <c r="BF97" s="1491" t="n"/>
      <c r="BG97" s="1491" t="n"/>
      <c r="BH97" s="1491" t="n"/>
      <c r="BI97" s="1491" t="n"/>
      <c r="BJ97" s="1491" t="n"/>
      <c r="BK97" s="1491" t="n"/>
      <c r="BL97" s="1491" t="n"/>
      <c r="BM97" s="1491" t="n"/>
      <c r="BN97" s="1491" t="n"/>
      <c r="BO97" s="1467" t="n"/>
      <c r="BP97" s="1514" t="n">
        <v>93</v>
      </c>
      <c r="BQ97" s="1513">
        <f>[1]Sheet1!C98</f>
        <v/>
      </c>
      <c r="BR97" s="1515">
        <f>[1]Sheet1!D98</f>
        <v/>
      </c>
      <c r="BS97" s="1513">
        <f>[1]Sheet1!E98</f>
        <v/>
      </c>
      <c r="BT97" s="1515">
        <f>[1]Sheet1!F98</f>
        <v/>
      </c>
      <c r="BU97" s="1516">
        <f>[1]Sheet1!G98</f>
        <v/>
      </c>
      <c r="BV97" s="1513">
        <f>[1]Sheet1!H98</f>
        <v/>
      </c>
      <c r="BW97" s="1467" t="n"/>
      <c r="BX97" s="1491">
        <f>[1]Sheet1!$J98</f>
        <v/>
      </c>
      <c r="BY97" s="1517">
        <f>[1]Sheet1!$K98</f>
        <v/>
      </c>
      <c r="BZ97" s="1517">
        <f>[1]Sheet1!$L98</f>
        <v/>
      </c>
      <c r="CA97" s="1500">
        <f>[1]Sheet1!$M98</f>
        <v/>
      </c>
      <c r="CB97" s="1467" t="n"/>
      <c r="CC97" s="1467" t="n"/>
      <c r="CD97" s="1500" t="n"/>
      <c r="CE97" s="1513" t="n"/>
      <c r="CF97" s="1513" t="n"/>
      <c r="CG97" s="1477" t="n"/>
      <c r="CH97" s="1513" t="n"/>
      <c r="CI97" s="1513" t="n"/>
      <c r="CJ97" s="1500" t="n"/>
      <c r="CK97" s="1477" t="n"/>
      <c r="CL97" s="1521" t="n">
        <v>93</v>
      </c>
      <c r="CM97" s="1513" t="inlineStr">
        <is>
          <t>NYC-SP</t>
        </is>
      </c>
      <c r="CN97" s="1513" t="inlineStr">
        <is>
          <t>NYC</t>
        </is>
      </c>
      <c r="CO97" s="1513" t="inlineStr">
        <is>
          <t>SP</t>
        </is>
      </c>
      <c r="CP97" s="1514" t="n">
        <v>7700</v>
      </c>
      <c r="CQ97" s="1477" t="n"/>
      <c r="CR97" s="1491" t="n"/>
      <c r="CS97" s="1491" t="n"/>
      <c r="CT97" s="1491" t="n"/>
      <c r="CU97" s="1491" t="n"/>
      <c r="CV97" s="1491" t="n"/>
      <c r="CW97" s="1491" t="n"/>
      <c r="CX97" s="1491" t="n"/>
    </row>
    <row r="98">
      <c r="A98" s="1491" t="n"/>
      <c r="B98" s="1491" t="n"/>
      <c r="C98" s="1491" t="n"/>
      <c r="D98" s="1497">
        <f>IF(E98&lt;&gt;"",D97+1,D97)</f>
        <v/>
      </c>
      <c r="E98" s="1497" t="inlineStr">
        <is>
          <t>Montreux</t>
        </is>
      </c>
      <c r="F98" s="1535" t="inlineStr">
        <is>
          <t>.</t>
        </is>
      </c>
      <c r="G98" s="1498">
        <f>IF(H98="AIR",0,IF(H97="AIR",G96+1,IF(H98&lt;&gt;"",G97+1,G97)))</f>
        <v/>
      </c>
      <c r="H98" s="1498" t="inlineStr">
        <is>
          <t>Arles</t>
        </is>
      </c>
      <c r="I98" s="1427" t="inlineStr">
        <is>
          <t>.</t>
        </is>
      </c>
      <c r="J98" s="1499" t="n">
        <v>93</v>
      </c>
      <c r="K98" s="1500">
        <f>_xlfn.XLOOKUP(cities[[#This Row],[id]],$D$5:$D$1500,E$5:E$1500,"-")</f>
        <v/>
      </c>
      <c r="L98" s="1500">
        <f>_xlfn.XLOOKUP(cities[[#This Row],[city]],ccc[city],ccc[ctry],"-")</f>
        <v/>
      </c>
      <c r="M98" s="1500">
        <f>SUMIFS(stayCity[stay],stayCity[city],cities[[#This Row],[city]])</f>
        <v/>
      </c>
      <c r="N98" s="1427">
        <f>N97+1</f>
        <v/>
      </c>
      <c r="O98" s="1500" t="n"/>
      <c r="P98" s="1500" t="n"/>
      <c r="Q98" s="1427" t="inlineStr">
        <is>
          <t>.</t>
        </is>
      </c>
      <c r="R98" s="1491" t="n"/>
      <c r="S98" s="1491" t="n"/>
      <c r="T98" s="1491" t="n"/>
      <c r="U98" s="1491" t="n"/>
      <c r="V98" s="1491" t="n"/>
      <c r="W98" s="1491" t="n"/>
      <c r="X98" s="1491" t="n"/>
      <c r="Y98" s="1491" t="n"/>
      <c r="Z98" s="1427" t="inlineStr">
        <is>
          <t>.</t>
        </is>
      </c>
      <c r="AA98" s="1473">
        <f>IF(AB98&lt;&gt;"",AA97+1,AA97)</f>
        <v/>
      </c>
      <c r="AB98" s="1534" t="inlineStr">
        <is>
          <t>Praga-Paris</t>
        </is>
      </c>
      <c r="AC98" s="1473">
        <f>IF(AD98&lt;&gt;"",AC97+1,AC97)</f>
        <v/>
      </c>
      <c r="AD98" s="1534" t="n"/>
      <c r="AE98" s="1427" t="inlineStr">
        <is>
          <t>.</t>
        </is>
      </c>
      <c r="AF98" s="1502" t="n">
        <v>94</v>
      </c>
      <c r="AG98" s="1500">
        <f>_xlfn.XLOOKUP(routes[[#This Row],[id]],$AA$5:$AA$300,$AB$5:$AB$300,"-")</f>
        <v/>
      </c>
      <c r="AH98" s="1500">
        <f>_xlfn.XLOOKUP(routes[[#This Row],[route]],routesUniv[route],routesUniv[outbound],"-")</f>
        <v/>
      </c>
      <c r="AI98" s="1500">
        <f>_xlfn.XLOOKUP(routes[[#This Row],[route]],routesUniv[route],routesUniv[inbound],"-")</f>
        <v/>
      </c>
      <c r="AJ98" s="1500">
        <f>_xlfn.XLOOKUP(routes[[#This Row],[route]],routesUniv[route],routesUniv[km],"-")</f>
        <v/>
      </c>
      <c r="AK98" s="1500">
        <f>COUNTIF(INPUT!BT$5:BT$1000,AG98)</f>
        <v/>
      </c>
      <c r="AL98" s="1505">
        <f>routes[[#This Row],[km]]*routes[[#This Row],[rpt]]/1000</f>
        <v/>
      </c>
      <c r="AM98" s="1481" t="inlineStr">
        <is>
          <t>.</t>
        </is>
      </c>
      <c r="AN98" s="1506" t="n"/>
      <c r="AO98" s="1500">
        <f>IF(AD98&lt;&gt;"",AD98,"-")</f>
        <v/>
      </c>
      <c r="AP98" s="1500">
        <f>_xlfn.XLOOKUP(cityRoutes[[#This Row],[city]],ccc[city],ccc[ctry],"-")</f>
        <v/>
      </c>
      <c r="AQ98" s="1500">
        <f>COUNTIF(INPUT!BR$5:BS$1000,AO98)</f>
        <v/>
      </c>
      <c r="AR98" s="1507">
        <f>(SUMIFS(routes[total],routes[outbound],AO98)+SUMIFS(routes[total],routes[inbound],AO98))/2</f>
        <v/>
      </c>
      <c r="AS98" s="1481" t="inlineStr">
        <is>
          <t>.</t>
        </is>
      </c>
      <c r="AT98" s="1491" t="n"/>
      <c r="AU98" s="1491" t="n"/>
      <c r="AV98" s="1491" t="n"/>
      <c r="AW98" s="1491" t="n"/>
      <c r="AX98" s="1491" t="n"/>
      <c r="AY98" s="1491" t="n"/>
      <c r="AZ98" s="1491" t="n"/>
      <c r="BA98" s="1491" t="n"/>
      <c r="BB98" s="1491" t="n"/>
      <c r="BC98" s="1491" t="n"/>
      <c r="BD98" s="1491" t="n"/>
      <c r="BE98" s="1491" t="n"/>
      <c r="BF98" s="1491" t="n"/>
      <c r="BG98" s="1491" t="n"/>
      <c r="BH98" s="1491" t="n"/>
      <c r="BI98" s="1491" t="n"/>
      <c r="BJ98" s="1491" t="n"/>
      <c r="BK98" s="1491" t="n"/>
      <c r="BL98" s="1491" t="n"/>
      <c r="BM98" s="1491" t="n"/>
      <c r="BN98" s="1491" t="n"/>
      <c r="BO98" s="1467" t="n"/>
      <c r="BP98" s="1514" t="n">
        <v>94</v>
      </c>
      <c r="BQ98" s="1513">
        <f>[1]Sheet1!C99</f>
        <v/>
      </c>
      <c r="BR98" s="1515">
        <f>[1]Sheet1!D99</f>
        <v/>
      </c>
      <c r="BS98" s="1513">
        <f>[1]Sheet1!E99</f>
        <v/>
      </c>
      <c r="BT98" s="1515">
        <f>[1]Sheet1!F99</f>
        <v/>
      </c>
      <c r="BU98" s="1516">
        <f>[1]Sheet1!G99</f>
        <v/>
      </c>
      <c r="BV98" s="1513">
        <f>[1]Sheet1!H99</f>
        <v/>
      </c>
      <c r="BW98" s="1467" t="n"/>
      <c r="BX98" s="1491">
        <f>[1]Sheet1!$J99</f>
        <v/>
      </c>
      <c r="BY98" s="1517">
        <f>[1]Sheet1!$K99</f>
        <v/>
      </c>
      <c r="BZ98" s="1517">
        <f>[1]Sheet1!$L99</f>
        <v/>
      </c>
      <c r="CA98" s="1500">
        <f>[1]Sheet1!$M99</f>
        <v/>
      </c>
      <c r="CB98" s="1467" t="n"/>
      <c r="CC98" s="1467" t="n"/>
      <c r="CD98" s="1500" t="n"/>
      <c r="CE98" s="1513" t="n"/>
      <c r="CF98" s="1513" t="n"/>
      <c r="CG98" s="1477" t="n"/>
      <c r="CH98" s="1513" t="n"/>
      <c r="CI98" s="1513" t="n"/>
      <c r="CJ98" s="1500" t="n"/>
      <c r="CK98" s="1477" t="n"/>
      <c r="CL98" s="1521" t="n">
        <v>94</v>
      </c>
      <c r="CM98" s="1500" t="inlineStr">
        <is>
          <t>NYC-Washington</t>
        </is>
      </c>
      <c r="CN98" s="1500" t="inlineStr">
        <is>
          <t>NYC</t>
        </is>
      </c>
      <c r="CO98" s="1500" t="inlineStr">
        <is>
          <t>Washington</t>
        </is>
      </c>
      <c r="CP98" s="1514" t="n">
        <v>300</v>
      </c>
      <c r="CQ98" s="1477" t="n"/>
      <c r="CR98" s="1491" t="n"/>
      <c r="CS98" s="1491" t="n"/>
      <c r="CT98" s="1491" t="n"/>
      <c r="CU98" s="1491" t="n"/>
      <c r="CV98" s="1491" t="n"/>
      <c r="CW98" s="1491" t="n"/>
      <c r="CX98" s="1491" t="n"/>
    </row>
    <row r="99">
      <c r="A99" s="1491" t="n"/>
      <c r="B99" s="1491" t="n"/>
      <c r="C99" s="1491" t="n"/>
      <c r="D99" s="1497">
        <f>IF(E99&lt;&gt;"",D98+1,D98)</f>
        <v/>
      </c>
      <c r="E99" s="1497" t="inlineStr">
        <is>
          <t>Geneve</t>
        </is>
      </c>
      <c r="F99" s="1535" t="inlineStr">
        <is>
          <t>.</t>
        </is>
      </c>
      <c r="G99" s="1498">
        <f>IF(H99="AIR",0,IF(H98="AIR",G97+1,IF(H99&lt;&gt;"",G98+1,G98)))</f>
        <v/>
      </c>
      <c r="H99" s="1498" t="inlineStr">
        <is>
          <t>Lausanne</t>
        </is>
      </c>
      <c r="I99" s="1427" t="inlineStr">
        <is>
          <t>.</t>
        </is>
      </c>
      <c r="J99" s="1499" t="n">
        <v>94</v>
      </c>
      <c r="K99" s="1500">
        <f>_xlfn.XLOOKUP(cities[[#This Row],[id]],$D$5:$D$1500,E$5:E$1500,"-")</f>
        <v/>
      </c>
      <c r="L99" s="1500">
        <f>_xlfn.XLOOKUP(cities[[#This Row],[city]],ccc[city],ccc[ctry],"-")</f>
        <v/>
      </c>
      <c r="M99" s="1500">
        <f>SUMIFS(stayCity[stay],stayCity[city],cities[[#This Row],[city]])</f>
        <v/>
      </c>
      <c r="N99" s="1427">
        <f>N98+1</f>
        <v/>
      </c>
      <c r="O99" s="1500" t="n"/>
      <c r="P99" s="1500" t="n"/>
      <c r="Q99" s="1427" t="inlineStr">
        <is>
          <t>.</t>
        </is>
      </c>
      <c r="R99" s="1491" t="n"/>
      <c r="S99" s="1491" t="n"/>
      <c r="T99" s="1491" t="n"/>
      <c r="U99" s="1491" t="n"/>
      <c r="V99" s="1491" t="n"/>
      <c r="W99" s="1491" t="n"/>
      <c r="X99" s="1491" t="n"/>
      <c r="Y99" s="1491" t="n"/>
      <c r="Z99" s="1427" t="inlineStr">
        <is>
          <t>.</t>
        </is>
      </c>
      <c r="AA99" s="1473">
        <f>IF(AB99&lt;&gt;"",AA98+1,AA98)</f>
        <v/>
      </c>
      <c r="AB99" s="1534" t="inlineStr">
        <is>
          <t>Paris-Marrakech</t>
        </is>
      </c>
      <c r="AC99" s="1473">
        <f>IF(AD99&lt;&gt;"",AC98+1,AC98)</f>
        <v/>
      </c>
      <c r="AD99" s="1534" t="n"/>
      <c r="AE99" s="1427" t="inlineStr">
        <is>
          <t>.</t>
        </is>
      </c>
      <c r="AF99" s="1502" t="n">
        <v>95</v>
      </c>
      <c r="AG99" s="1500">
        <f>_xlfn.XLOOKUP(routes[[#This Row],[id]],$AA$5:$AA$300,$AB$5:$AB$300,"-")</f>
        <v/>
      </c>
      <c r="AH99" s="1500">
        <f>_xlfn.XLOOKUP(routes[[#This Row],[route]],routesUniv[route],routesUniv[outbound],"-")</f>
        <v/>
      </c>
      <c r="AI99" s="1500">
        <f>_xlfn.XLOOKUP(routes[[#This Row],[route]],routesUniv[route],routesUniv[inbound],"-")</f>
        <v/>
      </c>
      <c r="AJ99" s="1500">
        <f>_xlfn.XLOOKUP(routes[[#This Row],[route]],routesUniv[route],routesUniv[km],"-")</f>
        <v/>
      </c>
      <c r="AK99" s="1500">
        <f>COUNTIF(INPUT!BT$5:BT$1000,AG99)</f>
        <v/>
      </c>
      <c r="AL99" s="1505">
        <f>routes[[#This Row],[km]]*routes[[#This Row],[rpt]]/1000</f>
        <v/>
      </c>
      <c r="AM99" s="1481" t="inlineStr">
        <is>
          <t>.</t>
        </is>
      </c>
      <c r="AN99" s="1506" t="n"/>
      <c r="AO99" s="1500">
        <f>IF(AD99&lt;&gt;"",AD99,"-")</f>
        <v/>
      </c>
      <c r="AP99" s="1500">
        <f>_xlfn.XLOOKUP(cityRoutes[[#This Row],[city]],ccc[city],ccc[ctry],"-")</f>
        <v/>
      </c>
      <c r="AQ99" s="1500">
        <f>COUNTIF(INPUT!BR$5:BS$1000,AO99)</f>
        <v/>
      </c>
      <c r="AR99" s="1507">
        <f>(SUMIFS(routes[total],routes[outbound],AO99)+SUMIFS(routes[total],routes[inbound],AO99))/2</f>
        <v/>
      </c>
      <c r="AS99" s="1481" t="inlineStr">
        <is>
          <t>.</t>
        </is>
      </c>
      <c r="AT99" s="1491" t="n"/>
      <c r="AU99" s="1491" t="n"/>
      <c r="AV99" s="1491" t="n"/>
      <c r="AW99" s="1491" t="n"/>
      <c r="AX99" s="1491" t="n"/>
      <c r="AY99" s="1491" t="n"/>
      <c r="AZ99" s="1491" t="n"/>
      <c r="BA99" s="1491" t="n"/>
      <c r="BB99" s="1491" t="n"/>
      <c r="BC99" s="1491" t="n"/>
      <c r="BD99" s="1491" t="n"/>
      <c r="BE99" s="1491" t="n"/>
      <c r="BF99" s="1491" t="n"/>
      <c r="BG99" s="1491" t="n"/>
      <c r="BH99" s="1491" t="n"/>
      <c r="BI99" s="1491" t="n"/>
      <c r="BJ99" s="1491" t="n"/>
      <c r="BK99" s="1491" t="n"/>
      <c r="BL99" s="1491" t="n"/>
      <c r="BM99" s="1491" t="n"/>
      <c r="BN99" s="1491" t="n"/>
      <c r="BO99" s="1467" t="n"/>
      <c r="BP99" s="1514" t="n">
        <v>95</v>
      </c>
      <c r="BQ99" s="1513">
        <f>[1]Sheet1!C100</f>
        <v/>
      </c>
      <c r="BR99" s="1515">
        <f>[1]Sheet1!D100</f>
        <v/>
      </c>
      <c r="BS99" s="1513">
        <f>[1]Sheet1!E100</f>
        <v/>
      </c>
      <c r="BT99" s="1515">
        <f>[1]Sheet1!F100</f>
        <v/>
      </c>
      <c r="BU99" s="1516">
        <f>[1]Sheet1!G100</f>
        <v/>
      </c>
      <c r="BV99" s="1513">
        <f>[1]Sheet1!H100</f>
        <v/>
      </c>
      <c r="BW99" s="1467" t="n"/>
      <c r="BX99" s="1491">
        <f>[1]Sheet1!$J100</f>
        <v/>
      </c>
      <c r="BY99" s="1517">
        <f>[1]Sheet1!$K100</f>
        <v/>
      </c>
      <c r="BZ99" s="1517">
        <f>[1]Sheet1!$L100</f>
        <v/>
      </c>
      <c r="CA99" s="1500">
        <f>[1]Sheet1!$M100</f>
        <v/>
      </c>
      <c r="CB99" s="1467" t="n"/>
      <c r="CC99" s="1467" t="n"/>
      <c r="CD99" s="1500" t="n"/>
      <c r="CE99" s="1513" t="n"/>
      <c r="CF99" s="1513" t="n"/>
      <c r="CG99" s="1477" t="n"/>
      <c r="CH99" s="1513" t="n"/>
      <c r="CI99" s="1513" t="n"/>
      <c r="CJ99" s="1500" t="n"/>
      <c r="CK99" s="1477" t="n"/>
      <c r="CL99" s="1521" t="n">
        <v>95</v>
      </c>
      <c r="CM99" s="1513" t="inlineStr">
        <is>
          <t>Orlando-Detroit</t>
        </is>
      </c>
      <c r="CN99" s="1513" t="inlineStr">
        <is>
          <t>Orlando</t>
        </is>
      </c>
      <c r="CO99" s="1513" t="inlineStr">
        <is>
          <t>Detroit</t>
        </is>
      </c>
      <c r="CP99" s="1514" t="n">
        <v>1850</v>
      </c>
      <c r="CQ99" s="1477" t="n"/>
      <c r="CR99" s="1491" t="n"/>
      <c r="CS99" s="1491" t="n"/>
      <c r="CT99" s="1491" t="n"/>
      <c r="CU99" s="1491" t="n"/>
      <c r="CV99" s="1491" t="n"/>
      <c r="CW99" s="1491" t="n"/>
      <c r="CX99" s="1491" t="n"/>
    </row>
    <row r="100">
      <c r="A100" s="1491" t="n"/>
      <c r="B100" s="1491" t="n"/>
      <c r="C100" s="1491" t="n"/>
      <c r="D100" s="1497">
        <f>IF(E100&lt;&gt;"",D99+1,D99)</f>
        <v/>
      </c>
      <c r="E100" s="1497" t="inlineStr">
        <is>
          <t>Basel</t>
        </is>
      </c>
      <c r="F100" s="1535" t="inlineStr">
        <is>
          <t>.</t>
        </is>
      </c>
      <c r="G100" s="1498">
        <f>IF(H100="AIR",0,IF(H99="AIR",G98+1,IF(H100&lt;&gt;"",G99+1,G99)))</f>
        <v/>
      </c>
      <c r="H100" s="1498" t="inlineStr">
        <is>
          <t>Montreux</t>
        </is>
      </c>
      <c r="I100" s="1427" t="inlineStr">
        <is>
          <t>.</t>
        </is>
      </c>
      <c r="J100" s="1499" t="n">
        <v>95</v>
      </c>
      <c r="K100" s="1500">
        <f>_xlfn.XLOOKUP(cities[[#This Row],[id]],$D$5:$D$1500,E$5:E$1500,"-")</f>
        <v/>
      </c>
      <c r="L100" s="1500">
        <f>_xlfn.XLOOKUP(cities[[#This Row],[city]],ccc[city],ccc[ctry],"-")</f>
        <v/>
      </c>
      <c r="M100" s="1500">
        <f>SUMIFS(stayCity[stay],stayCity[city],cities[[#This Row],[city]])</f>
        <v/>
      </c>
      <c r="N100" s="1427">
        <f>N99+1</f>
        <v/>
      </c>
      <c r="O100" s="1500" t="n"/>
      <c r="P100" s="1500" t="n"/>
      <c r="Q100" s="1427" t="inlineStr">
        <is>
          <t>.</t>
        </is>
      </c>
      <c r="R100" s="1491" t="n"/>
      <c r="S100" s="1491" t="n"/>
      <c r="T100" s="1491" t="n"/>
      <c r="U100" s="1491" t="n"/>
      <c r="V100" s="1491" t="n"/>
      <c r="W100" s="1491" t="n"/>
      <c r="X100" s="1491" t="n"/>
      <c r="Y100" s="1491" t="n"/>
      <c r="Z100" s="1427" t="inlineStr">
        <is>
          <t>.</t>
        </is>
      </c>
      <c r="AA100" s="1473">
        <f>IF(AB100&lt;&gt;"",AA99+1,AA99)</f>
        <v/>
      </c>
      <c r="AB100" s="1534" t="inlineStr">
        <is>
          <t>Marrakech-London</t>
        </is>
      </c>
      <c r="AC100" s="1473">
        <f>IF(AD100&lt;&gt;"",AC99+1,AC99)</f>
        <v/>
      </c>
      <c r="AD100" s="1534" t="n"/>
      <c r="AE100" s="1427" t="inlineStr">
        <is>
          <t>.</t>
        </is>
      </c>
      <c r="AF100" s="1502" t="n">
        <v>96</v>
      </c>
      <c r="AG100" s="1500">
        <f>_xlfn.XLOOKUP(routes[[#This Row],[id]],$AA$5:$AA$300,$AB$5:$AB$300,"-")</f>
        <v/>
      </c>
      <c r="AH100" s="1500">
        <f>_xlfn.XLOOKUP(routes[[#This Row],[route]],routesUniv[route],routesUniv[outbound],"-")</f>
        <v/>
      </c>
      <c r="AI100" s="1500">
        <f>_xlfn.XLOOKUP(routes[[#This Row],[route]],routesUniv[route],routesUniv[inbound],"-")</f>
        <v/>
      </c>
      <c r="AJ100" s="1500">
        <f>_xlfn.XLOOKUP(routes[[#This Row],[route]],routesUniv[route],routesUniv[km],"-")</f>
        <v/>
      </c>
      <c r="AK100" s="1500">
        <f>COUNTIF(INPUT!BT$5:BT$1000,AG100)</f>
        <v/>
      </c>
      <c r="AL100" s="1505">
        <f>routes[[#This Row],[km]]*routes[[#This Row],[rpt]]/1000</f>
        <v/>
      </c>
      <c r="AM100" s="1481" t="inlineStr">
        <is>
          <t>.</t>
        </is>
      </c>
      <c r="AN100" s="1506" t="n"/>
      <c r="AO100" s="1500">
        <f>IF(AD100&lt;&gt;"",AD100,"-")</f>
        <v/>
      </c>
      <c r="AP100" s="1500">
        <f>_xlfn.XLOOKUP(cityRoutes[[#This Row],[city]],ccc[city],ccc[ctry],"-")</f>
        <v/>
      </c>
      <c r="AQ100" s="1500">
        <f>COUNTIF(INPUT!BR$5:BS$1000,AO100)</f>
        <v/>
      </c>
      <c r="AR100" s="1507">
        <f>(SUMIFS(routes[total],routes[outbound],AO100)+SUMIFS(routes[total],routes[inbound],AO100))/2</f>
        <v/>
      </c>
      <c r="AS100" s="1481" t="inlineStr">
        <is>
          <t>.</t>
        </is>
      </c>
      <c r="AT100" s="1491" t="n"/>
      <c r="AU100" s="1491" t="n"/>
      <c r="AV100" s="1491" t="n"/>
      <c r="AW100" s="1491" t="n"/>
      <c r="AX100" s="1491" t="n"/>
      <c r="AY100" s="1491" t="n"/>
      <c r="AZ100" s="1491" t="n"/>
      <c r="BA100" s="1491" t="n"/>
      <c r="BB100" s="1491" t="n"/>
      <c r="BC100" s="1491" t="n"/>
      <c r="BD100" s="1491" t="n"/>
      <c r="BE100" s="1491" t="n"/>
      <c r="BF100" s="1491" t="n"/>
      <c r="BG100" s="1491" t="n"/>
      <c r="BH100" s="1491" t="n"/>
      <c r="BI100" s="1491" t="n"/>
      <c r="BJ100" s="1491" t="n"/>
      <c r="BK100" s="1491" t="n"/>
      <c r="BL100" s="1491" t="n"/>
      <c r="BM100" s="1491" t="n"/>
      <c r="BN100" s="1491" t="n"/>
      <c r="BO100" s="1467" t="n"/>
      <c r="BP100" s="1514" t="n">
        <v>96</v>
      </c>
      <c r="BQ100" s="1513">
        <f>[1]Sheet1!C101</f>
        <v/>
      </c>
      <c r="BR100" s="1515">
        <f>[1]Sheet1!D101</f>
        <v/>
      </c>
      <c r="BS100" s="1513">
        <f>[1]Sheet1!E101</f>
        <v/>
      </c>
      <c r="BT100" s="1515">
        <f>[1]Sheet1!F101</f>
        <v/>
      </c>
      <c r="BU100" s="1516">
        <f>[1]Sheet1!G101</f>
        <v/>
      </c>
      <c r="BV100" s="1513">
        <f>[1]Sheet1!H101</f>
        <v/>
      </c>
      <c r="BW100" s="1467" t="n"/>
      <c r="BX100" s="1491">
        <f>[1]Sheet1!$J101</f>
        <v/>
      </c>
      <c r="BY100" s="1517">
        <f>[1]Sheet1!$K101</f>
        <v/>
      </c>
      <c r="BZ100" s="1517">
        <f>[1]Sheet1!$L101</f>
        <v/>
      </c>
      <c r="CA100" s="1500">
        <f>[1]Sheet1!$M101</f>
        <v/>
      </c>
      <c r="CB100" s="1467" t="n"/>
      <c r="CC100" s="1467" t="n"/>
      <c r="CD100" s="1500" t="n"/>
      <c r="CE100" s="1513" t="n"/>
      <c r="CF100" s="1513" t="n"/>
      <c r="CG100" s="1477" t="n"/>
      <c r="CH100" s="1513" t="n"/>
      <c r="CI100" s="1513" t="n"/>
      <c r="CJ100" s="1500" t="n"/>
      <c r="CK100" s="1477" t="n"/>
      <c r="CL100" s="1521" t="n">
        <v>96</v>
      </c>
      <c r="CM100" s="1513" t="inlineStr">
        <is>
          <t>Orlando-Montreal</t>
        </is>
      </c>
      <c r="CN100" s="1513" t="inlineStr">
        <is>
          <t>Orlando</t>
        </is>
      </c>
      <c r="CO100" s="1513" t="inlineStr">
        <is>
          <t>Montreal</t>
        </is>
      </c>
      <c r="CP100" s="1514" t="n">
        <v>2000</v>
      </c>
      <c r="CQ100" s="1477" t="n"/>
      <c r="CR100" s="1491" t="n"/>
      <c r="CS100" s="1491" t="n"/>
      <c r="CT100" s="1491" t="n"/>
      <c r="CU100" s="1491" t="n"/>
      <c r="CV100" s="1491" t="n"/>
      <c r="CW100" s="1491" t="n"/>
      <c r="CX100" s="1491" t="n"/>
    </row>
    <row r="101">
      <c r="A101" s="1491" t="n"/>
      <c r="B101" s="1491" t="n"/>
      <c r="C101" s="1491" t="n"/>
      <c r="D101" s="1497">
        <f>IF(E101&lt;&gt;"",D100+1,D100)</f>
        <v/>
      </c>
      <c r="E101" s="1497" t="inlineStr">
        <is>
          <t>Colmar</t>
        </is>
      </c>
      <c r="F101" s="1535" t="inlineStr">
        <is>
          <t>.</t>
        </is>
      </c>
      <c r="G101" s="1498">
        <f>IF(H101="AIR",0,IF(H100="AIR",G99+1,IF(H101&lt;&gt;"",G100+1,G100)))</f>
        <v/>
      </c>
      <c r="H101" s="1498" t="inlineStr">
        <is>
          <t>Geneve</t>
        </is>
      </c>
      <c r="I101" s="1427" t="inlineStr">
        <is>
          <t>.</t>
        </is>
      </c>
      <c r="J101" s="1499" t="n">
        <v>96</v>
      </c>
      <c r="K101" s="1500">
        <f>_xlfn.XLOOKUP(cities[[#This Row],[id]],$D$5:$D$1500,E$5:E$1500,"-")</f>
        <v/>
      </c>
      <c r="L101" s="1500">
        <f>_xlfn.XLOOKUP(cities[[#This Row],[city]],ccc[city],ccc[ctry],"-")</f>
        <v/>
      </c>
      <c r="M101" s="1500">
        <f>SUMIFS(stayCity[stay],stayCity[city],cities[[#This Row],[city]])</f>
        <v/>
      </c>
      <c r="N101" s="1427">
        <f>N100+1</f>
        <v/>
      </c>
      <c r="O101" s="1500" t="n"/>
      <c r="P101" s="1500" t="n"/>
      <c r="Q101" s="1427" t="inlineStr">
        <is>
          <t>.</t>
        </is>
      </c>
      <c r="R101" s="1491" t="n"/>
      <c r="S101" s="1491" t="n"/>
      <c r="T101" s="1491" t="n"/>
      <c r="U101" s="1491" t="n"/>
      <c r="V101" s="1491" t="n"/>
      <c r="W101" s="1491" t="n"/>
      <c r="X101" s="1491" t="n"/>
      <c r="Y101" s="1491" t="n"/>
      <c r="Z101" s="1427" t="inlineStr">
        <is>
          <t>.</t>
        </is>
      </c>
      <c r="AA101" s="1473">
        <f>IF(AB101&lt;&gt;"",AA100+1,AA100)</f>
        <v/>
      </c>
      <c r="AB101" s="1534" t="inlineStr">
        <is>
          <t>Paris-Zurich</t>
        </is>
      </c>
      <c r="AC101" s="1473">
        <f>IF(AD101&lt;&gt;"",AC100+1,AC100)</f>
        <v/>
      </c>
      <c r="AD101" s="1534" t="n"/>
      <c r="AE101" s="1427" t="inlineStr">
        <is>
          <t>.</t>
        </is>
      </c>
      <c r="AF101" s="1502" t="n">
        <v>97</v>
      </c>
      <c r="AG101" s="1500">
        <f>_xlfn.XLOOKUP(routes[[#This Row],[id]],$AA$5:$AA$300,$AB$5:$AB$300,"-")</f>
        <v/>
      </c>
      <c r="AH101" s="1500">
        <f>_xlfn.XLOOKUP(routes[[#This Row],[route]],routesUniv[route],routesUniv[outbound],"-")</f>
        <v/>
      </c>
      <c r="AI101" s="1500">
        <f>_xlfn.XLOOKUP(routes[[#This Row],[route]],routesUniv[route],routesUniv[inbound],"-")</f>
        <v/>
      </c>
      <c r="AJ101" s="1500">
        <f>_xlfn.XLOOKUP(routes[[#This Row],[route]],routesUniv[route],routesUniv[km],"-")</f>
        <v/>
      </c>
      <c r="AK101" s="1500">
        <f>COUNTIF(INPUT!BT$5:BT$1000,AG101)</f>
        <v/>
      </c>
      <c r="AL101" s="1505">
        <f>routes[[#This Row],[km]]*routes[[#This Row],[rpt]]/1000</f>
        <v/>
      </c>
      <c r="AM101" s="1481" t="inlineStr">
        <is>
          <t>.</t>
        </is>
      </c>
      <c r="AN101" s="1506" t="n"/>
      <c r="AO101" s="1500">
        <f>IF(AD101&lt;&gt;"",AD101,"-")</f>
        <v/>
      </c>
      <c r="AP101" s="1500">
        <f>_xlfn.XLOOKUP(cityRoutes[[#This Row],[city]],ccc[city],ccc[ctry],"-")</f>
        <v/>
      </c>
      <c r="AQ101" s="1500">
        <f>COUNTIF(INPUT!BR$5:BS$1000,AO101)</f>
        <v/>
      </c>
      <c r="AR101" s="1507">
        <f>(SUMIFS(routes[total],routes[outbound],AO101)+SUMIFS(routes[total],routes[inbound],AO101))/2</f>
        <v/>
      </c>
      <c r="AS101" s="1481" t="inlineStr">
        <is>
          <t>.</t>
        </is>
      </c>
      <c r="AT101" s="1491" t="n"/>
      <c r="AU101" s="1491" t="n"/>
      <c r="AV101" s="1491" t="n"/>
      <c r="AW101" s="1491" t="n"/>
      <c r="AX101" s="1491" t="n"/>
      <c r="AY101" s="1491" t="n"/>
      <c r="AZ101" s="1491" t="n"/>
      <c r="BA101" s="1491" t="n"/>
      <c r="BB101" s="1491" t="n"/>
      <c r="BC101" s="1491" t="n"/>
      <c r="BD101" s="1491" t="n"/>
      <c r="BE101" s="1491" t="n"/>
      <c r="BF101" s="1491" t="n"/>
      <c r="BG101" s="1491" t="n"/>
      <c r="BH101" s="1491" t="n"/>
      <c r="BI101" s="1491" t="n"/>
      <c r="BJ101" s="1491" t="n"/>
      <c r="BK101" s="1491" t="n"/>
      <c r="BL101" s="1491" t="n"/>
      <c r="BM101" s="1491" t="n"/>
      <c r="BN101" s="1491" t="n"/>
      <c r="BO101" s="1467" t="n"/>
      <c r="BP101" s="1514" t="n">
        <v>97</v>
      </c>
      <c r="BQ101" s="1513">
        <f>[1]Sheet1!C102</f>
        <v/>
      </c>
      <c r="BR101" s="1515">
        <f>[1]Sheet1!D102</f>
        <v/>
      </c>
      <c r="BS101" s="1513">
        <f>[1]Sheet1!E102</f>
        <v/>
      </c>
      <c r="BT101" s="1515">
        <f>[1]Sheet1!F102</f>
        <v/>
      </c>
      <c r="BU101" s="1516">
        <f>[1]Sheet1!G102</f>
        <v/>
      </c>
      <c r="BV101" s="1513">
        <f>[1]Sheet1!H102</f>
        <v/>
      </c>
      <c r="BW101" s="1467" t="n"/>
      <c r="BX101" s="1491">
        <f>[1]Sheet1!$J102</f>
        <v/>
      </c>
      <c r="BY101" s="1517">
        <f>[1]Sheet1!$K102</f>
        <v/>
      </c>
      <c r="BZ101" s="1517">
        <f>[1]Sheet1!$L102</f>
        <v/>
      </c>
      <c r="CA101" s="1500">
        <f>[1]Sheet1!$M102</f>
        <v/>
      </c>
      <c r="CB101" s="1467" t="n"/>
      <c r="CC101" s="1467" t="n"/>
      <c r="CD101" s="1500" t="n"/>
      <c r="CE101" s="1513" t="n"/>
      <c r="CF101" s="1513" t="n"/>
      <c r="CG101" s="1477" t="n"/>
      <c r="CH101" s="1513" t="n"/>
      <c r="CI101" s="1513" t="n"/>
      <c r="CJ101" s="1500" t="n"/>
      <c r="CK101" s="1477" t="n"/>
      <c r="CL101" s="1521" t="n">
        <v>97</v>
      </c>
      <c r="CM101" s="1513" t="inlineStr">
        <is>
          <t>Orlando-NYC</t>
        </is>
      </c>
      <c r="CN101" s="1513" t="inlineStr">
        <is>
          <t>Orlando</t>
        </is>
      </c>
      <c r="CO101" s="1513" t="inlineStr">
        <is>
          <t>NYC</t>
        </is>
      </c>
      <c r="CP101" s="1514" t="n">
        <v>1500</v>
      </c>
      <c r="CQ101" s="1477" t="n"/>
      <c r="CR101" s="1491" t="n"/>
      <c r="CS101" s="1491" t="n"/>
      <c r="CT101" s="1491" t="n"/>
      <c r="CU101" s="1491" t="n"/>
      <c r="CV101" s="1491" t="n"/>
      <c r="CW101" s="1491" t="n"/>
      <c r="CX101" s="1491" t="n"/>
    </row>
    <row r="102">
      <c r="A102" s="1491" t="n"/>
      <c r="B102" s="1491" t="n"/>
      <c r="C102" s="1491" t="n"/>
      <c r="D102" s="1497">
        <f>IF(E102&lt;&gt;"",D101+1,D101)</f>
        <v/>
      </c>
      <c r="E102" s="1497" t="inlineStr">
        <is>
          <t>Petite Venice</t>
        </is>
      </c>
      <c r="F102" s="1535" t="inlineStr">
        <is>
          <t>.</t>
        </is>
      </c>
      <c r="G102" s="1498">
        <f>IF(H102="AIR",0,IF(H101="AIR",G100+1,IF(H102&lt;&gt;"",G101+1,G101)))</f>
        <v/>
      </c>
      <c r="H102" s="1498" t="inlineStr">
        <is>
          <t>Basel</t>
        </is>
      </c>
      <c r="I102" s="1427" t="inlineStr">
        <is>
          <t>.</t>
        </is>
      </c>
      <c r="J102" s="1499" t="n">
        <v>97</v>
      </c>
      <c r="K102" s="1500">
        <f>_xlfn.XLOOKUP(cities[[#This Row],[id]],$D$5:$D$1500,E$5:E$1500,"-")</f>
        <v/>
      </c>
      <c r="L102" s="1500">
        <f>_xlfn.XLOOKUP(cities[[#This Row],[city]],ccc[city],ccc[ctry],"-")</f>
        <v/>
      </c>
      <c r="M102" s="1500">
        <f>SUMIFS(stayCity[stay],stayCity[city],cities[[#This Row],[city]])</f>
        <v/>
      </c>
      <c r="N102" s="1427">
        <f>N101+1</f>
        <v/>
      </c>
      <c r="O102" s="1500" t="n"/>
      <c r="P102" s="1500" t="n"/>
      <c r="Q102" s="1427" t="inlineStr">
        <is>
          <t>.</t>
        </is>
      </c>
      <c r="R102" s="1491" t="n"/>
      <c r="S102" s="1491" t="n"/>
      <c r="T102" s="1491" t="n"/>
      <c r="U102" s="1491" t="n"/>
      <c r="V102" s="1491" t="n"/>
      <c r="W102" s="1491" t="n"/>
      <c r="X102" s="1491" t="n"/>
      <c r="Y102" s="1491" t="n"/>
      <c r="Z102" s="1427" t="inlineStr">
        <is>
          <t>.</t>
        </is>
      </c>
      <c r="AA102" s="1473">
        <f>IF(AB102&lt;&gt;"",AA101+1,AA101)</f>
        <v/>
      </c>
      <c r="AB102" s="1534" t="inlineStr">
        <is>
          <t>Zurich-SP</t>
        </is>
      </c>
      <c r="AC102" s="1473">
        <f>IF(AD102&lt;&gt;"",AC101+1,AC101)</f>
        <v/>
      </c>
      <c r="AD102" s="1534" t="n"/>
      <c r="AE102" s="1427" t="inlineStr">
        <is>
          <t>.</t>
        </is>
      </c>
      <c r="AF102" s="1502" t="n">
        <v>98</v>
      </c>
      <c r="AG102" s="1500">
        <f>_xlfn.XLOOKUP(routes[[#This Row],[id]],$AA$5:$AA$300,$AB$5:$AB$300,"-")</f>
        <v/>
      </c>
      <c r="AH102" s="1500">
        <f>_xlfn.XLOOKUP(routes[[#This Row],[route]],routesUniv[route],routesUniv[outbound],"-")</f>
        <v/>
      </c>
      <c r="AI102" s="1500">
        <f>_xlfn.XLOOKUP(routes[[#This Row],[route]],routesUniv[route],routesUniv[inbound],"-")</f>
        <v/>
      </c>
      <c r="AJ102" s="1500">
        <f>_xlfn.XLOOKUP(routes[[#This Row],[route]],routesUniv[route],routesUniv[km],"-")</f>
        <v/>
      </c>
      <c r="AK102" s="1500">
        <f>COUNTIF(INPUT!BT$5:BT$1000,AG102)</f>
        <v/>
      </c>
      <c r="AL102" s="1505">
        <f>routes[[#This Row],[km]]*routes[[#This Row],[rpt]]/1000</f>
        <v/>
      </c>
      <c r="AM102" s="1481" t="inlineStr">
        <is>
          <t>.</t>
        </is>
      </c>
      <c r="AN102" s="1506" t="n"/>
      <c r="AO102" s="1500">
        <f>IF(AD102&lt;&gt;"",AD102,"-")</f>
        <v/>
      </c>
      <c r="AP102" s="1500">
        <f>_xlfn.XLOOKUP(cityRoutes[[#This Row],[city]],ccc[city],ccc[ctry],"-")</f>
        <v/>
      </c>
      <c r="AQ102" s="1500">
        <f>COUNTIF(INPUT!BR$5:BS$1000,AO102)</f>
        <v/>
      </c>
      <c r="AR102" s="1507">
        <f>(SUMIFS(routes[total],routes[outbound],AO102)+SUMIFS(routes[total],routes[inbound],AO102))/2</f>
        <v/>
      </c>
      <c r="AS102" s="1481" t="inlineStr">
        <is>
          <t>.</t>
        </is>
      </c>
      <c r="AT102" s="1491" t="n"/>
      <c r="AU102" s="1491" t="n"/>
      <c r="AV102" s="1491" t="n"/>
      <c r="AW102" s="1491" t="n"/>
      <c r="AX102" s="1491" t="n"/>
      <c r="AY102" s="1491" t="n"/>
      <c r="AZ102" s="1491" t="n"/>
      <c r="BA102" s="1491" t="n"/>
      <c r="BB102" s="1491" t="n"/>
      <c r="BC102" s="1491" t="n"/>
      <c r="BD102" s="1491" t="n"/>
      <c r="BE102" s="1491" t="n"/>
      <c r="BF102" s="1491" t="n"/>
      <c r="BG102" s="1491" t="n"/>
      <c r="BH102" s="1491" t="n"/>
      <c r="BI102" s="1491" t="n"/>
      <c r="BJ102" s="1491" t="n"/>
      <c r="BK102" s="1491" t="n"/>
      <c r="BL102" s="1491" t="n"/>
      <c r="BM102" s="1491" t="n"/>
      <c r="BN102" s="1491" t="n"/>
      <c r="BO102" s="1467" t="n"/>
      <c r="BP102" s="1514" t="n">
        <v>98</v>
      </c>
      <c r="BQ102" s="1513">
        <f>[1]Sheet1!C103</f>
        <v/>
      </c>
      <c r="BR102" s="1515">
        <f>[1]Sheet1!D103</f>
        <v/>
      </c>
      <c r="BS102" s="1513">
        <f>[1]Sheet1!E103</f>
        <v/>
      </c>
      <c r="BT102" s="1515">
        <f>[1]Sheet1!F103</f>
        <v/>
      </c>
      <c r="BU102" s="1516">
        <f>[1]Sheet1!G103</f>
        <v/>
      </c>
      <c r="BV102" s="1513">
        <f>[1]Sheet1!H103</f>
        <v/>
      </c>
      <c r="BW102" s="1467" t="n"/>
      <c r="BX102" s="1491">
        <f>[1]Sheet1!$J103</f>
        <v/>
      </c>
      <c r="BY102" s="1517">
        <f>[1]Sheet1!$K103</f>
        <v/>
      </c>
      <c r="BZ102" s="1517">
        <f>[1]Sheet1!$L103</f>
        <v/>
      </c>
      <c r="CA102" s="1500">
        <f>[1]Sheet1!$M103</f>
        <v/>
      </c>
      <c r="CB102" s="1467" t="n"/>
      <c r="CC102" s="1467" t="n"/>
      <c r="CD102" s="1500" t="n"/>
      <c r="CE102" s="1513" t="n"/>
      <c r="CF102" s="1513" t="n"/>
      <c r="CG102" s="1477" t="n"/>
      <c r="CH102" s="1513" t="n"/>
      <c r="CI102" s="1513" t="n"/>
      <c r="CJ102" s="1500" t="n"/>
      <c r="CK102" s="1477" t="n"/>
      <c r="CL102" s="1521" t="n">
        <v>98</v>
      </c>
      <c r="CM102" s="1513" t="inlineStr">
        <is>
          <t>Panama-Montreal</t>
        </is>
      </c>
      <c r="CN102" s="1513" t="inlineStr">
        <is>
          <t>Panama</t>
        </is>
      </c>
      <c r="CO102" s="1513" t="inlineStr">
        <is>
          <t>Montreal</t>
        </is>
      </c>
      <c r="CP102" s="1514" t="n">
        <v>4100</v>
      </c>
      <c r="CQ102" s="1477" t="n"/>
      <c r="CR102" s="1491" t="n"/>
      <c r="CS102" s="1491" t="n"/>
      <c r="CT102" s="1491" t="n"/>
      <c r="CU102" s="1491" t="n"/>
      <c r="CV102" s="1491" t="n"/>
      <c r="CW102" s="1491" t="n"/>
      <c r="CX102" s="1491" t="n"/>
    </row>
    <row r="103">
      <c r="A103" s="1491" t="n"/>
      <c r="B103" s="1491" t="n"/>
      <c r="C103" s="1491" t="n"/>
      <c r="D103" s="1497">
        <f>IF(E103&lt;&gt;"",D102+1,D102)</f>
        <v/>
      </c>
      <c r="E103" s="1497" t="inlineStr">
        <is>
          <t>Barr</t>
        </is>
      </c>
      <c r="F103" s="1535" t="inlineStr">
        <is>
          <t>.</t>
        </is>
      </c>
      <c r="G103" s="1498">
        <f>IF(H103="AIR",0,IF(H102="AIR",G101+1,IF(H103&lt;&gt;"",G102+1,G102)))</f>
        <v/>
      </c>
      <c r="H103" s="1498" t="inlineStr">
        <is>
          <t>Colmar</t>
        </is>
      </c>
      <c r="I103" s="1427" t="inlineStr">
        <is>
          <t>.</t>
        </is>
      </c>
      <c r="J103" s="1499" t="n">
        <v>98</v>
      </c>
      <c r="K103" s="1500">
        <f>_xlfn.XLOOKUP(cities[[#This Row],[id]],$D$5:$D$1500,E$5:E$1500,"-")</f>
        <v/>
      </c>
      <c r="L103" s="1500">
        <f>_xlfn.XLOOKUP(cities[[#This Row],[city]],ccc[city],ccc[ctry],"-")</f>
        <v/>
      </c>
      <c r="M103" s="1500">
        <f>SUMIFS(stayCity[stay],stayCity[city],cities[[#This Row],[city]])</f>
        <v/>
      </c>
      <c r="N103" s="1427">
        <f>N102+1</f>
        <v/>
      </c>
      <c r="O103" s="1500" t="n"/>
      <c r="P103" s="1500" t="n"/>
      <c r="Q103" s="1427" t="inlineStr">
        <is>
          <t>.</t>
        </is>
      </c>
      <c r="R103" s="1491" t="n"/>
      <c r="S103" s="1491" t="n"/>
      <c r="T103" s="1491" t="n"/>
      <c r="U103" s="1491" t="n"/>
      <c r="V103" s="1491" t="n"/>
      <c r="W103" s="1491" t="n"/>
      <c r="X103" s="1491" t="n"/>
      <c r="Y103" s="1491" t="n"/>
      <c r="Z103" s="1427" t="inlineStr">
        <is>
          <t>.</t>
        </is>
      </c>
      <c r="AA103" s="1473">
        <f>IF(AB103&lt;&gt;"",AA102+1,AA102)</f>
        <v/>
      </c>
      <c r="AB103" s="1534" t="inlineStr">
        <is>
          <t>SP-Mexico City</t>
        </is>
      </c>
      <c r="AC103" s="1473">
        <f>IF(AD103&lt;&gt;"",AC102+1,AC102)</f>
        <v/>
      </c>
      <c r="AD103" s="1534" t="n"/>
      <c r="AE103" s="1427" t="inlineStr">
        <is>
          <t>.</t>
        </is>
      </c>
      <c r="AF103" s="1502" t="n">
        <v>99</v>
      </c>
      <c r="AG103" s="1500">
        <f>_xlfn.XLOOKUP(routes[[#This Row],[id]],$AA$5:$AA$300,$AB$5:$AB$300,"-")</f>
        <v/>
      </c>
      <c r="AH103" s="1500">
        <f>_xlfn.XLOOKUP(routes[[#This Row],[route]],routesUniv[route],routesUniv[outbound],"-")</f>
        <v/>
      </c>
      <c r="AI103" s="1500">
        <f>_xlfn.XLOOKUP(routes[[#This Row],[route]],routesUniv[route],routesUniv[inbound],"-")</f>
        <v/>
      </c>
      <c r="AJ103" s="1500">
        <f>_xlfn.XLOOKUP(routes[[#This Row],[route]],routesUniv[route],routesUniv[km],"-")</f>
        <v/>
      </c>
      <c r="AK103" s="1500">
        <f>COUNTIF(INPUT!BT$5:BT$1000,AG103)</f>
        <v/>
      </c>
      <c r="AL103" s="1505">
        <f>routes[[#This Row],[km]]*routes[[#This Row],[rpt]]/1000</f>
        <v/>
      </c>
      <c r="AM103" s="1481" t="inlineStr">
        <is>
          <t>.</t>
        </is>
      </c>
      <c r="AN103" s="1506" t="n"/>
      <c r="AO103" s="1500">
        <f>IF(AD103&lt;&gt;"",AD103,"-")</f>
        <v/>
      </c>
      <c r="AP103" s="1500">
        <f>_xlfn.XLOOKUP(cityRoutes[[#This Row],[city]],ccc[city],ccc[ctry],"-")</f>
        <v/>
      </c>
      <c r="AQ103" s="1500">
        <f>COUNTIF(INPUT!BR$5:BS$1000,AO103)</f>
        <v/>
      </c>
      <c r="AR103" s="1507">
        <f>(SUMIFS(routes[total],routes[outbound],AO103)+SUMIFS(routes[total],routes[inbound],AO103))/2</f>
        <v/>
      </c>
      <c r="AS103" s="1481" t="inlineStr">
        <is>
          <t>.</t>
        </is>
      </c>
      <c r="AT103" s="1491" t="n"/>
      <c r="AU103" s="1491" t="n"/>
      <c r="AV103" s="1491" t="n"/>
      <c r="AW103" s="1491" t="n"/>
      <c r="AX103" s="1491" t="n"/>
      <c r="AY103" s="1491" t="n"/>
      <c r="AZ103" s="1491" t="n"/>
      <c r="BA103" s="1491" t="n"/>
      <c r="BB103" s="1491" t="n"/>
      <c r="BC103" s="1491" t="n"/>
      <c r="BD103" s="1491" t="n"/>
      <c r="BE103" s="1491" t="n"/>
      <c r="BF103" s="1491" t="n"/>
      <c r="BG103" s="1491" t="n"/>
      <c r="BH103" s="1491" t="n"/>
      <c r="BI103" s="1491" t="n"/>
      <c r="BJ103" s="1491" t="n"/>
      <c r="BK103" s="1491" t="n"/>
      <c r="BL103" s="1491" t="n"/>
      <c r="BM103" s="1491" t="n"/>
      <c r="BN103" s="1491" t="n"/>
      <c r="BO103" s="1467" t="n"/>
      <c r="BP103" s="1514" t="n">
        <v>99</v>
      </c>
      <c r="BQ103" s="1513">
        <f>[1]Sheet1!C104</f>
        <v/>
      </c>
      <c r="BR103" s="1515">
        <f>[1]Sheet1!D104</f>
        <v/>
      </c>
      <c r="BS103" s="1513">
        <f>[1]Sheet1!E104</f>
        <v/>
      </c>
      <c r="BT103" s="1515">
        <f>[1]Sheet1!F104</f>
        <v/>
      </c>
      <c r="BU103" s="1516">
        <f>[1]Sheet1!G104</f>
        <v/>
      </c>
      <c r="BV103" s="1513">
        <f>[1]Sheet1!H104</f>
        <v/>
      </c>
      <c r="BW103" s="1467" t="n"/>
      <c r="BX103" s="1491">
        <f>[1]Sheet1!$J104</f>
        <v/>
      </c>
      <c r="BY103" s="1517">
        <f>[1]Sheet1!$K104</f>
        <v/>
      </c>
      <c r="BZ103" s="1517">
        <f>[1]Sheet1!$L104</f>
        <v/>
      </c>
      <c r="CA103" s="1500">
        <f>[1]Sheet1!$M104</f>
        <v/>
      </c>
      <c r="CB103" s="1467" t="n"/>
      <c r="CC103" s="1467" t="n"/>
      <c r="CD103" s="1500" t="n"/>
      <c r="CE103" s="1513" t="n"/>
      <c r="CF103" s="1513" t="n"/>
      <c r="CG103" s="1477" t="n"/>
      <c r="CH103" s="1513" t="n"/>
      <c r="CI103" s="1513" t="n"/>
      <c r="CJ103" s="1500" t="n"/>
      <c r="CK103" s="1477" t="n"/>
      <c r="CL103" s="1521" t="n">
        <v>99</v>
      </c>
      <c r="CM103" s="1513" t="inlineStr">
        <is>
          <t>Panama-SSA</t>
        </is>
      </c>
      <c r="CN103" s="1513" t="inlineStr">
        <is>
          <t>Panama</t>
        </is>
      </c>
      <c r="CO103" s="1513" t="inlineStr">
        <is>
          <t>SSA</t>
        </is>
      </c>
      <c r="CP103" s="1514" t="n">
        <v>5100</v>
      </c>
      <c r="CQ103" s="1477" t="n"/>
      <c r="CR103" s="1491" t="n"/>
      <c r="CS103" s="1491" t="n"/>
      <c r="CT103" s="1491" t="n"/>
      <c r="CU103" s="1491" t="n"/>
      <c r="CV103" s="1491" t="n"/>
      <c r="CW103" s="1491" t="n"/>
      <c r="CX103" s="1491" t="n"/>
    </row>
    <row r="104">
      <c r="A104" s="1491" t="n"/>
      <c r="B104" s="1491" t="n"/>
      <c r="C104" s="1491" t="n"/>
      <c r="D104" s="1497">
        <f>IF(E104&lt;&gt;"",D103+1,D103)</f>
        <v/>
      </c>
      <c r="E104" s="1497" t="inlineStr">
        <is>
          <t>Obermar</t>
        </is>
      </c>
      <c r="F104" s="1535" t="inlineStr">
        <is>
          <t>.</t>
        </is>
      </c>
      <c r="G104" s="1498">
        <f>IF(H104="AIR",0,IF(H103="AIR",G102+1,IF(H104&lt;&gt;"",G103+1,G103)))</f>
        <v/>
      </c>
      <c r="H104" s="1498" t="inlineStr">
        <is>
          <t>Petite Venice</t>
        </is>
      </c>
      <c r="I104" s="1427" t="inlineStr">
        <is>
          <t>.</t>
        </is>
      </c>
      <c r="J104" s="1499" t="n">
        <v>99</v>
      </c>
      <c r="K104" s="1500">
        <f>_xlfn.XLOOKUP(cities[[#This Row],[id]],$D$5:$D$1500,E$5:E$1500,"-")</f>
        <v/>
      </c>
      <c r="L104" s="1500">
        <f>_xlfn.XLOOKUP(cities[[#This Row],[city]],ccc[city],ccc[ctry],"-")</f>
        <v/>
      </c>
      <c r="M104" s="1500">
        <f>SUMIFS(stayCity[stay],stayCity[city],cities[[#This Row],[city]])</f>
        <v/>
      </c>
      <c r="N104" s="1427">
        <f>N103+1</f>
        <v/>
      </c>
      <c r="O104" s="1500" t="n"/>
      <c r="P104" s="1500" t="n"/>
      <c r="Q104" s="1427" t="inlineStr">
        <is>
          <t>.</t>
        </is>
      </c>
      <c r="R104" s="1491" t="n"/>
      <c r="S104" s="1491" t="n"/>
      <c r="T104" s="1491" t="n"/>
      <c r="U104" s="1491" t="n"/>
      <c r="V104" s="1491" t="n"/>
      <c r="W104" s="1491" t="n"/>
      <c r="X104" s="1491" t="n"/>
      <c r="Y104" s="1491" t="n"/>
      <c r="Z104" s="1427" t="inlineStr">
        <is>
          <t>.</t>
        </is>
      </c>
      <c r="AA104" s="1473">
        <f>IF(AB104&lt;&gt;"",AA103+1,AA103)</f>
        <v/>
      </c>
      <c r="AB104" s="1534" t="inlineStr">
        <is>
          <t>Mexico City-Montreal</t>
        </is>
      </c>
      <c r="AC104" s="1473">
        <f>IF(AD104&lt;&gt;"",AC103+1,AC103)</f>
        <v/>
      </c>
      <c r="AD104" s="1534" t="n"/>
      <c r="AE104" s="1427" t="inlineStr">
        <is>
          <t>.</t>
        </is>
      </c>
      <c r="AF104" s="1502" t="n">
        <v>100</v>
      </c>
      <c r="AG104" s="1500">
        <f>_xlfn.XLOOKUP(routes[[#This Row],[id]],$AA$5:$AA$300,$AB$5:$AB$300,"-")</f>
        <v/>
      </c>
      <c r="AH104" s="1500">
        <f>_xlfn.XLOOKUP(routes[[#This Row],[route]],routesUniv[route],routesUniv[outbound],"-")</f>
        <v/>
      </c>
      <c r="AI104" s="1500">
        <f>_xlfn.XLOOKUP(routes[[#This Row],[route]],routesUniv[route],routesUniv[inbound],"-")</f>
        <v/>
      </c>
      <c r="AJ104" s="1500">
        <f>_xlfn.XLOOKUP(routes[[#This Row],[route]],routesUniv[route],routesUniv[km],"-")</f>
        <v/>
      </c>
      <c r="AK104" s="1500">
        <f>COUNTIF(INPUT!BT$5:BT$1000,AG104)</f>
        <v/>
      </c>
      <c r="AL104" s="1505">
        <f>routes[[#This Row],[km]]*routes[[#This Row],[rpt]]/1000</f>
        <v/>
      </c>
      <c r="AM104" s="1481" t="inlineStr">
        <is>
          <t>.</t>
        </is>
      </c>
      <c r="AN104" s="1506" t="n"/>
      <c r="AO104" s="1500">
        <f>IF(AD104&lt;&gt;"",AD104,"-")</f>
        <v/>
      </c>
      <c r="AP104" s="1500">
        <f>_xlfn.XLOOKUP(cityRoutes[[#This Row],[city]],ccc[city],ccc[ctry],"-")</f>
        <v/>
      </c>
      <c r="AQ104" s="1500">
        <f>COUNTIF(INPUT!BR$5:BS$1000,AO104)</f>
        <v/>
      </c>
      <c r="AR104" s="1507">
        <f>(SUMIFS(routes[total],routes[outbound],AO104)+SUMIFS(routes[total],routes[inbound],AO104))/2</f>
        <v/>
      </c>
      <c r="AS104" s="1481" t="inlineStr">
        <is>
          <t>.</t>
        </is>
      </c>
      <c r="AT104" s="1491" t="n"/>
      <c r="AU104" s="1491" t="n"/>
      <c r="AV104" s="1491" t="n"/>
      <c r="AW104" s="1491" t="n"/>
      <c r="AX104" s="1491" t="n"/>
      <c r="AY104" s="1491" t="n"/>
      <c r="AZ104" s="1491" t="n"/>
      <c r="BA104" s="1491" t="n"/>
      <c r="BB104" s="1491" t="n"/>
      <c r="BC104" s="1491" t="n"/>
      <c r="BD104" s="1491" t="n"/>
      <c r="BE104" s="1491" t="n"/>
      <c r="BF104" s="1491" t="n"/>
      <c r="BG104" s="1491" t="n"/>
      <c r="BH104" s="1491" t="n"/>
      <c r="BI104" s="1491" t="n"/>
      <c r="BJ104" s="1491" t="n"/>
      <c r="BK104" s="1491" t="n"/>
      <c r="BL104" s="1491" t="n"/>
      <c r="BM104" s="1491" t="n"/>
      <c r="BN104" s="1491" t="n"/>
      <c r="BO104" s="1467" t="n"/>
      <c r="BP104" s="1514" t="n">
        <v>100</v>
      </c>
      <c r="BQ104" s="1513">
        <f>[1]Sheet1!C105</f>
        <v/>
      </c>
      <c r="BR104" s="1515">
        <f>[1]Sheet1!D105</f>
        <v/>
      </c>
      <c r="BS104" s="1513">
        <f>[1]Sheet1!E105</f>
        <v/>
      </c>
      <c r="BT104" s="1515">
        <f>[1]Sheet1!F105</f>
        <v/>
      </c>
      <c r="BU104" s="1516">
        <f>[1]Sheet1!G105</f>
        <v/>
      </c>
      <c r="BV104" s="1513">
        <f>[1]Sheet1!H105</f>
        <v/>
      </c>
      <c r="BW104" s="1467" t="n"/>
      <c r="BX104" s="1491">
        <f>[1]Sheet1!$J105</f>
        <v/>
      </c>
      <c r="BY104" s="1517">
        <f>[1]Sheet1!$K105</f>
        <v/>
      </c>
      <c r="BZ104" s="1517">
        <f>[1]Sheet1!$L105</f>
        <v/>
      </c>
      <c r="CA104" s="1500">
        <f>[1]Sheet1!$M105</f>
        <v/>
      </c>
      <c r="CB104" s="1467" t="n"/>
      <c r="CC104" s="1467" t="n"/>
      <c r="CD104" s="1500" t="n"/>
      <c r="CE104" s="1513" t="n"/>
      <c r="CF104" s="1513" t="n"/>
      <c r="CG104" s="1477" t="n"/>
      <c r="CH104" s="1513" t="n"/>
      <c r="CI104" s="1513" t="n"/>
      <c r="CJ104" s="1500" t="n"/>
      <c r="CK104" s="1477" t="n"/>
      <c r="CL104" s="1521" t="n">
        <v>100</v>
      </c>
      <c r="CM104" s="1500" t="inlineStr">
        <is>
          <t>Paris-Bruxelas</t>
        </is>
      </c>
      <c r="CN104" s="1500" t="inlineStr">
        <is>
          <t>Paris</t>
        </is>
      </c>
      <c r="CO104" s="1500" t="inlineStr">
        <is>
          <t>Bruxelas</t>
        </is>
      </c>
      <c r="CP104" s="1514" t="n">
        <v>300</v>
      </c>
      <c r="CQ104" s="1477" t="n"/>
      <c r="CR104" s="1491" t="n"/>
      <c r="CS104" s="1491" t="n"/>
      <c r="CT104" s="1491" t="n"/>
      <c r="CU104" s="1491" t="n"/>
      <c r="CV104" s="1491" t="n"/>
      <c r="CW104" s="1491" t="n"/>
      <c r="CX104" s="1491" t="n"/>
    </row>
    <row r="105">
      <c r="A105" s="1491" t="n"/>
      <c r="B105" s="1491" t="n"/>
      <c r="C105" s="1491" t="n"/>
      <c r="D105" s="1497">
        <f>IF(E105&lt;&gt;"",D104+1,D104)</f>
        <v/>
      </c>
      <c r="E105" s="1497" t="inlineStr">
        <is>
          <t>Strasbourg</t>
        </is>
      </c>
      <c r="F105" s="1535" t="inlineStr">
        <is>
          <t>.</t>
        </is>
      </c>
      <c r="G105" s="1498">
        <f>IF(H105="AIR",0,IF(H104="AIR",G103+1,IF(H105&lt;&gt;"",G104+1,G104)))</f>
        <v/>
      </c>
      <c r="H105" s="1498" t="inlineStr">
        <is>
          <t>Barr</t>
        </is>
      </c>
      <c r="I105" s="1427" t="inlineStr">
        <is>
          <t>.</t>
        </is>
      </c>
      <c r="J105" s="1499" t="n">
        <v>100</v>
      </c>
      <c r="K105" s="1500">
        <f>_xlfn.XLOOKUP(cities[[#This Row],[id]],$D$5:$D$1500,E$5:E$1500,"-")</f>
        <v/>
      </c>
      <c r="L105" s="1500">
        <f>_xlfn.XLOOKUP(cities[[#This Row],[city]],ccc[city],ccc[ctry],"-")</f>
        <v/>
      </c>
      <c r="M105" s="1500">
        <f>SUMIFS(stayCity[stay],stayCity[city],cities[[#This Row],[city]])</f>
        <v/>
      </c>
      <c r="N105" s="1427">
        <f>N104+1</f>
        <v/>
      </c>
      <c r="O105" s="1500" t="n"/>
      <c r="P105" s="1500" t="n"/>
      <c r="Q105" s="1427" t="inlineStr">
        <is>
          <t>.</t>
        </is>
      </c>
      <c r="R105" s="1491" t="n"/>
      <c r="S105" s="1491" t="n"/>
      <c r="T105" s="1491" t="n"/>
      <c r="U105" s="1491" t="n"/>
      <c r="V105" s="1491" t="n"/>
      <c r="W105" s="1491" t="n"/>
      <c r="X105" s="1491" t="n"/>
      <c r="Y105" s="1491" t="n"/>
      <c r="Z105" s="1427" t="inlineStr">
        <is>
          <t>.</t>
        </is>
      </c>
      <c r="AA105" s="1473">
        <f>IF(AB105&lt;&gt;"",AA104+1,AA104)</f>
        <v/>
      </c>
      <c r="AB105" s="1534" t="inlineStr">
        <is>
          <t>Montreal-Mexico City</t>
        </is>
      </c>
      <c r="AC105" s="1473">
        <f>IF(AD105&lt;&gt;"",AC104+1,AC104)</f>
        <v/>
      </c>
      <c r="AD105" s="1534" t="n"/>
      <c r="AE105" s="1427" t="inlineStr">
        <is>
          <t>.</t>
        </is>
      </c>
      <c r="AF105" s="1502" t="n">
        <v>101</v>
      </c>
      <c r="AG105" s="1500">
        <f>_xlfn.XLOOKUP(routes[[#This Row],[id]],$AA$5:$AA$300,$AB$5:$AB$300,"-")</f>
        <v/>
      </c>
      <c r="AH105" s="1500">
        <f>_xlfn.XLOOKUP(routes[[#This Row],[route]],routesUniv[route],routesUniv[outbound],"-")</f>
        <v/>
      </c>
      <c r="AI105" s="1500">
        <f>_xlfn.XLOOKUP(routes[[#This Row],[route]],routesUniv[route],routesUniv[inbound],"-")</f>
        <v/>
      </c>
      <c r="AJ105" s="1500">
        <f>_xlfn.XLOOKUP(routes[[#This Row],[route]],routesUniv[route],routesUniv[km],"-")</f>
        <v/>
      </c>
      <c r="AK105" s="1500">
        <f>COUNTIF(INPUT!BT$5:BT$1000,AG105)</f>
        <v/>
      </c>
      <c r="AL105" s="1505">
        <f>routes[[#This Row],[km]]*routes[[#This Row],[rpt]]/1000</f>
        <v/>
      </c>
      <c r="AM105" s="1481" t="inlineStr">
        <is>
          <t>.</t>
        </is>
      </c>
      <c r="AN105" s="1506" t="n"/>
      <c r="AO105" s="1500">
        <f>IF(AD105&lt;&gt;"",AD105,"-")</f>
        <v/>
      </c>
      <c r="AP105" s="1500">
        <f>_xlfn.XLOOKUP(cityRoutes[[#This Row],[city]],ccc[city],ccc[ctry],"-")</f>
        <v/>
      </c>
      <c r="AQ105" s="1500">
        <f>COUNTIF(INPUT!BR$5:BS$1000,AO105)</f>
        <v/>
      </c>
      <c r="AR105" s="1507">
        <f>(SUMIFS(routes[total],routes[outbound],AO105)+SUMIFS(routes[total],routes[inbound],AO105))/2</f>
        <v/>
      </c>
      <c r="AS105" s="1481" t="inlineStr">
        <is>
          <t>.</t>
        </is>
      </c>
      <c r="AT105" s="1491" t="n"/>
      <c r="AU105" s="1491" t="n"/>
      <c r="AV105" s="1491" t="n"/>
      <c r="AW105" s="1491" t="n"/>
      <c r="AX105" s="1491" t="n"/>
      <c r="AY105" s="1491" t="n"/>
      <c r="AZ105" s="1491" t="n"/>
      <c r="BA105" s="1491" t="n"/>
      <c r="BB105" s="1491" t="n"/>
      <c r="BC105" s="1491" t="n"/>
      <c r="BD105" s="1491" t="n"/>
      <c r="BE105" s="1491" t="n"/>
      <c r="BF105" s="1491" t="n"/>
      <c r="BG105" s="1491" t="n"/>
      <c r="BH105" s="1491" t="n"/>
      <c r="BI105" s="1491" t="n"/>
      <c r="BJ105" s="1491" t="n"/>
      <c r="BK105" s="1491" t="n"/>
      <c r="BL105" s="1491" t="n"/>
      <c r="BM105" s="1491" t="n"/>
      <c r="BN105" s="1491" t="n"/>
      <c r="BO105" s="1467" t="n"/>
      <c r="BP105" s="1514" t="n">
        <v>101</v>
      </c>
      <c r="BQ105" s="1513">
        <f>[1]Sheet1!C106</f>
        <v/>
      </c>
      <c r="BR105" s="1515">
        <f>[1]Sheet1!D106</f>
        <v/>
      </c>
      <c r="BS105" s="1513">
        <f>[1]Sheet1!E106</f>
        <v/>
      </c>
      <c r="BT105" s="1515">
        <f>[1]Sheet1!F106</f>
        <v/>
      </c>
      <c r="BU105" s="1516">
        <f>[1]Sheet1!G106</f>
        <v/>
      </c>
      <c r="BV105" s="1513">
        <f>[1]Sheet1!H106</f>
        <v/>
      </c>
      <c r="BW105" s="1467" t="n"/>
      <c r="BX105" s="1491">
        <f>[1]Sheet1!$J106</f>
        <v/>
      </c>
      <c r="BY105" s="1517">
        <f>[1]Sheet1!$K106</f>
        <v/>
      </c>
      <c r="BZ105" s="1517">
        <f>[1]Sheet1!$L106</f>
        <v/>
      </c>
      <c r="CA105" s="1500">
        <f>[1]Sheet1!$M106</f>
        <v/>
      </c>
      <c r="CB105" s="1467" t="n"/>
      <c r="CC105" s="1467" t="n"/>
      <c r="CD105" s="1500" t="n"/>
      <c r="CE105" s="1513" t="n"/>
      <c r="CF105" s="1513" t="n"/>
      <c r="CG105" s="1477" t="n"/>
      <c r="CH105" s="1513" t="n"/>
      <c r="CI105" s="1513" t="n"/>
      <c r="CJ105" s="1500" t="n"/>
      <c r="CK105" s="1477" t="n"/>
      <c r="CL105" s="1521" t="n">
        <v>101</v>
      </c>
      <c r="CM105" s="1500" t="inlineStr">
        <is>
          <t>Paris-Frankfurt</t>
        </is>
      </c>
      <c r="CN105" s="1500" t="inlineStr">
        <is>
          <t>Paris</t>
        </is>
      </c>
      <c r="CO105" s="1500" t="inlineStr">
        <is>
          <t>Frankfurt</t>
        </is>
      </c>
      <c r="CP105" s="1514" t="n">
        <v>500</v>
      </c>
      <c r="CQ105" s="1477" t="n"/>
      <c r="CR105" s="1491" t="n"/>
      <c r="CS105" s="1491" t="n"/>
      <c r="CT105" s="1491" t="n"/>
      <c r="CU105" s="1491" t="n"/>
      <c r="CV105" s="1491" t="n"/>
      <c r="CW105" s="1491" t="n"/>
      <c r="CX105" s="1491" t="n"/>
    </row>
    <row r="106">
      <c r="A106" s="1491" t="n"/>
      <c r="B106" s="1491" t="n"/>
      <c r="C106" s="1491" t="n"/>
      <c r="D106" s="1497">
        <f>IF(E106&lt;&gt;"",D105+1,D105)</f>
        <v/>
      </c>
      <c r="E106" s="1497" t="inlineStr">
        <is>
          <t>Lindau</t>
        </is>
      </c>
      <c r="F106" s="1535" t="inlineStr">
        <is>
          <t>.</t>
        </is>
      </c>
      <c r="G106" s="1498">
        <f>IF(H106="AIR",0,IF(H105="AIR",G104+1,IF(H106&lt;&gt;"",G105+1,G105)))</f>
        <v/>
      </c>
      <c r="H106" s="1498" t="inlineStr">
        <is>
          <t>Obermar</t>
        </is>
      </c>
      <c r="I106" s="1427" t="inlineStr">
        <is>
          <t>.</t>
        </is>
      </c>
      <c r="J106" s="1499" t="n">
        <v>101</v>
      </c>
      <c r="K106" s="1500">
        <f>_xlfn.XLOOKUP(cities[[#This Row],[id]],$D$5:$D$1500,E$5:E$1500,"-")</f>
        <v/>
      </c>
      <c r="L106" s="1500">
        <f>_xlfn.XLOOKUP(cities[[#This Row],[city]],ccc[city],ccc[ctry],"-")</f>
        <v/>
      </c>
      <c r="M106" s="1500">
        <f>SUMIFS(stayCity[stay],stayCity[city],cities[[#This Row],[city]])</f>
        <v/>
      </c>
      <c r="N106" s="1427">
        <f>N105+1</f>
        <v/>
      </c>
      <c r="O106" s="1500" t="n"/>
      <c r="P106" s="1500" t="n"/>
      <c r="Q106" s="1427" t="inlineStr">
        <is>
          <t>.</t>
        </is>
      </c>
      <c r="R106" s="1491" t="n"/>
      <c r="S106" s="1491" t="n"/>
      <c r="T106" s="1491" t="n"/>
      <c r="U106" s="1491" t="n"/>
      <c r="V106" s="1491" t="n"/>
      <c r="W106" s="1491" t="n"/>
      <c r="X106" s="1491" t="n"/>
      <c r="Y106" s="1491" t="n"/>
      <c r="Z106" s="1427" t="inlineStr">
        <is>
          <t>.</t>
        </is>
      </c>
      <c r="AA106" s="1473">
        <f>IF(AB106&lt;&gt;"",AA105+1,AA105)</f>
        <v/>
      </c>
      <c r="AB106" s="1534" t="inlineStr">
        <is>
          <t>Mexico City-SP</t>
        </is>
      </c>
      <c r="AC106" s="1473">
        <f>IF(AD106&lt;&gt;"",AC105+1,AC105)</f>
        <v/>
      </c>
      <c r="AD106" s="1534" t="n"/>
      <c r="AE106" s="1427" t="inlineStr">
        <is>
          <t>.</t>
        </is>
      </c>
      <c r="AF106" s="1502" t="n">
        <v>102</v>
      </c>
      <c r="AG106" s="1500">
        <f>_xlfn.XLOOKUP(routes[[#This Row],[id]],$AA$5:$AA$300,$AB$5:$AB$300,"-")</f>
        <v/>
      </c>
      <c r="AH106" s="1500">
        <f>_xlfn.XLOOKUP(routes[[#This Row],[route]],routesUniv[route],routesUniv[outbound],"-")</f>
        <v/>
      </c>
      <c r="AI106" s="1500">
        <f>_xlfn.XLOOKUP(routes[[#This Row],[route]],routesUniv[route],routesUniv[inbound],"-")</f>
        <v/>
      </c>
      <c r="AJ106" s="1500">
        <f>_xlfn.XLOOKUP(routes[[#This Row],[route]],routesUniv[route],routesUniv[km],"-")</f>
        <v/>
      </c>
      <c r="AK106" s="1500">
        <f>COUNTIF(INPUT!BT$5:BT$1000,AG106)</f>
        <v/>
      </c>
      <c r="AL106" s="1505">
        <f>routes[[#This Row],[km]]*routes[[#This Row],[rpt]]/1000</f>
        <v/>
      </c>
      <c r="AM106" s="1481" t="inlineStr">
        <is>
          <t>.</t>
        </is>
      </c>
      <c r="AN106" s="1506" t="n"/>
      <c r="AO106" s="1500">
        <f>IF(AD106&lt;&gt;"",AD106,"-")</f>
        <v/>
      </c>
      <c r="AP106" s="1500">
        <f>_xlfn.XLOOKUP(cityRoutes[[#This Row],[city]],ccc[city],ccc[ctry],"-")</f>
        <v/>
      </c>
      <c r="AQ106" s="1500">
        <f>COUNTIF(INPUT!BR$5:BS$1000,AO106)</f>
        <v/>
      </c>
      <c r="AR106" s="1507">
        <f>(SUMIFS(routes[total],routes[outbound],AO106)+SUMIFS(routes[total],routes[inbound],AO106))/2</f>
        <v/>
      </c>
      <c r="AS106" s="1481" t="inlineStr">
        <is>
          <t>.</t>
        </is>
      </c>
      <c r="AT106" s="1491" t="n"/>
      <c r="AU106" s="1491" t="n"/>
      <c r="AV106" s="1491" t="n"/>
      <c r="AW106" s="1491" t="n"/>
      <c r="AX106" s="1491" t="n"/>
      <c r="AY106" s="1491" t="n"/>
      <c r="AZ106" s="1491" t="n"/>
      <c r="BA106" s="1491" t="n"/>
      <c r="BB106" s="1491" t="n"/>
      <c r="BC106" s="1491" t="n"/>
      <c r="BD106" s="1491" t="n"/>
      <c r="BE106" s="1491" t="n"/>
      <c r="BF106" s="1491" t="n"/>
      <c r="BG106" s="1491" t="n"/>
      <c r="BH106" s="1491" t="n"/>
      <c r="BI106" s="1491" t="n"/>
      <c r="BJ106" s="1491" t="n"/>
      <c r="BK106" s="1491" t="n"/>
      <c r="BL106" s="1491" t="n"/>
      <c r="BM106" s="1491" t="n"/>
      <c r="BN106" s="1491" t="n"/>
      <c r="BO106" s="1467" t="n"/>
      <c r="BP106" s="1514" t="n">
        <v>102</v>
      </c>
      <c r="BQ106" s="1513">
        <f>[1]Sheet1!C107</f>
        <v/>
      </c>
      <c r="BR106" s="1515">
        <f>[1]Sheet1!D107</f>
        <v/>
      </c>
      <c r="BS106" s="1513">
        <f>[1]Sheet1!E107</f>
        <v/>
      </c>
      <c r="BT106" s="1515">
        <f>[1]Sheet1!F107</f>
        <v/>
      </c>
      <c r="BU106" s="1516">
        <f>[1]Sheet1!G107</f>
        <v/>
      </c>
      <c r="BV106" s="1513">
        <f>[1]Sheet1!H107</f>
        <v/>
      </c>
      <c r="BW106" s="1467" t="n"/>
      <c r="BX106" s="1491">
        <f>[1]Sheet1!$J107</f>
        <v/>
      </c>
      <c r="BY106" s="1517">
        <f>[1]Sheet1!$K107</f>
        <v/>
      </c>
      <c r="BZ106" s="1517">
        <f>[1]Sheet1!$L107</f>
        <v/>
      </c>
      <c r="CA106" s="1500">
        <f>[1]Sheet1!$M107</f>
        <v/>
      </c>
      <c r="CB106" s="1467" t="n"/>
      <c r="CC106" s="1467" t="n"/>
      <c r="CD106" s="1491" t="n"/>
      <c r="CE106" s="1491" t="n"/>
      <c r="CF106" s="1491" t="n"/>
      <c r="CG106" s="1491" t="n"/>
      <c r="CH106" s="1491" t="n"/>
      <c r="CI106" s="1491" t="n"/>
      <c r="CJ106" s="1491" t="n"/>
      <c r="CK106" s="1435" t="n"/>
      <c r="CL106" s="1521" t="n">
        <v>102</v>
      </c>
      <c r="CM106" s="1513" t="inlineStr">
        <is>
          <t>Paris-Lisbon</t>
        </is>
      </c>
      <c r="CN106" s="1513" t="inlineStr">
        <is>
          <t>Paris</t>
        </is>
      </c>
      <c r="CO106" s="1513" t="inlineStr">
        <is>
          <t>Lisbon</t>
        </is>
      </c>
      <c r="CP106" s="1514" t="n">
        <v>1500</v>
      </c>
      <c r="CQ106" s="1435" t="n"/>
      <c r="CR106" s="1491" t="n"/>
      <c r="CS106" s="1491" t="n"/>
      <c r="CT106" s="1491" t="n"/>
      <c r="CU106" s="1491" t="n"/>
      <c r="CV106" s="1491" t="n"/>
      <c r="CW106" s="1491" t="n"/>
      <c r="CX106" s="1491" t="n"/>
    </row>
    <row r="107">
      <c r="A107" s="1491" t="n"/>
      <c r="B107" s="1491" t="n"/>
      <c r="C107" s="1491" t="n"/>
      <c r="D107" s="1497">
        <f>IF(E107&lt;&gt;"",D106+1,D106)</f>
        <v/>
      </c>
      <c r="E107" s="1497" t="inlineStr">
        <is>
          <t>Insbruck</t>
        </is>
      </c>
      <c r="F107" s="1535" t="inlineStr">
        <is>
          <t>.</t>
        </is>
      </c>
      <c r="G107" s="1498">
        <f>IF(H107="AIR",0,IF(H106="AIR",G105+1,IF(H107&lt;&gt;"",G106+1,G106)))</f>
        <v/>
      </c>
      <c r="H107" s="1498" t="inlineStr">
        <is>
          <t>Strasbourg</t>
        </is>
      </c>
      <c r="I107" s="1427" t="inlineStr">
        <is>
          <t>.</t>
        </is>
      </c>
      <c r="J107" s="1499" t="n">
        <v>102</v>
      </c>
      <c r="K107" s="1500">
        <f>_xlfn.XLOOKUP(cities[[#This Row],[id]],$D$5:$D$1500,E$5:E$1500,"-")</f>
        <v/>
      </c>
      <c r="L107" s="1500">
        <f>_xlfn.XLOOKUP(cities[[#This Row],[city]],ccc[city],ccc[ctry],"-")</f>
        <v/>
      </c>
      <c r="M107" s="1500">
        <f>SUMIFS(stayCity[stay],stayCity[city],cities[[#This Row],[city]])</f>
        <v/>
      </c>
      <c r="N107" s="1427">
        <f>N106+1</f>
        <v/>
      </c>
      <c r="O107" s="1500" t="n"/>
      <c r="P107" s="1500" t="n"/>
      <c r="Q107" s="1427" t="inlineStr">
        <is>
          <t>.</t>
        </is>
      </c>
      <c r="R107" s="1491" t="n"/>
      <c r="S107" s="1491" t="n"/>
      <c r="T107" s="1491" t="n"/>
      <c r="U107" s="1491" t="n"/>
      <c r="V107" s="1491" t="n"/>
      <c r="W107" s="1491" t="n"/>
      <c r="X107" s="1491" t="n"/>
      <c r="Y107" s="1491" t="n"/>
      <c r="Z107" s="1427" t="inlineStr">
        <is>
          <t>.</t>
        </is>
      </c>
      <c r="AA107" s="1473">
        <f>IF(AB107&lt;&gt;"",AA106+1,AA106)</f>
        <v/>
      </c>
      <c r="AB107" s="1534" t="inlineStr">
        <is>
          <t>SSA-BH</t>
        </is>
      </c>
      <c r="AC107" s="1473">
        <f>IF(AD107&lt;&gt;"",AC106+1,AC106)</f>
        <v/>
      </c>
      <c r="AD107" s="1534" t="n"/>
      <c r="AE107" s="1427" t="inlineStr">
        <is>
          <t>.</t>
        </is>
      </c>
      <c r="AF107" s="1502" t="n">
        <v>103</v>
      </c>
      <c r="AG107" s="1500">
        <f>_xlfn.XLOOKUP(routes[[#This Row],[id]],$AA$5:$AA$300,$AB$5:$AB$300,"-")</f>
        <v/>
      </c>
      <c r="AH107" s="1500">
        <f>_xlfn.XLOOKUP(routes[[#This Row],[route]],routesUniv[route],routesUniv[outbound],"-")</f>
        <v/>
      </c>
      <c r="AI107" s="1500">
        <f>_xlfn.XLOOKUP(routes[[#This Row],[route]],routesUniv[route],routesUniv[inbound],"-")</f>
        <v/>
      </c>
      <c r="AJ107" s="1500">
        <f>_xlfn.XLOOKUP(routes[[#This Row],[route]],routesUniv[route],routesUniv[km],"-")</f>
        <v/>
      </c>
      <c r="AK107" s="1500">
        <f>COUNTIF(INPUT!BT$5:BT$1000,AG107)</f>
        <v/>
      </c>
      <c r="AL107" s="1505">
        <f>routes[[#This Row],[km]]*routes[[#This Row],[rpt]]/1000</f>
        <v/>
      </c>
      <c r="AM107" s="1481" t="inlineStr">
        <is>
          <t>.</t>
        </is>
      </c>
      <c r="AN107" s="1506" t="n"/>
      <c r="AO107" s="1500">
        <f>IF(AD107&lt;&gt;"",AD107,"-")</f>
        <v/>
      </c>
      <c r="AP107" s="1500">
        <f>_xlfn.XLOOKUP(cityRoutes[[#This Row],[city]],ccc[city],ccc[ctry],"-")</f>
        <v/>
      </c>
      <c r="AQ107" s="1500">
        <f>COUNTIF(INPUT!BR$5:BS$1000,AO107)</f>
        <v/>
      </c>
      <c r="AR107" s="1507">
        <f>(SUMIFS(routes[total],routes[outbound],AO107)+SUMIFS(routes[total],routes[inbound],AO107))/2</f>
        <v/>
      </c>
      <c r="AS107" s="1481" t="inlineStr">
        <is>
          <t>.</t>
        </is>
      </c>
      <c r="AT107" s="1491" t="n"/>
      <c r="AU107" s="1491" t="n"/>
      <c r="AV107" s="1491" t="n"/>
      <c r="AW107" s="1491" t="n"/>
      <c r="AX107" s="1491" t="n"/>
      <c r="AY107" s="1491" t="n"/>
      <c r="AZ107" s="1491" t="n"/>
      <c r="BA107" s="1491" t="n"/>
      <c r="BB107" s="1491" t="n"/>
      <c r="BC107" s="1491" t="n"/>
      <c r="BD107" s="1491" t="n"/>
      <c r="BE107" s="1491" t="n"/>
      <c r="BF107" s="1491" t="n"/>
      <c r="BG107" s="1491" t="n"/>
      <c r="BH107" s="1491" t="n"/>
      <c r="BI107" s="1491" t="n"/>
      <c r="BJ107" s="1491" t="n"/>
      <c r="BK107" s="1491" t="n"/>
      <c r="BL107" s="1491" t="n"/>
      <c r="BM107" s="1491" t="n"/>
      <c r="BN107" s="1491" t="n"/>
      <c r="BO107" s="1467" t="n"/>
      <c r="BP107" s="1514" t="n">
        <v>103</v>
      </c>
      <c r="BQ107" s="1513">
        <f>[1]Sheet1!C108</f>
        <v/>
      </c>
      <c r="BR107" s="1515">
        <f>[1]Sheet1!D108</f>
        <v/>
      </c>
      <c r="BS107" s="1513">
        <f>[1]Sheet1!E108</f>
        <v/>
      </c>
      <c r="BT107" s="1515">
        <f>[1]Sheet1!F108</f>
        <v/>
      </c>
      <c r="BU107" s="1516">
        <f>[1]Sheet1!G108</f>
        <v/>
      </c>
      <c r="BV107" s="1513">
        <f>[1]Sheet1!H108</f>
        <v/>
      </c>
      <c r="BW107" s="1467" t="n"/>
      <c r="BX107" s="1491">
        <f>[1]Sheet1!$J108</f>
        <v/>
      </c>
      <c r="BY107" s="1517">
        <f>[1]Sheet1!$K108</f>
        <v/>
      </c>
      <c r="BZ107" s="1517">
        <f>[1]Sheet1!$L108</f>
        <v/>
      </c>
      <c r="CA107" s="1500">
        <f>[1]Sheet1!$M108</f>
        <v/>
      </c>
      <c r="CB107" s="1467" t="n"/>
      <c r="CC107" s="1467" t="n"/>
      <c r="CD107" s="1491" t="n"/>
      <c r="CE107" s="1491" t="n"/>
      <c r="CF107" s="1491" t="n"/>
      <c r="CG107" s="1491" t="n"/>
      <c r="CH107" s="1491" t="n"/>
      <c r="CI107" s="1491" t="n"/>
      <c r="CJ107" s="1491" t="n"/>
      <c r="CK107" s="1435" t="n"/>
      <c r="CL107" s="1521" t="n">
        <v>103</v>
      </c>
      <c r="CM107" s="1513" t="inlineStr">
        <is>
          <t>Paris-Marrakech</t>
        </is>
      </c>
      <c r="CN107" s="1513" t="inlineStr">
        <is>
          <t>Paris</t>
        </is>
      </c>
      <c r="CO107" s="1513" t="inlineStr">
        <is>
          <t>Marrakech</t>
        </is>
      </c>
      <c r="CP107" s="1514" t="n">
        <v>2100</v>
      </c>
      <c r="CQ107" s="1435" t="n"/>
      <c r="CR107" s="1491" t="n"/>
      <c r="CS107" s="1491" t="n"/>
      <c r="CT107" s="1491" t="n"/>
      <c r="CU107" s="1491" t="n"/>
      <c r="CV107" s="1491" t="n"/>
      <c r="CW107" s="1491" t="n"/>
      <c r="CX107" s="1491" t="n"/>
    </row>
    <row r="108">
      <c r="A108" s="1491" t="n"/>
      <c r="B108" s="1491" t="n"/>
      <c r="C108" s="1491" t="n"/>
      <c r="D108" s="1497">
        <f>IF(E108&lt;&gt;"",D107+1,D107)</f>
        <v/>
      </c>
      <c r="E108" s="1497" t="inlineStr">
        <is>
          <t>Salzburg</t>
        </is>
      </c>
      <c r="F108" s="1535" t="inlineStr">
        <is>
          <t>.</t>
        </is>
      </c>
      <c r="G108" s="1498">
        <f>IF(H108="AIR",0,IF(H107="AIR",G106+1,IF(H108&lt;&gt;"",G107+1,G107)))</f>
        <v/>
      </c>
      <c r="H108" s="1498" t="inlineStr">
        <is>
          <t>Lindau</t>
        </is>
      </c>
      <c r="I108" s="1427" t="inlineStr">
        <is>
          <t>.</t>
        </is>
      </c>
      <c r="J108" s="1499" t="n">
        <v>103</v>
      </c>
      <c r="K108" s="1500">
        <f>_xlfn.XLOOKUP(cities[[#This Row],[id]],$D$5:$D$1500,E$5:E$1500,"-")</f>
        <v/>
      </c>
      <c r="L108" s="1500">
        <f>_xlfn.XLOOKUP(cities[[#This Row],[city]],ccc[city],ccc[ctry],"-")</f>
        <v/>
      </c>
      <c r="M108" s="1500">
        <f>SUMIFS(stayCity[stay],stayCity[city],cities[[#This Row],[city]])</f>
        <v/>
      </c>
      <c r="N108" s="1427">
        <f>N107+1</f>
        <v/>
      </c>
      <c r="O108" s="1500" t="n"/>
      <c r="P108" s="1500" t="n"/>
      <c r="Q108" s="1427" t="inlineStr">
        <is>
          <t>.</t>
        </is>
      </c>
      <c r="R108" s="1491" t="n"/>
      <c r="S108" s="1491" t="n"/>
      <c r="T108" s="1491" t="n"/>
      <c r="U108" s="1491" t="n"/>
      <c r="V108" s="1491" t="n"/>
      <c r="W108" s="1491" t="n"/>
      <c r="X108" s="1491" t="n"/>
      <c r="Y108" s="1491" t="n"/>
      <c r="Z108" s="1427" t="inlineStr">
        <is>
          <t>.</t>
        </is>
      </c>
      <c r="AA108" s="1473">
        <f>IF(AB108&lt;&gt;"",AA107+1,AA107)</f>
        <v/>
      </c>
      <c r="AB108" s="1534" t="inlineStr">
        <is>
          <t>BH-Miami</t>
        </is>
      </c>
      <c r="AC108" s="1473">
        <f>IF(AD108&lt;&gt;"",AC107+1,AC107)</f>
        <v/>
      </c>
      <c r="AD108" s="1534" t="n"/>
      <c r="AE108" s="1427" t="inlineStr">
        <is>
          <t>.</t>
        </is>
      </c>
      <c r="AF108" s="1502" t="n">
        <v>104</v>
      </c>
      <c r="AG108" s="1500">
        <f>_xlfn.XLOOKUP(routes[[#This Row],[id]],$AA$5:$AA$300,$AB$5:$AB$300,"-")</f>
        <v/>
      </c>
      <c r="AH108" s="1500">
        <f>_xlfn.XLOOKUP(routes[[#This Row],[route]],routesUniv[route],routesUniv[outbound],"-")</f>
        <v/>
      </c>
      <c r="AI108" s="1500">
        <f>_xlfn.XLOOKUP(routes[[#This Row],[route]],routesUniv[route],routesUniv[inbound],"-")</f>
        <v/>
      </c>
      <c r="AJ108" s="1500">
        <f>_xlfn.XLOOKUP(routes[[#This Row],[route]],routesUniv[route],routesUniv[km],"-")</f>
        <v/>
      </c>
      <c r="AK108" s="1500">
        <f>COUNTIF(INPUT!BT$5:BT$1000,AG108)</f>
        <v/>
      </c>
      <c r="AL108" s="1505">
        <f>routes[[#This Row],[km]]*routes[[#This Row],[rpt]]/1000</f>
        <v/>
      </c>
      <c r="AM108" s="1481" t="inlineStr">
        <is>
          <t>.</t>
        </is>
      </c>
      <c r="AN108" s="1506" t="n"/>
      <c r="AO108" s="1500">
        <f>IF(AD108&lt;&gt;"",AD108,"-")</f>
        <v/>
      </c>
      <c r="AP108" s="1500">
        <f>_xlfn.XLOOKUP(cityRoutes[[#This Row],[city]],ccc[city],ccc[ctry],"-")</f>
        <v/>
      </c>
      <c r="AQ108" s="1500">
        <f>COUNTIF(INPUT!BR$5:BS$1000,AO108)</f>
        <v/>
      </c>
      <c r="AR108" s="1507">
        <f>(SUMIFS(routes[total],routes[outbound],AO108)+SUMIFS(routes[total],routes[inbound],AO108))/2</f>
        <v/>
      </c>
      <c r="AS108" s="1481" t="inlineStr">
        <is>
          <t>.</t>
        </is>
      </c>
      <c r="AT108" s="1491" t="n"/>
      <c r="AU108" s="1491" t="n"/>
      <c r="AV108" s="1491" t="n"/>
      <c r="AW108" s="1491" t="n"/>
      <c r="AX108" s="1491" t="n"/>
      <c r="AY108" s="1491" t="n"/>
      <c r="AZ108" s="1491" t="n"/>
      <c r="BA108" s="1491" t="n"/>
      <c r="BB108" s="1491" t="n"/>
      <c r="BC108" s="1491" t="n"/>
      <c r="BD108" s="1491" t="n"/>
      <c r="BE108" s="1491" t="n"/>
      <c r="BF108" s="1491" t="n"/>
      <c r="BG108" s="1491" t="n"/>
      <c r="BH108" s="1491" t="n"/>
      <c r="BI108" s="1491" t="n"/>
      <c r="BJ108" s="1491" t="n"/>
      <c r="BK108" s="1491" t="n"/>
      <c r="BL108" s="1491" t="n"/>
      <c r="BM108" s="1491" t="n"/>
      <c r="BN108" s="1491" t="n"/>
      <c r="BO108" s="1467" t="n"/>
      <c r="BP108" s="1514" t="n">
        <v>104</v>
      </c>
      <c r="BQ108" s="1513">
        <f>[1]Sheet1!C109</f>
        <v/>
      </c>
      <c r="BR108" s="1515">
        <f>[1]Sheet1!D109</f>
        <v/>
      </c>
      <c r="BS108" s="1513">
        <f>[1]Sheet1!E109</f>
        <v/>
      </c>
      <c r="BT108" s="1515">
        <f>[1]Sheet1!F109</f>
        <v/>
      </c>
      <c r="BU108" s="1516">
        <f>[1]Sheet1!G109</f>
        <v/>
      </c>
      <c r="BV108" s="1513">
        <f>[1]Sheet1!H109</f>
        <v/>
      </c>
      <c r="BW108" s="1467" t="n"/>
      <c r="BX108" s="1491">
        <f>[1]Sheet1!$J109</f>
        <v/>
      </c>
      <c r="BY108" s="1517">
        <f>[1]Sheet1!$K109</f>
        <v/>
      </c>
      <c r="BZ108" s="1517">
        <f>[1]Sheet1!$L109</f>
        <v/>
      </c>
      <c r="CA108" s="1500">
        <f>[1]Sheet1!$M109</f>
        <v/>
      </c>
      <c r="CB108" s="1467" t="n"/>
      <c r="CC108" s="1467" t="n"/>
      <c r="CD108" s="1491" t="n"/>
      <c r="CE108" s="1491" t="n"/>
      <c r="CF108" s="1491" t="n"/>
      <c r="CG108" s="1491" t="n"/>
      <c r="CH108" s="1491" t="n"/>
      <c r="CI108" s="1491" t="n"/>
      <c r="CJ108" s="1491" t="n"/>
      <c r="CK108" s="1435" t="n"/>
      <c r="CL108" s="1521" t="n">
        <v>104</v>
      </c>
      <c r="CM108" s="1513" t="inlineStr">
        <is>
          <t>Paris-Milan</t>
        </is>
      </c>
      <c r="CN108" s="1513" t="inlineStr">
        <is>
          <t>Paris</t>
        </is>
      </c>
      <c r="CO108" s="1513" t="inlineStr">
        <is>
          <t>Milan</t>
        </is>
      </c>
      <c r="CP108" s="1514" t="n">
        <v>600</v>
      </c>
      <c r="CQ108" s="1435" t="n"/>
      <c r="CR108" s="1491" t="n"/>
      <c r="CS108" s="1491" t="n"/>
      <c r="CT108" s="1491" t="n"/>
      <c r="CU108" s="1491" t="n"/>
      <c r="CV108" s="1491" t="n"/>
      <c r="CW108" s="1491" t="n"/>
      <c r="CX108" s="1491" t="n"/>
    </row>
    <row r="109">
      <c r="A109" s="1491" t="n"/>
      <c r="B109" s="1491" t="n"/>
      <c r="C109" s="1491" t="n"/>
      <c r="D109" s="1497">
        <f>IF(E109&lt;&gt;"",D108+1,D108)</f>
        <v/>
      </c>
      <c r="E109" s="1497" t="inlineStr">
        <is>
          <t>Viena</t>
        </is>
      </c>
      <c r="F109" s="1535" t="inlineStr">
        <is>
          <t>.</t>
        </is>
      </c>
      <c r="G109" s="1498">
        <f>IF(H109="AIR",0,IF(H108="AIR",G107+1,IF(H109&lt;&gt;"",G108+1,G108)))</f>
        <v/>
      </c>
      <c r="H109" s="1498" t="inlineStr">
        <is>
          <t>Insbruck</t>
        </is>
      </c>
      <c r="I109" s="1427" t="inlineStr">
        <is>
          <t>.</t>
        </is>
      </c>
      <c r="J109" s="1499" t="n">
        <v>104</v>
      </c>
      <c r="K109" s="1500">
        <f>_xlfn.XLOOKUP(cities[[#This Row],[id]],$D$5:$D$1500,E$5:E$1500,"-")</f>
        <v/>
      </c>
      <c r="L109" s="1500">
        <f>_xlfn.XLOOKUP(cities[[#This Row],[city]],ccc[city],ccc[ctry],"-")</f>
        <v/>
      </c>
      <c r="M109" s="1500">
        <f>SUMIFS(stayCity[stay],stayCity[city],cities[[#This Row],[city]])</f>
        <v/>
      </c>
      <c r="N109" s="1427">
        <f>N108+1</f>
        <v/>
      </c>
      <c r="O109" s="1500" t="n"/>
      <c r="P109" s="1500" t="n"/>
      <c r="Q109" s="1427" t="inlineStr">
        <is>
          <t>.</t>
        </is>
      </c>
      <c r="R109" s="1491" t="n"/>
      <c r="S109" s="1491" t="n"/>
      <c r="T109" s="1491" t="n"/>
      <c r="U109" s="1491" t="n"/>
      <c r="V109" s="1491" t="n"/>
      <c r="W109" s="1491" t="n"/>
      <c r="X109" s="1491" t="n"/>
      <c r="Y109" s="1491" t="n"/>
      <c r="Z109" s="1427" t="inlineStr">
        <is>
          <t>.</t>
        </is>
      </c>
      <c r="AA109" s="1473">
        <f>IF(AB109&lt;&gt;"",AA108+1,AA108)</f>
        <v/>
      </c>
      <c r="AB109" s="1534" t="inlineStr">
        <is>
          <t>Miami-Montreal</t>
        </is>
      </c>
      <c r="AC109" s="1473">
        <f>IF(AD109&lt;&gt;"",AC108+1,AC108)</f>
        <v/>
      </c>
      <c r="AD109" s="1534" t="n"/>
      <c r="AE109" s="1427" t="inlineStr">
        <is>
          <t>.</t>
        </is>
      </c>
      <c r="AF109" s="1502" t="n">
        <v>105</v>
      </c>
      <c r="AG109" s="1500">
        <f>_xlfn.XLOOKUP(routes[[#This Row],[id]],$AA$5:$AA$300,$AB$5:$AB$300,"-")</f>
        <v/>
      </c>
      <c r="AH109" s="1500">
        <f>_xlfn.XLOOKUP(routes[[#This Row],[route]],routesUniv[route],routesUniv[outbound],"-")</f>
        <v/>
      </c>
      <c r="AI109" s="1500">
        <f>_xlfn.XLOOKUP(routes[[#This Row],[route]],routesUniv[route],routesUniv[inbound],"-")</f>
        <v/>
      </c>
      <c r="AJ109" s="1500">
        <f>_xlfn.XLOOKUP(routes[[#This Row],[route]],routesUniv[route],routesUniv[km],"-")</f>
        <v/>
      </c>
      <c r="AK109" s="1500">
        <f>COUNTIF(INPUT!BT$5:BT$1000,AG109)</f>
        <v/>
      </c>
      <c r="AL109" s="1505">
        <f>routes[[#This Row],[km]]*routes[[#This Row],[rpt]]/1000</f>
        <v/>
      </c>
      <c r="AM109" s="1481" t="inlineStr">
        <is>
          <t>.</t>
        </is>
      </c>
      <c r="AN109" s="1506" t="n"/>
      <c r="AO109" s="1500">
        <f>IF(AD109&lt;&gt;"",AD109,"-")</f>
        <v/>
      </c>
      <c r="AP109" s="1500">
        <f>_xlfn.XLOOKUP(cityRoutes[[#This Row],[city]],ccc[city],ccc[ctry],"-")</f>
        <v/>
      </c>
      <c r="AQ109" s="1500">
        <f>COUNTIF(INPUT!BR$5:BS$1000,AO109)</f>
        <v/>
      </c>
      <c r="AR109" s="1507">
        <f>(SUMIFS(routes[total],routes[outbound],AO109)+SUMIFS(routes[total],routes[inbound],AO109))/2</f>
        <v/>
      </c>
      <c r="AS109" s="1481" t="inlineStr">
        <is>
          <t>.</t>
        </is>
      </c>
      <c r="AT109" s="1491" t="n"/>
      <c r="AU109" s="1491" t="n"/>
      <c r="AV109" s="1491" t="n"/>
      <c r="AW109" s="1491" t="n"/>
      <c r="AX109" s="1491" t="n"/>
      <c r="AY109" s="1491" t="n"/>
      <c r="AZ109" s="1491" t="n"/>
      <c r="BA109" s="1491" t="n"/>
      <c r="BB109" s="1491" t="n"/>
      <c r="BC109" s="1491" t="n"/>
      <c r="BD109" s="1491" t="n"/>
      <c r="BE109" s="1491" t="n"/>
      <c r="BF109" s="1491" t="n"/>
      <c r="BG109" s="1491" t="n"/>
      <c r="BH109" s="1491" t="n"/>
      <c r="BI109" s="1491" t="n"/>
      <c r="BJ109" s="1491" t="n"/>
      <c r="BK109" s="1491" t="n"/>
      <c r="BL109" s="1491" t="n"/>
      <c r="BM109" s="1491" t="n"/>
      <c r="BN109" s="1491" t="n"/>
      <c r="BO109" s="1467" t="n"/>
      <c r="BP109" s="1514" t="n">
        <v>105</v>
      </c>
      <c r="BQ109" s="1513">
        <f>[1]Sheet1!C110</f>
        <v/>
      </c>
      <c r="BR109" s="1515">
        <f>[1]Sheet1!D110</f>
        <v/>
      </c>
      <c r="BS109" s="1513">
        <f>[1]Sheet1!E110</f>
        <v/>
      </c>
      <c r="BT109" s="1515">
        <f>[1]Sheet1!F110</f>
        <v/>
      </c>
      <c r="BU109" s="1516">
        <f>[1]Sheet1!G110</f>
        <v/>
      </c>
      <c r="BV109" s="1513">
        <f>[1]Sheet1!H110</f>
        <v/>
      </c>
      <c r="BW109" s="1467" t="n"/>
      <c r="BX109" s="1491">
        <f>[1]Sheet1!$J110</f>
        <v/>
      </c>
      <c r="BY109" s="1517">
        <f>[1]Sheet1!$K110</f>
        <v/>
      </c>
      <c r="BZ109" s="1517">
        <f>[1]Sheet1!$L110</f>
        <v/>
      </c>
      <c r="CA109" s="1500">
        <f>[1]Sheet1!$M110</f>
        <v/>
      </c>
      <c r="CB109" s="1467" t="n"/>
      <c r="CC109" s="1467" t="n"/>
      <c r="CD109" s="1491" t="n"/>
      <c r="CE109" s="1491" t="n"/>
      <c r="CF109" s="1491" t="n"/>
      <c r="CG109" s="1491" t="n"/>
      <c r="CH109" s="1491" t="n"/>
      <c r="CI109" s="1491" t="n"/>
      <c r="CJ109" s="1491" t="n"/>
      <c r="CK109" s="1435" t="n"/>
      <c r="CL109" s="1521" t="n">
        <v>172</v>
      </c>
      <c r="CM109" s="1513" t="inlineStr">
        <is>
          <t>Paris-Porto</t>
        </is>
      </c>
      <c r="CN109" s="1513" t="inlineStr">
        <is>
          <t>Paris</t>
        </is>
      </c>
      <c r="CO109" s="1513" t="inlineStr">
        <is>
          <t>Porto</t>
        </is>
      </c>
      <c r="CP109" s="1514" t="n">
        <v>1200</v>
      </c>
      <c r="CQ109" s="1435" t="n"/>
      <c r="CR109" s="1491" t="n"/>
      <c r="CS109" s="1491" t="n"/>
      <c r="CT109" s="1491" t="n"/>
      <c r="CU109" s="1491" t="n"/>
      <c r="CV109" s="1491" t="n"/>
      <c r="CW109" s="1491" t="n"/>
      <c r="CX109" s="1491" t="n"/>
    </row>
    <row r="110">
      <c r="A110" s="1491" t="n"/>
      <c r="B110" s="1491" t="n"/>
      <c r="C110" s="1491" t="n"/>
      <c r="D110" s="1497">
        <f>IF(E110&lt;&gt;"",D109+1,D109)</f>
        <v/>
      </c>
      <c r="E110" s="1497" t="inlineStr">
        <is>
          <t>Budapest</t>
        </is>
      </c>
      <c r="F110" s="1535" t="inlineStr">
        <is>
          <t>.</t>
        </is>
      </c>
      <c r="G110" s="1498">
        <f>IF(H110="AIR",0,IF(H109="AIR",G108+1,IF(H110&lt;&gt;"",G109+1,G109)))</f>
        <v/>
      </c>
      <c r="H110" s="1498" t="inlineStr">
        <is>
          <t>Salzburg</t>
        </is>
      </c>
      <c r="I110" s="1427" t="inlineStr">
        <is>
          <t>.</t>
        </is>
      </c>
      <c r="J110" s="1499" t="n">
        <v>105</v>
      </c>
      <c r="K110" s="1500">
        <f>_xlfn.XLOOKUP(cities[[#This Row],[id]],$D$5:$D$1500,E$5:E$1500,"-")</f>
        <v/>
      </c>
      <c r="L110" s="1500">
        <f>_xlfn.XLOOKUP(cities[[#This Row],[city]],ccc[city],ccc[ctry],"-")</f>
        <v/>
      </c>
      <c r="M110" s="1500">
        <f>SUMIFS(stayCity[stay],stayCity[city],cities[[#This Row],[city]])</f>
        <v/>
      </c>
      <c r="N110" s="1427">
        <f>N109+1</f>
        <v/>
      </c>
      <c r="O110" s="1500" t="n"/>
      <c r="P110" s="1500" t="n"/>
      <c r="Q110" s="1427" t="inlineStr">
        <is>
          <t>.</t>
        </is>
      </c>
      <c r="R110" s="1491" t="n"/>
      <c r="S110" s="1491" t="n"/>
      <c r="T110" s="1491" t="n"/>
      <c r="U110" s="1491" t="n"/>
      <c r="V110" s="1491" t="n"/>
      <c r="W110" s="1491" t="n"/>
      <c r="X110" s="1491" t="n"/>
      <c r="Y110" s="1491" t="n"/>
      <c r="Z110" s="1427" t="inlineStr">
        <is>
          <t>.</t>
        </is>
      </c>
      <c r="AA110" s="1473">
        <f>IF(AB110&lt;&gt;"",AA109+1,AA109)</f>
        <v/>
      </c>
      <c r="AB110" s="1534" t="inlineStr">
        <is>
          <t>Montreal-Orlando</t>
        </is>
      </c>
      <c r="AC110" s="1473">
        <f>IF(AD110&lt;&gt;"",AC109+1,AC109)</f>
        <v/>
      </c>
      <c r="AD110" s="1534" t="n"/>
      <c r="AE110" s="1427" t="inlineStr">
        <is>
          <t>.</t>
        </is>
      </c>
      <c r="AF110" s="1502" t="n">
        <v>106</v>
      </c>
      <c r="AG110" s="1500">
        <f>_xlfn.XLOOKUP(routes[[#This Row],[id]],$AA$5:$AA$300,$AB$5:$AB$300,"-")</f>
        <v/>
      </c>
      <c r="AH110" s="1500">
        <f>_xlfn.XLOOKUP(routes[[#This Row],[route]],routesUniv[route],routesUniv[outbound],"-")</f>
        <v/>
      </c>
      <c r="AI110" s="1500">
        <f>_xlfn.XLOOKUP(routes[[#This Row],[route]],routesUniv[route],routesUniv[inbound],"-")</f>
        <v/>
      </c>
      <c r="AJ110" s="1500">
        <f>_xlfn.XLOOKUP(routes[[#This Row],[route]],routesUniv[route],routesUniv[km],"-")</f>
        <v/>
      </c>
      <c r="AK110" s="1500">
        <f>COUNTIF(INPUT!BT$5:BT$1000,AG110)</f>
        <v/>
      </c>
      <c r="AL110" s="1505">
        <f>routes[[#This Row],[km]]*routes[[#This Row],[rpt]]/1000</f>
        <v/>
      </c>
      <c r="AM110" s="1481" t="inlineStr">
        <is>
          <t>.</t>
        </is>
      </c>
      <c r="AN110" s="1506" t="n"/>
      <c r="AO110" s="1500">
        <f>IF(AD110&lt;&gt;"",AD110,"-")</f>
        <v/>
      </c>
      <c r="AP110" s="1500">
        <f>_xlfn.XLOOKUP(cityRoutes[[#This Row],[city]],ccc[city],ccc[ctry],"-")</f>
        <v/>
      </c>
      <c r="AQ110" s="1500">
        <f>COUNTIF(INPUT!BR$5:BS$1000,AO110)</f>
        <v/>
      </c>
      <c r="AR110" s="1507">
        <f>(SUMIFS(routes[total],routes[outbound],AO110)+SUMIFS(routes[total],routes[inbound],AO110))/2</f>
        <v/>
      </c>
      <c r="AS110" s="1481" t="inlineStr">
        <is>
          <t>.</t>
        </is>
      </c>
      <c r="AT110" s="1491" t="n"/>
      <c r="AU110" s="1491" t="n"/>
      <c r="AV110" s="1491" t="n"/>
      <c r="AW110" s="1491" t="n"/>
      <c r="AX110" s="1491" t="n"/>
      <c r="AY110" s="1491" t="n"/>
      <c r="AZ110" s="1491" t="n"/>
      <c r="BA110" s="1491" t="n"/>
      <c r="BB110" s="1491" t="n"/>
      <c r="BC110" s="1491" t="n"/>
      <c r="BD110" s="1491" t="n"/>
      <c r="BE110" s="1491" t="n"/>
      <c r="BF110" s="1491" t="n"/>
      <c r="BG110" s="1491" t="n"/>
      <c r="BH110" s="1491" t="n"/>
      <c r="BI110" s="1491" t="n"/>
      <c r="BJ110" s="1491" t="n"/>
      <c r="BK110" s="1491" t="n"/>
      <c r="BL110" s="1491" t="n"/>
      <c r="BM110" s="1491" t="n"/>
      <c r="BN110" s="1491" t="n"/>
      <c r="BO110" s="1467" t="n"/>
      <c r="BP110" s="1514" t="n">
        <v>106</v>
      </c>
      <c r="BQ110" s="1513">
        <f>[1]Sheet1!C111</f>
        <v/>
      </c>
      <c r="BR110" s="1515">
        <f>[1]Sheet1!D111</f>
        <v/>
      </c>
      <c r="BS110" s="1513">
        <f>[1]Sheet1!E111</f>
        <v/>
      </c>
      <c r="BT110" s="1515">
        <f>[1]Sheet1!F111</f>
        <v/>
      </c>
      <c r="BU110" s="1516">
        <f>[1]Sheet1!G111</f>
        <v/>
      </c>
      <c r="BV110" s="1513">
        <f>[1]Sheet1!H111</f>
        <v/>
      </c>
      <c r="BW110" s="1467" t="n"/>
      <c r="BX110" s="1491">
        <f>[1]Sheet1!$J111</f>
        <v/>
      </c>
      <c r="BY110" s="1517">
        <f>[1]Sheet1!$K111</f>
        <v/>
      </c>
      <c r="BZ110" s="1517">
        <f>[1]Sheet1!$L111</f>
        <v/>
      </c>
      <c r="CA110" s="1500">
        <f>[1]Sheet1!$M111</f>
        <v/>
      </c>
      <c r="CB110" s="1467" t="n"/>
      <c r="CC110" s="1467" t="n"/>
      <c r="CD110" s="1491" t="n"/>
      <c r="CE110" s="1491" t="n"/>
      <c r="CF110" s="1491" t="n"/>
      <c r="CG110" s="1491" t="n"/>
      <c r="CH110" s="1491" t="n"/>
      <c r="CI110" s="1491" t="n"/>
      <c r="CJ110" s="1491" t="n"/>
      <c r="CK110" s="1435" t="n"/>
      <c r="CL110" s="1521" t="n">
        <v>105</v>
      </c>
      <c r="CM110" s="1500" t="inlineStr">
        <is>
          <t>Paris-Recife</t>
        </is>
      </c>
      <c r="CN110" s="1500" t="inlineStr">
        <is>
          <t>Paris</t>
        </is>
      </c>
      <c r="CO110" s="1500" t="inlineStr">
        <is>
          <t>Recife</t>
        </is>
      </c>
      <c r="CP110" s="1514" t="n">
        <v>7300</v>
      </c>
      <c r="CQ110" s="1435" t="n"/>
      <c r="CR110" s="1491" t="n"/>
      <c r="CS110" s="1491" t="n"/>
      <c r="CT110" s="1491" t="n"/>
      <c r="CU110" s="1491" t="n"/>
      <c r="CV110" s="1491" t="n"/>
      <c r="CW110" s="1491" t="n"/>
      <c r="CX110" s="1491" t="n"/>
    </row>
    <row r="111">
      <c r="A111" s="1491" t="n"/>
      <c r="B111" s="1491" t="n"/>
      <c r="C111" s="1491" t="n"/>
      <c r="D111" s="1497">
        <f>IF(E111&lt;&gt;"",D110+1,D110)</f>
        <v/>
      </c>
      <c r="E111" s="1497" t="inlineStr">
        <is>
          <t>Munich</t>
        </is>
      </c>
      <c r="F111" s="1535" t="inlineStr">
        <is>
          <t>.</t>
        </is>
      </c>
      <c r="G111" s="1498">
        <f>IF(H111="AIR",0,IF(H110="AIR",G109+1,IF(H111&lt;&gt;"",G110+1,G110)))</f>
        <v/>
      </c>
      <c r="H111" s="1498" t="inlineStr">
        <is>
          <t>Viena</t>
        </is>
      </c>
      <c r="I111" s="1427" t="inlineStr">
        <is>
          <t>.</t>
        </is>
      </c>
      <c r="J111" s="1499" t="n">
        <v>106</v>
      </c>
      <c r="K111" s="1500">
        <f>_xlfn.XLOOKUP(cities[[#This Row],[id]],$D$5:$D$1500,E$5:E$1500,"-")</f>
        <v/>
      </c>
      <c r="L111" s="1500">
        <f>_xlfn.XLOOKUP(cities[[#This Row],[city]],ccc[city],ccc[ctry],"-")</f>
        <v/>
      </c>
      <c r="M111" s="1500">
        <f>SUMIFS(stayCity[stay],stayCity[city],cities[[#This Row],[city]])</f>
        <v/>
      </c>
      <c r="N111" s="1427">
        <f>N110+1</f>
        <v/>
      </c>
      <c r="O111" s="1500" t="n"/>
      <c r="P111" s="1500" t="n"/>
      <c r="Q111" s="1427" t="inlineStr">
        <is>
          <t>.</t>
        </is>
      </c>
      <c r="R111" s="1491" t="n"/>
      <c r="S111" s="1491" t="n"/>
      <c r="T111" s="1491" t="n"/>
      <c r="U111" s="1491" t="n"/>
      <c r="V111" s="1491" t="n"/>
      <c r="W111" s="1491" t="n"/>
      <c r="X111" s="1491" t="n"/>
      <c r="Y111" s="1491" t="n"/>
      <c r="Z111" s="1427" t="inlineStr">
        <is>
          <t>.</t>
        </is>
      </c>
      <c r="AA111" s="1473">
        <f>IF(AB111&lt;&gt;"",AA110+1,AA110)</f>
        <v/>
      </c>
      <c r="AB111" s="1534" t="inlineStr">
        <is>
          <t>Orlando-Montreal</t>
        </is>
      </c>
      <c r="AC111" s="1473">
        <f>IF(AD111&lt;&gt;"",AC110+1,AC110)</f>
        <v/>
      </c>
      <c r="AD111" s="1534" t="n"/>
      <c r="AE111" s="1427" t="inlineStr">
        <is>
          <t>.</t>
        </is>
      </c>
      <c r="AF111" s="1502" t="n">
        <v>107</v>
      </c>
      <c r="AG111" s="1500">
        <f>_xlfn.XLOOKUP(routes[[#This Row],[id]],$AA$5:$AA$300,$AB$5:$AB$300,"-")</f>
        <v/>
      </c>
      <c r="AH111" s="1500">
        <f>_xlfn.XLOOKUP(routes[[#This Row],[route]],routesUniv[route],routesUniv[outbound],"-")</f>
        <v/>
      </c>
      <c r="AI111" s="1500">
        <f>_xlfn.XLOOKUP(routes[[#This Row],[route]],routesUniv[route],routesUniv[inbound],"-")</f>
        <v/>
      </c>
      <c r="AJ111" s="1500">
        <f>_xlfn.XLOOKUP(routes[[#This Row],[route]],routesUniv[route],routesUniv[km],"-")</f>
        <v/>
      </c>
      <c r="AK111" s="1500">
        <f>COUNTIF(INPUT!BT$5:BT$1000,AG111)</f>
        <v/>
      </c>
      <c r="AL111" s="1505">
        <f>routes[[#This Row],[km]]*routes[[#This Row],[rpt]]/1000</f>
        <v/>
      </c>
      <c r="AM111" s="1481" t="inlineStr">
        <is>
          <t>.</t>
        </is>
      </c>
      <c r="AN111" s="1506" t="n"/>
      <c r="AO111" s="1500">
        <f>IF(AD111&lt;&gt;"",AD111,"-")</f>
        <v/>
      </c>
      <c r="AP111" s="1500">
        <f>_xlfn.XLOOKUP(cityRoutes[[#This Row],[city]],ccc[city],ccc[ctry],"-")</f>
        <v/>
      </c>
      <c r="AQ111" s="1500">
        <f>COUNTIF(INPUT!BR$5:BS$1000,AO111)</f>
        <v/>
      </c>
      <c r="AR111" s="1507">
        <f>(SUMIFS(routes[total],routes[outbound],AO111)+SUMIFS(routes[total],routes[inbound],AO111))/2</f>
        <v/>
      </c>
      <c r="AS111" s="1481" t="inlineStr">
        <is>
          <t>.</t>
        </is>
      </c>
      <c r="AT111" s="1491" t="n"/>
      <c r="AU111" s="1491" t="n"/>
      <c r="AV111" s="1491" t="n"/>
      <c r="AW111" s="1491" t="n"/>
      <c r="AX111" s="1491" t="n"/>
      <c r="AY111" s="1491" t="n"/>
      <c r="AZ111" s="1491" t="n"/>
      <c r="BA111" s="1491" t="n"/>
      <c r="BB111" s="1491" t="n"/>
      <c r="BC111" s="1491" t="n"/>
      <c r="BD111" s="1491" t="n"/>
      <c r="BE111" s="1491" t="n"/>
      <c r="BF111" s="1491" t="n"/>
      <c r="BG111" s="1491" t="n"/>
      <c r="BH111" s="1491" t="n"/>
      <c r="BI111" s="1491" t="n"/>
      <c r="BJ111" s="1491" t="n"/>
      <c r="BK111" s="1491" t="n"/>
      <c r="BL111" s="1491" t="n"/>
      <c r="BM111" s="1491" t="n"/>
      <c r="BN111" s="1491" t="n"/>
      <c r="BO111" s="1467" t="n"/>
      <c r="BP111" s="1514" t="n">
        <v>107</v>
      </c>
      <c r="BQ111" s="1513">
        <f>[1]Sheet1!C112</f>
        <v/>
      </c>
      <c r="BR111" s="1515">
        <f>[1]Sheet1!D112</f>
        <v/>
      </c>
      <c r="BS111" s="1513">
        <f>[1]Sheet1!E112</f>
        <v/>
      </c>
      <c r="BT111" s="1515">
        <f>[1]Sheet1!F112</f>
        <v/>
      </c>
      <c r="BU111" s="1516">
        <f>[1]Sheet1!G112</f>
        <v/>
      </c>
      <c r="BV111" s="1513">
        <f>[1]Sheet1!H112</f>
        <v/>
      </c>
      <c r="BW111" s="1467" t="n"/>
      <c r="BX111" s="1491">
        <f>[1]Sheet1!$J112</f>
        <v/>
      </c>
      <c r="BY111" s="1517">
        <f>[1]Sheet1!$K112</f>
        <v/>
      </c>
      <c r="BZ111" s="1517">
        <f>[1]Sheet1!$L112</f>
        <v/>
      </c>
      <c r="CA111" s="1500">
        <f>[1]Sheet1!$M112</f>
        <v/>
      </c>
      <c r="CB111" s="1467" t="n"/>
      <c r="CC111" s="1467" t="n"/>
      <c r="CD111" s="1491" t="n"/>
      <c r="CE111" s="1491" t="n"/>
      <c r="CF111" s="1491" t="n"/>
      <c r="CG111" s="1491" t="n"/>
      <c r="CH111" s="1491" t="n"/>
      <c r="CI111" s="1491" t="n"/>
      <c r="CJ111" s="1491" t="n"/>
      <c r="CK111" s="1435" t="n"/>
      <c r="CL111" s="1521" t="n">
        <v>106</v>
      </c>
      <c r="CM111" s="1500" t="inlineStr">
        <is>
          <t>Paris-SSA</t>
        </is>
      </c>
      <c r="CN111" s="1500" t="inlineStr">
        <is>
          <t>Paris</t>
        </is>
      </c>
      <c r="CO111" s="1500" t="inlineStr">
        <is>
          <t>SSA</t>
        </is>
      </c>
      <c r="CP111" s="1514" t="n">
        <v>8000</v>
      </c>
      <c r="CQ111" s="1435" t="n"/>
      <c r="CR111" s="1491" t="n"/>
      <c r="CS111" s="1491" t="n"/>
      <c r="CT111" s="1491" t="n"/>
      <c r="CU111" s="1491" t="n"/>
      <c r="CV111" s="1491" t="n"/>
      <c r="CW111" s="1491" t="n"/>
      <c r="CX111" s="1491" t="n"/>
    </row>
    <row r="112">
      <c r="A112" s="1491" t="n"/>
      <c r="B112" s="1491" t="n"/>
      <c r="C112" s="1491" t="n"/>
      <c r="D112" s="1497">
        <f>IF(E112&lt;&gt;"",D111+1,D111)</f>
        <v/>
      </c>
      <c r="E112" s="1497" t="inlineStr">
        <is>
          <t>Cairo</t>
        </is>
      </c>
      <c r="F112" s="1535" t="inlineStr">
        <is>
          <t>.</t>
        </is>
      </c>
      <c r="G112" s="1498">
        <f>IF(H112="AIR",0,IF(H111="AIR",G110+1,IF(H112&lt;&gt;"",G111+1,G111)))</f>
        <v/>
      </c>
      <c r="H112" s="1498" t="inlineStr">
        <is>
          <t>Budapest</t>
        </is>
      </c>
      <c r="I112" s="1427" t="inlineStr">
        <is>
          <t>.</t>
        </is>
      </c>
      <c r="J112" s="1499" t="n">
        <v>107</v>
      </c>
      <c r="K112" s="1500">
        <f>_xlfn.XLOOKUP(cities[[#This Row],[id]],$D$5:$D$1500,E$5:E$1500,"-")</f>
        <v/>
      </c>
      <c r="L112" s="1500">
        <f>_xlfn.XLOOKUP(cities[[#This Row],[city]],ccc[city],ccc[ctry],"-")</f>
        <v/>
      </c>
      <c r="M112" s="1500">
        <f>SUMIFS(stayCity[stay],stayCity[city],cities[[#This Row],[city]])</f>
        <v/>
      </c>
      <c r="N112" s="1427">
        <f>N111+1</f>
        <v/>
      </c>
      <c r="O112" s="1500" t="n"/>
      <c r="P112" s="1500" t="n"/>
      <c r="Q112" s="1427" t="inlineStr">
        <is>
          <t>.</t>
        </is>
      </c>
      <c r="R112" s="1491" t="n"/>
      <c r="S112" s="1491" t="n"/>
      <c r="T112" s="1491" t="n"/>
      <c r="U112" s="1491" t="n"/>
      <c r="V112" s="1491" t="n"/>
      <c r="W112" s="1491" t="n"/>
      <c r="X112" s="1491" t="n"/>
      <c r="Y112" s="1491" t="n"/>
      <c r="Z112" s="1427" t="inlineStr">
        <is>
          <t>.</t>
        </is>
      </c>
      <c r="AA112" s="1473">
        <f>IF(AB112&lt;&gt;"",AA111+1,AA111)</f>
        <v/>
      </c>
      <c r="AB112" s="1534" t="inlineStr">
        <is>
          <t>Montreal-Detroit</t>
        </is>
      </c>
      <c r="AC112" s="1473">
        <f>IF(AD112&lt;&gt;"",AC111+1,AC111)</f>
        <v/>
      </c>
      <c r="AD112" s="1534" t="n"/>
      <c r="AE112" s="1427" t="inlineStr">
        <is>
          <t>.</t>
        </is>
      </c>
      <c r="AF112" s="1502" t="n">
        <v>108</v>
      </c>
      <c r="AG112" s="1500">
        <f>_xlfn.XLOOKUP(routes[[#This Row],[id]],$AA$5:$AA$300,$AB$5:$AB$300,"-")</f>
        <v/>
      </c>
      <c r="AH112" s="1500">
        <f>_xlfn.XLOOKUP(routes[[#This Row],[route]],routesUniv[route],routesUniv[outbound],"-")</f>
        <v/>
      </c>
      <c r="AI112" s="1500">
        <f>_xlfn.XLOOKUP(routes[[#This Row],[route]],routesUniv[route],routesUniv[inbound],"-")</f>
        <v/>
      </c>
      <c r="AJ112" s="1500">
        <f>_xlfn.XLOOKUP(routes[[#This Row],[route]],routesUniv[route],routesUniv[km],"-")</f>
        <v/>
      </c>
      <c r="AK112" s="1500">
        <f>COUNTIF(INPUT!BT$5:BT$1000,AG112)</f>
        <v/>
      </c>
      <c r="AL112" s="1505">
        <f>routes[[#This Row],[km]]*routes[[#This Row],[rpt]]/1000</f>
        <v/>
      </c>
      <c r="AM112" s="1481" t="inlineStr">
        <is>
          <t>.</t>
        </is>
      </c>
      <c r="AN112" s="1506" t="n"/>
      <c r="AO112" s="1500">
        <f>IF(AD112&lt;&gt;"",AD112,"-")</f>
        <v/>
      </c>
      <c r="AP112" s="1500">
        <f>_xlfn.XLOOKUP(cityRoutes[[#This Row],[city]],ccc[city],ccc[ctry],"-")</f>
        <v/>
      </c>
      <c r="AQ112" s="1500">
        <f>COUNTIF(INPUT!BR$5:BS$1000,AO112)</f>
        <v/>
      </c>
      <c r="AR112" s="1507">
        <f>(SUMIFS(routes[total],routes[outbound],AO112)+SUMIFS(routes[total],routes[inbound],AO112))/2</f>
        <v/>
      </c>
      <c r="AS112" s="1481" t="inlineStr">
        <is>
          <t>.</t>
        </is>
      </c>
      <c r="AT112" s="1491" t="n"/>
      <c r="AU112" s="1491" t="n"/>
      <c r="AV112" s="1491" t="n"/>
      <c r="AW112" s="1491" t="n"/>
      <c r="AX112" s="1491" t="n"/>
      <c r="AY112" s="1491" t="n"/>
      <c r="AZ112" s="1491" t="n"/>
      <c r="BA112" s="1491" t="n"/>
      <c r="BB112" s="1491" t="n"/>
      <c r="BC112" s="1491" t="n"/>
      <c r="BD112" s="1491" t="n"/>
      <c r="BE112" s="1491" t="n"/>
      <c r="BF112" s="1491" t="n"/>
      <c r="BG112" s="1491" t="n"/>
      <c r="BH112" s="1491" t="n"/>
      <c r="BI112" s="1491" t="n"/>
      <c r="BJ112" s="1491" t="n"/>
      <c r="BK112" s="1491" t="n"/>
      <c r="BL112" s="1491" t="n"/>
      <c r="BM112" s="1491" t="n"/>
      <c r="BN112" s="1491" t="n"/>
      <c r="BO112" s="1467" t="n"/>
      <c r="BP112" s="1514" t="n">
        <v>108</v>
      </c>
      <c r="BQ112" s="1513">
        <f>[1]Sheet1!C113</f>
        <v/>
      </c>
      <c r="BR112" s="1515">
        <f>[1]Sheet1!D113</f>
        <v/>
      </c>
      <c r="BS112" s="1513">
        <f>[1]Sheet1!E113</f>
        <v/>
      </c>
      <c r="BT112" s="1515">
        <f>[1]Sheet1!F113</f>
        <v/>
      </c>
      <c r="BU112" s="1516">
        <f>[1]Sheet1!G113</f>
        <v/>
      </c>
      <c r="BV112" s="1513">
        <f>[1]Sheet1!H113</f>
        <v/>
      </c>
      <c r="BW112" s="1467" t="n"/>
      <c r="BX112" s="1491">
        <f>[1]Sheet1!$J113</f>
        <v/>
      </c>
      <c r="BY112" s="1517">
        <f>[1]Sheet1!$K113</f>
        <v/>
      </c>
      <c r="BZ112" s="1517">
        <f>[1]Sheet1!$L113</f>
        <v/>
      </c>
      <c r="CA112" s="1500">
        <f>[1]Sheet1!$M113</f>
        <v/>
      </c>
      <c r="CB112" s="1467" t="n"/>
      <c r="CC112" s="1467" t="n"/>
      <c r="CD112" s="1491" t="n"/>
      <c r="CE112" s="1491" t="n"/>
      <c r="CF112" s="1491" t="n"/>
      <c r="CG112" s="1491" t="n"/>
      <c r="CH112" s="1491" t="n"/>
      <c r="CI112" s="1491" t="n"/>
      <c r="CJ112" s="1491" t="n"/>
      <c r="CK112" s="1435" t="n"/>
      <c r="CL112" s="1521" t="n">
        <v>107</v>
      </c>
      <c r="CM112" s="1513" t="inlineStr">
        <is>
          <t>Paris-Zurich</t>
        </is>
      </c>
      <c r="CN112" s="1513" t="inlineStr">
        <is>
          <t>Paris</t>
        </is>
      </c>
      <c r="CO112" s="1513" t="inlineStr">
        <is>
          <t>Zurich</t>
        </is>
      </c>
      <c r="CP112" s="1514" t="n">
        <v>500</v>
      </c>
      <c r="CQ112" s="1435" t="n"/>
      <c r="CR112" s="1491" t="n"/>
      <c r="CS112" s="1491" t="n"/>
      <c r="CT112" s="1491" t="n"/>
      <c r="CU112" s="1491" t="n"/>
      <c r="CV112" s="1491" t="n"/>
      <c r="CW112" s="1491" t="n"/>
      <c r="CX112" s="1491" t="n"/>
    </row>
    <row r="113">
      <c r="A113" s="1491" t="n"/>
      <c r="B113" s="1491" t="n"/>
      <c r="C113" s="1491" t="n"/>
      <c r="D113" s="1497">
        <f>IF(E113&lt;&gt;"",D112+1,D112)</f>
        <v/>
      </c>
      <c r="E113" s="1497" t="inlineStr">
        <is>
          <t>Athens</t>
        </is>
      </c>
      <c r="F113" s="1535" t="inlineStr">
        <is>
          <t>.</t>
        </is>
      </c>
      <c r="G113" s="1498">
        <f>IF(H113="AIR",0,IF(H112="AIR",G111+1,IF(H113&lt;&gt;"",G112+1,G112)))</f>
        <v/>
      </c>
      <c r="H113" s="1498" t="inlineStr">
        <is>
          <t>Munich</t>
        </is>
      </c>
      <c r="I113" s="1427" t="inlineStr">
        <is>
          <t>.</t>
        </is>
      </c>
      <c r="J113" s="1499" t="n">
        <v>108</v>
      </c>
      <c r="K113" s="1500">
        <f>_xlfn.XLOOKUP(cities[[#This Row],[id]],$D$5:$D$1500,E$5:E$1500,"-")</f>
        <v/>
      </c>
      <c r="L113" s="1500">
        <f>_xlfn.XLOOKUP(cities[[#This Row],[city]],ccc[city],ccc[ctry],"-")</f>
        <v/>
      </c>
      <c r="M113" s="1500">
        <f>SUMIFS(stayCity[stay],stayCity[city],cities[[#This Row],[city]])</f>
        <v/>
      </c>
      <c r="N113" s="1427">
        <f>N112+1</f>
        <v/>
      </c>
      <c r="O113" s="1500" t="n"/>
      <c r="P113" s="1500" t="n"/>
      <c r="Q113" s="1427" t="inlineStr">
        <is>
          <t>.</t>
        </is>
      </c>
      <c r="R113" s="1491" t="n"/>
      <c r="S113" s="1491" t="n"/>
      <c r="T113" s="1491" t="n"/>
      <c r="U113" s="1491" t="n"/>
      <c r="V113" s="1491" t="n"/>
      <c r="W113" s="1491" t="n"/>
      <c r="X113" s="1491" t="n"/>
      <c r="Y113" s="1491" t="n"/>
      <c r="Z113" s="1427" t="inlineStr">
        <is>
          <t>.</t>
        </is>
      </c>
      <c r="AA113" s="1473">
        <f>IF(AB113&lt;&gt;"",AA112+1,AA112)</f>
        <v/>
      </c>
      <c r="AB113" s="1534" t="inlineStr">
        <is>
          <t>Detroit-SP</t>
        </is>
      </c>
      <c r="AC113" s="1473">
        <f>IF(AD113&lt;&gt;"",AC112+1,AC112)</f>
        <v/>
      </c>
      <c r="AD113" s="1534" t="n"/>
      <c r="AE113" s="1427" t="inlineStr">
        <is>
          <t>.</t>
        </is>
      </c>
      <c r="AF113" s="1502" t="n">
        <v>109</v>
      </c>
      <c r="AG113" s="1500">
        <f>_xlfn.XLOOKUP(routes[[#This Row],[id]],$AA$5:$AA$300,$AB$5:$AB$300,"-")</f>
        <v/>
      </c>
      <c r="AH113" s="1500">
        <f>_xlfn.XLOOKUP(routes[[#This Row],[route]],routesUniv[route],routesUniv[outbound],"-")</f>
        <v/>
      </c>
      <c r="AI113" s="1500">
        <f>_xlfn.XLOOKUP(routes[[#This Row],[route]],routesUniv[route],routesUniv[inbound],"-")</f>
        <v/>
      </c>
      <c r="AJ113" s="1500">
        <f>_xlfn.XLOOKUP(routes[[#This Row],[route]],routesUniv[route],routesUniv[km],"-")</f>
        <v/>
      </c>
      <c r="AK113" s="1500">
        <f>COUNTIF(INPUT!BT$5:BT$1000,AG113)</f>
        <v/>
      </c>
      <c r="AL113" s="1505">
        <f>routes[[#This Row],[km]]*routes[[#This Row],[rpt]]/1000</f>
        <v/>
      </c>
      <c r="AM113" s="1481" t="inlineStr">
        <is>
          <t>.</t>
        </is>
      </c>
      <c r="AN113" s="1506" t="n"/>
      <c r="AO113" s="1500">
        <f>IF(AD113&lt;&gt;"",AD113,"-")</f>
        <v/>
      </c>
      <c r="AP113" s="1500">
        <f>_xlfn.XLOOKUP(cityRoutes[[#This Row],[city]],ccc[city],ccc[ctry],"-")</f>
        <v/>
      </c>
      <c r="AQ113" s="1500">
        <f>COUNTIF(INPUT!BR$5:BS$1000,AO113)</f>
        <v/>
      </c>
      <c r="AR113" s="1507">
        <f>(SUMIFS(routes[total],routes[outbound],AO113)+SUMIFS(routes[total],routes[inbound],AO113))/2</f>
        <v/>
      </c>
      <c r="AS113" s="1481" t="inlineStr">
        <is>
          <t>.</t>
        </is>
      </c>
      <c r="AT113" s="1491" t="n"/>
      <c r="AU113" s="1491" t="n"/>
      <c r="AV113" s="1491" t="n"/>
      <c r="AW113" s="1491" t="n"/>
      <c r="AX113" s="1491" t="n"/>
      <c r="AY113" s="1491" t="n"/>
      <c r="AZ113" s="1491" t="n"/>
      <c r="BA113" s="1491" t="n"/>
      <c r="BB113" s="1491" t="n"/>
      <c r="BC113" s="1491" t="n"/>
      <c r="BD113" s="1491" t="n"/>
      <c r="BE113" s="1491" t="n"/>
      <c r="BF113" s="1491" t="n"/>
      <c r="BG113" s="1491" t="n"/>
      <c r="BH113" s="1491" t="n"/>
      <c r="BI113" s="1491" t="n"/>
      <c r="BJ113" s="1491" t="n"/>
      <c r="BK113" s="1491" t="n"/>
      <c r="BL113" s="1491" t="n"/>
      <c r="BM113" s="1491" t="n"/>
      <c r="BN113" s="1491" t="n"/>
      <c r="BO113" s="1467" t="n"/>
      <c r="BP113" s="1514" t="n">
        <v>109</v>
      </c>
      <c r="BQ113" s="1513">
        <f>[1]Sheet1!C114</f>
        <v/>
      </c>
      <c r="BR113" s="1515">
        <f>[1]Sheet1!D114</f>
        <v/>
      </c>
      <c r="BS113" s="1513">
        <f>[1]Sheet1!E114</f>
        <v/>
      </c>
      <c r="BT113" s="1515">
        <f>[1]Sheet1!F114</f>
        <v/>
      </c>
      <c r="BU113" s="1516">
        <f>[1]Sheet1!G114</f>
        <v/>
      </c>
      <c r="BV113" s="1513">
        <f>[1]Sheet1!H114</f>
        <v/>
      </c>
      <c r="BW113" s="1467" t="n"/>
      <c r="BX113" s="1491">
        <f>[1]Sheet1!$J114</f>
        <v/>
      </c>
      <c r="BY113" s="1517">
        <f>[1]Sheet1!$K114</f>
        <v/>
      </c>
      <c r="BZ113" s="1517">
        <f>[1]Sheet1!$L114</f>
        <v/>
      </c>
      <c r="CA113" s="1500">
        <f>[1]Sheet1!$M114</f>
        <v/>
      </c>
      <c r="CB113" s="1467" t="n"/>
      <c r="CC113" s="1467" t="n"/>
      <c r="CD113" s="1491" t="n"/>
      <c r="CE113" s="1491" t="n"/>
      <c r="CF113" s="1491" t="n"/>
      <c r="CG113" s="1491" t="n"/>
      <c r="CH113" s="1491" t="n"/>
      <c r="CI113" s="1491" t="n"/>
      <c r="CJ113" s="1491" t="n"/>
      <c r="CK113" s="1435" t="n"/>
      <c r="CL113" s="1521" t="n">
        <v>108</v>
      </c>
      <c r="CM113" s="1513" t="inlineStr">
        <is>
          <t>Philadelphia-Miami</t>
        </is>
      </c>
      <c r="CN113" s="1513" t="inlineStr">
        <is>
          <t>Philadelphia</t>
        </is>
      </c>
      <c r="CO113" s="1513" t="inlineStr">
        <is>
          <t>Miami</t>
        </is>
      </c>
      <c r="CP113" s="1514" t="n">
        <v>1650</v>
      </c>
      <c r="CQ113" s="1435" t="n"/>
      <c r="CR113" s="1491" t="n"/>
      <c r="CS113" s="1491" t="n"/>
      <c r="CT113" s="1491" t="n"/>
      <c r="CU113" s="1491" t="n"/>
      <c r="CV113" s="1491" t="n"/>
      <c r="CW113" s="1491" t="n"/>
      <c r="CX113" s="1491" t="n"/>
    </row>
    <row r="114">
      <c r="A114" s="1491" t="n"/>
      <c r="B114" s="1491" t="n"/>
      <c r="C114" s="1491" t="n"/>
      <c r="D114" s="1497">
        <f>IF(E114&lt;&gt;"",D113+1,D113)</f>
        <v/>
      </c>
      <c r="E114" s="1497" t="inlineStr">
        <is>
          <t>Creta</t>
        </is>
      </c>
      <c r="F114" s="1535" t="inlineStr">
        <is>
          <t>.</t>
        </is>
      </c>
      <c r="G114" s="1498">
        <f>IF(H114="AIR",0,IF(H113="AIR",G112+1,IF(H114&lt;&gt;"",G113+1,G113)))</f>
        <v/>
      </c>
      <c r="H114" s="1498" t="inlineStr">
        <is>
          <t>Cairo</t>
        </is>
      </c>
      <c r="I114" s="1427" t="inlineStr">
        <is>
          <t>.</t>
        </is>
      </c>
      <c r="J114" s="1499" t="n">
        <v>109</v>
      </c>
      <c r="K114" s="1500">
        <f>_xlfn.XLOOKUP(cities[[#This Row],[id]],$D$5:$D$1500,E$5:E$1500,"-")</f>
        <v/>
      </c>
      <c r="L114" s="1500">
        <f>_xlfn.XLOOKUP(cities[[#This Row],[city]],ccc[city],ccc[ctry],"-")</f>
        <v/>
      </c>
      <c r="M114" s="1500">
        <f>SUMIFS(stayCity[stay],stayCity[city],cities[[#This Row],[city]])</f>
        <v/>
      </c>
      <c r="N114" s="1427">
        <f>N113+1</f>
        <v/>
      </c>
      <c r="O114" s="1500" t="n"/>
      <c r="P114" s="1500" t="n"/>
      <c r="Q114" s="1427" t="inlineStr">
        <is>
          <t>.</t>
        </is>
      </c>
      <c r="R114" s="1491" t="n"/>
      <c r="S114" s="1491" t="n"/>
      <c r="T114" s="1491" t="n"/>
      <c r="U114" s="1491" t="n"/>
      <c r="V114" s="1491" t="n"/>
      <c r="W114" s="1491" t="n"/>
      <c r="X114" s="1491" t="n"/>
      <c r="Y114" s="1491" t="n"/>
      <c r="Z114" s="1427" t="inlineStr">
        <is>
          <t>.</t>
        </is>
      </c>
      <c r="AA114" s="1473">
        <f>IF(AB114&lt;&gt;"",AA113+1,AA113)</f>
        <v/>
      </c>
      <c r="AB114" s="1534" t="inlineStr">
        <is>
          <t>SP-Detroit</t>
        </is>
      </c>
      <c r="AC114" s="1473">
        <f>IF(AD114&lt;&gt;"",AC113+1,AC113)</f>
        <v/>
      </c>
      <c r="AD114" s="1534" t="n"/>
      <c r="AE114" s="1427" t="inlineStr">
        <is>
          <t>.</t>
        </is>
      </c>
      <c r="AF114" s="1502" t="n">
        <v>110</v>
      </c>
      <c r="AG114" s="1500">
        <f>_xlfn.XLOOKUP(routes[[#This Row],[id]],$AA$5:$AA$300,$AB$5:$AB$300,"-")</f>
        <v/>
      </c>
      <c r="AH114" s="1500">
        <f>_xlfn.XLOOKUP(routes[[#This Row],[route]],routesUniv[route],routesUniv[outbound],"-")</f>
        <v/>
      </c>
      <c r="AI114" s="1500">
        <f>_xlfn.XLOOKUP(routes[[#This Row],[route]],routesUniv[route],routesUniv[inbound],"-")</f>
        <v/>
      </c>
      <c r="AJ114" s="1500">
        <f>_xlfn.XLOOKUP(routes[[#This Row],[route]],routesUniv[route],routesUniv[km],"-")</f>
        <v/>
      </c>
      <c r="AK114" s="1500">
        <f>COUNTIF(INPUT!BT$5:BT$1000,AG114)</f>
        <v/>
      </c>
      <c r="AL114" s="1505">
        <f>routes[[#This Row],[km]]*routes[[#This Row],[rpt]]/1000</f>
        <v/>
      </c>
      <c r="AM114" s="1481" t="inlineStr">
        <is>
          <t>.</t>
        </is>
      </c>
      <c r="AN114" s="1506" t="n"/>
      <c r="AO114" s="1500">
        <f>IF(AD114&lt;&gt;"",AD114,"-")</f>
        <v/>
      </c>
      <c r="AP114" s="1500">
        <f>_xlfn.XLOOKUP(cityRoutes[[#This Row],[city]],ccc[city],ccc[ctry],"-")</f>
        <v/>
      </c>
      <c r="AQ114" s="1500">
        <f>COUNTIF(INPUT!BR$5:BS$1000,AO114)</f>
        <v/>
      </c>
      <c r="AR114" s="1507">
        <f>(SUMIFS(routes[total],routes[outbound],AO114)+SUMIFS(routes[total],routes[inbound],AO114))/2</f>
        <v/>
      </c>
      <c r="AS114" s="1481" t="inlineStr">
        <is>
          <t>.</t>
        </is>
      </c>
      <c r="AT114" s="1491" t="n"/>
      <c r="AU114" s="1491" t="n"/>
      <c r="AV114" s="1491" t="n"/>
      <c r="AW114" s="1491" t="n"/>
      <c r="AX114" s="1491" t="n"/>
      <c r="AY114" s="1491" t="n"/>
      <c r="AZ114" s="1491" t="n"/>
      <c r="BA114" s="1491" t="n"/>
      <c r="BB114" s="1491" t="n"/>
      <c r="BC114" s="1491" t="n"/>
      <c r="BD114" s="1491" t="n"/>
      <c r="BE114" s="1491" t="n"/>
      <c r="BF114" s="1491" t="n"/>
      <c r="BG114" s="1491" t="n"/>
      <c r="BH114" s="1491" t="n"/>
      <c r="BI114" s="1491" t="n"/>
      <c r="BJ114" s="1491" t="n"/>
      <c r="BK114" s="1491" t="n"/>
      <c r="BL114" s="1491" t="n"/>
      <c r="BM114" s="1491" t="n"/>
      <c r="BN114" s="1491" t="n"/>
      <c r="BO114" s="1467" t="n"/>
      <c r="BP114" s="1514" t="n">
        <v>110</v>
      </c>
      <c r="BQ114" s="1513">
        <f>[1]Sheet1!C115</f>
        <v/>
      </c>
      <c r="BR114" s="1515">
        <f>[1]Sheet1!D115</f>
        <v/>
      </c>
      <c r="BS114" s="1513">
        <f>[1]Sheet1!E115</f>
        <v/>
      </c>
      <c r="BT114" s="1515">
        <f>[1]Sheet1!F115</f>
        <v/>
      </c>
      <c r="BU114" s="1516">
        <f>[1]Sheet1!G115</f>
        <v/>
      </c>
      <c r="BV114" s="1513">
        <f>[1]Sheet1!H115</f>
        <v/>
      </c>
      <c r="BW114" s="1467" t="n"/>
      <c r="BX114" s="1491">
        <f>[1]Sheet1!$J115</f>
        <v/>
      </c>
      <c r="BY114" s="1517">
        <f>[1]Sheet1!$K115</f>
        <v/>
      </c>
      <c r="BZ114" s="1517">
        <f>[1]Sheet1!$L115</f>
        <v/>
      </c>
      <c r="CA114" s="1500">
        <f>[1]Sheet1!$M115</f>
        <v/>
      </c>
      <c r="CB114" s="1467" t="n"/>
      <c r="CC114" s="1467" t="n"/>
      <c r="CD114" s="1491" t="n"/>
      <c r="CE114" s="1491" t="n"/>
      <c r="CF114" s="1491" t="n"/>
      <c r="CG114" s="1491" t="n"/>
      <c r="CH114" s="1491" t="n"/>
      <c r="CI114" s="1491" t="n"/>
      <c r="CJ114" s="1491" t="n"/>
      <c r="CK114" s="1435" t="n"/>
      <c r="CL114" s="1521" t="n">
        <v>109</v>
      </c>
      <c r="CM114" s="1513" t="inlineStr">
        <is>
          <t>Porto-Eindhoven</t>
        </is>
      </c>
      <c r="CN114" s="1513" t="inlineStr">
        <is>
          <t>Porto</t>
        </is>
      </c>
      <c r="CO114" s="1513" t="inlineStr">
        <is>
          <t>Eindhoven</t>
        </is>
      </c>
      <c r="CP114" s="1525" t="n">
        <v>1600</v>
      </c>
      <c r="CQ114" s="1435" t="n"/>
      <c r="CR114" s="1491" t="n"/>
      <c r="CS114" s="1491" t="n"/>
      <c r="CT114" s="1491" t="n"/>
      <c r="CU114" s="1491" t="n"/>
      <c r="CV114" s="1491" t="n"/>
      <c r="CW114" s="1491" t="n"/>
      <c r="CX114" s="1491" t="n"/>
    </row>
    <row r="115">
      <c r="A115" s="1491" t="n"/>
      <c r="B115" s="1491" t="n"/>
      <c r="C115" s="1491" t="n"/>
      <c r="D115" s="1497">
        <f>IF(E115&lt;&gt;"",D114+1,D114)</f>
        <v/>
      </c>
      <c r="E115" s="1497" t="inlineStr">
        <is>
          <t>Santorini</t>
        </is>
      </c>
      <c r="F115" s="1535" t="inlineStr">
        <is>
          <t>.</t>
        </is>
      </c>
      <c r="G115" s="1498">
        <f>IF(H115="AIR",0,IF(H114="AIR",G113+1,IF(H115&lt;&gt;"",G114+1,G114)))</f>
        <v/>
      </c>
      <c r="H115" s="1498" t="inlineStr">
        <is>
          <t>Athens</t>
        </is>
      </c>
      <c r="I115" s="1427" t="inlineStr">
        <is>
          <t>.</t>
        </is>
      </c>
      <c r="J115" s="1499" t="n">
        <v>110</v>
      </c>
      <c r="K115" s="1500">
        <f>_xlfn.XLOOKUP(cities[[#This Row],[id]],$D$5:$D$1500,E$5:E$1500,"-")</f>
        <v/>
      </c>
      <c r="L115" s="1500">
        <f>_xlfn.XLOOKUP(cities[[#This Row],[city]],ccc[city],ccc[ctry],"-")</f>
        <v/>
      </c>
      <c r="M115" s="1500">
        <f>SUMIFS(stayCity[stay],stayCity[city],cities[[#This Row],[city]])</f>
        <v/>
      </c>
      <c r="N115" s="1427">
        <f>N114+1</f>
        <v/>
      </c>
      <c r="O115" s="1500" t="n"/>
      <c r="P115" s="1500" t="n"/>
      <c r="Q115" s="1427" t="inlineStr">
        <is>
          <t>.</t>
        </is>
      </c>
      <c r="R115" s="1491" t="n"/>
      <c r="S115" s="1491" t="n"/>
      <c r="T115" s="1491" t="n"/>
      <c r="U115" s="1491" t="n"/>
      <c r="V115" s="1491" t="n"/>
      <c r="W115" s="1491" t="n"/>
      <c r="X115" s="1491" t="n"/>
      <c r="Y115" s="1491" t="n"/>
      <c r="Z115" s="1427" t="inlineStr">
        <is>
          <t>.</t>
        </is>
      </c>
      <c r="AA115" s="1473">
        <f>IF(AB115&lt;&gt;"",AA114+1,AA114)</f>
        <v/>
      </c>
      <c r="AB115" s="1534" t="inlineStr">
        <is>
          <t>Detroit-Montreal</t>
        </is>
      </c>
      <c r="AC115" s="1473">
        <f>IF(AD115&lt;&gt;"",AC114+1,AC114)</f>
        <v/>
      </c>
      <c r="AD115" s="1534" t="n"/>
      <c r="AE115" s="1427" t="inlineStr">
        <is>
          <t>.</t>
        </is>
      </c>
      <c r="AF115" s="1502" t="n">
        <v>111</v>
      </c>
      <c r="AG115" s="1500">
        <f>_xlfn.XLOOKUP(routes[[#This Row],[id]],$AA$5:$AA$300,$AB$5:$AB$300,"-")</f>
        <v/>
      </c>
      <c r="AH115" s="1500">
        <f>_xlfn.XLOOKUP(routes[[#This Row],[route]],routesUniv[route],routesUniv[outbound],"-")</f>
        <v/>
      </c>
      <c r="AI115" s="1500">
        <f>_xlfn.XLOOKUP(routes[[#This Row],[route]],routesUniv[route],routesUniv[inbound],"-")</f>
        <v/>
      </c>
      <c r="AJ115" s="1500">
        <f>_xlfn.XLOOKUP(routes[[#This Row],[route]],routesUniv[route],routesUniv[km],"-")</f>
        <v/>
      </c>
      <c r="AK115" s="1500">
        <f>COUNTIF(INPUT!BT$5:BT$1000,AG115)</f>
        <v/>
      </c>
      <c r="AL115" s="1505">
        <f>routes[[#This Row],[km]]*routes[[#This Row],[rpt]]/1000</f>
        <v/>
      </c>
      <c r="AM115" s="1481" t="inlineStr">
        <is>
          <t>.</t>
        </is>
      </c>
      <c r="AN115" s="1506" t="n"/>
      <c r="AO115" s="1500">
        <f>IF(AD115&lt;&gt;"",AD115,"-")</f>
        <v/>
      </c>
      <c r="AP115" s="1500">
        <f>_xlfn.XLOOKUP(cityRoutes[[#This Row],[city]],ccc[city],ccc[ctry],"-")</f>
        <v/>
      </c>
      <c r="AQ115" s="1500">
        <f>COUNTIF(INPUT!BR$5:BS$1000,AO115)</f>
        <v/>
      </c>
      <c r="AR115" s="1507">
        <f>(SUMIFS(routes[total],routes[outbound],AO115)+SUMIFS(routes[total],routes[inbound],AO115))/2</f>
        <v/>
      </c>
      <c r="AS115" s="1481" t="inlineStr">
        <is>
          <t>.</t>
        </is>
      </c>
      <c r="AT115" s="1491" t="n"/>
      <c r="AU115" s="1491" t="n"/>
      <c r="AV115" s="1491" t="n"/>
      <c r="AW115" s="1491" t="n"/>
      <c r="AX115" s="1491" t="n"/>
      <c r="AY115" s="1491" t="n"/>
      <c r="AZ115" s="1491" t="n"/>
      <c r="BA115" s="1491" t="n"/>
      <c r="BB115" s="1491" t="n"/>
      <c r="BC115" s="1491" t="n"/>
      <c r="BD115" s="1491" t="n"/>
      <c r="BE115" s="1491" t="n"/>
      <c r="BF115" s="1491" t="n"/>
      <c r="BG115" s="1491" t="n"/>
      <c r="BH115" s="1491" t="n"/>
      <c r="BI115" s="1491" t="n"/>
      <c r="BJ115" s="1491" t="n"/>
      <c r="BK115" s="1491" t="n"/>
      <c r="BL115" s="1491" t="n"/>
      <c r="BM115" s="1491" t="n"/>
      <c r="BN115" s="1491" t="n"/>
      <c r="BO115" s="1467" t="n"/>
      <c r="BP115" s="1514" t="n">
        <v>111</v>
      </c>
      <c r="BQ115" s="1513">
        <f>[1]Sheet1!C116</f>
        <v/>
      </c>
      <c r="BR115" s="1515">
        <f>[1]Sheet1!D116</f>
        <v/>
      </c>
      <c r="BS115" s="1513">
        <f>[1]Sheet1!E116</f>
        <v/>
      </c>
      <c r="BT115" s="1515">
        <f>[1]Sheet1!F116</f>
        <v/>
      </c>
      <c r="BU115" s="1516">
        <f>[1]Sheet1!G116</f>
        <v/>
      </c>
      <c r="BV115" s="1513">
        <f>[1]Sheet1!H116</f>
        <v/>
      </c>
      <c r="BW115" s="1467" t="n"/>
      <c r="BX115" s="1491">
        <f>[1]Sheet1!$J116</f>
        <v/>
      </c>
      <c r="BY115" s="1517">
        <f>[1]Sheet1!$K116</f>
        <v/>
      </c>
      <c r="BZ115" s="1517">
        <f>[1]Sheet1!$L116</f>
        <v/>
      </c>
      <c r="CA115" s="1500">
        <f>[1]Sheet1!$M116</f>
        <v/>
      </c>
      <c r="CB115" s="1467" t="n"/>
      <c r="CC115" s="1467" t="n"/>
      <c r="CD115" s="1491" t="n"/>
      <c r="CE115" s="1491" t="n"/>
      <c r="CF115" s="1491" t="n"/>
      <c r="CG115" s="1491" t="n"/>
      <c r="CH115" s="1491" t="n"/>
      <c r="CI115" s="1491" t="n"/>
      <c r="CJ115" s="1491" t="n"/>
      <c r="CK115" s="1435" t="n"/>
      <c r="CL115" s="1521" t="n">
        <v>110</v>
      </c>
      <c r="CM115" s="1513" t="inlineStr">
        <is>
          <t>Porto-Lisbon</t>
        </is>
      </c>
      <c r="CN115" s="1513" t="inlineStr">
        <is>
          <t>Porto</t>
        </is>
      </c>
      <c r="CO115" s="1513" t="inlineStr">
        <is>
          <t>Lisbon</t>
        </is>
      </c>
      <c r="CP115" s="1514" t="n">
        <v>300</v>
      </c>
      <c r="CQ115" s="1435" t="n"/>
      <c r="CR115" s="1491" t="n"/>
      <c r="CS115" s="1491" t="n"/>
      <c r="CT115" s="1491" t="n"/>
      <c r="CU115" s="1491" t="n"/>
      <c r="CV115" s="1491" t="n"/>
      <c r="CW115" s="1491" t="n"/>
      <c r="CX115" s="1491" t="n"/>
    </row>
    <row r="116">
      <c r="A116" s="1491" t="n"/>
      <c r="B116" s="1491" t="n"/>
      <c r="C116" s="1491" t="n"/>
      <c r="D116" s="1497">
        <f>IF(E116&lt;&gt;"",D115+1,D115)</f>
        <v/>
      </c>
      <c r="E116" s="1497" t="inlineStr">
        <is>
          <t>Lindos</t>
        </is>
      </c>
      <c r="F116" s="1535" t="inlineStr">
        <is>
          <t>.</t>
        </is>
      </c>
      <c r="G116" s="1498">
        <f>IF(H116="AIR",0,IF(H115="AIR",G114+1,IF(H116&lt;&gt;"",G115+1,G115)))</f>
        <v/>
      </c>
      <c r="H116" s="1498" t="inlineStr">
        <is>
          <t>SEA GRC</t>
        </is>
      </c>
      <c r="I116" s="1427" t="inlineStr">
        <is>
          <t>.</t>
        </is>
      </c>
      <c r="J116" s="1499" t="n">
        <v>111</v>
      </c>
      <c r="K116" s="1500">
        <f>_xlfn.XLOOKUP(cities[[#This Row],[id]],$D$5:$D$1500,E$5:E$1500,"-")</f>
        <v/>
      </c>
      <c r="L116" s="1500">
        <f>_xlfn.XLOOKUP(cities[[#This Row],[city]],ccc[city],ccc[ctry],"-")</f>
        <v/>
      </c>
      <c r="M116" s="1500">
        <f>SUMIFS(stayCity[stay],stayCity[city],cities[[#This Row],[city]])</f>
        <v/>
      </c>
      <c r="N116" s="1427">
        <f>N115+1</f>
        <v/>
      </c>
      <c r="O116" s="1500" t="n"/>
      <c r="P116" s="1500" t="n"/>
      <c r="Q116" s="1427" t="inlineStr">
        <is>
          <t>.</t>
        </is>
      </c>
      <c r="R116" s="1491" t="n"/>
      <c r="S116" s="1491" t="n"/>
      <c r="T116" s="1491" t="n"/>
      <c r="U116" s="1491" t="n"/>
      <c r="V116" s="1491" t="n"/>
      <c r="W116" s="1491" t="n"/>
      <c r="X116" s="1491" t="n"/>
      <c r="Y116" s="1491" t="n"/>
      <c r="Z116" s="1427" t="inlineStr">
        <is>
          <t>.</t>
        </is>
      </c>
      <c r="AA116" s="1473">
        <f>IF(AB116&lt;&gt;"",AA115+1,AA115)</f>
        <v/>
      </c>
      <c r="AB116" s="1534" t="inlineStr">
        <is>
          <t>Montreal-Miami</t>
        </is>
      </c>
      <c r="AC116" s="1473">
        <f>IF(AD116&lt;&gt;"",AC115+1,AC115)</f>
        <v/>
      </c>
      <c r="AD116" s="1534" t="n"/>
      <c r="AE116" s="1427" t="inlineStr">
        <is>
          <t>.</t>
        </is>
      </c>
      <c r="AF116" s="1502" t="n">
        <v>112</v>
      </c>
      <c r="AG116" s="1500">
        <f>_xlfn.XLOOKUP(routes[[#This Row],[id]],$AA$5:$AA$300,$AB$5:$AB$300,"-")</f>
        <v/>
      </c>
      <c r="AH116" s="1500">
        <f>_xlfn.XLOOKUP(routes[[#This Row],[route]],routesUniv[route],routesUniv[outbound],"-")</f>
        <v/>
      </c>
      <c r="AI116" s="1500">
        <f>_xlfn.XLOOKUP(routes[[#This Row],[route]],routesUniv[route],routesUniv[inbound],"-")</f>
        <v/>
      </c>
      <c r="AJ116" s="1500">
        <f>_xlfn.XLOOKUP(routes[[#This Row],[route]],routesUniv[route],routesUniv[km],"-")</f>
        <v/>
      </c>
      <c r="AK116" s="1500">
        <f>COUNTIF(INPUT!BT$5:BT$1000,AG116)</f>
        <v/>
      </c>
      <c r="AL116" s="1505">
        <f>routes[[#This Row],[km]]*routes[[#This Row],[rpt]]/1000</f>
        <v/>
      </c>
      <c r="AM116" s="1481" t="inlineStr">
        <is>
          <t>.</t>
        </is>
      </c>
      <c r="AN116" s="1506" t="n"/>
      <c r="AO116" s="1500">
        <f>IF(AD116&lt;&gt;"",AD116,"-")</f>
        <v/>
      </c>
      <c r="AP116" s="1500">
        <f>_xlfn.XLOOKUP(cityRoutes[[#This Row],[city]],ccc[city],ccc[ctry],"-")</f>
        <v/>
      </c>
      <c r="AQ116" s="1500">
        <f>COUNTIF(INPUT!BR$5:BS$1000,AO116)</f>
        <v/>
      </c>
      <c r="AR116" s="1507">
        <f>(SUMIFS(routes[total],routes[outbound],AO116)+SUMIFS(routes[total],routes[inbound],AO116))/2</f>
        <v/>
      </c>
      <c r="AS116" s="1481" t="inlineStr">
        <is>
          <t>.</t>
        </is>
      </c>
      <c r="AT116" s="1491" t="n"/>
      <c r="AU116" s="1491" t="n"/>
      <c r="AV116" s="1491" t="n"/>
      <c r="AW116" s="1491" t="n"/>
      <c r="AX116" s="1491" t="n"/>
      <c r="AY116" s="1491" t="n"/>
      <c r="AZ116" s="1491" t="n"/>
      <c r="BA116" s="1491" t="n"/>
      <c r="BB116" s="1491" t="n"/>
      <c r="BC116" s="1491" t="n"/>
      <c r="BD116" s="1491" t="n"/>
      <c r="BE116" s="1491" t="n"/>
      <c r="BF116" s="1491" t="n"/>
      <c r="BG116" s="1491" t="n"/>
      <c r="BH116" s="1491" t="n"/>
      <c r="BI116" s="1491" t="n"/>
      <c r="BJ116" s="1491" t="n"/>
      <c r="BK116" s="1491" t="n"/>
      <c r="BL116" s="1491" t="n"/>
      <c r="BM116" s="1491" t="n"/>
      <c r="BN116" s="1491" t="n"/>
      <c r="BO116" s="1467" t="n"/>
      <c r="BP116" s="1514" t="n">
        <v>112</v>
      </c>
      <c r="BQ116" s="1513">
        <f>[1]Sheet1!C117</f>
        <v/>
      </c>
      <c r="BR116" s="1515">
        <f>[1]Sheet1!D117</f>
        <v/>
      </c>
      <c r="BS116" s="1513">
        <f>[1]Sheet1!E117</f>
        <v/>
      </c>
      <c r="BT116" s="1515">
        <f>[1]Sheet1!F117</f>
        <v/>
      </c>
      <c r="BU116" s="1516">
        <f>[1]Sheet1!G117</f>
        <v/>
      </c>
      <c r="BV116" s="1513">
        <f>[1]Sheet1!H117</f>
        <v/>
      </c>
      <c r="BW116" s="1467" t="n"/>
      <c r="BX116" s="1491">
        <f>[1]Sheet1!$J117</f>
        <v/>
      </c>
      <c r="BY116" s="1517">
        <f>[1]Sheet1!$K117</f>
        <v/>
      </c>
      <c r="BZ116" s="1517">
        <f>[1]Sheet1!$L117</f>
        <v/>
      </c>
      <c r="CA116" s="1500">
        <f>[1]Sheet1!$M117</f>
        <v/>
      </c>
      <c r="CB116" s="1467" t="n"/>
      <c r="CC116" s="1467" t="n"/>
      <c r="CD116" s="1491" t="n"/>
      <c r="CE116" s="1491" t="n"/>
      <c r="CF116" s="1491" t="n"/>
      <c r="CG116" s="1491" t="n"/>
      <c r="CH116" s="1491" t="n"/>
      <c r="CI116" s="1491" t="n"/>
      <c r="CJ116" s="1491" t="n"/>
      <c r="CK116" s="1435" t="n"/>
      <c r="CL116" s="1521" t="n">
        <v>111</v>
      </c>
      <c r="CM116" s="1513" t="inlineStr">
        <is>
          <t>Porto-London</t>
        </is>
      </c>
      <c r="CN116" s="1513" t="inlineStr">
        <is>
          <t>Porto</t>
        </is>
      </c>
      <c r="CO116" s="1513" t="inlineStr">
        <is>
          <t>London</t>
        </is>
      </c>
      <c r="CP116" s="1514" t="n">
        <v>1400</v>
      </c>
      <c r="CQ116" s="1435" t="n"/>
      <c r="CR116" s="1491" t="n"/>
      <c r="CS116" s="1491" t="n"/>
      <c r="CT116" s="1491" t="n"/>
      <c r="CU116" s="1491" t="n"/>
      <c r="CV116" s="1491" t="n"/>
      <c r="CW116" s="1491" t="n"/>
      <c r="CX116" s="1491" t="n"/>
    </row>
    <row r="117">
      <c r="A117" s="1491" t="n"/>
      <c r="B117" s="1491" t="n"/>
      <c r="C117" s="1491" t="n"/>
      <c r="D117" s="1497">
        <f>IF(E117&lt;&gt;"",D116+1,D116)</f>
        <v/>
      </c>
      <c r="E117" s="1497" t="inlineStr">
        <is>
          <t>Rhodes</t>
        </is>
      </c>
      <c r="F117" s="1535" t="inlineStr">
        <is>
          <t>.</t>
        </is>
      </c>
      <c r="G117" s="1498">
        <f>IF(H117="AIR",0,IF(H116="AIR",G115+1,IF(H117&lt;&gt;"",G116+1,G116)))</f>
        <v/>
      </c>
      <c r="H117" s="1498" t="inlineStr">
        <is>
          <t>Creta</t>
        </is>
      </c>
      <c r="I117" s="1427" t="inlineStr">
        <is>
          <t>.</t>
        </is>
      </c>
      <c r="J117" s="1499" t="n">
        <v>112</v>
      </c>
      <c r="K117" s="1500">
        <f>_xlfn.XLOOKUP(cities[[#This Row],[id]],$D$5:$D$1500,E$5:E$1500,"-")</f>
        <v/>
      </c>
      <c r="L117" s="1500">
        <f>_xlfn.XLOOKUP(cities[[#This Row],[city]],ccc[city],ccc[ctry],"-")</f>
        <v/>
      </c>
      <c r="M117" s="1500">
        <f>SUMIFS(stayCity[stay],stayCity[city],cities[[#This Row],[city]])</f>
        <v/>
      </c>
      <c r="N117" s="1427">
        <f>N116+1</f>
        <v/>
      </c>
      <c r="O117" s="1500" t="n"/>
      <c r="P117" s="1500" t="n"/>
      <c r="Q117" s="1427" t="inlineStr">
        <is>
          <t>.</t>
        </is>
      </c>
      <c r="R117" s="1491" t="n"/>
      <c r="S117" s="1491" t="n"/>
      <c r="T117" s="1491" t="n"/>
      <c r="U117" s="1491" t="n"/>
      <c r="V117" s="1491" t="n"/>
      <c r="W117" s="1491" t="n"/>
      <c r="X117" s="1491" t="n"/>
      <c r="Y117" s="1491" t="n"/>
      <c r="Z117" s="1427" t="inlineStr">
        <is>
          <t>.</t>
        </is>
      </c>
      <c r="AA117" s="1473">
        <f>IF(AB117&lt;&gt;"",AA116+1,AA116)</f>
        <v/>
      </c>
      <c r="AB117" s="1534" t="inlineStr">
        <is>
          <t>Miami-Rio</t>
        </is>
      </c>
      <c r="AC117" s="1473">
        <f>IF(AD117&lt;&gt;"",AC116+1,AC116)</f>
        <v/>
      </c>
      <c r="AD117" s="1534" t="n"/>
      <c r="AE117" s="1427" t="inlineStr">
        <is>
          <t>.</t>
        </is>
      </c>
      <c r="AF117" s="1502" t="n">
        <v>113</v>
      </c>
      <c r="AG117" s="1500">
        <f>_xlfn.XLOOKUP(routes[[#This Row],[id]],$AA$5:$AA$300,$AB$5:$AB$300,"-")</f>
        <v/>
      </c>
      <c r="AH117" s="1500">
        <f>_xlfn.XLOOKUP(routes[[#This Row],[route]],routesUniv[route],routesUniv[outbound],"-")</f>
        <v/>
      </c>
      <c r="AI117" s="1500">
        <f>_xlfn.XLOOKUP(routes[[#This Row],[route]],routesUniv[route],routesUniv[inbound],"-")</f>
        <v/>
      </c>
      <c r="AJ117" s="1500">
        <f>_xlfn.XLOOKUP(routes[[#This Row],[route]],routesUniv[route],routesUniv[km],"-")</f>
        <v/>
      </c>
      <c r="AK117" s="1500">
        <f>COUNTIF(INPUT!BT$5:BT$1000,AG117)</f>
        <v/>
      </c>
      <c r="AL117" s="1505">
        <f>routes[[#This Row],[km]]*routes[[#This Row],[rpt]]/1000</f>
        <v/>
      </c>
      <c r="AM117" s="1481" t="inlineStr">
        <is>
          <t>.</t>
        </is>
      </c>
      <c r="AN117" s="1506" t="n"/>
      <c r="AO117" s="1500">
        <f>IF(AD117&lt;&gt;"",AD117,"-")</f>
        <v/>
      </c>
      <c r="AP117" s="1500">
        <f>_xlfn.XLOOKUP(cityRoutes[[#This Row],[city]],ccc[city],ccc[ctry],"-")</f>
        <v/>
      </c>
      <c r="AQ117" s="1500">
        <f>COUNTIF(INPUT!BR$5:BS$1000,AO117)</f>
        <v/>
      </c>
      <c r="AR117" s="1507">
        <f>(SUMIFS(routes[total],routes[outbound],AO117)+SUMIFS(routes[total],routes[inbound],AO117))/2</f>
        <v/>
      </c>
      <c r="AS117" s="1481" t="inlineStr">
        <is>
          <t>.</t>
        </is>
      </c>
      <c r="AT117" s="1491" t="n"/>
      <c r="AU117" s="1491" t="n"/>
      <c r="AV117" s="1491" t="n"/>
      <c r="AW117" s="1491" t="n"/>
      <c r="AX117" s="1491" t="n"/>
      <c r="AY117" s="1491" t="n"/>
      <c r="AZ117" s="1491" t="n"/>
      <c r="BA117" s="1491" t="n"/>
      <c r="BB117" s="1491" t="n"/>
      <c r="BC117" s="1491" t="n"/>
      <c r="BD117" s="1491" t="n"/>
      <c r="BE117" s="1491" t="n"/>
      <c r="BF117" s="1491" t="n"/>
      <c r="BG117" s="1491" t="n"/>
      <c r="BH117" s="1491" t="n"/>
      <c r="BI117" s="1491" t="n"/>
      <c r="BJ117" s="1491" t="n"/>
      <c r="BK117" s="1491" t="n"/>
      <c r="BL117" s="1491" t="n"/>
      <c r="BM117" s="1491" t="n"/>
      <c r="BN117" s="1491" t="n"/>
      <c r="BO117" s="1467" t="n"/>
      <c r="BP117" s="1514" t="n">
        <v>113</v>
      </c>
      <c r="BQ117" s="1513">
        <f>[1]Sheet1!C118</f>
        <v/>
      </c>
      <c r="BR117" s="1515">
        <f>[1]Sheet1!D118</f>
        <v/>
      </c>
      <c r="BS117" s="1513">
        <f>[1]Sheet1!E118</f>
        <v/>
      </c>
      <c r="BT117" s="1515">
        <f>[1]Sheet1!F118</f>
        <v/>
      </c>
      <c r="BU117" s="1516">
        <f>[1]Sheet1!G118</f>
        <v/>
      </c>
      <c r="BV117" s="1513">
        <f>[1]Sheet1!H118</f>
        <v/>
      </c>
      <c r="BW117" s="1467" t="n"/>
      <c r="BX117" s="1491">
        <f>[1]Sheet1!$J118</f>
        <v/>
      </c>
      <c r="BY117" s="1517">
        <f>[1]Sheet1!$K118</f>
        <v/>
      </c>
      <c r="BZ117" s="1517">
        <f>[1]Sheet1!$L118</f>
        <v/>
      </c>
      <c r="CA117" s="1500">
        <f>[1]Sheet1!$M118</f>
        <v/>
      </c>
      <c r="CB117" s="1467" t="n"/>
      <c r="CC117" s="1467" t="n"/>
      <c r="CD117" s="1491" t="n"/>
      <c r="CE117" s="1491" t="n"/>
      <c r="CF117" s="1491" t="n"/>
      <c r="CG117" s="1491" t="n"/>
      <c r="CH117" s="1491" t="n"/>
      <c r="CI117" s="1491" t="n"/>
      <c r="CJ117" s="1491" t="n"/>
      <c r="CK117" s="1435" t="n"/>
      <c r="CL117" s="1521" t="n">
        <v>112</v>
      </c>
      <c r="CM117" s="1513" t="inlineStr">
        <is>
          <t>Porto-Montreal</t>
        </is>
      </c>
      <c r="CN117" s="1513" t="inlineStr">
        <is>
          <t>Porto</t>
        </is>
      </c>
      <c r="CO117" s="1513" t="inlineStr">
        <is>
          <t>Montreal</t>
        </is>
      </c>
      <c r="CP117" s="1514" t="n">
        <v>5100</v>
      </c>
      <c r="CQ117" s="1435" t="n"/>
      <c r="CR117" s="1491" t="n"/>
      <c r="CS117" s="1491" t="n"/>
      <c r="CT117" s="1491" t="n"/>
      <c r="CU117" s="1491" t="n"/>
      <c r="CV117" s="1491" t="n"/>
      <c r="CW117" s="1491" t="n"/>
      <c r="CX117" s="1491" t="n"/>
    </row>
    <row r="118">
      <c r="A118" s="1491" t="n"/>
      <c r="B118" s="1491" t="n"/>
      <c r="C118" s="1491" t="n"/>
      <c r="D118" s="1497">
        <f>IF(E118&lt;&gt;"",D117+1,D117)</f>
        <v/>
      </c>
      <c r="E118" s="1497" t="inlineStr">
        <is>
          <t>Ephesus</t>
        </is>
      </c>
      <c r="F118" s="1535" t="inlineStr">
        <is>
          <t>.</t>
        </is>
      </c>
      <c r="G118" s="1498">
        <f>IF(H118="AIR",0,IF(H117="AIR",G116+1,IF(H118&lt;&gt;"",G117+1,G117)))</f>
        <v/>
      </c>
      <c r="H118" s="1498" t="inlineStr">
        <is>
          <t>Santorini</t>
        </is>
      </c>
      <c r="I118" s="1427" t="inlineStr">
        <is>
          <t>.</t>
        </is>
      </c>
      <c r="J118" s="1499" t="n">
        <v>113</v>
      </c>
      <c r="K118" s="1500">
        <f>_xlfn.XLOOKUP(cities[[#This Row],[id]],$D$5:$D$1500,E$5:E$1500,"-")</f>
        <v/>
      </c>
      <c r="L118" s="1500">
        <f>_xlfn.XLOOKUP(cities[[#This Row],[city]],ccc[city],ccc[ctry],"-")</f>
        <v/>
      </c>
      <c r="M118" s="1500">
        <f>SUMIFS(stayCity[stay],stayCity[city],cities[[#This Row],[city]])</f>
        <v/>
      </c>
      <c r="N118" s="1427">
        <f>N117+1</f>
        <v/>
      </c>
      <c r="O118" s="1500" t="n"/>
      <c r="P118" s="1500" t="n"/>
      <c r="Q118" s="1427" t="inlineStr">
        <is>
          <t>.</t>
        </is>
      </c>
      <c r="R118" s="1491" t="n"/>
      <c r="S118" s="1491" t="n"/>
      <c r="T118" s="1491" t="n"/>
      <c r="U118" s="1491" t="n"/>
      <c r="V118" s="1491" t="n"/>
      <c r="W118" s="1491" t="n"/>
      <c r="X118" s="1491" t="n"/>
      <c r="Y118" s="1491" t="n"/>
      <c r="Z118" s="1427" t="inlineStr">
        <is>
          <t>.</t>
        </is>
      </c>
      <c r="AA118" s="1473">
        <f>IF(AB118&lt;&gt;"",AA117+1,AA117)</f>
        <v/>
      </c>
      <c r="AB118" s="1534" t="inlineStr">
        <is>
          <t>Rio-Miami</t>
        </is>
      </c>
      <c r="AC118" s="1473">
        <f>IF(AD118&lt;&gt;"",AC117+1,AC117)</f>
        <v/>
      </c>
      <c r="AD118" s="1534" t="n"/>
      <c r="AE118" s="1427" t="inlineStr">
        <is>
          <t>.</t>
        </is>
      </c>
      <c r="AF118" s="1502" t="n">
        <v>114</v>
      </c>
      <c r="AG118" s="1500">
        <f>_xlfn.XLOOKUP(routes[[#This Row],[id]],$AA$5:$AA$300,$AB$5:$AB$300,"-")</f>
        <v/>
      </c>
      <c r="AH118" s="1500">
        <f>_xlfn.XLOOKUP(routes[[#This Row],[route]],routesUniv[route],routesUniv[outbound],"-")</f>
        <v/>
      </c>
      <c r="AI118" s="1500">
        <f>_xlfn.XLOOKUP(routes[[#This Row],[route]],routesUniv[route],routesUniv[inbound],"-")</f>
        <v/>
      </c>
      <c r="AJ118" s="1500">
        <f>_xlfn.XLOOKUP(routes[[#This Row],[route]],routesUniv[route],routesUniv[km],"-")</f>
        <v/>
      </c>
      <c r="AK118" s="1500">
        <f>COUNTIF(INPUT!BT$5:BT$1000,AG118)</f>
        <v/>
      </c>
      <c r="AL118" s="1505">
        <f>routes[[#This Row],[km]]*routes[[#This Row],[rpt]]/1000</f>
        <v/>
      </c>
      <c r="AM118" s="1481" t="inlineStr">
        <is>
          <t>.</t>
        </is>
      </c>
      <c r="AN118" s="1506" t="n"/>
      <c r="AO118" s="1500">
        <f>IF(AD118&lt;&gt;"",AD118,"-")</f>
        <v/>
      </c>
      <c r="AP118" s="1500">
        <f>_xlfn.XLOOKUP(cityRoutes[[#This Row],[city]],ccc[city],ccc[ctry],"-")</f>
        <v/>
      </c>
      <c r="AQ118" s="1500">
        <f>COUNTIF(INPUT!BR$5:BS$1000,AO118)</f>
        <v/>
      </c>
      <c r="AR118" s="1507">
        <f>(SUMIFS(routes[total],routes[outbound],AO118)+SUMIFS(routes[total],routes[inbound],AO118))/2</f>
        <v/>
      </c>
      <c r="AS118" s="1481" t="inlineStr">
        <is>
          <t>.</t>
        </is>
      </c>
      <c r="AT118" s="1491" t="n"/>
      <c r="AU118" s="1491" t="n"/>
      <c r="AV118" s="1491" t="n"/>
      <c r="AW118" s="1491" t="n"/>
      <c r="AX118" s="1491" t="n"/>
      <c r="AY118" s="1491" t="n"/>
      <c r="AZ118" s="1491" t="n"/>
      <c r="BA118" s="1491" t="n"/>
      <c r="BB118" s="1491" t="n"/>
      <c r="BC118" s="1491" t="n"/>
      <c r="BD118" s="1491" t="n"/>
      <c r="BE118" s="1491" t="n"/>
      <c r="BF118" s="1491" t="n"/>
      <c r="BG118" s="1491" t="n"/>
      <c r="BH118" s="1491" t="n"/>
      <c r="BI118" s="1491" t="n"/>
      <c r="BJ118" s="1491" t="n"/>
      <c r="BK118" s="1491" t="n"/>
      <c r="BL118" s="1491" t="n"/>
      <c r="BM118" s="1491" t="n"/>
      <c r="BN118" s="1491" t="n"/>
      <c r="BO118" s="1467" t="n"/>
      <c r="BP118" s="1514" t="n">
        <v>114</v>
      </c>
      <c r="BQ118" s="1513">
        <f>[1]Sheet1!C119</f>
        <v/>
      </c>
      <c r="BR118" s="1515">
        <f>[1]Sheet1!D119</f>
        <v/>
      </c>
      <c r="BS118" s="1513">
        <f>[1]Sheet1!E119</f>
        <v/>
      </c>
      <c r="BT118" s="1515">
        <f>[1]Sheet1!F119</f>
        <v/>
      </c>
      <c r="BU118" s="1516">
        <f>[1]Sheet1!G119</f>
        <v/>
      </c>
      <c r="BV118" s="1513">
        <f>[1]Sheet1!H119</f>
        <v/>
      </c>
      <c r="BW118" s="1467" t="n"/>
      <c r="BX118" s="1491">
        <f>[1]Sheet1!$J119</f>
        <v/>
      </c>
      <c r="BY118" s="1517">
        <f>[1]Sheet1!$K119</f>
        <v/>
      </c>
      <c r="BZ118" s="1517">
        <f>[1]Sheet1!$L119</f>
        <v/>
      </c>
      <c r="CA118" s="1500">
        <f>[1]Sheet1!$M119</f>
        <v/>
      </c>
      <c r="CB118" s="1467" t="n"/>
      <c r="CC118" s="1467" t="n"/>
      <c r="CD118" s="1491" t="n"/>
      <c r="CE118" s="1491" t="n"/>
      <c r="CF118" s="1491" t="n"/>
      <c r="CG118" s="1491" t="n"/>
      <c r="CH118" s="1491" t="n"/>
      <c r="CI118" s="1491" t="n"/>
      <c r="CJ118" s="1491" t="n"/>
      <c r="CK118" s="1435" t="n"/>
      <c r="CL118" s="1521" t="n">
        <v>171</v>
      </c>
      <c r="CM118" s="1513" t="inlineStr">
        <is>
          <t>Porto-Paris</t>
        </is>
      </c>
      <c r="CN118" s="1513" t="inlineStr">
        <is>
          <t>Porto</t>
        </is>
      </c>
      <c r="CO118" s="1513" t="inlineStr">
        <is>
          <t>Paris</t>
        </is>
      </c>
      <c r="CP118" s="1514" t="n">
        <v>1200</v>
      </c>
      <c r="CQ118" s="1435" t="n"/>
      <c r="CR118" s="1491" t="n"/>
      <c r="CS118" s="1491" t="n"/>
      <c r="CT118" s="1491" t="n"/>
      <c r="CU118" s="1491" t="n"/>
      <c r="CV118" s="1491" t="n"/>
      <c r="CW118" s="1491" t="n"/>
      <c r="CX118" s="1491" t="n"/>
    </row>
    <row r="119">
      <c r="A119" s="1491" t="n"/>
      <c r="B119" s="1491" t="n"/>
      <c r="C119" s="1491" t="n"/>
      <c r="D119" s="1497">
        <f>IF(E119&lt;&gt;"",D118+1,D118)</f>
        <v/>
      </c>
      <c r="E119" s="1497" t="inlineStr">
        <is>
          <t>Instambul-A</t>
        </is>
      </c>
      <c r="F119" s="1535" t="inlineStr">
        <is>
          <t>.</t>
        </is>
      </c>
      <c r="G119" s="1498">
        <f>IF(H119="AIR",0,IF(H118="AIR",G117+1,IF(H119&lt;&gt;"",G118+1,G118)))</f>
        <v/>
      </c>
      <c r="H119" s="1498" t="inlineStr">
        <is>
          <t>Lindos</t>
        </is>
      </c>
      <c r="I119" s="1427" t="inlineStr">
        <is>
          <t>.</t>
        </is>
      </c>
      <c r="J119" s="1499" t="n">
        <v>114</v>
      </c>
      <c r="K119" s="1500">
        <f>_xlfn.XLOOKUP(cities[[#This Row],[id]],$D$5:$D$1500,E$5:E$1500,"-")</f>
        <v/>
      </c>
      <c r="L119" s="1500">
        <f>_xlfn.XLOOKUP(cities[[#This Row],[city]],ccc[city],ccc[ctry],"-")</f>
        <v/>
      </c>
      <c r="M119" s="1500">
        <f>SUMIFS(stayCity[stay],stayCity[city],cities[[#This Row],[city]])</f>
        <v/>
      </c>
      <c r="N119" s="1427">
        <f>N118+1</f>
        <v/>
      </c>
      <c r="O119" s="1500" t="n"/>
      <c r="P119" s="1500" t="n"/>
      <c r="Q119" s="1427" t="inlineStr">
        <is>
          <t>.</t>
        </is>
      </c>
      <c r="R119" s="1491" t="n"/>
      <c r="S119" s="1491" t="n"/>
      <c r="T119" s="1491" t="n"/>
      <c r="U119" s="1491" t="n"/>
      <c r="V119" s="1491" t="n"/>
      <c r="W119" s="1491" t="n"/>
      <c r="X119" s="1491" t="n"/>
      <c r="Y119" s="1491" t="n"/>
      <c r="Z119" s="1427" t="inlineStr">
        <is>
          <t>.</t>
        </is>
      </c>
      <c r="AA119" s="1473">
        <f>IF(AB119&lt;&gt;"",AA118+1,AA118)</f>
        <v/>
      </c>
      <c r="AB119" s="1534" t="inlineStr">
        <is>
          <t>SSA-Miami</t>
        </is>
      </c>
      <c r="AC119" s="1473">
        <f>IF(AD119&lt;&gt;"",AC118+1,AC118)</f>
        <v/>
      </c>
      <c r="AD119" s="1534" t="n"/>
      <c r="AE119" s="1427" t="inlineStr">
        <is>
          <t>.</t>
        </is>
      </c>
      <c r="AF119" s="1502" t="n">
        <v>115</v>
      </c>
      <c r="AG119" s="1500">
        <f>_xlfn.XLOOKUP(routes[[#This Row],[id]],$AA$5:$AA$300,$AB$5:$AB$300,"-")</f>
        <v/>
      </c>
      <c r="AH119" s="1500">
        <f>_xlfn.XLOOKUP(routes[[#This Row],[route]],routesUniv[route],routesUniv[outbound],"-")</f>
        <v/>
      </c>
      <c r="AI119" s="1500">
        <f>_xlfn.XLOOKUP(routes[[#This Row],[route]],routesUniv[route],routesUniv[inbound],"-")</f>
        <v/>
      </c>
      <c r="AJ119" s="1500">
        <f>_xlfn.XLOOKUP(routes[[#This Row],[route]],routesUniv[route],routesUniv[km],"-")</f>
        <v/>
      </c>
      <c r="AK119" s="1500">
        <f>COUNTIF(INPUT!BT$5:BT$1000,AG119)</f>
        <v/>
      </c>
      <c r="AL119" s="1505">
        <f>routes[[#This Row],[km]]*routes[[#This Row],[rpt]]/1000</f>
        <v/>
      </c>
      <c r="AM119" s="1481" t="inlineStr">
        <is>
          <t>.</t>
        </is>
      </c>
      <c r="AN119" s="1506" t="n"/>
      <c r="AO119" s="1500">
        <f>IF(AD119&lt;&gt;"",AD119,"-")</f>
        <v/>
      </c>
      <c r="AP119" s="1500">
        <f>_xlfn.XLOOKUP(cityRoutes[[#This Row],[city]],ccc[city],ccc[ctry],"-")</f>
        <v/>
      </c>
      <c r="AQ119" s="1500">
        <f>COUNTIF(INPUT!BR$5:BS$1000,AO119)</f>
        <v/>
      </c>
      <c r="AR119" s="1507">
        <f>(SUMIFS(routes[total],routes[outbound],AO119)+SUMIFS(routes[total],routes[inbound],AO119))/2</f>
        <v/>
      </c>
      <c r="AS119" s="1481" t="inlineStr">
        <is>
          <t>.</t>
        </is>
      </c>
      <c r="AT119" s="1491" t="n"/>
      <c r="AU119" s="1491" t="n"/>
      <c r="AV119" s="1491" t="n"/>
      <c r="AW119" s="1491" t="n"/>
      <c r="AX119" s="1491" t="n"/>
      <c r="AY119" s="1491" t="n"/>
      <c r="AZ119" s="1491" t="n"/>
      <c r="BA119" s="1491" t="n"/>
      <c r="BB119" s="1491" t="n"/>
      <c r="BC119" s="1491" t="n"/>
      <c r="BD119" s="1491" t="n"/>
      <c r="BE119" s="1491" t="n"/>
      <c r="BF119" s="1491" t="n"/>
      <c r="BG119" s="1491" t="n"/>
      <c r="BH119" s="1491" t="n"/>
      <c r="BI119" s="1491" t="n"/>
      <c r="BJ119" s="1491" t="n"/>
      <c r="BK119" s="1491" t="n"/>
      <c r="BL119" s="1491" t="n"/>
      <c r="BM119" s="1491" t="n"/>
      <c r="BN119" s="1491" t="n"/>
      <c r="BO119" s="1467" t="n"/>
      <c r="BP119" s="1514" t="n">
        <v>115</v>
      </c>
      <c r="BQ119" s="1513">
        <f>[1]Sheet1!C120</f>
        <v/>
      </c>
      <c r="BR119" s="1515">
        <f>[1]Sheet1!D120</f>
        <v/>
      </c>
      <c r="BS119" s="1513">
        <f>[1]Sheet1!E120</f>
        <v/>
      </c>
      <c r="BT119" s="1515">
        <f>[1]Sheet1!F120</f>
        <v/>
      </c>
      <c r="BU119" s="1516">
        <f>[1]Sheet1!G120</f>
        <v/>
      </c>
      <c r="BV119" s="1513">
        <f>[1]Sheet1!H120</f>
        <v/>
      </c>
      <c r="BW119" s="1467" t="n"/>
      <c r="BX119" s="1491">
        <f>[1]Sheet1!$J120</f>
        <v/>
      </c>
      <c r="BY119" s="1517">
        <f>[1]Sheet1!$K120</f>
        <v/>
      </c>
      <c r="BZ119" s="1517">
        <f>[1]Sheet1!$L120</f>
        <v/>
      </c>
      <c r="CA119" s="1500">
        <f>[1]Sheet1!$M120</f>
        <v/>
      </c>
      <c r="CB119" s="1467" t="n"/>
      <c r="CC119" s="1467" t="n"/>
      <c r="CD119" s="1491" t="n"/>
      <c r="CE119" s="1491" t="n"/>
      <c r="CF119" s="1491" t="n"/>
      <c r="CG119" s="1491" t="n"/>
      <c r="CH119" s="1491" t="n"/>
      <c r="CI119" s="1491" t="n"/>
      <c r="CJ119" s="1491" t="n"/>
      <c r="CK119" s="1435" t="n"/>
      <c r="CL119" s="1521" t="n">
        <v>173</v>
      </c>
      <c r="CM119" s="1513" t="inlineStr">
        <is>
          <t>Porto-Rome</t>
        </is>
      </c>
      <c r="CN119" s="1513" t="inlineStr">
        <is>
          <t>Porto</t>
        </is>
      </c>
      <c r="CO119" s="1513" t="inlineStr">
        <is>
          <t>Rome</t>
        </is>
      </c>
      <c r="CP119" s="1514" t="n">
        <v>1800</v>
      </c>
      <c r="CQ119" s="1435" t="n"/>
      <c r="CR119" s="1491" t="n"/>
      <c r="CS119" s="1491" t="n"/>
      <c r="CT119" s="1491" t="n"/>
      <c r="CU119" s="1491" t="n"/>
      <c r="CV119" s="1491" t="n"/>
      <c r="CW119" s="1491" t="n"/>
      <c r="CX119" s="1491" t="n"/>
    </row>
    <row r="120">
      <c r="A120" s="1491" t="n"/>
      <c r="B120" s="1491" t="n"/>
      <c r="C120" s="1491" t="n"/>
      <c r="D120" s="1497">
        <f>IF(E120&lt;&gt;"",D119+1,D119)</f>
        <v/>
      </c>
      <c r="E120" s="1497" t="inlineStr">
        <is>
          <t>Instambul-E</t>
        </is>
      </c>
      <c r="F120" s="1535" t="inlineStr">
        <is>
          <t>.</t>
        </is>
      </c>
      <c r="G120" s="1498">
        <f>IF(H120="AIR",0,IF(H119="AIR",G118+1,IF(H120&lt;&gt;"",G119+1,G119)))</f>
        <v/>
      </c>
      <c r="H120" s="1498" t="inlineStr">
        <is>
          <t>Rhodes</t>
        </is>
      </c>
      <c r="I120" s="1427" t="inlineStr">
        <is>
          <t>.</t>
        </is>
      </c>
      <c r="J120" s="1499" t="n">
        <v>115</v>
      </c>
      <c r="K120" s="1500">
        <f>_xlfn.XLOOKUP(cities[[#This Row],[id]],$D$5:$D$1500,E$5:E$1500,"-")</f>
        <v/>
      </c>
      <c r="L120" s="1500">
        <f>_xlfn.XLOOKUP(cities[[#This Row],[city]],ccc[city],ccc[ctry],"-")</f>
        <v/>
      </c>
      <c r="M120" s="1500">
        <f>SUMIFS(stayCity[stay],stayCity[city],cities[[#This Row],[city]])</f>
        <v/>
      </c>
      <c r="N120" s="1427">
        <f>N119+1</f>
        <v/>
      </c>
      <c r="O120" s="1500" t="n"/>
      <c r="P120" s="1500" t="n"/>
      <c r="Q120" s="1427" t="inlineStr">
        <is>
          <t>.</t>
        </is>
      </c>
      <c r="R120" s="1491" t="n"/>
      <c r="S120" s="1491" t="n"/>
      <c r="T120" s="1491" t="n"/>
      <c r="U120" s="1491" t="n"/>
      <c r="V120" s="1491" t="n"/>
      <c r="W120" s="1491" t="n"/>
      <c r="X120" s="1491" t="n"/>
      <c r="Y120" s="1491" t="n"/>
      <c r="Z120" s="1427" t="inlineStr">
        <is>
          <t>.</t>
        </is>
      </c>
      <c r="AA120" s="1473">
        <f>IF(AB120&lt;&gt;"",AA119+1,AA119)</f>
        <v/>
      </c>
      <c r="AB120" s="1534" t="inlineStr">
        <is>
          <t>Montreal-Toronto</t>
        </is>
      </c>
      <c r="AC120" s="1473">
        <f>IF(AD120&lt;&gt;"",AC119+1,AC119)</f>
        <v/>
      </c>
      <c r="AD120" s="1534" t="n"/>
      <c r="AE120" s="1427" t="inlineStr">
        <is>
          <t>.</t>
        </is>
      </c>
      <c r="AF120" s="1502" t="n">
        <v>116</v>
      </c>
      <c r="AG120" s="1500">
        <f>_xlfn.XLOOKUP(routes[[#This Row],[id]],$AA$5:$AA$300,$AB$5:$AB$300,"-")</f>
        <v/>
      </c>
      <c r="AH120" s="1500">
        <f>_xlfn.XLOOKUP(routes[[#This Row],[route]],routesUniv[route],routesUniv[outbound],"-")</f>
        <v/>
      </c>
      <c r="AI120" s="1500">
        <f>_xlfn.XLOOKUP(routes[[#This Row],[route]],routesUniv[route],routesUniv[inbound],"-")</f>
        <v/>
      </c>
      <c r="AJ120" s="1500">
        <f>_xlfn.XLOOKUP(routes[[#This Row],[route]],routesUniv[route],routesUniv[km],"-")</f>
        <v/>
      </c>
      <c r="AK120" s="1500">
        <f>COUNTIF(INPUT!BT$5:BT$1000,AG120)</f>
        <v/>
      </c>
      <c r="AL120" s="1505">
        <f>routes[[#This Row],[km]]*routes[[#This Row],[rpt]]/1000</f>
        <v/>
      </c>
      <c r="AM120" s="1481" t="inlineStr">
        <is>
          <t>.</t>
        </is>
      </c>
      <c r="AN120" s="1506" t="n"/>
      <c r="AO120" s="1500">
        <f>IF(AD120&lt;&gt;"",AD120,"-")</f>
        <v/>
      </c>
      <c r="AP120" s="1500">
        <f>_xlfn.XLOOKUP(cityRoutes[[#This Row],[city]],ccc[city],ccc[ctry],"-")</f>
        <v/>
      </c>
      <c r="AQ120" s="1500">
        <f>COUNTIF(INPUT!BR$5:BS$1000,AO120)</f>
        <v/>
      </c>
      <c r="AR120" s="1507">
        <f>(SUMIFS(routes[total],routes[outbound],AO120)+SUMIFS(routes[total],routes[inbound],AO120))/2</f>
        <v/>
      </c>
      <c r="AS120" s="1481" t="inlineStr">
        <is>
          <t>.</t>
        </is>
      </c>
      <c r="AT120" s="1491" t="n"/>
      <c r="AU120" s="1491" t="n"/>
      <c r="AV120" s="1491" t="n"/>
      <c r="AW120" s="1491" t="n"/>
      <c r="AX120" s="1491" t="n"/>
      <c r="AY120" s="1491" t="n"/>
      <c r="AZ120" s="1491" t="n"/>
      <c r="BA120" s="1491" t="n"/>
      <c r="BB120" s="1491" t="n"/>
      <c r="BC120" s="1491" t="n"/>
      <c r="BD120" s="1491" t="n"/>
      <c r="BE120" s="1491" t="n"/>
      <c r="BF120" s="1491" t="n"/>
      <c r="BG120" s="1491" t="n"/>
      <c r="BH120" s="1491" t="n"/>
      <c r="BI120" s="1491" t="n"/>
      <c r="BJ120" s="1491" t="n"/>
      <c r="BK120" s="1491" t="n"/>
      <c r="BL120" s="1491" t="n"/>
      <c r="BM120" s="1491" t="n"/>
      <c r="BN120" s="1491" t="n"/>
      <c r="BO120" s="1467" t="n"/>
      <c r="BP120" s="1514" t="n">
        <v>116</v>
      </c>
      <c r="BQ120" s="1513">
        <f>[1]Sheet1!C121</f>
        <v/>
      </c>
      <c r="BR120" s="1515">
        <f>[1]Sheet1!D121</f>
        <v/>
      </c>
      <c r="BS120" s="1513">
        <f>[1]Sheet1!E121</f>
        <v/>
      </c>
      <c r="BT120" s="1515">
        <f>[1]Sheet1!F121</f>
        <v/>
      </c>
      <c r="BU120" s="1516">
        <f>[1]Sheet1!G121</f>
        <v/>
      </c>
      <c r="BV120" s="1513">
        <f>[1]Sheet1!H121</f>
        <v/>
      </c>
      <c r="BW120" s="1467" t="n"/>
      <c r="BX120" s="1491">
        <f>[1]Sheet1!$J121</f>
        <v/>
      </c>
      <c r="BY120" s="1517">
        <f>[1]Sheet1!$K121</f>
        <v/>
      </c>
      <c r="BZ120" s="1517">
        <f>[1]Sheet1!$L121</f>
        <v/>
      </c>
      <c r="CA120" s="1500">
        <f>[1]Sheet1!$M121</f>
        <v/>
      </c>
      <c r="CB120" s="1467" t="n"/>
      <c r="CC120" s="1467" t="n"/>
      <c r="CD120" s="1491" t="n"/>
      <c r="CE120" s="1491" t="n"/>
      <c r="CF120" s="1491" t="n"/>
      <c r="CG120" s="1491" t="n"/>
      <c r="CH120" s="1491" t="n"/>
      <c r="CI120" s="1491" t="n"/>
      <c r="CJ120" s="1491" t="n"/>
      <c r="CK120" s="1435" t="n"/>
      <c r="CL120" s="1521" t="n">
        <v>113</v>
      </c>
      <c r="CM120" s="1513" t="inlineStr">
        <is>
          <t>Praga-Paris</t>
        </is>
      </c>
      <c r="CN120" s="1513" t="inlineStr">
        <is>
          <t>Praga</t>
        </is>
      </c>
      <c r="CO120" s="1513" t="inlineStr">
        <is>
          <t>Paris</t>
        </is>
      </c>
      <c r="CP120" s="1514" t="n">
        <v>900</v>
      </c>
      <c r="CQ120" s="1435" t="n"/>
      <c r="CR120" s="1491" t="n"/>
      <c r="CS120" s="1491" t="n"/>
      <c r="CT120" s="1491" t="n"/>
      <c r="CU120" s="1491" t="n"/>
      <c r="CV120" s="1491" t="n"/>
      <c r="CW120" s="1491" t="n"/>
      <c r="CX120" s="1491" t="n"/>
    </row>
    <row r="121">
      <c r="A121" s="1491" t="n"/>
      <c r="B121" s="1491" t="n"/>
      <c r="C121" s="1491" t="n"/>
      <c r="D121" s="1497">
        <f>IF(E121&lt;&gt;"",D120+1,D120)</f>
        <v/>
      </c>
      <c r="E121" s="1497" t="inlineStr">
        <is>
          <t>Mikonos</t>
        </is>
      </c>
      <c r="F121" s="1535" t="inlineStr">
        <is>
          <t>.</t>
        </is>
      </c>
      <c r="G121" s="1498">
        <f>IF(H121="AIR",0,IF(H120="AIR",G119+1,IF(H121&lt;&gt;"",G120+1,G120)))</f>
        <v/>
      </c>
      <c r="H121" s="1498" t="inlineStr">
        <is>
          <t>Ephesus</t>
        </is>
      </c>
      <c r="I121" s="1427" t="inlineStr">
        <is>
          <t>.</t>
        </is>
      </c>
      <c r="J121" s="1499" t="n">
        <v>116</v>
      </c>
      <c r="K121" s="1500">
        <f>_xlfn.XLOOKUP(cities[[#This Row],[id]],$D$5:$D$1500,E$5:E$1500,"-")</f>
        <v/>
      </c>
      <c r="L121" s="1500">
        <f>_xlfn.XLOOKUP(cities[[#This Row],[city]],ccc[city],ccc[ctry],"-")</f>
        <v/>
      </c>
      <c r="M121" s="1500">
        <f>SUMIFS(stayCity[stay],stayCity[city],cities[[#This Row],[city]])</f>
        <v/>
      </c>
      <c r="N121" s="1427">
        <f>N120+1</f>
        <v/>
      </c>
      <c r="O121" s="1500" t="n"/>
      <c r="P121" s="1500" t="n"/>
      <c r="Q121" s="1427" t="inlineStr">
        <is>
          <t>.</t>
        </is>
      </c>
      <c r="R121" s="1491" t="n"/>
      <c r="S121" s="1491" t="n"/>
      <c r="T121" s="1491" t="n"/>
      <c r="U121" s="1491" t="n"/>
      <c r="V121" s="1491" t="n"/>
      <c r="W121" s="1491" t="n"/>
      <c r="X121" s="1491" t="n"/>
      <c r="Y121" s="1491" t="n"/>
      <c r="Z121" s="1427" t="inlineStr">
        <is>
          <t>.</t>
        </is>
      </c>
      <c r="AA121" s="1473">
        <f>IF(AB121&lt;&gt;"",AA120+1,AA120)</f>
        <v/>
      </c>
      <c r="AB121" s="1534" t="inlineStr">
        <is>
          <t>Toronto-Montreal</t>
        </is>
      </c>
      <c r="AC121" s="1473">
        <f>IF(AD121&lt;&gt;"",AC120+1,AC120)</f>
        <v/>
      </c>
      <c r="AD121" s="1534" t="n"/>
      <c r="AE121" s="1427" t="inlineStr">
        <is>
          <t>.</t>
        </is>
      </c>
      <c r="AF121" s="1502" t="n">
        <v>117</v>
      </c>
      <c r="AG121" s="1500">
        <f>_xlfn.XLOOKUP(routes[[#This Row],[id]],$AA$5:$AA$300,$AB$5:$AB$300,"-")</f>
        <v/>
      </c>
      <c r="AH121" s="1500">
        <f>_xlfn.XLOOKUP(routes[[#This Row],[route]],routesUniv[route],routesUniv[outbound],"-")</f>
        <v/>
      </c>
      <c r="AI121" s="1500">
        <f>_xlfn.XLOOKUP(routes[[#This Row],[route]],routesUniv[route],routesUniv[inbound],"-")</f>
        <v/>
      </c>
      <c r="AJ121" s="1500">
        <f>_xlfn.XLOOKUP(routes[[#This Row],[route]],routesUniv[route],routesUniv[km],"-")</f>
        <v/>
      </c>
      <c r="AK121" s="1500">
        <f>COUNTIF(INPUT!BT$5:BT$1000,AG121)</f>
        <v/>
      </c>
      <c r="AL121" s="1505">
        <f>routes[[#This Row],[km]]*routes[[#This Row],[rpt]]/1000</f>
        <v/>
      </c>
      <c r="AM121" s="1481" t="inlineStr">
        <is>
          <t>.</t>
        </is>
      </c>
      <c r="AN121" s="1506" t="n"/>
      <c r="AO121" s="1500">
        <f>IF(AD121&lt;&gt;"",AD121,"-")</f>
        <v/>
      </c>
      <c r="AP121" s="1500">
        <f>_xlfn.XLOOKUP(cityRoutes[[#This Row],[city]],ccc[city],ccc[ctry],"-")</f>
        <v/>
      </c>
      <c r="AQ121" s="1500">
        <f>COUNTIF(INPUT!BR$5:BS$1000,AO121)</f>
        <v/>
      </c>
      <c r="AR121" s="1507">
        <f>(SUMIFS(routes[total],routes[outbound],AO121)+SUMIFS(routes[total],routes[inbound],AO121))/2</f>
        <v/>
      </c>
      <c r="AS121" s="1481" t="inlineStr">
        <is>
          <t>.</t>
        </is>
      </c>
      <c r="AT121" s="1491" t="n"/>
      <c r="AU121" s="1491" t="n"/>
      <c r="AV121" s="1491" t="n"/>
      <c r="AW121" s="1491" t="n"/>
      <c r="AX121" s="1491" t="n"/>
      <c r="AY121" s="1491" t="n"/>
      <c r="AZ121" s="1491" t="n"/>
      <c r="BA121" s="1491" t="n"/>
      <c r="BB121" s="1491" t="n"/>
      <c r="BC121" s="1491" t="n"/>
      <c r="BD121" s="1491" t="n"/>
      <c r="BE121" s="1491" t="n"/>
      <c r="BF121" s="1491" t="n"/>
      <c r="BG121" s="1491" t="n"/>
      <c r="BH121" s="1491" t="n"/>
      <c r="BI121" s="1491" t="n"/>
      <c r="BJ121" s="1491" t="n"/>
      <c r="BK121" s="1491" t="n"/>
      <c r="BL121" s="1491" t="n"/>
      <c r="BM121" s="1491" t="n"/>
      <c r="BN121" s="1491" t="n"/>
      <c r="BO121" s="1467" t="n"/>
      <c r="BP121" s="1514" t="n">
        <v>117</v>
      </c>
      <c r="BQ121" s="1513">
        <f>[1]Sheet1!C122</f>
        <v/>
      </c>
      <c r="BR121" s="1515">
        <f>[1]Sheet1!D122</f>
        <v/>
      </c>
      <c r="BS121" s="1513">
        <f>[1]Sheet1!E122</f>
        <v/>
      </c>
      <c r="BT121" s="1515">
        <f>[1]Sheet1!F122</f>
        <v/>
      </c>
      <c r="BU121" s="1516">
        <f>[1]Sheet1!G122</f>
        <v/>
      </c>
      <c r="BV121" s="1513">
        <f>[1]Sheet1!H122</f>
        <v/>
      </c>
      <c r="BW121" s="1467" t="n"/>
      <c r="BX121" s="1491">
        <f>[1]Sheet1!$J122</f>
        <v/>
      </c>
      <c r="BY121" s="1517">
        <f>[1]Sheet1!$K122</f>
        <v/>
      </c>
      <c r="BZ121" s="1517">
        <f>[1]Sheet1!$L122</f>
        <v/>
      </c>
      <c r="CA121" s="1500">
        <f>[1]Sheet1!$M122</f>
        <v/>
      </c>
      <c r="CB121" s="1467" t="n"/>
      <c r="CC121" s="1467" t="n"/>
      <c r="CD121" s="1491" t="n"/>
      <c r="CE121" s="1491" t="n"/>
      <c r="CF121" s="1491" t="n"/>
      <c r="CG121" s="1491" t="n"/>
      <c r="CH121" s="1491" t="n"/>
      <c r="CI121" s="1491" t="n"/>
      <c r="CJ121" s="1491" t="n"/>
      <c r="CK121" s="1435" t="n"/>
      <c r="CL121" s="1521" t="n">
        <v>114</v>
      </c>
      <c r="CM121" s="1513" t="inlineStr">
        <is>
          <t>Recife-Joao Pessoa</t>
        </is>
      </c>
      <c r="CN121" s="1513" t="inlineStr">
        <is>
          <t>Recife</t>
        </is>
      </c>
      <c r="CO121" s="1513" t="inlineStr">
        <is>
          <t>Joao Pessoa</t>
        </is>
      </c>
      <c r="CP121" s="1514" t="n">
        <v>100</v>
      </c>
      <c r="CQ121" s="1435" t="n"/>
      <c r="CR121" s="1491" t="n"/>
      <c r="CS121" s="1491" t="n"/>
      <c r="CT121" s="1491" t="n"/>
      <c r="CU121" s="1491" t="n"/>
      <c r="CV121" s="1491" t="n"/>
      <c r="CW121" s="1491" t="n"/>
      <c r="CX121" s="1491" t="n"/>
    </row>
    <row r="122">
      <c r="A122" s="1491" t="n"/>
      <c r="B122" s="1491" t="n"/>
      <c r="C122" s="1491" t="n"/>
      <c r="D122" s="1497">
        <f>IF(E122&lt;&gt;"",D121+1,D121)</f>
        <v/>
      </c>
      <c r="E122" s="1497" t="inlineStr">
        <is>
          <t>Gent</t>
        </is>
      </c>
      <c r="F122" s="1535" t="inlineStr">
        <is>
          <t>.</t>
        </is>
      </c>
      <c r="G122" s="1498">
        <f>IF(H122="AIR",0,IF(H121="AIR",G120+1,IF(H122&lt;&gt;"",G121+1,G121)))</f>
        <v/>
      </c>
      <c r="H122" s="1498" t="inlineStr">
        <is>
          <t>Instambul-A</t>
        </is>
      </c>
      <c r="I122" s="1427" t="inlineStr">
        <is>
          <t>.</t>
        </is>
      </c>
      <c r="J122" s="1499" t="n">
        <v>117</v>
      </c>
      <c r="K122" s="1500">
        <f>_xlfn.XLOOKUP(cities[[#This Row],[id]],$D$5:$D$1500,E$5:E$1500,"-")</f>
        <v/>
      </c>
      <c r="L122" s="1500">
        <f>_xlfn.XLOOKUP(cities[[#This Row],[city]],ccc[city],ccc[ctry],"-")</f>
        <v/>
      </c>
      <c r="M122" s="1500">
        <f>SUMIFS(stayCity[stay],stayCity[city],cities[[#This Row],[city]])</f>
        <v/>
      </c>
      <c r="N122" s="1427">
        <f>N121+1</f>
        <v/>
      </c>
      <c r="O122" s="1500" t="n"/>
      <c r="P122" s="1500" t="n"/>
      <c r="Q122" s="1427" t="inlineStr">
        <is>
          <t>.</t>
        </is>
      </c>
      <c r="R122" s="1491" t="n"/>
      <c r="S122" s="1491" t="n"/>
      <c r="T122" s="1491" t="n"/>
      <c r="U122" s="1491" t="n"/>
      <c r="V122" s="1491" t="n"/>
      <c r="W122" s="1491" t="n"/>
      <c r="X122" s="1491" t="n"/>
      <c r="Y122" s="1491" t="n"/>
      <c r="Z122" s="1427" t="inlineStr">
        <is>
          <t>.</t>
        </is>
      </c>
      <c r="AA122" s="1473">
        <f>IF(AB122&lt;&gt;"",AA121+1,AA121)</f>
        <v/>
      </c>
      <c r="AB122" s="1534" t="inlineStr">
        <is>
          <t>Montreal-NYC</t>
        </is>
      </c>
      <c r="AC122" s="1473">
        <f>IF(AD122&lt;&gt;"",AC121+1,AC121)</f>
        <v/>
      </c>
      <c r="AD122" s="1534" t="n"/>
      <c r="AE122" s="1427" t="inlineStr">
        <is>
          <t>.</t>
        </is>
      </c>
      <c r="AF122" s="1502" t="n">
        <v>118</v>
      </c>
      <c r="AG122" s="1500">
        <f>_xlfn.XLOOKUP(routes[[#This Row],[id]],$AA$5:$AA$300,$AB$5:$AB$300,"-")</f>
        <v/>
      </c>
      <c r="AH122" s="1500">
        <f>_xlfn.XLOOKUP(routes[[#This Row],[route]],routesUniv[route],routesUniv[outbound],"-")</f>
        <v/>
      </c>
      <c r="AI122" s="1500">
        <f>_xlfn.XLOOKUP(routes[[#This Row],[route]],routesUniv[route],routesUniv[inbound],"-")</f>
        <v/>
      </c>
      <c r="AJ122" s="1500">
        <f>_xlfn.XLOOKUP(routes[[#This Row],[route]],routesUniv[route],routesUniv[km],"-")</f>
        <v/>
      </c>
      <c r="AK122" s="1500">
        <f>COUNTIF(INPUT!BT$5:BT$1000,AG122)</f>
        <v/>
      </c>
      <c r="AL122" s="1505">
        <f>routes[[#This Row],[km]]*routes[[#This Row],[rpt]]/1000</f>
        <v/>
      </c>
      <c r="AM122" s="1481" t="inlineStr">
        <is>
          <t>.</t>
        </is>
      </c>
      <c r="AN122" s="1506" t="n"/>
      <c r="AO122" s="1500">
        <f>IF(AD122&lt;&gt;"",AD122,"-")</f>
        <v/>
      </c>
      <c r="AP122" s="1500">
        <f>_xlfn.XLOOKUP(cityRoutes[[#This Row],[city]],ccc[city],ccc[ctry],"-")</f>
        <v/>
      </c>
      <c r="AQ122" s="1500">
        <f>COUNTIF(INPUT!BR$5:BS$1000,AO122)</f>
        <v/>
      </c>
      <c r="AR122" s="1507">
        <f>(SUMIFS(routes[total],routes[outbound],AO122)+SUMIFS(routes[total],routes[inbound],AO122))/2</f>
        <v/>
      </c>
      <c r="AS122" s="1481" t="inlineStr">
        <is>
          <t>.</t>
        </is>
      </c>
      <c r="AT122" s="1491" t="n"/>
      <c r="AU122" s="1491" t="n"/>
      <c r="AV122" s="1491" t="n"/>
      <c r="AW122" s="1491" t="n"/>
      <c r="AX122" s="1491" t="n"/>
      <c r="AY122" s="1491" t="n"/>
      <c r="AZ122" s="1491" t="n"/>
      <c r="BA122" s="1491" t="n"/>
      <c r="BB122" s="1491" t="n"/>
      <c r="BC122" s="1491" t="n"/>
      <c r="BD122" s="1491" t="n"/>
      <c r="BE122" s="1491" t="n"/>
      <c r="BF122" s="1491" t="n"/>
      <c r="BG122" s="1491" t="n"/>
      <c r="BH122" s="1491" t="n"/>
      <c r="BI122" s="1491" t="n"/>
      <c r="BJ122" s="1491" t="n"/>
      <c r="BK122" s="1491" t="n"/>
      <c r="BL122" s="1491" t="n"/>
      <c r="BM122" s="1491" t="n"/>
      <c r="BN122" s="1491" t="n"/>
      <c r="BO122" s="1467" t="n"/>
      <c r="BP122" s="1514" t="n">
        <v>118</v>
      </c>
      <c r="BQ122" s="1513">
        <f>[1]Sheet1!C123</f>
        <v/>
      </c>
      <c r="BR122" s="1515">
        <f>[1]Sheet1!D123</f>
        <v/>
      </c>
      <c r="BS122" s="1513">
        <f>[1]Sheet1!E123</f>
        <v/>
      </c>
      <c r="BT122" s="1515">
        <f>[1]Sheet1!F123</f>
        <v/>
      </c>
      <c r="BU122" s="1516">
        <f>[1]Sheet1!G123</f>
        <v/>
      </c>
      <c r="BV122" s="1513">
        <f>[1]Sheet1!H123</f>
        <v/>
      </c>
      <c r="BW122" s="1467" t="n"/>
      <c r="BX122" s="1491">
        <f>[1]Sheet1!$J123</f>
        <v/>
      </c>
      <c r="BY122" s="1517">
        <f>[1]Sheet1!$K123</f>
        <v/>
      </c>
      <c r="BZ122" s="1517">
        <f>[1]Sheet1!$L123</f>
        <v/>
      </c>
      <c r="CA122" s="1500">
        <f>[1]Sheet1!$M123</f>
        <v/>
      </c>
      <c r="CB122" s="1467" t="n"/>
      <c r="CC122" s="1467" t="n"/>
      <c r="CD122" s="1491" t="n"/>
      <c r="CE122" s="1491" t="n"/>
      <c r="CF122" s="1491" t="n"/>
      <c r="CG122" s="1491" t="n"/>
      <c r="CH122" s="1491" t="n"/>
      <c r="CI122" s="1491" t="n"/>
      <c r="CJ122" s="1491" t="n"/>
      <c r="CK122" s="1435" t="n"/>
      <c r="CL122" s="1521" t="n">
        <v>115</v>
      </c>
      <c r="CM122" s="1500" t="inlineStr">
        <is>
          <t>Recife-Paris</t>
        </is>
      </c>
      <c r="CN122" s="1500" t="inlineStr">
        <is>
          <t>Recife</t>
        </is>
      </c>
      <c r="CO122" s="1500" t="inlineStr">
        <is>
          <t>Paris</t>
        </is>
      </c>
      <c r="CP122" s="1514" t="n">
        <v>7300</v>
      </c>
      <c r="CQ122" s="1435" t="n"/>
      <c r="CR122" s="1491" t="n"/>
      <c r="CS122" s="1491" t="n"/>
      <c r="CT122" s="1491" t="n"/>
      <c r="CU122" s="1491" t="n"/>
      <c r="CV122" s="1491" t="n"/>
      <c r="CW122" s="1491" t="n"/>
      <c r="CX122" s="1491" t="n"/>
    </row>
    <row r="123">
      <c r="A123" s="1491" t="n"/>
      <c r="B123" s="1491" t="n"/>
      <c r="C123" s="1491" t="n"/>
      <c r="D123" s="1497">
        <f>IF(E123&lt;&gt;"",D122+1,D122)</f>
        <v/>
      </c>
      <c r="E123" s="1497" t="inlineStr">
        <is>
          <t>Brugge</t>
        </is>
      </c>
      <c r="F123" s="1535" t="inlineStr">
        <is>
          <t>.</t>
        </is>
      </c>
      <c r="G123" s="1498">
        <f>IF(H123="AIR",0,IF(H122="AIR",G121+1,IF(H123&lt;&gt;"",G122+1,G122)))</f>
        <v/>
      </c>
      <c r="H123" s="1498" t="inlineStr">
        <is>
          <t>Instambul-E</t>
        </is>
      </c>
      <c r="I123" s="1427" t="inlineStr">
        <is>
          <t>.</t>
        </is>
      </c>
      <c r="J123" s="1499" t="n">
        <v>118</v>
      </c>
      <c r="K123" s="1500">
        <f>_xlfn.XLOOKUP(cities[[#This Row],[id]],$D$5:$D$1500,E$5:E$1500,"-")</f>
        <v/>
      </c>
      <c r="L123" s="1500">
        <f>_xlfn.XLOOKUP(cities[[#This Row],[city]],ccc[city],ccc[ctry],"-")</f>
        <v/>
      </c>
      <c r="M123" s="1500">
        <f>SUMIFS(stayCity[stay],stayCity[city],cities[[#This Row],[city]])</f>
        <v/>
      </c>
      <c r="N123" s="1427">
        <f>N122+1</f>
        <v/>
      </c>
      <c r="O123" s="1500" t="n"/>
      <c r="P123" s="1500" t="n"/>
      <c r="Q123" s="1427" t="inlineStr">
        <is>
          <t>.</t>
        </is>
      </c>
      <c r="R123" s="1491" t="n"/>
      <c r="S123" s="1491" t="n"/>
      <c r="T123" s="1491" t="n"/>
      <c r="U123" s="1491" t="n"/>
      <c r="V123" s="1491" t="n"/>
      <c r="W123" s="1491" t="n"/>
      <c r="X123" s="1491" t="n"/>
      <c r="Y123" s="1491" t="n"/>
      <c r="Z123" s="1427" t="inlineStr">
        <is>
          <t>.</t>
        </is>
      </c>
      <c r="AA123" s="1473">
        <f>IF(AB123&lt;&gt;"",AA122+1,AA122)</f>
        <v/>
      </c>
      <c r="AB123" s="1534" t="inlineStr">
        <is>
          <t>NYC-Orlando</t>
        </is>
      </c>
      <c r="AC123" s="1473">
        <f>IF(AD123&lt;&gt;"",AC122+1,AC122)</f>
        <v/>
      </c>
      <c r="AD123" s="1534" t="n"/>
      <c r="AE123" s="1427" t="inlineStr">
        <is>
          <t>.</t>
        </is>
      </c>
      <c r="AF123" s="1502" t="n">
        <v>119</v>
      </c>
      <c r="AG123" s="1500">
        <f>_xlfn.XLOOKUP(routes[[#This Row],[id]],$AA$5:$AA$300,$AB$5:$AB$300,"-")</f>
        <v/>
      </c>
      <c r="AH123" s="1500">
        <f>_xlfn.XLOOKUP(routes[[#This Row],[route]],routesUniv[route],routesUniv[outbound],"-")</f>
        <v/>
      </c>
      <c r="AI123" s="1500">
        <f>_xlfn.XLOOKUP(routes[[#This Row],[route]],routesUniv[route],routesUniv[inbound],"-")</f>
        <v/>
      </c>
      <c r="AJ123" s="1500">
        <f>_xlfn.XLOOKUP(routes[[#This Row],[route]],routesUniv[route],routesUniv[km],"-")</f>
        <v/>
      </c>
      <c r="AK123" s="1500">
        <f>COUNTIF(INPUT!BT$5:BT$1000,AG123)</f>
        <v/>
      </c>
      <c r="AL123" s="1505">
        <f>routes[[#This Row],[km]]*routes[[#This Row],[rpt]]/1000</f>
        <v/>
      </c>
      <c r="AM123" s="1481" t="inlineStr">
        <is>
          <t>.</t>
        </is>
      </c>
      <c r="AN123" s="1506" t="n"/>
      <c r="AO123" s="1500">
        <f>IF(AD123&lt;&gt;"",AD123,"-")</f>
        <v/>
      </c>
      <c r="AP123" s="1500">
        <f>_xlfn.XLOOKUP(cityRoutes[[#This Row],[city]],ccc[city],ccc[ctry],"-")</f>
        <v/>
      </c>
      <c r="AQ123" s="1500">
        <f>COUNTIF(INPUT!BR$5:BS$1000,AO123)</f>
        <v/>
      </c>
      <c r="AR123" s="1507">
        <f>(SUMIFS(routes[total],routes[outbound],AO123)+SUMIFS(routes[total],routes[inbound],AO123))/2</f>
        <v/>
      </c>
      <c r="AS123" s="1481" t="inlineStr">
        <is>
          <t>.</t>
        </is>
      </c>
      <c r="AT123" s="1491" t="n"/>
      <c r="AU123" s="1491" t="n"/>
      <c r="AV123" s="1491" t="n"/>
      <c r="AW123" s="1491" t="n"/>
      <c r="AX123" s="1491" t="n"/>
      <c r="AY123" s="1491" t="n"/>
      <c r="AZ123" s="1491" t="n"/>
      <c r="BA123" s="1491" t="n"/>
      <c r="BB123" s="1491" t="n"/>
      <c r="BC123" s="1491" t="n"/>
      <c r="BD123" s="1491" t="n"/>
      <c r="BE123" s="1491" t="n"/>
      <c r="BF123" s="1491" t="n"/>
      <c r="BG123" s="1491" t="n"/>
      <c r="BH123" s="1491" t="n"/>
      <c r="BI123" s="1491" t="n"/>
      <c r="BJ123" s="1491" t="n"/>
      <c r="BK123" s="1491" t="n"/>
      <c r="BL123" s="1491" t="n"/>
      <c r="BM123" s="1491" t="n"/>
      <c r="BN123" s="1491" t="n"/>
      <c r="BO123" s="1467" t="n"/>
      <c r="BP123" s="1514" t="n">
        <v>119</v>
      </c>
      <c r="BQ123" s="1513">
        <f>[1]Sheet1!C124</f>
        <v/>
      </c>
      <c r="BR123" s="1515">
        <f>[1]Sheet1!D124</f>
        <v/>
      </c>
      <c r="BS123" s="1513">
        <f>[1]Sheet1!E124</f>
        <v/>
      </c>
      <c r="BT123" s="1515">
        <f>[1]Sheet1!F124</f>
        <v/>
      </c>
      <c r="BU123" s="1516">
        <f>[1]Sheet1!G124</f>
        <v/>
      </c>
      <c r="BV123" s="1513">
        <f>[1]Sheet1!H124</f>
        <v/>
      </c>
      <c r="BW123" s="1467" t="n"/>
      <c r="BX123" s="1491">
        <f>[1]Sheet1!$J124</f>
        <v/>
      </c>
      <c r="BY123" s="1517">
        <f>[1]Sheet1!$K124</f>
        <v/>
      </c>
      <c r="BZ123" s="1517">
        <f>[1]Sheet1!$L124</f>
        <v/>
      </c>
      <c r="CA123" s="1500">
        <f>[1]Sheet1!$M124</f>
        <v/>
      </c>
      <c r="CB123" s="1467" t="n"/>
      <c r="CC123" s="1467" t="n"/>
      <c r="CD123" s="1491" t="n"/>
      <c r="CE123" s="1491" t="n"/>
      <c r="CF123" s="1491" t="n"/>
      <c r="CG123" s="1491" t="n"/>
      <c r="CH123" s="1491" t="n"/>
      <c r="CI123" s="1491" t="n"/>
      <c r="CJ123" s="1491" t="n"/>
      <c r="CK123" s="1435" t="n"/>
      <c r="CL123" s="1521" t="n">
        <v>116</v>
      </c>
      <c r="CM123" s="1500" t="inlineStr">
        <is>
          <t>Recife-SSA</t>
        </is>
      </c>
      <c r="CN123" s="1500" t="inlineStr">
        <is>
          <t>Recife</t>
        </is>
      </c>
      <c r="CO123" s="1500" t="inlineStr">
        <is>
          <t>SSA</t>
        </is>
      </c>
      <c r="CP123" s="1514" t="n">
        <v>700</v>
      </c>
      <c r="CQ123" s="1435" t="n"/>
      <c r="CR123" s="1491" t="n"/>
      <c r="CS123" s="1491" t="n"/>
      <c r="CT123" s="1491" t="n"/>
      <c r="CU123" s="1491" t="n"/>
      <c r="CV123" s="1491" t="n"/>
      <c r="CW123" s="1491" t="n"/>
      <c r="CX123" s="1491" t="n"/>
    </row>
    <row r="124">
      <c r="A124" s="1491" t="n"/>
      <c r="B124" s="1491" t="n"/>
      <c r="C124" s="1491" t="n"/>
      <c r="D124" s="1497">
        <f>IF(E124&lt;&gt;"",D123+1,D123)</f>
        <v/>
      </c>
      <c r="E124" s="1497" t="inlineStr">
        <is>
          <t>Calais</t>
        </is>
      </c>
      <c r="F124" s="1535" t="inlineStr">
        <is>
          <t>.</t>
        </is>
      </c>
      <c r="G124" s="1498">
        <f>IF(H124="AIR",0,IF(H123="AIR",G122+1,IF(H124&lt;&gt;"",G123+1,G123)))</f>
        <v/>
      </c>
      <c r="H124" s="1498" t="inlineStr">
        <is>
          <t>Mikonos</t>
        </is>
      </c>
      <c r="I124" s="1427" t="inlineStr">
        <is>
          <t>.</t>
        </is>
      </c>
      <c r="J124" s="1499" t="n">
        <v>119</v>
      </c>
      <c r="K124" s="1500">
        <f>_xlfn.XLOOKUP(cities[[#This Row],[id]],$D$5:$D$1500,E$5:E$1500,"-")</f>
        <v/>
      </c>
      <c r="L124" s="1500">
        <f>_xlfn.XLOOKUP(cities[[#This Row],[city]],ccc[city],ccc[ctry],"-")</f>
        <v/>
      </c>
      <c r="M124" s="1500">
        <f>SUMIFS(stayCity[stay],stayCity[city],cities[[#This Row],[city]])</f>
        <v/>
      </c>
      <c r="N124" s="1427">
        <f>N123+1</f>
        <v/>
      </c>
      <c r="O124" s="1500" t="n"/>
      <c r="P124" s="1500" t="n"/>
      <c r="Q124" s="1427" t="inlineStr">
        <is>
          <t>.</t>
        </is>
      </c>
      <c r="R124" s="1491" t="n"/>
      <c r="S124" s="1491" t="n"/>
      <c r="T124" s="1491" t="n"/>
      <c r="U124" s="1491" t="n"/>
      <c r="V124" s="1491" t="n"/>
      <c r="W124" s="1491" t="n"/>
      <c r="X124" s="1491" t="n"/>
      <c r="Y124" s="1491" t="n"/>
      <c r="Z124" s="1427" t="inlineStr">
        <is>
          <t>.</t>
        </is>
      </c>
      <c r="AA124" s="1473">
        <f>IF(AB124&lt;&gt;"",AA123+1,AA123)</f>
        <v/>
      </c>
      <c r="AB124" s="1534" t="inlineStr">
        <is>
          <t>Orlando-NYC</t>
        </is>
      </c>
      <c r="AC124" s="1473">
        <f>IF(AD124&lt;&gt;"",AC123+1,AC123)</f>
        <v/>
      </c>
      <c r="AD124" s="1534" t="n"/>
      <c r="AE124" s="1427" t="inlineStr">
        <is>
          <t>.</t>
        </is>
      </c>
      <c r="AF124" s="1502" t="n">
        <v>120</v>
      </c>
      <c r="AG124" s="1500">
        <f>_xlfn.XLOOKUP(routes[[#This Row],[id]],$AA$5:$AA$300,$AB$5:$AB$300,"-")</f>
        <v/>
      </c>
      <c r="AH124" s="1500">
        <f>_xlfn.XLOOKUP(routes[[#This Row],[route]],routesUniv[route],routesUniv[outbound],"-")</f>
        <v/>
      </c>
      <c r="AI124" s="1500">
        <f>_xlfn.XLOOKUP(routes[[#This Row],[route]],routesUniv[route],routesUniv[inbound],"-")</f>
        <v/>
      </c>
      <c r="AJ124" s="1500">
        <f>_xlfn.XLOOKUP(routes[[#This Row],[route]],routesUniv[route],routesUniv[km],"-")</f>
        <v/>
      </c>
      <c r="AK124" s="1500">
        <f>COUNTIF(INPUT!BT$5:BT$1000,AG124)</f>
        <v/>
      </c>
      <c r="AL124" s="1505">
        <f>routes[[#This Row],[km]]*routes[[#This Row],[rpt]]/1000</f>
        <v/>
      </c>
      <c r="AM124" s="1481" t="inlineStr">
        <is>
          <t>.</t>
        </is>
      </c>
      <c r="AN124" s="1506" t="n"/>
      <c r="AO124" s="1500">
        <f>IF(AD124&lt;&gt;"",AD124,"-")</f>
        <v/>
      </c>
      <c r="AP124" s="1500">
        <f>_xlfn.XLOOKUP(cityRoutes[[#This Row],[city]],ccc[city],ccc[ctry],"-")</f>
        <v/>
      </c>
      <c r="AQ124" s="1500">
        <f>COUNTIF(INPUT!BR$5:BS$1000,AO124)</f>
        <v/>
      </c>
      <c r="AR124" s="1507">
        <f>(SUMIFS(routes[total],routes[outbound],AO124)+SUMIFS(routes[total],routes[inbound],AO124))/2</f>
        <v/>
      </c>
      <c r="AS124" s="1481" t="inlineStr">
        <is>
          <t>.</t>
        </is>
      </c>
      <c r="AT124" s="1491" t="n"/>
      <c r="AU124" s="1491" t="n"/>
      <c r="AV124" s="1491" t="n"/>
      <c r="AW124" s="1491" t="n"/>
      <c r="AX124" s="1491" t="n"/>
      <c r="AY124" s="1491" t="n"/>
      <c r="AZ124" s="1491" t="n"/>
      <c r="BA124" s="1491" t="n"/>
      <c r="BB124" s="1491" t="n"/>
      <c r="BC124" s="1491" t="n"/>
      <c r="BD124" s="1491" t="n"/>
      <c r="BE124" s="1491" t="n"/>
      <c r="BF124" s="1491" t="n"/>
      <c r="BG124" s="1491" t="n"/>
      <c r="BH124" s="1491" t="n"/>
      <c r="BI124" s="1491" t="n"/>
      <c r="BJ124" s="1491" t="n"/>
      <c r="BK124" s="1491" t="n"/>
      <c r="BL124" s="1491" t="n"/>
      <c r="BM124" s="1491" t="n"/>
      <c r="BN124" s="1491" t="n"/>
      <c r="BO124" s="1467" t="n"/>
      <c r="BP124" s="1514" t="n">
        <v>120</v>
      </c>
      <c r="BQ124" s="1513">
        <f>[1]Sheet1!C125</f>
        <v/>
      </c>
      <c r="BR124" s="1515">
        <f>[1]Sheet1!D125</f>
        <v/>
      </c>
      <c r="BS124" s="1513">
        <f>[1]Sheet1!E125</f>
        <v/>
      </c>
      <c r="BT124" s="1515">
        <f>[1]Sheet1!F125</f>
        <v/>
      </c>
      <c r="BU124" s="1516">
        <f>[1]Sheet1!G125</f>
        <v/>
      </c>
      <c r="BV124" s="1513">
        <f>[1]Sheet1!H125</f>
        <v/>
      </c>
      <c r="BW124" s="1467" t="n"/>
      <c r="BX124" s="1491">
        <f>[1]Sheet1!$J125</f>
        <v/>
      </c>
      <c r="BY124" s="1517">
        <f>[1]Sheet1!$K125</f>
        <v/>
      </c>
      <c r="BZ124" s="1517">
        <f>[1]Sheet1!$L125</f>
        <v/>
      </c>
      <c r="CA124" s="1500">
        <f>[1]Sheet1!$M125</f>
        <v/>
      </c>
      <c r="CB124" s="1467" t="n"/>
      <c r="CC124" s="1467" t="n"/>
      <c r="CD124" s="1491" t="n"/>
      <c r="CE124" s="1491" t="n"/>
      <c r="CF124" s="1491" t="n"/>
      <c r="CG124" s="1491" t="n"/>
      <c r="CH124" s="1491" t="n"/>
      <c r="CI124" s="1491" t="n"/>
      <c r="CJ124" s="1491" t="n"/>
      <c r="CK124" s="1435" t="n"/>
      <c r="CL124" s="1521" t="n">
        <v>117</v>
      </c>
      <c r="CM124" s="1513" t="inlineStr">
        <is>
          <t>Reykjavik-NYC</t>
        </is>
      </c>
      <c r="CN124" s="1513" t="inlineStr">
        <is>
          <t>Reykjavik</t>
        </is>
      </c>
      <c r="CO124" s="1513" t="inlineStr">
        <is>
          <t>NYC</t>
        </is>
      </c>
      <c r="CP124" s="1514" t="n">
        <v>4200</v>
      </c>
      <c r="CQ124" s="1435" t="n"/>
      <c r="CR124" s="1491" t="n"/>
      <c r="CS124" s="1491" t="n"/>
      <c r="CT124" s="1491" t="n"/>
      <c r="CU124" s="1491" t="n"/>
      <c r="CV124" s="1491" t="n"/>
      <c r="CW124" s="1491" t="n"/>
      <c r="CX124" s="1491" t="n"/>
    </row>
    <row r="125">
      <c r="A125" s="1491" t="n"/>
      <c r="B125" s="1491" t="n"/>
      <c r="C125" s="1491" t="n"/>
      <c r="D125" s="1497">
        <f>IF(E125&lt;&gt;"",D124+1,D124)</f>
        <v/>
      </c>
      <c r="E125" s="1497" t="inlineStr">
        <is>
          <t>Dover</t>
        </is>
      </c>
      <c r="F125" s="1535" t="inlineStr">
        <is>
          <t>.</t>
        </is>
      </c>
      <c r="G125" s="1498">
        <f>IF(H125="AIR",0,IF(H124="AIR",G123+1,IF(H125&lt;&gt;"",G124+1,G124)))</f>
        <v/>
      </c>
      <c r="H125" s="1498" t="inlineStr">
        <is>
          <t>Gent</t>
        </is>
      </c>
      <c r="I125" s="1427" t="inlineStr">
        <is>
          <t>.</t>
        </is>
      </c>
      <c r="J125" s="1499" t="n">
        <v>120</v>
      </c>
      <c r="K125" s="1500">
        <f>_xlfn.XLOOKUP(cities[[#This Row],[id]],$D$5:$D$1500,E$5:E$1500,"-")</f>
        <v/>
      </c>
      <c r="L125" s="1500">
        <f>_xlfn.XLOOKUP(cities[[#This Row],[city]],ccc[city],ccc[ctry],"-")</f>
        <v/>
      </c>
      <c r="M125" s="1500">
        <f>SUMIFS(stayCity[stay],stayCity[city],cities[[#This Row],[city]])</f>
        <v/>
      </c>
      <c r="N125" s="1427">
        <f>N124+1</f>
        <v/>
      </c>
      <c r="O125" s="1500" t="n"/>
      <c r="P125" s="1500" t="n"/>
      <c r="Q125" s="1427" t="inlineStr">
        <is>
          <t>.</t>
        </is>
      </c>
      <c r="R125" s="1491" t="n"/>
      <c r="S125" s="1491" t="n"/>
      <c r="T125" s="1491" t="n"/>
      <c r="U125" s="1491" t="n"/>
      <c r="V125" s="1491" t="n"/>
      <c r="W125" s="1491" t="n"/>
      <c r="X125" s="1491" t="n"/>
      <c r="Y125" s="1491" t="n"/>
      <c r="Z125" s="1427" t="inlineStr">
        <is>
          <t>.</t>
        </is>
      </c>
      <c r="AA125" s="1473">
        <f>IF(AB125&lt;&gt;"",AA124+1,AA124)</f>
        <v/>
      </c>
      <c r="AB125" s="1534" t="inlineStr">
        <is>
          <t>NYC-Montreal</t>
        </is>
      </c>
      <c r="AC125" s="1473">
        <f>IF(AD125&lt;&gt;"",AC124+1,AC124)</f>
        <v/>
      </c>
      <c r="AD125" s="1534" t="n"/>
      <c r="AE125" s="1427" t="inlineStr">
        <is>
          <t>.</t>
        </is>
      </c>
      <c r="AF125" s="1502" t="n">
        <v>121</v>
      </c>
      <c r="AG125" s="1500">
        <f>_xlfn.XLOOKUP(routes[[#This Row],[id]],$AA$5:$AA$300,$AB$5:$AB$300,"-")</f>
        <v/>
      </c>
      <c r="AH125" s="1500">
        <f>_xlfn.XLOOKUP(routes[[#This Row],[route]],routesUniv[route],routesUniv[outbound],"-")</f>
        <v/>
      </c>
      <c r="AI125" s="1500">
        <f>_xlfn.XLOOKUP(routes[[#This Row],[route]],routesUniv[route],routesUniv[inbound],"-")</f>
        <v/>
      </c>
      <c r="AJ125" s="1500">
        <f>_xlfn.XLOOKUP(routes[[#This Row],[route]],routesUniv[route],routesUniv[km],"-")</f>
        <v/>
      </c>
      <c r="AK125" s="1500">
        <f>COUNTIF(INPUT!BT$5:BT$1000,AG125)</f>
        <v/>
      </c>
      <c r="AL125" s="1505">
        <f>routes[[#This Row],[km]]*routes[[#This Row],[rpt]]/1000</f>
        <v/>
      </c>
      <c r="AM125" s="1481" t="inlineStr">
        <is>
          <t>.</t>
        </is>
      </c>
      <c r="AN125" s="1506" t="n"/>
      <c r="AO125" s="1500">
        <f>IF(AD125&lt;&gt;"",AD125,"-")</f>
        <v/>
      </c>
      <c r="AP125" s="1500">
        <f>_xlfn.XLOOKUP(cityRoutes[[#This Row],[city]],ccc[city],ccc[ctry],"-")</f>
        <v/>
      </c>
      <c r="AQ125" s="1500">
        <f>COUNTIF(INPUT!BR$5:BS$1000,AO125)</f>
        <v/>
      </c>
      <c r="AR125" s="1507">
        <f>(SUMIFS(routes[total],routes[outbound],AO125)+SUMIFS(routes[total],routes[inbound],AO125))/2</f>
        <v/>
      </c>
      <c r="AS125" s="1481" t="inlineStr">
        <is>
          <t>.</t>
        </is>
      </c>
      <c r="AT125" s="1491" t="n"/>
      <c r="AU125" s="1491" t="n"/>
      <c r="AV125" s="1491" t="n"/>
      <c r="AW125" s="1491" t="n"/>
      <c r="AX125" s="1491" t="n"/>
      <c r="AY125" s="1491" t="n"/>
      <c r="AZ125" s="1491" t="n"/>
      <c r="BA125" s="1491" t="n"/>
      <c r="BB125" s="1491" t="n"/>
      <c r="BC125" s="1491" t="n"/>
      <c r="BD125" s="1491" t="n"/>
      <c r="BE125" s="1491" t="n"/>
      <c r="BF125" s="1491" t="n"/>
      <c r="BG125" s="1491" t="n"/>
      <c r="BH125" s="1491" t="n"/>
      <c r="BI125" s="1491" t="n"/>
      <c r="BJ125" s="1491" t="n"/>
      <c r="BK125" s="1491" t="n"/>
      <c r="BL125" s="1491" t="n"/>
      <c r="BM125" s="1491" t="n"/>
      <c r="BN125" s="1491" t="n"/>
      <c r="BO125" s="1467" t="n"/>
      <c r="BP125" s="1514" t="n">
        <v>121</v>
      </c>
      <c r="BQ125" s="1513">
        <f>[1]Sheet1!C126</f>
        <v/>
      </c>
      <c r="BR125" s="1515">
        <f>[1]Sheet1!D126</f>
        <v/>
      </c>
      <c r="BS125" s="1513">
        <f>[1]Sheet1!E126</f>
        <v/>
      </c>
      <c r="BT125" s="1515">
        <f>[1]Sheet1!F126</f>
        <v/>
      </c>
      <c r="BU125" s="1516">
        <f>[1]Sheet1!G126</f>
        <v/>
      </c>
      <c r="BV125" s="1513">
        <f>[1]Sheet1!H126</f>
        <v/>
      </c>
      <c r="BW125" s="1467" t="n"/>
      <c r="BX125" s="1491">
        <f>[1]Sheet1!$J126</f>
        <v/>
      </c>
      <c r="BY125" s="1517">
        <f>[1]Sheet1!$K126</f>
        <v/>
      </c>
      <c r="BZ125" s="1517">
        <f>[1]Sheet1!$L126</f>
        <v/>
      </c>
      <c r="CA125" s="1500">
        <f>[1]Sheet1!$M126</f>
        <v/>
      </c>
      <c r="CB125" s="1467" t="n"/>
      <c r="CC125" s="1467" t="n"/>
      <c r="CD125" s="1491" t="n"/>
      <c r="CE125" s="1491" t="n"/>
      <c r="CF125" s="1491" t="n"/>
      <c r="CG125" s="1491" t="n"/>
      <c r="CH125" s="1491" t="n"/>
      <c r="CI125" s="1491" t="n"/>
      <c r="CJ125" s="1491" t="n"/>
      <c r="CK125" s="1435" t="n"/>
      <c r="CL125" s="1521" t="n">
        <v>118</v>
      </c>
      <c r="CM125" s="1513" t="inlineStr">
        <is>
          <t>Rio-Atlanta</t>
        </is>
      </c>
      <c r="CN125" s="1513" t="inlineStr">
        <is>
          <t>Rio</t>
        </is>
      </c>
      <c r="CO125" s="1513" t="inlineStr">
        <is>
          <t>Atlanta</t>
        </is>
      </c>
      <c r="CP125" s="1514" t="n">
        <v>7100</v>
      </c>
      <c r="CQ125" s="1435" t="n"/>
      <c r="CR125" s="1491" t="n"/>
      <c r="CS125" s="1491" t="n"/>
      <c r="CT125" s="1491" t="n"/>
      <c r="CU125" s="1491" t="n"/>
      <c r="CV125" s="1491" t="n"/>
      <c r="CW125" s="1491" t="n"/>
      <c r="CX125" s="1491" t="n"/>
    </row>
    <row r="126">
      <c r="A126" s="1491" t="n"/>
      <c r="B126" s="1491" t="n"/>
      <c r="C126" s="1491" t="n"/>
      <c r="D126" s="1497">
        <f>IF(E126&lt;&gt;"",D125+1,D125)</f>
        <v/>
      </c>
      <c r="E126" s="1497" t="inlineStr">
        <is>
          <t>Brighton</t>
        </is>
      </c>
      <c r="F126" s="1535" t="inlineStr">
        <is>
          <t>.</t>
        </is>
      </c>
      <c r="G126" s="1498">
        <f>IF(H126="AIR",0,IF(H125="AIR",G124+1,IF(H126&lt;&gt;"",G125+1,G125)))</f>
        <v/>
      </c>
      <c r="H126" s="1498" t="inlineStr">
        <is>
          <t>Brugge</t>
        </is>
      </c>
      <c r="I126" s="1427" t="inlineStr">
        <is>
          <t>.</t>
        </is>
      </c>
      <c r="J126" s="1499" t="n">
        <v>121</v>
      </c>
      <c r="K126" s="1500">
        <f>_xlfn.XLOOKUP(cities[[#This Row],[id]],$D$5:$D$1500,E$5:E$1500,"-")</f>
        <v/>
      </c>
      <c r="L126" s="1500">
        <f>_xlfn.XLOOKUP(cities[[#This Row],[city]],ccc[city],ccc[ctry],"-")</f>
        <v/>
      </c>
      <c r="M126" s="1500">
        <f>SUMIFS(stayCity[stay],stayCity[city],cities[[#This Row],[city]])</f>
        <v/>
      </c>
      <c r="N126" s="1427">
        <f>N125+1</f>
        <v/>
      </c>
      <c r="O126" s="1500" t="n"/>
      <c r="P126" s="1500" t="n"/>
      <c r="Q126" s="1427" t="inlineStr">
        <is>
          <t>.</t>
        </is>
      </c>
      <c r="R126" s="1491" t="n"/>
      <c r="S126" s="1491" t="n"/>
      <c r="T126" s="1491" t="n"/>
      <c r="U126" s="1491" t="n"/>
      <c r="V126" s="1491" t="n"/>
      <c r="W126" s="1491" t="n"/>
      <c r="X126" s="1491" t="n"/>
      <c r="Y126" s="1491" t="n"/>
      <c r="Z126" s="1427" t="inlineStr">
        <is>
          <t>.</t>
        </is>
      </c>
      <c r="AA126" s="1473">
        <f>IF(AB126&lt;&gt;"",AA125+1,AA125)</f>
        <v/>
      </c>
      <c r="AB126" s="1534" t="inlineStr">
        <is>
          <t>Montreal-Halifax</t>
        </is>
      </c>
      <c r="AC126" s="1473">
        <f>IF(AD126&lt;&gt;"",AC125+1,AC125)</f>
        <v/>
      </c>
      <c r="AD126" s="1534" t="n"/>
      <c r="AE126" s="1427" t="inlineStr">
        <is>
          <t>.</t>
        </is>
      </c>
      <c r="AF126" s="1502" t="n">
        <v>122</v>
      </c>
      <c r="AG126" s="1500">
        <f>_xlfn.XLOOKUP(routes[[#This Row],[id]],$AA$5:$AA$300,$AB$5:$AB$300,"-")</f>
        <v/>
      </c>
      <c r="AH126" s="1500">
        <f>_xlfn.XLOOKUP(routes[[#This Row],[route]],routesUniv[route],routesUniv[outbound],"-")</f>
        <v/>
      </c>
      <c r="AI126" s="1500">
        <f>_xlfn.XLOOKUP(routes[[#This Row],[route]],routesUniv[route],routesUniv[inbound],"-")</f>
        <v/>
      </c>
      <c r="AJ126" s="1500">
        <f>_xlfn.XLOOKUP(routes[[#This Row],[route]],routesUniv[route],routesUniv[km],"-")</f>
        <v/>
      </c>
      <c r="AK126" s="1500">
        <f>COUNTIF(INPUT!BT$5:BT$1000,AG126)</f>
        <v/>
      </c>
      <c r="AL126" s="1505">
        <f>routes[[#This Row],[km]]*routes[[#This Row],[rpt]]/1000</f>
        <v/>
      </c>
      <c r="AM126" s="1481" t="inlineStr">
        <is>
          <t>.</t>
        </is>
      </c>
      <c r="AN126" s="1506" t="n"/>
      <c r="AO126" s="1500">
        <f>IF(AD126&lt;&gt;"",AD126,"-")</f>
        <v/>
      </c>
      <c r="AP126" s="1500">
        <f>_xlfn.XLOOKUP(cityRoutes[[#This Row],[city]],ccc[city],ccc[ctry],"-")</f>
        <v/>
      </c>
      <c r="AQ126" s="1500">
        <f>COUNTIF(INPUT!BR$5:BS$1000,AO126)</f>
        <v/>
      </c>
      <c r="AR126" s="1507">
        <f>(SUMIFS(routes[total],routes[outbound],AO126)+SUMIFS(routes[total],routes[inbound],AO126))/2</f>
        <v/>
      </c>
      <c r="AS126" s="1481" t="inlineStr">
        <is>
          <t>.</t>
        </is>
      </c>
      <c r="AT126" s="1491" t="n"/>
      <c r="AU126" s="1491" t="n"/>
      <c r="AV126" s="1491" t="n"/>
      <c r="AW126" s="1491" t="n"/>
      <c r="AX126" s="1491" t="n"/>
      <c r="AY126" s="1491" t="n"/>
      <c r="AZ126" s="1491" t="n"/>
      <c r="BA126" s="1491" t="n"/>
      <c r="BB126" s="1491" t="n"/>
      <c r="BC126" s="1491" t="n"/>
      <c r="BD126" s="1491" t="n"/>
      <c r="BE126" s="1491" t="n"/>
      <c r="BF126" s="1491" t="n"/>
      <c r="BG126" s="1491" t="n"/>
      <c r="BH126" s="1491" t="n"/>
      <c r="BI126" s="1491" t="n"/>
      <c r="BJ126" s="1491" t="n"/>
      <c r="BK126" s="1491" t="n"/>
      <c r="BL126" s="1491" t="n"/>
      <c r="BM126" s="1491" t="n"/>
      <c r="BN126" s="1491" t="n"/>
      <c r="BO126" s="1467" t="n"/>
      <c r="BP126" s="1514" t="n">
        <v>122</v>
      </c>
      <c r="BQ126" s="1513">
        <f>[1]Sheet1!C127</f>
        <v/>
      </c>
      <c r="BR126" s="1515">
        <f>[1]Sheet1!D127</f>
        <v/>
      </c>
      <c r="BS126" s="1513">
        <f>[1]Sheet1!E127</f>
        <v/>
      </c>
      <c r="BT126" s="1515">
        <f>[1]Sheet1!F127</f>
        <v/>
      </c>
      <c r="BU126" s="1516">
        <f>[1]Sheet1!G127</f>
        <v/>
      </c>
      <c r="BV126" s="1513">
        <f>[1]Sheet1!H127</f>
        <v/>
      </c>
      <c r="BW126" s="1467" t="n"/>
      <c r="BX126" s="1491">
        <f>[1]Sheet1!$J127</f>
        <v/>
      </c>
      <c r="BY126" s="1517">
        <f>[1]Sheet1!$K127</f>
        <v/>
      </c>
      <c r="BZ126" s="1517">
        <f>[1]Sheet1!$L127</f>
        <v/>
      </c>
      <c r="CA126" s="1500">
        <f>[1]Sheet1!$M127</f>
        <v/>
      </c>
      <c r="CB126" s="1467" t="n"/>
      <c r="CC126" s="1467" t="n"/>
      <c r="CD126" s="1491" t="n"/>
      <c r="CE126" s="1491" t="n"/>
      <c r="CF126" s="1491" t="n"/>
      <c r="CG126" s="1491" t="n"/>
      <c r="CH126" s="1491" t="n"/>
      <c r="CI126" s="1491" t="n"/>
      <c r="CJ126" s="1491" t="n"/>
      <c r="CK126" s="1435" t="n"/>
      <c r="CL126" s="1521" t="n">
        <v>119</v>
      </c>
      <c r="CM126" s="1500" t="inlineStr">
        <is>
          <t>Rio-Lima</t>
        </is>
      </c>
      <c r="CN126" s="1500" t="inlineStr">
        <is>
          <t>Rio</t>
        </is>
      </c>
      <c r="CO126" s="1500" t="inlineStr">
        <is>
          <t>Lima</t>
        </is>
      </c>
      <c r="CP126" s="1514" t="n">
        <v>4000</v>
      </c>
      <c r="CQ126" s="1435" t="n"/>
      <c r="CR126" s="1491" t="n"/>
      <c r="CS126" s="1491" t="n"/>
      <c r="CT126" s="1491" t="n"/>
      <c r="CU126" s="1491" t="n"/>
      <c r="CV126" s="1491" t="n"/>
      <c r="CW126" s="1491" t="n"/>
      <c r="CX126" s="1491" t="n"/>
    </row>
    <row r="127">
      <c r="A127" s="1491" t="n"/>
      <c r="B127" s="1491" t="n"/>
      <c r="C127" s="1491" t="n"/>
      <c r="D127" s="1497">
        <f>IF(E127&lt;&gt;"",D126+1,D126)</f>
        <v/>
      </c>
      <c r="E127" s="1497" t="inlineStr">
        <is>
          <t>Salisbury</t>
        </is>
      </c>
      <c r="F127" s="1535" t="inlineStr">
        <is>
          <t>.</t>
        </is>
      </c>
      <c r="G127" s="1498">
        <f>IF(H127="AIR",0,IF(H126="AIR",G125+1,IF(H127&lt;&gt;"",G126+1,G126)))</f>
        <v/>
      </c>
      <c r="H127" s="1498" t="inlineStr">
        <is>
          <t>Calais</t>
        </is>
      </c>
      <c r="I127" s="1427" t="inlineStr">
        <is>
          <t>.</t>
        </is>
      </c>
      <c r="J127" s="1499" t="n">
        <v>122</v>
      </c>
      <c r="K127" s="1500">
        <f>_xlfn.XLOOKUP(cities[[#This Row],[id]],$D$5:$D$1500,E$5:E$1500,"-")</f>
        <v/>
      </c>
      <c r="L127" s="1500">
        <f>_xlfn.XLOOKUP(cities[[#This Row],[city]],ccc[city],ccc[ctry],"-")</f>
        <v/>
      </c>
      <c r="M127" s="1500">
        <f>SUMIFS(stayCity[stay],stayCity[city],cities[[#This Row],[city]])</f>
        <v/>
      </c>
      <c r="N127" s="1427">
        <f>N126+1</f>
        <v/>
      </c>
      <c r="O127" s="1500" t="n"/>
      <c r="P127" s="1500" t="n"/>
      <c r="Q127" s="1427" t="inlineStr">
        <is>
          <t>.</t>
        </is>
      </c>
      <c r="R127" s="1491" t="n"/>
      <c r="S127" s="1491" t="n"/>
      <c r="T127" s="1491" t="n"/>
      <c r="U127" s="1491" t="n"/>
      <c r="V127" s="1491" t="n"/>
      <c r="W127" s="1491" t="n"/>
      <c r="X127" s="1491" t="n"/>
      <c r="Y127" s="1491" t="n"/>
      <c r="Z127" s="1427" t="inlineStr">
        <is>
          <t>.</t>
        </is>
      </c>
      <c r="AA127" s="1473">
        <f>IF(AB127&lt;&gt;"",AA126+1,AA126)</f>
        <v/>
      </c>
      <c r="AB127" s="1534" t="inlineStr">
        <is>
          <t>Halifax-Montreal</t>
        </is>
      </c>
      <c r="AC127" s="1473">
        <f>IF(AD127&lt;&gt;"",AC126+1,AC126)</f>
        <v/>
      </c>
      <c r="AD127" s="1534" t="n"/>
      <c r="AE127" s="1427" t="inlineStr">
        <is>
          <t>.</t>
        </is>
      </c>
      <c r="AF127" s="1502" t="n">
        <v>123</v>
      </c>
      <c r="AG127" s="1500">
        <f>_xlfn.XLOOKUP(routes[[#This Row],[id]],$AA$5:$AA$300,$AB$5:$AB$300,"-")</f>
        <v/>
      </c>
      <c r="AH127" s="1500">
        <f>_xlfn.XLOOKUP(routes[[#This Row],[route]],routesUniv[route],routesUniv[outbound],"-")</f>
        <v/>
      </c>
      <c r="AI127" s="1500">
        <f>_xlfn.XLOOKUP(routes[[#This Row],[route]],routesUniv[route],routesUniv[inbound],"-")</f>
        <v/>
      </c>
      <c r="AJ127" s="1500">
        <f>_xlfn.XLOOKUP(routes[[#This Row],[route]],routesUniv[route],routesUniv[km],"-")</f>
        <v/>
      </c>
      <c r="AK127" s="1500">
        <f>COUNTIF(INPUT!BT$5:BT$1000,AG127)</f>
        <v/>
      </c>
      <c r="AL127" s="1505">
        <f>routes[[#This Row],[km]]*routes[[#This Row],[rpt]]/1000</f>
        <v/>
      </c>
      <c r="AM127" s="1481" t="inlineStr">
        <is>
          <t>.</t>
        </is>
      </c>
      <c r="AN127" s="1506" t="n"/>
      <c r="AO127" s="1500">
        <f>IF(AD127&lt;&gt;"",AD127,"-")</f>
        <v/>
      </c>
      <c r="AP127" s="1500">
        <f>_xlfn.XLOOKUP(cityRoutes[[#This Row],[city]],ccc[city],ccc[ctry],"-")</f>
        <v/>
      </c>
      <c r="AQ127" s="1500">
        <f>COUNTIF(INPUT!BR$5:BS$1000,AO127)</f>
        <v/>
      </c>
      <c r="AR127" s="1507">
        <f>(SUMIFS(routes[total],routes[outbound],AO127)+SUMIFS(routes[total],routes[inbound],AO127))/2</f>
        <v/>
      </c>
      <c r="AS127" s="1481" t="inlineStr">
        <is>
          <t>.</t>
        </is>
      </c>
      <c r="AT127" s="1491" t="n"/>
      <c r="AU127" s="1491" t="n"/>
      <c r="AV127" s="1491" t="n"/>
      <c r="AW127" s="1491" t="n"/>
      <c r="AX127" s="1491" t="n"/>
      <c r="AY127" s="1491" t="n"/>
      <c r="AZ127" s="1491" t="n"/>
      <c r="BA127" s="1491" t="n"/>
      <c r="BB127" s="1491" t="n"/>
      <c r="BC127" s="1491" t="n"/>
      <c r="BD127" s="1491" t="n"/>
      <c r="BE127" s="1491" t="n"/>
      <c r="BF127" s="1491" t="n"/>
      <c r="BG127" s="1491" t="n"/>
      <c r="BH127" s="1491" t="n"/>
      <c r="BI127" s="1491" t="n"/>
      <c r="BJ127" s="1491" t="n"/>
      <c r="BK127" s="1491" t="n"/>
      <c r="BL127" s="1491" t="n"/>
      <c r="BM127" s="1491" t="n"/>
      <c r="BN127" s="1491" t="n"/>
      <c r="BO127" s="1467" t="n"/>
      <c r="BP127" s="1514" t="n">
        <v>123</v>
      </c>
      <c r="BQ127" s="1513">
        <f>[1]Sheet1!C128</f>
        <v/>
      </c>
      <c r="BR127" s="1515">
        <f>[1]Sheet1!D128</f>
        <v/>
      </c>
      <c r="BS127" s="1513">
        <f>[1]Sheet1!E128</f>
        <v/>
      </c>
      <c r="BT127" s="1515">
        <f>[1]Sheet1!F128</f>
        <v/>
      </c>
      <c r="BU127" s="1516">
        <f>[1]Sheet1!G128</f>
        <v/>
      </c>
      <c r="BV127" s="1513">
        <f>[1]Sheet1!H128</f>
        <v/>
      </c>
      <c r="BW127" s="1467" t="n"/>
      <c r="BX127" s="1491">
        <f>[1]Sheet1!$J128</f>
        <v/>
      </c>
      <c r="BY127" s="1517">
        <f>[1]Sheet1!$K128</f>
        <v/>
      </c>
      <c r="BZ127" s="1517">
        <f>[1]Sheet1!$L128</f>
        <v/>
      </c>
      <c r="CA127" s="1500">
        <f>[1]Sheet1!$M128</f>
        <v/>
      </c>
      <c r="CB127" s="1467" t="n"/>
      <c r="CC127" s="1467" t="n"/>
      <c r="CD127" s="1491" t="n"/>
      <c r="CE127" s="1536" t="n"/>
      <c r="CF127" s="1491" t="n"/>
      <c r="CG127" s="1491" t="n"/>
      <c r="CH127" s="1491" t="n"/>
      <c r="CI127" s="1491" t="n"/>
      <c r="CJ127" s="1491" t="n"/>
      <c r="CK127" s="1435" t="n"/>
      <c r="CL127" s="1521" t="n">
        <v>120</v>
      </c>
      <c r="CM127" s="1513" t="inlineStr">
        <is>
          <t>Rio-Miami</t>
        </is>
      </c>
      <c r="CN127" s="1513" t="inlineStr">
        <is>
          <t>Rio</t>
        </is>
      </c>
      <c r="CO127" s="1513" t="inlineStr">
        <is>
          <t>Miami</t>
        </is>
      </c>
      <c r="CP127" s="1514" t="n">
        <v>6600</v>
      </c>
      <c r="CQ127" s="1435" t="n"/>
      <c r="CR127" s="1491" t="n"/>
      <c r="CS127" s="1491" t="n"/>
      <c r="CT127" s="1491" t="n"/>
      <c r="CU127" s="1491" t="n"/>
      <c r="CV127" s="1491" t="n"/>
      <c r="CW127" s="1491" t="n"/>
      <c r="CX127" s="1491" t="n"/>
    </row>
    <row r="128">
      <c r="A128" s="1491" t="n"/>
      <c r="B128" s="1491" t="n"/>
      <c r="C128" s="1491" t="n"/>
      <c r="D128" s="1497">
        <f>IF(E128&lt;&gt;"",D127+1,D127)</f>
        <v/>
      </c>
      <c r="E128" s="1497" t="inlineStr">
        <is>
          <t>Hastings</t>
        </is>
      </c>
      <c r="F128" s="1535" t="inlineStr">
        <is>
          <t>.</t>
        </is>
      </c>
      <c r="G128" s="1498">
        <f>IF(H128="AIR",0,IF(H127="AIR",G126+1,IF(H128&lt;&gt;"",G127+1,G127)))</f>
        <v/>
      </c>
      <c r="H128" s="1498" t="inlineStr">
        <is>
          <t>Dover</t>
        </is>
      </c>
      <c r="I128" s="1427" t="inlineStr">
        <is>
          <t>.</t>
        </is>
      </c>
      <c r="J128" s="1499" t="n">
        <v>123</v>
      </c>
      <c r="K128" s="1500">
        <f>_xlfn.XLOOKUP(cities[[#This Row],[id]],$D$5:$D$1500,E$5:E$1500,"-")</f>
        <v/>
      </c>
      <c r="L128" s="1500">
        <f>_xlfn.XLOOKUP(cities[[#This Row],[city]],ccc[city],ccc[ctry],"-")</f>
        <v/>
      </c>
      <c r="M128" s="1500">
        <f>SUMIFS(stayCity[stay],stayCity[city],cities[[#This Row],[city]])</f>
        <v/>
      </c>
      <c r="N128" s="1427">
        <f>N127+1</f>
        <v/>
      </c>
      <c r="O128" s="1500" t="n"/>
      <c r="P128" s="1500" t="n"/>
      <c r="Q128" s="1427" t="inlineStr">
        <is>
          <t>.</t>
        </is>
      </c>
      <c r="R128" s="1491" t="n"/>
      <c r="S128" s="1491" t="n"/>
      <c r="T128" s="1491" t="n"/>
      <c r="U128" s="1491" t="n"/>
      <c r="V128" s="1491" t="n"/>
      <c r="W128" s="1491" t="n"/>
      <c r="X128" s="1491" t="n"/>
      <c r="Y128" s="1491" t="n"/>
      <c r="Z128" s="1427" t="inlineStr">
        <is>
          <t>.</t>
        </is>
      </c>
      <c r="AA128" s="1473">
        <f>IF(AB128&lt;&gt;"",AA127+1,AA127)</f>
        <v/>
      </c>
      <c r="AB128" s="1534" t="inlineStr">
        <is>
          <t>Orlando-Detroit</t>
        </is>
      </c>
      <c r="AC128" s="1473">
        <f>IF(AD128&lt;&gt;"",AC127+1,AC127)</f>
        <v/>
      </c>
      <c r="AD128" s="1534" t="n"/>
      <c r="AE128" s="1427" t="inlineStr">
        <is>
          <t>.</t>
        </is>
      </c>
      <c r="AF128" s="1502" t="n">
        <v>124</v>
      </c>
      <c r="AG128" s="1500">
        <f>_xlfn.XLOOKUP(routes[[#This Row],[id]],$AA$5:$AA$300,$AB$5:$AB$300,"-")</f>
        <v/>
      </c>
      <c r="AH128" s="1500">
        <f>_xlfn.XLOOKUP(routes[[#This Row],[route]],routesUniv[route],routesUniv[outbound],"-")</f>
        <v/>
      </c>
      <c r="AI128" s="1500">
        <f>_xlfn.XLOOKUP(routes[[#This Row],[route]],routesUniv[route],routesUniv[inbound],"-")</f>
        <v/>
      </c>
      <c r="AJ128" s="1500">
        <f>_xlfn.XLOOKUP(routes[[#This Row],[route]],routesUniv[route],routesUniv[km],"-")</f>
        <v/>
      </c>
      <c r="AK128" s="1500">
        <f>COUNTIF(INPUT!BT$5:BT$1000,AG128)</f>
        <v/>
      </c>
      <c r="AL128" s="1505">
        <f>routes[[#This Row],[km]]*routes[[#This Row],[rpt]]/1000</f>
        <v/>
      </c>
      <c r="AM128" s="1481" t="inlineStr">
        <is>
          <t>.</t>
        </is>
      </c>
      <c r="AN128" s="1506" t="n"/>
      <c r="AO128" s="1500">
        <f>IF(AD128&lt;&gt;"",AD128,"-")</f>
        <v/>
      </c>
      <c r="AP128" s="1500">
        <f>_xlfn.XLOOKUP(cityRoutes[[#This Row],[city]],ccc[city],ccc[ctry],"-")</f>
        <v/>
      </c>
      <c r="AQ128" s="1500">
        <f>COUNTIF(INPUT!BR$5:BS$1000,AO128)</f>
        <v/>
      </c>
      <c r="AR128" s="1507">
        <f>(SUMIFS(routes[total],routes[outbound],AO128)+SUMIFS(routes[total],routes[inbound],AO128))/2</f>
        <v/>
      </c>
      <c r="AS128" s="1481" t="inlineStr">
        <is>
          <t>.</t>
        </is>
      </c>
      <c r="AT128" s="1491" t="n"/>
      <c r="AU128" s="1491" t="n"/>
      <c r="AV128" s="1491" t="n"/>
      <c r="AW128" s="1491" t="n"/>
      <c r="AX128" s="1491" t="n"/>
      <c r="AY128" s="1491" t="n"/>
      <c r="AZ128" s="1491" t="n"/>
      <c r="BA128" s="1491" t="n"/>
      <c r="BB128" s="1491" t="n"/>
      <c r="BC128" s="1491" t="n"/>
      <c r="BD128" s="1491" t="n"/>
      <c r="BE128" s="1491" t="n"/>
      <c r="BF128" s="1491" t="n"/>
      <c r="BG128" s="1491" t="n"/>
      <c r="BH128" s="1491" t="n"/>
      <c r="BI128" s="1491" t="n"/>
      <c r="BJ128" s="1491" t="n"/>
      <c r="BK128" s="1491" t="n"/>
      <c r="BL128" s="1491" t="n"/>
      <c r="BM128" s="1491" t="n"/>
      <c r="BN128" s="1491" t="n"/>
      <c r="BO128" s="1467" t="n"/>
      <c r="BP128" s="1514" t="n">
        <v>124</v>
      </c>
      <c r="BQ128" s="1513">
        <f>[1]Sheet1!C129</f>
        <v/>
      </c>
      <c r="BR128" s="1515">
        <f>[1]Sheet1!D129</f>
        <v/>
      </c>
      <c r="BS128" s="1513">
        <f>[1]Sheet1!E129</f>
        <v/>
      </c>
      <c r="BT128" s="1515">
        <f>[1]Sheet1!F129</f>
        <v/>
      </c>
      <c r="BU128" s="1516">
        <f>[1]Sheet1!G129</f>
        <v/>
      </c>
      <c r="BV128" s="1513">
        <f>[1]Sheet1!H129</f>
        <v/>
      </c>
      <c r="BW128" s="1467" t="n"/>
      <c r="BX128" s="1491">
        <f>[1]Sheet1!$J129</f>
        <v/>
      </c>
      <c r="BY128" s="1517">
        <f>[1]Sheet1!$K129</f>
        <v/>
      </c>
      <c r="BZ128" s="1517">
        <f>[1]Sheet1!$L129</f>
        <v/>
      </c>
      <c r="CA128" s="1500">
        <f>[1]Sheet1!$M129</f>
        <v/>
      </c>
      <c r="CB128" s="1467" t="n"/>
      <c r="CC128" s="1467" t="n"/>
      <c r="CD128" s="1491" t="n"/>
      <c r="CE128" s="1491" t="n"/>
      <c r="CF128" s="1491" t="n"/>
      <c r="CG128" s="1491" t="n"/>
      <c r="CH128" s="1491" t="n"/>
      <c r="CI128" s="1491" t="n"/>
      <c r="CJ128" s="1491" t="n"/>
      <c r="CK128" s="1435" t="n"/>
      <c r="CL128" s="1521" t="n">
        <v>121</v>
      </c>
      <c r="CM128" s="1500" t="inlineStr">
        <is>
          <t>Rio-SP</t>
        </is>
      </c>
      <c r="CN128" s="1500" t="inlineStr">
        <is>
          <t>Rio</t>
        </is>
      </c>
      <c r="CO128" s="1500" t="inlineStr">
        <is>
          <t>SP</t>
        </is>
      </c>
      <c r="CP128" s="1514" t="n">
        <v>350</v>
      </c>
      <c r="CQ128" s="1435" t="n"/>
      <c r="CR128" s="1491" t="n"/>
      <c r="CS128" s="1491" t="n"/>
      <c r="CT128" s="1491" t="n"/>
      <c r="CU128" s="1491" t="n"/>
      <c r="CV128" s="1491" t="n"/>
      <c r="CW128" s="1491" t="n"/>
      <c r="CX128" s="1491" t="n"/>
    </row>
    <row r="129">
      <c r="A129" s="1491" t="n"/>
      <c r="B129" s="1491" t="n"/>
      <c r="C129" s="1491" t="n"/>
      <c r="D129" s="1497">
        <f>IF(E129&lt;&gt;"",D128+1,D128)</f>
        <v/>
      </c>
      <c r="E129" s="1497" t="inlineStr">
        <is>
          <t>Bath</t>
        </is>
      </c>
      <c r="F129" s="1535" t="inlineStr">
        <is>
          <t>.</t>
        </is>
      </c>
      <c r="G129" s="1498">
        <f>IF(H129="AIR",0,IF(H128="AIR",G127+1,IF(H129&lt;&gt;"",G128+1,G128)))</f>
        <v/>
      </c>
      <c r="H129" s="1498" t="inlineStr">
        <is>
          <t>Brighton</t>
        </is>
      </c>
      <c r="I129" s="1427" t="inlineStr">
        <is>
          <t>.</t>
        </is>
      </c>
      <c r="J129" s="1499" t="n">
        <v>124</v>
      </c>
      <c r="K129" s="1500">
        <f>_xlfn.XLOOKUP(cities[[#This Row],[id]],$D$5:$D$1500,E$5:E$1500,"-")</f>
        <v/>
      </c>
      <c r="L129" s="1500">
        <f>_xlfn.XLOOKUP(cities[[#This Row],[city]],ccc[city],ccc[ctry],"-")</f>
        <v/>
      </c>
      <c r="M129" s="1500">
        <f>SUMIFS(stayCity[stay],stayCity[city],cities[[#This Row],[city]])</f>
        <v/>
      </c>
      <c r="N129" s="1427">
        <f>N128+1</f>
        <v/>
      </c>
      <c r="O129" s="1500" t="n"/>
      <c r="P129" s="1500" t="n"/>
      <c r="Q129" s="1427" t="inlineStr">
        <is>
          <t>.</t>
        </is>
      </c>
      <c r="R129" s="1491" t="n"/>
      <c r="S129" s="1491" t="n"/>
      <c r="T129" s="1491" t="n"/>
      <c r="U129" s="1491" t="n"/>
      <c r="V129" s="1491" t="n"/>
      <c r="W129" s="1491" t="n"/>
      <c r="X129" s="1491" t="n"/>
      <c r="Y129" s="1491" t="n"/>
      <c r="Z129" s="1427" t="inlineStr">
        <is>
          <t>.</t>
        </is>
      </c>
      <c r="AA129" s="1473">
        <f>IF(AB129&lt;&gt;"",AA128+1,AA128)</f>
        <v/>
      </c>
      <c r="AB129" s="1534" t="inlineStr">
        <is>
          <t>Montreal-Vancouver</t>
        </is>
      </c>
      <c r="AC129" s="1473">
        <f>IF(AD129&lt;&gt;"",AC128+1,AC128)</f>
        <v/>
      </c>
      <c r="AD129" s="1534" t="n"/>
      <c r="AE129" s="1427" t="inlineStr">
        <is>
          <t>.</t>
        </is>
      </c>
      <c r="AF129" s="1502" t="n">
        <v>125</v>
      </c>
      <c r="AG129" s="1500">
        <f>_xlfn.XLOOKUP(routes[[#This Row],[id]],$AA$5:$AA$300,$AB$5:$AB$300,"-")</f>
        <v/>
      </c>
      <c r="AH129" s="1500">
        <f>_xlfn.XLOOKUP(routes[[#This Row],[route]],routesUniv[route],routesUniv[outbound],"-")</f>
        <v/>
      </c>
      <c r="AI129" s="1500">
        <f>_xlfn.XLOOKUP(routes[[#This Row],[route]],routesUniv[route],routesUniv[inbound],"-")</f>
        <v/>
      </c>
      <c r="AJ129" s="1500">
        <f>_xlfn.XLOOKUP(routes[[#This Row],[route]],routesUniv[route],routesUniv[km],"-")</f>
        <v/>
      </c>
      <c r="AK129" s="1500">
        <f>COUNTIF(INPUT!BT$5:BT$1000,AG129)</f>
        <v/>
      </c>
      <c r="AL129" s="1505">
        <f>routes[[#This Row],[km]]*routes[[#This Row],[rpt]]/1000</f>
        <v/>
      </c>
      <c r="AM129" s="1481" t="inlineStr">
        <is>
          <t>.</t>
        </is>
      </c>
      <c r="AN129" s="1506" t="n"/>
      <c r="AO129" s="1500">
        <f>IF(AD129&lt;&gt;"",AD129,"-")</f>
        <v/>
      </c>
      <c r="AP129" s="1500">
        <f>_xlfn.XLOOKUP(cityRoutes[[#This Row],[city]],ccc[city],ccc[ctry],"-")</f>
        <v/>
      </c>
      <c r="AQ129" s="1500">
        <f>COUNTIF(INPUT!BR$5:BS$1000,AO129)</f>
        <v/>
      </c>
      <c r="AR129" s="1507">
        <f>(SUMIFS(routes[total],routes[outbound],AO129)+SUMIFS(routes[total],routes[inbound],AO129))/2</f>
        <v/>
      </c>
      <c r="AS129" s="1481" t="inlineStr">
        <is>
          <t>.</t>
        </is>
      </c>
      <c r="AT129" s="1491" t="n"/>
      <c r="AU129" s="1491" t="n"/>
      <c r="AV129" s="1491" t="n"/>
      <c r="AW129" s="1491" t="n"/>
      <c r="AX129" s="1491" t="n"/>
      <c r="AY129" s="1491" t="n"/>
      <c r="AZ129" s="1491" t="n"/>
      <c r="BA129" s="1491" t="n"/>
      <c r="BB129" s="1491" t="n"/>
      <c r="BC129" s="1491" t="n"/>
      <c r="BD129" s="1491" t="n"/>
      <c r="BE129" s="1491" t="n"/>
      <c r="BF129" s="1491" t="n"/>
      <c r="BG129" s="1491" t="n"/>
      <c r="BH129" s="1491" t="n"/>
      <c r="BI129" s="1491" t="n"/>
      <c r="BJ129" s="1491" t="n"/>
      <c r="BK129" s="1491" t="n"/>
      <c r="BL129" s="1491" t="n"/>
      <c r="BM129" s="1491" t="n"/>
      <c r="BN129" s="1491" t="n"/>
      <c r="BO129" s="1467" t="n"/>
      <c r="BP129" s="1514" t="n">
        <v>125</v>
      </c>
      <c r="BQ129" s="1513">
        <f>[1]Sheet1!C130</f>
        <v/>
      </c>
      <c r="BR129" s="1515">
        <f>[1]Sheet1!D130</f>
        <v/>
      </c>
      <c r="BS129" s="1513">
        <f>[1]Sheet1!E130</f>
        <v/>
      </c>
      <c r="BT129" s="1515">
        <f>[1]Sheet1!F130</f>
        <v/>
      </c>
      <c r="BU129" s="1516">
        <f>[1]Sheet1!G130</f>
        <v/>
      </c>
      <c r="BV129" s="1513">
        <f>[1]Sheet1!H130</f>
        <v/>
      </c>
      <c r="BW129" s="1467" t="n"/>
      <c r="BX129" s="1491">
        <f>[1]Sheet1!$J130</f>
        <v/>
      </c>
      <c r="BY129" s="1517">
        <f>[1]Sheet1!$K130</f>
        <v/>
      </c>
      <c r="BZ129" s="1517">
        <f>[1]Sheet1!$L130</f>
        <v/>
      </c>
      <c r="CA129" s="1500">
        <f>[1]Sheet1!$M130</f>
        <v/>
      </c>
      <c r="CB129" s="1467" t="n"/>
      <c r="CC129" s="1467" t="n"/>
      <c r="CD129" s="1491" t="n"/>
      <c r="CE129" s="1491" t="n"/>
      <c r="CF129" s="1491" t="n"/>
      <c r="CG129" s="1491" t="n"/>
      <c r="CH129" s="1491" t="n"/>
      <c r="CI129" s="1491" t="n"/>
      <c r="CJ129" s="1491" t="n"/>
      <c r="CK129" s="1435" t="n"/>
      <c r="CL129" s="1521" t="n">
        <v>122</v>
      </c>
      <c r="CM129" s="1500" t="inlineStr">
        <is>
          <t>Rio-SSA</t>
        </is>
      </c>
      <c r="CN129" s="1500" t="inlineStr">
        <is>
          <t>Rio</t>
        </is>
      </c>
      <c r="CO129" s="1500" t="inlineStr">
        <is>
          <t>SSA</t>
        </is>
      </c>
      <c r="CP129" s="1514" t="n">
        <v>1200</v>
      </c>
      <c r="CQ129" s="1435" t="n"/>
      <c r="CR129" s="1491" t="n"/>
      <c r="CS129" s="1491" t="n"/>
      <c r="CT129" s="1491" t="n"/>
      <c r="CU129" s="1491" t="n"/>
      <c r="CV129" s="1491" t="n"/>
      <c r="CW129" s="1491" t="n"/>
      <c r="CX129" s="1491" t="n"/>
    </row>
    <row r="130">
      <c r="A130" s="1491" t="n"/>
      <c r="B130" s="1491" t="n"/>
      <c r="C130" s="1491" t="n"/>
      <c r="D130" s="1497">
        <f>IF(E130&lt;&gt;"",D129+1,D129)</f>
        <v/>
      </c>
      <c r="E130" s="1497" t="inlineStr">
        <is>
          <t>Stonehenge</t>
        </is>
      </c>
      <c r="F130" s="1535" t="inlineStr">
        <is>
          <t>.</t>
        </is>
      </c>
      <c r="G130" s="1498">
        <f>IF(H130="AIR",0,IF(H129="AIR",G128+1,IF(H130&lt;&gt;"",G129+1,G129)))</f>
        <v/>
      </c>
      <c r="H130" s="1498" t="inlineStr">
        <is>
          <t>Salisbury</t>
        </is>
      </c>
      <c r="I130" s="1427" t="inlineStr">
        <is>
          <t>.</t>
        </is>
      </c>
      <c r="J130" s="1499" t="n">
        <v>125</v>
      </c>
      <c r="K130" s="1500">
        <f>_xlfn.XLOOKUP(cities[[#This Row],[id]],$D$5:$D$1500,E$5:E$1500,"-")</f>
        <v/>
      </c>
      <c r="L130" s="1500">
        <f>_xlfn.XLOOKUP(cities[[#This Row],[city]],ccc[city],ccc[ctry],"-")</f>
        <v/>
      </c>
      <c r="M130" s="1500">
        <f>SUMIFS(stayCity[stay],stayCity[city],cities[[#This Row],[city]])</f>
        <v/>
      </c>
      <c r="N130" s="1427">
        <f>N129+1</f>
        <v/>
      </c>
      <c r="O130" s="1500" t="n"/>
      <c r="P130" s="1500" t="n"/>
      <c r="Q130" s="1427" t="inlineStr">
        <is>
          <t>.</t>
        </is>
      </c>
      <c r="R130" s="1491" t="n"/>
      <c r="S130" s="1491" t="n"/>
      <c r="T130" s="1491" t="n"/>
      <c r="U130" s="1491" t="n"/>
      <c r="V130" s="1491" t="n"/>
      <c r="W130" s="1491" t="n"/>
      <c r="X130" s="1491" t="n"/>
      <c r="Y130" s="1491" t="n"/>
      <c r="Z130" s="1427" t="inlineStr">
        <is>
          <t>.</t>
        </is>
      </c>
      <c r="AA130" s="1473">
        <f>IF(AB130&lt;&gt;"",AA129+1,AA129)</f>
        <v/>
      </c>
      <c r="AB130" s="1534" t="inlineStr">
        <is>
          <t>Vancouver-Beijing</t>
        </is>
      </c>
      <c r="AC130" s="1473">
        <f>IF(AD130&lt;&gt;"",AC129+1,AC129)</f>
        <v/>
      </c>
      <c r="AD130" s="1534" t="n"/>
      <c r="AE130" s="1427" t="inlineStr">
        <is>
          <t>.</t>
        </is>
      </c>
      <c r="AF130" s="1502" t="n">
        <v>126</v>
      </c>
      <c r="AG130" s="1500">
        <f>_xlfn.XLOOKUP(routes[[#This Row],[id]],$AA$5:$AA$300,$AB$5:$AB$300,"-")</f>
        <v/>
      </c>
      <c r="AH130" s="1500">
        <f>_xlfn.XLOOKUP(routes[[#This Row],[route]],routesUniv[route],routesUniv[outbound],"-")</f>
        <v/>
      </c>
      <c r="AI130" s="1500">
        <f>_xlfn.XLOOKUP(routes[[#This Row],[route]],routesUniv[route],routesUniv[inbound],"-")</f>
        <v/>
      </c>
      <c r="AJ130" s="1500">
        <f>_xlfn.XLOOKUP(routes[[#This Row],[route]],routesUniv[route],routesUniv[km],"-")</f>
        <v/>
      </c>
      <c r="AK130" s="1500">
        <f>COUNTIF(INPUT!BT$5:BT$1000,AG130)</f>
        <v/>
      </c>
      <c r="AL130" s="1505">
        <f>routes[[#This Row],[km]]*routes[[#This Row],[rpt]]/1000</f>
        <v/>
      </c>
      <c r="AM130" s="1481" t="inlineStr">
        <is>
          <t>.</t>
        </is>
      </c>
      <c r="AN130" s="1506" t="n"/>
      <c r="AO130" s="1500">
        <f>IF(AD130&lt;&gt;"",AD130,"-")</f>
        <v/>
      </c>
      <c r="AP130" s="1500">
        <f>_xlfn.XLOOKUP(cityRoutes[[#This Row],[city]],ccc[city],ccc[ctry],"-")</f>
        <v/>
      </c>
      <c r="AQ130" s="1500">
        <f>COUNTIF(INPUT!BR$5:BS$1000,AO130)</f>
        <v/>
      </c>
      <c r="AR130" s="1507">
        <f>(SUMIFS(routes[total],routes[outbound],AO130)+SUMIFS(routes[total],routes[inbound],AO130))/2</f>
        <v/>
      </c>
      <c r="AS130" s="1481" t="inlineStr">
        <is>
          <t>.</t>
        </is>
      </c>
      <c r="AT130" s="1491" t="n"/>
      <c r="AU130" s="1491" t="n"/>
      <c r="AV130" s="1491" t="n"/>
      <c r="AW130" s="1491" t="n"/>
      <c r="AX130" s="1491" t="n"/>
      <c r="AY130" s="1491" t="n"/>
      <c r="AZ130" s="1491" t="n"/>
      <c r="BA130" s="1491" t="n"/>
      <c r="BB130" s="1491" t="n"/>
      <c r="BC130" s="1491" t="n"/>
      <c r="BD130" s="1491" t="n"/>
      <c r="BE130" s="1491" t="n"/>
      <c r="BF130" s="1491" t="n"/>
      <c r="BG130" s="1491" t="n"/>
      <c r="BH130" s="1491" t="n"/>
      <c r="BI130" s="1491" t="n"/>
      <c r="BJ130" s="1491" t="n"/>
      <c r="BK130" s="1491" t="n"/>
      <c r="BL130" s="1491" t="n"/>
      <c r="BM130" s="1491" t="n"/>
      <c r="BN130" s="1491" t="n"/>
      <c r="BO130" s="1467" t="n"/>
      <c r="BP130" s="1514" t="n">
        <v>126</v>
      </c>
      <c r="BQ130" s="1513">
        <f>[1]Sheet1!C131</f>
        <v/>
      </c>
      <c r="BR130" s="1515">
        <f>[1]Sheet1!D131</f>
        <v/>
      </c>
      <c r="BS130" s="1513">
        <f>[1]Sheet1!E131</f>
        <v/>
      </c>
      <c r="BT130" s="1515">
        <f>[1]Sheet1!F131</f>
        <v/>
      </c>
      <c r="BU130" s="1516">
        <f>[1]Sheet1!G131</f>
        <v/>
      </c>
      <c r="BV130" s="1513">
        <f>[1]Sheet1!H131</f>
        <v/>
      </c>
      <c r="BW130" s="1467" t="n"/>
      <c r="BX130" s="1491">
        <f>[1]Sheet1!$J131</f>
        <v/>
      </c>
      <c r="BY130" s="1517">
        <f>[1]Sheet1!$K131</f>
        <v/>
      </c>
      <c r="BZ130" s="1517">
        <f>[1]Sheet1!$L131</f>
        <v/>
      </c>
      <c r="CA130" s="1500">
        <f>[1]Sheet1!$M131</f>
        <v/>
      </c>
      <c r="CB130" s="1467" t="n"/>
      <c r="CC130" s="1467" t="n"/>
      <c r="CD130" s="1491" t="n"/>
      <c r="CE130" s="1491" t="n"/>
      <c r="CF130" s="1491" t="n"/>
      <c r="CG130" s="1491" t="n"/>
      <c r="CH130" s="1491" t="n"/>
      <c r="CI130" s="1491" t="n"/>
      <c r="CJ130" s="1491" t="n"/>
      <c r="CK130" s="1435" t="n"/>
      <c r="CL130" s="1521" t="n">
        <v>123</v>
      </c>
      <c r="CM130" s="1513" t="inlineStr">
        <is>
          <t>Rome-Amsterdam</t>
        </is>
      </c>
      <c r="CN130" s="1513" t="inlineStr">
        <is>
          <t>Rome</t>
        </is>
      </c>
      <c r="CO130" s="1513" t="inlineStr">
        <is>
          <t>Amsterdam</t>
        </is>
      </c>
      <c r="CP130" s="1514" t="n">
        <v>1300</v>
      </c>
      <c r="CQ130" s="1435" t="n"/>
      <c r="CR130" s="1491" t="n"/>
      <c r="CS130" s="1491" t="n"/>
      <c r="CT130" s="1491" t="n"/>
      <c r="CU130" s="1491" t="n"/>
      <c r="CV130" s="1491" t="n"/>
      <c r="CW130" s="1491" t="n"/>
      <c r="CX130" s="1491" t="n"/>
    </row>
    <row r="131">
      <c r="A131" s="1491" t="n"/>
      <c r="B131" s="1491" t="n"/>
      <c r="C131" s="1491" t="n"/>
      <c r="D131" s="1497">
        <f>IF(E131&lt;&gt;"",D130+1,D130)</f>
        <v/>
      </c>
      <c r="E131" s="1497" t="inlineStr">
        <is>
          <t>Stratford</t>
        </is>
      </c>
      <c r="F131" s="1535" t="inlineStr">
        <is>
          <t>.</t>
        </is>
      </c>
      <c r="G131" s="1498">
        <f>IF(H131="AIR",0,IF(H130="AIR",G129+1,IF(H131&lt;&gt;"",G130+1,G130)))</f>
        <v/>
      </c>
      <c r="H131" s="1498" t="inlineStr">
        <is>
          <t>Hastings</t>
        </is>
      </c>
      <c r="I131" s="1427" t="inlineStr">
        <is>
          <t>.</t>
        </is>
      </c>
      <c r="J131" s="1499" t="n">
        <v>126</v>
      </c>
      <c r="K131" s="1500">
        <f>_xlfn.XLOOKUP(cities[[#This Row],[id]],$D$5:$D$1500,E$5:E$1500,"-")</f>
        <v/>
      </c>
      <c r="L131" s="1500">
        <f>_xlfn.XLOOKUP(cities[[#This Row],[city]],ccc[city],ccc[ctry],"-")</f>
        <v/>
      </c>
      <c r="M131" s="1500">
        <f>SUMIFS(stayCity[stay],stayCity[city],cities[[#This Row],[city]])</f>
        <v/>
      </c>
      <c r="N131" s="1427">
        <f>N130+1</f>
        <v/>
      </c>
      <c r="O131" s="1500" t="n"/>
      <c r="P131" s="1500" t="n"/>
      <c r="Q131" s="1427" t="inlineStr">
        <is>
          <t>.</t>
        </is>
      </c>
      <c r="R131" s="1491" t="n"/>
      <c r="S131" s="1491" t="n"/>
      <c r="T131" s="1491" t="n"/>
      <c r="U131" s="1491" t="n"/>
      <c r="V131" s="1491" t="n"/>
      <c r="W131" s="1491" t="n"/>
      <c r="X131" s="1491" t="n"/>
      <c r="Y131" s="1491" t="n"/>
      <c r="Z131" s="1427" t="inlineStr">
        <is>
          <t>.</t>
        </is>
      </c>
      <c r="AA131" s="1473">
        <f>IF(AB131&lt;&gt;"",AA130+1,AA130)</f>
        <v/>
      </c>
      <c r="AB131" s="1534" t="inlineStr">
        <is>
          <t>Beijing-Xi'An</t>
        </is>
      </c>
      <c r="AC131" s="1473">
        <f>IF(AD131&lt;&gt;"",AC130+1,AC130)</f>
        <v/>
      </c>
      <c r="AD131" s="1534" t="n"/>
      <c r="AE131" s="1427" t="inlineStr">
        <is>
          <t>.</t>
        </is>
      </c>
      <c r="AF131" s="1502" t="n">
        <v>127</v>
      </c>
      <c r="AG131" s="1500">
        <f>_xlfn.XLOOKUP(routes[[#This Row],[id]],$AA$5:$AA$300,$AB$5:$AB$300,"-")</f>
        <v/>
      </c>
      <c r="AH131" s="1500">
        <f>_xlfn.XLOOKUP(routes[[#This Row],[route]],routesUniv[route],routesUniv[outbound],"-")</f>
        <v/>
      </c>
      <c r="AI131" s="1500">
        <f>_xlfn.XLOOKUP(routes[[#This Row],[route]],routesUniv[route],routesUniv[inbound],"-")</f>
        <v/>
      </c>
      <c r="AJ131" s="1500">
        <f>_xlfn.XLOOKUP(routes[[#This Row],[route]],routesUniv[route],routesUniv[km],"-")</f>
        <v/>
      </c>
      <c r="AK131" s="1500">
        <f>COUNTIF(INPUT!BT$5:BT$1000,AG131)</f>
        <v/>
      </c>
      <c r="AL131" s="1505">
        <f>routes[[#This Row],[km]]*routes[[#This Row],[rpt]]/1000</f>
        <v/>
      </c>
      <c r="AM131" s="1481" t="inlineStr">
        <is>
          <t>.</t>
        </is>
      </c>
      <c r="AN131" s="1506" t="n"/>
      <c r="AO131" s="1500">
        <f>IF(AD131&lt;&gt;"",AD131,"-")</f>
        <v/>
      </c>
      <c r="AP131" s="1500">
        <f>_xlfn.XLOOKUP(cityRoutes[[#This Row],[city]],ccc[city],ccc[ctry],"-")</f>
        <v/>
      </c>
      <c r="AQ131" s="1500">
        <f>COUNTIF(INPUT!BR$5:BS$1000,AO131)</f>
        <v/>
      </c>
      <c r="AR131" s="1507">
        <f>(SUMIFS(routes[total],routes[outbound],AO131)+SUMIFS(routes[total],routes[inbound],AO131))/2</f>
        <v/>
      </c>
      <c r="AS131" s="1481" t="inlineStr">
        <is>
          <t>.</t>
        </is>
      </c>
      <c r="AT131" s="1491" t="n"/>
      <c r="AU131" s="1491" t="n"/>
      <c r="AV131" s="1491" t="n"/>
      <c r="AW131" s="1491" t="n"/>
      <c r="AX131" s="1491" t="n"/>
      <c r="AY131" s="1491" t="n"/>
      <c r="AZ131" s="1491" t="n"/>
      <c r="BA131" s="1491" t="n"/>
      <c r="BB131" s="1491" t="n"/>
      <c r="BC131" s="1491" t="n"/>
      <c r="BD131" s="1491" t="n"/>
      <c r="BE131" s="1491" t="n"/>
      <c r="BF131" s="1491" t="n"/>
      <c r="BG131" s="1491" t="n"/>
      <c r="BH131" s="1491" t="n"/>
      <c r="BI131" s="1491" t="n"/>
      <c r="BJ131" s="1491" t="n"/>
      <c r="BK131" s="1491" t="n"/>
      <c r="BL131" s="1491" t="n"/>
      <c r="BM131" s="1491" t="n"/>
      <c r="BN131" s="1491" t="n"/>
      <c r="BO131" s="1467" t="n"/>
      <c r="BP131" s="1514" t="n">
        <v>127</v>
      </c>
      <c r="BQ131" s="1513">
        <f>[1]Sheet1!C132</f>
        <v/>
      </c>
      <c r="BR131" s="1515">
        <f>[1]Sheet1!D132</f>
        <v/>
      </c>
      <c r="BS131" s="1513">
        <f>[1]Sheet1!E132</f>
        <v/>
      </c>
      <c r="BT131" s="1515">
        <f>[1]Sheet1!F132</f>
        <v/>
      </c>
      <c r="BU131" s="1516">
        <f>[1]Sheet1!G132</f>
        <v/>
      </c>
      <c r="BV131" s="1513">
        <f>[1]Sheet1!H132</f>
        <v/>
      </c>
      <c r="BW131" s="1467" t="n"/>
      <c r="BX131" s="1491">
        <f>[1]Sheet1!$J132</f>
        <v/>
      </c>
      <c r="BY131" s="1517">
        <f>[1]Sheet1!$K132</f>
        <v/>
      </c>
      <c r="BZ131" s="1517">
        <f>[1]Sheet1!$L132</f>
        <v/>
      </c>
      <c r="CA131" s="1500">
        <f>[1]Sheet1!$M132</f>
        <v/>
      </c>
      <c r="CB131" s="1467" t="n"/>
      <c r="CC131" s="1467" t="n"/>
      <c r="CD131" s="1491" t="n"/>
      <c r="CE131" s="1491" t="n"/>
      <c r="CF131" s="1491" t="n"/>
      <c r="CG131" s="1491" t="n"/>
      <c r="CH131" s="1491" t="n"/>
      <c r="CI131" s="1491" t="n"/>
      <c r="CJ131" s="1491" t="n"/>
      <c r="CK131" s="1435" t="n"/>
      <c r="CL131" s="1521" t="n">
        <v>124</v>
      </c>
      <c r="CM131" s="1513" t="inlineStr">
        <is>
          <t>Rome-London</t>
        </is>
      </c>
      <c r="CN131" s="1513" t="inlineStr">
        <is>
          <t>Rome</t>
        </is>
      </c>
      <c r="CO131" s="1513" t="inlineStr">
        <is>
          <t>London</t>
        </is>
      </c>
      <c r="CP131" s="1514" t="n">
        <v>1400</v>
      </c>
      <c r="CQ131" s="1435" t="n"/>
      <c r="CR131" s="1491" t="n"/>
      <c r="CS131" s="1491" t="n"/>
      <c r="CT131" s="1491" t="n"/>
      <c r="CU131" s="1491" t="n"/>
      <c r="CV131" s="1491" t="n"/>
      <c r="CW131" s="1491" t="n"/>
      <c r="CX131" s="1491" t="n"/>
    </row>
    <row r="132">
      <c r="A132" s="1491" t="n"/>
      <c r="B132" s="1491" t="n"/>
      <c r="C132" s="1491" t="n"/>
      <c r="D132" s="1497">
        <f>IF(E132&lt;&gt;"",D131+1,D131)</f>
        <v/>
      </c>
      <c r="E132" s="1497" t="inlineStr">
        <is>
          <t>Bristol</t>
        </is>
      </c>
      <c r="F132" s="1535" t="inlineStr">
        <is>
          <t>.</t>
        </is>
      </c>
      <c r="G132" s="1498">
        <f>IF(H132="AIR",0,IF(H131="AIR",G130+1,IF(H132&lt;&gt;"",G131+1,G131)))</f>
        <v/>
      </c>
      <c r="H132" s="1498" t="inlineStr">
        <is>
          <t>Bath</t>
        </is>
      </c>
      <c r="I132" s="1427" t="inlineStr">
        <is>
          <t>.</t>
        </is>
      </c>
      <c r="J132" s="1499" t="n">
        <v>127</v>
      </c>
      <c r="K132" s="1500">
        <f>_xlfn.XLOOKUP(cities[[#This Row],[id]],$D$5:$D$1500,E$5:E$1500,"-")</f>
        <v/>
      </c>
      <c r="L132" s="1500">
        <f>_xlfn.XLOOKUP(cities[[#This Row],[city]],ccc[city],ccc[ctry],"-")</f>
        <v/>
      </c>
      <c r="M132" s="1500">
        <f>SUMIFS(stayCity[stay],stayCity[city],cities[[#This Row],[city]])</f>
        <v/>
      </c>
      <c r="N132" s="1427">
        <f>N131+1</f>
        <v/>
      </c>
      <c r="O132" s="1500" t="n"/>
      <c r="P132" s="1500" t="n"/>
      <c r="Q132" s="1427" t="inlineStr">
        <is>
          <t>.</t>
        </is>
      </c>
      <c r="R132" s="1491" t="n"/>
      <c r="S132" s="1491" t="n"/>
      <c r="T132" s="1491" t="n"/>
      <c r="U132" s="1491" t="n"/>
      <c r="V132" s="1491" t="n"/>
      <c r="W132" s="1491" t="n"/>
      <c r="X132" s="1491" t="n"/>
      <c r="Y132" s="1491" t="n"/>
      <c r="Z132" s="1427" t="inlineStr">
        <is>
          <t>.</t>
        </is>
      </c>
      <c r="AA132" s="1473">
        <f>IF(AB132&lt;&gt;"",AA131+1,AA131)</f>
        <v/>
      </c>
      <c r="AB132" s="1534" t="inlineStr">
        <is>
          <t>Xi'An-Beijing</t>
        </is>
      </c>
      <c r="AC132" s="1473">
        <f>IF(AD132&lt;&gt;"",AC131+1,AC131)</f>
        <v/>
      </c>
      <c r="AD132" s="1534" t="n"/>
      <c r="AE132" s="1427" t="inlineStr">
        <is>
          <t>.</t>
        </is>
      </c>
      <c r="AF132" s="1502" t="n">
        <v>128</v>
      </c>
      <c r="AG132" s="1500">
        <f>_xlfn.XLOOKUP(routes[[#This Row],[id]],$AA$5:$AA$300,$AB$5:$AB$300,"-")</f>
        <v/>
      </c>
      <c r="AH132" s="1500">
        <f>_xlfn.XLOOKUP(routes[[#This Row],[route]],routesUniv[route],routesUniv[outbound],"-")</f>
        <v/>
      </c>
      <c r="AI132" s="1500">
        <f>_xlfn.XLOOKUP(routes[[#This Row],[route]],routesUniv[route],routesUniv[inbound],"-")</f>
        <v/>
      </c>
      <c r="AJ132" s="1500">
        <f>_xlfn.XLOOKUP(routes[[#This Row],[route]],routesUniv[route],routesUniv[km],"-")</f>
        <v/>
      </c>
      <c r="AK132" s="1500">
        <f>COUNTIF(INPUT!BT$5:BT$1000,AG132)</f>
        <v/>
      </c>
      <c r="AL132" s="1505">
        <f>routes[[#This Row],[km]]*routes[[#This Row],[rpt]]/1000</f>
        <v/>
      </c>
      <c r="AM132" s="1481" t="inlineStr">
        <is>
          <t>.</t>
        </is>
      </c>
      <c r="AN132" s="1506" t="n"/>
      <c r="AO132" s="1500">
        <f>IF(AD132&lt;&gt;"",AD132,"-")</f>
        <v/>
      </c>
      <c r="AP132" s="1500">
        <f>_xlfn.XLOOKUP(cityRoutes[[#This Row],[city]],ccc[city],ccc[ctry],"-")</f>
        <v/>
      </c>
      <c r="AQ132" s="1500">
        <f>COUNTIF(INPUT!BR$5:BS$1000,AO132)</f>
        <v/>
      </c>
      <c r="AR132" s="1507">
        <f>(SUMIFS(routes[total],routes[outbound],AO132)+SUMIFS(routes[total],routes[inbound],AO132))/2</f>
        <v/>
      </c>
      <c r="AS132" s="1481" t="inlineStr">
        <is>
          <t>.</t>
        </is>
      </c>
      <c r="AT132" s="1491" t="n"/>
      <c r="AU132" s="1491" t="n"/>
      <c r="AV132" s="1491" t="n"/>
      <c r="AW132" s="1491" t="n"/>
      <c r="AX132" s="1491" t="n"/>
      <c r="AY132" s="1491" t="n"/>
      <c r="AZ132" s="1491" t="n"/>
      <c r="BA132" s="1491" t="n"/>
      <c r="BB132" s="1491" t="n"/>
      <c r="BC132" s="1491" t="n"/>
      <c r="BD132" s="1491" t="n"/>
      <c r="BE132" s="1491" t="n"/>
      <c r="BF132" s="1491" t="n"/>
      <c r="BG132" s="1491" t="n"/>
      <c r="BH132" s="1491" t="n"/>
      <c r="BI132" s="1491" t="n"/>
      <c r="BJ132" s="1491" t="n"/>
      <c r="BK132" s="1491" t="n"/>
      <c r="BL132" s="1491" t="n"/>
      <c r="BM132" s="1491" t="n"/>
      <c r="BN132" s="1491" t="n"/>
      <c r="BO132" s="1467" t="n"/>
      <c r="BP132" s="1514" t="n">
        <v>128</v>
      </c>
      <c r="BQ132" s="1513">
        <f>[1]Sheet1!C133</f>
        <v/>
      </c>
      <c r="BR132" s="1515">
        <f>[1]Sheet1!D133</f>
        <v/>
      </c>
      <c r="BS132" s="1513">
        <f>[1]Sheet1!E133</f>
        <v/>
      </c>
      <c r="BT132" s="1515">
        <f>[1]Sheet1!F133</f>
        <v/>
      </c>
      <c r="BU132" s="1516">
        <f>[1]Sheet1!G133</f>
        <v/>
      </c>
      <c r="BV132" s="1513">
        <f>[1]Sheet1!H133</f>
        <v/>
      </c>
      <c r="BW132" s="1467" t="n"/>
      <c r="BX132" s="1491">
        <f>[1]Sheet1!$J133</f>
        <v/>
      </c>
      <c r="BY132" s="1517">
        <f>[1]Sheet1!$K133</f>
        <v/>
      </c>
      <c r="BZ132" s="1517">
        <f>[1]Sheet1!$L133</f>
        <v/>
      </c>
      <c r="CA132" s="1500">
        <f>[1]Sheet1!$M133</f>
        <v/>
      </c>
      <c r="CB132" s="1467" t="n"/>
      <c r="CC132" s="1467" t="n"/>
      <c r="CD132" s="1491" t="n"/>
      <c r="CE132" s="1491" t="n"/>
      <c r="CF132" s="1491" t="n"/>
      <c r="CG132" s="1491" t="n"/>
      <c r="CH132" s="1491" t="n"/>
      <c r="CI132" s="1491" t="n"/>
      <c r="CJ132" s="1491" t="n"/>
      <c r="CK132" s="1435" t="n"/>
      <c r="CL132" s="1521" t="n">
        <v>174</v>
      </c>
      <c r="CM132" s="1513" t="inlineStr">
        <is>
          <t>Rome-Porto</t>
        </is>
      </c>
      <c r="CN132" s="1513" t="inlineStr">
        <is>
          <t>Rome</t>
        </is>
      </c>
      <c r="CO132" s="1513" t="inlineStr">
        <is>
          <t>Porto</t>
        </is>
      </c>
      <c r="CP132" s="1514" t="n">
        <v>1800</v>
      </c>
      <c r="CQ132" s="1435" t="n"/>
      <c r="CR132" s="1491" t="n"/>
      <c r="CS132" s="1491" t="n"/>
      <c r="CT132" s="1491" t="n"/>
      <c r="CU132" s="1491" t="n"/>
      <c r="CV132" s="1491" t="n"/>
      <c r="CW132" s="1491" t="n"/>
      <c r="CX132" s="1491" t="n"/>
    </row>
    <row r="133">
      <c r="A133" s="1491" t="n"/>
      <c r="B133" s="1491" t="n"/>
      <c r="C133" s="1491" t="n"/>
      <c r="D133" s="1497">
        <f>IF(E133&lt;&gt;"",D132+1,D132)</f>
        <v/>
      </c>
      <c r="E133" s="1497" t="inlineStr">
        <is>
          <t>Chester</t>
        </is>
      </c>
      <c r="F133" s="1535" t="inlineStr">
        <is>
          <t>.</t>
        </is>
      </c>
      <c r="G133" s="1498">
        <f>IF(H133="AIR",0,IF(H132="AIR",G131+1,IF(H133&lt;&gt;"",G132+1,G132)))</f>
        <v/>
      </c>
      <c r="H133" s="1498" t="inlineStr">
        <is>
          <t>Stonehenge</t>
        </is>
      </c>
      <c r="I133" s="1427" t="inlineStr">
        <is>
          <t>.</t>
        </is>
      </c>
      <c r="J133" s="1499" t="n">
        <v>128</v>
      </c>
      <c r="K133" s="1500">
        <f>_xlfn.XLOOKUP(cities[[#This Row],[id]],$D$5:$D$1500,E$5:E$1500,"-")</f>
        <v/>
      </c>
      <c r="L133" s="1500">
        <f>_xlfn.XLOOKUP(cities[[#This Row],[city]],ccc[city],ccc[ctry],"-")</f>
        <v/>
      </c>
      <c r="M133" s="1500">
        <f>SUMIFS(stayCity[stay],stayCity[city],cities[[#This Row],[city]])</f>
        <v/>
      </c>
      <c r="N133" s="1427">
        <f>N132+1</f>
        <v/>
      </c>
      <c r="O133" s="1500" t="n"/>
      <c r="P133" s="1500" t="n"/>
      <c r="Q133" s="1427" t="inlineStr">
        <is>
          <t>.</t>
        </is>
      </c>
      <c r="R133" s="1491" t="n"/>
      <c r="S133" s="1491" t="n"/>
      <c r="T133" s="1491" t="n"/>
      <c r="U133" s="1491" t="n"/>
      <c r="V133" s="1491" t="n"/>
      <c r="W133" s="1491" t="n"/>
      <c r="X133" s="1491" t="n"/>
      <c r="Y133" s="1491" t="n"/>
      <c r="Z133" s="1427" t="inlineStr">
        <is>
          <t>.</t>
        </is>
      </c>
      <c r="AA133" s="1473">
        <f>IF(AB133&lt;&gt;"",AA132+1,AA132)</f>
        <v/>
      </c>
      <c r="AB133" s="1534" t="inlineStr">
        <is>
          <t>Beijing-Toronto</t>
        </is>
      </c>
      <c r="AC133" s="1473">
        <f>IF(AD133&lt;&gt;"",AC132+1,AC132)</f>
        <v/>
      </c>
      <c r="AD133" s="1534" t="n"/>
      <c r="AE133" s="1427" t="inlineStr">
        <is>
          <t>.</t>
        </is>
      </c>
      <c r="AF133" s="1502" t="n">
        <v>129</v>
      </c>
      <c r="AG133" s="1500">
        <f>_xlfn.XLOOKUP(routes[[#This Row],[id]],$AA$5:$AA$300,$AB$5:$AB$300,"-")</f>
        <v/>
      </c>
      <c r="AH133" s="1500">
        <f>_xlfn.XLOOKUP(routes[[#This Row],[route]],routesUniv[route],routesUniv[outbound],"-")</f>
        <v/>
      </c>
      <c r="AI133" s="1500">
        <f>_xlfn.XLOOKUP(routes[[#This Row],[route]],routesUniv[route],routesUniv[inbound],"-")</f>
        <v/>
      </c>
      <c r="AJ133" s="1500">
        <f>_xlfn.XLOOKUP(routes[[#This Row],[route]],routesUniv[route],routesUniv[km],"-")</f>
        <v/>
      </c>
      <c r="AK133" s="1500">
        <f>COUNTIF(INPUT!BT$5:BT$1000,AG133)</f>
        <v/>
      </c>
      <c r="AL133" s="1505">
        <f>routes[[#This Row],[km]]*routes[[#This Row],[rpt]]/1000</f>
        <v/>
      </c>
      <c r="AM133" s="1481" t="inlineStr">
        <is>
          <t>.</t>
        </is>
      </c>
      <c r="AN133" s="1506" t="n"/>
      <c r="AO133" s="1500">
        <f>IF(AD133&lt;&gt;"",AD133,"-")</f>
        <v/>
      </c>
      <c r="AP133" s="1500">
        <f>_xlfn.XLOOKUP(cityRoutes[[#This Row],[city]],ccc[city],ccc[ctry],"-")</f>
        <v/>
      </c>
      <c r="AQ133" s="1500">
        <f>COUNTIF(INPUT!BR$5:BS$1000,AO133)</f>
        <v/>
      </c>
      <c r="AR133" s="1507">
        <f>(SUMIFS(routes[total],routes[outbound],AO133)+SUMIFS(routes[total],routes[inbound],AO133))/2</f>
        <v/>
      </c>
      <c r="AS133" s="1481" t="inlineStr">
        <is>
          <t>.</t>
        </is>
      </c>
      <c r="AT133" s="1491" t="n"/>
      <c r="AU133" s="1491" t="n"/>
      <c r="AV133" s="1491" t="n"/>
      <c r="AW133" s="1491" t="n"/>
      <c r="AX133" s="1491" t="n"/>
      <c r="AY133" s="1491" t="n"/>
      <c r="AZ133" s="1491" t="n"/>
      <c r="BA133" s="1491" t="n"/>
      <c r="BB133" s="1491" t="n"/>
      <c r="BC133" s="1491" t="n"/>
      <c r="BD133" s="1491" t="n"/>
      <c r="BE133" s="1491" t="n"/>
      <c r="BF133" s="1491" t="n"/>
      <c r="BG133" s="1491" t="n"/>
      <c r="BH133" s="1491" t="n"/>
      <c r="BI133" s="1491" t="n"/>
      <c r="BJ133" s="1491" t="n"/>
      <c r="BK133" s="1491" t="n"/>
      <c r="BL133" s="1491" t="n"/>
      <c r="BM133" s="1491" t="n"/>
      <c r="BN133" s="1491" t="n"/>
      <c r="BO133" s="1467" t="n"/>
      <c r="BP133" s="1514" t="n">
        <v>129</v>
      </c>
      <c r="BQ133" s="1513">
        <f>[1]Sheet1!C134</f>
        <v/>
      </c>
      <c r="BR133" s="1515">
        <f>[1]Sheet1!D134</f>
        <v/>
      </c>
      <c r="BS133" s="1513">
        <f>[1]Sheet1!E134</f>
        <v/>
      </c>
      <c r="BT133" s="1515">
        <f>[1]Sheet1!F134</f>
        <v/>
      </c>
      <c r="BU133" s="1516">
        <f>[1]Sheet1!G134</f>
        <v/>
      </c>
      <c r="BV133" s="1513">
        <f>[1]Sheet1!H134</f>
        <v/>
      </c>
      <c r="BW133" s="1467" t="n"/>
      <c r="BX133" s="1491">
        <f>[1]Sheet1!$J134</f>
        <v/>
      </c>
      <c r="BY133" s="1517">
        <f>[1]Sheet1!$K134</f>
        <v/>
      </c>
      <c r="BZ133" s="1517">
        <f>[1]Sheet1!$L134</f>
        <v/>
      </c>
      <c r="CA133" s="1500">
        <f>[1]Sheet1!$M134</f>
        <v/>
      </c>
      <c r="CB133" s="1467" t="n"/>
      <c r="CC133" s="1467" t="n"/>
      <c r="CD133" s="1491" t="n"/>
      <c r="CE133" s="1491" t="n"/>
      <c r="CF133" s="1491" t="n"/>
      <c r="CG133" s="1491" t="n"/>
      <c r="CH133" s="1491" t="n"/>
      <c r="CI133" s="1491" t="n"/>
      <c r="CJ133" s="1491" t="n"/>
      <c r="CK133" s="1435" t="n"/>
      <c r="CL133" s="1521" t="n">
        <v>125</v>
      </c>
      <c r="CM133" s="1513" t="inlineStr">
        <is>
          <t>Santiago-Barcelona</t>
        </is>
      </c>
      <c r="CN133" s="1513" t="inlineStr">
        <is>
          <t>Santiago</t>
        </is>
      </c>
      <c r="CO133" s="1513" t="inlineStr">
        <is>
          <t>Barcelona</t>
        </is>
      </c>
      <c r="CP133" s="1514" t="n">
        <v>900</v>
      </c>
      <c r="CQ133" s="1435" t="n"/>
      <c r="CR133" s="1491" t="n"/>
      <c r="CS133" s="1491" t="n"/>
      <c r="CT133" s="1491" t="n"/>
      <c r="CU133" s="1491" t="n"/>
      <c r="CV133" s="1491" t="n"/>
      <c r="CW133" s="1491" t="n"/>
      <c r="CX133" s="1491" t="n"/>
    </row>
    <row r="134">
      <c r="A134" s="1491" t="n"/>
      <c r="B134" s="1491" t="n"/>
      <c r="C134" s="1491" t="n"/>
      <c r="D134" s="1497">
        <f>IF(E134&lt;&gt;"",D133+1,D133)</f>
        <v/>
      </c>
      <c r="E134" s="1497" t="inlineStr">
        <is>
          <t>Lake District</t>
        </is>
      </c>
      <c r="F134" s="1535" t="inlineStr">
        <is>
          <t>.</t>
        </is>
      </c>
      <c r="G134" s="1498">
        <f>IF(H134="AIR",0,IF(H133="AIR",G132+1,IF(H134&lt;&gt;"",G133+1,G133)))</f>
        <v/>
      </c>
      <c r="H134" s="1498" t="inlineStr">
        <is>
          <t>Stratford</t>
        </is>
      </c>
      <c r="I134" s="1427" t="inlineStr">
        <is>
          <t>.</t>
        </is>
      </c>
      <c r="J134" s="1499" t="n">
        <v>129</v>
      </c>
      <c r="K134" s="1500">
        <f>_xlfn.XLOOKUP(cities[[#This Row],[id]],$D$5:$D$1500,E$5:E$1500,"-")</f>
        <v/>
      </c>
      <c r="L134" s="1500">
        <f>_xlfn.XLOOKUP(cities[[#This Row],[city]],ccc[city],ccc[ctry],"-")</f>
        <v/>
      </c>
      <c r="M134" s="1500">
        <f>SUMIFS(stayCity[stay],stayCity[city],cities[[#This Row],[city]])</f>
        <v/>
      </c>
      <c r="N134" s="1427">
        <f>N133+1</f>
        <v/>
      </c>
      <c r="O134" s="1500" t="n"/>
      <c r="P134" s="1500" t="n"/>
      <c r="Q134" s="1427" t="inlineStr">
        <is>
          <t>.</t>
        </is>
      </c>
      <c r="R134" s="1491" t="n"/>
      <c r="S134" s="1491" t="n"/>
      <c r="T134" s="1491" t="n"/>
      <c r="U134" s="1491" t="n"/>
      <c r="V134" s="1491" t="n"/>
      <c r="W134" s="1491" t="n"/>
      <c r="X134" s="1491" t="n"/>
      <c r="Y134" s="1491" t="n"/>
      <c r="Z134" s="1427" t="inlineStr">
        <is>
          <t>.</t>
        </is>
      </c>
      <c r="AA134" s="1473">
        <f>IF(AB134&lt;&gt;"",AA133+1,AA133)</f>
        <v/>
      </c>
      <c r="AB134" s="1534" t="inlineStr">
        <is>
          <t>Montreal-London</t>
        </is>
      </c>
      <c r="AC134" s="1473">
        <f>IF(AD134&lt;&gt;"",AC133+1,AC133)</f>
        <v/>
      </c>
      <c r="AD134" s="1534" t="n"/>
      <c r="AE134" s="1427" t="inlineStr">
        <is>
          <t>.</t>
        </is>
      </c>
      <c r="AF134" s="1502" t="n">
        <v>130</v>
      </c>
      <c r="AG134" s="1500">
        <f>_xlfn.XLOOKUP(routes[[#This Row],[id]],$AA$5:$AA$300,$AB$5:$AB$300,"-")</f>
        <v/>
      </c>
      <c r="AH134" s="1500">
        <f>_xlfn.XLOOKUP(routes[[#This Row],[route]],routesUniv[route],routesUniv[outbound],"-")</f>
        <v/>
      </c>
      <c r="AI134" s="1500">
        <f>_xlfn.XLOOKUP(routes[[#This Row],[route]],routesUniv[route],routesUniv[inbound],"-")</f>
        <v/>
      </c>
      <c r="AJ134" s="1500">
        <f>_xlfn.XLOOKUP(routes[[#This Row],[route]],routesUniv[route],routesUniv[km],"-")</f>
        <v/>
      </c>
      <c r="AK134" s="1500">
        <f>COUNTIF(INPUT!BT$5:BT$1000,AG134)</f>
        <v/>
      </c>
      <c r="AL134" s="1505">
        <f>routes[[#This Row],[km]]*routes[[#This Row],[rpt]]/1000</f>
        <v/>
      </c>
      <c r="AM134" s="1481" t="inlineStr">
        <is>
          <t>.</t>
        </is>
      </c>
      <c r="AN134" s="1506" t="n"/>
      <c r="AO134" s="1500">
        <f>IF(AD134&lt;&gt;"",AD134,"-")</f>
        <v/>
      </c>
      <c r="AP134" s="1500">
        <f>_xlfn.XLOOKUP(cityRoutes[[#This Row],[city]],ccc[city],ccc[ctry],"-")</f>
        <v/>
      </c>
      <c r="AQ134" s="1500">
        <f>COUNTIF(INPUT!BR$5:BS$1000,AO134)</f>
        <v/>
      </c>
      <c r="AR134" s="1507">
        <f>(SUMIFS(routes[total],routes[outbound],AO134)+SUMIFS(routes[total],routes[inbound],AO134))/2</f>
        <v/>
      </c>
      <c r="AS134" s="1481" t="inlineStr">
        <is>
          <t>.</t>
        </is>
      </c>
      <c r="AT134" s="1491" t="n"/>
      <c r="AU134" s="1491" t="n"/>
      <c r="AV134" s="1491" t="n"/>
      <c r="AW134" s="1491" t="n"/>
      <c r="AX134" s="1491" t="n"/>
      <c r="AY134" s="1491" t="n"/>
      <c r="AZ134" s="1491" t="n"/>
      <c r="BA134" s="1491" t="n"/>
      <c r="BB134" s="1491" t="n"/>
      <c r="BC134" s="1491" t="n"/>
      <c r="BD134" s="1491" t="n"/>
      <c r="BE134" s="1491" t="n"/>
      <c r="BF134" s="1491" t="n"/>
      <c r="BG134" s="1491" t="n"/>
      <c r="BH134" s="1491" t="n"/>
      <c r="BI134" s="1491" t="n"/>
      <c r="BJ134" s="1491" t="n"/>
      <c r="BK134" s="1491" t="n"/>
      <c r="BL134" s="1491" t="n"/>
      <c r="BM134" s="1491" t="n"/>
      <c r="BN134" s="1491" t="n"/>
      <c r="BO134" s="1467" t="n"/>
      <c r="BP134" s="1514" t="n">
        <v>130</v>
      </c>
      <c r="BQ134" s="1513">
        <f>[1]Sheet1!C135</f>
        <v/>
      </c>
      <c r="BR134" s="1515">
        <f>[1]Sheet1!D135</f>
        <v/>
      </c>
      <c r="BS134" s="1513">
        <f>[1]Sheet1!E135</f>
        <v/>
      </c>
      <c r="BT134" s="1515">
        <f>[1]Sheet1!F135</f>
        <v/>
      </c>
      <c r="BU134" s="1516">
        <f>[1]Sheet1!G135</f>
        <v/>
      </c>
      <c r="BV134" s="1513">
        <f>[1]Sheet1!H135</f>
        <v/>
      </c>
      <c r="BW134" s="1467" t="n"/>
      <c r="BX134" s="1491">
        <f>[1]Sheet1!$J135</f>
        <v/>
      </c>
      <c r="BY134" s="1517">
        <f>[1]Sheet1!$K135</f>
        <v/>
      </c>
      <c r="BZ134" s="1517">
        <f>[1]Sheet1!$L135</f>
        <v/>
      </c>
      <c r="CA134" s="1500">
        <f>[1]Sheet1!$M135</f>
        <v/>
      </c>
      <c r="CB134" s="1467" t="n"/>
      <c r="CC134" s="1467" t="n"/>
      <c r="CD134" s="1491" t="n"/>
      <c r="CE134" s="1536" t="n"/>
      <c r="CF134" s="1536" t="n"/>
      <c r="CG134" s="1491" t="n"/>
      <c r="CH134" s="1491" t="n"/>
      <c r="CI134" s="1491" t="n"/>
      <c r="CJ134" s="1491" t="n"/>
      <c r="CK134" s="1435" t="n"/>
      <c r="CL134" s="1521" t="n">
        <v>126</v>
      </c>
      <c r="CM134" s="1513" t="inlineStr">
        <is>
          <t>SP-Atlanta</t>
        </is>
      </c>
      <c r="CN134" s="1513" t="inlineStr">
        <is>
          <t>SP</t>
        </is>
      </c>
      <c r="CO134" s="1513" t="inlineStr">
        <is>
          <t>Atlanta</t>
        </is>
      </c>
      <c r="CP134" s="1514" t="n">
        <v>7500</v>
      </c>
      <c r="CQ134" s="1435" t="n"/>
      <c r="CR134" s="1491" t="n"/>
      <c r="CS134" s="1491" t="n"/>
      <c r="CT134" s="1491" t="n"/>
      <c r="CU134" s="1491" t="n"/>
      <c r="CV134" s="1491" t="n"/>
      <c r="CW134" s="1491" t="n"/>
      <c r="CX134" s="1491" t="n"/>
    </row>
    <row r="135">
      <c r="A135" s="1491" t="n"/>
      <c r="B135" s="1491" t="n"/>
      <c r="C135" s="1491" t="n"/>
      <c r="D135" s="1497">
        <f>IF(E135&lt;&gt;"",D134+1,D134)</f>
        <v/>
      </c>
      <c r="E135" s="1497" t="inlineStr">
        <is>
          <t>Glasgow</t>
        </is>
      </c>
      <c r="F135" s="1535" t="inlineStr">
        <is>
          <t>.</t>
        </is>
      </c>
      <c r="G135" s="1498">
        <f>IF(H135="AIR",0,IF(H134="AIR",G133+1,IF(H135&lt;&gt;"",G134+1,G134)))</f>
        <v/>
      </c>
      <c r="H135" s="1498" t="inlineStr">
        <is>
          <t>Bristol</t>
        </is>
      </c>
      <c r="I135" s="1427" t="inlineStr">
        <is>
          <t>.</t>
        </is>
      </c>
      <c r="J135" s="1499" t="n">
        <v>130</v>
      </c>
      <c r="K135" s="1500">
        <f>_xlfn.XLOOKUP(cities[[#This Row],[id]],$D$5:$D$1500,E$5:E$1500,"-")</f>
        <v/>
      </c>
      <c r="L135" s="1500">
        <f>_xlfn.XLOOKUP(cities[[#This Row],[city]],ccc[city],ccc[ctry],"-")</f>
        <v/>
      </c>
      <c r="M135" s="1500">
        <f>SUMIFS(stayCity[stay],stayCity[city],cities[[#This Row],[city]])</f>
        <v/>
      </c>
      <c r="N135" s="1427">
        <f>N134+1</f>
        <v/>
      </c>
      <c r="O135" s="1500" t="n"/>
      <c r="P135" s="1500" t="n"/>
      <c r="Q135" s="1427" t="inlineStr">
        <is>
          <t>.</t>
        </is>
      </c>
      <c r="R135" s="1491" t="n"/>
      <c r="S135" s="1491" t="n"/>
      <c r="T135" s="1491" t="n"/>
      <c r="U135" s="1491" t="n"/>
      <c r="V135" s="1491" t="n"/>
      <c r="W135" s="1491" t="n"/>
      <c r="X135" s="1491" t="n"/>
      <c r="Y135" s="1491" t="n"/>
      <c r="Z135" s="1427" t="inlineStr">
        <is>
          <t>.</t>
        </is>
      </c>
      <c r="AA135" s="1473">
        <f>IF(AB135&lt;&gt;"",AA134+1,AA134)</f>
        <v/>
      </c>
      <c r="AB135" s="1534" t="inlineStr">
        <is>
          <t>London-Montreal</t>
        </is>
      </c>
      <c r="AC135" s="1473">
        <f>IF(AD135&lt;&gt;"",AC134+1,AC134)</f>
        <v/>
      </c>
      <c r="AD135" s="1534" t="n"/>
      <c r="AE135" s="1427" t="inlineStr">
        <is>
          <t>.</t>
        </is>
      </c>
      <c r="AF135" s="1502" t="n">
        <v>131</v>
      </c>
      <c r="AG135" s="1500">
        <f>_xlfn.XLOOKUP(routes[[#This Row],[id]],$AA$5:$AA$300,$AB$5:$AB$300,"-")</f>
        <v/>
      </c>
      <c r="AH135" s="1500">
        <f>_xlfn.XLOOKUP(routes[[#This Row],[route]],routesUniv[route],routesUniv[outbound],"-")</f>
        <v/>
      </c>
      <c r="AI135" s="1500">
        <f>_xlfn.XLOOKUP(routes[[#This Row],[route]],routesUniv[route],routesUniv[inbound],"-")</f>
        <v/>
      </c>
      <c r="AJ135" s="1500">
        <f>_xlfn.XLOOKUP(routes[[#This Row],[route]],routesUniv[route],routesUniv[km],"-")</f>
        <v/>
      </c>
      <c r="AK135" s="1500">
        <f>COUNTIF(INPUT!BT$5:BT$1000,AG135)</f>
        <v/>
      </c>
      <c r="AL135" s="1505">
        <f>routes[[#This Row],[km]]*routes[[#This Row],[rpt]]/1000</f>
        <v/>
      </c>
      <c r="AM135" s="1481" t="inlineStr">
        <is>
          <t>.</t>
        </is>
      </c>
      <c r="AN135" s="1506" t="n"/>
      <c r="AO135" s="1500">
        <f>IF(AD135&lt;&gt;"",AD135,"-")</f>
        <v/>
      </c>
      <c r="AP135" s="1500">
        <f>_xlfn.XLOOKUP(cityRoutes[[#This Row],[city]],ccc[city],ccc[ctry],"-")</f>
        <v/>
      </c>
      <c r="AQ135" s="1500">
        <f>COUNTIF(INPUT!BR$5:BS$1000,AO135)</f>
        <v/>
      </c>
      <c r="AR135" s="1507">
        <f>(SUMIFS(routes[total],routes[outbound],AO135)+SUMIFS(routes[total],routes[inbound],AO135))/2</f>
        <v/>
      </c>
      <c r="AS135" s="1481" t="inlineStr">
        <is>
          <t>.</t>
        </is>
      </c>
      <c r="AT135" s="1491" t="n"/>
      <c r="AU135" s="1491" t="n"/>
      <c r="AV135" s="1491" t="n"/>
      <c r="AW135" s="1491" t="n"/>
      <c r="AX135" s="1491" t="n"/>
      <c r="AY135" s="1491" t="n"/>
      <c r="AZ135" s="1491" t="n"/>
      <c r="BA135" s="1491" t="n"/>
      <c r="BB135" s="1491" t="n"/>
      <c r="BC135" s="1491" t="n"/>
      <c r="BD135" s="1491" t="n"/>
      <c r="BE135" s="1491" t="n"/>
      <c r="BF135" s="1491" t="n"/>
      <c r="BG135" s="1491" t="n"/>
      <c r="BH135" s="1491" t="n"/>
      <c r="BI135" s="1491" t="n"/>
      <c r="BJ135" s="1491" t="n"/>
      <c r="BK135" s="1491" t="n"/>
      <c r="BL135" s="1491" t="n"/>
      <c r="BM135" s="1491" t="n"/>
      <c r="BN135" s="1491" t="n"/>
      <c r="BO135" s="1467" t="n"/>
      <c r="BP135" s="1514" t="n">
        <v>131</v>
      </c>
      <c r="BQ135" s="1513">
        <f>[1]Sheet1!C136</f>
        <v/>
      </c>
      <c r="BR135" s="1515">
        <f>[1]Sheet1!D136</f>
        <v/>
      </c>
      <c r="BS135" s="1513">
        <f>[1]Sheet1!E136</f>
        <v/>
      </c>
      <c r="BT135" s="1515">
        <f>[1]Sheet1!F136</f>
        <v/>
      </c>
      <c r="BU135" s="1516">
        <f>[1]Sheet1!G136</f>
        <v/>
      </c>
      <c r="BV135" s="1513">
        <f>[1]Sheet1!H136</f>
        <v/>
      </c>
      <c r="BW135" s="1467" t="n"/>
      <c r="BX135" s="1491">
        <f>[1]Sheet1!$J136</f>
        <v/>
      </c>
      <c r="BY135" s="1517">
        <f>[1]Sheet1!$K136</f>
        <v/>
      </c>
      <c r="BZ135" s="1517">
        <f>[1]Sheet1!$L136</f>
        <v/>
      </c>
      <c r="CA135" s="1500">
        <f>[1]Sheet1!$M136</f>
        <v/>
      </c>
      <c r="CB135" s="1467" t="n"/>
      <c r="CC135" s="1467" t="n"/>
      <c r="CD135" s="1491" t="n"/>
      <c r="CE135" s="1491" t="n"/>
      <c r="CF135" s="1491" t="n"/>
      <c r="CG135" s="1491" t="n"/>
      <c r="CH135" s="1491" t="n"/>
      <c r="CI135" s="1491" t="n"/>
      <c r="CJ135" s="1491" t="n"/>
      <c r="CK135" s="1435" t="n"/>
      <c r="CL135" s="1521" t="n">
        <v>127</v>
      </c>
      <c r="CM135" s="1513" t="inlineStr">
        <is>
          <t>SP-Bariloche</t>
        </is>
      </c>
      <c r="CN135" s="1513" t="inlineStr">
        <is>
          <t>SP</t>
        </is>
      </c>
      <c r="CO135" s="1513" t="inlineStr">
        <is>
          <t>Bariloche</t>
        </is>
      </c>
      <c r="CP135" s="1514" t="n">
        <v>3000</v>
      </c>
      <c r="CQ135" s="1435" t="n"/>
      <c r="CR135" s="1491" t="n"/>
      <c r="CS135" s="1491" t="n"/>
      <c r="CT135" s="1491" t="n"/>
      <c r="CU135" s="1491" t="n"/>
      <c r="CV135" s="1491" t="n"/>
      <c r="CW135" s="1491" t="n"/>
      <c r="CX135" s="1491" t="n"/>
    </row>
    <row r="136">
      <c r="A136" s="1491" t="n"/>
      <c r="B136" s="1491" t="n"/>
      <c r="C136" s="1491" t="n"/>
      <c r="D136" s="1497">
        <f>IF(E136&lt;&gt;"",D135+1,D135)</f>
        <v/>
      </c>
      <c r="E136" s="1497" t="inlineStr">
        <is>
          <t>Windermere</t>
        </is>
      </c>
      <c r="F136" s="1535" t="inlineStr">
        <is>
          <t>.</t>
        </is>
      </c>
      <c r="G136" s="1498">
        <f>IF(H136="AIR",0,IF(H135="AIR",G134+1,IF(H136&lt;&gt;"",G135+1,G135)))</f>
        <v/>
      </c>
      <c r="H136" s="1498" t="inlineStr">
        <is>
          <t>Chester</t>
        </is>
      </c>
      <c r="I136" s="1427" t="inlineStr">
        <is>
          <t>.</t>
        </is>
      </c>
      <c r="J136" s="1499" t="n">
        <v>131</v>
      </c>
      <c r="K136" s="1500">
        <f>_xlfn.XLOOKUP(cities[[#This Row],[id]],$D$5:$D$1500,E$5:E$1500,"-")</f>
        <v/>
      </c>
      <c r="L136" s="1500">
        <f>_xlfn.XLOOKUP(cities[[#This Row],[city]],ccc[city],ccc[ctry],"-")</f>
        <v/>
      </c>
      <c r="M136" s="1500">
        <f>SUMIFS(stayCity[stay],stayCity[city],cities[[#This Row],[city]])</f>
        <v/>
      </c>
      <c r="N136" s="1427">
        <f>N135+1</f>
        <v/>
      </c>
      <c r="O136" s="1500" t="n"/>
      <c r="P136" s="1500" t="n"/>
      <c r="Q136" s="1427" t="inlineStr">
        <is>
          <t>.</t>
        </is>
      </c>
      <c r="R136" s="1491" t="n"/>
      <c r="S136" s="1491" t="n"/>
      <c r="T136" s="1491" t="n"/>
      <c r="U136" s="1491" t="n"/>
      <c r="V136" s="1491" t="n"/>
      <c r="W136" s="1491" t="n"/>
      <c r="X136" s="1491" t="n"/>
      <c r="Y136" s="1491" t="n"/>
      <c r="Z136" s="1427" t="inlineStr">
        <is>
          <t>.</t>
        </is>
      </c>
      <c r="AA136" s="1473">
        <f>IF(AB136&lt;&gt;"",AA135+1,AA135)</f>
        <v/>
      </c>
      <c r="AB136" s="1534" t="inlineStr">
        <is>
          <t>Detroit-Orlando</t>
        </is>
      </c>
      <c r="AC136" s="1473">
        <f>IF(AD136&lt;&gt;"",AC135+1,AC135)</f>
        <v/>
      </c>
      <c r="AD136" s="1534" t="n"/>
      <c r="AE136" s="1427" t="inlineStr">
        <is>
          <t>.</t>
        </is>
      </c>
      <c r="AF136" s="1502" t="n">
        <v>132</v>
      </c>
      <c r="AG136" s="1500">
        <f>_xlfn.XLOOKUP(routes[[#This Row],[id]],$AA$5:$AA$300,$AB$5:$AB$300,"-")</f>
        <v/>
      </c>
      <c r="AH136" s="1500">
        <f>_xlfn.XLOOKUP(routes[[#This Row],[route]],routesUniv[route],routesUniv[outbound],"-")</f>
        <v/>
      </c>
      <c r="AI136" s="1500">
        <f>_xlfn.XLOOKUP(routes[[#This Row],[route]],routesUniv[route],routesUniv[inbound],"-")</f>
        <v/>
      </c>
      <c r="AJ136" s="1500">
        <f>_xlfn.XLOOKUP(routes[[#This Row],[route]],routesUniv[route],routesUniv[km],"-")</f>
        <v/>
      </c>
      <c r="AK136" s="1500">
        <f>COUNTIF(INPUT!BT$5:BT$1000,AG136)</f>
        <v/>
      </c>
      <c r="AL136" s="1505">
        <f>routes[[#This Row],[km]]*routes[[#This Row],[rpt]]/1000</f>
        <v/>
      </c>
      <c r="AM136" s="1481" t="inlineStr">
        <is>
          <t>.</t>
        </is>
      </c>
      <c r="AN136" s="1506" t="n"/>
      <c r="AO136" s="1500">
        <f>IF(AD136&lt;&gt;"",AD136,"-")</f>
        <v/>
      </c>
      <c r="AP136" s="1500">
        <f>_xlfn.XLOOKUP(cityRoutes[[#This Row],[city]],ccc[city],ccc[ctry],"-")</f>
        <v/>
      </c>
      <c r="AQ136" s="1500">
        <f>COUNTIF(INPUT!BR$5:BS$1000,AO136)</f>
        <v/>
      </c>
      <c r="AR136" s="1507">
        <f>(SUMIFS(routes[total],routes[outbound],AO136)+SUMIFS(routes[total],routes[inbound],AO136))/2</f>
        <v/>
      </c>
      <c r="AS136" s="1481" t="inlineStr">
        <is>
          <t>.</t>
        </is>
      </c>
      <c r="AT136" s="1491" t="n"/>
      <c r="AU136" s="1491" t="n"/>
      <c r="AV136" s="1491" t="n"/>
      <c r="AW136" s="1491" t="n"/>
      <c r="AX136" s="1491" t="n"/>
      <c r="AY136" s="1491" t="n"/>
      <c r="AZ136" s="1491" t="n"/>
      <c r="BA136" s="1491" t="n"/>
      <c r="BB136" s="1491" t="n"/>
      <c r="BC136" s="1491" t="n"/>
      <c r="BD136" s="1491" t="n"/>
      <c r="BE136" s="1491" t="n"/>
      <c r="BF136" s="1491" t="n"/>
      <c r="BG136" s="1491" t="n"/>
      <c r="BH136" s="1491" t="n"/>
      <c r="BI136" s="1491" t="n"/>
      <c r="BJ136" s="1491" t="n"/>
      <c r="BK136" s="1491" t="n"/>
      <c r="BL136" s="1491" t="n"/>
      <c r="BM136" s="1491" t="n"/>
      <c r="BN136" s="1491" t="n"/>
      <c r="BO136" s="1467" t="n"/>
      <c r="BP136" s="1514" t="n">
        <v>132</v>
      </c>
      <c r="BQ136" s="1513">
        <f>[1]Sheet1!C137</f>
        <v/>
      </c>
      <c r="BR136" s="1515">
        <f>[1]Sheet1!D137</f>
        <v/>
      </c>
      <c r="BS136" s="1513">
        <f>[1]Sheet1!E137</f>
        <v/>
      </c>
      <c r="BT136" s="1515">
        <f>[1]Sheet1!F137</f>
        <v/>
      </c>
      <c r="BU136" s="1516">
        <f>[1]Sheet1!G137</f>
        <v/>
      </c>
      <c r="BV136" s="1513">
        <f>[1]Sheet1!H137</f>
        <v/>
      </c>
      <c r="BW136" s="1467" t="n"/>
      <c r="BX136" s="1491">
        <f>[1]Sheet1!$J137</f>
        <v/>
      </c>
      <c r="BY136" s="1517">
        <f>[1]Sheet1!$K137</f>
        <v/>
      </c>
      <c r="BZ136" s="1517">
        <f>[1]Sheet1!$L137</f>
        <v/>
      </c>
      <c r="CA136" s="1500">
        <f>[1]Sheet1!$M137</f>
        <v/>
      </c>
      <c r="CB136" s="1467" t="n"/>
      <c r="CC136" s="1467" t="n"/>
      <c r="CD136" s="1491" t="n"/>
      <c r="CE136" s="1491" t="n"/>
      <c r="CF136" s="1491" t="n"/>
      <c r="CG136" s="1491" t="n"/>
      <c r="CH136" s="1491" t="n"/>
      <c r="CI136" s="1491" t="n"/>
      <c r="CJ136" s="1491" t="n"/>
      <c r="CK136" s="1435" t="n"/>
      <c r="CL136" s="1521" t="n">
        <v>128</v>
      </c>
      <c r="CM136" s="1500" t="inlineStr">
        <is>
          <t>SP-BH</t>
        </is>
      </c>
      <c r="CN136" s="1500" t="inlineStr">
        <is>
          <t>SP</t>
        </is>
      </c>
      <c r="CO136" s="1500" t="inlineStr">
        <is>
          <t>BH</t>
        </is>
      </c>
      <c r="CP136" s="1514" t="n">
        <v>500</v>
      </c>
      <c r="CQ136" s="1435" t="n"/>
      <c r="CR136" s="1491" t="n"/>
      <c r="CS136" s="1491" t="n"/>
      <c r="CT136" s="1491" t="n"/>
      <c r="CU136" s="1491" t="n"/>
      <c r="CV136" s="1491" t="n"/>
      <c r="CW136" s="1491" t="n"/>
      <c r="CX136" s="1491" t="n"/>
    </row>
    <row r="137">
      <c r="A137" s="1491" t="n"/>
      <c r="B137" s="1491" t="n"/>
      <c r="C137" s="1491" t="n"/>
      <c r="D137" s="1497">
        <f>IF(E137&lt;&gt;"",D136+1,D136)</f>
        <v/>
      </c>
      <c r="E137" s="1497" t="inlineStr">
        <is>
          <t>Keswick</t>
        </is>
      </c>
      <c r="F137" s="1535" t="inlineStr">
        <is>
          <t>.</t>
        </is>
      </c>
      <c r="G137" s="1498">
        <f>IF(H137="AIR",0,IF(H136="AIR",G135+1,IF(H137&lt;&gt;"",G136+1,G136)))</f>
        <v/>
      </c>
      <c r="H137" s="1498" t="inlineStr">
        <is>
          <t>Lake District</t>
        </is>
      </c>
      <c r="I137" s="1427" t="inlineStr">
        <is>
          <t>.</t>
        </is>
      </c>
      <c r="J137" s="1499" t="n">
        <v>132</v>
      </c>
      <c r="K137" s="1500">
        <f>_xlfn.XLOOKUP(cities[[#This Row],[id]],$D$5:$D$1500,E$5:E$1500,"-")</f>
        <v/>
      </c>
      <c r="L137" s="1500">
        <f>_xlfn.XLOOKUP(cities[[#This Row],[city]],ccc[city],ccc[ctry],"-")</f>
        <v/>
      </c>
      <c r="M137" s="1500">
        <f>SUMIFS(stayCity[stay],stayCity[city],cities[[#This Row],[city]])</f>
        <v/>
      </c>
      <c r="N137" s="1427">
        <f>N136+1</f>
        <v/>
      </c>
      <c r="O137" s="1500" t="n"/>
      <c r="P137" s="1500" t="n"/>
      <c r="Q137" s="1427" t="inlineStr">
        <is>
          <t>.</t>
        </is>
      </c>
      <c r="R137" s="1491" t="n"/>
      <c r="S137" s="1491" t="n"/>
      <c r="T137" s="1491" t="n"/>
      <c r="U137" s="1491" t="n"/>
      <c r="V137" s="1491" t="n"/>
      <c r="W137" s="1491" t="n"/>
      <c r="X137" s="1491" t="n"/>
      <c r="Y137" s="1491" t="n"/>
      <c r="Z137" s="1427" t="inlineStr">
        <is>
          <t>.</t>
        </is>
      </c>
      <c r="AA137" s="1473">
        <f>IF(AB137&lt;&gt;"",AA136+1,AA136)</f>
        <v/>
      </c>
      <c r="AB137" s="1534" t="inlineStr">
        <is>
          <t>Montreal-Lisbon</t>
        </is>
      </c>
      <c r="AC137" s="1473">
        <f>IF(AD137&lt;&gt;"",AC136+1,AC136)</f>
        <v/>
      </c>
      <c r="AD137" s="1534" t="n"/>
      <c r="AE137" s="1427" t="inlineStr">
        <is>
          <t>.</t>
        </is>
      </c>
      <c r="AF137" s="1502" t="n">
        <v>133</v>
      </c>
      <c r="AG137" s="1500">
        <f>_xlfn.XLOOKUP(routes[[#This Row],[id]],$AA$5:$AA$300,$AB$5:$AB$300,"-")</f>
        <v/>
      </c>
      <c r="AH137" s="1500">
        <f>_xlfn.XLOOKUP(routes[[#This Row],[route]],routesUniv[route],routesUniv[outbound],"-")</f>
        <v/>
      </c>
      <c r="AI137" s="1500">
        <f>_xlfn.XLOOKUP(routes[[#This Row],[route]],routesUniv[route],routesUniv[inbound],"-")</f>
        <v/>
      </c>
      <c r="AJ137" s="1500">
        <f>_xlfn.XLOOKUP(routes[[#This Row],[route]],routesUniv[route],routesUniv[km],"-")</f>
        <v/>
      </c>
      <c r="AK137" s="1500">
        <f>COUNTIF(INPUT!BT$5:BT$1000,AG137)</f>
        <v/>
      </c>
      <c r="AL137" s="1505">
        <f>routes[[#This Row],[km]]*routes[[#This Row],[rpt]]/1000</f>
        <v/>
      </c>
      <c r="AM137" s="1481" t="inlineStr">
        <is>
          <t>.</t>
        </is>
      </c>
      <c r="AN137" s="1506" t="n"/>
      <c r="AO137" s="1500">
        <f>IF(AD137&lt;&gt;"",AD137,"-")</f>
        <v/>
      </c>
      <c r="AP137" s="1500">
        <f>_xlfn.XLOOKUP(cityRoutes[[#This Row],[city]],ccc[city],ccc[ctry],"-")</f>
        <v/>
      </c>
      <c r="AQ137" s="1500">
        <f>COUNTIF(INPUT!BR$5:BS$1000,AO137)</f>
        <v/>
      </c>
      <c r="AR137" s="1507">
        <f>(SUMIFS(routes[total],routes[outbound],AO137)+SUMIFS(routes[total],routes[inbound],AO137))/2</f>
        <v/>
      </c>
      <c r="AS137" s="1481" t="inlineStr">
        <is>
          <t>.</t>
        </is>
      </c>
      <c r="AT137" s="1491" t="n"/>
      <c r="AU137" s="1491" t="n"/>
      <c r="AV137" s="1491" t="n"/>
      <c r="AW137" s="1491" t="n"/>
      <c r="AX137" s="1491" t="n"/>
      <c r="AY137" s="1491" t="n"/>
      <c r="AZ137" s="1491" t="n"/>
      <c r="BA137" s="1491" t="n"/>
      <c r="BB137" s="1491" t="n"/>
      <c r="BC137" s="1491" t="n"/>
      <c r="BD137" s="1491" t="n"/>
      <c r="BE137" s="1491" t="n"/>
      <c r="BF137" s="1491" t="n"/>
      <c r="BG137" s="1491" t="n"/>
      <c r="BH137" s="1491" t="n"/>
      <c r="BI137" s="1491" t="n"/>
      <c r="BJ137" s="1491" t="n"/>
      <c r="BK137" s="1491" t="n"/>
      <c r="BL137" s="1491" t="n"/>
      <c r="BM137" s="1491" t="n"/>
      <c r="BN137" s="1491" t="n"/>
      <c r="BO137" s="1467" t="n"/>
      <c r="BP137" s="1514" t="n">
        <v>133</v>
      </c>
      <c r="BQ137" s="1513">
        <f>[1]Sheet1!C138</f>
        <v/>
      </c>
      <c r="BR137" s="1515">
        <f>[1]Sheet1!D138</f>
        <v/>
      </c>
      <c r="BS137" s="1513">
        <f>[1]Sheet1!E138</f>
        <v/>
      </c>
      <c r="BT137" s="1515">
        <f>[1]Sheet1!F138</f>
        <v/>
      </c>
      <c r="BU137" s="1516">
        <f>[1]Sheet1!G138</f>
        <v/>
      </c>
      <c r="BV137" s="1513">
        <f>[1]Sheet1!H138</f>
        <v/>
      </c>
      <c r="BW137" s="1467" t="n"/>
      <c r="BX137" s="1491">
        <f>[1]Sheet1!$J138</f>
        <v/>
      </c>
      <c r="BY137" s="1517">
        <f>[1]Sheet1!$K138</f>
        <v/>
      </c>
      <c r="BZ137" s="1517">
        <f>[1]Sheet1!$L138</f>
        <v/>
      </c>
      <c r="CA137" s="1500">
        <f>[1]Sheet1!$M138</f>
        <v/>
      </c>
      <c r="CB137" s="1467" t="n"/>
      <c r="CC137" s="1467" t="n"/>
      <c r="CD137" s="1491" t="n"/>
      <c r="CE137" s="1491" t="n"/>
      <c r="CF137" s="1491" t="n"/>
      <c r="CG137" s="1491" t="n"/>
      <c r="CH137" s="1491" t="n"/>
      <c r="CI137" s="1491" t="n"/>
      <c r="CJ137" s="1491" t="n"/>
      <c r="CK137" s="1435" t="n"/>
      <c r="CL137" s="1521" t="n">
        <v>129</v>
      </c>
      <c r="CM137" s="1513" t="inlineStr">
        <is>
          <t>SP-Buenos Aires</t>
        </is>
      </c>
      <c r="CN137" s="1513" t="inlineStr">
        <is>
          <t>SP</t>
        </is>
      </c>
      <c r="CO137" s="1513" t="inlineStr">
        <is>
          <t>Buenos Aires</t>
        </is>
      </c>
      <c r="CP137" s="1514" t="n">
        <v>1700</v>
      </c>
      <c r="CQ137" s="1435" t="n"/>
      <c r="CR137" s="1491" t="n"/>
      <c r="CS137" s="1491" t="n"/>
      <c r="CT137" s="1491" t="n"/>
      <c r="CU137" s="1491" t="n"/>
      <c r="CV137" s="1491" t="n"/>
      <c r="CW137" s="1491" t="n"/>
      <c r="CX137" s="1491" t="n"/>
    </row>
    <row r="138">
      <c r="A138" s="1491" t="n"/>
      <c r="B138" s="1491" t="n"/>
      <c r="C138" s="1491" t="n"/>
      <c r="D138" s="1497">
        <f>IF(E138&lt;&gt;"",D137+1,D137)</f>
        <v/>
      </c>
      <c r="E138" s="1497" t="inlineStr">
        <is>
          <t>Loch Lomond</t>
        </is>
      </c>
      <c r="F138" s="1535" t="inlineStr">
        <is>
          <t>.</t>
        </is>
      </c>
      <c r="G138" s="1498">
        <f>IF(H138="AIR",0,IF(H137="AIR",G136+1,IF(H138&lt;&gt;"",G137+1,G137)))</f>
        <v/>
      </c>
      <c r="H138" s="1498" t="inlineStr">
        <is>
          <t>Glasgow</t>
        </is>
      </c>
      <c r="I138" s="1427" t="inlineStr">
        <is>
          <t>.</t>
        </is>
      </c>
      <c r="J138" s="1499" t="n">
        <v>133</v>
      </c>
      <c r="K138" s="1500">
        <f>_xlfn.XLOOKUP(cities[[#This Row],[id]],$D$5:$D$1500,E$5:E$1500,"-")</f>
        <v/>
      </c>
      <c r="L138" s="1500">
        <f>_xlfn.XLOOKUP(cities[[#This Row],[city]],ccc[city],ccc[ctry],"-")</f>
        <v/>
      </c>
      <c r="M138" s="1500">
        <f>SUMIFS(stayCity[stay],stayCity[city],cities[[#This Row],[city]])</f>
        <v/>
      </c>
      <c r="N138" s="1427">
        <f>N137+1</f>
        <v/>
      </c>
      <c r="O138" s="1500" t="n"/>
      <c r="P138" s="1500" t="n"/>
      <c r="Q138" s="1427" t="inlineStr">
        <is>
          <t>.</t>
        </is>
      </c>
      <c r="R138" s="1491" t="n"/>
      <c r="S138" s="1491" t="n"/>
      <c r="T138" s="1491" t="n"/>
      <c r="U138" s="1491" t="n"/>
      <c r="V138" s="1491" t="n"/>
      <c r="W138" s="1491" t="n"/>
      <c r="X138" s="1491" t="n"/>
      <c r="Y138" s="1491" t="n"/>
      <c r="Z138" s="1427" t="inlineStr">
        <is>
          <t>.</t>
        </is>
      </c>
      <c r="AA138" s="1473">
        <f>IF(AB138&lt;&gt;"",AA137+1,AA137)</f>
        <v/>
      </c>
      <c r="AB138" s="1534" t="inlineStr">
        <is>
          <t>Lisbon-Porto</t>
        </is>
      </c>
      <c r="AC138" s="1473">
        <f>IF(AD138&lt;&gt;"",AC137+1,AC137)</f>
        <v/>
      </c>
      <c r="AD138" s="1534" t="n"/>
      <c r="AE138" s="1427" t="inlineStr">
        <is>
          <t>.</t>
        </is>
      </c>
      <c r="AF138" s="1502" t="n">
        <v>134</v>
      </c>
      <c r="AG138" s="1500">
        <f>_xlfn.XLOOKUP(routes[[#This Row],[id]],$AA$5:$AA$300,$AB$5:$AB$300,"-")</f>
        <v/>
      </c>
      <c r="AH138" s="1500">
        <f>_xlfn.XLOOKUP(routes[[#This Row],[route]],routesUniv[route],routesUniv[outbound],"-")</f>
        <v/>
      </c>
      <c r="AI138" s="1500">
        <f>_xlfn.XLOOKUP(routes[[#This Row],[route]],routesUniv[route],routesUniv[inbound],"-")</f>
        <v/>
      </c>
      <c r="AJ138" s="1500">
        <f>_xlfn.XLOOKUP(routes[[#This Row],[route]],routesUniv[route],routesUniv[km],"-")</f>
        <v/>
      </c>
      <c r="AK138" s="1500">
        <f>COUNTIF(INPUT!BT$5:BT$1000,AG138)</f>
        <v/>
      </c>
      <c r="AL138" s="1505">
        <f>routes[[#This Row],[km]]*routes[[#This Row],[rpt]]/1000</f>
        <v/>
      </c>
      <c r="AM138" s="1481" t="inlineStr">
        <is>
          <t>.</t>
        </is>
      </c>
      <c r="AN138" s="1506" t="n"/>
      <c r="AO138" s="1500">
        <f>IF(AD138&lt;&gt;"",AD138,"-")</f>
        <v/>
      </c>
      <c r="AP138" s="1500">
        <f>_xlfn.XLOOKUP(cityRoutes[[#This Row],[city]],ccc[city],ccc[ctry],"-")</f>
        <v/>
      </c>
      <c r="AQ138" s="1500">
        <f>COUNTIF(INPUT!BR$5:BS$1000,AO138)</f>
        <v/>
      </c>
      <c r="AR138" s="1507">
        <f>(SUMIFS(routes[total],routes[outbound],AO138)+SUMIFS(routes[total],routes[inbound],AO138))/2</f>
        <v/>
      </c>
      <c r="AS138" s="1481" t="inlineStr">
        <is>
          <t>.</t>
        </is>
      </c>
      <c r="AT138" s="1491" t="n"/>
      <c r="AU138" s="1491" t="n"/>
      <c r="AV138" s="1491" t="n"/>
      <c r="AW138" s="1491" t="n"/>
      <c r="AX138" s="1491" t="n"/>
      <c r="AY138" s="1491" t="n"/>
      <c r="AZ138" s="1491" t="n"/>
      <c r="BA138" s="1491" t="n"/>
      <c r="BB138" s="1491" t="n"/>
      <c r="BC138" s="1491" t="n"/>
      <c r="BD138" s="1491" t="n"/>
      <c r="BE138" s="1491" t="n"/>
      <c r="BF138" s="1491" t="n"/>
      <c r="BG138" s="1491" t="n"/>
      <c r="BH138" s="1491" t="n"/>
      <c r="BI138" s="1491" t="n"/>
      <c r="BJ138" s="1491" t="n"/>
      <c r="BK138" s="1491" t="n"/>
      <c r="BL138" s="1491" t="n"/>
      <c r="BM138" s="1491" t="n"/>
      <c r="BN138" s="1491" t="n"/>
      <c r="BO138" s="1467" t="n"/>
      <c r="BP138" s="1514" t="n">
        <v>134</v>
      </c>
      <c r="BQ138" s="1513">
        <f>[1]Sheet1!C139</f>
        <v/>
      </c>
      <c r="BR138" s="1515">
        <f>[1]Sheet1!D139</f>
        <v/>
      </c>
      <c r="BS138" s="1513">
        <f>[1]Sheet1!E139</f>
        <v/>
      </c>
      <c r="BT138" s="1515">
        <f>[1]Sheet1!F139</f>
        <v/>
      </c>
      <c r="BU138" s="1516">
        <f>[1]Sheet1!G139</f>
        <v/>
      </c>
      <c r="BV138" s="1513">
        <f>[1]Sheet1!H139</f>
        <v/>
      </c>
      <c r="BW138" s="1467" t="n"/>
      <c r="BX138" s="1491">
        <f>[1]Sheet1!$J139</f>
        <v/>
      </c>
      <c r="BY138" s="1517">
        <f>[1]Sheet1!$K139</f>
        <v/>
      </c>
      <c r="BZ138" s="1517">
        <f>[1]Sheet1!$L139</f>
        <v/>
      </c>
      <c r="CA138" s="1500">
        <f>[1]Sheet1!$M139</f>
        <v/>
      </c>
      <c r="CB138" s="1467" t="n"/>
      <c r="CC138" s="1467" t="n"/>
      <c r="CD138" s="1491" t="n"/>
      <c r="CE138" s="1491" t="n"/>
      <c r="CF138" s="1491" t="n"/>
      <c r="CG138" s="1491" t="n"/>
      <c r="CH138" s="1491" t="n"/>
      <c r="CI138" s="1491" t="n"/>
      <c r="CJ138" s="1491" t="n"/>
      <c r="CK138" s="1435" t="n"/>
      <c r="CL138" s="1521" t="n">
        <v>130</v>
      </c>
      <c r="CM138" s="1513" t="inlineStr">
        <is>
          <t>SP-Curitiba</t>
        </is>
      </c>
      <c r="CN138" s="1513" t="inlineStr">
        <is>
          <t>SP</t>
        </is>
      </c>
      <c r="CO138" s="1513" t="inlineStr">
        <is>
          <t>Curitiba</t>
        </is>
      </c>
      <c r="CP138" s="1514" t="n">
        <v>300</v>
      </c>
      <c r="CQ138" s="1435" t="n"/>
      <c r="CR138" s="1491" t="n"/>
      <c r="CS138" s="1491" t="n"/>
      <c r="CT138" s="1491" t="n"/>
      <c r="CU138" s="1491" t="n"/>
      <c r="CV138" s="1491" t="n"/>
      <c r="CW138" s="1491" t="n"/>
      <c r="CX138" s="1491" t="n"/>
    </row>
    <row r="139">
      <c r="A139" s="1491" t="n"/>
      <c r="B139" s="1491" t="n"/>
      <c r="C139" s="1491" t="n"/>
      <c r="D139" s="1497">
        <f>IF(E139&lt;&gt;"",D138+1,D138)</f>
        <v/>
      </c>
      <c r="E139" s="1497" t="inlineStr">
        <is>
          <t>Fort William</t>
        </is>
      </c>
      <c r="F139" s="1535" t="inlineStr">
        <is>
          <t>.</t>
        </is>
      </c>
      <c r="G139" s="1498">
        <f>IF(H139="AIR",0,IF(H138="AIR",G137+1,IF(H139&lt;&gt;"",G138+1,G138)))</f>
        <v/>
      </c>
      <c r="H139" s="1498" t="inlineStr">
        <is>
          <t>Windermere</t>
        </is>
      </c>
      <c r="I139" s="1427" t="inlineStr">
        <is>
          <t>.</t>
        </is>
      </c>
      <c r="J139" s="1499" t="n">
        <v>134</v>
      </c>
      <c r="K139" s="1500">
        <f>_xlfn.XLOOKUP(cities[[#This Row],[id]],$D$5:$D$1500,E$5:E$1500,"-")</f>
        <v/>
      </c>
      <c r="L139" s="1500">
        <f>_xlfn.XLOOKUP(cities[[#This Row],[city]],ccc[city],ccc[ctry],"-")</f>
        <v/>
      </c>
      <c r="M139" s="1500">
        <f>SUMIFS(stayCity[stay],stayCity[city],cities[[#This Row],[city]])</f>
        <v/>
      </c>
      <c r="N139" s="1427">
        <f>N138+1</f>
        <v/>
      </c>
      <c r="O139" s="1500" t="n"/>
      <c r="P139" s="1500" t="n"/>
      <c r="Q139" s="1427" t="inlineStr">
        <is>
          <t>.</t>
        </is>
      </c>
      <c r="R139" s="1491" t="n"/>
      <c r="S139" s="1491" t="n"/>
      <c r="T139" s="1491" t="n"/>
      <c r="U139" s="1491" t="n"/>
      <c r="V139" s="1491" t="n"/>
      <c r="W139" s="1491" t="n"/>
      <c r="X139" s="1491" t="n"/>
      <c r="Y139" s="1491" t="n"/>
      <c r="Z139" s="1427" t="inlineStr">
        <is>
          <t>.</t>
        </is>
      </c>
      <c r="AA139" s="1473">
        <f>IF(AB139&lt;&gt;"",AA138+1,AA138)</f>
        <v/>
      </c>
      <c r="AB139" s="1534" t="inlineStr">
        <is>
          <t>Santiago-Barcelona</t>
        </is>
      </c>
      <c r="AC139" s="1473">
        <f>IF(AD139&lt;&gt;"",AC138+1,AC138)</f>
        <v/>
      </c>
      <c r="AD139" s="1534" t="n"/>
      <c r="AE139" s="1427" t="inlineStr">
        <is>
          <t>.</t>
        </is>
      </c>
      <c r="AF139" s="1502" t="n">
        <v>135</v>
      </c>
      <c r="AG139" s="1500">
        <f>_xlfn.XLOOKUP(routes[[#This Row],[id]],$AA$5:$AA$300,$AB$5:$AB$300,"-")</f>
        <v/>
      </c>
      <c r="AH139" s="1500">
        <f>_xlfn.XLOOKUP(routes[[#This Row],[route]],routesUniv[route],routesUniv[outbound],"-")</f>
        <v/>
      </c>
      <c r="AI139" s="1500">
        <f>_xlfn.XLOOKUP(routes[[#This Row],[route]],routesUniv[route],routesUniv[inbound],"-")</f>
        <v/>
      </c>
      <c r="AJ139" s="1500">
        <f>_xlfn.XLOOKUP(routes[[#This Row],[route]],routesUniv[route],routesUniv[km],"-")</f>
        <v/>
      </c>
      <c r="AK139" s="1500">
        <f>COUNTIF(INPUT!BT$5:BT$1000,AG139)</f>
        <v/>
      </c>
      <c r="AL139" s="1505">
        <f>routes[[#This Row],[km]]*routes[[#This Row],[rpt]]/1000</f>
        <v/>
      </c>
      <c r="AM139" s="1481" t="inlineStr">
        <is>
          <t>.</t>
        </is>
      </c>
      <c r="AN139" s="1506" t="n"/>
      <c r="AO139" s="1500">
        <f>IF(AD139&lt;&gt;"",AD139,"-")</f>
        <v/>
      </c>
      <c r="AP139" s="1500">
        <f>_xlfn.XLOOKUP(cityRoutes[[#This Row],[city]],ccc[city],ccc[ctry],"-")</f>
        <v/>
      </c>
      <c r="AQ139" s="1500">
        <f>COUNTIF(INPUT!BR$5:BS$1000,AO139)</f>
        <v/>
      </c>
      <c r="AR139" s="1507">
        <f>(SUMIFS(routes[total],routes[outbound],AO139)+SUMIFS(routes[total],routes[inbound],AO139))/2</f>
        <v/>
      </c>
      <c r="AS139" s="1481" t="inlineStr">
        <is>
          <t>.</t>
        </is>
      </c>
      <c r="AT139" s="1491" t="n"/>
      <c r="AU139" s="1491" t="n"/>
      <c r="AV139" s="1491" t="n"/>
      <c r="AW139" s="1491" t="n"/>
      <c r="AX139" s="1491" t="n"/>
      <c r="AY139" s="1491" t="n"/>
      <c r="AZ139" s="1491" t="n"/>
      <c r="BA139" s="1491" t="n"/>
      <c r="BB139" s="1491" t="n"/>
      <c r="BC139" s="1491" t="n"/>
      <c r="BD139" s="1491" t="n"/>
      <c r="BE139" s="1491" t="n"/>
      <c r="BF139" s="1491" t="n"/>
      <c r="BG139" s="1491" t="n"/>
      <c r="BH139" s="1491" t="n"/>
      <c r="BI139" s="1491" t="n"/>
      <c r="BJ139" s="1491" t="n"/>
      <c r="BK139" s="1491" t="n"/>
      <c r="BL139" s="1491" t="n"/>
      <c r="BM139" s="1491" t="n"/>
      <c r="BN139" s="1491" t="n"/>
      <c r="BO139" s="1467" t="n"/>
      <c r="BP139" s="1514" t="n">
        <v>135</v>
      </c>
      <c r="BQ139" s="1513">
        <f>[1]Sheet1!C140</f>
        <v/>
      </c>
      <c r="BR139" s="1515">
        <f>[1]Sheet1!D140</f>
        <v/>
      </c>
      <c r="BS139" s="1513">
        <f>[1]Sheet1!E140</f>
        <v/>
      </c>
      <c r="BT139" s="1515">
        <f>[1]Sheet1!F140</f>
        <v/>
      </c>
      <c r="BU139" s="1516">
        <f>[1]Sheet1!G140</f>
        <v/>
      </c>
      <c r="BV139" s="1513">
        <f>[1]Sheet1!H140</f>
        <v/>
      </c>
      <c r="BW139" s="1467" t="n"/>
      <c r="BX139" s="1491">
        <f>[1]Sheet1!$J140</f>
        <v/>
      </c>
      <c r="BY139" s="1517">
        <f>[1]Sheet1!$K140</f>
        <v/>
      </c>
      <c r="BZ139" s="1517">
        <f>[1]Sheet1!$L140</f>
        <v/>
      </c>
      <c r="CA139" s="1500">
        <f>[1]Sheet1!$M140</f>
        <v/>
      </c>
      <c r="CB139" s="1467" t="n"/>
      <c r="CC139" s="1467" t="n"/>
      <c r="CD139" s="1491" t="n"/>
      <c r="CE139" s="1491" t="n"/>
      <c r="CF139" s="1491" t="n"/>
      <c r="CG139" s="1491" t="n"/>
      <c r="CH139" s="1491" t="n"/>
      <c r="CI139" s="1491" t="n"/>
      <c r="CJ139" s="1491" t="n"/>
      <c r="CK139" s="1435" t="n"/>
      <c r="CL139" s="1521" t="n">
        <v>131</v>
      </c>
      <c r="CM139" s="1513" t="inlineStr">
        <is>
          <t>SP-Detroit</t>
        </is>
      </c>
      <c r="CN139" s="1513" t="inlineStr">
        <is>
          <t>SP</t>
        </is>
      </c>
      <c r="CO139" s="1513" t="inlineStr">
        <is>
          <t>Detroit</t>
        </is>
      </c>
      <c r="CP139" s="1514" t="n">
        <v>8200</v>
      </c>
      <c r="CQ139" s="1435" t="n"/>
      <c r="CR139" s="1491" t="n"/>
      <c r="CS139" s="1491" t="n"/>
      <c r="CT139" s="1491" t="n"/>
      <c r="CU139" s="1491" t="n"/>
      <c r="CV139" s="1491" t="n"/>
      <c r="CW139" s="1491" t="n"/>
      <c r="CX139" s="1491" t="n"/>
    </row>
    <row r="140">
      <c r="A140" s="1491" t="n"/>
      <c r="B140" s="1491" t="n"/>
      <c r="C140" s="1491" t="n"/>
      <c r="D140" s="1497">
        <f>IF(E140&lt;&gt;"",D139+1,D139)</f>
        <v/>
      </c>
      <c r="E140" s="1497" t="inlineStr">
        <is>
          <t>Glencoe</t>
        </is>
      </c>
      <c r="F140" s="1535" t="inlineStr">
        <is>
          <t>.</t>
        </is>
      </c>
      <c r="G140" s="1498">
        <f>IF(H140="AIR",0,IF(H139="AIR",G138+1,IF(H140&lt;&gt;"",G139+1,G139)))</f>
        <v/>
      </c>
      <c r="H140" s="1498" t="inlineStr">
        <is>
          <t>Keswick</t>
        </is>
      </c>
      <c r="I140" s="1427" t="inlineStr">
        <is>
          <t>.</t>
        </is>
      </c>
      <c r="J140" s="1499" t="n">
        <v>135</v>
      </c>
      <c r="K140" s="1500">
        <f>_xlfn.XLOOKUP(cities[[#This Row],[id]],$D$5:$D$1500,E$5:E$1500,"-")</f>
        <v/>
      </c>
      <c r="L140" s="1500">
        <f>_xlfn.XLOOKUP(cities[[#This Row],[city]],ccc[city],ccc[ctry],"-")</f>
        <v/>
      </c>
      <c r="M140" s="1500">
        <f>SUMIFS(stayCity[stay],stayCity[city],cities[[#This Row],[city]])</f>
        <v/>
      </c>
      <c r="N140" s="1427">
        <f>N139+1</f>
        <v/>
      </c>
      <c r="O140" s="1500" t="n"/>
      <c r="P140" s="1500" t="n"/>
      <c r="Q140" s="1427" t="inlineStr">
        <is>
          <t>.</t>
        </is>
      </c>
      <c r="R140" s="1491" t="n"/>
      <c r="S140" s="1491" t="n"/>
      <c r="T140" s="1491" t="n"/>
      <c r="U140" s="1491" t="n"/>
      <c r="V140" s="1491" t="n"/>
      <c r="W140" s="1491" t="n"/>
      <c r="X140" s="1491" t="n"/>
      <c r="Y140" s="1491" t="n"/>
      <c r="Z140" s="1427" t="inlineStr">
        <is>
          <t>.</t>
        </is>
      </c>
      <c r="AA140" s="1473">
        <f>IF(AB140&lt;&gt;"",AA139+1,AA139)</f>
        <v/>
      </c>
      <c r="AB140" s="1534" t="inlineStr">
        <is>
          <t>Barcelona-Porto</t>
        </is>
      </c>
      <c r="AC140" s="1473">
        <f>IF(AD140&lt;&gt;"",AC139+1,AC139)</f>
        <v/>
      </c>
      <c r="AD140" s="1534" t="n"/>
      <c r="AE140" s="1427" t="inlineStr">
        <is>
          <t>.</t>
        </is>
      </c>
      <c r="AF140" s="1502" t="n">
        <v>136</v>
      </c>
      <c r="AG140" s="1500">
        <f>_xlfn.XLOOKUP(routes[[#This Row],[id]],$AA$5:$AA$300,$AB$5:$AB$300,"-")</f>
        <v/>
      </c>
      <c r="AH140" s="1500">
        <f>_xlfn.XLOOKUP(routes[[#This Row],[route]],routesUniv[route],routesUniv[outbound],"-")</f>
        <v/>
      </c>
      <c r="AI140" s="1500">
        <f>_xlfn.XLOOKUP(routes[[#This Row],[route]],routesUniv[route],routesUniv[inbound],"-")</f>
        <v/>
      </c>
      <c r="AJ140" s="1500">
        <f>_xlfn.XLOOKUP(routes[[#This Row],[route]],routesUniv[route],routesUniv[km],"-")</f>
        <v/>
      </c>
      <c r="AK140" s="1500">
        <f>COUNTIF(INPUT!BT$5:BT$1000,AG140)</f>
        <v/>
      </c>
      <c r="AL140" s="1505">
        <f>routes[[#This Row],[km]]*routes[[#This Row],[rpt]]/1000</f>
        <v/>
      </c>
      <c r="AM140" s="1481" t="inlineStr">
        <is>
          <t>.</t>
        </is>
      </c>
      <c r="AN140" s="1506" t="n"/>
      <c r="AO140" s="1500">
        <f>IF(AD140&lt;&gt;"",AD140,"-")</f>
        <v/>
      </c>
      <c r="AP140" s="1500">
        <f>_xlfn.XLOOKUP(cityRoutes[[#This Row],[city]],ccc[city],ccc[ctry],"-")</f>
        <v/>
      </c>
      <c r="AQ140" s="1500">
        <f>COUNTIF(INPUT!BR$5:BS$1000,AO140)</f>
        <v/>
      </c>
      <c r="AR140" s="1507">
        <f>(SUMIFS(routes[total],routes[outbound],AO140)+SUMIFS(routes[total],routes[inbound],AO140))/2</f>
        <v/>
      </c>
      <c r="AS140" s="1481" t="inlineStr">
        <is>
          <t>.</t>
        </is>
      </c>
      <c r="AT140" s="1491" t="n"/>
      <c r="AU140" s="1491" t="n"/>
      <c r="AV140" s="1491" t="n"/>
      <c r="AW140" s="1491" t="n"/>
      <c r="AX140" s="1491" t="n"/>
      <c r="AY140" s="1491" t="n"/>
      <c r="AZ140" s="1491" t="n"/>
      <c r="BA140" s="1491" t="n"/>
      <c r="BB140" s="1491" t="n"/>
      <c r="BC140" s="1491" t="n"/>
      <c r="BD140" s="1491" t="n"/>
      <c r="BE140" s="1491" t="n"/>
      <c r="BF140" s="1491" t="n"/>
      <c r="BG140" s="1491" t="n"/>
      <c r="BH140" s="1491" t="n"/>
      <c r="BI140" s="1491" t="n"/>
      <c r="BJ140" s="1491" t="n"/>
      <c r="BK140" s="1491" t="n"/>
      <c r="BL140" s="1491" t="n"/>
      <c r="BM140" s="1491" t="n"/>
      <c r="BN140" s="1491" t="n"/>
      <c r="BO140" s="1467" t="n"/>
      <c r="BP140" s="1514" t="n">
        <v>136</v>
      </c>
      <c r="BQ140" s="1513">
        <f>[1]Sheet1!C141</f>
        <v/>
      </c>
      <c r="BR140" s="1515">
        <f>[1]Sheet1!D141</f>
        <v/>
      </c>
      <c r="BS140" s="1513">
        <f>[1]Sheet1!E141</f>
        <v/>
      </c>
      <c r="BT140" s="1515">
        <f>[1]Sheet1!F141</f>
        <v/>
      </c>
      <c r="BU140" s="1516">
        <f>[1]Sheet1!G141</f>
        <v/>
      </c>
      <c r="BV140" s="1513">
        <f>[1]Sheet1!H141</f>
        <v/>
      </c>
      <c r="BW140" s="1467" t="n"/>
      <c r="BX140" s="1491">
        <f>[1]Sheet1!$J141</f>
        <v/>
      </c>
      <c r="BY140" s="1517">
        <f>[1]Sheet1!$K141</f>
        <v/>
      </c>
      <c r="BZ140" s="1517">
        <f>[1]Sheet1!$L141</f>
        <v/>
      </c>
      <c r="CA140" s="1500">
        <f>[1]Sheet1!$M141</f>
        <v/>
      </c>
      <c r="CB140" s="1467" t="n"/>
      <c r="CC140" s="1467" t="n"/>
      <c r="CD140" s="1491" t="n"/>
      <c r="CE140" s="1491" t="n"/>
      <c r="CF140" s="1491" t="n"/>
      <c r="CG140" s="1491" t="n"/>
      <c r="CH140" s="1491" t="n"/>
      <c r="CI140" s="1491" t="n"/>
      <c r="CJ140" s="1491" t="n"/>
      <c r="CK140" s="1435" t="n"/>
      <c r="CL140" s="1521" t="n">
        <v>132</v>
      </c>
      <c r="CM140" s="1500" t="inlineStr">
        <is>
          <t>SP-Frankfurt</t>
        </is>
      </c>
      <c r="CN140" s="1500" t="inlineStr">
        <is>
          <t>SP</t>
        </is>
      </c>
      <c r="CO140" s="1500" t="inlineStr">
        <is>
          <t>Frankfurt</t>
        </is>
      </c>
      <c r="CP140" s="1514" t="n">
        <v>9800</v>
      </c>
      <c r="CQ140" s="1435" t="n"/>
      <c r="CR140" s="1491" t="n"/>
      <c r="CS140" s="1491" t="n"/>
      <c r="CT140" s="1491" t="n"/>
      <c r="CU140" s="1491" t="n"/>
      <c r="CV140" s="1491" t="n"/>
      <c r="CW140" s="1491" t="n"/>
      <c r="CX140" s="1491" t="n"/>
    </row>
    <row r="141">
      <c r="A141" s="1491" t="n"/>
      <c r="B141" s="1491" t="n"/>
      <c r="C141" s="1491" t="n"/>
      <c r="D141" s="1497">
        <f>IF(E141&lt;&gt;"",D140+1,D140)</f>
        <v/>
      </c>
      <c r="E141" s="1497" t="inlineStr">
        <is>
          <t>Inverness</t>
        </is>
      </c>
      <c r="F141" s="1535" t="inlineStr">
        <is>
          <t>.</t>
        </is>
      </c>
      <c r="G141" s="1498">
        <f>IF(H141="AIR",0,IF(H140="AIR",G139+1,IF(H141&lt;&gt;"",G140+1,G140)))</f>
        <v/>
      </c>
      <c r="H141" s="1498" t="inlineStr">
        <is>
          <t>Loch Lomond</t>
        </is>
      </c>
      <c r="I141" s="1427" t="inlineStr">
        <is>
          <t>.</t>
        </is>
      </c>
      <c r="J141" s="1499" t="n">
        <v>136</v>
      </c>
      <c r="K141" s="1500">
        <f>_xlfn.XLOOKUP(cities[[#This Row],[id]],$D$5:$D$1500,E$5:E$1500,"-")</f>
        <v/>
      </c>
      <c r="L141" s="1500">
        <f>_xlfn.XLOOKUP(cities[[#This Row],[city]],ccc[city],ccc[ctry],"-")</f>
        <v/>
      </c>
      <c r="M141" s="1500">
        <f>SUMIFS(stayCity[stay],stayCity[city],cities[[#This Row],[city]])</f>
        <v/>
      </c>
      <c r="N141" s="1427">
        <f>N140+1</f>
        <v/>
      </c>
      <c r="O141" s="1500" t="n"/>
      <c r="P141" s="1500" t="n"/>
      <c r="Q141" s="1427" t="inlineStr">
        <is>
          <t>.</t>
        </is>
      </c>
      <c r="R141" s="1491" t="n"/>
      <c r="S141" s="1491" t="n"/>
      <c r="T141" s="1491" t="n"/>
      <c r="U141" s="1491" t="n"/>
      <c r="V141" s="1491" t="n"/>
      <c r="W141" s="1491" t="n"/>
      <c r="X141" s="1491" t="n"/>
      <c r="Y141" s="1491" t="n"/>
      <c r="Z141" s="1427" t="inlineStr">
        <is>
          <t>.</t>
        </is>
      </c>
      <c r="AA141" s="1473">
        <f>IF(AB141&lt;&gt;"",AA140+1,AA140)</f>
        <v/>
      </c>
      <c r="AB141" s="1534" t="inlineStr">
        <is>
          <t>Porto-Lisbon</t>
        </is>
      </c>
      <c r="AC141" s="1473">
        <f>IF(AD141&lt;&gt;"",AC140+1,AC140)</f>
        <v/>
      </c>
      <c r="AD141" s="1534" t="n"/>
      <c r="AE141" s="1427" t="inlineStr">
        <is>
          <t>.</t>
        </is>
      </c>
      <c r="AF141" s="1502" t="n">
        <v>137</v>
      </c>
      <c r="AG141" s="1500">
        <f>_xlfn.XLOOKUP(routes[[#This Row],[id]],$AA$5:$AA$300,$AB$5:$AB$300,"-")</f>
        <v/>
      </c>
      <c r="AH141" s="1500">
        <f>_xlfn.XLOOKUP(routes[[#This Row],[route]],routesUniv[route],routesUniv[outbound],"-")</f>
        <v/>
      </c>
      <c r="AI141" s="1500">
        <f>_xlfn.XLOOKUP(routes[[#This Row],[route]],routesUniv[route],routesUniv[inbound],"-")</f>
        <v/>
      </c>
      <c r="AJ141" s="1500">
        <f>_xlfn.XLOOKUP(routes[[#This Row],[route]],routesUniv[route],routesUniv[km],"-")</f>
        <v/>
      </c>
      <c r="AK141" s="1500">
        <f>COUNTIF(INPUT!BT$5:BT$1000,AG141)</f>
        <v/>
      </c>
      <c r="AL141" s="1505">
        <f>routes[[#This Row],[km]]*routes[[#This Row],[rpt]]/1000</f>
        <v/>
      </c>
      <c r="AM141" s="1481" t="inlineStr">
        <is>
          <t>.</t>
        </is>
      </c>
      <c r="AN141" s="1506" t="n"/>
      <c r="AO141" s="1500">
        <f>IF(AD141&lt;&gt;"",AD141,"-")</f>
        <v/>
      </c>
      <c r="AP141" s="1500">
        <f>_xlfn.XLOOKUP(cityRoutes[[#This Row],[city]],ccc[city],ccc[ctry],"-")</f>
        <v/>
      </c>
      <c r="AQ141" s="1500">
        <f>COUNTIF(INPUT!BR$5:BS$1000,AO141)</f>
        <v/>
      </c>
      <c r="AR141" s="1507">
        <f>(SUMIFS(routes[total],routes[outbound],AO141)+SUMIFS(routes[total],routes[inbound],AO141))/2</f>
        <v/>
      </c>
      <c r="AS141" s="1481" t="inlineStr">
        <is>
          <t>.</t>
        </is>
      </c>
      <c r="AT141" s="1491" t="n"/>
      <c r="AU141" s="1491" t="n"/>
      <c r="AV141" s="1491" t="n"/>
      <c r="AW141" s="1491" t="n"/>
      <c r="AX141" s="1491" t="n"/>
      <c r="AY141" s="1491" t="n"/>
      <c r="AZ141" s="1491" t="n"/>
      <c r="BA141" s="1491" t="n"/>
      <c r="BB141" s="1491" t="n"/>
      <c r="BC141" s="1491" t="n"/>
      <c r="BD141" s="1491" t="n"/>
      <c r="BE141" s="1491" t="n"/>
      <c r="BF141" s="1491" t="n"/>
      <c r="BG141" s="1491" t="n"/>
      <c r="BH141" s="1491" t="n"/>
      <c r="BI141" s="1491" t="n"/>
      <c r="BJ141" s="1491" t="n"/>
      <c r="BK141" s="1491" t="n"/>
      <c r="BL141" s="1491" t="n"/>
      <c r="BM141" s="1491" t="n"/>
      <c r="BN141" s="1491" t="n"/>
      <c r="BO141" s="1467" t="n"/>
      <c r="BP141" s="1514" t="n">
        <v>137</v>
      </c>
      <c r="BQ141" s="1513">
        <f>[1]Sheet1!C142</f>
        <v/>
      </c>
      <c r="BR141" s="1515">
        <f>[1]Sheet1!D142</f>
        <v/>
      </c>
      <c r="BS141" s="1513">
        <f>[1]Sheet1!E142</f>
        <v/>
      </c>
      <c r="BT141" s="1515">
        <f>[1]Sheet1!F142</f>
        <v/>
      </c>
      <c r="BU141" s="1516">
        <f>[1]Sheet1!G142</f>
        <v/>
      </c>
      <c r="BV141" s="1513">
        <f>[1]Sheet1!H142</f>
        <v/>
      </c>
      <c r="BW141" s="1467" t="n"/>
      <c r="BX141" s="1491">
        <f>[1]Sheet1!$J142</f>
        <v/>
      </c>
      <c r="BY141" s="1517">
        <f>[1]Sheet1!$K142</f>
        <v/>
      </c>
      <c r="BZ141" s="1517">
        <f>[1]Sheet1!$L142</f>
        <v/>
      </c>
      <c r="CA141" s="1500">
        <f>[1]Sheet1!$M142</f>
        <v/>
      </c>
      <c r="CB141" s="1467" t="n"/>
      <c r="CC141" s="1467" t="n"/>
      <c r="CD141" s="1491" t="n"/>
      <c r="CE141" s="1491" t="n"/>
      <c r="CF141" s="1491" t="n"/>
      <c r="CG141" s="1491" t="n"/>
      <c r="CH141" s="1491" t="n"/>
      <c r="CI141" s="1491" t="n"/>
      <c r="CJ141" s="1491" t="n"/>
      <c r="CK141" s="1435" t="n"/>
      <c r="CL141" s="1521" t="n">
        <v>133</v>
      </c>
      <c r="CM141" s="1500" t="inlineStr">
        <is>
          <t>SP-London</t>
        </is>
      </c>
      <c r="CN141" s="1500" t="inlineStr">
        <is>
          <t>SP</t>
        </is>
      </c>
      <c r="CO141" s="1500" t="inlineStr">
        <is>
          <t>London</t>
        </is>
      </c>
      <c r="CP141" s="1514" t="n">
        <v>9500</v>
      </c>
      <c r="CQ141" s="1435" t="n"/>
      <c r="CR141" s="1491" t="n"/>
      <c r="CS141" s="1491" t="n"/>
      <c r="CT141" s="1491" t="n"/>
      <c r="CU141" s="1491" t="n"/>
      <c r="CV141" s="1491" t="n"/>
      <c r="CW141" s="1491" t="n"/>
      <c r="CX141" s="1491" t="n"/>
    </row>
    <row r="142">
      <c r="A142" s="1491" t="n"/>
      <c r="B142" s="1491" t="n"/>
      <c r="C142" s="1491" t="n"/>
      <c r="D142" s="1497">
        <f>IF(E142&lt;&gt;"",D141+1,D141)</f>
        <v/>
      </c>
      <c r="E142" s="1497" t="inlineStr">
        <is>
          <t>Grantown-on-Spey</t>
        </is>
      </c>
      <c r="F142" s="1535" t="inlineStr">
        <is>
          <t>.</t>
        </is>
      </c>
      <c r="G142" s="1498">
        <f>IF(H142="AIR",0,IF(H141="AIR",G140+1,IF(H142&lt;&gt;"",G141+1,G141)))</f>
        <v/>
      </c>
      <c r="H142" s="1498" t="inlineStr">
        <is>
          <t>Fort William</t>
        </is>
      </c>
      <c r="I142" s="1427" t="inlineStr">
        <is>
          <t>.</t>
        </is>
      </c>
      <c r="J142" s="1499" t="n">
        <v>137</v>
      </c>
      <c r="K142" s="1500">
        <f>_xlfn.XLOOKUP(cities[[#This Row],[id]],$D$5:$D$1500,E$5:E$1500,"-")</f>
        <v/>
      </c>
      <c r="L142" s="1500">
        <f>_xlfn.XLOOKUP(cities[[#This Row],[city]],ccc[city],ccc[ctry],"-")</f>
        <v/>
      </c>
      <c r="M142" s="1500">
        <f>SUMIFS(stayCity[stay],stayCity[city],cities[[#This Row],[city]])</f>
        <v/>
      </c>
      <c r="N142" s="1427">
        <f>N141+1</f>
        <v/>
      </c>
      <c r="O142" s="1500" t="n"/>
      <c r="P142" s="1500" t="n"/>
      <c r="Q142" s="1427" t="inlineStr">
        <is>
          <t>.</t>
        </is>
      </c>
      <c r="R142" s="1491" t="n"/>
      <c r="S142" s="1491" t="n"/>
      <c r="T142" s="1491" t="n"/>
      <c r="U142" s="1491" t="n"/>
      <c r="V142" s="1491" t="n"/>
      <c r="W142" s="1491" t="n"/>
      <c r="X142" s="1491" t="n"/>
      <c r="Y142" s="1491" t="n"/>
      <c r="Z142" s="1427" t="inlineStr">
        <is>
          <t>.</t>
        </is>
      </c>
      <c r="AA142" s="1473">
        <f>IF(AB142&lt;&gt;"",AA141+1,AA141)</f>
        <v/>
      </c>
      <c r="AB142" s="1534" t="inlineStr">
        <is>
          <t>Lisbon-Toronto</t>
        </is>
      </c>
      <c r="AC142" s="1473">
        <f>IF(AD142&lt;&gt;"",AC141+1,AC141)</f>
        <v/>
      </c>
      <c r="AD142" s="1534" t="n"/>
      <c r="AE142" s="1427" t="inlineStr">
        <is>
          <t>.</t>
        </is>
      </c>
      <c r="AF142" s="1502" t="n">
        <v>138</v>
      </c>
      <c r="AG142" s="1500">
        <f>_xlfn.XLOOKUP(routes[[#This Row],[id]],$AA$5:$AA$300,$AB$5:$AB$300,"-")</f>
        <v/>
      </c>
      <c r="AH142" s="1500">
        <f>_xlfn.XLOOKUP(routes[[#This Row],[route]],routesUniv[route],routesUniv[outbound],"-")</f>
        <v/>
      </c>
      <c r="AI142" s="1500">
        <f>_xlfn.XLOOKUP(routes[[#This Row],[route]],routesUniv[route],routesUniv[inbound],"-")</f>
        <v/>
      </c>
      <c r="AJ142" s="1500">
        <f>_xlfn.XLOOKUP(routes[[#This Row],[route]],routesUniv[route],routesUniv[km],"-")</f>
        <v/>
      </c>
      <c r="AK142" s="1500">
        <f>COUNTIF(INPUT!BT$5:BT$1000,AG142)</f>
        <v/>
      </c>
      <c r="AL142" s="1505">
        <f>routes[[#This Row],[km]]*routes[[#This Row],[rpt]]/1000</f>
        <v/>
      </c>
      <c r="AM142" s="1481" t="inlineStr">
        <is>
          <t>.</t>
        </is>
      </c>
      <c r="AN142" s="1506" t="n"/>
      <c r="AO142" s="1500">
        <f>IF(AD142&lt;&gt;"",AD142,"-")</f>
        <v/>
      </c>
      <c r="AP142" s="1500">
        <f>_xlfn.XLOOKUP(cityRoutes[[#This Row],[city]],ccc[city],ccc[ctry],"-")</f>
        <v/>
      </c>
      <c r="AQ142" s="1500">
        <f>COUNTIF(INPUT!BR$5:BS$1000,AO142)</f>
        <v/>
      </c>
      <c r="AR142" s="1507">
        <f>(SUMIFS(routes[total],routes[outbound],AO142)+SUMIFS(routes[total],routes[inbound],AO142))/2</f>
        <v/>
      </c>
      <c r="AS142" s="1481" t="inlineStr">
        <is>
          <t>.</t>
        </is>
      </c>
      <c r="AT142" s="1491" t="n"/>
      <c r="AU142" s="1491" t="n"/>
      <c r="AV142" s="1491" t="n"/>
      <c r="AW142" s="1491" t="n"/>
      <c r="AX142" s="1491" t="n"/>
      <c r="AY142" s="1491" t="n"/>
      <c r="AZ142" s="1491" t="n"/>
      <c r="BA142" s="1491" t="n"/>
      <c r="BB142" s="1491" t="n"/>
      <c r="BC142" s="1491" t="n"/>
      <c r="BD142" s="1491" t="n"/>
      <c r="BE142" s="1491" t="n"/>
      <c r="BF142" s="1491" t="n"/>
      <c r="BG142" s="1491" t="n"/>
      <c r="BH142" s="1491" t="n"/>
      <c r="BI142" s="1491" t="n"/>
      <c r="BJ142" s="1491" t="n"/>
      <c r="BK142" s="1491" t="n"/>
      <c r="BL142" s="1491" t="n"/>
      <c r="BM142" s="1491" t="n"/>
      <c r="BN142" s="1491" t="n"/>
      <c r="BO142" s="1467" t="n"/>
      <c r="BP142" s="1514" t="n">
        <v>138</v>
      </c>
      <c r="BQ142" s="1513">
        <f>[1]Sheet1!C143</f>
        <v/>
      </c>
      <c r="BR142" s="1515">
        <f>[1]Sheet1!D143</f>
        <v/>
      </c>
      <c r="BS142" s="1513">
        <f>[1]Sheet1!E143</f>
        <v/>
      </c>
      <c r="BT142" s="1515">
        <f>[1]Sheet1!F143</f>
        <v/>
      </c>
      <c r="BU142" s="1516">
        <f>[1]Sheet1!G143</f>
        <v/>
      </c>
      <c r="BV142" s="1513">
        <f>[1]Sheet1!H143</f>
        <v/>
      </c>
      <c r="BW142" s="1467" t="n"/>
      <c r="BX142" s="1491">
        <f>[1]Sheet1!$J143</f>
        <v/>
      </c>
      <c r="BY142" s="1517">
        <f>[1]Sheet1!$K143</f>
        <v/>
      </c>
      <c r="BZ142" s="1517">
        <f>[1]Sheet1!$L143</f>
        <v/>
      </c>
      <c r="CA142" s="1500">
        <f>[1]Sheet1!$M143</f>
        <v/>
      </c>
      <c r="CB142" s="1467" t="n"/>
      <c r="CC142" s="1467" t="n"/>
      <c r="CD142" s="1491" t="n"/>
      <c r="CE142" s="1491" t="n"/>
      <c r="CF142" s="1491" t="n"/>
      <c r="CG142" s="1491" t="n"/>
      <c r="CH142" s="1491" t="n"/>
      <c r="CI142" s="1491" t="n"/>
      <c r="CJ142" s="1491" t="n"/>
      <c r="CK142" s="1435" t="n"/>
      <c r="CL142" s="1521" t="n">
        <v>134</v>
      </c>
      <c r="CM142" s="1513" t="inlineStr">
        <is>
          <t>SP-Mexico City</t>
        </is>
      </c>
      <c r="CN142" s="1513" t="inlineStr">
        <is>
          <t>SP</t>
        </is>
      </c>
      <c r="CO142" s="1513" t="inlineStr">
        <is>
          <t>Mexico City</t>
        </is>
      </c>
      <c r="CP142" s="1514" t="n">
        <v>7400</v>
      </c>
      <c r="CQ142" s="1435" t="n"/>
      <c r="CR142" s="1491" t="n"/>
      <c r="CS142" s="1491" t="n"/>
      <c r="CT142" s="1491" t="n"/>
      <c r="CU142" s="1491" t="n"/>
      <c r="CV142" s="1491" t="n"/>
      <c r="CW142" s="1491" t="n"/>
      <c r="CX142" s="1491" t="n"/>
    </row>
    <row r="143">
      <c r="A143" s="1491" t="n"/>
      <c r="B143" s="1491" t="n"/>
      <c r="C143" s="1491" t="n"/>
      <c r="D143" s="1497">
        <f>IF(E143&lt;&gt;"",D142+1,D142)</f>
        <v/>
      </c>
      <c r="E143" s="1497" t="inlineStr">
        <is>
          <t>Ballater</t>
        </is>
      </c>
      <c r="F143" s="1535" t="inlineStr">
        <is>
          <t>.</t>
        </is>
      </c>
      <c r="G143" s="1498">
        <f>IF(H143="AIR",0,IF(H142="AIR",G141+1,IF(H143&lt;&gt;"",G142+1,G142)))</f>
        <v/>
      </c>
      <c r="H143" s="1498" t="inlineStr">
        <is>
          <t>Glencoe</t>
        </is>
      </c>
      <c r="I143" s="1427" t="inlineStr">
        <is>
          <t>.</t>
        </is>
      </c>
      <c r="J143" s="1499" t="n">
        <v>138</v>
      </c>
      <c r="K143" s="1500">
        <f>_xlfn.XLOOKUP(cities[[#This Row],[id]],$D$5:$D$1500,E$5:E$1500,"-")</f>
        <v/>
      </c>
      <c r="L143" s="1500">
        <f>_xlfn.XLOOKUP(cities[[#This Row],[city]],ccc[city],ccc[ctry],"-")</f>
        <v/>
      </c>
      <c r="M143" s="1500">
        <f>SUMIFS(stayCity[stay],stayCity[city],cities[[#This Row],[city]])</f>
        <v/>
      </c>
      <c r="N143" s="1427">
        <f>N142+1</f>
        <v/>
      </c>
      <c r="O143" s="1500" t="n"/>
      <c r="P143" s="1500" t="n"/>
      <c r="Q143" s="1427" t="inlineStr">
        <is>
          <t>.</t>
        </is>
      </c>
      <c r="R143" s="1491" t="n"/>
      <c r="S143" s="1491" t="n"/>
      <c r="T143" s="1491" t="n"/>
      <c r="U143" s="1491" t="n"/>
      <c r="V143" s="1491" t="n"/>
      <c r="W143" s="1491" t="n"/>
      <c r="X143" s="1491" t="n"/>
      <c r="Y143" s="1491" t="n"/>
      <c r="Z143" s="1427" t="inlineStr">
        <is>
          <t>.</t>
        </is>
      </c>
      <c r="AA143" s="1473">
        <f>IF(AB143&lt;&gt;"",AA142+1,AA142)</f>
        <v/>
      </c>
      <c r="AB143" s="1534" t="inlineStr">
        <is>
          <t>Montreal-Panama</t>
        </is>
      </c>
      <c r="AC143" s="1473">
        <f>IF(AD143&lt;&gt;"",AC142+1,AC142)</f>
        <v/>
      </c>
      <c r="AD143" s="1534" t="n"/>
      <c r="AE143" s="1427" t="inlineStr">
        <is>
          <t>.</t>
        </is>
      </c>
      <c r="AF143" s="1502" t="n">
        <v>139</v>
      </c>
      <c r="AG143" s="1500">
        <f>_xlfn.XLOOKUP(routes[[#This Row],[id]],$AA$5:$AA$300,$AB$5:$AB$300,"-")</f>
        <v/>
      </c>
      <c r="AH143" s="1500">
        <f>_xlfn.XLOOKUP(routes[[#This Row],[route]],routesUniv[route],routesUniv[outbound],"-")</f>
        <v/>
      </c>
      <c r="AI143" s="1500">
        <f>_xlfn.XLOOKUP(routes[[#This Row],[route]],routesUniv[route],routesUniv[inbound],"-")</f>
        <v/>
      </c>
      <c r="AJ143" s="1500">
        <f>_xlfn.XLOOKUP(routes[[#This Row],[route]],routesUniv[route],routesUniv[km],"-")</f>
        <v/>
      </c>
      <c r="AK143" s="1500">
        <f>COUNTIF(INPUT!BT$5:BT$1000,AG143)</f>
        <v/>
      </c>
      <c r="AL143" s="1505">
        <f>routes[[#This Row],[km]]*routes[[#This Row],[rpt]]/1000</f>
        <v/>
      </c>
      <c r="AM143" s="1481" t="inlineStr">
        <is>
          <t>.</t>
        </is>
      </c>
      <c r="AN143" s="1506" t="n"/>
      <c r="AO143" s="1500">
        <f>IF(AD143&lt;&gt;"",AD143,"-")</f>
        <v/>
      </c>
      <c r="AP143" s="1500">
        <f>_xlfn.XLOOKUP(cityRoutes[[#This Row],[city]],ccc[city],ccc[ctry],"-")</f>
        <v/>
      </c>
      <c r="AQ143" s="1500">
        <f>COUNTIF(INPUT!BR$5:BS$1000,AO143)</f>
        <v/>
      </c>
      <c r="AR143" s="1507">
        <f>(SUMIFS(routes[total],routes[outbound],AO143)+SUMIFS(routes[total],routes[inbound],AO143))/2</f>
        <v/>
      </c>
      <c r="AS143" s="1481" t="inlineStr">
        <is>
          <t>.</t>
        </is>
      </c>
      <c r="AT143" s="1491" t="n"/>
      <c r="AU143" s="1491" t="n"/>
      <c r="AV143" s="1491" t="n"/>
      <c r="AW143" s="1491" t="n"/>
      <c r="AX143" s="1491" t="n"/>
      <c r="AY143" s="1491" t="n"/>
      <c r="AZ143" s="1491" t="n"/>
      <c r="BA143" s="1491" t="n"/>
      <c r="BB143" s="1491" t="n"/>
      <c r="BC143" s="1491" t="n"/>
      <c r="BD143" s="1491" t="n"/>
      <c r="BE143" s="1491" t="n"/>
      <c r="BF143" s="1491" t="n"/>
      <c r="BG143" s="1491" t="n"/>
      <c r="BH143" s="1491" t="n"/>
      <c r="BI143" s="1491" t="n"/>
      <c r="BJ143" s="1491" t="n"/>
      <c r="BK143" s="1491" t="n"/>
      <c r="BL143" s="1491" t="n"/>
      <c r="BM143" s="1491" t="n"/>
      <c r="BN143" s="1491" t="n"/>
      <c r="BO143" s="1467" t="n"/>
      <c r="BP143" s="1514" t="n">
        <v>139</v>
      </c>
      <c r="BQ143" s="1513">
        <f>[1]Sheet1!C144</f>
        <v/>
      </c>
      <c r="BR143" s="1515">
        <f>[1]Sheet1!D144</f>
        <v/>
      </c>
      <c r="BS143" s="1513">
        <f>[1]Sheet1!E144</f>
        <v/>
      </c>
      <c r="BT143" s="1515">
        <f>[1]Sheet1!F144</f>
        <v/>
      </c>
      <c r="BU143" s="1516">
        <f>[1]Sheet1!G144</f>
        <v/>
      </c>
      <c r="BV143" s="1513">
        <f>[1]Sheet1!H144</f>
        <v/>
      </c>
      <c r="BW143" s="1467" t="n"/>
      <c r="BX143" s="1491">
        <f>[1]Sheet1!$J144</f>
        <v/>
      </c>
      <c r="BY143" s="1517">
        <f>[1]Sheet1!$K144</f>
        <v/>
      </c>
      <c r="BZ143" s="1517">
        <f>[1]Sheet1!$L144</f>
        <v/>
      </c>
      <c r="CA143" s="1500">
        <f>[1]Sheet1!$M144</f>
        <v/>
      </c>
      <c r="CB143" s="1467" t="n"/>
      <c r="CC143" s="1467" t="n"/>
      <c r="CD143" s="1491" t="n"/>
      <c r="CE143" s="1491" t="n"/>
      <c r="CF143" s="1491" t="n"/>
      <c r="CG143" s="1491" t="n"/>
      <c r="CH143" s="1491" t="n"/>
      <c r="CI143" s="1491" t="n"/>
      <c r="CJ143" s="1491" t="n"/>
      <c r="CK143" s="1435" t="n"/>
      <c r="CL143" s="1521" t="n">
        <v>135</v>
      </c>
      <c r="CM143" s="1513" t="inlineStr">
        <is>
          <t>SP-Miami</t>
        </is>
      </c>
      <c r="CN143" s="1513" t="inlineStr">
        <is>
          <t>SP</t>
        </is>
      </c>
      <c r="CO143" s="1513" t="inlineStr">
        <is>
          <t>Miami</t>
        </is>
      </c>
      <c r="CP143" s="1514" t="n">
        <v>6600</v>
      </c>
      <c r="CQ143" s="1435" t="n"/>
      <c r="CR143" s="1491" t="n"/>
      <c r="CS143" s="1491" t="n"/>
      <c r="CT143" s="1491" t="n"/>
      <c r="CU143" s="1491" t="n"/>
      <c r="CV143" s="1491" t="n"/>
      <c r="CW143" s="1491" t="n"/>
      <c r="CX143" s="1491" t="n"/>
    </row>
    <row r="144">
      <c r="A144" s="1491" t="n"/>
      <c r="B144" s="1491" t="n"/>
      <c r="C144" s="1491" t="n"/>
      <c r="D144" s="1497">
        <f>IF(E144&lt;&gt;"",D143+1,D143)</f>
        <v/>
      </c>
      <c r="E144" s="1497" t="inlineStr">
        <is>
          <t>Braemar</t>
        </is>
      </c>
      <c r="F144" s="1535" t="inlineStr">
        <is>
          <t>.</t>
        </is>
      </c>
      <c r="G144" s="1498">
        <f>IF(H144="AIR",0,IF(H143="AIR",G142+1,IF(H144&lt;&gt;"",G143+1,G143)))</f>
        <v/>
      </c>
      <c r="H144" s="1498" t="inlineStr">
        <is>
          <t>Inverness</t>
        </is>
      </c>
      <c r="I144" s="1427" t="inlineStr">
        <is>
          <t>.</t>
        </is>
      </c>
      <c r="J144" s="1499" t="n">
        <v>139</v>
      </c>
      <c r="K144" s="1500">
        <f>_xlfn.XLOOKUP(cities[[#This Row],[id]],$D$5:$D$1500,E$5:E$1500,"-")</f>
        <v/>
      </c>
      <c r="L144" s="1500">
        <f>_xlfn.XLOOKUP(cities[[#This Row],[city]],ccc[city],ccc[ctry],"-")</f>
        <v/>
      </c>
      <c r="M144" s="1500">
        <f>SUMIFS(stayCity[stay],stayCity[city],cities[[#This Row],[city]])</f>
        <v/>
      </c>
      <c r="N144" s="1427">
        <f>N143+1</f>
        <v/>
      </c>
      <c r="O144" s="1500" t="n"/>
      <c r="P144" s="1500" t="n"/>
      <c r="Q144" s="1427" t="inlineStr">
        <is>
          <t>.</t>
        </is>
      </c>
      <c r="R144" s="1491" t="n"/>
      <c r="S144" s="1491" t="n"/>
      <c r="T144" s="1491" t="n"/>
      <c r="U144" s="1491" t="n"/>
      <c r="V144" s="1491" t="n"/>
      <c r="W144" s="1491" t="n"/>
      <c r="X144" s="1491" t="n"/>
      <c r="Y144" s="1491" t="n"/>
      <c r="Z144" s="1427" t="inlineStr">
        <is>
          <t>.</t>
        </is>
      </c>
      <c r="AA144" s="1473">
        <f>IF(AB144&lt;&gt;"",AA143+1,AA143)</f>
        <v/>
      </c>
      <c r="AB144" s="1534" t="inlineStr">
        <is>
          <t>Panama-SSA</t>
        </is>
      </c>
      <c r="AC144" s="1473">
        <f>IF(AD144&lt;&gt;"",AC143+1,AC143)</f>
        <v/>
      </c>
      <c r="AD144" s="1534" t="n"/>
      <c r="AE144" s="1427" t="inlineStr">
        <is>
          <t>.</t>
        </is>
      </c>
      <c r="AF144" s="1502" t="n">
        <v>140</v>
      </c>
      <c r="AG144" s="1500">
        <f>_xlfn.XLOOKUP(routes[[#This Row],[id]],$AA$5:$AA$300,$AB$5:$AB$300,"-")</f>
        <v/>
      </c>
      <c r="AH144" s="1500">
        <f>_xlfn.XLOOKUP(routes[[#This Row],[route]],routesUniv[route],routesUniv[outbound],"-")</f>
        <v/>
      </c>
      <c r="AI144" s="1500">
        <f>_xlfn.XLOOKUP(routes[[#This Row],[route]],routesUniv[route],routesUniv[inbound],"-")</f>
        <v/>
      </c>
      <c r="AJ144" s="1500">
        <f>_xlfn.XLOOKUP(routes[[#This Row],[route]],routesUniv[route],routesUniv[km],"-")</f>
        <v/>
      </c>
      <c r="AK144" s="1500">
        <f>COUNTIF(INPUT!BT$5:BT$1000,AG144)</f>
        <v/>
      </c>
      <c r="AL144" s="1505">
        <f>routes[[#This Row],[km]]*routes[[#This Row],[rpt]]/1000</f>
        <v/>
      </c>
      <c r="AM144" s="1481" t="inlineStr">
        <is>
          <t>.</t>
        </is>
      </c>
      <c r="AN144" s="1506" t="n"/>
      <c r="AO144" s="1500">
        <f>IF(AD144&lt;&gt;"",AD144,"-")</f>
        <v/>
      </c>
      <c r="AP144" s="1500">
        <f>_xlfn.XLOOKUP(cityRoutes[[#This Row],[city]],ccc[city],ccc[ctry],"-")</f>
        <v/>
      </c>
      <c r="AQ144" s="1500">
        <f>COUNTIF(INPUT!BR$5:BS$1000,AO144)</f>
        <v/>
      </c>
      <c r="AR144" s="1507">
        <f>(SUMIFS(routes[total],routes[outbound],AO144)+SUMIFS(routes[total],routes[inbound],AO144))/2</f>
        <v/>
      </c>
      <c r="AS144" s="1481" t="inlineStr">
        <is>
          <t>.</t>
        </is>
      </c>
      <c r="AT144" s="1491" t="n"/>
      <c r="AU144" s="1491" t="n"/>
      <c r="AV144" s="1491" t="n"/>
      <c r="AW144" s="1491" t="n"/>
      <c r="AX144" s="1491" t="n"/>
      <c r="AY144" s="1491" t="n"/>
      <c r="AZ144" s="1491" t="n"/>
      <c r="BA144" s="1491" t="n"/>
      <c r="BB144" s="1491" t="n"/>
      <c r="BC144" s="1491" t="n"/>
      <c r="BD144" s="1491" t="n"/>
      <c r="BE144" s="1491" t="n"/>
      <c r="BF144" s="1491" t="n"/>
      <c r="BG144" s="1491" t="n"/>
      <c r="BH144" s="1491" t="n"/>
      <c r="BI144" s="1491" t="n"/>
      <c r="BJ144" s="1491" t="n"/>
      <c r="BK144" s="1491" t="n"/>
      <c r="BL144" s="1491" t="n"/>
      <c r="BM144" s="1491" t="n"/>
      <c r="BN144" s="1491" t="n"/>
      <c r="BO144" s="1467" t="n"/>
      <c r="BP144" s="1514" t="n">
        <v>140</v>
      </c>
      <c r="BQ144" s="1513">
        <f>[1]Sheet1!C145</f>
        <v/>
      </c>
      <c r="BR144" s="1515">
        <f>[1]Sheet1!D145</f>
        <v/>
      </c>
      <c r="BS144" s="1513">
        <f>[1]Sheet1!E145</f>
        <v/>
      </c>
      <c r="BT144" s="1515">
        <f>[1]Sheet1!F145</f>
        <v/>
      </c>
      <c r="BU144" s="1516">
        <f>[1]Sheet1!G145</f>
        <v/>
      </c>
      <c r="BV144" s="1513">
        <f>[1]Sheet1!H145</f>
        <v/>
      </c>
      <c r="BW144" s="1467" t="n"/>
      <c r="BX144" s="1491">
        <f>[1]Sheet1!$J145</f>
        <v/>
      </c>
      <c r="BY144" s="1517">
        <f>[1]Sheet1!$K145</f>
        <v/>
      </c>
      <c r="BZ144" s="1517">
        <f>[1]Sheet1!$L145</f>
        <v/>
      </c>
      <c r="CA144" s="1500">
        <f>[1]Sheet1!$M145</f>
        <v/>
      </c>
      <c r="CB144" s="1467" t="n"/>
      <c r="CC144" s="1467" t="n"/>
      <c r="CD144" s="1491" t="n"/>
      <c r="CE144" s="1491" t="n"/>
      <c r="CF144" s="1491" t="n"/>
      <c r="CG144" s="1491" t="n"/>
      <c r="CH144" s="1491" t="n"/>
      <c r="CI144" s="1491" t="n"/>
      <c r="CJ144" s="1491" t="n"/>
      <c r="CK144" s="1435" t="n"/>
      <c r="CL144" s="1521" t="n">
        <v>136</v>
      </c>
      <c r="CM144" s="1513" t="inlineStr">
        <is>
          <t>SP-Montreal</t>
        </is>
      </c>
      <c r="CN144" s="1513" t="inlineStr">
        <is>
          <t>SP</t>
        </is>
      </c>
      <c r="CO144" s="1513" t="inlineStr">
        <is>
          <t>Montreal</t>
        </is>
      </c>
      <c r="CP144" s="1514" t="n">
        <v>8200</v>
      </c>
      <c r="CQ144" s="1435" t="n"/>
      <c r="CR144" s="1491" t="n"/>
      <c r="CS144" s="1491" t="n"/>
      <c r="CT144" s="1491" t="n"/>
      <c r="CU144" s="1491" t="n"/>
      <c r="CV144" s="1491" t="n"/>
      <c r="CW144" s="1491" t="n"/>
      <c r="CX144" s="1491" t="n"/>
    </row>
    <row r="145">
      <c r="A145" s="1491" t="n"/>
      <c r="B145" s="1491" t="n"/>
      <c r="C145" s="1491" t="n"/>
      <c r="D145" s="1497">
        <f>IF(E145&lt;&gt;"",D144+1,D144)</f>
        <v/>
      </c>
      <c r="E145" s="1497" t="inlineStr">
        <is>
          <t>Perth</t>
        </is>
      </c>
      <c r="F145" s="1535" t="inlineStr">
        <is>
          <t>.</t>
        </is>
      </c>
      <c r="G145" s="1498">
        <f>IF(H145="AIR",0,IF(H144="AIR",G143+1,IF(H145&lt;&gt;"",G144+1,G144)))</f>
        <v/>
      </c>
      <c r="H145" s="1498" t="inlineStr">
        <is>
          <t>Grantown-on-Spey</t>
        </is>
      </c>
      <c r="I145" s="1427" t="inlineStr">
        <is>
          <t>.</t>
        </is>
      </c>
      <c r="J145" s="1499" t="n">
        <v>140</v>
      </c>
      <c r="K145" s="1500">
        <f>_xlfn.XLOOKUP(cities[[#This Row],[id]],$D$5:$D$1500,E$5:E$1500,"-")</f>
        <v/>
      </c>
      <c r="L145" s="1500">
        <f>_xlfn.XLOOKUP(cities[[#This Row],[city]],ccc[city],ccc[ctry],"-")</f>
        <v/>
      </c>
      <c r="M145" s="1500">
        <f>SUMIFS(stayCity[stay],stayCity[city],cities[[#This Row],[city]])</f>
        <v/>
      </c>
      <c r="N145" s="1427">
        <f>N144+1</f>
        <v/>
      </c>
      <c r="O145" s="1500" t="n"/>
      <c r="P145" s="1500" t="n"/>
      <c r="Q145" s="1427" t="inlineStr">
        <is>
          <t>.</t>
        </is>
      </c>
      <c r="R145" s="1491" t="n"/>
      <c r="S145" s="1491" t="n"/>
      <c r="T145" s="1491" t="n"/>
      <c r="U145" s="1491" t="n"/>
      <c r="V145" s="1491" t="n"/>
      <c r="W145" s="1491" t="n"/>
      <c r="X145" s="1491" t="n"/>
      <c r="Y145" s="1491" t="n"/>
      <c r="Z145" s="1427" t="inlineStr">
        <is>
          <t>.</t>
        </is>
      </c>
      <c r="AA145" s="1473">
        <f>IF(AB145&lt;&gt;"",AA144+1,AA144)</f>
        <v/>
      </c>
      <c r="AB145" s="1534" t="inlineStr">
        <is>
          <t>Rio-Atlanta</t>
        </is>
      </c>
      <c r="AC145" s="1473">
        <f>IF(AD145&lt;&gt;"",AC144+1,AC144)</f>
        <v/>
      </c>
      <c r="AD145" s="1534" t="n"/>
      <c r="AE145" s="1427" t="inlineStr">
        <is>
          <t>.</t>
        </is>
      </c>
      <c r="AF145" s="1502" t="n">
        <v>141</v>
      </c>
      <c r="AG145" s="1500">
        <f>_xlfn.XLOOKUP(routes[[#This Row],[id]],$AA$5:$AA$300,$AB$5:$AB$300,"-")</f>
        <v/>
      </c>
      <c r="AH145" s="1500">
        <f>_xlfn.XLOOKUP(routes[[#This Row],[route]],routesUniv[route],routesUniv[outbound],"-")</f>
        <v/>
      </c>
      <c r="AI145" s="1500">
        <f>_xlfn.XLOOKUP(routes[[#This Row],[route]],routesUniv[route],routesUniv[inbound],"-")</f>
        <v/>
      </c>
      <c r="AJ145" s="1500">
        <f>_xlfn.XLOOKUP(routes[[#This Row],[route]],routesUniv[route],routesUniv[km],"-")</f>
        <v/>
      </c>
      <c r="AK145" s="1500">
        <f>COUNTIF(INPUT!BT$5:BT$1000,AG145)</f>
        <v/>
      </c>
      <c r="AL145" s="1505">
        <f>routes[[#This Row],[km]]*routes[[#This Row],[rpt]]/1000</f>
        <v/>
      </c>
      <c r="AM145" s="1481" t="inlineStr">
        <is>
          <t>.</t>
        </is>
      </c>
      <c r="AN145" s="1506" t="n"/>
      <c r="AO145" s="1500">
        <f>IF(AD145&lt;&gt;"",AD145,"-")</f>
        <v/>
      </c>
      <c r="AP145" s="1500">
        <f>_xlfn.XLOOKUP(cityRoutes[[#This Row],[city]],ccc[city],ccc[ctry],"-")</f>
        <v/>
      </c>
      <c r="AQ145" s="1500">
        <f>COUNTIF(INPUT!BR$5:BS$1000,AO145)</f>
        <v/>
      </c>
      <c r="AR145" s="1507">
        <f>(SUMIFS(routes[total],routes[outbound],AO145)+SUMIFS(routes[total],routes[inbound],AO145))/2</f>
        <v/>
      </c>
      <c r="AS145" s="1481" t="inlineStr">
        <is>
          <t>.</t>
        </is>
      </c>
      <c r="AT145" s="1491" t="n"/>
      <c r="AU145" s="1491" t="n"/>
      <c r="AV145" s="1491" t="n"/>
      <c r="AW145" s="1491" t="n"/>
      <c r="AX145" s="1491" t="n"/>
      <c r="AY145" s="1491" t="n"/>
      <c r="AZ145" s="1491" t="n"/>
      <c r="BA145" s="1491" t="n"/>
      <c r="BB145" s="1491" t="n"/>
      <c r="BC145" s="1491" t="n"/>
      <c r="BD145" s="1491" t="n"/>
      <c r="BE145" s="1491" t="n"/>
      <c r="BF145" s="1491" t="n"/>
      <c r="BG145" s="1491" t="n"/>
      <c r="BH145" s="1491" t="n"/>
      <c r="BI145" s="1491" t="n"/>
      <c r="BJ145" s="1491" t="n"/>
      <c r="BK145" s="1491" t="n"/>
      <c r="BL145" s="1491" t="n"/>
      <c r="BM145" s="1491" t="n"/>
      <c r="BN145" s="1491" t="n"/>
      <c r="BO145" s="1467" t="n"/>
      <c r="BP145" s="1514" t="n">
        <v>141</v>
      </c>
      <c r="BQ145" s="1513">
        <f>[1]Sheet1!C146</f>
        <v/>
      </c>
      <c r="BR145" s="1515">
        <f>[1]Sheet1!D146</f>
        <v/>
      </c>
      <c r="BS145" s="1513">
        <f>[1]Sheet1!E146</f>
        <v/>
      </c>
      <c r="BT145" s="1515">
        <f>[1]Sheet1!F146</f>
        <v/>
      </c>
      <c r="BU145" s="1516">
        <f>[1]Sheet1!G146</f>
        <v/>
      </c>
      <c r="BV145" s="1513">
        <f>[1]Sheet1!H146</f>
        <v/>
      </c>
      <c r="BW145" s="1467" t="n"/>
      <c r="BX145" s="1491">
        <f>[1]Sheet1!$J146</f>
        <v/>
      </c>
      <c r="BY145" s="1517">
        <f>[1]Sheet1!$K146</f>
        <v/>
      </c>
      <c r="BZ145" s="1517">
        <f>[1]Sheet1!$L146</f>
        <v/>
      </c>
      <c r="CA145" s="1500">
        <f>[1]Sheet1!$M146</f>
        <v/>
      </c>
      <c r="CB145" s="1467" t="n"/>
      <c r="CC145" s="1467" t="n"/>
      <c r="CD145" s="1491" t="n"/>
      <c r="CE145" s="1491" t="n"/>
      <c r="CF145" s="1491" t="n"/>
      <c r="CG145" s="1491" t="n"/>
      <c r="CH145" s="1491" t="n"/>
      <c r="CI145" s="1491" t="n"/>
      <c r="CJ145" s="1491" t="n"/>
      <c r="CK145" s="1435" t="n"/>
      <c r="CL145" s="1521" t="n">
        <v>137</v>
      </c>
      <c r="CM145" s="1513" t="inlineStr">
        <is>
          <t>SP-Newark</t>
        </is>
      </c>
      <c r="CN145" s="1513" t="inlineStr">
        <is>
          <t>SP</t>
        </is>
      </c>
      <c r="CO145" s="1513" t="inlineStr">
        <is>
          <t>Newark</t>
        </is>
      </c>
      <c r="CP145" s="1514" t="n">
        <v>7700</v>
      </c>
      <c r="CQ145" s="1435" t="n"/>
      <c r="CR145" s="1491" t="n"/>
      <c r="CS145" s="1491" t="n"/>
      <c r="CT145" s="1491" t="n"/>
      <c r="CU145" s="1491" t="n"/>
      <c r="CV145" s="1491" t="n"/>
      <c r="CW145" s="1491" t="n"/>
      <c r="CX145" s="1491" t="n"/>
    </row>
    <row r="146">
      <c r="A146" s="1491" t="n"/>
      <c r="B146" s="1491" t="n"/>
      <c r="C146" s="1491" t="n"/>
      <c r="D146" s="1497">
        <f>IF(E146&lt;&gt;"",D145+1,D145)</f>
        <v/>
      </c>
      <c r="E146" s="1497" t="inlineStr">
        <is>
          <t>Stirling</t>
        </is>
      </c>
      <c r="F146" s="1535" t="inlineStr">
        <is>
          <t>.</t>
        </is>
      </c>
      <c r="G146" s="1498">
        <f>IF(H146="AIR",0,IF(H145="AIR",G144+1,IF(H146&lt;&gt;"",G145+1,G145)))</f>
        <v/>
      </c>
      <c r="H146" s="1498" t="inlineStr">
        <is>
          <t>Ballater</t>
        </is>
      </c>
      <c r="I146" s="1427" t="inlineStr">
        <is>
          <t>.</t>
        </is>
      </c>
      <c r="J146" s="1499" t="n">
        <v>141</v>
      </c>
      <c r="K146" s="1500">
        <f>_xlfn.XLOOKUP(cities[[#This Row],[id]],$D$5:$D$1500,E$5:E$1500,"-")</f>
        <v/>
      </c>
      <c r="L146" s="1500">
        <f>_xlfn.XLOOKUP(cities[[#This Row],[city]],ccc[city],ccc[ctry],"-")</f>
        <v/>
      </c>
      <c r="M146" s="1500">
        <f>SUMIFS(stayCity[stay],stayCity[city],cities[[#This Row],[city]])</f>
        <v/>
      </c>
      <c r="N146" s="1427">
        <f>N145+1</f>
        <v/>
      </c>
      <c r="O146" s="1500" t="n"/>
      <c r="P146" s="1500" t="n"/>
      <c r="Q146" s="1427" t="inlineStr">
        <is>
          <t>.</t>
        </is>
      </c>
      <c r="R146" s="1491" t="n"/>
      <c r="S146" s="1491" t="n"/>
      <c r="T146" s="1491" t="n"/>
      <c r="U146" s="1491" t="n"/>
      <c r="V146" s="1491" t="n"/>
      <c r="W146" s="1491" t="n"/>
      <c r="X146" s="1491" t="n"/>
      <c r="Y146" s="1491" t="n"/>
      <c r="Z146" s="1427" t="inlineStr">
        <is>
          <t>.</t>
        </is>
      </c>
      <c r="AA146" s="1473">
        <f>IF(AB146&lt;&gt;"",AA145+1,AA145)</f>
        <v/>
      </c>
      <c r="AB146" s="1534" t="inlineStr">
        <is>
          <t>Atlanta-Montreal</t>
        </is>
      </c>
      <c r="AC146" s="1473">
        <f>IF(AD146&lt;&gt;"",AC145+1,AC145)</f>
        <v/>
      </c>
      <c r="AD146" s="1534" t="n"/>
      <c r="AE146" s="1427" t="inlineStr">
        <is>
          <t>.</t>
        </is>
      </c>
      <c r="AF146" s="1502" t="n">
        <v>142</v>
      </c>
      <c r="AG146" s="1500">
        <f>_xlfn.XLOOKUP(routes[[#This Row],[id]],$AA$5:$AA$300,$AB$5:$AB$300,"-")</f>
        <v/>
      </c>
      <c r="AH146" s="1500">
        <f>_xlfn.XLOOKUP(routes[[#This Row],[route]],routesUniv[route],routesUniv[outbound],"-")</f>
        <v/>
      </c>
      <c r="AI146" s="1500">
        <f>_xlfn.XLOOKUP(routes[[#This Row],[route]],routesUniv[route],routesUniv[inbound],"-")</f>
        <v/>
      </c>
      <c r="AJ146" s="1500">
        <f>_xlfn.XLOOKUP(routes[[#This Row],[route]],routesUniv[route],routesUniv[km],"-")</f>
        <v/>
      </c>
      <c r="AK146" s="1500">
        <f>COUNTIF(INPUT!BT$5:BT$1000,AG146)</f>
        <v/>
      </c>
      <c r="AL146" s="1505">
        <f>routes[[#This Row],[km]]*routes[[#This Row],[rpt]]/1000</f>
        <v/>
      </c>
      <c r="AM146" s="1481" t="inlineStr">
        <is>
          <t>.</t>
        </is>
      </c>
      <c r="AN146" s="1506" t="n"/>
      <c r="AO146" s="1500">
        <f>IF(AD146&lt;&gt;"",AD146,"-")</f>
        <v/>
      </c>
      <c r="AP146" s="1500">
        <f>_xlfn.XLOOKUP(cityRoutes[[#This Row],[city]],ccc[city],ccc[ctry],"-")</f>
        <v/>
      </c>
      <c r="AQ146" s="1500">
        <f>COUNTIF(INPUT!BR$5:BS$1000,AO146)</f>
        <v/>
      </c>
      <c r="AR146" s="1507">
        <f>(SUMIFS(routes[total],routes[outbound],AO146)+SUMIFS(routes[total],routes[inbound],AO146))/2</f>
        <v/>
      </c>
      <c r="AS146" s="1481" t="inlineStr">
        <is>
          <t>.</t>
        </is>
      </c>
      <c r="AT146" s="1491" t="n"/>
      <c r="AU146" s="1491" t="n"/>
      <c r="AV146" s="1491" t="n"/>
      <c r="AW146" s="1491" t="n"/>
      <c r="AX146" s="1491" t="n"/>
      <c r="AY146" s="1491" t="n"/>
      <c r="AZ146" s="1491" t="n"/>
      <c r="BA146" s="1491" t="n"/>
      <c r="BB146" s="1491" t="n"/>
      <c r="BC146" s="1491" t="n"/>
      <c r="BD146" s="1491" t="n"/>
      <c r="BE146" s="1491" t="n"/>
      <c r="BF146" s="1491" t="n"/>
      <c r="BG146" s="1491" t="n"/>
      <c r="BH146" s="1491" t="n"/>
      <c r="BI146" s="1491" t="n"/>
      <c r="BJ146" s="1491" t="n"/>
      <c r="BK146" s="1491" t="n"/>
      <c r="BL146" s="1491" t="n"/>
      <c r="BM146" s="1491" t="n"/>
      <c r="BN146" s="1491" t="n"/>
      <c r="BO146" s="1467" t="n"/>
      <c r="BP146" s="1514" t="n">
        <v>142</v>
      </c>
      <c r="BQ146" s="1513">
        <f>[1]Sheet1!C147</f>
        <v/>
      </c>
      <c r="BR146" s="1515">
        <f>[1]Sheet1!D147</f>
        <v/>
      </c>
      <c r="BS146" s="1513">
        <f>[1]Sheet1!E147</f>
        <v/>
      </c>
      <c r="BT146" s="1515">
        <f>[1]Sheet1!F147</f>
        <v/>
      </c>
      <c r="BU146" s="1516">
        <f>[1]Sheet1!G147</f>
        <v/>
      </c>
      <c r="BV146" s="1513">
        <f>[1]Sheet1!H147</f>
        <v/>
      </c>
      <c r="BW146" s="1467" t="n"/>
      <c r="BX146" s="1491">
        <f>[1]Sheet1!$J147</f>
        <v/>
      </c>
      <c r="BY146" s="1517">
        <f>[1]Sheet1!$K147</f>
        <v/>
      </c>
      <c r="BZ146" s="1517">
        <f>[1]Sheet1!$L147</f>
        <v/>
      </c>
      <c r="CA146" s="1500">
        <f>[1]Sheet1!$M147</f>
        <v/>
      </c>
      <c r="CB146" s="1467" t="n"/>
      <c r="CC146" s="1467" t="n"/>
      <c r="CD146" s="1491" t="n"/>
      <c r="CE146" s="1491" t="n"/>
      <c r="CF146" s="1491" t="n"/>
      <c r="CG146" s="1491" t="n"/>
      <c r="CH146" s="1491" t="n"/>
      <c r="CI146" s="1491" t="n"/>
      <c r="CJ146" s="1491" t="n"/>
      <c r="CK146" s="1435" t="n"/>
      <c r="CL146" s="1521" t="n">
        <v>138</v>
      </c>
      <c r="CM146" s="1500" t="inlineStr">
        <is>
          <t>SP-NYC</t>
        </is>
      </c>
      <c r="CN146" s="1500" t="inlineStr">
        <is>
          <t>SP</t>
        </is>
      </c>
      <c r="CO146" s="1500" t="inlineStr">
        <is>
          <t>NYC</t>
        </is>
      </c>
      <c r="CP146" s="1514" t="n">
        <v>7700</v>
      </c>
      <c r="CQ146" s="1435" t="n"/>
      <c r="CR146" s="1491" t="n"/>
      <c r="CS146" s="1491" t="n"/>
      <c r="CT146" s="1491" t="n"/>
      <c r="CU146" s="1491" t="n"/>
      <c r="CV146" s="1491" t="n"/>
      <c r="CW146" s="1491" t="n"/>
      <c r="CX146" s="1491" t="n"/>
    </row>
    <row r="147">
      <c r="A147" s="1491" t="n"/>
      <c r="B147" s="1491" t="n"/>
      <c r="C147" s="1491" t="n"/>
      <c r="D147" s="1497">
        <f>IF(E147&lt;&gt;"",D146+1,D146)</f>
        <v/>
      </c>
      <c r="E147" s="1497" t="inlineStr">
        <is>
          <t>Edinburgh</t>
        </is>
      </c>
      <c r="F147" s="1535" t="inlineStr">
        <is>
          <t>.</t>
        </is>
      </c>
      <c r="G147" s="1498">
        <f>IF(H147="AIR",0,IF(H146="AIR",G145+1,IF(H147&lt;&gt;"",G146+1,G146)))</f>
        <v/>
      </c>
      <c r="H147" s="1498" t="inlineStr">
        <is>
          <t>Braemar</t>
        </is>
      </c>
      <c r="I147" s="1427" t="inlineStr">
        <is>
          <t>.</t>
        </is>
      </c>
      <c r="J147" s="1499" t="n">
        <v>142</v>
      </c>
      <c r="K147" s="1500">
        <f>_xlfn.XLOOKUP(cities[[#This Row],[id]],$D$5:$D$1500,E$5:E$1500,"-")</f>
        <v/>
      </c>
      <c r="L147" s="1500">
        <f>_xlfn.XLOOKUP(cities[[#This Row],[city]],ccc[city],ccc[ctry],"-")</f>
        <v/>
      </c>
      <c r="M147" s="1500">
        <f>SUMIFS(stayCity[stay],stayCity[city],cities[[#This Row],[city]])</f>
        <v/>
      </c>
      <c r="N147" s="1427">
        <f>N146+1</f>
        <v/>
      </c>
      <c r="O147" s="1500" t="n"/>
      <c r="P147" s="1500" t="n"/>
      <c r="Q147" s="1427" t="inlineStr">
        <is>
          <t>.</t>
        </is>
      </c>
      <c r="R147" s="1491" t="n"/>
      <c r="S147" s="1491" t="n"/>
      <c r="T147" s="1491" t="n"/>
      <c r="U147" s="1491" t="n"/>
      <c r="V147" s="1491" t="n"/>
      <c r="W147" s="1491" t="n"/>
      <c r="X147" s="1491" t="n"/>
      <c r="Y147" s="1491" t="n"/>
      <c r="Z147" s="1427" t="inlineStr">
        <is>
          <t>.</t>
        </is>
      </c>
      <c r="AA147" s="1473">
        <f>IF(AB147&lt;&gt;"",AA146+1,AA146)</f>
        <v/>
      </c>
      <c r="AB147" s="1534" t="inlineStr">
        <is>
          <t>SSA-Panama</t>
        </is>
      </c>
      <c r="AC147" s="1473">
        <f>IF(AD147&lt;&gt;"",AC146+1,AC146)</f>
        <v/>
      </c>
      <c r="AD147" s="1534" t="n"/>
      <c r="AE147" s="1427" t="inlineStr">
        <is>
          <t>.</t>
        </is>
      </c>
      <c r="AF147" s="1502" t="n">
        <v>143</v>
      </c>
      <c r="AG147" s="1500">
        <f>_xlfn.XLOOKUP(routes[[#This Row],[id]],$AA$5:$AA$300,$AB$5:$AB$300,"-")</f>
        <v/>
      </c>
      <c r="AH147" s="1500">
        <f>_xlfn.XLOOKUP(routes[[#This Row],[route]],routesUniv[route],routesUniv[outbound],"-")</f>
        <v/>
      </c>
      <c r="AI147" s="1500">
        <f>_xlfn.XLOOKUP(routes[[#This Row],[route]],routesUniv[route],routesUniv[inbound],"-")</f>
        <v/>
      </c>
      <c r="AJ147" s="1500">
        <f>_xlfn.XLOOKUP(routes[[#This Row],[route]],routesUniv[route],routesUniv[km],"-")</f>
        <v/>
      </c>
      <c r="AK147" s="1500">
        <f>COUNTIF(INPUT!BT$5:BT$1000,AG147)</f>
        <v/>
      </c>
      <c r="AL147" s="1505">
        <f>routes[[#This Row],[km]]*routes[[#This Row],[rpt]]/1000</f>
        <v/>
      </c>
      <c r="AM147" s="1481" t="inlineStr">
        <is>
          <t>.</t>
        </is>
      </c>
      <c r="AN147" s="1506" t="n"/>
      <c r="AO147" s="1500">
        <f>IF(AD147&lt;&gt;"",AD147,"-")</f>
        <v/>
      </c>
      <c r="AP147" s="1500">
        <f>_xlfn.XLOOKUP(cityRoutes[[#This Row],[city]],ccc[city],ccc[ctry],"-")</f>
        <v/>
      </c>
      <c r="AQ147" s="1500">
        <f>COUNTIF(INPUT!BR$5:BS$1000,AO147)</f>
        <v/>
      </c>
      <c r="AR147" s="1507">
        <f>(SUMIFS(routes[total],routes[outbound],AO147)+SUMIFS(routes[total],routes[inbound],AO147))/2</f>
        <v/>
      </c>
      <c r="AS147" s="1481" t="inlineStr">
        <is>
          <t>.</t>
        </is>
      </c>
      <c r="AT147" s="1491" t="n"/>
      <c r="AU147" s="1491" t="n"/>
      <c r="AV147" s="1491" t="n"/>
      <c r="AW147" s="1491" t="n"/>
      <c r="AX147" s="1491" t="n"/>
      <c r="AY147" s="1491" t="n"/>
      <c r="AZ147" s="1491" t="n"/>
      <c r="BA147" s="1491" t="n"/>
      <c r="BB147" s="1491" t="n"/>
      <c r="BC147" s="1491" t="n"/>
      <c r="BD147" s="1491" t="n"/>
      <c r="BE147" s="1491" t="n"/>
      <c r="BF147" s="1491" t="n"/>
      <c r="BG147" s="1491" t="n"/>
      <c r="BH147" s="1491" t="n"/>
      <c r="BI147" s="1491" t="n"/>
      <c r="BJ147" s="1491" t="n"/>
      <c r="BK147" s="1491" t="n"/>
      <c r="BL147" s="1491" t="n"/>
      <c r="BM147" s="1491" t="n"/>
      <c r="BN147" s="1491" t="n"/>
      <c r="BO147" s="1467" t="n"/>
      <c r="BP147" s="1514" t="n">
        <v>143</v>
      </c>
      <c r="BQ147" s="1513">
        <f>[1]Sheet1!C148</f>
        <v/>
      </c>
      <c r="BR147" s="1515">
        <f>[1]Sheet1!D148</f>
        <v/>
      </c>
      <c r="BS147" s="1513">
        <f>[1]Sheet1!E148</f>
        <v/>
      </c>
      <c r="BT147" s="1515">
        <f>[1]Sheet1!F148</f>
        <v/>
      </c>
      <c r="BU147" s="1516">
        <f>[1]Sheet1!G148</f>
        <v/>
      </c>
      <c r="BV147" s="1513">
        <f>[1]Sheet1!H148</f>
        <v/>
      </c>
      <c r="BW147" s="1467" t="n"/>
      <c r="BX147" s="1491">
        <f>[1]Sheet1!$J148</f>
        <v/>
      </c>
      <c r="BY147" s="1517">
        <f>[1]Sheet1!$K148</f>
        <v/>
      </c>
      <c r="BZ147" s="1517">
        <f>[1]Sheet1!$L148</f>
        <v/>
      </c>
      <c r="CA147" s="1500">
        <f>[1]Sheet1!$M148</f>
        <v/>
      </c>
      <c r="CB147" s="1467" t="n"/>
      <c r="CC147" s="1467" t="n"/>
      <c r="CD147" s="1491" t="n"/>
      <c r="CE147" s="1491" t="n"/>
      <c r="CF147" s="1491" t="n"/>
      <c r="CG147" s="1491" t="n"/>
      <c r="CH147" s="1491" t="n"/>
      <c r="CI147" s="1491" t="n"/>
      <c r="CJ147" s="1491" t="n"/>
      <c r="CK147" s="1435" t="n"/>
      <c r="CL147" s="1521" t="n">
        <v>139</v>
      </c>
      <c r="CM147" s="1500" t="inlineStr">
        <is>
          <t>SP-Rio</t>
        </is>
      </c>
      <c r="CN147" s="1500" t="inlineStr">
        <is>
          <t>SP</t>
        </is>
      </c>
      <c r="CO147" s="1500" t="inlineStr">
        <is>
          <t>Rio</t>
        </is>
      </c>
      <c r="CP147" s="1514" t="n">
        <v>350</v>
      </c>
      <c r="CQ147" s="1435" t="n"/>
      <c r="CR147" s="1491" t="n"/>
      <c r="CS147" s="1491" t="n"/>
      <c r="CT147" s="1491" t="n"/>
      <c r="CU147" s="1491" t="n"/>
      <c r="CV147" s="1491" t="n"/>
      <c r="CW147" s="1491" t="n"/>
      <c r="CX147" s="1491" t="n"/>
    </row>
    <row r="148">
      <c r="A148" s="1491" t="n"/>
      <c r="B148" s="1491" t="n"/>
      <c r="C148" s="1491" t="n"/>
      <c r="D148" s="1497">
        <f>IF(E148&lt;&gt;"",D147+1,D147)</f>
        <v/>
      </c>
      <c r="E148" s="1497" t="inlineStr">
        <is>
          <t>Dirleton</t>
        </is>
      </c>
      <c r="F148" s="1535" t="inlineStr">
        <is>
          <t>.</t>
        </is>
      </c>
      <c r="G148" s="1498">
        <f>IF(H148="AIR",0,IF(H147="AIR",G146+1,IF(H148&lt;&gt;"",G147+1,G147)))</f>
        <v/>
      </c>
      <c r="H148" s="1498" t="inlineStr">
        <is>
          <t>Perth</t>
        </is>
      </c>
      <c r="I148" s="1427" t="inlineStr">
        <is>
          <t>.</t>
        </is>
      </c>
      <c r="J148" s="1499" t="n">
        <v>143</v>
      </c>
      <c r="K148" s="1500">
        <f>_xlfn.XLOOKUP(cities[[#This Row],[id]],$D$5:$D$1500,E$5:E$1500,"-")</f>
        <v/>
      </c>
      <c r="L148" s="1500">
        <f>_xlfn.XLOOKUP(cities[[#This Row],[city]],ccc[city],ccc[ctry],"-")</f>
        <v/>
      </c>
      <c r="M148" s="1500">
        <f>SUMIFS(stayCity[stay],stayCity[city],cities[[#This Row],[city]])</f>
        <v/>
      </c>
      <c r="N148" s="1427">
        <f>N147+1</f>
        <v/>
      </c>
      <c r="O148" s="1500" t="n"/>
      <c r="P148" s="1500" t="n"/>
      <c r="Q148" s="1427" t="inlineStr">
        <is>
          <t>.</t>
        </is>
      </c>
      <c r="R148" s="1491" t="n"/>
      <c r="S148" s="1491" t="n"/>
      <c r="T148" s="1491" t="n"/>
      <c r="U148" s="1491" t="n"/>
      <c r="V148" s="1491" t="n"/>
      <c r="W148" s="1491" t="n"/>
      <c r="X148" s="1491" t="n"/>
      <c r="Y148" s="1491" t="n"/>
      <c r="Z148" s="1427" t="inlineStr">
        <is>
          <t>.</t>
        </is>
      </c>
      <c r="AA148" s="1473">
        <f>IF(AB148&lt;&gt;"",AA147+1,AA147)</f>
        <v/>
      </c>
      <c r="AB148" s="1534" t="inlineStr">
        <is>
          <t>Panama-Montreal</t>
        </is>
      </c>
      <c r="AC148" s="1473">
        <f>IF(AD148&lt;&gt;"",AC147+1,AC147)</f>
        <v/>
      </c>
      <c r="AD148" s="1534" t="n"/>
      <c r="AE148" s="1427" t="inlineStr">
        <is>
          <t>.</t>
        </is>
      </c>
      <c r="AF148" s="1502" t="n">
        <v>144</v>
      </c>
      <c r="AG148" s="1500">
        <f>_xlfn.XLOOKUP(routes[[#This Row],[id]],$AA$5:$AA$300,$AB$5:$AB$300,"-")</f>
        <v/>
      </c>
      <c r="AH148" s="1500">
        <f>_xlfn.XLOOKUP(routes[[#This Row],[route]],routesUniv[route],routesUniv[outbound],"-")</f>
        <v/>
      </c>
      <c r="AI148" s="1500">
        <f>_xlfn.XLOOKUP(routes[[#This Row],[route]],routesUniv[route],routesUniv[inbound],"-")</f>
        <v/>
      </c>
      <c r="AJ148" s="1500">
        <f>_xlfn.XLOOKUP(routes[[#This Row],[route]],routesUniv[route],routesUniv[km],"-")</f>
        <v/>
      </c>
      <c r="AK148" s="1500">
        <f>COUNTIF(INPUT!BT$5:BT$1000,AG148)</f>
        <v/>
      </c>
      <c r="AL148" s="1505">
        <f>routes[[#This Row],[km]]*routes[[#This Row],[rpt]]/1000</f>
        <v/>
      </c>
      <c r="AM148" s="1481" t="inlineStr">
        <is>
          <t>.</t>
        </is>
      </c>
      <c r="AN148" s="1506" t="n"/>
      <c r="AO148" s="1500">
        <f>IF(AD148&lt;&gt;"",AD148,"-")</f>
        <v/>
      </c>
      <c r="AP148" s="1500">
        <f>_xlfn.XLOOKUP(cityRoutes[[#This Row],[city]],ccc[city],ccc[ctry],"-")</f>
        <v/>
      </c>
      <c r="AQ148" s="1500">
        <f>COUNTIF(INPUT!BR$5:BS$1000,AO148)</f>
        <v/>
      </c>
      <c r="AR148" s="1507">
        <f>(SUMIFS(routes[total],routes[outbound],AO148)+SUMIFS(routes[total],routes[inbound],AO148))/2</f>
        <v/>
      </c>
      <c r="AS148" s="1481" t="inlineStr">
        <is>
          <t>.</t>
        </is>
      </c>
      <c r="AT148" s="1491" t="n"/>
      <c r="AU148" s="1491" t="n"/>
      <c r="AV148" s="1491" t="n"/>
      <c r="AW148" s="1491" t="n"/>
      <c r="AX148" s="1491" t="n"/>
      <c r="AY148" s="1491" t="n"/>
      <c r="AZ148" s="1491" t="n"/>
      <c r="BA148" s="1491" t="n"/>
      <c r="BB148" s="1491" t="n"/>
      <c r="BC148" s="1491" t="n"/>
      <c r="BD148" s="1491" t="n"/>
      <c r="BE148" s="1491" t="n"/>
      <c r="BF148" s="1491" t="n"/>
      <c r="BG148" s="1491" t="n"/>
      <c r="BH148" s="1491" t="n"/>
      <c r="BI148" s="1491" t="n"/>
      <c r="BJ148" s="1491" t="n"/>
      <c r="BK148" s="1491" t="n"/>
      <c r="BL148" s="1491" t="n"/>
      <c r="BM148" s="1491" t="n"/>
      <c r="BN148" s="1491" t="n"/>
      <c r="BO148" s="1467" t="n"/>
      <c r="BP148" s="1514" t="n">
        <v>144</v>
      </c>
      <c r="BQ148" s="1513">
        <f>[1]Sheet1!C149</f>
        <v/>
      </c>
      <c r="BR148" s="1515">
        <f>[1]Sheet1!D149</f>
        <v/>
      </c>
      <c r="BS148" s="1513">
        <f>[1]Sheet1!E149</f>
        <v/>
      </c>
      <c r="BT148" s="1515">
        <f>[1]Sheet1!F149</f>
        <v/>
      </c>
      <c r="BU148" s="1516">
        <f>[1]Sheet1!G149</f>
        <v/>
      </c>
      <c r="BV148" s="1513">
        <f>[1]Sheet1!H149</f>
        <v/>
      </c>
      <c r="BW148" s="1467" t="n"/>
      <c r="BX148" s="1491">
        <f>[1]Sheet1!$J149</f>
        <v/>
      </c>
      <c r="BY148" s="1517">
        <f>[1]Sheet1!$K149</f>
        <v/>
      </c>
      <c r="BZ148" s="1517">
        <f>[1]Sheet1!$L149</f>
        <v/>
      </c>
      <c r="CA148" s="1500">
        <f>[1]Sheet1!$M149</f>
        <v/>
      </c>
      <c r="CB148" s="1467" t="n"/>
      <c r="CC148" s="1467" t="n"/>
      <c r="CD148" s="1491" t="n"/>
      <c r="CE148" s="1491" t="n"/>
      <c r="CF148" s="1491" t="n"/>
      <c r="CG148" s="1491" t="n"/>
      <c r="CH148" s="1491" t="n"/>
      <c r="CI148" s="1491" t="n"/>
      <c r="CJ148" s="1491" t="n"/>
      <c r="CK148" s="1435" t="n"/>
      <c r="CL148" s="1521" t="n">
        <v>140</v>
      </c>
      <c r="CM148" s="1500" t="inlineStr">
        <is>
          <t>SP-SSA</t>
        </is>
      </c>
      <c r="CN148" s="1500" t="inlineStr">
        <is>
          <t>SP</t>
        </is>
      </c>
      <c r="CO148" s="1500" t="inlineStr">
        <is>
          <t>SSA</t>
        </is>
      </c>
      <c r="CP148" s="1514" t="n">
        <v>1500</v>
      </c>
      <c r="CQ148" s="1435" t="n"/>
      <c r="CR148" s="1491" t="n"/>
      <c r="CS148" s="1491" t="n"/>
      <c r="CT148" s="1491" t="n"/>
      <c r="CU148" s="1491" t="n"/>
      <c r="CV148" s="1491" t="n"/>
      <c r="CW148" s="1491" t="n"/>
      <c r="CX148" s="1491" t="n"/>
    </row>
    <row r="149">
      <c r="A149" s="1491" t="n"/>
      <c r="B149" s="1491" t="n"/>
      <c r="C149" s="1491" t="n"/>
      <c r="D149" s="1497">
        <f>IF(E149&lt;&gt;"",D148+1,D148)</f>
        <v/>
      </c>
      <c r="E149" s="1497" t="inlineStr">
        <is>
          <t>Bass Rock</t>
        </is>
      </c>
      <c r="F149" s="1535" t="inlineStr">
        <is>
          <t>.</t>
        </is>
      </c>
      <c r="G149" s="1498">
        <f>IF(H149="AIR",0,IF(H148="AIR",G147+1,IF(H149&lt;&gt;"",G148+1,G148)))</f>
        <v/>
      </c>
      <c r="H149" s="1498" t="inlineStr">
        <is>
          <t>Stirling</t>
        </is>
      </c>
      <c r="I149" s="1427" t="inlineStr">
        <is>
          <t>.</t>
        </is>
      </c>
      <c r="J149" s="1499" t="n">
        <v>144</v>
      </c>
      <c r="K149" s="1500">
        <f>_xlfn.XLOOKUP(cities[[#This Row],[id]],$D$5:$D$1500,E$5:E$1500,"-")</f>
        <v/>
      </c>
      <c r="L149" s="1500">
        <f>_xlfn.XLOOKUP(cities[[#This Row],[city]],ccc[city],ccc[ctry],"-")</f>
        <v/>
      </c>
      <c r="M149" s="1500">
        <f>SUMIFS(stayCity[stay],stayCity[city],cities[[#This Row],[city]])</f>
        <v/>
      </c>
      <c r="N149" s="1427">
        <f>N148+1</f>
        <v/>
      </c>
      <c r="O149" s="1500" t="n"/>
      <c r="P149" s="1500" t="n"/>
      <c r="Q149" s="1427" t="inlineStr">
        <is>
          <t>.</t>
        </is>
      </c>
      <c r="R149" s="1491" t="n"/>
      <c r="S149" s="1491" t="n"/>
      <c r="T149" s="1491" t="n"/>
      <c r="U149" s="1491" t="n"/>
      <c r="V149" s="1491" t="n"/>
      <c r="W149" s="1491" t="n"/>
      <c r="X149" s="1491" t="n"/>
      <c r="Y149" s="1491" t="n"/>
      <c r="Z149" s="1427" t="inlineStr">
        <is>
          <t>.</t>
        </is>
      </c>
      <c r="AA149" s="1473">
        <f>IF(AB149&lt;&gt;"",AA148+1,AA148)</f>
        <v/>
      </c>
      <c r="AB149" s="1534" t="inlineStr">
        <is>
          <t>Montreal-SP</t>
        </is>
      </c>
      <c r="AC149" s="1473">
        <f>IF(AD149&lt;&gt;"",AC148+1,AC148)</f>
        <v/>
      </c>
      <c r="AD149" s="1534" t="n"/>
      <c r="AE149" s="1427" t="inlineStr">
        <is>
          <t>.</t>
        </is>
      </c>
      <c r="AF149" s="1502" t="n">
        <v>145</v>
      </c>
      <c r="AG149" s="1500">
        <f>_xlfn.XLOOKUP(routes[[#This Row],[id]],$AA$5:$AA$300,$AB$5:$AB$300,"-")</f>
        <v/>
      </c>
      <c r="AH149" s="1500">
        <f>_xlfn.XLOOKUP(routes[[#This Row],[route]],routesUniv[route],routesUniv[outbound],"-")</f>
        <v/>
      </c>
      <c r="AI149" s="1500">
        <f>_xlfn.XLOOKUP(routes[[#This Row],[route]],routesUniv[route],routesUniv[inbound],"-")</f>
        <v/>
      </c>
      <c r="AJ149" s="1500">
        <f>_xlfn.XLOOKUP(routes[[#This Row],[route]],routesUniv[route],routesUniv[km],"-")</f>
        <v/>
      </c>
      <c r="AK149" s="1500">
        <f>COUNTIF(INPUT!BT$5:BT$1000,AG149)</f>
        <v/>
      </c>
      <c r="AL149" s="1505">
        <f>routes[[#This Row],[km]]*routes[[#This Row],[rpt]]/1000</f>
        <v/>
      </c>
      <c r="AM149" s="1481" t="inlineStr">
        <is>
          <t>.</t>
        </is>
      </c>
      <c r="AN149" s="1506" t="n"/>
      <c r="AO149" s="1500">
        <f>IF(AD149&lt;&gt;"",AD149,"-")</f>
        <v/>
      </c>
      <c r="AP149" s="1500">
        <f>_xlfn.XLOOKUP(cityRoutes[[#This Row],[city]],ccc[city],ccc[ctry],"-")</f>
        <v/>
      </c>
      <c r="AQ149" s="1500">
        <f>COUNTIF(INPUT!BR$5:BS$1000,AO149)</f>
        <v/>
      </c>
      <c r="AR149" s="1507">
        <f>(SUMIFS(routes[total],routes[outbound],AO149)+SUMIFS(routes[total],routes[inbound],AO149))/2</f>
        <v/>
      </c>
      <c r="AS149" s="1481" t="inlineStr">
        <is>
          <t>.</t>
        </is>
      </c>
      <c r="AT149" s="1491" t="n"/>
      <c r="AU149" s="1491" t="n"/>
      <c r="AV149" s="1491" t="n"/>
      <c r="AW149" s="1491" t="n"/>
      <c r="AX149" s="1491" t="n"/>
      <c r="AY149" s="1491" t="n"/>
      <c r="AZ149" s="1491" t="n"/>
      <c r="BA149" s="1491" t="n"/>
      <c r="BB149" s="1491" t="n"/>
      <c r="BC149" s="1491" t="n"/>
      <c r="BD149" s="1491" t="n"/>
      <c r="BE149" s="1491" t="n"/>
      <c r="BF149" s="1491" t="n"/>
      <c r="BG149" s="1491" t="n"/>
      <c r="BH149" s="1491" t="n"/>
      <c r="BI149" s="1491" t="n"/>
      <c r="BJ149" s="1491" t="n"/>
      <c r="BK149" s="1491" t="n"/>
      <c r="BL149" s="1491" t="n"/>
      <c r="BM149" s="1491" t="n"/>
      <c r="BN149" s="1491" t="n"/>
      <c r="BO149" s="1467" t="n"/>
      <c r="BP149" s="1514" t="n">
        <v>145</v>
      </c>
      <c r="BQ149" s="1513">
        <f>[1]Sheet1!C150</f>
        <v/>
      </c>
      <c r="BR149" s="1515">
        <f>[1]Sheet1!D150</f>
        <v/>
      </c>
      <c r="BS149" s="1513">
        <f>[1]Sheet1!E150</f>
        <v/>
      </c>
      <c r="BT149" s="1515">
        <f>[1]Sheet1!F150</f>
        <v/>
      </c>
      <c r="BU149" s="1516">
        <f>[1]Sheet1!G150</f>
        <v/>
      </c>
      <c r="BV149" s="1513">
        <f>[1]Sheet1!H150</f>
        <v/>
      </c>
      <c r="BW149" s="1467" t="n"/>
      <c r="BX149" s="1491">
        <f>[1]Sheet1!$J150</f>
        <v/>
      </c>
      <c r="BY149" s="1517">
        <f>[1]Sheet1!$K150</f>
        <v/>
      </c>
      <c r="BZ149" s="1517">
        <f>[1]Sheet1!$L150</f>
        <v/>
      </c>
      <c r="CA149" s="1500">
        <f>[1]Sheet1!$M150</f>
        <v/>
      </c>
      <c r="CB149" s="1467" t="n"/>
      <c r="CC149" s="1467" t="n"/>
      <c r="CD149" s="1491" t="n"/>
      <c r="CE149" s="1491" t="n"/>
      <c r="CF149" s="1491" t="n"/>
      <c r="CG149" s="1491" t="n"/>
      <c r="CH149" s="1491" t="n"/>
      <c r="CI149" s="1491" t="n"/>
      <c r="CJ149" s="1491" t="n"/>
      <c r="CK149" s="1435" t="n"/>
      <c r="CL149" s="1521" t="n">
        <v>141</v>
      </c>
      <c r="CM149" s="1513" t="inlineStr">
        <is>
          <t>SP-Toronto</t>
        </is>
      </c>
      <c r="CN149" s="1513" t="inlineStr">
        <is>
          <t>SP</t>
        </is>
      </c>
      <c r="CO149" s="1513" t="inlineStr">
        <is>
          <t>Toronto</t>
        </is>
      </c>
      <c r="CP149" s="1514" t="n">
        <v>8200</v>
      </c>
      <c r="CQ149" s="1435" t="n"/>
      <c r="CR149" s="1491" t="n"/>
      <c r="CS149" s="1491" t="n"/>
      <c r="CT149" s="1491" t="n"/>
      <c r="CU149" s="1491" t="n"/>
      <c r="CV149" s="1491" t="n"/>
      <c r="CW149" s="1491" t="n"/>
      <c r="CX149" s="1491" t="n"/>
    </row>
    <row r="150">
      <c r="A150" s="1491" t="n"/>
      <c r="B150" s="1491" t="n"/>
      <c r="C150" s="1491" t="n"/>
      <c r="D150" s="1497">
        <f>IF(E150&lt;&gt;"",D149+1,D149)</f>
        <v/>
      </c>
      <c r="E150" s="1497" t="inlineStr">
        <is>
          <t>East Lothian</t>
        </is>
      </c>
      <c r="F150" s="1535" t="inlineStr">
        <is>
          <t>.</t>
        </is>
      </c>
      <c r="G150" s="1498">
        <f>IF(H150="AIR",0,IF(H149="AIR",G148+1,IF(H150&lt;&gt;"",G149+1,G149)))</f>
        <v/>
      </c>
      <c r="H150" s="1498" t="inlineStr">
        <is>
          <t>Edinburgh</t>
        </is>
      </c>
      <c r="I150" s="1427" t="inlineStr">
        <is>
          <t>.</t>
        </is>
      </c>
      <c r="J150" s="1499" t="n">
        <v>145</v>
      </c>
      <c r="K150" s="1500">
        <f>_xlfn.XLOOKUP(cities[[#This Row],[id]],$D$5:$D$1500,E$5:E$1500,"-")</f>
        <v/>
      </c>
      <c r="L150" s="1500">
        <f>_xlfn.XLOOKUP(cities[[#This Row],[city]],ccc[city],ccc[ctry],"-")</f>
        <v/>
      </c>
      <c r="M150" s="1500">
        <f>SUMIFS(stayCity[stay],stayCity[city],cities[[#This Row],[city]])</f>
        <v/>
      </c>
      <c r="N150" s="1427">
        <f>N149+1</f>
        <v/>
      </c>
      <c r="O150" s="1500" t="n"/>
      <c r="P150" s="1500" t="n"/>
      <c r="Q150" s="1427" t="inlineStr">
        <is>
          <t>.</t>
        </is>
      </c>
      <c r="R150" s="1491" t="n"/>
      <c r="S150" s="1491" t="n"/>
      <c r="T150" s="1491" t="n"/>
      <c r="U150" s="1491" t="n"/>
      <c r="V150" s="1491" t="n"/>
      <c r="W150" s="1491" t="n"/>
      <c r="X150" s="1491" t="n"/>
      <c r="Y150" s="1491" t="n"/>
      <c r="Z150" s="1427" t="inlineStr">
        <is>
          <t>.</t>
        </is>
      </c>
      <c r="AA150" s="1473">
        <f>IF(AB150&lt;&gt;"",AA149+1,AA149)</f>
        <v/>
      </c>
      <c r="AB150" s="1534" t="inlineStr">
        <is>
          <t>SP-Newark</t>
        </is>
      </c>
      <c r="AC150" s="1473">
        <f>IF(AD150&lt;&gt;"",AC149+1,AC149)</f>
        <v/>
      </c>
      <c r="AD150" s="1534" t="n"/>
      <c r="AE150" s="1427" t="inlineStr">
        <is>
          <t>.</t>
        </is>
      </c>
      <c r="AF150" s="1502" t="n">
        <v>146</v>
      </c>
      <c r="AG150" s="1500">
        <f>_xlfn.XLOOKUP(routes[[#This Row],[id]],$AA$5:$AA$300,$AB$5:$AB$300,"-")</f>
        <v/>
      </c>
      <c r="AH150" s="1500">
        <f>_xlfn.XLOOKUP(routes[[#This Row],[route]],routesUniv[route],routesUniv[outbound],"-")</f>
        <v/>
      </c>
      <c r="AI150" s="1500">
        <f>_xlfn.XLOOKUP(routes[[#This Row],[route]],routesUniv[route],routesUniv[inbound],"-")</f>
        <v/>
      </c>
      <c r="AJ150" s="1500">
        <f>_xlfn.XLOOKUP(routes[[#This Row],[route]],routesUniv[route],routesUniv[km],"-")</f>
        <v/>
      </c>
      <c r="AK150" s="1500">
        <f>COUNTIF(INPUT!BT$5:BT$1000,AG150)</f>
        <v/>
      </c>
      <c r="AL150" s="1505">
        <f>routes[[#This Row],[km]]*routes[[#This Row],[rpt]]/1000</f>
        <v/>
      </c>
      <c r="AM150" s="1481" t="inlineStr">
        <is>
          <t>.</t>
        </is>
      </c>
      <c r="AN150" s="1506" t="n"/>
      <c r="AO150" s="1500">
        <f>IF(AD150&lt;&gt;"",AD150,"-")</f>
        <v/>
      </c>
      <c r="AP150" s="1500">
        <f>_xlfn.XLOOKUP(cityRoutes[[#This Row],[city]],ccc[city],ccc[ctry],"-")</f>
        <v/>
      </c>
      <c r="AQ150" s="1500">
        <f>COUNTIF(INPUT!BR$5:BS$1000,AO150)</f>
        <v/>
      </c>
      <c r="AR150" s="1507">
        <f>(SUMIFS(routes[total],routes[outbound],AO150)+SUMIFS(routes[total],routes[inbound],AO150))/2</f>
        <v/>
      </c>
      <c r="AS150" s="1481" t="inlineStr">
        <is>
          <t>.</t>
        </is>
      </c>
      <c r="AT150" s="1491" t="n"/>
      <c r="AU150" s="1491" t="n"/>
      <c r="AV150" s="1491" t="n"/>
      <c r="AW150" s="1491" t="n"/>
      <c r="AX150" s="1491" t="n"/>
      <c r="AY150" s="1491" t="n"/>
      <c r="AZ150" s="1491" t="n"/>
      <c r="BA150" s="1491" t="n"/>
      <c r="BB150" s="1491" t="n"/>
      <c r="BC150" s="1491" t="n"/>
      <c r="BD150" s="1491" t="n"/>
      <c r="BE150" s="1491" t="n"/>
      <c r="BF150" s="1491" t="n"/>
      <c r="BG150" s="1491" t="n"/>
      <c r="BH150" s="1491" t="n"/>
      <c r="BI150" s="1491" t="n"/>
      <c r="BJ150" s="1491" t="n"/>
      <c r="BK150" s="1491" t="n"/>
      <c r="BL150" s="1491" t="n"/>
      <c r="BM150" s="1491" t="n"/>
      <c r="BN150" s="1491" t="n"/>
      <c r="BO150" s="1467" t="n"/>
      <c r="BP150" s="1514" t="n">
        <v>146</v>
      </c>
      <c r="BQ150" s="1513">
        <f>[1]Sheet1!C151</f>
        <v/>
      </c>
      <c r="BR150" s="1515">
        <f>[1]Sheet1!D151</f>
        <v/>
      </c>
      <c r="BS150" s="1513">
        <f>[1]Sheet1!E151</f>
        <v/>
      </c>
      <c r="BT150" s="1515">
        <f>[1]Sheet1!F151</f>
        <v/>
      </c>
      <c r="BU150" s="1516">
        <f>[1]Sheet1!G151</f>
        <v/>
      </c>
      <c r="BV150" s="1513">
        <f>[1]Sheet1!H151</f>
        <v/>
      </c>
      <c r="BW150" s="1467" t="n"/>
      <c r="BX150" s="1491">
        <f>[1]Sheet1!$J151</f>
        <v/>
      </c>
      <c r="BY150" s="1517">
        <f>[1]Sheet1!$K151</f>
        <v/>
      </c>
      <c r="BZ150" s="1517">
        <f>[1]Sheet1!$L151</f>
        <v/>
      </c>
      <c r="CA150" s="1500">
        <f>[1]Sheet1!$M151</f>
        <v/>
      </c>
      <c r="CB150" s="1467" t="n"/>
      <c r="CC150" s="1467" t="n"/>
      <c r="CD150" s="1491" t="n"/>
      <c r="CE150" s="1491" t="n"/>
      <c r="CF150" s="1491" t="n"/>
      <c r="CG150" s="1491" t="n"/>
      <c r="CH150" s="1491" t="n"/>
      <c r="CI150" s="1491" t="n"/>
      <c r="CJ150" s="1491" t="n"/>
      <c r="CK150" s="1435" t="n"/>
      <c r="CL150" s="1521" t="n">
        <v>142</v>
      </c>
      <c r="CM150" s="1513" t="inlineStr">
        <is>
          <t>SP-Washington</t>
        </is>
      </c>
      <c r="CN150" s="1513" t="inlineStr">
        <is>
          <t>SP</t>
        </is>
      </c>
      <c r="CO150" s="1513" t="inlineStr">
        <is>
          <t>Washington</t>
        </is>
      </c>
      <c r="CP150" s="1514" t="n">
        <v>7600</v>
      </c>
      <c r="CQ150" s="1435" t="n"/>
      <c r="CR150" s="1491" t="n"/>
      <c r="CS150" s="1491" t="n"/>
      <c r="CT150" s="1491" t="n"/>
      <c r="CU150" s="1491" t="n"/>
      <c r="CV150" s="1491" t="n"/>
      <c r="CW150" s="1491" t="n"/>
      <c r="CX150" s="1491" t="n"/>
    </row>
    <row r="151">
      <c r="A151" s="1491" t="n"/>
      <c r="B151" s="1491" t="n"/>
      <c r="C151" s="1491" t="n"/>
      <c r="D151" s="1497">
        <f>IF(E151&lt;&gt;"",D150+1,D150)</f>
        <v/>
      </c>
      <c r="E151" s="1497" t="inlineStr">
        <is>
          <t>Haddington</t>
        </is>
      </c>
      <c r="F151" s="1535" t="inlineStr">
        <is>
          <t>.</t>
        </is>
      </c>
      <c r="G151" s="1498">
        <f>IF(H151="AIR",0,IF(H150="AIR",G149+1,IF(H151&lt;&gt;"",G150+1,G150)))</f>
        <v/>
      </c>
      <c r="H151" s="1498" t="inlineStr">
        <is>
          <t>Dirleton</t>
        </is>
      </c>
      <c r="I151" s="1427" t="inlineStr">
        <is>
          <t>.</t>
        </is>
      </c>
      <c r="J151" s="1499" t="n">
        <v>146</v>
      </c>
      <c r="K151" s="1500">
        <f>_xlfn.XLOOKUP(cities[[#This Row],[id]],$D$5:$D$1500,E$5:E$1500,"-")</f>
        <v/>
      </c>
      <c r="L151" s="1500">
        <f>_xlfn.XLOOKUP(cities[[#This Row],[city]],ccc[city],ccc[ctry],"-")</f>
        <v/>
      </c>
      <c r="M151" s="1500">
        <f>SUMIFS(stayCity[stay],stayCity[city],cities[[#This Row],[city]])</f>
        <v/>
      </c>
      <c r="N151" s="1427">
        <f>N150+1</f>
        <v/>
      </c>
      <c r="O151" s="1500" t="n"/>
      <c r="P151" s="1500" t="n"/>
      <c r="Q151" s="1427" t="inlineStr">
        <is>
          <t>.</t>
        </is>
      </c>
      <c r="R151" s="1491" t="n"/>
      <c r="S151" s="1491" t="n"/>
      <c r="T151" s="1491" t="n"/>
      <c r="U151" s="1491" t="n"/>
      <c r="V151" s="1491" t="n"/>
      <c r="W151" s="1491" t="n"/>
      <c r="X151" s="1491" t="n"/>
      <c r="Y151" s="1491" t="n"/>
      <c r="Z151" s="1427" t="inlineStr">
        <is>
          <t>.</t>
        </is>
      </c>
      <c r="AA151" s="1473">
        <f>IF(AB151&lt;&gt;"",AA150+1,AA150)</f>
        <v/>
      </c>
      <c r="AB151" s="1534" t="inlineStr">
        <is>
          <t>Newark-Washington</t>
        </is>
      </c>
      <c r="AC151" s="1473">
        <f>IF(AD151&lt;&gt;"",AC150+1,AC150)</f>
        <v/>
      </c>
      <c r="AD151" s="1534" t="n"/>
      <c r="AE151" s="1427" t="inlineStr">
        <is>
          <t>.</t>
        </is>
      </c>
      <c r="AF151" s="1502" t="n">
        <v>147</v>
      </c>
      <c r="AG151" s="1500">
        <f>_xlfn.XLOOKUP(routes[[#This Row],[id]],$AA$5:$AA$300,$AB$5:$AB$300,"-")</f>
        <v/>
      </c>
      <c r="AH151" s="1500">
        <f>_xlfn.XLOOKUP(routes[[#This Row],[route]],routesUniv[route],routesUniv[outbound],"-")</f>
        <v/>
      </c>
      <c r="AI151" s="1500">
        <f>_xlfn.XLOOKUP(routes[[#This Row],[route]],routesUniv[route],routesUniv[inbound],"-")</f>
        <v/>
      </c>
      <c r="AJ151" s="1500">
        <f>_xlfn.XLOOKUP(routes[[#This Row],[route]],routesUniv[route],routesUniv[km],"-")</f>
        <v/>
      </c>
      <c r="AK151" s="1500">
        <f>COUNTIF(INPUT!BT$5:BT$1000,AG151)</f>
        <v/>
      </c>
      <c r="AL151" s="1505">
        <f>routes[[#This Row],[km]]*routes[[#This Row],[rpt]]/1000</f>
        <v/>
      </c>
      <c r="AM151" s="1481" t="inlineStr">
        <is>
          <t>.</t>
        </is>
      </c>
      <c r="AN151" s="1506" t="n"/>
      <c r="AO151" s="1500">
        <f>IF(AD151&lt;&gt;"",AD151,"-")</f>
        <v/>
      </c>
      <c r="AP151" s="1500">
        <f>_xlfn.XLOOKUP(cityRoutes[[#This Row],[city]],ccc[city],ccc[ctry],"-")</f>
        <v/>
      </c>
      <c r="AQ151" s="1500">
        <f>COUNTIF(INPUT!BR$5:BS$1000,AO151)</f>
        <v/>
      </c>
      <c r="AR151" s="1507">
        <f>(SUMIFS(routes[total],routes[outbound],AO151)+SUMIFS(routes[total],routes[inbound],AO151))/2</f>
        <v/>
      </c>
      <c r="AS151" s="1481" t="inlineStr">
        <is>
          <t>.</t>
        </is>
      </c>
      <c r="AT151" s="1491" t="n"/>
      <c r="AU151" s="1491" t="n"/>
      <c r="AV151" s="1491" t="n"/>
      <c r="AW151" s="1491" t="n"/>
      <c r="AX151" s="1491" t="n"/>
      <c r="AY151" s="1491" t="n"/>
      <c r="AZ151" s="1491" t="n"/>
      <c r="BA151" s="1491" t="n"/>
      <c r="BB151" s="1491" t="n"/>
      <c r="BC151" s="1491" t="n"/>
      <c r="BD151" s="1491" t="n"/>
      <c r="BE151" s="1491" t="n"/>
      <c r="BF151" s="1491" t="n"/>
      <c r="BG151" s="1491" t="n"/>
      <c r="BH151" s="1491" t="n"/>
      <c r="BI151" s="1491" t="n"/>
      <c r="BJ151" s="1491" t="n"/>
      <c r="BK151" s="1491" t="n"/>
      <c r="BL151" s="1491" t="n"/>
      <c r="BM151" s="1491" t="n"/>
      <c r="BN151" s="1491" t="n"/>
      <c r="BO151" s="1467" t="n"/>
      <c r="BP151" s="1514" t="n">
        <v>147</v>
      </c>
      <c r="BQ151" s="1513">
        <f>[1]Sheet1!C152</f>
        <v/>
      </c>
      <c r="BR151" s="1515">
        <f>[1]Sheet1!D152</f>
        <v/>
      </c>
      <c r="BS151" s="1513">
        <f>[1]Sheet1!E152</f>
        <v/>
      </c>
      <c r="BT151" s="1515">
        <f>[1]Sheet1!F152</f>
        <v/>
      </c>
      <c r="BU151" s="1516">
        <f>[1]Sheet1!G152</f>
        <v/>
      </c>
      <c r="BV151" s="1513">
        <f>[1]Sheet1!H152</f>
        <v/>
      </c>
      <c r="BW151" s="1467" t="n"/>
      <c r="BX151" s="1491">
        <f>[1]Sheet1!$J152</f>
        <v/>
      </c>
      <c r="BY151" s="1517">
        <f>[1]Sheet1!$K152</f>
        <v/>
      </c>
      <c r="BZ151" s="1517">
        <f>[1]Sheet1!$L152</f>
        <v/>
      </c>
      <c r="CA151" s="1500">
        <f>[1]Sheet1!$M152</f>
        <v/>
      </c>
      <c r="CB151" s="1467" t="n"/>
      <c r="CC151" s="1467" t="n"/>
      <c r="CD151" s="1491" t="n"/>
      <c r="CE151" s="1491" t="n"/>
      <c r="CF151" s="1491" t="n"/>
      <c r="CG151" s="1491" t="n"/>
      <c r="CH151" s="1491" t="n"/>
      <c r="CI151" s="1491" t="n"/>
      <c r="CJ151" s="1491" t="n"/>
      <c r="CK151" s="1435" t="n"/>
      <c r="CL151" s="1521" t="n">
        <v>143</v>
      </c>
      <c r="CM151" s="1513" t="inlineStr">
        <is>
          <t>SP-Zurich</t>
        </is>
      </c>
      <c r="CN151" s="1513" t="inlineStr">
        <is>
          <t>SP</t>
        </is>
      </c>
      <c r="CO151" s="1513" t="inlineStr">
        <is>
          <t>Zurich</t>
        </is>
      </c>
      <c r="CP151" s="1514" t="n">
        <v>9600</v>
      </c>
      <c r="CQ151" s="1435" t="n"/>
      <c r="CR151" s="1491" t="n"/>
      <c r="CS151" s="1491" t="n"/>
      <c r="CT151" s="1491" t="n"/>
      <c r="CU151" s="1491" t="n"/>
      <c r="CV151" s="1491" t="n"/>
      <c r="CW151" s="1491" t="n"/>
      <c r="CX151" s="1491" t="n"/>
    </row>
    <row r="152">
      <c r="A152" s="1491" t="n"/>
      <c r="B152" s="1491" t="n"/>
      <c r="C152" s="1491" t="n"/>
      <c r="D152" s="1497">
        <f>IF(E152&lt;&gt;"",D151+1,D151)</f>
        <v/>
      </c>
      <c r="E152" s="1497" t="inlineStr">
        <is>
          <t>Melrose Abbey</t>
        </is>
      </c>
      <c r="F152" s="1535" t="inlineStr">
        <is>
          <t>.</t>
        </is>
      </c>
      <c r="G152" s="1498">
        <f>IF(H152="AIR",0,IF(H151="AIR",G150+1,IF(H152&lt;&gt;"",G151+1,G151)))</f>
        <v/>
      </c>
      <c r="H152" s="1498" t="inlineStr">
        <is>
          <t>Bass Rock</t>
        </is>
      </c>
      <c r="I152" s="1427" t="inlineStr">
        <is>
          <t>.</t>
        </is>
      </c>
      <c r="J152" s="1499" t="n">
        <v>147</v>
      </c>
      <c r="K152" s="1500">
        <f>_xlfn.XLOOKUP(cities[[#This Row],[id]],$D$5:$D$1500,E$5:E$1500,"-")</f>
        <v/>
      </c>
      <c r="L152" s="1500">
        <f>_xlfn.XLOOKUP(cities[[#This Row],[city]],ccc[city],ccc[ctry],"-")</f>
        <v/>
      </c>
      <c r="M152" s="1500">
        <f>SUMIFS(stayCity[stay],stayCity[city],cities[[#This Row],[city]])</f>
        <v/>
      </c>
      <c r="N152" s="1427">
        <f>N151+1</f>
        <v/>
      </c>
      <c r="O152" s="1500" t="n"/>
      <c r="P152" s="1500" t="n"/>
      <c r="Q152" s="1427" t="inlineStr">
        <is>
          <t>.</t>
        </is>
      </c>
      <c r="R152" s="1491" t="n"/>
      <c r="S152" s="1491" t="n"/>
      <c r="T152" s="1491" t="n"/>
      <c r="U152" s="1491" t="n"/>
      <c r="V152" s="1491" t="n"/>
      <c r="W152" s="1491" t="n"/>
      <c r="X152" s="1491" t="n"/>
      <c r="Y152" s="1491" t="n"/>
      <c r="Z152" s="1427" t="inlineStr">
        <is>
          <t>.</t>
        </is>
      </c>
      <c r="AA152" s="1473">
        <f>IF(AB152&lt;&gt;"",AA151+1,AA151)</f>
        <v/>
      </c>
      <c r="AB152" s="1534" t="inlineStr">
        <is>
          <t>Washington-Montreal</t>
        </is>
      </c>
      <c r="AC152" s="1473">
        <f>IF(AD152&lt;&gt;"",AC151+1,AC151)</f>
        <v/>
      </c>
      <c r="AD152" s="1534" t="n"/>
      <c r="AE152" s="1427" t="inlineStr">
        <is>
          <t>.</t>
        </is>
      </c>
      <c r="AF152" s="1502" t="n">
        <v>148</v>
      </c>
      <c r="AG152" s="1500">
        <f>_xlfn.XLOOKUP(routes[[#This Row],[id]],$AA$5:$AA$300,$AB$5:$AB$300,"-")</f>
        <v/>
      </c>
      <c r="AH152" s="1500">
        <f>_xlfn.XLOOKUP(routes[[#This Row],[route]],routesUniv[route],routesUniv[outbound],"-")</f>
        <v/>
      </c>
      <c r="AI152" s="1500">
        <f>_xlfn.XLOOKUP(routes[[#This Row],[route]],routesUniv[route],routesUniv[inbound],"-")</f>
        <v/>
      </c>
      <c r="AJ152" s="1500">
        <f>_xlfn.XLOOKUP(routes[[#This Row],[route]],routesUniv[route],routesUniv[km],"-")</f>
        <v/>
      </c>
      <c r="AK152" s="1500">
        <f>COUNTIF(INPUT!BT$5:BT$1000,AG152)</f>
        <v/>
      </c>
      <c r="AL152" s="1505">
        <f>routes[[#This Row],[km]]*routes[[#This Row],[rpt]]/1000</f>
        <v/>
      </c>
      <c r="AM152" s="1481" t="inlineStr">
        <is>
          <t>.</t>
        </is>
      </c>
      <c r="AN152" s="1506" t="n"/>
      <c r="AO152" s="1500">
        <f>IF(AD152&lt;&gt;"",AD152,"-")</f>
        <v/>
      </c>
      <c r="AP152" s="1500">
        <f>_xlfn.XLOOKUP(cityRoutes[[#This Row],[city]],ccc[city],ccc[ctry],"-")</f>
        <v/>
      </c>
      <c r="AQ152" s="1500">
        <f>COUNTIF(INPUT!BR$5:BS$1000,AO152)</f>
        <v/>
      </c>
      <c r="AR152" s="1507">
        <f>(SUMIFS(routes[total],routes[outbound],AO152)+SUMIFS(routes[total],routes[inbound],AO152))/2</f>
        <v/>
      </c>
      <c r="AS152" s="1481" t="inlineStr">
        <is>
          <t>.</t>
        </is>
      </c>
      <c r="AT152" s="1491" t="n"/>
      <c r="AU152" s="1491" t="n"/>
      <c r="AV152" s="1491" t="n"/>
      <c r="AW152" s="1491" t="n"/>
      <c r="AX152" s="1491" t="n"/>
      <c r="AY152" s="1491" t="n"/>
      <c r="AZ152" s="1491" t="n"/>
      <c r="BA152" s="1491" t="n"/>
      <c r="BB152" s="1491" t="n"/>
      <c r="BC152" s="1491" t="n"/>
      <c r="BD152" s="1491" t="n"/>
      <c r="BE152" s="1491" t="n"/>
      <c r="BF152" s="1491" t="n"/>
      <c r="BG152" s="1491" t="n"/>
      <c r="BH152" s="1491" t="n"/>
      <c r="BI152" s="1491" t="n"/>
      <c r="BJ152" s="1491" t="n"/>
      <c r="BK152" s="1491" t="n"/>
      <c r="BL152" s="1491" t="n"/>
      <c r="BM152" s="1491" t="n"/>
      <c r="BN152" s="1491" t="n"/>
      <c r="BO152" s="1467" t="n"/>
      <c r="BP152" s="1514" t="n">
        <v>148</v>
      </c>
      <c r="BQ152" s="1513">
        <f>[1]Sheet1!C153</f>
        <v/>
      </c>
      <c r="BR152" s="1515">
        <f>[1]Sheet1!D153</f>
        <v/>
      </c>
      <c r="BS152" s="1513">
        <f>[1]Sheet1!E153</f>
        <v/>
      </c>
      <c r="BT152" s="1515">
        <f>[1]Sheet1!F153</f>
        <v/>
      </c>
      <c r="BU152" s="1516">
        <f>[1]Sheet1!G153</f>
        <v/>
      </c>
      <c r="BV152" s="1513">
        <f>[1]Sheet1!H153</f>
        <v/>
      </c>
      <c r="BW152" s="1467" t="n"/>
      <c r="BX152" s="1491">
        <f>[1]Sheet1!$J153</f>
        <v/>
      </c>
      <c r="BY152" s="1517">
        <f>[1]Sheet1!$K153</f>
        <v/>
      </c>
      <c r="BZ152" s="1517">
        <f>[1]Sheet1!$L153</f>
        <v/>
      </c>
      <c r="CA152" s="1500">
        <f>[1]Sheet1!$M153</f>
        <v/>
      </c>
      <c r="CB152" s="1467" t="n"/>
      <c r="CC152" s="1467" t="n"/>
      <c r="CD152" s="1491" t="n"/>
      <c r="CE152" s="1491" t="n"/>
      <c r="CF152" s="1491" t="n"/>
      <c r="CG152" s="1491" t="n"/>
      <c r="CH152" s="1491" t="n"/>
      <c r="CI152" s="1491" t="n"/>
      <c r="CJ152" s="1491" t="n"/>
      <c r="CK152" s="1435" t="n"/>
      <c r="CL152" s="1521" t="n">
        <v>144</v>
      </c>
      <c r="CM152" s="1513" t="inlineStr">
        <is>
          <t>SSA-Aracaju</t>
        </is>
      </c>
      <c r="CN152" s="1513" t="inlineStr">
        <is>
          <t>SSA</t>
        </is>
      </c>
      <c r="CO152" s="1513" t="inlineStr">
        <is>
          <t>Aracaju</t>
        </is>
      </c>
      <c r="CP152" s="1514" t="n">
        <v>300</v>
      </c>
      <c r="CQ152" s="1435" t="n"/>
      <c r="CR152" s="1491" t="n"/>
      <c r="CS152" s="1491" t="n"/>
      <c r="CT152" s="1491" t="n"/>
      <c r="CU152" s="1491" t="n"/>
      <c r="CV152" s="1491" t="n"/>
      <c r="CW152" s="1491" t="n"/>
      <c r="CX152" s="1491" t="n"/>
    </row>
    <row r="153">
      <c r="A153" s="1491" t="n"/>
      <c r="B153" s="1491" t="n"/>
      <c r="C153" s="1491" t="n"/>
      <c r="D153" s="1497">
        <f>IF(E153&lt;&gt;"",D152+1,D152)</f>
        <v/>
      </c>
      <c r="E153" s="1497" t="inlineStr">
        <is>
          <t>York</t>
        </is>
      </c>
      <c r="F153" s="1535" t="inlineStr">
        <is>
          <t>.</t>
        </is>
      </c>
      <c r="G153" s="1498">
        <f>IF(H153="AIR",0,IF(H152="AIR",G151+1,IF(H153&lt;&gt;"",G152+1,G152)))</f>
        <v/>
      </c>
      <c r="H153" s="1498" t="inlineStr">
        <is>
          <t>East Lothian</t>
        </is>
      </c>
      <c r="I153" s="1427" t="inlineStr">
        <is>
          <t>.</t>
        </is>
      </c>
      <c r="J153" s="1499" t="n">
        <v>148</v>
      </c>
      <c r="K153" s="1500">
        <f>_xlfn.XLOOKUP(cities[[#This Row],[id]],$D$5:$D$1500,E$5:E$1500,"-")</f>
        <v/>
      </c>
      <c r="L153" s="1500">
        <f>_xlfn.XLOOKUP(cities[[#This Row],[city]],ccc[city],ccc[ctry],"-")</f>
        <v/>
      </c>
      <c r="M153" s="1500">
        <f>SUMIFS(stayCity[stay],stayCity[city],cities[[#This Row],[city]])</f>
        <v/>
      </c>
      <c r="N153" s="1427">
        <f>N152+1</f>
        <v/>
      </c>
      <c r="O153" s="1500" t="n"/>
      <c r="P153" s="1500" t="n"/>
      <c r="Q153" s="1427" t="inlineStr">
        <is>
          <t>.</t>
        </is>
      </c>
      <c r="R153" s="1491" t="n"/>
      <c r="S153" s="1491" t="n"/>
      <c r="T153" s="1491" t="n"/>
      <c r="U153" s="1491" t="n"/>
      <c r="V153" s="1491" t="n"/>
      <c r="W153" s="1491" t="n"/>
      <c r="X153" s="1491" t="n"/>
      <c r="Y153" s="1491" t="n"/>
      <c r="Z153" s="1427" t="inlineStr">
        <is>
          <t>.</t>
        </is>
      </c>
      <c r="AA153" s="1473">
        <f>IF(AB153&lt;&gt;"",AA152+1,AA152)</f>
        <v/>
      </c>
      <c r="AB153" s="1534" t="inlineStr">
        <is>
          <t>Montreal-Chicago</t>
        </is>
      </c>
      <c r="AC153" s="1473">
        <f>IF(AD153&lt;&gt;"",AC152+1,AC152)</f>
        <v/>
      </c>
      <c r="AD153" s="1534" t="n"/>
      <c r="AE153" s="1427" t="inlineStr">
        <is>
          <t>.</t>
        </is>
      </c>
      <c r="AF153" s="1502" t="n">
        <v>149</v>
      </c>
      <c r="AG153" s="1500">
        <f>_xlfn.XLOOKUP(routes[[#This Row],[id]],$AA$5:$AA$300,$AB$5:$AB$300,"-")</f>
        <v/>
      </c>
      <c r="AH153" s="1500">
        <f>_xlfn.XLOOKUP(routes[[#This Row],[route]],routesUniv[route],routesUniv[outbound],"-")</f>
        <v/>
      </c>
      <c r="AI153" s="1500">
        <f>_xlfn.XLOOKUP(routes[[#This Row],[route]],routesUniv[route],routesUniv[inbound],"-")</f>
        <v/>
      </c>
      <c r="AJ153" s="1500">
        <f>_xlfn.XLOOKUP(routes[[#This Row],[route]],routesUniv[route],routesUniv[km],"-")</f>
        <v/>
      </c>
      <c r="AK153" s="1500">
        <f>COUNTIF(INPUT!BT$5:BT$1000,AG153)</f>
        <v/>
      </c>
      <c r="AL153" s="1505">
        <f>routes[[#This Row],[km]]*routes[[#This Row],[rpt]]/1000</f>
        <v/>
      </c>
      <c r="AM153" s="1481" t="inlineStr">
        <is>
          <t>.</t>
        </is>
      </c>
      <c r="AN153" s="1506" t="n"/>
      <c r="AO153" s="1500">
        <f>IF(AD153&lt;&gt;"",AD153,"-")</f>
        <v/>
      </c>
      <c r="AP153" s="1500">
        <f>_xlfn.XLOOKUP(cityRoutes[[#This Row],[city]],ccc[city],ccc[ctry],"-")</f>
        <v/>
      </c>
      <c r="AQ153" s="1500">
        <f>COUNTIF(INPUT!BR$5:BS$1000,AO153)</f>
        <v/>
      </c>
      <c r="AR153" s="1507">
        <f>(SUMIFS(routes[total],routes[outbound],AO153)+SUMIFS(routes[total],routes[inbound],AO153))/2</f>
        <v/>
      </c>
      <c r="AS153" s="1481" t="inlineStr">
        <is>
          <t>.</t>
        </is>
      </c>
      <c r="AT153" s="1491" t="n"/>
      <c r="AU153" s="1491" t="n"/>
      <c r="AV153" s="1491" t="n"/>
      <c r="AW153" s="1491" t="n"/>
      <c r="AX153" s="1491" t="n"/>
      <c r="AY153" s="1491" t="n"/>
      <c r="AZ153" s="1491" t="n"/>
      <c r="BA153" s="1491" t="n"/>
      <c r="BB153" s="1491" t="n"/>
      <c r="BC153" s="1491" t="n"/>
      <c r="BD153" s="1491" t="n"/>
      <c r="BE153" s="1491" t="n"/>
      <c r="BF153" s="1491" t="n"/>
      <c r="BG153" s="1491" t="n"/>
      <c r="BH153" s="1491" t="n"/>
      <c r="BI153" s="1491" t="n"/>
      <c r="BJ153" s="1491" t="n"/>
      <c r="BK153" s="1491" t="n"/>
      <c r="BL153" s="1491" t="n"/>
      <c r="BM153" s="1491" t="n"/>
      <c r="BN153" s="1491" t="n"/>
      <c r="BO153" s="1467" t="n"/>
      <c r="BP153" s="1514" t="n">
        <v>149</v>
      </c>
      <c r="BQ153" s="1513">
        <f>[1]Sheet1!C154</f>
        <v/>
      </c>
      <c r="BR153" s="1515">
        <f>[1]Sheet1!D154</f>
        <v/>
      </c>
      <c r="BS153" s="1513">
        <f>[1]Sheet1!E154</f>
        <v/>
      </c>
      <c r="BT153" s="1515">
        <f>[1]Sheet1!F154</f>
        <v/>
      </c>
      <c r="BU153" s="1516">
        <f>[1]Sheet1!G154</f>
        <v/>
      </c>
      <c r="BV153" s="1513">
        <f>[1]Sheet1!H154</f>
        <v/>
      </c>
      <c r="BW153" s="1467" t="n"/>
      <c r="BX153" s="1506" t="n"/>
      <c r="BY153" s="1506" t="n"/>
      <c r="BZ153" s="1537" t="n"/>
      <c r="CA153" s="1511">
        <f>[1]Sheet1!$M154</f>
        <v/>
      </c>
      <c r="CB153" s="1467" t="n"/>
      <c r="CC153" s="1467" t="n"/>
      <c r="CD153" s="1491" t="n"/>
      <c r="CE153" s="1491" t="n"/>
      <c r="CF153" s="1491" t="n"/>
      <c r="CG153" s="1491" t="n"/>
      <c r="CH153" s="1491" t="n"/>
      <c r="CI153" s="1491" t="n"/>
      <c r="CJ153" s="1491" t="n"/>
      <c r="CK153" s="1435" t="n"/>
      <c r="CL153" s="1521" t="n">
        <v>145</v>
      </c>
      <c r="CM153" s="1513" t="inlineStr">
        <is>
          <t>SSA-BH</t>
        </is>
      </c>
      <c r="CN153" s="1513" t="inlineStr">
        <is>
          <t>SSA</t>
        </is>
      </c>
      <c r="CO153" s="1513" t="inlineStr">
        <is>
          <t>BH</t>
        </is>
      </c>
      <c r="CP153" s="1514" t="n">
        <v>1000</v>
      </c>
      <c r="CQ153" s="1435" t="n"/>
      <c r="CR153" s="1491" t="n"/>
      <c r="CS153" s="1491" t="n"/>
      <c r="CT153" s="1491" t="n"/>
      <c r="CU153" s="1491" t="n"/>
      <c r="CV153" s="1491" t="n"/>
      <c r="CW153" s="1491" t="n"/>
      <c r="CX153" s="1491" t="n"/>
    </row>
    <row r="154">
      <c r="A154" s="1491" t="n"/>
      <c r="B154" s="1491" t="n"/>
      <c r="C154" s="1491" t="n"/>
      <c r="D154" s="1497">
        <f>IF(E154&lt;&gt;"",D153+1,D153)</f>
        <v/>
      </c>
      <c r="E154" s="1497" t="inlineStr">
        <is>
          <t>Leeds</t>
        </is>
      </c>
      <c r="F154" s="1535" t="inlineStr">
        <is>
          <t>.</t>
        </is>
      </c>
      <c r="G154" s="1498">
        <f>IF(H154="AIR",0,IF(H153="AIR",G152+1,IF(H154&lt;&gt;"",G153+1,G153)))</f>
        <v/>
      </c>
      <c r="H154" s="1498" t="inlineStr">
        <is>
          <t>Haddington</t>
        </is>
      </c>
      <c r="I154" s="1427" t="inlineStr">
        <is>
          <t>.</t>
        </is>
      </c>
      <c r="J154" s="1499" t="n">
        <v>149</v>
      </c>
      <c r="K154" s="1500">
        <f>_xlfn.XLOOKUP(cities[[#This Row],[id]],$D$5:$D$1500,E$5:E$1500,"-")</f>
        <v/>
      </c>
      <c r="L154" s="1500">
        <f>_xlfn.XLOOKUP(cities[[#This Row],[city]],ccc[city],ccc[ctry],"-")</f>
        <v/>
      </c>
      <c r="M154" s="1500">
        <f>SUMIFS(stayCity[stay],stayCity[city],cities[[#This Row],[city]])</f>
        <v/>
      </c>
      <c r="N154" s="1427">
        <f>N153+1</f>
        <v/>
      </c>
      <c r="O154" s="1500" t="n"/>
      <c r="P154" s="1500" t="n"/>
      <c r="Q154" s="1427" t="inlineStr">
        <is>
          <t>.</t>
        </is>
      </c>
      <c r="R154" s="1491" t="n"/>
      <c r="S154" s="1491" t="n"/>
      <c r="T154" s="1491" t="n"/>
      <c r="U154" s="1491" t="n"/>
      <c r="V154" s="1491" t="n"/>
      <c r="W154" s="1491" t="n"/>
      <c r="X154" s="1491" t="n"/>
      <c r="Y154" s="1491" t="n"/>
      <c r="Z154" s="1427" t="inlineStr">
        <is>
          <t>.</t>
        </is>
      </c>
      <c r="AA154" s="1473">
        <f>IF(AB154&lt;&gt;"",AA153+1,AA153)</f>
        <v/>
      </c>
      <c r="AB154" s="1534" t="inlineStr">
        <is>
          <t>Chicago-SP</t>
        </is>
      </c>
      <c r="AC154" s="1473">
        <f>IF(AD154&lt;&gt;"",AC153+1,AC153)</f>
        <v/>
      </c>
      <c r="AD154" s="1534" t="n"/>
      <c r="AE154" s="1427" t="inlineStr">
        <is>
          <t>.</t>
        </is>
      </c>
      <c r="AF154" s="1502" t="n">
        <v>150</v>
      </c>
      <c r="AG154" s="1500">
        <f>_xlfn.XLOOKUP(routes[[#This Row],[id]],$AA$5:$AA$300,$AB$5:$AB$300,"-")</f>
        <v/>
      </c>
      <c r="AH154" s="1500">
        <f>_xlfn.XLOOKUP(routes[[#This Row],[route]],routesUniv[route],routesUniv[outbound],"-")</f>
        <v/>
      </c>
      <c r="AI154" s="1500">
        <f>_xlfn.XLOOKUP(routes[[#This Row],[route]],routesUniv[route],routesUniv[inbound],"-")</f>
        <v/>
      </c>
      <c r="AJ154" s="1500">
        <f>_xlfn.XLOOKUP(routes[[#This Row],[route]],routesUniv[route],routesUniv[km],"-")</f>
        <v/>
      </c>
      <c r="AK154" s="1500">
        <f>COUNTIF(INPUT!BT$5:BT$1000,AG154)</f>
        <v/>
      </c>
      <c r="AL154" s="1505">
        <f>routes[[#This Row],[km]]*routes[[#This Row],[rpt]]/1000</f>
        <v/>
      </c>
      <c r="AM154" s="1481" t="inlineStr">
        <is>
          <t>.</t>
        </is>
      </c>
      <c r="AN154" s="1506" t="n"/>
      <c r="AO154" s="1500">
        <f>IF(AD154&lt;&gt;"",AD154,"-")</f>
        <v/>
      </c>
      <c r="AP154" s="1500">
        <f>_xlfn.XLOOKUP(cityRoutes[[#This Row],[city]],ccc[city],ccc[ctry],"-")</f>
        <v/>
      </c>
      <c r="AQ154" s="1500">
        <f>COUNTIF(INPUT!BR$5:BS$1000,AO154)</f>
        <v/>
      </c>
      <c r="AR154" s="1507">
        <f>(SUMIFS(routes[total],routes[outbound],AO154)+SUMIFS(routes[total],routes[inbound],AO154))/2</f>
        <v/>
      </c>
      <c r="AS154" s="1481" t="inlineStr">
        <is>
          <t>.</t>
        </is>
      </c>
      <c r="AT154" s="1491" t="n"/>
      <c r="AU154" s="1491" t="n"/>
      <c r="AV154" s="1491" t="n"/>
      <c r="AW154" s="1491" t="n"/>
      <c r="AX154" s="1491" t="n"/>
      <c r="AY154" s="1491" t="n"/>
      <c r="AZ154" s="1491" t="n"/>
      <c r="BA154" s="1491" t="n"/>
      <c r="BB154" s="1491" t="n"/>
      <c r="BC154" s="1491" t="n"/>
      <c r="BD154" s="1491" t="n"/>
      <c r="BE154" s="1491" t="n"/>
      <c r="BF154" s="1491" t="n"/>
      <c r="BG154" s="1491" t="n"/>
      <c r="BH154" s="1491" t="n"/>
      <c r="BI154" s="1491" t="n"/>
      <c r="BJ154" s="1491" t="n"/>
      <c r="BK154" s="1491" t="n"/>
      <c r="BL154" s="1491" t="n"/>
      <c r="BM154" s="1491" t="n"/>
      <c r="BN154" s="1491" t="n"/>
      <c r="BO154" s="1467" t="n"/>
      <c r="BP154" s="1514" t="n">
        <v>150</v>
      </c>
      <c r="BQ154" s="1513">
        <f>[1]Sheet1!C155</f>
        <v/>
      </c>
      <c r="BR154" s="1515">
        <f>[1]Sheet1!D155</f>
        <v/>
      </c>
      <c r="BS154" s="1513">
        <f>[1]Sheet1!E155</f>
        <v/>
      </c>
      <c r="BT154" s="1515">
        <f>[1]Sheet1!F155</f>
        <v/>
      </c>
      <c r="BU154" s="1516">
        <f>[1]Sheet1!G155</f>
        <v/>
      </c>
      <c r="BV154" s="1513">
        <f>[1]Sheet1!H155</f>
        <v/>
      </c>
      <c r="BW154" s="1467" t="n"/>
      <c r="BX154" s="1506" t="n"/>
      <c r="BY154" s="1506" t="n"/>
      <c r="BZ154" s="1537" t="n"/>
      <c r="CA154" s="1511">
        <f>[1]Sheet1!$M155</f>
        <v/>
      </c>
      <c r="CB154" s="1467" t="n"/>
      <c r="CC154" s="1467" t="n"/>
      <c r="CD154" s="1491" t="n"/>
      <c r="CE154" s="1491" t="n"/>
      <c r="CF154" s="1491" t="n"/>
      <c r="CG154" s="1491" t="n"/>
      <c r="CH154" s="1491" t="n"/>
      <c r="CI154" s="1491" t="n"/>
      <c r="CJ154" s="1491" t="n"/>
      <c r="CK154" s="1435" t="n"/>
      <c r="CL154" s="1521" t="n">
        <v>146</v>
      </c>
      <c r="CM154" s="1513" t="inlineStr">
        <is>
          <t>SSA-Brasilia</t>
        </is>
      </c>
      <c r="CN154" s="1513" t="inlineStr">
        <is>
          <t>SSA</t>
        </is>
      </c>
      <c r="CO154" s="1513" t="inlineStr">
        <is>
          <t>Brasilia</t>
        </is>
      </c>
      <c r="CP154" s="1514" t="n">
        <v>1100</v>
      </c>
      <c r="CQ154" s="1435" t="n"/>
      <c r="CR154" s="1491" t="n"/>
      <c r="CS154" s="1491" t="n"/>
      <c r="CT154" s="1491" t="n"/>
      <c r="CU154" s="1491" t="n"/>
      <c r="CV154" s="1491" t="n"/>
      <c r="CW154" s="1491" t="n"/>
      <c r="CX154" s="1491" t="n"/>
    </row>
    <row r="155">
      <c r="A155" s="1491" t="n"/>
      <c r="B155" s="1491" t="n"/>
      <c r="C155" s="1491" t="n"/>
      <c r="D155" s="1497">
        <f>IF(E155&lt;&gt;"",D154+1,D154)</f>
        <v/>
      </c>
      <c r="E155" s="1497" t="inlineStr">
        <is>
          <t>Cambridge</t>
        </is>
      </c>
      <c r="F155" s="1535" t="inlineStr">
        <is>
          <t>.</t>
        </is>
      </c>
      <c r="G155" s="1498">
        <f>IF(H155="AIR",0,IF(H154="AIR",G153+1,IF(H155&lt;&gt;"",G154+1,G154)))</f>
        <v/>
      </c>
      <c r="H155" s="1498" t="inlineStr">
        <is>
          <t>Melrose Abbey</t>
        </is>
      </c>
      <c r="I155" s="1427" t="inlineStr">
        <is>
          <t>.</t>
        </is>
      </c>
      <c r="J155" s="1499" t="n">
        <v>150</v>
      </c>
      <c r="K155" s="1500">
        <f>_xlfn.XLOOKUP(cities[[#This Row],[id]],$D$5:$D$1500,E$5:E$1500,"-")</f>
        <v/>
      </c>
      <c r="L155" s="1500">
        <f>_xlfn.XLOOKUP(cities[[#This Row],[city]],ccc[city],ccc[ctry],"-")</f>
        <v/>
      </c>
      <c r="M155" s="1500">
        <f>SUMIFS(stayCity[stay],stayCity[city],cities[[#This Row],[city]])</f>
        <v/>
      </c>
      <c r="N155" s="1427">
        <f>N154+1</f>
        <v/>
      </c>
      <c r="O155" s="1500" t="n"/>
      <c r="P155" s="1500" t="n"/>
      <c r="Q155" s="1427" t="inlineStr">
        <is>
          <t>.</t>
        </is>
      </c>
      <c r="R155" s="1491" t="n"/>
      <c r="S155" s="1491" t="n"/>
      <c r="T155" s="1491" t="n"/>
      <c r="U155" s="1491" t="n"/>
      <c r="V155" s="1491" t="n"/>
      <c r="W155" s="1491" t="n"/>
      <c r="X155" s="1491" t="n"/>
      <c r="Y155" s="1491" t="n"/>
      <c r="Z155" s="1427" t="inlineStr">
        <is>
          <t>.</t>
        </is>
      </c>
      <c r="AA155" s="1473">
        <f>IF(AB155&lt;&gt;"",AA154+1,AA154)</f>
        <v/>
      </c>
      <c r="AB155" s="1534" t="inlineStr">
        <is>
          <t>SP-Toronto</t>
        </is>
      </c>
      <c r="AC155" s="1473">
        <f>IF(AD155&lt;&gt;"",AC154+1,AC154)</f>
        <v/>
      </c>
      <c r="AD155" s="1534" t="n"/>
      <c r="AE155" s="1427" t="inlineStr">
        <is>
          <t>.</t>
        </is>
      </c>
      <c r="AF155" s="1502" t="n">
        <v>151</v>
      </c>
      <c r="AG155" s="1500">
        <f>_xlfn.XLOOKUP(routes[[#This Row],[id]],$AA$5:$AA$300,$AB$5:$AB$300,"-")</f>
        <v/>
      </c>
      <c r="AH155" s="1500">
        <f>_xlfn.XLOOKUP(routes[[#This Row],[route]],routesUniv[route],routesUniv[outbound],"-")</f>
        <v/>
      </c>
      <c r="AI155" s="1500">
        <f>_xlfn.XLOOKUP(routes[[#This Row],[route]],routesUniv[route],routesUniv[inbound],"-")</f>
        <v/>
      </c>
      <c r="AJ155" s="1500">
        <f>_xlfn.XLOOKUP(routes[[#This Row],[route]],routesUniv[route],routesUniv[km],"-")</f>
        <v/>
      </c>
      <c r="AK155" s="1500">
        <f>COUNTIF(INPUT!BT$5:BT$1000,AG155)</f>
        <v/>
      </c>
      <c r="AL155" s="1505">
        <f>routes[[#This Row],[km]]*routes[[#This Row],[rpt]]/1000</f>
        <v/>
      </c>
      <c r="AM155" s="1481" t="inlineStr">
        <is>
          <t>.</t>
        </is>
      </c>
      <c r="AN155" s="1506" t="n"/>
      <c r="AO155" s="1500">
        <f>IF(AD155&lt;&gt;"",AD155,"-")</f>
        <v/>
      </c>
      <c r="AP155" s="1500">
        <f>_xlfn.XLOOKUP(cityRoutes[[#This Row],[city]],ccc[city],ccc[ctry],"-")</f>
        <v/>
      </c>
      <c r="AQ155" s="1500">
        <f>COUNTIF(INPUT!BR$5:BS$1000,AO155)</f>
        <v/>
      </c>
      <c r="AR155" s="1507">
        <f>(SUMIFS(routes[total],routes[outbound],AO155)+SUMIFS(routes[total],routes[inbound],AO155))/2</f>
        <v/>
      </c>
      <c r="AS155" s="1481" t="inlineStr">
        <is>
          <t>.</t>
        </is>
      </c>
      <c r="AT155" s="1491" t="n"/>
      <c r="AU155" s="1491" t="n"/>
      <c r="AV155" s="1491" t="n"/>
      <c r="AW155" s="1491" t="n"/>
      <c r="AX155" s="1491" t="n"/>
      <c r="AY155" s="1491" t="n"/>
      <c r="AZ155" s="1491" t="n"/>
      <c r="BA155" s="1491" t="n"/>
      <c r="BB155" s="1491" t="n"/>
      <c r="BC155" s="1491" t="n"/>
      <c r="BD155" s="1491" t="n"/>
      <c r="BE155" s="1491" t="n"/>
      <c r="BF155" s="1491" t="n"/>
      <c r="BG155" s="1491" t="n"/>
      <c r="BH155" s="1491" t="n"/>
      <c r="BI155" s="1491" t="n"/>
      <c r="BJ155" s="1491" t="n"/>
      <c r="BK155" s="1491" t="n"/>
      <c r="BL155" s="1491" t="n"/>
      <c r="BM155" s="1491" t="n"/>
      <c r="BN155" s="1491" t="n"/>
      <c r="BO155" s="1467" t="n"/>
      <c r="BP155" s="1514" t="n">
        <v>151</v>
      </c>
      <c r="BQ155" s="1513">
        <f>[1]Sheet1!C156</f>
        <v/>
      </c>
      <c r="BR155" s="1515">
        <f>[1]Sheet1!D156</f>
        <v/>
      </c>
      <c r="BS155" s="1513">
        <f>[1]Sheet1!E156</f>
        <v/>
      </c>
      <c r="BT155" s="1515">
        <f>[1]Sheet1!F156</f>
        <v/>
      </c>
      <c r="BU155" s="1516">
        <f>[1]Sheet1!G156</f>
        <v/>
      </c>
      <c r="BV155" s="1513">
        <f>[1]Sheet1!H156</f>
        <v/>
      </c>
      <c r="BW155" s="1467" t="n"/>
      <c r="BX155" s="1506" t="n"/>
      <c r="BY155" s="1506" t="n"/>
      <c r="BZ155" s="1537" t="n"/>
      <c r="CA155" s="1511">
        <f>[1]Sheet1!$M156</f>
        <v/>
      </c>
      <c r="CB155" s="1467" t="n"/>
      <c r="CC155" s="1467" t="n"/>
      <c r="CD155" s="1491" t="n"/>
      <c r="CE155" s="1491" t="n"/>
      <c r="CF155" s="1491" t="n"/>
      <c r="CG155" s="1491" t="n"/>
      <c r="CH155" s="1491" t="n"/>
      <c r="CI155" s="1491" t="n"/>
      <c r="CJ155" s="1491" t="n"/>
      <c r="CK155" s="1435" t="n"/>
      <c r="CL155" s="1521" t="n">
        <v>147</v>
      </c>
      <c r="CM155" s="1500" t="inlineStr">
        <is>
          <t>SSA-Bruxelas</t>
        </is>
      </c>
      <c r="CN155" s="1500" t="inlineStr">
        <is>
          <t>SSA</t>
        </is>
      </c>
      <c r="CO155" s="1500" t="inlineStr">
        <is>
          <t>Bruxelas</t>
        </is>
      </c>
      <c r="CP155" s="1514" t="n">
        <v>8200</v>
      </c>
      <c r="CQ155" s="1435" t="n"/>
      <c r="CR155" s="1491" t="n"/>
      <c r="CS155" s="1491" t="n"/>
      <c r="CT155" s="1491" t="n"/>
      <c r="CU155" s="1491" t="n"/>
      <c r="CV155" s="1491" t="n"/>
      <c r="CW155" s="1491" t="n"/>
      <c r="CX155" s="1491" t="n"/>
    </row>
    <row r="156">
      <c r="A156" s="1491" t="n"/>
      <c r="B156" s="1491" t="n"/>
      <c r="C156" s="1491" t="n"/>
      <c r="D156" s="1497">
        <f>IF(E156&lt;&gt;"",D155+1,D155)</f>
        <v/>
      </c>
      <c r="E156" s="1497" t="inlineStr">
        <is>
          <t>Lencois</t>
        </is>
      </c>
      <c r="F156" s="1535" t="inlineStr">
        <is>
          <t>.</t>
        </is>
      </c>
      <c r="G156" s="1498">
        <f>IF(H156="AIR",0,IF(H155="AIR",G154+1,IF(H156&lt;&gt;"",G155+1,G155)))</f>
        <v/>
      </c>
      <c r="H156" s="1498" t="inlineStr">
        <is>
          <t>York</t>
        </is>
      </c>
      <c r="I156" s="1427" t="inlineStr">
        <is>
          <t>.</t>
        </is>
      </c>
      <c r="J156" s="1499" t="n">
        <v>151</v>
      </c>
      <c r="K156" s="1500">
        <f>_xlfn.XLOOKUP(cities[[#This Row],[id]],$D$5:$D$1500,E$5:E$1500,"-")</f>
        <v/>
      </c>
      <c r="L156" s="1500">
        <f>_xlfn.XLOOKUP(cities[[#This Row],[city]],ccc[city],ccc[ctry],"-")</f>
        <v/>
      </c>
      <c r="M156" s="1500">
        <f>SUMIFS(stayCity[stay],stayCity[city],cities[[#This Row],[city]])</f>
        <v/>
      </c>
      <c r="N156" s="1427">
        <f>N155+1</f>
        <v/>
      </c>
      <c r="O156" s="1500" t="n"/>
      <c r="P156" s="1500" t="n"/>
      <c r="Q156" s="1427" t="inlineStr">
        <is>
          <t>.</t>
        </is>
      </c>
      <c r="R156" s="1491" t="n"/>
      <c r="S156" s="1491" t="n"/>
      <c r="T156" s="1491" t="n"/>
      <c r="U156" s="1491" t="n"/>
      <c r="V156" s="1491" t="n"/>
      <c r="W156" s="1491" t="n"/>
      <c r="X156" s="1491" t="n"/>
      <c r="Y156" s="1491" t="n"/>
      <c r="Z156" s="1427" t="inlineStr">
        <is>
          <t>.</t>
        </is>
      </c>
      <c r="AA156" s="1473">
        <f>IF(AB156&lt;&gt;"",AA155+1,AA155)</f>
        <v/>
      </c>
      <c r="AB156" s="1534" t="inlineStr">
        <is>
          <t>Lisbon-Amsterdam</t>
        </is>
      </c>
      <c r="AC156" s="1473">
        <f>IF(AD156&lt;&gt;"",AC155+1,AC155)</f>
        <v/>
      </c>
      <c r="AD156" s="1534" t="n"/>
      <c r="AE156" s="1427" t="inlineStr">
        <is>
          <t>.</t>
        </is>
      </c>
      <c r="AF156" s="1502" t="n">
        <v>152</v>
      </c>
      <c r="AG156" s="1500">
        <f>_xlfn.XLOOKUP(routes[[#This Row],[id]],$AA$5:$AA$300,$AB$5:$AB$300,"-")</f>
        <v/>
      </c>
      <c r="AH156" s="1500">
        <f>_xlfn.XLOOKUP(routes[[#This Row],[route]],routesUniv[route],routesUniv[outbound],"-")</f>
        <v/>
      </c>
      <c r="AI156" s="1500">
        <f>_xlfn.XLOOKUP(routes[[#This Row],[route]],routesUniv[route],routesUniv[inbound],"-")</f>
        <v/>
      </c>
      <c r="AJ156" s="1500">
        <f>_xlfn.XLOOKUP(routes[[#This Row],[route]],routesUniv[route],routesUniv[km],"-")</f>
        <v/>
      </c>
      <c r="AK156" s="1500">
        <f>COUNTIF(INPUT!BT$5:BT$1000,AG156)</f>
        <v/>
      </c>
      <c r="AL156" s="1505">
        <f>routes[[#This Row],[km]]*routes[[#This Row],[rpt]]/1000</f>
        <v/>
      </c>
      <c r="AM156" s="1481" t="inlineStr">
        <is>
          <t>.</t>
        </is>
      </c>
      <c r="AN156" s="1506" t="n"/>
      <c r="AO156" s="1500">
        <f>IF(AD156&lt;&gt;"",AD156,"-")</f>
        <v/>
      </c>
      <c r="AP156" s="1500">
        <f>_xlfn.XLOOKUP(cityRoutes[[#This Row],[city]],ccc[city],ccc[ctry],"-")</f>
        <v/>
      </c>
      <c r="AQ156" s="1500">
        <f>COUNTIF(INPUT!BR$5:BS$1000,AO156)</f>
        <v/>
      </c>
      <c r="AR156" s="1507">
        <f>(SUMIFS(routes[total],routes[outbound],AO156)+SUMIFS(routes[total],routes[inbound],AO156))/2</f>
        <v/>
      </c>
      <c r="AS156" s="1481" t="inlineStr">
        <is>
          <t>.</t>
        </is>
      </c>
      <c r="AT156" s="1491" t="n"/>
      <c r="AU156" s="1491" t="n"/>
      <c r="AV156" s="1491" t="n"/>
      <c r="AW156" s="1491" t="n"/>
      <c r="AX156" s="1491" t="n"/>
      <c r="AY156" s="1491" t="n"/>
      <c r="AZ156" s="1491" t="n"/>
      <c r="BA156" s="1491" t="n"/>
      <c r="BB156" s="1491" t="n"/>
      <c r="BC156" s="1491" t="n"/>
      <c r="BD156" s="1491" t="n"/>
      <c r="BE156" s="1491" t="n"/>
      <c r="BF156" s="1491" t="n"/>
      <c r="BG156" s="1491" t="n"/>
      <c r="BH156" s="1491" t="n"/>
      <c r="BI156" s="1491" t="n"/>
      <c r="BJ156" s="1491" t="n"/>
      <c r="BK156" s="1491" t="n"/>
      <c r="BL156" s="1491" t="n"/>
      <c r="BM156" s="1491" t="n"/>
      <c r="BN156" s="1491" t="n"/>
      <c r="BO156" s="1467" t="n"/>
      <c r="BP156" s="1514" t="n">
        <v>152</v>
      </c>
      <c r="BQ156" s="1513">
        <f>[1]Sheet1!C157</f>
        <v/>
      </c>
      <c r="BR156" s="1515">
        <f>[1]Sheet1!D157</f>
        <v/>
      </c>
      <c r="BS156" s="1513">
        <f>[1]Sheet1!E157</f>
        <v/>
      </c>
      <c r="BT156" s="1515">
        <f>[1]Sheet1!F157</f>
        <v/>
      </c>
      <c r="BU156" s="1516">
        <f>[1]Sheet1!G157</f>
        <v/>
      </c>
      <c r="BV156" s="1513">
        <f>[1]Sheet1!H157</f>
        <v/>
      </c>
      <c r="BW156" s="1467" t="n"/>
      <c r="BX156" s="1506" t="n"/>
      <c r="BY156" s="1506" t="n"/>
      <c r="BZ156" s="1537" t="n"/>
      <c r="CA156" s="1511">
        <f>[1]Sheet1!$M157</f>
        <v/>
      </c>
      <c r="CB156" s="1467" t="n"/>
      <c r="CC156" s="1467" t="n"/>
      <c r="CD156" s="1491" t="n"/>
      <c r="CE156" s="1491" t="n"/>
      <c r="CF156" s="1491" t="n"/>
      <c r="CG156" s="1491" t="n"/>
      <c r="CH156" s="1491" t="n"/>
      <c r="CI156" s="1491" t="n"/>
      <c r="CJ156" s="1491" t="n"/>
      <c r="CK156" s="1435" t="n"/>
      <c r="CL156" s="1521" t="n">
        <v>148</v>
      </c>
      <c r="CM156" s="1500" t="inlineStr">
        <is>
          <t>SSA-Cairo</t>
        </is>
      </c>
      <c r="CN156" s="1500" t="inlineStr">
        <is>
          <t>SSA</t>
        </is>
      </c>
      <c r="CO156" s="1500" t="inlineStr">
        <is>
          <t>Cairo</t>
        </is>
      </c>
      <c r="CP156" s="1514" t="n">
        <v>8900</v>
      </c>
      <c r="CQ156" s="1435" t="n"/>
      <c r="CR156" s="1491" t="n"/>
      <c r="CS156" s="1491" t="n"/>
      <c r="CT156" s="1491" t="n"/>
      <c r="CU156" s="1491" t="n"/>
      <c r="CV156" s="1491" t="n"/>
      <c r="CW156" s="1491" t="n"/>
      <c r="CX156" s="1491" t="n"/>
    </row>
    <row r="157">
      <c r="A157" s="1491" t="n"/>
      <c r="B157" s="1491" t="n"/>
      <c r="C157" s="1491" t="n"/>
      <c r="D157" s="1497">
        <f>IF(E157&lt;&gt;"",D156+1,D156)</f>
        <v/>
      </c>
      <c r="E157" s="1497" t="inlineStr">
        <is>
          <t>Boipeba</t>
        </is>
      </c>
      <c r="F157" s="1535" t="inlineStr">
        <is>
          <t>.</t>
        </is>
      </c>
      <c r="G157" s="1498">
        <f>IF(H157="AIR",0,IF(H156="AIR",G155+1,IF(H157&lt;&gt;"",G156+1,G156)))</f>
        <v/>
      </c>
      <c r="H157" s="1498" t="inlineStr">
        <is>
          <t>Leeds</t>
        </is>
      </c>
      <c r="I157" s="1427" t="inlineStr">
        <is>
          <t>.</t>
        </is>
      </c>
      <c r="J157" s="1499" t="n">
        <v>152</v>
      </c>
      <c r="K157" s="1500">
        <f>_xlfn.XLOOKUP(cities[[#This Row],[id]],$D$5:$D$1500,E$5:E$1500,"-")</f>
        <v/>
      </c>
      <c r="L157" s="1500">
        <f>_xlfn.XLOOKUP(cities[[#This Row],[city]],ccc[city],ccc[ctry],"-")</f>
        <v/>
      </c>
      <c r="M157" s="1500">
        <f>SUMIFS(stayCity[stay],stayCity[city],cities[[#This Row],[city]])</f>
        <v/>
      </c>
      <c r="N157" s="1427">
        <f>N156+1</f>
        <v/>
      </c>
      <c r="O157" s="1500" t="n"/>
      <c r="P157" s="1500" t="n"/>
      <c r="Q157" s="1427" t="inlineStr">
        <is>
          <t>.</t>
        </is>
      </c>
      <c r="R157" s="1491" t="n"/>
      <c r="S157" s="1491" t="n"/>
      <c r="T157" s="1491" t="n"/>
      <c r="U157" s="1491" t="n"/>
      <c r="V157" s="1491" t="n"/>
      <c r="W157" s="1491" t="n"/>
      <c r="X157" s="1491" t="n"/>
      <c r="Y157" s="1491" t="n"/>
      <c r="Z157" s="1427" t="inlineStr">
        <is>
          <t>.</t>
        </is>
      </c>
      <c r="AA157" s="1473">
        <f>IF(AB157&lt;&gt;"",AA156+1,AA156)</f>
        <v/>
      </c>
      <c r="AB157" s="1534" t="inlineStr">
        <is>
          <t>Rome-Amsterdam</t>
        </is>
      </c>
      <c r="AC157" s="1473">
        <f>IF(AD157&lt;&gt;"",AC156+1,AC156)</f>
        <v/>
      </c>
      <c r="AD157" s="1534" t="n"/>
      <c r="AE157" s="1427" t="inlineStr">
        <is>
          <t>.</t>
        </is>
      </c>
      <c r="AF157" s="1502" t="n">
        <v>153</v>
      </c>
      <c r="AG157" s="1500">
        <f>_xlfn.XLOOKUP(routes[[#This Row],[id]],$AA$5:$AA$300,$AB$5:$AB$300,"-")</f>
        <v/>
      </c>
      <c r="AH157" s="1500">
        <f>_xlfn.XLOOKUP(routes[[#This Row],[route]],routesUniv[route],routesUniv[outbound],"-")</f>
        <v/>
      </c>
      <c r="AI157" s="1500">
        <f>_xlfn.XLOOKUP(routes[[#This Row],[route]],routesUniv[route],routesUniv[inbound],"-")</f>
        <v/>
      </c>
      <c r="AJ157" s="1500">
        <f>_xlfn.XLOOKUP(routes[[#This Row],[route]],routesUniv[route],routesUniv[km],"-")</f>
        <v/>
      </c>
      <c r="AK157" s="1500">
        <f>COUNTIF(INPUT!BT$5:BT$1000,AG157)</f>
        <v/>
      </c>
      <c r="AL157" s="1505">
        <f>routes[[#This Row],[km]]*routes[[#This Row],[rpt]]/1000</f>
        <v/>
      </c>
      <c r="AM157" s="1481" t="inlineStr">
        <is>
          <t>.</t>
        </is>
      </c>
      <c r="AN157" s="1506" t="n"/>
      <c r="AO157" s="1500">
        <f>IF(AD157&lt;&gt;"",AD157,"-")</f>
        <v/>
      </c>
      <c r="AP157" s="1500">
        <f>_xlfn.XLOOKUP(cityRoutes[[#This Row],[city]],ccc[city],ccc[ctry],"-")</f>
        <v/>
      </c>
      <c r="AQ157" s="1500">
        <f>COUNTIF(INPUT!BR$5:BS$1000,AO157)</f>
        <v/>
      </c>
      <c r="AR157" s="1507">
        <f>(SUMIFS(routes[total],routes[outbound],AO157)+SUMIFS(routes[total],routes[inbound],AO157))/2</f>
        <v/>
      </c>
      <c r="AS157" s="1481" t="inlineStr">
        <is>
          <t>.</t>
        </is>
      </c>
      <c r="AT157" s="1491" t="n"/>
      <c r="AU157" s="1491" t="n"/>
      <c r="AV157" s="1491" t="n"/>
      <c r="AW157" s="1491" t="n"/>
      <c r="AX157" s="1491" t="n"/>
      <c r="AY157" s="1491" t="n"/>
      <c r="AZ157" s="1491" t="n"/>
      <c r="BA157" s="1491" t="n"/>
      <c r="BB157" s="1491" t="n"/>
      <c r="BC157" s="1491" t="n"/>
      <c r="BD157" s="1491" t="n"/>
      <c r="BE157" s="1491" t="n"/>
      <c r="BF157" s="1491" t="n"/>
      <c r="BG157" s="1491" t="n"/>
      <c r="BH157" s="1491" t="n"/>
      <c r="BI157" s="1491" t="n"/>
      <c r="BJ157" s="1491" t="n"/>
      <c r="BK157" s="1491" t="n"/>
      <c r="BL157" s="1491" t="n"/>
      <c r="BM157" s="1491" t="n"/>
      <c r="BN157" s="1491" t="n"/>
      <c r="BO157" s="1467" t="n"/>
      <c r="BP157" s="1514" t="n">
        <v>153</v>
      </c>
      <c r="BQ157" s="1513">
        <f>[1]Sheet1!C158</f>
        <v/>
      </c>
      <c r="BR157" s="1515">
        <f>[1]Sheet1!D158</f>
        <v/>
      </c>
      <c r="BS157" s="1513">
        <f>[1]Sheet1!E158</f>
        <v/>
      </c>
      <c r="BT157" s="1515">
        <f>[1]Sheet1!F158</f>
        <v/>
      </c>
      <c r="BU157" s="1516">
        <f>[1]Sheet1!G158</f>
        <v/>
      </c>
      <c r="BV157" s="1513">
        <f>[1]Sheet1!H158</f>
        <v/>
      </c>
      <c r="BW157" s="1467" t="n"/>
      <c r="BX157" s="1506" t="n"/>
      <c r="BY157" s="1506" t="n"/>
      <c r="BZ157" s="1537" t="n"/>
      <c r="CA157" s="1511">
        <f>[1]Sheet1!$M158</f>
        <v/>
      </c>
      <c r="CB157" s="1467" t="n"/>
      <c r="CC157" s="1467" t="n"/>
      <c r="CD157" s="1491" t="n"/>
      <c r="CE157" s="1491" t="n"/>
      <c r="CF157" s="1491" t="n"/>
      <c r="CG157" s="1491" t="n"/>
      <c r="CH157" s="1491" t="n"/>
      <c r="CI157" s="1491" t="n"/>
      <c r="CJ157" s="1491" t="n"/>
      <c r="CK157" s="1435" t="n"/>
      <c r="CL157" s="1521" t="n">
        <v>149</v>
      </c>
      <c r="CM157" s="1513" t="inlineStr">
        <is>
          <t>SSA-Fortaleza</t>
        </is>
      </c>
      <c r="CN157" s="1513" t="inlineStr">
        <is>
          <t>SSA</t>
        </is>
      </c>
      <c r="CO157" s="1513" t="inlineStr">
        <is>
          <t>Fortaleza</t>
        </is>
      </c>
      <c r="CP157" s="1514" t="n">
        <v>1000</v>
      </c>
      <c r="CQ157" s="1435" t="n"/>
      <c r="CR157" s="1491" t="n"/>
      <c r="CS157" s="1491" t="n"/>
      <c r="CT157" s="1491" t="n"/>
      <c r="CU157" s="1491" t="n"/>
      <c r="CV157" s="1491" t="n"/>
      <c r="CW157" s="1491" t="n"/>
      <c r="CX157" s="1491" t="n"/>
    </row>
    <row r="158">
      <c r="A158" s="1491" t="n"/>
      <c r="B158" s="1491" t="n"/>
      <c r="C158" s="1491" t="n"/>
      <c r="D158" s="1497">
        <f>IF(E158&lt;&gt;"",D157+1,D157)</f>
        <v/>
      </c>
      <c r="E158" s="1497" t="inlineStr">
        <is>
          <t>Evora</t>
        </is>
      </c>
      <c r="F158" s="1535" t="inlineStr">
        <is>
          <t>.</t>
        </is>
      </c>
      <c r="G158" s="1498">
        <f>IF(H158="AIR",0,IF(H157="AIR",G156+1,IF(H158&lt;&gt;"",G157+1,G157)))</f>
        <v/>
      </c>
      <c r="H158" s="1498" t="inlineStr">
        <is>
          <t>Cambridge</t>
        </is>
      </c>
      <c r="I158" s="1427" t="inlineStr">
        <is>
          <t>.</t>
        </is>
      </c>
      <c r="J158" s="1499" t="n">
        <v>153</v>
      </c>
      <c r="K158" s="1500">
        <f>_xlfn.XLOOKUP(cities[[#This Row],[id]],$D$5:$D$1500,E$5:E$1500,"-")</f>
        <v/>
      </c>
      <c r="L158" s="1500">
        <f>_xlfn.XLOOKUP(cities[[#This Row],[city]],ccc[city],ccc[ctry],"-")</f>
        <v/>
      </c>
      <c r="M158" s="1500">
        <f>SUMIFS(stayCity[stay],stayCity[city],cities[[#This Row],[city]])</f>
        <v/>
      </c>
      <c r="N158" s="1427">
        <f>N157+1</f>
        <v/>
      </c>
      <c r="O158" s="1500" t="n"/>
      <c r="P158" s="1500" t="n"/>
      <c r="Q158" s="1427" t="inlineStr">
        <is>
          <t>.</t>
        </is>
      </c>
      <c r="R158" s="1491" t="n"/>
      <c r="S158" s="1491" t="n"/>
      <c r="T158" s="1491" t="n"/>
      <c r="U158" s="1491" t="n"/>
      <c r="V158" s="1491" t="n"/>
      <c r="W158" s="1491" t="n"/>
      <c r="X158" s="1491" t="n"/>
      <c r="Y158" s="1491" t="n"/>
      <c r="Z158" s="1427" t="inlineStr">
        <is>
          <t>.</t>
        </is>
      </c>
      <c r="AA158" s="1473">
        <f>IF(AB158&lt;&gt;"",AA157+1,AA157)</f>
        <v/>
      </c>
      <c r="AB158" s="1534" t="inlineStr">
        <is>
          <t>Amsterdam-Montreal</t>
        </is>
      </c>
      <c r="AC158" s="1473">
        <f>IF(AD158&lt;&gt;"",AC157+1,AC157)</f>
        <v/>
      </c>
      <c r="AD158" s="1534" t="n"/>
      <c r="AE158" s="1427" t="inlineStr">
        <is>
          <t>.</t>
        </is>
      </c>
      <c r="AF158" s="1502" t="n">
        <v>154</v>
      </c>
      <c r="AG158" s="1500">
        <f>_xlfn.XLOOKUP(routes[[#This Row],[id]],$AA$5:$AA$300,$AB$5:$AB$300,"-")</f>
        <v/>
      </c>
      <c r="AH158" s="1500">
        <f>_xlfn.XLOOKUP(routes[[#This Row],[route]],routesUniv[route],routesUniv[outbound],"-")</f>
        <v/>
      </c>
      <c r="AI158" s="1500">
        <f>_xlfn.XLOOKUP(routes[[#This Row],[route]],routesUniv[route],routesUniv[inbound],"-")</f>
        <v/>
      </c>
      <c r="AJ158" s="1500">
        <f>_xlfn.XLOOKUP(routes[[#This Row],[route]],routesUniv[route],routesUniv[km],"-")</f>
        <v/>
      </c>
      <c r="AK158" s="1500">
        <f>COUNTIF(INPUT!BT$5:BT$1000,AG158)</f>
        <v/>
      </c>
      <c r="AL158" s="1505">
        <f>routes[[#This Row],[km]]*routes[[#This Row],[rpt]]/1000</f>
        <v/>
      </c>
      <c r="AM158" s="1481" t="inlineStr">
        <is>
          <t>.</t>
        </is>
      </c>
      <c r="AN158" s="1506" t="n"/>
      <c r="AO158" s="1500">
        <f>IF(AD158&lt;&gt;"",AD158,"-")</f>
        <v/>
      </c>
      <c r="AP158" s="1500">
        <f>_xlfn.XLOOKUP(cityRoutes[[#This Row],[city]],ccc[city],ccc[ctry],"-")</f>
        <v/>
      </c>
      <c r="AQ158" s="1500">
        <f>COUNTIF(INPUT!BR$5:BS$1000,AO158)</f>
        <v/>
      </c>
      <c r="AR158" s="1507">
        <f>(SUMIFS(routes[total],routes[outbound],AO158)+SUMIFS(routes[total],routes[inbound],AO158))/2</f>
        <v/>
      </c>
      <c r="AS158" s="1481" t="inlineStr">
        <is>
          <t>.</t>
        </is>
      </c>
      <c r="AT158" s="1491" t="n"/>
      <c r="AU158" s="1491" t="n"/>
      <c r="AV158" s="1491" t="n"/>
      <c r="AW158" s="1491" t="n"/>
      <c r="AX158" s="1491" t="n"/>
      <c r="AY158" s="1491" t="n"/>
      <c r="AZ158" s="1491" t="n"/>
      <c r="BA158" s="1491" t="n"/>
      <c r="BB158" s="1491" t="n"/>
      <c r="BC158" s="1491" t="n"/>
      <c r="BD158" s="1491" t="n"/>
      <c r="BE158" s="1491" t="n"/>
      <c r="BF158" s="1491" t="n"/>
      <c r="BG158" s="1491" t="n"/>
      <c r="BH158" s="1491" t="n"/>
      <c r="BI158" s="1491" t="n"/>
      <c r="BJ158" s="1491" t="n"/>
      <c r="BK158" s="1491" t="n"/>
      <c r="BL158" s="1491" t="n"/>
      <c r="BM158" s="1491" t="n"/>
      <c r="BN158" s="1491" t="n"/>
      <c r="BO158" s="1467" t="n"/>
      <c r="BP158" s="1514" t="n">
        <v>154</v>
      </c>
      <c r="BQ158" s="1513">
        <f>[1]Sheet1!C159</f>
        <v/>
      </c>
      <c r="BR158" s="1515">
        <f>[1]Sheet1!D159</f>
        <v/>
      </c>
      <c r="BS158" s="1513">
        <f>[1]Sheet1!E159</f>
        <v/>
      </c>
      <c r="BT158" s="1515">
        <f>[1]Sheet1!F159</f>
        <v/>
      </c>
      <c r="BU158" s="1516">
        <f>[1]Sheet1!G159</f>
        <v/>
      </c>
      <c r="BV158" s="1513">
        <f>[1]Sheet1!H159</f>
        <v/>
      </c>
      <c r="BW158" s="1467" t="n"/>
      <c r="BX158" s="1538" t="n"/>
      <c r="BY158" s="1506" t="n"/>
      <c r="BZ158" s="1537" t="n"/>
      <c r="CA158" s="1511">
        <f>[1]Sheet1!$M159</f>
        <v/>
      </c>
      <c r="CB158" s="1467" t="n"/>
      <c r="CC158" s="1467" t="n"/>
      <c r="CD158" s="1491" t="n"/>
      <c r="CE158" s="1491" t="n"/>
      <c r="CF158" s="1491" t="n"/>
      <c r="CG158" s="1491" t="n"/>
      <c r="CH158" s="1491" t="n"/>
      <c r="CI158" s="1491" t="n"/>
      <c r="CJ158" s="1491" t="n"/>
      <c r="CK158" s="1435" t="n"/>
      <c r="CL158" s="1521" t="n">
        <v>150</v>
      </c>
      <c r="CM158" s="1500" t="inlineStr">
        <is>
          <t>SSA-Frankfurt</t>
        </is>
      </c>
      <c r="CN158" s="1500" t="inlineStr">
        <is>
          <t>SSA</t>
        </is>
      </c>
      <c r="CO158" s="1500" t="inlineStr">
        <is>
          <t>Frankfurt</t>
        </is>
      </c>
      <c r="CP158" s="1514" t="n">
        <v>8400</v>
      </c>
      <c r="CQ158" s="1435" t="n"/>
      <c r="CR158" s="1491" t="n"/>
      <c r="CS158" s="1491" t="n"/>
      <c r="CT158" s="1491" t="n"/>
      <c r="CU158" s="1491" t="n"/>
      <c r="CV158" s="1491" t="n"/>
      <c r="CW158" s="1491" t="n"/>
      <c r="CX158" s="1491" t="n"/>
    </row>
    <row r="159">
      <c r="A159" s="1491" t="n"/>
      <c r="B159" s="1491" t="n"/>
      <c r="C159" s="1491" t="n"/>
      <c r="D159" s="1497">
        <f>IF(E159&lt;&gt;"",D158+1,D158)</f>
        <v/>
      </c>
      <c r="E159" s="1497" t="inlineStr">
        <is>
          <t>Sevilla</t>
        </is>
      </c>
      <c r="F159" s="1535" t="inlineStr">
        <is>
          <t>.</t>
        </is>
      </c>
      <c r="G159" s="1498">
        <f>IF(H159="AIR",0,IF(H158="AIR",G157+1,IF(H159&lt;&gt;"",G158+1,G158)))</f>
        <v/>
      </c>
      <c r="H159" s="1498" t="inlineStr">
        <is>
          <t>Lencois</t>
        </is>
      </c>
      <c r="I159" s="1427" t="inlineStr">
        <is>
          <t>.</t>
        </is>
      </c>
      <c r="J159" s="1499" t="n">
        <v>154</v>
      </c>
      <c r="K159" s="1500">
        <f>_xlfn.XLOOKUP(cities[[#This Row],[id]],$D$5:$D$1500,E$5:E$1500,"-")</f>
        <v/>
      </c>
      <c r="L159" s="1500">
        <f>_xlfn.XLOOKUP(cities[[#This Row],[city]],ccc[city],ccc[ctry],"-")</f>
        <v/>
      </c>
      <c r="M159" s="1500">
        <f>SUMIFS(stayCity[stay],stayCity[city],cities[[#This Row],[city]])</f>
        <v/>
      </c>
      <c r="N159" s="1427">
        <f>N158+1</f>
        <v/>
      </c>
      <c r="O159" s="1500" t="n"/>
      <c r="P159" s="1500" t="n"/>
      <c r="Q159" s="1427" t="inlineStr">
        <is>
          <t>.</t>
        </is>
      </c>
      <c r="R159" s="1491" t="n"/>
      <c r="S159" s="1491" t="n"/>
      <c r="T159" s="1491" t="n"/>
      <c r="U159" s="1491" t="n"/>
      <c r="V159" s="1491" t="n"/>
      <c r="W159" s="1491" t="n"/>
      <c r="X159" s="1491" t="n"/>
      <c r="Y159" s="1491" t="n"/>
      <c r="Z159" s="1427" t="inlineStr">
        <is>
          <t>.</t>
        </is>
      </c>
      <c r="AA159" s="1473">
        <f>IF(AB159&lt;&gt;"",AA158+1,AA158)</f>
        <v/>
      </c>
      <c r="AB159" s="1534" t="inlineStr">
        <is>
          <t>SP-Montreal</t>
        </is>
      </c>
      <c r="AC159" s="1473">
        <f>IF(AD159&lt;&gt;"",AC158+1,AC158)</f>
        <v/>
      </c>
      <c r="AD159" s="1534" t="n"/>
      <c r="AE159" s="1427" t="inlineStr">
        <is>
          <t>.</t>
        </is>
      </c>
      <c r="AF159" s="1502" t="n">
        <v>155</v>
      </c>
      <c r="AG159" s="1500">
        <f>_xlfn.XLOOKUP(routes[[#This Row],[id]],$AA$5:$AA$300,$AB$5:$AB$300,"-")</f>
        <v/>
      </c>
      <c r="AH159" s="1500">
        <f>_xlfn.XLOOKUP(routes[[#This Row],[route]],routesUniv[route],routesUniv[outbound],"-")</f>
        <v/>
      </c>
      <c r="AI159" s="1500">
        <f>_xlfn.XLOOKUP(routes[[#This Row],[route]],routesUniv[route],routesUniv[inbound],"-")</f>
        <v/>
      </c>
      <c r="AJ159" s="1500">
        <f>_xlfn.XLOOKUP(routes[[#This Row],[route]],routesUniv[route],routesUniv[km],"-")</f>
        <v/>
      </c>
      <c r="AK159" s="1500">
        <f>COUNTIF(INPUT!BT$5:BT$1000,AG159)</f>
        <v/>
      </c>
      <c r="AL159" s="1505">
        <f>routes[[#This Row],[km]]*routes[[#This Row],[rpt]]/1000</f>
        <v/>
      </c>
      <c r="AM159" s="1481" t="inlineStr">
        <is>
          <t>.</t>
        </is>
      </c>
      <c r="AN159" s="1506" t="n"/>
      <c r="AO159" s="1500">
        <f>IF(AD159&lt;&gt;"",AD159,"-")</f>
        <v/>
      </c>
      <c r="AP159" s="1500">
        <f>_xlfn.XLOOKUP(cityRoutes[[#This Row],[city]],ccc[city],ccc[ctry],"-")</f>
        <v/>
      </c>
      <c r="AQ159" s="1500">
        <f>COUNTIF(INPUT!BR$5:BS$1000,AO159)</f>
        <v/>
      </c>
      <c r="AR159" s="1507">
        <f>(SUMIFS(routes[total],routes[outbound],AO159)+SUMIFS(routes[total],routes[inbound],AO159))/2</f>
        <v/>
      </c>
      <c r="AS159" s="1481" t="inlineStr">
        <is>
          <t>.</t>
        </is>
      </c>
      <c r="AT159" s="1491" t="n"/>
      <c r="AU159" s="1491" t="n"/>
      <c r="AV159" s="1491" t="n"/>
      <c r="AW159" s="1491" t="n"/>
      <c r="AX159" s="1491" t="n"/>
      <c r="AY159" s="1491" t="n"/>
      <c r="AZ159" s="1491" t="n"/>
      <c r="BA159" s="1491" t="n"/>
      <c r="BB159" s="1491" t="n"/>
      <c r="BC159" s="1491" t="n"/>
      <c r="BD159" s="1491" t="n"/>
      <c r="BE159" s="1491" t="n"/>
      <c r="BF159" s="1491" t="n"/>
      <c r="BG159" s="1491" t="n"/>
      <c r="BH159" s="1491" t="n"/>
      <c r="BI159" s="1491" t="n"/>
      <c r="BJ159" s="1491" t="n"/>
      <c r="BK159" s="1491" t="n"/>
      <c r="BL159" s="1491" t="n"/>
      <c r="BM159" s="1491" t="n"/>
      <c r="BN159" s="1491" t="n"/>
      <c r="BO159" s="1467" t="n"/>
      <c r="BP159" s="1514" t="n">
        <v>155</v>
      </c>
      <c r="BQ159" s="1513">
        <f>[1]Sheet1!C160</f>
        <v/>
      </c>
      <c r="BR159" s="1515">
        <f>[1]Sheet1!D160</f>
        <v/>
      </c>
      <c r="BS159" s="1513">
        <f>[1]Sheet1!E160</f>
        <v/>
      </c>
      <c r="BT159" s="1515">
        <f>[1]Sheet1!F160</f>
        <v/>
      </c>
      <c r="BU159" s="1516">
        <f>[1]Sheet1!G160</f>
        <v/>
      </c>
      <c r="BV159" s="1513">
        <f>[1]Sheet1!H160</f>
        <v/>
      </c>
      <c r="BW159" s="1467" t="n"/>
      <c r="BX159" s="1538" t="n"/>
      <c r="BY159" s="1506" t="n"/>
      <c r="BZ159" s="1537" t="n"/>
      <c r="CA159" s="1511">
        <f>[1]Sheet1!$M160</f>
        <v/>
      </c>
      <c r="CB159" s="1467" t="n"/>
      <c r="CC159" s="1467" t="n"/>
      <c r="CD159" s="1491" t="n"/>
      <c r="CE159" s="1491" t="n"/>
      <c r="CF159" s="1491" t="n"/>
      <c r="CG159" s="1491" t="n"/>
      <c r="CH159" s="1491" t="n"/>
      <c r="CI159" s="1491" t="n"/>
      <c r="CJ159" s="1491" t="n"/>
      <c r="CK159" s="1435" t="n"/>
      <c r="CL159" s="1521" t="n">
        <v>151</v>
      </c>
      <c r="CM159" s="1500" t="inlineStr">
        <is>
          <t>SSA-Lisbon</t>
        </is>
      </c>
      <c r="CN159" s="1500" t="inlineStr">
        <is>
          <t>SSA</t>
        </is>
      </c>
      <c r="CO159" s="1500" t="inlineStr">
        <is>
          <t>Lisbon</t>
        </is>
      </c>
      <c r="CP159" s="1514" t="n">
        <v>6500</v>
      </c>
      <c r="CQ159" s="1435" t="n"/>
      <c r="CR159" s="1491" t="n"/>
      <c r="CS159" s="1491" t="n"/>
      <c r="CT159" s="1491" t="n"/>
      <c r="CU159" s="1491" t="n"/>
      <c r="CV159" s="1491" t="n"/>
      <c r="CW159" s="1491" t="n"/>
      <c r="CX159" s="1491" t="n"/>
    </row>
    <row r="160">
      <c r="A160" s="1491" t="n"/>
      <c r="B160" s="1491" t="n"/>
      <c r="C160" s="1491" t="n"/>
      <c r="D160" s="1497">
        <f>IF(E160&lt;&gt;"",D159+1,D159)</f>
        <v/>
      </c>
      <c r="E160" s="1497" t="inlineStr">
        <is>
          <t>Cadiz</t>
        </is>
      </c>
      <c r="F160" s="1535" t="inlineStr">
        <is>
          <t>.</t>
        </is>
      </c>
      <c r="G160" s="1498">
        <f>IF(H160="AIR",0,IF(H159="AIR",G158+1,IF(H160&lt;&gt;"",G159+1,G159)))</f>
        <v/>
      </c>
      <c r="H160" s="1498" t="inlineStr">
        <is>
          <t>Boipeba</t>
        </is>
      </c>
      <c r="I160" s="1427" t="inlineStr">
        <is>
          <t>.</t>
        </is>
      </c>
      <c r="J160" s="1499" t="n">
        <v>155</v>
      </c>
      <c r="K160" s="1500">
        <f>_xlfn.XLOOKUP(cities[[#This Row],[id]],$D$5:$D$1500,E$5:E$1500,"-")</f>
        <v/>
      </c>
      <c r="L160" s="1500">
        <f>_xlfn.XLOOKUP(cities[[#This Row],[city]],ccc[city],ccc[ctry],"-")</f>
        <v/>
      </c>
      <c r="M160" s="1500">
        <f>SUMIFS(stayCity[stay],stayCity[city],cities[[#This Row],[city]])</f>
        <v/>
      </c>
      <c r="N160" s="1427">
        <f>N159+1</f>
        <v/>
      </c>
      <c r="O160" s="1500" t="n"/>
      <c r="P160" s="1500" t="n"/>
      <c r="Q160" s="1427" t="inlineStr">
        <is>
          <t>.</t>
        </is>
      </c>
      <c r="R160" s="1491" t="n"/>
      <c r="S160" s="1491" t="n"/>
      <c r="T160" s="1491" t="n"/>
      <c r="U160" s="1491" t="n"/>
      <c r="V160" s="1491" t="n"/>
      <c r="W160" s="1491" t="n"/>
      <c r="X160" s="1491" t="n"/>
      <c r="Y160" s="1491" t="n"/>
      <c r="Z160" s="1427" t="inlineStr">
        <is>
          <t>.</t>
        </is>
      </c>
      <c r="AA160" s="1473">
        <f>IF(AB160&lt;&gt;"",AA159+1,AA159)</f>
        <v/>
      </c>
      <c r="AB160" s="1534" t="inlineStr">
        <is>
          <t>Montreal-Philadelphia</t>
        </is>
      </c>
      <c r="AC160" s="1473">
        <f>IF(AD160&lt;&gt;"",AC159+1,AC159)</f>
        <v/>
      </c>
      <c r="AD160" s="1534" t="n"/>
      <c r="AE160" s="1427" t="inlineStr">
        <is>
          <t>.</t>
        </is>
      </c>
      <c r="AF160" s="1502" t="n">
        <v>156</v>
      </c>
      <c r="AG160" s="1500">
        <f>_xlfn.XLOOKUP(routes[[#This Row],[id]],$AA$5:$AA$300,$AB$5:$AB$300,"-")</f>
        <v/>
      </c>
      <c r="AH160" s="1500">
        <f>_xlfn.XLOOKUP(routes[[#This Row],[route]],routesUniv[route],routesUniv[outbound],"-")</f>
        <v/>
      </c>
      <c r="AI160" s="1500">
        <f>_xlfn.XLOOKUP(routes[[#This Row],[route]],routesUniv[route],routesUniv[inbound],"-")</f>
        <v/>
      </c>
      <c r="AJ160" s="1500">
        <f>_xlfn.XLOOKUP(routes[[#This Row],[route]],routesUniv[route],routesUniv[km],"-")</f>
        <v/>
      </c>
      <c r="AK160" s="1500">
        <f>COUNTIF(INPUT!BT$5:BT$1000,AG160)</f>
        <v/>
      </c>
      <c r="AL160" s="1505">
        <f>routes[[#This Row],[km]]*routes[[#This Row],[rpt]]/1000</f>
        <v/>
      </c>
      <c r="AM160" s="1481" t="inlineStr">
        <is>
          <t>.</t>
        </is>
      </c>
      <c r="AN160" s="1506" t="n"/>
      <c r="AO160" s="1500">
        <f>IF(AD160&lt;&gt;"",AD160,"-")</f>
        <v/>
      </c>
      <c r="AP160" s="1500">
        <f>_xlfn.XLOOKUP(cityRoutes[[#This Row],[city]],ccc[city],ccc[ctry],"-")</f>
        <v/>
      </c>
      <c r="AQ160" s="1500">
        <f>COUNTIF(INPUT!BR$5:BS$1000,AO160)</f>
        <v/>
      </c>
      <c r="AR160" s="1507">
        <f>(SUMIFS(routes[total],routes[outbound],AO160)+SUMIFS(routes[total],routes[inbound],AO160))/2</f>
        <v/>
      </c>
      <c r="AS160" s="1481" t="inlineStr">
        <is>
          <t>.</t>
        </is>
      </c>
      <c r="AT160" s="1491" t="n"/>
      <c r="AU160" s="1491" t="n"/>
      <c r="AV160" s="1491" t="n"/>
      <c r="AW160" s="1491" t="n"/>
      <c r="AX160" s="1491" t="n"/>
      <c r="AY160" s="1491" t="n"/>
      <c r="AZ160" s="1491" t="n"/>
      <c r="BA160" s="1491" t="n"/>
      <c r="BB160" s="1491" t="n"/>
      <c r="BC160" s="1491" t="n"/>
      <c r="BD160" s="1491" t="n"/>
      <c r="BE160" s="1491" t="n"/>
      <c r="BF160" s="1491" t="n"/>
      <c r="BG160" s="1491" t="n"/>
      <c r="BH160" s="1491" t="n"/>
      <c r="BI160" s="1491" t="n"/>
      <c r="BJ160" s="1491" t="n"/>
      <c r="BK160" s="1491" t="n"/>
      <c r="BL160" s="1491" t="n"/>
      <c r="BM160" s="1491" t="n"/>
      <c r="BN160" s="1491" t="n"/>
      <c r="BO160" s="1467" t="n"/>
      <c r="BP160" s="1514" t="n">
        <v>156</v>
      </c>
      <c r="BQ160" s="1513">
        <f>[1]Sheet1!C161</f>
        <v/>
      </c>
      <c r="BR160" s="1515">
        <f>[1]Sheet1!D161</f>
        <v/>
      </c>
      <c r="BS160" s="1513">
        <f>[1]Sheet1!E161</f>
        <v/>
      </c>
      <c r="BT160" s="1515">
        <f>[1]Sheet1!F161</f>
        <v/>
      </c>
      <c r="BU160" s="1516">
        <f>[1]Sheet1!G161</f>
        <v/>
      </c>
      <c r="BV160" s="1513">
        <f>[1]Sheet1!H161</f>
        <v/>
      </c>
      <c r="BW160" s="1467" t="n"/>
      <c r="BX160" s="1538" t="n"/>
      <c r="BY160" s="1506" t="n"/>
      <c r="BZ160" s="1537" t="n"/>
      <c r="CA160" s="1511">
        <f>[1]Sheet1!$M161</f>
        <v/>
      </c>
      <c r="CB160" s="1467" t="n"/>
      <c r="CC160" s="1467" t="n"/>
      <c r="CD160" s="1491" t="n"/>
      <c r="CE160" s="1491" t="n"/>
      <c r="CF160" s="1491" t="n"/>
      <c r="CG160" s="1491" t="n"/>
      <c r="CH160" s="1491" t="n"/>
      <c r="CI160" s="1491" t="n"/>
      <c r="CJ160" s="1491" t="n"/>
      <c r="CK160" s="1435" t="n"/>
      <c r="CL160" s="1521" t="n">
        <v>152</v>
      </c>
      <c r="CM160" s="1513" t="inlineStr">
        <is>
          <t>SSA-Madrid</t>
        </is>
      </c>
      <c r="CN160" s="1513" t="inlineStr">
        <is>
          <t>SSA</t>
        </is>
      </c>
      <c r="CO160" s="1513" t="inlineStr">
        <is>
          <t>Madrid</t>
        </is>
      </c>
      <c r="CP160" s="1514" t="n">
        <v>6900</v>
      </c>
      <c r="CQ160" s="1435" t="n"/>
      <c r="CR160" s="1491" t="n"/>
      <c r="CS160" s="1491" t="n"/>
      <c r="CT160" s="1491" t="n"/>
      <c r="CU160" s="1491" t="n"/>
      <c r="CV160" s="1491" t="n"/>
      <c r="CW160" s="1491" t="n"/>
      <c r="CX160" s="1491" t="n"/>
    </row>
    <row r="161">
      <c r="A161" s="1491" t="n"/>
      <c r="B161" s="1491" t="n"/>
      <c r="C161" s="1491" t="n"/>
      <c r="D161" s="1497">
        <f>IF(E161&lt;&gt;"",D160+1,D160)</f>
        <v/>
      </c>
      <c r="E161" s="1497" t="inlineStr">
        <is>
          <t>Belo Claudio</t>
        </is>
      </c>
      <c r="F161" s="1535" t="inlineStr">
        <is>
          <t>.</t>
        </is>
      </c>
      <c r="G161" s="1498">
        <f>IF(H161="AIR",0,IF(H160="AIR",G159+1,IF(H161&lt;&gt;"",G160+1,G160)))</f>
        <v/>
      </c>
      <c r="H161" s="1498" t="inlineStr">
        <is>
          <t>Evora</t>
        </is>
      </c>
      <c r="I161" s="1427" t="inlineStr">
        <is>
          <t>.</t>
        </is>
      </c>
      <c r="J161" s="1499" t="n">
        <v>156</v>
      </c>
      <c r="K161" s="1500">
        <f>_xlfn.XLOOKUP(cities[[#This Row],[id]],$D$5:$D$1500,E$5:E$1500,"-")</f>
        <v/>
      </c>
      <c r="L161" s="1500">
        <f>_xlfn.XLOOKUP(cities[[#This Row],[city]],ccc[city],ccc[ctry],"-")</f>
        <v/>
      </c>
      <c r="M161" s="1500">
        <f>SUMIFS(stayCity[stay],stayCity[city],cities[[#This Row],[city]])</f>
        <v/>
      </c>
      <c r="N161" s="1427">
        <f>N160+1</f>
        <v/>
      </c>
      <c r="O161" s="1500" t="n"/>
      <c r="P161" s="1500" t="n"/>
      <c r="Q161" s="1427" t="inlineStr">
        <is>
          <t>.</t>
        </is>
      </c>
      <c r="R161" s="1491" t="n"/>
      <c r="S161" s="1491" t="n"/>
      <c r="T161" s="1491" t="n"/>
      <c r="U161" s="1491" t="n"/>
      <c r="V161" s="1491" t="n"/>
      <c r="W161" s="1491" t="n"/>
      <c r="X161" s="1491" t="n"/>
      <c r="Y161" s="1491" t="n"/>
      <c r="Z161" s="1427" t="inlineStr">
        <is>
          <t>.</t>
        </is>
      </c>
      <c r="AA161" s="1473">
        <f>IF(AB161&lt;&gt;"",AA160+1,AA160)</f>
        <v/>
      </c>
      <c r="AB161" s="1534" t="inlineStr">
        <is>
          <t>Philadelphia-Miami</t>
        </is>
      </c>
      <c r="AC161" s="1473">
        <f>IF(AD161&lt;&gt;"",AC160+1,AC160)</f>
        <v/>
      </c>
      <c r="AD161" s="1534" t="n"/>
      <c r="AE161" s="1427" t="inlineStr">
        <is>
          <t>.</t>
        </is>
      </c>
      <c r="AF161" s="1502" t="n">
        <v>157</v>
      </c>
      <c r="AG161" s="1500">
        <f>_xlfn.XLOOKUP(routes[[#This Row],[id]],$AA$5:$AA$300,$AB$5:$AB$300,"-")</f>
        <v/>
      </c>
      <c r="AH161" s="1500">
        <f>_xlfn.XLOOKUP(routes[[#This Row],[route]],routesUniv[route],routesUniv[outbound],"-")</f>
        <v/>
      </c>
      <c r="AI161" s="1500">
        <f>_xlfn.XLOOKUP(routes[[#This Row],[route]],routesUniv[route],routesUniv[inbound],"-")</f>
        <v/>
      </c>
      <c r="AJ161" s="1500">
        <f>_xlfn.XLOOKUP(routes[[#This Row],[route]],routesUniv[route],routesUniv[km],"-")</f>
        <v/>
      </c>
      <c r="AK161" s="1500">
        <f>COUNTIF(INPUT!BT$5:BT$1000,AG161)</f>
        <v/>
      </c>
      <c r="AL161" s="1505">
        <f>routes[[#This Row],[km]]*routes[[#This Row],[rpt]]/1000</f>
        <v/>
      </c>
      <c r="AM161" s="1481" t="inlineStr">
        <is>
          <t>.</t>
        </is>
      </c>
      <c r="AN161" s="1506" t="n"/>
      <c r="AO161" s="1500">
        <f>IF(AD161&lt;&gt;"",AD161,"-")</f>
        <v/>
      </c>
      <c r="AP161" s="1500">
        <f>_xlfn.XLOOKUP(cityRoutes[[#This Row],[city]],ccc[city],ccc[ctry],"-")</f>
        <v/>
      </c>
      <c r="AQ161" s="1500">
        <f>COUNTIF(INPUT!BR$5:BS$1000,AO161)</f>
        <v/>
      </c>
      <c r="AR161" s="1507">
        <f>(SUMIFS(routes[total],routes[outbound],AO161)+SUMIFS(routes[total],routes[inbound],AO161))/2</f>
        <v/>
      </c>
      <c r="AS161" s="1481" t="inlineStr">
        <is>
          <t>.</t>
        </is>
      </c>
      <c r="AT161" s="1491" t="n"/>
      <c r="AU161" s="1491" t="n"/>
      <c r="AV161" s="1491" t="n"/>
      <c r="AW161" s="1491" t="n"/>
      <c r="AX161" s="1491" t="n"/>
      <c r="AY161" s="1491" t="n"/>
      <c r="AZ161" s="1491" t="n"/>
      <c r="BA161" s="1491" t="n"/>
      <c r="BB161" s="1491" t="n"/>
      <c r="BC161" s="1491" t="n"/>
      <c r="BD161" s="1491" t="n"/>
      <c r="BE161" s="1491" t="n"/>
      <c r="BF161" s="1491" t="n"/>
      <c r="BG161" s="1491" t="n"/>
      <c r="BH161" s="1491" t="n"/>
      <c r="BI161" s="1491" t="n"/>
      <c r="BJ161" s="1491" t="n"/>
      <c r="BK161" s="1491" t="n"/>
      <c r="BL161" s="1491" t="n"/>
      <c r="BM161" s="1491" t="n"/>
      <c r="BN161" s="1491" t="n"/>
      <c r="BO161" s="1467" t="n"/>
      <c r="BP161" s="1514" t="n">
        <v>157</v>
      </c>
      <c r="BQ161" s="1513">
        <f>[1]Sheet1!C162</f>
        <v/>
      </c>
      <c r="BR161" s="1515">
        <f>[1]Sheet1!D162</f>
        <v/>
      </c>
      <c r="BS161" s="1513">
        <f>[1]Sheet1!E162</f>
        <v/>
      </c>
      <c r="BT161" s="1515">
        <f>[1]Sheet1!F162</f>
        <v/>
      </c>
      <c r="BU161" s="1516">
        <f>[1]Sheet1!G162</f>
        <v/>
      </c>
      <c r="BV161" s="1513">
        <f>[1]Sheet1!H162</f>
        <v/>
      </c>
      <c r="BW161" s="1467" t="n"/>
      <c r="BX161" s="1538" t="n"/>
      <c r="BY161" s="1506" t="n"/>
      <c r="BZ161" s="1537" t="n"/>
      <c r="CA161" s="1511">
        <f>[1]Sheet1!$M162</f>
        <v/>
      </c>
      <c r="CB161" s="1467" t="n"/>
      <c r="CC161" s="1467" t="n"/>
      <c r="CD161" s="1491" t="n"/>
      <c r="CE161" s="1491" t="n"/>
      <c r="CF161" s="1491" t="n"/>
      <c r="CG161" s="1491" t="n"/>
      <c r="CH161" s="1491" t="n"/>
      <c r="CI161" s="1491" t="n"/>
      <c r="CJ161" s="1491" t="n"/>
      <c r="CK161" s="1435" t="n"/>
      <c r="CL161" s="1521" t="n">
        <v>153</v>
      </c>
      <c r="CM161" s="1513" t="inlineStr">
        <is>
          <t>SSA-Miami</t>
        </is>
      </c>
      <c r="CN161" s="1513" t="inlineStr">
        <is>
          <t>SSA</t>
        </is>
      </c>
      <c r="CO161" s="1513" t="inlineStr">
        <is>
          <t>Miami</t>
        </is>
      </c>
      <c r="CP161" s="1514" t="n">
        <v>6200</v>
      </c>
      <c r="CQ161" s="1435" t="n"/>
      <c r="CR161" s="1491" t="n"/>
      <c r="CS161" s="1491" t="n"/>
      <c r="CT161" s="1491" t="n"/>
      <c r="CU161" s="1491" t="n"/>
      <c r="CV161" s="1491" t="n"/>
      <c r="CW161" s="1491" t="n"/>
      <c r="CX161" s="1491" t="n"/>
    </row>
    <row r="162">
      <c r="A162" s="1491" t="n"/>
      <c r="B162" s="1491" t="n"/>
      <c r="C162" s="1491" t="n"/>
      <c r="D162" s="1497">
        <f>IF(E162&lt;&gt;"",D161+1,D161)</f>
        <v/>
      </c>
      <c r="E162" s="1497" t="inlineStr">
        <is>
          <t>Gibraltar</t>
        </is>
      </c>
      <c r="F162" s="1535" t="inlineStr">
        <is>
          <t>.</t>
        </is>
      </c>
      <c r="G162" s="1498">
        <f>IF(H162="AIR",0,IF(H161="AIR",G160+1,IF(H162&lt;&gt;"",G161+1,G161)))</f>
        <v/>
      </c>
      <c r="H162" s="1498" t="inlineStr">
        <is>
          <t>Sevilla</t>
        </is>
      </c>
      <c r="I162" s="1427" t="inlineStr">
        <is>
          <t>.</t>
        </is>
      </c>
      <c r="J162" s="1499" t="n">
        <v>157</v>
      </c>
      <c r="K162" s="1500">
        <f>_xlfn.XLOOKUP(cities[[#This Row],[id]],$D$5:$D$1500,E$5:E$1500,"-")</f>
        <v/>
      </c>
      <c r="L162" s="1500">
        <f>_xlfn.XLOOKUP(cities[[#This Row],[city]],ccc[city],ccc[ctry],"-")</f>
        <v/>
      </c>
      <c r="M162" s="1500">
        <f>SUMIFS(stayCity[stay],stayCity[city],cities[[#This Row],[city]])</f>
        <v/>
      </c>
      <c r="N162" s="1427">
        <f>N161+1</f>
        <v/>
      </c>
      <c r="O162" s="1500" t="n"/>
      <c r="P162" s="1500" t="n"/>
      <c r="Q162" s="1427" t="inlineStr">
        <is>
          <t>.</t>
        </is>
      </c>
      <c r="R162" s="1491" t="n"/>
      <c r="S162" s="1491" t="n"/>
      <c r="T162" s="1491" t="n"/>
      <c r="U162" s="1491" t="n"/>
      <c r="V162" s="1491" t="n"/>
      <c r="W162" s="1491" t="n"/>
      <c r="X162" s="1491" t="n"/>
      <c r="Y162" s="1491" t="n"/>
      <c r="Z162" s="1427" t="inlineStr">
        <is>
          <t>.</t>
        </is>
      </c>
      <c r="AA162" s="1473">
        <f>IF(AB162&lt;&gt;"",AA161+1,AA161)</f>
        <v/>
      </c>
      <c r="AB162" s="1534" t="inlineStr">
        <is>
          <t>Lisbon-Paris</t>
        </is>
      </c>
      <c r="AC162" s="1473">
        <f>IF(AD162&lt;&gt;"",AC161+1,AC161)</f>
        <v/>
      </c>
      <c r="AD162" s="1534" t="n"/>
      <c r="AE162" s="1427" t="inlineStr">
        <is>
          <t>.</t>
        </is>
      </c>
      <c r="AF162" s="1502" t="n">
        <v>158</v>
      </c>
      <c r="AG162" s="1500">
        <f>_xlfn.XLOOKUP(routes[[#This Row],[id]],$AA$5:$AA$300,$AB$5:$AB$300,"-")</f>
        <v/>
      </c>
      <c r="AH162" s="1500">
        <f>_xlfn.XLOOKUP(routes[[#This Row],[route]],routesUniv[route],routesUniv[outbound],"-")</f>
        <v/>
      </c>
      <c r="AI162" s="1500">
        <f>_xlfn.XLOOKUP(routes[[#This Row],[route]],routesUniv[route],routesUniv[inbound],"-")</f>
        <v/>
      </c>
      <c r="AJ162" s="1500">
        <f>_xlfn.XLOOKUP(routes[[#This Row],[route]],routesUniv[route],routesUniv[km],"-")</f>
        <v/>
      </c>
      <c r="AK162" s="1500">
        <f>COUNTIF(INPUT!BT$5:BT$1000,AG162)</f>
        <v/>
      </c>
      <c r="AL162" s="1505">
        <f>routes[[#This Row],[km]]*routes[[#This Row],[rpt]]/1000</f>
        <v/>
      </c>
      <c r="AM162" s="1481" t="inlineStr">
        <is>
          <t>.</t>
        </is>
      </c>
      <c r="AN162" s="1506" t="n"/>
      <c r="AO162" s="1500">
        <f>IF(AD162&lt;&gt;"",AD162,"-")</f>
        <v/>
      </c>
      <c r="AP162" s="1500">
        <f>_xlfn.XLOOKUP(cityRoutes[[#This Row],[city]],ccc[city],ccc[ctry],"-")</f>
        <v/>
      </c>
      <c r="AQ162" s="1500">
        <f>COUNTIF(INPUT!BR$5:BS$1000,AO162)</f>
        <v/>
      </c>
      <c r="AR162" s="1507">
        <f>(SUMIFS(routes[total],routes[outbound],AO162)+SUMIFS(routes[total],routes[inbound],AO162))/2</f>
        <v/>
      </c>
      <c r="AS162" s="1481" t="inlineStr">
        <is>
          <t>.</t>
        </is>
      </c>
      <c r="AT162" s="1491" t="n"/>
      <c r="AU162" s="1491" t="n"/>
      <c r="AV162" s="1491" t="n"/>
      <c r="AW162" s="1491" t="n"/>
      <c r="AX162" s="1491" t="n"/>
      <c r="AY162" s="1491" t="n"/>
      <c r="AZ162" s="1491" t="n"/>
      <c r="BA162" s="1491" t="n"/>
      <c r="BB162" s="1491" t="n"/>
      <c r="BC162" s="1491" t="n"/>
      <c r="BD162" s="1491" t="n"/>
      <c r="BE162" s="1491" t="n"/>
      <c r="BF162" s="1491" t="n"/>
      <c r="BG162" s="1491" t="n"/>
      <c r="BH162" s="1491" t="n"/>
      <c r="BI162" s="1491" t="n"/>
      <c r="BJ162" s="1491" t="n"/>
      <c r="BK162" s="1491" t="n"/>
      <c r="BL162" s="1491" t="n"/>
      <c r="BM162" s="1491" t="n"/>
      <c r="BN162" s="1491" t="n"/>
      <c r="BO162" s="1467" t="n"/>
      <c r="BP162" s="1514" t="n">
        <v>158</v>
      </c>
      <c r="BQ162" s="1513">
        <f>[1]Sheet1!C163</f>
        <v/>
      </c>
      <c r="BR162" s="1515">
        <f>[1]Sheet1!D163</f>
        <v/>
      </c>
      <c r="BS162" s="1513">
        <f>[1]Sheet1!E163</f>
        <v/>
      </c>
      <c r="BT162" s="1515">
        <f>[1]Sheet1!F163</f>
        <v/>
      </c>
      <c r="BU162" s="1516">
        <f>[1]Sheet1!G163</f>
        <v/>
      </c>
      <c r="BV162" s="1513">
        <f>[1]Sheet1!H163</f>
        <v/>
      </c>
      <c r="BW162" s="1467" t="n"/>
      <c r="BX162" s="1538" t="n"/>
      <c r="BY162" s="1506" t="n"/>
      <c r="BZ162" s="1537" t="n"/>
      <c r="CA162" s="1511">
        <f>[1]Sheet1!$M163</f>
        <v/>
      </c>
      <c r="CB162" s="1467" t="n"/>
      <c r="CC162" s="1467" t="n"/>
      <c r="CD162" s="1491" t="n"/>
      <c r="CE162" s="1491" t="n"/>
      <c r="CF162" s="1491" t="n"/>
      <c r="CG162" s="1491" t="n"/>
      <c r="CH162" s="1491" t="n"/>
      <c r="CI162" s="1491" t="n"/>
      <c r="CJ162" s="1491" t="n"/>
      <c r="CK162" s="1435" t="n"/>
      <c r="CL162" s="1521" t="n">
        <v>154</v>
      </c>
      <c r="CM162" s="1513" t="inlineStr">
        <is>
          <t>SSA-Natal</t>
        </is>
      </c>
      <c r="CN162" s="1513" t="inlineStr">
        <is>
          <t>SSA</t>
        </is>
      </c>
      <c r="CO162" s="1513" t="inlineStr">
        <is>
          <t>Natal</t>
        </is>
      </c>
      <c r="CP162" s="1514" t="n">
        <v>900</v>
      </c>
      <c r="CQ162" s="1435" t="n"/>
      <c r="CR162" s="1491" t="n"/>
      <c r="CS162" s="1491" t="n"/>
      <c r="CT162" s="1491" t="n"/>
      <c r="CU162" s="1491" t="n"/>
      <c r="CV162" s="1491" t="n"/>
      <c r="CW162" s="1491" t="n"/>
      <c r="CX162" s="1491" t="n"/>
    </row>
    <row r="163">
      <c r="A163" s="1491" t="n"/>
      <c r="B163" s="1491" t="n"/>
      <c r="C163" s="1491" t="n"/>
      <c r="D163" s="1497">
        <f>IF(E163&lt;&gt;"",D162+1,D162)</f>
        <v/>
      </c>
      <c r="E163" s="1497" t="inlineStr">
        <is>
          <t>Tangier</t>
        </is>
      </c>
      <c r="F163" s="1535" t="inlineStr">
        <is>
          <t>.</t>
        </is>
      </c>
      <c r="G163" s="1498">
        <f>IF(H163="AIR",0,IF(H162="AIR",G161+1,IF(H163&lt;&gt;"",G162+1,G162)))</f>
        <v/>
      </c>
      <c r="H163" s="1498" t="inlineStr">
        <is>
          <t>Cadiz</t>
        </is>
      </c>
      <c r="I163" s="1427" t="inlineStr">
        <is>
          <t>.</t>
        </is>
      </c>
      <c r="J163" s="1499" t="n">
        <v>158</v>
      </c>
      <c r="K163" s="1500">
        <f>_xlfn.XLOOKUP(cities[[#This Row],[id]],$D$5:$D$1500,E$5:E$1500,"-")</f>
        <v/>
      </c>
      <c r="L163" s="1500">
        <f>_xlfn.XLOOKUP(cities[[#This Row],[city]],ccc[city],ccc[ctry],"-")</f>
        <v/>
      </c>
      <c r="M163" s="1500">
        <f>SUMIFS(stayCity[stay],stayCity[city],cities[[#This Row],[city]])</f>
        <v/>
      </c>
      <c r="N163" s="1427">
        <f>N162+1</f>
        <v/>
      </c>
      <c r="O163" s="1500" t="n"/>
      <c r="P163" s="1500" t="n"/>
      <c r="Q163" s="1427" t="inlineStr">
        <is>
          <t>.</t>
        </is>
      </c>
      <c r="R163" s="1491" t="n"/>
      <c r="S163" s="1491" t="n"/>
      <c r="T163" s="1491" t="n"/>
      <c r="U163" s="1491" t="n"/>
      <c r="V163" s="1491" t="n"/>
      <c r="W163" s="1491" t="n"/>
      <c r="X163" s="1491" t="n"/>
      <c r="Y163" s="1491" t="n"/>
      <c r="Z163" s="1427" t="inlineStr">
        <is>
          <t>.</t>
        </is>
      </c>
      <c r="AA163" s="1473">
        <f>IF(AB163&lt;&gt;"",AA162+1,AA162)</f>
        <v/>
      </c>
      <c r="AB163" s="1534" t="inlineStr">
        <is>
          <t>Paris-Lisbon</t>
        </is>
      </c>
      <c r="AC163" s="1473">
        <f>IF(AD163&lt;&gt;"",AC162+1,AC162)</f>
        <v/>
      </c>
      <c r="AD163" s="1534" t="n"/>
      <c r="AE163" s="1427" t="inlineStr">
        <is>
          <t>.</t>
        </is>
      </c>
      <c r="AF163" s="1502" t="n">
        <v>159</v>
      </c>
      <c r="AG163" s="1500">
        <f>_xlfn.XLOOKUP(routes[[#This Row],[id]],$AA$5:$AA$300,$AB$5:$AB$300,"-")</f>
        <v/>
      </c>
      <c r="AH163" s="1500">
        <f>_xlfn.XLOOKUP(routes[[#This Row],[route]],routesUniv[route],routesUniv[outbound],"-")</f>
        <v/>
      </c>
      <c r="AI163" s="1500">
        <f>_xlfn.XLOOKUP(routes[[#This Row],[route]],routesUniv[route],routesUniv[inbound],"-")</f>
        <v/>
      </c>
      <c r="AJ163" s="1500">
        <f>_xlfn.XLOOKUP(routes[[#This Row],[route]],routesUniv[route],routesUniv[km],"-")</f>
        <v/>
      </c>
      <c r="AK163" s="1500">
        <f>COUNTIF(INPUT!BT$5:BT$1000,AG163)</f>
        <v/>
      </c>
      <c r="AL163" s="1505">
        <f>routes[[#This Row],[km]]*routes[[#This Row],[rpt]]/1000</f>
        <v/>
      </c>
      <c r="AM163" s="1481" t="inlineStr">
        <is>
          <t>.</t>
        </is>
      </c>
      <c r="AN163" s="1506" t="n"/>
      <c r="AO163" s="1500">
        <f>IF(AD163&lt;&gt;"",AD163,"-")</f>
        <v/>
      </c>
      <c r="AP163" s="1500">
        <f>_xlfn.XLOOKUP(cityRoutes[[#This Row],[city]],ccc[city],ccc[ctry],"-")</f>
        <v/>
      </c>
      <c r="AQ163" s="1500">
        <f>COUNTIF(INPUT!BR$5:BS$1000,AO163)</f>
        <v/>
      </c>
      <c r="AR163" s="1507">
        <f>(SUMIFS(routes[total],routes[outbound],AO163)+SUMIFS(routes[total],routes[inbound],AO163))/2</f>
        <v/>
      </c>
      <c r="AS163" s="1481" t="inlineStr">
        <is>
          <t>.</t>
        </is>
      </c>
      <c r="AT163" s="1491" t="n"/>
      <c r="AU163" s="1491" t="n"/>
      <c r="AV163" s="1491" t="n"/>
      <c r="AW163" s="1491" t="n"/>
      <c r="AX163" s="1491" t="n"/>
      <c r="AY163" s="1491" t="n"/>
      <c r="AZ163" s="1491" t="n"/>
      <c r="BA163" s="1491" t="n"/>
      <c r="BB163" s="1491" t="n"/>
      <c r="BC163" s="1491" t="n"/>
      <c r="BD163" s="1491" t="n"/>
      <c r="BE163" s="1491" t="n"/>
      <c r="BF163" s="1491" t="n"/>
      <c r="BG163" s="1491" t="n"/>
      <c r="BH163" s="1491" t="n"/>
      <c r="BI163" s="1491" t="n"/>
      <c r="BJ163" s="1491" t="n"/>
      <c r="BK163" s="1491" t="n"/>
      <c r="BL163" s="1491" t="n"/>
      <c r="BM163" s="1491" t="n"/>
      <c r="BN163" s="1491" t="n"/>
      <c r="BO163" s="1467" t="n"/>
      <c r="BP163" s="1514" t="n">
        <v>159</v>
      </c>
      <c r="BQ163" s="1513">
        <f>[1]Sheet1!C164</f>
        <v/>
      </c>
      <c r="BR163" s="1515">
        <f>[1]Sheet1!D164</f>
        <v/>
      </c>
      <c r="BS163" s="1513">
        <f>[1]Sheet1!E164</f>
        <v/>
      </c>
      <c r="BT163" s="1515">
        <f>[1]Sheet1!F164</f>
        <v/>
      </c>
      <c r="BU163" s="1516">
        <f>[1]Sheet1!G164</f>
        <v/>
      </c>
      <c r="BV163" s="1513">
        <f>[1]Sheet1!H164</f>
        <v/>
      </c>
      <c r="BW163" s="1467" t="n"/>
      <c r="BX163" s="1538" t="n"/>
      <c r="BY163" s="1506" t="n"/>
      <c r="BZ163" s="1537" t="n"/>
      <c r="CA163" s="1511">
        <f>[1]Sheet1!$M164</f>
        <v/>
      </c>
      <c r="CB163" s="1467" t="n"/>
      <c r="CC163" s="1467" t="n"/>
      <c r="CD163" s="1491" t="n"/>
      <c r="CE163" s="1491" t="n"/>
      <c r="CF163" s="1491" t="n"/>
      <c r="CG163" s="1491" t="n"/>
      <c r="CH163" s="1491" t="n"/>
      <c r="CI163" s="1491" t="n"/>
      <c r="CJ163" s="1491" t="n"/>
      <c r="CK163" s="1435" t="n"/>
      <c r="CL163" s="1521" t="n">
        <v>155</v>
      </c>
      <c r="CM163" s="1513" t="inlineStr">
        <is>
          <t>SSA-Panama</t>
        </is>
      </c>
      <c r="CN163" s="1513" t="inlineStr">
        <is>
          <t>SSA</t>
        </is>
      </c>
      <c r="CO163" s="1513" t="inlineStr">
        <is>
          <t>Panama</t>
        </is>
      </c>
      <c r="CP163" s="1514" t="n">
        <v>5100</v>
      </c>
      <c r="CQ163" s="1435" t="n"/>
      <c r="CR163" s="1491" t="n"/>
      <c r="CS163" s="1491" t="n"/>
      <c r="CT163" s="1491" t="n"/>
      <c r="CU163" s="1491" t="n"/>
      <c r="CV163" s="1491" t="n"/>
      <c r="CW163" s="1491" t="n"/>
      <c r="CX163" s="1491" t="n"/>
    </row>
    <row r="164">
      <c r="A164" s="1491" t="n"/>
      <c r="B164" s="1491" t="n"/>
      <c r="C164" s="1491" t="n"/>
      <c r="D164" s="1497">
        <f>IF(E164&lt;&gt;"",D163+1,D163)</f>
        <v/>
      </c>
      <c r="E164" s="1497" t="inlineStr">
        <is>
          <t>Algineres</t>
        </is>
      </c>
      <c r="F164" s="1535" t="inlineStr">
        <is>
          <t>.</t>
        </is>
      </c>
      <c r="G164" s="1498">
        <f>IF(H164="AIR",0,IF(H163="AIR",G162+1,IF(H164&lt;&gt;"",G163+1,G163)))</f>
        <v/>
      </c>
      <c r="H164" s="1498" t="inlineStr">
        <is>
          <t>Belo Claudio</t>
        </is>
      </c>
      <c r="I164" s="1427" t="inlineStr">
        <is>
          <t>.</t>
        </is>
      </c>
      <c r="J164" s="1499" t="n">
        <v>159</v>
      </c>
      <c r="K164" s="1500">
        <f>_xlfn.XLOOKUP(cities[[#This Row],[id]],$D$5:$D$1500,E$5:E$1500,"-")</f>
        <v/>
      </c>
      <c r="L164" s="1500">
        <f>_xlfn.XLOOKUP(cities[[#This Row],[city]],ccc[city],ccc[ctry],"-")</f>
        <v/>
      </c>
      <c r="M164" s="1500">
        <f>SUMIFS(stayCity[stay],stayCity[city],cities[[#This Row],[city]])</f>
        <v/>
      </c>
      <c r="N164" s="1427">
        <f>N163+1</f>
        <v/>
      </c>
      <c r="O164" s="1500" t="n"/>
      <c r="P164" s="1500" t="n"/>
      <c r="Q164" s="1427" t="inlineStr">
        <is>
          <t>.</t>
        </is>
      </c>
      <c r="R164" s="1491" t="n"/>
      <c r="S164" s="1491" t="n"/>
      <c r="T164" s="1491" t="n"/>
      <c r="U164" s="1491" t="n"/>
      <c r="V164" s="1491" t="n"/>
      <c r="W164" s="1491" t="n"/>
      <c r="X164" s="1491" t="n"/>
      <c r="Y164" s="1491" t="n"/>
      <c r="Z164" s="1427" t="inlineStr">
        <is>
          <t>.</t>
        </is>
      </c>
      <c r="AA164" s="1473">
        <f>IF(AB164&lt;&gt;"",AA163+1,AA163)</f>
        <v/>
      </c>
      <c r="AB164" s="1534" t="inlineStr">
        <is>
          <t>SP-Atlanta</t>
        </is>
      </c>
      <c r="AC164" s="1473">
        <f>IF(AD164&lt;&gt;"",AC163+1,AC163)</f>
        <v/>
      </c>
      <c r="AD164" s="1534" t="n"/>
      <c r="AE164" s="1427" t="inlineStr">
        <is>
          <t>.</t>
        </is>
      </c>
      <c r="AF164" s="1502" t="n">
        <v>160</v>
      </c>
      <c r="AG164" s="1500">
        <f>_xlfn.XLOOKUP(routes[[#This Row],[id]],$AA$5:$AA$300,$AB$5:$AB$300,"-")</f>
        <v/>
      </c>
      <c r="AH164" s="1500">
        <f>_xlfn.XLOOKUP(routes[[#This Row],[route]],routesUniv[route],routesUniv[outbound],"-")</f>
        <v/>
      </c>
      <c r="AI164" s="1500">
        <f>_xlfn.XLOOKUP(routes[[#This Row],[route]],routesUniv[route],routesUniv[inbound],"-")</f>
        <v/>
      </c>
      <c r="AJ164" s="1500">
        <f>_xlfn.XLOOKUP(routes[[#This Row],[route]],routesUniv[route],routesUniv[km],"-")</f>
        <v/>
      </c>
      <c r="AK164" s="1500">
        <f>COUNTIF(INPUT!BT$5:BT$1000,AG164)</f>
        <v/>
      </c>
      <c r="AL164" s="1505">
        <f>routes[[#This Row],[km]]*routes[[#This Row],[rpt]]/1000</f>
        <v/>
      </c>
      <c r="AM164" s="1481" t="inlineStr">
        <is>
          <t>.</t>
        </is>
      </c>
      <c r="AN164" s="1506" t="n"/>
      <c r="AO164" s="1500">
        <f>IF(AD164&lt;&gt;"",AD164,"-")</f>
        <v/>
      </c>
      <c r="AP164" s="1500">
        <f>_xlfn.XLOOKUP(cityRoutes[[#This Row],[city]],ccc[city],ccc[ctry],"-")</f>
        <v/>
      </c>
      <c r="AQ164" s="1500">
        <f>COUNTIF(INPUT!BR$5:BS$1000,AO164)</f>
        <v/>
      </c>
      <c r="AR164" s="1507">
        <f>(SUMIFS(routes[total],routes[outbound],AO164)+SUMIFS(routes[total],routes[inbound],AO164))/2</f>
        <v/>
      </c>
      <c r="AS164" s="1481" t="inlineStr">
        <is>
          <t>.</t>
        </is>
      </c>
      <c r="AT164" s="1491" t="n"/>
      <c r="AU164" s="1491" t="n"/>
      <c r="AV164" s="1491" t="n"/>
      <c r="AW164" s="1491" t="n"/>
      <c r="AX164" s="1491" t="n"/>
      <c r="AY164" s="1491" t="n"/>
      <c r="AZ164" s="1491" t="n"/>
      <c r="BA164" s="1491" t="n"/>
      <c r="BB164" s="1491" t="n"/>
      <c r="BC164" s="1491" t="n"/>
      <c r="BD164" s="1491" t="n"/>
      <c r="BE164" s="1491" t="n"/>
      <c r="BF164" s="1491" t="n"/>
      <c r="BG164" s="1491" t="n"/>
      <c r="BH164" s="1491" t="n"/>
      <c r="BI164" s="1491" t="n"/>
      <c r="BJ164" s="1491" t="n"/>
      <c r="BK164" s="1491" t="n"/>
      <c r="BL164" s="1491" t="n"/>
      <c r="BM164" s="1491" t="n"/>
      <c r="BN164" s="1491" t="n"/>
      <c r="BO164" s="1467" t="n"/>
      <c r="BP164" s="1514" t="n">
        <v>160</v>
      </c>
      <c r="BQ164" s="1513">
        <f>[1]Sheet1!C165</f>
        <v/>
      </c>
      <c r="BR164" s="1515">
        <f>[1]Sheet1!D165</f>
        <v/>
      </c>
      <c r="BS164" s="1513">
        <f>[1]Sheet1!E165</f>
        <v/>
      </c>
      <c r="BT164" s="1515">
        <f>[1]Sheet1!F165</f>
        <v/>
      </c>
      <c r="BU164" s="1516">
        <f>[1]Sheet1!G165</f>
        <v/>
      </c>
      <c r="BV164" s="1513">
        <f>[1]Sheet1!H165</f>
        <v/>
      </c>
      <c r="BW164" s="1467" t="n"/>
      <c r="BX164" s="1538" t="n"/>
      <c r="BY164" s="1506" t="n"/>
      <c r="BZ164" s="1537" t="n"/>
      <c r="CA164" s="1511">
        <f>[1]Sheet1!$M165</f>
        <v/>
      </c>
      <c r="CB164" s="1467" t="n"/>
      <c r="CC164" s="1467" t="n"/>
      <c r="CD164" s="1491" t="n"/>
      <c r="CE164" s="1491" t="n"/>
      <c r="CF164" s="1491" t="n"/>
      <c r="CG164" s="1491" t="n"/>
      <c r="CH164" s="1491" t="n"/>
      <c r="CI164" s="1491" t="n"/>
      <c r="CJ164" s="1491" t="n"/>
      <c r="CK164" s="1435" t="n"/>
      <c r="CL164" s="1521" t="n">
        <v>156</v>
      </c>
      <c r="CM164" s="1500" t="inlineStr">
        <is>
          <t>SSA-Recife</t>
        </is>
      </c>
      <c r="CN164" s="1500" t="inlineStr">
        <is>
          <t>SSA</t>
        </is>
      </c>
      <c r="CO164" s="1500" t="inlineStr">
        <is>
          <t>Recife</t>
        </is>
      </c>
      <c r="CP164" s="1514" t="n">
        <v>700</v>
      </c>
      <c r="CQ164" s="1435" t="n"/>
      <c r="CR164" s="1491" t="n"/>
      <c r="CS164" s="1491" t="n"/>
      <c r="CT164" s="1491" t="n"/>
      <c r="CU164" s="1491" t="n"/>
      <c r="CV164" s="1491" t="n"/>
      <c r="CW164" s="1491" t="n"/>
      <c r="CX164" s="1491" t="n"/>
    </row>
    <row r="165">
      <c r="A165" s="1491" t="n"/>
      <c r="B165" s="1491" t="n"/>
      <c r="C165" s="1491" t="n"/>
      <c r="D165" s="1497">
        <f>IF(E165&lt;&gt;"",D164+1,D164)</f>
        <v/>
      </c>
      <c r="E165" s="1497" t="inlineStr">
        <is>
          <t>Malaga</t>
        </is>
      </c>
      <c r="F165" s="1535" t="inlineStr">
        <is>
          <t>.</t>
        </is>
      </c>
      <c r="G165" s="1498">
        <f>IF(H165="AIR",0,IF(H164="AIR",G163+1,IF(H165&lt;&gt;"",G164+1,G164)))</f>
        <v/>
      </c>
      <c r="H165" s="1498" t="inlineStr">
        <is>
          <t>Gibraltar</t>
        </is>
      </c>
      <c r="I165" s="1427" t="inlineStr">
        <is>
          <t>.</t>
        </is>
      </c>
      <c r="J165" s="1499" t="n">
        <v>160</v>
      </c>
      <c r="K165" s="1500">
        <f>_xlfn.XLOOKUP(cities[[#This Row],[id]],$D$5:$D$1500,E$5:E$1500,"-")</f>
        <v/>
      </c>
      <c r="L165" s="1500">
        <f>_xlfn.XLOOKUP(cities[[#This Row],[city]],ccc[city],ccc[ctry],"-")</f>
        <v/>
      </c>
      <c r="M165" s="1500">
        <f>SUMIFS(stayCity[stay],stayCity[city],cities[[#This Row],[city]])</f>
        <v/>
      </c>
      <c r="N165" s="1427">
        <f>N164+1</f>
        <v/>
      </c>
      <c r="O165" s="1500" t="n"/>
      <c r="P165" s="1500" t="n"/>
      <c r="Q165" s="1427" t="inlineStr">
        <is>
          <t>.</t>
        </is>
      </c>
      <c r="R165" s="1491" t="n"/>
      <c r="S165" s="1491" t="n"/>
      <c r="T165" s="1491" t="n"/>
      <c r="U165" s="1491" t="n"/>
      <c r="V165" s="1491" t="n"/>
      <c r="W165" s="1491" t="n"/>
      <c r="X165" s="1491" t="n"/>
      <c r="Y165" s="1491" t="n"/>
      <c r="Z165" s="1427" t="inlineStr">
        <is>
          <t>.</t>
        </is>
      </c>
      <c r="AA165" s="1473">
        <f>IF(AB165&lt;&gt;"",AA164+1,AA164)</f>
        <v/>
      </c>
      <c r="AB165" s="1534" t="inlineStr">
        <is>
          <t>BH-SSA</t>
        </is>
      </c>
      <c r="AC165" s="1473">
        <f>IF(AD165&lt;&gt;"",AC164+1,AC164)</f>
        <v/>
      </c>
      <c r="AD165" s="1534" t="n"/>
      <c r="AE165" s="1427" t="inlineStr">
        <is>
          <t>.</t>
        </is>
      </c>
      <c r="AF165" s="1502" t="n">
        <v>161</v>
      </c>
      <c r="AG165" s="1500">
        <f>_xlfn.XLOOKUP(routes[[#This Row],[id]],$AA$5:$AA$300,$AB$5:$AB$300,"-")</f>
        <v/>
      </c>
      <c r="AH165" s="1500">
        <f>_xlfn.XLOOKUP(routes[[#This Row],[route]],routesUniv[route],routesUniv[outbound],"-")</f>
        <v/>
      </c>
      <c r="AI165" s="1500">
        <f>_xlfn.XLOOKUP(routes[[#This Row],[route]],routesUniv[route],routesUniv[inbound],"-")</f>
        <v/>
      </c>
      <c r="AJ165" s="1500">
        <f>_xlfn.XLOOKUP(routes[[#This Row],[route]],routesUniv[route],routesUniv[km],"-")</f>
        <v/>
      </c>
      <c r="AK165" s="1500">
        <f>COUNTIF(INPUT!BT$5:BT$1000,AG165)</f>
        <v/>
      </c>
      <c r="AL165" s="1505">
        <f>routes[[#This Row],[km]]*routes[[#This Row],[rpt]]/1000</f>
        <v/>
      </c>
      <c r="AM165" s="1481" t="inlineStr">
        <is>
          <t>.</t>
        </is>
      </c>
      <c r="AN165" s="1506" t="n"/>
      <c r="AO165" s="1500">
        <f>IF(AD165&lt;&gt;"",AD165,"-")</f>
        <v/>
      </c>
      <c r="AP165" s="1500">
        <f>_xlfn.XLOOKUP(cityRoutes[[#This Row],[city]],ccc[city],ccc[ctry],"-")</f>
        <v/>
      </c>
      <c r="AQ165" s="1500">
        <f>COUNTIF(INPUT!BR$5:BS$1000,AO165)</f>
        <v/>
      </c>
      <c r="AR165" s="1507">
        <f>(SUMIFS(routes[total],routes[outbound],AO165)+SUMIFS(routes[total],routes[inbound],AO165))/2</f>
        <v/>
      </c>
      <c r="AS165" s="1481" t="inlineStr">
        <is>
          <t>.</t>
        </is>
      </c>
      <c r="AT165" s="1491" t="n"/>
      <c r="AU165" s="1491" t="n"/>
      <c r="AV165" s="1491" t="n"/>
      <c r="AW165" s="1491" t="n"/>
      <c r="AX165" s="1491" t="n"/>
      <c r="AY165" s="1491" t="n"/>
      <c r="AZ165" s="1491" t="n"/>
      <c r="BA165" s="1491" t="n"/>
      <c r="BB165" s="1491" t="n"/>
      <c r="BC165" s="1491" t="n"/>
      <c r="BD165" s="1491" t="n"/>
      <c r="BE165" s="1491" t="n"/>
      <c r="BF165" s="1491" t="n"/>
      <c r="BG165" s="1491" t="n"/>
      <c r="BH165" s="1491" t="n"/>
      <c r="BI165" s="1491" t="n"/>
      <c r="BJ165" s="1491" t="n"/>
      <c r="BK165" s="1491" t="n"/>
      <c r="BL165" s="1491" t="n"/>
      <c r="BM165" s="1491" t="n"/>
      <c r="BN165" s="1491" t="n"/>
      <c r="BO165" s="1467" t="n"/>
      <c r="BP165" s="1514" t="n">
        <v>161</v>
      </c>
      <c r="BQ165" s="1513">
        <f>[1]Sheet1!C166</f>
        <v/>
      </c>
      <c r="BR165" s="1515">
        <f>[1]Sheet1!D166</f>
        <v/>
      </c>
      <c r="BS165" s="1513">
        <f>[1]Sheet1!E166</f>
        <v/>
      </c>
      <c r="BT165" s="1515">
        <f>[1]Sheet1!F166</f>
        <v/>
      </c>
      <c r="BU165" s="1516">
        <f>[1]Sheet1!G166</f>
        <v/>
      </c>
      <c r="BV165" s="1513">
        <f>[1]Sheet1!H166</f>
        <v/>
      </c>
      <c r="BW165" s="1467" t="n"/>
      <c r="BX165" s="1538" t="n"/>
      <c r="BY165" s="1506" t="n"/>
      <c r="BZ165" s="1537" t="n"/>
      <c r="CA165" s="1511">
        <f>[1]Sheet1!$M166</f>
        <v/>
      </c>
      <c r="CB165" s="1467" t="n"/>
      <c r="CC165" s="1467" t="n"/>
      <c r="CD165" s="1491" t="n"/>
      <c r="CE165" s="1491" t="n"/>
      <c r="CF165" s="1491" t="n"/>
      <c r="CG165" s="1491" t="n"/>
      <c r="CH165" s="1491" t="n"/>
      <c r="CI165" s="1491" t="n"/>
      <c r="CJ165" s="1491" t="n"/>
      <c r="CK165" s="1435" t="n"/>
      <c r="CL165" s="1521" t="n">
        <v>157</v>
      </c>
      <c r="CM165" s="1500" t="inlineStr">
        <is>
          <t>SSA-Rio</t>
        </is>
      </c>
      <c r="CN165" s="1500" t="inlineStr">
        <is>
          <t>SSA</t>
        </is>
      </c>
      <c r="CO165" s="1500" t="inlineStr">
        <is>
          <t>Rio</t>
        </is>
      </c>
      <c r="CP165" s="1514" t="n">
        <v>1200</v>
      </c>
      <c r="CQ165" s="1435" t="n"/>
      <c r="CR165" s="1491" t="n"/>
      <c r="CS165" s="1491" t="n"/>
      <c r="CT165" s="1491" t="n"/>
      <c r="CU165" s="1491" t="n"/>
      <c r="CV165" s="1491" t="n"/>
      <c r="CW165" s="1491" t="n"/>
      <c r="CX165" s="1491" t="n"/>
    </row>
    <row r="166">
      <c r="A166" s="1491" t="n"/>
      <c r="B166" s="1491" t="n"/>
      <c r="C166" s="1491" t="n"/>
      <c r="D166" s="1497">
        <f>IF(E166&lt;&gt;"",D165+1,D165)</f>
        <v/>
      </c>
      <c r="E166" s="1497" t="inlineStr">
        <is>
          <t>Granada</t>
        </is>
      </c>
      <c r="F166" s="1535" t="inlineStr">
        <is>
          <t>.</t>
        </is>
      </c>
      <c r="G166" s="1498">
        <f>IF(H166="AIR",0,IF(H165="AIR",G164+1,IF(H166&lt;&gt;"",G165+1,G165)))</f>
        <v/>
      </c>
      <c r="H166" s="1498" t="inlineStr">
        <is>
          <t>Tangier</t>
        </is>
      </c>
      <c r="I166" s="1427" t="inlineStr">
        <is>
          <t>.</t>
        </is>
      </c>
      <c r="J166" s="1499" t="n">
        <v>161</v>
      </c>
      <c r="K166" s="1500">
        <f>_xlfn.XLOOKUP(cities[[#This Row],[id]],$D$5:$D$1500,E$5:E$1500,"-")</f>
        <v/>
      </c>
      <c r="L166" s="1500">
        <f>_xlfn.XLOOKUP(cities[[#This Row],[city]],ccc[city],ccc[ctry],"-")</f>
        <v/>
      </c>
      <c r="M166" s="1500">
        <f>SUMIFS(stayCity[stay],stayCity[city],cities[[#This Row],[city]])</f>
        <v/>
      </c>
      <c r="N166" s="1427">
        <f>N165+1</f>
        <v/>
      </c>
      <c r="O166" s="1500" t="n"/>
      <c r="P166" s="1500" t="n"/>
      <c r="Q166" s="1427" t="inlineStr">
        <is>
          <t>.</t>
        </is>
      </c>
      <c r="R166" s="1491" t="n"/>
      <c r="S166" s="1491" t="n"/>
      <c r="T166" s="1491" t="n"/>
      <c r="U166" s="1491" t="n"/>
      <c r="V166" s="1491" t="n"/>
      <c r="W166" s="1491" t="n"/>
      <c r="X166" s="1491" t="n"/>
      <c r="Y166" s="1491" t="n"/>
      <c r="Z166" s="1427" t="inlineStr">
        <is>
          <t>.</t>
        </is>
      </c>
      <c r="AA166" s="1473">
        <f>IF(AB166&lt;&gt;"",AA165+1,AA165)</f>
        <v/>
      </c>
      <c r="AB166" s="1534" t="inlineStr">
        <is>
          <t>SP-Washington</t>
        </is>
      </c>
      <c r="AC166" s="1473">
        <f>IF(AD166&lt;&gt;"",AC165+1,AC165)</f>
        <v/>
      </c>
      <c r="AD166" s="1534" t="n"/>
      <c r="AE166" s="1427" t="inlineStr">
        <is>
          <t>.</t>
        </is>
      </c>
      <c r="AF166" s="1502" t="n">
        <v>162</v>
      </c>
      <c r="AG166" s="1500">
        <f>_xlfn.XLOOKUP(routes[[#This Row],[id]],$AA$5:$AA$300,$AB$5:$AB$300,"-")</f>
        <v/>
      </c>
      <c r="AH166" s="1500">
        <f>_xlfn.XLOOKUP(routes[[#This Row],[route]],routesUniv[route],routesUniv[outbound],"-")</f>
        <v/>
      </c>
      <c r="AI166" s="1500">
        <f>_xlfn.XLOOKUP(routes[[#This Row],[route]],routesUniv[route],routesUniv[inbound],"-")</f>
        <v/>
      </c>
      <c r="AJ166" s="1500">
        <f>_xlfn.XLOOKUP(routes[[#This Row],[route]],routesUniv[route],routesUniv[km],"-")</f>
        <v/>
      </c>
      <c r="AK166" s="1500">
        <f>COUNTIF(INPUT!BT$5:BT$1000,AG166)</f>
        <v/>
      </c>
      <c r="AL166" s="1505">
        <f>routes[[#This Row],[km]]*routes[[#This Row],[rpt]]/1000</f>
        <v/>
      </c>
      <c r="AM166" s="1481" t="inlineStr">
        <is>
          <t>.</t>
        </is>
      </c>
      <c r="AN166" s="1506" t="n"/>
      <c r="AO166" s="1500">
        <f>IF(AD166&lt;&gt;"",AD166,"-")</f>
        <v/>
      </c>
      <c r="AP166" s="1500">
        <f>_xlfn.XLOOKUP(cityRoutes[[#This Row],[city]],ccc[city],ccc[ctry],"-")</f>
        <v/>
      </c>
      <c r="AQ166" s="1500">
        <f>COUNTIF(INPUT!BR$5:BS$1000,AO166)</f>
        <v/>
      </c>
      <c r="AR166" s="1507">
        <f>(SUMIFS(routes[total],routes[outbound],AO166)+SUMIFS(routes[total],routes[inbound],AO166))/2</f>
        <v/>
      </c>
      <c r="AS166" s="1481" t="inlineStr">
        <is>
          <t>.</t>
        </is>
      </c>
      <c r="AT166" s="1491" t="n"/>
      <c r="AU166" s="1491" t="n"/>
      <c r="AV166" s="1491" t="n"/>
      <c r="AW166" s="1491" t="n"/>
      <c r="AX166" s="1491" t="n"/>
      <c r="AY166" s="1491" t="n"/>
      <c r="AZ166" s="1491" t="n"/>
      <c r="BA166" s="1491" t="n"/>
      <c r="BB166" s="1491" t="n"/>
      <c r="BC166" s="1491" t="n"/>
      <c r="BD166" s="1491" t="n"/>
      <c r="BE166" s="1491" t="n"/>
      <c r="BF166" s="1491" t="n"/>
      <c r="BG166" s="1491" t="n"/>
      <c r="BH166" s="1491" t="n"/>
      <c r="BI166" s="1491" t="n"/>
      <c r="BJ166" s="1491" t="n"/>
      <c r="BK166" s="1491" t="n"/>
      <c r="BL166" s="1491" t="n"/>
      <c r="BM166" s="1491" t="n"/>
      <c r="BN166" s="1491" t="n"/>
      <c r="BO166" s="1467" t="n"/>
      <c r="BP166" s="1514" t="n">
        <v>162</v>
      </c>
      <c r="BQ166" s="1513">
        <f>[1]Sheet1!C167</f>
        <v/>
      </c>
      <c r="BR166" s="1515">
        <f>[1]Sheet1!D167</f>
        <v/>
      </c>
      <c r="BS166" s="1513">
        <f>[1]Sheet1!E167</f>
        <v/>
      </c>
      <c r="BT166" s="1515">
        <f>[1]Sheet1!F167</f>
        <v/>
      </c>
      <c r="BU166" s="1516">
        <f>[1]Sheet1!G167</f>
        <v/>
      </c>
      <c r="BV166" s="1513">
        <f>[1]Sheet1!H167</f>
        <v/>
      </c>
      <c r="BW166" s="1467" t="n"/>
      <c r="BX166" s="1538" t="n"/>
      <c r="BY166" s="1506" t="n"/>
      <c r="BZ166" s="1537" t="n"/>
      <c r="CA166" s="1511">
        <f>[1]Sheet1!$M167</f>
        <v/>
      </c>
      <c r="CB166" s="1467" t="n"/>
      <c r="CC166" s="1467" t="n"/>
      <c r="CD166" s="1491" t="n"/>
      <c r="CE166" s="1491" t="n"/>
      <c r="CF166" s="1491" t="n"/>
      <c r="CG166" s="1491" t="n"/>
      <c r="CH166" s="1491" t="n"/>
      <c r="CI166" s="1491" t="n"/>
      <c r="CJ166" s="1491" t="n"/>
      <c r="CK166" s="1435" t="n"/>
      <c r="CL166" s="1521" t="n">
        <v>158</v>
      </c>
      <c r="CM166" s="1500" t="inlineStr">
        <is>
          <t>SSA-SP</t>
        </is>
      </c>
      <c r="CN166" s="1500" t="inlineStr">
        <is>
          <t>SSA</t>
        </is>
      </c>
      <c r="CO166" s="1500" t="inlineStr">
        <is>
          <t>SP</t>
        </is>
      </c>
      <c r="CP166" s="1514" t="n">
        <v>1500</v>
      </c>
      <c r="CQ166" s="1435" t="n"/>
      <c r="CR166" s="1491" t="n"/>
      <c r="CS166" s="1491" t="n"/>
      <c r="CT166" s="1491" t="n"/>
      <c r="CU166" s="1491" t="n"/>
      <c r="CV166" s="1491" t="n"/>
      <c r="CW166" s="1491" t="n"/>
      <c r="CX166" s="1491" t="n"/>
    </row>
    <row r="167">
      <c r="A167" s="1491" t="n"/>
      <c r="B167" s="1491" t="n"/>
      <c r="C167" s="1491" t="n"/>
      <c r="D167" s="1497">
        <f>IF(E167&lt;&gt;"",D166+1,D166)</f>
        <v/>
      </c>
      <c r="E167" s="1497" t="inlineStr">
        <is>
          <t>Alicante</t>
        </is>
      </c>
      <c r="F167" s="1535" t="inlineStr">
        <is>
          <t>.</t>
        </is>
      </c>
      <c r="G167" s="1498">
        <f>IF(H167="AIR",0,IF(H166="AIR",G165+1,IF(H167&lt;&gt;"",G166+1,G166)))</f>
        <v/>
      </c>
      <c r="H167" s="1498" t="inlineStr">
        <is>
          <t>Algineres</t>
        </is>
      </c>
      <c r="I167" s="1427" t="inlineStr">
        <is>
          <t>.</t>
        </is>
      </c>
      <c r="J167" s="1499" t="n">
        <v>162</v>
      </c>
      <c r="K167" s="1500">
        <f>_xlfn.XLOOKUP(cities[[#This Row],[id]],$D$5:$D$1500,E$5:E$1500,"-")</f>
        <v/>
      </c>
      <c r="L167" s="1500">
        <f>_xlfn.XLOOKUP(cities[[#This Row],[city]],ccc[city],ccc[ctry],"-")</f>
        <v/>
      </c>
      <c r="M167" s="1500">
        <f>SUMIFS(stayCity[stay],stayCity[city],cities[[#This Row],[city]])</f>
        <v/>
      </c>
      <c r="N167" s="1427">
        <f>N166+1</f>
        <v/>
      </c>
      <c r="O167" s="1500" t="n"/>
      <c r="P167" s="1500" t="n"/>
      <c r="Q167" s="1427" t="inlineStr">
        <is>
          <t>.</t>
        </is>
      </c>
      <c r="R167" s="1491" t="n"/>
      <c r="S167" s="1491" t="n"/>
      <c r="T167" s="1491" t="n"/>
      <c r="U167" s="1491" t="n"/>
      <c r="V167" s="1491" t="n"/>
      <c r="W167" s="1491" t="n"/>
      <c r="X167" s="1491" t="n"/>
      <c r="Y167" s="1491" t="n"/>
      <c r="Z167" s="1427" t="inlineStr">
        <is>
          <t>.</t>
        </is>
      </c>
      <c r="AA167" s="1473">
        <f>IF(AB167&lt;&gt;"",AA166+1,AA166)</f>
        <v/>
      </c>
      <c r="AB167" s="1534" t="inlineStr">
        <is>
          <t>Montreal-Madrid</t>
        </is>
      </c>
      <c r="AC167" s="1473">
        <f>IF(AD167&lt;&gt;"",AC166+1,AC166)</f>
        <v/>
      </c>
      <c r="AD167" s="1534" t="n"/>
      <c r="AE167" s="1427" t="inlineStr">
        <is>
          <t>.</t>
        </is>
      </c>
      <c r="AF167" s="1502" t="n">
        <v>163</v>
      </c>
      <c r="AG167" s="1500">
        <f>_xlfn.XLOOKUP(routes[[#This Row],[id]],$AA$5:$AA$300,$AB$5:$AB$300,"-")</f>
        <v/>
      </c>
      <c r="AH167" s="1500">
        <f>_xlfn.XLOOKUP(routes[[#This Row],[route]],routesUniv[route],routesUniv[outbound],"-")</f>
        <v/>
      </c>
      <c r="AI167" s="1500">
        <f>_xlfn.XLOOKUP(routes[[#This Row],[route]],routesUniv[route],routesUniv[inbound],"-")</f>
        <v/>
      </c>
      <c r="AJ167" s="1500">
        <f>_xlfn.XLOOKUP(routes[[#This Row],[route]],routesUniv[route],routesUniv[km],"-")</f>
        <v/>
      </c>
      <c r="AK167" s="1500">
        <f>COUNTIF(INPUT!BT$5:BT$1000,AG167)</f>
        <v/>
      </c>
      <c r="AL167" s="1505">
        <f>routes[[#This Row],[km]]*routes[[#This Row],[rpt]]/1000</f>
        <v/>
      </c>
      <c r="AM167" s="1481" t="inlineStr">
        <is>
          <t>.</t>
        </is>
      </c>
      <c r="AN167" s="1506" t="n"/>
      <c r="AO167" s="1500">
        <f>IF(AD167&lt;&gt;"",AD167,"-")</f>
        <v/>
      </c>
      <c r="AP167" s="1500">
        <f>_xlfn.XLOOKUP(cityRoutes[[#This Row],[city]],ccc[city],ccc[ctry],"-")</f>
        <v/>
      </c>
      <c r="AQ167" s="1500">
        <f>COUNTIF(INPUT!BR$5:BS$1000,AO167)</f>
        <v/>
      </c>
      <c r="AR167" s="1507">
        <f>(SUMIFS(routes[total],routes[outbound],AO167)+SUMIFS(routes[total],routes[inbound],AO167))/2</f>
        <v/>
      </c>
      <c r="AS167" s="1481" t="inlineStr">
        <is>
          <t>.</t>
        </is>
      </c>
      <c r="AT167" s="1491" t="n"/>
      <c r="AU167" s="1491" t="n"/>
      <c r="AV167" s="1491" t="n"/>
      <c r="AW167" s="1491" t="n"/>
      <c r="AX167" s="1491" t="n"/>
      <c r="AY167" s="1491" t="n"/>
      <c r="AZ167" s="1491" t="n"/>
      <c r="BA167" s="1491" t="n"/>
      <c r="BB167" s="1491" t="n"/>
      <c r="BC167" s="1491" t="n"/>
      <c r="BD167" s="1491" t="n"/>
      <c r="BE167" s="1491" t="n"/>
      <c r="BF167" s="1491" t="n"/>
      <c r="BG167" s="1491" t="n"/>
      <c r="BH167" s="1491" t="n"/>
      <c r="BI167" s="1491" t="n"/>
      <c r="BJ167" s="1491" t="n"/>
      <c r="BK167" s="1491" t="n"/>
      <c r="BL167" s="1491" t="n"/>
      <c r="BM167" s="1491" t="n"/>
      <c r="BN167" s="1491" t="n"/>
      <c r="BO167" s="1467" t="n"/>
      <c r="BP167" s="1514" t="n">
        <v>163</v>
      </c>
      <c r="BQ167" s="1513">
        <f>[1]Sheet1!C168</f>
        <v/>
      </c>
      <c r="BR167" s="1515">
        <f>[1]Sheet1!D168</f>
        <v/>
      </c>
      <c r="BS167" s="1513">
        <f>[1]Sheet1!E168</f>
        <v/>
      </c>
      <c r="BT167" s="1515">
        <f>[1]Sheet1!F168</f>
        <v/>
      </c>
      <c r="BU167" s="1516">
        <f>[1]Sheet1!G168</f>
        <v/>
      </c>
      <c r="BV167" s="1513">
        <f>[1]Sheet1!H168</f>
        <v/>
      </c>
      <c r="BW167" s="1467" t="n"/>
      <c r="BX167" s="1538" t="n"/>
      <c r="BY167" s="1506" t="n"/>
      <c r="BZ167" s="1537" t="n"/>
      <c r="CA167" s="1511">
        <f>[1]Sheet1!$M168</f>
        <v/>
      </c>
      <c r="CB167" s="1467" t="n"/>
      <c r="CC167" s="1467" t="n"/>
      <c r="CD167" s="1491" t="n"/>
      <c r="CE167" s="1491" t="n"/>
      <c r="CF167" s="1491" t="n"/>
      <c r="CG167" s="1491" t="n"/>
      <c r="CH167" s="1491" t="n"/>
      <c r="CI167" s="1491" t="n"/>
      <c r="CJ167" s="1491" t="n"/>
      <c r="CK167" s="1435" t="n"/>
      <c r="CL167" s="1521" t="n">
        <v>159</v>
      </c>
      <c r="CM167" s="1500" t="inlineStr">
        <is>
          <t>Stockholm-London</t>
        </is>
      </c>
      <c r="CN167" s="1500" t="inlineStr">
        <is>
          <t>Stockholm</t>
        </is>
      </c>
      <c r="CO167" s="1500" t="inlineStr">
        <is>
          <t>London</t>
        </is>
      </c>
      <c r="CP167" s="1514" t="n">
        <v>1400</v>
      </c>
      <c r="CQ167" s="1435" t="n"/>
      <c r="CR167" s="1491" t="n"/>
      <c r="CS167" s="1491" t="n"/>
      <c r="CT167" s="1491" t="n"/>
      <c r="CU167" s="1491" t="n"/>
      <c r="CV167" s="1491" t="n"/>
      <c r="CW167" s="1491" t="n"/>
      <c r="CX167" s="1491" t="n"/>
    </row>
    <row r="168">
      <c r="A168" s="1491" t="n"/>
      <c r="B168" s="1491" t="n"/>
      <c r="C168" s="1491" t="n"/>
      <c r="D168" s="1497">
        <f>IF(E168&lt;&gt;"",D167+1,D167)</f>
        <v/>
      </c>
      <c r="E168" s="1497" t="inlineStr">
        <is>
          <t>Peniscola</t>
        </is>
      </c>
      <c r="F168" s="1535" t="inlineStr">
        <is>
          <t>.</t>
        </is>
      </c>
      <c r="G168" s="1498">
        <f>IF(H168="AIR",0,IF(H167="AIR",G166+1,IF(H168&lt;&gt;"",G167+1,G167)))</f>
        <v/>
      </c>
      <c r="H168" s="1498" t="inlineStr">
        <is>
          <t>Malaga</t>
        </is>
      </c>
      <c r="I168" s="1427" t="inlineStr">
        <is>
          <t>.</t>
        </is>
      </c>
      <c r="J168" s="1499" t="n">
        <v>163</v>
      </c>
      <c r="K168" s="1500">
        <f>_xlfn.XLOOKUP(cities[[#This Row],[id]],$D$5:$D$1500,E$5:E$1500,"-")</f>
        <v/>
      </c>
      <c r="L168" s="1500">
        <f>_xlfn.XLOOKUP(cities[[#This Row],[city]],ccc[city],ccc[ctry],"-")</f>
        <v/>
      </c>
      <c r="M168" s="1500">
        <f>SUMIFS(stayCity[stay],stayCity[city],cities[[#This Row],[city]])</f>
        <v/>
      </c>
      <c r="N168" s="1427">
        <f>N167+1</f>
        <v/>
      </c>
      <c r="O168" s="1500" t="n"/>
      <c r="P168" s="1500" t="n"/>
      <c r="Q168" s="1427" t="inlineStr">
        <is>
          <t>.</t>
        </is>
      </c>
      <c r="R168" s="1491" t="n"/>
      <c r="S168" s="1491" t="n"/>
      <c r="T168" s="1491" t="n"/>
      <c r="U168" s="1491" t="n"/>
      <c r="V168" s="1491" t="n"/>
      <c r="W168" s="1491" t="n"/>
      <c r="X168" s="1491" t="n"/>
      <c r="Y168" s="1491" t="n"/>
      <c r="Z168" s="1427" t="inlineStr">
        <is>
          <t>.</t>
        </is>
      </c>
      <c r="AA168" s="1473">
        <f>IF(AB168&lt;&gt;"",AA167+1,AA167)</f>
        <v/>
      </c>
      <c r="AB168" s="1534" t="inlineStr">
        <is>
          <t>Lisbon-Montreal</t>
        </is>
      </c>
      <c r="AC168" s="1473">
        <f>IF(AD168&lt;&gt;"",AC167+1,AC167)</f>
        <v/>
      </c>
      <c r="AD168" s="1534" t="n"/>
      <c r="AE168" s="1427" t="inlineStr">
        <is>
          <t>.</t>
        </is>
      </c>
      <c r="AF168" s="1502" t="n">
        <v>164</v>
      </c>
      <c r="AG168" s="1500">
        <f>_xlfn.XLOOKUP(routes[[#This Row],[id]],$AA$5:$AA$300,$AB$5:$AB$300,"-")</f>
        <v/>
      </c>
      <c r="AH168" s="1500">
        <f>_xlfn.XLOOKUP(routes[[#This Row],[route]],routesUniv[route],routesUniv[outbound],"-")</f>
        <v/>
      </c>
      <c r="AI168" s="1500">
        <f>_xlfn.XLOOKUP(routes[[#This Row],[route]],routesUniv[route],routesUniv[inbound],"-")</f>
        <v/>
      </c>
      <c r="AJ168" s="1500">
        <f>_xlfn.XLOOKUP(routes[[#This Row],[route]],routesUniv[route],routesUniv[km],"-")</f>
        <v/>
      </c>
      <c r="AK168" s="1500">
        <f>COUNTIF(INPUT!BT$5:BT$1000,AG168)</f>
        <v/>
      </c>
      <c r="AL168" s="1505">
        <f>routes[[#This Row],[km]]*routes[[#This Row],[rpt]]/1000</f>
        <v/>
      </c>
      <c r="AM168" s="1481" t="inlineStr">
        <is>
          <t>.</t>
        </is>
      </c>
      <c r="AN168" s="1506" t="n"/>
      <c r="AO168" s="1500">
        <f>IF(AD168&lt;&gt;"",AD168,"-")</f>
        <v/>
      </c>
      <c r="AP168" s="1500">
        <f>_xlfn.XLOOKUP(cityRoutes[[#This Row],[city]],ccc[city],ccc[ctry],"-")</f>
        <v/>
      </c>
      <c r="AQ168" s="1500">
        <f>COUNTIF(INPUT!BR$5:BS$1000,AO168)</f>
        <v/>
      </c>
      <c r="AR168" s="1507">
        <f>(SUMIFS(routes[total],routes[outbound],AO168)+SUMIFS(routes[total],routes[inbound],AO168))/2</f>
        <v/>
      </c>
      <c r="AS168" s="1481" t="inlineStr">
        <is>
          <t>.</t>
        </is>
      </c>
      <c r="AT168" s="1491" t="n"/>
      <c r="AU168" s="1491" t="n"/>
      <c r="AV168" s="1491" t="n"/>
      <c r="AW168" s="1491" t="n"/>
      <c r="AX168" s="1491" t="n"/>
      <c r="AY168" s="1491" t="n"/>
      <c r="AZ168" s="1491" t="n"/>
      <c r="BA168" s="1491" t="n"/>
      <c r="BB168" s="1491" t="n"/>
      <c r="BC168" s="1491" t="n"/>
      <c r="BD168" s="1491" t="n"/>
      <c r="BE168" s="1491" t="n"/>
      <c r="BF168" s="1491" t="n"/>
      <c r="BG168" s="1491" t="n"/>
      <c r="BH168" s="1491" t="n"/>
      <c r="BI168" s="1491" t="n"/>
      <c r="BJ168" s="1491" t="n"/>
      <c r="BK168" s="1491" t="n"/>
      <c r="BL168" s="1491" t="n"/>
      <c r="BM168" s="1491" t="n"/>
      <c r="BN168" s="1491" t="n"/>
      <c r="BO168" s="1467" t="n"/>
      <c r="BP168" s="1514" t="n">
        <v>164</v>
      </c>
      <c r="BQ168" s="1513">
        <f>[1]Sheet1!C169</f>
        <v/>
      </c>
      <c r="BR168" s="1515">
        <f>[1]Sheet1!D169</f>
        <v/>
      </c>
      <c r="BS168" s="1513">
        <f>[1]Sheet1!E169</f>
        <v/>
      </c>
      <c r="BT168" s="1515">
        <f>[1]Sheet1!F169</f>
        <v/>
      </c>
      <c r="BU168" s="1516">
        <f>[1]Sheet1!G169</f>
        <v/>
      </c>
      <c r="BV168" s="1513">
        <f>[1]Sheet1!H169</f>
        <v/>
      </c>
      <c r="BW168" s="1467" t="n"/>
      <c r="BX168" s="1538" t="n"/>
      <c r="BY168" s="1506" t="n"/>
      <c r="BZ168" s="1537" t="n"/>
      <c r="CA168" s="1511">
        <f>[1]Sheet1!$M169</f>
        <v/>
      </c>
      <c r="CB168" s="1467" t="n"/>
      <c r="CC168" s="1467" t="n"/>
      <c r="CD168" s="1491" t="n"/>
      <c r="CE168" s="1491" t="n"/>
      <c r="CF168" s="1491" t="n"/>
      <c r="CG168" s="1491" t="n"/>
      <c r="CH168" s="1491" t="n"/>
      <c r="CI168" s="1491" t="n"/>
      <c r="CJ168" s="1491" t="n"/>
      <c r="CK168" s="1435" t="n"/>
      <c r="CL168" s="1521" t="n">
        <v>160</v>
      </c>
      <c r="CM168" s="1513" t="inlineStr">
        <is>
          <t>Toronto-Montreal</t>
        </is>
      </c>
      <c r="CN168" s="1513" t="inlineStr">
        <is>
          <t>Toronto</t>
        </is>
      </c>
      <c r="CO168" s="1513" t="inlineStr">
        <is>
          <t>Montreal</t>
        </is>
      </c>
      <c r="CP168" s="1514" t="n">
        <v>500</v>
      </c>
      <c r="CQ168" s="1435" t="n"/>
      <c r="CR168" s="1491" t="n"/>
      <c r="CS168" s="1491" t="n"/>
      <c r="CT168" s="1491" t="n"/>
      <c r="CU168" s="1491" t="n"/>
      <c r="CV168" s="1491" t="n"/>
      <c r="CW168" s="1491" t="n"/>
      <c r="CX168" s="1491" t="n"/>
    </row>
    <row r="169">
      <c r="A169" s="1491" t="n"/>
      <c r="B169" s="1491" t="n"/>
      <c r="C169" s="1491" t="n"/>
      <c r="D169" s="1497">
        <f>IF(E169&lt;&gt;"",D168+1,D168)</f>
        <v/>
      </c>
      <c r="E169" s="1497" t="inlineStr">
        <is>
          <t>Barcelona</t>
        </is>
      </c>
      <c r="F169" s="1535" t="inlineStr">
        <is>
          <t>.</t>
        </is>
      </c>
      <c r="G169" s="1498">
        <f>IF(H169="AIR",0,IF(H168="AIR",G167+1,IF(H169&lt;&gt;"",G168+1,G168)))</f>
        <v/>
      </c>
      <c r="H169" s="1498" t="inlineStr">
        <is>
          <t>Granada</t>
        </is>
      </c>
      <c r="I169" s="1427" t="inlineStr">
        <is>
          <t>.</t>
        </is>
      </c>
      <c r="J169" s="1499" t="n">
        <v>164</v>
      </c>
      <c r="K169" s="1500">
        <f>_xlfn.XLOOKUP(cities[[#This Row],[id]],$D$5:$D$1500,E$5:E$1500,"-")</f>
        <v/>
      </c>
      <c r="L169" s="1500">
        <f>_xlfn.XLOOKUP(cities[[#This Row],[city]],ccc[city],ccc[ctry],"-")</f>
        <v/>
      </c>
      <c r="M169" s="1500">
        <f>SUMIFS(stayCity[stay],stayCity[city],cities[[#This Row],[city]])</f>
        <v/>
      </c>
      <c r="N169" s="1427">
        <f>N168+1</f>
        <v/>
      </c>
      <c r="O169" s="1500" t="n"/>
      <c r="P169" s="1500" t="n"/>
      <c r="Q169" s="1427" t="inlineStr">
        <is>
          <t>.</t>
        </is>
      </c>
      <c r="R169" s="1491" t="n"/>
      <c r="S169" s="1491" t="n"/>
      <c r="T169" s="1491" t="n"/>
      <c r="U169" s="1491" t="n"/>
      <c r="V169" s="1491" t="n"/>
      <c r="W169" s="1491" t="n"/>
      <c r="X169" s="1491" t="n"/>
      <c r="Y169" s="1491" t="n"/>
      <c r="Z169" s="1427" t="inlineStr">
        <is>
          <t>.</t>
        </is>
      </c>
      <c r="AA169" s="1473">
        <f>IF(AB169&lt;&gt;"",AA168+1,AA168)</f>
        <v/>
      </c>
      <c r="AB169" s="1534" t="inlineStr">
        <is>
          <t>Montreal-Porto</t>
        </is>
      </c>
      <c r="AC169" s="1473">
        <f>IF(AD169&lt;&gt;"",AC168+1,AC168)</f>
        <v/>
      </c>
      <c r="AD169" s="1534" t="n"/>
      <c r="AE169" s="1427" t="inlineStr">
        <is>
          <t>.</t>
        </is>
      </c>
      <c r="AF169" s="1502" t="n">
        <v>165</v>
      </c>
      <c r="AG169" s="1500">
        <f>_xlfn.XLOOKUP(routes[[#This Row],[id]],$AA$5:$AA$300,$AB$5:$AB$300,"-")</f>
        <v/>
      </c>
      <c r="AH169" s="1500">
        <f>_xlfn.XLOOKUP(routes[[#This Row],[route]],routesUniv[route],routesUniv[outbound],"-")</f>
        <v/>
      </c>
      <c r="AI169" s="1500">
        <f>_xlfn.XLOOKUP(routes[[#This Row],[route]],routesUniv[route],routesUniv[inbound],"-")</f>
        <v/>
      </c>
      <c r="AJ169" s="1500">
        <f>_xlfn.XLOOKUP(routes[[#This Row],[route]],routesUniv[route],routesUniv[km],"-")</f>
        <v/>
      </c>
      <c r="AK169" s="1500">
        <f>COUNTIF(INPUT!BT$5:BT$1000,AG169)</f>
        <v/>
      </c>
      <c r="AL169" s="1505">
        <f>routes[[#This Row],[km]]*routes[[#This Row],[rpt]]/1000</f>
        <v/>
      </c>
      <c r="AM169" s="1481" t="inlineStr">
        <is>
          <t>.</t>
        </is>
      </c>
      <c r="AN169" s="1506" t="n"/>
      <c r="AO169" s="1500">
        <f>IF(AD169&lt;&gt;"",AD169,"-")</f>
        <v/>
      </c>
      <c r="AP169" s="1500">
        <f>_xlfn.XLOOKUP(cityRoutes[[#This Row],[city]],ccc[city],ccc[ctry],"-")</f>
        <v/>
      </c>
      <c r="AQ169" s="1500">
        <f>COUNTIF(INPUT!BR$5:BS$1000,AO169)</f>
        <v/>
      </c>
      <c r="AR169" s="1507">
        <f>(SUMIFS(routes[total],routes[outbound],AO169)+SUMIFS(routes[total],routes[inbound],AO169))/2</f>
        <v/>
      </c>
      <c r="AS169" s="1481" t="inlineStr">
        <is>
          <t>.</t>
        </is>
      </c>
      <c r="AT169" s="1491" t="n"/>
      <c r="AU169" s="1491" t="n"/>
      <c r="AV169" s="1491" t="n"/>
      <c r="AW169" s="1491" t="n"/>
      <c r="AX169" s="1491" t="n"/>
      <c r="AY169" s="1491" t="n"/>
      <c r="AZ169" s="1491" t="n"/>
      <c r="BA169" s="1491" t="n"/>
      <c r="BB169" s="1491" t="n"/>
      <c r="BC169" s="1491" t="n"/>
      <c r="BD169" s="1491" t="n"/>
      <c r="BE169" s="1491" t="n"/>
      <c r="BF169" s="1491" t="n"/>
      <c r="BG169" s="1491" t="n"/>
      <c r="BH169" s="1491" t="n"/>
      <c r="BI169" s="1491" t="n"/>
      <c r="BJ169" s="1491" t="n"/>
      <c r="BK169" s="1491" t="n"/>
      <c r="BL169" s="1491" t="n"/>
      <c r="BM169" s="1491" t="n"/>
      <c r="BN169" s="1491" t="n"/>
      <c r="BO169" s="1467" t="n"/>
      <c r="BP169" s="1514" t="n">
        <v>165</v>
      </c>
      <c r="BQ169" s="1513">
        <f>[1]Sheet1!C170</f>
        <v/>
      </c>
      <c r="BR169" s="1515">
        <f>[1]Sheet1!D170</f>
        <v/>
      </c>
      <c r="BS169" s="1513">
        <f>[1]Sheet1!E170</f>
        <v/>
      </c>
      <c r="BT169" s="1515">
        <f>[1]Sheet1!F170</f>
        <v/>
      </c>
      <c r="BU169" s="1516">
        <f>[1]Sheet1!G170</f>
        <v/>
      </c>
      <c r="BV169" s="1513">
        <f>[1]Sheet1!H170</f>
        <v/>
      </c>
      <c r="BW169" s="1467" t="n"/>
      <c r="BX169" s="1538" t="n"/>
      <c r="BY169" s="1506" t="n"/>
      <c r="BZ169" s="1537" t="n"/>
      <c r="CA169" s="1511">
        <f>[1]Sheet1!$M170</f>
        <v/>
      </c>
      <c r="CB169" s="1467" t="n"/>
      <c r="CC169" s="1467" t="n"/>
      <c r="CD169" s="1491" t="n"/>
      <c r="CE169" s="1491" t="n"/>
      <c r="CF169" s="1491" t="n"/>
      <c r="CG169" s="1491" t="n"/>
      <c r="CH169" s="1491" t="n"/>
      <c r="CI169" s="1491" t="n"/>
      <c r="CJ169" s="1491" t="n"/>
      <c r="CK169" s="1435" t="n"/>
      <c r="CL169" s="1521" t="n">
        <v>161</v>
      </c>
      <c r="CM169" s="1513" t="inlineStr">
        <is>
          <t>Vancouver-Beijing</t>
        </is>
      </c>
      <c r="CN169" s="1513" t="inlineStr">
        <is>
          <t>Vancouver</t>
        </is>
      </c>
      <c r="CO169" s="1513" t="inlineStr">
        <is>
          <t>Beijing</t>
        </is>
      </c>
      <c r="CP169" s="1514" t="n">
        <v>8500</v>
      </c>
      <c r="CQ169" s="1435" t="n"/>
      <c r="CR169" s="1491" t="n"/>
      <c r="CS169" s="1491" t="n"/>
      <c r="CT169" s="1491" t="n"/>
      <c r="CU169" s="1491" t="n"/>
      <c r="CV169" s="1491" t="n"/>
      <c r="CW169" s="1491" t="n"/>
      <c r="CX169" s="1491" t="n"/>
    </row>
    <row r="170">
      <c r="A170" s="1491" t="n"/>
      <c r="B170" s="1491" t="n"/>
      <c r="C170" s="1491" t="n"/>
      <c r="D170" s="1497">
        <f>IF(E170&lt;&gt;"",D169+1,D169)</f>
        <v/>
      </c>
      <c r="E170" s="1497" t="inlineStr">
        <is>
          <t>Zaragoza</t>
        </is>
      </c>
      <c r="F170" s="1535" t="inlineStr">
        <is>
          <t>.</t>
        </is>
      </c>
      <c r="G170" s="1498">
        <f>IF(H170="AIR",0,IF(H169="AIR",G168+1,IF(H170&lt;&gt;"",G169+1,G169)))</f>
        <v/>
      </c>
      <c r="H170" s="1498" t="inlineStr">
        <is>
          <t>Alicante</t>
        </is>
      </c>
      <c r="I170" s="1427" t="inlineStr">
        <is>
          <t>.</t>
        </is>
      </c>
      <c r="J170" s="1499" t="n">
        <v>165</v>
      </c>
      <c r="K170" s="1500">
        <f>_xlfn.XLOOKUP(cities[[#This Row],[id]],$D$5:$D$1500,E$5:E$1500,"-")</f>
        <v/>
      </c>
      <c r="L170" s="1500">
        <f>_xlfn.XLOOKUP(cities[[#This Row],[city]],ccc[city],ccc[ctry],"-")</f>
        <v/>
      </c>
      <c r="M170" s="1500">
        <f>SUMIFS(stayCity[stay],stayCity[city],cities[[#This Row],[city]])</f>
        <v/>
      </c>
      <c r="N170" s="1427">
        <f>N169+1</f>
        <v/>
      </c>
      <c r="O170" s="1500" t="n"/>
      <c r="P170" s="1500" t="n"/>
      <c r="Q170" s="1427" t="inlineStr">
        <is>
          <t>.</t>
        </is>
      </c>
      <c r="R170" s="1491" t="n"/>
      <c r="S170" s="1491" t="n"/>
      <c r="T170" s="1491" t="n"/>
      <c r="U170" s="1491" t="n"/>
      <c r="V170" s="1491" t="n"/>
      <c r="W170" s="1491" t="n"/>
      <c r="X170" s="1491" t="n"/>
      <c r="Y170" s="1491" t="n"/>
      <c r="Z170" s="1427" t="inlineStr">
        <is>
          <t>.</t>
        </is>
      </c>
      <c r="AA170" s="1473">
        <f>IF(AB170&lt;&gt;"",AA169+1,AA169)</f>
        <v/>
      </c>
      <c r="AB170" s="1534" t="inlineStr">
        <is>
          <t>Porto-London</t>
        </is>
      </c>
      <c r="AC170" s="1473">
        <f>IF(AD170&lt;&gt;"",AC169+1,AC169)</f>
        <v/>
      </c>
      <c r="AD170" s="1534" t="n"/>
      <c r="AE170" s="1427" t="inlineStr">
        <is>
          <t>.</t>
        </is>
      </c>
      <c r="AF170" s="1502" t="n">
        <v>166</v>
      </c>
      <c r="AG170" s="1500">
        <f>_xlfn.XLOOKUP(routes[[#This Row],[id]],$AA$5:$AA$300,$AB$5:$AB$300,"-")</f>
        <v/>
      </c>
      <c r="AH170" s="1500">
        <f>_xlfn.XLOOKUP(routes[[#This Row],[route]],routesUniv[route],routesUniv[outbound],"-")</f>
        <v/>
      </c>
      <c r="AI170" s="1500">
        <f>_xlfn.XLOOKUP(routes[[#This Row],[route]],routesUniv[route],routesUniv[inbound],"-")</f>
        <v/>
      </c>
      <c r="AJ170" s="1500">
        <f>_xlfn.XLOOKUP(routes[[#This Row],[route]],routesUniv[route],routesUniv[km],"-")</f>
        <v/>
      </c>
      <c r="AK170" s="1500">
        <f>COUNTIF(INPUT!BT$5:BT$1000,AG170)</f>
        <v/>
      </c>
      <c r="AL170" s="1505">
        <f>routes[[#This Row],[km]]*routes[[#This Row],[rpt]]/1000</f>
        <v/>
      </c>
      <c r="AM170" s="1481" t="inlineStr">
        <is>
          <t>.</t>
        </is>
      </c>
      <c r="AN170" s="1506" t="n"/>
      <c r="AO170" s="1500">
        <f>IF(AD170&lt;&gt;"",AD170,"-")</f>
        <v/>
      </c>
      <c r="AP170" s="1500">
        <f>_xlfn.XLOOKUP(cityRoutes[[#This Row],[city]],ccc[city],ccc[ctry],"-")</f>
        <v/>
      </c>
      <c r="AQ170" s="1500">
        <f>COUNTIF(INPUT!BR$5:BS$1000,AO170)</f>
        <v/>
      </c>
      <c r="AR170" s="1507">
        <f>(SUMIFS(routes[total],routes[outbound],AO170)+SUMIFS(routes[total],routes[inbound],AO170))/2</f>
        <v/>
      </c>
      <c r="AS170" s="1481" t="inlineStr">
        <is>
          <t>.</t>
        </is>
      </c>
      <c r="AT170" s="1491" t="n"/>
      <c r="AU170" s="1491" t="n"/>
      <c r="AV170" s="1491" t="n"/>
      <c r="AW170" s="1491" t="n"/>
      <c r="AX170" s="1491" t="n"/>
      <c r="AY170" s="1491" t="n"/>
      <c r="AZ170" s="1491" t="n"/>
      <c r="BA170" s="1491" t="n"/>
      <c r="BB170" s="1491" t="n"/>
      <c r="BC170" s="1491" t="n"/>
      <c r="BD170" s="1491" t="n"/>
      <c r="BE170" s="1491" t="n"/>
      <c r="BF170" s="1491" t="n"/>
      <c r="BG170" s="1491" t="n"/>
      <c r="BH170" s="1491" t="n"/>
      <c r="BI170" s="1491" t="n"/>
      <c r="BJ170" s="1491" t="n"/>
      <c r="BK170" s="1491" t="n"/>
      <c r="BL170" s="1491" t="n"/>
      <c r="BM170" s="1491" t="n"/>
      <c r="BN170" s="1491" t="n"/>
      <c r="BO170" s="1467" t="n"/>
      <c r="BP170" s="1514" t="n">
        <v>166</v>
      </c>
      <c r="BQ170" s="1513">
        <f>[1]Sheet1!C171</f>
        <v/>
      </c>
      <c r="BR170" s="1515">
        <f>[1]Sheet1!D171</f>
        <v/>
      </c>
      <c r="BS170" s="1513">
        <f>[1]Sheet1!E171</f>
        <v/>
      </c>
      <c r="BT170" s="1515">
        <f>[1]Sheet1!F171</f>
        <v/>
      </c>
      <c r="BU170" s="1516">
        <f>[1]Sheet1!G171</f>
        <v/>
      </c>
      <c r="BV170" s="1513">
        <f>[1]Sheet1!H171</f>
        <v/>
      </c>
      <c r="BW170" s="1467" t="n"/>
      <c r="BX170" s="1538" t="n"/>
      <c r="BY170" s="1506" t="n"/>
      <c r="BZ170" s="1537" t="n"/>
      <c r="CA170" s="1511">
        <f>[1]Sheet1!$M171</f>
        <v/>
      </c>
      <c r="CB170" s="1467" t="n"/>
      <c r="CC170" s="1467" t="n"/>
      <c r="CD170" s="1491" t="n"/>
      <c r="CE170" s="1491" t="n"/>
      <c r="CF170" s="1491" t="n"/>
      <c r="CG170" s="1491" t="n"/>
      <c r="CH170" s="1491" t="n"/>
      <c r="CI170" s="1491" t="n"/>
      <c r="CJ170" s="1491" t="n"/>
      <c r="CK170" s="1435" t="n"/>
      <c r="CL170" s="1521" t="n">
        <v>162</v>
      </c>
      <c r="CM170" s="1513" t="inlineStr">
        <is>
          <t>Venice-Rome</t>
        </is>
      </c>
      <c r="CN170" s="1513" t="inlineStr">
        <is>
          <t>Venice</t>
        </is>
      </c>
      <c r="CO170" s="1513" t="inlineStr">
        <is>
          <t>Rome</t>
        </is>
      </c>
      <c r="CP170" s="1514" t="n">
        <v>400</v>
      </c>
      <c r="CQ170" s="1435" t="n"/>
      <c r="CR170" s="1491" t="n"/>
      <c r="CS170" s="1491" t="n"/>
      <c r="CT170" s="1491" t="n"/>
      <c r="CU170" s="1491" t="n"/>
      <c r="CV170" s="1491" t="n"/>
      <c r="CW170" s="1491" t="n"/>
      <c r="CX170" s="1491" t="n"/>
    </row>
    <row r="171">
      <c r="A171" s="1491" t="n"/>
      <c r="B171" s="1491" t="n"/>
      <c r="C171" s="1491" t="n"/>
      <c r="D171" s="1497">
        <f>IF(E171&lt;&gt;"",D170+1,D170)</f>
        <v/>
      </c>
      <c r="E171" s="1497" t="inlineStr">
        <is>
          <t>Madrid</t>
        </is>
      </c>
      <c r="F171" s="1535" t="inlineStr">
        <is>
          <t>.</t>
        </is>
      </c>
      <c r="G171" s="1498">
        <f>IF(H171="AIR",0,IF(H170="AIR",G169+1,IF(H171&lt;&gt;"",G170+1,G170)))</f>
        <v/>
      </c>
      <c r="H171" s="1498" t="inlineStr">
        <is>
          <t>Peniscola</t>
        </is>
      </c>
      <c r="I171" s="1427" t="inlineStr">
        <is>
          <t>.</t>
        </is>
      </c>
      <c r="J171" s="1499" t="n">
        <v>166</v>
      </c>
      <c r="K171" s="1500">
        <f>_xlfn.XLOOKUP(cities[[#This Row],[id]],$D$5:$D$1500,E$5:E$1500,"-")</f>
        <v/>
      </c>
      <c r="L171" s="1500">
        <f>_xlfn.XLOOKUP(cities[[#This Row],[city]],ccc[city],ccc[ctry],"-")</f>
        <v/>
      </c>
      <c r="M171" s="1500">
        <f>SUMIFS(stayCity[stay],stayCity[city],cities[[#This Row],[city]])</f>
        <v/>
      </c>
      <c r="N171" s="1427">
        <f>N170+1</f>
        <v/>
      </c>
      <c r="O171" s="1500" t="n"/>
      <c r="P171" s="1500" t="n"/>
      <c r="Q171" s="1427" t="inlineStr">
        <is>
          <t>.</t>
        </is>
      </c>
      <c r="R171" s="1491" t="n"/>
      <c r="S171" s="1491" t="n"/>
      <c r="T171" s="1491" t="n"/>
      <c r="U171" s="1491" t="n"/>
      <c r="V171" s="1491" t="n"/>
      <c r="W171" s="1491" t="n"/>
      <c r="X171" s="1491" t="n"/>
      <c r="Y171" s="1491" t="n"/>
      <c r="Z171" s="1427" t="inlineStr">
        <is>
          <t>.</t>
        </is>
      </c>
      <c r="AA171" s="1473">
        <f>IF(AB171&lt;&gt;"",AA170+1,AA170)</f>
        <v/>
      </c>
      <c r="AB171" s="1534" t="inlineStr">
        <is>
          <t>London-Porto</t>
        </is>
      </c>
      <c r="AC171" s="1473">
        <f>IF(AD171&lt;&gt;"",AC170+1,AC170)</f>
        <v/>
      </c>
      <c r="AD171" s="1534" t="n"/>
      <c r="AE171" s="1427" t="inlineStr">
        <is>
          <t>.</t>
        </is>
      </c>
      <c r="AF171" s="1502" t="n">
        <v>167</v>
      </c>
      <c r="AG171" s="1500">
        <f>_xlfn.XLOOKUP(routes[[#This Row],[id]],$AA$5:$AA$300,$AB$5:$AB$300,"-")</f>
        <v/>
      </c>
      <c r="AH171" s="1500">
        <f>_xlfn.XLOOKUP(routes[[#This Row],[route]],routesUniv[route],routesUniv[outbound],"-")</f>
        <v/>
      </c>
      <c r="AI171" s="1500">
        <f>_xlfn.XLOOKUP(routes[[#This Row],[route]],routesUniv[route],routesUniv[inbound],"-")</f>
        <v/>
      </c>
      <c r="AJ171" s="1500">
        <f>_xlfn.XLOOKUP(routes[[#This Row],[route]],routesUniv[route],routesUniv[km],"-")</f>
        <v/>
      </c>
      <c r="AK171" s="1500">
        <f>COUNTIF(INPUT!BT$5:BT$1000,AG171)</f>
        <v/>
      </c>
      <c r="AL171" s="1505">
        <f>routes[[#This Row],[km]]*routes[[#This Row],[rpt]]/1000</f>
        <v/>
      </c>
      <c r="AM171" s="1481" t="inlineStr">
        <is>
          <t>.</t>
        </is>
      </c>
      <c r="AN171" s="1506" t="n"/>
      <c r="AO171" s="1500">
        <f>IF(AD171&lt;&gt;"",AD171,"-")</f>
        <v/>
      </c>
      <c r="AP171" s="1500">
        <f>_xlfn.XLOOKUP(cityRoutes[[#This Row],[city]],ccc[city],ccc[ctry],"-")</f>
        <v/>
      </c>
      <c r="AQ171" s="1500">
        <f>COUNTIF(INPUT!BR$5:BS$1000,AO171)</f>
        <v/>
      </c>
      <c r="AR171" s="1507">
        <f>(SUMIFS(routes[total],routes[outbound],AO171)+SUMIFS(routes[total],routes[inbound],AO171))/2</f>
        <v/>
      </c>
      <c r="AS171" s="1481" t="inlineStr">
        <is>
          <t>.</t>
        </is>
      </c>
      <c r="AT171" s="1491" t="n"/>
      <c r="AU171" s="1491" t="n"/>
      <c r="AV171" s="1491" t="n"/>
      <c r="AW171" s="1491" t="n"/>
      <c r="AX171" s="1491" t="n"/>
      <c r="AY171" s="1491" t="n"/>
      <c r="AZ171" s="1491" t="n"/>
      <c r="BA171" s="1491" t="n"/>
      <c r="BB171" s="1491" t="n"/>
      <c r="BC171" s="1491" t="n"/>
      <c r="BD171" s="1491" t="n"/>
      <c r="BE171" s="1491" t="n"/>
      <c r="BF171" s="1491" t="n"/>
      <c r="BG171" s="1491" t="n"/>
      <c r="BH171" s="1491" t="n"/>
      <c r="BI171" s="1491" t="n"/>
      <c r="BJ171" s="1491" t="n"/>
      <c r="BK171" s="1491" t="n"/>
      <c r="BL171" s="1491" t="n"/>
      <c r="BM171" s="1491" t="n"/>
      <c r="BN171" s="1491" t="n"/>
      <c r="BO171" s="1467" t="n"/>
      <c r="BP171" s="1514" t="n">
        <v>167</v>
      </c>
      <c r="BQ171" s="1513">
        <f>[1]Sheet1!C172</f>
        <v/>
      </c>
      <c r="BR171" s="1515">
        <f>[1]Sheet1!D172</f>
        <v/>
      </c>
      <c r="BS171" s="1513">
        <f>[1]Sheet1!E172</f>
        <v/>
      </c>
      <c r="BT171" s="1515">
        <f>[1]Sheet1!F172</f>
        <v/>
      </c>
      <c r="BU171" s="1516">
        <f>[1]Sheet1!G172</f>
        <v/>
      </c>
      <c r="BV171" s="1513">
        <f>[1]Sheet1!H172</f>
        <v/>
      </c>
      <c r="BW171" s="1467" t="n"/>
      <c r="BX171" s="1538" t="n"/>
      <c r="BY171" s="1506" t="n"/>
      <c r="BZ171" s="1537" t="n"/>
      <c r="CA171" s="1511">
        <f>[1]Sheet1!$M172</f>
        <v/>
      </c>
      <c r="CB171" s="1467" t="n"/>
      <c r="CC171" s="1467" t="n"/>
      <c r="CD171" s="1491" t="n"/>
      <c r="CE171" s="1491" t="n"/>
      <c r="CF171" s="1491" t="n"/>
      <c r="CG171" s="1491" t="n"/>
      <c r="CH171" s="1491" t="n"/>
      <c r="CI171" s="1491" t="n"/>
      <c r="CJ171" s="1491" t="n"/>
      <c r="CK171" s="1435" t="n"/>
      <c r="CL171" s="1521" t="n">
        <v>163</v>
      </c>
      <c r="CM171" s="1513" t="inlineStr">
        <is>
          <t>Washington-Columbia</t>
        </is>
      </c>
      <c r="CN171" s="1513" t="inlineStr">
        <is>
          <t>Washington</t>
        </is>
      </c>
      <c r="CO171" s="1513" t="inlineStr">
        <is>
          <t>Columbia</t>
        </is>
      </c>
      <c r="CP171" s="1514" t="n">
        <v>700</v>
      </c>
      <c r="CQ171" s="1435" t="n"/>
      <c r="CR171" s="1491" t="n"/>
      <c r="CS171" s="1491" t="n"/>
      <c r="CT171" s="1491" t="n"/>
      <c r="CU171" s="1491" t="n"/>
      <c r="CV171" s="1491" t="n"/>
      <c r="CW171" s="1491" t="n"/>
      <c r="CX171" s="1491" t="n"/>
    </row>
    <row r="172">
      <c r="A172" s="1491" t="n"/>
      <c r="B172" s="1491" t="n"/>
      <c r="C172" s="1491" t="n"/>
      <c r="D172" s="1497">
        <f>IF(E172&lt;&gt;"",D171+1,D171)</f>
        <v/>
      </c>
      <c r="E172" s="1497" t="inlineStr">
        <is>
          <t>Toledo</t>
        </is>
      </c>
      <c r="F172" s="1535" t="inlineStr">
        <is>
          <t>.</t>
        </is>
      </c>
      <c r="G172" s="1498">
        <f>IF(H172="AIR",0,IF(H171="AIR",G170+1,IF(H172&lt;&gt;"",G171+1,G171)))</f>
        <v/>
      </c>
      <c r="H172" s="1498" t="inlineStr">
        <is>
          <t>Barcelona</t>
        </is>
      </c>
      <c r="I172" s="1427" t="inlineStr">
        <is>
          <t>.</t>
        </is>
      </c>
      <c r="J172" s="1499" t="n">
        <v>167</v>
      </c>
      <c r="K172" s="1500">
        <f>_xlfn.XLOOKUP(cities[[#This Row],[id]],$D$5:$D$1500,E$5:E$1500,"-")</f>
        <v/>
      </c>
      <c r="L172" s="1500">
        <f>_xlfn.XLOOKUP(cities[[#This Row],[city]],ccc[city],ccc[ctry],"-")</f>
        <v/>
      </c>
      <c r="M172" s="1500">
        <f>SUMIFS(stayCity[stay],stayCity[city],cities[[#This Row],[city]])</f>
        <v/>
      </c>
      <c r="N172" s="1427">
        <f>N171+1</f>
        <v/>
      </c>
      <c r="O172" s="1500" t="n"/>
      <c r="P172" s="1500" t="n"/>
      <c r="Q172" s="1427" t="inlineStr">
        <is>
          <t>.</t>
        </is>
      </c>
      <c r="R172" s="1491" t="n"/>
      <c r="S172" s="1491" t="n"/>
      <c r="T172" s="1491" t="n"/>
      <c r="U172" s="1491" t="n"/>
      <c r="V172" s="1491" t="n"/>
      <c r="W172" s="1491" t="n"/>
      <c r="X172" s="1491" t="n"/>
      <c r="Y172" s="1491" t="n"/>
      <c r="Z172" s="1427" t="inlineStr">
        <is>
          <t>.</t>
        </is>
      </c>
      <c r="AA172" s="1473">
        <f>IF(AB172&lt;&gt;"",AA171+1,AA171)</f>
        <v/>
      </c>
      <c r="AB172" s="1534" t="inlineStr">
        <is>
          <t>Porto-Montreal</t>
        </is>
      </c>
      <c r="AC172" s="1473">
        <f>IF(AD172&lt;&gt;"",AC171+1,AC171)</f>
        <v/>
      </c>
      <c r="AD172" s="1534" t="n"/>
      <c r="AE172" s="1427" t="inlineStr">
        <is>
          <t>.</t>
        </is>
      </c>
      <c r="AF172" s="1502" t="n">
        <v>168</v>
      </c>
      <c r="AG172" s="1500">
        <f>_xlfn.XLOOKUP(routes[[#This Row],[id]],$AA$5:$AA$300,$AB$5:$AB$300,"-")</f>
        <v/>
      </c>
      <c r="AH172" s="1500">
        <f>_xlfn.XLOOKUP(routes[[#This Row],[route]],routesUniv[route],routesUniv[outbound],"-")</f>
        <v/>
      </c>
      <c r="AI172" s="1500">
        <f>_xlfn.XLOOKUP(routes[[#This Row],[route]],routesUniv[route],routesUniv[inbound],"-")</f>
        <v/>
      </c>
      <c r="AJ172" s="1500">
        <f>_xlfn.XLOOKUP(routes[[#This Row],[route]],routesUniv[route],routesUniv[km],"-")</f>
        <v/>
      </c>
      <c r="AK172" s="1500">
        <f>COUNTIF(INPUT!BT$5:BT$1000,AG172)</f>
        <v/>
      </c>
      <c r="AL172" s="1505">
        <f>routes[[#This Row],[km]]*routes[[#This Row],[rpt]]/1000</f>
        <v/>
      </c>
      <c r="AM172" s="1481" t="inlineStr">
        <is>
          <t>.</t>
        </is>
      </c>
      <c r="AN172" s="1506" t="n"/>
      <c r="AO172" s="1500">
        <f>IF(AD172&lt;&gt;"",AD172,"-")</f>
        <v/>
      </c>
      <c r="AP172" s="1500">
        <f>_xlfn.XLOOKUP(cityRoutes[[#This Row],[city]],ccc[city],ccc[ctry],"-")</f>
        <v/>
      </c>
      <c r="AQ172" s="1500">
        <f>COUNTIF(INPUT!BR$5:BS$1000,AO172)</f>
        <v/>
      </c>
      <c r="AR172" s="1507">
        <f>(SUMIFS(routes[total],routes[outbound],AO172)+SUMIFS(routes[total],routes[inbound],AO172))/2</f>
        <v/>
      </c>
      <c r="AS172" s="1481" t="inlineStr">
        <is>
          <t>.</t>
        </is>
      </c>
      <c r="AT172" s="1491" t="n"/>
      <c r="AU172" s="1491" t="n"/>
      <c r="AV172" s="1491" t="n"/>
      <c r="AW172" s="1491" t="n"/>
      <c r="AX172" s="1491" t="n"/>
      <c r="AY172" s="1491" t="n"/>
      <c r="AZ172" s="1491" t="n"/>
      <c r="BA172" s="1491" t="n"/>
      <c r="BB172" s="1491" t="n"/>
      <c r="BC172" s="1491" t="n"/>
      <c r="BD172" s="1491" t="n"/>
      <c r="BE172" s="1491" t="n"/>
      <c r="BF172" s="1491" t="n"/>
      <c r="BG172" s="1491" t="n"/>
      <c r="BH172" s="1491" t="n"/>
      <c r="BI172" s="1491" t="n"/>
      <c r="BJ172" s="1491" t="n"/>
      <c r="BK172" s="1491" t="n"/>
      <c r="BL172" s="1491" t="n"/>
      <c r="BM172" s="1491" t="n"/>
      <c r="BN172" s="1491" t="n"/>
      <c r="BO172" s="1467" t="n"/>
      <c r="BP172" s="1514" t="n">
        <v>168</v>
      </c>
      <c r="BQ172" s="1513">
        <f>[1]Sheet1!C173</f>
        <v/>
      </c>
      <c r="BR172" s="1515">
        <f>[1]Sheet1!D173</f>
        <v/>
      </c>
      <c r="BS172" s="1513">
        <f>[1]Sheet1!E173</f>
        <v/>
      </c>
      <c r="BT172" s="1515">
        <f>[1]Sheet1!F173</f>
        <v/>
      </c>
      <c r="BU172" s="1516">
        <f>[1]Sheet1!G173</f>
        <v/>
      </c>
      <c r="BV172" s="1513">
        <f>[1]Sheet1!H173</f>
        <v/>
      </c>
      <c r="BW172" s="1467" t="n"/>
      <c r="BX172" s="1538" t="n"/>
      <c r="BY172" s="1506" t="n"/>
      <c r="BZ172" s="1537" t="n"/>
      <c r="CA172" s="1511">
        <f>[1]Sheet1!$M173</f>
        <v/>
      </c>
      <c r="CB172" s="1467" t="n"/>
      <c r="CC172" s="1467" t="n"/>
      <c r="CD172" s="1491" t="n"/>
      <c r="CE172" s="1491" t="n"/>
      <c r="CF172" s="1491" t="n"/>
      <c r="CG172" s="1491" t="n"/>
      <c r="CH172" s="1491" t="n"/>
      <c r="CI172" s="1491" t="n"/>
      <c r="CJ172" s="1491" t="n"/>
      <c r="CK172" s="1435" t="n"/>
      <c r="CL172" s="1521" t="n">
        <v>164</v>
      </c>
      <c r="CM172" s="1513" t="inlineStr">
        <is>
          <t>Washington-London</t>
        </is>
      </c>
      <c r="CN172" s="1513" t="inlineStr">
        <is>
          <t>Washington</t>
        </is>
      </c>
      <c r="CO172" s="1513" t="inlineStr">
        <is>
          <t>London</t>
        </is>
      </c>
      <c r="CP172" s="1514" t="n">
        <v>300</v>
      </c>
      <c r="CQ172" s="1435" t="n"/>
      <c r="CR172" s="1491" t="n"/>
      <c r="CS172" s="1491" t="n"/>
      <c r="CT172" s="1491" t="n"/>
      <c r="CU172" s="1491" t="n"/>
      <c r="CV172" s="1491" t="n"/>
      <c r="CW172" s="1491" t="n"/>
      <c r="CX172" s="1491" t="n"/>
    </row>
    <row r="173">
      <c r="A173" s="1491" t="n"/>
      <c r="B173" s="1491" t="n"/>
      <c r="C173" s="1491" t="n"/>
      <c r="D173" s="1497">
        <f>IF(E173&lt;&gt;"",D172+1,D172)</f>
        <v/>
      </c>
      <c r="E173" s="1497" t="inlineStr">
        <is>
          <t>Vale de los Caidos</t>
        </is>
      </c>
      <c r="F173" s="1535" t="inlineStr">
        <is>
          <t>.</t>
        </is>
      </c>
      <c r="G173" s="1498">
        <f>IF(H173="AIR",0,IF(H172="AIR",G171+1,IF(H173&lt;&gt;"",G172+1,G172)))</f>
        <v/>
      </c>
      <c r="H173" s="1498" t="inlineStr">
        <is>
          <t>Zaragoza</t>
        </is>
      </c>
      <c r="I173" s="1427" t="inlineStr">
        <is>
          <t>.</t>
        </is>
      </c>
      <c r="J173" s="1499" t="n">
        <v>168</v>
      </c>
      <c r="K173" s="1500">
        <f>_xlfn.XLOOKUP(cities[[#This Row],[id]],$D$5:$D$1500,E$5:E$1500,"-")</f>
        <v/>
      </c>
      <c r="L173" s="1500">
        <f>_xlfn.XLOOKUP(cities[[#This Row],[city]],ccc[city],ccc[ctry],"-")</f>
        <v/>
      </c>
      <c r="M173" s="1500">
        <f>SUMIFS(stayCity[stay],stayCity[city],cities[[#This Row],[city]])</f>
        <v/>
      </c>
      <c r="N173" s="1427">
        <f>N172+1</f>
        <v/>
      </c>
      <c r="O173" s="1500" t="n"/>
      <c r="P173" s="1500" t="n"/>
      <c r="Q173" s="1427" t="inlineStr">
        <is>
          <t>.</t>
        </is>
      </c>
      <c r="R173" s="1491" t="n"/>
      <c r="S173" s="1491" t="n"/>
      <c r="T173" s="1491" t="n"/>
      <c r="U173" s="1491" t="n"/>
      <c r="V173" s="1491" t="n"/>
      <c r="W173" s="1491" t="n"/>
      <c r="X173" s="1491" t="n"/>
      <c r="Y173" s="1491" t="n"/>
      <c r="Z173" s="1427" t="inlineStr">
        <is>
          <t>.</t>
        </is>
      </c>
      <c r="AA173" s="1473">
        <f>IF(AB173&lt;&gt;"",AA172+1,AA172)</f>
        <v/>
      </c>
      <c r="AB173" s="1534" t="inlineStr">
        <is>
          <t>Porto-Paris</t>
        </is>
      </c>
      <c r="AC173" s="1473">
        <f>IF(AD173&lt;&gt;"",AC172+1,AC172)</f>
        <v/>
      </c>
      <c r="AD173" s="1534" t="n"/>
      <c r="AE173" s="1427" t="inlineStr">
        <is>
          <t>.</t>
        </is>
      </c>
      <c r="AF173" s="1502" t="n">
        <v>169</v>
      </c>
      <c r="AG173" s="1500">
        <f>_xlfn.XLOOKUP(routes[[#This Row],[id]],$AA$5:$AA$300,$AB$5:$AB$300,"-")</f>
        <v/>
      </c>
      <c r="AH173" s="1500">
        <f>_xlfn.XLOOKUP(routes[[#This Row],[route]],routesUniv[route],routesUniv[outbound],"-")</f>
        <v/>
      </c>
      <c r="AI173" s="1500">
        <f>_xlfn.XLOOKUP(routes[[#This Row],[route]],routesUniv[route],routesUniv[inbound],"-")</f>
        <v/>
      </c>
      <c r="AJ173" s="1500">
        <f>_xlfn.XLOOKUP(routes[[#This Row],[route]],routesUniv[route],routesUniv[km],"-")</f>
        <v/>
      </c>
      <c r="AK173" s="1500">
        <f>COUNTIF(INPUT!BT$5:BT$1000,AG173)</f>
        <v/>
      </c>
      <c r="AL173" s="1505">
        <f>routes[[#This Row],[km]]*routes[[#This Row],[rpt]]/1000</f>
        <v/>
      </c>
      <c r="AM173" s="1481" t="inlineStr">
        <is>
          <t>.</t>
        </is>
      </c>
      <c r="AN173" s="1506" t="n"/>
      <c r="AO173" s="1500">
        <f>IF(AD173&lt;&gt;"",AD173,"-")</f>
        <v/>
      </c>
      <c r="AP173" s="1500">
        <f>_xlfn.XLOOKUP(cityRoutes[[#This Row],[city]],ccc[city],ccc[ctry],"-")</f>
        <v/>
      </c>
      <c r="AQ173" s="1500">
        <f>COUNTIF(INPUT!BR$5:BS$1000,AO173)</f>
        <v/>
      </c>
      <c r="AR173" s="1507">
        <f>(SUMIFS(routes[total],routes[outbound],AO173)+SUMIFS(routes[total],routes[inbound],AO173))/2</f>
        <v/>
      </c>
      <c r="AS173" s="1481" t="inlineStr">
        <is>
          <t>.</t>
        </is>
      </c>
      <c r="AT173" s="1491" t="n"/>
      <c r="AU173" s="1491" t="n"/>
      <c r="AV173" s="1491" t="n"/>
      <c r="AW173" s="1491" t="n"/>
      <c r="AX173" s="1491" t="n"/>
      <c r="AY173" s="1491" t="n"/>
      <c r="AZ173" s="1491" t="n"/>
      <c r="BA173" s="1491" t="n"/>
      <c r="BB173" s="1491" t="n"/>
      <c r="BC173" s="1491" t="n"/>
      <c r="BD173" s="1491" t="n"/>
      <c r="BE173" s="1491" t="n"/>
      <c r="BF173" s="1491" t="n"/>
      <c r="BG173" s="1491" t="n"/>
      <c r="BH173" s="1491" t="n"/>
      <c r="BI173" s="1491" t="n"/>
      <c r="BJ173" s="1491" t="n"/>
      <c r="BK173" s="1491" t="n"/>
      <c r="BL173" s="1491" t="n"/>
      <c r="BM173" s="1491" t="n"/>
      <c r="BN173" s="1491" t="n"/>
      <c r="BO173" s="1467" t="n"/>
      <c r="BP173" s="1514" t="n">
        <v>169</v>
      </c>
      <c r="BQ173" s="1513">
        <f>[1]Sheet1!C174</f>
        <v/>
      </c>
      <c r="BR173" s="1515">
        <f>[1]Sheet1!D174</f>
        <v/>
      </c>
      <c r="BS173" s="1513">
        <f>[1]Sheet1!E174</f>
        <v/>
      </c>
      <c r="BT173" s="1515">
        <f>[1]Sheet1!F174</f>
        <v/>
      </c>
      <c r="BU173" s="1516">
        <f>[1]Sheet1!G174</f>
        <v/>
      </c>
      <c r="BV173" s="1513">
        <f>[1]Sheet1!H174</f>
        <v/>
      </c>
      <c r="BW173" s="1467" t="n"/>
      <c r="BX173" s="1538" t="n"/>
      <c r="BY173" s="1506" t="n"/>
      <c r="BZ173" s="1537" t="n"/>
      <c r="CA173" s="1511">
        <f>[1]Sheet1!$M174</f>
        <v/>
      </c>
      <c r="CB173" s="1467" t="n"/>
      <c r="CC173" s="1467" t="n"/>
      <c r="CD173" s="1491" t="n"/>
      <c r="CE173" s="1491" t="n"/>
      <c r="CF173" s="1491" t="n"/>
      <c r="CG173" s="1491" t="n"/>
      <c r="CH173" s="1491" t="n"/>
      <c r="CI173" s="1491" t="n"/>
      <c r="CJ173" s="1491" t="n"/>
      <c r="CK173" s="1435" t="n"/>
      <c r="CL173" s="1521" t="n">
        <v>165</v>
      </c>
      <c r="CM173" s="1513" t="inlineStr">
        <is>
          <t>Washington-Montreal</t>
        </is>
      </c>
      <c r="CN173" s="1513" t="inlineStr">
        <is>
          <t>Washington</t>
        </is>
      </c>
      <c r="CO173" s="1513" t="inlineStr">
        <is>
          <t>Montreal</t>
        </is>
      </c>
      <c r="CP173" s="1437" t="n">
        <v>1400</v>
      </c>
      <c r="CQ173" s="1435" t="n"/>
      <c r="CR173" s="1491" t="n"/>
      <c r="CS173" s="1491" t="n"/>
      <c r="CT173" s="1491" t="n"/>
      <c r="CU173" s="1491" t="n"/>
      <c r="CV173" s="1491" t="n"/>
      <c r="CW173" s="1491" t="n"/>
      <c r="CX173" s="1491" t="n"/>
    </row>
    <row r="174">
      <c r="A174" s="1491" t="n"/>
      <c r="B174" s="1491" t="n"/>
      <c r="C174" s="1491" t="n"/>
      <c r="D174" s="1497">
        <f>IF(E174&lt;&gt;"",D173+1,D173)</f>
        <v/>
      </c>
      <c r="E174" s="1497" t="inlineStr">
        <is>
          <t>Salamanca</t>
        </is>
      </c>
      <c r="F174" s="1535" t="inlineStr">
        <is>
          <t>.</t>
        </is>
      </c>
      <c r="G174" s="1498">
        <f>IF(H174="AIR",0,IF(H173="AIR",G172+1,IF(H174&lt;&gt;"",G173+1,G173)))</f>
        <v/>
      </c>
      <c r="H174" s="1498" t="inlineStr">
        <is>
          <t>Madrid</t>
        </is>
      </c>
      <c r="I174" s="1427" t="inlineStr">
        <is>
          <t>.</t>
        </is>
      </c>
      <c r="J174" s="1499" t="n">
        <v>169</v>
      </c>
      <c r="K174" s="1500">
        <f>_xlfn.XLOOKUP(cities[[#This Row],[id]],$D$5:$D$1500,E$5:E$1500,"-")</f>
        <v/>
      </c>
      <c r="L174" s="1500">
        <f>_xlfn.XLOOKUP(cities[[#This Row],[city]],ccc[city],ccc[ctry],"-")</f>
        <v/>
      </c>
      <c r="M174" s="1500">
        <f>SUMIFS(stayCity[stay],stayCity[city],cities[[#This Row],[city]])</f>
        <v/>
      </c>
      <c r="N174" s="1427">
        <f>N173+1</f>
        <v/>
      </c>
      <c r="O174" s="1500" t="n"/>
      <c r="P174" s="1500" t="n"/>
      <c r="Q174" s="1427" t="inlineStr">
        <is>
          <t>.</t>
        </is>
      </c>
      <c r="R174" s="1491" t="n"/>
      <c r="S174" s="1491" t="n"/>
      <c r="T174" s="1491" t="n"/>
      <c r="U174" s="1491" t="n"/>
      <c r="V174" s="1491" t="n"/>
      <c r="W174" s="1491" t="n"/>
      <c r="X174" s="1491" t="n"/>
      <c r="Y174" s="1491" t="n"/>
      <c r="Z174" s="1427" t="inlineStr">
        <is>
          <t>.</t>
        </is>
      </c>
      <c r="AA174" s="1473">
        <f>IF(AB174&lt;&gt;"",AA173+1,AA173)</f>
        <v/>
      </c>
      <c r="AB174" s="1534" t="inlineStr">
        <is>
          <t>Paris-Porto</t>
        </is>
      </c>
      <c r="AC174" s="1473">
        <f>IF(AD174&lt;&gt;"",AC173+1,AC173)</f>
        <v/>
      </c>
      <c r="AD174" s="1534" t="n"/>
      <c r="AE174" s="1427" t="inlineStr">
        <is>
          <t>.</t>
        </is>
      </c>
      <c r="AF174" s="1502" t="n">
        <v>170</v>
      </c>
      <c r="AG174" s="1500">
        <f>_xlfn.XLOOKUP(routes[[#This Row],[id]],$AA$5:$AA$300,$AB$5:$AB$300,"-")</f>
        <v/>
      </c>
      <c r="AH174" s="1500">
        <f>_xlfn.XLOOKUP(routes[[#This Row],[route]],routesUniv[route],routesUniv[outbound],"-")</f>
        <v/>
      </c>
      <c r="AI174" s="1500">
        <f>_xlfn.XLOOKUP(routes[[#This Row],[route]],routesUniv[route],routesUniv[inbound],"-")</f>
        <v/>
      </c>
      <c r="AJ174" s="1500">
        <f>_xlfn.XLOOKUP(routes[[#This Row],[route]],routesUniv[route],routesUniv[km],"-")</f>
        <v/>
      </c>
      <c r="AK174" s="1500">
        <f>COUNTIF(INPUT!BT$5:BT$1000,AG174)</f>
        <v/>
      </c>
      <c r="AL174" s="1505">
        <f>routes[[#This Row],[km]]*routes[[#This Row],[rpt]]/1000</f>
        <v/>
      </c>
      <c r="AM174" s="1481" t="inlineStr">
        <is>
          <t>.</t>
        </is>
      </c>
      <c r="AN174" s="1491" t="n"/>
      <c r="AO174" s="1491" t="n"/>
      <c r="AP174" s="1491" t="n"/>
      <c r="AQ174" s="1491" t="n"/>
      <c r="AR174" s="1491" t="n"/>
      <c r="AS174" s="1491" t="n"/>
      <c r="AT174" s="1491" t="n"/>
      <c r="AU174" s="1491" t="n"/>
      <c r="AV174" s="1491" t="n"/>
      <c r="AW174" s="1491" t="n"/>
      <c r="AX174" s="1491" t="n"/>
      <c r="AY174" s="1491" t="n"/>
      <c r="AZ174" s="1491" t="n"/>
      <c r="BA174" s="1491" t="n"/>
      <c r="BB174" s="1491" t="n"/>
      <c r="BC174" s="1491" t="n"/>
      <c r="BD174" s="1491" t="n"/>
      <c r="BE174" s="1491" t="n"/>
      <c r="BF174" s="1491" t="n"/>
      <c r="BG174" s="1491" t="n"/>
      <c r="BH174" s="1491" t="n"/>
      <c r="BI174" s="1491" t="n"/>
      <c r="BJ174" s="1491" t="n"/>
      <c r="BK174" s="1491" t="n"/>
      <c r="BL174" s="1491" t="n"/>
      <c r="BM174" s="1491" t="n"/>
      <c r="BN174" s="1491" t="n"/>
      <c r="BO174" s="1467" t="n"/>
      <c r="BP174" s="1514" t="n">
        <v>170</v>
      </c>
      <c r="BQ174" s="1513">
        <f>[1]Sheet1!C175</f>
        <v/>
      </c>
      <c r="BR174" s="1515">
        <f>[1]Sheet1!D175</f>
        <v/>
      </c>
      <c r="BS174" s="1513">
        <f>[1]Sheet1!E175</f>
        <v/>
      </c>
      <c r="BT174" s="1515">
        <f>[1]Sheet1!F175</f>
        <v/>
      </c>
      <c r="BU174" s="1516">
        <f>[1]Sheet1!G175</f>
        <v/>
      </c>
      <c r="BV174" s="1513">
        <f>[1]Sheet1!H175</f>
        <v/>
      </c>
      <c r="BW174" s="1467" t="n"/>
      <c r="BX174" s="1538" t="n"/>
      <c r="BY174" s="1506" t="n"/>
      <c r="BZ174" s="1537" t="n"/>
      <c r="CA174" s="1511">
        <f>[1]Sheet1!$M175</f>
        <v/>
      </c>
      <c r="CB174" s="1467" t="n"/>
      <c r="CC174" s="1467" t="n"/>
      <c r="CD174" s="1491" t="n"/>
      <c r="CE174" s="1491" t="n"/>
      <c r="CF174" s="1491" t="n"/>
      <c r="CG174" s="1491" t="n"/>
      <c r="CH174" s="1491" t="n"/>
      <c r="CI174" s="1491" t="n"/>
      <c r="CJ174" s="1491" t="n"/>
      <c r="CK174" s="1435" t="n"/>
      <c r="CL174" s="1521" t="n">
        <v>166</v>
      </c>
      <c r="CM174" s="1513" t="inlineStr">
        <is>
          <t>Washington-NYC</t>
        </is>
      </c>
      <c r="CN174" s="1513" t="inlineStr">
        <is>
          <t>Washington</t>
        </is>
      </c>
      <c r="CO174" s="1513" t="inlineStr">
        <is>
          <t>NYC</t>
        </is>
      </c>
      <c r="CP174" s="1437" t="n">
        <v>300</v>
      </c>
      <c r="CQ174" s="1435" t="n"/>
      <c r="CR174" s="1491" t="n"/>
      <c r="CS174" s="1491" t="n"/>
      <c r="CT174" s="1491" t="n"/>
      <c r="CU174" s="1491" t="n"/>
      <c r="CV174" s="1491" t="n"/>
      <c r="CW174" s="1491" t="n"/>
      <c r="CX174" s="1491" t="n"/>
    </row>
    <row r="175">
      <c r="A175" s="1491" t="n"/>
      <c r="B175" s="1491" t="n"/>
      <c r="C175" s="1491" t="n"/>
      <c r="D175" s="1497">
        <f>IF(E175&lt;&gt;"",D174+1,D174)</f>
        <v/>
      </c>
      <c r="E175" s="1497" t="inlineStr">
        <is>
          <t>Avila</t>
        </is>
      </c>
      <c r="F175" s="1535" t="inlineStr">
        <is>
          <t>.</t>
        </is>
      </c>
      <c r="G175" s="1498">
        <f>IF(H175="AIR",0,IF(H174="AIR",G173+1,IF(H175&lt;&gt;"",G174+1,G174)))</f>
        <v/>
      </c>
      <c r="H175" s="1498" t="inlineStr">
        <is>
          <t>Toledo</t>
        </is>
      </c>
      <c r="I175" s="1427" t="inlineStr">
        <is>
          <t>.</t>
        </is>
      </c>
      <c r="J175" s="1499" t="n">
        <v>170</v>
      </c>
      <c r="K175" s="1500">
        <f>_xlfn.XLOOKUP(cities[[#This Row],[id]],$D$5:$D$1500,E$5:E$1500,"-")</f>
        <v/>
      </c>
      <c r="L175" s="1500">
        <f>_xlfn.XLOOKUP(cities[[#This Row],[city]],ccc[city],ccc[ctry],"-")</f>
        <v/>
      </c>
      <c r="M175" s="1500">
        <f>SUMIFS(stayCity[stay],stayCity[city],cities[[#This Row],[city]])</f>
        <v/>
      </c>
      <c r="N175" s="1427">
        <f>N174+1</f>
        <v/>
      </c>
      <c r="O175" s="1500" t="n"/>
      <c r="P175" s="1500" t="n"/>
      <c r="Q175" s="1427" t="inlineStr">
        <is>
          <t>.</t>
        </is>
      </c>
      <c r="R175" s="1491" t="n"/>
      <c r="S175" s="1491" t="n"/>
      <c r="T175" s="1491" t="n"/>
      <c r="U175" s="1491" t="n"/>
      <c r="V175" s="1491" t="n"/>
      <c r="W175" s="1491" t="n"/>
      <c r="X175" s="1491" t="n"/>
      <c r="Y175" s="1491" t="n"/>
      <c r="Z175" s="1427" t="inlineStr">
        <is>
          <t>.</t>
        </is>
      </c>
      <c r="AA175" s="1473">
        <f>IF(AB175&lt;&gt;"",AA174+1,AA174)</f>
        <v/>
      </c>
      <c r="AB175" s="1534" t="inlineStr">
        <is>
          <t>Porto-Rome</t>
        </is>
      </c>
      <c r="AC175" s="1473">
        <f>IF(AD175&lt;&gt;"",AC174+1,AC174)</f>
        <v/>
      </c>
      <c r="AD175" s="1534" t="n"/>
      <c r="AE175" s="1427" t="inlineStr">
        <is>
          <t>.</t>
        </is>
      </c>
      <c r="AF175" s="1502" t="n">
        <v>171</v>
      </c>
      <c r="AG175" s="1500">
        <f>_xlfn.XLOOKUP(routes[[#This Row],[id]],$AA$5:$AA$300,$AB$5:$AB$300,"-")</f>
        <v/>
      </c>
      <c r="AH175" s="1500">
        <f>_xlfn.XLOOKUP(routes[[#This Row],[route]],routesUniv[route],routesUniv[outbound],"-")</f>
        <v/>
      </c>
      <c r="AI175" s="1500">
        <f>_xlfn.XLOOKUP(routes[[#This Row],[route]],routesUniv[route],routesUniv[inbound],"-")</f>
        <v/>
      </c>
      <c r="AJ175" s="1500">
        <f>_xlfn.XLOOKUP(routes[[#This Row],[route]],routesUniv[route],routesUniv[km],"-")</f>
        <v/>
      </c>
      <c r="AK175" s="1500">
        <f>COUNTIF(INPUT!BT$5:BT$1000,AG175)</f>
        <v/>
      </c>
      <c r="AL175" s="1505">
        <f>routes[[#This Row],[km]]*routes[[#This Row],[rpt]]/1000</f>
        <v/>
      </c>
      <c r="AM175" s="1481" t="inlineStr">
        <is>
          <t>.</t>
        </is>
      </c>
      <c r="AN175" s="1491" t="n"/>
      <c r="AO175" s="1491" t="n"/>
      <c r="AP175" s="1491" t="n"/>
      <c r="AQ175" s="1491" t="n"/>
      <c r="AR175" s="1491" t="n"/>
      <c r="AS175" s="1491" t="n"/>
      <c r="AT175" s="1491" t="n"/>
      <c r="AU175" s="1491" t="n"/>
      <c r="AV175" s="1491" t="n"/>
      <c r="AW175" s="1491" t="n"/>
      <c r="AX175" s="1491" t="n"/>
      <c r="AY175" s="1491" t="n"/>
      <c r="AZ175" s="1491" t="n"/>
      <c r="BA175" s="1491" t="n"/>
      <c r="BB175" s="1491" t="n"/>
      <c r="BC175" s="1491" t="n"/>
      <c r="BD175" s="1491" t="n"/>
      <c r="BE175" s="1491" t="n"/>
      <c r="BF175" s="1491" t="n"/>
      <c r="BG175" s="1491" t="n"/>
      <c r="BH175" s="1491" t="n"/>
      <c r="BI175" s="1491" t="n"/>
      <c r="BJ175" s="1491" t="n"/>
      <c r="BK175" s="1491" t="n"/>
      <c r="BL175" s="1491" t="n"/>
      <c r="BM175" s="1491" t="n"/>
      <c r="BN175" s="1491" t="n"/>
      <c r="BO175" s="1467" t="n"/>
      <c r="BP175" s="1514" t="n">
        <v>171</v>
      </c>
      <c r="BQ175" s="1513">
        <f>[1]Sheet1!C176</f>
        <v/>
      </c>
      <c r="BR175" s="1515">
        <f>[1]Sheet1!D176</f>
        <v/>
      </c>
      <c r="BS175" s="1513">
        <f>[1]Sheet1!E176</f>
        <v/>
      </c>
      <c r="BT175" s="1515">
        <f>[1]Sheet1!F176</f>
        <v/>
      </c>
      <c r="BU175" s="1516">
        <f>[1]Sheet1!G176</f>
        <v/>
      </c>
      <c r="BV175" s="1513">
        <f>[1]Sheet1!H176</f>
        <v/>
      </c>
      <c r="BW175" s="1467" t="n"/>
      <c r="BX175" s="1538" t="n"/>
      <c r="BY175" s="1506" t="n"/>
      <c r="BZ175" s="1537" t="n"/>
      <c r="CA175" s="1511">
        <f>[1]Sheet1!$M176</f>
        <v/>
      </c>
      <c r="CB175" s="1467" t="n"/>
      <c r="CC175" s="1467" t="n"/>
      <c r="CD175" s="1491" t="n"/>
      <c r="CE175" s="1491" t="n"/>
      <c r="CF175" s="1491" t="n"/>
      <c r="CG175" s="1491" t="n"/>
      <c r="CH175" s="1491" t="n"/>
      <c r="CI175" s="1491" t="n"/>
      <c r="CJ175" s="1491" t="n"/>
      <c r="CK175" s="1435" t="n"/>
      <c r="CL175" s="1521" t="n">
        <v>167</v>
      </c>
      <c r="CM175" s="1500" t="inlineStr">
        <is>
          <t>Washington-Orlando</t>
        </is>
      </c>
      <c r="CN175" s="1500" t="inlineStr">
        <is>
          <t>Washington</t>
        </is>
      </c>
      <c r="CO175" s="1500" t="inlineStr">
        <is>
          <t>Orlando</t>
        </is>
      </c>
      <c r="CP175" s="1437" t="n">
        <v>1500</v>
      </c>
      <c r="CQ175" s="1435" t="n"/>
      <c r="CR175" s="1491" t="n"/>
      <c r="CS175" s="1491" t="n"/>
      <c r="CT175" s="1491" t="n"/>
      <c r="CU175" s="1491" t="n"/>
      <c r="CV175" s="1491" t="n"/>
      <c r="CW175" s="1491" t="n"/>
      <c r="CX175" s="1491" t="n"/>
    </row>
    <row r="176">
      <c r="A176" s="1491" t="n"/>
      <c r="B176" s="1491" t="n"/>
      <c r="C176" s="1491" t="n"/>
      <c r="D176" s="1497">
        <f>IF(E176&lt;&gt;"",D175+1,D175)</f>
        <v/>
      </c>
      <c r="E176" s="1497" t="inlineStr">
        <is>
          <t>Serra da Estrela</t>
        </is>
      </c>
      <c r="F176" s="1535" t="inlineStr">
        <is>
          <t>.</t>
        </is>
      </c>
      <c r="G176" s="1498">
        <f>IF(H176="AIR",0,IF(H175="AIR",G174+1,IF(H176&lt;&gt;"",G175+1,G175)))</f>
        <v/>
      </c>
      <c r="H176" s="1498" t="inlineStr">
        <is>
          <t>Vale de los Caidos</t>
        </is>
      </c>
      <c r="I176" s="1427" t="inlineStr">
        <is>
          <t>.</t>
        </is>
      </c>
      <c r="J176" s="1499" t="n">
        <v>171</v>
      </c>
      <c r="K176" s="1500">
        <f>_xlfn.XLOOKUP(cities[[#This Row],[id]],$D$5:$D$1500,E$5:E$1500,"-")</f>
        <v/>
      </c>
      <c r="L176" s="1500">
        <f>_xlfn.XLOOKUP(cities[[#This Row],[city]],ccc[city],ccc[ctry],"-")</f>
        <v/>
      </c>
      <c r="M176" s="1500">
        <f>SUMIFS(stayCity[stay],stayCity[city],cities[[#This Row],[city]])</f>
        <v/>
      </c>
      <c r="N176" s="1427">
        <f>N175+1</f>
        <v/>
      </c>
      <c r="O176" s="1500" t="n"/>
      <c r="P176" s="1500" t="n"/>
      <c r="Q176" s="1427" t="inlineStr">
        <is>
          <t>.</t>
        </is>
      </c>
      <c r="R176" s="1491" t="n"/>
      <c r="S176" s="1491" t="n"/>
      <c r="T176" s="1491" t="n"/>
      <c r="U176" s="1491" t="n"/>
      <c r="V176" s="1491" t="n"/>
      <c r="W176" s="1491" t="n"/>
      <c r="X176" s="1491" t="n"/>
      <c r="Y176" s="1491" t="n"/>
      <c r="Z176" s="1427" t="inlineStr">
        <is>
          <t>.</t>
        </is>
      </c>
      <c r="AA176" s="1473">
        <f>IF(AB176&lt;&gt;"",AA175+1,AA175)</f>
        <v/>
      </c>
      <c r="AB176" s="1534" t="inlineStr">
        <is>
          <t>Rome-Porto</t>
        </is>
      </c>
      <c r="AC176" s="1473">
        <f>IF(AD176&lt;&gt;"",AC175+1,AC175)</f>
        <v/>
      </c>
      <c r="AD176" s="1534" t="n"/>
      <c r="AE176" s="1427" t="inlineStr">
        <is>
          <t>.</t>
        </is>
      </c>
      <c r="AF176" s="1502" t="n">
        <v>172</v>
      </c>
      <c r="AG176" s="1500">
        <f>_xlfn.XLOOKUP(routes[[#This Row],[id]],$AA$5:$AA$300,$AB$5:$AB$300,"-")</f>
        <v/>
      </c>
      <c r="AH176" s="1500">
        <f>_xlfn.XLOOKUP(routes[[#This Row],[route]],routesUniv[route],routesUniv[outbound],"-")</f>
        <v/>
      </c>
      <c r="AI176" s="1500">
        <f>_xlfn.XLOOKUP(routes[[#This Row],[route]],routesUniv[route],routesUniv[inbound],"-")</f>
        <v/>
      </c>
      <c r="AJ176" s="1500">
        <f>_xlfn.XLOOKUP(routes[[#This Row],[route]],routesUniv[route],routesUniv[km],"-")</f>
        <v/>
      </c>
      <c r="AK176" s="1500">
        <f>COUNTIF(INPUT!BT$5:BT$1000,AG176)</f>
        <v/>
      </c>
      <c r="AL176" s="1505">
        <f>routes[[#This Row],[km]]*routes[[#This Row],[rpt]]/1000</f>
        <v/>
      </c>
      <c r="AM176" s="1481" t="inlineStr">
        <is>
          <t>.</t>
        </is>
      </c>
      <c r="AN176" s="1491" t="n"/>
      <c r="AO176" s="1491" t="n"/>
      <c r="AP176" s="1491" t="n"/>
      <c r="AQ176" s="1491" t="n"/>
      <c r="AR176" s="1491" t="n"/>
      <c r="AS176" s="1491" t="n"/>
      <c r="AT176" s="1491" t="n"/>
      <c r="AU176" s="1491" t="n"/>
      <c r="AV176" s="1491" t="n"/>
      <c r="AW176" s="1491" t="n"/>
      <c r="AX176" s="1491" t="n"/>
      <c r="AY176" s="1491" t="n"/>
      <c r="AZ176" s="1491" t="n"/>
      <c r="BA176" s="1491" t="n"/>
      <c r="BB176" s="1491" t="n"/>
      <c r="BC176" s="1491" t="n"/>
      <c r="BD176" s="1491" t="n"/>
      <c r="BE176" s="1491" t="n"/>
      <c r="BF176" s="1491" t="n"/>
      <c r="BG176" s="1491" t="n"/>
      <c r="BH176" s="1491" t="n"/>
      <c r="BI176" s="1491" t="n"/>
      <c r="BJ176" s="1491" t="n"/>
      <c r="BK176" s="1491" t="n"/>
      <c r="BL176" s="1491" t="n"/>
      <c r="BM176" s="1491" t="n"/>
      <c r="BN176" s="1491" t="n"/>
      <c r="BO176" s="1467" t="n"/>
      <c r="BP176" s="1514" t="n">
        <v>172</v>
      </c>
      <c r="BQ176" s="1513">
        <f>[1]Sheet1!C177</f>
        <v/>
      </c>
      <c r="BR176" s="1515">
        <f>[1]Sheet1!D177</f>
        <v/>
      </c>
      <c r="BS176" s="1513">
        <f>[1]Sheet1!E177</f>
        <v/>
      </c>
      <c r="BT176" s="1515">
        <f>[1]Sheet1!F177</f>
        <v/>
      </c>
      <c r="BU176" s="1516">
        <f>[1]Sheet1!G177</f>
        <v/>
      </c>
      <c r="BV176" s="1513">
        <f>[1]Sheet1!H177</f>
        <v/>
      </c>
      <c r="BW176" s="1467" t="n"/>
      <c r="BX176" s="1538" t="n"/>
      <c r="BY176" s="1506" t="n"/>
      <c r="BZ176" s="1537" t="n"/>
      <c r="CA176" s="1511">
        <f>[1]Sheet1!$M177</f>
        <v/>
      </c>
      <c r="CB176" s="1467" t="n"/>
      <c r="CC176" s="1467" t="n"/>
      <c r="CD176" s="1491" t="n"/>
      <c r="CE176" s="1491" t="n"/>
      <c r="CF176" s="1491" t="n"/>
      <c r="CG176" s="1491" t="n"/>
      <c r="CH176" s="1491" t="n"/>
      <c r="CI176" s="1491" t="n"/>
      <c r="CJ176" s="1491" t="n"/>
      <c r="CK176" s="1435" t="n"/>
      <c r="CL176" s="1521" t="n">
        <v>168</v>
      </c>
      <c r="CM176" s="1513" t="inlineStr">
        <is>
          <t>Xi'An-Beijing</t>
        </is>
      </c>
      <c r="CN176" s="1513" t="inlineStr">
        <is>
          <t>Xi'An</t>
        </is>
      </c>
      <c r="CO176" s="1513" t="inlineStr">
        <is>
          <t>Beijing</t>
        </is>
      </c>
      <c r="CP176" s="1437" t="n">
        <v>900</v>
      </c>
      <c r="CQ176" s="1435" t="n"/>
      <c r="CR176" s="1491" t="n"/>
      <c r="CS176" s="1491" t="n"/>
      <c r="CT176" s="1491" t="n"/>
      <c r="CU176" s="1491" t="n"/>
      <c r="CV176" s="1491" t="n"/>
      <c r="CW176" s="1491" t="n"/>
      <c r="CX176" s="1491" t="n"/>
    </row>
    <row r="177">
      <c r="A177" s="1491" t="n"/>
      <c r="B177" s="1491" t="n"/>
      <c r="C177" s="1491" t="n"/>
      <c r="D177" s="1497">
        <f>IF(E177&lt;&gt;"",D176+1,D176)</f>
        <v/>
      </c>
      <c r="E177" s="1497" t="inlineStr">
        <is>
          <t>Coimbra</t>
        </is>
      </c>
      <c r="F177" s="1535" t="inlineStr">
        <is>
          <t>.</t>
        </is>
      </c>
      <c r="G177" s="1498">
        <f>IF(H177="AIR",0,IF(H176="AIR",G175+1,IF(H177&lt;&gt;"",G176+1,G176)))</f>
        <v/>
      </c>
      <c r="H177" s="1498" t="inlineStr">
        <is>
          <t>Salamanca</t>
        </is>
      </c>
      <c r="I177" s="1427" t="inlineStr">
        <is>
          <t>.</t>
        </is>
      </c>
      <c r="J177" s="1499" t="n">
        <v>172</v>
      </c>
      <c r="K177" s="1500">
        <f>_xlfn.XLOOKUP(cities[[#This Row],[id]],$D$5:$D$1500,E$5:E$1500,"-")</f>
        <v/>
      </c>
      <c r="L177" s="1500">
        <f>_xlfn.XLOOKUP(cities[[#This Row],[city]],ccc[city],ccc[ctry],"-")</f>
        <v/>
      </c>
      <c r="M177" s="1500">
        <f>SUMIFS(stayCity[stay],stayCity[city],cities[[#This Row],[city]])</f>
        <v/>
      </c>
      <c r="N177" s="1427">
        <f>N176+1</f>
        <v/>
      </c>
      <c r="O177" s="1500" t="n"/>
      <c r="P177" s="1500" t="n"/>
      <c r="Q177" s="1427" t="inlineStr">
        <is>
          <t>.</t>
        </is>
      </c>
      <c r="R177" s="1491" t="n"/>
      <c r="S177" s="1491" t="n"/>
      <c r="T177" s="1491" t="n"/>
      <c r="U177" s="1491" t="n"/>
      <c r="V177" s="1491" t="n"/>
      <c r="W177" s="1491" t="n"/>
      <c r="X177" s="1491" t="n"/>
      <c r="Y177" s="1491" t="n"/>
      <c r="Z177" s="1427" t="inlineStr">
        <is>
          <t>.</t>
        </is>
      </c>
      <c r="AA177" s="1473">
        <f>IF(AB177&lt;&gt;"",AA176+1,AA176)</f>
        <v/>
      </c>
      <c r="AB177" s="1534" t="inlineStr">
        <is>
          <t>SSA-Paris</t>
        </is>
      </c>
      <c r="AC177" s="1534" t="n"/>
      <c r="AD177" s="1534" t="n"/>
      <c r="AE177" s="1427" t="inlineStr">
        <is>
          <t>.</t>
        </is>
      </c>
      <c r="AF177" s="1500" t="n"/>
      <c r="AG177" s="1500" t="n"/>
      <c r="AH177" s="1500" t="n"/>
      <c r="AI177" s="1500" t="n"/>
      <c r="AJ177" s="1539" t="n"/>
      <c r="AK177" s="1500" t="n"/>
      <c r="AL177" s="1505" t="n"/>
      <c r="AM177" s="1491" t="n"/>
      <c r="AN177" s="1491" t="n"/>
      <c r="AO177" s="1491" t="n"/>
      <c r="AP177" s="1491" t="n"/>
      <c r="AQ177" s="1491" t="n"/>
      <c r="AR177" s="1491" t="n"/>
      <c r="AS177" s="1491" t="n"/>
      <c r="AT177" s="1491" t="n"/>
      <c r="AU177" s="1491" t="n"/>
      <c r="AV177" s="1491" t="n"/>
      <c r="AW177" s="1491" t="n"/>
      <c r="AX177" s="1491" t="n"/>
      <c r="AY177" s="1491" t="n"/>
      <c r="AZ177" s="1491" t="n"/>
      <c r="BA177" s="1491" t="n"/>
      <c r="BB177" s="1491" t="n"/>
      <c r="BC177" s="1491" t="n"/>
      <c r="BD177" s="1491" t="n"/>
      <c r="BE177" s="1491" t="n"/>
      <c r="BF177" s="1491" t="n"/>
      <c r="BG177" s="1491" t="n"/>
      <c r="BH177" s="1491" t="n"/>
      <c r="BI177" s="1491" t="n"/>
      <c r="BJ177" s="1491" t="n"/>
      <c r="BK177" s="1491" t="n"/>
      <c r="BL177" s="1491" t="n"/>
      <c r="BM177" s="1491" t="n"/>
      <c r="BN177" s="1491" t="n"/>
      <c r="BO177" s="1467" t="n"/>
      <c r="BP177" s="1514" t="n">
        <v>173</v>
      </c>
      <c r="BQ177" s="1513">
        <f>[1]Sheet1!C178</f>
        <v/>
      </c>
      <c r="BR177" s="1515">
        <f>[1]Sheet1!D178</f>
        <v/>
      </c>
      <c r="BS177" s="1513">
        <f>[1]Sheet1!E178</f>
        <v/>
      </c>
      <c r="BT177" s="1515">
        <f>[1]Sheet1!F178</f>
        <v/>
      </c>
      <c r="BU177" s="1516">
        <f>[1]Sheet1!G178</f>
        <v/>
      </c>
      <c r="BV177" s="1513">
        <f>[1]Sheet1!H178</f>
        <v/>
      </c>
      <c r="BW177" s="1467" t="n"/>
      <c r="BX177" s="1538" t="n"/>
      <c r="BY177" s="1506" t="n"/>
      <c r="BZ177" s="1537" t="n"/>
      <c r="CA177" s="1511">
        <f>[1]Sheet1!$M178</f>
        <v/>
      </c>
      <c r="CB177" s="1467" t="n"/>
      <c r="CC177" s="1467" t="n"/>
      <c r="CD177" s="1491" t="n"/>
      <c r="CE177" s="1491" t="n"/>
      <c r="CF177" s="1491" t="n"/>
      <c r="CG177" s="1491" t="n"/>
      <c r="CH177" s="1491" t="n"/>
      <c r="CI177" s="1491" t="n"/>
      <c r="CJ177" s="1491" t="n"/>
      <c r="CK177" s="1435" t="n"/>
      <c r="CL177" s="1521" t="n">
        <v>169</v>
      </c>
      <c r="CM177" s="1513" t="inlineStr">
        <is>
          <t>Zurich-Paris</t>
        </is>
      </c>
      <c r="CN177" s="1513" t="inlineStr">
        <is>
          <t>Zurich</t>
        </is>
      </c>
      <c r="CO177" s="1513" t="inlineStr">
        <is>
          <t>Paris</t>
        </is>
      </c>
      <c r="CP177" s="1437" t="n">
        <v>500</v>
      </c>
      <c r="CQ177" s="1435" t="n"/>
      <c r="CR177" s="1491" t="n"/>
      <c r="CS177" s="1491" t="n"/>
      <c r="CT177" s="1491" t="n"/>
      <c r="CU177" s="1491" t="n"/>
      <c r="CV177" s="1491" t="n"/>
      <c r="CW177" s="1491" t="n"/>
      <c r="CX177" s="1491" t="n"/>
    </row>
    <row r="178">
      <c r="A178" s="1491" t="n"/>
      <c r="B178" s="1491" t="n"/>
      <c r="C178" s="1491" t="n"/>
      <c r="D178" s="1497">
        <f>IF(E178&lt;&gt;"",D177+1,D177)</f>
        <v/>
      </c>
      <c r="E178" s="1497" t="inlineStr">
        <is>
          <t>Fatima</t>
        </is>
      </c>
      <c r="F178" s="1535" t="inlineStr">
        <is>
          <t>.</t>
        </is>
      </c>
      <c r="G178" s="1498">
        <f>IF(H178="AIR",0,IF(H177="AIR",G176+1,IF(H178&lt;&gt;"",G177+1,G177)))</f>
        <v/>
      </c>
      <c r="H178" s="1498" t="inlineStr">
        <is>
          <t>Avila</t>
        </is>
      </c>
      <c r="I178" s="1427" t="inlineStr">
        <is>
          <t>.</t>
        </is>
      </c>
      <c r="J178" s="1499" t="n">
        <v>173</v>
      </c>
      <c r="K178" s="1500">
        <f>_xlfn.XLOOKUP(cities[[#This Row],[id]],$D$5:$D$1500,E$5:E$1500,"-")</f>
        <v/>
      </c>
      <c r="L178" s="1500">
        <f>_xlfn.XLOOKUP(cities[[#This Row],[city]],ccc[city],ccc[ctry],"-")</f>
        <v/>
      </c>
      <c r="M178" s="1500">
        <f>SUMIFS(stayCity[stay],stayCity[city],cities[[#This Row],[city]])</f>
        <v/>
      </c>
      <c r="N178" s="1427">
        <f>N177+1</f>
        <v/>
      </c>
      <c r="O178" s="1500" t="n"/>
      <c r="P178" s="1500" t="n"/>
      <c r="Q178" s="1427" t="inlineStr">
        <is>
          <t>.</t>
        </is>
      </c>
      <c r="R178" s="1491" t="n"/>
      <c r="S178" s="1491" t="n"/>
      <c r="T178" s="1491" t="n"/>
      <c r="U178" s="1491" t="n"/>
      <c r="V178" s="1491" t="n"/>
      <c r="W178" s="1491" t="n"/>
      <c r="X178" s="1491" t="n"/>
      <c r="Y178" s="1491" t="n"/>
      <c r="Z178" s="1427" t="inlineStr">
        <is>
          <t>.</t>
        </is>
      </c>
      <c r="AA178" s="1473">
        <f>IF(AB178&lt;&gt;"",AA177+1,AA177)</f>
        <v/>
      </c>
      <c r="AB178" s="1534" t="n"/>
      <c r="AC178" s="1534" t="n"/>
      <c r="AD178" s="1534" t="n"/>
      <c r="AE178" s="1427" t="inlineStr">
        <is>
          <t>.</t>
        </is>
      </c>
      <c r="AF178" s="1500" t="n"/>
      <c r="AG178" s="1500" t="n"/>
      <c r="AH178" s="1500" t="n"/>
      <c r="AI178" s="1500" t="n"/>
      <c r="AJ178" s="1539" t="n"/>
      <c r="AK178" s="1500" t="n"/>
      <c r="AL178" s="1505" t="n"/>
      <c r="AM178" s="1491" t="n"/>
      <c r="AN178" s="1491" t="n"/>
      <c r="AO178" s="1491" t="n"/>
      <c r="AP178" s="1491" t="n"/>
      <c r="AQ178" s="1491" t="n"/>
      <c r="AR178" s="1491" t="n"/>
      <c r="AS178" s="1491" t="n"/>
      <c r="AT178" s="1491" t="n"/>
      <c r="AU178" s="1491" t="n"/>
      <c r="AV178" s="1491" t="n"/>
      <c r="AW178" s="1491" t="n"/>
      <c r="AX178" s="1491" t="n"/>
      <c r="AY178" s="1491" t="n"/>
      <c r="AZ178" s="1491" t="n"/>
      <c r="BA178" s="1491" t="n"/>
      <c r="BB178" s="1491" t="n"/>
      <c r="BC178" s="1491" t="n"/>
      <c r="BD178" s="1491" t="n"/>
      <c r="BE178" s="1491" t="n"/>
      <c r="BF178" s="1491" t="n"/>
      <c r="BG178" s="1491" t="n"/>
      <c r="BH178" s="1491" t="n"/>
      <c r="BI178" s="1491" t="n"/>
      <c r="BJ178" s="1491" t="n"/>
      <c r="BK178" s="1491" t="n"/>
      <c r="BL178" s="1491" t="n"/>
      <c r="BM178" s="1491" t="n"/>
      <c r="BN178" s="1491" t="n"/>
      <c r="BO178" s="1467" t="n"/>
      <c r="BP178" s="1514" t="n">
        <v>174</v>
      </c>
      <c r="BQ178" s="1513">
        <f>[1]Sheet1!C179</f>
        <v/>
      </c>
      <c r="BR178" s="1515">
        <f>[1]Sheet1!D179</f>
        <v/>
      </c>
      <c r="BS178" s="1513">
        <f>[1]Sheet1!E179</f>
        <v/>
      </c>
      <c r="BT178" s="1515">
        <f>[1]Sheet1!F179</f>
        <v/>
      </c>
      <c r="BU178" s="1516">
        <f>[1]Sheet1!G179</f>
        <v/>
      </c>
      <c r="BV178" s="1513">
        <f>[1]Sheet1!H179</f>
        <v/>
      </c>
      <c r="BW178" s="1467" t="n"/>
      <c r="BX178" s="1538" t="n"/>
      <c r="BY178" s="1506" t="n"/>
      <c r="BZ178" s="1537" t="n"/>
      <c r="CA178" s="1511">
        <f>[1]Sheet1!$M179</f>
        <v/>
      </c>
      <c r="CB178" s="1467" t="n"/>
      <c r="CC178" s="1467" t="n"/>
      <c r="CD178" s="1491" t="n"/>
      <c r="CE178" s="1491" t="n"/>
      <c r="CF178" s="1491" t="n"/>
      <c r="CG178" s="1491" t="n"/>
      <c r="CH178" s="1491" t="n"/>
      <c r="CI178" s="1491" t="n"/>
      <c r="CJ178" s="1491" t="n"/>
      <c r="CK178" s="1435" t="n"/>
      <c r="CL178" s="1521" t="n">
        <v>170</v>
      </c>
      <c r="CM178" s="1513" t="inlineStr">
        <is>
          <t>Zurich-SP</t>
        </is>
      </c>
      <c r="CN178" s="1513" t="inlineStr">
        <is>
          <t>Zurich</t>
        </is>
      </c>
      <c r="CO178" s="1513" t="inlineStr">
        <is>
          <t>SP</t>
        </is>
      </c>
      <c r="CP178" s="1437" t="n">
        <v>9600</v>
      </c>
      <c r="CQ178" s="1435" t="n"/>
      <c r="CR178" s="1491" t="n"/>
      <c r="CS178" s="1491" t="n"/>
      <c r="CT178" s="1491" t="n"/>
      <c r="CU178" s="1491" t="n"/>
      <c r="CV178" s="1491" t="n"/>
      <c r="CW178" s="1491" t="n"/>
      <c r="CX178" s="1491" t="n"/>
    </row>
    <row r="179">
      <c r="A179" s="1491" t="n"/>
      <c r="B179" s="1491" t="n"/>
      <c r="C179" s="1491" t="n"/>
      <c r="D179" s="1497">
        <f>IF(E179&lt;&gt;"",D178+1,D178)</f>
        <v/>
      </c>
      <c r="E179" s="1497" t="inlineStr">
        <is>
          <t>Batalha</t>
        </is>
      </c>
      <c r="F179" s="1535" t="inlineStr">
        <is>
          <t>.</t>
        </is>
      </c>
      <c r="G179" s="1498">
        <f>IF(H179="AIR",0,IF(H178="AIR",G177+1,IF(H179&lt;&gt;"",G178+1,G178)))</f>
        <v/>
      </c>
      <c r="H179" s="1498" t="inlineStr">
        <is>
          <t>Serra da Estrela</t>
        </is>
      </c>
      <c r="I179" s="1427" t="inlineStr">
        <is>
          <t>.</t>
        </is>
      </c>
      <c r="J179" s="1499" t="n">
        <v>174</v>
      </c>
      <c r="K179" s="1500">
        <f>_xlfn.XLOOKUP(cities[[#This Row],[id]],$D$5:$D$1500,E$5:E$1500,"-")</f>
        <v/>
      </c>
      <c r="L179" s="1500">
        <f>_xlfn.XLOOKUP(cities[[#This Row],[city]],ccc[city],ccc[ctry],"-")</f>
        <v/>
      </c>
      <c r="M179" s="1500">
        <f>SUMIFS(stayCity[stay],stayCity[city],cities[[#This Row],[city]])</f>
        <v/>
      </c>
      <c r="N179" s="1427">
        <f>N178+1</f>
        <v/>
      </c>
      <c r="O179" s="1500" t="n"/>
      <c r="P179" s="1500" t="n"/>
      <c r="Q179" s="1427" t="inlineStr">
        <is>
          <t>.</t>
        </is>
      </c>
      <c r="R179" s="1491" t="n"/>
      <c r="S179" s="1491" t="n"/>
      <c r="T179" s="1491" t="n"/>
      <c r="U179" s="1491" t="n"/>
      <c r="V179" s="1491" t="n"/>
      <c r="W179" s="1491" t="n"/>
      <c r="X179" s="1491" t="n"/>
      <c r="Y179" s="1491" t="n"/>
      <c r="Z179" s="1427" t="inlineStr">
        <is>
          <t>.</t>
        </is>
      </c>
      <c r="AA179" s="1473">
        <f>IF(AB179&lt;&gt;"",AA178+1,AA178)</f>
        <v/>
      </c>
      <c r="AB179" s="1534" t="n"/>
      <c r="AC179" s="1534" t="n"/>
      <c r="AD179" s="1534" t="n"/>
      <c r="AE179" s="1427" t="inlineStr">
        <is>
          <t>.</t>
        </is>
      </c>
      <c r="AF179" s="1500" t="n"/>
      <c r="AG179" s="1500" t="n"/>
      <c r="AH179" s="1500" t="n"/>
      <c r="AI179" s="1500" t="n"/>
      <c r="AJ179" s="1539" t="n"/>
      <c r="AK179" s="1500" t="n"/>
      <c r="AL179" s="1505" t="n"/>
      <c r="AM179" s="1491" t="n"/>
      <c r="AN179" s="1491" t="n"/>
      <c r="AO179" s="1491" t="n"/>
      <c r="AP179" s="1491" t="n"/>
      <c r="AQ179" s="1491" t="n"/>
      <c r="AR179" s="1491" t="n"/>
      <c r="AS179" s="1491" t="n"/>
      <c r="AT179" s="1491" t="n"/>
      <c r="AU179" s="1491" t="n"/>
      <c r="AV179" s="1491" t="n"/>
      <c r="AW179" s="1491" t="n"/>
      <c r="AX179" s="1491" t="n"/>
      <c r="AY179" s="1491" t="n"/>
      <c r="AZ179" s="1491" t="n"/>
      <c r="BA179" s="1491" t="n"/>
      <c r="BB179" s="1491" t="n"/>
      <c r="BC179" s="1491" t="n"/>
      <c r="BD179" s="1491" t="n"/>
      <c r="BE179" s="1491" t="n"/>
      <c r="BF179" s="1491" t="n"/>
      <c r="BG179" s="1491" t="n"/>
      <c r="BH179" s="1491" t="n"/>
      <c r="BI179" s="1491" t="n"/>
      <c r="BJ179" s="1491" t="n"/>
      <c r="BK179" s="1491" t="n"/>
      <c r="BL179" s="1491" t="n"/>
      <c r="BM179" s="1491" t="n"/>
      <c r="BN179" s="1491" t="n"/>
      <c r="BO179" s="1467" t="n"/>
      <c r="BP179" s="1514" t="n">
        <v>175</v>
      </c>
      <c r="BQ179" s="1513">
        <f>[1]Sheet1!C180</f>
        <v/>
      </c>
      <c r="BR179" s="1515">
        <f>[1]Sheet1!D180</f>
        <v/>
      </c>
      <c r="BS179" s="1513">
        <f>[1]Sheet1!E180</f>
        <v/>
      </c>
      <c r="BT179" s="1515">
        <f>[1]Sheet1!F180</f>
        <v/>
      </c>
      <c r="BU179" s="1516">
        <f>[1]Sheet1!G180</f>
        <v/>
      </c>
      <c r="BV179" s="1513">
        <f>[1]Sheet1!H180</f>
        <v/>
      </c>
      <c r="BW179" s="1467" t="n"/>
      <c r="BX179" s="1538" t="n"/>
      <c r="BY179" s="1506" t="n"/>
      <c r="BZ179" s="1537" t="n"/>
      <c r="CA179" s="1511">
        <f>[1]Sheet1!$M180</f>
        <v/>
      </c>
      <c r="CB179" s="1467" t="n"/>
      <c r="CC179" s="1467" t="n"/>
      <c r="CD179" s="1491" t="n"/>
      <c r="CE179" s="1491" t="n"/>
      <c r="CF179" s="1491" t="n"/>
      <c r="CG179" s="1491" t="n"/>
      <c r="CH179" s="1491" t="n"/>
      <c r="CI179" s="1491" t="n"/>
      <c r="CJ179" s="1491" t="n"/>
      <c r="CK179" s="1435" t="n"/>
      <c r="CL179" s="1521" t="n">
        <v>175</v>
      </c>
      <c r="CM179" s="1513" t="n"/>
      <c r="CN179" s="1513" t="n"/>
      <c r="CO179" s="1513" t="n"/>
      <c r="CP179" s="1540" t="n"/>
      <c r="CQ179" s="1435" t="n"/>
      <c r="CR179" s="1491" t="n"/>
      <c r="CS179" s="1491" t="n"/>
      <c r="CT179" s="1491" t="n"/>
      <c r="CU179" s="1491" t="n"/>
      <c r="CV179" s="1491" t="n"/>
      <c r="CW179" s="1491" t="n"/>
      <c r="CX179" s="1491" t="n"/>
    </row>
    <row r="180">
      <c r="A180" s="1491" t="n"/>
      <c r="B180" s="1491" t="n"/>
      <c r="C180" s="1491" t="n"/>
      <c r="D180" s="1497">
        <f>IF(E180&lt;&gt;"",D179+1,D179)</f>
        <v/>
      </c>
      <c r="E180" s="1497" t="inlineStr">
        <is>
          <t>Alcobaça</t>
        </is>
      </c>
      <c r="F180" s="1535" t="inlineStr">
        <is>
          <t>.</t>
        </is>
      </c>
      <c r="G180" s="1498">
        <f>IF(H180="AIR",0,IF(H179="AIR",G178+1,IF(H180&lt;&gt;"",G179+1,G179)))</f>
        <v/>
      </c>
      <c r="H180" s="1498" t="inlineStr">
        <is>
          <t>Coimbra</t>
        </is>
      </c>
      <c r="I180" s="1427" t="inlineStr">
        <is>
          <t>.</t>
        </is>
      </c>
      <c r="J180" s="1499" t="n">
        <v>175</v>
      </c>
      <c r="K180" s="1500">
        <f>_xlfn.XLOOKUP(cities[[#This Row],[id]],$D$5:$D$1500,E$5:E$1500,"-")</f>
        <v/>
      </c>
      <c r="L180" s="1500">
        <f>_xlfn.XLOOKUP(cities[[#This Row],[city]],ccc[city],ccc[ctry],"-")</f>
        <v/>
      </c>
      <c r="M180" s="1500">
        <f>SUMIFS(stayCity[stay],stayCity[city],cities[[#This Row],[city]])</f>
        <v/>
      </c>
      <c r="N180" s="1427">
        <f>N179+1</f>
        <v/>
      </c>
      <c r="O180" s="1500" t="n"/>
      <c r="P180" s="1500" t="n"/>
      <c r="Q180" s="1427" t="inlineStr">
        <is>
          <t>.</t>
        </is>
      </c>
      <c r="R180" s="1491" t="n"/>
      <c r="S180" s="1491" t="n"/>
      <c r="T180" s="1491" t="n"/>
      <c r="U180" s="1491" t="n"/>
      <c r="V180" s="1491" t="n"/>
      <c r="W180" s="1491" t="n"/>
      <c r="X180" s="1491" t="n"/>
      <c r="Y180" s="1491" t="n"/>
      <c r="Z180" s="1427" t="inlineStr">
        <is>
          <t>.</t>
        </is>
      </c>
      <c r="AA180" s="1473">
        <f>IF(AB180&lt;&gt;"",AA179+1,AA179)</f>
        <v/>
      </c>
      <c r="AB180" s="1534" t="n"/>
      <c r="AC180" s="1534" t="n"/>
      <c r="AD180" s="1534" t="n"/>
      <c r="AE180" s="1427" t="inlineStr">
        <is>
          <t>.</t>
        </is>
      </c>
      <c r="AF180" s="1500" t="n"/>
      <c r="AG180" s="1500" t="n"/>
      <c r="AH180" s="1500" t="n"/>
      <c r="AI180" s="1500" t="n"/>
      <c r="AJ180" s="1539" t="n"/>
      <c r="AK180" s="1500" t="n"/>
      <c r="AL180" s="1505" t="n"/>
      <c r="AM180" s="1491" t="n"/>
      <c r="AN180" s="1491" t="n"/>
      <c r="AO180" s="1491" t="n"/>
      <c r="AP180" s="1491" t="n"/>
      <c r="AQ180" s="1491" t="n"/>
      <c r="AR180" s="1491" t="n"/>
      <c r="AS180" s="1491" t="n"/>
      <c r="AT180" s="1491" t="n"/>
      <c r="AU180" s="1491" t="n"/>
      <c r="AV180" s="1491" t="n"/>
      <c r="AW180" s="1491" t="n"/>
      <c r="AX180" s="1491" t="n"/>
      <c r="AY180" s="1491" t="n"/>
      <c r="AZ180" s="1491" t="n"/>
      <c r="BA180" s="1491" t="n"/>
      <c r="BB180" s="1491" t="n"/>
      <c r="BC180" s="1491" t="n"/>
      <c r="BD180" s="1491" t="n"/>
      <c r="BE180" s="1491" t="n"/>
      <c r="BF180" s="1491" t="n"/>
      <c r="BG180" s="1491" t="n"/>
      <c r="BH180" s="1491" t="n"/>
      <c r="BI180" s="1491" t="n"/>
      <c r="BJ180" s="1491" t="n"/>
      <c r="BK180" s="1491" t="n"/>
      <c r="BL180" s="1491" t="n"/>
      <c r="BM180" s="1491" t="n"/>
      <c r="BN180" s="1491" t="n"/>
      <c r="BO180" s="1467" t="n"/>
      <c r="BP180" s="1514" t="n">
        <v>176</v>
      </c>
      <c r="BQ180" s="1513">
        <f>[1]Sheet1!C181</f>
        <v/>
      </c>
      <c r="BR180" s="1515">
        <f>[1]Sheet1!D181</f>
        <v/>
      </c>
      <c r="BS180" s="1513">
        <f>[1]Sheet1!E181</f>
        <v/>
      </c>
      <c r="BT180" s="1515">
        <f>[1]Sheet1!F181</f>
        <v/>
      </c>
      <c r="BU180" s="1516">
        <f>[1]Sheet1!G181</f>
        <v/>
      </c>
      <c r="BV180" s="1513">
        <f>[1]Sheet1!H181</f>
        <v/>
      </c>
      <c r="BW180" s="1467" t="n"/>
      <c r="BX180" s="1538" t="n"/>
      <c r="BY180" s="1506" t="n"/>
      <c r="BZ180" s="1537" t="n"/>
      <c r="CA180" s="1511">
        <f>[1]Sheet1!$M181</f>
        <v/>
      </c>
      <c r="CB180" s="1467" t="n"/>
      <c r="CC180" s="1467" t="n"/>
      <c r="CD180" s="1491" t="n"/>
      <c r="CE180" s="1491" t="n"/>
      <c r="CF180" s="1491" t="n"/>
      <c r="CG180" s="1491" t="n"/>
      <c r="CH180" s="1491" t="n"/>
      <c r="CI180" s="1491" t="n"/>
      <c r="CJ180" s="1491" t="n"/>
      <c r="CK180" s="1435" t="n"/>
      <c r="CL180" s="1521" t="n">
        <v>176</v>
      </c>
      <c r="CM180" s="1513" t="n"/>
      <c r="CN180" s="1513" t="n"/>
      <c r="CO180" s="1513" t="n"/>
      <c r="CP180" s="1540" t="n"/>
      <c r="CQ180" s="1435" t="n"/>
      <c r="CR180" s="1491" t="n"/>
      <c r="CS180" s="1491" t="n"/>
      <c r="CT180" s="1491" t="n"/>
      <c r="CU180" s="1491" t="n"/>
      <c r="CV180" s="1491" t="n"/>
      <c r="CW180" s="1491" t="n"/>
      <c r="CX180" s="1491" t="n"/>
    </row>
    <row r="181">
      <c r="A181" s="1491" t="n"/>
      <c r="B181" s="1491" t="n"/>
      <c r="C181" s="1491" t="n"/>
      <c r="D181" s="1497">
        <f>IF(E181&lt;&gt;"",D180+1,D180)</f>
        <v/>
      </c>
      <c r="E181" s="1497" t="inlineStr">
        <is>
          <t>Nazaré</t>
        </is>
      </c>
      <c r="F181" s="1535" t="inlineStr">
        <is>
          <t>.</t>
        </is>
      </c>
      <c r="G181" s="1498">
        <f>IF(H181="AIR",0,IF(H180="AIR",G179+1,IF(H181&lt;&gt;"",G180+1,G180)))</f>
        <v/>
      </c>
      <c r="H181" s="1498" t="inlineStr">
        <is>
          <t>Fatima</t>
        </is>
      </c>
      <c r="I181" s="1427" t="inlineStr">
        <is>
          <t>.</t>
        </is>
      </c>
      <c r="J181" s="1499" t="n">
        <v>176</v>
      </c>
      <c r="K181" s="1500">
        <f>_xlfn.XLOOKUP(cities[[#This Row],[id]],$D$5:$D$1500,E$5:E$1500,"-")</f>
        <v/>
      </c>
      <c r="L181" s="1500">
        <f>_xlfn.XLOOKUP(cities[[#This Row],[city]],ccc[city],ccc[ctry],"-")</f>
        <v/>
      </c>
      <c r="M181" s="1500">
        <f>SUMIFS(stayCity[stay],stayCity[city],cities[[#This Row],[city]])</f>
        <v/>
      </c>
      <c r="N181" s="1427">
        <f>N180+1</f>
        <v/>
      </c>
      <c r="O181" s="1500" t="n"/>
      <c r="P181" s="1500" t="n"/>
      <c r="Q181" s="1427" t="inlineStr">
        <is>
          <t>.</t>
        </is>
      </c>
      <c r="R181" s="1491" t="n"/>
      <c r="S181" s="1491" t="n"/>
      <c r="T181" s="1491" t="n"/>
      <c r="U181" s="1491" t="n"/>
      <c r="V181" s="1491" t="n"/>
      <c r="W181" s="1491" t="n"/>
      <c r="X181" s="1491" t="n"/>
      <c r="Y181" s="1491" t="n"/>
      <c r="Z181" s="1427" t="inlineStr">
        <is>
          <t>.</t>
        </is>
      </c>
      <c r="AA181" s="1473">
        <f>IF(AB181&lt;&gt;"",AA180+1,AA180)</f>
        <v/>
      </c>
      <c r="AB181" s="1534" t="n"/>
      <c r="AC181" s="1534" t="n"/>
      <c r="AD181" s="1534" t="n"/>
      <c r="AE181" s="1427" t="inlineStr">
        <is>
          <t>.</t>
        </is>
      </c>
      <c r="AF181" s="1500" t="n"/>
      <c r="AG181" s="1500" t="n"/>
      <c r="AH181" s="1500" t="n"/>
      <c r="AI181" s="1500" t="n"/>
      <c r="AJ181" s="1539" t="n"/>
      <c r="AK181" s="1500" t="n"/>
      <c r="AL181" s="1505" t="n"/>
      <c r="AM181" s="1491" t="n"/>
      <c r="AN181" s="1491" t="n"/>
      <c r="AO181" s="1491" t="n"/>
      <c r="AP181" s="1491" t="n"/>
      <c r="AQ181" s="1491" t="n"/>
      <c r="AR181" s="1491" t="n"/>
      <c r="AS181" s="1491" t="n"/>
      <c r="AT181" s="1491" t="n"/>
      <c r="AU181" s="1491" t="n"/>
      <c r="AV181" s="1491" t="n"/>
      <c r="AW181" s="1491" t="n"/>
      <c r="AX181" s="1491" t="n"/>
      <c r="AY181" s="1491" t="n"/>
      <c r="AZ181" s="1491" t="n"/>
      <c r="BA181" s="1491" t="n"/>
      <c r="BB181" s="1491" t="n"/>
      <c r="BC181" s="1491" t="n"/>
      <c r="BD181" s="1491" t="n"/>
      <c r="BE181" s="1491" t="n"/>
      <c r="BF181" s="1491" t="n"/>
      <c r="BG181" s="1491" t="n"/>
      <c r="BH181" s="1491" t="n"/>
      <c r="BI181" s="1491" t="n"/>
      <c r="BJ181" s="1491" t="n"/>
      <c r="BK181" s="1491" t="n"/>
      <c r="BL181" s="1491" t="n"/>
      <c r="BM181" s="1491" t="n"/>
      <c r="BN181" s="1491" t="n"/>
      <c r="BO181" s="1467" t="n"/>
      <c r="BP181" s="1514" t="n">
        <v>177</v>
      </c>
      <c r="BQ181" s="1513">
        <f>[1]Sheet1!C182</f>
        <v/>
      </c>
      <c r="BR181" s="1515">
        <f>[1]Sheet1!D182</f>
        <v/>
      </c>
      <c r="BS181" s="1513">
        <f>[1]Sheet1!E182</f>
        <v/>
      </c>
      <c r="BT181" s="1515">
        <f>[1]Sheet1!F182</f>
        <v/>
      </c>
      <c r="BU181" s="1516">
        <f>[1]Sheet1!G182</f>
        <v/>
      </c>
      <c r="BV181" s="1513">
        <f>[1]Sheet1!H182</f>
        <v/>
      </c>
      <c r="BW181" s="1467" t="n"/>
      <c r="BX181" s="1538" t="n"/>
      <c r="BY181" s="1506" t="n"/>
      <c r="BZ181" s="1537" t="n"/>
      <c r="CA181" s="1511">
        <f>[1]Sheet1!$M182</f>
        <v/>
      </c>
      <c r="CB181" s="1467" t="n"/>
      <c r="CC181" s="1467" t="n"/>
      <c r="CD181" s="1491" t="n"/>
      <c r="CE181" s="1491" t="n"/>
      <c r="CF181" s="1491" t="n"/>
      <c r="CG181" s="1491" t="n"/>
      <c r="CH181" s="1491" t="n"/>
      <c r="CI181" s="1491" t="n"/>
      <c r="CJ181" s="1491" t="n"/>
      <c r="CK181" s="1435" t="n"/>
      <c r="CL181" s="1521" t="n">
        <v>177</v>
      </c>
      <c r="CM181" s="1513" t="n"/>
      <c r="CN181" s="1513" t="n"/>
      <c r="CO181" s="1513" t="n"/>
      <c r="CP181" s="1540" t="n"/>
      <c r="CQ181" s="1435" t="n"/>
      <c r="CR181" s="1491" t="n"/>
      <c r="CS181" s="1491" t="n"/>
      <c r="CT181" s="1491" t="n"/>
      <c r="CU181" s="1491" t="n"/>
      <c r="CV181" s="1491" t="n"/>
      <c r="CW181" s="1491" t="n"/>
      <c r="CX181" s="1491" t="n"/>
    </row>
    <row r="182">
      <c r="A182" s="1491" t="n"/>
      <c r="B182" s="1491" t="n"/>
      <c r="C182" s="1491" t="n"/>
      <c r="D182" s="1497">
        <f>IF(E182&lt;&gt;"",D181+1,D181)</f>
        <v/>
      </c>
      <c r="E182" s="1497" t="inlineStr">
        <is>
          <t>Cascais</t>
        </is>
      </c>
      <c r="F182" s="1535" t="inlineStr">
        <is>
          <t>.</t>
        </is>
      </c>
      <c r="G182" s="1498">
        <f>IF(H182="AIR",0,IF(H181="AIR",G180+1,IF(H182&lt;&gt;"",G181+1,G181)))</f>
        <v/>
      </c>
      <c r="H182" s="1498" t="inlineStr">
        <is>
          <t>Batalha</t>
        </is>
      </c>
      <c r="I182" s="1427" t="inlineStr">
        <is>
          <t>.</t>
        </is>
      </c>
      <c r="J182" s="1499" t="n">
        <v>177</v>
      </c>
      <c r="K182" s="1500">
        <f>_xlfn.XLOOKUP(cities[[#This Row],[id]],$D$5:$D$1500,E$5:E$1500,"-")</f>
        <v/>
      </c>
      <c r="L182" s="1500">
        <f>_xlfn.XLOOKUP(cities[[#This Row],[city]],ccc[city],ccc[ctry],"-")</f>
        <v/>
      </c>
      <c r="M182" s="1500">
        <f>SUMIFS(stayCity[stay],stayCity[city],cities[[#This Row],[city]])</f>
        <v/>
      </c>
      <c r="N182" s="1427">
        <f>N181+1</f>
        <v/>
      </c>
      <c r="O182" s="1500" t="n"/>
      <c r="P182" s="1500" t="n"/>
      <c r="Q182" s="1427" t="inlineStr">
        <is>
          <t>.</t>
        </is>
      </c>
      <c r="R182" s="1491" t="n"/>
      <c r="S182" s="1491" t="n"/>
      <c r="T182" s="1491" t="n"/>
      <c r="U182" s="1491" t="n"/>
      <c r="V182" s="1491" t="n"/>
      <c r="W182" s="1491" t="n"/>
      <c r="X182" s="1491" t="n"/>
      <c r="Y182" s="1491" t="n"/>
      <c r="Z182" s="1427" t="inlineStr">
        <is>
          <t>.</t>
        </is>
      </c>
      <c r="AA182" s="1473">
        <f>IF(AB182&lt;&gt;"",AA181+1,AA181)</f>
        <v/>
      </c>
      <c r="AB182" s="1534" t="n"/>
      <c r="AC182" s="1534" t="n"/>
      <c r="AD182" s="1534" t="n"/>
      <c r="AE182" s="1427" t="inlineStr">
        <is>
          <t>.</t>
        </is>
      </c>
      <c r="AF182" s="1500" t="n"/>
      <c r="AG182" s="1500" t="n"/>
      <c r="AH182" s="1500" t="n"/>
      <c r="AI182" s="1500" t="n"/>
      <c r="AJ182" s="1539" t="n"/>
      <c r="AK182" s="1500" t="n"/>
      <c r="AL182" s="1505" t="n"/>
      <c r="AM182" s="1491" t="n"/>
      <c r="AN182" s="1491" t="n"/>
      <c r="AO182" s="1491" t="n"/>
      <c r="AP182" s="1491" t="n"/>
      <c r="AQ182" s="1491" t="n"/>
      <c r="AR182" s="1491" t="n"/>
      <c r="AS182" s="1491" t="n"/>
      <c r="AT182" s="1491" t="n"/>
      <c r="AU182" s="1491" t="n"/>
      <c r="AV182" s="1491" t="n"/>
      <c r="AW182" s="1491" t="n"/>
      <c r="AX182" s="1491" t="n"/>
      <c r="AY182" s="1491" t="n"/>
      <c r="AZ182" s="1491" t="n"/>
      <c r="BA182" s="1491" t="n"/>
      <c r="BB182" s="1491" t="n"/>
      <c r="BC182" s="1491" t="n"/>
      <c r="BD182" s="1491" t="n"/>
      <c r="BE182" s="1491" t="n"/>
      <c r="BF182" s="1491" t="n"/>
      <c r="BG182" s="1491" t="n"/>
      <c r="BH182" s="1491" t="n"/>
      <c r="BI182" s="1491" t="n"/>
      <c r="BJ182" s="1491" t="n"/>
      <c r="BK182" s="1491" t="n"/>
      <c r="BL182" s="1491" t="n"/>
      <c r="BM182" s="1491" t="n"/>
      <c r="BN182" s="1491" t="n"/>
      <c r="BO182" s="1467" t="n"/>
      <c r="BP182" s="1514" t="n">
        <v>178</v>
      </c>
      <c r="BQ182" s="1513">
        <f>[1]Sheet1!C183</f>
        <v/>
      </c>
      <c r="BR182" s="1515">
        <f>[1]Sheet1!D183</f>
        <v/>
      </c>
      <c r="BS182" s="1513">
        <f>[1]Sheet1!E183</f>
        <v/>
      </c>
      <c r="BT182" s="1515">
        <f>[1]Sheet1!F183</f>
        <v/>
      </c>
      <c r="BU182" s="1516">
        <f>[1]Sheet1!G183</f>
        <v/>
      </c>
      <c r="BV182" s="1513">
        <f>[1]Sheet1!H183</f>
        <v/>
      </c>
      <c r="BW182" s="1467" t="n"/>
      <c r="BX182" s="1538" t="n"/>
      <c r="BY182" s="1506" t="n"/>
      <c r="BZ182" s="1537" t="n"/>
      <c r="CA182" s="1511">
        <f>[1]Sheet1!$M183</f>
        <v/>
      </c>
      <c r="CB182" s="1467" t="n"/>
      <c r="CC182" s="1467" t="n"/>
      <c r="CD182" s="1491" t="n"/>
      <c r="CE182" s="1491" t="n"/>
      <c r="CF182" s="1491" t="n"/>
      <c r="CG182" s="1491" t="n"/>
      <c r="CH182" s="1491" t="n"/>
      <c r="CI182" s="1491" t="n"/>
      <c r="CJ182" s="1491" t="n"/>
      <c r="CK182" s="1435" t="n"/>
      <c r="CL182" s="1521" t="n">
        <v>178</v>
      </c>
      <c r="CM182" s="1513" t="n"/>
      <c r="CN182" s="1513" t="n"/>
      <c r="CO182" s="1513" t="n"/>
      <c r="CP182" s="1540" t="n"/>
      <c r="CQ182" s="1435" t="n"/>
      <c r="CR182" s="1491" t="n"/>
      <c r="CS182" s="1491" t="n"/>
      <c r="CT182" s="1491" t="n"/>
      <c r="CU182" s="1491" t="n"/>
      <c r="CV182" s="1491" t="n"/>
      <c r="CW182" s="1491" t="n"/>
      <c r="CX182" s="1491" t="n"/>
    </row>
    <row r="183">
      <c r="A183" s="1491" t="n"/>
      <c r="B183" s="1491" t="n"/>
      <c r="C183" s="1491" t="n"/>
      <c r="D183" s="1497">
        <f>IF(E183&lt;&gt;"",D182+1,D182)</f>
        <v/>
      </c>
      <c r="E183" s="1497" t="inlineStr">
        <is>
          <t>Sintra</t>
        </is>
      </c>
      <c r="F183" s="1535" t="inlineStr">
        <is>
          <t>.</t>
        </is>
      </c>
      <c r="G183" s="1498">
        <f>IF(H183="AIR",0,IF(H182="AIR",G181+1,IF(H183&lt;&gt;"",G182+1,G182)))</f>
        <v/>
      </c>
      <c r="H183" s="1498" t="inlineStr">
        <is>
          <t>Alcobaça</t>
        </is>
      </c>
      <c r="I183" s="1427" t="inlineStr">
        <is>
          <t>.</t>
        </is>
      </c>
      <c r="J183" s="1499" t="n">
        <v>178</v>
      </c>
      <c r="K183" s="1500">
        <f>_xlfn.XLOOKUP(cities[[#This Row],[id]],$D$5:$D$1500,E$5:E$1500,"-")</f>
        <v/>
      </c>
      <c r="L183" s="1500">
        <f>_xlfn.XLOOKUP(cities[[#This Row],[city]],ccc[city],ccc[ctry],"-")</f>
        <v/>
      </c>
      <c r="M183" s="1500">
        <f>SUMIFS(stayCity[stay],stayCity[city],cities[[#This Row],[city]])</f>
        <v/>
      </c>
      <c r="N183" s="1427">
        <f>N182+1</f>
        <v/>
      </c>
      <c r="O183" s="1500" t="n"/>
      <c r="P183" s="1500" t="n"/>
      <c r="Q183" s="1427" t="inlineStr">
        <is>
          <t>.</t>
        </is>
      </c>
      <c r="R183" s="1491" t="n"/>
      <c r="S183" s="1491" t="n"/>
      <c r="T183" s="1491" t="n"/>
      <c r="U183" s="1491" t="n"/>
      <c r="V183" s="1491" t="n"/>
      <c r="W183" s="1491" t="n"/>
      <c r="X183" s="1491" t="n"/>
      <c r="Y183" s="1491" t="n"/>
      <c r="Z183" s="1427" t="inlineStr">
        <is>
          <t>.</t>
        </is>
      </c>
      <c r="AA183" s="1473">
        <f>IF(AB183&lt;&gt;"",AA182+1,AA182)</f>
        <v/>
      </c>
      <c r="AB183" s="1534" t="n"/>
      <c r="AC183" s="1534" t="n"/>
      <c r="AD183" s="1534" t="n"/>
      <c r="AE183" s="1427" t="inlineStr">
        <is>
          <t>.</t>
        </is>
      </c>
      <c r="AF183" s="1500" t="n"/>
      <c r="AG183" s="1500" t="n"/>
      <c r="AH183" s="1500" t="n"/>
      <c r="AI183" s="1500" t="n"/>
      <c r="AJ183" s="1539" t="n"/>
      <c r="AK183" s="1500" t="n"/>
      <c r="AL183" s="1505" t="n"/>
      <c r="AM183" s="1491" t="n"/>
      <c r="AN183" s="1491" t="n"/>
      <c r="AO183" s="1491" t="n"/>
      <c r="AP183" s="1491" t="n"/>
      <c r="AQ183" s="1491" t="n"/>
      <c r="AR183" s="1491" t="n"/>
      <c r="AS183" s="1491" t="n"/>
      <c r="AT183" s="1491" t="n"/>
      <c r="AU183" s="1491" t="n"/>
      <c r="AV183" s="1491" t="n"/>
      <c r="AW183" s="1491" t="n"/>
      <c r="AX183" s="1491" t="n"/>
      <c r="AY183" s="1491" t="n"/>
      <c r="AZ183" s="1491" t="n"/>
      <c r="BA183" s="1491" t="n"/>
      <c r="BB183" s="1491" t="n"/>
      <c r="BC183" s="1491" t="n"/>
      <c r="BD183" s="1491" t="n"/>
      <c r="BE183" s="1491" t="n"/>
      <c r="BF183" s="1491" t="n"/>
      <c r="BG183" s="1491" t="n"/>
      <c r="BH183" s="1491" t="n"/>
      <c r="BI183" s="1491" t="n"/>
      <c r="BJ183" s="1491" t="n"/>
      <c r="BK183" s="1491" t="n"/>
      <c r="BL183" s="1491" t="n"/>
      <c r="BM183" s="1491" t="n"/>
      <c r="BN183" s="1491" t="n"/>
      <c r="BO183" s="1467" t="n"/>
      <c r="BP183" s="1514" t="n">
        <v>179</v>
      </c>
      <c r="BQ183" s="1513">
        <f>[1]Sheet1!C184</f>
        <v/>
      </c>
      <c r="BR183" s="1515">
        <f>[1]Sheet1!D184</f>
        <v/>
      </c>
      <c r="BS183" s="1513">
        <f>[1]Sheet1!E184</f>
        <v/>
      </c>
      <c r="BT183" s="1515">
        <f>[1]Sheet1!F184</f>
        <v/>
      </c>
      <c r="BU183" s="1516">
        <f>[1]Sheet1!G184</f>
        <v/>
      </c>
      <c r="BV183" s="1513">
        <f>[1]Sheet1!H184</f>
        <v/>
      </c>
      <c r="BW183" s="1467" t="n"/>
      <c r="BX183" s="1538" t="n"/>
      <c r="BY183" s="1506" t="n"/>
      <c r="BZ183" s="1537" t="n"/>
      <c r="CA183" s="1511">
        <f>[1]Sheet1!$M184</f>
        <v/>
      </c>
      <c r="CB183" s="1467" t="n"/>
      <c r="CC183" s="1467" t="n"/>
      <c r="CD183" s="1491" t="n"/>
      <c r="CE183" s="1491" t="n"/>
      <c r="CF183" s="1491" t="n"/>
      <c r="CG183" s="1491" t="n"/>
      <c r="CH183" s="1491" t="n"/>
      <c r="CI183" s="1491" t="n"/>
      <c r="CJ183" s="1491" t="n"/>
      <c r="CK183" s="1435" t="n"/>
      <c r="CL183" s="1521" t="n">
        <v>179</v>
      </c>
      <c r="CM183" s="1513" t="n"/>
      <c r="CN183" s="1513" t="n"/>
      <c r="CO183" s="1513" t="n"/>
      <c r="CP183" s="1540" t="n"/>
      <c r="CQ183" s="1435" t="n"/>
      <c r="CR183" s="1491" t="n"/>
      <c r="CS183" s="1491" t="n"/>
      <c r="CT183" s="1491" t="n"/>
      <c r="CU183" s="1491" t="n"/>
      <c r="CV183" s="1491" t="n"/>
      <c r="CW183" s="1491" t="n"/>
      <c r="CX183" s="1491" t="n"/>
    </row>
    <row r="184">
      <c r="A184" s="1491" t="n"/>
      <c r="B184" s="1491" t="n"/>
      <c r="C184" s="1491" t="n"/>
      <c r="D184" s="1497">
        <f>IF(E184&lt;&gt;"",D183+1,D183)</f>
        <v/>
      </c>
      <c r="E184" s="1497" t="inlineStr">
        <is>
          <t>Campinas</t>
        </is>
      </c>
      <c r="F184" s="1535" t="inlineStr">
        <is>
          <t>.</t>
        </is>
      </c>
      <c r="G184" s="1498">
        <f>IF(H184="AIR",0,IF(H183="AIR",G182+1,IF(H184&lt;&gt;"",G183+1,G183)))</f>
        <v/>
      </c>
      <c r="H184" s="1498" t="inlineStr">
        <is>
          <t>Nazaré</t>
        </is>
      </c>
      <c r="I184" s="1427" t="inlineStr">
        <is>
          <t>.</t>
        </is>
      </c>
      <c r="J184" s="1499" t="n">
        <v>179</v>
      </c>
      <c r="K184" s="1500">
        <f>_xlfn.XLOOKUP(cities[[#This Row],[id]],$D$5:$D$1500,E$5:E$1500,"-")</f>
        <v/>
      </c>
      <c r="L184" s="1500">
        <f>_xlfn.XLOOKUP(cities[[#This Row],[city]],ccc[city],ccc[ctry],"-")</f>
        <v/>
      </c>
      <c r="M184" s="1500">
        <f>SUMIFS(stayCity[stay],stayCity[city],cities[[#This Row],[city]])</f>
        <v/>
      </c>
      <c r="N184" s="1427">
        <f>N183+1</f>
        <v/>
      </c>
      <c r="O184" s="1500" t="n"/>
      <c r="P184" s="1500" t="n"/>
      <c r="Q184" s="1427" t="inlineStr">
        <is>
          <t>.</t>
        </is>
      </c>
      <c r="R184" s="1491" t="n"/>
      <c r="S184" s="1491" t="n"/>
      <c r="T184" s="1491" t="n"/>
      <c r="U184" s="1491" t="n"/>
      <c r="V184" s="1491" t="n"/>
      <c r="W184" s="1491" t="n"/>
      <c r="X184" s="1491" t="n"/>
      <c r="Y184" s="1491" t="n"/>
      <c r="Z184" s="1427" t="inlineStr">
        <is>
          <t>.</t>
        </is>
      </c>
      <c r="AA184" s="1473">
        <f>IF(AB184&lt;&gt;"",AA183+1,AA183)</f>
        <v/>
      </c>
      <c r="AB184" s="1534" t="n"/>
      <c r="AC184" s="1534" t="n"/>
      <c r="AD184" s="1534" t="n"/>
      <c r="AE184" s="1427" t="inlineStr">
        <is>
          <t>.</t>
        </is>
      </c>
      <c r="AF184" s="1500" t="n"/>
      <c r="AG184" s="1500" t="n"/>
      <c r="AH184" s="1500" t="n"/>
      <c r="AI184" s="1500" t="n"/>
      <c r="AJ184" s="1539" t="n"/>
      <c r="AK184" s="1500" t="n"/>
      <c r="AL184" s="1505" t="n"/>
      <c r="AM184" s="1491" t="n"/>
      <c r="AN184" s="1491" t="n"/>
      <c r="AO184" s="1491" t="n"/>
      <c r="AP184" s="1491" t="n"/>
      <c r="AQ184" s="1491" t="n"/>
      <c r="AR184" s="1491" t="n"/>
      <c r="AS184" s="1491" t="n"/>
      <c r="AT184" s="1491" t="n"/>
      <c r="AU184" s="1491" t="n"/>
      <c r="AV184" s="1491" t="n"/>
      <c r="AW184" s="1491" t="n"/>
      <c r="AX184" s="1491" t="n"/>
      <c r="AY184" s="1491" t="n"/>
      <c r="AZ184" s="1491" t="n"/>
      <c r="BA184" s="1491" t="n"/>
      <c r="BB184" s="1491" t="n"/>
      <c r="BC184" s="1491" t="n"/>
      <c r="BD184" s="1491" t="n"/>
      <c r="BE184" s="1491" t="n"/>
      <c r="BF184" s="1491" t="n"/>
      <c r="BG184" s="1491" t="n"/>
      <c r="BH184" s="1491" t="n"/>
      <c r="BI184" s="1491" t="n"/>
      <c r="BJ184" s="1491" t="n"/>
      <c r="BK184" s="1491" t="n"/>
      <c r="BL184" s="1491" t="n"/>
      <c r="BM184" s="1491" t="n"/>
      <c r="BN184" s="1491" t="n"/>
      <c r="BO184" s="1467" t="n"/>
      <c r="BP184" s="1514" t="n">
        <v>180</v>
      </c>
      <c r="BQ184" s="1513">
        <f>[1]Sheet1!C185</f>
        <v/>
      </c>
      <c r="BR184" s="1515">
        <f>[1]Sheet1!D185</f>
        <v/>
      </c>
      <c r="BS184" s="1513">
        <f>[1]Sheet1!E185</f>
        <v/>
      </c>
      <c r="BT184" s="1515">
        <f>[1]Sheet1!F185</f>
        <v/>
      </c>
      <c r="BU184" s="1516">
        <f>[1]Sheet1!G185</f>
        <v/>
      </c>
      <c r="BV184" s="1513">
        <f>[1]Sheet1!H185</f>
        <v/>
      </c>
      <c r="BW184" s="1467" t="n"/>
      <c r="BX184" s="1538" t="n"/>
      <c r="BY184" s="1506" t="n"/>
      <c r="BZ184" s="1537" t="n"/>
      <c r="CA184" s="1511">
        <f>[1]Sheet1!$M185</f>
        <v/>
      </c>
      <c r="CB184" s="1467" t="n"/>
      <c r="CC184" s="1467" t="n"/>
      <c r="CD184" s="1491" t="n"/>
      <c r="CE184" s="1491" t="n"/>
      <c r="CF184" s="1491" t="n"/>
      <c r="CG184" s="1491" t="n"/>
      <c r="CH184" s="1491" t="n"/>
      <c r="CI184" s="1491" t="n"/>
      <c r="CJ184" s="1491" t="n"/>
      <c r="CK184" s="1435" t="n"/>
      <c r="CL184" s="1521" t="n">
        <v>180</v>
      </c>
      <c r="CM184" s="1513" t="n"/>
      <c r="CN184" s="1513" t="n"/>
      <c r="CO184" s="1513" t="n"/>
      <c r="CP184" s="1540" t="n"/>
      <c r="CQ184" s="1435" t="n"/>
      <c r="CR184" s="1491" t="n"/>
      <c r="CS184" s="1491" t="n"/>
      <c r="CT184" s="1491" t="n"/>
      <c r="CU184" s="1491" t="n"/>
      <c r="CV184" s="1491" t="n"/>
      <c r="CW184" s="1491" t="n"/>
      <c r="CX184" s="1491" t="n"/>
    </row>
    <row r="185">
      <c r="A185" s="1491" t="n"/>
      <c r="B185" s="1491" t="n"/>
      <c r="C185" s="1491" t="n"/>
      <c r="D185" s="1497">
        <f>IF(E185&lt;&gt;"",D184+1,D184)</f>
        <v/>
      </c>
      <c r="E185" s="1497" t="inlineStr">
        <is>
          <t>Castro Alves</t>
        </is>
      </c>
      <c r="F185" s="1535" t="inlineStr">
        <is>
          <t>.</t>
        </is>
      </c>
      <c r="G185" s="1498">
        <f>IF(H185="AIR",0,IF(H184="AIR",G183+1,IF(H185&lt;&gt;"",G184+1,G184)))</f>
        <v/>
      </c>
      <c r="H185" s="1498" t="inlineStr">
        <is>
          <t>Cascais</t>
        </is>
      </c>
      <c r="I185" s="1427" t="inlineStr">
        <is>
          <t>.</t>
        </is>
      </c>
      <c r="J185" s="1499" t="n">
        <v>180</v>
      </c>
      <c r="K185" s="1500">
        <f>_xlfn.XLOOKUP(cities[[#This Row],[id]],$D$5:$D$1500,E$5:E$1500,"-")</f>
        <v/>
      </c>
      <c r="L185" s="1500">
        <f>_xlfn.XLOOKUP(cities[[#This Row],[city]],ccc[city],ccc[ctry],"-")</f>
        <v/>
      </c>
      <c r="M185" s="1500">
        <f>SUMIFS(stayCity[stay],stayCity[city],cities[[#This Row],[city]])</f>
        <v/>
      </c>
      <c r="N185" s="1427">
        <f>N184+1</f>
        <v/>
      </c>
      <c r="O185" s="1500" t="n"/>
      <c r="P185" s="1500" t="n"/>
      <c r="Q185" s="1427" t="inlineStr">
        <is>
          <t>.</t>
        </is>
      </c>
      <c r="R185" s="1491" t="n"/>
      <c r="S185" s="1491" t="n"/>
      <c r="T185" s="1491" t="n"/>
      <c r="U185" s="1491" t="n"/>
      <c r="V185" s="1491" t="n"/>
      <c r="W185" s="1491" t="n"/>
      <c r="X185" s="1491" t="n"/>
      <c r="Y185" s="1491" t="n"/>
      <c r="Z185" s="1427" t="inlineStr">
        <is>
          <t>.</t>
        </is>
      </c>
      <c r="AA185" s="1473">
        <f>IF(AB185&lt;&gt;"",AA184+1,AA184)</f>
        <v/>
      </c>
      <c r="AB185" s="1534" t="n"/>
      <c r="AC185" s="1534" t="n"/>
      <c r="AD185" s="1534" t="n"/>
      <c r="AE185" s="1427" t="inlineStr">
        <is>
          <t>.</t>
        </is>
      </c>
      <c r="AF185" s="1500" t="n"/>
      <c r="AG185" s="1500" t="n"/>
      <c r="AH185" s="1500" t="n"/>
      <c r="AI185" s="1500" t="n"/>
      <c r="AJ185" s="1539" t="n"/>
      <c r="AK185" s="1500" t="n"/>
      <c r="AL185" s="1505" t="n"/>
      <c r="AM185" s="1491" t="n"/>
      <c r="AN185" s="1491" t="n"/>
      <c r="AO185" s="1491" t="n"/>
      <c r="AP185" s="1491" t="n"/>
      <c r="AQ185" s="1491" t="n"/>
      <c r="AR185" s="1491" t="n"/>
      <c r="AS185" s="1491" t="n"/>
      <c r="AT185" s="1491" t="n"/>
      <c r="AU185" s="1491" t="n"/>
      <c r="AV185" s="1491" t="n"/>
      <c r="AW185" s="1491" t="n"/>
      <c r="AX185" s="1491" t="n"/>
      <c r="AY185" s="1491" t="n"/>
      <c r="AZ185" s="1491" t="n"/>
      <c r="BA185" s="1491" t="n"/>
      <c r="BB185" s="1491" t="n"/>
      <c r="BC185" s="1491" t="n"/>
      <c r="BD185" s="1491" t="n"/>
      <c r="BE185" s="1491" t="n"/>
      <c r="BF185" s="1491" t="n"/>
      <c r="BG185" s="1491" t="n"/>
      <c r="BH185" s="1491" t="n"/>
      <c r="BI185" s="1491" t="n"/>
      <c r="BJ185" s="1491" t="n"/>
      <c r="BK185" s="1491" t="n"/>
      <c r="BL185" s="1491" t="n"/>
      <c r="BM185" s="1491" t="n"/>
      <c r="BN185" s="1491" t="n"/>
      <c r="BO185" s="1467" t="n"/>
      <c r="BP185" s="1514" t="n">
        <v>181</v>
      </c>
      <c r="BQ185" s="1513">
        <f>[1]Sheet1!C186</f>
        <v/>
      </c>
      <c r="BR185" s="1515">
        <f>[1]Sheet1!D186</f>
        <v/>
      </c>
      <c r="BS185" s="1513">
        <f>[1]Sheet1!E186</f>
        <v/>
      </c>
      <c r="BT185" s="1515">
        <f>[1]Sheet1!F186</f>
        <v/>
      </c>
      <c r="BU185" s="1516">
        <f>[1]Sheet1!G186</f>
        <v/>
      </c>
      <c r="BV185" s="1513">
        <f>[1]Sheet1!H186</f>
        <v/>
      </c>
      <c r="BW185" s="1467" t="n"/>
      <c r="BX185" s="1538" t="n"/>
      <c r="BY185" s="1506" t="n"/>
      <c r="BZ185" s="1537" t="n"/>
      <c r="CA185" s="1511">
        <f>[1]Sheet1!$M186</f>
        <v/>
      </c>
      <c r="CB185" s="1467" t="n"/>
      <c r="CC185" s="1467" t="n"/>
      <c r="CD185" s="1491" t="n"/>
      <c r="CE185" s="1491" t="n"/>
      <c r="CF185" s="1491" t="n"/>
      <c r="CG185" s="1491" t="n"/>
      <c r="CH185" s="1491" t="n"/>
      <c r="CI185" s="1491" t="n"/>
      <c r="CJ185" s="1491" t="n"/>
      <c r="CK185" s="1435" t="n"/>
      <c r="CL185" s="1521" t="n">
        <v>181</v>
      </c>
      <c r="CM185" s="1513" t="n"/>
      <c r="CN185" s="1513" t="n"/>
      <c r="CO185" s="1513" t="n"/>
      <c r="CP185" s="1540" t="n"/>
      <c r="CQ185" s="1435" t="n"/>
      <c r="CR185" s="1491" t="n"/>
      <c r="CS185" s="1491" t="n"/>
      <c r="CT185" s="1491" t="n"/>
      <c r="CU185" s="1491" t="n"/>
      <c r="CV185" s="1491" t="n"/>
      <c r="CW185" s="1491" t="n"/>
      <c r="CX185" s="1491" t="n"/>
    </row>
    <row r="186">
      <c r="A186" s="1491" t="n"/>
      <c r="B186" s="1491" t="n"/>
      <c r="C186" s="1491" t="n"/>
      <c r="D186" s="1497">
        <f>IF(E186&lt;&gt;"",D185+1,D185)</f>
        <v/>
      </c>
      <c r="E186" s="1497" t="inlineStr">
        <is>
          <t>Peruibe</t>
        </is>
      </c>
      <c r="F186" s="1535" t="inlineStr">
        <is>
          <t>.</t>
        </is>
      </c>
      <c r="G186" s="1498">
        <f>IF(H186="AIR",0,IF(H185="AIR",G184+1,IF(H186&lt;&gt;"",G185+1,G185)))</f>
        <v/>
      </c>
      <c r="H186" s="1498" t="inlineStr">
        <is>
          <t>Sintra</t>
        </is>
      </c>
      <c r="I186" s="1427" t="inlineStr">
        <is>
          <t>.</t>
        </is>
      </c>
      <c r="J186" s="1499" t="n">
        <v>181</v>
      </c>
      <c r="K186" s="1500">
        <f>_xlfn.XLOOKUP(cities[[#This Row],[id]],$D$5:$D$1500,E$5:E$1500,"-")</f>
        <v/>
      </c>
      <c r="L186" s="1500">
        <f>_xlfn.XLOOKUP(cities[[#This Row],[city]],ccc[city],ccc[ctry],"-")</f>
        <v/>
      </c>
      <c r="M186" s="1500">
        <f>SUMIFS(stayCity[stay],stayCity[city],cities[[#This Row],[city]])</f>
        <v/>
      </c>
      <c r="N186" s="1427">
        <f>N185+1</f>
        <v/>
      </c>
      <c r="O186" s="1500" t="n"/>
      <c r="P186" s="1500" t="n"/>
      <c r="Q186" s="1427" t="inlineStr">
        <is>
          <t>.</t>
        </is>
      </c>
      <c r="R186" s="1491" t="n"/>
      <c r="S186" s="1491" t="n"/>
      <c r="T186" s="1491" t="n"/>
      <c r="U186" s="1491" t="n"/>
      <c r="V186" s="1491" t="n"/>
      <c r="W186" s="1491" t="n"/>
      <c r="X186" s="1491" t="n"/>
      <c r="Y186" s="1491" t="n"/>
      <c r="Z186" s="1427" t="inlineStr">
        <is>
          <t>.</t>
        </is>
      </c>
      <c r="AA186" s="1473">
        <f>IF(AB186&lt;&gt;"",AA185+1,AA185)</f>
        <v/>
      </c>
      <c r="AB186" s="1534" t="n"/>
      <c r="AC186" s="1534" t="n"/>
      <c r="AD186" s="1534" t="n"/>
      <c r="AE186" s="1427" t="inlineStr">
        <is>
          <t>.</t>
        </is>
      </c>
      <c r="AF186" s="1500" t="n"/>
      <c r="AG186" s="1500" t="n"/>
      <c r="AH186" s="1500" t="n"/>
      <c r="AI186" s="1500" t="n"/>
      <c r="AJ186" s="1539" t="n"/>
      <c r="AK186" s="1500" t="n"/>
      <c r="AL186" s="1505" t="n"/>
      <c r="AM186" s="1491" t="n"/>
      <c r="AN186" s="1491" t="n"/>
      <c r="AO186" s="1491" t="n"/>
      <c r="AP186" s="1491" t="n"/>
      <c r="AQ186" s="1491" t="n"/>
      <c r="AR186" s="1491" t="n"/>
      <c r="AS186" s="1491" t="n"/>
      <c r="AT186" s="1491" t="n"/>
      <c r="AU186" s="1491" t="n"/>
      <c r="AV186" s="1491" t="n"/>
      <c r="AW186" s="1491" t="n"/>
      <c r="AX186" s="1491" t="n"/>
      <c r="AY186" s="1491" t="n"/>
      <c r="AZ186" s="1491" t="n"/>
      <c r="BA186" s="1491" t="n"/>
      <c r="BB186" s="1491" t="n"/>
      <c r="BC186" s="1491" t="n"/>
      <c r="BD186" s="1491" t="n"/>
      <c r="BE186" s="1491" t="n"/>
      <c r="BF186" s="1491" t="n"/>
      <c r="BG186" s="1491" t="n"/>
      <c r="BH186" s="1491" t="n"/>
      <c r="BI186" s="1491" t="n"/>
      <c r="BJ186" s="1491" t="n"/>
      <c r="BK186" s="1491" t="n"/>
      <c r="BL186" s="1491" t="n"/>
      <c r="BM186" s="1491" t="n"/>
      <c r="BN186" s="1491" t="n"/>
      <c r="BO186" s="1467" t="n"/>
      <c r="BP186" s="1514" t="n">
        <v>182</v>
      </c>
      <c r="BQ186" s="1513">
        <f>[1]Sheet1!C187</f>
        <v/>
      </c>
      <c r="BR186" s="1515">
        <f>[1]Sheet1!D187</f>
        <v/>
      </c>
      <c r="BS186" s="1513">
        <f>[1]Sheet1!E187</f>
        <v/>
      </c>
      <c r="BT186" s="1515">
        <f>[1]Sheet1!F187</f>
        <v/>
      </c>
      <c r="BU186" s="1516">
        <f>[1]Sheet1!G187</f>
        <v/>
      </c>
      <c r="BV186" s="1513">
        <f>[1]Sheet1!H187</f>
        <v/>
      </c>
      <c r="BW186" s="1467" t="n"/>
      <c r="BX186" s="1538" t="n"/>
      <c r="BY186" s="1506" t="n"/>
      <c r="BZ186" s="1537" t="n"/>
      <c r="CA186" s="1511">
        <f>[1]Sheet1!$M187</f>
        <v/>
      </c>
      <c r="CB186" s="1467" t="n"/>
      <c r="CC186" s="1467" t="n"/>
      <c r="CD186" s="1491" t="n"/>
      <c r="CE186" s="1491" t="n"/>
      <c r="CF186" s="1491" t="n"/>
      <c r="CG186" s="1491" t="n"/>
      <c r="CH186" s="1491" t="n"/>
      <c r="CI186" s="1491" t="n"/>
      <c r="CJ186" s="1491" t="n"/>
      <c r="CK186" s="1435" t="n"/>
      <c r="CL186" s="1521" t="n">
        <v>182</v>
      </c>
      <c r="CM186" s="1513" t="n"/>
      <c r="CN186" s="1513" t="n"/>
      <c r="CO186" s="1513" t="n"/>
      <c r="CP186" s="1540" t="n"/>
      <c r="CQ186" s="1435" t="n"/>
      <c r="CR186" s="1491" t="n"/>
      <c r="CS186" s="1491" t="n"/>
      <c r="CT186" s="1491" t="n"/>
      <c r="CU186" s="1491" t="n"/>
      <c r="CV186" s="1491" t="n"/>
      <c r="CW186" s="1491" t="n"/>
      <c r="CX186" s="1491" t="n"/>
    </row>
    <row r="187">
      <c r="A187" s="1491" t="n"/>
      <c r="B187" s="1491" t="n"/>
      <c r="C187" s="1491" t="n"/>
      <c r="D187" s="1497">
        <f>IF(E187&lt;&gt;"",D186+1,D186)</f>
        <v/>
      </c>
      <c r="E187" s="1497" t="inlineStr">
        <is>
          <t>Maceió</t>
        </is>
      </c>
      <c r="F187" s="1535" t="inlineStr">
        <is>
          <t>.</t>
        </is>
      </c>
      <c r="G187" s="1498">
        <f>IF(H187="AIR",0,IF(H186="AIR",G185+1,IF(H187&lt;&gt;"",G186+1,G186)))</f>
        <v/>
      </c>
      <c r="H187" s="1498" t="inlineStr">
        <is>
          <t>Campinas</t>
        </is>
      </c>
      <c r="I187" s="1427" t="inlineStr">
        <is>
          <t>.</t>
        </is>
      </c>
      <c r="J187" s="1499" t="n">
        <v>182</v>
      </c>
      <c r="K187" s="1500">
        <f>_xlfn.XLOOKUP(cities[[#This Row],[id]],$D$5:$D$1500,E$5:E$1500,"-")</f>
        <v/>
      </c>
      <c r="L187" s="1500">
        <f>_xlfn.XLOOKUP(cities[[#This Row],[city]],ccc[city],ccc[ctry],"-")</f>
        <v/>
      </c>
      <c r="M187" s="1500">
        <f>SUMIFS(stayCity[stay],stayCity[city],cities[[#This Row],[city]])</f>
        <v/>
      </c>
      <c r="N187" s="1427">
        <f>N186+1</f>
        <v/>
      </c>
      <c r="O187" s="1500" t="n"/>
      <c r="P187" s="1500" t="n"/>
      <c r="Q187" s="1427" t="inlineStr">
        <is>
          <t>.</t>
        </is>
      </c>
      <c r="R187" s="1491" t="n"/>
      <c r="S187" s="1491" t="n"/>
      <c r="T187" s="1491" t="n"/>
      <c r="U187" s="1491" t="n"/>
      <c r="V187" s="1491" t="n"/>
      <c r="W187" s="1491" t="n"/>
      <c r="X187" s="1491" t="n"/>
      <c r="Y187" s="1491" t="n"/>
      <c r="Z187" s="1427" t="inlineStr">
        <is>
          <t>.</t>
        </is>
      </c>
      <c r="AA187" s="1473">
        <f>IF(AB187&lt;&gt;"",AA186+1,AA186)</f>
        <v/>
      </c>
      <c r="AB187" s="1534" t="n"/>
      <c r="AC187" s="1534" t="n"/>
      <c r="AD187" s="1534" t="n"/>
      <c r="AE187" s="1427" t="inlineStr">
        <is>
          <t>.</t>
        </is>
      </c>
      <c r="AF187" s="1500" t="n"/>
      <c r="AG187" s="1500" t="n"/>
      <c r="AH187" s="1500" t="n"/>
      <c r="AI187" s="1500" t="n"/>
      <c r="AJ187" s="1539" t="n"/>
      <c r="AK187" s="1500" t="n"/>
      <c r="AL187" s="1505" t="n"/>
      <c r="AM187" s="1491" t="n"/>
      <c r="AN187" s="1491" t="n"/>
      <c r="AO187" s="1491" t="n"/>
      <c r="AP187" s="1491" t="n"/>
      <c r="AQ187" s="1491" t="n"/>
      <c r="AR187" s="1491" t="n"/>
      <c r="AS187" s="1491" t="n"/>
      <c r="AT187" s="1491" t="n"/>
      <c r="AU187" s="1491" t="n"/>
      <c r="AV187" s="1491" t="n"/>
      <c r="AW187" s="1491" t="n"/>
      <c r="AX187" s="1491" t="n"/>
      <c r="AY187" s="1491" t="n"/>
      <c r="AZ187" s="1491" t="n"/>
      <c r="BA187" s="1491" t="n"/>
      <c r="BB187" s="1491" t="n"/>
      <c r="BC187" s="1491" t="n"/>
      <c r="BD187" s="1491" t="n"/>
      <c r="BE187" s="1491" t="n"/>
      <c r="BF187" s="1491" t="n"/>
      <c r="BG187" s="1491" t="n"/>
      <c r="BH187" s="1491" t="n"/>
      <c r="BI187" s="1491" t="n"/>
      <c r="BJ187" s="1491" t="n"/>
      <c r="BK187" s="1491" t="n"/>
      <c r="BL187" s="1491" t="n"/>
      <c r="BM187" s="1491" t="n"/>
      <c r="BN187" s="1491" t="n"/>
      <c r="BO187" s="1467" t="n"/>
      <c r="BP187" s="1514" t="n">
        <v>183</v>
      </c>
      <c r="BQ187" s="1513">
        <f>[1]Sheet1!C188</f>
        <v/>
      </c>
      <c r="BR187" s="1515">
        <f>[1]Sheet1!D188</f>
        <v/>
      </c>
      <c r="BS187" s="1513">
        <f>[1]Sheet1!E188</f>
        <v/>
      </c>
      <c r="BT187" s="1515">
        <f>[1]Sheet1!F188</f>
        <v/>
      </c>
      <c r="BU187" s="1516">
        <f>[1]Sheet1!G188</f>
        <v/>
      </c>
      <c r="BV187" s="1513">
        <f>[1]Sheet1!H188</f>
        <v/>
      </c>
      <c r="BW187" s="1467" t="n"/>
      <c r="BX187" s="1538" t="n"/>
      <c r="BY187" s="1506" t="n"/>
      <c r="BZ187" s="1537" t="n"/>
      <c r="CA187" s="1511">
        <f>[1]Sheet1!$M188</f>
        <v/>
      </c>
      <c r="CB187" s="1467" t="n"/>
      <c r="CC187" s="1467" t="n"/>
      <c r="CD187" s="1491" t="n"/>
      <c r="CE187" s="1491" t="n"/>
      <c r="CF187" s="1491" t="n"/>
      <c r="CG187" s="1491" t="n"/>
      <c r="CH187" s="1491" t="n"/>
      <c r="CI187" s="1491" t="n"/>
      <c r="CJ187" s="1491" t="n"/>
      <c r="CK187" s="1435" t="n"/>
      <c r="CL187" s="1521" t="n">
        <v>183</v>
      </c>
      <c r="CM187" s="1513" t="n"/>
      <c r="CN187" s="1513" t="n"/>
      <c r="CO187" s="1513" t="n"/>
      <c r="CP187" s="1540" t="n"/>
      <c r="CQ187" s="1435" t="n"/>
      <c r="CR187" s="1491" t="n"/>
      <c r="CS187" s="1491" t="n"/>
      <c r="CT187" s="1491" t="n"/>
      <c r="CU187" s="1491" t="n"/>
      <c r="CV187" s="1491" t="n"/>
      <c r="CW187" s="1491" t="n"/>
      <c r="CX187" s="1491" t="n"/>
    </row>
    <row r="188">
      <c r="A188" s="1491" t="n"/>
      <c r="B188" s="1491" t="n"/>
      <c r="C188" s="1491" t="n"/>
      <c r="D188" s="1497">
        <f>IF(E188&lt;&gt;"",D187+1,D187)</f>
        <v/>
      </c>
      <c r="E188" s="1497" t="inlineStr">
        <is>
          <t>Bournemouth</t>
        </is>
      </c>
      <c r="F188" s="1535" t="inlineStr">
        <is>
          <t>.</t>
        </is>
      </c>
      <c r="G188" s="1498">
        <f>IF(H188="AIR",0,IF(H187="AIR",G186+1,IF(H188&lt;&gt;"",G187+1,G187)))</f>
        <v/>
      </c>
      <c r="H188" s="1498" t="inlineStr">
        <is>
          <t>Castro Alves</t>
        </is>
      </c>
      <c r="I188" s="1427" t="inlineStr">
        <is>
          <t>.</t>
        </is>
      </c>
      <c r="J188" s="1499" t="n">
        <v>183</v>
      </c>
      <c r="K188" s="1500">
        <f>_xlfn.XLOOKUP(cities[[#This Row],[id]],$D$5:$D$1500,E$5:E$1500,"-")</f>
        <v/>
      </c>
      <c r="L188" s="1500">
        <f>_xlfn.XLOOKUP(cities[[#This Row],[city]],ccc[city],ccc[ctry],"-")</f>
        <v/>
      </c>
      <c r="M188" s="1500">
        <f>SUMIFS(stayCity[stay],stayCity[city],cities[[#This Row],[city]])</f>
        <v/>
      </c>
      <c r="N188" s="1427">
        <f>N187+1</f>
        <v/>
      </c>
      <c r="O188" s="1500" t="n"/>
      <c r="P188" s="1500" t="n"/>
      <c r="Q188" s="1427" t="inlineStr">
        <is>
          <t>.</t>
        </is>
      </c>
      <c r="R188" s="1491" t="n"/>
      <c r="S188" s="1491" t="n"/>
      <c r="T188" s="1491" t="n"/>
      <c r="U188" s="1491" t="n"/>
      <c r="V188" s="1491" t="n"/>
      <c r="W188" s="1491" t="n"/>
      <c r="X188" s="1491" t="n"/>
      <c r="Y188" s="1491" t="n"/>
      <c r="Z188" s="1427" t="inlineStr">
        <is>
          <t>.</t>
        </is>
      </c>
      <c r="AA188" s="1473">
        <f>IF(AB188&lt;&gt;"",AA187+1,AA187)</f>
        <v/>
      </c>
      <c r="AB188" s="1534" t="n"/>
      <c r="AC188" s="1534" t="n"/>
      <c r="AD188" s="1534" t="n"/>
      <c r="AE188" s="1427" t="inlineStr">
        <is>
          <t>.</t>
        </is>
      </c>
      <c r="AF188" s="1500" t="n"/>
      <c r="AG188" s="1500" t="n"/>
      <c r="AH188" s="1500" t="n"/>
      <c r="AI188" s="1500" t="n"/>
      <c r="AJ188" s="1539" t="n"/>
      <c r="AK188" s="1500" t="n"/>
      <c r="AL188" s="1505" t="n"/>
      <c r="AM188" s="1491" t="n"/>
      <c r="AN188" s="1491" t="n"/>
      <c r="AO188" s="1491" t="n"/>
      <c r="AP188" s="1491" t="n"/>
      <c r="AQ188" s="1491" t="n"/>
      <c r="AR188" s="1491" t="n"/>
      <c r="AS188" s="1491" t="n"/>
      <c r="AT188" s="1491" t="n"/>
      <c r="AU188" s="1491" t="n"/>
      <c r="AV188" s="1491" t="n"/>
      <c r="AW188" s="1491" t="n"/>
      <c r="AX188" s="1491" t="n"/>
      <c r="AY188" s="1491" t="n"/>
      <c r="AZ188" s="1491" t="n"/>
      <c r="BA188" s="1491" t="n"/>
      <c r="BB188" s="1491" t="n"/>
      <c r="BC188" s="1491" t="n"/>
      <c r="BD188" s="1491" t="n"/>
      <c r="BE188" s="1491" t="n"/>
      <c r="BF188" s="1491" t="n"/>
      <c r="BG188" s="1491" t="n"/>
      <c r="BH188" s="1491" t="n"/>
      <c r="BI188" s="1491" t="n"/>
      <c r="BJ188" s="1491" t="n"/>
      <c r="BK188" s="1491" t="n"/>
      <c r="BL188" s="1491" t="n"/>
      <c r="BM188" s="1491" t="n"/>
      <c r="BN188" s="1491" t="n"/>
      <c r="BO188" s="1467" t="n"/>
      <c r="BP188" s="1514" t="n">
        <v>184</v>
      </c>
      <c r="BQ188" s="1513">
        <f>[1]Sheet1!C189</f>
        <v/>
      </c>
      <c r="BR188" s="1515">
        <f>[1]Sheet1!D189</f>
        <v/>
      </c>
      <c r="BS188" s="1513">
        <f>[1]Sheet1!E189</f>
        <v/>
      </c>
      <c r="BT188" s="1515">
        <f>[1]Sheet1!F189</f>
        <v/>
      </c>
      <c r="BU188" s="1516">
        <f>[1]Sheet1!G189</f>
        <v/>
      </c>
      <c r="BV188" s="1513">
        <f>[1]Sheet1!H189</f>
        <v/>
      </c>
      <c r="BW188" s="1467" t="n"/>
      <c r="BX188" s="1538" t="n"/>
      <c r="BY188" s="1506" t="n"/>
      <c r="BZ188" s="1537" t="n"/>
      <c r="CA188" s="1511">
        <f>[1]Sheet1!$M189</f>
        <v/>
      </c>
      <c r="CB188" s="1467" t="n"/>
      <c r="CC188" s="1467" t="n"/>
      <c r="CD188" s="1491" t="n"/>
      <c r="CE188" s="1491" t="n"/>
      <c r="CF188" s="1491" t="n"/>
      <c r="CG188" s="1491" t="n"/>
      <c r="CH188" s="1491" t="n"/>
      <c r="CI188" s="1491" t="n"/>
      <c r="CJ188" s="1491" t="n"/>
      <c r="CK188" s="1435" t="n"/>
      <c r="CL188" s="1521" t="n">
        <v>184</v>
      </c>
      <c r="CM188" s="1513" t="n"/>
      <c r="CN188" s="1513" t="n"/>
      <c r="CO188" s="1513" t="n"/>
      <c r="CP188" s="1540" t="n"/>
      <c r="CQ188" s="1435" t="n"/>
      <c r="CR188" s="1491" t="n"/>
      <c r="CS188" s="1491" t="n"/>
      <c r="CT188" s="1491" t="n"/>
      <c r="CU188" s="1491" t="n"/>
      <c r="CV188" s="1491" t="n"/>
      <c r="CW188" s="1491" t="n"/>
      <c r="CX188" s="1491" t="n"/>
    </row>
    <row r="189">
      <c r="A189" s="1491" t="n"/>
      <c r="B189" s="1491" t="n"/>
      <c r="C189" s="1491" t="n"/>
      <c r="D189" s="1497">
        <f>IF(E189&lt;&gt;"",D188+1,D188)</f>
        <v/>
      </c>
      <c r="E189" s="1497" t="inlineStr">
        <is>
          <t>Exeter</t>
        </is>
      </c>
      <c r="F189" s="1535" t="inlineStr">
        <is>
          <t>.</t>
        </is>
      </c>
      <c r="G189" s="1498">
        <f>IF(H189="AIR",0,IF(H188="AIR",G187+1,IF(H189&lt;&gt;"",G188+1,G188)))</f>
        <v/>
      </c>
      <c r="H189" s="1498" t="inlineStr">
        <is>
          <t>Peruibe</t>
        </is>
      </c>
      <c r="I189" s="1427" t="inlineStr">
        <is>
          <t>.</t>
        </is>
      </c>
      <c r="J189" s="1499" t="n">
        <v>184</v>
      </c>
      <c r="K189" s="1500">
        <f>_xlfn.XLOOKUP(cities[[#This Row],[id]],$D$5:$D$1500,E$5:E$1500,"-")</f>
        <v/>
      </c>
      <c r="L189" s="1500">
        <f>_xlfn.XLOOKUP(cities[[#This Row],[city]],ccc[city],ccc[ctry],"-")</f>
        <v/>
      </c>
      <c r="M189" s="1500">
        <f>SUMIFS(stayCity[stay],stayCity[city],cities[[#This Row],[city]])</f>
        <v/>
      </c>
      <c r="N189" s="1427">
        <f>N188+1</f>
        <v/>
      </c>
      <c r="O189" s="1500" t="n"/>
      <c r="P189" s="1500" t="n"/>
      <c r="Q189" s="1427" t="inlineStr">
        <is>
          <t>.</t>
        </is>
      </c>
      <c r="R189" s="1491" t="n"/>
      <c r="S189" s="1491" t="n"/>
      <c r="T189" s="1491" t="n"/>
      <c r="U189" s="1491" t="n"/>
      <c r="V189" s="1491" t="n"/>
      <c r="W189" s="1491" t="n"/>
      <c r="X189" s="1491" t="n"/>
      <c r="Y189" s="1491" t="n"/>
      <c r="Z189" s="1427" t="inlineStr">
        <is>
          <t>.</t>
        </is>
      </c>
      <c r="AA189" s="1473">
        <f>IF(AB189&lt;&gt;"",AA188+1,AA188)</f>
        <v/>
      </c>
      <c r="AB189" s="1534" t="n"/>
      <c r="AC189" s="1534" t="n"/>
      <c r="AD189" s="1534" t="n"/>
      <c r="AE189" s="1427" t="inlineStr">
        <is>
          <t>.</t>
        </is>
      </c>
      <c r="AF189" s="1500" t="n"/>
      <c r="AG189" s="1500" t="n"/>
      <c r="AH189" s="1500" t="n"/>
      <c r="AI189" s="1500" t="n"/>
      <c r="AJ189" s="1539" t="n"/>
      <c r="AK189" s="1500" t="n"/>
      <c r="AL189" s="1505" t="n"/>
      <c r="AM189" s="1491" t="n"/>
      <c r="AN189" s="1491" t="n"/>
      <c r="AO189" s="1491" t="n"/>
      <c r="AP189" s="1491" t="n"/>
      <c r="AQ189" s="1491" t="n"/>
      <c r="AR189" s="1491" t="n"/>
      <c r="AS189" s="1491" t="n"/>
      <c r="AT189" s="1491" t="n"/>
      <c r="AU189" s="1491" t="n"/>
      <c r="AV189" s="1491" t="n"/>
      <c r="AW189" s="1491" t="n"/>
      <c r="AX189" s="1491" t="n"/>
      <c r="AY189" s="1491" t="n"/>
      <c r="AZ189" s="1491" t="n"/>
      <c r="BA189" s="1491" t="n"/>
      <c r="BB189" s="1491" t="n"/>
      <c r="BC189" s="1491" t="n"/>
      <c r="BD189" s="1491" t="n"/>
      <c r="BE189" s="1491" t="n"/>
      <c r="BF189" s="1491" t="n"/>
      <c r="BG189" s="1491" t="n"/>
      <c r="BH189" s="1491" t="n"/>
      <c r="BI189" s="1491" t="n"/>
      <c r="BJ189" s="1491" t="n"/>
      <c r="BK189" s="1491" t="n"/>
      <c r="BL189" s="1491" t="n"/>
      <c r="BM189" s="1491" t="n"/>
      <c r="BN189" s="1491" t="n"/>
      <c r="BO189" s="1467" t="n"/>
      <c r="BP189" s="1514" t="n">
        <v>185</v>
      </c>
      <c r="BQ189" s="1513">
        <f>[1]Sheet1!C190</f>
        <v/>
      </c>
      <c r="BR189" s="1515">
        <f>[1]Sheet1!D190</f>
        <v/>
      </c>
      <c r="BS189" s="1513">
        <f>[1]Sheet1!E190</f>
        <v/>
      </c>
      <c r="BT189" s="1515">
        <f>[1]Sheet1!F190</f>
        <v/>
      </c>
      <c r="BU189" s="1516">
        <f>[1]Sheet1!G190</f>
        <v/>
      </c>
      <c r="BV189" s="1513">
        <f>[1]Sheet1!H190</f>
        <v/>
      </c>
      <c r="BW189" s="1467" t="n"/>
      <c r="BX189" s="1538" t="n"/>
      <c r="BY189" s="1506" t="n"/>
      <c r="BZ189" s="1537" t="n"/>
      <c r="CA189" s="1511">
        <f>[1]Sheet1!$M190</f>
        <v/>
      </c>
      <c r="CB189" s="1467" t="n"/>
      <c r="CC189" s="1467" t="n"/>
      <c r="CD189" s="1491" t="n"/>
      <c r="CE189" s="1491" t="n"/>
      <c r="CF189" s="1491" t="n"/>
      <c r="CG189" s="1491" t="n"/>
      <c r="CH189" s="1491" t="n"/>
      <c r="CI189" s="1491" t="n"/>
      <c r="CJ189" s="1491" t="n"/>
      <c r="CK189" s="1435" t="n"/>
      <c r="CL189" s="1521" t="n">
        <v>185</v>
      </c>
      <c r="CM189" s="1513" t="n"/>
      <c r="CN189" s="1513" t="n"/>
      <c r="CO189" s="1513" t="n"/>
      <c r="CP189" s="1540" t="n"/>
      <c r="CQ189" s="1435" t="n"/>
      <c r="CR189" s="1491" t="n"/>
      <c r="CS189" s="1491" t="n"/>
      <c r="CT189" s="1491" t="n"/>
      <c r="CU189" s="1491" t="n"/>
      <c r="CV189" s="1491" t="n"/>
      <c r="CW189" s="1491" t="n"/>
      <c r="CX189" s="1491" t="n"/>
    </row>
    <row r="190">
      <c r="A190" s="1491" t="n"/>
      <c r="B190" s="1491" t="n"/>
      <c r="C190" s="1491" t="n"/>
      <c r="D190" s="1497">
        <f>IF(E190&lt;&gt;"",D189+1,D189)</f>
        <v/>
      </c>
      <c r="E190" s="1497" t="inlineStr">
        <is>
          <t>Plymouth</t>
        </is>
      </c>
      <c r="F190" s="1535" t="inlineStr">
        <is>
          <t>.</t>
        </is>
      </c>
      <c r="G190" s="1498">
        <f>IF(H190="AIR",0,IF(H189="AIR",G188+1,IF(H190&lt;&gt;"",G189+1,G189)))</f>
        <v/>
      </c>
      <c r="H190" s="1498" t="inlineStr">
        <is>
          <t>Maceió</t>
        </is>
      </c>
      <c r="I190" s="1427" t="inlineStr">
        <is>
          <t>.</t>
        </is>
      </c>
      <c r="J190" s="1499" t="n">
        <v>185</v>
      </c>
      <c r="K190" s="1500">
        <f>_xlfn.XLOOKUP(cities[[#This Row],[id]],$D$5:$D$1500,E$5:E$1500,"-")</f>
        <v/>
      </c>
      <c r="L190" s="1500">
        <f>_xlfn.XLOOKUP(cities[[#This Row],[city]],ccc[city],ccc[ctry],"-")</f>
        <v/>
      </c>
      <c r="M190" s="1500">
        <f>SUMIFS(stayCity[stay],stayCity[city],cities[[#This Row],[city]])</f>
        <v/>
      </c>
      <c r="N190" s="1427">
        <f>N189+1</f>
        <v/>
      </c>
      <c r="O190" s="1500" t="n"/>
      <c r="P190" s="1500" t="n"/>
      <c r="Q190" s="1427" t="inlineStr">
        <is>
          <t>.</t>
        </is>
      </c>
      <c r="R190" s="1491" t="n"/>
      <c r="S190" s="1491" t="n"/>
      <c r="T190" s="1491" t="n"/>
      <c r="U190" s="1491" t="n"/>
      <c r="V190" s="1491" t="n"/>
      <c r="W190" s="1491" t="n"/>
      <c r="X190" s="1491" t="n"/>
      <c r="Y190" s="1491" t="n"/>
      <c r="Z190" s="1427" t="inlineStr">
        <is>
          <t>.</t>
        </is>
      </c>
      <c r="AA190" s="1473">
        <f>IF(AB190&lt;&gt;"",AA189+1,AA189)</f>
        <v/>
      </c>
      <c r="AB190" s="1534" t="n"/>
      <c r="AC190" s="1534" t="n"/>
      <c r="AD190" s="1534" t="n"/>
      <c r="AE190" s="1427" t="inlineStr">
        <is>
          <t>.</t>
        </is>
      </c>
      <c r="AF190" s="1500" t="n"/>
      <c r="AG190" s="1500" t="n"/>
      <c r="AH190" s="1500" t="n"/>
      <c r="AI190" s="1500" t="n"/>
      <c r="AJ190" s="1539" t="n"/>
      <c r="AK190" s="1500" t="n"/>
      <c r="AL190" s="1505" t="n"/>
      <c r="AM190" s="1491" t="n"/>
      <c r="AN190" s="1491" t="n"/>
      <c r="AO190" s="1491" t="n"/>
      <c r="AP190" s="1491" t="n"/>
      <c r="AQ190" s="1491" t="n"/>
      <c r="AR190" s="1491" t="n"/>
      <c r="AS190" s="1491" t="n"/>
      <c r="AT190" s="1491" t="n"/>
      <c r="AU190" s="1491" t="n"/>
      <c r="AV190" s="1491" t="n"/>
      <c r="AW190" s="1491" t="n"/>
      <c r="AX190" s="1491" t="n"/>
      <c r="AY190" s="1491" t="n"/>
      <c r="AZ190" s="1491" t="n"/>
      <c r="BA190" s="1491" t="n"/>
      <c r="BB190" s="1491" t="n"/>
      <c r="BC190" s="1491" t="n"/>
      <c r="BD190" s="1491" t="n"/>
      <c r="BE190" s="1491" t="n"/>
      <c r="BF190" s="1491" t="n"/>
      <c r="BG190" s="1491" t="n"/>
      <c r="BH190" s="1491" t="n"/>
      <c r="BI190" s="1491" t="n"/>
      <c r="BJ190" s="1491" t="n"/>
      <c r="BK190" s="1491" t="n"/>
      <c r="BL190" s="1491" t="n"/>
      <c r="BM190" s="1491" t="n"/>
      <c r="BN190" s="1491" t="n"/>
      <c r="BO190" s="1467" t="n"/>
      <c r="BP190" s="1514" t="n">
        <v>186</v>
      </c>
      <c r="BQ190" s="1513">
        <f>[1]Sheet1!C191</f>
        <v/>
      </c>
      <c r="BR190" s="1515">
        <f>[1]Sheet1!D191</f>
        <v/>
      </c>
      <c r="BS190" s="1513">
        <f>[1]Sheet1!E191</f>
        <v/>
      </c>
      <c r="BT190" s="1515">
        <f>[1]Sheet1!F191</f>
        <v/>
      </c>
      <c r="BU190" s="1516">
        <f>[1]Sheet1!G191</f>
        <v/>
      </c>
      <c r="BV190" s="1513">
        <f>[1]Sheet1!H191</f>
        <v/>
      </c>
      <c r="BW190" s="1467" t="n"/>
      <c r="BX190" s="1538" t="n"/>
      <c r="BY190" s="1506" t="n"/>
      <c r="BZ190" s="1537" t="n"/>
      <c r="CA190" s="1511">
        <f>[1]Sheet1!$M191</f>
        <v/>
      </c>
      <c r="CB190" s="1467" t="n"/>
      <c r="CC190" s="1467" t="n"/>
      <c r="CD190" s="1491" t="n"/>
      <c r="CE190" s="1491" t="n"/>
      <c r="CF190" s="1491" t="n"/>
      <c r="CG190" s="1491" t="n"/>
      <c r="CH190" s="1491" t="n"/>
      <c r="CI190" s="1491" t="n"/>
      <c r="CJ190" s="1491" t="n"/>
      <c r="CK190" s="1435" t="n"/>
      <c r="CL190" s="1521" t="n">
        <v>186</v>
      </c>
      <c r="CM190" s="1513" t="n"/>
      <c r="CN190" s="1513" t="n"/>
      <c r="CO190" s="1513" t="n"/>
      <c r="CP190" s="1540" t="n"/>
      <c r="CQ190" s="1435" t="n"/>
      <c r="CR190" s="1491" t="n"/>
      <c r="CS190" s="1491" t="n"/>
      <c r="CT190" s="1491" t="n"/>
      <c r="CU190" s="1491" t="n"/>
      <c r="CV190" s="1491" t="n"/>
      <c r="CW190" s="1491" t="n"/>
      <c r="CX190" s="1491" t="n"/>
    </row>
    <row r="191">
      <c r="A191" s="1491" t="n"/>
      <c r="B191" s="1491" t="n"/>
      <c r="C191" s="1491" t="n"/>
      <c r="D191" s="1497">
        <f>IF(E191&lt;&gt;"",D190+1,D190)</f>
        <v/>
      </c>
      <c r="E191" s="1497" t="inlineStr">
        <is>
          <t>St. Ives</t>
        </is>
      </c>
      <c r="F191" s="1535" t="inlineStr">
        <is>
          <t>.</t>
        </is>
      </c>
      <c r="G191" s="1498">
        <f>IF(H191="AIR",0,IF(H190="AIR",G189+1,IF(H191&lt;&gt;"",G190+1,G190)))</f>
        <v/>
      </c>
      <c r="H191" s="1498" t="inlineStr">
        <is>
          <t>Bournemouth</t>
        </is>
      </c>
      <c r="I191" s="1427" t="inlineStr">
        <is>
          <t>.</t>
        </is>
      </c>
      <c r="J191" s="1499" t="n">
        <v>186</v>
      </c>
      <c r="K191" s="1500">
        <f>_xlfn.XLOOKUP(cities[[#This Row],[id]],$D$5:$D$1500,E$5:E$1500,"-")</f>
        <v/>
      </c>
      <c r="L191" s="1500">
        <f>_xlfn.XLOOKUP(cities[[#This Row],[city]],ccc[city],ccc[ctry],"-")</f>
        <v/>
      </c>
      <c r="M191" s="1500">
        <f>SUMIFS(stayCity[stay],stayCity[city],cities[[#This Row],[city]])</f>
        <v/>
      </c>
      <c r="N191" s="1427">
        <f>N190+1</f>
        <v/>
      </c>
      <c r="O191" s="1500" t="n"/>
      <c r="P191" s="1500" t="n"/>
      <c r="Q191" s="1427" t="inlineStr">
        <is>
          <t>.</t>
        </is>
      </c>
      <c r="R191" s="1491" t="n"/>
      <c r="S191" s="1491" t="n"/>
      <c r="T191" s="1491" t="n"/>
      <c r="U191" s="1491" t="n"/>
      <c r="V191" s="1491" t="n"/>
      <c r="W191" s="1491" t="n"/>
      <c r="X191" s="1491" t="n"/>
      <c r="Y191" s="1491" t="n"/>
      <c r="Z191" s="1427" t="inlineStr">
        <is>
          <t>.</t>
        </is>
      </c>
      <c r="AA191" s="1473">
        <f>IF(AB191&lt;&gt;"",AA190+1,AA190)</f>
        <v/>
      </c>
      <c r="AB191" s="1534" t="n"/>
      <c r="AC191" s="1534" t="n"/>
      <c r="AD191" s="1534" t="n"/>
      <c r="AE191" s="1427" t="inlineStr">
        <is>
          <t>.</t>
        </is>
      </c>
      <c r="AF191" s="1500" t="n"/>
      <c r="AG191" s="1500" t="n"/>
      <c r="AH191" s="1500" t="n"/>
      <c r="AI191" s="1500" t="n"/>
      <c r="AJ191" s="1539" t="n"/>
      <c r="AK191" s="1500" t="n"/>
      <c r="AL191" s="1505" t="n"/>
      <c r="AM191" s="1491" t="n"/>
      <c r="AN191" s="1491" t="n"/>
      <c r="AO191" s="1491" t="n"/>
      <c r="AP191" s="1491" t="n"/>
      <c r="AQ191" s="1491" t="n"/>
      <c r="AR191" s="1491" t="n"/>
      <c r="AS191" s="1491" t="n"/>
      <c r="AT191" s="1491" t="n"/>
      <c r="AU191" s="1491" t="n"/>
      <c r="AV191" s="1491" t="n"/>
      <c r="AW191" s="1491" t="n"/>
      <c r="AX191" s="1491" t="n"/>
      <c r="AY191" s="1491" t="n"/>
      <c r="AZ191" s="1491" t="n"/>
      <c r="BA191" s="1491" t="n"/>
      <c r="BB191" s="1491" t="n"/>
      <c r="BC191" s="1491" t="n"/>
      <c r="BD191" s="1491" t="n"/>
      <c r="BE191" s="1491" t="n"/>
      <c r="BF191" s="1491" t="n"/>
      <c r="BG191" s="1491" t="n"/>
      <c r="BH191" s="1491" t="n"/>
      <c r="BI191" s="1491" t="n"/>
      <c r="BJ191" s="1491" t="n"/>
      <c r="BK191" s="1491" t="n"/>
      <c r="BL191" s="1491" t="n"/>
      <c r="BM191" s="1491" t="n"/>
      <c r="BN191" s="1491" t="n"/>
      <c r="BO191" s="1467" t="n"/>
      <c r="BP191" s="1514" t="n">
        <v>187</v>
      </c>
      <c r="BQ191" s="1513">
        <f>[1]Sheet1!C192</f>
        <v/>
      </c>
      <c r="BR191" s="1515">
        <f>[1]Sheet1!D192</f>
        <v/>
      </c>
      <c r="BS191" s="1513">
        <f>[1]Sheet1!E192</f>
        <v/>
      </c>
      <c r="BT191" s="1515">
        <f>[1]Sheet1!F192</f>
        <v/>
      </c>
      <c r="BU191" s="1516">
        <f>[1]Sheet1!G192</f>
        <v/>
      </c>
      <c r="BV191" s="1513">
        <f>[1]Sheet1!H192</f>
        <v/>
      </c>
      <c r="BW191" s="1467" t="n"/>
      <c r="BX191" s="1538" t="n"/>
      <c r="BY191" s="1506" t="n"/>
      <c r="BZ191" s="1537" t="n"/>
      <c r="CA191" s="1511">
        <f>[1]Sheet1!$M192</f>
        <v/>
      </c>
      <c r="CB191" s="1467" t="n"/>
      <c r="CC191" s="1467" t="n"/>
      <c r="CD191" s="1491" t="n"/>
      <c r="CE191" s="1491" t="n"/>
      <c r="CF191" s="1491" t="n"/>
      <c r="CG191" s="1491" t="n"/>
      <c r="CH191" s="1491" t="n"/>
      <c r="CI191" s="1491" t="n"/>
      <c r="CJ191" s="1491" t="n"/>
      <c r="CK191" s="1435" t="n"/>
      <c r="CL191" s="1521" t="n">
        <v>187</v>
      </c>
      <c r="CM191" s="1513" t="n"/>
      <c r="CN191" s="1513" t="n"/>
      <c r="CO191" s="1513" t="n"/>
      <c r="CP191" s="1540" t="n"/>
      <c r="CQ191" s="1435" t="n"/>
      <c r="CR191" s="1491" t="n"/>
      <c r="CS191" s="1491" t="n"/>
      <c r="CT191" s="1491" t="n"/>
      <c r="CU191" s="1491" t="n"/>
      <c r="CV191" s="1491" t="n"/>
      <c r="CW191" s="1491" t="n"/>
      <c r="CX191" s="1491" t="n"/>
    </row>
    <row r="192">
      <c r="A192" s="1491" t="n"/>
      <c r="B192" s="1491" t="n"/>
      <c r="C192" s="1491" t="n"/>
      <c r="D192" s="1497">
        <f>IF(E192&lt;&gt;"",D191+1,D191)</f>
        <v/>
      </c>
      <c r="E192" s="1497" t="inlineStr">
        <is>
          <t>Penzance</t>
        </is>
      </c>
      <c r="F192" s="1535" t="inlineStr">
        <is>
          <t>.</t>
        </is>
      </c>
      <c r="G192" s="1498">
        <f>IF(H192="AIR",0,IF(H191="AIR",G190+1,IF(H192&lt;&gt;"",G191+1,G191)))</f>
        <v/>
      </c>
      <c r="H192" s="1498" t="inlineStr">
        <is>
          <t>Exeter</t>
        </is>
      </c>
      <c r="I192" s="1427" t="inlineStr">
        <is>
          <t>.</t>
        </is>
      </c>
      <c r="J192" s="1499" t="n">
        <v>187</v>
      </c>
      <c r="K192" s="1500">
        <f>_xlfn.XLOOKUP(cities[[#This Row],[id]],$D$5:$D$1500,E$5:E$1500,"-")</f>
        <v/>
      </c>
      <c r="L192" s="1500">
        <f>_xlfn.XLOOKUP(cities[[#This Row],[city]],ccc[city],ccc[ctry],"-")</f>
        <v/>
      </c>
      <c r="M192" s="1500">
        <f>SUMIFS(stayCity[stay],stayCity[city],cities[[#This Row],[city]])</f>
        <v/>
      </c>
      <c r="N192" s="1427">
        <f>N191+1</f>
        <v/>
      </c>
      <c r="O192" s="1500" t="n"/>
      <c r="P192" s="1500" t="n"/>
      <c r="Q192" s="1427" t="inlineStr">
        <is>
          <t>.</t>
        </is>
      </c>
      <c r="R192" s="1491" t="n"/>
      <c r="S192" s="1491" t="n"/>
      <c r="T192" s="1491" t="n"/>
      <c r="U192" s="1491" t="n"/>
      <c r="V192" s="1491" t="n"/>
      <c r="W192" s="1491" t="n"/>
      <c r="X192" s="1491" t="n"/>
      <c r="Y192" s="1491" t="n"/>
      <c r="Z192" s="1491" t="n"/>
      <c r="AA192" s="1491" t="n"/>
      <c r="AB192" s="1491" t="n"/>
      <c r="AC192" s="1491" t="n"/>
      <c r="AD192" s="1491" t="n"/>
      <c r="AE192" s="1427" t="inlineStr">
        <is>
          <t>.</t>
        </is>
      </c>
      <c r="AF192" s="1500" t="n"/>
      <c r="AG192" s="1500" t="n"/>
      <c r="AH192" s="1500" t="n"/>
      <c r="AI192" s="1500" t="n"/>
      <c r="AJ192" s="1539" t="n"/>
      <c r="AK192" s="1500" t="n"/>
      <c r="AL192" s="1505" t="n"/>
      <c r="AM192" s="1491" t="n"/>
      <c r="AN192" s="1491" t="n"/>
      <c r="AO192" s="1491" t="n"/>
      <c r="AP192" s="1491" t="n"/>
      <c r="AQ192" s="1491" t="n"/>
      <c r="AR192" s="1491" t="n"/>
      <c r="AS192" s="1491" t="n"/>
      <c r="AT192" s="1491" t="n"/>
      <c r="AU192" s="1491" t="n"/>
      <c r="AV192" s="1491" t="n"/>
      <c r="AW192" s="1491" t="n"/>
      <c r="AX192" s="1491" t="n"/>
      <c r="AY192" s="1491" t="n"/>
      <c r="AZ192" s="1491" t="n"/>
      <c r="BA192" s="1491" t="n"/>
      <c r="BB192" s="1491" t="n"/>
      <c r="BC192" s="1491" t="n"/>
      <c r="BD192" s="1491" t="n"/>
      <c r="BE192" s="1491" t="n"/>
      <c r="BF192" s="1491" t="n"/>
      <c r="BG192" s="1491" t="n"/>
      <c r="BH192" s="1491" t="n"/>
      <c r="BI192" s="1491" t="n"/>
      <c r="BJ192" s="1491" t="n"/>
      <c r="BK192" s="1491" t="n"/>
      <c r="BL192" s="1491" t="n"/>
      <c r="BM192" s="1491" t="n"/>
      <c r="BN192" s="1491" t="n"/>
      <c r="BO192" s="1467" t="n"/>
      <c r="BP192" s="1514" t="n">
        <v>188</v>
      </c>
      <c r="BQ192" s="1513">
        <f>[1]Sheet1!C193</f>
        <v/>
      </c>
      <c r="BR192" s="1515">
        <f>[1]Sheet1!D193</f>
        <v/>
      </c>
      <c r="BS192" s="1513">
        <f>[1]Sheet1!E193</f>
        <v/>
      </c>
      <c r="BT192" s="1515">
        <f>[1]Sheet1!F193</f>
        <v/>
      </c>
      <c r="BU192" s="1516">
        <f>[1]Sheet1!G193</f>
        <v/>
      </c>
      <c r="BV192" s="1513">
        <f>[1]Sheet1!H193</f>
        <v/>
      </c>
      <c r="BW192" s="1467" t="n"/>
      <c r="BX192" s="1538" t="n"/>
      <c r="BY192" s="1506" t="n"/>
      <c r="BZ192" s="1537" t="n"/>
      <c r="CA192" s="1511">
        <f>[1]Sheet1!$M193</f>
        <v/>
      </c>
      <c r="CB192" s="1467" t="n"/>
      <c r="CC192" s="1467" t="n"/>
      <c r="CD192" s="1491" t="n"/>
      <c r="CE192" s="1491" t="n"/>
      <c r="CF192" s="1491" t="n"/>
      <c r="CG192" s="1491" t="n"/>
      <c r="CH192" s="1491" t="n"/>
      <c r="CI192" s="1491" t="n"/>
      <c r="CJ192" s="1491" t="n"/>
      <c r="CK192" s="1435" t="n"/>
      <c r="CL192" s="1521" t="n">
        <v>188</v>
      </c>
      <c r="CM192" s="1513" t="n"/>
      <c r="CN192" s="1513" t="n"/>
      <c r="CO192" s="1513" t="n"/>
      <c r="CP192" s="1541" t="n"/>
      <c r="CQ192" s="1435" t="n"/>
      <c r="CR192" s="1491" t="n"/>
      <c r="CS192" s="1491" t="n"/>
      <c r="CT192" s="1491" t="n"/>
      <c r="CU192" s="1491" t="n"/>
      <c r="CV192" s="1491" t="n"/>
      <c r="CW192" s="1491" t="n"/>
      <c r="CX192" s="1491" t="n"/>
    </row>
    <row r="193">
      <c r="A193" s="1491" t="n"/>
      <c r="B193" s="1491" t="n"/>
      <c r="C193" s="1491" t="n"/>
      <c r="D193" s="1497">
        <f>IF(E193&lt;&gt;"",D192+1,D192)</f>
        <v/>
      </c>
      <c r="E193" s="1497" t="inlineStr">
        <is>
          <t>Newquay</t>
        </is>
      </c>
      <c r="F193" s="1535" t="inlineStr">
        <is>
          <t>.</t>
        </is>
      </c>
      <c r="G193" s="1498">
        <f>IF(H193="AIR",0,IF(H192="AIR",G191+1,IF(H193&lt;&gt;"",G192+1,G192)))</f>
        <v/>
      </c>
      <c r="H193" s="1498" t="inlineStr">
        <is>
          <t>Plymouth</t>
        </is>
      </c>
      <c r="I193" s="1427" t="inlineStr">
        <is>
          <t>.</t>
        </is>
      </c>
      <c r="J193" s="1499" t="n">
        <v>188</v>
      </c>
      <c r="K193" s="1500">
        <f>_xlfn.XLOOKUP(cities[[#This Row],[id]],$D$5:$D$1500,E$5:E$1500,"-")</f>
        <v/>
      </c>
      <c r="L193" s="1500">
        <f>_xlfn.XLOOKUP(cities[[#This Row],[city]],ccc[city],ccc[ctry],"-")</f>
        <v/>
      </c>
      <c r="M193" s="1500">
        <f>SUMIFS(stayCity[stay],stayCity[city],cities[[#This Row],[city]])</f>
        <v/>
      </c>
      <c r="N193" s="1427">
        <f>N192+1</f>
        <v/>
      </c>
      <c r="O193" s="1500" t="n"/>
      <c r="P193" s="1500" t="n"/>
      <c r="Q193" s="1427" t="inlineStr">
        <is>
          <t>.</t>
        </is>
      </c>
      <c r="R193" s="1491" t="n"/>
      <c r="S193" s="1491" t="n"/>
      <c r="T193" s="1491" t="n"/>
      <c r="U193" s="1491" t="n"/>
      <c r="V193" s="1491" t="n"/>
      <c r="W193" s="1491" t="n"/>
      <c r="X193" s="1491" t="n"/>
      <c r="Y193" s="1491" t="n"/>
      <c r="Z193" s="1491" t="n"/>
      <c r="AA193" s="1491" t="n"/>
      <c r="AB193" s="1491" t="n"/>
      <c r="AC193" s="1491" t="n"/>
      <c r="AD193" s="1491" t="n"/>
      <c r="AE193" s="1427" t="inlineStr">
        <is>
          <t>.</t>
        </is>
      </c>
      <c r="AF193" s="1500" t="n"/>
      <c r="AG193" s="1500" t="n"/>
      <c r="AH193" s="1500" t="n"/>
      <c r="AI193" s="1500" t="n"/>
      <c r="AJ193" s="1539" t="n"/>
      <c r="AK193" s="1500" t="n"/>
      <c r="AL193" s="1505" t="n"/>
      <c r="AM193" s="1491" t="n"/>
      <c r="AN193" s="1491" t="n"/>
      <c r="AO193" s="1491" t="n"/>
      <c r="AP193" s="1491" t="n"/>
      <c r="AQ193" s="1491" t="n"/>
      <c r="AR193" s="1491" t="n"/>
      <c r="AS193" s="1491" t="n"/>
      <c r="AT193" s="1491" t="n"/>
      <c r="AU193" s="1491" t="n"/>
      <c r="AV193" s="1491" t="n"/>
      <c r="AW193" s="1491" t="n"/>
      <c r="AX193" s="1491" t="n"/>
      <c r="AY193" s="1491" t="n"/>
      <c r="AZ193" s="1491" t="n"/>
      <c r="BA193" s="1491" t="n"/>
      <c r="BB193" s="1491" t="n"/>
      <c r="BC193" s="1491" t="n"/>
      <c r="BD193" s="1491" t="n"/>
      <c r="BE193" s="1491" t="n"/>
      <c r="BF193" s="1491" t="n"/>
      <c r="BG193" s="1491" t="n"/>
      <c r="BH193" s="1491" t="n"/>
      <c r="BI193" s="1491" t="n"/>
      <c r="BJ193" s="1491" t="n"/>
      <c r="BK193" s="1491" t="n"/>
      <c r="BL193" s="1491" t="n"/>
      <c r="BM193" s="1491" t="n"/>
      <c r="BN193" s="1491" t="n"/>
      <c r="BO193" s="1467" t="n"/>
      <c r="BP193" s="1514" t="n">
        <v>189</v>
      </c>
      <c r="BQ193" s="1513">
        <f>[1]Sheet1!C194</f>
        <v/>
      </c>
      <c r="BR193" s="1515">
        <f>[1]Sheet1!D194</f>
        <v/>
      </c>
      <c r="BS193" s="1513">
        <f>[1]Sheet1!E194</f>
        <v/>
      </c>
      <c r="BT193" s="1515">
        <f>[1]Sheet1!F194</f>
        <v/>
      </c>
      <c r="BU193" s="1516">
        <f>[1]Sheet1!G194</f>
        <v/>
      </c>
      <c r="BV193" s="1513">
        <f>[1]Sheet1!H194</f>
        <v/>
      </c>
      <c r="BW193" s="1467" t="n"/>
      <c r="BX193" s="1538" t="n"/>
      <c r="BY193" s="1506" t="n"/>
      <c r="BZ193" s="1537" t="n"/>
      <c r="CA193" s="1511">
        <f>[1]Sheet1!$M194</f>
        <v/>
      </c>
      <c r="CB193" s="1467" t="n"/>
      <c r="CC193" s="1467" t="n"/>
      <c r="CD193" s="1491" t="n"/>
      <c r="CE193" s="1491" t="n"/>
      <c r="CF193" s="1491" t="n"/>
      <c r="CG193" s="1491" t="n"/>
      <c r="CH193" s="1491" t="n"/>
      <c r="CI193" s="1491" t="n"/>
      <c r="CJ193" s="1491" t="n"/>
      <c r="CK193" s="1435" t="n"/>
      <c r="CL193" s="1521" t="n">
        <v>189</v>
      </c>
      <c r="CM193" s="1513" t="n"/>
      <c r="CN193" s="1513" t="n"/>
      <c r="CO193" s="1513" t="n"/>
      <c r="CP193" s="1541" t="n"/>
      <c r="CQ193" s="1435" t="n"/>
      <c r="CR193" s="1491" t="n"/>
      <c r="CS193" s="1491" t="n"/>
      <c r="CT193" s="1491" t="n"/>
      <c r="CU193" s="1491" t="n"/>
      <c r="CV193" s="1491" t="n"/>
      <c r="CW193" s="1491" t="n"/>
      <c r="CX193" s="1491" t="n"/>
    </row>
    <row r="194">
      <c r="A194" s="1491" t="n"/>
      <c r="B194" s="1491" t="n"/>
      <c r="C194" s="1491" t="n"/>
      <c r="D194" s="1497">
        <f>IF(E194&lt;&gt;"",D193+1,D193)</f>
        <v/>
      </c>
      <c r="E194" s="1497" t="inlineStr">
        <is>
          <t>Stockholm</t>
        </is>
      </c>
      <c r="F194" s="1535" t="inlineStr">
        <is>
          <t>.</t>
        </is>
      </c>
      <c r="G194" s="1498">
        <f>IF(H194="AIR",0,IF(H193="AIR",G192+1,IF(H194&lt;&gt;"",G193+1,G193)))</f>
        <v/>
      </c>
      <c r="H194" s="1498" t="inlineStr">
        <is>
          <t>St. Ives</t>
        </is>
      </c>
      <c r="I194" s="1427" t="inlineStr">
        <is>
          <t>.</t>
        </is>
      </c>
      <c r="J194" s="1499" t="n">
        <v>189</v>
      </c>
      <c r="K194" s="1500">
        <f>_xlfn.XLOOKUP(cities[[#This Row],[id]],$D$5:$D$1500,E$5:E$1500,"-")</f>
        <v/>
      </c>
      <c r="L194" s="1500">
        <f>_xlfn.XLOOKUP(cities[[#This Row],[city]],ccc[city],ccc[ctry],"-")</f>
        <v/>
      </c>
      <c r="M194" s="1500">
        <f>SUMIFS(stayCity[stay],stayCity[city],cities[[#This Row],[city]])</f>
        <v/>
      </c>
      <c r="N194" s="1427">
        <f>N193+1</f>
        <v/>
      </c>
      <c r="O194" s="1500" t="n"/>
      <c r="P194" s="1500" t="n"/>
      <c r="Q194" s="1427" t="inlineStr">
        <is>
          <t>.</t>
        </is>
      </c>
      <c r="R194" s="1491" t="n"/>
      <c r="S194" s="1491" t="n"/>
      <c r="T194" s="1491" t="n"/>
      <c r="U194" s="1491" t="n"/>
      <c r="V194" s="1491" t="n"/>
      <c r="W194" s="1491" t="n"/>
      <c r="X194" s="1491" t="n"/>
      <c r="Y194" s="1491" t="n"/>
      <c r="Z194" s="1491" t="n"/>
      <c r="AA194" s="1491" t="n"/>
      <c r="AB194" s="1491" t="n"/>
      <c r="AC194" s="1491" t="n"/>
      <c r="AD194" s="1491" t="n"/>
      <c r="AE194" s="1427" t="inlineStr">
        <is>
          <t>.</t>
        </is>
      </c>
      <c r="AF194" s="1500" t="n"/>
      <c r="AG194" s="1500" t="n"/>
      <c r="AH194" s="1500" t="n"/>
      <c r="AI194" s="1500" t="n"/>
      <c r="AJ194" s="1539" t="n"/>
      <c r="AK194" s="1500" t="n"/>
      <c r="AL194" s="1505" t="n"/>
      <c r="AM194" s="1491" t="n"/>
      <c r="AN194" s="1491" t="n"/>
      <c r="AO194" s="1491" t="n"/>
      <c r="AP194" s="1491" t="n"/>
      <c r="AQ194" s="1491" t="n"/>
      <c r="AR194" s="1491" t="n"/>
      <c r="AS194" s="1491" t="n"/>
      <c r="AT194" s="1491" t="n"/>
      <c r="AU194" s="1491" t="n"/>
      <c r="AV194" s="1491" t="n"/>
      <c r="AW194" s="1491" t="n"/>
      <c r="AX194" s="1491" t="n"/>
      <c r="AY194" s="1491" t="n"/>
      <c r="AZ194" s="1491" t="n"/>
      <c r="BA194" s="1491" t="n"/>
      <c r="BB194" s="1491" t="n"/>
      <c r="BC194" s="1491" t="n"/>
      <c r="BD194" s="1491" t="n"/>
      <c r="BE194" s="1491" t="n"/>
      <c r="BF194" s="1491" t="n"/>
      <c r="BG194" s="1491" t="n"/>
      <c r="BH194" s="1491" t="n"/>
      <c r="BI194" s="1491" t="n"/>
      <c r="BJ194" s="1491" t="n"/>
      <c r="BK194" s="1491" t="n"/>
      <c r="BL194" s="1491" t="n"/>
      <c r="BM194" s="1491" t="n"/>
      <c r="BN194" s="1491" t="n"/>
      <c r="BO194" s="1467" t="n"/>
      <c r="BP194" s="1514" t="n">
        <v>190</v>
      </c>
      <c r="BQ194" s="1513">
        <f>[1]Sheet1!C195</f>
        <v/>
      </c>
      <c r="BR194" s="1515">
        <f>[1]Sheet1!D195</f>
        <v/>
      </c>
      <c r="BS194" s="1513">
        <f>[1]Sheet1!E195</f>
        <v/>
      </c>
      <c r="BT194" s="1515">
        <f>[1]Sheet1!F195</f>
        <v/>
      </c>
      <c r="BU194" s="1516">
        <f>[1]Sheet1!G195</f>
        <v/>
      </c>
      <c r="BV194" s="1513">
        <f>[1]Sheet1!H195</f>
        <v/>
      </c>
      <c r="BW194" s="1467" t="n"/>
      <c r="BX194" s="1538" t="n"/>
      <c r="BY194" s="1506" t="n"/>
      <c r="BZ194" s="1537" t="n"/>
      <c r="CA194" s="1511">
        <f>[1]Sheet1!$M195</f>
        <v/>
      </c>
      <c r="CB194" s="1467" t="n"/>
      <c r="CC194" s="1467" t="n"/>
      <c r="CD194" s="1491" t="n"/>
      <c r="CE194" s="1491" t="n"/>
      <c r="CF194" s="1491" t="n"/>
      <c r="CG194" s="1491" t="n"/>
      <c r="CH194" s="1491" t="n"/>
      <c r="CI194" s="1491" t="n"/>
      <c r="CJ194" s="1491" t="n"/>
      <c r="CK194" s="1435" t="n"/>
      <c r="CL194" s="1521" t="n">
        <v>190</v>
      </c>
      <c r="CM194" s="1513" t="n"/>
      <c r="CN194" s="1513" t="n"/>
      <c r="CO194" s="1513" t="n"/>
      <c r="CP194" s="1541" t="n"/>
      <c r="CQ194" s="1435" t="n"/>
      <c r="CR194" s="1491" t="n"/>
      <c r="CS194" s="1491" t="n"/>
      <c r="CT194" s="1491" t="n"/>
      <c r="CU194" s="1491" t="n"/>
      <c r="CV194" s="1491" t="n"/>
      <c r="CW194" s="1491" t="n"/>
      <c r="CX194" s="1491" t="n"/>
    </row>
    <row r="195">
      <c r="A195" s="1491" t="n"/>
      <c r="B195" s="1491" t="n"/>
      <c r="C195" s="1491" t="n"/>
      <c r="D195" s="1497">
        <f>IF(E195&lt;&gt;"",D194+1,D194)</f>
        <v/>
      </c>
      <c r="E195" s="1497" t="inlineStr">
        <is>
          <t>Helsink</t>
        </is>
      </c>
      <c r="F195" s="1535" t="inlineStr">
        <is>
          <t>.</t>
        </is>
      </c>
      <c r="G195" s="1498">
        <f>IF(H195="AIR",0,IF(H194="AIR",G193+1,IF(H195&lt;&gt;"",G194+1,G194)))</f>
        <v/>
      </c>
      <c r="H195" s="1498" t="inlineStr">
        <is>
          <t>Penzance</t>
        </is>
      </c>
      <c r="I195" s="1427" t="inlineStr">
        <is>
          <t>.</t>
        </is>
      </c>
      <c r="J195" s="1499" t="n">
        <v>190</v>
      </c>
      <c r="K195" s="1500">
        <f>_xlfn.XLOOKUP(cities[[#This Row],[id]],$D$5:$D$1500,E$5:E$1500,"-")</f>
        <v/>
      </c>
      <c r="L195" s="1500">
        <f>_xlfn.XLOOKUP(cities[[#This Row],[city]],ccc[city],ccc[ctry],"-")</f>
        <v/>
      </c>
      <c r="M195" s="1500">
        <f>SUMIFS(stayCity[stay],stayCity[city],cities[[#This Row],[city]])</f>
        <v/>
      </c>
      <c r="N195" s="1427">
        <f>N194+1</f>
        <v/>
      </c>
      <c r="O195" s="1500" t="n"/>
      <c r="P195" s="1500" t="n"/>
      <c r="Q195" s="1427" t="inlineStr">
        <is>
          <t>.</t>
        </is>
      </c>
      <c r="R195" s="1491" t="n"/>
      <c r="S195" s="1491" t="n"/>
      <c r="T195" s="1491" t="n"/>
      <c r="U195" s="1491" t="n"/>
      <c r="V195" s="1491" t="n"/>
      <c r="W195" s="1491" t="n"/>
      <c r="X195" s="1491" t="n"/>
      <c r="Y195" s="1491" t="n"/>
      <c r="Z195" s="1491" t="n"/>
      <c r="AA195" s="1491" t="n"/>
      <c r="AB195" s="1491" t="n"/>
      <c r="AC195" s="1491" t="n"/>
      <c r="AD195" s="1491" t="n"/>
      <c r="AE195" s="1427" t="inlineStr">
        <is>
          <t>.</t>
        </is>
      </c>
      <c r="AF195" s="1500" t="n"/>
      <c r="AG195" s="1500" t="n"/>
      <c r="AH195" s="1500" t="n"/>
      <c r="AI195" s="1500" t="n"/>
      <c r="AJ195" s="1539" t="n"/>
      <c r="AK195" s="1500" t="n"/>
      <c r="AL195" s="1505" t="n"/>
      <c r="AM195" s="1491" t="n"/>
      <c r="AN195" s="1491" t="n"/>
      <c r="AO195" s="1491" t="n"/>
      <c r="AP195" s="1491" t="n"/>
      <c r="AQ195" s="1491" t="n"/>
      <c r="AR195" s="1491" t="n"/>
      <c r="AS195" s="1491" t="n"/>
      <c r="AT195" s="1491" t="n"/>
      <c r="AU195" s="1491" t="n"/>
      <c r="AV195" s="1491" t="n"/>
      <c r="AW195" s="1491" t="n"/>
      <c r="AX195" s="1491" t="n"/>
      <c r="AY195" s="1491" t="n"/>
      <c r="AZ195" s="1491" t="n"/>
      <c r="BA195" s="1491" t="n"/>
      <c r="BB195" s="1491" t="n"/>
      <c r="BC195" s="1491" t="n"/>
      <c r="BD195" s="1491" t="n"/>
      <c r="BE195" s="1491" t="n"/>
      <c r="BF195" s="1491" t="n"/>
      <c r="BG195" s="1491" t="n"/>
      <c r="BH195" s="1491" t="n"/>
      <c r="BI195" s="1491" t="n"/>
      <c r="BJ195" s="1491" t="n"/>
      <c r="BK195" s="1491" t="n"/>
      <c r="BL195" s="1491" t="n"/>
      <c r="BM195" s="1491" t="n"/>
      <c r="BN195" s="1491" t="n"/>
      <c r="BO195" s="1467" t="n"/>
      <c r="BP195" s="1514" t="n">
        <v>191</v>
      </c>
      <c r="BQ195" s="1513">
        <f>[1]Sheet1!C196</f>
        <v/>
      </c>
      <c r="BR195" s="1515">
        <f>[1]Sheet1!D196</f>
        <v/>
      </c>
      <c r="BS195" s="1513">
        <f>[1]Sheet1!E196</f>
        <v/>
      </c>
      <c r="BT195" s="1515">
        <f>[1]Sheet1!F196</f>
        <v/>
      </c>
      <c r="BU195" s="1516">
        <f>[1]Sheet1!G196</f>
        <v/>
      </c>
      <c r="BV195" s="1513">
        <f>[1]Sheet1!H196</f>
        <v/>
      </c>
      <c r="BW195" s="1467" t="n"/>
      <c r="BX195" s="1538" t="n"/>
      <c r="BY195" s="1506" t="n"/>
      <c r="BZ195" s="1537" t="n"/>
      <c r="CA195" s="1511">
        <f>[1]Sheet1!$M196</f>
        <v/>
      </c>
      <c r="CB195" s="1467" t="n"/>
      <c r="CC195" s="1467" t="n"/>
      <c r="CD195" s="1491" t="n"/>
      <c r="CE195" s="1491" t="n"/>
      <c r="CF195" s="1491" t="n"/>
      <c r="CG195" s="1491" t="n"/>
      <c r="CH195" s="1491" t="n"/>
      <c r="CI195" s="1491" t="n"/>
      <c r="CJ195" s="1491" t="n"/>
      <c r="CK195" s="1435" t="n"/>
      <c r="CL195" s="1521" t="n">
        <v>191</v>
      </c>
      <c r="CM195" s="1513" t="n"/>
      <c r="CN195" s="1513" t="n"/>
      <c r="CO195" s="1513" t="n"/>
      <c r="CP195" s="1541" t="n"/>
      <c r="CQ195" s="1435" t="n"/>
      <c r="CR195" s="1491" t="n"/>
      <c r="CS195" s="1491" t="n"/>
      <c r="CT195" s="1491" t="n"/>
      <c r="CU195" s="1491" t="n"/>
      <c r="CV195" s="1491" t="n"/>
      <c r="CW195" s="1491" t="n"/>
      <c r="CX195" s="1491" t="n"/>
    </row>
    <row r="196">
      <c r="A196" s="1491" t="n"/>
      <c r="B196" s="1491" t="n"/>
      <c r="C196" s="1491" t="n"/>
      <c r="D196" s="1497">
        <f>IF(E196&lt;&gt;"",D195+1,D195)</f>
        <v/>
      </c>
      <c r="E196" s="1497" t="inlineStr">
        <is>
          <t>LAKE COTTAGE</t>
        </is>
      </c>
      <c r="F196" s="1535" t="inlineStr">
        <is>
          <t>.</t>
        </is>
      </c>
      <c r="G196" s="1498">
        <f>IF(H196="AIR",0,IF(H195="AIR",G194+1,IF(H196&lt;&gt;"",G195+1,G195)))</f>
        <v/>
      </c>
      <c r="H196" s="1498" t="inlineStr">
        <is>
          <t>Newquay</t>
        </is>
      </c>
      <c r="I196" s="1427" t="inlineStr">
        <is>
          <t>.</t>
        </is>
      </c>
      <c r="J196" s="1499" t="n">
        <v>191</v>
      </c>
      <c r="K196" s="1500">
        <f>_xlfn.XLOOKUP(cities[[#This Row],[id]],$D$5:$D$1500,E$5:E$1500,"-")</f>
        <v/>
      </c>
      <c r="L196" s="1500">
        <f>_xlfn.XLOOKUP(cities[[#This Row],[city]],ccc[city],ccc[ctry],"-")</f>
        <v/>
      </c>
      <c r="M196" s="1500">
        <f>SUMIFS(stayCity[stay],stayCity[city],cities[[#This Row],[city]])</f>
        <v/>
      </c>
      <c r="N196" s="1427">
        <f>N195+1</f>
        <v/>
      </c>
      <c r="O196" s="1500" t="n"/>
      <c r="P196" s="1500" t="n"/>
      <c r="Q196" s="1427" t="inlineStr">
        <is>
          <t>.</t>
        </is>
      </c>
      <c r="R196" s="1491" t="n"/>
      <c r="S196" s="1491" t="n"/>
      <c r="T196" s="1491" t="n"/>
      <c r="U196" s="1491" t="n"/>
      <c r="V196" s="1491" t="n"/>
      <c r="W196" s="1491" t="n"/>
      <c r="X196" s="1491" t="n"/>
      <c r="Y196" s="1491" t="n"/>
      <c r="Z196" s="1491" t="n"/>
      <c r="AA196" s="1491" t="n"/>
      <c r="AB196" s="1491" t="n"/>
      <c r="AC196" s="1491" t="n"/>
      <c r="AD196" s="1491" t="n"/>
      <c r="AE196" s="1427" t="inlineStr">
        <is>
          <t>.</t>
        </is>
      </c>
      <c r="AF196" s="1500" t="n"/>
      <c r="AG196" s="1500" t="n"/>
      <c r="AH196" s="1500" t="n"/>
      <c r="AI196" s="1500" t="n"/>
      <c r="AJ196" s="1539" t="n"/>
      <c r="AK196" s="1500" t="n"/>
      <c r="AL196" s="1505" t="n"/>
      <c r="AM196" s="1491" t="n"/>
      <c r="AN196" s="1491" t="n"/>
      <c r="AO196" s="1491" t="n"/>
      <c r="AP196" s="1491" t="n"/>
      <c r="AQ196" s="1491" t="n"/>
      <c r="AR196" s="1491" t="n"/>
      <c r="AS196" s="1491" t="n"/>
      <c r="AT196" s="1491" t="n"/>
      <c r="AU196" s="1491" t="n"/>
      <c r="AV196" s="1491" t="n"/>
      <c r="AW196" s="1491" t="n"/>
      <c r="AX196" s="1491" t="n"/>
      <c r="AY196" s="1491" t="n"/>
      <c r="AZ196" s="1491" t="n"/>
      <c r="BA196" s="1491" t="n"/>
      <c r="BB196" s="1491" t="n"/>
      <c r="BC196" s="1491" t="n"/>
      <c r="BD196" s="1491" t="n"/>
      <c r="BE196" s="1491" t="n"/>
      <c r="BF196" s="1491" t="n"/>
      <c r="BG196" s="1491" t="n"/>
      <c r="BH196" s="1491" t="n"/>
      <c r="BI196" s="1491" t="n"/>
      <c r="BJ196" s="1491" t="n"/>
      <c r="BK196" s="1491" t="n"/>
      <c r="BL196" s="1491" t="n"/>
      <c r="BM196" s="1491" t="n"/>
      <c r="BN196" s="1491" t="n"/>
      <c r="BO196" s="1467" t="n"/>
      <c r="BP196" s="1514" t="n">
        <v>192</v>
      </c>
      <c r="BQ196" s="1513">
        <f>[1]Sheet1!C197</f>
        <v/>
      </c>
      <c r="BR196" s="1515">
        <f>[1]Sheet1!D197</f>
        <v/>
      </c>
      <c r="BS196" s="1513">
        <f>[1]Sheet1!E197</f>
        <v/>
      </c>
      <c r="BT196" s="1515">
        <f>[1]Sheet1!F197</f>
        <v/>
      </c>
      <c r="BU196" s="1516">
        <f>[1]Sheet1!G197</f>
        <v/>
      </c>
      <c r="BV196" s="1513">
        <f>[1]Sheet1!H197</f>
        <v/>
      </c>
      <c r="BW196" s="1467" t="n"/>
      <c r="BX196" s="1538" t="n"/>
      <c r="BY196" s="1506" t="n"/>
      <c r="BZ196" s="1537" t="n"/>
      <c r="CA196" s="1511">
        <f>[1]Sheet1!$M197</f>
        <v/>
      </c>
      <c r="CB196" s="1467" t="n"/>
      <c r="CC196" s="1467" t="n"/>
      <c r="CD196" s="1491" t="n"/>
      <c r="CE196" s="1491" t="n"/>
      <c r="CF196" s="1491" t="n"/>
      <c r="CG196" s="1491" t="n"/>
      <c r="CH196" s="1491" t="n"/>
      <c r="CI196" s="1491" t="n"/>
      <c r="CJ196" s="1491" t="n"/>
      <c r="CK196" s="1435" t="n"/>
      <c r="CL196" s="1521" t="n">
        <v>192</v>
      </c>
      <c r="CM196" s="1513" t="n"/>
      <c r="CN196" s="1513" t="n"/>
      <c r="CO196" s="1513" t="n"/>
      <c r="CP196" s="1541" t="n"/>
      <c r="CQ196" s="1435" t="n"/>
      <c r="CR196" s="1491" t="n"/>
      <c r="CS196" s="1491" t="n"/>
      <c r="CT196" s="1491" t="n"/>
      <c r="CU196" s="1491" t="n"/>
      <c r="CV196" s="1491" t="n"/>
      <c r="CW196" s="1491" t="n"/>
      <c r="CX196" s="1491" t="n"/>
    </row>
    <row r="197">
      <c r="A197" s="1491" t="n"/>
      <c r="B197" s="1491" t="n"/>
      <c r="C197" s="1491" t="n"/>
      <c r="D197" s="1497">
        <f>IF(E197&lt;&gt;"",D196+1,D196)</f>
        <v/>
      </c>
      <c r="E197" s="1497" t="inlineStr">
        <is>
          <t>Tampere</t>
        </is>
      </c>
      <c r="F197" s="1535" t="inlineStr">
        <is>
          <t>.</t>
        </is>
      </c>
      <c r="G197" s="1498">
        <f>IF(H197="AIR",0,IF(H196="AIR",G195+1,IF(H197&lt;&gt;"",G196+1,G196)))</f>
        <v/>
      </c>
      <c r="H197" s="1498" t="inlineStr">
        <is>
          <t>Stockholm</t>
        </is>
      </c>
      <c r="I197" s="1427" t="inlineStr">
        <is>
          <t>.</t>
        </is>
      </c>
      <c r="J197" s="1499" t="n">
        <v>192</v>
      </c>
      <c r="K197" s="1500">
        <f>_xlfn.XLOOKUP(cities[[#This Row],[id]],$D$5:$D$1500,E$5:E$1500,"-")</f>
        <v/>
      </c>
      <c r="L197" s="1500">
        <f>_xlfn.XLOOKUP(cities[[#This Row],[city]],ccc[city],ccc[ctry],"-")</f>
        <v/>
      </c>
      <c r="M197" s="1500">
        <f>SUMIFS(stayCity[stay],stayCity[city],cities[[#This Row],[city]])</f>
        <v/>
      </c>
      <c r="N197" s="1427">
        <f>N196+1</f>
        <v/>
      </c>
      <c r="O197" s="1500" t="n"/>
      <c r="P197" s="1500" t="n"/>
      <c r="Q197" s="1427" t="inlineStr">
        <is>
          <t>.</t>
        </is>
      </c>
      <c r="R197" s="1491" t="n"/>
      <c r="S197" s="1491" t="n"/>
      <c r="T197" s="1491" t="n"/>
      <c r="U197" s="1491" t="n"/>
      <c r="V197" s="1491" t="n"/>
      <c r="W197" s="1491" t="n"/>
      <c r="X197" s="1491" t="n"/>
      <c r="Y197" s="1491" t="n"/>
      <c r="Z197" s="1491" t="n"/>
      <c r="AA197" s="1491" t="n"/>
      <c r="AB197" s="1491" t="n"/>
      <c r="AC197" s="1491" t="n"/>
      <c r="AD197" s="1491" t="n"/>
      <c r="AE197" s="1427" t="inlineStr">
        <is>
          <t>.</t>
        </is>
      </c>
      <c r="AF197" s="1500" t="n"/>
      <c r="AG197" s="1500" t="n"/>
      <c r="AH197" s="1500" t="n"/>
      <c r="AI197" s="1500" t="n"/>
      <c r="AJ197" s="1539" t="n"/>
      <c r="AK197" s="1500" t="n"/>
      <c r="AL197" s="1505" t="n"/>
      <c r="AM197" s="1491" t="n"/>
      <c r="AN197" s="1491" t="n"/>
      <c r="AO197" s="1491" t="n"/>
      <c r="AP197" s="1491" t="n"/>
      <c r="AQ197" s="1491" t="n"/>
      <c r="AR197" s="1491" t="n"/>
      <c r="AS197" s="1491" t="n"/>
      <c r="AT197" s="1491" t="n"/>
      <c r="AU197" s="1491" t="n"/>
      <c r="AV197" s="1491" t="n"/>
      <c r="AW197" s="1491" t="n"/>
      <c r="AX197" s="1491" t="n"/>
      <c r="AY197" s="1491" t="n"/>
      <c r="AZ197" s="1491" t="n"/>
      <c r="BA197" s="1491" t="n"/>
      <c r="BB197" s="1491" t="n"/>
      <c r="BC197" s="1491" t="n"/>
      <c r="BD197" s="1491" t="n"/>
      <c r="BE197" s="1491" t="n"/>
      <c r="BF197" s="1491" t="n"/>
      <c r="BG197" s="1491" t="n"/>
      <c r="BH197" s="1491" t="n"/>
      <c r="BI197" s="1491" t="n"/>
      <c r="BJ197" s="1491" t="n"/>
      <c r="BK197" s="1491" t="n"/>
      <c r="BL197" s="1491" t="n"/>
      <c r="BM197" s="1491" t="n"/>
      <c r="BN197" s="1491" t="n"/>
      <c r="BO197" s="1467" t="n"/>
      <c r="BP197" s="1514" t="n">
        <v>193</v>
      </c>
      <c r="BQ197" s="1513">
        <f>[1]Sheet1!C198</f>
        <v/>
      </c>
      <c r="BR197" s="1515">
        <f>[1]Sheet1!D198</f>
        <v/>
      </c>
      <c r="BS197" s="1513">
        <f>[1]Sheet1!E198</f>
        <v/>
      </c>
      <c r="BT197" s="1515">
        <f>[1]Sheet1!F198</f>
        <v/>
      </c>
      <c r="BU197" s="1516">
        <f>[1]Sheet1!G198</f>
        <v/>
      </c>
      <c r="BV197" s="1513">
        <f>[1]Sheet1!H198</f>
        <v/>
      </c>
      <c r="BW197" s="1467" t="n"/>
      <c r="BX197" s="1538" t="n"/>
      <c r="BY197" s="1506" t="n"/>
      <c r="BZ197" s="1537" t="n"/>
      <c r="CA197" s="1511">
        <f>[1]Sheet1!$M198</f>
        <v/>
      </c>
      <c r="CB197" s="1467" t="n"/>
      <c r="CC197" s="1467" t="n"/>
      <c r="CD197" s="1491" t="n"/>
      <c r="CE197" s="1491" t="n"/>
      <c r="CF197" s="1491" t="n"/>
      <c r="CG197" s="1491" t="n"/>
      <c r="CH197" s="1491" t="n"/>
      <c r="CI197" s="1491" t="n"/>
      <c r="CJ197" s="1491" t="n"/>
      <c r="CK197" s="1435" t="n"/>
      <c r="CL197" s="1521" t="n">
        <v>193</v>
      </c>
      <c r="CM197" s="1513" t="n"/>
      <c r="CN197" s="1513" t="n"/>
      <c r="CO197" s="1513" t="n"/>
      <c r="CP197" s="1541" t="n"/>
      <c r="CQ197" s="1435" t="n"/>
      <c r="CR197" s="1491" t="n"/>
      <c r="CS197" s="1491" t="n"/>
      <c r="CT197" s="1491" t="n"/>
      <c r="CU197" s="1491" t="n"/>
      <c r="CV197" s="1491" t="n"/>
      <c r="CW197" s="1491" t="n"/>
      <c r="CX197" s="1491" t="n"/>
    </row>
    <row r="198">
      <c r="A198" s="1491" t="n"/>
      <c r="B198" s="1491" t="n"/>
      <c r="C198" s="1491" t="n"/>
      <c r="D198" s="1497">
        <f>IF(E198&lt;&gt;"",D197+1,D197)</f>
        <v/>
      </c>
      <c r="E198" s="1497" t="inlineStr">
        <is>
          <t>WALES 1</t>
        </is>
      </c>
      <c r="F198" s="1535" t="inlineStr">
        <is>
          <t>.</t>
        </is>
      </c>
      <c r="G198" s="1498">
        <f>IF(H198="AIR",0,IF(H197="AIR",G196+1,IF(H198&lt;&gt;"",G197+1,G197)))</f>
        <v/>
      </c>
      <c r="H198" s="1498" t="inlineStr">
        <is>
          <t>SEA SWE</t>
        </is>
      </c>
      <c r="I198" s="1427" t="inlineStr">
        <is>
          <t>.</t>
        </is>
      </c>
      <c r="J198" s="1499" t="n">
        <v>193</v>
      </c>
      <c r="K198" s="1500">
        <f>_xlfn.XLOOKUP(cities[[#This Row],[id]],$D$5:$D$1500,E$5:E$1500,"-")</f>
        <v/>
      </c>
      <c r="L198" s="1500">
        <f>_xlfn.XLOOKUP(cities[[#This Row],[city]],ccc[city],ccc[ctry],"-")</f>
        <v/>
      </c>
      <c r="M198" s="1500">
        <f>SUMIFS(stayCity[stay],stayCity[city],cities[[#This Row],[city]])</f>
        <v/>
      </c>
      <c r="N198" s="1427">
        <f>N197+1</f>
        <v/>
      </c>
      <c r="O198" s="1500" t="n"/>
      <c r="P198" s="1500" t="n"/>
      <c r="Q198" s="1427" t="inlineStr">
        <is>
          <t>.</t>
        </is>
      </c>
      <c r="R198" s="1491" t="n"/>
      <c r="S198" s="1491" t="n"/>
      <c r="T198" s="1491" t="n"/>
      <c r="U198" s="1491" t="n"/>
      <c r="V198" s="1491" t="n"/>
      <c r="W198" s="1491" t="n"/>
      <c r="X198" s="1491" t="n"/>
      <c r="Y198" s="1491" t="n"/>
      <c r="Z198" s="1491" t="n"/>
      <c r="AA198" s="1491" t="n"/>
      <c r="AB198" s="1491" t="n"/>
      <c r="AC198" s="1491" t="n"/>
      <c r="AD198" s="1491" t="n"/>
      <c r="AE198" s="1427" t="inlineStr">
        <is>
          <t>.</t>
        </is>
      </c>
      <c r="AF198" s="1500" t="n"/>
      <c r="AG198" s="1500" t="n"/>
      <c r="AH198" s="1500" t="n"/>
      <c r="AI198" s="1500" t="n"/>
      <c r="AJ198" s="1539" t="n"/>
      <c r="AK198" s="1500" t="n"/>
      <c r="AL198" s="1505" t="n"/>
      <c r="AM198" s="1491" t="n"/>
      <c r="AN198" s="1491" t="n"/>
      <c r="AO198" s="1491" t="n"/>
      <c r="AP198" s="1491" t="n"/>
      <c r="AQ198" s="1491" t="n"/>
      <c r="AR198" s="1491" t="n"/>
      <c r="AS198" s="1491" t="n"/>
      <c r="AT198" s="1491" t="n"/>
      <c r="AU198" s="1491" t="n"/>
      <c r="AV198" s="1491" t="n"/>
      <c r="AW198" s="1491" t="n"/>
      <c r="AX198" s="1491" t="n"/>
      <c r="AY198" s="1491" t="n"/>
      <c r="AZ198" s="1491" t="n"/>
      <c r="BA198" s="1491" t="n"/>
      <c r="BB198" s="1491" t="n"/>
      <c r="BC198" s="1491" t="n"/>
      <c r="BD198" s="1491" t="n"/>
      <c r="BE198" s="1491" t="n"/>
      <c r="BF198" s="1491" t="n"/>
      <c r="BG198" s="1491" t="n"/>
      <c r="BH198" s="1491" t="n"/>
      <c r="BI198" s="1491" t="n"/>
      <c r="BJ198" s="1491" t="n"/>
      <c r="BK198" s="1491" t="n"/>
      <c r="BL198" s="1491" t="n"/>
      <c r="BM198" s="1491" t="n"/>
      <c r="BN198" s="1491" t="n"/>
      <c r="BO198" s="1467" t="n"/>
      <c r="BP198" s="1514" t="n">
        <v>194</v>
      </c>
      <c r="BQ198" s="1513">
        <f>[1]Sheet1!C199</f>
        <v/>
      </c>
      <c r="BR198" s="1515">
        <f>[1]Sheet1!D199</f>
        <v/>
      </c>
      <c r="BS198" s="1513">
        <f>[1]Sheet1!E199</f>
        <v/>
      </c>
      <c r="BT198" s="1515">
        <f>[1]Sheet1!F199</f>
        <v/>
      </c>
      <c r="BU198" s="1516">
        <f>[1]Sheet1!G199</f>
        <v/>
      </c>
      <c r="BV198" s="1513">
        <f>[1]Sheet1!H199</f>
        <v/>
      </c>
      <c r="BW198" s="1467" t="n"/>
      <c r="BX198" s="1538" t="n"/>
      <c r="BY198" s="1506" t="n"/>
      <c r="BZ198" s="1537" t="n"/>
      <c r="CA198" s="1511">
        <f>[1]Sheet1!$M199</f>
        <v/>
      </c>
      <c r="CB198" s="1467" t="n"/>
      <c r="CC198" s="1467" t="n"/>
      <c r="CD198" s="1491" t="n"/>
      <c r="CE198" s="1491" t="n"/>
      <c r="CF198" s="1491" t="n"/>
      <c r="CG198" s="1491" t="n"/>
      <c r="CH198" s="1491" t="n"/>
      <c r="CI198" s="1491" t="n"/>
      <c r="CJ198" s="1491" t="n"/>
      <c r="CK198" s="1435" t="n"/>
      <c r="CL198" s="1521" t="n">
        <v>194</v>
      </c>
      <c r="CM198" s="1513" t="n"/>
      <c r="CN198" s="1513" t="n"/>
      <c r="CO198" s="1513" t="n"/>
      <c r="CP198" s="1541" t="n"/>
      <c r="CQ198" s="1435" t="n"/>
      <c r="CR198" s="1491" t="n"/>
      <c r="CS198" s="1491" t="n"/>
      <c r="CT198" s="1491" t="n"/>
      <c r="CU198" s="1491" t="n"/>
      <c r="CV198" s="1491" t="n"/>
      <c r="CW198" s="1491" t="n"/>
      <c r="CX198" s="1491" t="n"/>
    </row>
    <row r="199">
      <c r="A199" s="1491" t="n"/>
      <c r="B199" s="1491" t="n"/>
      <c r="C199" s="1491" t="n"/>
      <c r="D199" s="1497">
        <f>IF(E199&lt;&gt;"",D198+1,D198)</f>
        <v/>
      </c>
      <c r="E199" s="1497" t="inlineStr">
        <is>
          <t>WALES 2</t>
        </is>
      </c>
      <c r="F199" s="1535" t="inlineStr">
        <is>
          <t>.</t>
        </is>
      </c>
      <c r="G199" s="1498">
        <f>IF(H199="AIR",0,IF(H198="AIR",G197+1,IF(H199&lt;&gt;"",G198+1,G198)))</f>
        <v/>
      </c>
      <c r="H199" s="1498" t="inlineStr">
        <is>
          <t>Helsink</t>
        </is>
      </c>
      <c r="I199" s="1427" t="inlineStr">
        <is>
          <t>.</t>
        </is>
      </c>
      <c r="J199" s="1499" t="n">
        <v>194</v>
      </c>
      <c r="K199" s="1500">
        <f>_xlfn.XLOOKUP(cities[[#This Row],[id]],$D$5:$D$1500,E$5:E$1500,"-")</f>
        <v/>
      </c>
      <c r="L199" s="1500">
        <f>_xlfn.XLOOKUP(cities[[#This Row],[city]],ccc[city],ccc[ctry],"-")</f>
        <v/>
      </c>
      <c r="M199" s="1500">
        <f>SUMIFS(stayCity[stay],stayCity[city],cities[[#This Row],[city]])</f>
        <v/>
      </c>
      <c r="N199" s="1427">
        <f>N198+1</f>
        <v/>
      </c>
      <c r="O199" s="1500" t="n"/>
      <c r="P199" s="1500" t="n"/>
      <c r="Q199" s="1427" t="inlineStr">
        <is>
          <t>.</t>
        </is>
      </c>
      <c r="R199" s="1491" t="n"/>
      <c r="S199" s="1491" t="n"/>
      <c r="T199" s="1491" t="n"/>
      <c r="U199" s="1491" t="n"/>
      <c r="V199" s="1491" t="n"/>
      <c r="W199" s="1491" t="n"/>
      <c r="X199" s="1491" t="n"/>
      <c r="Y199" s="1491" t="n"/>
      <c r="Z199" s="1491" t="n"/>
      <c r="AA199" s="1491" t="n"/>
      <c r="AB199" s="1491" t="n"/>
      <c r="AC199" s="1491" t="n"/>
      <c r="AD199" s="1491" t="n"/>
      <c r="AE199" s="1427" t="inlineStr">
        <is>
          <t>.</t>
        </is>
      </c>
      <c r="AF199" s="1500" t="n"/>
      <c r="AG199" s="1500" t="n"/>
      <c r="AH199" s="1500" t="n"/>
      <c r="AI199" s="1500" t="n"/>
      <c r="AJ199" s="1539" t="n"/>
      <c r="AK199" s="1500" t="n"/>
      <c r="AL199" s="1505" t="n"/>
      <c r="AM199" s="1491" t="n"/>
      <c r="AN199" s="1491" t="n"/>
      <c r="AO199" s="1491" t="n"/>
      <c r="AP199" s="1491" t="n"/>
      <c r="AQ199" s="1491" t="n"/>
      <c r="AR199" s="1491" t="n"/>
      <c r="AS199" s="1491" t="n"/>
      <c r="AT199" s="1491" t="n"/>
      <c r="AU199" s="1491" t="n"/>
      <c r="AV199" s="1491" t="n"/>
      <c r="AW199" s="1491" t="n"/>
      <c r="AX199" s="1491" t="n"/>
      <c r="AY199" s="1491" t="n"/>
      <c r="AZ199" s="1491" t="n"/>
      <c r="BA199" s="1491" t="n"/>
      <c r="BB199" s="1491" t="n"/>
      <c r="BC199" s="1491" t="n"/>
      <c r="BD199" s="1491" t="n"/>
      <c r="BE199" s="1491" t="n"/>
      <c r="BF199" s="1491" t="n"/>
      <c r="BG199" s="1491" t="n"/>
      <c r="BH199" s="1491" t="n"/>
      <c r="BI199" s="1491" t="n"/>
      <c r="BJ199" s="1491" t="n"/>
      <c r="BK199" s="1491" t="n"/>
      <c r="BL199" s="1491" t="n"/>
      <c r="BM199" s="1491" t="n"/>
      <c r="BN199" s="1491" t="n"/>
      <c r="BO199" s="1467" t="n"/>
      <c r="BP199" s="1514" t="n">
        <v>195</v>
      </c>
      <c r="BQ199" s="1513">
        <f>[1]Sheet1!C200</f>
        <v/>
      </c>
      <c r="BR199" s="1515">
        <f>[1]Sheet1!D200</f>
        <v/>
      </c>
      <c r="BS199" s="1513">
        <f>[1]Sheet1!E200</f>
        <v/>
      </c>
      <c r="BT199" s="1515">
        <f>[1]Sheet1!F200</f>
        <v/>
      </c>
      <c r="BU199" s="1516">
        <f>[1]Sheet1!G200</f>
        <v/>
      </c>
      <c r="BV199" s="1513">
        <f>[1]Sheet1!H200</f>
        <v/>
      </c>
      <c r="BW199" s="1467" t="n"/>
      <c r="BX199" s="1538" t="n"/>
      <c r="BY199" s="1506" t="n"/>
      <c r="BZ199" s="1537" t="n"/>
      <c r="CA199" s="1511">
        <f>[1]Sheet1!$M200</f>
        <v/>
      </c>
      <c r="CB199" s="1467" t="n"/>
      <c r="CC199" s="1467" t="n"/>
      <c r="CD199" s="1491" t="n"/>
      <c r="CE199" s="1491" t="n"/>
      <c r="CF199" s="1491" t="n"/>
      <c r="CG199" s="1491" t="n"/>
      <c r="CH199" s="1491" t="n"/>
      <c r="CI199" s="1491" t="n"/>
      <c r="CJ199" s="1491" t="n"/>
      <c r="CK199" s="1435" t="n"/>
      <c r="CL199" s="1521" t="n">
        <v>195</v>
      </c>
      <c r="CM199" s="1513" t="n"/>
      <c r="CN199" s="1513" t="n"/>
      <c r="CO199" s="1513" t="n"/>
      <c r="CP199" s="1541" t="n"/>
      <c r="CQ199" s="1435" t="n"/>
      <c r="CR199" s="1491" t="n"/>
      <c r="CS199" s="1491" t="n"/>
      <c r="CT199" s="1491" t="n"/>
      <c r="CU199" s="1491" t="n"/>
      <c r="CV199" s="1491" t="n"/>
      <c r="CW199" s="1491" t="n"/>
      <c r="CX199" s="1491" t="n"/>
    </row>
    <row r="200">
      <c r="A200" s="1491" t="n"/>
      <c r="B200" s="1491" t="n"/>
      <c r="C200" s="1491" t="n"/>
      <c r="D200" s="1497">
        <f>IF(E200&lt;&gt;"",D199+1,D199)</f>
        <v/>
      </c>
      <c r="E200" s="1497" t="inlineStr">
        <is>
          <t>Morro de SP</t>
        </is>
      </c>
      <c r="F200" s="1535" t="inlineStr">
        <is>
          <t>.</t>
        </is>
      </c>
      <c r="G200" s="1498">
        <f>IF(H200="AIR",0,IF(H199="AIR",G198+1,IF(H200&lt;&gt;"",G199+1,G199)))</f>
        <v/>
      </c>
      <c r="H200" s="1498" t="inlineStr">
        <is>
          <t>LAKE COTTAGE</t>
        </is>
      </c>
      <c r="I200" s="1427" t="inlineStr">
        <is>
          <t>.</t>
        </is>
      </c>
      <c r="J200" s="1499" t="n">
        <v>195</v>
      </c>
      <c r="K200" s="1500">
        <f>_xlfn.XLOOKUP(cities[[#This Row],[id]],$D$5:$D$1500,E$5:E$1500,"-")</f>
        <v/>
      </c>
      <c r="L200" s="1500">
        <f>_xlfn.XLOOKUP(cities[[#This Row],[city]],ccc[city],ccc[ctry],"-")</f>
        <v/>
      </c>
      <c r="M200" s="1500">
        <f>SUMIFS(stayCity[stay],stayCity[city],cities[[#This Row],[city]])</f>
        <v/>
      </c>
      <c r="N200" s="1427">
        <f>N199+1</f>
        <v/>
      </c>
      <c r="O200" s="1500" t="n"/>
      <c r="P200" s="1500" t="n"/>
      <c r="Q200" s="1427" t="inlineStr">
        <is>
          <t>.</t>
        </is>
      </c>
      <c r="R200" s="1491" t="n"/>
      <c r="S200" s="1491" t="n"/>
      <c r="T200" s="1491" t="n"/>
      <c r="U200" s="1491" t="n"/>
      <c r="V200" s="1491" t="n"/>
      <c r="W200" s="1491" t="n"/>
      <c r="X200" s="1491" t="n"/>
      <c r="Y200" s="1491" t="n"/>
      <c r="Z200" s="1491" t="n"/>
      <c r="AA200" s="1491" t="n"/>
      <c r="AB200" s="1491" t="n"/>
      <c r="AC200" s="1491" t="n"/>
      <c r="AD200" s="1491" t="n"/>
      <c r="AE200" s="1427" t="inlineStr">
        <is>
          <t>.</t>
        </is>
      </c>
      <c r="AF200" s="1500" t="n"/>
      <c r="AG200" s="1500" t="n"/>
      <c r="AH200" s="1500" t="n"/>
      <c r="AI200" s="1500" t="n"/>
      <c r="AJ200" s="1539" t="n"/>
      <c r="AK200" s="1500" t="n"/>
      <c r="AL200" s="1505" t="n"/>
      <c r="AM200" s="1491" t="n"/>
      <c r="AN200" s="1491" t="n"/>
      <c r="AO200" s="1491" t="n"/>
      <c r="AP200" s="1491" t="n"/>
      <c r="AQ200" s="1491" t="n"/>
      <c r="AR200" s="1491" t="n"/>
      <c r="AS200" s="1491" t="n"/>
      <c r="AT200" s="1491" t="n"/>
      <c r="AU200" s="1491" t="n"/>
      <c r="AV200" s="1491" t="n"/>
      <c r="AW200" s="1491" t="n"/>
      <c r="AX200" s="1491" t="n"/>
      <c r="AY200" s="1491" t="n"/>
      <c r="AZ200" s="1491" t="n"/>
      <c r="BA200" s="1491" t="n"/>
      <c r="BB200" s="1491" t="n"/>
      <c r="BC200" s="1491" t="n"/>
      <c r="BD200" s="1491" t="n"/>
      <c r="BE200" s="1491" t="n"/>
      <c r="BF200" s="1491" t="n"/>
      <c r="BG200" s="1491" t="n"/>
      <c r="BH200" s="1491" t="n"/>
      <c r="BI200" s="1491" t="n"/>
      <c r="BJ200" s="1491" t="n"/>
      <c r="BK200" s="1491" t="n"/>
      <c r="BL200" s="1491" t="n"/>
      <c r="BM200" s="1491" t="n"/>
      <c r="BN200" s="1491" t="n"/>
      <c r="BO200" s="1467" t="n"/>
      <c r="BP200" s="1514" t="n">
        <v>196</v>
      </c>
      <c r="BQ200" s="1513">
        <f>[1]Sheet1!C201</f>
        <v/>
      </c>
      <c r="BR200" s="1515">
        <f>[1]Sheet1!D201</f>
        <v/>
      </c>
      <c r="BS200" s="1513">
        <f>[1]Sheet1!E201</f>
        <v/>
      </c>
      <c r="BT200" s="1515">
        <f>[1]Sheet1!F201</f>
        <v/>
      </c>
      <c r="BU200" s="1516">
        <f>[1]Sheet1!G201</f>
        <v/>
      </c>
      <c r="BV200" s="1513">
        <f>[1]Sheet1!H201</f>
        <v/>
      </c>
      <c r="BW200" s="1467" t="n"/>
      <c r="BX200" s="1538" t="n"/>
      <c r="BY200" s="1506" t="n"/>
      <c r="BZ200" s="1537" t="n"/>
      <c r="CA200" s="1511">
        <f>[1]Sheet1!$M201</f>
        <v/>
      </c>
      <c r="CB200" s="1467" t="n"/>
      <c r="CC200" s="1467" t="n"/>
      <c r="CD200" s="1491" t="n"/>
      <c r="CE200" s="1491" t="n"/>
      <c r="CF200" s="1491" t="n"/>
      <c r="CG200" s="1491" t="n"/>
      <c r="CH200" s="1491" t="n"/>
      <c r="CI200" s="1491" t="n"/>
      <c r="CJ200" s="1491" t="n"/>
      <c r="CK200" s="1435" t="n"/>
      <c r="CL200" s="1521" t="n">
        <v>196</v>
      </c>
      <c r="CM200" s="1513" t="n"/>
      <c r="CN200" s="1513" t="n"/>
      <c r="CO200" s="1513" t="n"/>
      <c r="CP200" s="1541" t="n"/>
      <c r="CQ200" s="1435" t="n"/>
      <c r="CR200" s="1491" t="n"/>
      <c r="CS200" s="1491" t="n"/>
      <c r="CT200" s="1491" t="n"/>
      <c r="CU200" s="1491" t="n"/>
      <c r="CV200" s="1491" t="n"/>
      <c r="CW200" s="1491" t="n"/>
      <c r="CX200" s="1491" t="n"/>
    </row>
    <row r="201">
      <c r="A201" s="1491" t="n"/>
      <c r="B201" s="1491" t="n"/>
      <c r="C201" s="1491" t="n"/>
      <c r="D201" s="1497">
        <f>IF(E201&lt;&gt;"",D200+1,D200)</f>
        <v/>
      </c>
      <c r="E201" s="1497" t="inlineStr">
        <is>
          <t>Frankfurt</t>
        </is>
      </c>
      <c r="F201" s="1535" t="inlineStr">
        <is>
          <t>.</t>
        </is>
      </c>
      <c r="G201" s="1498">
        <f>IF(H201="AIR",0,IF(H200="AIR",G199+1,IF(H201&lt;&gt;"",G200+1,G200)))</f>
        <v/>
      </c>
      <c r="H201" s="1498" t="inlineStr">
        <is>
          <t>Tampere</t>
        </is>
      </c>
      <c r="I201" s="1427" t="inlineStr">
        <is>
          <t>.</t>
        </is>
      </c>
      <c r="J201" s="1499" t="n">
        <v>196</v>
      </c>
      <c r="K201" s="1500">
        <f>_xlfn.XLOOKUP(cities[[#This Row],[id]],$D$5:$D$1500,E$5:E$1500,"-")</f>
        <v/>
      </c>
      <c r="L201" s="1500">
        <f>_xlfn.XLOOKUP(cities[[#This Row],[city]],ccc[city],ccc[ctry],"-")</f>
        <v/>
      </c>
      <c r="M201" s="1500">
        <f>SUMIFS(stayCity[stay],stayCity[city],cities[[#This Row],[city]])</f>
        <v/>
      </c>
      <c r="N201" s="1427">
        <f>N200+1</f>
        <v/>
      </c>
      <c r="O201" s="1500" t="n"/>
      <c r="P201" s="1500" t="n"/>
      <c r="Q201" s="1427" t="inlineStr">
        <is>
          <t>.</t>
        </is>
      </c>
      <c r="R201" s="1491" t="n"/>
      <c r="S201" s="1491" t="n"/>
      <c r="T201" s="1491" t="n"/>
      <c r="U201" s="1491" t="n"/>
      <c r="V201" s="1491" t="n"/>
      <c r="W201" s="1491" t="n"/>
      <c r="X201" s="1491" t="n"/>
      <c r="Y201" s="1491" t="n"/>
      <c r="Z201" s="1491" t="n"/>
      <c r="AA201" s="1491" t="n"/>
      <c r="AB201" s="1491" t="n"/>
      <c r="AC201" s="1491" t="n"/>
      <c r="AD201" s="1491" t="n"/>
      <c r="AE201" s="1427" t="inlineStr">
        <is>
          <t>.</t>
        </is>
      </c>
      <c r="AF201" s="1500" t="n"/>
      <c r="AG201" s="1500" t="n"/>
      <c r="AH201" s="1500" t="n"/>
      <c r="AI201" s="1500" t="n"/>
      <c r="AJ201" s="1539" t="n"/>
      <c r="AK201" s="1500" t="n"/>
      <c r="AL201" s="1505" t="n"/>
      <c r="AM201" s="1491" t="n"/>
      <c r="AN201" s="1491" t="n"/>
      <c r="AO201" s="1491" t="n"/>
      <c r="AP201" s="1491" t="n"/>
      <c r="AQ201" s="1491" t="n"/>
      <c r="AR201" s="1491" t="n"/>
      <c r="AS201" s="1491" t="n"/>
      <c r="AT201" s="1491" t="n"/>
      <c r="AU201" s="1491" t="n"/>
      <c r="AV201" s="1491" t="n"/>
      <c r="AW201" s="1491" t="n"/>
      <c r="AX201" s="1491" t="n"/>
      <c r="AY201" s="1491" t="n"/>
      <c r="AZ201" s="1491" t="n"/>
      <c r="BA201" s="1491" t="n"/>
      <c r="BB201" s="1491" t="n"/>
      <c r="BC201" s="1491" t="n"/>
      <c r="BD201" s="1491" t="n"/>
      <c r="BE201" s="1491" t="n"/>
      <c r="BF201" s="1491" t="n"/>
      <c r="BG201" s="1491" t="n"/>
      <c r="BH201" s="1491" t="n"/>
      <c r="BI201" s="1491" t="n"/>
      <c r="BJ201" s="1491" t="n"/>
      <c r="BK201" s="1491" t="n"/>
      <c r="BL201" s="1491" t="n"/>
      <c r="BM201" s="1491" t="n"/>
      <c r="BN201" s="1491" t="n"/>
      <c r="BO201" s="1467" t="n"/>
      <c r="BP201" s="1514" t="n">
        <v>197</v>
      </c>
      <c r="BQ201" s="1513">
        <f>[1]Sheet1!C202</f>
        <v/>
      </c>
      <c r="BR201" s="1515">
        <f>[1]Sheet1!D202</f>
        <v/>
      </c>
      <c r="BS201" s="1513">
        <f>[1]Sheet1!E202</f>
        <v/>
      </c>
      <c r="BT201" s="1515">
        <f>[1]Sheet1!F202</f>
        <v/>
      </c>
      <c r="BU201" s="1516">
        <f>[1]Sheet1!G202</f>
        <v/>
      </c>
      <c r="BV201" s="1513">
        <f>[1]Sheet1!H202</f>
        <v/>
      </c>
      <c r="BW201" s="1467" t="n"/>
      <c r="BX201" s="1538" t="n"/>
      <c r="BY201" s="1506" t="n"/>
      <c r="BZ201" s="1537" t="n"/>
      <c r="CA201" s="1511">
        <f>[1]Sheet1!$M202</f>
        <v/>
      </c>
      <c r="CB201" s="1467" t="n"/>
      <c r="CC201" s="1467" t="n"/>
      <c r="CD201" s="1491" t="n"/>
      <c r="CE201" s="1491" t="n"/>
      <c r="CF201" s="1491" t="n"/>
      <c r="CG201" s="1491" t="n"/>
      <c r="CH201" s="1491" t="n"/>
      <c r="CI201" s="1491" t="n"/>
      <c r="CJ201" s="1491" t="n"/>
      <c r="CK201" s="1435" t="n"/>
      <c r="CL201" s="1521" t="n">
        <v>197</v>
      </c>
      <c r="CM201" s="1513" t="n"/>
      <c r="CN201" s="1513" t="n"/>
      <c r="CO201" s="1513" t="n"/>
      <c r="CP201" s="1541" t="n"/>
      <c r="CQ201" s="1435" t="n"/>
      <c r="CR201" s="1491" t="n"/>
      <c r="CS201" s="1491" t="n"/>
      <c r="CT201" s="1491" t="n"/>
      <c r="CU201" s="1491" t="n"/>
      <c r="CV201" s="1491" t="n"/>
      <c r="CW201" s="1491" t="n"/>
      <c r="CX201" s="1491" t="n"/>
    </row>
    <row r="202">
      <c r="A202" s="1491" t="n"/>
      <c r="B202" s="1491" t="n"/>
      <c r="C202" s="1491" t="n"/>
      <c r="D202" s="1497">
        <f>IF(E202&lt;&gt;"",D201+1,D201)</f>
        <v/>
      </c>
      <c r="E202" s="1497" t="inlineStr">
        <is>
          <t>Lucerne</t>
        </is>
      </c>
      <c r="F202" s="1535" t="inlineStr">
        <is>
          <t>.</t>
        </is>
      </c>
      <c r="G202" s="1498">
        <f>IF(H202="AIR",0,IF(H201="AIR",G200+1,IF(H202&lt;&gt;"",G201+1,G201)))</f>
        <v/>
      </c>
      <c r="H202" s="1498" t="inlineStr">
        <is>
          <t>SEA FIN</t>
        </is>
      </c>
      <c r="I202" s="1427" t="inlineStr">
        <is>
          <t>.</t>
        </is>
      </c>
      <c r="J202" s="1499" t="n">
        <v>197</v>
      </c>
      <c r="K202" s="1500">
        <f>_xlfn.XLOOKUP(cities[[#This Row],[id]],$D$5:$D$1500,E$5:E$1500,"-")</f>
        <v/>
      </c>
      <c r="L202" s="1500">
        <f>_xlfn.XLOOKUP(cities[[#This Row],[city]],ccc[city],ccc[ctry],"-")</f>
        <v/>
      </c>
      <c r="M202" s="1500">
        <f>SUMIFS(stayCity[stay],stayCity[city],cities[[#This Row],[city]])</f>
        <v/>
      </c>
      <c r="N202" s="1427">
        <f>N201+1</f>
        <v/>
      </c>
      <c r="O202" s="1500" t="n"/>
      <c r="P202" s="1500" t="n"/>
      <c r="Q202" s="1427" t="inlineStr">
        <is>
          <t>.</t>
        </is>
      </c>
      <c r="R202" s="1491" t="n"/>
      <c r="S202" s="1491" t="n"/>
      <c r="T202" s="1491" t="n"/>
      <c r="U202" s="1491" t="n"/>
      <c r="V202" s="1491" t="n"/>
      <c r="W202" s="1491" t="n"/>
      <c r="X202" s="1491" t="n"/>
      <c r="Y202" s="1491" t="n"/>
      <c r="Z202" s="1491" t="n"/>
      <c r="AA202" s="1491" t="n"/>
      <c r="AB202" s="1491" t="n"/>
      <c r="AC202" s="1491" t="n"/>
      <c r="AD202" s="1491" t="n"/>
      <c r="AE202" s="1427" t="inlineStr">
        <is>
          <t>.</t>
        </is>
      </c>
      <c r="AF202" s="1500" t="n"/>
      <c r="AG202" s="1500" t="n"/>
      <c r="AH202" s="1500" t="n"/>
      <c r="AI202" s="1500" t="n"/>
      <c r="AJ202" s="1539" t="n"/>
      <c r="AK202" s="1500" t="n"/>
      <c r="AL202" s="1505" t="n"/>
      <c r="AM202" s="1491" t="n"/>
      <c r="AN202" s="1491" t="n"/>
      <c r="AO202" s="1491" t="n"/>
      <c r="AP202" s="1491" t="n"/>
      <c r="AQ202" s="1491" t="n"/>
      <c r="AR202" s="1491" t="n"/>
      <c r="AS202" s="1491" t="n"/>
      <c r="AT202" s="1491" t="n"/>
      <c r="AU202" s="1491" t="n"/>
      <c r="AV202" s="1491" t="n"/>
      <c r="AW202" s="1491" t="n"/>
      <c r="AX202" s="1491" t="n"/>
      <c r="AY202" s="1491" t="n"/>
      <c r="AZ202" s="1491" t="n"/>
      <c r="BA202" s="1491" t="n"/>
      <c r="BB202" s="1491" t="n"/>
      <c r="BC202" s="1491" t="n"/>
      <c r="BD202" s="1491" t="n"/>
      <c r="BE202" s="1491" t="n"/>
      <c r="BF202" s="1491" t="n"/>
      <c r="BG202" s="1491" t="n"/>
      <c r="BH202" s="1491" t="n"/>
      <c r="BI202" s="1491" t="n"/>
      <c r="BJ202" s="1491" t="n"/>
      <c r="BK202" s="1491" t="n"/>
      <c r="BL202" s="1491" t="n"/>
      <c r="BM202" s="1491" t="n"/>
      <c r="BN202" s="1491" t="n"/>
      <c r="BO202" s="1467" t="n"/>
      <c r="BP202" s="1514" t="n">
        <v>198</v>
      </c>
      <c r="BQ202" s="1513">
        <f>[1]Sheet1!C203</f>
        <v/>
      </c>
      <c r="BR202" s="1515">
        <f>[1]Sheet1!D203</f>
        <v/>
      </c>
      <c r="BS202" s="1513">
        <f>[1]Sheet1!E203</f>
        <v/>
      </c>
      <c r="BT202" s="1515">
        <f>[1]Sheet1!F203</f>
        <v/>
      </c>
      <c r="BU202" s="1516">
        <f>[1]Sheet1!G203</f>
        <v/>
      </c>
      <c r="BV202" s="1513">
        <f>[1]Sheet1!H203</f>
        <v/>
      </c>
      <c r="BW202" s="1467" t="n"/>
      <c r="BX202" s="1538" t="n"/>
      <c r="BY202" s="1506" t="n"/>
      <c r="BZ202" s="1537" t="n"/>
      <c r="CA202" s="1511">
        <f>[1]Sheet1!$M203</f>
        <v/>
      </c>
      <c r="CB202" s="1467" t="n"/>
      <c r="CC202" s="1467" t="n"/>
      <c r="CD202" s="1491" t="n"/>
      <c r="CE202" s="1491" t="n"/>
      <c r="CF202" s="1491" t="n"/>
      <c r="CG202" s="1491" t="n"/>
      <c r="CH202" s="1491" t="n"/>
      <c r="CI202" s="1491" t="n"/>
      <c r="CJ202" s="1491" t="n"/>
      <c r="CK202" s="1435" t="n"/>
      <c r="CL202" s="1521" t="n">
        <v>198</v>
      </c>
      <c r="CM202" s="1513" t="n"/>
      <c r="CN202" s="1513" t="n"/>
      <c r="CO202" s="1513" t="n"/>
      <c r="CP202" s="1541" t="n"/>
      <c r="CQ202" s="1435" t="n"/>
      <c r="CR202" s="1491" t="n"/>
      <c r="CS202" s="1491" t="n"/>
      <c r="CT202" s="1491" t="n"/>
      <c r="CU202" s="1491" t="n"/>
      <c r="CV202" s="1491" t="n"/>
      <c r="CW202" s="1491" t="n"/>
      <c r="CX202" s="1491" t="n"/>
    </row>
    <row r="203">
      <c r="A203" s="1491" t="n"/>
      <c r="B203" s="1491" t="n"/>
      <c r="C203" s="1491" t="n"/>
      <c r="D203" s="1497">
        <f>IF(E203&lt;&gt;"",D202+1,D202)</f>
        <v/>
      </c>
      <c r="E203" s="1497" t="inlineStr">
        <is>
          <t>Arraial d'Ajuda</t>
        </is>
      </c>
      <c r="F203" s="1535" t="inlineStr">
        <is>
          <t>.</t>
        </is>
      </c>
      <c r="G203" s="1498">
        <f>IF(H203="AIR",0,IF(H202="AIR",G201+1,IF(H203&lt;&gt;"",G202+1,G202)))</f>
        <v/>
      </c>
      <c r="H203" s="1498" t="inlineStr">
        <is>
          <t>WALES 1</t>
        </is>
      </c>
      <c r="I203" s="1427" t="inlineStr">
        <is>
          <t>.</t>
        </is>
      </c>
      <c r="J203" s="1499" t="n">
        <v>198</v>
      </c>
      <c r="K203" s="1500">
        <f>_xlfn.XLOOKUP(cities[[#This Row],[id]],$D$5:$D$1500,E$5:E$1500,"-")</f>
        <v/>
      </c>
      <c r="L203" s="1500">
        <f>_xlfn.XLOOKUP(cities[[#This Row],[city]],ccc[city],ccc[ctry],"-")</f>
        <v/>
      </c>
      <c r="M203" s="1500">
        <f>SUMIFS(stayCity[stay],stayCity[city],cities[[#This Row],[city]])</f>
        <v/>
      </c>
      <c r="N203" s="1427">
        <f>N202+1</f>
        <v/>
      </c>
      <c r="O203" s="1500" t="n"/>
      <c r="P203" s="1500" t="n"/>
      <c r="Q203" s="1427" t="inlineStr">
        <is>
          <t>.</t>
        </is>
      </c>
      <c r="R203" s="1491" t="n"/>
      <c r="S203" s="1491" t="n"/>
      <c r="T203" s="1491" t="n"/>
      <c r="U203" s="1491" t="n"/>
      <c r="V203" s="1491" t="n"/>
      <c r="W203" s="1491" t="n"/>
      <c r="X203" s="1491" t="n"/>
      <c r="Y203" s="1491" t="n"/>
      <c r="Z203" s="1491" t="n"/>
      <c r="AA203" s="1491" t="n"/>
      <c r="AB203" s="1491" t="n"/>
      <c r="AC203" s="1491" t="n"/>
      <c r="AD203" s="1491" t="n"/>
      <c r="AE203" s="1427" t="inlineStr">
        <is>
          <t>.</t>
        </is>
      </c>
      <c r="AF203" s="1500" t="n"/>
      <c r="AG203" s="1500" t="n"/>
      <c r="AH203" s="1500" t="n"/>
      <c r="AI203" s="1500" t="n"/>
      <c r="AJ203" s="1539" t="n"/>
      <c r="AK203" s="1500" t="n"/>
      <c r="AL203" s="1505" t="n"/>
      <c r="AM203" s="1491" t="n"/>
      <c r="AN203" s="1491" t="n"/>
      <c r="AO203" s="1491" t="n"/>
      <c r="AP203" s="1491" t="n"/>
      <c r="AQ203" s="1491" t="n"/>
      <c r="AR203" s="1491" t="n"/>
      <c r="AS203" s="1491" t="n"/>
      <c r="AT203" s="1491" t="n"/>
      <c r="AU203" s="1491" t="n"/>
      <c r="AV203" s="1491" t="n"/>
      <c r="AW203" s="1491" t="n"/>
      <c r="AX203" s="1491" t="n"/>
      <c r="AY203" s="1491" t="n"/>
      <c r="AZ203" s="1491" t="n"/>
      <c r="BA203" s="1491" t="n"/>
      <c r="BB203" s="1491" t="n"/>
      <c r="BC203" s="1491" t="n"/>
      <c r="BD203" s="1491" t="n"/>
      <c r="BE203" s="1491" t="n"/>
      <c r="BF203" s="1491" t="n"/>
      <c r="BG203" s="1491" t="n"/>
      <c r="BH203" s="1491" t="n"/>
      <c r="BI203" s="1491" t="n"/>
      <c r="BJ203" s="1491" t="n"/>
      <c r="BK203" s="1491" t="n"/>
      <c r="BL203" s="1491" t="n"/>
      <c r="BM203" s="1491" t="n"/>
      <c r="BN203" s="1491" t="n"/>
      <c r="BO203" s="1467" t="n"/>
      <c r="BP203" s="1514" t="n">
        <v>199</v>
      </c>
      <c r="BQ203" s="1513">
        <f>[1]Sheet1!C204</f>
        <v/>
      </c>
      <c r="BR203" s="1515">
        <f>[1]Sheet1!D204</f>
        <v/>
      </c>
      <c r="BS203" s="1513">
        <f>[1]Sheet1!E204</f>
        <v/>
      </c>
      <c r="BT203" s="1515">
        <f>[1]Sheet1!F204</f>
        <v/>
      </c>
      <c r="BU203" s="1516">
        <f>[1]Sheet1!G204</f>
        <v/>
      </c>
      <c r="BV203" s="1513">
        <f>[1]Sheet1!H204</f>
        <v/>
      </c>
      <c r="BW203" s="1467" t="n"/>
      <c r="BX203" s="1538" t="n"/>
      <c r="BY203" s="1506" t="n"/>
      <c r="BZ203" s="1537" t="n"/>
      <c r="CA203" s="1511">
        <f>[1]Sheet1!$M204</f>
        <v/>
      </c>
      <c r="CB203" s="1467" t="n"/>
      <c r="CC203" s="1467" t="n"/>
      <c r="CD203" s="1491" t="n"/>
      <c r="CE203" s="1491" t="n"/>
      <c r="CF203" s="1491" t="n"/>
      <c r="CG203" s="1491" t="n"/>
      <c r="CH203" s="1491" t="n"/>
      <c r="CI203" s="1491" t="n"/>
      <c r="CJ203" s="1491" t="n"/>
      <c r="CK203" s="1435" t="n"/>
      <c r="CL203" s="1521" t="n">
        <v>199</v>
      </c>
      <c r="CM203" s="1513" t="n"/>
      <c r="CN203" s="1513" t="n"/>
      <c r="CO203" s="1513" t="n"/>
      <c r="CP203" s="1541" t="n"/>
      <c r="CQ203" s="1435" t="n"/>
      <c r="CR203" s="1491" t="n"/>
      <c r="CS203" s="1491" t="n"/>
      <c r="CT203" s="1491" t="n"/>
      <c r="CU203" s="1491" t="n"/>
      <c r="CV203" s="1491" t="n"/>
      <c r="CW203" s="1491" t="n"/>
      <c r="CX203" s="1491" t="n"/>
    </row>
    <row r="204">
      <c r="A204" s="1491" t="n"/>
      <c r="B204" s="1491" t="n"/>
      <c r="C204" s="1491" t="n"/>
      <c r="D204" s="1497">
        <f>IF(E204&lt;&gt;"",D203+1,D203)</f>
        <v/>
      </c>
      <c r="E204" s="1497" t="inlineStr">
        <is>
          <t>Bruxelas</t>
        </is>
      </c>
      <c r="F204" s="1535" t="inlineStr">
        <is>
          <t>.</t>
        </is>
      </c>
      <c r="G204" s="1498">
        <f>IF(H204="AIR",0,IF(H203="AIR",G202+1,IF(H204&lt;&gt;"",G203+1,G203)))</f>
        <v/>
      </c>
      <c r="H204" s="1498" t="inlineStr">
        <is>
          <t>WALES 2</t>
        </is>
      </c>
      <c r="I204" s="1427" t="inlineStr">
        <is>
          <t>.</t>
        </is>
      </c>
      <c r="J204" s="1499" t="n">
        <v>199</v>
      </c>
      <c r="K204" s="1500">
        <f>_xlfn.XLOOKUP(cities[[#This Row],[id]],$D$5:$D$1500,E$5:E$1500,"-")</f>
        <v/>
      </c>
      <c r="L204" s="1500">
        <f>_xlfn.XLOOKUP(cities[[#This Row],[city]],ccc[city],ccc[ctry],"-")</f>
        <v/>
      </c>
      <c r="M204" s="1500">
        <f>SUMIFS(stayCity[stay],stayCity[city],cities[[#This Row],[city]])</f>
        <v/>
      </c>
      <c r="N204" s="1427">
        <f>N203+1</f>
        <v/>
      </c>
      <c r="O204" s="1500" t="n"/>
      <c r="P204" s="1500" t="n"/>
      <c r="Q204" s="1427" t="inlineStr">
        <is>
          <t>.</t>
        </is>
      </c>
      <c r="R204" s="1491" t="n"/>
      <c r="S204" s="1491" t="n"/>
      <c r="T204" s="1491" t="n"/>
      <c r="U204" s="1491" t="n"/>
      <c r="V204" s="1491" t="n"/>
      <c r="W204" s="1491" t="n"/>
      <c r="X204" s="1491" t="n"/>
      <c r="Y204" s="1491" t="n"/>
      <c r="Z204" s="1491" t="n"/>
      <c r="AA204" s="1491" t="n"/>
      <c r="AB204" s="1491" t="n"/>
      <c r="AC204" s="1491" t="n"/>
      <c r="AD204" s="1491" t="n"/>
      <c r="AE204" s="1427" t="inlineStr">
        <is>
          <t>.</t>
        </is>
      </c>
      <c r="AF204" s="1500" t="n"/>
      <c r="AG204" s="1500" t="n"/>
      <c r="AH204" s="1500" t="n"/>
      <c r="AI204" s="1500" t="n"/>
      <c r="AJ204" s="1539" t="n"/>
      <c r="AK204" s="1500" t="n"/>
      <c r="AL204" s="1505" t="n"/>
      <c r="AM204" s="1491" t="n"/>
      <c r="AN204" s="1491" t="n"/>
      <c r="AO204" s="1491" t="n"/>
      <c r="AP204" s="1491" t="n"/>
      <c r="AQ204" s="1491" t="n"/>
      <c r="AR204" s="1491" t="n"/>
      <c r="AS204" s="1491" t="n"/>
      <c r="AT204" s="1491" t="n"/>
      <c r="AU204" s="1491" t="n"/>
      <c r="AV204" s="1491" t="n"/>
      <c r="AW204" s="1491" t="n"/>
      <c r="AX204" s="1491" t="n"/>
      <c r="AY204" s="1491" t="n"/>
      <c r="AZ204" s="1491" t="n"/>
      <c r="BA204" s="1491" t="n"/>
      <c r="BB204" s="1491" t="n"/>
      <c r="BC204" s="1491" t="n"/>
      <c r="BD204" s="1491" t="n"/>
      <c r="BE204" s="1491" t="n"/>
      <c r="BF204" s="1491" t="n"/>
      <c r="BG204" s="1491" t="n"/>
      <c r="BH204" s="1491" t="n"/>
      <c r="BI204" s="1491" t="n"/>
      <c r="BJ204" s="1491" t="n"/>
      <c r="BK204" s="1491" t="n"/>
      <c r="BL204" s="1491" t="n"/>
      <c r="BM204" s="1491" t="n"/>
      <c r="BN204" s="1491" t="n"/>
      <c r="BO204" s="1467" t="n"/>
      <c r="BP204" s="1514" t="n">
        <v>200</v>
      </c>
      <c r="BQ204" s="1513">
        <f>[1]Sheet1!C205</f>
        <v/>
      </c>
      <c r="BR204" s="1515">
        <f>[1]Sheet1!D205</f>
        <v/>
      </c>
      <c r="BS204" s="1513">
        <f>[1]Sheet1!E205</f>
        <v/>
      </c>
      <c r="BT204" s="1515">
        <f>[1]Sheet1!F205</f>
        <v/>
      </c>
      <c r="BU204" s="1516">
        <f>[1]Sheet1!G205</f>
        <v/>
      </c>
      <c r="BV204" s="1513">
        <f>[1]Sheet1!H205</f>
        <v/>
      </c>
      <c r="BW204" s="1467" t="n"/>
      <c r="BX204" s="1538" t="n"/>
      <c r="BY204" s="1506" t="n"/>
      <c r="BZ204" s="1537" t="n"/>
      <c r="CA204" s="1511">
        <f>[1]Sheet1!$M205</f>
        <v/>
      </c>
      <c r="CB204" s="1467" t="n"/>
      <c r="CC204" s="1467" t="n"/>
      <c r="CD204" s="1491" t="n"/>
      <c r="CE204" s="1491" t="n"/>
      <c r="CF204" s="1491" t="n"/>
      <c r="CG204" s="1491" t="n"/>
      <c r="CH204" s="1491" t="n"/>
      <c r="CI204" s="1491" t="n"/>
      <c r="CJ204" s="1491" t="n"/>
      <c r="CK204" s="1435" t="n"/>
      <c r="CL204" s="1521" t="n">
        <v>200</v>
      </c>
      <c r="CM204" s="1513" t="n"/>
      <c r="CN204" s="1513" t="n"/>
      <c r="CO204" s="1513" t="n"/>
      <c r="CP204" s="1541" t="n"/>
      <c r="CQ204" s="1435" t="n"/>
      <c r="CR204" s="1491" t="n"/>
      <c r="CS204" s="1491" t="n"/>
      <c r="CT204" s="1491" t="n"/>
      <c r="CU204" s="1491" t="n"/>
      <c r="CV204" s="1491" t="n"/>
      <c r="CW204" s="1491" t="n"/>
      <c r="CX204" s="1491" t="n"/>
    </row>
    <row r="205">
      <c r="A205" s="1491" t="n"/>
      <c r="B205" s="1491" t="n"/>
      <c r="C205" s="1491" t="n"/>
      <c r="D205" s="1497">
        <f>IF(E205&lt;&gt;"",D204+1,D204)</f>
        <v/>
      </c>
      <c r="E205" s="1497" t="inlineStr">
        <is>
          <t>Magliano</t>
        </is>
      </c>
      <c r="F205" s="1535" t="inlineStr">
        <is>
          <t>.</t>
        </is>
      </c>
      <c r="G205" s="1498">
        <f>IF(H205="AIR",0,IF(H204="AIR",G203+1,IF(H205&lt;&gt;"",G204+1,G204)))</f>
        <v/>
      </c>
      <c r="H205" s="1498" t="inlineStr">
        <is>
          <t>Morro de SP</t>
        </is>
      </c>
      <c r="I205" s="1427" t="inlineStr">
        <is>
          <t>.</t>
        </is>
      </c>
      <c r="J205" s="1499" t="n">
        <v>200</v>
      </c>
      <c r="K205" s="1500">
        <f>_xlfn.XLOOKUP(cities[[#This Row],[id]],$D$5:$D$1500,E$5:E$1500,"-")</f>
        <v/>
      </c>
      <c r="L205" s="1500">
        <f>_xlfn.XLOOKUP(cities[[#This Row],[city]],ccc[city],ccc[ctry],"-")</f>
        <v/>
      </c>
      <c r="M205" s="1500">
        <f>SUMIFS(stayCity[stay],stayCity[city],cities[[#This Row],[city]])</f>
        <v/>
      </c>
      <c r="N205" s="1427">
        <f>N204+1</f>
        <v/>
      </c>
      <c r="O205" s="1500" t="n"/>
      <c r="P205" s="1500" t="n"/>
      <c r="Q205" s="1427" t="inlineStr">
        <is>
          <t>.</t>
        </is>
      </c>
      <c r="R205" s="1491" t="n"/>
      <c r="S205" s="1491" t="n"/>
      <c r="T205" s="1491" t="n"/>
      <c r="U205" s="1491" t="n"/>
      <c r="V205" s="1491" t="n"/>
      <c r="W205" s="1491" t="n"/>
      <c r="X205" s="1491" t="n"/>
      <c r="Y205" s="1491" t="n"/>
      <c r="Z205" s="1491" t="n"/>
      <c r="AA205" s="1491" t="n"/>
      <c r="AB205" s="1491" t="n"/>
      <c r="AC205" s="1491" t="n"/>
      <c r="AD205" s="1491" t="n"/>
      <c r="AE205" s="1427" t="inlineStr">
        <is>
          <t>.</t>
        </is>
      </c>
      <c r="AF205" s="1500" t="n"/>
      <c r="AG205" s="1500" t="n"/>
      <c r="AH205" s="1500" t="n"/>
      <c r="AI205" s="1500" t="n"/>
      <c r="AJ205" s="1539" t="n"/>
      <c r="AK205" s="1500" t="n"/>
      <c r="AL205" s="1505" t="n"/>
      <c r="AM205" s="1491" t="n"/>
      <c r="AN205" s="1491" t="n"/>
      <c r="AO205" s="1491" t="n"/>
      <c r="AP205" s="1491" t="n"/>
      <c r="AQ205" s="1491" t="n"/>
      <c r="AR205" s="1491" t="n"/>
      <c r="AS205" s="1491" t="n"/>
      <c r="AT205" s="1491" t="n"/>
      <c r="AU205" s="1491" t="n"/>
      <c r="AV205" s="1491" t="n"/>
      <c r="AW205" s="1491" t="n"/>
      <c r="AX205" s="1491" t="n"/>
      <c r="AY205" s="1491" t="n"/>
      <c r="AZ205" s="1491" t="n"/>
      <c r="BA205" s="1491" t="n"/>
      <c r="BB205" s="1491" t="n"/>
      <c r="BC205" s="1491" t="n"/>
      <c r="BD205" s="1491" t="n"/>
      <c r="BE205" s="1491" t="n"/>
      <c r="BF205" s="1491" t="n"/>
      <c r="BG205" s="1491" t="n"/>
      <c r="BH205" s="1491" t="n"/>
      <c r="BI205" s="1491" t="n"/>
      <c r="BJ205" s="1491" t="n"/>
      <c r="BK205" s="1491" t="n"/>
      <c r="BL205" s="1491" t="n"/>
      <c r="BM205" s="1491" t="n"/>
      <c r="BN205" s="1491" t="n"/>
      <c r="BO205" s="1467" t="n"/>
      <c r="BP205" s="1514" t="n">
        <v>201</v>
      </c>
      <c r="BQ205" s="1513">
        <f>[1]Sheet1!C206</f>
        <v/>
      </c>
      <c r="BR205" s="1515">
        <f>[1]Sheet1!D206</f>
        <v/>
      </c>
      <c r="BS205" s="1513">
        <f>[1]Sheet1!E206</f>
        <v/>
      </c>
      <c r="BT205" s="1515">
        <f>[1]Sheet1!F206</f>
        <v/>
      </c>
      <c r="BU205" s="1516">
        <f>[1]Sheet1!G206</f>
        <v/>
      </c>
      <c r="BV205" s="1513">
        <f>[1]Sheet1!H206</f>
        <v/>
      </c>
      <c r="BW205" s="1467" t="n"/>
      <c r="BX205" s="1538" t="n"/>
      <c r="BY205" s="1506" t="n"/>
      <c r="BZ205" s="1537" t="n"/>
      <c r="CA205" s="1511">
        <f>[1]Sheet1!$M206</f>
        <v/>
      </c>
      <c r="CB205" s="1467" t="n"/>
      <c r="CC205" s="1467" t="n"/>
      <c r="CD205" s="1491" t="n"/>
      <c r="CE205" s="1491" t="n"/>
      <c r="CF205" s="1491" t="n"/>
      <c r="CG205" s="1491" t="n"/>
      <c r="CH205" s="1491" t="n"/>
      <c r="CI205" s="1491" t="n"/>
      <c r="CJ205" s="1491" t="n"/>
      <c r="CK205" s="1491" t="n"/>
      <c r="CL205" s="1491" t="n"/>
      <c r="CM205" s="1491" t="n"/>
      <c r="CN205" s="1491" t="n"/>
      <c r="CO205" s="1491" t="n"/>
      <c r="CP205" s="1491" t="n"/>
      <c r="CQ205" s="1491" t="n"/>
      <c r="CR205" s="1491" t="n"/>
      <c r="CS205" s="1491" t="n"/>
      <c r="CT205" s="1491" t="n"/>
      <c r="CU205" s="1491" t="n"/>
      <c r="CV205" s="1491" t="n"/>
      <c r="CW205" s="1491" t="n"/>
      <c r="CX205" s="1491" t="n"/>
    </row>
    <row r="206">
      <c r="A206" s="1491" t="n"/>
      <c r="B206" s="1491" t="n"/>
      <c r="C206" s="1491" t="n"/>
      <c r="D206" s="1497">
        <f>IF(E206&lt;&gt;"",D205+1,D205)</f>
        <v/>
      </c>
      <c r="E206" s="1497" t="inlineStr">
        <is>
          <t>Orvieto</t>
        </is>
      </c>
      <c r="F206" s="1535" t="inlineStr">
        <is>
          <t>.</t>
        </is>
      </c>
      <c r="G206" s="1498">
        <f>IF(H206="AIR",0,IF(H205="AIR",G204+1,IF(H206&lt;&gt;"",G205+1,G205)))</f>
        <v/>
      </c>
      <c r="H206" s="1498" t="inlineStr">
        <is>
          <t>Frankfurt</t>
        </is>
      </c>
      <c r="I206" s="1427" t="inlineStr">
        <is>
          <t>.</t>
        </is>
      </c>
      <c r="J206" s="1499" t="n">
        <v>201</v>
      </c>
      <c r="K206" s="1500">
        <f>_xlfn.XLOOKUP(cities[[#This Row],[id]],$D$5:$D$1500,E$5:E$1500,"-")</f>
        <v/>
      </c>
      <c r="L206" s="1500">
        <f>_xlfn.XLOOKUP(cities[[#This Row],[city]],ccc[city],ccc[ctry],"-")</f>
        <v/>
      </c>
      <c r="M206" s="1500">
        <f>SUMIFS(stayCity[stay],stayCity[city],cities[[#This Row],[city]])</f>
        <v/>
      </c>
      <c r="N206" s="1427">
        <f>N205+1</f>
        <v/>
      </c>
      <c r="O206" s="1500" t="n"/>
      <c r="P206" s="1500" t="n"/>
      <c r="Q206" s="1427" t="inlineStr">
        <is>
          <t>.</t>
        </is>
      </c>
      <c r="R206" s="1491" t="n"/>
      <c r="S206" s="1491" t="n"/>
      <c r="T206" s="1491" t="n"/>
      <c r="U206" s="1491" t="n"/>
      <c r="V206" s="1491" t="n"/>
      <c r="W206" s="1491" t="n"/>
      <c r="X206" s="1491" t="n"/>
      <c r="Y206" s="1491" t="n"/>
      <c r="Z206" s="1491" t="n"/>
      <c r="AA206" s="1491" t="n"/>
      <c r="AB206" s="1491" t="n"/>
      <c r="AC206" s="1491" t="n"/>
      <c r="AD206" s="1491" t="n"/>
      <c r="AE206" s="1491" t="n"/>
      <c r="AF206" s="1491" t="n"/>
      <c r="AG206" s="1491" t="n"/>
      <c r="AH206" s="1491" t="n"/>
      <c r="AI206" s="1491" t="n"/>
      <c r="AJ206" s="1491" t="n"/>
      <c r="AK206" s="1491" t="n"/>
      <c r="AL206" s="1491" t="n"/>
      <c r="AM206" s="1491" t="n"/>
      <c r="AN206" s="1491" t="n"/>
      <c r="AO206" s="1491" t="n"/>
      <c r="AP206" s="1491" t="n"/>
      <c r="AQ206" s="1491" t="n"/>
      <c r="AR206" s="1491" t="n"/>
      <c r="AS206" s="1491" t="n"/>
      <c r="AT206" s="1491" t="n"/>
      <c r="AU206" s="1491" t="n"/>
      <c r="AV206" s="1491" t="n"/>
      <c r="AW206" s="1491" t="n"/>
      <c r="AX206" s="1491" t="n"/>
      <c r="AY206" s="1491" t="n"/>
      <c r="AZ206" s="1491" t="n"/>
      <c r="BA206" s="1491" t="n"/>
      <c r="BB206" s="1491" t="n"/>
      <c r="BC206" s="1491" t="n"/>
      <c r="BD206" s="1491" t="n"/>
      <c r="BE206" s="1491" t="n"/>
      <c r="BF206" s="1491" t="n"/>
      <c r="BG206" s="1491" t="n"/>
      <c r="BH206" s="1491" t="n"/>
      <c r="BI206" s="1491" t="n"/>
      <c r="BJ206" s="1491" t="n"/>
      <c r="BK206" s="1491" t="n"/>
      <c r="BL206" s="1491" t="n"/>
      <c r="BM206" s="1491" t="n"/>
      <c r="BN206" s="1491" t="n"/>
      <c r="BO206" s="1467" t="n"/>
      <c r="BP206" s="1514" t="n">
        <v>202</v>
      </c>
      <c r="BQ206" s="1513">
        <f>[1]Sheet1!C207</f>
        <v/>
      </c>
      <c r="BR206" s="1515">
        <f>[1]Sheet1!D207</f>
        <v/>
      </c>
      <c r="BS206" s="1513">
        <f>[1]Sheet1!E207</f>
        <v/>
      </c>
      <c r="BT206" s="1515">
        <f>[1]Sheet1!F207</f>
        <v/>
      </c>
      <c r="BU206" s="1516">
        <f>[1]Sheet1!G207</f>
        <v/>
      </c>
      <c r="BV206" s="1513">
        <f>[1]Sheet1!H207</f>
        <v/>
      </c>
      <c r="BW206" s="1467" t="n"/>
      <c r="BX206" s="1538" t="n"/>
      <c r="BY206" s="1506" t="n"/>
      <c r="BZ206" s="1537" t="n"/>
      <c r="CA206" s="1511">
        <f>[1]Sheet1!$M207</f>
        <v/>
      </c>
      <c r="CB206" s="1467" t="n"/>
      <c r="CC206" s="1467" t="n"/>
      <c r="CD206" s="1491" t="n"/>
      <c r="CE206" s="1491" t="n"/>
      <c r="CF206" s="1491" t="n"/>
      <c r="CG206" s="1491" t="n"/>
      <c r="CH206" s="1491" t="n"/>
      <c r="CI206" s="1491" t="n"/>
      <c r="CJ206" s="1491" t="n"/>
      <c r="CK206" s="1491" t="n"/>
      <c r="CL206" s="1491" t="n"/>
      <c r="CM206" s="1491" t="n"/>
      <c r="CN206" s="1491" t="n"/>
      <c r="CO206" s="1491" t="n"/>
      <c r="CP206" s="1491" t="n"/>
      <c r="CQ206" s="1491" t="n"/>
      <c r="CR206" s="1491" t="n"/>
      <c r="CS206" s="1491" t="n"/>
      <c r="CT206" s="1491" t="n"/>
      <c r="CU206" s="1491" t="n"/>
      <c r="CV206" s="1491" t="n"/>
      <c r="CW206" s="1491" t="n"/>
      <c r="CX206" s="1491" t="n"/>
    </row>
    <row r="207">
      <c r="A207" s="1491" t="n"/>
      <c r="B207" s="1491" t="n"/>
      <c r="C207" s="1491" t="n"/>
      <c r="D207" s="1497">
        <f>IF(E207&lt;&gt;"",D206+1,D206)</f>
        <v/>
      </c>
      <c r="E207" s="1497" t="inlineStr">
        <is>
          <t>Bolsena</t>
        </is>
      </c>
      <c r="F207" s="1535" t="inlineStr">
        <is>
          <t>.</t>
        </is>
      </c>
      <c r="G207" s="1498">
        <f>IF(H207="AIR",0,IF(H206="AIR",G205+1,IF(H207&lt;&gt;"",G206+1,G206)))</f>
        <v/>
      </c>
      <c r="H207" s="1498" t="inlineStr">
        <is>
          <t>Lucerne</t>
        </is>
      </c>
      <c r="I207" s="1427" t="inlineStr">
        <is>
          <t>.</t>
        </is>
      </c>
      <c r="J207" s="1499" t="n">
        <v>202</v>
      </c>
      <c r="K207" s="1500">
        <f>_xlfn.XLOOKUP(cities[[#This Row],[id]],$D$5:$D$1500,E$5:E$1500,"-")</f>
        <v/>
      </c>
      <c r="L207" s="1500">
        <f>_xlfn.XLOOKUP(cities[[#This Row],[city]],ccc[city],ccc[ctry],"-")</f>
        <v/>
      </c>
      <c r="M207" s="1500">
        <f>SUMIFS(stayCity[stay],stayCity[city],cities[[#This Row],[city]])</f>
        <v/>
      </c>
      <c r="N207" s="1427">
        <f>N206+1</f>
        <v/>
      </c>
      <c r="O207" s="1500" t="n"/>
      <c r="P207" s="1500" t="n"/>
      <c r="Q207" s="1427" t="inlineStr">
        <is>
          <t>.</t>
        </is>
      </c>
      <c r="R207" s="1491" t="n"/>
      <c r="S207" s="1491" t="n"/>
      <c r="T207" s="1491" t="n"/>
      <c r="U207" s="1491" t="n"/>
      <c r="V207" s="1491" t="n"/>
      <c r="W207" s="1491" t="n"/>
      <c r="X207" s="1491" t="n"/>
      <c r="Y207" s="1491" t="n"/>
      <c r="Z207" s="1491" t="n"/>
      <c r="AA207" s="1491" t="n"/>
      <c r="AB207" s="1491" t="n"/>
      <c r="AC207" s="1491" t="n"/>
      <c r="AD207" s="1491" t="n"/>
      <c r="AE207" s="1491" t="n"/>
      <c r="AF207" s="1491" t="n"/>
      <c r="AG207" s="1491" t="n"/>
      <c r="AH207" s="1491" t="n"/>
      <c r="AI207" s="1491" t="n"/>
      <c r="AJ207" s="1491" t="n"/>
      <c r="AK207" s="1491" t="n"/>
      <c r="AL207" s="1491" t="n"/>
      <c r="AM207" s="1491" t="n"/>
      <c r="AN207" s="1491" t="n"/>
      <c r="AO207" s="1491" t="n"/>
      <c r="AP207" s="1491" t="n"/>
      <c r="AQ207" s="1491" t="n"/>
      <c r="AR207" s="1491" t="n"/>
      <c r="AS207" s="1491" t="n"/>
      <c r="AT207" s="1491" t="n"/>
      <c r="AU207" s="1491" t="n"/>
      <c r="AV207" s="1491" t="n"/>
      <c r="AW207" s="1491" t="n"/>
      <c r="AX207" s="1491" t="n"/>
      <c r="AY207" s="1491" t="n"/>
      <c r="AZ207" s="1491" t="n"/>
      <c r="BA207" s="1491" t="n"/>
      <c r="BB207" s="1491" t="n"/>
      <c r="BC207" s="1491" t="n"/>
      <c r="BD207" s="1491" t="n"/>
      <c r="BE207" s="1491" t="n"/>
      <c r="BF207" s="1491" t="n"/>
      <c r="BG207" s="1491" t="n"/>
      <c r="BH207" s="1491" t="n"/>
      <c r="BI207" s="1491" t="n"/>
      <c r="BJ207" s="1491" t="n"/>
      <c r="BK207" s="1491" t="n"/>
      <c r="BL207" s="1491" t="n"/>
      <c r="BM207" s="1491" t="n"/>
      <c r="BN207" s="1491" t="n"/>
      <c r="BO207" s="1467" t="n"/>
      <c r="BP207" s="1514" t="n">
        <v>203</v>
      </c>
      <c r="BQ207" s="1513">
        <f>[1]Sheet1!C208</f>
        <v/>
      </c>
      <c r="BR207" s="1515">
        <f>[1]Sheet1!D208</f>
        <v/>
      </c>
      <c r="BS207" s="1513">
        <f>[1]Sheet1!E208</f>
        <v/>
      </c>
      <c r="BT207" s="1515">
        <f>[1]Sheet1!F208</f>
        <v/>
      </c>
      <c r="BU207" s="1516">
        <f>[1]Sheet1!G208</f>
        <v/>
      </c>
      <c r="BV207" s="1513">
        <f>[1]Sheet1!H208</f>
        <v/>
      </c>
      <c r="BW207" s="1467" t="n"/>
      <c r="BX207" s="1538" t="n"/>
      <c r="BY207" s="1506" t="n"/>
      <c r="BZ207" s="1537" t="n"/>
      <c r="CA207" s="1511">
        <f>[1]Sheet1!$M208</f>
        <v/>
      </c>
      <c r="CB207" s="1467" t="n"/>
      <c r="CC207" s="1467" t="n"/>
      <c r="CD207" s="1491" t="n"/>
      <c r="CE207" s="1491" t="n"/>
      <c r="CF207" s="1491" t="n"/>
      <c r="CG207" s="1491" t="n"/>
      <c r="CH207" s="1491" t="n"/>
      <c r="CI207" s="1491" t="n"/>
      <c r="CJ207" s="1491" t="n"/>
      <c r="CK207" s="1491" t="n"/>
      <c r="CL207" s="1491" t="n"/>
      <c r="CM207" s="1491" t="n"/>
      <c r="CN207" s="1491" t="n"/>
      <c r="CO207" s="1491" t="n"/>
      <c r="CP207" s="1491" t="n"/>
      <c r="CQ207" s="1491" t="n"/>
      <c r="CR207" s="1491" t="n"/>
      <c r="CS207" s="1491" t="n"/>
      <c r="CT207" s="1491" t="n"/>
      <c r="CU207" s="1491" t="n"/>
      <c r="CV207" s="1491" t="n"/>
      <c r="CW207" s="1491" t="n"/>
      <c r="CX207" s="1491" t="n"/>
    </row>
    <row r="208">
      <c r="A208" s="1491" t="n"/>
      <c r="B208" s="1491" t="n"/>
      <c r="C208" s="1491" t="n"/>
      <c r="D208" s="1497">
        <f>IF(E208&lt;&gt;"",D207+1,D207)</f>
        <v/>
      </c>
      <c r="E208" s="1497" t="inlineStr">
        <is>
          <t>Siena</t>
        </is>
      </c>
      <c r="F208" s="1535" t="inlineStr">
        <is>
          <t>.</t>
        </is>
      </c>
      <c r="G208" s="1498">
        <f>IF(H208="AIR",0,IF(H207="AIR",G206+1,IF(H208&lt;&gt;"",G207+1,G207)))</f>
        <v/>
      </c>
      <c r="H208" s="1498" t="inlineStr">
        <is>
          <t>Arraial d'Ajuda</t>
        </is>
      </c>
      <c r="I208" s="1427" t="inlineStr">
        <is>
          <t>.</t>
        </is>
      </c>
      <c r="J208" s="1499" t="n">
        <v>203</v>
      </c>
      <c r="K208" s="1500">
        <f>_xlfn.XLOOKUP(cities[[#This Row],[id]],$D$5:$D$1500,E$5:E$1500,"-")</f>
        <v/>
      </c>
      <c r="L208" s="1500">
        <f>_xlfn.XLOOKUP(cities[[#This Row],[city]],ccc[city],ccc[ctry],"-")</f>
        <v/>
      </c>
      <c r="M208" s="1500">
        <f>SUMIFS(stayCity[stay],stayCity[city],cities[[#This Row],[city]])</f>
        <v/>
      </c>
      <c r="N208" s="1427">
        <f>N207+1</f>
        <v/>
      </c>
      <c r="O208" s="1500" t="n"/>
      <c r="P208" s="1500" t="n"/>
      <c r="Q208" s="1427" t="inlineStr">
        <is>
          <t>.</t>
        </is>
      </c>
      <c r="R208" s="1491" t="n"/>
      <c r="S208" s="1491" t="n"/>
      <c r="T208" s="1491" t="n"/>
      <c r="U208" s="1491" t="n"/>
      <c r="V208" s="1491" t="n"/>
      <c r="W208" s="1491" t="n"/>
      <c r="X208" s="1491" t="n"/>
      <c r="Y208" s="1491" t="n"/>
      <c r="Z208" s="1491" t="n"/>
      <c r="AA208" s="1491" t="n"/>
      <c r="AB208" s="1491" t="n"/>
      <c r="AC208" s="1491" t="n"/>
      <c r="AD208" s="1491" t="n"/>
      <c r="AE208" s="1491" t="n"/>
      <c r="AF208" s="1491" t="n"/>
      <c r="AG208" s="1491" t="n"/>
      <c r="AH208" s="1491" t="n"/>
      <c r="AI208" s="1491" t="n"/>
      <c r="AJ208" s="1491" t="n"/>
      <c r="AK208" s="1491" t="n"/>
      <c r="AL208" s="1491" t="n"/>
      <c r="AM208" s="1491" t="n"/>
      <c r="AN208" s="1491" t="n"/>
      <c r="AO208" s="1491" t="n"/>
      <c r="AP208" s="1491" t="n"/>
      <c r="AQ208" s="1491" t="n"/>
      <c r="AR208" s="1491" t="n"/>
      <c r="AS208" s="1491" t="n"/>
      <c r="AT208" s="1491" t="n"/>
      <c r="AU208" s="1491" t="n"/>
      <c r="AV208" s="1491" t="n"/>
      <c r="AW208" s="1491" t="n"/>
      <c r="AX208" s="1491" t="n"/>
      <c r="AY208" s="1491" t="n"/>
      <c r="AZ208" s="1491" t="n"/>
      <c r="BA208" s="1491" t="n"/>
      <c r="BB208" s="1491" t="n"/>
      <c r="BC208" s="1491" t="n"/>
      <c r="BD208" s="1491" t="n"/>
      <c r="BE208" s="1491" t="n"/>
      <c r="BF208" s="1491" t="n"/>
      <c r="BG208" s="1491" t="n"/>
      <c r="BH208" s="1491" t="n"/>
      <c r="BI208" s="1491" t="n"/>
      <c r="BJ208" s="1491" t="n"/>
      <c r="BK208" s="1491" t="n"/>
      <c r="BL208" s="1491" t="n"/>
      <c r="BM208" s="1491" t="n"/>
      <c r="BN208" s="1491" t="n"/>
      <c r="BO208" s="1467" t="n"/>
      <c r="BP208" s="1514" t="n">
        <v>204</v>
      </c>
      <c r="BQ208" s="1513">
        <f>[1]Sheet1!C209</f>
        <v/>
      </c>
      <c r="BR208" s="1515">
        <f>[1]Sheet1!D209</f>
        <v/>
      </c>
      <c r="BS208" s="1513">
        <f>[1]Sheet1!E209</f>
        <v/>
      </c>
      <c r="BT208" s="1515">
        <f>[1]Sheet1!F209</f>
        <v/>
      </c>
      <c r="BU208" s="1516">
        <f>[1]Sheet1!G209</f>
        <v/>
      </c>
      <c r="BV208" s="1513">
        <f>[1]Sheet1!H209</f>
        <v/>
      </c>
      <c r="BW208" s="1467" t="n"/>
      <c r="BX208" s="1538" t="n"/>
      <c r="BY208" s="1506" t="n"/>
      <c r="BZ208" s="1537" t="n"/>
      <c r="CA208" s="1511">
        <f>[1]Sheet1!$M209</f>
        <v/>
      </c>
      <c r="CB208" s="1467" t="n"/>
      <c r="CC208" s="1467" t="n"/>
      <c r="CD208" s="1491" t="n"/>
      <c r="CE208" s="1491" t="n"/>
      <c r="CF208" s="1491" t="n"/>
      <c r="CG208" s="1491" t="n"/>
      <c r="CH208" s="1491" t="n"/>
      <c r="CI208" s="1491" t="n"/>
      <c r="CJ208" s="1491" t="n"/>
      <c r="CK208" s="1491" t="n"/>
      <c r="CL208" s="1491" t="n"/>
      <c r="CM208" s="1491" t="n"/>
      <c r="CN208" s="1491" t="n"/>
      <c r="CO208" s="1491" t="n"/>
      <c r="CP208" s="1491" t="n"/>
      <c r="CQ208" s="1491" t="n"/>
      <c r="CR208" s="1491" t="n"/>
      <c r="CS208" s="1491" t="n"/>
      <c r="CT208" s="1491" t="n"/>
      <c r="CU208" s="1491" t="n"/>
      <c r="CV208" s="1491" t="n"/>
      <c r="CW208" s="1491" t="n"/>
      <c r="CX208" s="1491" t="n"/>
    </row>
    <row r="209">
      <c r="A209" s="1491" t="n"/>
      <c r="B209" s="1491" t="n"/>
      <c r="C209" s="1491" t="n"/>
      <c r="D209" s="1497">
        <f>IF(E209&lt;&gt;"",D208+1,D208)</f>
        <v/>
      </c>
      <c r="E209" s="1497" t="inlineStr">
        <is>
          <t>Firenze</t>
        </is>
      </c>
      <c r="F209" s="1535" t="inlineStr">
        <is>
          <t>.</t>
        </is>
      </c>
      <c r="G209" s="1498">
        <f>IF(H209="AIR",0,IF(H208="AIR",G207+1,IF(H209&lt;&gt;"",G208+1,G208)))</f>
        <v/>
      </c>
      <c r="H209" s="1498" t="inlineStr">
        <is>
          <t>Bruxelas</t>
        </is>
      </c>
      <c r="I209" s="1427" t="inlineStr">
        <is>
          <t>.</t>
        </is>
      </c>
      <c r="J209" s="1499" t="n">
        <v>204</v>
      </c>
      <c r="K209" s="1500">
        <f>_xlfn.XLOOKUP(cities[[#This Row],[id]],$D$5:$D$1500,E$5:E$1500,"-")</f>
        <v/>
      </c>
      <c r="L209" s="1500">
        <f>_xlfn.XLOOKUP(cities[[#This Row],[city]],ccc[city],ccc[ctry],"-")</f>
        <v/>
      </c>
      <c r="M209" s="1500">
        <f>SUMIFS(stayCity[stay],stayCity[city],cities[[#This Row],[city]])</f>
        <v/>
      </c>
      <c r="N209" s="1427">
        <f>N208+1</f>
        <v/>
      </c>
      <c r="O209" s="1500" t="n"/>
      <c r="P209" s="1500" t="n"/>
      <c r="Q209" s="1427" t="inlineStr">
        <is>
          <t>.</t>
        </is>
      </c>
      <c r="R209" s="1491" t="n"/>
      <c r="S209" s="1491" t="n"/>
      <c r="T209" s="1491" t="n"/>
      <c r="U209" s="1491" t="n"/>
      <c r="V209" s="1491" t="n"/>
      <c r="W209" s="1491" t="n"/>
      <c r="X209" s="1491" t="n"/>
      <c r="Y209" s="1491" t="n"/>
      <c r="Z209" s="1491" t="n"/>
      <c r="AA209" s="1491" t="n"/>
      <c r="AB209" s="1491" t="n"/>
      <c r="AC209" s="1491" t="n"/>
      <c r="AD209" s="1491" t="n"/>
      <c r="AE209" s="1491" t="n"/>
      <c r="AF209" s="1491" t="n"/>
      <c r="AG209" s="1491" t="n"/>
      <c r="AH209" s="1491" t="n"/>
      <c r="AI209" s="1491" t="n"/>
      <c r="AJ209" s="1491" t="n"/>
      <c r="AK209" s="1491" t="n"/>
      <c r="AL209" s="1491" t="n"/>
      <c r="AM209" s="1491" t="n"/>
      <c r="AN209" s="1491" t="n"/>
      <c r="AO209" s="1491" t="n"/>
      <c r="AP209" s="1491" t="n"/>
      <c r="AQ209" s="1491" t="n"/>
      <c r="AR209" s="1491" t="n"/>
      <c r="AS209" s="1491" t="n"/>
      <c r="AT209" s="1491" t="n"/>
      <c r="AU209" s="1491" t="n"/>
      <c r="AV209" s="1491" t="n"/>
      <c r="AW209" s="1491" t="n"/>
      <c r="AX209" s="1491" t="n"/>
      <c r="AY209" s="1491" t="n"/>
      <c r="AZ209" s="1491" t="n"/>
      <c r="BA209" s="1491" t="n"/>
      <c r="BB209" s="1491" t="n"/>
      <c r="BC209" s="1491" t="n"/>
      <c r="BD209" s="1491" t="n"/>
      <c r="BE209" s="1491" t="n"/>
      <c r="BF209" s="1491" t="n"/>
      <c r="BG209" s="1491" t="n"/>
      <c r="BH209" s="1491" t="n"/>
      <c r="BI209" s="1491" t="n"/>
      <c r="BJ209" s="1491" t="n"/>
      <c r="BK209" s="1491" t="n"/>
      <c r="BL209" s="1491" t="n"/>
      <c r="BM209" s="1491" t="n"/>
      <c r="BN209" s="1491" t="n"/>
      <c r="BO209" s="1467" t="n"/>
      <c r="BP209" s="1514" t="n">
        <v>205</v>
      </c>
      <c r="BQ209" s="1513">
        <f>[1]Sheet1!C210</f>
        <v/>
      </c>
      <c r="BR209" s="1515">
        <f>[1]Sheet1!D210</f>
        <v/>
      </c>
      <c r="BS209" s="1513">
        <f>[1]Sheet1!E210</f>
        <v/>
      </c>
      <c r="BT209" s="1515">
        <f>[1]Sheet1!F210</f>
        <v/>
      </c>
      <c r="BU209" s="1516">
        <f>[1]Sheet1!G210</f>
        <v/>
      </c>
      <c r="BV209" s="1513">
        <f>[1]Sheet1!H210</f>
        <v/>
      </c>
      <c r="BW209" s="1467" t="n"/>
      <c r="BX209" s="1538" t="n"/>
      <c r="BY209" s="1506" t="n"/>
      <c r="BZ209" s="1537" t="n"/>
      <c r="CA209" s="1511">
        <f>[1]Sheet1!$M210</f>
        <v/>
      </c>
      <c r="CB209" s="1467" t="n"/>
      <c r="CC209" s="1467" t="n"/>
      <c r="CD209" s="1491" t="n"/>
      <c r="CE209" s="1491" t="n"/>
      <c r="CF209" s="1491" t="n"/>
      <c r="CG209" s="1491" t="n"/>
      <c r="CH209" s="1491" t="n"/>
      <c r="CI209" s="1491" t="n"/>
      <c r="CJ209" s="1491" t="n"/>
      <c r="CK209" s="1491" t="n"/>
      <c r="CL209" s="1491" t="n"/>
      <c r="CM209" s="1491" t="n"/>
      <c r="CN209" s="1491" t="n"/>
      <c r="CO209" s="1491" t="n"/>
      <c r="CP209" s="1491" t="n"/>
      <c r="CQ209" s="1491" t="n"/>
      <c r="CR209" s="1491" t="n"/>
      <c r="CS209" s="1491" t="n"/>
      <c r="CT209" s="1491" t="n"/>
      <c r="CU209" s="1491" t="n"/>
      <c r="CV209" s="1491" t="n"/>
      <c r="CW209" s="1491" t="n"/>
      <c r="CX209" s="1491" t="n"/>
    </row>
    <row r="210">
      <c r="A210" s="1491" t="n"/>
      <c r="B210" s="1491" t="n"/>
      <c r="C210" s="1491" t="n"/>
      <c r="D210" s="1497">
        <f>IF(E210&lt;&gt;"",D209+1,D209)</f>
        <v/>
      </c>
      <c r="E210" s="1497" t="inlineStr">
        <is>
          <t>Prato</t>
        </is>
      </c>
      <c r="F210" s="1535" t="inlineStr">
        <is>
          <t>.</t>
        </is>
      </c>
      <c r="G210" s="1498">
        <f>IF(H210="AIR",0,IF(H209="AIR",G208+1,IF(H210&lt;&gt;"",G209+1,G209)))</f>
        <v/>
      </c>
      <c r="H210" s="1498" t="inlineStr">
        <is>
          <t>TRAIN ITA</t>
        </is>
      </c>
      <c r="I210" s="1427" t="inlineStr">
        <is>
          <t>.</t>
        </is>
      </c>
      <c r="J210" s="1499" t="n">
        <v>205</v>
      </c>
      <c r="K210" s="1500">
        <f>_xlfn.XLOOKUP(cities[[#This Row],[id]],$D$5:$D$1500,E$5:E$1500,"-")</f>
        <v/>
      </c>
      <c r="L210" s="1500">
        <f>_xlfn.XLOOKUP(cities[[#This Row],[city]],ccc[city],ccc[ctry],"-")</f>
        <v/>
      </c>
      <c r="M210" s="1500">
        <f>SUMIFS(stayCity[stay],stayCity[city],cities[[#This Row],[city]])</f>
        <v/>
      </c>
      <c r="N210" s="1427">
        <f>N209+1</f>
        <v/>
      </c>
      <c r="O210" s="1500" t="n"/>
      <c r="P210" s="1500" t="n"/>
      <c r="Q210" s="1427" t="inlineStr">
        <is>
          <t>.</t>
        </is>
      </c>
      <c r="R210" s="1491" t="n"/>
      <c r="S210" s="1491" t="n"/>
      <c r="T210" s="1491" t="n"/>
      <c r="U210" s="1491" t="n"/>
      <c r="V210" s="1491" t="n"/>
      <c r="W210" s="1491" t="n"/>
      <c r="X210" s="1491" t="n"/>
      <c r="Y210" s="1491" t="n"/>
      <c r="Z210" s="1491" t="n"/>
      <c r="AA210" s="1491" t="n"/>
      <c r="AB210" s="1491" t="n"/>
      <c r="AC210" s="1491" t="n"/>
      <c r="AD210" s="1491" t="n"/>
      <c r="AE210" s="1491" t="n"/>
      <c r="AF210" s="1491" t="n"/>
      <c r="AG210" s="1491" t="n"/>
      <c r="AH210" s="1491" t="n"/>
      <c r="AI210" s="1491" t="n"/>
      <c r="AJ210" s="1491" t="n"/>
      <c r="AK210" s="1491" t="n"/>
      <c r="AL210" s="1491" t="n"/>
      <c r="AM210" s="1491" t="n"/>
      <c r="AN210" s="1491" t="n"/>
      <c r="AO210" s="1491" t="n"/>
      <c r="AP210" s="1491" t="n"/>
      <c r="AQ210" s="1491" t="n"/>
      <c r="AR210" s="1491" t="n"/>
      <c r="AS210" s="1491" t="n"/>
      <c r="AT210" s="1491" t="n"/>
      <c r="AU210" s="1491" t="n"/>
      <c r="AV210" s="1491" t="n"/>
      <c r="AW210" s="1491" t="n"/>
      <c r="AX210" s="1491" t="n"/>
      <c r="AY210" s="1491" t="n"/>
      <c r="AZ210" s="1491" t="n"/>
      <c r="BA210" s="1491" t="n"/>
      <c r="BB210" s="1491" t="n"/>
      <c r="BC210" s="1491" t="n"/>
      <c r="BD210" s="1491" t="n"/>
      <c r="BE210" s="1491" t="n"/>
      <c r="BF210" s="1491" t="n"/>
      <c r="BG210" s="1491" t="n"/>
      <c r="BH210" s="1491" t="n"/>
      <c r="BI210" s="1491" t="n"/>
      <c r="BJ210" s="1491" t="n"/>
      <c r="BK210" s="1491" t="n"/>
      <c r="BL210" s="1491" t="n"/>
      <c r="BM210" s="1491" t="n"/>
      <c r="BN210" s="1491" t="n"/>
      <c r="BO210" s="1467" t="n"/>
      <c r="BP210" s="1514" t="n">
        <v>206</v>
      </c>
      <c r="BQ210" s="1513">
        <f>[1]Sheet1!C211</f>
        <v/>
      </c>
      <c r="BR210" s="1515">
        <f>[1]Sheet1!D211</f>
        <v/>
      </c>
      <c r="BS210" s="1513">
        <f>[1]Sheet1!E211</f>
        <v/>
      </c>
      <c r="BT210" s="1515">
        <f>[1]Sheet1!F211</f>
        <v/>
      </c>
      <c r="BU210" s="1516">
        <f>[1]Sheet1!G211</f>
        <v/>
      </c>
      <c r="BV210" s="1513">
        <f>[1]Sheet1!H211</f>
        <v/>
      </c>
      <c r="BW210" s="1467" t="n"/>
      <c r="BX210" s="1538" t="n"/>
      <c r="BY210" s="1506" t="n"/>
      <c r="BZ210" s="1537" t="n"/>
      <c r="CA210" s="1511">
        <f>[1]Sheet1!$M211</f>
        <v/>
      </c>
      <c r="CB210" s="1467" t="n"/>
      <c r="CC210" s="1467" t="n"/>
      <c r="CD210" s="1491" t="n"/>
      <c r="CE210" s="1491" t="n"/>
      <c r="CF210" s="1491" t="n"/>
      <c r="CG210" s="1491" t="n"/>
      <c r="CH210" s="1491" t="n"/>
      <c r="CI210" s="1491" t="n"/>
      <c r="CJ210" s="1491" t="n"/>
      <c r="CK210" s="1491" t="n"/>
      <c r="CL210" s="1491" t="n"/>
      <c r="CM210" s="1491" t="n"/>
      <c r="CN210" s="1491" t="n"/>
      <c r="CO210" s="1491" t="n"/>
      <c r="CP210" s="1491" t="n"/>
      <c r="CQ210" s="1491" t="n"/>
      <c r="CR210" s="1491" t="n"/>
      <c r="CS210" s="1491" t="n"/>
      <c r="CT210" s="1491" t="n"/>
      <c r="CU210" s="1491" t="n"/>
      <c r="CV210" s="1491" t="n"/>
      <c r="CW210" s="1491" t="n"/>
      <c r="CX210" s="1491" t="n"/>
    </row>
    <row r="211">
      <c r="A211" s="1491" t="n"/>
      <c r="B211" s="1491" t="n"/>
      <c r="C211" s="1491" t="n"/>
      <c r="D211" s="1497">
        <f>IF(E211&lt;&gt;"",D210+1,D210)</f>
        <v/>
      </c>
      <c r="E211" s="1497" t="inlineStr">
        <is>
          <t>Montecatini Terme</t>
        </is>
      </c>
      <c r="F211" s="1535" t="inlineStr">
        <is>
          <t>.</t>
        </is>
      </c>
      <c r="G211" s="1498">
        <f>IF(H211="AIR",0,IF(H210="AIR",G209+1,IF(H211&lt;&gt;"",G210+1,G210)))</f>
        <v/>
      </c>
      <c r="H211" s="1498" t="inlineStr">
        <is>
          <t>Magliano</t>
        </is>
      </c>
      <c r="I211" s="1427" t="inlineStr">
        <is>
          <t>.</t>
        </is>
      </c>
      <c r="J211" s="1499" t="n">
        <v>206</v>
      </c>
      <c r="K211" s="1500">
        <f>_xlfn.XLOOKUP(cities[[#This Row],[id]],$D$5:$D$1500,E$5:E$1500,"-")</f>
        <v/>
      </c>
      <c r="L211" s="1500">
        <f>_xlfn.XLOOKUP(cities[[#This Row],[city]],ccc[city],ccc[ctry],"-")</f>
        <v/>
      </c>
      <c r="M211" s="1500">
        <f>SUMIFS(stayCity[stay],stayCity[city],cities[[#This Row],[city]])</f>
        <v/>
      </c>
      <c r="N211" s="1427">
        <f>N210+1</f>
        <v/>
      </c>
      <c r="O211" s="1500" t="n"/>
      <c r="P211" s="1500" t="n"/>
      <c r="Q211" s="1427" t="inlineStr">
        <is>
          <t>.</t>
        </is>
      </c>
      <c r="R211" s="1491" t="n"/>
      <c r="S211" s="1491" t="n"/>
      <c r="T211" s="1491" t="n"/>
      <c r="U211" s="1491" t="n"/>
      <c r="V211" s="1491" t="n"/>
      <c r="W211" s="1491" t="n"/>
      <c r="X211" s="1491" t="n"/>
      <c r="Y211" s="1491" t="n"/>
      <c r="Z211" s="1491" t="n"/>
      <c r="AA211" s="1491" t="n"/>
      <c r="AB211" s="1491" t="n"/>
      <c r="AC211" s="1491" t="n"/>
      <c r="AD211" s="1491" t="n"/>
      <c r="AE211" s="1491" t="n"/>
      <c r="AF211" s="1491" t="n"/>
      <c r="AG211" s="1491" t="n"/>
      <c r="AH211" s="1491" t="n"/>
      <c r="AI211" s="1491" t="n"/>
      <c r="AJ211" s="1491" t="n"/>
      <c r="AK211" s="1491" t="n"/>
      <c r="AL211" s="1491" t="n"/>
      <c r="AM211" s="1491" t="n"/>
      <c r="AN211" s="1491" t="n"/>
      <c r="AO211" s="1491" t="n"/>
      <c r="AP211" s="1491" t="n"/>
      <c r="AQ211" s="1491" t="n"/>
      <c r="AR211" s="1491" t="n"/>
      <c r="AS211" s="1491" t="n"/>
      <c r="AT211" s="1491" t="n"/>
      <c r="AU211" s="1491" t="n"/>
      <c r="AV211" s="1491" t="n"/>
      <c r="AW211" s="1491" t="n"/>
      <c r="AX211" s="1491" t="n"/>
      <c r="AY211" s="1491" t="n"/>
      <c r="AZ211" s="1491" t="n"/>
      <c r="BA211" s="1491" t="n"/>
      <c r="BB211" s="1491" t="n"/>
      <c r="BC211" s="1491" t="n"/>
      <c r="BD211" s="1491" t="n"/>
      <c r="BE211" s="1491" t="n"/>
      <c r="BF211" s="1491" t="n"/>
      <c r="BG211" s="1491" t="n"/>
      <c r="BH211" s="1491" t="n"/>
      <c r="BI211" s="1491" t="n"/>
      <c r="BJ211" s="1491" t="n"/>
      <c r="BK211" s="1491" t="n"/>
      <c r="BL211" s="1491" t="n"/>
      <c r="BM211" s="1491" t="n"/>
      <c r="BN211" s="1491" t="n"/>
      <c r="BO211" s="1467" t="n"/>
      <c r="BP211" s="1514" t="n">
        <v>207</v>
      </c>
      <c r="BQ211" s="1513">
        <f>[1]Sheet1!C212</f>
        <v/>
      </c>
      <c r="BR211" s="1515">
        <f>[1]Sheet1!D212</f>
        <v/>
      </c>
      <c r="BS211" s="1513">
        <f>[1]Sheet1!E212</f>
        <v/>
      </c>
      <c r="BT211" s="1515">
        <f>[1]Sheet1!F212</f>
        <v/>
      </c>
      <c r="BU211" s="1516">
        <f>[1]Sheet1!G212</f>
        <v/>
      </c>
      <c r="BV211" s="1513">
        <f>[1]Sheet1!H212</f>
        <v/>
      </c>
      <c r="BW211" s="1467" t="n"/>
      <c r="BX211" s="1538" t="n"/>
      <c r="BY211" s="1506" t="n"/>
      <c r="BZ211" s="1537" t="n"/>
      <c r="CA211" s="1511">
        <f>[1]Sheet1!$M212</f>
        <v/>
      </c>
      <c r="CB211" s="1467" t="n"/>
      <c r="CC211" s="1467" t="n"/>
      <c r="CD211" s="1491" t="n"/>
      <c r="CE211" s="1491" t="n"/>
      <c r="CF211" s="1491" t="n"/>
      <c r="CG211" s="1491" t="n"/>
      <c r="CH211" s="1491" t="n"/>
      <c r="CI211" s="1491" t="n"/>
      <c r="CJ211" s="1491" t="n"/>
      <c r="CK211" s="1491" t="n"/>
      <c r="CL211" s="1491" t="n"/>
      <c r="CM211" s="1491" t="n"/>
      <c r="CN211" s="1491" t="n"/>
      <c r="CO211" s="1491" t="n"/>
      <c r="CP211" s="1491" t="n"/>
      <c r="CQ211" s="1491" t="n"/>
      <c r="CR211" s="1491" t="n"/>
      <c r="CS211" s="1491" t="n"/>
      <c r="CT211" s="1491" t="n"/>
      <c r="CU211" s="1491" t="n"/>
      <c r="CV211" s="1491" t="n"/>
      <c r="CW211" s="1491" t="n"/>
      <c r="CX211" s="1491" t="n"/>
    </row>
    <row r="212" ht="19" customHeight="1">
      <c r="A212" s="1491" t="n"/>
      <c r="B212" s="1491" t="n"/>
      <c r="C212" s="1491" t="n"/>
      <c r="D212" s="1497">
        <f>IF(E212&lt;&gt;"",D211+1,D211)</f>
        <v/>
      </c>
      <c r="E212" s="1497" t="inlineStr">
        <is>
          <t>Pisa</t>
        </is>
      </c>
      <c r="F212" s="1535" t="inlineStr">
        <is>
          <t>.</t>
        </is>
      </c>
      <c r="G212" s="1498">
        <f>IF(H212="AIR",0,IF(H211="AIR",G210+1,IF(H212&lt;&gt;"",G211+1,G211)))</f>
        <v/>
      </c>
      <c r="H212" s="1498" t="inlineStr">
        <is>
          <t>Orvieto</t>
        </is>
      </c>
      <c r="I212" s="1427" t="inlineStr">
        <is>
          <t>.</t>
        </is>
      </c>
      <c r="J212" s="1499" t="n">
        <v>207</v>
      </c>
      <c r="K212" s="1500">
        <f>_xlfn.XLOOKUP(cities[[#This Row],[id]],$D$5:$D$1500,E$5:E$1500,"-")</f>
        <v/>
      </c>
      <c r="L212" s="1500">
        <f>_xlfn.XLOOKUP(cities[[#This Row],[city]],ccc[city],ccc[ctry],"-")</f>
        <v/>
      </c>
      <c r="M212" s="1500">
        <f>SUMIFS(stayCity[stay],stayCity[city],cities[[#This Row],[city]])</f>
        <v/>
      </c>
      <c r="N212" s="1427">
        <f>N211+1</f>
        <v/>
      </c>
      <c r="O212" s="1500" t="n"/>
      <c r="P212" s="1500" t="n"/>
      <c r="Q212" s="1427" t="inlineStr">
        <is>
          <t>.</t>
        </is>
      </c>
      <c r="R212" s="1491" t="n"/>
      <c r="S212" s="1491" t="n"/>
      <c r="T212" s="1491" t="n"/>
      <c r="U212" s="1491" t="n"/>
      <c r="V212" s="1491" t="n"/>
      <c r="W212" s="1491" t="n"/>
      <c r="X212" s="1491" t="n"/>
      <c r="Y212" s="1491" t="n"/>
      <c r="Z212" s="1491" t="n"/>
      <c r="AA212" s="1491" t="n"/>
      <c r="AB212" s="1491" t="n"/>
      <c r="AC212" s="1491" t="n"/>
      <c r="AD212" s="1491" t="n"/>
      <c r="AE212" s="1491" t="n"/>
      <c r="AF212" s="1491" t="n"/>
      <c r="AG212" s="1491" t="n"/>
      <c r="AH212" s="1491" t="n"/>
      <c r="AI212" s="1491" t="n"/>
      <c r="AJ212" s="1491" t="n"/>
      <c r="AK212" s="1491" t="n"/>
      <c r="AL212" s="1491" t="n"/>
      <c r="AM212" s="1491" t="n"/>
      <c r="AN212" s="1491" t="n"/>
      <c r="AO212" s="1491" t="n"/>
      <c r="AP212" s="1491" t="n"/>
      <c r="AQ212" s="1491" t="n"/>
      <c r="AR212" s="1491" t="n"/>
      <c r="AS212" s="1491" t="n"/>
      <c r="AT212" s="1491" t="n"/>
      <c r="AU212" s="1491" t="n"/>
      <c r="AV212" s="1491" t="n"/>
      <c r="AW212" s="1491" t="n"/>
      <c r="AX212" s="1491" t="n"/>
      <c r="AY212" s="1491" t="n"/>
      <c r="AZ212" s="1491" t="n"/>
      <c r="BA212" s="1491" t="n"/>
      <c r="BB212" s="1491" t="n"/>
      <c r="BC212" s="1491" t="n"/>
      <c r="BD212" s="1491" t="n"/>
      <c r="BE212" s="1491" t="n"/>
      <c r="BF212" s="1491" t="n"/>
      <c r="BG212" s="1491" t="n"/>
      <c r="BH212" s="1491" t="n"/>
      <c r="BI212" s="1491" t="n"/>
      <c r="BJ212" s="1491" t="n"/>
      <c r="BK212" s="1491" t="n"/>
      <c r="BL212" s="1491" t="n"/>
      <c r="BM212" s="1491" t="n"/>
      <c r="BN212" s="1491" t="n"/>
      <c r="BO212" s="1467" t="n"/>
      <c r="BP212" s="1514" t="n">
        <v>208</v>
      </c>
      <c r="BQ212" s="1513">
        <f>[1]Sheet1!C213</f>
        <v/>
      </c>
      <c r="BR212" s="1515">
        <f>[1]Sheet1!D213</f>
        <v/>
      </c>
      <c r="BS212" s="1513">
        <f>[1]Sheet1!E213</f>
        <v/>
      </c>
      <c r="BT212" s="1515">
        <f>[1]Sheet1!F213</f>
        <v/>
      </c>
      <c r="BU212" s="1516">
        <f>[1]Sheet1!G213</f>
        <v/>
      </c>
      <c r="BV212" s="1513">
        <f>[1]Sheet1!H213</f>
        <v/>
      </c>
      <c r="BW212" s="1467" t="n"/>
      <c r="BX212" s="1538" t="n"/>
      <c r="BY212" s="1506" t="n"/>
      <c r="BZ212" s="1537" t="n"/>
      <c r="CA212" s="1511">
        <f>[1]Sheet1!$M213</f>
        <v/>
      </c>
      <c r="CB212" s="1467" t="n"/>
      <c r="CC212" s="1467" t="n"/>
      <c r="CD212" s="1491" t="n"/>
      <c r="CE212" s="1536" t="n"/>
      <c r="CF212" s="1491" t="n"/>
      <c r="CG212" s="1491" t="n"/>
      <c r="CH212" s="1491" t="n"/>
      <c r="CI212" s="1491" t="n"/>
      <c r="CJ212" s="1491" t="n"/>
      <c r="CK212" s="1491" t="n"/>
      <c r="CL212" s="1491" t="n"/>
      <c r="CM212" s="1491" t="n"/>
      <c r="CN212" s="1491" t="n"/>
      <c r="CO212" s="1491" t="n"/>
      <c r="CP212" s="1491" t="n"/>
      <c r="CQ212" s="1491" t="n"/>
      <c r="CR212" s="1491" t="n"/>
      <c r="CS212" s="1491" t="n"/>
      <c r="CT212" s="1491" t="n"/>
      <c r="CU212" s="1491" t="n"/>
      <c r="CV212" s="1491" t="n"/>
      <c r="CW212" s="1491" t="n"/>
      <c r="CX212" s="1491" t="n"/>
    </row>
    <row r="213">
      <c r="A213" s="1491" t="n"/>
      <c r="B213" s="1491" t="n"/>
      <c r="C213" s="1491" t="n"/>
      <c r="D213" s="1497">
        <f>IF(E213&lt;&gt;"",D212+1,D212)</f>
        <v/>
      </c>
      <c r="E213" s="1497" t="inlineStr">
        <is>
          <t>Viareggio</t>
        </is>
      </c>
      <c r="F213" s="1535" t="inlineStr">
        <is>
          <t>.</t>
        </is>
      </c>
      <c r="G213" s="1498">
        <f>IF(H213="AIR",0,IF(H212="AIR",G211+1,IF(H213&lt;&gt;"",G212+1,G212)))</f>
        <v/>
      </c>
      <c r="H213" s="1498" t="inlineStr">
        <is>
          <t>Bolsena</t>
        </is>
      </c>
      <c r="I213" s="1427" t="inlineStr">
        <is>
          <t>.</t>
        </is>
      </c>
      <c r="J213" s="1499" t="n">
        <v>208</v>
      </c>
      <c r="K213" s="1500">
        <f>_xlfn.XLOOKUP(cities[[#This Row],[id]],$D$5:$D$1500,E$5:E$1500,"-")</f>
        <v/>
      </c>
      <c r="L213" s="1500">
        <f>_xlfn.XLOOKUP(cities[[#This Row],[city]],ccc[city],ccc[ctry],"-")</f>
        <v/>
      </c>
      <c r="M213" s="1500">
        <f>SUMIFS(stayCity[stay],stayCity[city],cities[[#This Row],[city]])</f>
        <v/>
      </c>
      <c r="N213" s="1427">
        <f>N212+1</f>
        <v/>
      </c>
      <c r="O213" s="1500" t="n"/>
      <c r="P213" s="1500" t="n"/>
      <c r="Q213" s="1427" t="inlineStr">
        <is>
          <t>.</t>
        </is>
      </c>
      <c r="R213" s="1491" t="n"/>
      <c r="S213" s="1491" t="n"/>
      <c r="T213" s="1491" t="n"/>
      <c r="U213" s="1491" t="n"/>
      <c r="V213" s="1491" t="n"/>
      <c r="W213" s="1491" t="n"/>
      <c r="X213" s="1491" t="n"/>
      <c r="Y213" s="1491" t="n"/>
      <c r="Z213" s="1491" t="n"/>
      <c r="AA213" s="1491" t="n"/>
      <c r="AB213" s="1491" t="n"/>
      <c r="AC213" s="1491" t="n"/>
      <c r="AD213" s="1491" t="n"/>
      <c r="AE213" s="1491" t="n"/>
      <c r="AF213" s="1491" t="n"/>
      <c r="AG213" s="1491" t="n"/>
      <c r="AH213" s="1491" t="n"/>
      <c r="AI213" s="1491" t="n"/>
      <c r="AJ213" s="1491" t="n"/>
      <c r="AK213" s="1491" t="n"/>
      <c r="AL213" s="1491" t="n"/>
      <c r="AM213" s="1491" t="n"/>
      <c r="AN213" s="1491" t="n"/>
      <c r="AO213" s="1491" t="n"/>
      <c r="AP213" s="1491" t="n"/>
      <c r="AQ213" s="1491" t="n"/>
      <c r="AR213" s="1491" t="n"/>
      <c r="AS213" s="1491" t="n"/>
      <c r="AT213" s="1491" t="n"/>
      <c r="AU213" s="1491" t="n"/>
      <c r="AV213" s="1491" t="n"/>
      <c r="AW213" s="1491" t="n"/>
      <c r="AX213" s="1491" t="n"/>
      <c r="AY213" s="1491" t="n"/>
      <c r="AZ213" s="1491" t="n"/>
      <c r="BA213" s="1491" t="n"/>
      <c r="BB213" s="1491" t="n"/>
      <c r="BC213" s="1491" t="n"/>
      <c r="BD213" s="1491" t="n"/>
      <c r="BE213" s="1491" t="n"/>
      <c r="BF213" s="1491" t="n"/>
      <c r="BG213" s="1491" t="n"/>
      <c r="BH213" s="1491" t="n"/>
      <c r="BI213" s="1491" t="n"/>
      <c r="BJ213" s="1491" t="n"/>
      <c r="BK213" s="1491" t="n"/>
      <c r="BL213" s="1491" t="n"/>
      <c r="BM213" s="1491" t="n"/>
      <c r="BN213" s="1491" t="n"/>
      <c r="BO213" s="1467" t="n"/>
      <c r="BP213" s="1514" t="n">
        <v>209</v>
      </c>
      <c r="BQ213" s="1513">
        <f>[1]Sheet1!C214</f>
        <v/>
      </c>
      <c r="BR213" s="1515">
        <f>[1]Sheet1!D214</f>
        <v/>
      </c>
      <c r="BS213" s="1513">
        <f>[1]Sheet1!E214</f>
        <v/>
      </c>
      <c r="BT213" s="1515">
        <f>[1]Sheet1!F214</f>
        <v/>
      </c>
      <c r="BU213" s="1516">
        <f>[1]Sheet1!G214</f>
        <v/>
      </c>
      <c r="BV213" s="1513">
        <f>[1]Sheet1!H214</f>
        <v/>
      </c>
      <c r="BW213" s="1467" t="n"/>
      <c r="BX213" s="1538" t="n"/>
      <c r="BY213" s="1506" t="n"/>
      <c r="BZ213" s="1537" t="n"/>
      <c r="CA213" s="1511">
        <f>[1]Sheet1!$M214</f>
        <v/>
      </c>
      <c r="CB213" s="1467" t="n"/>
      <c r="CC213" s="1467" t="n"/>
      <c r="CD213" s="1491" t="n"/>
      <c r="CE213" s="1491" t="n"/>
      <c r="CF213" s="1491" t="n"/>
      <c r="CG213" s="1491" t="n"/>
      <c r="CH213" s="1491" t="n"/>
      <c r="CI213" s="1491" t="n"/>
      <c r="CJ213" s="1491" t="n"/>
      <c r="CK213" s="1491" t="n"/>
      <c r="CL213" s="1491" t="n"/>
      <c r="CM213" s="1491" t="n"/>
      <c r="CN213" s="1491" t="n"/>
      <c r="CO213" s="1491" t="n"/>
      <c r="CP213" s="1491" t="n"/>
      <c r="CQ213" s="1491" t="n"/>
      <c r="CR213" s="1491" t="n"/>
      <c r="CS213" s="1491" t="n"/>
      <c r="CT213" s="1491" t="n"/>
      <c r="CU213" s="1491" t="n"/>
      <c r="CV213" s="1491" t="n"/>
      <c r="CW213" s="1491" t="n"/>
      <c r="CX213" s="1491" t="n"/>
    </row>
    <row r="214">
      <c r="A214" s="1491" t="n"/>
      <c r="B214" s="1491" t="n"/>
      <c r="C214" s="1491" t="n"/>
      <c r="D214" s="1497">
        <f>IF(E214&lt;&gt;"",D213+1,D213)</f>
        <v/>
      </c>
      <c r="E214" s="1497" t="inlineStr">
        <is>
          <t>Massa</t>
        </is>
      </c>
      <c r="F214" s="1535" t="inlineStr">
        <is>
          <t>.</t>
        </is>
      </c>
      <c r="G214" s="1498">
        <f>IF(H214="AIR",0,IF(H213="AIR",G212+1,IF(H214&lt;&gt;"",G213+1,G213)))</f>
        <v/>
      </c>
      <c r="H214" s="1498" t="inlineStr">
        <is>
          <t>Siena</t>
        </is>
      </c>
      <c r="I214" s="1427" t="inlineStr">
        <is>
          <t>.</t>
        </is>
      </c>
      <c r="J214" s="1499" t="n">
        <v>209</v>
      </c>
      <c r="K214" s="1500">
        <f>_xlfn.XLOOKUP(cities[[#This Row],[id]],$D$5:$D$1500,E$5:E$1500,"-")</f>
        <v/>
      </c>
      <c r="L214" s="1500">
        <f>_xlfn.XLOOKUP(cities[[#This Row],[city]],ccc[city],ccc[ctry],"-")</f>
        <v/>
      </c>
      <c r="M214" s="1500">
        <f>SUMIFS(stayCity[stay],stayCity[city],cities[[#This Row],[city]])</f>
        <v/>
      </c>
      <c r="N214" s="1427">
        <f>N213+1</f>
        <v/>
      </c>
      <c r="O214" s="1500" t="n"/>
      <c r="P214" s="1500" t="n"/>
      <c r="Q214" s="1427" t="inlineStr">
        <is>
          <t>.</t>
        </is>
      </c>
      <c r="R214" s="1491" t="n"/>
      <c r="S214" s="1491" t="n"/>
      <c r="T214" s="1491" t="n"/>
      <c r="U214" s="1491" t="n"/>
      <c r="V214" s="1491" t="n"/>
      <c r="W214" s="1491" t="n"/>
      <c r="X214" s="1491" t="n"/>
      <c r="Y214" s="1491" t="n"/>
      <c r="Z214" s="1491" t="n"/>
      <c r="AA214" s="1491" t="n"/>
      <c r="AB214" s="1491" t="n"/>
      <c r="AC214" s="1491" t="n"/>
      <c r="AD214" s="1491" t="n"/>
      <c r="AE214" s="1491" t="n"/>
      <c r="AF214" s="1491" t="n"/>
      <c r="AG214" s="1491" t="n"/>
      <c r="AH214" s="1491" t="n"/>
      <c r="AI214" s="1491" t="n"/>
      <c r="AJ214" s="1491" t="n"/>
      <c r="AK214" s="1491" t="n"/>
      <c r="AL214" s="1491" t="n"/>
      <c r="AM214" s="1491" t="n"/>
      <c r="AN214" s="1491" t="n"/>
      <c r="AO214" s="1491" t="n"/>
      <c r="AP214" s="1491" t="n"/>
      <c r="AQ214" s="1491" t="n"/>
      <c r="AR214" s="1491" t="n"/>
      <c r="AS214" s="1491" t="n"/>
      <c r="AT214" s="1491" t="n"/>
      <c r="AU214" s="1491" t="n"/>
      <c r="AV214" s="1491" t="n"/>
      <c r="AW214" s="1491" t="n"/>
      <c r="AX214" s="1491" t="n"/>
      <c r="AY214" s="1491" t="n"/>
      <c r="AZ214" s="1491" t="n"/>
      <c r="BA214" s="1491" t="n"/>
      <c r="BB214" s="1491" t="n"/>
      <c r="BC214" s="1491" t="n"/>
      <c r="BD214" s="1491" t="n"/>
      <c r="BE214" s="1491" t="n"/>
      <c r="BF214" s="1491" t="n"/>
      <c r="BG214" s="1491" t="n"/>
      <c r="BH214" s="1491" t="n"/>
      <c r="BI214" s="1491" t="n"/>
      <c r="BJ214" s="1491" t="n"/>
      <c r="BK214" s="1491" t="n"/>
      <c r="BL214" s="1491" t="n"/>
      <c r="BM214" s="1491" t="n"/>
      <c r="BN214" s="1491" t="n"/>
      <c r="BO214" s="1467" t="n"/>
      <c r="BP214" s="1514" t="n">
        <v>210</v>
      </c>
      <c r="BQ214" s="1513">
        <f>[1]Sheet1!C215</f>
        <v/>
      </c>
      <c r="BR214" s="1515">
        <f>[1]Sheet1!D215</f>
        <v/>
      </c>
      <c r="BS214" s="1513">
        <f>[1]Sheet1!E215</f>
        <v/>
      </c>
      <c r="BT214" s="1515">
        <f>[1]Sheet1!F215</f>
        <v/>
      </c>
      <c r="BU214" s="1516">
        <f>[1]Sheet1!G215</f>
        <v/>
      </c>
      <c r="BV214" s="1513">
        <f>[1]Sheet1!H215</f>
        <v/>
      </c>
      <c r="BW214" s="1467" t="n"/>
      <c r="BX214" s="1538" t="n"/>
      <c r="BY214" s="1506" t="n"/>
      <c r="BZ214" s="1537" t="n"/>
      <c r="CA214" s="1511">
        <f>[1]Sheet1!$M215</f>
        <v/>
      </c>
      <c r="CB214" s="1467" t="n"/>
      <c r="CC214" s="1467" t="n"/>
      <c r="CD214" s="1491" t="n"/>
      <c r="CE214" s="1491" t="n"/>
      <c r="CF214" s="1491" t="n"/>
      <c r="CG214" s="1491" t="n"/>
      <c r="CH214" s="1491" t="n"/>
      <c r="CI214" s="1491" t="n"/>
      <c r="CJ214" s="1491" t="n"/>
      <c r="CK214" s="1491" t="n"/>
      <c r="CL214" s="1491" t="n"/>
      <c r="CM214" s="1491" t="n"/>
      <c r="CN214" s="1491" t="n"/>
      <c r="CO214" s="1491" t="n"/>
      <c r="CP214" s="1491" t="n"/>
      <c r="CQ214" s="1491" t="n"/>
      <c r="CR214" s="1491" t="n"/>
      <c r="CS214" s="1491" t="n"/>
      <c r="CT214" s="1491" t="n"/>
      <c r="CU214" s="1491" t="n"/>
      <c r="CV214" s="1491" t="n"/>
      <c r="CW214" s="1491" t="n"/>
      <c r="CX214" s="1491" t="n"/>
    </row>
    <row r="215">
      <c r="A215" s="1491" t="n"/>
      <c r="B215" s="1491" t="n"/>
      <c r="C215" s="1491" t="n"/>
      <c r="D215" s="1497">
        <f>IF(E215&lt;&gt;"",D214+1,D214)</f>
        <v/>
      </c>
      <c r="E215" s="1497" t="inlineStr">
        <is>
          <t>Orte</t>
        </is>
      </c>
      <c r="F215" s="1535" t="inlineStr">
        <is>
          <t>.</t>
        </is>
      </c>
      <c r="G215" s="1498">
        <f>IF(H215="AIR",0,IF(H214="AIR",G213+1,IF(H215&lt;&gt;"",G214+1,G214)))</f>
        <v/>
      </c>
      <c r="H215" s="1498" t="inlineStr">
        <is>
          <t>Firenze</t>
        </is>
      </c>
      <c r="I215" s="1427" t="inlineStr">
        <is>
          <t>.</t>
        </is>
      </c>
      <c r="J215" s="1499" t="n">
        <v>210</v>
      </c>
      <c r="K215" s="1500">
        <f>_xlfn.XLOOKUP(cities[[#This Row],[id]],$D$5:$D$1500,E$5:E$1500,"-")</f>
        <v/>
      </c>
      <c r="L215" s="1500">
        <f>_xlfn.XLOOKUP(cities[[#This Row],[city]],ccc[city],ccc[ctry],"-")</f>
        <v/>
      </c>
      <c r="M215" s="1500">
        <f>SUMIFS(stayCity[stay],stayCity[city],cities[[#This Row],[city]])</f>
        <v/>
      </c>
      <c r="N215" s="1427">
        <f>N214+1</f>
        <v/>
      </c>
      <c r="O215" s="1500" t="n"/>
      <c r="P215" s="1500" t="n"/>
      <c r="Q215" s="1427" t="inlineStr">
        <is>
          <t>.</t>
        </is>
      </c>
      <c r="R215" s="1491" t="n"/>
      <c r="S215" s="1491" t="n"/>
      <c r="T215" s="1491" t="n"/>
      <c r="U215" s="1491" t="n"/>
      <c r="V215" s="1491" t="n"/>
      <c r="W215" s="1491" t="n"/>
      <c r="X215" s="1491" t="n"/>
      <c r="Y215" s="1491" t="n"/>
      <c r="Z215" s="1491" t="n"/>
      <c r="AA215" s="1491" t="n"/>
      <c r="AB215" s="1491" t="n"/>
      <c r="AC215" s="1491" t="n"/>
      <c r="AD215" s="1491" t="n"/>
      <c r="AE215" s="1491" t="n"/>
      <c r="AF215" s="1491" t="n"/>
      <c r="AG215" s="1491" t="n"/>
      <c r="AH215" s="1491" t="n"/>
      <c r="AI215" s="1491" t="n"/>
      <c r="AJ215" s="1491" t="n"/>
      <c r="AK215" s="1491" t="n"/>
      <c r="AL215" s="1491" t="n"/>
      <c r="AM215" s="1491" t="n"/>
      <c r="AN215" s="1491" t="n"/>
      <c r="AO215" s="1491" t="n"/>
      <c r="AP215" s="1491" t="n"/>
      <c r="AQ215" s="1491" t="n"/>
      <c r="AR215" s="1491" t="n"/>
      <c r="AS215" s="1491" t="n"/>
      <c r="AT215" s="1491" t="n"/>
      <c r="AU215" s="1491" t="n"/>
      <c r="AV215" s="1491" t="n"/>
      <c r="AW215" s="1491" t="n"/>
      <c r="AX215" s="1491" t="n"/>
      <c r="AY215" s="1491" t="n"/>
      <c r="AZ215" s="1491" t="n"/>
      <c r="BA215" s="1491" t="n"/>
      <c r="BB215" s="1491" t="n"/>
      <c r="BC215" s="1491" t="n"/>
      <c r="BD215" s="1491" t="n"/>
      <c r="BE215" s="1491" t="n"/>
      <c r="BF215" s="1491" t="n"/>
      <c r="BG215" s="1491" t="n"/>
      <c r="BH215" s="1491" t="n"/>
      <c r="BI215" s="1491" t="n"/>
      <c r="BJ215" s="1491" t="n"/>
      <c r="BK215" s="1491" t="n"/>
      <c r="BL215" s="1491" t="n"/>
      <c r="BM215" s="1491" t="n"/>
      <c r="BN215" s="1491" t="n"/>
      <c r="BO215" s="1467" t="n"/>
      <c r="BP215" s="1514" t="n">
        <v>211</v>
      </c>
      <c r="BQ215" s="1513">
        <f>[1]Sheet1!C216</f>
        <v/>
      </c>
      <c r="BR215" s="1515">
        <f>[1]Sheet1!D216</f>
        <v/>
      </c>
      <c r="BS215" s="1513">
        <f>[1]Sheet1!E216</f>
        <v/>
      </c>
      <c r="BT215" s="1515">
        <f>[1]Sheet1!F216</f>
        <v/>
      </c>
      <c r="BU215" s="1516">
        <f>[1]Sheet1!G216</f>
        <v/>
      </c>
      <c r="BV215" s="1513">
        <f>[1]Sheet1!H216</f>
        <v/>
      </c>
      <c r="BW215" s="1467" t="n"/>
      <c r="BX215" s="1538" t="n"/>
      <c r="BY215" s="1506" t="n"/>
      <c r="BZ215" s="1537" t="n"/>
      <c r="CA215" s="1511">
        <f>[1]Sheet1!$M216</f>
        <v/>
      </c>
      <c r="CB215" s="1467" t="n"/>
      <c r="CC215" s="1467" t="n"/>
      <c r="CD215" s="1491" t="n"/>
      <c r="CE215" s="1491" t="n"/>
      <c r="CF215" s="1491" t="n"/>
      <c r="CG215" s="1491" t="n"/>
      <c r="CH215" s="1491" t="n"/>
      <c r="CI215" s="1491" t="n"/>
      <c r="CJ215" s="1491" t="n"/>
      <c r="CK215" s="1491" t="n"/>
      <c r="CL215" s="1491" t="n"/>
      <c r="CM215" s="1491" t="n"/>
      <c r="CN215" s="1491" t="n"/>
      <c r="CO215" s="1491" t="n"/>
      <c r="CP215" s="1491" t="n"/>
      <c r="CQ215" s="1491" t="n"/>
      <c r="CR215" s="1491" t="n"/>
      <c r="CS215" s="1491" t="n"/>
      <c r="CT215" s="1491" t="n"/>
      <c r="CU215" s="1491" t="n"/>
      <c r="CV215" s="1491" t="n"/>
      <c r="CW215" s="1491" t="n"/>
      <c r="CX215" s="1491" t="n"/>
    </row>
    <row r="216">
      <c r="A216" s="1491" t="n"/>
      <c r="B216" s="1491" t="n"/>
      <c r="C216" s="1491" t="n"/>
      <c r="D216" s="1497">
        <f>IF(E216&lt;&gt;"",D215+1,D215)</f>
        <v/>
      </c>
      <c r="E216" s="1497" t="inlineStr">
        <is>
          <t>Giverny</t>
        </is>
      </c>
      <c r="F216" s="1535" t="inlineStr">
        <is>
          <t>.</t>
        </is>
      </c>
      <c r="G216" s="1498">
        <f>IF(H216="AIR",0,IF(H215="AIR",G214+1,IF(H216&lt;&gt;"",G215+1,G215)))</f>
        <v/>
      </c>
      <c r="H216" s="1498" t="inlineStr">
        <is>
          <t>Prato</t>
        </is>
      </c>
      <c r="I216" s="1427" t="inlineStr">
        <is>
          <t>.</t>
        </is>
      </c>
      <c r="J216" s="1499" t="n">
        <v>211</v>
      </c>
      <c r="K216" s="1500">
        <f>_xlfn.XLOOKUP(cities[[#This Row],[id]],$D$5:$D$1500,E$5:E$1500,"-")</f>
        <v/>
      </c>
      <c r="L216" s="1500">
        <f>_xlfn.XLOOKUP(cities[[#This Row],[city]],ccc[city],ccc[ctry],"-")</f>
        <v/>
      </c>
      <c r="M216" s="1500">
        <f>SUMIFS(stayCity[stay],stayCity[city],cities[[#This Row],[city]])</f>
        <v/>
      </c>
      <c r="N216" s="1427">
        <f>N215+1</f>
        <v/>
      </c>
      <c r="O216" s="1500" t="n"/>
      <c r="P216" s="1500" t="n"/>
      <c r="Q216" s="1427" t="inlineStr">
        <is>
          <t>.</t>
        </is>
      </c>
      <c r="R216" s="1491" t="n"/>
      <c r="S216" s="1491" t="n"/>
      <c r="T216" s="1491" t="n"/>
      <c r="U216" s="1491" t="n"/>
      <c r="V216" s="1491" t="n"/>
      <c r="W216" s="1491" t="n"/>
      <c r="X216" s="1491" t="n"/>
      <c r="Y216" s="1491" t="n"/>
      <c r="Z216" s="1491" t="n"/>
      <c r="AA216" s="1491" t="n"/>
      <c r="AB216" s="1491" t="n"/>
      <c r="AC216" s="1491" t="n"/>
      <c r="AD216" s="1491" t="n"/>
      <c r="AE216" s="1491" t="n"/>
      <c r="AF216" s="1491" t="n"/>
      <c r="AG216" s="1491" t="n"/>
      <c r="AH216" s="1491" t="n"/>
      <c r="AI216" s="1491" t="n"/>
      <c r="AJ216" s="1491" t="n"/>
      <c r="AK216" s="1491" t="n"/>
      <c r="AL216" s="1491" t="n"/>
      <c r="AM216" s="1491" t="n"/>
      <c r="AN216" s="1491" t="n"/>
      <c r="AO216" s="1491" t="n"/>
      <c r="AP216" s="1491" t="n"/>
      <c r="AQ216" s="1491" t="n"/>
      <c r="AR216" s="1491" t="n"/>
      <c r="AS216" s="1491" t="n"/>
      <c r="AT216" s="1491" t="n"/>
      <c r="AU216" s="1491" t="n"/>
      <c r="AV216" s="1491" t="n"/>
      <c r="AW216" s="1491" t="n"/>
      <c r="AX216" s="1491" t="n"/>
      <c r="AY216" s="1491" t="n"/>
      <c r="AZ216" s="1491" t="n"/>
      <c r="BA216" s="1491" t="n"/>
      <c r="BB216" s="1491" t="n"/>
      <c r="BC216" s="1491" t="n"/>
      <c r="BD216" s="1491" t="n"/>
      <c r="BE216" s="1491" t="n"/>
      <c r="BF216" s="1491" t="n"/>
      <c r="BG216" s="1491" t="n"/>
      <c r="BH216" s="1491" t="n"/>
      <c r="BI216" s="1491" t="n"/>
      <c r="BJ216" s="1491" t="n"/>
      <c r="BK216" s="1491" t="n"/>
      <c r="BL216" s="1491" t="n"/>
      <c r="BM216" s="1491" t="n"/>
      <c r="BN216" s="1491" t="n"/>
      <c r="BO216" s="1467" t="n"/>
      <c r="BP216" s="1514" t="n">
        <v>212</v>
      </c>
      <c r="BQ216" s="1513">
        <f>[1]Sheet1!C217</f>
        <v/>
      </c>
      <c r="BR216" s="1515">
        <f>[1]Sheet1!D217</f>
        <v/>
      </c>
      <c r="BS216" s="1513">
        <f>[1]Sheet1!E217</f>
        <v/>
      </c>
      <c r="BT216" s="1515">
        <f>[1]Sheet1!F217</f>
        <v/>
      </c>
      <c r="BU216" s="1516">
        <f>[1]Sheet1!G217</f>
        <v/>
      </c>
      <c r="BV216" s="1513">
        <f>[1]Sheet1!H217</f>
        <v/>
      </c>
      <c r="BW216" s="1467" t="n"/>
      <c r="BX216" s="1538" t="n"/>
      <c r="BY216" s="1506" t="n"/>
      <c r="BZ216" s="1537" t="n"/>
      <c r="CA216" s="1511">
        <f>[1]Sheet1!$M217</f>
        <v/>
      </c>
      <c r="CB216" s="1467" t="n"/>
      <c r="CC216" s="1467" t="n"/>
      <c r="CD216" s="1491" t="n"/>
      <c r="CE216" s="1491" t="n"/>
      <c r="CF216" s="1491" t="n"/>
      <c r="CG216" s="1491" t="n"/>
      <c r="CH216" s="1491" t="n"/>
      <c r="CI216" s="1491" t="n"/>
      <c r="CJ216" s="1491" t="n"/>
      <c r="CK216" s="1491" t="n"/>
      <c r="CL216" s="1491" t="n"/>
      <c r="CM216" s="1491" t="n"/>
      <c r="CN216" s="1491" t="n"/>
      <c r="CO216" s="1491" t="n"/>
      <c r="CP216" s="1491" t="n"/>
      <c r="CQ216" s="1491" t="n"/>
      <c r="CR216" s="1491" t="n"/>
      <c r="CS216" s="1491" t="n"/>
      <c r="CT216" s="1491" t="n"/>
      <c r="CU216" s="1491" t="n"/>
      <c r="CV216" s="1491" t="n"/>
      <c r="CW216" s="1491" t="n"/>
      <c r="CX216" s="1491" t="n"/>
    </row>
    <row r="217">
      <c r="A217" s="1491" t="n"/>
      <c r="B217" s="1491" t="n"/>
      <c r="C217" s="1491" t="n"/>
      <c r="D217" s="1497">
        <f>IF(E217&lt;&gt;"",D216+1,D216)</f>
        <v/>
      </c>
      <c r="E217" s="1497" t="inlineStr">
        <is>
          <t>Canterbury</t>
        </is>
      </c>
      <c r="F217" s="1535" t="inlineStr">
        <is>
          <t>.</t>
        </is>
      </c>
      <c r="G217" s="1498">
        <f>IF(H217="AIR",0,IF(H216="AIR",G215+1,IF(H217&lt;&gt;"",G216+1,G216)))</f>
        <v/>
      </c>
      <c r="H217" s="1498" t="inlineStr">
        <is>
          <t>Montecatini Terme</t>
        </is>
      </c>
      <c r="I217" s="1427" t="inlineStr">
        <is>
          <t>.</t>
        </is>
      </c>
      <c r="J217" s="1499" t="n">
        <v>212</v>
      </c>
      <c r="K217" s="1500">
        <f>_xlfn.XLOOKUP(cities[[#This Row],[id]],$D$5:$D$1500,E$5:E$1500,"-")</f>
        <v/>
      </c>
      <c r="L217" s="1500">
        <f>_xlfn.XLOOKUP(cities[[#This Row],[city]],ccc[city],ccc[ctry],"-")</f>
        <v/>
      </c>
      <c r="M217" s="1500">
        <f>SUMIFS(stayCity[stay],stayCity[city],cities[[#This Row],[city]])</f>
        <v/>
      </c>
      <c r="N217" s="1427">
        <f>N216+1</f>
        <v/>
      </c>
      <c r="O217" s="1500" t="n"/>
      <c r="P217" s="1500" t="n"/>
      <c r="Q217" s="1427" t="inlineStr">
        <is>
          <t>.</t>
        </is>
      </c>
      <c r="R217" s="1491" t="n"/>
      <c r="S217" s="1491" t="n"/>
      <c r="T217" s="1491" t="n"/>
      <c r="U217" s="1491" t="n"/>
      <c r="V217" s="1491" t="n"/>
      <c r="W217" s="1491" t="n"/>
      <c r="X217" s="1491" t="n"/>
      <c r="Y217" s="1491" t="n"/>
      <c r="Z217" s="1491" t="n"/>
      <c r="AA217" s="1491" t="n"/>
      <c r="AB217" s="1491" t="n"/>
      <c r="AC217" s="1491" t="n"/>
      <c r="AD217" s="1491" t="n"/>
      <c r="AE217" s="1491" t="n"/>
      <c r="AF217" s="1491" t="n"/>
      <c r="AG217" s="1491" t="n"/>
      <c r="AH217" s="1491" t="n"/>
      <c r="AI217" s="1491" t="n"/>
      <c r="AJ217" s="1491" t="n"/>
      <c r="AK217" s="1491" t="n"/>
      <c r="AL217" s="1491" t="n"/>
      <c r="AM217" s="1491" t="n"/>
      <c r="AN217" s="1491" t="n"/>
      <c r="AO217" s="1491" t="n"/>
      <c r="AP217" s="1491" t="n"/>
      <c r="AQ217" s="1491" t="n"/>
      <c r="AR217" s="1491" t="n"/>
      <c r="AS217" s="1491" t="n"/>
      <c r="AT217" s="1491" t="n"/>
      <c r="AU217" s="1491" t="n"/>
      <c r="AV217" s="1491" t="n"/>
      <c r="AW217" s="1491" t="n"/>
      <c r="AX217" s="1491" t="n"/>
      <c r="AY217" s="1491" t="n"/>
      <c r="AZ217" s="1491" t="n"/>
      <c r="BA217" s="1491" t="n"/>
      <c r="BB217" s="1491" t="n"/>
      <c r="BC217" s="1491" t="n"/>
      <c r="BD217" s="1491" t="n"/>
      <c r="BE217" s="1491" t="n"/>
      <c r="BF217" s="1491" t="n"/>
      <c r="BG217" s="1491" t="n"/>
      <c r="BH217" s="1491" t="n"/>
      <c r="BI217" s="1491" t="n"/>
      <c r="BJ217" s="1491" t="n"/>
      <c r="BK217" s="1491" t="n"/>
      <c r="BL217" s="1491" t="n"/>
      <c r="BM217" s="1491" t="n"/>
      <c r="BN217" s="1491" t="n"/>
      <c r="BO217" s="1467" t="n"/>
      <c r="BP217" s="1514" t="n">
        <v>213</v>
      </c>
      <c r="BQ217" s="1513">
        <f>[1]Sheet1!C218</f>
        <v/>
      </c>
      <c r="BR217" s="1515">
        <f>[1]Sheet1!D218</f>
        <v/>
      </c>
      <c r="BS217" s="1513">
        <f>[1]Sheet1!E218</f>
        <v/>
      </c>
      <c r="BT217" s="1515">
        <f>[1]Sheet1!F218</f>
        <v/>
      </c>
      <c r="BU217" s="1516">
        <f>[1]Sheet1!G218</f>
        <v/>
      </c>
      <c r="BV217" s="1513">
        <f>[1]Sheet1!H218</f>
        <v/>
      </c>
      <c r="BW217" s="1467" t="n"/>
      <c r="BX217" s="1538" t="n"/>
      <c r="BY217" s="1506" t="n"/>
      <c r="BZ217" s="1537" t="n"/>
      <c r="CA217" s="1511">
        <f>[1]Sheet1!$M218</f>
        <v/>
      </c>
      <c r="CB217" s="1467" t="n"/>
      <c r="CC217" s="1467" t="n"/>
      <c r="CD217" s="1491" t="n"/>
      <c r="CE217" s="1491" t="n"/>
      <c r="CF217" s="1491" t="n"/>
      <c r="CG217" s="1491" t="n"/>
      <c r="CH217" s="1491" t="n"/>
      <c r="CI217" s="1491" t="n"/>
      <c r="CJ217" s="1491" t="n"/>
      <c r="CK217" s="1491" t="n"/>
      <c r="CL217" s="1491" t="n"/>
      <c r="CM217" s="1491" t="n"/>
      <c r="CN217" s="1491" t="n"/>
      <c r="CO217" s="1491" t="n"/>
      <c r="CP217" s="1491" t="n"/>
      <c r="CQ217" s="1491" t="n"/>
      <c r="CR217" s="1491" t="n"/>
      <c r="CS217" s="1491" t="n"/>
      <c r="CT217" s="1491" t="n"/>
      <c r="CU217" s="1491" t="n"/>
      <c r="CV217" s="1491" t="n"/>
      <c r="CW217" s="1491" t="n"/>
      <c r="CX217" s="1491" t="n"/>
    </row>
    <row r="218">
      <c r="A218" s="1491" t="n"/>
      <c r="B218" s="1491" t="n"/>
      <c r="C218" s="1491" t="n"/>
      <c r="D218" s="1497">
        <f>IF(E218&lt;&gt;"",D217+1,D217)</f>
        <v/>
      </c>
      <c r="E218" s="1497" t="inlineStr">
        <is>
          <t>Orleans</t>
        </is>
      </c>
      <c r="F218" s="1535" t="inlineStr">
        <is>
          <t>.</t>
        </is>
      </c>
      <c r="G218" s="1498">
        <f>IF(H218="AIR",0,IF(H217="AIR",G216+1,IF(H218&lt;&gt;"",G217+1,G217)))</f>
        <v/>
      </c>
      <c r="H218" s="1498" t="inlineStr">
        <is>
          <t>Pisa</t>
        </is>
      </c>
      <c r="I218" s="1427" t="inlineStr">
        <is>
          <t>.</t>
        </is>
      </c>
      <c r="J218" s="1499" t="n">
        <v>213</v>
      </c>
      <c r="K218" s="1500">
        <f>_xlfn.XLOOKUP(cities[[#This Row],[id]],$D$5:$D$1500,E$5:E$1500,"-")</f>
        <v/>
      </c>
      <c r="L218" s="1500">
        <f>_xlfn.XLOOKUP(cities[[#This Row],[city]],ccc[city],ccc[ctry],"-")</f>
        <v/>
      </c>
      <c r="M218" s="1500">
        <f>SUMIFS(stayCity[stay],stayCity[city],cities[[#This Row],[city]])</f>
        <v/>
      </c>
      <c r="N218" s="1427">
        <f>N217+1</f>
        <v/>
      </c>
      <c r="O218" s="1500" t="n"/>
      <c r="P218" s="1500" t="n"/>
      <c r="Q218" s="1427" t="inlineStr">
        <is>
          <t>.</t>
        </is>
      </c>
      <c r="R218" s="1491" t="n"/>
      <c r="S218" s="1491" t="n"/>
      <c r="T218" s="1491" t="n"/>
      <c r="U218" s="1491" t="n"/>
      <c r="V218" s="1491" t="n"/>
      <c r="W218" s="1491" t="n"/>
      <c r="X218" s="1491" t="n"/>
      <c r="Y218" s="1491" t="n"/>
      <c r="Z218" s="1491" t="n"/>
      <c r="AA218" s="1491" t="n"/>
      <c r="AB218" s="1491" t="n"/>
      <c r="AC218" s="1491" t="n"/>
      <c r="AD218" s="1491" t="n"/>
      <c r="AE218" s="1491" t="n"/>
      <c r="AF218" s="1491" t="n"/>
      <c r="AG218" s="1491" t="n"/>
      <c r="AH218" s="1491" t="n"/>
      <c r="AI218" s="1491" t="n"/>
      <c r="AJ218" s="1491" t="n"/>
      <c r="AK218" s="1491" t="n"/>
      <c r="AL218" s="1491" t="n"/>
      <c r="AM218" s="1491" t="n"/>
      <c r="AN218" s="1491" t="n"/>
      <c r="AO218" s="1491" t="n"/>
      <c r="AP218" s="1491" t="n"/>
      <c r="AQ218" s="1491" t="n"/>
      <c r="AR218" s="1491" t="n"/>
      <c r="AS218" s="1491" t="n"/>
      <c r="AT218" s="1491" t="n"/>
      <c r="AU218" s="1491" t="n"/>
      <c r="AV218" s="1491" t="n"/>
      <c r="AW218" s="1491" t="n"/>
      <c r="AX218" s="1491" t="n"/>
      <c r="AY218" s="1491" t="n"/>
      <c r="AZ218" s="1491" t="n"/>
      <c r="BA218" s="1491" t="n"/>
      <c r="BB218" s="1491" t="n"/>
      <c r="BC218" s="1491" t="n"/>
      <c r="BD218" s="1491" t="n"/>
      <c r="BE218" s="1491" t="n"/>
      <c r="BF218" s="1491" t="n"/>
      <c r="BG218" s="1491" t="n"/>
      <c r="BH218" s="1491" t="n"/>
      <c r="BI218" s="1491" t="n"/>
      <c r="BJ218" s="1491" t="n"/>
      <c r="BK218" s="1491" t="n"/>
      <c r="BL218" s="1491" t="n"/>
      <c r="BM218" s="1491" t="n"/>
      <c r="BN218" s="1491" t="n"/>
      <c r="BO218" s="1467" t="n"/>
      <c r="BP218" s="1514" t="n">
        <v>214</v>
      </c>
      <c r="BQ218" s="1513">
        <f>[1]Sheet1!C219</f>
        <v/>
      </c>
      <c r="BR218" s="1515">
        <f>[1]Sheet1!D219</f>
        <v/>
      </c>
      <c r="BS218" s="1513">
        <f>[1]Sheet1!E219</f>
        <v/>
      </c>
      <c r="BT218" s="1515">
        <f>[1]Sheet1!F219</f>
        <v/>
      </c>
      <c r="BU218" s="1516">
        <f>[1]Sheet1!G219</f>
        <v/>
      </c>
      <c r="BV218" s="1513">
        <f>[1]Sheet1!H219</f>
        <v/>
      </c>
      <c r="BW218" s="1467" t="n"/>
      <c r="BX218" s="1538" t="n"/>
      <c r="BY218" s="1506" t="n"/>
      <c r="BZ218" s="1537" t="n"/>
      <c r="CA218" s="1511">
        <f>[1]Sheet1!$M219</f>
        <v/>
      </c>
      <c r="CB218" s="1467" t="n"/>
      <c r="CC218" s="1467" t="n"/>
      <c r="CD218" s="1491" t="n"/>
      <c r="CE218" s="1491" t="n"/>
      <c r="CF218" s="1491" t="n"/>
      <c r="CG218" s="1491" t="n"/>
      <c r="CH218" s="1491" t="n"/>
      <c r="CI218" s="1491" t="n"/>
      <c r="CJ218" s="1491" t="n"/>
      <c r="CK218" s="1491" t="n"/>
      <c r="CL218" s="1491" t="n"/>
      <c r="CM218" s="1491" t="n"/>
      <c r="CN218" s="1491" t="n"/>
      <c r="CO218" s="1491" t="n"/>
      <c r="CP218" s="1491" t="n"/>
      <c r="CQ218" s="1491" t="n"/>
      <c r="CR218" s="1491" t="n"/>
      <c r="CS218" s="1491" t="n"/>
      <c r="CT218" s="1491" t="n"/>
      <c r="CU218" s="1491" t="n"/>
      <c r="CV218" s="1491" t="n"/>
      <c r="CW218" s="1491" t="n"/>
      <c r="CX218" s="1491" t="n"/>
    </row>
    <row r="219">
      <c r="A219" s="1491" t="n"/>
      <c r="B219" s="1491" t="n"/>
      <c r="C219" s="1491" t="n"/>
      <c r="D219" s="1497">
        <f>IF(E219&lt;&gt;"",D218+1,D218)</f>
        <v/>
      </c>
      <c r="E219" s="1497" t="inlineStr">
        <is>
          <t>Loire</t>
        </is>
      </c>
      <c r="F219" s="1535" t="inlineStr">
        <is>
          <t>.</t>
        </is>
      </c>
      <c r="G219" s="1498">
        <f>IF(H219="AIR",0,IF(H218="AIR",G217+1,IF(H219&lt;&gt;"",G218+1,G218)))</f>
        <v/>
      </c>
      <c r="H219" s="1498" t="inlineStr">
        <is>
          <t>Viareggio</t>
        </is>
      </c>
      <c r="I219" s="1427" t="inlineStr">
        <is>
          <t>.</t>
        </is>
      </c>
      <c r="J219" s="1499" t="n">
        <v>214</v>
      </c>
      <c r="K219" s="1500">
        <f>_xlfn.XLOOKUP(cities[[#This Row],[id]],$D$5:$D$1500,E$5:E$1500,"-")</f>
        <v/>
      </c>
      <c r="L219" s="1500">
        <f>_xlfn.XLOOKUP(cities[[#This Row],[city]],ccc[city],ccc[ctry],"-")</f>
        <v/>
      </c>
      <c r="M219" s="1500">
        <f>SUMIFS(stayCity[stay],stayCity[city],cities[[#This Row],[city]])</f>
        <v/>
      </c>
      <c r="N219" s="1427">
        <f>N218+1</f>
        <v/>
      </c>
      <c r="O219" s="1500" t="n"/>
      <c r="P219" s="1500" t="n"/>
      <c r="Q219" s="1427" t="inlineStr">
        <is>
          <t>.</t>
        </is>
      </c>
      <c r="R219" s="1491" t="n"/>
      <c r="S219" s="1491" t="n"/>
      <c r="T219" s="1491" t="n"/>
      <c r="U219" s="1491" t="n"/>
      <c r="V219" s="1491" t="n"/>
      <c r="W219" s="1491" t="n"/>
      <c r="X219" s="1491" t="n"/>
      <c r="Y219" s="1491" t="n"/>
      <c r="Z219" s="1491" t="n"/>
      <c r="AA219" s="1491" t="n"/>
      <c r="AB219" s="1491" t="n"/>
      <c r="AC219" s="1491" t="n"/>
      <c r="AD219" s="1491" t="n"/>
      <c r="AE219" s="1491" t="n"/>
      <c r="AF219" s="1491" t="n"/>
      <c r="AG219" s="1491" t="n"/>
      <c r="AH219" s="1491" t="n"/>
      <c r="AI219" s="1491" t="n"/>
      <c r="AJ219" s="1491" t="n"/>
      <c r="AK219" s="1491" t="n"/>
      <c r="AL219" s="1491" t="n"/>
      <c r="AM219" s="1491" t="n"/>
      <c r="AN219" s="1491" t="n"/>
      <c r="AO219" s="1491" t="n"/>
      <c r="AP219" s="1491" t="n"/>
      <c r="AQ219" s="1491" t="n"/>
      <c r="AR219" s="1491" t="n"/>
      <c r="AS219" s="1491" t="n"/>
      <c r="AT219" s="1491" t="n"/>
      <c r="AU219" s="1491" t="n"/>
      <c r="AV219" s="1491" t="n"/>
      <c r="AW219" s="1491" t="n"/>
      <c r="AX219" s="1491" t="n"/>
      <c r="AY219" s="1491" t="n"/>
      <c r="AZ219" s="1491" t="n"/>
      <c r="BA219" s="1491" t="n"/>
      <c r="BB219" s="1491" t="n"/>
      <c r="BC219" s="1491" t="n"/>
      <c r="BD219" s="1491" t="n"/>
      <c r="BE219" s="1491" t="n"/>
      <c r="BF219" s="1491" t="n"/>
      <c r="BG219" s="1491" t="n"/>
      <c r="BH219" s="1491" t="n"/>
      <c r="BI219" s="1491" t="n"/>
      <c r="BJ219" s="1491" t="n"/>
      <c r="BK219" s="1491" t="n"/>
      <c r="BL219" s="1491" t="n"/>
      <c r="BM219" s="1491" t="n"/>
      <c r="BN219" s="1491" t="n"/>
      <c r="BO219" s="1467" t="n"/>
      <c r="BP219" s="1514" t="n">
        <v>215</v>
      </c>
      <c r="BQ219" s="1513">
        <f>[1]Sheet1!C220</f>
        <v/>
      </c>
      <c r="BR219" s="1515">
        <f>[1]Sheet1!D220</f>
        <v/>
      </c>
      <c r="BS219" s="1513">
        <f>[1]Sheet1!E220</f>
        <v/>
      </c>
      <c r="BT219" s="1515">
        <f>[1]Sheet1!F220</f>
        <v/>
      </c>
      <c r="BU219" s="1516">
        <f>[1]Sheet1!G220</f>
        <v/>
      </c>
      <c r="BV219" s="1513">
        <f>[1]Sheet1!H220</f>
        <v/>
      </c>
      <c r="BW219" s="1467" t="n"/>
      <c r="BX219" s="1538" t="n"/>
      <c r="BY219" s="1506" t="n"/>
      <c r="BZ219" s="1537" t="n"/>
      <c r="CA219" s="1511">
        <f>[1]Sheet1!$M220</f>
        <v/>
      </c>
      <c r="CB219" s="1467" t="n"/>
      <c r="CC219" s="1467" t="n"/>
      <c r="CD219" s="1491" t="n"/>
      <c r="CE219" s="1491" t="n"/>
      <c r="CF219" s="1491" t="n"/>
      <c r="CG219" s="1491" t="n"/>
      <c r="CH219" s="1491" t="n"/>
      <c r="CI219" s="1491" t="n"/>
      <c r="CJ219" s="1491" t="n"/>
      <c r="CK219" s="1491" t="n"/>
      <c r="CL219" s="1491" t="n"/>
      <c r="CM219" s="1491" t="n"/>
      <c r="CN219" s="1491" t="n"/>
      <c r="CO219" s="1491" t="n"/>
      <c r="CP219" s="1491" t="n"/>
      <c r="CQ219" s="1491" t="n"/>
      <c r="CR219" s="1491" t="n"/>
      <c r="CS219" s="1491" t="n"/>
      <c r="CT219" s="1491" t="n"/>
      <c r="CU219" s="1491" t="n"/>
      <c r="CV219" s="1491" t="n"/>
      <c r="CW219" s="1491" t="n"/>
      <c r="CX219" s="1491" t="n"/>
    </row>
    <row r="220">
      <c r="A220" s="1491" t="n"/>
      <c r="B220" s="1491" t="n"/>
      <c r="C220" s="1491" t="n"/>
      <c r="D220" s="1497">
        <f>IF(E220&lt;&gt;"",D219+1,D219)</f>
        <v/>
      </c>
      <c r="E220" s="1497" t="inlineStr">
        <is>
          <t>Tours</t>
        </is>
      </c>
      <c r="F220" s="1535" t="inlineStr">
        <is>
          <t>.</t>
        </is>
      </c>
      <c r="G220" s="1498">
        <f>IF(H220="AIR",0,IF(H219="AIR",G218+1,IF(H220&lt;&gt;"",G219+1,G219)))</f>
        <v/>
      </c>
      <c r="H220" s="1498" t="inlineStr">
        <is>
          <t>Massa</t>
        </is>
      </c>
      <c r="I220" s="1427" t="inlineStr">
        <is>
          <t>.</t>
        </is>
      </c>
      <c r="J220" s="1499" t="n">
        <v>215</v>
      </c>
      <c r="K220" s="1500">
        <f>_xlfn.XLOOKUP(cities[[#This Row],[id]],$D$5:$D$1500,E$5:E$1500,"-")</f>
        <v/>
      </c>
      <c r="L220" s="1500">
        <f>_xlfn.XLOOKUP(cities[[#This Row],[city]],ccc[city],ccc[ctry],"-")</f>
        <v/>
      </c>
      <c r="M220" s="1500">
        <f>SUMIFS(stayCity[stay],stayCity[city],cities[[#This Row],[city]])</f>
        <v/>
      </c>
      <c r="N220" s="1427">
        <f>N219+1</f>
        <v/>
      </c>
      <c r="O220" s="1500" t="n"/>
      <c r="P220" s="1500" t="n"/>
      <c r="Q220" s="1427" t="inlineStr">
        <is>
          <t>.</t>
        </is>
      </c>
      <c r="R220" s="1491" t="n"/>
      <c r="S220" s="1491" t="n"/>
      <c r="T220" s="1491" t="n"/>
      <c r="U220" s="1491" t="n"/>
      <c r="V220" s="1491" t="n"/>
      <c r="W220" s="1491" t="n"/>
      <c r="X220" s="1491" t="n"/>
      <c r="Y220" s="1491" t="n"/>
      <c r="Z220" s="1491" t="n"/>
      <c r="AA220" s="1491" t="n"/>
      <c r="AB220" s="1491" t="n"/>
      <c r="AC220" s="1491" t="n"/>
      <c r="AD220" s="1491" t="n"/>
      <c r="AE220" s="1491" t="n"/>
      <c r="AF220" s="1491" t="n"/>
      <c r="AG220" s="1491" t="n"/>
      <c r="AH220" s="1491" t="n"/>
      <c r="AI220" s="1491" t="n"/>
      <c r="AJ220" s="1491" t="n"/>
      <c r="AK220" s="1491" t="n"/>
      <c r="AL220" s="1491" t="n"/>
      <c r="AM220" s="1491" t="n"/>
      <c r="AN220" s="1491" t="n"/>
      <c r="AO220" s="1491" t="n"/>
      <c r="AP220" s="1491" t="n"/>
      <c r="AQ220" s="1491" t="n"/>
      <c r="AR220" s="1491" t="n"/>
      <c r="AS220" s="1491" t="n"/>
      <c r="AT220" s="1491" t="n"/>
      <c r="AU220" s="1491" t="n"/>
      <c r="AV220" s="1491" t="n"/>
      <c r="AW220" s="1491" t="n"/>
      <c r="AX220" s="1491" t="n"/>
      <c r="AY220" s="1491" t="n"/>
      <c r="AZ220" s="1491" t="n"/>
      <c r="BA220" s="1491" t="n"/>
      <c r="BB220" s="1491" t="n"/>
      <c r="BC220" s="1491" t="n"/>
      <c r="BD220" s="1491" t="n"/>
      <c r="BE220" s="1491" t="n"/>
      <c r="BF220" s="1491" t="n"/>
      <c r="BG220" s="1491" t="n"/>
      <c r="BH220" s="1491" t="n"/>
      <c r="BI220" s="1491" t="n"/>
      <c r="BJ220" s="1491" t="n"/>
      <c r="BK220" s="1491" t="n"/>
      <c r="BL220" s="1491" t="n"/>
      <c r="BM220" s="1491" t="n"/>
      <c r="BN220" s="1491" t="n"/>
      <c r="BO220" s="1467" t="n"/>
      <c r="BP220" s="1514" t="n">
        <v>216</v>
      </c>
      <c r="BQ220" s="1513">
        <f>[1]Sheet1!C221</f>
        <v/>
      </c>
      <c r="BR220" s="1515">
        <f>[1]Sheet1!D221</f>
        <v/>
      </c>
      <c r="BS220" s="1513">
        <f>[1]Sheet1!E221</f>
        <v/>
      </c>
      <c r="BT220" s="1515">
        <f>[1]Sheet1!F221</f>
        <v/>
      </c>
      <c r="BU220" s="1516">
        <f>[1]Sheet1!G221</f>
        <v/>
      </c>
      <c r="BV220" s="1513">
        <f>[1]Sheet1!H221</f>
        <v/>
      </c>
      <c r="BW220" s="1467" t="n"/>
      <c r="BX220" s="1538" t="n"/>
      <c r="BY220" s="1506" t="n"/>
      <c r="BZ220" s="1537" t="n"/>
      <c r="CA220" s="1511">
        <f>[1]Sheet1!$M221</f>
        <v/>
      </c>
      <c r="CB220" s="1467" t="n"/>
      <c r="CC220" s="1467" t="n"/>
      <c r="CD220" s="1491" t="n"/>
      <c r="CE220" s="1491" t="n"/>
      <c r="CF220" s="1491" t="n"/>
      <c r="CG220" s="1491" t="n"/>
      <c r="CH220" s="1491" t="n"/>
      <c r="CI220" s="1491" t="n"/>
      <c r="CJ220" s="1491" t="n"/>
      <c r="CK220" s="1491" t="n"/>
      <c r="CL220" s="1491" t="n"/>
      <c r="CM220" s="1491" t="n"/>
      <c r="CN220" s="1491" t="n"/>
      <c r="CO220" s="1491" t="n"/>
      <c r="CP220" s="1491" t="n"/>
      <c r="CQ220" s="1491" t="n"/>
      <c r="CR220" s="1491" t="n"/>
      <c r="CS220" s="1491" t="n"/>
      <c r="CT220" s="1491" t="n"/>
      <c r="CU220" s="1491" t="n"/>
      <c r="CV220" s="1491" t="n"/>
      <c r="CW220" s="1491" t="n"/>
      <c r="CX220" s="1491" t="n"/>
    </row>
    <row r="221">
      <c r="A221" s="1491" t="n"/>
      <c r="B221" s="1491" t="n"/>
      <c r="C221" s="1491" t="n"/>
      <c r="D221" s="1497">
        <f>IF(E221&lt;&gt;"",D220+1,D220)</f>
        <v/>
      </c>
      <c r="E221" s="1497" t="inlineStr">
        <is>
          <t>Metz</t>
        </is>
      </c>
      <c r="F221" s="1535" t="inlineStr">
        <is>
          <t>.</t>
        </is>
      </c>
      <c r="G221" s="1498">
        <f>IF(H221="AIR",0,IF(H220="AIR",G219+1,IF(H221&lt;&gt;"",G220+1,G220)))</f>
        <v/>
      </c>
      <c r="H221" s="1498" t="inlineStr">
        <is>
          <t>Orte</t>
        </is>
      </c>
      <c r="I221" s="1427" t="inlineStr">
        <is>
          <t>.</t>
        </is>
      </c>
      <c r="J221" s="1499" t="n">
        <v>216</v>
      </c>
      <c r="K221" s="1500">
        <f>_xlfn.XLOOKUP(cities[[#This Row],[id]],$D$5:$D$1500,E$5:E$1500,"-")</f>
        <v/>
      </c>
      <c r="L221" s="1500">
        <f>_xlfn.XLOOKUP(cities[[#This Row],[city]],ccc[city],ccc[ctry],"-")</f>
        <v/>
      </c>
      <c r="M221" s="1500">
        <f>SUMIFS(stayCity[stay],stayCity[city],cities[[#This Row],[city]])</f>
        <v/>
      </c>
      <c r="N221" s="1427">
        <f>N220+1</f>
        <v/>
      </c>
      <c r="O221" s="1500" t="n"/>
      <c r="P221" s="1500" t="n"/>
      <c r="Q221" s="1427" t="inlineStr">
        <is>
          <t>.</t>
        </is>
      </c>
      <c r="R221" s="1491" t="n"/>
      <c r="S221" s="1491" t="n"/>
      <c r="T221" s="1491" t="n"/>
      <c r="U221" s="1491" t="n"/>
      <c r="V221" s="1491" t="n"/>
      <c r="W221" s="1491" t="n"/>
      <c r="X221" s="1491" t="n"/>
      <c r="Y221" s="1491" t="n"/>
      <c r="Z221" s="1491" t="n"/>
      <c r="AA221" s="1491" t="n"/>
      <c r="AB221" s="1491" t="n"/>
      <c r="AC221" s="1491" t="n"/>
      <c r="AD221" s="1491" t="n"/>
      <c r="AE221" s="1491" t="n"/>
      <c r="AF221" s="1491" t="n"/>
      <c r="AG221" s="1491" t="n"/>
      <c r="AH221" s="1491" t="n"/>
      <c r="AI221" s="1491" t="n"/>
      <c r="AJ221" s="1491" t="n"/>
      <c r="AK221" s="1491" t="n"/>
      <c r="AL221" s="1491" t="n"/>
      <c r="AM221" s="1491" t="n"/>
      <c r="AN221" s="1491" t="n"/>
      <c r="AO221" s="1491" t="n"/>
      <c r="AP221" s="1491" t="n"/>
      <c r="AQ221" s="1491" t="n"/>
      <c r="AR221" s="1491" t="n"/>
      <c r="AS221" s="1491" t="n"/>
      <c r="AT221" s="1491" t="n"/>
      <c r="AU221" s="1491" t="n"/>
      <c r="AV221" s="1491" t="n"/>
      <c r="AW221" s="1491" t="n"/>
      <c r="AX221" s="1491" t="n"/>
      <c r="AY221" s="1491" t="n"/>
      <c r="AZ221" s="1491" t="n"/>
      <c r="BA221" s="1491" t="n"/>
      <c r="BB221" s="1491" t="n"/>
      <c r="BC221" s="1491" t="n"/>
      <c r="BD221" s="1491" t="n"/>
      <c r="BE221" s="1491" t="n"/>
      <c r="BF221" s="1491" t="n"/>
      <c r="BG221" s="1491" t="n"/>
      <c r="BH221" s="1491" t="n"/>
      <c r="BI221" s="1491" t="n"/>
      <c r="BJ221" s="1491" t="n"/>
      <c r="BK221" s="1491" t="n"/>
      <c r="BL221" s="1491" t="n"/>
      <c r="BM221" s="1491" t="n"/>
      <c r="BN221" s="1491" t="n"/>
      <c r="BO221" s="1467" t="n"/>
      <c r="BP221" s="1514" t="n">
        <v>217</v>
      </c>
      <c r="BQ221" s="1513">
        <f>[1]Sheet1!C222</f>
        <v/>
      </c>
      <c r="BR221" s="1515">
        <f>[1]Sheet1!D222</f>
        <v/>
      </c>
      <c r="BS221" s="1513">
        <f>[1]Sheet1!E222</f>
        <v/>
      </c>
      <c r="BT221" s="1515">
        <f>[1]Sheet1!F222</f>
        <v/>
      </c>
      <c r="BU221" s="1516">
        <f>[1]Sheet1!G222</f>
        <v/>
      </c>
      <c r="BV221" s="1513">
        <f>[1]Sheet1!H222</f>
        <v/>
      </c>
      <c r="BW221" s="1467" t="n"/>
      <c r="BX221" s="1538" t="n"/>
      <c r="BY221" s="1506" t="n"/>
      <c r="BZ221" s="1537" t="n"/>
      <c r="CA221" s="1511">
        <f>[1]Sheet1!$M222</f>
        <v/>
      </c>
      <c r="CB221" s="1467" t="n"/>
      <c r="CC221" s="1467" t="n"/>
      <c r="CD221" s="1491" t="n"/>
      <c r="CE221" s="1491" t="n"/>
      <c r="CF221" s="1491" t="n"/>
      <c r="CG221" s="1491" t="n"/>
      <c r="CH221" s="1491" t="n"/>
      <c r="CI221" s="1491" t="n"/>
      <c r="CJ221" s="1491" t="n"/>
      <c r="CK221" s="1491" t="n"/>
      <c r="CL221" s="1491" t="n"/>
      <c r="CM221" s="1491" t="n"/>
      <c r="CN221" s="1491" t="n"/>
      <c r="CO221" s="1491" t="n"/>
      <c r="CP221" s="1491" t="n"/>
      <c r="CQ221" s="1491" t="n"/>
      <c r="CR221" s="1491" t="n"/>
      <c r="CS221" s="1491" t="n"/>
      <c r="CT221" s="1491" t="n"/>
      <c r="CU221" s="1491" t="n"/>
      <c r="CV221" s="1491" t="n"/>
      <c r="CW221" s="1491" t="n"/>
      <c r="CX221" s="1491" t="n"/>
    </row>
    <row r="222">
      <c r="A222" s="1491" t="n"/>
      <c r="B222" s="1491" t="n"/>
      <c r="C222" s="1491" t="n"/>
      <c r="D222" s="1497">
        <f>IF(E222&lt;&gt;"",D221+1,D221)</f>
        <v/>
      </c>
      <c r="E222" s="1497" t="inlineStr">
        <is>
          <t>Luxembourg</t>
        </is>
      </c>
      <c r="F222" s="1535" t="inlineStr">
        <is>
          <t>.</t>
        </is>
      </c>
      <c r="G222" s="1498">
        <f>IF(H222="AIR",0,IF(H221="AIR",G220+1,IF(H222&lt;&gt;"",G221+1,G221)))</f>
        <v/>
      </c>
      <c r="H222" s="1498" t="inlineStr">
        <is>
          <t>TRAIN FRA</t>
        </is>
      </c>
      <c r="I222" s="1427" t="inlineStr">
        <is>
          <t>.</t>
        </is>
      </c>
      <c r="J222" s="1499" t="n">
        <v>217</v>
      </c>
      <c r="K222" s="1500">
        <f>_xlfn.XLOOKUP(cities[[#This Row],[id]],$D$5:$D$1500,E$5:E$1500,"-")</f>
        <v/>
      </c>
      <c r="L222" s="1500">
        <f>_xlfn.XLOOKUP(cities[[#This Row],[city]],ccc[city],ccc[ctry],"-")</f>
        <v/>
      </c>
      <c r="M222" s="1500">
        <f>SUMIFS(stayCity[stay],stayCity[city],cities[[#This Row],[city]])</f>
        <v/>
      </c>
      <c r="N222" s="1427">
        <f>N221+1</f>
        <v/>
      </c>
      <c r="O222" s="1500" t="n"/>
      <c r="P222" s="1500" t="n"/>
      <c r="Q222" s="1427" t="inlineStr">
        <is>
          <t>.</t>
        </is>
      </c>
      <c r="R222" s="1491" t="n"/>
      <c r="S222" s="1491" t="n"/>
      <c r="T222" s="1491" t="n"/>
      <c r="U222" s="1491" t="n"/>
      <c r="V222" s="1491" t="n"/>
      <c r="W222" s="1491" t="n"/>
      <c r="X222" s="1491" t="n"/>
      <c r="Y222" s="1491" t="n"/>
      <c r="Z222" s="1491" t="n"/>
      <c r="AA222" s="1491" t="n"/>
      <c r="AB222" s="1491" t="n"/>
      <c r="AC222" s="1491" t="n"/>
      <c r="AD222" s="1491" t="n"/>
      <c r="AE222" s="1491" t="n"/>
      <c r="AF222" s="1491" t="n"/>
      <c r="AG222" s="1491" t="n"/>
      <c r="AH222" s="1491" t="n"/>
      <c r="AI222" s="1491" t="n"/>
      <c r="AJ222" s="1491" t="n"/>
      <c r="AK222" s="1491" t="n"/>
      <c r="AL222" s="1491" t="n"/>
      <c r="AM222" s="1491" t="n"/>
      <c r="AN222" s="1491" t="n"/>
      <c r="AO222" s="1491" t="n"/>
      <c r="AP222" s="1491" t="n"/>
      <c r="AQ222" s="1491" t="n"/>
      <c r="AR222" s="1491" t="n"/>
      <c r="AS222" s="1491" t="n"/>
      <c r="AT222" s="1491" t="n"/>
      <c r="AU222" s="1491" t="n"/>
      <c r="AV222" s="1491" t="n"/>
      <c r="AW222" s="1491" t="n"/>
      <c r="AX222" s="1491" t="n"/>
      <c r="AY222" s="1491" t="n"/>
      <c r="AZ222" s="1491" t="n"/>
      <c r="BA222" s="1491" t="n"/>
      <c r="BB222" s="1491" t="n"/>
      <c r="BC222" s="1491" t="n"/>
      <c r="BD222" s="1491" t="n"/>
      <c r="BE222" s="1491" t="n"/>
      <c r="BF222" s="1491" t="n"/>
      <c r="BG222" s="1491" t="n"/>
      <c r="BH222" s="1491" t="n"/>
      <c r="BI222" s="1491" t="n"/>
      <c r="BJ222" s="1491" t="n"/>
      <c r="BK222" s="1491" t="n"/>
      <c r="BL222" s="1491" t="n"/>
      <c r="BM222" s="1491" t="n"/>
      <c r="BN222" s="1491" t="n"/>
      <c r="BO222" s="1467" t="n"/>
      <c r="BP222" s="1514" t="n">
        <v>218</v>
      </c>
      <c r="BQ222" s="1513">
        <f>[1]Sheet1!C223</f>
        <v/>
      </c>
      <c r="BR222" s="1515">
        <f>[1]Sheet1!D223</f>
        <v/>
      </c>
      <c r="BS222" s="1513">
        <f>[1]Sheet1!E223</f>
        <v/>
      </c>
      <c r="BT222" s="1515">
        <f>[1]Sheet1!F223</f>
        <v/>
      </c>
      <c r="BU222" s="1516">
        <f>[1]Sheet1!G223</f>
        <v/>
      </c>
      <c r="BV222" s="1513">
        <f>[1]Sheet1!H223</f>
        <v/>
      </c>
      <c r="BW222" s="1467" t="n"/>
      <c r="BX222" s="1538" t="n"/>
      <c r="BY222" s="1506" t="n"/>
      <c r="BZ222" s="1537" t="n"/>
      <c r="CA222" s="1511">
        <f>[1]Sheet1!$M223</f>
        <v/>
      </c>
      <c r="CB222" s="1467" t="n"/>
      <c r="CC222" s="1467" t="n"/>
      <c r="CD222" s="1491" t="n"/>
      <c r="CE222" s="1491" t="n"/>
      <c r="CF222" s="1491" t="n"/>
      <c r="CG222" s="1491" t="n"/>
      <c r="CH222" s="1491" t="n"/>
      <c r="CI222" s="1491" t="n"/>
      <c r="CJ222" s="1491" t="n"/>
      <c r="CK222" s="1491" t="n"/>
      <c r="CL222" s="1491" t="n"/>
      <c r="CM222" s="1491" t="n"/>
      <c r="CN222" s="1491" t="n"/>
      <c r="CO222" s="1491" t="n"/>
      <c r="CP222" s="1491" t="n"/>
      <c r="CQ222" s="1491" t="n"/>
      <c r="CR222" s="1491" t="n"/>
      <c r="CS222" s="1491" t="n"/>
      <c r="CT222" s="1491" t="n"/>
      <c r="CU222" s="1491" t="n"/>
      <c r="CV222" s="1491" t="n"/>
      <c r="CW222" s="1491" t="n"/>
      <c r="CX222" s="1491" t="n"/>
    </row>
    <row r="223">
      <c r="A223" s="1491" t="n"/>
      <c r="B223" s="1491" t="n"/>
      <c r="C223" s="1491" t="n"/>
      <c r="D223" s="1497">
        <f>IF(E223&lt;&gt;"",D222+1,D222)</f>
        <v/>
      </c>
      <c r="E223" s="1497" t="inlineStr">
        <is>
          <t>Petite Suisse</t>
        </is>
      </c>
      <c r="F223" s="1535" t="inlineStr">
        <is>
          <t>.</t>
        </is>
      </c>
      <c r="G223" s="1498">
        <f>IF(H223="AIR",0,IF(H222="AIR",G221+1,IF(H223&lt;&gt;"",G222+1,G222)))</f>
        <v/>
      </c>
      <c r="H223" s="1498" t="inlineStr">
        <is>
          <t>Giverny</t>
        </is>
      </c>
      <c r="I223" s="1427" t="inlineStr">
        <is>
          <t>.</t>
        </is>
      </c>
      <c r="J223" s="1499" t="n">
        <v>218</v>
      </c>
      <c r="K223" s="1500">
        <f>_xlfn.XLOOKUP(cities[[#This Row],[id]],$D$5:$D$1500,E$5:E$1500,"-")</f>
        <v/>
      </c>
      <c r="L223" s="1500">
        <f>_xlfn.XLOOKUP(cities[[#This Row],[city]],ccc[city],ccc[ctry],"-")</f>
        <v/>
      </c>
      <c r="M223" s="1500">
        <f>SUMIFS(stayCity[stay],stayCity[city],cities[[#This Row],[city]])</f>
        <v/>
      </c>
      <c r="N223" s="1427">
        <f>N222+1</f>
        <v/>
      </c>
      <c r="O223" s="1500" t="n"/>
      <c r="P223" s="1500" t="n"/>
      <c r="Q223" s="1427" t="inlineStr">
        <is>
          <t>.</t>
        </is>
      </c>
      <c r="R223" s="1491" t="n"/>
      <c r="S223" s="1491" t="n"/>
      <c r="T223" s="1491" t="n"/>
      <c r="U223" s="1491" t="n"/>
      <c r="V223" s="1491" t="n"/>
      <c r="W223" s="1491" t="n"/>
      <c r="X223" s="1491" t="n"/>
      <c r="Y223" s="1491" t="n"/>
      <c r="Z223" s="1491" t="n"/>
      <c r="AA223" s="1491" t="n"/>
      <c r="AB223" s="1491" t="n"/>
      <c r="AC223" s="1491" t="n"/>
      <c r="AD223" s="1491" t="n"/>
      <c r="AE223" s="1491" t="n"/>
      <c r="AF223" s="1491" t="n"/>
      <c r="AG223" s="1491" t="n"/>
      <c r="AH223" s="1491" t="n"/>
      <c r="AI223" s="1491" t="n"/>
      <c r="AJ223" s="1491" t="n"/>
      <c r="AK223" s="1491" t="n"/>
      <c r="AL223" s="1491" t="n"/>
      <c r="AM223" s="1491" t="n"/>
      <c r="AN223" s="1491" t="n"/>
      <c r="AO223" s="1491" t="n"/>
      <c r="AP223" s="1491" t="n"/>
      <c r="AQ223" s="1491" t="n"/>
      <c r="AR223" s="1491" t="n"/>
      <c r="AS223" s="1491" t="n"/>
      <c r="AT223" s="1491" t="n"/>
      <c r="AU223" s="1491" t="n"/>
      <c r="AV223" s="1491" t="n"/>
      <c r="AW223" s="1491" t="n"/>
      <c r="AX223" s="1491" t="n"/>
      <c r="AY223" s="1491" t="n"/>
      <c r="AZ223" s="1491" t="n"/>
      <c r="BA223" s="1491" t="n"/>
      <c r="BB223" s="1491" t="n"/>
      <c r="BC223" s="1491" t="n"/>
      <c r="BD223" s="1491" t="n"/>
      <c r="BE223" s="1491" t="n"/>
      <c r="BF223" s="1491" t="n"/>
      <c r="BG223" s="1491" t="n"/>
      <c r="BH223" s="1491" t="n"/>
      <c r="BI223" s="1491" t="n"/>
      <c r="BJ223" s="1491" t="n"/>
      <c r="BK223" s="1491" t="n"/>
      <c r="BL223" s="1491" t="n"/>
      <c r="BM223" s="1491" t="n"/>
      <c r="BN223" s="1491" t="n"/>
      <c r="BO223" s="1467" t="n"/>
      <c r="BP223" s="1514" t="n">
        <v>219</v>
      </c>
      <c r="BQ223" s="1513">
        <f>[1]Sheet1!C224</f>
        <v/>
      </c>
      <c r="BR223" s="1515">
        <f>[1]Sheet1!D224</f>
        <v/>
      </c>
      <c r="BS223" s="1513">
        <f>[1]Sheet1!E224</f>
        <v/>
      </c>
      <c r="BT223" s="1515">
        <f>[1]Sheet1!F224</f>
        <v/>
      </c>
      <c r="BU223" s="1516">
        <f>[1]Sheet1!G224</f>
        <v/>
      </c>
      <c r="BV223" s="1513">
        <f>[1]Sheet1!H224</f>
        <v/>
      </c>
      <c r="BW223" s="1467" t="n"/>
      <c r="BX223" s="1538" t="n"/>
      <c r="BY223" s="1506" t="n"/>
      <c r="BZ223" s="1537" t="n"/>
      <c r="CA223" s="1511">
        <f>[1]Sheet1!$M224</f>
        <v/>
      </c>
      <c r="CB223" s="1467" t="n"/>
      <c r="CC223" s="1467" t="n"/>
      <c r="CD223" s="1491" t="n"/>
      <c r="CE223" s="1491" t="n"/>
      <c r="CF223" s="1491" t="n"/>
      <c r="CG223" s="1491" t="n"/>
      <c r="CH223" s="1491" t="n"/>
      <c r="CI223" s="1491" t="n"/>
      <c r="CJ223" s="1491" t="n"/>
      <c r="CK223" s="1491" t="n"/>
      <c r="CL223" s="1491" t="n"/>
      <c r="CM223" s="1491" t="n"/>
      <c r="CN223" s="1491" t="n"/>
      <c r="CO223" s="1491" t="n"/>
      <c r="CP223" s="1491" t="n"/>
      <c r="CQ223" s="1491" t="n"/>
      <c r="CR223" s="1491" t="n"/>
      <c r="CS223" s="1491" t="n"/>
      <c r="CT223" s="1491" t="n"/>
      <c r="CU223" s="1491" t="n"/>
      <c r="CV223" s="1491" t="n"/>
      <c r="CW223" s="1491" t="n"/>
      <c r="CX223" s="1491" t="n"/>
    </row>
    <row r="224">
      <c r="A224" s="1491" t="n"/>
      <c r="B224" s="1491" t="n"/>
      <c r="C224" s="1491" t="n"/>
      <c r="D224" s="1497">
        <f>IF(E224&lt;&gt;"",D223+1,D223)</f>
        <v/>
      </c>
      <c r="E224" s="1497" t="inlineStr">
        <is>
          <t>Vianden</t>
        </is>
      </c>
      <c r="F224" s="1535" t="inlineStr">
        <is>
          <t>.</t>
        </is>
      </c>
      <c r="G224" s="1498">
        <f>IF(H224="AIR",0,IF(H223="AIR",G222+1,IF(H224&lt;&gt;"",G223+1,G223)))</f>
        <v/>
      </c>
      <c r="H224" s="1498" t="inlineStr">
        <is>
          <t>Canterbury</t>
        </is>
      </c>
      <c r="I224" s="1427" t="inlineStr">
        <is>
          <t>.</t>
        </is>
      </c>
      <c r="J224" s="1499" t="n">
        <v>219</v>
      </c>
      <c r="K224" s="1500">
        <f>_xlfn.XLOOKUP(cities[[#This Row],[id]],$D$5:$D$1500,E$5:E$1500,"-")</f>
        <v/>
      </c>
      <c r="L224" s="1500">
        <f>_xlfn.XLOOKUP(cities[[#This Row],[city]],ccc[city],ccc[ctry],"-")</f>
        <v/>
      </c>
      <c r="M224" s="1500">
        <f>SUMIFS(stayCity[stay],stayCity[city],cities[[#This Row],[city]])</f>
        <v/>
      </c>
      <c r="N224" s="1427">
        <f>N223+1</f>
        <v/>
      </c>
      <c r="O224" s="1500" t="n"/>
      <c r="P224" s="1500" t="n"/>
      <c r="Q224" s="1427" t="inlineStr">
        <is>
          <t>.</t>
        </is>
      </c>
      <c r="R224" s="1491" t="n"/>
      <c r="S224" s="1491" t="n"/>
      <c r="T224" s="1491" t="n"/>
      <c r="U224" s="1491" t="n"/>
      <c r="V224" s="1491" t="n"/>
      <c r="W224" s="1491" t="n"/>
      <c r="X224" s="1491" t="n"/>
      <c r="Y224" s="1491" t="n"/>
      <c r="Z224" s="1491" t="n"/>
      <c r="AA224" s="1491" t="n"/>
      <c r="AB224" s="1491" t="n"/>
      <c r="AC224" s="1491" t="n"/>
      <c r="AD224" s="1491" t="n"/>
      <c r="AE224" s="1491" t="n"/>
      <c r="AF224" s="1491" t="n"/>
      <c r="AG224" s="1491" t="n"/>
      <c r="AH224" s="1491" t="n"/>
      <c r="AI224" s="1491" t="n"/>
      <c r="AJ224" s="1491" t="n"/>
      <c r="AK224" s="1491" t="n"/>
      <c r="AL224" s="1491" t="n"/>
      <c r="AM224" s="1491" t="n"/>
      <c r="AN224" s="1491" t="n"/>
      <c r="AO224" s="1491" t="n"/>
      <c r="AP224" s="1491" t="n"/>
      <c r="AQ224" s="1491" t="n"/>
      <c r="AR224" s="1491" t="n"/>
      <c r="AS224" s="1491" t="n"/>
      <c r="AT224" s="1491" t="n"/>
      <c r="AU224" s="1491" t="n"/>
      <c r="AV224" s="1491" t="n"/>
      <c r="AW224" s="1491" t="n"/>
      <c r="AX224" s="1491" t="n"/>
      <c r="AY224" s="1491" t="n"/>
      <c r="AZ224" s="1491" t="n"/>
      <c r="BA224" s="1491" t="n"/>
      <c r="BB224" s="1491" t="n"/>
      <c r="BC224" s="1491" t="n"/>
      <c r="BD224" s="1491" t="n"/>
      <c r="BE224" s="1491" t="n"/>
      <c r="BF224" s="1491" t="n"/>
      <c r="BG224" s="1491" t="n"/>
      <c r="BH224" s="1491" t="n"/>
      <c r="BI224" s="1491" t="n"/>
      <c r="BJ224" s="1491" t="n"/>
      <c r="BK224" s="1491" t="n"/>
      <c r="BL224" s="1491" t="n"/>
      <c r="BM224" s="1491" t="n"/>
      <c r="BN224" s="1491" t="n"/>
      <c r="BO224" s="1467" t="n"/>
      <c r="BP224" s="1514" t="n">
        <v>220</v>
      </c>
      <c r="BQ224" s="1513">
        <f>[1]Sheet1!C225</f>
        <v/>
      </c>
      <c r="BR224" s="1515">
        <f>[1]Sheet1!D225</f>
        <v/>
      </c>
      <c r="BS224" s="1513">
        <f>[1]Sheet1!E225</f>
        <v/>
      </c>
      <c r="BT224" s="1515">
        <f>[1]Sheet1!F225</f>
        <v/>
      </c>
      <c r="BU224" s="1516">
        <f>[1]Sheet1!G225</f>
        <v/>
      </c>
      <c r="BV224" s="1513">
        <f>[1]Sheet1!H225</f>
        <v/>
      </c>
      <c r="BW224" s="1467" t="n"/>
      <c r="BX224" s="1538" t="n"/>
      <c r="BY224" s="1506" t="n"/>
      <c r="BZ224" s="1537" t="n"/>
      <c r="CA224" s="1511">
        <f>[1]Sheet1!$M225</f>
        <v/>
      </c>
      <c r="CB224" s="1467" t="n"/>
      <c r="CC224" s="1467" t="n"/>
      <c r="CD224" s="1491" t="n"/>
      <c r="CE224" s="1491" t="n"/>
      <c r="CF224" s="1491" t="n"/>
      <c r="CG224" s="1491" t="n"/>
      <c r="CH224" s="1491" t="n"/>
      <c r="CI224" s="1491" t="n"/>
      <c r="CJ224" s="1491" t="n"/>
      <c r="CK224" s="1491" t="n"/>
      <c r="CL224" s="1491" t="n"/>
      <c r="CM224" s="1491" t="n"/>
      <c r="CN224" s="1491" t="n"/>
      <c r="CO224" s="1491" t="n"/>
      <c r="CP224" s="1491" t="n"/>
      <c r="CQ224" s="1491" t="n"/>
      <c r="CR224" s="1491" t="n"/>
      <c r="CS224" s="1491" t="n"/>
      <c r="CT224" s="1491" t="n"/>
      <c r="CU224" s="1491" t="n"/>
      <c r="CV224" s="1491" t="n"/>
      <c r="CW224" s="1491" t="n"/>
      <c r="CX224" s="1491" t="n"/>
    </row>
    <row r="225">
      <c r="A225" s="1491" t="n"/>
      <c r="B225" s="1491" t="n"/>
      <c r="C225" s="1491" t="n"/>
      <c r="D225" s="1497">
        <f>IF(E225&lt;&gt;"",D224+1,D224)</f>
        <v/>
      </c>
      <c r="E225" s="1497" t="inlineStr">
        <is>
          <t>Bayonne</t>
        </is>
      </c>
      <c r="F225" s="1535" t="inlineStr">
        <is>
          <t>.</t>
        </is>
      </c>
      <c r="G225" s="1498">
        <f>IF(H225="AIR",0,IF(H224="AIR",G223+1,IF(H225&lt;&gt;"",G224+1,G224)))</f>
        <v/>
      </c>
      <c r="H225" s="1498" t="inlineStr">
        <is>
          <t>Orleans</t>
        </is>
      </c>
      <c r="I225" s="1427" t="inlineStr">
        <is>
          <t>.</t>
        </is>
      </c>
      <c r="J225" s="1499" t="n">
        <v>220</v>
      </c>
      <c r="K225" s="1500">
        <f>_xlfn.XLOOKUP(cities[[#This Row],[id]],$D$5:$D$1500,E$5:E$1500,"-")</f>
        <v/>
      </c>
      <c r="L225" s="1500">
        <f>_xlfn.XLOOKUP(cities[[#This Row],[city]],ccc[city],ccc[ctry],"-")</f>
        <v/>
      </c>
      <c r="M225" s="1500">
        <f>SUMIFS(stayCity[stay],stayCity[city],cities[[#This Row],[city]])</f>
        <v/>
      </c>
      <c r="N225" s="1427">
        <f>N224+1</f>
        <v/>
      </c>
      <c r="O225" s="1500" t="n"/>
      <c r="P225" s="1500" t="n"/>
      <c r="Q225" s="1427" t="inlineStr">
        <is>
          <t>.</t>
        </is>
      </c>
      <c r="R225" s="1491" t="n"/>
      <c r="S225" s="1491" t="n"/>
      <c r="T225" s="1491" t="n"/>
      <c r="U225" s="1491" t="n"/>
      <c r="V225" s="1491" t="n"/>
      <c r="W225" s="1491" t="n"/>
      <c r="X225" s="1491" t="n"/>
      <c r="Y225" s="1491" t="n"/>
      <c r="Z225" s="1491" t="n"/>
      <c r="AA225" s="1491" t="n"/>
      <c r="AB225" s="1491" t="n"/>
      <c r="AC225" s="1491" t="n"/>
      <c r="AD225" s="1491" t="n"/>
      <c r="AE225" s="1491" t="n"/>
      <c r="AF225" s="1491" t="n"/>
      <c r="AG225" s="1491" t="n"/>
      <c r="AH225" s="1491" t="n"/>
      <c r="AI225" s="1491" t="n"/>
      <c r="AJ225" s="1491" t="n"/>
      <c r="AK225" s="1491" t="n"/>
      <c r="AL225" s="1491" t="n"/>
      <c r="AM225" s="1491" t="n"/>
      <c r="AN225" s="1491" t="n"/>
      <c r="AO225" s="1491" t="n"/>
      <c r="AP225" s="1491" t="n"/>
      <c r="AQ225" s="1491" t="n"/>
      <c r="AR225" s="1491" t="n"/>
      <c r="AS225" s="1491" t="n"/>
      <c r="AT225" s="1491" t="n"/>
      <c r="AU225" s="1491" t="n"/>
      <c r="AV225" s="1491" t="n"/>
      <c r="AW225" s="1491" t="n"/>
      <c r="AX225" s="1491" t="n"/>
      <c r="AY225" s="1491" t="n"/>
      <c r="AZ225" s="1491" t="n"/>
      <c r="BA225" s="1491" t="n"/>
      <c r="BB225" s="1491" t="n"/>
      <c r="BC225" s="1491" t="n"/>
      <c r="BD225" s="1491" t="n"/>
      <c r="BE225" s="1491" t="n"/>
      <c r="BF225" s="1491" t="n"/>
      <c r="BG225" s="1491" t="n"/>
      <c r="BH225" s="1491" t="n"/>
      <c r="BI225" s="1491" t="n"/>
      <c r="BJ225" s="1491" t="n"/>
      <c r="BK225" s="1491" t="n"/>
      <c r="BL225" s="1491" t="n"/>
      <c r="BM225" s="1491" t="n"/>
      <c r="BN225" s="1491" t="n"/>
      <c r="BO225" s="1467" t="n"/>
      <c r="BP225" s="1514" t="n">
        <v>221</v>
      </c>
      <c r="BQ225" s="1513">
        <f>[1]Sheet1!C226</f>
        <v/>
      </c>
      <c r="BR225" s="1515">
        <f>[1]Sheet1!D226</f>
        <v/>
      </c>
      <c r="BS225" s="1513">
        <f>[1]Sheet1!E226</f>
        <v/>
      </c>
      <c r="BT225" s="1515">
        <f>[1]Sheet1!F226</f>
        <v/>
      </c>
      <c r="BU225" s="1516">
        <f>[1]Sheet1!G226</f>
        <v/>
      </c>
      <c r="BV225" s="1513">
        <f>[1]Sheet1!H226</f>
        <v/>
      </c>
      <c r="BW225" s="1467" t="n"/>
      <c r="BX225" s="1538" t="n"/>
      <c r="BY225" s="1506" t="n"/>
      <c r="BZ225" s="1537" t="n"/>
      <c r="CA225" s="1511">
        <f>[1]Sheet1!$M226</f>
        <v/>
      </c>
      <c r="CB225" s="1467" t="n"/>
      <c r="CC225" s="1467" t="n"/>
      <c r="CD225" s="1491" t="n"/>
      <c r="CE225" s="1491" t="n"/>
      <c r="CF225" s="1491" t="n"/>
      <c r="CG225" s="1491" t="n"/>
      <c r="CH225" s="1491" t="n"/>
      <c r="CI225" s="1491" t="n"/>
      <c r="CJ225" s="1491" t="n"/>
      <c r="CK225" s="1491" t="n"/>
      <c r="CL225" s="1491" t="n"/>
      <c r="CM225" s="1491" t="n"/>
      <c r="CN225" s="1491" t="n"/>
      <c r="CO225" s="1491" t="n"/>
      <c r="CP225" s="1491" t="n"/>
      <c r="CQ225" s="1491" t="n"/>
      <c r="CR225" s="1491" t="n"/>
      <c r="CS225" s="1491" t="n"/>
      <c r="CT225" s="1491" t="n"/>
      <c r="CU225" s="1491" t="n"/>
      <c r="CV225" s="1491" t="n"/>
      <c r="CW225" s="1491" t="n"/>
      <c r="CX225" s="1491" t="n"/>
    </row>
    <row r="226">
      <c r="A226" s="1491" t="n"/>
      <c r="B226" s="1491" t="n"/>
      <c r="C226" s="1491" t="n"/>
      <c r="D226" s="1497">
        <f>IF(E226&lt;&gt;"",D225+1,D225)</f>
        <v/>
      </c>
      <c r="E226" s="1497" t="inlineStr">
        <is>
          <t>St. Jean Pied-de-Port</t>
        </is>
      </c>
      <c r="F226" s="1535" t="inlineStr">
        <is>
          <t>.</t>
        </is>
      </c>
      <c r="G226" s="1498">
        <f>IF(H226="AIR",0,IF(H225="AIR",G224+1,IF(H226&lt;&gt;"",G225+1,G225)))</f>
        <v/>
      </c>
      <c r="H226" s="1498" t="inlineStr">
        <is>
          <t>Loire</t>
        </is>
      </c>
      <c r="I226" s="1427" t="inlineStr">
        <is>
          <t>.</t>
        </is>
      </c>
      <c r="J226" s="1499" t="n">
        <v>221</v>
      </c>
      <c r="K226" s="1500">
        <f>_xlfn.XLOOKUP(cities[[#This Row],[id]],$D$5:$D$1500,E$5:E$1500,"-")</f>
        <v/>
      </c>
      <c r="L226" s="1500">
        <f>_xlfn.XLOOKUP(cities[[#This Row],[city]],ccc[city],ccc[ctry],"-")</f>
        <v/>
      </c>
      <c r="M226" s="1500">
        <f>SUMIFS(stayCity[stay],stayCity[city],cities[[#This Row],[city]])</f>
        <v/>
      </c>
      <c r="N226" s="1427">
        <f>N225+1</f>
        <v/>
      </c>
      <c r="O226" s="1500" t="n"/>
      <c r="P226" s="1500" t="n"/>
      <c r="Q226" s="1427" t="inlineStr">
        <is>
          <t>.</t>
        </is>
      </c>
      <c r="R226" s="1491" t="n"/>
      <c r="S226" s="1491" t="n"/>
      <c r="T226" s="1491" t="n"/>
      <c r="U226" s="1491" t="n"/>
      <c r="V226" s="1491" t="n"/>
      <c r="W226" s="1491" t="n"/>
      <c r="X226" s="1491" t="n"/>
      <c r="Y226" s="1491" t="n"/>
      <c r="Z226" s="1491" t="n"/>
      <c r="AA226" s="1491" t="n"/>
      <c r="AB226" s="1491" t="n"/>
      <c r="AC226" s="1491" t="n"/>
      <c r="AD226" s="1491" t="n"/>
      <c r="AE226" s="1491" t="n"/>
      <c r="AF226" s="1491" t="n"/>
      <c r="AG226" s="1491" t="n"/>
      <c r="AH226" s="1491" t="n"/>
      <c r="AI226" s="1491" t="n"/>
      <c r="AJ226" s="1491" t="n"/>
      <c r="AK226" s="1491" t="n"/>
      <c r="AL226" s="1491" t="n"/>
      <c r="AM226" s="1491" t="n"/>
      <c r="AN226" s="1491" t="n"/>
      <c r="AO226" s="1491" t="n"/>
      <c r="AP226" s="1491" t="n"/>
      <c r="AQ226" s="1491" t="n"/>
      <c r="AR226" s="1491" t="n"/>
      <c r="AS226" s="1491" t="n"/>
      <c r="AT226" s="1491" t="n"/>
      <c r="AU226" s="1491" t="n"/>
      <c r="AV226" s="1491" t="n"/>
      <c r="AW226" s="1491" t="n"/>
      <c r="AX226" s="1491" t="n"/>
      <c r="AY226" s="1491" t="n"/>
      <c r="AZ226" s="1491" t="n"/>
      <c r="BA226" s="1491" t="n"/>
      <c r="BB226" s="1491" t="n"/>
      <c r="BC226" s="1491" t="n"/>
      <c r="BD226" s="1491" t="n"/>
      <c r="BE226" s="1491" t="n"/>
      <c r="BF226" s="1491" t="n"/>
      <c r="BG226" s="1491" t="n"/>
      <c r="BH226" s="1491" t="n"/>
      <c r="BI226" s="1491" t="n"/>
      <c r="BJ226" s="1491" t="n"/>
      <c r="BK226" s="1491" t="n"/>
      <c r="BL226" s="1491" t="n"/>
      <c r="BM226" s="1491" t="n"/>
      <c r="BN226" s="1491" t="n"/>
      <c r="BO226" s="1467" t="n"/>
      <c r="BP226" s="1514" t="n">
        <v>222</v>
      </c>
      <c r="BQ226" s="1513">
        <f>[1]Sheet1!C227</f>
        <v/>
      </c>
      <c r="BR226" s="1515">
        <f>[1]Sheet1!D227</f>
        <v/>
      </c>
      <c r="BS226" s="1513">
        <f>[1]Sheet1!E227</f>
        <v/>
      </c>
      <c r="BT226" s="1515">
        <f>[1]Sheet1!F227</f>
        <v/>
      </c>
      <c r="BU226" s="1516">
        <f>[1]Sheet1!G227</f>
        <v/>
      </c>
      <c r="BV226" s="1513">
        <f>[1]Sheet1!H227</f>
        <v/>
      </c>
      <c r="BW226" s="1467" t="n"/>
      <c r="BX226" s="1538" t="n"/>
      <c r="BY226" s="1506" t="n"/>
      <c r="BZ226" s="1537" t="n"/>
      <c r="CA226" s="1511">
        <f>[1]Sheet1!$M227</f>
        <v/>
      </c>
      <c r="CB226" s="1467" t="n"/>
      <c r="CC226" s="1467" t="n"/>
      <c r="CD226" s="1491" t="n"/>
      <c r="CE226" s="1491" t="n"/>
      <c r="CF226" s="1491" t="n"/>
      <c r="CG226" s="1491" t="n"/>
      <c r="CH226" s="1491" t="n"/>
      <c r="CI226" s="1491" t="n"/>
      <c r="CJ226" s="1491" t="n"/>
      <c r="CK226" s="1491" t="n"/>
      <c r="CL226" s="1491" t="n"/>
      <c r="CM226" s="1491" t="n"/>
      <c r="CN226" s="1491" t="n"/>
      <c r="CO226" s="1491" t="n"/>
      <c r="CP226" s="1491" t="n"/>
      <c r="CQ226" s="1491" t="n"/>
      <c r="CR226" s="1491" t="n"/>
      <c r="CS226" s="1491" t="n"/>
      <c r="CT226" s="1491" t="n"/>
      <c r="CU226" s="1491" t="n"/>
      <c r="CV226" s="1491" t="n"/>
      <c r="CW226" s="1491" t="n"/>
      <c r="CX226" s="1491" t="n"/>
    </row>
    <row r="227">
      <c r="A227" s="1491" t="n"/>
      <c r="B227" s="1491" t="n"/>
      <c r="C227" s="1491" t="n"/>
      <c r="D227" s="1497">
        <f>IF(E227&lt;&gt;"",D226+1,D226)</f>
        <v/>
      </c>
      <c r="E227" s="1497" t="inlineStr">
        <is>
          <t>Arneguy</t>
        </is>
      </c>
      <c r="F227" s="1535" t="inlineStr">
        <is>
          <t>.</t>
        </is>
      </c>
      <c r="G227" s="1498">
        <f>IF(H227="AIR",0,IF(H226="AIR",G225+1,IF(H227&lt;&gt;"",G226+1,G226)))</f>
        <v/>
      </c>
      <c r="H227" s="1498" t="inlineStr">
        <is>
          <t>Tours</t>
        </is>
      </c>
      <c r="I227" s="1427" t="inlineStr">
        <is>
          <t>.</t>
        </is>
      </c>
      <c r="J227" s="1499" t="n">
        <v>222</v>
      </c>
      <c r="K227" s="1500">
        <f>_xlfn.XLOOKUP(cities[[#This Row],[id]],$D$5:$D$1500,E$5:E$1500,"-")</f>
        <v/>
      </c>
      <c r="L227" s="1500">
        <f>_xlfn.XLOOKUP(cities[[#This Row],[city]],ccc[city],ccc[ctry],"-")</f>
        <v/>
      </c>
      <c r="M227" s="1500">
        <f>SUMIFS(stayCity[stay],stayCity[city],cities[[#This Row],[city]])</f>
        <v/>
      </c>
      <c r="N227" s="1427">
        <f>N226+1</f>
        <v/>
      </c>
      <c r="O227" s="1500" t="n"/>
      <c r="P227" s="1500" t="n"/>
      <c r="Q227" s="1427" t="inlineStr">
        <is>
          <t>.</t>
        </is>
      </c>
      <c r="R227" s="1491" t="n"/>
      <c r="S227" s="1491" t="n"/>
      <c r="T227" s="1491" t="n"/>
      <c r="U227" s="1491" t="n"/>
      <c r="V227" s="1491" t="n"/>
      <c r="W227" s="1491" t="n"/>
      <c r="X227" s="1491" t="n"/>
      <c r="Y227" s="1491" t="n"/>
      <c r="Z227" s="1491" t="n"/>
      <c r="AA227" s="1491" t="n"/>
      <c r="AB227" s="1491" t="n"/>
      <c r="AC227" s="1491" t="n"/>
      <c r="AD227" s="1491" t="n"/>
      <c r="AE227" s="1491" t="n"/>
      <c r="AF227" s="1491" t="n"/>
      <c r="AG227" s="1491" t="n"/>
      <c r="AH227" s="1491" t="n"/>
      <c r="AI227" s="1491" t="n"/>
      <c r="AJ227" s="1491" t="n"/>
      <c r="AK227" s="1491" t="n"/>
      <c r="AL227" s="1491" t="n"/>
      <c r="AM227" s="1491" t="n"/>
      <c r="AN227" s="1491" t="n"/>
      <c r="AO227" s="1491" t="n"/>
      <c r="AP227" s="1491" t="n"/>
      <c r="AQ227" s="1491" t="n"/>
      <c r="AR227" s="1491" t="n"/>
      <c r="AS227" s="1491" t="n"/>
      <c r="AT227" s="1491" t="n"/>
      <c r="AU227" s="1491" t="n"/>
      <c r="AV227" s="1491" t="n"/>
      <c r="AW227" s="1491" t="n"/>
      <c r="AX227" s="1491" t="n"/>
      <c r="AY227" s="1491" t="n"/>
      <c r="AZ227" s="1491" t="n"/>
      <c r="BA227" s="1491" t="n"/>
      <c r="BB227" s="1491" t="n"/>
      <c r="BC227" s="1491" t="n"/>
      <c r="BD227" s="1491" t="n"/>
      <c r="BE227" s="1491" t="n"/>
      <c r="BF227" s="1491" t="n"/>
      <c r="BG227" s="1491" t="n"/>
      <c r="BH227" s="1491" t="n"/>
      <c r="BI227" s="1491" t="n"/>
      <c r="BJ227" s="1491" t="n"/>
      <c r="BK227" s="1491" t="n"/>
      <c r="BL227" s="1491" t="n"/>
      <c r="BM227" s="1491" t="n"/>
      <c r="BN227" s="1491" t="n"/>
      <c r="BO227" s="1467" t="n"/>
      <c r="BP227" s="1514" t="n">
        <v>223</v>
      </c>
      <c r="BQ227" s="1513">
        <f>[1]Sheet1!C228</f>
        <v/>
      </c>
      <c r="BR227" s="1515">
        <f>[1]Sheet1!D228</f>
        <v/>
      </c>
      <c r="BS227" s="1513">
        <f>[1]Sheet1!E228</f>
        <v/>
      </c>
      <c r="BT227" s="1515">
        <f>[1]Sheet1!F228</f>
        <v/>
      </c>
      <c r="BU227" s="1516">
        <f>[1]Sheet1!G228</f>
        <v/>
      </c>
      <c r="BV227" s="1513">
        <f>[1]Sheet1!H228</f>
        <v/>
      </c>
      <c r="BW227" s="1467" t="n"/>
      <c r="BX227" s="1538" t="n"/>
      <c r="BY227" s="1506" t="n"/>
      <c r="BZ227" s="1537" t="n"/>
      <c r="CA227" s="1511">
        <f>[1]Sheet1!$M228</f>
        <v/>
      </c>
      <c r="CB227" s="1467" t="n"/>
      <c r="CC227" s="1467" t="n"/>
      <c r="CD227" s="1491" t="n"/>
      <c r="CE227" s="1491" t="n"/>
      <c r="CF227" s="1491" t="n"/>
      <c r="CG227" s="1491" t="n"/>
      <c r="CH227" s="1491" t="n"/>
      <c r="CI227" s="1491" t="n"/>
      <c r="CJ227" s="1491" t="n"/>
      <c r="CK227" s="1491" t="n"/>
      <c r="CL227" s="1491" t="n"/>
      <c r="CM227" s="1491" t="n"/>
      <c r="CN227" s="1491" t="n"/>
      <c r="CO227" s="1491" t="n"/>
      <c r="CP227" s="1491" t="n"/>
      <c r="CQ227" s="1491" t="n"/>
      <c r="CR227" s="1491" t="n"/>
      <c r="CS227" s="1491" t="n"/>
      <c r="CT227" s="1491" t="n"/>
      <c r="CU227" s="1491" t="n"/>
      <c r="CV227" s="1491" t="n"/>
      <c r="CW227" s="1491" t="n"/>
      <c r="CX227" s="1491" t="n"/>
    </row>
    <row r="228">
      <c r="A228" s="1491" t="n"/>
      <c r="B228" s="1491" t="n"/>
      <c r="C228" s="1491" t="n"/>
      <c r="D228" s="1497">
        <f>IF(E228&lt;&gt;"",D227+1,D227)</f>
        <v/>
      </c>
      <c r="E228" s="1497" t="inlineStr">
        <is>
          <t>Valcarlos</t>
        </is>
      </c>
      <c r="F228" s="1535" t="inlineStr">
        <is>
          <t>.</t>
        </is>
      </c>
      <c r="G228" s="1498">
        <f>IF(H228="AIR",0,IF(H227="AIR",G226+1,IF(H228&lt;&gt;"",G227+1,G227)))</f>
        <v/>
      </c>
      <c r="H228" s="1498" t="inlineStr">
        <is>
          <t>Metz</t>
        </is>
      </c>
      <c r="I228" s="1427" t="inlineStr">
        <is>
          <t>.</t>
        </is>
      </c>
      <c r="J228" s="1499" t="n">
        <v>223</v>
      </c>
      <c r="K228" s="1500">
        <f>_xlfn.XLOOKUP(cities[[#This Row],[id]],$D$5:$D$1500,E$5:E$1500,"-")</f>
        <v/>
      </c>
      <c r="L228" s="1500">
        <f>_xlfn.XLOOKUP(cities[[#This Row],[city]],ccc[city],ccc[ctry],"-")</f>
        <v/>
      </c>
      <c r="M228" s="1500">
        <f>SUMIFS(stayCity[stay],stayCity[city],cities[[#This Row],[city]])</f>
        <v/>
      </c>
      <c r="N228" s="1427">
        <f>N227+1</f>
        <v/>
      </c>
      <c r="O228" s="1500" t="n"/>
      <c r="P228" s="1500" t="n"/>
      <c r="Q228" s="1427" t="inlineStr">
        <is>
          <t>.</t>
        </is>
      </c>
      <c r="R228" s="1491" t="n"/>
      <c r="S228" s="1491" t="n"/>
      <c r="T228" s="1491" t="n"/>
      <c r="U228" s="1491" t="n"/>
      <c r="V228" s="1491" t="n"/>
      <c r="W228" s="1491" t="n"/>
      <c r="X228" s="1491" t="n"/>
      <c r="Y228" s="1491" t="n"/>
      <c r="Z228" s="1491" t="n"/>
      <c r="AA228" s="1491" t="n"/>
      <c r="AB228" s="1491" t="n"/>
      <c r="AC228" s="1491" t="n"/>
      <c r="AD228" s="1491" t="n"/>
      <c r="AE228" s="1491" t="n"/>
      <c r="AF228" s="1491" t="n"/>
      <c r="AG228" s="1491" t="n"/>
      <c r="AH228" s="1491" t="n"/>
      <c r="AI228" s="1491" t="n"/>
      <c r="AJ228" s="1491" t="n"/>
      <c r="AK228" s="1491" t="n"/>
      <c r="AL228" s="1491" t="n"/>
      <c r="AM228" s="1491" t="n"/>
      <c r="AN228" s="1491" t="n"/>
      <c r="AO228" s="1491" t="n"/>
      <c r="AP228" s="1491" t="n"/>
      <c r="AQ228" s="1491" t="n"/>
      <c r="AR228" s="1491" t="n"/>
      <c r="AS228" s="1491" t="n"/>
      <c r="AT228" s="1491" t="n"/>
      <c r="AU228" s="1491" t="n"/>
      <c r="AV228" s="1491" t="n"/>
      <c r="AW228" s="1491" t="n"/>
      <c r="AX228" s="1491" t="n"/>
      <c r="AY228" s="1491" t="n"/>
      <c r="AZ228" s="1491" t="n"/>
      <c r="BA228" s="1491" t="n"/>
      <c r="BB228" s="1491" t="n"/>
      <c r="BC228" s="1491" t="n"/>
      <c r="BD228" s="1491" t="n"/>
      <c r="BE228" s="1491" t="n"/>
      <c r="BF228" s="1491" t="n"/>
      <c r="BG228" s="1491" t="n"/>
      <c r="BH228" s="1491" t="n"/>
      <c r="BI228" s="1491" t="n"/>
      <c r="BJ228" s="1491" t="n"/>
      <c r="BK228" s="1491" t="n"/>
      <c r="BL228" s="1491" t="n"/>
      <c r="BM228" s="1491" t="n"/>
      <c r="BN228" s="1491" t="n"/>
      <c r="BO228" s="1467" t="n"/>
      <c r="BP228" s="1514" t="n">
        <v>224</v>
      </c>
      <c r="BQ228" s="1513">
        <f>[1]Sheet1!C229</f>
        <v/>
      </c>
      <c r="BR228" s="1515">
        <f>[1]Sheet1!D229</f>
        <v/>
      </c>
      <c r="BS228" s="1513">
        <f>[1]Sheet1!E229</f>
        <v/>
      </c>
      <c r="BT228" s="1515">
        <f>[1]Sheet1!F229</f>
        <v/>
      </c>
      <c r="BU228" s="1516">
        <f>[1]Sheet1!G229</f>
        <v/>
      </c>
      <c r="BV228" s="1513">
        <f>[1]Sheet1!H229</f>
        <v/>
      </c>
      <c r="BW228" s="1467" t="n"/>
      <c r="BX228" s="1538" t="n"/>
      <c r="BY228" s="1506" t="n"/>
      <c r="BZ228" s="1537" t="n"/>
      <c r="CA228" s="1511">
        <f>[1]Sheet1!$M229</f>
        <v/>
      </c>
      <c r="CB228" s="1467" t="n"/>
      <c r="CC228" s="1467" t="n"/>
      <c r="CD228" s="1491" t="n"/>
      <c r="CE228" s="1491" t="n"/>
      <c r="CF228" s="1491" t="n"/>
      <c r="CG228" s="1491" t="n"/>
      <c r="CH228" s="1491" t="n"/>
      <c r="CI228" s="1491" t="n"/>
      <c r="CJ228" s="1491" t="n"/>
      <c r="CK228" s="1491" t="n"/>
      <c r="CL228" s="1491" t="n"/>
      <c r="CM228" s="1491" t="n"/>
      <c r="CN228" s="1491" t="n"/>
      <c r="CO228" s="1491" t="n"/>
      <c r="CP228" s="1491" t="n"/>
      <c r="CQ228" s="1491" t="n"/>
      <c r="CR228" s="1491" t="n"/>
      <c r="CS228" s="1491" t="n"/>
      <c r="CT228" s="1491" t="n"/>
      <c r="CU228" s="1491" t="n"/>
      <c r="CV228" s="1491" t="n"/>
      <c r="CW228" s="1491" t="n"/>
      <c r="CX228" s="1491" t="n"/>
    </row>
    <row r="229">
      <c r="A229" s="1491" t="n"/>
      <c r="B229" s="1491" t="n"/>
      <c r="C229" s="1491" t="n"/>
      <c r="D229" s="1497">
        <f>IF(E229&lt;&gt;"",D228+1,D228)</f>
        <v/>
      </c>
      <c r="E229" s="1497" t="inlineStr">
        <is>
          <t>El Alto de Ibaneta</t>
        </is>
      </c>
      <c r="F229" s="1535" t="inlineStr">
        <is>
          <t>.</t>
        </is>
      </c>
      <c r="G229" s="1498">
        <f>IF(H229="AIR",0,IF(H228="AIR",G227+1,IF(H229&lt;&gt;"",G228+1,G228)))</f>
        <v/>
      </c>
      <c r="H229" s="1498" t="inlineStr">
        <is>
          <t>Luxembourg</t>
        </is>
      </c>
      <c r="I229" s="1427" t="inlineStr">
        <is>
          <t>.</t>
        </is>
      </c>
      <c r="J229" s="1499" t="n">
        <v>224</v>
      </c>
      <c r="K229" s="1500">
        <f>_xlfn.XLOOKUP(cities[[#This Row],[id]],$D$5:$D$1500,E$5:E$1500,"-")</f>
        <v/>
      </c>
      <c r="L229" s="1500">
        <f>_xlfn.XLOOKUP(cities[[#This Row],[city]],ccc[city],ccc[ctry],"-")</f>
        <v/>
      </c>
      <c r="M229" s="1500">
        <f>SUMIFS(stayCity[stay],stayCity[city],cities[[#This Row],[city]])</f>
        <v/>
      </c>
      <c r="N229" s="1427">
        <f>N228+1</f>
        <v/>
      </c>
      <c r="O229" s="1500" t="n"/>
      <c r="P229" s="1500" t="n"/>
      <c r="Q229" s="1427" t="inlineStr">
        <is>
          <t>.</t>
        </is>
      </c>
      <c r="R229" s="1491" t="n"/>
      <c r="S229" s="1491" t="n"/>
      <c r="T229" s="1491" t="n"/>
      <c r="U229" s="1491" t="n"/>
      <c r="V229" s="1491" t="n"/>
      <c r="W229" s="1491" t="n"/>
      <c r="X229" s="1491" t="n"/>
      <c r="Y229" s="1491" t="n"/>
      <c r="Z229" s="1491" t="n"/>
      <c r="AA229" s="1491" t="n"/>
      <c r="AB229" s="1491" t="n"/>
      <c r="AC229" s="1491" t="n"/>
      <c r="AD229" s="1491" t="n"/>
      <c r="AE229" s="1491" t="n"/>
      <c r="AF229" s="1491" t="n"/>
      <c r="AG229" s="1491" t="n"/>
      <c r="AH229" s="1491" t="n"/>
      <c r="AI229" s="1491" t="n"/>
      <c r="AJ229" s="1491" t="n"/>
      <c r="AK229" s="1491" t="n"/>
      <c r="AL229" s="1491" t="n"/>
      <c r="AM229" s="1491" t="n"/>
      <c r="AN229" s="1491" t="n"/>
      <c r="AO229" s="1491" t="n"/>
      <c r="AP229" s="1491" t="n"/>
      <c r="AQ229" s="1491" t="n"/>
      <c r="AR229" s="1491" t="n"/>
      <c r="AS229" s="1491" t="n"/>
      <c r="AT229" s="1491" t="n"/>
      <c r="AU229" s="1491" t="n"/>
      <c r="AV229" s="1491" t="n"/>
      <c r="AW229" s="1491" t="n"/>
      <c r="AX229" s="1491" t="n"/>
      <c r="AY229" s="1491" t="n"/>
      <c r="AZ229" s="1491" t="n"/>
      <c r="BA229" s="1491" t="n"/>
      <c r="BB229" s="1491" t="n"/>
      <c r="BC229" s="1491" t="n"/>
      <c r="BD229" s="1491" t="n"/>
      <c r="BE229" s="1491" t="n"/>
      <c r="BF229" s="1491" t="n"/>
      <c r="BG229" s="1491" t="n"/>
      <c r="BH229" s="1491" t="n"/>
      <c r="BI229" s="1491" t="n"/>
      <c r="BJ229" s="1491" t="n"/>
      <c r="BK229" s="1491" t="n"/>
      <c r="BL229" s="1491" t="n"/>
      <c r="BM229" s="1491" t="n"/>
      <c r="BN229" s="1491" t="n"/>
      <c r="BO229" s="1467" t="n"/>
      <c r="BP229" s="1514" t="n">
        <v>225</v>
      </c>
      <c r="BQ229" s="1513">
        <f>[1]Sheet1!C230</f>
        <v/>
      </c>
      <c r="BR229" s="1515">
        <f>[1]Sheet1!D230</f>
        <v/>
      </c>
      <c r="BS229" s="1513">
        <f>[1]Sheet1!E230</f>
        <v/>
      </c>
      <c r="BT229" s="1515">
        <f>[1]Sheet1!F230</f>
        <v/>
      </c>
      <c r="BU229" s="1516">
        <f>[1]Sheet1!G230</f>
        <v/>
      </c>
      <c r="BV229" s="1513">
        <f>[1]Sheet1!H230</f>
        <v/>
      </c>
      <c r="BW229" s="1467" t="n"/>
      <c r="BX229" s="1538" t="n"/>
      <c r="BY229" s="1506" t="n"/>
      <c r="BZ229" s="1537" t="n"/>
      <c r="CA229" s="1511">
        <f>[1]Sheet1!$M230</f>
        <v/>
      </c>
      <c r="CB229" s="1467" t="n"/>
      <c r="CC229" s="1467" t="n"/>
      <c r="CD229" s="1491" t="n"/>
      <c r="CE229" s="1491" t="n"/>
      <c r="CF229" s="1491" t="n"/>
      <c r="CG229" s="1491" t="n"/>
      <c r="CH229" s="1491" t="n"/>
      <c r="CI229" s="1491" t="n"/>
      <c r="CJ229" s="1491" t="n"/>
      <c r="CK229" s="1491" t="n"/>
      <c r="CL229" s="1491" t="n"/>
      <c r="CM229" s="1491" t="n"/>
      <c r="CN229" s="1491" t="n"/>
      <c r="CO229" s="1491" t="n"/>
      <c r="CP229" s="1491" t="n"/>
      <c r="CQ229" s="1491" t="n"/>
      <c r="CR229" s="1491" t="n"/>
      <c r="CS229" s="1491" t="n"/>
      <c r="CT229" s="1491" t="n"/>
      <c r="CU229" s="1491" t="n"/>
      <c r="CV229" s="1491" t="n"/>
      <c r="CW229" s="1491" t="n"/>
      <c r="CX229" s="1491" t="n"/>
    </row>
    <row r="230">
      <c r="A230" s="1491" t="n"/>
      <c r="B230" s="1491" t="n"/>
      <c r="C230" s="1491" t="n"/>
      <c r="D230" s="1497">
        <f>IF(E230&lt;&gt;"",D229+1,D229)</f>
        <v/>
      </c>
      <c r="E230" s="1497" t="inlineStr">
        <is>
          <t>Roncevalles</t>
        </is>
      </c>
      <c r="F230" s="1535" t="inlineStr">
        <is>
          <t>.</t>
        </is>
      </c>
      <c r="G230" s="1498">
        <f>IF(H230="AIR",0,IF(H229="AIR",G228+1,IF(H230&lt;&gt;"",G229+1,G229)))</f>
        <v/>
      </c>
      <c r="H230" s="1498" t="inlineStr">
        <is>
          <t>Petite Suisse</t>
        </is>
      </c>
      <c r="I230" s="1427" t="inlineStr">
        <is>
          <t>.</t>
        </is>
      </c>
      <c r="J230" s="1499" t="n">
        <v>225</v>
      </c>
      <c r="K230" s="1500">
        <f>_xlfn.XLOOKUP(cities[[#This Row],[id]],$D$5:$D$1500,E$5:E$1500,"-")</f>
        <v/>
      </c>
      <c r="L230" s="1500">
        <f>_xlfn.XLOOKUP(cities[[#This Row],[city]],ccc[city],ccc[ctry],"-")</f>
        <v/>
      </c>
      <c r="M230" s="1500">
        <f>SUMIFS(stayCity[stay],stayCity[city],cities[[#This Row],[city]])</f>
        <v/>
      </c>
      <c r="N230" s="1427">
        <f>N229+1</f>
        <v/>
      </c>
      <c r="O230" s="1500" t="n"/>
      <c r="P230" s="1500" t="n"/>
      <c r="Q230" s="1427" t="inlineStr">
        <is>
          <t>.</t>
        </is>
      </c>
      <c r="R230" s="1491" t="n"/>
      <c r="S230" s="1491" t="n"/>
      <c r="T230" s="1491" t="n"/>
      <c r="U230" s="1491" t="n"/>
      <c r="V230" s="1491" t="n"/>
      <c r="W230" s="1491" t="n"/>
      <c r="X230" s="1491" t="n"/>
      <c r="Y230" s="1491" t="n"/>
      <c r="Z230" s="1491" t="n"/>
      <c r="AA230" s="1491" t="n"/>
      <c r="AB230" s="1491" t="n"/>
      <c r="AC230" s="1491" t="n"/>
      <c r="AD230" s="1491" t="n"/>
      <c r="AE230" s="1491" t="n"/>
      <c r="AF230" s="1491" t="n"/>
      <c r="AG230" s="1491" t="n"/>
      <c r="AH230" s="1491" t="n"/>
      <c r="AI230" s="1491" t="n"/>
      <c r="AJ230" s="1491" t="n"/>
      <c r="AK230" s="1491" t="n"/>
      <c r="AL230" s="1491" t="n"/>
      <c r="AM230" s="1491" t="n"/>
      <c r="AN230" s="1491" t="n"/>
      <c r="AO230" s="1491" t="n"/>
      <c r="AP230" s="1491" t="n"/>
      <c r="AQ230" s="1491" t="n"/>
      <c r="AR230" s="1491" t="n"/>
      <c r="AS230" s="1491" t="n"/>
      <c r="AT230" s="1491" t="n"/>
      <c r="AU230" s="1491" t="n"/>
      <c r="AV230" s="1491" t="n"/>
      <c r="AW230" s="1491" t="n"/>
      <c r="AX230" s="1491" t="n"/>
      <c r="AY230" s="1491" t="n"/>
      <c r="AZ230" s="1491" t="n"/>
      <c r="BA230" s="1491" t="n"/>
      <c r="BB230" s="1491" t="n"/>
      <c r="BC230" s="1491" t="n"/>
      <c r="BD230" s="1491" t="n"/>
      <c r="BE230" s="1491" t="n"/>
      <c r="BF230" s="1491" t="n"/>
      <c r="BG230" s="1491" t="n"/>
      <c r="BH230" s="1491" t="n"/>
      <c r="BI230" s="1491" t="n"/>
      <c r="BJ230" s="1491" t="n"/>
      <c r="BK230" s="1491" t="n"/>
      <c r="BL230" s="1491" t="n"/>
      <c r="BM230" s="1491" t="n"/>
      <c r="BN230" s="1491" t="n"/>
      <c r="BO230" s="1467" t="n"/>
      <c r="BP230" s="1514" t="n">
        <v>226</v>
      </c>
      <c r="BQ230" s="1513">
        <f>[1]Sheet1!C231</f>
        <v/>
      </c>
      <c r="BR230" s="1515">
        <f>[1]Sheet1!D231</f>
        <v/>
      </c>
      <c r="BS230" s="1513">
        <f>[1]Sheet1!E231</f>
        <v/>
      </c>
      <c r="BT230" s="1515">
        <f>[1]Sheet1!F231</f>
        <v/>
      </c>
      <c r="BU230" s="1516">
        <f>[1]Sheet1!G231</f>
        <v/>
      </c>
      <c r="BV230" s="1513">
        <f>[1]Sheet1!H231</f>
        <v/>
      </c>
      <c r="BW230" s="1467" t="n"/>
      <c r="BX230" s="1538" t="n"/>
      <c r="BY230" s="1506" t="n"/>
      <c r="BZ230" s="1537" t="n"/>
      <c r="CA230" s="1511">
        <f>[1]Sheet1!$M231</f>
        <v/>
      </c>
      <c r="CB230" s="1467" t="n"/>
      <c r="CC230" s="1467" t="n"/>
      <c r="CD230" s="1491" t="n"/>
      <c r="CE230" s="1491" t="n"/>
      <c r="CF230" s="1491" t="n"/>
      <c r="CG230" s="1491" t="n"/>
      <c r="CH230" s="1491" t="n"/>
      <c r="CI230" s="1491" t="n"/>
      <c r="CJ230" s="1491" t="n"/>
      <c r="CK230" s="1491" t="n"/>
      <c r="CL230" s="1491" t="n"/>
      <c r="CM230" s="1491" t="n"/>
      <c r="CN230" s="1491" t="n"/>
      <c r="CO230" s="1491" t="n"/>
      <c r="CP230" s="1491" t="n"/>
      <c r="CQ230" s="1491" t="n"/>
      <c r="CR230" s="1491" t="n"/>
      <c r="CS230" s="1491" t="n"/>
      <c r="CT230" s="1491" t="n"/>
      <c r="CU230" s="1491" t="n"/>
      <c r="CV230" s="1491" t="n"/>
      <c r="CW230" s="1491" t="n"/>
      <c r="CX230" s="1491" t="n"/>
    </row>
    <row r="231">
      <c r="A231" s="1491" t="n"/>
      <c r="B231" s="1491" t="n"/>
      <c r="C231" s="1491" t="n"/>
      <c r="D231" s="1497">
        <f>IF(E231&lt;&gt;"",D230+1,D230)</f>
        <v/>
      </c>
      <c r="E231" s="1497" t="inlineStr">
        <is>
          <t>Larrasoana</t>
        </is>
      </c>
      <c r="F231" s="1535" t="inlineStr">
        <is>
          <t>.</t>
        </is>
      </c>
      <c r="G231" s="1498">
        <f>IF(H231="AIR",0,IF(H230="AIR",G229+1,IF(H231&lt;&gt;"",G230+1,G230)))</f>
        <v/>
      </c>
      <c r="H231" s="1498" t="inlineStr">
        <is>
          <t>Vianden</t>
        </is>
      </c>
      <c r="I231" s="1427" t="inlineStr">
        <is>
          <t>.</t>
        </is>
      </c>
      <c r="J231" s="1499" t="n">
        <v>226</v>
      </c>
      <c r="K231" s="1500">
        <f>_xlfn.XLOOKUP(cities[[#This Row],[id]],$D$5:$D$1500,E$5:E$1500,"-")</f>
        <v/>
      </c>
      <c r="L231" s="1500">
        <f>_xlfn.XLOOKUP(cities[[#This Row],[city]],ccc[city],ccc[ctry],"-")</f>
        <v/>
      </c>
      <c r="M231" s="1500">
        <f>SUMIFS(stayCity[stay],stayCity[city],cities[[#This Row],[city]])</f>
        <v/>
      </c>
      <c r="N231" s="1427">
        <f>N230+1</f>
        <v/>
      </c>
      <c r="O231" s="1500" t="n"/>
      <c r="P231" s="1500" t="n"/>
      <c r="Q231" s="1427" t="inlineStr">
        <is>
          <t>.</t>
        </is>
      </c>
      <c r="R231" s="1491" t="n"/>
      <c r="S231" s="1491" t="n"/>
      <c r="T231" s="1491" t="n"/>
      <c r="U231" s="1491" t="n"/>
      <c r="V231" s="1491" t="n"/>
      <c r="W231" s="1491" t="n"/>
      <c r="X231" s="1491" t="n"/>
      <c r="Y231" s="1491" t="n"/>
      <c r="Z231" s="1491" t="n"/>
      <c r="AA231" s="1491" t="n"/>
      <c r="AB231" s="1491" t="n"/>
      <c r="AC231" s="1491" t="n"/>
      <c r="AD231" s="1491" t="n"/>
      <c r="AE231" s="1491" t="n"/>
      <c r="AF231" s="1491" t="n"/>
      <c r="AG231" s="1491" t="n"/>
      <c r="AH231" s="1491" t="n"/>
      <c r="AI231" s="1491" t="n"/>
      <c r="AJ231" s="1491" t="n"/>
      <c r="AK231" s="1491" t="n"/>
      <c r="AL231" s="1491" t="n"/>
      <c r="AM231" s="1491" t="n"/>
      <c r="AN231" s="1491" t="n"/>
      <c r="AO231" s="1491" t="n"/>
      <c r="AP231" s="1491" t="n"/>
      <c r="AQ231" s="1491" t="n"/>
      <c r="AR231" s="1491" t="n"/>
      <c r="AS231" s="1491" t="n"/>
      <c r="AT231" s="1491" t="n"/>
      <c r="AU231" s="1491" t="n"/>
      <c r="AV231" s="1491" t="n"/>
      <c r="AW231" s="1491" t="n"/>
      <c r="AX231" s="1491" t="n"/>
      <c r="AY231" s="1491" t="n"/>
      <c r="AZ231" s="1491" t="n"/>
      <c r="BA231" s="1491" t="n"/>
      <c r="BB231" s="1491" t="n"/>
      <c r="BC231" s="1491" t="n"/>
      <c r="BD231" s="1491" t="n"/>
      <c r="BE231" s="1491" t="n"/>
      <c r="BF231" s="1491" t="n"/>
      <c r="BG231" s="1491" t="n"/>
      <c r="BH231" s="1491" t="n"/>
      <c r="BI231" s="1491" t="n"/>
      <c r="BJ231" s="1491" t="n"/>
      <c r="BK231" s="1491" t="n"/>
      <c r="BL231" s="1491" t="n"/>
      <c r="BM231" s="1491" t="n"/>
      <c r="BN231" s="1491" t="n"/>
      <c r="BO231" s="1467" t="n"/>
      <c r="BP231" s="1514" t="n">
        <v>227</v>
      </c>
      <c r="BQ231" s="1513">
        <f>[1]Sheet1!C232</f>
        <v/>
      </c>
      <c r="BR231" s="1515">
        <f>[1]Sheet1!D232</f>
        <v/>
      </c>
      <c r="BS231" s="1513">
        <f>[1]Sheet1!E232</f>
        <v/>
      </c>
      <c r="BT231" s="1515">
        <f>[1]Sheet1!F232</f>
        <v/>
      </c>
      <c r="BU231" s="1516">
        <f>[1]Sheet1!G232</f>
        <v/>
      </c>
      <c r="BV231" s="1513">
        <f>[1]Sheet1!H232</f>
        <v/>
      </c>
      <c r="BW231" s="1467" t="n"/>
      <c r="BX231" s="1538" t="n"/>
      <c r="BY231" s="1506" t="n"/>
      <c r="BZ231" s="1537" t="n"/>
      <c r="CA231" s="1511">
        <f>[1]Sheet1!$M232</f>
        <v/>
      </c>
      <c r="CB231" s="1467" t="n"/>
      <c r="CC231" s="1467" t="n"/>
      <c r="CD231" s="1491" t="n"/>
      <c r="CE231" s="1491" t="n"/>
      <c r="CF231" s="1491" t="n"/>
      <c r="CG231" s="1491" t="n"/>
      <c r="CH231" s="1491" t="n"/>
      <c r="CI231" s="1491" t="n"/>
      <c r="CJ231" s="1491" t="n"/>
      <c r="CK231" s="1491" t="n"/>
      <c r="CL231" s="1491" t="n"/>
      <c r="CM231" s="1491" t="n"/>
      <c r="CN231" s="1491" t="n"/>
      <c r="CO231" s="1491" t="n"/>
      <c r="CP231" s="1491" t="n"/>
      <c r="CQ231" s="1491" t="n"/>
      <c r="CR231" s="1491" t="n"/>
      <c r="CS231" s="1491" t="n"/>
      <c r="CT231" s="1491" t="n"/>
      <c r="CU231" s="1491" t="n"/>
      <c r="CV231" s="1491" t="n"/>
      <c r="CW231" s="1491" t="n"/>
      <c r="CX231" s="1491" t="n"/>
    </row>
    <row r="232">
      <c r="A232" s="1491" t="n"/>
      <c r="B232" s="1491" t="n"/>
      <c r="C232" s="1491" t="n"/>
      <c r="D232" s="1497">
        <f>IF(E232&lt;&gt;"",D231+1,D231)</f>
        <v/>
      </c>
      <c r="E232" s="1497" t="inlineStr">
        <is>
          <t>Pamplona</t>
        </is>
      </c>
      <c r="F232" s="1535" t="inlineStr">
        <is>
          <t>.</t>
        </is>
      </c>
      <c r="G232" s="1498">
        <f>IF(H232="AIR",0,IF(H231="AIR",G230+1,IF(H232&lt;&gt;"",G231+1,G231)))</f>
        <v/>
      </c>
      <c r="H232" s="1498" t="inlineStr">
        <is>
          <t>Bayonne</t>
        </is>
      </c>
      <c r="I232" s="1427" t="inlineStr">
        <is>
          <t>.</t>
        </is>
      </c>
      <c r="J232" s="1499" t="n">
        <v>227</v>
      </c>
      <c r="K232" s="1500">
        <f>_xlfn.XLOOKUP(cities[[#This Row],[id]],$D$5:$D$1500,E$5:E$1500,"-")</f>
        <v/>
      </c>
      <c r="L232" s="1500">
        <f>_xlfn.XLOOKUP(cities[[#This Row],[city]],ccc[city],ccc[ctry],"-")</f>
        <v/>
      </c>
      <c r="M232" s="1500">
        <f>SUMIFS(stayCity[stay],stayCity[city],cities[[#This Row],[city]])</f>
        <v/>
      </c>
      <c r="N232" s="1427">
        <f>N231+1</f>
        <v/>
      </c>
      <c r="O232" s="1500" t="n"/>
      <c r="P232" s="1500" t="n"/>
      <c r="Q232" s="1427" t="inlineStr">
        <is>
          <t>.</t>
        </is>
      </c>
      <c r="R232" s="1491" t="n"/>
      <c r="S232" s="1491" t="n"/>
      <c r="T232" s="1491" t="n"/>
      <c r="U232" s="1491" t="n"/>
      <c r="V232" s="1491" t="n"/>
      <c r="W232" s="1491" t="n"/>
      <c r="X232" s="1491" t="n"/>
      <c r="Y232" s="1491" t="n"/>
      <c r="Z232" s="1491" t="n"/>
      <c r="AA232" s="1491" t="n"/>
      <c r="AB232" s="1491" t="n"/>
      <c r="AC232" s="1491" t="n"/>
      <c r="AD232" s="1491" t="n"/>
      <c r="AE232" s="1491" t="n"/>
      <c r="AF232" s="1491" t="n"/>
      <c r="AG232" s="1491" t="n"/>
      <c r="AH232" s="1491" t="n"/>
      <c r="AI232" s="1491" t="n"/>
      <c r="AJ232" s="1491" t="n"/>
      <c r="AK232" s="1491" t="n"/>
      <c r="AL232" s="1491" t="n"/>
      <c r="AM232" s="1491" t="n"/>
      <c r="AN232" s="1491" t="n"/>
      <c r="AO232" s="1491" t="n"/>
      <c r="AP232" s="1491" t="n"/>
      <c r="AQ232" s="1491" t="n"/>
      <c r="AR232" s="1491" t="n"/>
      <c r="AS232" s="1491" t="n"/>
      <c r="AT232" s="1491" t="n"/>
      <c r="AU232" s="1491" t="n"/>
      <c r="AV232" s="1491" t="n"/>
      <c r="AW232" s="1491" t="n"/>
      <c r="AX232" s="1491" t="n"/>
      <c r="AY232" s="1491" t="n"/>
      <c r="AZ232" s="1491" t="n"/>
      <c r="BA232" s="1491" t="n"/>
      <c r="BB232" s="1491" t="n"/>
      <c r="BC232" s="1491" t="n"/>
      <c r="BD232" s="1491" t="n"/>
      <c r="BE232" s="1491" t="n"/>
      <c r="BF232" s="1491" t="n"/>
      <c r="BG232" s="1491" t="n"/>
      <c r="BH232" s="1491" t="n"/>
      <c r="BI232" s="1491" t="n"/>
      <c r="BJ232" s="1491" t="n"/>
      <c r="BK232" s="1491" t="n"/>
      <c r="BL232" s="1491" t="n"/>
      <c r="BM232" s="1491" t="n"/>
      <c r="BN232" s="1491" t="n"/>
      <c r="BO232" s="1467" t="n"/>
      <c r="BP232" s="1514" t="n">
        <v>228</v>
      </c>
      <c r="BQ232" s="1513">
        <f>[1]Sheet1!C233</f>
        <v/>
      </c>
      <c r="BR232" s="1515">
        <f>[1]Sheet1!D233</f>
        <v/>
      </c>
      <c r="BS232" s="1513">
        <f>[1]Sheet1!E233</f>
        <v/>
      </c>
      <c r="BT232" s="1515">
        <f>[1]Sheet1!F233</f>
        <v/>
      </c>
      <c r="BU232" s="1516">
        <f>[1]Sheet1!G233</f>
        <v/>
      </c>
      <c r="BV232" s="1513">
        <f>[1]Sheet1!H233</f>
        <v/>
      </c>
      <c r="BW232" s="1467" t="n"/>
      <c r="BX232" s="1538" t="n"/>
      <c r="BY232" s="1506" t="n"/>
      <c r="BZ232" s="1537" t="n"/>
      <c r="CA232" s="1511">
        <f>[1]Sheet1!$M233</f>
        <v/>
      </c>
      <c r="CB232" s="1467" t="n"/>
      <c r="CC232" s="1467" t="n"/>
      <c r="CD232" s="1491" t="n"/>
      <c r="CE232" s="1491" t="n"/>
      <c r="CF232" s="1491" t="n"/>
      <c r="CG232" s="1491" t="n"/>
      <c r="CH232" s="1491" t="n"/>
      <c r="CI232" s="1491" t="n"/>
      <c r="CJ232" s="1491" t="n"/>
      <c r="CK232" s="1491" t="n"/>
      <c r="CL232" s="1491" t="n"/>
      <c r="CM232" s="1491" t="n"/>
      <c r="CN232" s="1491" t="n"/>
      <c r="CO232" s="1491" t="n"/>
      <c r="CP232" s="1491" t="n"/>
      <c r="CQ232" s="1491" t="n"/>
      <c r="CR232" s="1491" t="n"/>
      <c r="CS232" s="1491" t="n"/>
      <c r="CT232" s="1491" t="n"/>
      <c r="CU232" s="1491" t="n"/>
      <c r="CV232" s="1491" t="n"/>
      <c r="CW232" s="1491" t="n"/>
      <c r="CX232" s="1491" t="n"/>
    </row>
    <row r="233">
      <c r="A233" s="1491" t="n"/>
      <c r="B233" s="1491" t="n"/>
      <c r="C233" s="1491" t="n"/>
      <c r="D233" s="1497">
        <f>IF(E233&lt;&gt;"",D232+1,D232)</f>
        <v/>
      </c>
      <c r="E233" s="1497" t="inlineStr">
        <is>
          <t>Serra dos Perdoes</t>
        </is>
      </c>
      <c r="F233" s="1535" t="inlineStr">
        <is>
          <t>.</t>
        </is>
      </c>
      <c r="G233" s="1498">
        <f>IF(H233="AIR",0,IF(H232="AIR",G231+1,IF(H233&lt;&gt;"",G232+1,G232)))</f>
        <v/>
      </c>
      <c r="H233" s="1498" t="inlineStr">
        <is>
          <t>St. Jean Pied-de-Port</t>
        </is>
      </c>
      <c r="I233" s="1427" t="inlineStr">
        <is>
          <t>.</t>
        </is>
      </c>
      <c r="J233" s="1499" t="n">
        <v>228</v>
      </c>
      <c r="K233" s="1500">
        <f>_xlfn.XLOOKUP(cities[[#This Row],[id]],$D$5:$D$1500,E$5:E$1500,"-")</f>
        <v/>
      </c>
      <c r="L233" s="1500">
        <f>_xlfn.XLOOKUP(cities[[#This Row],[city]],ccc[city],ccc[ctry],"-")</f>
        <v/>
      </c>
      <c r="M233" s="1500">
        <f>SUMIFS(stayCity[stay],stayCity[city],cities[[#This Row],[city]])</f>
        <v/>
      </c>
      <c r="N233" s="1427">
        <f>N232+1</f>
        <v/>
      </c>
      <c r="O233" s="1500" t="n"/>
      <c r="P233" s="1500" t="n"/>
      <c r="Q233" s="1427" t="inlineStr">
        <is>
          <t>.</t>
        </is>
      </c>
      <c r="R233" s="1491" t="n"/>
      <c r="S233" s="1491" t="n"/>
      <c r="T233" s="1491" t="n"/>
      <c r="U233" s="1491" t="n"/>
      <c r="V233" s="1491" t="n"/>
      <c r="W233" s="1491" t="n"/>
      <c r="X233" s="1491" t="n"/>
      <c r="Y233" s="1491" t="n"/>
      <c r="Z233" s="1491" t="n"/>
      <c r="AA233" s="1491" t="n"/>
      <c r="AB233" s="1491" t="n"/>
      <c r="AC233" s="1491" t="n"/>
      <c r="AD233" s="1491" t="n"/>
      <c r="AE233" s="1491" t="n"/>
      <c r="AF233" s="1491" t="n"/>
      <c r="AG233" s="1491" t="n"/>
      <c r="AH233" s="1491" t="n"/>
      <c r="AI233" s="1491" t="n"/>
      <c r="AJ233" s="1491" t="n"/>
      <c r="AK233" s="1491" t="n"/>
      <c r="AL233" s="1491" t="n"/>
      <c r="AM233" s="1491" t="n"/>
      <c r="AN233" s="1491" t="n"/>
      <c r="AO233" s="1491" t="n"/>
      <c r="AP233" s="1491" t="n"/>
      <c r="AQ233" s="1491" t="n"/>
      <c r="AR233" s="1491" t="n"/>
      <c r="AS233" s="1491" t="n"/>
      <c r="AT233" s="1491" t="n"/>
      <c r="AU233" s="1491" t="n"/>
      <c r="AV233" s="1491" t="n"/>
      <c r="AW233" s="1491" t="n"/>
      <c r="AX233" s="1491" t="n"/>
      <c r="AY233" s="1491" t="n"/>
      <c r="AZ233" s="1491" t="n"/>
      <c r="BA233" s="1491" t="n"/>
      <c r="BB233" s="1491" t="n"/>
      <c r="BC233" s="1491" t="n"/>
      <c r="BD233" s="1491" t="n"/>
      <c r="BE233" s="1491" t="n"/>
      <c r="BF233" s="1491" t="n"/>
      <c r="BG233" s="1491" t="n"/>
      <c r="BH233" s="1491" t="n"/>
      <c r="BI233" s="1491" t="n"/>
      <c r="BJ233" s="1491" t="n"/>
      <c r="BK233" s="1491" t="n"/>
      <c r="BL233" s="1491" t="n"/>
      <c r="BM233" s="1491" t="n"/>
      <c r="BN233" s="1491" t="n"/>
      <c r="BO233" s="1467" t="n"/>
      <c r="BP233" s="1514" t="n">
        <v>229</v>
      </c>
      <c r="BQ233" s="1513">
        <f>[1]Sheet1!C234</f>
        <v/>
      </c>
      <c r="BR233" s="1515">
        <f>[1]Sheet1!D234</f>
        <v/>
      </c>
      <c r="BS233" s="1513">
        <f>[1]Sheet1!E234</f>
        <v/>
      </c>
      <c r="BT233" s="1515">
        <f>[1]Sheet1!F234</f>
        <v/>
      </c>
      <c r="BU233" s="1516">
        <f>[1]Sheet1!G234</f>
        <v/>
      </c>
      <c r="BV233" s="1513">
        <f>[1]Sheet1!H234</f>
        <v/>
      </c>
      <c r="BW233" s="1467" t="n"/>
      <c r="BX233" s="1538" t="n"/>
      <c r="BY233" s="1506" t="n"/>
      <c r="BZ233" s="1537" t="n"/>
      <c r="CA233" s="1511">
        <f>[1]Sheet1!$M234</f>
        <v/>
      </c>
      <c r="CB233" s="1467" t="n"/>
      <c r="CC233" s="1467" t="n"/>
      <c r="CD233" s="1491" t="n"/>
      <c r="CE233" s="1491" t="n"/>
      <c r="CF233" s="1491" t="n"/>
      <c r="CG233" s="1491" t="n"/>
      <c r="CH233" s="1491" t="n"/>
      <c r="CI233" s="1491" t="n"/>
      <c r="CJ233" s="1491" t="n"/>
      <c r="CK233" s="1491" t="n"/>
      <c r="CL233" s="1491" t="n"/>
      <c r="CM233" s="1491" t="n"/>
      <c r="CN233" s="1491" t="n"/>
      <c r="CO233" s="1491" t="n"/>
      <c r="CP233" s="1491" t="n"/>
      <c r="CQ233" s="1491" t="n"/>
      <c r="CR233" s="1491" t="n"/>
      <c r="CS233" s="1491" t="n"/>
      <c r="CT233" s="1491" t="n"/>
      <c r="CU233" s="1491" t="n"/>
      <c r="CV233" s="1491" t="n"/>
      <c r="CW233" s="1491" t="n"/>
      <c r="CX233" s="1491" t="n"/>
    </row>
    <row r="234">
      <c r="A234" s="1491" t="n"/>
      <c r="B234" s="1491" t="n"/>
      <c r="C234" s="1491" t="n"/>
      <c r="D234" s="1497">
        <f>IF(E234&lt;&gt;"",D233+1,D233)</f>
        <v/>
      </c>
      <c r="E234" s="1497" t="inlineStr">
        <is>
          <t>Muruzubal</t>
        </is>
      </c>
      <c r="F234" s="1535" t="inlineStr">
        <is>
          <t>.</t>
        </is>
      </c>
      <c r="G234" s="1498">
        <f>IF(H234="AIR",0,IF(H233="AIR",G232+1,IF(H234&lt;&gt;"",G233+1,G233)))</f>
        <v/>
      </c>
      <c r="H234" s="1498" t="inlineStr">
        <is>
          <t>Arneguy</t>
        </is>
      </c>
      <c r="I234" s="1427" t="inlineStr">
        <is>
          <t>.</t>
        </is>
      </c>
      <c r="J234" s="1499" t="n">
        <v>229</v>
      </c>
      <c r="K234" s="1500">
        <f>_xlfn.XLOOKUP(cities[[#This Row],[id]],$D$5:$D$1500,E$5:E$1500,"-")</f>
        <v/>
      </c>
      <c r="L234" s="1500">
        <f>_xlfn.XLOOKUP(cities[[#This Row],[city]],ccc[city],ccc[ctry],"-")</f>
        <v/>
      </c>
      <c r="M234" s="1500">
        <f>SUMIFS(stayCity[stay],stayCity[city],cities[[#This Row],[city]])</f>
        <v/>
      </c>
      <c r="N234" s="1427">
        <f>N233+1</f>
        <v/>
      </c>
      <c r="O234" s="1500" t="n"/>
      <c r="P234" s="1500" t="n"/>
      <c r="Q234" s="1427" t="inlineStr">
        <is>
          <t>.</t>
        </is>
      </c>
      <c r="R234" s="1491" t="n"/>
      <c r="S234" s="1491" t="n"/>
      <c r="T234" s="1491" t="n"/>
      <c r="U234" s="1491" t="n"/>
      <c r="V234" s="1491" t="n"/>
      <c r="W234" s="1491" t="n"/>
      <c r="X234" s="1491" t="n"/>
      <c r="Y234" s="1491" t="n"/>
      <c r="Z234" s="1491" t="n"/>
      <c r="AA234" s="1491" t="n"/>
      <c r="AB234" s="1491" t="n"/>
      <c r="AC234" s="1491" t="n"/>
      <c r="AD234" s="1491" t="n"/>
      <c r="AE234" s="1491" t="n"/>
      <c r="AF234" s="1491" t="n"/>
      <c r="AG234" s="1491" t="n"/>
      <c r="AH234" s="1491" t="n"/>
      <c r="AI234" s="1491" t="n"/>
      <c r="AJ234" s="1491" t="n"/>
      <c r="AK234" s="1491" t="n"/>
      <c r="AL234" s="1491" t="n"/>
      <c r="AM234" s="1491" t="n"/>
      <c r="AN234" s="1491" t="n"/>
      <c r="AO234" s="1491" t="n"/>
      <c r="AP234" s="1491" t="n"/>
      <c r="AQ234" s="1491" t="n"/>
      <c r="AR234" s="1491" t="n"/>
      <c r="AS234" s="1491" t="n"/>
      <c r="AT234" s="1491" t="n"/>
      <c r="AU234" s="1491" t="n"/>
      <c r="AV234" s="1491" t="n"/>
      <c r="AW234" s="1491" t="n"/>
      <c r="AX234" s="1491" t="n"/>
      <c r="AY234" s="1491" t="n"/>
      <c r="AZ234" s="1491" t="n"/>
      <c r="BA234" s="1491" t="n"/>
      <c r="BB234" s="1491" t="n"/>
      <c r="BC234" s="1491" t="n"/>
      <c r="BD234" s="1491" t="n"/>
      <c r="BE234" s="1491" t="n"/>
      <c r="BF234" s="1491" t="n"/>
      <c r="BG234" s="1491" t="n"/>
      <c r="BH234" s="1491" t="n"/>
      <c r="BI234" s="1491" t="n"/>
      <c r="BJ234" s="1491" t="n"/>
      <c r="BK234" s="1491" t="n"/>
      <c r="BL234" s="1491" t="n"/>
      <c r="BM234" s="1491" t="n"/>
      <c r="BN234" s="1491" t="n"/>
      <c r="BO234" s="1467" t="n"/>
      <c r="BP234" s="1514" t="n">
        <v>230</v>
      </c>
      <c r="BQ234" s="1513">
        <f>[1]Sheet1!C235</f>
        <v/>
      </c>
      <c r="BR234" s="1515">
        <f>[1]Sheet1!D235</f>
        <v/>
      </c>
      <c r="BS234" s="1513">
        <f>[1]Sheet1!E235</f>
        <v/>
      </c>
      <c r="BT234" s="1515">
        <f>[1]Sheet1!F235</f>
        <v/>
      </c>
      <c r="BU234" s="1516">
        <f>[1]Sheet1!G235</f>
        <v/>
      </c>
      <c r="BV234" s="1513">
        <f>[1]Sheet1!H235</f>
        <v/>
      </c>
      <c r="BW234" s="1467" t="n"/>
      <c r="BX234" s="1538" t="n"/>
      <c r="BY234" s="1506" t="n"/>
      <c r="BZ234" s="1537" t="n"/>
      <c r="CA234" s="1511">
        <f>[1]Sheet1!$M235</f>
        <v/>
      </c>
      <c r="CB234" s="1467" t="n"/>
      <c r="CC234" s="1467" t="n"/>
      <c r="CD234" s="1491" t="n"/>
      <c r="CE234" s="1491" t="n"/>
      <c r="CF234" s="1491" t="n"/>
      <c r="CG234" s="1491" t="n"/>
      <c r="CH234" s="1491" t="n"/>
      <c r="CI234" s="1491" t="n"/>
      <c r="CJ234" s="1491" t="n"/>
      <c r="CK234" s="1491" t="n"/>
      <c r="CL234" s="1491" t="n"/>
      <c r="CM234" s="1491" t="n"/>
      <c r="CN234" s="1491" t="n"/>
      <c r="CO234" s="1491" t="n"/>
      <c r="CP234" s="1491" t="n"/>
      <c r="CQ234" s="1491" t="n"/>
      <c r="CR234" s="1491" t="n"/>
      <c r="CS234" s="1491" t="n"/>
      <c r="CT234" s="1491" t="n"/>
      <c r="CU234" s="1491" t="n"/>
      <c r="CV234" s="1491" t="n"/>
      <c r="CW234" s="1491" t="n"/>
      <c r="CX234" s="1491" t="n"/>
    </row>
    <row r="235">
      <c r="A235" s="1491" t="n"/>
      <c r="B235" s="1491" t="n"/>
      <c r="C235" s="1491" t="n"/>
      <c r="D235" s="1497">
        <f>IF(E235&lt;&gt;"",D234+1,D234)</f>
        <v/>
      </c>
      <c r="E235" s="1497" t="inlineStr">
        <is>
          <t>Puente la Reina</t>
        </is>
      </c>
      <c r="F235" s="1535" t="inlineStr">
        <is>
          <t>.</t>
        </is>
      </c>
      <c r="G235" s="1498">
        <f>IF(H235="AIR",0,IF(H234="AIR",G233+1,IF(H235&lt;&gt;"",G234+1,G234)))</f>
        <v/>
      </c>
      <c r="H235" s="1498" t="inlineStr">
        <is>
          <t>Valcarlos</t>
        </is>
      </c>
      <c r="I235" s="1427" t="inlineStr">
        <is>
          <t>.</t>
        </is>
      </c>
      <c r="J235" s="1499" t="n">
        <v>230</v>
      </c>
      <c r="K235" s="1500">
        <f>_xlfn.XLOOKUP(cities[[#This Row],[id]],$D$5:$D$1500,E$5:E$1500,"-")</f>
        <v/>
      </c>
      <c r="L235" s="1500">
        <f>_xlfn.XLOOKUP(cities[[#This Row],[city]],ccc[city],ccc[ctry],"-")</f>
        <v/>
      </c>
      <c r="M235" s="1500">
        <f>SUMIFS(stayCity[stay],stayCity[city],cities[[#This Row],[city]])</f>
        <v/>
      </c>
      <c r="N235" s="1427">
        <f>N234+1</f>
        <v/>
      </c>
      <c r="O235" s="1500" t="n"/>
      <c r="P235" s="1500" t="n"/>
      <c r="Q235" s="1427" t="inlineStr">
        <is>
          <t>.</t>
        </is>
      </c>
      <c r="R235" s="1491" t="n"/>
      <c r="S235" s="1491" t="n"/>
      <c r="T235" s="1491" t="n"/>
      <c r="U235" s="1491" t="n"/>
      <c r="V235" s="1491" t="n"/>
      <c r="W235" s="1491" t="n"/>
      <c r="X235" s="1491" t="n"/>
      <c r="Y235" s="1491" t="n"/>
      <c r="Z235" s="1491" t="n"/>
      <c r="AA235" s="1491" t="n"/>
      <c r="AB235" s="1491" t="n"/>
      <c r="AC235" s="1491" t="n"/>
      <c r="AD235" s="1491" t="n"/>
      <c r="AE235" s="1491" t="n"/>
      <c r="AF235" s="1491" t="n"/>
      <c r="AG235" s="1491" t="n"/>
      <c r="AH235" s="1491" t="n"/>
      <c r="AI235" s="1491" t="n"/>
      <c r="AJ235" s="1491" t="n"/>
      <c r="AK235" s="1491" t="n"/>
      <c r="AL235" s="1491" t="n"/>
      <c r="AM235" s="1491" t="n"/>
      <c r="AN235" s="1491" t="n"/>
      <c r="AO235" s="1491" t="n"/>
      <c r="AP235" s="1491" t="n"/>
      <c r="AQ235" s="1491" t="n"/>
      <c r="AR235" s="1491" t="n"/>
      <c r="AS235" s="1491" t="n"/>
      <c r="AT235" s="1491" t="n"/>
      <c r="AU235" s="1491" t="n"/>
      <c r="AV235" s="1491" t="n"/>
      <c r="AW235" s="1491" t="n"/>
      <c r="AX235" s="1491" t="n"/>
      <c r="AY235" s="1491" t="n"/>
      <c r="AZ235" s="1491" t="n"/>
      <c r="BA235" s="1491" t="n"/>
      <c r="BB235" s="1491" t="n"/>
      <c r="BC235" s="1491" t="n"/>
      <c r="BD235" s="1491" t="n"/>
      <c r="BE235" s="1491" t="n"/>
      <c r="BF235" s="1491" t="n"/>
      <c r="BG235" s="1491" t="n"/>
      <c r="BH235" s="1491" t="n"/>
      <c r="BI235" s="1491" t="n"/>
      <c r="BJ235" s="1491" t="n"/>
      <c r="BK235" s="1491" t="n"/>
      <c r="BL235" s="1491" t="n"/>
      <c r="BM235" s="1491" t="n"/>
      <c r="BN235" s="1491" t="n"/>
      <c r="BO235" s="1467" t="n"/>
      <c r="BP235" s="1514" t="n">
        <v>231</v>
      </c>
      <c r="BQ235" s="1513">
        <f>[1]Sheet1!C236</f>
        <v/>
      </c>
      <c r="BR235" s="1515">
        <f>[1]Sheet1!D236</f>
        <v/>
      </c>
      <c r="BS235" s="1513">
        <f>[1]Sheet1!E236</f>
        <v/>
      </c>
      <c r="BT235" s="1515">
        <f>[1]Sheet1!F236</f>
        <v/>
      </c>
      <c r="BU235" s="1516">
        <f>[1]Sheet1!G236</f>
        <v/>
      </c>
      <c r="BV235" s="1513">
        <f>[1]Sheet1!H236</f>
        <v/>
      </c>
      <c r="BW235" s="1467" t="n"/>
      <c r="BX235" s="1538" t="n"/>
      <c r="BY235" s="1506" t="n"/>
      <c r="BZ235" s="1537" t="n"/>
      <c r="CA235" s="1511">
        <f>[1]Sheet1!$M236</f>
        <v/>
      </c>
      <c r="CB235" s="1467" t="n"/>
      <c r="CC235" s="1467" t="n"/>
      <c r="CD235" s="1491" t="n"/>
      <c r="CE235" s="1491" t="n"/>
      <c r="CF235" s="1491" t="n"/>
      <c r="CG235" s="1491" t="n"/>
      <c r="CH235" s="1491" t="n"/>
      <c r="CI235" s="1491" t="n"/>
      <c r="CJ235" s="1491" t="n"/>
      <c r="CK235" s="1491" t="n"/>
      <c r="CL235" s="1491" t="n"/>
      <c r="CM235" s="1491" t="n"/>
      <c r="CN235" s="1491" t="n"/>
      <c r="CO235" s="1491" t="n"/>
      <c r="CP235" s="1491" t="n"/>
      <c r="CQ235" s="1491" t="n"/>
      <c r="CR235" s="1491" t="n"/>
      <c r="CS235" s="1491" t="n"/>
      <c r="CT235" s="1491" t="n"/>
      <c r="CU235" s="1491" t="n"/>
      <c r="CV235" s="1491" t="n"/>
      <c r="CW235" s="1491" t="n"/>
      <c r="CX235" s="1491" t="n"/>
    </row>
    <row r="236">
      <c r="A236" s="1491" t="n"/>
      <c r="B236" s="1491" t="n"/>
      <c r="C236" s="1491" t="n"/>
      <c r="D236" s="1497">
        <f>IF(E236&lt;&gt;"",D235+1,D235)</f>
        <v/>
      </c>
      <c r="E236" s="1497" t="inlineStr">
        <is>
          <t>Estella</t>
        </is>
      </c>
      <c r="F236" s="1535" t="inlineStr">
        <is>
          <t>.</t>
        </is>
      </c>
      <c r="G236" s="1498">
        <f>IF(H236="AIR",0,IF(H235="AIR",G234+1,IF(H236&lt;&gt;"",G235+1,G235)))</f>
        <v/>
      </c>
      <c r="H236" s="1498" t="inlineStr">
        <is>
          <t>El Alto de Ibaneta</t>
        </is>
      </c>
      <c r="I236" s="1427" t="inlineStr">
        <is>
          <t>.</t>
        </is>
      </c>
      <c r="J236" s="1499" t="n">
        <v>231</v>
      </c>
      <c r="K236" s="1500">
        <f>_xlfn.XLOOKUP(cities[[#This Row],[id]],$D$5:$D$1500,E$5:E$1500,"-")</f>
        <v/>
      </c>
      <c r="L236" s="1500">
        <f>_xlfn.XLOOKUP(cities[[#This Row],[city]],ccc[city],ccc[ctry],"-")</f>
        <v/>
      </c>
      <c r="M236" s="1500">
        <f>SUMIFS(stayCity[stay],stayCity[city],cities[[#This Row],[city]])</f>
        <v/>
      </c>
      <c r="N236" s="1427">
        <f>N235+1</f>
        <v/>
      </c>
      <c r="O236" s="1500" t="n"/>
      <c r="P236" s="1500" t="n"/>
      <c r="Q236" s="1427" t="inlineStr">
        <is>
          <t>.</t>
        </is>
      </c>
      <c r="R236" s="1491" t="n"/>
      <c r="S236" s="1491" t="n"/>
      <c r="T236" s="1491" t="n"/>
      <c r="U236" s="1491" t="n"/>
      <c r="V236" s="1491" t="n"/>
      <c r="W236" s="1491" t="n"/>
      <c r="X236" s="1491" t="n"/>
      <c r="Y236" s="1491" t="n"/>
      <c r="Z236" s="1491" t="n"/>
      <c r="AA236" s="1491" t="n"/>
      <c r="AB236" s="1491" t="n"/>
      <c r="AC236" s="1491" t="n"/>
      <c r="AD236" s="1491" t="n"/>
      <c r="AE236" s="1491" t="n"/>
      <c r="AF236" s="1491" t="n"/>
      <c r="AG236" s="1491" t="n"/>
      <c r="AH236" s="1491" t="n"/>
      <c r="AI236" s="1491" t="n"/>
      <c r="AJ236" s="1491" t="n"/>
      <c r="AK236" s="1491" t="n"/>
      <c r="AL236" s="1491" t="n"/>
      <c r="AM236" s="1491" t="n"/>
      <c r="AN236" s="1491" t="n"/>
      <c r="AO236" s="1491" t="n"/>
      <c r="AP236" s="1491" t="n"/>
      <c r="AQ236" s="1491" t="n"/>
      <c r="AR236" s="1491" t="n"/>
      <c r="AS236" s="1491" t="n"/>
      <c r="AT236" s="1491" t="n"/>
      <c r="AU236" s="1491" t="n"/>
      <c r="AV236" s="1491" t="n"/>
      <c r="AW236" s="1491" t="n"/>
      <c r="AX236" s="1491" t="n"/>
      <c r="AY236" s="1491" t="n"/>
      <c r="AZ236" s="1491" t="n"/>
      <c r="BA236" s="1491" t="n"/>
      <c r="BB236" s="1491" t="n"/>
      <c r="BC236" s="1491" t="n"/>
      <c r="BD236" s="1491" t="n"/>
      <c r="BE236" s="1491" t="n"/>
      <c r="BF236" s="1491" t="n"/>
      <c r="BG236" s="1491" t="n"/>
      <c r="BH236" s="1491" t="n"/>
      <c r="BI236" s="1491" t="n"/>
      <c r="BJ236" s="1491" t="n"/>
      <c r="BK236" s="1491" t="n"/>
      <c r="BL236" s="1491" t="n"/>
      <c r="BM236" s="1491" t="n"/>
      <c r="BN236" s="1491" t="n"/>
      <c r="BO236" s="1467" t="n"/>
      <c r="BP236" s="1514" t="n">
        <v>232</v>
      </c>
      <c r="BQ236" s="1513">
        <f>[1]Sheet1!C237</f>
        <v/>
      </c>
      <c r="BR236" s="1515">
        <f>[1]Sheet1!D237</f>
        <v/>
      </c>
      <c r="BS236" s="1513">
        <f>[1]Sheet1!E237</f>
        <v/>
      </c>
      <c r="BT236" s="1515">
        <f>[1]Sheet1!F237</f>
        <v/>
      </c>
      <c r="BU236" s="1516">
        <f>[1]Sheet1!G237</f>
        <v/>
      </c>
      <c r="BV236" s="1513">
        <f>[1]Sheet1!H237</f>
        <v/>
      </c>
      <c r="BW236" s="1467" t="n"/>
      <c r="BX236" s="1538" t="n"/>
      <c r="BY236" s="1506" t="n"/>
      <c r="BZ236" s="1537" t="n"/>
      <c r="CA236" s="1511">
        <f>[1]Sheet1!$M237</f>
        <v/>
      </c>
      <c r="CB236" s="1467" t="n"/>
      <c r="CC236" s="1467" t="n"/>
      <c r="CD236" s="1491" t="n"/>
      <c r="CE236" s="1491" t="n"/>
      <c r="CF236" s="1491" t="n"/>
      <c r="CG236" s="1491" t="n"/>
      <c r="CH236" s="1491" t="n"/>
      <c r="CI236" s="1491" t="n"/>
      <c r="CJ236" s="1491" t="n"/>
      <c r="CK236" s="1491" t="n"/>
      <c r="CL236" s="1491" t="n"/>
      <c r="CM236" s="1491" t="n"/>
      <c r="CN236" s="1491" t="n"/>
      <c r="CO236" s="1491" t="n"/>
      <c r="CP236" s="1491" t="n"/>
      <c r="CQ236" s="1491" t="n"/>
      <c r="CR236" s="1491" t="n"/>
      <c r="CS236" s="1491" t="n"/>
      <c r="CT236" s="1491" t="n"/>
      <c r="CU236" s="1491" t="n"/>
      <c r="CV236" s="1491" t="n"/>
      <c r="CW236" s="1491" t="n"/>
      <c r="CX236" s="1491" t="n"/>
    </row>
    <row r="237">
      <c r="A237" s="1491" t="n"/>
      <c r="B237" s="1491" t="n"/>
      <c r="C237" s="1491" t="n"/>
      <c r="D237" s="1497">
        <f>IF(E237&lt;&gt;"",D236+1,D236)</f>
        <v/>
      </c>
      <c r="E237" s="1497" t="inlineStr">
        <is>
          <t>Los Arcos</t>
        </is>
      </c>
      <c r="F237" s="1535" t="inlineStr">
        <is>
          <t>.</t>
        </is>
      </c>
      <c r="G237" s="1498">
        <f>IF(H237="AIR",0,IF(H236="AIR",G235+1,IF(H237&lt;&gt;"",G236+1,G236)))</f>
        <v/>
      </c>
      <c r="H237" s="1498" t="inlineStr">
        <is>
          <t>Roncevalles</t>
        </is>
      </c>
      <c r="I237" s="1427" t="inlineStr">
        <is>
          <t>.</t>
        </is>
      </c>
      <c r="J237" s="1499" t="n">
        <v>232</v>
      </c>
      <c r="K237" s="1500">
        <f>_xlfn.XLOOKUP(cities[[#This Row],[id]],$D$5:$D$1500,E$5:E$1500,"-")</f>
        <v/>
      </c>
      <c r="L237" s="1500">
        <f>_xlfn.XLOOKUP(cities[[#This Row],[city]],ccc[city],ccc[ctry],"-")</f>
        <v/>
      </c>
      <c r="M237" s="1500">
        <f>SUMIFS(stayCity[stay],stayCity[city],cities[[#This Row],[city]])</f>
        <v/>
      </c>
      <c r="N237" s="1427">
        <f>N236+1</f>
        <v/>
      </c>
      <c r="O237" s="1500" t="n"/>
      <c r="P237" s="1500" t="n"/>
      <c r="Q237" s="1427" t="inlineStr">
        <is>
          <t>.</t>
        </is>
      </c>
      <c r="R237" s="1491" t="n"/>
      <c r="S237" s="1491" t="n"/>
      <c r="T237" s="1491" t="n"/>
      <c r="U237" s="1491" t="n"/>
      <c r="V237" s="1491" t="n"/>
      <c r="W237" s="1491" t="n"/>
      <c r="X237" s="1491" t="n"/>
      <c r="Y237" s="1491" t="n"/>
      <c r="Z237" s="1491" t="n"/>
      <c r="AA237" s="1491" t="n"/>
      <c r="AB237" s="1491" t="n"/>
      <c r="AC237" s="1491" t="n"/>
      <c r="AD237" s="1491" t="n"/>
      <c r="AE237" s="1491" t="n"/>
      <c r="AF237" s="1491" t="n"/>
      <c r="AG237" s="1491" t="n"/>
      <c r="AH237" s="1491" t="n"/>
      <c r="AI237" s="1491" t="n"/>
      <c r="AJ237" s="1491" t="n"/>
      <c r="AK237" s="1491" t="n"/>
      <c r="AL237" s="1491" t="n"/>
      <c r="AM237" s="1491" t="n"/>
      <c r="AN237" s="1491" t="n"/>
      <c r="AO237" s="1491" t="n"/>
      <c r="AP237" s="1491" t="n"/>
      <c r="AQ237" s="1491" t="n"/>
      <c r="AR237" s="1491" t="n"/>
      <c r="AS237" s="1491" t="n"/>
      <c r="AT237" s="1491" t="n"/>
      <c r="AU237" s="1491" t="n"/>
      <c r="AV237" s="1491" t="n"/>
      <c r="AW237" s="1491" t="n"/>
      <c r="AX237" s="1491" t="n"/>
      <c r="AY237" s="1491" t="n"/>
      <c r="AZ237" s="1491" t="n"/>
      <c r="BA237" s="1491" t="n"/>
      <c r="BB237" s="1491" t="n"/>
      <c r="BC237" s="1491" t="n"/>
      <c r="BD237" s="1491" t="n"/>
      <c r="BE237" s="1491" t="n"/>
      <c r="BF237" s="1491" t="n"/>
      <c r="BG237" s="1491" t="n"/>
      <c r="BH237" s="1491" t="n"/>
      <c r="BI237" s="1491" t="n"/>
      <c r="BJ237" s="1491" t="n"/>
      <c r="BK237" s="1491" t="n"/>
      <c r="BL237" s="1491" t="n"/>
      <c r="BM237" s="1491" t="n"/>
      <c r="BN237" s="1491" t="n"/>
      <c r="BO237" s="1467" t="n"/>
      <c r="BP237" s="1514" t="n">
        <v>233</v>
      </c>
      <c r="BQ237" s="1513">
        <f>[1]Sheet1!C238</f>
        <v/>
      </c>
      <c r="BR237" s="1515">
        <f>[1]Sheet1!D238</f>
        <v/>
      </c>
      <c r="BS237" s="1513">
        <f>[1]Sheet1!E238</f>
        <v/>
      </c>
      <c r="BT237" s="1515">
        <f>[1]Sheet1!F238</f>
        <v/>
      </c>
      <c r="BU237" s="1516">
        <f>[1]Sheet1!G238</f>
        <v/>
      </c>
      <c r="BV237" s="1513">
        <f>[1]Sheet1!H238</f>
        <v/>
      </c>
      <c r="BW237" s="1467" t="n"/>
      <c r="BX237" s="1538" t="n"/>
      <c r="BY237" s="1506" t="n"/>
      <c r="BZ237" s="1537" t="n"/>
      <c r="CA237" s="1511">
        <f>[1]Sheet1!$M238</f>
        <v/>
      </c>
      <c r="CB237" s="1467" t="n"/>
      <c r="CC237" s="1467" t="n"/>
      <c r="CD237" s="1491" t="n"/>
      <c r="CE237" s="1491" t="n"/>
      <c r="CF237" s="1491" t="n"/>
      <c r="CG237" s="1491" t="n"/>
      <c r="CH237" s="1491" t="n"/>
      <c r="CI237" s="1491" t="n"/>
      <c r="CJ237" s="1491" t="n"/>
      <c r="CK237" s="1491" t="n"/>
      <c r="CL237" s="1491" t="n"/>
      <c r="CM237" s="1491" t="n"/>
      <c r="CN237" s="1491" t="n"/>
      <c r="CO237" s="1491" t="n"/>
      <c r="CP237" s="1491" t="n"/>
      <c r="CQ237" s="1491" t="n"/>
      <c r="CR237" s="1491" t="n"/>
      <c r="CS237" s="1491" t="n"/>
      <c r="CT237" s="1491" t="n"/>
      <c r="CU237" s="1491" t="n"/>
      <c r="CV237" s="1491" t="n"/>
      <c r="CW237" s="1491" t="n"/>
      <c r="CX237" s="1491" t="n"/>
    </row>
    <row r="238">
      <c r="A238" s="1491" t="n"/>
      <c r="B238" s="1491" t="n"/>
      <c r="C238" s="1491" t="n"/>
      <c r="D238" s="1497">
        <f>IF(E238&lt;&gt;"",D237+1,D237)</f>
        <v/>
      </c>
      <c r="E238" s="1497" t="inlineStr">
        <is>
          <t>Logrono</t>
        </is>
      </c>
      <c r="F238" s="1535" t="inlineStr">
        <is>
          <t>.</t>
        </is>
      </c>
      <c r="G238" s="1498">
        <f>IF(H238="AIR",0,IF(H237="AIR",G236+1,IF(H238&lt;&gt;"",G237+1,G237)))</f>
        <v/>
      </c>
      <c r="H238" s="1498" t="inlineStr">
        <is>
          <t>Larrasoana</t>
        </is>
      </c>
      <c r="I238" s="1427" t="inlineStr">
        <is>
          <t>.</t>
        </is>
      </c>
      <c r="J238" s="1499" t="n">
        <v>233</v>
      </c>
      <c r="K238" s="1500">
        <f>_xlfn.XLOOKUP(cities[[#This Row],[id]],$D$5:$D$1500,E$5:E$1500,"-")</f>
        <v/>
      </c>
      <c r="L238" s="1500">
        <f>_xlfn.XLOOKUP(cities[[#This Row],[city]],ccc[city],ccc[ctry],"-")</f>
        <v/>
      </c>
      <c r="M238" s="1500">
        <f>SUMIFS(stayCity[stay],stayCity[city],cities[[#This Row],[city]])</f>
        <v/>
      </c>
      <c r="N238" s="1427">
        <f>N237+1</f>
        <v/>
      </c>
      <c r="O238" s="1500" t="n"/>
      <c r="P238" s="1500" t="n"/>
      <c r="Q238" s="1427" t="inlineStr">
        <is>
          <t>.</t>
        </is>
      </c>
      <c r="R238" s="1491" t="n"/>
      <c r="S238" s="1491" t="n"/>
      <c r="T238" s="1491" t="n"/>
      <c r="U238" s="1491" t="n"/>
      <c r="V238" s="1491" t="n"/>
      <c r="W238" s="1491" t="n"/>
      <c r="X238" s="1491" t="n"/>
      <c r="Y238" s="1491" t="n"/>
      <c r="Z238" s="1491" t="n"/>
      <c r="AA238" s="1491" t="n"/>
      <c r="AB238" s="1491" t="n"/>
      <c r="AC238" s="1491" t="n"/>
      <c r="AD238" s="1491" t="n"/>
      <c r="AE238" s="1491" t="n"/>
      <c r="AF238" s="1491" t="n"/>
      <c r="AG238" s="1491" t="n"/>
      <c r="AH238" s="1491" t="n"/>
      <c r="AI238" s="1491" t="n"/>
      <c r="AJ238" s="1491" t="n"/>
      <c r="AK238" s="1491" t="n"/>
      <c r="AL238" s="1491" t="n"/>
      <c r="AM238" s="1491" t="n"/>
      <c r="AN238" s="1491" t="n"/>
      <c r="AO238" s="1491" t="n"/>
      <c r="AP238" s="1491" t="n"/>
      <c r="AQ238" s="1491" t="n"/>
      <c r="AR238" s="1491" t="n"/>
      <c r="AS238" s="1491" t="n"/>
      <c r="AT238" s="1491" t="n"/>
      <c r="AU238" s="1491" t="n"/>
      <c r="AV238" s="1491" t="n"/>
      <c r="AW238" s="1491" t="n"/>
      <c r="AX238" s="1491" t="n"/>
      <c r="AY238" s="1491" t="n"/>
      <c r="AZ238" s="1491" t="n"/>
      <c r="BA238" s="1491" t="n"/>
      <c r="BB238" s="1491" t="n"/>
      <c r="BC238" s="1491" t="n"/>
      <c r="BD238" s="1491" t="n"/>
      <c r="BE238" s="1491" t="n"/>
      <c r="BF238" s="1491" t="n"/>
      <c r="BG238" s="1491" t="n"/>
      <c r="BH238" s="1491" t="n"/>
      <c r="BI238" s="1491" t="n"/>
      <c r="BJ238" s="1491" t="n"/>
      <c r="BK238" s="1491" t="n"/>
      <c r="BL238" s="1491" t="n"/>
      <c r="BM238" s="1491" t="n"/>
      <c r="BN238" s="1491" t="n"/>
      <c r="BO238" s="1467" t="n"/>
      <c r="BP238" s="1514" t="n">
        <v>234</v>
      </c>
      <c r="BQ238" s="1513">
        <f>[1]Sheet1!C239</f>
        <v/>
      </c>
      <c r="BR238" s="1515">
        <f>[1]Sheet1!D239</f>
        <v/>
      </c>
      <c r="BS238" s="1513">
        <f>[1]Sheet1!E239</f>
        <v/>
      </c>
      <c r="BT238" s="1515">
        <f>[1]Sheet1!F239</f>
        <v/>
      </c>
      <c r="BU238" s="1516">
        <f>[1]Sheet1!G239</f>
        <v/>
      </c>
      <c r="BV238" s="1513">
        <f>[1]Sheet1!H239</f>
        <v/>
      </c>
      <c r="BW238" s="1467" t="n"/>
      <c r="BX238" s="1538" t="n"/>
      <c r="BY238" s="1506" t="n"/>
      <c r="BZ238" s="1537" t="n"/>
      <c r="CA238" s="1511">
        <f>[1]Sheet1!$M239</f>
        <v/>
      </c>
      <c r="CB238" s="1467" t="n"/>
      <c r="CC238" s="1467" t="n"/>
      <c r="CD238" s="1491" t="n"/>
      <c r="CE238" s="1491" t="n"/>
      <c r="CF238" s="1491" t="n"/>
      <c r="CG238" s="1491" t="n"/>
      <c r="CH238" s="1491" t="n"/>
      <c r="CI238" s="1491" t="n"/>
      <c r="CJ238" s="1491" t="n"/>
      <c r="CK238" s="1491" t="n"/>
      <c r="CL238" s="1491" t="n"/>
      <c r="CM238" s="1491" t="n"/>
      <c r="CN238" s="1491" t="n"/>
      <c r="CO238" s="1491" t="n"/>
      <c r="CP238" s="1491" t="n"/>
      <c r="CQ238" s="1491" t="n"/>
      <c r="CR238" s="1491" t="n"/>
      <c r="CS238" s="1491" t="n"/>
      <c r="CT238" s="1491" t="n"/>
      <c r="CU238" s="1491" t="n"/>
      <c r="CV238" s="1491" t="n"/>
      <c r="CW238" s="1491" t="n"/>
      <c r="CX238" s="1491" t="n"/>
    </row>
    <row r="239">
      <c r="A239" s="1491" t="n"/>
      <c r="B239" s="1491" t="n"/>
      <c r="C239" s="1491" t="n"/>
      <c r="D239" s="1497">
        <f>IF(E239&lt;&gt;"",D238+1,D238)</f>
        <v/>
      </c>
      <c r="E239" s="1497" t="inlineStr">
        <is>
          <t>Navarrete</t>
        </is>
      </c>
      <c r="F239" s="1535" t="inlineStr">
        <is>
          <t>.</t>
        </is>
      </c>
      <c r="G239" s="1498">
        <f>IF(H239="AIR",0,IF(H238="AIR",G237+1,IF(H239&lt;&gt;"",G238+1,G238)))</f>
        <v/>
      </c>
      <c r="H239" s="1498" t="inlineStr">
        <is>
          <t>Pamplona</t>
        </is>
      </c>
      <c r="I239" s="1427" t="inlineStr">
        <is>
          <t>.</t>
        </is>
      </c>
      <c r="J239" s="1499" t="n">
        <v>234</v>
      </c>
      <c r="K239" s="1500">
        <f>_xlfn.XLOOKUP(cities[[#This Row],[id]],$D$5:$D$1500,E$5:E$1500,"-")</f>
        <v/>
      </c>
      <c r="L239" s="1500">
        <f>_xlfn.XLOOKUP(cities[[#This Row],[city]],ccc[city],ccc[ctry],"-")</f>
        <v/>
      </c>
      <c r="M239" s="1500">
        <f>SUMIFS(stayCity[stay],stayCity[city],cities[[#This Row],[city]])</f>
        <v/>
      </c>
      <c r="N239" s="1427">
        <f>N238+1</f>
        <v/>
      </c>
      <c r="O239" s="1500" t="n"/>
      <c r="P239" s="1500" t="n"/>
      <c r="Q239" s="1427" t="inlineStr">
        <is>
          <t>.</t>
        </is>
      </c>
      <c r="R239" s="1491" t="n"/>
      <c r="S239" s="1491" t="n"/>
      <c r="T239" s="1491" t="n"/>
      <c r="U239" s="1491" t="n"/>
      <c r="V239" s="1491" t="n"/>
      <c r="W239" s="1491" t="n"/>
      <c r="X239" s="1491" t="n"/>
      <c r="Y239" s="1491" t="n"/>
      <c r="Z239" s="1491" t="n"/>
      <c r="AA239" s="1491" t="n"/>
      <c r="AB239" s="1491" t="n"/>
      <c r="AC239" s="1491" t="n"/>
      <c r="AD239" s="1491" t="n"/>
      <c r="AE239" s="1491" t="n"/>
      <c r="AF239" s="1491" t="n"/>
      <c r="AG239" s="1491" t="n"/>
      <c r="AH239" s="1491" t="n"/>
      <c r="AI239" s="1491" t="n"/>
      <c r="AJ239" s="1491" t="n"/>
      <c r="AK239" s="1491" t="n"/>
      <c r="AL239" s="1491" t="n"/>
      <c r="AM239" s="1491" t="n"/>
      <c r="AN239" s="1491" t="n"/>
      <c r="AO239" s="1491" t="n"/>
      <c r="AP239" s="1491" t="n"/>
      <c r="AQ239" s="1491" t="n"/>
      <c r="AR239" s="1491" t="n"/>
      <c r="AS239" s="1491" t="n"/>
      <c r="AT239" s="1491" t="n"/>
      <c r="AU239" s="1491" t="n"/>
      <c r="AV239" s="1491" t="n"/>
      <c r="AW239" s="1491" t="n"/>
      <c r="AX239" s="1491" t="n"/>
      <c r="AY239" s="1491" t="n"/>
      <c r="AZ239" s="1491" t="n"/>
      <c r="BA239" s="1491" t="n"/>
      <c r="BB239" s="1491" t="n"/>
      <c r="BC239" s="1491" t="n"/>
      <c r="BD239" s="1491" t="n"/>
      <c r="BE239" s="1491" t="n"/>
      <c r="BF239" s="1491" t="n"/>
      <c r="BG239" s="1491" t="n"/>
      <c r="BH239" s="1491" t="n"/>
      <c r="BI239" s="1491" t="n"/>
      <c r="BJ239" s="1491" t="n"/>
      <c r="BK239" s="1491" t="n"/>
      <c r="BL239" s="1491" t="n"/>
      <c r="BM239" s="1491" t="n"/>
      <c r="BN239" s="1491" t="n"/>
      <c r="BO239" s="1467" t="n"/>
      <c r="BP239" s="1514" t="n">
        <v>235</v>
      </c>
      <c r="BQ239" s="1513">
        <f>[1]Sheet1!C240</f>
        <v/>
      </c>
      <c r="BR239" s="1515">
        <f>[1]Sheet1!D240</f>
        <v/>
      </c>
      <c r="BS239" s="1513">
        <f>[1]Sheet1!E240</f>
        <v/>
      </c>
      <c r="BT239" s="1515">
        <f>[1]Sheet1!F240</f>
        <v/>
      </c>
      <c r="BU239" s="1516">
        <f>[1]Sheet1!G240</f>
        <v/>
      </c>
      <c r="BV239" s="1513">
        <f>[1]Sheet1!H240</f>
        <v/>
      </c>
      <c r="BW239" s="1467" t="n"/>
      <c r="BX239" s="1538" t="n"/>
      <c r="BY239" s="1506" t="n"/>
      <c r="BZ239" s="1537" t="n"/>
      <c r="CA239" s="1511">
        <f>[1]Sheet1!$M240</f>
        <v/>
      </c>
      <c r="CB239" s="1467" t="n"/>
      <c r="CC239" s="1467" t="n"/>
      <c r="CD239" s="1491" t="n"/>
      <c r="CE239" s="1491" t="n"/>
      <c r="CF239" s="1491" t="n"/>
      <c r="CG239" s="1491" t="n"/>
      <c r="CH239" s="1491" t="n"/>
      <c r="CI239" s="1491" t="n"/>
      <c r="CJ239" s="1491" t="n"/>
      <c r="CK239" s="1491" t="n"/>
      <c r="CL239" s="1491" t="n"/>
      <c r="CM239" s="1491" t="n"/>
      <c r="CN239" s="1491" t="n"/>
      <c r="CO239" s="1491" t="n"/>
      <c r="CP239" s="1491" t="n"/>
      <c r="CQ239" s="1491" t="n"/>
      <c r="CR239" s="1491" t="n"/>
      <c r="CS239" s="1491" t="n"/>
      <c r="CT239" s="1491" t="n"/>
      <c r="CU239" s="1491" t="n"/>
      <c r="CV239" s="1491" t="n"/>
      <c r="CW239" s="1491" t="n"/>
      <c r="CX239" s="1491" t="n"/>
    </row>
    <row r="240">
      <c r="A240" s="1491" t="n"/>
      <c r="B240" s="1491" t="n"/>
      <c r="C240" s="1491" t="n"/>
      <c r="D240" s="1497">
        <f>IF(E240&lt;&gt;"",D239+1,D239)</f>
        <v/>
      </c>
      <c r="E240" s="1497" t="inlineStr">
        <is>
          <t>Najera</t>
        </is>
      </c>
      <c r="F240" s="1535" t="inlineStr">
        <is>
          <t>.</t>
        </is>
      </c>
      <c r="G240" s="1498">
        <f>IF(H240="AIR",0,IF(H239="AIR",G238+1,IF(H240&lt;&gt;"",G239+1,G239)))</f>
        <v/>
      </c>
      <c r="H240" s="1498" t="inlineStr">
        <is>
          <t>Serra dos Perdoes</t>
        </is>
      </c>
      <c r="I240" s="1427" t="inlineStr">
        <is>
          <t>.</t>
        </is>
      </c>
      <c r="J240" s="1499" t="n">
        <v>235</v>
      </c>
      <c r="K240" s="1500">
        <f>_xlfn.XLOOKUP(cities[[#This Row],[id]],$D$5:$D$1500,E$5:E$1500,"-")</f>
        <v/>
      </c>
      <c r="L240" s="1500">
        <f>_xlfn.XLOOKUP(cities[[#This Row],[city]],ccc[city],ccc[ctry],"-")</f>
        <v/>
      </c>
      <c r="M240" s="1500">
        <f>SUMIFS(stayCity[stay],stayCity[city],cities[[#This Row],[city]])</f>
        <v/>
      </c>
      <c r="N240" s="1427">
        <f>N239+1</f>
        <v/>
      </c>
      <c r="O240" s="1500" t="n"/>
      <c r="P240" s="1500" t="n"/>
      <c r="Q240" s="1427" t="inlineStr">
        <is>
          <t>.</t>
        </is>
      </c>
      <c r="R240" s="1491" t="n"/>
      <c r="S240" s="1491" t="n"/>
      <c r="T240" s="1491" t="n"/>
      <c r="U240" s="1491" t="n"/>
      <c r="V240" s="1491" t="n"/>
      <c r="W240" s="1491" t="n"/>
      <c r="X240" s="1491" t="n"/>
      <c r="Y240" s="1491" t="n"/>
      <c r="Z240" s="1491" t="n"/>
      <c r="AA240" s="1491" t="n"/>
      <c r="AB240" s="1491" t="n"/>
      <c r="AC240" s="1491" t="n"/>
      <c r="AD240" s="1491" t="n"/>
      <c r="AE240" s="1491" t="n"/>
      <c r="AF240" s="1491" t="n"/>
      <c r="AG240" s="1491" t="n"/>
      <c r="AH240" s="1491" t="n"/>
      <c r="AI240" s="1491" t="n"/>
      <c r="AJ240" s="1491" t="n"/>
      <c r="AK240" s="1491" t="n"/>
      <c r="AL240" s="1491" t="n"/>
      <c r="AM240" s="1491" t="n"/>
      <c r="AN240" s="1491" t="n"/>
      <c r="AO240" s="1491" t="n"/>
      <c r="AP240" s="1491" t="n"/>
      <c r="AQ240" s="1491" t="n"/>
      <c r="AR240" s="1491" t="n"/>
      <c r="AS240" s="1491" t="n"/>
      <c r="AT240" s="1491" t="n"/>
      <c r="AU240" s="1491" t="n"/>
      <c r="AV240" s="1491" t="n"/>
      <c r="AW240" s="1491" t="n"/>
      <c r="AX240" s="1491" t="n"/>
      <c r="AY240" s="1491" t="n"/>
      <c r="AZ240" s="1491" t="n"/>
      <c r="BA240" s="1491" t="n"/>
      <c r="BB240" s="1491" t="n"/>
      <c r="BC240" s="1491" t="n"/>
      <c r="BD240" s="1491" t="n"/>
      <c r="BE240" s="1491" t="n"/>
      <c r="BF240" s="1491" t="n"/>
      <c r="BG240" s="1491" t="n"/>
      <c r="BH240" s="1491" t="n"/>
      <c r="BI240" s="1491" t="n"/>
      <c r="BJ240" s="1491" t="n"/>
      <c r="BK240" s="1491" t="n"/>
      <c r="BL240" s="1491" t="n"/>
      <c r="BM240" s="1491" t="n"/>
      <c r="BN240" s="1491" t="n"/>
      <c r="BO240" s="1467" t="n"/>
      <c r="BP240" s="1514" t="n">
        <v>236</v>
      </c>
      <c r="BQ240" s="1513">
        <f>[1]Sheet1!C241</f>
        <v/>
      </c>
      <c r="BR240" s="1515">
        <f>[1]Sheet1!D241</f>
        <v/>
      </c>
      <c r="BS240" s="1513">
        <f>[1]Sheet1!E241</f>
        <v/>
      </c>
      <c r="BT240" s="1515">
        <f>[1]Sheet1!F241</f>
        <v/>
      </c>
      <c r="BU240" s="1516">
        <f>[1]Sheet1!G241</f>
        <v/>
      </c>
      <c r="BV240" s="1513">
        <f>[1]Sheet1!H241</f>
        <v/>
      </c>
      <c r="BW240" s="1467" t="n"/>
      <c r="BX240" s="1538" t="n"/>
      <c r="BY240" s="1506" t="n"/>
      <c r="BZ240" s="1537" t="n"/>
      <c r="CA240" s="1511">
        <f>[1]Sheet1!$M241</f>
        <v/>
      </c>
      <c r="CB240" s="1467" t="n"/>
      <c r="CC240" s="1467" t="n"/>
      <c r="CD240" s="1491" t="n"/>
      <c r="CE240" s="1491" t="n"/>
      <c r="CF240" s="1491" t="n"/>
      <c r="CG240" s="1491" t="n"/>
      <c r="CH240" s="1491" t="n"/>
      <c r="CI240" s="1491" t="n"/>
      <c r="CJ240" s="1491" t="n"/>
      <c r="CK240" s="1491" t="n"/>
      <c r="CL240" s="1491" t="n"/>
      <c r="CM240" s="1491" t="n"/>
      <c r="CN240" s="1491" t="n"/>
      <c r="CO240" s="1491" t="n"/>
      <c r="CP240" s="1491" t="n"/>
      <c r="CQ240" s="1491" t="n"/>
      <c r="CR240" s="1491" t="n"/>
      <c r="CS240" s="1491" t="n"/>
      <c r="CT240" s="1491" t="n"/>
      <c r="CU240" s="1491" t="n"/>
      <c r="CV240" s="1491" t="n"/>
      <c r="CW240" s="1491" t="n"/>
      <c r="CX240" s="1491" t="n"/>
    </row>
    <row r="241">
      <c r="A241" s="1491" t="n"/>
      <c r="B241" s="1491" t="n"/>
      <c r="C241" s="1491" t="n"/>
      <c r="D241" s="1497">
        <f>IF(E241&lt;&gt;"",D240+1,D240)</f>
        <v/>
      </c>
      <c r="E241" s="1497" t="inlineStr">
        <is>
          <t>Sto Domingo de la Calzada</t>
        </is>
      </c>
      <c r="F241" s="1535" t="inlineStr">
        <is>
          <t>.</t>
        </is>
      </c>
      <c r="G241" s="1498">
        <f>IF(H241="AIR",0,IF(H240="AIR",G239+1,IF(H241&lt;&gt;"",G240+1,G240)))</f>
        <v/>
      </c>
      <c r="H241" s="1498" t="inlineStr">
        <is>
          <t>Muruzubal</t>
        </is>
      </c>
      <c r="I241" s="1427" t="inlineStr">
        <is>
          <t>.</t>
        </is>
      </c>
      <c r="J241" s="1499" t="n">
        <v>236</v>
      </c>
      <c r="K241" s="1500">
        <f>_xlfn.XLOOKUP(cities[[#This Row],[id]],$D$5:$D$1500,E$5:E$1500,"-")</f>
        <v/>
      </c>
      <c r="L241" s="1500">
        <f>_xlfn.XLOOKUP(cities[[#This Row],[city]],ccc[city],ccc[ctry],"-")</f>
        <v/>
      </c>
      <c r="M241" s="1500">
        <f>SUMIFS(stayCity[stay],stayCity[city],cities[[#This Row],[city]])</f>
        <v/>
      </c>
      <c r="N241" s="1427">
        <f>N240+1</f>
        <v/>
      </c>
      <c r="O241" s="1500" t="n"/>
      <c r="P241" s="1500" t="n"/>
      <c r="Q241" s="1427" t="inlineStr">
        <is>
          <t>.</t>
        </is>
      </c>
      <c r="R241" s="1491" t="n"/>
      <c r="S241" s="1491" t="n"/>
      <c r="T241" s="1491" t="n"/>
      <c r="U241" s="1491" t="n"/>
      <c r="V241" s="1491" t="n"/>
      <c r="W241" s="1491" t="n"/>
      <c r="X241" s="1491" t="n"/>
      <c r="Y241" s="1491" t="n"/>
      <c r="Z241" s="1491" t="n"/>
      <c r="AA241" s="1491" t="n"/>
      <c r="AB241" s="1491" t="n"/>
      <c r="AC241" s="1491" t="n"/>
      <c r="AD241" s="1491" t="n"/>
      <c r="AE241" s="1491" t="n"/>
      <c r="AF241" s="1491" t="n"/>
      <c r="AG241" s="1491" t="n"/>
      <c r="AH241" s="1491" t="n"/>
      <c r="AI241" s="1491" t="n"/>
      <c r="AJ241" s="1491" t="n"/>
      <c r="AK241" s="1491" t="n"/>
      <c r="AL241" s="1491" t="n"/>
      <c r="AM241" s="1491" t="n"/>
      <c r="AN241" s="1491" t="n"/>
      <c r="AO241" s="1491" t="n"/>
      <c r="AP241" s="1491" t="n"/>
      <c r="AQ241" s="1491" t="n"/>
      <c r="AR241" s="1491" t="n"/>
      <c r="AS241" s="1491" t="n"/>
      <c r="AT241" s="1491" t="n"/>
      <c r="AU241" s="1491" t="n"/>
      <c r="AV241" s="1491" t="n"/>
      <c r="AW241" s="1491" t="n"/>
      <c r="AX241" s="1491" t="n"/>
      <c r="AY241" s="1491" t="n"/>
      <c r="AZ241" s="1491" t="n"/>
      <c r="BA241" s="1491" t="n"/>
      <c r="BB241" s="1491" t="n"/>
      <c r="BC241" s="1491" t="n"/>
      <c r="BD241" s="1491" t="n"/>
      <c r="BE241" s="1491" t="n"/>
      <c r="BF241" s="1491" t="n"/>
      <c r="BG241" s="1491" t="n"/>
      <c r="BH241" s="1491" t="n"/>
      <c r="BI241" s="1491" t="n"/>
      <c r="BJ241" s="1491" t="n"/>
      <c r="BK241" s="1491" t="n"/>
      <c r="BL241" s="1491" t="n"/>
      <c r="BM241" s="1491" t="n"/>
      <c r="BN241" s="1491" t="n"/>
      <c r="BO241" s="1467" t="n"/>
      <c r="BP241" s="1514" t="n">
        <v>237</v>
      </c>
      <c r="BQ241" s="1513">
        <f>[1]Sheet1!C242</f>
        <v/>
      </c>
      <c r="BR241" s="1515">
        <f>[1]Sheet1!D242</f>
        <v/>
      </c>
      <c r="BS241" s="1513">
        <f>[1]Sheet1!E242</f>
        <v/>
      </c>
      <c r="BT241" s="1515">
        <f>[1]Sheet1!F242</f>
        <v/>
      </c>
      <c r="BU241" s="1516">
        <f>[1]Sheet1!G242</f>
        <v/>
      </c>
      <c r="BV241" s="1513">
        <f>[1]Sheet1!H242</f>
        <v/>
      </c>
      <c r="BW241" s="1467" t="n"/>
      <c r="BX241" s="1538" t="n"/>
      <c r="BY241" s="1506" t="n"/>
      <c r="BZ241" s="1537" t="n"/>
      <c r="CA241" s="1511">
        <f>[1]Sheet1!$M242</f>
        <v/>
      </c>
      <c r="CB241" s="1467" t="n"/>
      <c r="CC241" s="1467" t="n"/>
      <c r="CD241" s="1491" t="n"/>
      <c r="CE241" s="1491" t="n"/>
      <c r="CF241" s="1491" t="n"/>
      <c r="CG241" s="1491" t="n"/>
      <c r="CH241" s="1491" t="n"/>
      <c r="CI241" s="1491" t="n"/>
      <c r="CJ241" s="1491" t="n"/>
      <c r="CK241" s="1491" t="n"/>
      <c r="CL241" s="1491" t="n"/>
      <c r="CM241" s="1491" t="n"/>
      <c r="CN241" s="1491" t="n"/>
      <c r="CO241" s="1491" t="n"/>
      <c r="CP241" s="1491" t="n"/>
      <c r="CQ241" s="1491" t="n"/>
      <c r="CR241" s="1491" t="n"/>
      <c r="CS241" s="1491" t="n"/>
      <c r="CT241" s="1491" t="n"/>
      <c r="CU241" s="1491" t="n"/>
      <c r="CV241" s="1491" t="n"/>
      <c r="CW241" s="1491" t="n"/>
      <c r="CX241" s="1491" t="n"/>
    </row>
    <row r="242">
      <c r="A242" s="1491" t="n"/>
      <c r="B242" s="1491" t="n"/>
      <c r="C242" s="1491" t="n"/>
      <c r="D242" s="1497">
        <f>IF(E242&lt;&gt;"",D241+1,D241)</f>
        <v/>
      </c>
      <c r="E242" s="1497" t="inlineStr">
        <is>
          <t>Redecilla del Camino</t>
        </is>
      </c>
      <c r="F242" s="1535" t="inlineStr">
        <is>
          <t>.</t>
        </is>
      </c>
      <c r="G242" s="1498">
        <f>IF(H242="AIR",0,IF(H241="AIR",G240+1,IF(H242&lt;&gt;"",G241+1,G241)))</f>
        <v/>
      </c>
      <c r="H242" s="1498" t="inlineStr">
        <is>
          <t>Puente la Reina</t>
        </is>
      </c>
      <c r="I242" s="1427" t="inlineStr">
        <is>
          <t>.</t>
        </is>
      </c>
      <c r="J242" s="1499" t="n">
        <v>237</v>
      </c>
      <c r="K242" s="1500">
        <f>_xlfn.XLOOKUP(cities[[#This Row],[id]],$D$5:$D$1500,E$5:E$1500,"-")</f>
        <v/>
      </c>
      <c r="L242" s="1500">
        <f>_xlfn.XLOOKUP(cities[[#This Row],[city]],ccc[city],ccc[ctry],"-")</f>
        <v/>
      </c>
      <c r="M242" s="1500">
        <f>SUMIFS(stayCity[stay],stayCity[city],cities[[#This Row],[city]])</f>
        <v/>
      </c>
      <c r="N242" s="1427">
        <f>N241+1</f>
        <v/>
      </c>
      <c r="O242" s="1500" t="n"/>
      <c r="P242" s="1500" t="n"/>
      <c r="Q242" s="1427" t="inlineStr">
        <is>
          <t>.</t>
        </is>
      </c>
      <c r="R242" s="1491" t="n"/>
      <c r="S242" s="1491" t="n"/>
      <c r="T242" s="1491" t="n"/>
      <c r="U242" s="1491" t="n"/>
      <c r="V242" s="1491" t="n"/>
      <c r="W242" s="1491" t="n"/>
      <c r="X242" s="1491" t="n"/>
      <c r="Y242" s="1491" t="n"/>
      <c r="Z242" s="1491" t="n"/>
      <c r="AA242" s="1491" t="n"/>
      <c r="AB242" s="1491" t="n"/>
      <c r="AC242" s="1491" t="n"/>
      <c r="AD242" s="1491" t="n"/>
      <c r="AE242" s="1491" t="n"/>
      <c r="AF242" s="1491" t="n"/>
      <c r="AG242" s="1491" t="n"/>
      <c r="AH242" s="1491" t="n"/>
      <c r="AI242" s="1491" t="n"/>
      <c r="AJ242" s="1491" t="n"/>
      <c r="AK242" s="1491" t="n"/>
      <c r="AL242" s="1491" t="n"/>
      <c r="AM242" s="1491" t="n"/>
      <c r="AN242" s="1491" t="n"/>
      <c r="AO242" s="1491" t="n"/>
      <c r="AP242" s="1491" t="n"/>
      <c r="AQ242" s="1491" t="n"/>
      <c r="AR242" s="1491" t="n"/>
      <c r="AS242" s="1491" t="n"/>
      <c r="AT242" s="1491" t="n"/>
      <c r="AU242" s="1491" t="n"/>
      <c r="AV242" s="1491" t="n"/>
      <c r="AW242" s="1491" t="n"/>
      <c r="AX242" s="1491" t="n"/>
      <c r="AY242" s="1491" t="n"/>
      <c r="AZ242" s="1491" t="n"/>
      <c r="BA242" s="1491" t="n"/>
      <c r="BB242" s="1491" t="n"/>
      <c r="BC242" s="1491" t="n"/>
      <c r="BD242" s="1491" t="n"/>
      <c r="BE242" s="1491" t="n"/>
      <c r="BF242" s="1491" t="n"/>
      <c r="BG242" s="1491" t="n"/>
      <c r="BH242" s="1491" t="n"/>
      <c r="BI242" s="1491" t="n"/>
      <c r="BJ242" s="1491" t="n"/>
      <c r="BK242" s="1491" t="n"/>
      <c r="BL242" s="1491" t="n"/>
      <c r="BM242" s="1491" t="n"/>
      <c r="BN242" s="1491" t="n"/>
      <c r="BO242" s="1467" t="n"/>
      <c r="BP242" s="1514" t="n">
        <v>238</v>
      </c>
      <c r="BQ242" s="1513">
        <f>[1]Sheet1!C243</f>
        <v/>
      </c>
      <c r="BR242" s="1515">
        <f>[1]Sheet1!D243</f>
        <v/>
      </c>
      <c r="BS242" s="1513">
        <f>[1]Sheet1!E243</f>
        <v/>
      </c>
      <c r="BT242" s="1515">
        <f>[1]Sheet1!F243</f>
        <v/>
      </c>
      <c r="BU242" s="1516">
        <f>[1]Sheet1!G243</f>
        <v/>
      </c>
      <c r="BV242" s="1513">
        <f>[1]Sheet1!H243</f>
        <v/>
      </c>
      <c r="BW242" s="1467" t="n"/>
      <c r="BX242" s="1538" t="n"/>
      <c r="BY242" s="1506" t="n"/>
      <c r="BZ242" s="1537" t="n"/>
      <c r="CA242" s="1511">
        <f>[1]Sheet1!$M243</f>
        <v/>
      </c>
      <c r="CB242" s="1467" t="n"/>
      <c r="CC242" s="1467" t="n"/>
      <c r="CD242" s="1491" t="n"/>
      <c r="CE242" s="1491" t="n"/>
      <c r="CF242" s="1491" t="n"/>
      <c r="CG242" s="1491" t="n"/>
      <c r="CH242" s="1491" t="n"/>
      <c r="CI242" s="1491" t="n"/>
      <c r="CJ242" s="1491" t="n"/>
      <c r="CK242" s="1491" t="n"/>
      <c r="CL242" s="1491" t="n"/>
      <c r="CM242" s="1491" t="n"/>
      <c r="CN242" s="1491" t="n"/>
      <c r="CO242" s="1491" t="n"/>
      <c r="CP242" s="1491" t="n"/>
      <c r="CQ242" s="1491" t="n"/>
      <c r="CR242" s="1491" t="n"/>
      <c r="CS242" s="1491" t="n"/>
      <c r="CT242" s="1491" t="n"/>
      <c r="CU242" s="1491" t="n"/>
      <c r="CV242" s="1491" t="n"/>
      <c r="CW242" s="1491" t="n"/>
      <c r="CX242" s="1491" t="n"/>
    </row>
    <row r="243">
      <c r="A243" s="1491" t="n"/>
      <c r="B243" s="1491" t="n"/>
      <c r="C243" s="1491" t="n"/>
      <c r="D243" s="1497">
        <f>IF(E243&lt;&gt;"",D242+1,D242)</f>
        <v/>
      </c>
      <c r="E243" s="1497" t="inlineStr">
        <is>
          <t>Violia de Rioja</t>
        </is>
      </c>
      <c r="F243" s="1535" t="inlineStr">
        <is>
          <t>.</t>
        </is>
      </c>
      <c r="G243" s="1498">
        <f>IF(H243="AIR",0,IF(H242="AIR",G241+1,IF(H243&lt;&gt;"",G242+1,G242)))</f>
        <v/>
      </c>
      <c r="H243" s="1498" t="inlineStr">
        <is>
          <t>Estella</t>
        </is>
      </c>
      <c r="I243" s="1427" t="inlineStr">
        <is>
          <t>.</t>
        </is>
      </c>
      <c r="J243" s="1499" t="n">
        <v>238</v>
      </c>
      <c r="K243" s="1500">
        <f>_xlfn.XLOOKUP(cities[[#This Row],[id]],$D$5:$D$1500,E$5:E$1500,"-")</f>
        <v/>
      </c>
      <c r="L243" s="1500">
        <f>_xlfn.XLOOKUP(cities[[#This Row],[city]],ccc[city],ccc[ctry],"-")</f>
        <v/>
      </c>
      <c r="M243" s="1500">
        <f>SUMIFS(stayCity[stay],stayCity[city],cities[[#This Row],[city]])</f>
        <v/>
      </c>
      <c r="N243" s="1427">
        <f>N242+1</f>
        <v/>
      </c>
      <c r="O243" s="1500" t="n"/>
      <c r="P243" s="1500" t="n"/>
      <c r="Q243" s="1427" t="inlineStr">
        <is>
          <t>.</t>
        </is>
      </c>
      <c r="R243" s="1491" t="n"/>
      <c r="S243" s="1491" t="n"/>
      <c r="T243" s="1491" t="n"/>
      <c r="U243" s="1491" t="n"/>
      <c r="V243" s="1491" t="n"/>
      <c r="W243" s="1491" t="n"/>
      <c r="X243" s="1491" t="n"/>
      <c r="Y243" s="1491" t="n"/>
      <c r="Z243" s="1491" t="n"/>
      <c r="AA243" s="1491" t="n"/>
      <c r="AB243" s="1491" t="n"/>
      <c r="AC243" s="1491" t="n"/>
      <c r="AD243" s="1491" t="n"/>
      <c r="AE243" s="1491" t="n"/>
      <c r="AF243" s="1491" t="n"/>
      <c r="AG243" s="1491" t="n"/>
      <c r="AH243" s="1491" t="n"/>
      <c r="AI243" s="1491" t="n"/>
      <c r="AJ243" s="1491" t="n"/>
      <c r="AK243" s="1491" t="n"/>
      <c r="AL243" s="1491" t="n"/>
      <c r="AM243" s="1491" t="n"/>
      <c r="AN243" s="1491" t="n"/>
      <c r="AO243" s="1491" t="n"/>
      <c r="AP243" s="1491" t="n"/>
      <c r="AQ243" s="1491" t="n"/>
      <c r="AR243" s="1491" t="n"/>
      <c r="AS243" s="1491" t="n"/>
      <c r="AT243" s="1491" t="n"/>
      <c r="AU243" s="1491" t="n"/>
      <c r="AV243" s="1491" t="n"/>
      <c r="AW243" s="1491" t="n"/>
      <c r="AX243" s="1491" t="n"/>
      <c r="AY243" s="1491" t="n"/>
      <c r="AZ243" s="1491" t="n"/>
      <c r="BA243" s="1491" t="n"/>
      <c r="BB243" s="1491" t="n"/>
      <c r="BC243" s="1491" t="n"/>
      <c r="BD243" s="1491" t="n"/>
      <c r="BE243" s="1491" t="n"/>
      <c r="BF243" s="1491" t="n"/>
      <c r="BG243" s="1491" t="n"/>
      <c r="BH243" s="1491" t="n"/>
      <c r="BI243" s="1491" t="n"/>
      <c r="BJ243" s="1491" t="n"/>
      <c r="BK243" s="1491" t="n"/>
      <c r="BL243" s="1491" t="n"/>
      <c r="BM243" s="1491" t="n"/>
      <c r="BN243" s="1491" t="n"/>
      <c r="BO243" s="1467" t="n"/>
      <c r="BP243" s="1514" t="n">
        <v>239</v>
      </c>
      <c r="BQ243" s="1513">
        <f>[1]Sheet1!C244</f>
        <v/>
      </c>
      <c r="BR243" s="1515">
        <f>[1]Sheet1!D244</f>
        <v/>
      </c>
      <c r="BS243" s="1513">
        <f>[1]Sheet1!E244</f>
        <v/>
      </c>
      <c r="BT243" s="1515">
        <f>[1]Sheet1!F244</f>
        <v/>
      </c>
      <c r="BU243" s="1516">
        <f>[1]Sheet1!G244</f>
        <v/>
      </c>
      <c r="BV243" s="1513">
        <f>[1]Sheet1!H244</f>
        <v/>
      </c>
      <c r="BW243" s="1467" t="n"/>
      <c r="BX243" s="1538" t="n"/>
      <c r="BY243" s="1506" t="n"/>
      <c r="BZ243" s="1537" t="n"/>
      <c r="CA243" s="1511">
        <f>[1]Sheet1!$M244</f>
        <v/>
      </c>
      <c r="CB243" s="1467" t="n"/>
      <c r="CC243" s="1467" t="n"/>
      <c r="CD243" s="1491" t="n"/>
      <c r="CE243" s="1491" t="n"/>
      <c r="CF243" s="1491" t="n"/>
      <c r="CG243" s="1491" t="n"/>
      <c r="CH243" s="1491" t="n"/>
      <c r="CI243" s="1491" t="n"/>
      <c r="CJ243" s="1491" t="n"/>
      <c r="CK243" s="1491" t="n"/>
      <c r="CL243" s="1491" t="n"/>
      <c r="CM243" s="1491" t="n"/>
      <c r="CN243" s="1491" t="n"/>
      <c r="CO243" s="1491" t="n"/>
      <c r="CP243" s="1491" t="n"/>
      <c r="CQ243" s="1491" t="n"/>
      <c r="CR243" s="1491" t="n"/>
      <c r="CS243" s="1491" t="n"/>
      <c r="CT243" s="1491" t="n"/>
      <c r="CU243" s="1491" t="n"/>
      <c r="CV243" s="1491" t="n"/>
      <c r="CW243" s="1491" t="n"/>
      <c r="CX243" s="1491" t="n"/>
    </row>
    <row r="244">
      <c r="A244" s="1491" t="n"/>
      <c r="B244" s="1491" t="n"/>
      <c r="C244" s="1491" t="n"/>
      <c r="D244" s="1497">
        <f>IF(E244&lt;&gt;"",D243+1,D243)</f>
        <v/>
      </c>
      <c r="E244" s="1497" t="inlineStr">
        <is>
          <t>Belorado</t>
        </is>
      </c>
      <c r="F244" s="1535" t="inlineStr">
        <is>
          <t>.</t>
        </is>
      </c>
      <c r="G244" s="1498">
        <f>IF(H244="AIR",0,IF(H243="AIR",G242+1,IF(H244&lt;&gt;"",G243+1,G243)))</f>
        <v/>
      </c>
      <c r="H244" s="1498" t="inlineStr">
        <is>
          <t>Los Arcos</t>
        </is>
      </c>
      <c r="I244" s="1427" t="inlineStr">
        <is>
          <t>.</t>
        </is>
      </c>
      <c r="J244" s="1499" t="n">
        <v>239</v>
      </c>
      <c r="K244" s="1500">
        <f>_xlfn.XLOOKUP(cities[[#This Row],[id]],$D$5:$D$1500,E$5:E$1500,"-")</f>
        <v/>
      </c>
      <c r="L244" s="1500">
        <f>_xlfn.XLOOKUP(cities[[#This Row],[city]],ccc[city],ccc[ctry],"-")</f>
        <v/>
      </c>
      <c r="M244" s="1500">
        <f>SUMIFS(stayCity[stay],stayCity[city],cities[[#This Row],[city]])</f>
        <v/>
      </c>
      <c r="N244" s="1427">
        <f>N243+1</f>
        <v/>
      </c>
      <c r="O244" s="1500" t="n"/>
      <c r="P244" s="1500" t="n"/>
      <c r="Q244" s="1427" t="inlineStr">
        <is>
          <t>.</t>
        </is>
      </c>
      <c r="R244" s="1491" t="n"/>
      <c r="S244" s="1491" t="n"/>
      <c r="T244" s="1491" t="n"/>
      <c r="U244" s="1491" t="n"/>
      <c r="V244" s="1491" t="n"/>
      <c r="W244" s="1491" t="n"/>
      <c r="X244" s="1491" t="n"/>
      <c r="Y244" s="1491" t="n"/>
      <c r="Z244" s="1491" t="n"/>
      <c r="AA244" s="1491" t="n"/>
      <c r="AB244" s="1491" t="n"/>
      <c r="AC244" s="1491" t="n"/>
      <c r="AD244" s="1491" t="n"/>
      <c r="AE244" s="1491" t="n"/>
      <c r="AF244" s="1491" t="n"/>
      <c r="AG244" s="1491" t="n"/>
      <c r="AH244" s="1491" t="n"/>
      <c r="AI244" s="1491" t="n"/>
      <c r="AJ244" s="1491" t="n"/>
      <c r="AK244" s="1491" t="n"/>
      <c r="AL244" s="1491" t="n"/>
      <c r="AM244" s="1491" t="n"/>
      <c r="AN244" s="1491" t="n"/>
      <c r="AO244" s="1491" t="n"/>
      <c r="AP244" s="1491" t="n"/>
      <c r="AQ244" s="1491" t="n"/>
      <c r="AR244" s="1491" t="n"/>
      <c r="AS244" s="1491" t="n"/>
      <c r="AT244" s="1491" t="n"/>
      <c r="AU244" s="1491" t="n"/>
      <c r="AV244" s="1491" t="n"/>
      <c r="AW244" s="1491" t="n"/>
      <c r="AX244" s="1491" t="n"/>
      <c r="AY244" s="1491" t="n"/>
      <c r="AZ244" s="1491" t="n"/>
      <c r="BA244" s="1491" t="n"/>
      <c r="BB244" s="1491" t="n"/>
      <c r="BC244" s="1491" t="n"/>
      <c r="BD244" s="1491" t="n"/>
      <c r="BE244" s="1491" t="n"/>
      <c r="BF244" s="1491" t="n"/>
      <c r="BG244" s="1491" t="n"/>
      <c r="BH244" s="1491" t="n"/>
      <c r="BI244" s="1491" t="n"/>
      <c r="BJ244" s="1491" t="n"/>
      <c r="BK244" s="1491" t="n"/>
      <c r="BL244" s="1491" t="n"/>
      <c r="BM244" s="1491" t="n"/>
      <c r="BN244" s="1491" t="n"/>
      <c r="BO244" s="1467" t="n"/>
      <c r="BP244" s="1514" t="n">
        <v>240</v>
      </c>
      <c r="BQ244" s="1513">
        <f>[1]Sheet1!C245</f>
        <v/>
      </c>
      <c r="BR244" s="1515">
        <f>[1]Sheet1!D245</f>
        <v/>
      </c>
      <c r="BS244" s="1513">
        <f>[1]Sheet1!E245</f>
        <v/>
      </c>
      <c r="BT244" s="1515">
        <f>[1]Sheet1!F245</f>
        <v/>
      </c>
      <c r="BU244" s="1516">
        <f>[1]Sheet1!G245</f>
        <v/>
      </c>
      <c r="BV244" s="1513">
        <f>[1]Sheet1!H245</f>
        <v/>
      </c>
      <c r="BW244" s="1467" t="n"/>
      <c r="BX244" s="1538" t="n"/>
      <c r="BY244" s="1506" t="n"/>
      <c r="BZ244" s="1537" t="n"/>
      <c r="CA244" s="1500">
        <f>[1]Sheet1!$M245</f>
        <v/>
      </c>
      <c r="CB244" s="1467" t="n"/>
      <c r="CC244" s="1467" t="n"/>
      <c r="CD244" s="1491" t="n"/>
      <c r="CE244" s="1491" t="n"/>
      <c r="CF244" s="1491" t="n"/>
      <c r="CG244" s="1491" t="n"/>
      <c r="CH244" s="1491" t="n"/>
      <c r="CI244" s="1491" t="n"/>
      <c r="CJ244" s="1491" t="n"/>
      <c r="CK244" s="1491" t="n"/>
      <c r="CL244" s="1491" t="n"/>
      <c r="CM244" s="1491" t="n"/>
      <c r="CN244" s="1491" t="n"/>
      <c r="CO244" s="1491" t="n"/>
      <c r="CP244" s="1491" t="n"/>
      <c r="CQ244" s="1491" t="n"/>
      <c r="CR244" s="1491" t="n"/>
      <c r="CS244" s="1491" t="n"/>
      <c r="CT244" s="1491" t="n"/>
      <c r="CU244" s="1491" t="n"/>
      <c r="CV244" s="1491" t="n"/>
      <c r="CW244" s="1491" t="n"/>
      <c r="CX244" s="1491" t="n"/>
    </row>
    <row r="245">
      <c r="A245" s="1491" t="n"/>
      <c r="B245" s="1491" t="n"/>
      <c r="C245" s="1491" t="n"/>
      <c r="D245" s="1497">
        <f>IF(E245&lt;&gt;"",D244+1,D244)</f>
        <v/>
      </c>
      <c r="E245" s="1497" t="inlineStr">
        <is>
          <t>San Juan de Ortega</t>
        </is>
      </c>
      <c r="F245" s="1535" t="inlineStr">
        <is>
          <t>.</t>
        </is>
      </c>
      <c r="G245" s="1498">
        <f>IF(H245="AIR",0,IF(H244="AIR",G243+1,IF(H245&lt;&gt;"",G244+1,G244)))</f>
        <v/>
      </c>
      <c r="H245" s="1498" t="inlineStr">
        <is>
          <t>Logrono</t>
        </is>
      </c>
      <c r="I245" s="1427" t="inlineStr">
        <is>
          <t>.</t>
        </is>
      </c>
      <c r="J245" s="1499" t="n">
        <v>240</v>
      </c>
      <c r="K245" s="1500">
        <f>_xlfn.XLOOKUP(cities[[#This Row],[id]],$D$5:$D$1500,E$5:E$1500,"-")</f>
        <v/>
      </c>
      <c r="L245" s="1500">
        <f>_xlfn.XLOOKUP(cities[[#This Row],[city]],ccc[city],ccc[ctry],"-")</f>
        <v/>
      </c>
      <c r="M245" s="1500">
        <f>SUMIFS(stayCity[stay],stayCity[city],cities[[#This Row],[city]])</f>
        <v/>
      </c>
      <c r="N245" s="1427">
        <f>N244+1</f>
        <v/>
      </c>
      <c r="O245" s="1500" t="n"/>
      <c r="P245" s="1500" t="n"/>
      <c r="Q245" s="1427" t="inlineStr">
        <is>
          <t>.</t>
        </is>
      </c>
      <c r="R245" s="1491" t="n"/>
      <c r="S245" s="1491" t="n"/>
      <c r="T245" s="1491" t="n"/>
      <c r="U245" s="1491" t="n"/>
      <c r="V245" s="1491" t="n"/>
      <c r="W245" s="1491" t="n"/>
      <c r="X245" s="1491" t="n"/>
      <c r="Y245" s="1491" t="n"/>
      <c r="Z245" s="1491" t="n"/>
      <c r="AA245" s="1491" t="n"/>
      <c r="AB245" s="1491" t="n"/>
      <c r="AC245" s="1491" t="n"/>
      <c r="AD245" s="1491" t="n"/>
      <c r="AE245" s="1491" t="n"/>
      <c r="AF245" s="1491" t="n"/>
      <c r="AG245" s="1491" t="n"/>
      <c r="AH245" s="1491" t="n"/>
      <c r="AI245" s="1491" t="n"/>
      <c r="AJ245" s="1491" t="n"/>
      <c r="AK245" s="1491" t="n"/>
      <c r="AL245" s="1491" t="n"/>
      <c r="AM245" s="1491" t="n"/>
      <c r="AN245" s="1491" t="n"/>
      <c r="AO245" s="1491" t="n"/>
      <c r="AP245" s="1491" t="n"/>
      <c r="AQ245" s="1491" t="n"/>
      <c r="AR245" s="1491" t="n"/>
      <c r="AS245" s="1491" t="n"/>
      <c r="AT245" s="1491" t="n"/>
      <c r="AU245" s="1491" t="n"/>
      <c r="AV245" s="1491" t="n"/>
      <c r="AW245" s="1491" t="n"/>
      <c r="AX245" s="1491" t="n"/>
      <c r="AY245" s="1491" t="n"/>
      <c r="AZ245" s="1491" t="n"/>
      <c r="BA245" s="1491" t="n"/>
      <c r="BB245" s="1491" t="n"/>
      <c r="BC245" s="1491" t="n"/>
      <c r="BD245" s="1491" t="n"/>
      <c r="BE245" s="1491" t="n"/>
      <c r="BF245" s="1491" t="n"/>
      <c r="BG245" s="1491" t="n"/>
      <c r="BH245" s="1491" t="n"/>
      <c r="BI245" s="1491" t="n"/>
      <c r="BJ245" s="1491" t="n"/>
      <c r="BK245" s="1491" t="n"/>
      <c r="BL245" s="1491" t="n"/>
      <c r="BM245" s="1491" t="n"/>
      <c r="BN245" s="1491" t="n"/>
      <c r="BO245" s="1467" t="n"/>
      <c r="BP245" s="1514" t="n">
        <v>241</v>
      </c>
      <c r="BQ245" s="1513">
        <f>[1]Sheet1!C246</f>
        <v/>
      </c>
      <c r="BR245" s="1515">
        <f>[1]Sheet1!D246</f>
        <v/>
      </c>
      <c r="BS245" s="1513">
        <f>[1]Sheet1!E246</f>
        <v/>
      </c>
      <c r="BT245" s="1515">
        <f>[1]Sheet1!F246</f>
        <v/>
      </c>
      <c r="BU245" s="1516">
        <f>[1]Sheet1!G246</f>
        <v/>
      </c>
      <c r="BV245" s="1513">
        <f>[1]Sheet1!H246</f>
        <v/>
      </c>
      <c r="BW245" s="1467" t="n"/>
      <c r="BX245" s="1538" t="n"/>
      <c r="BY245" s="1506" t="n"/>
      <c r="BZ245" s="1537" t="n"/>
      <c r="CA245" s="1500">
        <f>[1]Sheet1!$M246</f>
        <v/>
      </c>
      <c r="CB245" s="1467" t="n"/>
      <c r="CC245" s="1467" t="n"/>
      <c r="CD245" s="1491" t="n"/>
      <c r="CE245" s="1491" t="n"/>
      <c r="CF245" s="1491" t="n"/>
      <c r="CG245" s="1491" t="n"/>
      <c r="CH245" s="1491" t="n"/>
      <c r="CI245" s="1491" t="n"/>
      <c r="CJ245" s="1491" t="n"/>
      <c r="CK245" s="1491" t="n"/>
      <c r="CL245" s="1491" t="n"/>
      <c r="CM245" s="1491" t="n"/>
      <c r="CN245" s="1491" t="n"/>
      <c r="CO245" s="1491" t="n"/>
      <c r="CP245" s="1491" t="n"/>
      <c r="CQ245" s="1491" t="n"/>
      <c r="CR245" s="1491" t="n"/>
      <c r="CS245" s="1491" t="n"/>
      <c r="CT245" s="1491" t="n"/>
      <c r="CU245" s="1491" t="n"/>
      <c r="CV245" s="1491" t="n"/>
      <c r="CW245" s="1491" t="n"/>
      <c r="CX245" s="1491" t="n"/>
    </row>
    <row r="246">
      <c r="A246" s="1491" t="n"/>
      <c r="B246" s="1491" t="n"/>
      <c r="C246" s="1491" t="n"/>
      <c r="D246" s="1497">
        <f>IF(E246&lt;&gt;"",D245+1,D245)</f>
        <v/>
      </c>
      <c r="E246" s="1497" t="inlineStr">
        <is>
          <t>Burgos</t>
        </is>
      </c>
      <c r="F246" s="1535" t="inlineStr">
        <is>
          <t>.</t>
        </is>
      </c>
      <c r="G246" s="1498">
        <f>IF(H246="AIR",0,IF(H245="AIR",G244+1,IF(H246&lt;&gt;"",G245+1,G245)))</f>
        <v/>
      </c>
      <c r="H246" s="1498" t="inlineStr">
        <is>
          <t>Navarrete</t>
        </is>
      </c>
      <c r="I246" s="1427" t="inlineStr">
        <is>
          <t>.</t>
        </is>
      </c>
      <c r="J246" s="1499" t="n">
        <v>241</v>
      </c>
      <c r="K246" s="1500">
        <f>_xlfn.XLOOKUP(cities[[#This Row],[id]],$D$5:$D$1500,E$5:E$1500,"-")</f>
        <v/>
      </c>
      <c r="L246" s="1500">
        <f>_xlfn.XLOOKUP(cities[[#This Row],[city]],ccc[city],ccc[ctry],"-")</f>
        <v/>
      </c>
      <c r="M246" s="1500">
        <f>SUMIFS(stayCity[stay],stayCity[city],cities[[#This Row],[city]])</f>
        <v/>
      </c>
      <c r="N246" s="1427">
        <f>N245+1</f>
        <v/>
      </c>
      <c r="O246" s="1500" t="n"/>
      <c r="P246" s="1500" t="n"/>
      <c r="Q246" s="1427" t="inlineStr">
        <is>
          <t>.</t>
        </is>
      </c>
      <c r="R246" s="1491" t="n"/>
      <c r="S246" s="1491" t="n"/>
      <c r="T246" s="1491" t="n"/>
      <c r="U246" s="1491" t="n"/>
      <c r="V246" s="1491" t="n"/>
      <c r="W246" s="1491" t="n"/>
      <c r="X246" s="1491" t="n"/>
      <c r="Y246" s="1491" t="n"/>
      <c r="Z246" s="1491" t="n"/>
      <c r="AA246" s="1491" t="n"/>
      <c r="AB246" s="1491" t="n"/>
      <c r="AC246" s="1491" t="n"/>
      <c r="AD246" s="1491" t="n"/>
      <c r="AE246" s="1491" t="n"/>
      <c r="AF246" s="1491" t="n"/>
      <c r="AG246" s="1491" t="n"/>
      <c r="AH246" s="1491" t="n"/>
      <c r="AI246" s="1491" t="n"/>
      <c r="AJ246" s="1491" t="n"/>
      <c r="AK246" s="1491" t="n"/>
      <c r="AL246" s="1491" t="n"/>
      <c r="AM246" s="1491" t="n"/>
      <c r="AN246" s="1491" t="n"/>
      <c r="AO246" s="1491" t="n"/>
      <c r="AP246" s="1491" t="n"/>
      <c r="AQ246" s="1491" t="n"/>
      <c r="AR246" s="1491" t="n"/>
      <c r="AS246" s="1491" t="n"/>
      <c r="AT246" s="1491" t="n"/>
      <c r="AU246" s="1491" t="n"/>
      <c r="AV246" s="1491" t="n"/>
      <c r="AW246" s="1491" t="n"/>
      <c r="AX246" s="1491" t="n"/>
      <c r="AY246" s="1491" t="n"/>
      <c r="AZ246" s="1491" t="n"/>
      <c r="BA246" s="1491" t="n"/>
      <c r="BB246" s="1491" t="n"/>
      <c r="BC246" s="1491" t="n"/>
      <c r="BD246" s="1491" t="n"/>
      <c r="BE246" s="1491" t="n"/>
      <c r="BF246" s="1491" t="n"/>
      <c r="BG246" s="1491" t="n"/>
      <c r="BH246" s="1491" t="n"/>
      <c r="BI246" s="1491" t="n"/>
      <c r="BJ246" s="1491" t="n"/>
      <c r="BK246" s="1491" t="n"/>
      <c r="BL246" s="1491" t="n"/>
      <c r="BM246" s="1491" t="n"/>
      <c r="BN246" s="1491" t="n"/>
      <c r="BO246" s="1467" t="n"/>
      <c r="BP246" s="1514" t="n">
        <v>242</v>
      </c>
      <c r="BQ246" s="1513">
        <f>[1]Sheet1!C247</f>
        <v/>
      </c>
      <c r="BR246" s="1515">
        <f>[1]Sheet1!D247</f>
        <v/>
      </c>
      <c r="BS246" s="1513">
        <f>[1]Sheet1!E247</f>
        <v/>
      </c>
      <c r="BT246" s="1515">
        <f>[1]Sheet1!F247</f>
        <v/>
      </c>
      <c r="BU246" s="1516">
        <f>[1]Sheet1!G247</f>
        <v/>
      </c>
      <c r="BV246" s="1513">
        <f>[1]Sheet1!H247</f>
        <v/>
      </c>
      <c r="BW246" s="1467" t="n"/>
      <c r="BX246" s="1538" t="n"/>
      <c r="BY246" s="1506" t="n"/>
      <c r="BZ246" s="1537" t="n"/>
      <c r="CA246" s="1500">
        <f>[1]Sheet1!$M247</f>
        <v/>
      </c>
      <c r="CB246" s="1467" t="n"/>
      <c r="CC246" s="1467" t="n"/>
      <c r="CD246" s="1491" t="n"/>
      <c r="CE246" s="1491" t="n"/>
      <c r="CF246" s="1491" t="n"/>
      <c r="CG246" s="1491" t="n"/>
      <c r="CH246" s="1491" t="n"/>
      <c r="CI246" s="1491" t="n"/>
      <c r="CJ246" s="1491" t="n"/>
      <c r="CK246" s="1491" t="n"/>
      <c r="CL246" s="1491" t="n"/>
      <c r="CM246" s="1491" t="n"/>
      <c r="CN246" s="1491" t="n"/>
      <c r="CO246" s="1491" t="n"/>
      <c r="CP246" s="1491" t="n"/>
      <c r="CQ246" s="1491" t="n"/>
      <c r="CR246" s="1491" t="n"/>
      <c r="CS246" s="1491" t="n"/>
      <c r="CT246" s="1491" t="n"/>
      <c r="CU246" s="1491" t="n"/>
      <c r="CV246" s="1491" t="n"/>
      <c r="CW246" s="1491" t="n"/>
      <c r="CX246" s="1491" t="n"/>
    </row>
    <row r="247">
      <c r="A247" s="1491" t="n"/>
      <c r="B247" s="1491" t="n"/>
      <c r="C247" s="1491" t="n"/>
      <c r="D247" s="1497">
        <f>IF(E247&lt;&gt;"",D246+1,D246)</f>
        <v/>
      </c>
      <c r="E247" s="1497" t="inlineStr">
        <is>
          <t>Hornillos del Camino</t>
        </is>
      </c>
      <c r="F247" s="1535" t="inlineStr">
        <is>
          <t>.</t>
        </is>
      </c>
      <c r="G247" s="1498">
        <f>IF(H247="AIR",0,IF(H246="AIR",G245+1,IF(H247&lt;&gt;"",G246+1,G246)))</f>
        <v/>
      </c>
      <c r="H247" s="1498" t="inlineStr">
        <is>
          <t>Najera</t>
        </is>
      </c>
      <c r="I247" s="1427" t="inlineStr">
        <is>
          <t>.</t>
        </is>
      </c>
      <c r="J247" s="1499" t="n">
        <v>242</v>
      </c>
      <c r="K247" s="1500">
        <f>_xlfn.XLOOKUP(cities[[#This Row],[id]],$D$5:$D$1500,E$5:E$1500,"-")</f>
        <v/>
      </c>
      <c r="L247" s="1500">
        <f>_xlfn.XLOOKUP(cities[[#This Row],[city]],ccc[city],ccc[ctry],"-")</f>
        <v/>
      </c>
      <c r="M247" s="1500">
        <f>SUMIFS(stayCity[stay],stayCity[city],cities[[#This Row],[city]])</f>
        <v/>
      </c>
      <c r="N247" s="1427">
        <f>N246+1</f>
        <v/>
      </c>
      <c r="O247" s="1500" t="n"/>
      <c r="P247" s="1500" t="n"/>
      <c r="Q247" s="1427" t="inlineStr">
        <is>
          <t>.</t>
        </is>
      </c>
      <c r="R247" s="1491" t="n"/>
      <c r="S247" s="1491" t="n"/>
      <c r="T247" s="1491" t="n"/>
      <c r="U247" s="1491" t="n"/>
      <c r="V247" s="1491" t="n"/>
      <c r="W247" s="1491" t="n"/>
      <c r="X247" s="1491" t="n"/>
      <c r="Y247" s="1491" t="n"/>
      <c r="Z247" s="1491" t="n"/>
      <c r="AA247" s="1491" t="n"/>
      <c r="AB247" s="1491" t="n"/>
      <c r="AC247" s="1491" t="n"/>
      <c r="AD247" s="1491" t="n"/>
      <c r="AE247" s="1491" t="n"/>
      <c r="AF247" s="1491" t="n"/>
      <c r="AG247" s="1491" t="n"/>
      <c r="AH247" s="1491" t="n"/>
      <c r="AI247" s="1491" t="n"/>
      <c r="AJ247" s="1491" t="n"/>
      <c r="AK247" s="1491" t="n"/>
      <c r="AL247" s="1491" t="n"/>
      <c r="AM247" s="1491" t="n"/>
      <c r="AN247" s="1491" t="n"/>
      <c r="AO247" s="1491" t="n"/>
      <c r="AP247" s="1491" t="n"/>
      <c r="AQ247" s="1491" t="n"/>
      <c r="AR247" s="1491" t="n"/>
      <c r="AS247" s="1491" t="n"/>
      <c r="AT247" s="1491" t="n"/>
      <c r="AU247" s="1491" t="n"/>
      <c r="AV247" s="1491" t="n"/>
      <c r="AW247" s="1491" t="n"/>
      <c r="AX247" s="1491" t="n"/>
      <c r="AY247" s="1491" t="n"/>
      <c r="AZ247" s="1491" t="n"/>
      <c r="BA247" s="1491" t="n"/>
      <c r="BB247" s="1491" t="n"/>
      <c r="BC247" s="1491" t="n"/>
      <c r="BD247" s="1491" t="n"/>
      <c r="BE247" s="1491" t="n"/>
      <c r="BF247" s="1491" t="n"/>
      <c r="BG247" s="1491" t="n"/>
      <c r="BH247" s="1491" t="n"/>
      <c r="BI247" s="1491" t="n"/>
      <c r="BJ247" s="1491" t="n"/>
      <c r="BK247" s="1491" t="n"/>
      <c r="BL247" s="1491" t="n"/>
      <c r="BM247" s="1491" t="n"/>
      <c r="BN247" s="1491" t="n"/>
      <c r="BO247" s="1467" t="n"/>
      <c r="BP247" s="1514" t="n">
        <v>243</v>
      </c>
      <c r="BQ247" s="1513">
        <f>[1]Sheet1!C248</f>
        <v/>
      </c>
      <c r="BR247" s="1515">
        <f>[1]Sheet1!D248</f>
        <v/>
      </c>
      <c r="BS247" s="1513">
        <f>[1]Sheet1!E248</f>
        <v/>
      </c>
      <c r="BT247" s="1515">
        <f>[1]Sheet1!F248</f>
        <v/>
      </c>
      <c r="BU247" s="1516">
        <f>[1]Sheet1!G248</f>
        <v/>
      </c>
      <c r="BV247" s="1513">
        <f>[1]Sheet1!H248</f>
        <v/>
      </c>
      <c r="BW247" s="1467" t="n"/>
      <c r="BX247" s="1538" t="n"/>
      <c r="BY247" s="1506" t="n"/>
      <c r="BZ247" s="1537" t="n"/>
      <c r="CA247" s="1500">
        <f>[1]Sheet1!$M248</f>
        <v/>
      </c>
      <c r="CB247" s="1467" t="n"/>
      <c r="CC247" s="1467" t="n"/>
      <c r="CD247" s="1491" t="n"/>
      <c r="CE247" s="1491" t="n"/>
      <c r="CF247" s="1491" t="n"/>
      <c r="CG247" s="1491" t="n"/>
      <c r="CH247" s="1491" t="n"/>
      <c r="CI247" s="1491" t="n"/>
      <c r="CJ247" s="1491" t="n"/>
      <c r="CK247" s="1491" t="n"/>
      <c r="CL247" s="1491" t="n"/>
      <c r="CM247" s="1491" t="n"/>
      <c r="CN247" s="1491" t="n"/>
      <c r="CO247" s="1491" t="n"/>
      <c r="CP247" s="1491" t="n"/>
      <c r="CQ247" s="1491" t="n"/>
      <c r="CR247" s="1491" t="n"/>
      <c r="CS247" s="1491" t="n"/>
      <c r="CT247" s="1491" t="n"/>
      <c r="CU247" s="1491" t="n"/>
      <c r="CV247" s="1491" t="n"/>
      <c r="CW247" s="1491" t="n"/>
      <c r="CX247" s="1491" t="n"/>
    </row>
    <row r="248">
      <c r="A248" s="1491" t="n"/>
      <c r="B248" s="1491" t="n"/>
      <c r="C248" s="1491" t="n"/>
      <c r="D248" s="1497">
        <f>IF(E248&lt;&gt;"",D247+1,D247)</f>
        <v/>
      </c>
      <c r="E248" s="1497" t="inlineStr">
        <is>
          <t>Hontanas</t>
        </is>
      </c>
      <c r="F248" s="1535" t="inlineStr">
        <is>
          <t>.</t>
        </is>
      </c>
      <c r="G248" s="1498">
        <f>IF(H248="AIR",0,IF(H247="AIR",G246+1,IF(H248&lt;&gt;"",G247+1,G247)))</f>
        <v/>
      </c>
      <c r="H248" s="1498" t="inlineStr">
        <is>
          <t>Sto Domingo de la Calzada</t>
        </is>
      </c>
      <c r="I248" s="1427" t="inlineStr">
        <is>
          <t>.</t>
        </is>
      </c>
      <c r="J248" s="1499" t="n">
        <v>243</v>
      </c>
      <c r="K248" s="1500">
        <f>_xlfn.XLOOKUP(cities[[#This Row],[id]],$D$5:$D$1500,E$5:E$1500,"-")</f>
        <v/>
      </c>
      <c r="L248" s="1500">
        <f>_xlfn.XLOOKUP(cities[[#This Row],[city]],ccc[city],ccc[ctry],"-")</f>
        <v/>
      </c>
      <c r="M248" s="1500">
        <f>SUMIFS(stayCity[stay],stayCity[city],cities[[#This Row],[city]])</f>
        <v/>
      </c>
      <c r="N248" s="1427">
        <f>N247+1</f>
        <v/>
      </c>
      <c r="O248" s="1500" t="n"/>
      <c r="P248" s="1500" t="n"/>
      <c r="Q248" s="1427" t="inlineStr">
        <is>
          <t>.</t>
        </is>
      </c>
      <c r="R248" s="1491" t="n"/>
      <c r="S248" s="1491" t="n"/>
      <c r="T248" s="1491" t="n"/>
      <c r="U248" s="1491" t="n"/>
      <c r="V248" s="1491" t="n"/>
      <c r="W248" s="1491" t="n"/>
      <c r="X248" s="1491" t="n"/>
      <c r="Y248" s="1491" t="n"/>
      <c r="Z248" s="1491" t="n"/>
      <c r="AA248" s="1491" t="n"/>
      <c r="AB248" s="1491" t="n"/>
      <c r="AC248" s="1491" t="n"/>
      <c r="AD248" s="1491" t="n"/>
      <c r="AE248" s="1491" t="n"/>
      <c r="AF248" s="1491" t="n"/>
      <c r="AG248" s="1491" t="n"/>
      <c r="AH248" s="1491" t="n"/>
      <c r="AI248" s="1491" t="n"/>
      <c r="AJ248" s="1491" t="n"/>
      <c r="AK248" s="1491" t="n"/>
      <c r="AL248" s="1491" t="n"/>
      <c r="AM248" s="1491" t="n"/>
      <c r="AN248" s="1491" t="n"/>
      <c r="AO248" s="1491" t="n"/>
      <c r="AP248" s="1491" t="n"/>
      <c r="AQ248" s="1491" t="n"/>
      <c r="AR248" s="1491" t="n"/>
      <c r="AS248" s="1491" t="n"/>
      <c r="AT248" s="1491" t="n"/>
      <c r="AU248" s="1491" t="n"/>
      <c r="AV248" s="1491" t="n"/>
      <c r="AW248" s="1491" t="n"/>
      <c r="AX248" s="1491" t="n"/>
      <c r="AY248" s="1491" t="n"/>
      <c r="AZ248" s="1491" t="n"/>
      <c r="BA248" s="1491" t="n"/>
      <c r="BB248" s="1491" t="n"/>
      <c r="BC248" s="1491" t="n"/>
      <c r="BD248" s="1491" t="n"/>
      <c r="BE248" s="1491" t="n"/>
      <c r="BF248" s="1491" t="n"/>
      <c r="BG248" s="1491" t="n"/>
      <c r="BH248" s="1491" t="n"/>
      <c r="BI248" s="1491" t="n"/>
      <c r="BJ248" s="1491" t="n"/>
      <c r="BK248" s="1491" t="n"/>
      <c r="BL248" s="1491" t="n"/>
      <c r="BM248" s="1491" t="n"/>
      <c r="BN248" s="1491" t="n"/>
      <c r="BO248" s="1467" t="n"/>
      <c r="BP248" s="1514" t="n">
        <v>244</v>
      </c>
      <c r="BQ248" s="1513">
        <f>[1]Sheet1!C249</f>
        <v/>
      </c>
      <c r="BR248" s="1515">
        <f>[1]Sheet1!D249</f>
        <v/>
      </c>
      <c r="BS248" s="1513">
        <f>[1]Sheet1!E249</f>
        <v/>
      </c>
      <c r="BT248" s="1515">
        <f>[1]Sheet1!F249</f>
        <v/>
      </c>
      <c r="BU248" s="1516">
        <f>[1]Sheet1!G249</f>
        <v/>
      </c>
      <c r="BV248" s="1513">
        <f>[1]Sheet1!H249</f>
        <v/>
      </c>
      <c r="BW248" s="1467" t="n"/>
      <c r="BX248" s="1538" t="n"/>
      <c r="BY248" s="1506" t="n"/>
      <c r="BZ248" s="1537" t="n"/>
      <c r="CA248" s="1500">
        <f>[1]Sheet1!$M249</f>
        <v/>
      </c>
      <c r="CB248" s="1467" t="n"/>
      <c r="CC248" s="1467" t="n"/>
      <c r="CD248" s="1491" t="n"/>
      <c r="CE248" s="1491" t="n"/>
      <c r="CF248" s="1491" t="n"/>
      <c r="CG248" s="1491" t="n"/>
      <c r="CH248" s="1491" t="n"/>
      <c r="CI248" s="1491" t="n"/>
      <c r="CJ248" s="1491" t="n"/>
      <c r="CK248" s="1491" t="n"/>
      <c r="CL248" s="1491" t="n"/>
      <c r="CM248" s="1491" t="n"/>
      <c r="CN248" s="1491" t="n"/>
      <c r="CO248" s="1491" t="n"/>
      <c r="CP248" s="1491" t="n"/>
      <c r="CQ248" s="1491" t="n"/>
      <c r="CR248" s="1491" t="n"/>
      <c r="CS248" s="1491" t="n"/>
      <c r="CT248" s="1491" t="n"/>
      <c r="CU248" s="1491" t="n"/>
      <c r="CV248" s="1491" t="n"/>
      <c r="CW248" s="1491" t="n"/>
      <c r="CX248" s="1491" t="n"/>
    </row>
    <row r="249">
      <c r="A249" s="1491" t="n"/>
      <c r="B249" s="1491" t="n"/>
      <c r="C249" s="1491" t="n"/>
      <c r="D249" s="1497">
        <f>IF(E249&lt;&gt;"",D248+1,D248)</f>
        <v/>
      </c>
      <c r="E249" s="1497" t="inlineStr">
        <is>
          <t>Castrojeriz</t>
        </is>
      </c>
      <c r="F249" s="1535" t="inlineStr">
        <is>
          <t>.</t>
        </is>
      </c>
      <c r="G249" s="1498">
        <f>IF(H249="AIR",0,IF(H248="AIR",G247+1,IF(H249&lt;&gt;"",G248+1,G248)))</f>
        <v/>
      </c>
      <c r="H249" s="1498" t="inlineStr">
        <is>
          <t>Redecilla del Camino</t>
        </is>
      </c>
      <c r="I249" s="1427" t="inlineStr">
        <is>
          <t>.</t>
        </is>
      </c>
      <c r="J249" s="1499" t="n">
        <v>244</v>
      </c>
      <c r="K249" s="1500">
        <f>_xlfn.XLOOKUP(cities[[#This Row],[id]],$D$5:$D$1500,E$5:E$1500,"-")</f>
        <v/>
      </c>
      <c r="L249" s="1500">
        <f>_xlfn.XLOOKUP(cities[[#This Row],[city]],ccc[city],ccc[ctry],"-")</f>
        <v/>
      </c>
      <c r="M249" s="1500">
        <f>SUMIFS(stayCity[stay],stayCity[city],cities[[#This Row],[city]])</f>
        <v/>
      </c>
      <c r="N249" s="1427">
        <f>N248+1</f>
        <v/>
      </c>
      <c r="O249" s="1500" t="n"/>
      <c r="P249" s="1500" t="n"/>
      <c r="Q249" s="1427" t="inlineStr">
        <is>
          <t>.</t>
        </is>
      </c>
      <c r="R249" s="1491" t="n"/>
      <c r="S249" s="1491" t="n"/>
      <c r="T249" s="1491" t="n"/>
      <c r="U249" s="1491" t="n"/>
      <c r="V249" s="1491" t="n"/>
      <c r="W249" s="1491" t="n"/>
      <c r="X249" s="1491" t="n"/>
      <c r="Y249" s="1491" t="n"/>
      <c r="Z249" s="1491" t="n"/>
      <c r="AA249" s="1491" t="n"/>
      <c r="AB249" s="1491" t="n"/>
      <c r="AC249" s="1491" t="n"/>
      <c r="AD249" s="1491" t="n"/>
      <c r="AE249" s="1491" t="n"/>
      <c r="AF249" s="1491" t="n"/>
      <c r="AG249" s="1491" t="n"/>
      <c r="AH249" s="1491" t="n"/>
      <c r="AI249" s="1491" t="n"/>
      <c r="AJ249" s="1491" t="n"/>
      <c r="AK249" s="1491" t="n"/>
      <c r="AL249" s="1491" t="n"/>
      <c r="AM249" s="1491" t="n"/>
      <c r="AN249" s="1491" t="n"/>
      <c r="AO249" s="1491" t="n"/>
      <c r="AP249" s="1491" t="n"/>
      <c r="AQ249" s="1491" t="n"/>
      <c r="AR249" s="1491" t="n"/>
      <c r="AS249" s="1491" t="n"/>
      <c r="AT249" s="1491" t="n"/>
      <c r="AU249" s="1491" t="n"/>
      <c r="AV249" s="1491" t="n"/>
      <c r="AW249" s="1491" t="n"/>
      <c r="AX249" s="1491" t="n"/>
      <c r="AY249" s="1491" t="n"/>
      <c r="AZ249" s="1491" t="n"/>
      <c r="BA249" s="1491" t="n"/>
      <c r="BB249" s="1491" t="n"/>
      <c r="BC249" s="1491" t="n"/>
      <c r="BD249" s="1491" t="n"/>
      <c r="BE249" s="1491" t="n"/>
      <c r="BF249" s="1491" t="n"/>
      <c r="BG249" s="1491" t="n"/>
      <c r="BH249" s="1491" t="n"/>
      <c r="BI249" s="1491" t="n"/>
      <c r="BJ249" s="1491" t="n"/>
      <c r="BK249" s="1491" t="n"/>
      <c r="BL249" s="1491" t="n"/>
      <c r="BM249" s="1491" t="n"/>
      <c r="BN249" s="1491" t="n"/>
      <c r="BO249" s="1467" t="n"/>
      <c r="BP249" s="1514" t="n">
        <v>245</v>
      </c>
      <c r="BQ249" s="1513">
        <f>[1]Sheet1!C250</f>
        <v/>
      </c>
      <c r="BR249" s="1515">
        <f>[1]Sheet1!D250</f>
        <v/>
      </c>
      <c r="BS249" s="1513">
        <f>[1]Sheet1!E250</f>
        <v/>
      </c>
      <c r="BT249" s="1515">
        <f>[1]Sheet1!F250</f>
        <v/>
      </c>
      <c r="BU249" s="1516">
        <f>[1]Sheet1!G250</f>
        <v/>
      </c>
      <c r="BV249" s="1513">
        <f>[1]Sheet1!H250</f>
        <v/>
      </c>
      <c r="BW249" s="1467" t="n"/>
      <c r="BX249" s="1538" t="n"/>
      <c r="BY249" s="1506" t="n"/>
      <c r="BZ249" s="1537" t="n"/>
      <c r="CA249" s="1500">
        <f>[1]Sheet1!$M250</f>
        <v/>
      </c>
      <c r="CB249" s="1467" t="n"/>
      <c r="CC249" s="1467" t="n"/>
      <c r="CD249" s="1491" t="n"/>
      <c r="CE249" s="1491" t="n"/>
      <c r="CF249" s="1491" t="n"/>
      <c r="CG249" s="1491" t="n"/>
      <c r="CH249" s="1491" t="n"/>
      <c r="CI249" s="1491" t="n"/>
      <c r="CJ249" s="1491" t="n"/>
      <c r="CK249" s="1491" t="n"/>
      <c r="CL249" s="1491" t="n"/>
      <c r="CM249" s="1491" t="n"/>
      <c r="CN249" s="1491" t="n"/>
      <c r="CO249" s="1491" t="n"/>
      <c r="CP249" s="1491" t="n"/>
      <c r="CQ249" s="1491" t="n"/>
      <c r="CR249" s="1491" t="n"/>
      <c r="CS249" s="1491" t="n"/>
      <c r="CT249" s="1491" t="n"/>
      <c r="CU249" s="1491" t="n"/>
      <c r="CV249" s="1491" t="n"/>
      <c r="CW249" s="1491" t="n"/>
      <c r="CX249" s="1491" t="n"/>
    </row>
    <row r="250">
      <c r="A250" s="1491" t="n"/>
      <c r="B250" s="1491" t="n"/>
      <c r="C250" s="1491" t="n"/>
      <c r="D250" s="1497">
        <f>IF(E250&lt;&gt;"",D249+1,D249)</f>
        <v/>
      </c>
      <c r="E250" s="1497" t="inlineStr">
        <is>
          <t>Fromista</t>
        </is>
      </c>
      <c r="F250" s="1535" t="inlineStr">
        <is>
          <t>.</t>
        </is>
      </c>
      <c r="G250" s="1498">
        <f>IF(H250="AIR",0,IF(H249="AIR",G248+1,IF(H250&lt;&gt;"",G249+1,G249)))</f>
        <v/>
      </c>
      <c r="H250" s="1498" t="inlineStr">
        <is>
          <t>Violia de Rioja</t>
        </is>
      </c>
      <c r="I250" s="1427" t="inlineStr">
        <is>
          <t>.</t>
        </is>
      </c>
      <c r="J250" s="1499" t="n">
        <v>245</v>
      </c>
      <c r="K250" s="1500">
        <f>_xlfn.XLOOKUP(cities[[#This Row],[id]],$D$5:$D$1500,E$5:E$1500,"-")</f>
        <v/>
      </c>
      <c r="L250" s="1500">
        <f>_xlfn.XLOOKUP(cities[[#This Row],[city]],ccc[city],ccc[ctry],"-")</f>
        <v/>
      </c>
      <c r="M250" s="1500">
        <f>SUMIFS(stayCity[stay],stayCity[city],cities[[#This Row],[city]])</f>
        <v/>
      </c>
      <c r="N250" s="1427">
        <f>N249+1</f>
        <v/>
      </c>
      <c r="O250" s="1500" t="n"/>
      <c r="P250" s="1500" t="n"/>
      <c r="Q250" s="1427" t="inlineStr">
        <is>
          <t>.</t>
        </is>
      </c>
      <c r="R250" s="1491" t="n"/>
      <c r="S250" s="1491" t="n"/>
      <c r="T250" s="1491" t="n"/>
      <c r="U250" s="1491" t="n"/>
      <c r="V250" s="1491" t="n"/>
      <c r="W250" s="1491" t="n"/>
      <c r="X250" s="1491" t="n"/>
      <c r="Y250" s="1491" t="n"/>
      <c r="Z250" s="1491" t="n"/>
      <c r="AA250" s="1491" t="n"/>
      <c r="AB250" s="1491" t="n"/>
      <c r="AC250" s="1491" t="n"/>
      <c r="AD250" s="1491" t="n"/>
      <c r="AE250" s="1491" t="n"/>
      <c r="AF250" s="1491" t="n"/>
      <c r="AG250" s="1491" t="n"/>
      <c r="AH250" s="1491" t="n"/>
      <c r="AI250" s="1491" t="n"/>
      <c r="AJ250" s="1491" t="n"/>
      <c r="AK250" s="1491" t="n"/>
      <c r="AL250" s="1491" t="n"/>
      <c r="AM250" s="1491" t="n"/>
      <c r="AN250" s="1491" t="n"/>
      <c r="AO250" s="1491" t="n"/>
      <c r="AP250" s="1491" t="n"/>
      <c r="AQ250" s="1491" t="n"/>
      <c r="AR250" s="1491" t="n"/>
      <c r="AS250" s="1491" t="n"/>
      <c r="AT250" s="1491" t="n"/>
      <c r="AU250" s="1491" t="n"/>
      <c r="AV250" s="1491" t="n"/>
      <c r="AW250" s="1491" t="n"/>
      <c r="AX250" s="1491" t="n"/>
      <c r="AY250" s="1491" t="n"/>
      <c r="AZ250" s="1491" t="n"/>
      <c r="BA250" s="1491" t="n"/>
      <c r="BB250" s="1491" t="n"/>
      <c r="BC250" s="1491" t="n"/>
      <c r="BD250" s="1491" t="n"/>
      <c r="BE250" s="1491" t="n"/>
      <c r="BF250" s="1491" t="n"/>
      <c r="BG250" s="1491" t="n"/>
      <c r="BH250" s="1491" t="n"/>
      <c r="BI250" s="1491" t="n"/>
      <c r="BJ250" s="1491" t="n"/>
      <c r="BK250" s="1491" t="n"/>
      <c r="BL250" s="1491" t="n"/>
      <c r="BM250" s="1491" t="n"/>
      <c r="BN250" s="1491" t="n"/>
      <c r="BO250" s="1467" t="n"/>
      <c r="BP250" s="1514" t="n">
        <v>246</v>
      </c>
      <c r="BQ250" s="1513">
        <f>[1]Sheet1!C251</f>
        <v/>
      </c>
      <c r="BR250" s="1515">
        <f>[1]Sheet1!D251</f>
        <v/>
      </c>
      <c r="BS250" s="1513">
        <f>[1]Sheet1!E251</f>
        <v/>
      </c>
      <c r="BT250" s="1515">
        <f>[1]Sheet1!F251</f>
        <v/>
      </c>
      <c r="BU250" s="1516">
        <f>[1]Sheet1!G251</f>
        <v/>
      </c>
      <c r="BV250" s="1513">
        <f>[1]Sheet1!H251</f>
        <v/>
      </c>
      <c r="BW250" s="1467" t="n"/>
      <c r="BX250" s="1538" t="n"/>
      <c r="BY250" s="1506" t="n"/>
      <c r="BZ250" s="1537" t="n"/>
      <c r="CA250" s="1500">
        <f>[1]Sheet1!$M251</f>
        <v/>
      </c>
      <c r="CB250" s="1467" t="n"/>
      <c r="CC250" s="1467" t="n"/>
      <c r="CD250" s="1491" t="n"/>
      <c r="CE250" s="1491" t="n"/>
      <c r="CF250" s="1491" t="n"/>
      <c r="CG250" s="1491" t="n"/>
      <c r="CH250" s="1491" t="n"/>
      <c r="CI250" s="1491" t="n"/>
      <c r="CJ250" s="1491" t="n"/>
      <c r="CK250" s="1491" t="n"/>
      <c r="CL250" s="1491" t="n"/>
      <c r="CM250" s="1491" t="n"/>
      <c r="CN250" s="1491" t="n"/>
      <c r="CO250" s="1491" t="n"/>
      <c r="CP250" s="1491" t="n"/>
      <c r="CQ250" s="1491" t="n"/>
      <c r="CR250" s="1491" t="n"/>
      <c r="CS250" s="1491" t="n"/>
      <c r="CT250" s="1491" t="n"/>
      <c r="CU250" s="1491" t="n"/>
      <c r="CV250" s="1491" t="n"/>
      <c r="CW250" s="1491" t="n"/>
      <c r="CX250" s="1491" t="n"/>
    </row>
    <row r="251">
      <c r="A251" s="1491" t="n"/>
      <c r="B251" s="1491" t="n"/>
      <c r="C251" s="1491" t="n"/>
      <c r="D251" s="1497">
        <f>IF(E251&lt;&gt;"",D250+1,D250)</f>
        <v/>
      </c>
      <c r="E251" s="1497" t="inlineStr">
        <is>
          <t>Poblacion de Campos</t>
        </is>
      </c>
      <c r="F251" s="1535" t="inlineStr">
        <is>
          <t>.</t>
        </is>
      </c>
      <c r="G251" s="1498">
        <f>IF(H251="AIR",0,IF(H250="AIR",G249+1,IF(H251&lt;&gt;"",G250+1,G250)))</f>
        <v/>
      </c>
      <c r="H251" s="1498" t="inlineStr">
        <is>
          <t>Belorado</t>
        </is>
      </c>
      <c r="I251" s="1427" t="inlineStr">
        <is>
          <t>.</t>
        </is>
      </c>
      <c r="J251" s="1499" t="n">
        <v>246</v>
      </c>
      <c r="K251" s="1500">
        <f>_xlfn.XLOOKUP(cities[[#This Row],[id]],$D$5:$D$1500,E$5:E$1500,"-")</f>
        <v/>
      </c>
      <c r="L251" s="1500">
        <f>_xlfn.XLOOKUP(cities[[#This Row],[city]],ccc[city],ccc[ctry],"-")</f>
        <v/>
      </c>
      <c r="M251" s="1500">
        <f>SUMIFS(stayCity[stay],stayCity[city],cities[[#This Row],[city]])</f>
        <v/>
      </c>
      <c r="N251" s="1427">
        <f>N250+1</f>
        <v/>
      </c>
      <c r="O251" s="1500" t="n"/>
      <c r="P251" s="1500" t="n"/>
      <c r="Q251" s="1427" t="inlineStr">
        <is>
          <t>.</t>
        </is>
      </c>
      <c r="R251" s="1491" t="n"/>
      <c r="S251" s="1491" t="n"/>
      <c r="T251" s="1491" t="n"/>
      <c r="U251" s="1491" t="n"/>
      <c r="V251" s="1491" t="n"/>
      <c r="W251" s="1491" t="n"/>
      <c r="X251" s="1491" t="n"/>
      <c r="Y251" s="1491" t="n"/>
      <c r="Z251" s="1491" t="n"/>
      <c r="AA251" s="1491" t="n"/>
      <c r="AB251" s="1491" t="n"/>
      <c r="AC251" s="1491" t="n"/>
      <c r="AD251" s="1491" t="n"/>
      <c r="AE251" s="1491" t="n"/>
      <c r="AF251" s="1491" t="n"/>
      <c r="AG251" s="1491" t="n"/>
      <c r="AH251" s="1491" t="n"/>
      <c r="AI251" s="1491" t="n"/>
      <c r="AJ251" s="1491" t="n"/>
      <c r="AK251" s="1491" t="n"/>
      <c r="AL251" s="1491" t="n"/>
      <c r="AM251" s="1491" t="n"/>
      <c r="AN251" s="1491" t="n"/>
      <c r="AO251" s="1491" t="n"/>
      <c r="AP251" s="1491" t="n"/>
      <c r="AQ251" s="1491" t="n"/>
      <c r="AR251" s="1491" t="n"/>
      <c r="AS251" s="1491" t="n"/>
      <c r="AT251" s="1491" t="n"/>
      <c r="AU251" s="1491" t="n"/>
      <c r="AV251" s="1491" t="n"/>
      <c r="AW251" s="1491" t="n"/>
      <c r="AX251" s="1491" t="n"/>
      <c r="AY251" s="1491" t="n"/>
      <c r="AZ251" s="1491" t="n"/>
      <c r="BA251" s="1491" t="n"/>
      <c r="BB251" s="1491" t="n"/>
      <c r="BC251" s="1491" t="n"/>
      <c r="BD251" s="1491" t="n"/>
      <c r="BE251" s="1491" t="n"/>
      <c r="BF251" s="1491" t="n"/>
      <c r="BG251" s="1491" t="n"/>
      <c r="BH251" s="1491" t="n"/>
      <c r="BI251" s="1491" t="n"/>
      <c r="BJ251" s="1491" t="n"/>
      <c r="BK251" s="1491" t="n"/>
      <c r="BL251" s="1491" t="n"/>
      <c r="BM251" s="1491" t="n"/>
      <c r="BN251" s="1491" t="n"/>
      <c r="BO251" s="1467" t="n"/>
      <c r="BP251" s="1514" t="n">
        <v>247</v>
      </c>
      <c r="BQ251" s="1513">
        <f>[1]Sheet1!C252</f>
        <v/>
      </c>
      <c r="BR251" s="1515">
        <f>[1]Sheet1!D252</f>
        <v/>
      </c>
      <c r="BS251" s="1513">
        <f>[1]Sheet1!E252</f>
        <v/>
      </c>
      <c r="BT251" s="1515">
        <f>[1]Sheet1!F252</f>
        <v/>
      </c>
      <c r="BU251" s="1516">
        <f>[1]Sheet1!G252</f>
        <v/>
      </c>
      <c r="BV251" s="1513">
        <f>[1]Sheet1!H252</f>
        <v/>
      </c>
      <c r="BW251" s="1467" t="n"/>
      <c r="BX251" s="1538" t="n"/>
      <c r="BY251" s="1506" t="n"/>
      <c r="BZ251" s="1537" t="n"/>
      <c r="CA251" s="1500">
        <f>[1]Sheet1!$M252</f>
        <v/>
      </c>
      <c r="CB251" s="1467" t="n"/>
      <c r="CC251" s="1467" t="n"/>
      <c r="CD251" s="1491" t="n"/>
      <c r="CE251" s="1491" t="n"/>
      <c r="CF251" s="1491" t="n"/>
      <c r="CG251" s="1491" t="n"/>
      <c r="CH251" s="1491" t="n"/>
      <c r="CI251" s="1491" t="n"/>
      <c r="CJ251" s="1491" t="n"/>
      <c r="CK251" s="1491" t="n"/>
      <c r="CL251" s="1491" t="n"/>
      <c r="CM251" s="1491" t="n"/>
      <c r="CN251" s="1491" t="n"/>
      <c r="CO251" s="1491" t="n"/>
      <c r="CP251" s="1491" t="n"/>
      <c r="CQ251" s="1491" t="n"/>
      <c r="CR251" s="1491" t="n"/>
      <c r="CS251" s="1491" t="n"/>
      <c r="CT251" s="1491" t="n"/>
      <c r="CU251" s="1491" t="n"/>
      <c r="CV251" s="1491" t="n"/>
      <c r="CW251" s="1491" t="n"/>
      <c r="CX251" s="1491" t="n"/>
    </row>
    <row r="252">
      <c r="A252" s="1491" t="n"/>
      <c r="B252" s="1491" t="n"/>
      <c r="C252" s="1491" t="n"/>
      <c r="D252" s="1497">
        <f>IF(E252&lt;&gt;"",D251+1,D251)</f>
        <v/>
      </c>
      <c r="E252" s="1497" t="inlineStr">
        <is>
          <t>Villalcazar de Sirga</t>
        </is>
      </c>
      <c r="F252" s="1535" t="inlineStr">
        <is>
          <t>.</t>
        </is>
      </c>
      <c r="G252" s="1498">
        <f>IF(H252="AIR",0,IF(H251="AIR",G250+1,IF(H252&lt;&gt;"",G251+1,G251)))</f>
        <v/>
      </c>
      <c r="H252" s="1498" t="inlineStr">
        <is>
          <t>San Juan de Ortega</t>
        </is>
      </c>
      <c r="I252" s="1427" t="inlineStr">
        <is>
          <t>.</t>
        </is>
      </c>
      <c r="J252" s="1499" t="n">
        <v>247</v>
      </c>
      <c r="K252" s="1500">
        <f>_xlfn.XLOOKUP(cities[[#This Row],[id]],$D$5:$D$1500,E$5:E$1500,"-")</f>
        <v/>
      </c>
      <c r="L252" s="1500">
        <f>_xlfn.XLOOKUP(cities[[#This Row],[city]],ccc[city],ccc[ctry],"-")</f>
        <v/>
      </c>
      <c r="M252" s="1500">
        <f>SUMIFS(stayCity[stay],stayCity[city],cities[[#This Row],[city]])</f>
        <v/>
      </c>
      <c r="N252" s="1427">
        <f>N251+1</f>
        <v/>
      </c>
      <c r="O252" s="1500" t="n"/>
      <c r="P252" s="1500" t="n"/>
      <c r="Q252" s="1427" t="inlineStr">
        <is>
          <t>.</t>
        </is>
      </c>
      <c r="R252" s="1491" t="n"/>
      <c r="S252" s="1491" t="n"/>
      <c r="T252" s="1491" t="n"/>
      <c r="U252" s="1491" t="n"/>
      <c r="V252" s="1491" t="n"/>
      <c r="W252" s="1491" t="n"/>
      <c r="X252" s="1491" t="n"/>
      <c r="Y252" s="1491" t="n"/>
      <c r="Z252" s="1491" t="n"/>
      <c r="AA252" s="1491" t="n"/>
      <c r="AB252" s="1491" t="n"/>
      <c r="AC252" s="1491" t="n"/>
      <c r="AD252" s="1491" t="n"/>
      <c r="AE252" s="1491" t="n"/>
      <c r="AF252" s="1491" t="n"/>
      <c r="AG252" s="1491" t="n"/>
      <c r="AH252" s="1491" t="n"/>
      <c r="AI252" s="1491" t="n"/>
      <c r="AJ252" s="1491" t="n"/>
      <c r="AK252" s="1491" t="n"/>
      <c r="AL252" s="1491" t="n"/>
      <c r="AM252" s="1491" t="n"/>
      <c r="AN252" s="1491" t="n"/>
      <c r="AO252" s="1491" t="n"/>
      <c r="AP252" s="1491" t="n"/>
      <c r="AQ252" s="1491" t="n"/>
      <c r="AR252" s="1491" t="n"/>
      <c r="AS252" s="1491" t="n"/>
      <c r="AT252" s="1491" t="n"/>
      <c r="AU252" s="1491" t="n"/>
      <c r="AV252" s="1491" t="n"/>
      <c r="AW252" s="1491" t="n"/>
      <c r="AX252" s="1491" t="n"/>
      <c r="AY252" s="1491" t="n"/>
      <c r="AZ252" s="1491" t="n"/>
      <c r="BA252" s="1491" t="n"/>
      <c r="BB252" s="1491" t="n"/>
      <c r="BC252" s="1491" t="n"/>
      <c r="BD252" s="1491" t="n"/>
      <c r="BE252" s="1491" t="n"/>
      <c r="BF252" s="1491" t="n"/>
      <c r="BG252" s="1491" t="n"/>
      <c r="BH252" s="1491" t="n"/>
      <c r="BI252" s="1491" t="n"/>
      <c r="BJ252" s="1491" t="n"/>
      <c r="BK252" s="1491" t="n"/>
      <c r="BL252" s="1491" t="n"/>
      <c r="BM252" s="1491" t="n"/>
      <c r="BN252" s="1491" t="n"/>
      <c r="BO252" s="1467" t="n"/>
      <c r="BP252" s="1514" t="n">
        <v>248</v>
      </c>
      <c r="BQ252" s="1513">
        <f>[1]Sheet1!C253</f>
        <v/>
      </c>
      <c r="BR252" s="1515">
        <f>[1]Sheet1!D253</f>
        <v/>
      </c>
      <c r="BS252" s="1513">
        <f>[1]Sheet1!E253</f>
        <v/>
      </c>
      <c r="BT252" s="1515">
        <f>[1]Sheet1!F253</f>
        <v/>
      </c>
      <c r="BU252" s="1516">
        <f>[1]Sheet1!G253</f>
        <v/>
      </c>
      <c r="BV252" s="1513">
        <f>[1]Sheet1!H253</f>
        <v/>
      </c>
      <c r="BW252" s="1467" t="n"/>
      <c r="BX252" s="1538" t="n"/>
      <c r="BY252" s="1506" t="n"/>
      <c r="BZ252" s="1537" t="n"/>
      <c r="CA252" s="1500">
        <f>[1]Sheet1!$M253</f>
        <v/>
      </c>
      <c r="CB252" s="1467" t="n"/>
      <c r="CC252" s="1467" t="n"/>
      <c r="CD252" s="1491" t="n"/>
      <c r="CE252" s="1491" t="n"/>
      <c r="CF252" s="1491" t="n"/>
      <c r="CG252" s="1491" t="n"/>
      <c r="CH252" s="1491" t="n"/>
      <c r="CI252" s="1491" t="n"/>
      <c r="CJ252" s="1491" t="n"/>
      <c r="CK252" s="1491" t="n"/>
      <c r="CL252" s="1491" t="n"/>
      <c r="CM252" s="1491" t="n"/>
      <c r="CN252" s="1491" t="n"/>
      <c r="CO252" s="1491" t="n"/>
      <c r="CP252" s="1491" t="n"/>
      <c r="CQ252" s="1491" t="n"/>
      <c r="CR252" s="1491" t="n"/>
      <c r="CS252" s="1491" t="n"/>
      <c r="CT252" s="1491" t="n"/>
      <c r="CU252" s="1491" t="n"/>
      <c r="CV252" s="1491" t="n"/>
      <c r="CW252" s="1491" t="n"/>
      <c r="CX252" s="1491" t="n"/>
    </row>
    <row r="253">
      <c r="A253" s="1491" t="n"/>
      <c r="B253" s="1491" t="n"/>
      <c r="C253" s="1491" t="n"/>
      <c r="D253" s="1497">
        <f>IF(E253&lt;&gt;"",D252+1,D252)</f>
        <v/>
      </c>
      <c r="E253" s="1497" t="inlineStr">
        <is>
          <t>Carrion de los Condes</t>
        </is>
      </c>
      <c r="F253" s="1535" t="inlineStr">
        <is>
          <t>.</t>
        </is>
      </c>
      <c r="G253" s="1498">
        <f>IF(H253="AIR",0,IF(H252="AIR",G251+1,IF(H253&lt;&gt;"",G252+1,G252)))</f>
        <v/>
      </c>
      <c r="H253" s="1498" t="inlineStr">
        <is>
          <t>Burgos</t>
        </is>
      </c>
      <c r="I253" s="1427" t="inlineStr">
        <is>
          <t>.</t>
        </is>
      </c>
      <c r="J253" s="1499" t="n">
        <v>248</v>
      </c>
      <c r="K253" s="1500">
        <f>_xlfn.XLOOKUP(cities[[#This Row],[id]],$D$5:$D$1500,E$5:E$1500,"-")</f>
        <v/>
      </c>
      <c r="L253" s="1500">
        <f>_xlfn.XLOOKUP(cities[[#This Row],[city]],ccc[city],ccc[ctry],"-")</f>
        <v/>
      </c>
      <c r="M253" s="1500">
        <f>SUMIFS(stayCity[stay],stayCity[city],cities[[#This Row],[city]])</f>
        <v/>
      </c>
      <c r="N253" s="1427">
        <f>N252+1</f>
        <v/>
      </c>
      <c r="O253" s="1500" t="n"/>
      <c r="P253" s="1500" t="n"/>
      <c r="Q253" s="1427" t="inlineStr">
        <is>
          <t>.</t>
        </is>
      </c>
      <c r="R253" s="1491" t="n"/>
      <c r="S253" s="1491" t="n"/>
      <c r="T253" s="1491" t="n"/>
      <c r="U253" s="1491" t="n"/>
      <c r="V253" s="1491" t="n"/>
      <c r="W253" s="1491" t="n"/>
      <c r="X253" s="1491" t="n"/>
      <c r="Y253" s="1491" t="n"/>
      <c r="Z253" s="1491" t="n"/>
      <c r="AA253" s="1491" t="n"/>
      <c r="AB253" s="1491" t="n"/>
      <c r="AC253" s="1491" t="n"/>
      <c r="AD253" s="1491" t="n"/>
      <c r="AE253" s="1491" t="n"/>
      <c r="AF253" s="1491" t="n"/>
      <c r="AG253" s="1491" t="n"/>
      <c r="AH253" s="1491" t="n"/>
      <c r="AI253" s="1491" t="n"/>
      <c r="AJ253" s="1491" t="n"/>
      <c r="AK253" s="1491" t="n"/>
      <c r="AL253" s="1491" t="n"/>
      <c r="AM253" s="1491" t="n"/>
      <c r="AN253" s="1491" t="n"/>
      <c r="AO253" s="1491" t="n"/>
      <c r="AP253" s="1491" t="n"/>
      <c r="AQ253" s="1491" t="n"/>
      <c r="AR253" s="1491" t="n"/>
      <c r="AS253" s="1491" t="n"/>
      <c r="AT253" s="1491" t="n"/>
      <c r="AU253" s="1491" t="n"/>
      <c r="AV253" s="1491" t="n"/>
      <c r="AW253" s="1491" t="n"/>
      <c r="AX253" s="1491" t="n"/>
      <c r="AY253" s="1491" t="n"/>
      <c r="AZ253" s="1491" t="n"/>
      <c r="BA253" s="1491" t="n"/>
      <c r="BB253" s="1491" t="n"/>
      <c r="BC253" s="1491" t="n"/>
      <c r="BD253" s="1491" t="n"/>
      <c r="BE253" s="1491" t="n"/>
      <c r="BF253" s="1491" t="n"/>
      <c r="BG253" s="1491" t="n"/>
      <c r="BH253" s="1491" t="n"/>
      <c r="BI253" s="1491" t="n"/>
      <c r="BJ253" s="1491" t="n"/>
      <c r="BK253" s="1491" t="n"/>
      <c r="BL253" s="1491" t="n"/>
      <c r="BM253" s="1491" t="n"/>
      <c r="BN253" s="1491" t="n"/>
      <c r="BO253" s="1467" t="n"/>
      <c r="BP253" s="1514" t="n">
        <v>249</v>
      </c>
      <c r="BQ253" s="1513">
        <f>[1]Sheet1!C254</f>
        <v/>
      </c>
      <c r="BR253" s="1515">
        <f>[1]Sheet1!D254</f>
        <v/>
      </c>
      <c r="BS253" s="1513">
        <f>[1]Sheet1!E254</f>
        <v/>
      </c>
      <c r="BT253" s="1515">
        <f>[1]Sheet1!F254</f>
        <v/>
      </c>
      <c r="BU253" s="1516">
        <f>[1]Sheet1!G254</f>
        <v/>
      </c>
      <c r="BV253" s="1513">
        <f>[1]Sheet1!H254</f>
        <v/>
      </c>
      <c r="BW253" s="1467" t="n"/>
      <c r="BX253" s="1538" t="n"/>
      <c r="BY253" s="1506" t="n"/>
      <c r="BZ253" s="1537" t="n"/>
      <c r="CA253" s="1500">
        <f>[1]Sheet1!$M254</f>
        <v/>
      </c>
      <c r="CB253" s="1467" t="n"/>
      <c r="CC253" s="1467" t="n"/>
      <c r="CD253" s="1491" t="n"/>
      <c r="CE253" s="1491" t="n"/>
      <c r="CF253" s="1491" t="n"/>
      <c r="CG253" s="1491" t="n"/>
      <c r="CH253" s="1491" t="n"/>
      <c r="CI253" s="1491" t="n"/>
      <c r="CJ253" s="1491" t="n"/>
      <c r="CK253" s="1491" t="n"/>
      <c r="CL253" s="1491" t="n"/>
      <c r="CM253" s="1491" t="n"/>
      <c r="CN253" s="1491" t="n"/>
      <c r="CO253" s="1491" t="n"/>
      <c r="CP253" s="1491" t="n"/>
      <c r="CQ253" s="1491" t="n"/>
      <c r="CR253" s="1491" t="n"/>
      <c r="CS253" s="1491" t="n"/>
      <c r="CT253" s="1491" t="n"/>
      <c r="CU253" s="1491" t="n"/>
      <c r="CV253" s="1491" t="n"/>
      <c r="CW253" s="1491" t="n"/>
      <c r="CX253" s="1491" t="n"/>
    </row>
    <row r="254">
      <c r="A254" s="1491" t="n"/>
      <c r="B254" s="1491" t="n"/>
      <c r="C254" s="1491" t="n"/>
      <c r="D254" s="1497">
        <f>IF(E254&lt;&gt;"",D253+1,D253)</f>
        <v/>
      </c>
      <c r="E254" s="1497" t="inlineStr">
        <is>
          <t>Calzadilla</t>
        </is>
      </c>
      <c r="F254" s="1535" t="inlineStr">
        <is>
          <t>.</t>
        </is>
      </c>
      <c r="G254" s="1498">
        <f>IF(H254="AIR",0,IF(H253="AIR",G252+1,IF(H254&lt;&gt;"",G253+1,G253)))</f>
        <v/>
      </c>
      <c r="H254" s="1498" t="inlineStr">
        <is>
          <t>Hornillos del Camino</t>
        </is>
      </c>
      <c r="I254" s="1427" t="inlineStr">
        <is>
          <t>.</t>
        </is>
      </c>
      <c r="J254" s="1499" t="n">
        <v>249</v>
      </c>
      <c r="K254" s="1500">
        <f>_xlfn.XLOOKUP(cities[[#This Row],[id]],$D$5:$D$1500,E$5:E$1500,"-")</f>
        <v/>
      </c>
      <c r="L254" s="1500">
        <f>_xlfn.XLOOKUP(cities[[#This Row],[city]],ccc[city],ccc[ctry],"-")</f>
        <v/>
      </c>
      <c r="M254" s="1500">
        <f>SUMIFS(stayCity[stay],stayCity[city],cities[[#This Row],[city]])</f>
        <v/>
      </c>
      <c r="N254" s="1427">
        <f>N253+1</f>
        <v/>
      </c>
      <c r="O254" s="1500" t="n"/>
      <c r="P254" s="1500" t="n"/>
      <c r="Q254" s="1427" t="inlineStr">
        <is>
          <t>.</t>
        </is>
      </c>
      <c r="R254" s="1491" t="n"/>
      <c r="S254" s="1491" t="n"/>
      <c r="T254" s="1491" t="n"/>
      <c r="U254" s="1491" t="n"/>
      <c r="V254" s="1491" t="n"/>
      <c r="W254" s="1491" t="n"/>
      <c r="X254" s="1491" t="n"/>
      <c r="Y254" s="1491" t="n"/>
      <c r="Z254" s="1491" t="n"/>
      <c r="AA254" s="1491" t="n"/>
      <c r="AB254" s="1491" t="n"/>
      <c r="AC254" s="1491" t="n"/>
      <c r="AD254" s="1491" t="n"/>
      <c r="AE254" s="1491" t="n"/>
      <c r="AF254" s="1491" t="n"/>
      <c r="AG254" s="1491" t="n"/>
      <c r="AH254" s="1491" t="n"/>
      <c r="AI254" s="1491" t="n"/>
      <c r="AJ254" s="1491" t="n"/>
      <c r="AK254" s="1491" t="n"/>
      <c r="AL254" s="1491" t="n"/>
      <c r="AM254" s="1491" t="n"/>
      <c r="AN254" s="1491" t="n"/>
      <c r="AO254" s="1491" t="n"/>
      <c r="AP254" s="1491" t="n"/>
      <c r="AQ254" s="1491" t="n"/>
      <c r="AR254" s="1491" t="n"/>
      <c r="AS254" s="1491" t="n"/>
      <c r="AT254" s="1491" t="n"/>
      <c r="AU254" s="1491" t="n"/>
      <c r="AV254" s="1491" t="n"/>
      <c r="AW254" s="1491" t="n"/>
      <c r="AX254" s="1491" t="n"/>
      <c r="AY254" s="1491" t="n"/>
      <c r="AZ254" s="1491" t="n"/>
      <c r="BA254" s="1491" t="n"/>
      <c r="BB254" s="1491" t="n"/>
      <c r="BC254" s="1491" t="n"/>
      <c r="BD254" s="1491" t="n"/>
      <c r="BE254" s="1491" t="n"/>
      <c r="BF254" s="1491" t="n"/>
      <c r="BG254" s="1491" t="n"/>
      <c r="BH254" s="1491" t="n"/>
      <c r="BI254" s="1491" t="n"/>
      <c r="BJ254" s="1491" t="n"/>
      <c r="BK254" s="1491" t="n"/>
      <c r="BL254" s="1491" t="n"/>
      <c r="BM254" s="1491" t="n"/>
      <c r="BN254" s="1491" t="n"/>
      <c r="BO254" s="1467" t="n"/>
      <c r="BP254" s="1514" t="n">
        <v>250</v>
      </c>
      <c r="BQ254" s="1513">
        <f>[1]Sheet1!C255</f>
        <v/>
      </c>
      <c r="BR254" s="1515">
        <f>[1]Sheet1!D255</f>
        <v/>
      </c>
      <c r="BS254" s="1513">
        <f>[1]Sheet1!E255</f>
        <v/>
      </c>
      <c r="BT254" s="1515">
        <f>[1]Sheet1!F255</f>
        <v/>
      </c>
      <c r="BU254" s="1516">
        <f>[1]Sheet1!G255</f>
        <v/>
      </c>
      <c r="BV254" s="1513">
        <f>[1]Sheet1!H255</f>
        <v/>
      </c>
      <c r="BW254" s="1467" t="n"/>
      <c r="BX254" s="1538" t="n"/>
      <c r="BY254" s="1506" t="n"/>
      <c r="BZ254" s="1537" t="n"/>
      <c r="CA254" s="1500">
        <f>[1]Sheet1!$M255</f>
        <v/>
      </c>
      <c r="CB254" s="1467" t="n"/>
      <c r="CC254" s="1467" t="n"/>
      <c r="CD254" s="1491" t="n"/>
      <c r="CE254" s="1491" t="n"/>
      <c r="CF254" s="1491" t="n"/>
      <c r="CG254" s="1491" t="n"/>
      <c r="CH254" s="1491" t="n"/>
      <c r="CI254" s="1491" t="n"/>
      <c r="CJ254" s="1491" t="n"/>
      <c r="CK254" s="1491" t="n"/>
      <c r="CL254" s="1491" t="n"/>
      <c r="CM254" s="1491" t="n"/>
      <c r="CN254" s="1491" t="n"/>
      <c r="CO254" s="1491" t="n"/>
      <c r="CP254" s="1491" t="n"/>
      <c r="CQ254" s="1491" t="n"/>
      <c r="CR254" s="1491" t="n"/>
      <c r="CS254" s="1491" t="n"/>
      <c r="CT254" s="1491" t="n"/>
      <c r="CU254" s="1491" t="n"/>
      <c r="CV254" s="1491" t="n"/>
      <c r="CW254" s="1491" t="n"/>
      <c r="CX254" s="1491" t="n"/>
    </row>
    <row r="255">
      <c r="A255" s="1491" t="n"/>
      <c r="B255" s="1491" t="n"/>
      <c r="C255" s="1491" t="n"/>
      <c r="D255" s="1497">
        <f>IF(E255&lt;&gt;"",D254+1,D254)</f>
        <v/>
      </c>
      <c r="E255" s="1497" t="inlineStr">
        <is>
          <t>Ledigos</t>
        </is>
      </c>
      <c r="F255" s="1535" t="inlineStr">
        <is>
          <t>.</t>
        </is>
      </c>
      <c r="G255" s="1498">
        <f>IF(H255="AIR",0,IF(H254="AIR",G253+1,IF(H255&lt;&gt;"",G254+1,G254)))</f>
        <v/>
      </c>
      <c r="H255" s="1498" t="inlineStr">
        <is>
          <t>Hontanas</t>
        </is>
      </c>
      <c r="I255" s="1427" t="inlineStr">
        <is>
          <t>.</t>
        </is>
      </c>
      <c r="J255" s="1499" t="n">
        <v>250</v>
      </c>
      <c r="K255" s="1500">
        <f>_xlfn.XLOOKUP(cities[[#This Row],[id]],$D$5:$D$1500,E$5:E$1500,"-")</f>
        <v/>
      </c>
      <c r="L255" s="1500">
        <f>_xlfn.XLOOKUP(cities[[#This Row],[city]],ccc[city],ccc[ctry],"-")</f>
        <v/>
      </c>
      <c r="M255" s="1500">
        <f>SUMIFS(stayCity[stay],stayCity[city],cities[[#This Row],[city]])</f>
        <v/>
      </c>
      <c r="N255" s="1427">
        <f>N254+1</f>
        <v/>
      </c>
      <c r="O255" s="1500" t="n"/>
      <c r="P255" s="1500" t="n"/>
      <c r="Q255" s="1427" t="inlineStr">
        <is>
          <t>.</t>
        </is>
      </c>
      <c r="R255" s="1491" t="n"/>
      <c r="S255" s="1491" t="n"/>
      <c r="T255" s="1491" t="n"/>
      <c r="U255" s="1491" t="n"/>
      <c r="V255" s="1491" t="n"/>
      <c r="W255" s="1491" t="n"/>
      <c r="X255" s="1491" t="n"/>
      <c r="Y255" s="1491" t="n"/>
      <c r="Z255" s="1491" t="n"/>
      <c r="AA255" s="1491" t="n"/>
      <c r="AB255" s="1491" t="n"/>
      <c r="AC255" s="1491" t="n"/>
      <c r="AD255" s="1491" t="n"/>
      <c r="AE255" s="1491" t="n"/>
      <c r="AF255" s="1491" t="n"/>
      <c r="AG255" s="1491" t="n"/>
      <c r="AH255" s="1491" t="n"/>
      <c r="AI255" s="1491" t="n"/>
      <c r="AJ255" s="1491" t="n"/>
      <c r="AK255" s="1491" t="n"/>
      <c r="AL255" s="1491" t="n"/>
      <c r="AM255" s="1491" t="n"/>
      <c r="AN255" s="1491" t="n"/>
      <c r="AO255" s="1491" t="n"/>
      <c r="AP255" s="1491" t="n"/>
      <c r="AQ255" s="1491" t="n"/>
      <c r="AR255" s="1491" t="n"/>
      <c r="AS255" s="1491" t="n"/>
      <c r="AT255" s="1491" t="n"/>
      <c r="AU255" s="1491" t="n"/>
      <c r="AV255" s="1491" t="n"/>
      <c r="AW255" s="1491" t="n"/>
      <c r="AX255" s="1491" t="n"/>
      <c r="AY255" s="1491" t="n"/>
      <c r="AZ255" s="1491" t="n"/>
      <c r="BA255" s="1491" t="n"/>
      <c r="BB255" s="1491" t="n"/>
      <c r="BC255" s="1491" t="n"/>
      <c r="BD255" s="1491" t="n"/>
      <c r="BE255" s="1491" t="n"/>
      <c r="BF255" s="1491" t="n"/>
      <c r="BG255" s="1491" t="n"/>
      <c r="BH255" s="1491" t="n"/>
      <c r="BI255" s="1491" t="n"/>
      <c r="BJ255" s="1491" t="n"/>
      <c r="BK255" s="1491" t="n"/>
      <c r="BL255" s="1491" t="n"/>
      <c r="BM255" s="1491" t="n"/>
      <c r="BN255" s="1491" t="n"/>
      <c r="BO255" s="1467" t="n"/>
      <c r="BP255" s="1514" t="n">
        <v>251</v>
      </c>
      <c r="BQ255" s="1513">
        <f>[1]Sheet1!C256</f>
        <v/>
      </c>
      <c r="BR255" s="1515">
        <f>[1]Sheet1!D256</f>
        <v/>
      </c>
      <c r="BS255" s="1513">
        <f>[1]Sheet1!E256</f>
        <v/>
      </c>
      <c r="BT255" s="1515">
        <f>[1]Sheet1!F256</f>
        <v/>
      </c>
      <c r="BU255" s="1516">
        <f>[1]Sheet1!G256</f>
        <v/>
      </c>
      <c r="BV255" s="1513">
        <f>[1]Sheet1!H256</f>
        <v/>
      </c>
      <c r="BW255" s="1467" t="n"/>
      <c r="BX255" s="1538" t="n"/>
      <c r="BY255" s="1506" t="n"/>
      <c r="BZ255" s="1537" t="n"/>
      <c r="CA255" s="1500">
        <f>[1]Sheet1!$M256</f>
        <v/>
      </c>
      <c r="CB255" s="1467" t="n"/>
      <c r="CC255" s="1467" t="n"/>
      <c r="CD255" s="1491" t="n"/>
      <c r="CE255" s="1491" t="n"/>
      <c r="CF255" s="1491" t="n"/>
      <c r="CG255" s="1491" t="n"/>
      <c r="CH255" s="1491" t="n"/>
      <c r="CI255" s="1491" t="n"/>
      <c r="CJ255" s="1491" t="n"/>
      <c r="CK255" s="1491" t="n"/>
      <c r="CL255" s="1491" t="n"/>
      <c r="CM255" s="1491" t="n"/>
      <c r="CN255" s="1491" t="n"/>
      <c r="CO255" s="1491" t="n"/>
      <c r="CP255" s="1491" t="n"/>
      <c r="CQ255" s="1491" t="n"/>
      <c r="CR255" s="1491" t="n"/>
      <c r="CS255" s="1491" t="n"/>
      <c r="CT255" s="1491" t="n"/>
      <c r="CU255" s="1491" t="n"/>
      <c r="CV255" s="1491" t="n"/>
      <c r="CW255" s="1491" t="n"/>
      <c r="CX255" s="1491" t="n"/>
    </row>
    <row r="256">
      <c r="A256" s="1491" t="n"/>
      <c r="B256" s="1491" t="n"/>
      <c r="C256" s="1491" t="n"/>
      <c r="D256" s="1497">
        <f>IF(E256&lt;&gt;"",D255+1,D255)</f>
        <v/>
      </c>
      <c r="E256" s="1497" t="inlineStr">
        <is>
          <t>Sahagun</t>
        </is>
      </c>
      <c r="F256" s="1535" t="inlineStr">
        <is>
          <t>.</t>
        </is>
      </c>
      <c r="G256" s="1498">
        <f>IF(H256="AIR",0,IF(H255="AIR",G254+1,IF(H256&lt;&gt;"",G255+1,G255)))</f>
        <v/>
      </c>
      <c r="H256" s="1498" t="inlineStr">
        <is>
          <t>Castrojeriz</t>
        </is>
      </c>
      <c r="I256" s="1427" t="inlineStr">
        <is>
          <t>.</t>
        </is>
      </c>
      <c r="J256" s="1499" t="n">
        <v>251</v>
      </c>
      <c r="K256" s="1500">
        <f>_xlfn.XLOOKUP(cities[[#This Row],[id]],$D$5:$D$1500,E$5:E$1500,"-")</f>
        <v/>
      </c>
      <c r="L256" s="1500">
        <f>_xlfn.XLOOKUP(cities[[#This Row],[city]],ccc[city],ccc[ctry],"-")</f>
        <v/>
      </c>
      <c r="M256" s="1500">
        <f>SUMIFS(stayCity[stay],stayCity[city],cities[[#This Row],[city]])</f>
        <v/>
      </c>
      <c r="N256" s="1427">
        <f>N255+1</f>
        <v/>
      </c>
      <c r="O256" s="1500" t="n"/>
      <c r="P256" s="1500" t="n"/>
      <c r="Q256" s="1427" t="inlineStr">
        <is>
          <t>.</t>
        </is>
      </c>
      <c r="R256" s="1491" t="n"/>
      <c r="S256" s="1491" t="n"/>
      <c r="T256" s="1491" t="n"/>
      <c r="U256" s="1491" t="n"/>
      <c r="V256" s="1491" t="n"/>
      <c r="W256" s="1491" t="n"/>
      <c r="X256" s="1491" t="n"/>
      <c r="Y256" s="1491" t="n"/>
      <c r="Z256" s="1491" t="n"/>
      <c r="AA256" s="1491" t="n"/>
      <c r="AB256" s="1491" t="n"/>
      <c r="AC256" s="1491" t="n"/>
      <c r="AD256" s="1491" t="n"/>
      <c r="AE256" s="1491" t="n"/>
      <c r="AF256" s="1491" t="n"/>
      <c r="AG256" s="1491" t="n"/>
      <c r="AH256" s="1491" t="n"/>
      <c r="AI256" s="1491" t="n"/>
      <c r="AJ256" s="1491" t="n"/>
      <c r="AK256" s="1491" t="n"/>
      <c r="AL256" s="1491" t="n"/>
      <c r="AM256" s="1491" t="n"/>
      <c r="AN256" s="1491" t="n"/>
      <c r="AO256" s="1491" t="n"/>
      <c r="AP256" s="1491" t="n"/>
      <c r="AQ256" s="1491" t="n"/>
      <c r="AR256" s="1491" t="n"/>
      <c r="AS256" s="1491" t="n"/>
      <c r="AT256" s="1491" t="n"/>
      <c r="AU256" s="1491" t="n"/>
      <c r="AV256" s="1491" t="n"/>
      <c r="AW256" s="1491" t="n"/>
      <c r="AX256" s="1491" t="n"/>
      <c r="AY256" s="1491" t="n"/>
      <c r="AZ256" s="1491" t="n"/>
      <c r="BA256" s="1491" t="n"/>
      <c r="BB256" s="1491" t="n"/>
      <c r="BC256" s="1491" t="n"/>
      <c r="BD256" s="1491" t="n"/>
      <c r="BE256" s="1491" t="n"/>
      <c r="BF256" s="1491" t="n"/>
      <c r="BG256" s="1491" t="n"/>
      <c r="BH256" s="1491" t="n"/>
      <c r="BI256" s="1491" t="n"/>
      <c r="BJ256" s="1491" t="n"/>
      <c r="BK256" s="1491" t="n"/>
      <c r="BL256" s="1491" t="n"/>
      <c r="BM256" s="1491" t="n"/>
      <c r="BN256" s="1491" t="n"/>
      <c r="BO256" s="1467" t="n"/>
      <c r="BP256" s="1514" t="n">
        <v>252</v>
      </c>
      <c r="BQ256" s="1513">
        <f>[1]Sheet1!C257</f>
        <v/>
      </c>
      <c r="BR256" s="1515">
        <f>[1]Sheet1!D257</f>
        <v/>
      </c>
      <c r="BS256" s="1513">
        <f>[1]Sheet1!E257</f>
        <v/>
      </c>
      <c r="BT256" s="1515">
        <f>[1]Sheet1!F257</f>
        <v/>
      </c>
      <c r="BU256" s="1516">
        <f>[1]Sheet1!G257</f>
        <v/>
      </c>
      <c r="BV256" s="1513">
        <f>[1]Sheet1!H257</f>
        <v/>
      </c>
      <c r="BW256" s="1467" t="n"/>
      <c r="BX256" s="1538" t="n"/>
      <c r="BY256" s="1506" t="n"/>
      <c r="BZ256" s="1537" t="n"/>
      <c r="CA256" s="1500">
        <f>[1]Sheet1!$M257</f>
        <v/>
      </c>
      <c r="CB256" s="1467" t="n"/>
      <c r="CC256" s="1467" t="n"/>
      <c r="CD256" s="1491" t="n"/>
      <c r="CE256" s="1491" t="n"/>
      <c r="CF256" s="1491" t="n"/>
      <c r="CG256" s="1491" t="n"/>
      <c r="CH256" s="1491" t="n"/>
      <c r="CI256" s="1491" t="n"/>
      <c r="CJ256" s="1491" t="n"/>
      <c r="CK256" s="1491" t="n"/>
      <c r="CL256" s="1491" t="n"/>
      <c r="CM256" s="1491" t="n"/>
      <c r="CN256" s="1491" t="n"/>
      <c r="CO256" s="1491" t="n"/>
      <c r="CP256" s="1491" t="n"/>
      <c r="CQ256" s="1491" t="n"/>
      <c r="CR256" s="1491" t="n"/>
      <c r="CS256" s="1491" t="n"/>
      <c r="CT256" s="1491" t="n"/>
      <c r="CU256" s="1491" t="n"/>
      <c r="CV256" s="1491" t="n"/>
      <c r="CW256" s="1491" t="n"/>
      <c r="CX256" s="1491" t="n"/>
    </row>
    <row r="257">
      <c r="A257" s="1491" t="n"/>
      <c r="B257" s="1491" t="n"/>
      <c r="C257" s="1491" t="n"/>
      <c r="D257" s="1497">
        <f>IF(E257&lt;&gt;"",D256+1,D256)</f>
        <v/>
      </c>
      <c r="E257" s="1497" t="inlineStr">
        <is>
          <t>Bercianos</t>
        </is>
      </c>
      <c r="F257" s="1535" t="inlineStr">
        <is>
          <t>.</t>
        </is>
      </c>
      <c r="G257" s="1498">
        <f>IF(H257="AIR",0,IF(H256="AIR",G255+1,IF(H257&lt;&gt;"",G256+1,G256)))</f>
        <v/>
      </c>
      <c r="H257" s="1498" t="inlineStr">
        <is>
          <t>Fromista</t>
        </is>
      </c>
      <c r="I257" s="1427" t="inlineStr">
        <is>
          <t>.</t>
        </is>
      </c>
      <c r="J257" s="1499" t="n">
        <v>252</v>
      </c>
      <c r="K257" s="1500">
        <f>_xlfn.XLOOKUP(cities[[#This Row],[id]],$D$5:$D$1500,E$5:E$1500,"-")</f>
        <v/>
      </c>
      <c r="L257" s="1500">
        <f>_xlfn.XLOOKUP(cities[[#This Row],[city]],ccc[city],ccc[ctry],"-")</f>
        <v/>
      </c>
      <c r="M257" s="1500">
        <f>SUMIFS(stayCity[stay],stayCity[city],cities[[#This Row],[city]])</f>
        <v/>
      </c>
      <c r="N257" s="1427">
        <f>N256+1</f>
        <v/>
      </c>
      <c r="O257" s="1500" t="n"/>
      <c r="P257" s="1500" t="n"/>
      <c r="Q257" s="1427" t="inlineStr">
        <is>
          <t>.</t>
        </is>
      </c>
      <c r="R257" s="1491" t="n"/>
      <c r="S257" s="1491" t="n"/>
      <c r="T257" s="1491" t="n"/>
      <c r="U257" s="1491" t="n"/>
      <c r="V257" s="1491" t="n"/>
      <c r="W257" s="1491" t="n"/>
      <c r="X257" s="1491" t="n"/>
      <c r="Y257" s="1491" t="n"/>
      <c r="Z257" s="1491" t="n"/>
      <c r="AA257" s="1491" t="n"/>
      <c r="AB257" s="1491" t="n"/>
      <c r="AC257" s="1491" t="n"/>
      <c r="AD257" s="1491" t="n"/>
      <c r="AE257" s="1491" t="n"/>
      <c r="AF257" s="1491" t="n"/>
      <c r="AG257" s="1491" t="n"/>
      <c r="AH257" s="1491" t="n"/>
      <c r="AI257" s="1491" t="n"/>
      <c r="AJ257" s="1491" t="n"/>
      <c r="AK257" s="1491" t="n"/>
      <c r="AL257" s="1491" t="n"/>
      <c r="AM257" s="1491" t="n"/>
      <c r="AN257" s="1491" t="n"/>
      <c r="AO257" s="1491" t="n"/>
      <c r="AP257" s="1491" t="n"/>
      <c r="AQ257" s="1491" t="n"/>
      <c r="AR257" s="1491" t="n"/>
      <c r="AS257" s="1491" t="n"/>
      <c r="AT257" s="1491" t="n"/>
      <c r="AU257" s="1491" t="n"/>
      <c r="AV257" s="1491" t="n"/>
      <c r="AW257" s="1491" t="n"/>
      <c r="AX257" s="1491" t="n"/>
      <c r="AY257" s="1491" t="n"/>
      <c r="AZ257" s="1491" t="n"/>
      <c r="BA257" s="1491" t="n"/>
      <c r="BB257" s="1491" t="n"/>
      <c r="BC257" s="1491" t="n"/>
      <c r="BD257" s="1491" t="n"/>
      <c r="BE257" s="1491" t="n"/>
      <c r="BF257" s="1491" t="n"/>
      <c r="BG257" s="1491" t="n"/>
      <c r="BH257" s="1491" t="n"/>
      <c r="BI257" s="1491" t="n"/>
      <c r="BJ257" s="1491" t="n"/>
      <c r="BK257" s="1491" t="n"/>
      <c r="BL257" s="1491" t="n"/>
      <c r="BM257" s="1491" t="n"/>
      <c r="BN257" s="1491" t="n"/>
      <c r="BO257" s="1467" t="n"/>
      <c r="BP257" s="1514" t="n">
        <v>253</v>
      </c>
      <c r="BQ257" s="1513">
        <f>[1]Sheet1!C258</f>
        <v/>
      </c>
      <c r="BR257" s="1515">
        <f>[1]Sheet1!D258</f>
        <v/>
      </c>
      <c r="BS257" s="1513">
        <f>[1]Sheet1!E258</f>
        <v/>
      </c>
      <c r="BT257" s="1515">
        <f>[1]Sheet1!F258</f>
        <v/>
      </c>
      <c r="BU257" s="1516">
        <f>[1]Sheet1!G258</f>
        <v/>
      </c>
      <c r="BV257" s="1513">
        <f>[1]Sheet1!H258</f>
        <v/>
      </c>
      <c r="BW257" s="1467" t="n"/>
      <c r="BX257" s="1542" t="n"/>
      <c r="BY257" s="1527" t="n"/>
      <c r="BZ257" s="1537" t="n"/>
      <c r="CA257" s="1500">
        <f>[1]Sheet1!$M258</f>
        <v/>
      </c>
      <c r="CB257" s="1467" t="n"/>
      <c r="CC257" s="1467" t="n"/>
      <c r="CD257" s="1491" t="n"/>
      <c r="CE257" s="1491" t="n"/>
      <c r="CF257" s="1491" t="n"/>
      <c r="CG257" s="1491" t="n"/>
      <c r="CH257" s="1491" t="n"/>
      <c r="CI257" s="1491" t="n"/>
      <c r="CJ257" s="1491" t="n"/>
      <c r="CK257" s="1491" t="n"/>
      <c r="CL257" s="1491" t="n"/>
      <c r="CM257" s="1491" t="n"/>
      <c r="CN257" s="1491" t="n"/>
      <c r="CO257" s="1491" t="n"/>
      <c r="CP257" s="1491" t="n"/>
      <c r="CQ257" s="1491" t="n"/>
      <c r="CR257" s="1491" t="n"/>
      <c r="CS257" s="1491" t="n"/>
      <c r="CT257" s="1491" t="n"/>
      <c r="CU257" s="1491" t="n"/>
      <c r="CV257" s="1491" t="n"/>
      <c r="CW257" s="1491" t="n"/>
      <c r="CX257" s="1491" t="n"/>
    </row>
    <row r="258">
      <c r="A258" s="1491" t="n"/>
      <c r="B258" s="1491" t="n"/>
      <c r="C258" s="1491" t="n"/>
      <c r="D258" s="1497">
        <f>IF(E258&lt;&gt;"",D257+1,D257)</f>
        <v/>
      </c>
      <c r="E258" s="1497" t="inlineStr">
        <is>
          <t>El Burgo Ranero</t>
        </is>
      </c>
      <c r="F258" s="1535" t="inlineStr">
        <is>
          <t>.</t>
        </is>
      </c>
      <c r="G258" s="1498">
        <f>IF(H258="AIR",0,IF(H257="AIR",G256+1,IF(H258&lt;&gt;"",G257+1,G257)))</f>
        <v/>
      </c>
      <c r="H258" s="1498" t="inlineStr">
        <is>
          <t>Poblacion de Campos</t>
        </is>
      </c>
      <c r="I258" s="1427" t="inlineStr">
        <is>
          <t>.</t>
        </is>
      </c>
      <c r="J258" s="1499" t="n">
        <v>253</v>
      </c>
      <c r="K258" s="1500">
        <f>_xlfn.XLOOKUP(cities[[#This Row],[id]],$D$5:$D$1500,E$5:E$1500,"-")</f>
        <v/>
      </c>
      <c r="L258" s="1500">
        <f>_xlfn.XLOOKUP(cities[[#This Row],[city]],ccc[city],ccc[ctry],"-")</f>
        <v/>
      </c>
      <c r="M258" s="1500">
        <f>SUMIFS(stayCity[stay],stayCity[city],cities[[#This Row],[city]])</f>
        <v/>
      </c>
      <c r="N258" s="1427">
        <f>N257+1</f>
        <v/>
      </c>
      <c r="O258" s="1500" t="n"/>
      <c r="P258" s="1500" t="n"/>
      <c r="Q258" s="1427" t="inlineStr">
        <is>
          <t>.</t>
        </is>
      </c>
      <c r="R258" s="1491" t="n"/>
      <c r="S258" s="1491" t="n"/>
      <c r="T258" s="1491" t="n"/>
      <c r="U258" s="1491" t="n"/>
      <c r="V258" s="1491" t="n"/>
      <c r="W258" s="1491" t="n"/>
      <c r="X258" s="1491" t="n"/>
      <c r="Y258" s="1491" t="n"/>
      <c r="Z258" s="1491" t="n"/>
      <c r="AA258" s="1491" t="n"/>
      <c r="AB258" s="1491" t="n"/>
      <c r="AC258" s="1491" t="n"/>
      <c r="AD258" s="1491" t="n"/>
      <c r="AE258" s="1491" t="n"/>
      <c r="AF258" s="1491" t="n"/>
      <c r="AG258" s="1491" t="n"/>
      <c r="AH258" s="1491" t="n"/>
      <c r="AI258" s="1491" t="n"/>
      <c r="AJ258" s="1491" t="n"/>
      <c r="AK258" s="1491" t="n"/>
      <c r="AL258" s="1491" t="n"/>
      <c r="AM258" s="1491" t="n"/>
      <c r="AN258" s="1491" t="n"/>
      <c r="AO258" s="1491" t="n"/>
      <c r="AP258" s="1491" t="n"/>
      <c r="AQ258" s="1491" t="n"/>
      <c r="AR258" s="1491" t="n"/>
      <c r="AS258" s="1491" t="n"/>
      <c r="AT258" s="1491" t="n"/>
      <c r="AU258" s="1491" t="n"/>
      <c r="AV258" s="1491" t="n"/>
      <c r="AW258" s="1491" t="n"/>
      <c r="AX258" s="1491" t="n"/>
      <c r="AY258" s="1491" t="n"/>
      <c r="AZ258" s="1491" t="n"/>
      <c r="BA258" s="1491" t="n"/>
      <c r="BB258" s="1491" t="n"/>
      <c r="BC258" s="1491" t="n"/>
      <c r="BD258" s="1491" t="n"/>
      <c r="BE258" s="1491" t="n"/>
      <c r="BF258" s="1491" t="n"/>
      <c r="BG258" s="1491" t="n"/>
      <c r="BH258" s="1491" t="n"/>
      <c r="BI258" s="1491" t="n"/>
      <c r="BJ258" s="1491" t="n"/>
      <c r="BK258" s="1491" t="n"/>
      <c r="BL258" s="1491" t="n"/>
      <c r="BM258" s="1491" t="n"/>
      <c r="BN258" s="1491" t="n"/>
      <c r="BO258" s="1467" t="n"/>
      <c r="BP258" s="1514" t="n">
        <v>254</v>
      </c>
      <c r="BQ258" s="1513">
        <f>[1]Sheet1!C259</f>
        <v/>
      </c>
      <c r="BR258" s="1515">
        <f>[1]Sheet1!D259</f>
        <v/>
      </c>
      <c r="BS258" s="1513">
        <f>[1]Sheet1!E259</f>
        <v/>
      </c>
      <c r="BT258" s="1515">
        <f>[1]Sheet1!F259</f>
        <v/>
      </c>
      <c r="BU258" s="1516">
        <f>[1]Sheet1!G259</f>
        <v/>
      </c>
      <c r="BV258" s="1513">
        <f>[1]Sheet1!H259</f>
        <v/>
      </c>
      <c r="BW258" s="1467" t="n"/>
      <c r="BX258" s="1491" t="n"/>
      <c r="BY258" s="1491" t="n"/>
      <c r="BZ258" s="1491" t="n"/>
      <c r="CA258" s="1491" t="n"/>
      <c r="CB258" s="1467" t="n"/>
      <c r="CC258" s="1467" t="n"/>
      <c r="CD258" s="1491" t="n"/>
      <c r="CE258" s="1491" t="n"/>
      <c r="CF258" s="1491" t="n"/>
      <c r="CG258" s="1491" t="n"/>
      <c r="CH258" s="1491" t="n"/>
      <c r="CI258" s="1491" t="n"/>
      <c r="CJ258" s="1491" t="n"/>
      <c r="CK258" s="1491" t="n"/>
      <c r="CL258" s="1491" t="n"/>
      <c r="CM258" s="1491" t="n"/>
      <c r="CN258" s="1491" t="n"/>
      <c r="CO258" s="1491" t="n"/>
      <c r="CP258" s="1491" t="n"/>
      <c r="CQ258" s="1491" t="n"/>
      <c r="CR258" s="1491" t="n"/>
      <c r="CS258" s="1491" t="n"/>
      <c r="CT258" s="1491" t="n"/>
      <c r="CU258" s="1491" t="n"/>
      <c r="CV258" s="1491" t="n"/>
      <c r="CW258" s="1491" t="n"/>
      <c r="CX258" s="1491" t="n"/>
    </row>
    <row r="259">
      <c r="A259" s="1491" t="n"/>
      <c r="B259" s="1491" t="n"/>
      <c r="C259" s="1491" t="n"/>
      <c r="D259" s="1497">
        <f>IF(E259&lt;&gt;"",D258+1,D258)</f>
        <v/>
      </c>
      <c r="E259" s="1497" t="inlineStr">
        <is>
          <t>Mansilla de las Mulas</t>
        </is>
      </c>
      <c r="F259" s="1535" t="inlineStr">
        <is>
          <t>.</t>
        </is>
      </c>
      <c r="G259" s="1498">
        <f>IF(H259="AIR",0,IF(H258="AIR",G257+1,IF(H259&lt;&gt;"",G258+1,G258)))</f>
        <v/>
      </c>
      <c r="H259" s="1498" t="inlineStr">
        <is>
          <t>Villalcazar de Sirga</t>
        </is>
      </c>
      <c r="I259" s="1427" t="inlineStr">
        <is>
          <t>.</t>
        </is>
      </c>
      <c r="J259" s="1499" t="n">
        <v>254</v>
      </c>
      <c r="K259" s="1500">
        <f>_xlfn.XLOOKUP(cities[[#This Row],[id]],$D$5:$D$1500,E$5:E$1500,"-")</f>
        <v/>
      </c>
      <c r="L259" s="1500">
        <f>_xlfn.XLOOKUP(cities[[#This Row],[city]],ccc[city],ccc[ctry],"-")</f>
        <v/>
      </c>
      <c r="M259" s="1500">
        <f>SUMIFS(stayCity[stay],stayCity[city],cities[[#This Row],[city]])</f>
        <v/>
      </c>
      <c r="N259" s="1427">
        <f>N258+1</f>
        <v/>
      </c>
      <c r="O259" s="1500" t="n"/>
      <c r="P259" s="1500" t="n"/>
      <c r="Q259" s="1427" t="inlineStr">
        <is>
          <t>.</t>
        </is>
      </c>
      <c r="R259" s="1491" t="n"/>
      <c r="S259" s="1491" t="n"/>
      <c r="T259" s="1491" t="n"/>
      <c r="U259" s="1491" t="n"/>
      <c r="V259" s="1491" t="n"/>
      <c r="W259" s="1491" t="n"/>
      <c r="X259" s="1491" t="n"/>
      <c r="Y259" s="1491" t="n"/>
      <c r="Z259" s="1491" t="n"/>
      <c r="AA259" s="1491" t="n"/>
      <c r="AB259" s="1491" t="n"/>
      <c r="AC259" s="1491" t="n"/>
      <c r="AD259" s="1491" t="n"/>
      <c r="AE259" s="1491" t="n"/>
      <c r="AF259" s="1491" t="n"/>
      <c r="AG259" s="1491" t="n"/>
      <c r="AH259" s="1491" t="n"/>
      <c r="AI259" s="1491" t="n"/>
      <c r="AJ259" s="1491" t="n"/>
      <c r="AK259" s="1491" t="n"/>
      <c r="AL259" s="1491" t="n"/>
      <c r="AM259" s="1491" t="n"/>
      <c r="AN259" s="1491" t="n"/>
      <c r="AO259" s="1491" t="n"/>
      <c r="AP259" s="1491" t="n"/>
      <c r="AQ259" s="1491" t="n"/>
      <c r="AR259" s="1491" t="n"/>
      <c r="AS259" s="1491" t="n"/>
      <c r="AT259" s="1491" t="n"/>
      <c r="AU259" s="1491" t="n"/>
      <c r="AV259" s="1491" t="n"/>
      <c r="AW259" s="1491" t="n"/>
      <c r="AX259" s="1491" t="n"/>
      <c r="AY259" s="1491" t="n"/>
      <c r="AZ259" s="1491" t="n"/>
      <c r="BA259" s="1491" t="n"/>
      <c r="BB259" s="1491" t="n"/>
      <c r="BC259" s="1491" t="n"/>
      <c r="BD259" s="1491" t="n"/>
      <c r="BE259" s="1491" t="n"/>
      <c r="BF259" s="1491" t="n"/>
      <c r="BG259" s="1491" t="n"/>
      <c r="BH259" s="1491" t="n"/>
      <c r="BI259" s="1491" t="n"/>
      <c r="BJ259" s="1491" t="n"/>
      <c r="BK259" s="1491" t="n"/>
      <c r="BL259" s="1491" t="n"/>
      <c r="BM259" s="1491" t="n"/>
      <c r="BN259" s="1491" t="n"/>
      <c r="BO259" s="1467" t="n"/>
      <c r="BP259" s="1514" t="n">
        <v>255</v>
      </c>
      <c r="BQ259" s="1513">
        <f>[1]Sheet1!C260</f>
        <v/>
      </c>
      <c r="BR259" s="1515">
        <f>[1]Sheet1!D260</f>
        <v/>
      </c>
      <c r="BS259" s="1513">
        <f>[1]Sheet1!E260</f>
        <v/>
      </c>
      <c r="BT259" s="1515">
        <f>[1]Sheet1!F260</f>
        <v/>
      </c>
      <c r="BU259" s="1516">
        <f>[1]Sheet1!G260</f>
        <v/>
      </c>
      <c r="BV259" s="1513">
        <f>[1]Sheet1!H260</f>
        <v/>
      </c>
      <c r="BW259" s="1467" t="n"/>
      <c r="BX259" s="1491" t="n"/>
      <c r="BY259" s="1491" t="n"/>
      <c r="BZ259" s="1491" t="n"/>
      <c r="CA259" s="1491" t="n"/>
      <c r="CB259" s="1467" t="n"/>
      <c r="CC259" s="1467" t="n"/>
      <c r="CD259" s="1491" t="n"/>
      <c r="CE259" s="1491" t="n"/>
      <c r="CF259" s="1491" t="n"/>
      <c r="CG259" s="1491" t="n"/>
      <c r="CH259" s="1491" t="n"/>
      <c r="CI259" s="1491" t="n"/>
      <c r="CJ259" s="1491" t="n"/>
      <c r="CK259" s="1491" t="n"/>
      <c r="CL259" s="1491" t="n"/>
      <c r="CM259" s="1491" t="n"/>
      <c r="CN259" s="1491" t="n"/>
      <c r="CO259" s="1491" t="n"/>
      <c r="CP259" s="1491" t="n"/>
      <c r="CQ259" s="1491" t="n"/>
      <c r="CR259" s="1491" t="n"/>
      <c r="CS259" s="1491" t="n"/>
      <c r="CT259" s="1491" t="n"/>
      <c r="CU259" s="1491" t="n"/>
      <c r="CV259" s="1491" t="n"/>
      <c r="CW259" s="1491" t="n"/>
      <c r="CX259" s="1491" t="n"/>
    </row>
    <row r="260">
      <c r="A260" s="1491" t="n"/>
      <c r="B260" s="1491" t="n"/>
      <c r="C260" s="1491" t="n"/>
      <c r="D260" s="1497">
        <f>IF(E260&lt;&gt;"",D259+1,D259)</f>
        <v/>
      </c>
      <c r="E260" s="1497" t="inlineStr">
        <is>
          <t>Leon</t>
        </is>
      </c>
      <c r="F260" s="1535" t="inlineStr">
        <is>
          <t>.</t>
        </is>
      </c>
      <c r="G260" s="1498">
        <f>IF(H260="AIR",0,IF(H259="AIR",G258+1,IF(H260&lt;&gt;"",G259+1,G259)))</f>
        <v/>
      </c>
      <c r="H260" s="1498" t="inlineStr">
        <is>
          <t>Carrion de los Condes</t>
        </is>
      </c>
      <c r="I260" s="1427" t="inlineStr">
        <is>
          <t>.</t>
        </is>
      </c>
      <c r="J260" s="1499" t="n">
        <v>255</v>
      </c>
      <c r="K260" s="1500">
        <f>_xlfn.XLOOKUP(cities[[#This Row],[id]],$D$5:$D$1500,E$5:E$1500,"-")</f>
        <v/>
      </c>
      <c r="L260" s="1500">
        <f>_xlfn.XLOOKUP(cities[[#This Row],[city]],ccc[city],ccc[ctry],"-")</f>
        <v/>
      </c>
      <c r="M260" s="1500">
        <f>SUMIFS(stayCity[stay],stayCity[city],cities[[#This Row],[city]])</f>
        <v/>
      </c>
      <c r="N260" s="1427">
        <f>N259+1</f>
        <v/>
      </c>
      <c r="O260" s="1500" t="n"/>
      <c r="P260" s="1500" t="n"/>
      <c r="Q260" s="1427" t="inlineStr">
        <is>
          <t>.</t>
        </is>
      </c>
      <c r="R260" s="1491" t="n"/>
      <c r="S260" s="1491" t="n"/>
      <c r="T260" s="1491" t="n"/>
      <c r="U260" s="1491" t="n"/>
      <c r="V260" s="1491" t="n"/>
      <c r="W260" s="1491" t="n"/>
      <c r="X260" s="1491" t="n"/>
      <c r="Y260" s="1491" t="n"/>
      <c r="Z260" s="1491" t="n"/>
      <c r="AA260" s="1491" t="n"/>
      <c r="AB260" s="1491" t="n"/>
      <c r="AC260" s="1491" t="n"/>
      <c r="AD260" s="1491" t="n"/>
      <c r="AE260" s="1491" t="n"/>
      <c r="AF260" s="1491" t="n"/>
      <c r="AG260" s="1491" t="n"/>
      <c r="AH260" s="1491" t="n"/>
      <c r="AI260" s="1491" t="n"/>
      <c r="AJ260" s="1491" t="n"/>
      <c r="AK260" s="1491" t="n"/>
      <c r="AL260" s="1491" t="n"/>
      <c r="AM260" s="1491" t="n"/>
      <c r="AN260" s="1491" t="n"/>
      <c r="AO260" s="1491" t="n"/>
      <c r="AP260" s="1491" t="n"/>
      <c r="AQ260" s="1491" t="n"/>
      <c r="AR260" s="1491" t="n"/>
      <c r="AS260" s="1491" t="n"/>
      <c r="AT260" s="1491" t="n"/>
      <c r="AU260" s="1491" t="n"/>
      <c r="AV260" s="1491" t="n"/>
      <c r="AW260" s="1491" t="n"/>
      <c r="AX260" s="1491" t="n"/>
      <c r="AY260" s="1491" t="n"/>
      <c r="AZ260" s="1491" t="n"/>
      <c r="BA260" s="1491" t="n"/>
      <c r="BB260" s="1491" t="n"/>
      <c r="BC260" s="1491" t="n"/>
      <c r="BD260" s="1491" t="n"/>
      <c r="BE260" s="1491" t="n"/>
      <c r="BF260" s="1491" t="n"/>
      <c r="BG260" s="1491" t="n"/>
      <c r="BH260" s="1491" t="n"/>
      <c r="BI260" s="1491" t="n"/>
      <c r="BJ260" s="1491" t="n"/>
      <c r="BK260" s="1491" t="n"/>
      <c r="BL260" s="1491" t="n"/>
      <c r="BM260" s="1491" t="n"/>
      <c r="BN260" s="1491" t="n"/>
      <c r="BO260" s="1467" t="n"/>
      <c r="BP260" s="1514" t="n">
        <v>256</v>
      </c>
      <c r="BQ260" s="1513">
        <f>[1]Sheet1!C261</f>
        <v/>
      </c>
      <c r="BR260" s="1515">
        <f>[1]Sheet1!D261</f>
        <v/>
      </c>
      <c r="BS260" s="1513">
        <f>[1]Sheet1!E261</f>
        <v/>
      </c>
      <c r="BT260" s="1515">
        <f>[1]Sheet1!F261</f>
        <v/>
      </c>
      <c r="BU260" s="1516">
        <f>[1]Sheet1!G261</f>
        <v/>
      </c>
      <c r="BV260" s="1513">
        <f>[1]Sheet1!H261</f>
        <v/>
      </c>
      <c r="BW260" s="1467" t="n"/>
      <c r="BX260" s="1491" t="n"/>
      <c r="BY260" s="1491" t="n"/>
      <c r="BZ260" s="1491" t="n"/>
      <c r="CA260" s="1491" t="n"/>
      <c r="CB260" s="1467" t="n"/>
      <c r="CC260" s="1467" t="n"/>
      <c r="CD260" s="1491" t="n"/>
      <c r="CE260" s="1491" t="n"/>
      <c r="CF260" s="1491" t="n"/>
      <c r="CG260" s="1491" t="n"/>
      <c r="CH260" s="1491" t="n"/>
      <c r="CI260" s="1491" t="n"/>
      <c r="CJ260" s="1491" t="n"/>
      <c r="CK260" s="1491" t="n"/>
      <c r="CL260" s="1491" t="n"/>
      <c r="CM260" s="1491" t="n"/>
      <c r="CN260" s="1491" t="n"/>
      <c r="CO260" s="1491" t="n"/>
      <c r="CP260" s="1491" t="n"/>
      <c r="CQ260" s="1491" t="n"/>
      <c r="CR260" s="1491" t="n"/>
      <c r="CS260" s="1491" t="n"/>
      <c r="CT260" s="1491" t="n"/>
      <c r="CU260" s="1491" t="n"/>
      <c r="CV260" s="1491" t="n"/>
      <c r="CW260" s="1491" t="n"/>
      <c r="CX260" s="1491" t="n"/>
    </row>
    <row r="261">
      <c r="A261" s="1491" t="n"/>
      <c r="B261" s="1491" t="n"/>
      <c r="C261" s="1491" t="n"/>
      <c r="D261" s="1497">
        <f>IF(E261&lt;&gt;"",D260+1,D260)</f>
        <v/>
      </c>
      <c r="E261" s="1497" t="inlineStr">
        <is>
          <t>Villadangos del Paramo</t>
        </is>
      </c>
      <c r="F261" s="1535" t="inlineStr">
        <is>
          <t>.</t>
        </is>
      </c>
      <c r="G261" s="1498">
        <f>IF(H261="AIR",0,IF(H260="AIR",G259+1,IF(H261&lt;&gt;"",G260+1,G260)))</f>
        <v/>
      </c>
      <c r="H261" s="1498" t="inlineStr">
        <is>
          <t>Calzadilla</t>
        </is>
      </c>
      <c r="I261" s="1427" t="inlineStr">
        <is>
          <t>.</t>
        </is>
      </c>
      <c r="J261" s="1499" t="n">
        <v>256</v>
      </c>
      <c r="K261" s="1500">
        <f>_xlfn.XLOOKUP(cities[[#This Row],[id]],$D$5:$D$1500,E$5:E$1500,"-")</f>
        <v/>
      </c>
      <c r="L261" s="1500">
        <f>_xlfn.XLOOKUP(cities[[#This Row],[city]],ccc[city],ccc[ctry],"-")</f>
        <v/>
      </c>
      <c r="M261" s="1500">
        <f>SUMIFS(stayCity[stay],stayCity[city],cities[[#This Row],[city]])</f>
        <v/>
      </c>
      <c r="N261" s="1427">
        <f>N260+1</f>
        <v/>
      </c>
      <c r="O261" s="1500" t="n"/>
      <c r="P261" s="1500" t="n"/>
      <c r="Q261" s="1427" t="inlineStr">
        <is>
          <t>.</t>
        </is>
      </c>
      <c r="R261" s="1491" t="n"/>
      <c r="S261" s="1491" t="n"/>
      <c r="T261" s="1491" t="n"/>
      <c r="U261" s="1491" t="n"/>
      <c r="V261" s="1491" t="n"/>
      <c r="W261" s="1491" t="n"/>
      <c r="X261" s="1491" t="n"/>
      <c r="Y261" s="1491" t="n"/>
      <c r="Z261" s="1491" t="n"/>
      <c r="AA261" s="1491" t="n"/>
      <c r="AB261" s="1491" t="n"/>
      <c r="AC261" s="1491" t="n"/>
      <c r="AD261" s="1491" t="n"/>
      <c r="AE261" s="1491" t="n"/>
      <c r="AF261" s="1491" t="n"/>
      <c r="AG261" s="1491" t="n"/>
      <c r="AH261" s="1491" t="n"/>
      <c r="AI261" s="1491" t="n"/>
      <c r="AJ261" s="1491" t="n"/>
      <c r="AK261" s="1491" t="n"/>
      <c r="AL261" s="1491" t="n"/>
      <c r="AM261" s="1491" t="n"/>
      <c r="AN261" s="1491" t="n"/>
      <c r="AO261" s="1491" t="n"/>
      <c r="AP261" s="1491" t="n"/>
      <c r="AQ261" s="1491" t="n"/>
      <c r="AR261" s="1491" t="n"/>
      <c r="AS261" s="1491" t="n"/>
      <c r="AT261" s="1491" t="n"/>
      <c r="AU261" s="1491" t="n"/>
      <c r="AV261" s="1491" t="n"/>
      <c r="AW261" s="1491" t="n"/>
      <c r="AX261" s="1491" t="n"/>
      <c r="AY261" s="1491" t="n"/>
      <c r="AZ261" s="1491" t="n"/>
      <c r="BA261" s="1491" t="n"/>
      <c r="BB261" s="1491" t="n"/>
      <c r="BC261" s="1491" t="n"/>
      <c r="BD261" s="1491" t="n"/>
      <c r="BE261" s="1491" t="n"/>
      <c r="BF261" s="1491" t="n"/>
      <c r="BG261" s="1491" t="n"/>
      <c r="BH261" s="1491" t="n"/>
      <c r="BI261" s="1491" t="n"/>
      <c r="BJ261" s="1491" t="n"/>
      <c r="BK261" s="1491" t="n"/>
      <c r="BL261" s="1491" t="n"/>
      <c r="BM261" s="1491" t="n"/>
      <c r="BN261" s="1491" t="n"/>
      <c r="BO261" s="1467" t="n"/>
      <c r="BP261" s="1514" t="n">
        <v>257</v>
      </c>
      <c r="BQ261" s="1513">
        <f>[1]Sheet1!C262</f>
        <v/>
      </c>
      <c r="BR261" s="1515">
        <f>[1]Sheet1!D262</f>
        <v/>
      </c>
      <c r="BS261" s="1513">
        <f>[1]Sheet1!E262</f>
        <v/>
      </c>
      <c r="BT261" s="1515">
        <f>[1]Sheet1!F262</f>
        <v/>
      </c>
      <c r="BU261" s="1516">
        <f>[1]Sheet1!G262</f>
        <v/>
      </c>
      <c r="BV261" s="1513">
        <f>[1]Sheet1!H262</f>
        <v/>
      </c>
      <c r="BW261" s="1467" t="n"/>
      <c r="BX261" s="1491" t="n"/>
      <c r="BY261" s="1491" t="n"/>
      <c r="BZ261" s="1491" t="n"/>
      <c r="CA261" s="1491" t="n"/>
      <c r="CB261" s="1467" t="n"/>
      <c r="CC261" s="1467" t="n"/>
      <c r="CD261" s="1491" t="n"/>
      <c r="CE261" s="1491" t="n"/>
      <c r="CF261" s="1491" t="n"/>
      <c r="CG261" s="1491" t="n"/>
      <c r="CH261" s="1491" t="n"/>
      <c r="CI261" s="1491" t="n"/>
      <c r="CJ261" s="1491" t="n"/>
      <c r="CK261" s="1491" t="n"/>
      <c r="CL261" s="1491" t="n"/>
      <c r="CM261" s="1491" t="n"/>
      <c r="CN261" s="1491" t="n"/>
      <c r="CO261" s="1491" t="n"/>
      <c r="CP261" s="1491" t="n"/>
      <c r="CQ261" s="1491" t="n"/>
      <c r="CR261" s="1491" t="n"/>
      <c r="CS261" s="1491" t="n"/>
      <c r="CT261" s="1491" t="n"/>
      <c r="CU261" s="1491" t="n"/>
      <c r="CV261" s="1491" t="n"/>
      <c r="CW261" s="1491" t="n"/>
      <c r="CX261" s="1491" t="n"/>
    </row>
    <row r="262">
      <c r="A262" s="1491" t="n"/>
      <c r="B262" s="1491" t="n"/>
      <c r="C262" s="1491" t="n"/>
      <c r="D262" s="1497">
        <f>IF(E262&lt;&gt;"",D261+1,D261)</f>
        <v/>
      </c>
      <c r="E262" s="1497" t="inlineStr">
        <is>
          <t>Astorga</t>
        </is>
      </c>
      <c r="F262" s="1535" t="inlineStr">
        <is>
          <t>.</t>
        </is>
      </c>
      <c r="G262" s="1498">
        <f>IF(H262="AIR",0,IF(H261="AIR",G260+1,IF(H262&lt;&gt;"",G261+1,G261)))</f>
        <v/>
      </c>
      <c r="H262" s="1498" t="inlineStr">
        <is>
          <t>Ledigos</t>
        </is>
      </c>
      <c r="I262" s="1427" t="inlineStr">
        <is>
          <t>.</t>
        </is>
      </c>
      <c r="J262" s="1499" t="n">
        <v>257</v>
      </c>
      <c r="K262" s="1500">
        <f>_xlfn.XLOOKUP(cities[[#This Row],[id]],$D$5:$D$1500,E$5:E$1500,"-")</f>
        <v/>
      </c>
      <c r="L262" s="1500">
        <f>_xlfn.XLOOKUP(cities[[#This Row],[city]],ccc[city],ccc[ctry],"-")</f>
        <v/>
      </c>
      <c r="M262" s="1500">
        <f>SUMIFS(stayCity[stay],stayCity[city],cities[[#This Row],[city]])</f>
        <v/>
      </c>
      <c r="N262" s="1427">
        <f>N261+1</f>
        <v/>
      </c>
      <c r="O262" s="1500" t="n"/>
      <c r="P262" s="1500" t="n"/>
      <c r="Q262" s="1427" t="inlineStr">
        <is>
          <t>.</t>
        </is>
      </c>
      <c r="R262" s="1491" t="n"/>
      <c r="S262" s="1491" t="n"/>
      <c r="T262" s="1491" t="n"/>
      <c r="U262" s="1491" t="n"/>
      <c r="V262" s="1491" t="n"/>
      <c r="W262" s="1491" t="n"/>
      <c r="X262" s="1491" t="n"/>
      <c r="Y262" s="1491" t="n"/>
      <c r="Z262" s="1491" t="n"/>
      <c r="AA262" s="1491" t="n"/>
      <c r="AB262" s="1491" t="n"/>
      <c r="AC262" s="1491" t="n"/>
      <c r="AD262" s="1491" t="n"/>
      <c r="AE262" s="1491" t="n"/>
      <c r="AF262" s="1491" t="n"/>
      <c r="AG262" s="1491" t="n"/>
      <c r="AH262" s="1491" t="n"/>
      <c r="AI262" s="1491" t="n"/>
      <c r="AJ262" s="1491" t="n"/>
      <c r="AK262" s="1491" t="n"/>
      <c r="AL262" s="1491" t="n"/>
      <c r="AM262" s="1491" t="n"/>
      <c r="AN262" s="1491" t="n"/>
      <c r="AO262" s="1491" t="n"/>
      <c r="AP262" s="1491" t="n"/>
      <c r="AQ262" s="1491" t="n"/>
      <c r="AR262" s="1491" t="n"/>
      <c r="AS262" s="1491" t="n"/>
      <c r="AT262" s="1491" t="n"/>
      <c r="AU262" s="1491" t="n"/>
      <c r="AV262" s="1491" t="n"/>
      <c r="AW262" s="1491" t="n"/>
      <c r="AX262" s="1491" t="n"/>
      <c r="AY262" s="1491" t="n"/>
      <c r="AZ262" s="1491" t="n"/>
      <c r="BA262" s="1491" t="n"/>
      <c r="BB262" s="1491" t="n"/>
      <c r="BC262" s="1491" t="n"/>
      <c r="BD262" s="1491" t="n"/>
      <c r="BE262" s="1491" t="n"/>
      <c r="BF262" s="1491" t="n"/>
      <c r="BG262" s="1491" t="n"/>
      <c r="BH262" s="1491" t="n"/>
      <c r="BI262" s="1491" t="n"/>
      <c r="BJ262" s="1491" t="n"/>
      <c r="BK262" s="1491" t="n"/>
      <c r="BL262" s="1491" t="n"/>
      <c r="BM262" s="1491" t="n"/>
      <c r="BN262" s="1491" t="n"/>
      <c r="BO262" s="1467" t="n"/>
      <c r="BP262" s="1514" t="n">
        <v>258</v>
      </c>
      <c r="BQ262" s="1513">
        <f>[1]Sheet1!C263</f>
        <v/>
      </c>
      <c r="BR262" s="1515">
        <f>[1]Sheet1!D263</f>
        <v/>
      </c>
      <c r="BS262" s="1513">
        <f>[1]Sheet1!E263</f>
        <v/>
      </c>
      <c r="BT262" s="1515">
        <f>[1]Sheet1!F263</f>
        <v/>
      </c>
      <c r="BU262" s="1516">
        <f>[1]Sheet1!G263</f>
        <v/>
      </c>
      <c r="BV262" s="1513">
        <f>[1]Sheet1!H263</f>
        <v/>
      </c>
      <c r="BW262" s="1467" t="n"/>
      <c r="BX262" s="1491" t="n"/>
      <c r="BY262" s="1491" t="n"/>
      <c r="BZ262" s="1491" t="n"/>
      <c r="CA262" s="1491" t="n"/>
      <c r="CB262" s="1467" t="n"/>
      <c r="CC262" s="1467" t="n"/>
      <c r="CD262" s="1491" t="n"/>
      <c r="CE262" s="1491" t="n"/>
      <c r="CF262" s="1491" t="n"/>
      <c r="CG262" s="1491" t="n"/>
      <c r="CH262" s="1491" t="n"/>
      <c r="CI262" s="1491" t="n"/>
      <c r="CJ262" s="1491" t="n"/>
      <c r="CK262" s="1491" t="n"/>
      <c r="CL262" s="1491" t="n"/>
      <c r="CM262" s="1491" t="n"/>
      <c r="CN262" s="1491" t="n"/>
      <c r="CO262" s="1491" t="n"/>
      <c r="CP262" s="1491" t="n"/>
      <c r="CQ262" s="1491" t="n"/>
      <c r="CR262" s="1491" t="n"/>
      <c r="CS262" s="1491" t="n"/>
      <c r="CT262" s="1491" t="n"/>
      <c r="CU262" s="1491" t="n"/>
      <c r="CV262" s="1491" t="n"/>
      <c r="CW262" s="1491" t="n"/>
      <c r="CX262" s="1491" t="n"/>
    </row>
    <row r="263">
      <c r="A263" s="1491" t="n"/>
      <c r="B263" s="1491" t="n"/>
      <c r="C263" s="1491" t="n"/>
      <c r="D263" s="1497">
        <f>IF(E263&lt;&gt;"",D262+1,D262)</f>
        <v/>
      </c>
      <c r="E263" s="1497" t="inlineStr">
        <is>
          <t>Rabanal del Camino</t>
        </is>
      </c>
      <c r="F263" s="1535" t="inlineStr">
        <is>
          <t>.</t>
        </is>
      </c>
      <c r="G263" s="1498">
        <f>IF(H263="AIR",0,IF(H262="AIR",G261+1,IF(H263&lt;&gt;"",G262+1,G262)))</f>
        <v/>
      </c>
      <c r="H263" s="1498" t="inlineStr">
        <is>
          <t>Sahagun</t>
        </is>
      </c>
      <c r="I263" s="1427" t="inlineStr">
        <is>
          <t>.</t>
        </is>
      </c>
      <c r="J263" s="1499" t="n">
        <v>258</v>
      </c>
      <c r="K263" s="1500">
        <f>_xlfn.XLOOKUP(cities[[#This Row],[id]],$D$5:$D$1500,E$5:E$1500,"-")</f>
        <v/>
      </c>
      <c r="L263" s="1500">
        <f>_xlfn.XLOOKUP(cities[[#This Row],[city]],ccc[city],ccc[ctry],"-")</f>
        <v/>
      </c>
      <c r="M263" s="1500">
        <f>SUMIFS(stayCity[stay],stayCity[city],cities[[#This Row],[city]])</f>
        <v/>
      </c>
      <c r="N263" s="1427">
        <f>N262+1</f>
        <v/>
      </c>
      <c r="O263" s="1500" t="n"/>
      <c r="P263" s="1500" t="n"/>
      <c r="Q263" s="1427" t="inlineStr">
        <is>
          <t>.</t>
        </is>
      </c>
      <c r="R263" s="1491" t="n"/>
      <c r="S263" s="1491" t="n"/>
      <c r="T263" s="1491" t="n"/>
      <c r="U263" s="1491" t="n"/>
      <c r="V263" s="1491" t="n"/>
      <c r="W263" s="1491" t="n"/>
      <c r="X263" s="1491" t="n"/>
      <c r="Y263" s="1491" t="n"/>
      <c r="Z263" s="1491" t="n"/>
      <c r="AA263" s="1491" t="n"/>
      <c r="AB263" s="1491" t="n"/>
      <c r="AC263" s="1491" t="n"/>
      <c r="AD263" s="1491" t="n"/>
      <c r="AE263" s="1491" t="n"/>
      <c r="AF263" s="1491" t="n"/>
      <c r="AG263" s="1491" t="n"/>
      <c r="AH263" s="1491" t="n"/>
      <c r="AI263" s="1491" t="n"/>
      <c r="AJ263" s="1491" t="n"/>
      <c r="AK263" s="1491" t="n"/>
      <c r="AL263" s="1491" t="n"/>
      <c r="AM263" s="1491" t="n"/>
      <c r="AN263" s="1491" t="n"/>
      <c r="AO263" s="1491" t="n"/>
      <c r="AP263" s="1491" t="n"/>
      <c r="AQ263" s="1491" t="n"/>
      <c r="AR263" s="1491" t="n"/>
      <c r="AS263" s="1491" t="n"/>
      <c r="AT263" s="1491" t="n"/>
      <c r="AU263" s="1491" t="n"/>
      <c r="AV263" s="1491" t="n"/>
      <c r="AW263" s="1491" t="n"/>
      <c r="AX263" s="1491" t="n"/>
      <c r="AY263" s="1491" t="n"/>
      <c r="AZ263" s="1491" t="n"/>
      <c r="BA263" s="1491" t="n"/>
      <c r="BB263" s="1491" t="n"/>
      <c r="BC263" s="1491" t="n"/>
      <c r="BD263" s="1491" t="n"/>
      <c r="BE263" s="1491" t="n"/>
      <c r="BF263" s="1491" t="n"/>
      <c r="BG263" s="1491" t="n"/>
      <c r="BH263" s="1491" t="n"/>
      <c r="BI263" s="1491" t="n"/>
      <c r="BJ263" s="1491" t="n"/>
      <c r="BK263" s="1491" t="n"/>
      <c r="BL263" s="1491" t="n"/>
      <c r="BM263" s="1491" t="n"/>
      <c r="BN263" s="1491" t="n"/>
      <c r="BO263" s="1467" t="n"/>
      <c r="BP263" s="1514" t="n">
        <v>259</v>
      </c>
      <c r="BQ263" s="1513">
        <f>[1]Sheet1!C264</f>
        <v/>
      </c>
      <c r="BR263" s="1515">
        <f>[1]Sheet1!D264</f>
        <v/>
      </c>
      <c r="BS263" s="1513">
        <f>[1]Sheet1!E264</f>
        <v/>
      </c>
      <c r="BT263" s="1515">
        <f>[1]Sheet1!F264</f>
        <v/>
      </c>
      <c r="BU263" s="1516">
        <f>[1]Sheet1!G264</f>
        <v/>
      </c>
      <c r="BV263" s="1513">
        <f>[1]Sheet1!H264</f>
        <v/>
      </c>
      <c r="BW263" s="1467" t="n"/>
      <c r="BX263" s="1491" t="n"/>
      <c r="BY263" s="1491" t="n"/>
      <c r="BZ263" s="1491" t="n"/>
      <c r="CA263" s="1491" t="n"/>
      <c r="CB263" s="1467" t="n"/>
      <c r="CC263" s="1467" t="n"/>
      <c r="CD263" s="1491" t="n"/>
      <c r="CE263" s="1491" t="n"/>
      <c r="CF263" s="1491" t="n"/>
      <c r="CG263" s="1491" t="n"/>
      <c r="CH263" s="1491" t="n"/>
      <c r="CI263" s="1491" t="n"/>
      <c r="CJ263" s="1491" t="n"/>
      <c r="CK263" s="1491" t="n"/>
      <c r="CL263" s="1491" t="n"/>
      <c r="CM263" s="1491" t="n"/>
      <c r="CN263" s="1491" t="n"/>
      <c r="CO263" s="1491" t="n"/>
      <c r="CP263" s="1491" t="n"/>
      <c r="CQ263" s="1491" t="n"/>
      <c r="CR263" s="1491" t="n"/>
      <c r="CS263" s="1491" t="n"/>
      <c r="CT263" s="1491" t="n"/>
      <c r="CU263" s="1491" t="n"/>
      <c r="CV263" s="1491" t="n"/>
      <c r="CW263" s="1491" t="n"/>
      <c r="CX263" s="1491" t="n"/>
    </row>
    <row r="264">
      <c r="A264" s="1491" t="n"/>
      <c r="B264" s="1491" t="n"/>
      <c r="C264" s="1491" t="n"/>
      <c r="D264" s="1497">
        <f>IF(E264&lt;&gt;"",D263+1,D263)</f>
        <v/>
      </c>
      <c r="E264" s="1497" t="inlineStr">
        <is>
          <t>Foncebadon</t>
        </is>
      </c>
      <c r="F264" s="1535" t="inlineStr">
        <is>
          <t>.</t>
        </is>
      </c>
      <c r="G264" s="1498">
        <f>IF(H264="AIR",0,IF(H263="AIR",G262+1,IF(H264&lt;&gt;"",G263+1,G263)))</f>
        <v/>
      </c>
      <c r="H264" s="1498" t="inlineStr">
        <is>
          <t>Bercianos</t>
        </is>
      </c>
      <c r="I264" s="1427" t="inlineStr">
        <is>
          <t>.</t>
        </is>
      </c>
      <c r="J264" s="1499" t="n">
        <v>259</v>
      </c>
      <c r="K264" s="1500">
        <f>_xlfn.XLOOKUP(cities[[#This Row],[id]],$D$5:$D$1500,E$5:E$1500,"-")</f>
        <v/>
      </c>
      <c r="L264" s="1500">
        <f>_xlfn.XLOOKUP(cities[[#This Row],[city]],ccc[city],ccc[ctry],"-")</f>
        <v/>
      </c>
      <c r="M264" s="1500">
        <f>SUMIFS(stayCity[stay],stayCity[city],cities[[#This Row],[city]])</f>
        <v/>
      </c>
      <c r="N264" s="1427">
        <f>N263+1</f>
        <v/>
      </c>
      <c r="O264" s="1500" t="n"/>
      <c r="P264" s="1500" t="n"/>
      <c r="Q264" s="1427" t="inlineStr">
        <is>
          <t>.</t>
        </is>
      </c>
      <c r="R264" s="1491" t="n"/>
      <c r="S264" s="1491" t="n"/>
      <c r="T264" s="1491" t="n"/>
      <c r="U264" s="1491" t="n"/>
      <c r="V264" s="1491" t="n"/>
      <c r="W264" s="1491" t="n"/>
      <c r="X264" s="1491" t="n"/>
      <c r="Y264" s="1491" t="n"/>
      <c r="Z264" s="1491" t="n"/>
      <c r="AA264" s="1491" t="n"/>
      <c r="AB264" s="1491" t="n"/>
      <c r="AC264" s="1491" t="n"/>
      <c r="AD264" s="1491" t="n"/>
      <c r="AE264" s="1491" t="n"/>
      <c r="AF264" s="1491" t="n"/>
      <c r="AG264" s="1491" t="n"/>
      <c r="AH264" s="1491" t="n"/>
      <c r="AI264" s="1491" t="n"/>
      <c r="AJ264" s="1491" t="n"/>
      <c r="AK264" s="1491" t="n"/>
      <c r="AL264" s="1491" t="n"/>
      <c r="AM264" s="1491" t="n"/>
      <c r="AN264" s="1491" t="n"/>
      <c r="AO264" s="1491" t="n"/>
      <c r="AP264" s="1491" t="n"/>
      <c r="AQ264" s="1491" t="n"/>
      <c r="AR264" s="1491" t="n"/>
      <c r="AS264" s="1491" t="n"/>
      <c r="AT264" s="1491" t="n"/>
      <c r="AU264" s="1491" t="n"/>
      <c r="AV264" s="1491" t="n"/>
      <c r="AW264" s="1491" t="n"/>
      <c r="AX264" s="1491" t="n"/>
      <c r="AY264" s="1491" t="n"/>
      <c r="AZ264" s="1491" t="n"/>
      <c r="BA264" s="1491" t="n"/>
      <c r="BB264" s="1491" t="n"/>
      <c r="BC264" s="1491" t="n"/>
      <c r="BD264" s="1491" t="n"/>
      <c r="BE264" s="1491" t="n"/>
      <c r="BF264" s="1491" t="n"/>
      <c r="BG264" s="1491" t="n"/>
      <c r="BH264" s="1491" t="n"/>
      <c r="BI264" s="1491" t="n"/>
      <c r="BJ264" s="1491" t="n"/>
      <c r="BK264" s="1491" t="n"/>
      <c r="BL264" s="1491" t="n"/>
      <c r="BM264" s="1491" t="n"/>
      <c r="BN264" s="1491" t="n"/>
      <c r="BO264" s="1467" t="n"/>
      <c r="BP264" s="1514" t="n">
        <v>260</v>
      </c>
      <c r="BQ264" s="1513">
        <f>[1]Sheet1!C265</f>
        <v/>
      </c>
      <c r="BR264" s="1515">
        <f>[1]Sheet1!D265</f>
        <v/>
      </c>
      <c r="BS264" s="1513">
        <f>[1]Sheet1!E265</f>
        <v/>
      </c>
      <c r="BT264" s="1515">
        <f>[1]Sheet1!F265</f>
        <v/>
      </c>
      <c r="BU264" s="1516">
        <f>[1]Sheet1!G265</f>
        <v/>
      </c>
      <c r="BV264" s="1513">
        <f>[1]Sheet1!H265</f>
        <v/>
      </c>
      <c r="BW264" s="1467" t="n"/>
      <c r="BX264" s="1491" t="n"/>
      <c r="BY264" s="1491" t="n"/>
      <c r="BZ264" s="1491" t="n"/>
      <c r="CA264" s="1491" t="n"/>
      <c r="CB264" s="1467" t="n"/>
      <c r="CC264" s="1467" t="n"/>
      <c r="CD264" s="1491" t="n"/>
      <c r="CE264" s="1491" t="n"/>
      <c r="CF264" s="1491" t="n"/>
      <c r="CG264" s="1491" t="n"/>
      <c r="CH264" s="1491" t="n"/>
      <c r="CI264" s="1491" t="n"/>
      <c r="CJ264" s="1491" t="n"/>
      <c r="CK264" s="1491" t="n"/>
      <c r="CL264" s="1491" t="n"/>
      <c r="CM264" s="1491" t="n"/>
      <c r="CN264" s="1491" t="n"/>
      <c r="CO264" s="1491" t="n"/>
      <c r="CP264" s="1491" t="n"/>
      <c r="CQ264" s="1491" t="n"/>
      <c r="CR264" s="1491" t="n"/>
      <c r="CS264" s="1491" t="n"/>
      <c r="CT264" s="1491" t="n"/>
      <c r="CU264" s="1491" t="n"/>
      <c r="CV264" s="1491" t="n"/>
      <c r="CW264" s="1491" t="n"/>
      <c r="CX264" s="1491" t="n"/>
    </row>
    <row r="265">
      <c r="A265" s="1491" t="n"/>
      <c r="B265" s="1491" t="n"/>
      <c r="C265" s="1491" t="n"/>
      <c r="D265" s="1497">
        <f>IF(E265&lt;&gt;"",D264+1,D264)</f>
        <v/>
      </c>
      <c r="E265" s="1497" t="inlineStr">
        <is>
          <t>Cruz de Hierro</t>
        </is>
      </c>
      <c r="F265" s="1535" t="inlineStr">
        <is>
          <t>.</t>
        </is>
      </c>
      <c r="G265" s="1498">
        <f>IF(H265="AIR",0,IF(H264="AIR",G263+1,IF(H265&lt;&gt;"",G264+1,G264)))</f>
        <v/>
      </c>
      <c r="H265" s="1498" t="inlineStr">
        <is>
          <t>El Burgo Ranero</t>
        </is>
      </c>
      <c r="I265" s="1427" t="inlineStr">
        <is>
          <t>.</t>
        </is>
      </c>
      <c r="J265" s="1499" t="n">
        <v>260</v>
      </c>
      <c r="K265" s="1500">
        <f>_xlfn.XLOOKUP(cities[[#This Row],[id]],$D$5:$D$1500,E$5:E$1500,"-")</f>
        <v/>
      </c>
      <c r="L265" s="1500">
        <f>_xlfn.XLOOKUP(cities[[#This Row],[city]],ccc[city],ccc[ctry],"-")</f>
        <v/>
      </c>
      <c r="M265" s="1500">
        <f>SUMIFS(stayCity[stay],stayCity[city],cities[[#This Row],[city]])</f>
        <v/>
      </c>
      <c r="N265" s="1427">
        <f>N264+1</f>
        <v/>
      </c>
      <c r="O265" s="1500" t="n"/>
      <c r="P265" s="1500" t="n"/>
      <c r="Q265" s="1427" t="inlineStr">
        <is>
          <t>.</t>
        </is>
      </c>
      <c r="R265" s="1491" t="n"/>
      <c r="S265" s="1491" t="n"/>
      <c r="T265" s="1491" t="n"/>
      <c r="U265" s="1491" t="n"/>
      <c r="V265" s="1491" t="n"/>
      <c r="W265" s="1491" t="n"/>
      <c r="X265" s="1491" t="n"/>
      <c r="Y265" s="1491" t="n"/>
      <c r="Z265" s="1491" t="n"/>
      <c r="AA265" s="1491" t="n"/>
      <c r="AB265" s="1491" t="n"/>
      <c r="AC265" s="1491" t="n"/>
      <c r="AD265" s="1491" t="n"/>
      <c r="AE265" s="1491" t="n"/>
      <c r="AF265" s="1491" t="n"/>
      <c r="AG265" s="1491" t="n"/>
      <c r="AH265" s="1491" t="n"/>
      <c r="AI265" s="1491" t="n"/>
      <c r="AJ265" s="1491" t="n"/>
      <c r="AK265" s="1491" t="n"/>
      <c r="AL265" s="1491" t="n"/>
      <c r="AM265" s="1491" t="n"/>
      <c r="AN265" s="1491" t="n"/>
      <c r="AO265" s="1491" t="n"/>
      <c r="AP265" s="1491" t="n"/>
      <c r="AQ265" s="1491" t="n"/>
      <c r="AR265" s="1491" t="n"/>
      <c r="AS265" s="1491" t="n"/>
      <c r="AT265" s="1491" t="n"/>
      <c r="AU265" s="1491" t="n"/>
      <c r="AV265" s="1491" t="n"/>
      <c r="AW265" s="1491" t="n"/>
      <c r="AX265" s="1491" t="n"/>
      <c r="AY265" s="1491" t="n"/>
      <c r="AZ265" s="1491" t="n"/>
      <c r="BA265" s="1491" t="n"/>
      <c r="BB265" s="1491" t="n"/>
      <c r="BC265" s="1491" t="n"/>
      <c r="BD265" s="1491" t="n"/>
      <c r="BE265" s="1491" t="n"/>
      <c r="BF265" s="1491" t="n"/>
      <c r="BG265" s="1491" t="n"/>
      <c r="BH265" s="1491" t="n"/>
      <c r="BI265" s="1491" t="n"/>
      <c r="BJ265" s="1491" t="n"/>
      <c r="BK265" s="1491" t="n"/>
      <c r="BL265" s="1491" t="n"/>
      <c r="BM265" s="1491" t="n"/>
      <c r="BN265" s="1491" t="n"/>
      <c r="BO265" s="1467" t="n"/>
      <c r="BP265" s="1514" t="n">
        <v>261</v>
      </c>
      <c r="BQ265" s="1513">
        <f>[1]Sheet1!C266</f>
        <v/>
      </c>
      <c r="BR265" s="1515">
        <f>[1]Sheet1!D266</f>
        <v/>
      </c>
      <c r="BS265" s="1513">
        <f>[1]Sheet1!E266</f>
        <v/>
      </c>
      <c r="BT265" s="1515">
        <f>[1]Sheet1!F266</f>
        <v/>
      </c>
      <c r="BU265" s="1516">
        <f>[1]Sheet1!G266</f>
        <v/>
      </c>
      <c r="BV265" s="1513">
        <f>[1]Sheet1!H266</f>
        <v/>
      </c>
      <c r="BW265" s="1467" t="n"/>
      <c r="BX265" s="1491" t="n"/>
      <c r="BY265" s="1491" t="n"/>
      <c r="BZ265" s="1491" t="n"/>
      <c r="CA265" s="1491" t="n"/>
      <c r="CB265" s="1467" t="n"/>
      <c r="CC265" s="1467" t="n"/>
      <c r="CD265" s="1491" t="n"/>
      <c r="CE265" s="1491" t="n"/>
      <c r="CF265" s="1491" t="n"/>
      <c r="CG265" s="1491" t="n"/>
      <c r="CH265" s="1491" t="n"/>
      <c r="CI265" s="1491" t="n"/>
      <c r="CJ265" s="1491" t="n"/>
      <c r="CK265" s="1491" t="n"/>
      <c r="CL265" s="1491" t="n"/>
      <c r="CM265" s="1491" t="n"/>
      <c r="CN265" s="1491" t="n"/>
      <c r="CO265" s="1491" t="n"/>
      <c r="CP265" s="1491" t="n"/>
      <c r="CQ265" s="1491" t="n"/>
      <c r="CR265" s="1491" t="n"/>
      <c r="CS265" s="1491" t="n"/>
      <c r="CT265" s="1491" t="n"/>
      <c r="CU265" s="1491" t="n"/>
      <c r="CV265" s="1491" t="n"/>
      <c r="CW265" s="1491" t="n"/>
      <c r="CX265" s="1491" t="n"/>
    </row>
    <row r="266">
      <c r="A266" s="1491" t="n"/>
      <c r="B266" s="1491" t="n"/>
      <c r="C266" s="1491" t="n"/>
      <c r="D266" s="1497">
        <f>IF(E266&lt;&gt;"",D265+1,D265)</f>
        <v/>
      </c>
      <c r="E266" s="1497" t="inlineStr">
        <is>
          <t>Manjarin</t>
        </is>
      </c>
      <c r="F266" s="1535" t="inlineStr">
        <is>
          <t>.</t>
        </is>
      </c>
      <c r="G266" s="1498">
        <f>IF(H266="AIR",0,IF(H265="AIR",G264+1,IF(H266&lt;&gt;"",G265+1,G265)))</f>
        <v/>
      </c>
      <c r="H266" s="1498" t="inlineStr">
        <is>
          <t>Mansilla de las Mulas</t>
        </is>
      </c>
      <c r="I266" s="1427" t="inlineStr">
        <is>
          <t>.</t>
        </is>
      </c>
      <c r="J266" s="1499" t="n">
        <v>261</v>
      </c>
      <c r="K266" s="1500">
        <f>_xlfn.XLOOKUP(cities[[#This Row],[id]],$D$5:$D$1500,E$5:E$1500,"-")</f>
        <v/>
      </c>
      <c r="L266" s="1500">
        <f>_xlfn.XLOOKUP(cities[[#This Row],[city]],ccc[city],ccc[ctry],"-")</f>
        <v/>
      </c>
      <c r="M266" s="1500">
        <f>SUMIFS(stayCity[stay],stayCity[city],cities[[#This Row],[city]])</f>
        <v/>
      </c>
      <c r="N266" s="1427">
        <f>N265+1</f>
        <v/>
      </c>
      <c r="O266" s="1500" t="n"/>
      <c r="P266" s="1500" t="n"/>
      <c r="Q266" s="1427" t="inlineStr">
        <is>
          <t>.</t>
        </is>
      </c>
      <c r="R266" s="1491" t="n"/>
      <c r="S266" s="1491" t="n"/>
      <c r="T266" s="1491" t="n"/>
      <c r="U266" s="1491" t="n"/>
      <c r="V266" s="1491" t="n"/>
      <c r="W266" s="1491" t="n"/>
      <c r="X266" s="1491" t="n"/>
      <c r="Y266" s="1491" t="n"/>
      <c r="Z266" s="1491" t="n"/>
      <c r="AA266" s="1491" t="n"/>
      <c r="AB266" s="1491" t="n"/>
      <c r="AC266" s="1491" t="n"/>
      <c r="AD266" s="1491" t="n"/>
      <c r="AE266" s="1491" t="n"/>
      <c r="AF266" s="1491" t="n"/>
      <c r="AG266" s="1491" t="n"/>
      <c r="AH266" s="1491" t="n"/>
      <c r="AI266" s="1491" t="n"/>
      <c r="AJ266" s="1491" t="n"/>
      <c r="AK266" s="1491" t="n"/>
      <c r="AL266" s="1491" t="n"/>
      <c r="AM266" s="1491" t="n"/>
      <c r="AN266" s="1491" t="n"/>
      <c r="AO266" s="1491" t="n"/>
      <c r="AP266" s="1491" t="n"/>
      <c r="AQ266" s="1491" t="n"/>
      <c r="AR266" s="1491" t="n"/>
      <c r="AS266" s="1491" t="n"/>
      <c r="AT266" s="1491" t="n"/>
      <c r="AU266" s="1491" t="n"/>
      <c r="AV266" s="1491" t="n"/>
      <c r="AW266" s="1491" t="n"/>
      <c r="AX266" s="1491" t="n"/>
      <c r="AY266" s="1491" t="n"/>
      <c r="AZ266" s="1491" t="n"/>
      <c r="BA266" s="1491" t="n"/>
      <c r="BB266" s="1491" t="n"/>
      <c r="BC266" s="1491" t="n"/>
      <c r="BD266" s="1491" t="n"/>
      <c r="BE266" s="1491" t="n"/>
      <c r="BF266" s="1491" t="n"/>
      <c r="BG266" s="1491" t="n"/>
      <c r="BH266" s="1491" t="n"/>
      <c r="BI266" s="1491" t="n"/>
      <c r="BJ266" s="1491" t="n"/>
      <c r="BK266" s="1491" t="n"/>
      <c r="BL266" s="1491" t="n"/>
      <c r="BM266" s="1491" t="n"/>
      <c r="BN266" s="1491" t="n"/>
      <c r="BO266" s="1467" t="n"/>
      <c r="BP266" s="1514" t="n">
        <v>262</v>
      </c>
      <c r="BQ266" s="1513">
        <f>[1]Sheet1!C267</f>
        <v/>
      </c>
      <c r="BR266" s="1515">
        <f>[1]Sheet1!D267</f>
        <v/>
      </c>
      <c r="BS266" s="1513">
        <f>[1]Sheet1!E267</f>
        <v/>
      </c>
      <c r="BT266" s="1515">
        <f>[1]Sheet1!F267</f>
        <v/>
      </c>
      <c r="BU266" s="1516">
        <f>[1]Sheet1!G267</f>
        <v/>
      </c>
      <c r="BV266" s="1513">
        <f>[1]Sheet1!H267</f>
        <v/>
      </c>
      <c r="BW266" s="1467" t="n"/>
      <c r="BX266" s="1491" t="n"/>
      <c r="BY266" s="1491" t="n"/>
      <c r="BZ266" s="1491" t="n"/>
      <c r="CA266" s="1491" t="n"/>
      <c r="CB266" s="1467" t="n"/>
      <c r="CC266" s="1467" t="n"/>
      <c r="CD266" s="1491" t="n"/>
      <c r="CE266" s="1491" t="n"/>
      <c r="CF266" s="1491" t="n"/>
      <c r="CG266" s="1491" t="n"/>
      <c r="CH266" s="1491" t="n"/>
      <c r="CI266" s="1491" t="n"/>
      <c r="CJ266" s="1491" t="n"/>
      <c r="CK266" s="1491" t="n"/>
      <c r="CL266" s="1491" t="n"/>
      <c r="CM266" s="1491" t="n"/>
      <c r="CN266" s="1491" t="n"/>
      <c r="CO266" s="1491" t="n"/>
      <c r="CP266" s="1491" t="n"/>
      <c r="CQ266" s="1491" t="n"/>
      <c r="CR266" s="1491" t="n"/>
      <c r="CS266" s="1491" t="n"/>
      <c r="CT266" s="1491" t="n"/>
      <c r="CU266" s="1491" t="n"/>
      <c r="CV266" s="1491" t="n"/>
      <c r="CW266" s="1491" t="n"/>
      <c r="CX266" s="1491" t="n"/>
    </row>
    <row r="267">
      <c r="A267" s="1491" t="n"/>
      <c r="B267" s="1491" t="n"/>
      <c r="C267" s="1491" t="n"/>
      <c r="D267" s="1497">
        <f>IF(E267&lt;&gt;"",D266+1,D266)</f>
        <v/>
      </c>
      <c r="E267" s="1497" t="inlineStr">
        <is>
          <t>Molinaseca</t>
        </is>
      </c>
      <c r="F267" s="1535" t="inlineStr">
        <is>
          <t>.</t>
        </is>
      </c>
      <c r="G267" s="1498">
        <f>IF(H267="AIR",0,IF(H266="AIR",G265+1,IF(H267&lt;&gt;"",G266+1,G266)))</f>
        <v/>
      </c>
      <c r="H267" s="1498" t="inlineStr">
        <is>
          <t>Leon</t>
        </is>
      </c>
      <c r="I267" s="1427" t="inlineStr">
        <is>
          <t>.</t>
        </is>
      </c>
      <c r="J267" s="1499" t="n">
        <v>262</v>
      </c>
      <c r="K267" s="1500">
        <f>_xlfn.XLOOKUP(cities[[#This Row],[id]],$D$5:$D$1500,E$5:E$1500,"-")</f>
        <v/>
      </c>
      <c r="L267" s="1500">
        <f>_xlfn.XLOOKUP(cities[[#This Row],[city]],ccc[city],ccc[ctry],"-")</f>
        <v/>
      </c>
      <c r="M267" s="1500">
        <f>SUMIFS(stayCity[stay],stayCity[city],cities[[#This Row],[city]])</f>
        <v/>
      </c>
      <c r="N267" s="1427">
        <f>N266+1</f>
        <v/>
      </c>
      <c r="O267" s="1500" t="n"/>
      <c r="P267" s="1500" t="n"/>
      <c r="Q267" s="1427" t="inlineStr">
        <is>
          <t>.</t>
        </is>
      </c>
      <c r="R267" s="1491" t="n"/>
      <c r="S267" s="1491" t="n"/>
      <c r="T267" s="1491" t="n"/>
      <c r="U267" s="1491" t="n"/>
      <c r="V267" s="1491" t="n"/>
      <c r="W267" s="1491" t="n"/>
      <c r="X267" s="1491" t="n"/>
      <c r="Y267" s="1491" t="n"/>
      <c r="Z267" s="1491" t="n"/>
      <c r="AA267" s="1491" t="n"/>
      <c r="AB267" s="1491" t="n"/>
      <c r="AC267" s="1491" t="n"/>
      <c r="AD267" s="1491" t="n"/>
      <c r="AE267" s="1491" t="n"/>
      <c r="AF267" s="1491" t="n"/>
      <c r="AG267" s="1491" t="n"/>
      <c r="AH267" s="1491" t="n"/>
      <c r="AI267" s="1491" t="n"/>
      <c r="AJ267" s="1491" t="n"/>
      <c r="AK267" s="1491" t="n"/>
      <c r="AL267" s="1491" t="n"/>
      <c r="AM267" s="1491" t="n"/>
      <c r="AN267" s="1491" t="n"/>
      <c r="AO267" s="1491" t="n"/>
      <c r="AP267" s="1491" t="n"/>
      <c r="AQ267" s="1491" t="n"/>
      <c r="AR267" s="1491" t="n"/>
      <c r="AS267" s="1491" t="n"/>
      <c r="AT267" s="1491" t="n"/>
      <c r="AU267" s="1491" t="n"/>
      <c r="AV267" s="1491" t="n"/>
      <c r="AW267" s="1491" t="n"/>
      <c r="AX267" s="1491" t="n"/>
      <c r="AY267" s="1491" t="n"/>
      <c r="AZ267" s="1491" t="n"/>
      <c r="BA267" s="1491" t="n"/>
      <c r="BB267" s="1491" t="n"/>
      <c r="BC267" s="1491" t="n"/>
      <c r="BD267" s="1491" t="n"/>
      <c r="BE267" s="1491" t="n"/>
      <c r="BF267" s="1491" t="n"/>
      <c r="BG267" s="1491" t="n"/>
      <c r="BH267" s="1491" t="n"/>
      <c r="BI267" s="1491" t="n"/>
      <c r="BJ267" s="1491" t="n"/>
      <c r="BK267" s="1491" t="n"/>
      <c r="BL267" s="1491" t="n"/>
      <c r="BM267" s="1491" t="n"/>
      <c r="BN267" s="1491" t="n"/>
      <c r="BO267" s="1467" t="n"/>
      <c r="BP267" s="1514" t="n">
        <v>263</v>
      </c>
      <c r="BQ267" s="1513">
        <f>[1]Sheet1!C268</f>
        <v/>
      </c>
      <c r="BR267" s="1515">
        <f>[1]Sheet1!D268</f>
        <v/>
      </c>
      <c r="BS267" s="1513">
        <f>[1]Sheet1!E268</f>
        <v/>
      </c>
      <c r="BT267" s="1515">
        <f>[1]Sheet1!F268</f>
        <v/>
      </c>
      <c r="BU267" s="1516">
        <f>[1]Sheet1!G268</f>
        <v/>
      </c>
      <c r="BV267" s="1513">
        <f>[1]Sheet1!H268</f>
        <v/>
      </c>
      <c r="BW267" s="1467" t="n"/>
      <c r="BX267" s="1491" t="n"/>
      <c r="BY267" s="1491" t="n"/>
      <c r="BZ267" s="1491" t="n"/>
      <c r="CA267" s="1491" t="n"/>
      <c r="CB267" s="1467" t="n"/>
      <c r="CC267" s="1467" t="n"/>
      <c r="CD267" s="1491" t="n"/>
      <c r="CE267" s="1491" t="n"/>
      <c r="CF267" s="1491" t="n"/>
      <c r="CG267" s="1491" t="n"/>
      <c r="CH267" s="1491" t="n"/>
      <c r="CI267" s="1491" t="n"/>
      <c r="CJ267" s="1491" t="n"/>
      <c r="CK267" s="1491" t="n"/>
      <c r="CL267" s="1491" t="n"/>
      <c r="CM267" s="1491" t="n"/>
      <c r="CN267" s="1491" t="n"/>
      <c r="CO267" s="1491" t="n"/>
      <c r="CP267" s="1491" t="n"/>
      <c r="CQ267" s="1491" t="n"/>
      <c r="CR267" s="1491" t="n"/>
      <c r="CS267" s="1491" t="n"/>
      <c r="CT267" s="1491" t="n"/>
      <c r="CU267" s="1491" t="n"/>
      <c r="CV267" s="1491" t="n"/>
      <c r="CW267" s="1491" t="n"/>
      <c r="CX267" s="1491" t="n"/>
    </row>
    <row r="268">
      <c r="A268" s="1491" t="n"/>
      <c r="B268" s="1491" t="n"/>
      <c r="C268" s="1491" t="n"/>
      <c r="D268" s="1497">
        <f>IF(E268&lt;&gt;"",D267+1,D267)</f>
        <v/>
      </c>
      <c r="E268" s="1497" t="inlineStr">
        <is>
          <t>Ponferrada</t>
        </is>
      </c>
      <c r="F268" s="1535" t="inlineStr">
        <is>
          <t>.</t>
        </is>
      </c>
      <c r="G268" s="1498">
        <f>IF(H268="AIR",0,IF(H267="AIR",G266+1,IF(H268&lt;&gt;"",G267+1,G267)))</f>
        <v/>
      </c>
      <c r="H268" s="1498" t="inlineStr">
        <is>
          <t>Villadangos del Paramo</t>
        </is>
      </c>
      <c r="I268" s="1427" t="inlineStr">
        <is>
          <t>.</t>
        </is>
      </c>
      <c r="J268" s="1499" t="n">
        <v>263</v>
      </c>
      <c r="K268" s="1500">
        <f>_xlfn.XLOOKUP(cities[[#This Row],[id]],$D$5:$D$1500,E$5:E$1500,"-")</f>
        <v/>
      </c>
      <c r="L268" s="1500">
        <f>_xlfn.XLOOKUP(cities[[#This Row],[city]],ccc[city],ccc[ctry],"-")</f>
        <v/>
      </c>
      <c r="M268" s="1500">
        <f>SUMIFS(stayCity[stay],stayCity[city],cities[[#This Row],[city]])</f>
        <v/>
      </c>
      <c r="N268" s="1427">
        <f>N267+1</f>
        <v/>
      </c>
      <c r="O268" s="1500" t="n"/>
      <c r="P268" s="1500" t="n"/>
      <c r="Q268" s="1427" t="inlineStr">
        <is>
          <t>.</t>
        </is>
      </c>
      <c r="R268" s="1491" t="n"/>
      <c r="S268" s="1491" t="n"/>
      <c r="T268" s="1491" t="n"/>
      <c r="U268" s="1491" t="n"/>
      <c r="V268" s="1491" t="n"/>
      <c r="W268" s="1491" t="n"/>
      <c r="X268" s="1491" t="n"/>
      <c r="Y268" s="1491" t="n"/>
      <c r="Z268" s="1491" t="n"/>
      <c r="AA268" s="1491" t="n"/>
      <c r="AB268" s="1491" t="n"/>
      <c r="AC268" s="1491" t="n"/>
      <c r="AD268" s="1491" t="n"/>
      <c r="AE268" s="1491" t="n"/>
      <c r="AF268" s="1491" t="n"/>
      <c r="AG268" s="1491" t="n"/>
      <c r="AH268" s="1491" t="n"/>
      <c r="AI268" s="1491" t="n"/>
      <c r="AJ268" s="1491" t="n"/>
      <c r="AK268" s="1491" t="n"/>
      <c r="AL268" s="1491" t="n"/>
      <c r="AM268" s="1491" t="n"/>
      <c r="AN268" s="1491" t="n"/>
      <c r="AO268" s="1491" t="n"/>
      <c r="AP268" s="1491" t="n"/>
      <c r="AQ268" s="1491" t="n"/>
      <c r="AR268" s="1491" t="n"/>
      <c r="AS268" s="1491" t="n"/>
      <c r="AT268" s="1491" t="n"/>
      <c r="AU268" s="1491" t="n"/>
      <c r="AV268" s="1491" t="n"/>
      <c r="AW268" s="1491" t="n"/>
      <c r="AX268" s="1491" t="n"/>
      <c r="AY268" s="1491" t="n"/>
      <c r="AZ268" s="1491" t="n"/>
      <c r="BA268" s="1491" t="n"/>
      <c r="BB268" s="1491" t="n"/>
      <c r="BC268" s="1491" t="n"/>
      <c r="BD268" s="1491" t="n"/>
      <c r="BE268" s="1491" t="n"/>
      <c r="BF268" s="1491" t="n"/>
      <c r="BG268" s="1491" t="n"/>
      <c r="BH268" s="1491" t="n"/>
      <c r="BI268" s="1491" t="n"/>
      <c r="BJ268" s="1491" t="n"/>
      <c r="BK268" s="1491" t="n"/>
      <c r="BL268" s="1491" t="n"/>
      <c r="BM268" s="1491" t="n"/>
      <c r="BN268" s="1491" t="n"/>
      <c r="BO268" s="1467" t="n"/>
      <c r="BP268" s="1514" t="n">
        <v>264</v>
      </c>
      <c r="BQ268" s="1513">
        <f>[1]Sheet1!C269</f>
        <v/>
      </c>
      <c r="BR268" s="1515">
        <f>[1]Sheet1!D269</f>
        <v/>
      </c>
      <c r="BS268" s="1513">
        <f>[1]Sheet1!E269</f>
        <v/>
      </c>
      <c r="BT268" s="1515">
        <f>[1]Sheet1!F269</f>
        <v/>
      </c>
      <c r="BU268" s="1516">
        <f>[1]Sheet1!G269</f>
        <v/>
      </c>
      <c r="BV268" s="1513">
        <f>[1]Sheet1!H269</f>
        <v/>
      </c>
      <c r="BW268" s="1467" t="n"/>
      <c r="BX268" s="1491" t="n"/>
      <c r="BY268" s="1491" t="n"/>
      <c r="BZ268" s="1491" t="n"/>
      <c r="CA268" s="1491" t="n"/>
      <c r="CB268" s="1467" t="n"/>
      <c r="CC268" s="1467" t="n"/>
      <c r="CD268" s="1491" t="n"/>
      <c r="CE268" s="1491" t="n"/>
      <c r="CF268" s="1491" t="n"/>
      <c r="CG268" s="1491" t="n"/>
      <c r="CH268" s="1491" t="n"/>
      <c r="CI268" s="1491" t="n"/>
      <c r="CJ268" s="1491" t="n"/>
      <c r="CK268" s="1491" t="n"/>
      <c r="CL268" s="1491" t="n"/>
      <c r="CM268" s="1491" t="n"/>
      <c r="CN268" s="1491" t="n"/>
      <c r="CO268" s="1491" t="n"/>
      <c r="CP268" s="1491" t="n"/>
      <c r="CQ268" s="1491" t="n"/>
      <c r="CR268" s="1491" t="n"/>
      <c r="CS268" s="1491" t="n"/>
      <c r="CT268" s="1491" t="n"/>
      <c r="CU268" s="1491" t="n"/>
      <c r="CV268" s="1491" t="n"/>
      <c r="CW268" s="1491" t="n"/>
      <c r="CX268" s="1491" t="n"/>
    </row>
    <row r="269">
      <c r="A269" s="1491" t="n"/>
      <c r="B269" s="1491" t="n"/>
      <c r="C269" s="1491" t="n"/>
      <c r="D269" s="1497">
        <f>IF(E269&lt;&gt;"",D268+1,D268)</f>
        <v/>
      </c>
      <c r="E269" s="1497" t="inlineStr">
        <is>
          <t>Villa Franca del Bierzo</t>
        </is>
      </c>
      <c r="F269" s="1535" t="inlineStr">
        <is>
          <t>.</t>
        </is>
      </c>
      <c r="G269" s="1498">
        <f>IF(H269="AIR",0,IF(H268="AIR",G267+1,IF(H269&lt;&gt;"",G268+1,G268)))</f>
        <v/>
      </c>
      <c r="H269" s="1498" t="inlineStr">
        <is>
          <t>Astorga</t>
        </is>
      </c>
      <c r="I269" s="1427" t="inlineStr">
        <is>
          <t>.</t>
        </is>
      </c>
      <c r="J269" s="1499" t="n">
        <v>264</v>
      </c>
      <c r="K269" s="1500">
        <f>_xlfn.XLOOKUP(cities[[#This Row],[id]],$D$5:$D$1500,E$5:E$1500,"-")</f>
        <v/>
      </c>
      <c r="L269" s="1500">
        <f>_xlfn.XLOOKUP(cities[[#This Row],[city]],ccc[city],ccc[ctry],"-")</f>
        <v/>
      </c>
      <c r="M269" s="1500">
        <f>SUMIFS(stayCity[stay],stayCity[city],cities[[#This Row],[city]])</f>
        <v/>
      </c>
      <c r="N269" s="1427">
        <f>N268+1</f>
        <v/>
      </c>
      <c r="O269" s="1500" t="n"/>
      <c r="P269" s="1500" t="n"/>
      <c r="Q269" s="1427" t="inlineStr">
        <is>
          <t>.</t>
        </is>
      </c>
      <c r="R269" s="1491" t="n"/>
      <c r="S269" s="1491" t="n"/>
      <c r="T269" s="1491" t="n"/>
      <c r="U269" s="1491" t="n"/>
      <c r="V269" s="1491" t="n"/>
      <c r="W269" s="1491" t="n"/>
      <c r="X269" s="1491" t="n"/>
      <c r="Y269" s="1491" t="n"/>
      <c r="Z269" s="1491" t="n"/>
      <c r="AA269" s="1491" t="n"/>
      <c r="AB269" s="1491" t="n"/>
      <c r="AC269" s="1491" t="n"/>
      <c r="AD269" s="1491" t="n"/>
      <c r="AE269" s="1491" t="n"/>
      <c r="AF269" s="1491" t="n"/>
      <c r="AG269" s="1491" t="n"/>
      <c r="AH269" s="1491" t="n"/>
      <c r="AI269" s="1491" t="n"/>
      <c r="AJ269" s="1491" t="n"/>
      <c r="AK269" s="1491" t="n"/>
      <c r="AL269" s="1491" t="n"/>
      <c r="AM269" s="1491" t="n"/>
      <c r="AN269" s="1491" t="n"/>
      <c r="AO269" s="1491" t="n"/>
      <c r="AP269" s="1491" t="n"/>
      <c r="AQ269" s="1491" t="n"/>
      <c r="AR269" s="1491" t="n"/>
      <c r="AS269" s="1491" t="n"/>
      <c r="AT269" s="1491" t="n"/>
      <c r="AU269" s="1491" t="n"/>
      <c r="AV269" s="1491" t="n"/>
      <c r="AW269" s="1491" t="n"/>
      <c r="AX269" s="1491" t="n"/>
      <c r="AY269" s="1491" t="n"/>
      <c r="AZ269" s="1491" t="n"/>
      <c r="BA269" s="1491" t="n"/>
      <c r="BB269" s="1491" t="n"/>
      <c r="BC269" s="1491" t="n"/>
      <c r="BD269" s="1491" t="n"/>
      <c r="BE269" s="1491" t="n"/>
      <c r="BF269" s="1491" t="n"/>
      <c r="BG269" s="1491" t="n"/>
      <c r="BH269" s="1491" t="n"/>
      <c r="BI269" s="1491" t="n"/>
      <c r="BJ269" s="1491" t="n"/>
      <c r="BK269" s="1491" t="n"/>
      <c r="BL269" s="1491" t="n"/>
      <c r="BM269" s="1491" t="n"/>
      <c r="BN269" s="1491" t="n"/>
      <c r="BO269" s="1467" t="n"/>
      <c r="BP269" s="1514" t="n">
        <v>265</v>
      </c>
      <c r="BQ269" s="1513">
        <f>[1]Sheet1!C270</f>
        <v/>
      </c>
      <c r="BR269" s="1515">
        <f>[1]Sheet1!D270</f>
        <v/>
      </c>
      <c r="BS269" s="1513">
        <f>[1]Sheet1!E270</f>
        <v/>
      </c>
      <c r="BT269" s="1515">
        <f>[1]Sheet1!F270</f>
        <v/>
      </c>
      <c r="BU269" s="1516">
        <f>[1]Sheet1!G270</f>
        <v/>
      </c>
      <c r="BV269" s="1513">
        <f>[1]Sheet1!H270</f>
        <v/>
      </c>
      <c r="BW269" s="1467" t="n"/>
      <c r="BX269" s="1491" t="n"/>
      <c r="BY269" s="1491" t="n"/>
      <c r="BZ269" s="1491" t="n"/>
      <c r="CA269" s="1491" t="n"/>
      <c r="CB269" s="1467" t="n"/>
      <c r="CC269" s="1467" t="n"/>
      <c r="CD269" s="1491" t="n"/>
      <c r="CE269" s="1491" t="n"/>
      <c r="CF269" s="1491" t="n"/>
      <c r="CG269" s="1491" t="n"/>
      <c r="CH269" s="1491" t="n"/>
      <c r="CI269" s="1491" t="n"/>
      <c r="CJ269" s="1491" t="n"/>
      <c r="CK269" s="1491" t="n"/>
      <c r="CL269" s="1491" t="n"/>
      <c r="CM269" s="1491" t="n"/>
      <c r="CN269" s="1491" t="n"/>
      <c r="CO269" s="1491" t="n"/>
      <c r="CP269" s="1491" t="n"/>
      <c r="CQ269" s="1491" t="n"/>
      <c r="CR269" s="1491" t="n"/>
      <c r="CS269" s="1491" t="n"/>
      <c r="CT269" s="1491" t="n"/>
      <c r="CU269" s="1491" t="n"/>
      <c r="CV269" s="1491" t="n"/>
      <c r="CW269" s="1491" t="n"/>
      <c r="CX269" s="1491" t="n"/>
    </row>
    <row r="270">
      <c r="A270" s="1491" t="n"/>
      <c r="B270" s="1491" t="n"/>
      <c r="C270" s="1491" t="n"/>
      <c r="D270" s="1497">
        <f>IF(E270&lt;&gt;"",D269+1,D269)</f>
        <v/>
      </c>
      <c r="E270" s="1497" t="inlineStr">
        <is>
          <t>O Cebreiro</t>
        </is>
      </c>
      <c r="F270" s="1535" t="inlineStr">
        <is>
          <t>.</t>
        </is>
      </c>
      <c r="G270" s="1498">
        <f>IF(H270="AIR",0,IF(H269="AIR",G268+1,IF(H270&lt;&gt;"",G269+1,G269)))</f>
        <v/>
      </c>
      <c r="H270" s="1498" t="inlineStr">
        <is>
          <t>Rabanal del Camino</t>
        </is>
      </c>
      <c r="I270" s="1427" t="inlineStr">
        <is>
          <t>.</t>
        </is>
      </c>
      <c r="J270" s="1499" t="n">
        <v>265</v>
      </c>
      <c r="K270" s="1500">
        <f>_xlfn.XLOOKUP(cities[[#This Row],[id]],$D$5:$D$1500,E$5:E$1500,"-")</f>
        <v/>
      </c>
      <c r="L270" s="1500">
        <f>_xlfn.XLOOKUP(cities[[#This Row],[city]],ccc[city],ccc[ctry],"-")</f>
        <v/>
      </c>
      <c r="M270" s="1500">
        <f>SUMIFS(stayCity[stay],stayCity[city],cities[[#This Row],[city]])</f>
        <v/>
      </c>
      <c r="N270" s="1427">
        <f>N269+1</f>
        <v/>
      </c>
      <c r="O270" s="1500" t="n"/>
      <c r="P270" s="1500" t="n"/>
      <c r="Q270" s="1427" t="inlineStr">
        <is>
          <t>.</t>
        </is>
      </c>
      <c r="R270" s="1491" t="n"/>
      <c r="S270" s="1491" t="n"/>
      <c r="T270" s="1491" t="n"/>
      <c r="U270" s="1491" t="n"/>
      <c r="V270" s="1491" t="n"/>
      <c r="W270" s="1491" t="n"/>
      <c r="X270" s="1491" t="n"/>
      <c r="Y270" s="1491" t="n"/>
      <c r="Z270" s="1491" t="n"/>
      <c r="AA270" s="1491" t="n"/>
      <c r="AB270" s="1491" t="n"/>
      <c r="AC270" s="1491" t="n"/>
      <c r="AD270" s="1491" t="n"/>
      <c r="AE270" s="1491" t="n"/>
      <c r="AF270" s="1491" t="n"/>
      <c r="AG270" s="1491" t="n"/>
      <c r="AH270" s="1491" t="n"/>
      <c r="AI270" s="1491" t="n"/>
      <c r="AJ270" s="1491" t="n"/>
      <c r="AK270" s="1491" t="n"/>
      <c r="AL270" s="1491" t="n"/>
      <c r="AM270" s="1491" t="n"/>
      <c r="AN270" s="1491" t="n"/>
      <c r="AO270" s="1491" t="n"/>
      <c r="AP270" s="1491" t="n"/>
      <c r="AQ270" s="1491" t="n"/>
      <c r="AR270" s="1491" t="n"/>
      <c r="AS270" s="1491" t="n"/>
      <c r="AT270" s="1491" t="n"/>
      <c r="AU270" s="1491" t="n"/>
      <c r="AV270" s="1491" t="n"/>
      <c r="AW270" s="1491" t="n"/>
      <c r="AX270" s="1491" t="n"/>
      <c r="AY270" s="1491" t="n"/>
      <c r="AZ270" s="1491" t="n"/>
      <c r="BA270" s="1491" t="n"/>
      <c r="BB270" s="1491" t="n"/>
      <c r="BC270" s="1491" t="n"/>
      <c r="BD270" s="1491" t="n"/>
      <c r="BE270" s="1491" t="n"/>
      <c r="BF270" s="1491" t="n"/>
      <c r="BG270" s="1491" t="n"/>
      <c r="BH270" s="1491" t="n"/>
      <c r="BI270" s="1491" t="n"/>
      <c r="BJ270" s="1491" t="n"/>
      <c r="BK270" s="1491" t="n"/>
      <c r="BL270" s="1491" t="n"/>
      <c r="BM270" s="1491" t="n"/>
      <c r="BN270" s="1491" t="n"/>
      <c r="BO270" s="1467" t="n"/>
      <c r="BP270" s="1514" t="n">
        <v>266</v>
      </c>
      <c r="BQ270" s="1513">
        <f>[1]Sheet1!C271</f>
        <v/>
      </c>
      <c r="BR270" s="1515">
        <f>[1]Sheet1!D271</f>
        <v/>
      </c>
      <c r="BS270" s="1513">
        <f>[1]Sheet1!E271</f>
        <v/>
      </c>
      <c r="BT270" s="1515">
        <f>[1]Sheet1!F271</f>
        <v/>
      </c>
      <c r="BU270" s="1516">
        <f>[1]Sheet1!G271</f>
        <v/>
      </c>
      <c r="BV270" s="1513">
        <f>[1]Sheet1!H271</f>
        <v/>
      </c>
      <c r="BW270" s="1467" t="n"/>
      <c r="BX270" s="1491" t="n"/>
      <c r="BY270" s="1491" t="n"/>
      <c r="BZ270" s="1491" t="n"/>
      <c r="CA270" s="1491" t="n"/>
      <c r="CB270" s="1467" t="n"/>
      <c r="CC270" s="1467" t="n"/>
      <c r="CD270" s="1491" t="n"/>
      <c r="CE270" s="1491" t="n"/>
      <c r="CF270" s="1491" t="n"/>
      <c r="CG270" s="1491" t="n"/>
      <c r="CH270" s="1491" t="n"/>
      <c r="CI270" s="1491" t="n"/>
      <c r="CJ270" s="1491" t="n"/>
      <c r="CK270" s="1491" t="n"/>
      <c r="CL270" s="1491" t="n"/>
      <c r="CM270" s="1491" t="n"/>
      <c r="CN270" s="1491" t="n"/>
      <c r="CO270" s="1491" t="n"/>
      <c r="CP270" s="1491" t="n"/>
      <c r="CQ270" s="1491" t="n"/>
      <c r="CR270" s="1491" t="n"/>
      <c r="CS270" s="1491" t="n"/>
      <c r="CT270" s="1491" t="n"/>
      <c r="CU270" s="1491" t="n"/>
      <c r="CV270" s="1491" t="n"/>
      <c r="CW270" s="1491" t="n"/>
      <c r="CX270" s="1491" t="n"/>
    </row>
    <row r="271">
      <c r="A271" s="1491" t="n"/>
      <c r="B271" s="1491" t="n"/>
      <c r="C271" s="1491" t="n"/>
      <c r="D271" s="1497">
        <f>IF(E271&lt;&gt;"",D270+1,D270)</f>
        <v/>
      </c>
      <c r="E271" s="1497" t="inlineStr">
        <is>
          <t>Triacastela</t>
        </is>
      </c>
      <c r="F271" s="1535" t="inlineStr">
        <is>
          <t>.</t>
        </is>
      </c>
      <c r="G271" s="1498">
        <f>IF(H271="AIR",0,IF(H270="AIR",G269+1,IF(H271&lt;&gt;"",G270+1,G270)))</f>
        <v/>
      </c>
      <c r="H271" s="1498" t="inlineStr">
        <is>
          <t>Foncebadon</t>
        </is>
      </c>
      <c r="I271" s="1427" t="inlineStr">
        <is>
          <t>.</t>
        </is>
      </c>
      <c r="J271" s="1499" t="n">
        <v>266</v>
      </c>
      <c r="K271" s="1500">
        <f>_xlfn.XLOOKUP(cities[[#This Row],[id]],$D$5:$D$1500,E$5:E$1500,"-")</f>
        <v/>
      </c>
      <c r="L271" s="1500">
        <f>_xlfn.XLOOKUP(cities[[#This Row],[city]],ccc[city],ccc[ctry],"-")</f>
        <v/>
      </c>
      <c r="M271" s="1500">
        <f>SUMIFS(stayCity[stay],stayCity[city],cities[[#This Row],[city]])</f>
        <v/>
      </c>
      <c r="N271" s="1427">
        <f>N270+1</f>
        <v/>
      </c>
      <c r="O271" s="1500" t="n"/>
      <c r="P271" s="1500" t="n"/>
      <c r="Q271" s="1427" t="inlineStr">
        <is>
          <t>.</t>
        </is>
      </c>
      <c r="R271" s="1491" t="n"/>
      <c r="S271" s="1491" t="n"/>
      <c r="T271" s="1491" t="n"/>
      <c r="U271" s="1491" t="n"/>
      <c r="V271" s="1491" t="n"/>
      <c r="W271" s="1491" t="n"/>
      <c r="X271" s="1491" t="n"/>
      <c r="Y271" s="1491" t="n"/>
      <c r="Z271" s="1491" t="n"/>
      <c r="AA271" s="1491" t="n"/>
      <c r="AB271" s="1491" t="n"/>
      <c r="AC271" s="1491" t="n"/>
      <c r="AD271" s="1491" t="n"/>
      <c r="AE271" s="1491" t="n"/>
      <c r="AF271" s="1491" t="n"/>
      <c r="AG271" s="1491" t="n"/>
      <c r="AH271" s="1491" t="n"/>
      <c r="AI271" s="1491" t="n"/>
      <c r="AJ271" s="1491" t="n"/>
      <c r="AK271" s="1491" t="n"/>
      <c r="AL271" s="1491" t="n"/>
      <c r="AM271" s="1491" t="n"/>
      <c r="AN271" s="1491" t="n"/>
      <c r="AO271" s="1491" t="n"/>
      <c r="AP271" s="1491" t="n"/>
      <c r="AQ271" s="1491" t="n"/>
      <c r="AR271" s="1491" t="n"/>
      <c r="AS271" s="1491" t="n"/>
      <c r="AT271" s="1491" t="n"/>
      <c r="AU271" s="1491" t="n"/>
      <c r="AV271" s="1491" t="n"/>
      <c r="AW271" s="1491" t="n"/>
      <c r="AX271" s="1491" t="n"/>
      <c r="AY271" s="1491" t="n"/>
      <c r="AZ271" s="1491" t="n"/>
      <c r="BA271" s="1491" t="n"/>
      <c r="BB271" s="1491" t="n"/>
      <c r="BC271" s="1491" t="n"/>
      <c r="BD271" s="1491" t="n"/>
      <c r="BE271" s="1491" t="n"/>
      <c r="BF271" s="1491" t="n"/>
      <c r="BG271" s="1491" t="n"/>
      <c r="BH271" s="1491" t="n"/>
      <c r="BI271" s="1491" t="n"/>
      <c r="BJ271" s="1491" t="n"/>
      <c r="BK271" s="1491" t="n"/>
      <c r="BL271" s="1491" t="n"/>
      <c r="BM271" s="1491" t="n"/>
      <c r="BN271" s="1491" t="n"/>
      <c r="BO271" s="1467" t="n"/>
      <c r="BP271" s="1514" t="n">
        <v>267</v>
      </c>
      <c r="BQ271" s="1513">
        <f>[1]Sheet1!C272</f>
        <v/>
      </c>
      <c r="BR271" s="1515">
        <f>[1]Sheet1!D272</f>
        <v/>
      </c>
      <c r="BS271" s="1513">
        <f>[1]Sheet1!E272</f>
        <v/>
      </c>
      <c r="BT271" s="1515">
        <f>[1]Sheet1!F272</f>
        <v/>
      </c>
      <c r="BU271" s="1516">
        <f>[1]Sheet1!G272</f>
        <v/>
      </c>
      <c r="BV271" s="1513">
        <f>[1]Sheet1!H272</f>
        <v/>
      </c>
      <c r="BW271" s="1467" t="n"/>
      <c r="BX271" s="1491" t="n"/>
      <c r="BY271" s="1491" t="n"/>
      <c r="BZ271" s="1491" t="n"/>
      <c r="CA271" s="1491" t="n"/>
      <c r="CB271" s="1467" t="n"/>
      <c r="CC271" s="1467" t="n"/>
      <c r="CD271" s="1491" t="n"/>
      <c r="CE271" s="1491" t="n"/>
      <c r="CF271" s="1491" t="n"/>
      <c r="CG271" s="1491" t="n"/>
      <c r="CH271" s="1491" t="n"/>
      <c r="CI271" s="1491" t="n"/>
      <c r="CJ271" s="1491" t="n"/>
      <c r="CK271" s="1491" t="n"/>
      <c r="CL271" s="1491" t="n"/>
      <c r="CM271" s="1491" t="n"/>
      <c r="CN271" s="1491" t="n"/>
      <c r="CO271" s="1491" t="n"/>
      <c r="CP271" s="1491" t="n"/>
      <c r="CQ271" s="1491" t="n"/>
      <c r="CR271" s="1491" t="n"/>
      <c r="CS271" s="1491" t="n"/>
      <c r="CT271" s="1491" t="n"/>
      <c r="CU271" s="1491" t="n"/>
      <c r="CV271" s="1491" t="n"/>
      <c r="CW271" s="1491" t="n"/>
      <c r="CX271" s="1491" t="n"/>
    </row>
    <row r="272">
      <c r="A272" s="1491" t="n"/>
      <c r="B272" s="1491" t="n"/>
      <c r="C272" s="1491" t="n"/>
      <c r="D272" s="1497">
        <f>IF(E272&lt;&gt;"",D271+1,D271)</f>
        <v/>
      </c>
      <c r="E272" s="1497" t="inlineStr">
        <is>
          <t>Samos</t>
        </is>
      </c>
      <c r="F272" s="1535" t="inlineStr">
        <is>
          <t>.</t>
        </is>
      </c>
      <c r="G272" s="1498">
        <f>IF(H272="AIR",0,IF(H271="AIR",G270+1,IF(H272&lt;&gt;"",G271+1,G271)))</f>
        <v/>
      </c>
      <c r="H272" s="1498" t="inlineStr">
        <is>
          <t>Cruz de Hierro</t>
        </is>
      </c>
      <c r="I272" s="1427" t="inlineStr">
        <is>
          <t>.</t>
        </is>
      </c>
      <c r="J272" s="1499" t="n">
        <v>267</v>
      </c>
      <c r="K272" s="1500">
        <f>_xlfn.XLOOKUP(cities[[#This Row],[id]],$D$5:$D$1500,E$5:E$1500,"-")</f>
        <v/>
      </c>
      <c r="L272" s="1500">
        <f>_xlfn.XLOOKUP(cities[[#This Row],[city]],ccc[city],ccc[ctry],"-")</f>
        <v/>
      </c>
      <c r="M272" s="1500">
        <f>SUMIFS(stayCity[stay],stayCity[city],cities[[#This Row],[city]])</f>
        <v/>
      </c>
      <c r="N272" s="1427">
        <f>N271+1</f>
        <v/>
      </c>
      <c r="O272" s="1500" t="n"/>
      <c r="P272" s="1500" t="n"/>
      <c r="Q272" s="1427" t="inlineStr">
        <is>
          <t>.</t>
        </is>
      </c>
      <c r="R272" s="1491" t="n"/>
      <c r="S272" s="1491" t="n"/>
      <c r="T272" s="1491" t="n"/>
      <c r="U272" s="1491" t="n"/>
      <c r="V272" s="1491" t="n"/>
      <c r="W272" s="1491" t="n"/>
      <c r="X272" s="1491" t="n"/>
      <c r="Y272" s="1491" t="n"/>
      <c r="Z272" s="1491" t="n"/>
      <c r="AA272" s="1491" t="n"/>
      <c r="AB272" s="1491" t="n"/>
      <c r="AC272" s="1491" t="n"/>
      <c r="AD272" s="1491" t="n"/>
      <c r="AE272" s="1491" t="n"/>
      <c r="AF272" s="1491" t="n"/>
      <c r="AG272" s="1491" t="n"/>
      <c r="AH272" s="1491" t="n"/>
      <c r="AI272" s="1491" t="n"/>
      <c r="AJ272" s="1491" t="n"/>
      <c r="AK272" s="1491" t="n"/>
      <c r="AL272" s="1491" t="n"/>
      <c r="AM272" s="1491" t="n"/>
      <c r="AN272" s="1491" t="n"/>
      <c r="AO272" s="1491" t="n"/>
      <c r="AP272" s="1491" t="n"/>
      <c r="AQ272" s="1491" t="n"/>
      <c r="AR272" s="1491" t="n"/>
      <c r="AS272" s="1491" t="n"/>
      <c r="AT272" s="1491" t="n"/>
      <c r="AU272" s="1491" t="n"/>
      <c r="AV272" s="1491" t="n"/>
      <c r="AW272" s="1491" t="n"/>
      <c r="AX272" s="1491" t="n"/>
      <c r="AY272" s="1491" t="n"/>
      <c r="AZ272" s="1491" t="n"/>
      <c r="BA272" s="1491" t="n"/>
      <c r="BB272" s="1491" t="n"/>
      <c r="BC272" s="1491" t="n"/>
      <c r="BD272" s="1491" t="n"/>
      <c r="BE272" s="1491" t="n"/>
      <c r="BF272" s="1491" t="n"/>
      <c r="BG272" s="1491" t="n"/>
      <c r="BH272" s="1491" t="n"/>
      <c r="BI272" s="1491" t="n"/>
      <c r="BJ272" s="1491" t="n"/>
      <c r="BK272" s="1491" t="n"/>
      <c r="BL272" s="1491" t="n"/>
      <c r="BM272" s="1491" t="n"/>
      <c r="BN272" s="1491" t="n"/>
      <c r="BO272" s="1467" t="n"/>
      <c r="BP272" s="1514" t="n">
        <v>268</v>
      </c>
      <c r="BQ272" s="1513">
        <f>[1]Sheet1!C273</f>
        <v/>
      </c>
      <c r="BR272" s="1515">
        <f>[1]Sheet1!D273</f>
        <v/>
      </c>
      <c r="BS272" s="1513">
        <f>[1]Sheet1!E273</f>
        <v/>
      </c>
      <c r="BT272" s="1515">
        <f>[1]Sheet1!F273</f>
        <v/>
      </c>
      <c r="BU272" s="1516">
        <f>[1]Sheet1!G273</f>
        <v/>
      </c>
      <c r="BV272" s="1513">
        <f>[1]Sheet1!H273</f>
        <v/>
      </c>
      <c r="BW272" s="1467" t="n"/>
      <c r="BX272" s="1491" t="n"/>
      <c r="BY272" s="1491" t="n"/>
      <c r="BZ272" s="1491" t="n"/>
      <c r="CA272" s="1491" t="n"/>
      <c r="CB272" s="1467" t="n"/>
      <c r="CC272" s="1467" t="n"/>
      <c r="CD272" s="1491" t="n"/>
      <c r="CE272" s="1491" t="n"/>
      <c r="CF272" s="1491" t="n"/>
      <c r="CG272" s="1491" t="n"/>
      <c r="CH272" s="1491" t="n"/>
      <c r="CI272" s="1491" t="n"/>
      <c r="CJ272" s="1491" t="n"/>
      <c r="CK272" s="1491" t="n"/>
      <c r="CL272" s="1491" t="n"/>
      <c r="CM272" s="1491" t="n"/>
      <c r="CN272" s="1491" t="n"/>
      <c r="CO272" s="1491" t="n"/>
      <c r="CP272" s="1491" t="n"/>
      <c r="CQ272" s="1491" t="n"/>
      <c r="CR272" s="1491" t="n"/>
      <c r="CS272" s="1491" t="n"/>
      <c r="CT272" s="1491" t="n"/>
      <c r="CU272" s="1491" t="n"/>
      <c r="CV272" s="1491" t="n"/>
      <c r="CW272" s="1491" t="n"/>
      <c r="CX272" s="1491" t="n"/>
    </row>
    <row r="273">
      <c r="A273" s="1491" t="n"/>
      <c r="B273" s="1491" t="n"/>
      <c r="C273" s="1491" t="n"/>
      <c r="D273" s="1497">
        <f>IF(E273&lt;&gt;"",D272+1,D272)</f>
        <v/>
      </c>
      <c r="E273" s="1497" t="inlineStr">
        <is>
          <t>Sarriá</t>
        </is>
      </c>
      <c r="F273" s="1535" t="inlineStr">
        <is>
          <t>.</t>
        </is>
      </c>
      <c r="G273" s="1498">
        <f>IF(H273="AIR",0,IF(H272="AIR",G271+1,IF(H273&lt;&gt;"",G272+1,G272)))</f>
        <v/>
      </c>
      <c r="H273" s="1498" t="inlineStr">
        <is>
          <t>Manjarin</t>
        </is>
      </c>
      <c r="I273" s="1427" t="inlineStr">
        <is>
          <t>.</t>
        </is>
      </c>
      <c r="J273" s="1499" t="n">
        <v>268</v>
      </c>
      <c r="K273" s="1500">
        <f>_xlfn.XLOOKUP(cities[[#This Row],[id]],$D$5:$D$1500,E$5:E$1500,"-")</f>
        <v/>
      </c>
      <c r="L273" s="1500">
        <f>_xlfn.XLOOKUP(cities[[#This Row],[city]],ccc[city],ccc[ctry],"-")</f>
        <v/>
      </c>
      <c r="M273" s="1500">
        <f>SUMIFS(stayCity[stay],stayCity[city],cities[[#This Row],[city]])</f>
        <v/>
      </c>
      <c r="N273" s="1427">
        <f>N272+1</f>
        <v/>
      </c>
      <c r="O273" s="1500" t="n"/>
      <c r="P273" s="1500" t="n"/>
      <c r="Q273" s="1427" t="inlineStr">
        <is>
          <t>.</t>
        </is>
      </c>
      <c r="R273" s="1491" t="n"/>
      <c r="S273" s="1491" t="n"/>
      <c r="T273" s="1491" t="n"/>
      <c r="U273" s="1491" t="n"/>
      <c r="V273" s="1491" t="n"/>
      <c r="W273" s="1491" t="n"/>
      <c r="X273" s="1491" t="n"/>
      <c r="Y273" s="1491" t="n"/>
      <c r="Z273" s="1491" t="n"/>
      <c r="AA273" s="1491" t="n"/>
      <c r="AB273" s="1491" t="n"/>
      <c r="AC273" s="1491" t="n"/>
      <c r="AD273" s="1491" t="n"/>
      <c r="AE273" s="1491" t="n"/>
      <c r="AF273" s="1491" t="n"/>
      <c r="AG273" s="1491" t="n"/>
      <c r="AH273" s="1491" t="n"/>
      <c r="AI273" s="1491" t="n"/>
      <c r="AJ273" s="1491" t="n"/>
      <c r="AK273" s="1491" t="n"/>
      <c r="AL273" s="1491" t="n"/>
      <c r="AM273" s="1491" t="n"/>
      <c r="AN273" s="1491" t="n"/>
      <c r="AO273" s="1491" t="n"/>
      <c r="AP273" s="1491" t="n"/>
      <c r="AQ273" s="1491" t="n"/>
      <c r="AR273" s="1491" t="n"/>
      <c r="AS273" s="1491" t="n"/>
      <c r="AT273" s="1491" t="n"/>
      <c r="AU273" s="1491" t="n"/>
      <c r="AV273" s="1491" t="n"/>
      <c r="AW273" s="1491" t="n"/>
      <c r="AX273" s="1491" t="n"/>
      <c r="AY273" s="1491" t="n"/>
      <c r="AZ273" s="1491" t="n"/>
      <c r="BA273" s="1491" t="n"/>
      <c r="BB273" s="1491" t="n"/>
      <c r="BC273" s="1491" t="n"/>
      <c r="BD273" s="1491" t="n"/>
      <c r="BE273" s="1491" t="n"/>
      <c r="BF273" s="1491" t="n"/>
      <c r="BG273" s="1491" t="n"/>
      <c r="BH273" s="1491" t="n"/>
      <c r="BI273" s="1491" t="n"/>
      <c r="BJ273" s="1491" t="n"/>
      <c r="BK273" s="1491" t="n"/>
      <c r="BL273" s="1491" t="n"/>
      <c r="BM273" s="1491" t="n"/>
      <c r="BN273" s="1491" t="n"/>
      <c r="BO273" s="1467" t="n"/>
      <c r="BP273" s="1514" t="n">
        <v>269</v>
      </c>
      <c r="BQ273" s="1513">
        <f>[1]Sheet1!C274</f>
        <v/>
      </c>
      <c r="BR273" s="1515">
        <f>[1]Sheet1!D274</f>
        <v/>
      </c>
      <c r="BS273" s="1513">
        <f>[1]Sheet1!E274</f>
        <v/>
      </c>
      <c r="BT273" s="1515">
        <f>[1]Sheet1!F274</f>
        <v/>
      </c>
      <c r="BU273" s="1516">
        <f>[1]Sheet1!G274</f>
        <v/>
      </c>
      <c r="BV273" s="1513">
        <f>[1]Sheet1!H274</f>
        <v/>
      </c>
      <c r="BW273" s="1467" t="n"/>
      <c r="BX273" s="1491" t="n"/>
      <c r="BY273" s="1491" t="n"/>
      <c r="BZ273" s="1491" t="n"/>
      <c r="CA273" s="1491" t="n"/>
      <c r="CB273" s="1467" t="n"/>
      <c r="CC273" s="1467" t="n"/>
      <c r="CD273" s="1491" t="n"/>
      <c r="CE273" s="1491" t="n"/>
      <c r="CF273" s="1491" t="n"/>
      <c r="CG273" s="1491" t="n"/>
      <c r="CH273" s="1491" t="n"/>
      <c r="CI273" s="1491" t="n"/>
      <c r="CJ273" s="1491" t="n"/>
      <c r="CK273" s="1491" t="n"/>
      <c r="CL273" s="1491" t="n"/>
      <c r="CM273" s="1491" t="n"/>
      <c r="CN273" s="1491" t="n"/>
      <c r="CO273" s="1491" t="n"/>
      <c r="CP273" s="1491" t="n"/>
      <c r="CQ273" s="1491" t="n"/>
      <c r="CR273" s="1491" t="n"/>
      <c r="CS273" s="1491" t="n"/>
      <c r="CT273" s="1491" t="n"/>
      <c r="CU273" s="1491" t="n"/>
      <c r="CV273" s="1491" t="n"/>
      <c r="CW273" s="1491" t="n"/>
      <c r="CX273" s="1491" t="n"/>
    </row>
    <row r="274">
      <c r="A274" s="1491" t="n"/>
      <c r="B274" s="1491" t="n"/>
      <c r="C274" s="1491" t="n"/>
      <c r="D274" s="1497">
        <f>IF(E274&lt;&gt;"",D273+1,D273)</f>
        <v/>
      </c>
      <c r="E274" s="1497" t="inlineStr">
        <is>
          <t>Portomarin</t>
        </is>
      </c>
      <c r="F274" s="1535" t="inlineStr">
        <is>
          <t>.</t>
        </is>
      </c>
      <c r="G274" s="1498">
        <f>IF(H274="AIR",0,IF(H273="AIR",G272+1,IF(H274&lt;&gt;"",G273+1,G273)))</f>
        <v/>
      </c>
      <c r="H274" s="1498" t="inlineStr">
        <is>
          <t>Molinaseca</t>
        </is>
      </c>
      <c r="I274" s="1427" t="inlineStr">
        <is>
          <t>.</t>
        </is>
      </c>
      <c r="J274" s="1499" t="n">
        <v>269</v>
      </c>
      <c r="K274" s="1500">
        <f>_xlfn.XLOOKUP(cities[[#This Row],[id]],$D$5:$D$1500,E$5:E$1500,"-")</f>
        <v/>
      </c>
      <c r="L274" s="1500">
        <f>_xlfn.XLOOKUP(cities[[#This Row],[city]],ccc[city],ccc[ctry],"-")</f>
        <v/>
      </c>
      <c r="M274" s="1500">
        <f>SUMIFS(stayCity[stay],stayCity[city],cities[[#This Row],[city]])</f>
        <v/>
      </c>
      <c r="N274" s="1427">
        <f>N273+1</f>
        <v/>
      </c>
      <c r="O274" s="1500" t="n"/>
      <c r="P274" s="1500" t="n"/>
      <c r="Q274" s="1427" t="inlineStr">
        <is>
          <t>.</t>
        </is>
      </c>
      <c r="R274" s="1491" t="n"/>
      <c r="S274" s="1491" t="n"/>
      <c r="T274" s="1491" t="n"/>
      <c r="U274" s="1491" t="n"/>
      <c r="V274" s="1491" t="n"/>
      <c r="W274" s="1491" t="n"/>
      <c r="X274" s="1491" t="n"/>
      <c r="Y274" s="1491" t="n"/>
      <c r="Z274" s="1491" t="n"/>
      <c r="AA274" s="1491" t="n"/>
      <c r="AB274" s="1491" t="n"/>
      <c r="AC274" s="1491" t="n"/>
      <c r="AD274" s="1491" t="n"/>
      <c r="AE274" s="1491" t="n"/>
      <c r="AF274" s="1491" t="n"/>
      <c r="AG274" s="1491" t="n"/>
      <c r="AH274" s="1491" t="n"/>
      <c r="AI274" s="1491" t="n"/>
      <c r="AJ274" s="1491" t="n"/>
      <c r="AK274" s="1491" t="n"/>
      <c r="AL274" s="1491" t="n"/>
      <c r="AM274" s="1491" t="n"/>
      <c r="AN274" s="1491" t="n"/>
      <c r="AO274" s="1491" t="n"/>
      <c r="AP274" s="1491" t="n"/>
      <c r="AQ274" s="1491" t="n"/>
      <c r="AR274" s="1491" t="n"/>
      <c r="AS274" s="1491" t="n"/>
      <c r="AT274" s="1491" t="n"/>
      <c r="AU274" s="1491" t="n"/>
      <c r="AV274" s="1491" t="n"/>
      <c r="AW274" s="1491" t="n"/>
      <c r="AX274" s="1491" t="n"/>
      <c r="AY274" s="1491" t="n"/>
      <c r="AZ274" s="1491" t="n"/>
      <c r="BA274" s="1491" t="n"/>
      <c r="BB274" s="1491" t="n"/>
      <c r="BC274" s="1491" t="n"/>
      <c r="BD274" s="1491" t="n"/>
      <c r="BE274" s="1491" t="n"/>
      <c r="BF274" s="1491" t="n"/>
      <c r="BG274" s="1491" t="n"/>
      <c r="BH274" s="1491" t="n"/>
      <c r="BI274" s="1491" t="n"/>
      <c r="BJ274" s="1491" t="n"/>
      <c r="BK274" s="1491" t="n"/>
      <c r="BL274" s="1491" t="n"/>
      <c r="BM274" s="1491" t="n"/>
      <c r="BN274" s="1491" t="n"/>
      <c r="BO274" s="1467" t="n"/>
      <c r="BP274" s="1514" t="n">
        <v>270</v>
      </c>
      <c r="BQ274" s="1513">
        <f>[1]Sheet1!C275</f>
        <v/>
      </c>
      <c r="BR274" s="1515">
        <f>[1]Sheet1!D275</f>
        <v/>
      </c>
      <c r="BS274" s="1513">
        <f>[1]Sheet1!E275</f>
        <v/>
      </c>
      <c r="BT274" s="1515">
        <f>[1]Sheet1!F275</f>
        <v/>
      </c>
      <c r="BU274" s="1516">
        <f>[1]Sheet1!G275</f>
        <v/>
      </c>
      <c r="BV274" s="1513">
        <f>[1]Sheet1!H275</f>
        <v/>
      </c>
      <c r="BW274" s="1467" t="n"/>
      <c r="BX274" s="1491" t="n"/>
      <c r="BY274" s="1491" t="n"/>
      <c r="BZ274" s="1491" t="n"/>
      <c r="CA274" s="1491" t="n"/>
      <c r="CB274" s="1467" t="n"/>
      <c r="CC274" s="1467" t="n"/>
      <c r="CD274" s="1491" t="n"/>
      <c r="CE274" s="1491" t="n"/>
      <c r="CF274" s="1491" t="n"/>
      <c r="CG274" s="1491" t="n"/>
      <c r="CH274" s="1491" t="n"/>
      <c r="CI274" s="1491" t="n"/>
      <c r="CJ274" s="1491" t="n"/>
      <c r="CK274" s="1491" t="n"/>
      <c r="CL274" s="1491" t="n"/>
      <c r="CM274" s="1491" t="n"/>
      <c r="CN274" s="1491" t="n"/>
      <c r="CO274" s="1491" t="n"/>
      <c r="CP274" s="1491" t="n"/>
      <c r="CQ274" s="1491" t="n"/>
      <c r="CR274" s="1491" t="n"/>
      <c r="CS274" s="1491" t="n"/>
      <c r="CT274" s="1491" t="n"/>
      <c r="CU274" s="1491" t="n"/>
      <c r="CV274" s="1491" t="n"/>
      <c r="CW274" s="1491" t="n"/>
      <c r="CX274" s="1491" t="n"/>
    </row>
    <row r="275">
      <c r="A275" s="1491" t="n"/>
      <c r="B275" s="1491" t="n"/>
      <c r="C275" s="1491" t="n"/>
      <c r="D275" s="1497">
        <f>IF(E275&lt;&gt;"",D274+1,D274)</f>
        <v/>
      </c>
      <c r="E275" s="1497" t="inlineStr">
        <is>
          <t>Ligonde</t>
        </is>
      </c>
      <c r="F275" s="1535" t="inlineStr">
        <is>
          <t>.</t>
        </is>
      </c>
      <c r="G275" s="1498">
        <f>IF(H275="AIR",0,IF(H274="AIR",G273+1,IF(H275&lt;&gt;"",G274+1,G274)))</f>
        <v/>
      </c>
      <c r="H275" s="1498" t="inlineStr">
        <is>
          <t>Ponferrada</t>
        </is>
      </c>
      <c r="I275" s="1427" t="inlineStr">
        <is>
          <t>.</t>
        </is>
      </c>
      <c r="J275" s="1499" t="n">
        <v>270</v>
      </c>
      <c r="K275" s="1500">
        <f>_xlfn.XLOOKUP(cities[[#This Row],[id]],$D$5:$D$1500,E$5:E$1500,"-")</f>
        <v/>
      </c>
      <c r="L275" s="1500">
        <f>_xlfn.XLOOKUP(cities[[#This Row],[city]],ccc[city],ccc[ctry],"-")</f>
        <v/>
      </c>
      <c r="M275" s="1500">
        <f>SUMIFS(stayCity[stay],stayCity[city],cities[[#This Row],[city]])</f>
        <v/>
      </c>
      <c r="N275" s="1427">
        <f>N274+1</f>
        <v/>
      </c>
      <c r="O275" s="1500" t="n"/>
      <c r="P275" s="1500" t="n"/>
      <c r="Q275" s="1427" t="inlineStr">
        <is>
          <t>.</t>
        </is>
      </c>
      <c r="R275" s="1491" t="n"/>
      <c r="S275" s="1491" t="n"/>
      <c r="T275" s="1491" t="n"/>
      <c r="U275" s="1491" t="n"/>
      <c r="V275" s="1491" t="n"/>
      <c r="W275" s="1491" t="n"/>
      <c r="X275" s="1491" t="n"/>
      <c r="Y275" s="1491" t="n"/>
      <c r="Z275" s="1491" t="n"/>
      <c r="AA275" s="1491" t="n"/>
      <c r="AB275" s="1491" t="n"/>
      <c r="AC275" s="1491" t="n"/>
      <c r="AD275" s="1491" t="n"/>
      <c r="AE275" s="1491" t="n"/>
      <c r="AF275" s="1491" t="n"/>
      <c r="AG275" s="1491" t="n"/>
      <c r="AH275" s="1491" t="n"/>
      <c r="AI275" s="1491" t="n"/>
      <c r="AJ275" s="1491" t="n"/>
      <c r="AK275" s="1491" t="n"/>
      <c r="AL275" s="1491" t="n"/>
      <c r="AM275" s="1491" t="n"/>
      <c r="AN275" s="1491" t="n"/>
      <c r="AO275" s="1491" t="n"/>
      <c r="AP275" s="1491" t="n"/>
      <c r="AQ275" s="1491" t="n"/>
      <c r="AR275" s="1491" t="n"/>
      <c r="AS275" s="1491" t="n"/>
      <c r="AT275" s="1491" t="n"/>
      <c r="AU275" s="1491" t="n"/>
      <c r="AV275" s="1491" t="n"/>
      <c r="AW275" s="1491" t="n"/>
      <c r="AX275" s="1491" t="n"/>
      <c r="AY275" s="1491" t="n"/>
      <c r="AZ275" s="1491" t="n"/>
      <c r="BA275" s="1491" t="n"/>
      <c r="BB275" s="1491" t="n"/>
      <c r="BC275" s="1491" t="n"/>
      <c r="BD275" s="1491" t="n"/>
      <c r="BE275" s="1491" t="n"/>
      <c r="BF275" s="1491" t="n"/>
      <c r="BG275" s="1491" t="n"/>
      <c r="BH275" s="1491" t="n"/>
      <c r="BI275" s="1491" t="n"/>
      <c r="BJ275" s="1491" t="n"/>
      <c r="BK275" s="1491" t="n"/>
      <c r="BL275" s="1491" t="n"/>
      <c r="BM275" s="1491" t="n"/>
      <c r="BN275" s="1491" t="n"/>
      <c r="BO275" s="1467" t="n"/>
      <c r="BP275" s="1514" t="n">
        <v>271</v>
      </c>
      <c r="BQ275" s="1513">
        <f>[1]Sheet1!C276</f>
        <v/>
      </c>
      <c r="BR275" s="1515">
        <f>[1]Sheet1!D276</f>
        <v/>
      </c>
      <c r="BS275" s="1513">
        <f>[1]Sheet1!E276</f>
        <v/>
      </c>
      <c r="BT275" s="1515">
        <f>[1]Sheet1!F276</f>
        <v/>
      </c>
      <c r="BU275" s="1516">
        <f>[1]Sheet1!G276</f>
        <v/>
      </c>
      <c r="BV275" s="1513">
        <f>[1]Sheet1!H276</f>
        <v/>
      </c>
      <c r="BW275" s="1467" t="n"/>
      <c r="BX275" s="1491" t="n"/>
      <c r="BY275" s="1491" t="n"/>
      <c r="BZ275" s="1491" t="n"/>
      <c r="CA275" s="1491" t="n"/>
      <c r="CB275" s="1467" t="n"/>
      <c r="CC275" s="1467" t="n"/>
      <c r="CD275" s="1491" t="n"/>
      <c r="CE275" s="1491" t="n"/>
      <c r="CF275" s="1491" t="n"/>
      <c r="CG275" s="1491" t="n"/>
      <c r="CH275" s="1491" t="n"/>
      <c r="CI275" s="1491" t="n"/>
      <c r="CJ275" s="1491" t="n"/>
      <c r="CK275" s="1491" t="n"/>
      <c r="CL275" s="1491" t="n"/>
      <c r="CM275" s="1491" t="n"/>
      <c r="CN275" s="1491" t="n"/>
      <c r="CO275" s="1491" t="n"/>
      <c r="CP275" s="1491" t="n"/>
      <c r="CQ275" s="1491" t="n"/>
      <c r="CR275" s="1491" t="n"/>
      <c r="CS275" s="1491" t="n"/>
      <c r="CT275" s="1491" t="n"/>
      <c r="CU275" s="1491" t="n"/>
      <c r="CV275" s="1491" t="n"/>
      <c r="CW275" s="1491" t="n"/>
      <c r="CX275" s="1491" t="n"/>
    </row>
    <row r="276">
      <c r="A276" s="1491" t="n"/>
      <c r="B276" s="1491" t="n"/>
      <c r="C276" s="1491" t="n"/>
      <c r="D276" s="1497">
        <f>IF(E276&lt;&gt;"",D275+1,D275)</f>
        <v/>
      </c>
      <c r="E276" s="1497" t="inlineStr">
        <is>
          <t>Palas de Rey</t>
        </is>
      </c>
      <c r="F276" s="1535" t="inlineStr">
        <is>
          <t>.</t>
        </is>
      </c>
      <c r="G276" s="1498">
        <f>IF(H276="AIR",0,IF(H275="AIR",G274+1,IF(H276&lt;&gt;"",G275+1,G275)))</f>
        <v/>
      </c>
      <c r="H276" s="1498" t="inlineStr">
        <is>
          <t>Villa Franca del Bierzo</t>
        </is>
      </c>
      <c r="I276" s="1427" t="inlineStr">
        <is>
          <t>.</t>
        </is>
      </c>
      <c r="J276" s="1499" t="n">
        <v>271</v>
      </c>
      <c r="K276" s="1500">
        <f>_xlfn.XLOOKUP(cities[[#This Row],[id]],$D$5:$D$1500,E$5:E$1500,"-")</f>
        <v/>
      </c>
      <c r="L276" s="1500">
        <f>_xlfn.XLOOKUP(cities[[#This Row],[city]],ccc[city],ccc[ctry],"-")</f>
        <v/>
      </c>
      <c r="M276" s="1500">
        <f>SUMIFS(stayCity[stay],stayCity[city],cities[[#This Row],[city]])</f>
        <v/>
      </c>
      <c r="N276" s="1427">
        <f>N275+1</f>
        <v/>
      </c>
      <c r="O276" s="1500" t="n"/>
      <c r="P276" s="1500" t="n"/>
      <c r="Q276" s="1427" t="inlineStr">
        <is>
          <t>.</t>
        </is>
      </c>
      <c r="R276" s="1491" t="n"/>
      <c r="S276" s="1491" t="n"/>
      <c r="T276" s="1491" t="n"/>
      <c r="U276" s="1491" t="n"/>
      <c r="V276" s="1491" t="n"/>
      <c r="W276" s="1491" t="n"/>
      <c r="X276" s="1491" t="n"/>
      <c r="Y276" s="1491" t="n"/>
      <c r="Z276" s="1491" t="n"/>
      <c r="AA276" s="1491" t="n"/>
      <c r="AB276" s="1491" t="n"/>
      <c r="AC276" s="1491" t="n"/>
      <c r="AD276" s="1491" t="n"/>
      <c r="AE276" s="1491" t="n"/>
      <c r="AF276" s="1491" t="n"/>
      <c r="AG276" s="1491" t="n"/>
      <c r="AH276" s="1491" t="n"/>
      <c r="AI276" s="1491" t="n"/>
      <c r="AJ276" s="1491" t="n"/>
      <c r="AK276" s="1491" t="n"/>
      <c r="AL276" s="1491" t="n"/>
      <c r="AM276" s="1491" t="n"/>
      <c r="AN276" s="1491" t="n"/>
      <c r="AO276" s="1491" t="n"/>
      <c r="AP276" s="1491" t="n"/>
      <c r="AQ276" s="1491" t="n"/>
      <c r="AR276" s="1491" t="n"/>
      <c r="AS276" s="1491" t="n"/>
      <c r="AT276" s="1491" t="n"/>
      <c r="AU276" s="1491" t="n"/>
      <c r="AV276" s="1491" t="n"/>
      <c r="AW276" s="1491" t="n"/>
      <c r="AX276" s="1491" t="n"/>
      <c r="AY276" s="1491" t="n"/>
      <c r="AZ276" s="1491" t="n"/>
      <c r="BA276" s="1491" t="n"/>
      <c r="BB276" s="1491" t="n"/>
      <c r="BC276" s="1491" t="n"/>
      <c r="BD276" s="1491" t="n"/>
      <c r="BE276" s="1491" t="n"/>
      <c r="BF276" s="1491" t="n"/>
      <c r="BG276" s="1491" t="n"/>
      <c r="BH276" s="1491" t="n"/>
      <c r="BI276" s="1491" t="n"/>
      <c r="BJ276" s="1491" t="n"/>
      <c r="BK276" s="1491" t="n"/>
      <c r="BL276" s="1491" t="n"/>
      <c r="BM276" s="1491" t="n"/>
      <c r="BN276" s="1491" t="n"/>
      <c r="BO276" s="1467" t="n"/>
      <c r="BP276" s="1514" t="n">
        <v>272</v>
      </c>
      <c r="BQ276" s="1513">
        <f>[1]Sheet1!C277</f>
        <v/>
      </c>
      <c r="BR276" s="1515">
        <f>[1]Sheet1!D277</f>
        <v/>
      </c>
      <c r="BS276" s="1513">
        <f>[1]Sheet1!E277</f>
        <v/>
      </c>
      <c r="BT276" s="1515">
        <f>[1]Sheet1!F277</f>
        <v/>
      </c>
      <c r="BU276" s="1516">
        <f>[1]Sheet1!G277</f>
        <v/>
      </c>
      <c r="BV276" s="1513">
        <f>[1]Sheet1!H277</f>
        <v/>
      </c>
      <c r="BW276" s="1467" t="n"/>
      <c r="BX276" s="1491" t="n"/>
      <c r="BY276" s="1491" t="n"/>
      <c r="BZ276" s="1491" t="n"/>
      <c r="CA276" s="1491" t="n"/>
      <c r="CB276" s="1467" t="n"/>
      <c r="CC276" s="1467" t="n"/>
      <c r="CD276" s="1491" t="n"/>
      <c r="CE276" s="1491" t="n"/>
      <c r="CF276" s="1491" t="n"/>
      <c r="CG276" s="1491" t="n"/>
      <c r="CH276" s="1491" t="n"/>
      <c r="CI276" s="1491" t="n"/>
      <c r="CJ276" s="1491" t="n"/>
      <c r="CK276" s="1491" t="n"/>
      <c r="CL276" s="1491" t="n"/>
      <c r="CM276" s="1491" t="n"/>
      <c r="CN276" s="1491" t="n"/>
      <c r="CO276" s="1491" t="n"/>
      <c r="CP276" s="1491" t="n"/>
      <c r="CQ276" s="1491" t="n"/>
      <c r="CR276" s="1491" t="n"/>
      <c r="CS276" s="1491" t="n"/>
      <c r="CT276" s="1491" t="n"/>
      <c r="CU276" s="1491" t="n"/>
      <c r="CV276" s="1491" t="n"/>
      <c r="CW276" s="1491" t="n"/>
      <c r="CX276" s="1491" t="n"/>
    </row>
    <row r="277">
      <c r="A277" s="1491" t="n"/>
      <c r="B277" s="1491" t="n"/>
      <c r="C277" s="1491" t="n"/>
      <c r="D277" s="1497">
        <f>IF(E277&lt;&gt;"",D276+1,D276)</f>
        <v/>
      </c>
      <c r="E277" s="1497" t="inlineStr">
        <is>
          <t>Mellid</t>
        </is>
      </c>
      <c r="F277" s="1535" t="inlineStr">
        <is>
          <t>.</t>
        </is>
      </c>
      <c r="G277" s="1498">
        <f>IF(H277="AIR",0,IF(H276="AIR",G275+1,IF(H277&lt;&gt;"",G276+1,G276)))</f>
        <v/>
      </c>
      <c r="H277" s="1498" t="inlineStr">
        <is>
          <t>O Cebreiro</t>
        </is>
      </c>
      <c r="I277" s="1427" t="inlineStr">
        <is>
          <t>.</t>
        </is>
      </c>
      <c r="J277" s="1499" t="n">
        <v>272</v>
      </c>
      <c r="K277" s="1500">
        <f>_xlfn.XLOOKUP(cities[[#This Row],[id]],$D$5:$D$1500,E$5:E$1500,"-")</f>
        <v/>
      </c>
      <c r="L277" s="1500">
        <f>_xlfn.XLOOKUP(cities[[#This Row],[city]],ccc[city],ccc[ctry],"-")</f>
        <v/>
      </c>
      <c r="M277" s="1500">
        <f>SUMIFS(stayCity[stay],stayCity[city],cities[[#This Row],[city]])</f>
        <v/>
      </c>
      <c r="N277" s="1427">
        <f>N276+1</f>
        <v/>
      </c>
      <c r="O277" s="1500" t="n"/>
      <c r="P277" s="1500" t="n"/>
      <c r="Q277" s="1427" t="inlineStr">
        <is>
          <t>.</t>
        </is>
      </c>
      <c r="R277" s="1491" t="n"/>
      <c r="S277" s="1491" t="n"/>
      <c r="T277" s="1491" t="n"/>
      <c r="U277" s="1491" t="n"/>
      <c r="V277" s="1491" t="n"/>
      <c r="W277" s="1491" t="n"/>
      <c r="X277" s="1491" t="n"/>
      <c r="Y277" s="1491" t="n"/>
      <c r="Z277" s="1491" t="n"/>
      <c r="AA277" s="1491" t="n"/>
      <c r="AB277" s="1491" t="n"/>
      <c r="AC277" s="1491" t="n"/>
      <c r="AD277" s="1491" t="n"/>
      <c r="AE277" s="1491" t="n"/>
      <c r="AF277" s="1491" t="n"/>
      <c r="AG277" s="1491" t="n"/>
      <c r="AH277" s="1491" t="n"/>
      <c r="AI277" s="1491" t="n"/>
      <c r="AJ277" s="1491" t="n"/>
      <c r="AK277" s="1491" t="n"/>
      <c r="AL277" s="1491" t="n"/>
      <c r="AM277" s="1491" t="n"/>
      <c r="AN277" s="1491" t="n"/>
      <c r="AO277" s="1491" t="n"/>
      <c r="AP277" s="1491" t="n"/>
      <c r="AQ277" s="1491" t="n"/>
      <c r="AR277" s="1491" t="n"/>
      <c r="AS277" s="1491" t="n"/>
      <c r="AT277" s="1491" t="n"/>
      <c r="AU277" s="1491" t="n"/>
      <c r="AV277" s="1491" t="n"/>
      <c r="AW277" s="1491" t="n"/>
      <c r="AX277" s="1491" t="n"/>
      <c r="AY277" s="1491" t="n"/>
      <c r="AZ277" s="1491" t="n"/>
      <c r="BA277" s="1491" t="n"/>
      <c r="BB277" s="1491" t="n"/>
      <c r="BC277" s="1491" t="n"/>
      <c r="BD277" s="1491" t="n"/>
      <c r="BE277" s="1491" t="n"/>
      <c r="BF277" s="1491" t="n"/>
      <c r="BG277" s="1491" t="n"/>
      <c r="BH277" s="1491" t="n"/>
      <c r="BI277" s="1491" t="n"/>
      <c r="BJ277" s="1491" t="n"/>
      <c r="BK277" s="1491" t="n"/>
      <c r="BL277" s="1491" t="n"/>
      <c r="BM277" s="1491" t="n"/>
      <c r="BN277" s="1491" t="n"/>
      <c r="BO277" s="1467" t="n"/>
      <c r="BP277" s="1514" t="n">
        <v>273</v>
      </c>
      <c r="BQ277" s="1513">
        <f>[1]Sheet1!C278</f>
        <v/>
      </c>
      <c r="BR277" s="1515">
        <f>[1]Sheet1!D278</f>
        <v/>
      </c>
      <c r="BS277" s="1513">
        <f>[1]Sheet1!E278</f>
        <v/>
      </c>
      <c r="BT277" s="1515">
        <f>[1]Sheet1!F278</f>
        <v/>
      </c>
      <c r="BU277" s="1516">
        <f>[1]Sheet1!G278</f>
        <v/>
      </c>
      <c r="BV277" s="1513">
        <f>[1]Sheet1!H278</f>
        <v/>
      </c>
      <c r="BW277" s="1467" t="n"/>
      <c r="BX277" s="1491" t="n"/>
      <c r="BY277" s="1491" t="n"/>
      <c r="BZ277" s="1491" t="n"/>
      <c r="CA277" s="1491" t="n"/>
      <c r="CB277" s="1467" t="n"/>
      <c r="CC277" s="1467" t="n"/>
      <c r="CD277" s="1491" t="n"/>
      <c r="CE277" s="1491" t="n"/>
      <c r="CF277" s="1491" t="n"/>
      <c r="CG277" s="1491" t="n"/>
      <c r="CH277" s="1491" t="n"/>
      <c r="CI277" s="1491" t="n"/>
      <c r="CJ277" s="1491" t="n"/>
      <c r="CK277" s="1491" t="n"/>
      <c r="CL277" s="1491" t="n"/>
      <c r="CM277" s="1491" t="n"/>
      <c r="CN277" s="1491" t="n"/>
      <c r="CO277" s="1491" t="n"/>
      <c r="CP277" s="1491" t="n"/>
      <c r="CQ277" s="1491" t="n"/>
      <c r="CR277" s="1491" t="n"/>
      <c r="CS277" s="1491" t="n"/>
      <c r="CT277" s="1491" t="n"/>
      <c r="CU277" s="1491" t="n"/>
      <c r="CV277" s="1491" t="n"/>
      <c r="CW277" s="1491" t="n"/>
      <c r="CX277" s="1491" t="n"/>
    </row>
    <row r="278">
      <c r="A278" s="1491" t="n"/>
      <c r="B278" s="1491" t="n"/>
      <c r="C278" s="1491" t="n"/>
      <c r="D278" s="1497">
        <f>IF(E278&lt;&gt;"",D277+1,D277)</f>
        <v/>
      </c>
      <c r="E278" s="1497" t="inlineStr">
        <is>
          <t>Ribadiso</t>
        </is>
      </c>
      <c r="F278" s="1535" t="inlineStr">
        <is>
          <t>.</t>
        </is>
      </c>
      <c r="G278" s="1498">
        <f>IF(H278="AIR",0,IF(H277="AIR",G276+1,IF(H278&lt;&gt;"",G277+1,G277)))</f>
        <v/>
      </c>
      <c r="H278" s="1498" t="inlineStr">
        <is>
          <t>Triacastela</t>
        </is>
      </c>
      <c r="I278" s="1427" t="inlineStr">
        <is>
          <t>.</t>
        </is>
      </c>
      <c r="J278" s="1499" t="n">
        <v>273</v>
      </c>
      <c r="K278" s="1500">
        <f>_xlfn.XLOOKUP(cities[[#This Row],[id]],$D$5:$D$1500,E$5:E$1500,"-")</f>
        <v/>
      </c>
      <c r="L278" s="1500">
        <f>_xlfn.XLOOKUP(cities[[#This Row],[city]],ccc[city],ccc[ctry],"-")</f>
        <v/>
      </c>
      <c r="M278" s="1500">
        <f>SUMIFS(stayCity[stay],stayCity[city],cities[[#This Row],[city]])</f>
        <v/>
      </c>
      <c r="N278" s="1427">
        <f>N277+1</f>
        <v/>
      </c>
      <c r="O278" s="1500" t="n"/>
      <c r="P278" s="1500" t="n"/>
      <c r="Q278" s="1427" t="inlineStr">
        <is>
          <t>.</t>
        </is>
      </c>
      <c r="R278" s="1491" t="n"/>
      <c r="S278" s="1491" t="n"/>
      <c r="T278" s="1491" t="n"/>
      <c r="U278" s="1491" t="n"/>
      <c r="V278" s="1491" t="n"/>
      <c r="W278" s="1491" t="n"/>
      <c r="X278" s="1491" t="n"/>
      <c r="Y278" s="1491" t="n"/>
      <c r="Z278" s="1491" t="n"/>
      <c r="AA278" s="1491" t="n"/>
      <c r="AB278" s="1491" t="n"/>
      <c r="AC278" s="1491" t="n"/>
      <c r="AD278" s="1491" t="n"/>
      <c r="AE278" s="1491" t="n"/>
      <c r="AF278" s="1491" t="n"/>
      <c r="AG278" s="1491" t="n"/>
      <c r="AH278" s="1491" t="n"/>
      <c r="AI278" s="1491" t="n"/>
      <c r="AJ278" s="1491" t="n"/>
      <c r="AK278" s="1491" t="n"/>
      <c r="AL278" s="1491" t="n"/>
      <c r="AM278" s="1491" t="n"/>
      <c r="AN278" s="1491" t="n"/>
      <c r="AO278" s="1491" t="n"/>
      <c r="AP278" s="1491" t="n"/>
      <c r="AQ278" s="1491" t="n"/>
      <c r="AR278" s="1491" t="n"/>
      <c r="AS278" s="1491" t="n"/>
      <c r="AT278" s="1491" t="n"/>
      <c r="AU278" s="1491" t="n"/>
      <c r="AV278" s="1491" t="n"/>
      <c r="AW278" s="1491" t="n"/>
      <c r="AX278" s="1491" t="n"/>
      <c r="AY278" s="1491" t="n"/>
      <c r="AZ278" s="1491" t="n"/>
      <c r="BA278" s="1491" t="n"/>
      <c r="BB278" s="1491" t="n"/>
      <c r="BC278" s="1491" t="n"/>
      <c r="BD278" s="1491" t="n"/>
      <c r="BE278" s="1491" t="n"/>
      <c r="BF278" s="1491" t="n"/>
      <c r="BG278" s="1491" t="n"/>
      <c r="BH278" s="1491" t="n"/>
      <c r="BI278" s="1491" t="n"/>
      <c r="BJ278" s="1491" t="n"/>
      <c r="BK278" s="1491" t="n"/>
      <c r="BL278" s="1491" t="n"/>
      <c r="BM278" s="1491" t="n"/>
      <c r="BN278" s="1491" t="n"/>
      <c r="BO278" s="1467" t="n"/>
      <c r="BP278" s="1514" t="n">
        <v>274</v>
      </c>
      <c r="BQ278" s="1513">
        <f>[1]Sheet1!C279</f>
        <v/>
      </c>
      <c r="BR278" s="1515">
        <f>[1]Sheet1!D279</f>
        <v/>
      </c>
      <c r="BS278" s="1513">
        <f>[1]Sheet1!E279</f>
        <v/>
      </c>
      <c r="BT278" s="1515">
        <f>[1]Sheet1!F279</f>
        <v/>
      </c>
      <c r="BU278" s="1516">
        <f>[1]Sheet1!G279</f>
        <v/>
      </c>
      <c r="BV278" s="1513">
        <f>[1]Sheet1!H279</f>
        <v/>
      </c>
      <c r="BW278" s="1467" t="n"/>
      <c r="BX278" s="1491" t="n"/>
      <c r="BY278" s="1491" t="n"/>
      <c r="BZ278" s="1491" t="n"/>
      <c r="CA278" s="1491" t="n"/>
      <c r="CB278" s="1467" t="n"/>
      <c r="CC278" s="1467" t="n"/>
      <c r="CD278" s="1491" t="n"/>
      <c r="CE278" s="1491" t="n"/>
      <c r="CF278" s="1491" t="n"/>
      <c r="CG278" s="1491" t="n"/>
      <c r="CH278" s="1491" t="n"/>
      <c r="CI278" s="1491" t="n"/>
      <c r="CJ278" s="1491" t="n"/>
      <c r="CK278" s="1491" t="n"/>
      <c r="CL278" s="1491" t="n"/>
      <c r="CM278" s="1491" t="n"/>
      <c r="CN278" s="1491" t="n"/>
      <c r="CO278" s="1491" t="n"/>
      <c r="CP278" s="1491" t="n"/>
      <c r="CQ278" s="1491" t="n"/>
      <c r="CR278" s="1491" t="n"/>
      <c r="CS278" s="1491" t="n"/>
      <c r="CT278" s="1491" t="n"/>
      <c r="CU278" s="1491" t="n"/>
      <c r="CV278" s="1491" t="n"/>
      <c r="CW278" s="1491" t="n"/>
      <c r="CX278" s="1491" t="n"/>
    </row>
    <row r="279">
      <c r="A279" s="1491" t="n"/>
      <c r="B279" s="1491" t="n"/>
      <c r="C279" s="1491" t="n"/>
      <c r="D279" s="1497">
        <f>IF(E279&lt;&gt;"",D278+1,D278)</f>
        <v/>
      </c>
      <c r="E279" s="1497" t="inlineStr">
        <is>
          <t>Arzuá</t>
        </is>
      </c>
      <c r="F279" s="1535" t="inlineStr">
        <is>
          <t>.</t>
        </is>
      </c>
      <c r="G279" s="1498">
        <f>IF(H279="AIR",0,IF(H278="AIR",G277+1,IF(H279&lt;&gt;"",G278+1,G278)))</f>
        <v/>
      </c>
      <c r="H279" s="1498" t="inlineStr">
        <is>
          <t>Samos</t>
        </is>
      </c>
      <c r="I279" s="1427" t="inlineStr">
        <is>
          <t>.</t>
        </is>
      </c>
      <c r="J279" s="1499" t="n">
        <v>274</v>
      </c>
      <c r="K279" s="1500">
        <f>_xlfn.XLOOKUP(cities[[#This Row],[id]],$D$5:$D$1500,E$5:E$1500,"-")</f>
        <v/>
      </c>
      <c r="L279" s="1500">
        <f>_xlfn.XLOOKUP(cities[[#This Row],[city]],ccc[city],ccc[ctry],"-")</f>
        <v/>
      </c>
      <c r="M279" s="1500">
        <f>SUMIFS(stayCity[stay],stayCity[city],cities[[#This Row],[city]])</f>
        <v/>
      </c>
      <c r="N279" s="1427">
        <f>N278+1</f>
        <v/>
      </c>
      <c r="O279" s="1500" t="n"/>
      <c r="P279" s="1500" t="n"/>
      <c r="Q279" s="1427" t="inlineStr">
        <is>
          <t>.</t>
        </is>
      </c>
      <c r="R279" s="1491" t="n"/>
      <c r="S279" s="1491" t="n"/>
      <c r="T279" s="1491" t="n"/>
      <c r="U279" s="1491" t="n"/>
      <c r="V279" s="1491" t="n"/>
      <c r="W279" s="1491" t="n"/>
      <c r="X279" s="1491" t="n"/>
      <c r="Y279" s="1491" t="n"/>
      <c r="Z279" s="1491" t="n"/>
      <c r="AA279" s="1491" t="n"/>
      <c r="AB279" s="1491" t="n"/>
      <c r="AC279" s="1491" t="n"/>
      <c r="AD279" s="1491" t="n"/>
      <c r="AE279" s="1491" t="n"/>
      <c r="AF279" s="1491" t="n"/>
      <c r="AG279" s="1491" t="n"/>
      <c r="AH279" s="1491" t="n"/>
      <c r="AI279" s="1491" t="n"/>
      <c r="AJ279" s="1491" t="n"/>
      <c r="AK279" s="1491" t="n"/>
      <c r="AL279" s="1491" t="n"/>
      <c r="AM279" s="1491" t="n"/>
      <c r="AN279" s="1491" t="n"/>
      <c r="AO279" s="1491" t="n"/>
      <c r="AP279" s="1491" t="n"/>
      <c r="AQ279" s="1491" t="n"/>
      <c r="AR279" s="1491" t="n"/>
      <c r="AS279" s="1491" t="n"/>
      <c r="AT279" s="1491" t="n"/>
      <c r="AU279" s="1491" t="n"/>
      <c r="AV279" s="1491" t="n"/>
      <c r="AW279" s="1491" t="n"/>
      <c r="AX279" s="1491" t="n"/>
      <c r="AY279" s="1491" t="n"/>
      <c r="AZ279" s="1491" t="n"/>
      <c r="BA279" s="1491" t="n"/>
      <c r="BB279" s="1491" t="n"/>
      <c r="BC279" s="1491" t="n"/>
      <c r="BD279" s="1491" t="n"/>
      <c r="BE279" s="1491" t="n"/>
      <c r="BF279" s="1491" t="n"/>
      <c r="BG279" s="1491" t="n"/>
      <c r="BH279" s="1491" t="n"/>
      <c r="BI279" s="1491" t="n"/>
      <c r="BJ279" s="1491" t="n"/>
      <c r="BK279" s="1491" t="n"/>
      <c r="BL279" s="1491" t="n"/>
      <c r="BM279" s="1491" t="n"/>
      <c r="BN279" s="1491" t="n"/>
      <c r="BO279" s="1467" t="n"/>
      <c r="BP279" s="1514" t="n">
        <v>275</v>
      </c>
      <c r="BQ279" s="1513">
        <f>[1]Sheet1!C280</f>
        <v/>
      </c>
      <c r="BR279" s="1515">
        <f>[1]Sheet1!D280</f>
        <v/>
      </c>
      <c r="BS279" s="1513">
        <f>[1]Sheet1!E280</f>
        <v/>
      </c>
      <c r="BT279" s="1515">
        <f>[1]Sheet1!F280</f>
        <v/>
      </c>
      <c r="BU279" s="1516">
        <f>[1]Sheet1!G280</f>
        <v/>
      </c>
      <c r="BV279" s="1513">
        <f>[1]Sheet1!H280</f>
        <v/>
      </c>
      <c r="BW279" s="1467" t="n"/>
      <c r="BX279" s="1491" t="n"/>
      <c r="BY279" s="1491" t="n"/>
      <c r="BZ279" s="1491" t="n"/>
      <c r="CA279" s="1491" t="n"/>
      <c r="CB279" s="1467" t="n"/>
      <c r="CC279" s="1467" t="n"/>
      <c r="CD279" s="1491" t="n"/>
      <c r="CE279" s="1491" t="n"/>
      <c r="CF279" s="1491" t="n"/>
      <c r="CG279" s="1491" t="n"/>
      <c r="CH279" s="1491" t="n"/>
      <c r="CI279" s="1491" t="n"/>
      <c r="CJ279" s="1491" t="n"/>
      <c r="CK279" s="1491" t="n"/>
      <c r="CL279" s="1491" t="n"/>
      <c r="CM279" s="1491" t="n"/>
      <c r="CN279" s="1491" t="n"/>
      <c r="CO279" s="1491" t="n"/>
      <c r="CP279" s="1491" t="n"/>
      <c r="CQ279" s="1491" t="n"/>
      <c r="CR279" s="1491" t="n"/>
      <c r="CS279" s="1491" t="n"/>
      <c r="CT279" s="1491" t="n"/>
      <c r="CU279" s="1491" t="n"/>
      <c r="CV279" s="1491" t="n"/>
      <c r="CW279" s="1491" t="n"/>
      <c r="CX279" s="1491" t="n"/>
    </row>
    <row r="280">
      <c r="A280" s="1491" t="n"/>
      <c r="B280" s="1491" t="n"/>
      <c r="C280" s="1491" t="n"/>
      <c r="D280" s="1497">
        <f>IF(E280&lt;&gt;"",D279+1,D279)</f>
        <v/>
      </c>
      <c r="E280" s="1497" t="inlineStr">
        <is>
          <t>Sta. Irene</t>
        </is>
      </c>
      <c r="F280" s="1535" t="inlineStr">
        <is>
          <t>.</t>
        </is>
      </c>
      <c r="G280" s="1498">
        <f>IF(H280="AIR",0,IF(H279="AIR",G278+1,IF(H280&lt;&gt;"",G279+1,G279)))</f>
        <v/>
      </c>
      <c r="H280" s="1498" t="inlineStr">
        <is>
          <t>Sarriá</t>
        </is>
      </c>
      <c r="I280" s="1427" t="inlineStr">
        <is>
          <t>.</t>
        </is>
      </c>
      <c r="J280" s="1499" t="n">
        <v>275</v>
      </c>
      <c r="K280" s="1500">
        <f>_xlfn.XLOOKUP(cities[[#This Row],[id]],$D$5:$D$1500,E$5:E$1500,"-")</f>
        <v/>
      </c>
      <c r="L280" s="1500">
        <f>_xlfn.XLOOKUP(cities[[#This Row],[city]],ccc[city],ccc[ctry],"-")</f>
        <v/>
      </c>
      <c r="M280" s="1500">
        <f>SUMIFS(stayCity[stay],stayCity[city],cities[[#This Row],[city]])</f>
        <v/>
      </c>
      <c r="N280" s="1427">
        <f>N279+1</f>
        <v/>
      </c>
      <c r="O280" s="1500" t="n"/>
      <c r="P280" s="1500" t="n"/>
      <c r="Q280" s="1427" t="inlineStr">
        <is>
          <t>.</t>
        </is>
      </c>
      <c r="R280" s="1491" t="n"/>
      <c r="S280" s="1491" t="n"/>
      <c r="T280" s="1491" t="n"/>
      <c r="U280" s="1491" t="n"/>
      <c r="V280" s="1491" t="n"/>
      <c r="W280" s="1491" t="n"/>
      <c r="X280" s="1491" t="n"/>
      <c r="Y280" s="1491" t="n"/>
      <c r="Z280" s="1491" t="n"/>
      <c r="AA280" s="1491" t="n"/>
      <c r="AB280" s="1491" t="n"/>
      <c r="AC280" s="1491" t="n"/>
      <c r="AD280" s="1491" t="n"/>
      <c r="AE280" s="1491" t="n"/>
      <c r="AF280" s="1491" t="n"/>
      <c r="AG280" s="1491" t="n"/>
      <c r="AH280" s="1491" t="n"/>
      <c r="AI280" s="1491" t="n"/>
      <c r="AJ280" s="1491" t="n"/>
      <c r="AK280" s="1491" t="n"/>
      <c r="AL280" s="1491" t="n"/>
      <c r="AM280" s="1491" t="n"/>
      <c r="AN280" s="1491" t="n"/>
      <c r="AO280" s="1491" t="n"/>
      <c r="AP280" s="1491" t="n"/>
      <c r="AQ280" s="1491" t="n"/>
      <c r="AR280" s="1491" t="n"/>
      <c r="AS280" s="1491" t="n"/>
      <c r="AT280" s="1491" t="n"/>
      <c r="AU280" s="1491" t="n"/>
      <c r="AV280" s="1491" t="n"/>
      <c r="AW280" s="1491" t="n"/>
      <c r="AX280" s="1491" t="n"/>
      <c r="AY280" s="1491" t="n"/>
      <c r="AZ280" s="1491" t="n"/>
      <c r="BA280" s="1491" t="n"/>
      <c r="BB280" s="1491" t="n"/>
      <c r="BC280" s="1491" t="n"/>
      <c r="BD280" s="1491" t="n"/>
      <c r="BE280" s="1491" t="n"/>
      <c r="BF280" s="1491" t="n"/>
      <c r="BG280" s="1491" t="n"/>
      <c r="BH280" s="1491" t="n"/>
      <c r="BI280" s="1491" t="n"/>
      <c r="BJ280" s="1491" t="n"/>
      <c r="BK280" s="1491" t="n"/>
      <c r="BL280" s="1491" t="n"/>
      <c r="BM280" s="1491" t="n"/>
      <c r="BN280" s="1491" t="n"/>
      <c r="BO280" s="1467" t="n"/>
      <c r="BP280" s="1514" t="n">
        <v>276</v>
      </c>
      <c r="BQ280" s="1513">
        <f>[1]Sheet1!C281</f>
        <v/>
      </c>
      <c r="BR280" s="1515">
        <f>[1]Sheet1!D281</f>
        <v/>
      </c>
      <c r="BS280" s="1513">
        <f>[1]Sheet1!E281</f>
        <v/>
      </c>
      <c r="BT280" s="1515">
        <f>[1]Sheet1!F281</f>
        <v/>
      </c>
      <c r="BU280" s="1516">
        <f>[1]Sheet1!G281</f>
        <v/>
      </c>
      <c r="BV280" s="1513">
        <f>[1]Sheet1!H281</f>
        <v/>
      </c>
      <c r="BW280" s="1467" t="n"/>
      <c r="BX280" s="1491" t="n"/>
      <c r="BY280" s="1491" t="n"/>
      <c r="BZ280" s="1491" t="n"/>
      <c r="CA280" s="1491" t="n"/>
      <c r="CB280" s="1467" t="n"/>
      <c r="CC280" s="1467" t="n"/>
      <c r="CD280" s="1491" t="n"/>
      <c r="CE280" s="1491" t="n"/>
      <c r="CF280" s="1491" t="n"/>
      <c r="CG280" s="1491" t="n"/>
      <c r="CH280" s="1491" t="n"/>
      <c r="CI280" s="1491" t="n"/>
      <c r="CJ280" s="1491" t="n"/>
      <c r="CK280" s="1491" t="n"/>
      <c r="CL280" s="1491" t="n"/>
      <c r="CM280" s="1491" t="n"/>
      <c r="CN280" s="1491" t="n"/>
      <c r="CO280" s="1491" t="n"/>
      <c r="CP280" s="1491" t="n"/>
      <c r="CQ280" s="1491" t="n"/>
      <c r="CR280" s="1491" t="n"/>
      <c r="CS280" s="1491" t="n"/>
      <c r="CT280" s="1491" t="n"/>
      <c r="CU280" s="1491" t="n"/>
      <c r="CV280" s="1491" t="n"/>
      <c r="CW280" s="1491" t="n"/>
      <c r="CX280" s="1491" t="n"/>
    </row>
    <row r="281">
      <c r="A281" s="1491" t="n"/>
      <c r="B281" s="1491" t="n"/>
      <c r="C281" s="1491" t="n"/>
      <c r="D281" s="1497">
        <f>IF(E281&lt;&gt;"",D280+1,D280)</f>
        <v/>
      </c>
      <c r="E281" s="1497" t="inlineStr">
        <is>
          <t>Monte del Gozo</t>
        </is>
      </c>
      <c r="F281" s="1535" t="inlineStr">
        <is>
          <t>.</t>
        </is>
      </c>
      <c r="G281" s="1498">
        <f>IF(H281="AIR",0,IF(H280="AIR",G279+1,IF(H281&lt;&gt;"",G280+1,G280)))</f>
        <v/>
      </c>
      <c r="H281" s="1498" t="inlineStr">
        <is>
          <t>Portomarin</t>
        </is>
      </c>
      <c r="I281" s="1427" t="inlineStr">
        <is>
          <t>.</t>
        </is>
      </c>
      <c r="J281" s="1499" t="n">
        <v>276</v>
      </c>
      <c r="K281" s="1500">
        <f>_xlfn.XLOOKUP(cities[[#This Row],[id]],$D$5:$D$1500,E$5:E$1500,"-")</f>
        <v/>
      </c>
      <c r="L281" s="1500">
        <f>_xlfn.XLOOKUP(cities[[#This Row],[city]],ccc[city],ccc[ctry],"-")</f>
        <v/>
      </c>
      <c r="M281" s="1500">
        <f>SUMIFS(stayCity[stay],stayCity[city],cities[[#This Row],[city]])</f>
        <v/>
      </c>
      <c r="N281" s="1427">
        <f>N280+1</f>
        <v/>
      </c>
      <c r="O281" s="1500" t="n"/>
      <c r="P281" s="1500" t="n"/>
      <c r="Q281" s="1427" t="inlineStr">
        <is>
          <t>.</t>
        </is>
      </c>
      <c r="R281" s="1491" t="n"/>
      <c r="S281" s="1491" t="n"/>
      <c r="T281" s="1491" t="n"/>
      <c r="U281" s="1491" t="n"/>
      <c r="V281" s="1491" t="n"/>
      <c r="W281" s="1491" t="n"/>
      <c r="X281" s="1491" t="n"/>
      <c r="Y281" s="1491" t="n"/>
      <c r="Z281" s="1491" t="n"/>
      <c r="AA281" s="1491" t="n"/>
      <c r="AB281" s="1491" t="n"/>
      <c r="AC281" s="1491" t="n"/>
      <c r="AD281" s="1491" t="n"/>
      <c r="AE281" s="1491" t="n"/>
      <c r="AF281" s="1491" t="n"/>
      <c r="AG281" s="1491" t="n"/>
      <c r="AH281" s="1491" t="n"/>
      <c r="AI281" s="1491" t="n"/>
      <c r="AJ281" s="1491" t="n"/>
      <c r="AK281" s="1491" t="n"/>
      <c r="AL281" s="1491" t="n"/>
      <c r="AM281" s="1491" t="n"/>
      <c r="AN281" s="1491" t="n"/>
      <c r="AO281" s="1491" t="n"/>
      <c r="AP281" s="1491" t="n"/>
      <c r="AQ281" s="1491" t="n"/>
      <c r="AR281" s="1491" t="n"/>
      <c r="AS281" s="1491" t="n"/>
      <c r="AT281" s="1491" t="n"/>
      <c r="AU281" s="1491" t="n"/>
      <c r="AV281" s="1491" t="n"/>
      <c r="AW281" s="1491" t="n"/>
      <c r="AX281" s="1491" t="n"/>
      <c r="AY281" s="1491" t="n"/>
      <c r="AZ281" s="1491" t="n"/>
      <c r="BA281" s="1491" t="n"/>
      <c r="BB281" s="1491" t="n"/>
      <c r="BC281" s="1491" t="n"/>
      <c r="BD281" s="1491" t="n"/>
      <c r="BE281" s="1491" t="n"/>
      <c r="BF281" s="1491" t="n"/>
      <c r="BG281" s="1491" t="n"/>
      <c r="BH281" s="1491" t="n"/>
      <c r="BI281" s="1491" t="n"/>
      <c r="BJ281" s="1491" t="n"/>
      <c r="BK281" s="1491" t="n"/>
      <c r="BL281" s="1491" t="n"/>
      <c r="BM281" s="1491" t="n"/>
      <c r="BN281" s="1491" t="n"/>
      <c r="BO281" s="1467" t="n"/>
      <c r="BP281" s="1514" t="n">
        <v>277</v>
      </c>
      <c r="BQ281" s="1513">
        <f>[1]Sheet1!C282</f>
        <v/>
      </c>
      <c r="BR281" s="1515">
        <f>[1]Sheet1!D282</f>
        <v/>
      </c>
      <c r="BS281" s="1513">
        <f>[1]Sheet1!E282</f>
        <v/>
      </c>
      <c r="BT281" s="1515">
        <f>[1]Sheet1!F282</f>
        <v/>
      </c>
      <c r="BU281" s="1516">
        <f>[1]Sheet1!G282</f>
        <v/>
      </c>
      <c r="BV281" s="1513">
        <f>[1]Sheet1!H282</f>
        <v/>
      </c>
      <c r="BW281" s="1467" t="n"/>
      <c r="BX281" s="1491" t="n"/>
      <c r="BY281" s="1491" t="n"/>
      <c r="BZ281" s="1491" t="n"/>
      <c r="CA281" s="1491" t="n"/>
      <c r="CB281" s="1467" t="n"/>
      <c r="CC281" s="1467" t="n"/>
      <c r="CD281" s="1491" t="n"/>
      <c r="CE281" s="1491" t="n"/>
      <c r="CF281" s="1491" t="n"/>
      <c r="CG281" s="1491" t="n"/>
      <c r="CH281" s="1491" t="n"/>
      <c r="CI281" s="1491" t="n"/>
      <c r="CJ281" s="1491" t="n"/>
      <c r="CK281" s="1491" t="n"/>
      <c r="CL281" s="1491" t="n"/>
      <c r="CM281" s="1491" t="n"/>
      <c r="CN281" s="1491" t="n"/>
      <c r="CO281" s="1491" t="n"/>
      <c r="CP281" s="1491" t="n"/>
      <c r="CQ281" s="1491" t="n"/>
      <c r="CR281" s="1491" t="n"/>
      <c r="CS281" s="1491" t="n"/>
      <c r="CT281" s="1491" t="n"/>
      <c r="CU281" s="1491" t="n"/>
      <c r="CV281" s="1491" t="n"/>
      <c r="CW281" s="1491" t="n"/>
      <c r="CX281" s="1491" t="n"/>
    </row>
    <row r="282">
      <c r="A282" s="1491" t="n"/>
      <c r="B282" s="1491" t="n"/>
      <c r="C282" s="1491" t="n"/>
      <c r="D282" s="1497">
        <f>IF(E282&lt;&gt;"",D281+1,D281)</f>
        <v/>
      </c>
      <c r="E282" s="1497" t="inlineStr">
        <is>
          <t>Santiago</t>
        </is>
      </c>
      <c r="F282" s="1535" t="inlineStr">
        <is>
          <t>.</t>
        </is>
      </c>
      <c r="G282" s="1498">
        <f>IF(H282="AIR",0,IF(H281="AIR",G280+1,IF(H282&lt;&gt;"",G281+1,G281)))</f>
        <v/>
      </c>
      <c r="H282" s="1498" t="inlineStr">
        <is>
          <t>Ligonde</t>
        </is>
      </c>
      <c r="I282" s="1427" t="inlineStr">
        <is>
          <t>.</t>
        </is>
      </c>
      <c r="J282" s="1499" t="n">
        <v>277</v>
      </c>
      <c r="K282" s="1500">
        <f>_xlfn.XLOOKUP(cities[[#This Row],[id]],$D$5:$D$1500,E$5:E$1500,"-")</f>
        <v/>
      </c>
      <c r="L282" s="1500">
        <f>_xlfn.XLOOKUP(cities[[#This Row],[city]],ccc[city],ccc[ctry],"-")</f>
        <v/>
      </c>
      <c r="M282" s="1500">
        <f>SUMIFS(stayCity[stay],stayCity[city],cities[[#This Row],[city]])</f>
        <v/>
      </c>
      <c r="N282" s="1427">
        <f>N281+1</f>
        <v/>
      </c>
      <c r="O282" s="1500" t="n"/>
      <c r="P282" s="1500" t="n"/>
      <c r="Q282" s="1427" t="inlineStr">
        <is>
          <t>.</t>
        </is>
      </c>
      <c r="R282" s="1491" t="n"/>
      <c r="S282" s="1491" t="n"/>
      <c r="T282" s="1491" t="n"/>
      <c r="U282" s="1491" t="n"/>
      <c r="V282" s="1491" t="n"/>
      <c r="W282" s="1491" t="n"/>
      <c r="X282" s="1491" t="n"/>
      <c r="Y282" s="1491" t="n"/>
      <c r="Z282" s="1491" t="n"/>
      <c r="AA282" s="1491" t="n"/>
      <c r="AB282" s="1491" t="n"/>
      <c r="AC282" s="1491" t="n"/>
      <c r="AD282" s="1491" t="n"/>
      <c r="AE282" s="1491" t="n"/>
      <c r="AF282" s="1491" t="n"/>
      <c r="AG282" s="1491" t="n"/>
      <c r="AH282" s="1491" t="n"/>
      <c r="AI282" s="1491" t="n"/>
      <c r="AJ282" s="1491" t="n"/>
      <c r="AK282" s="1491" t="n"/>
      <c r="AL282" s="1491" t="n"/>
      <c r="AM282" s="1491" t="n"/>
      <c r="AN282" s="1491" t="n"/>
      <c r="AO282" s="1491" t="n"/>
      <c r="AP282" s="1491" t="n"/>
      <c r="AQ282" s="1491" t="n"/>
      <c r="AR282" s="1491" t="n"/>
      <c r="AS282" s="1491" t="n"/>
      <c r="AT282" s="1491" t="n"/>
      <c r="AU282" s="1491" t="n"/>
      <c r="AV282" s="1491" t="n"/>
      <c r="AW282" s="1491" t="n"/>
      <c r="AX282" s="1491" t="n"/>
      <c r="AY282" s="1491" t="n"/>
      <c r="AZ282" s="1491" t="n"/>
      <c r="BA282" s="1491" t="n"/>
      <c r="BB282" s="1491" t="n"/>
      <c r="BC282" s="1491" t="n"/>
      <c r="BD282" s="1491" t="n"/>
      <c r="BE282" s="1491" t="n"/>
      <c r="BF282" s="1491" t="n"/>
      <c r="BG282" s="1491" t="n"/>
      <c r="BH282" s="1491" t="n"/>
      <c r="BI282" s="1491" t="n"/>
      <c r="BJ282" s="1491" t="n"/>
      <c r="BK282" s="1491" t="n"/>
      <c r="BL282" s="1491" t="n"/>
      <c r="BM282" s="1491" t="n"/>
      <c r="BN282" s="1491" t="n"/>
      <c r="BO282" s="1467" t="n"/>
      <c r="BP282" s="1514" t="n">
        <v>278</v>
      </c>
      <c r="BQ282" s="1513">
        <f>[1]Sheet1!C283</f>
        <v/>
      </c>
      <c r="BR282" s="1515">
        <f>[1]Sheet1!D283</f>
        <v/>
      </c>
      <c r="BS282" s="1513">
        <f>[1]Sheet1!E283</f>
        <v/>
      </c>
      <c r="BT282" s="1515">
        <f>[1]Sheet1!F283</f>
        <v/>
      </c>
      <c r="BU282" s="1516">
        <f>[1]Sheet1!G283</f>
        <v/>
      </c>
      <c r="BV282" s="1513">
        <f>[1]Sheet1!H283</f>
        <v/>
      </c>
      <c r="BW282" s="1467" t="n"/>
      <c r="BX282" s="1491" t="n"/>
      <c r="BY282" s="1491" t="n"/>
      <c r="BZ282" s="1491" t="n"/>
      <c r="CA282" s="1491" t="n"/>
      <c r="CB282" s="1467" t="n"/>
      <c r="CC282" s="1467" t="n"/>
      <c r="CD282" s="1491" t="n"/>
      <c r="CE282" s="1491" t="n"/>
      <c r="CF282" s="1491" t="n"/>
      <c r="CG282" s="1491" t="n"/>
      <c r="CH282" s="1491" t="n"/>
      <c r="CI282" s="1491" t="n"/>
      <c r="CJ282" s="1491" t="n"/>
      <c r="CK282" s="1491" t="n"/>
      <c r="CL282" s="1491" t="n"/>
      <c r="CM282" s="1491" t="n"/>
      <c r="CN282" s="1491" t="n"/>
      <c r="CO282" s="1491" t="n"/>
      <c r="CP282" s="1491" t="n"/>
      <c r="CQ282" s="1491" t="n"/>
      <c r="CR282" s="1491" t="n"/>
      <c r="CS282" s="1491" t="n"/>
      <c r="CT282" s="1491" t="n"/>
      <c r="CU282" s="1491" t="n"/>
      <c r="CV282" s="1491" t="n"/>
      <c r="CW282" s="1491" t="n"/>
      <c r="CX282" s="1491" t="n"/>
    </row>
    <row r="283">
      <c r="A283" s="1491" t="n"/>
      <c r="B283" s="1491" t="n"/>
      <c r="C283" s="1491" t="n"/>
      <c r="D283" s="1497">
        <f>IF(E283&lt;&gt;"",D282+1,D282)</f>
        <v/>
      </c>
      <c r="E283" s="1497" t="inlineStr">
        <is>
          <t>Padron</t>
        </is>
      </c>
      <c r="F283" s="1535" t="inlineStr">
        <is>
          <t>.</t>
        </is>
      </c>
      <c r="G283" s="1498">
        <f>IF(H283="AIR",0,IF(H282="AIR",G281+1,IF(H283&lt;&gt;"",G282+1,G282)))</f>
        <v/>
      </c>
      <c r="H283" s="1498" t="inlineStr">
        <is>
          <t>Palas de Rey</t>
        </is>
      </c>
      <c r="I283" s="1427" t="inlineStr">
        <is>
          <t>.</t>
        </is>
      </c>
      <c r="J283" s="1499" t="n">
        <v>278</v>
      </c>
      <c r="K283" s="1500">
        <f>_xlfn.XLOOKUP(cities[[#This Row],[id]],$D$5:$D$1500,E$5:E$1500,"-")</f>
        <v/>
      </c>
      <c r="L283" s="1500">
        <f>_xlfn.XLOOKUP(cities[[#This Row],[city]],ccc[city],ccc[ctry],"-")</f>
        <v/>
      </c>
      <c r="M283" s="1500">
        <f>SUMIFS(stayCity[stay],stayCity[city],cities[[#This Row],[city]])</f>
        <v/>
      </c>
      <c r="N283" s="1427">
        <f>N282+1</f>
        <v/>
      </c>
      <c r="O283" s="1500" t="n"/>
      <c r="P283" s="1500" t="n"/>
      <c r="Q283" s="1427" t="inlineStr">
        <is>
          <t>.</t>
        </is>
      </c>
      <c r="R283" s="1491" t="n"/>
      <c r="S283" s="1491" t="n"/>
      <c r="T283" s="1491" t="n"/>
      <c r="U283" s="1491" t="n"/>
      <c r="V283" s="1491" t="n"/>
      <c r="W283" s="1491" t="n"/>
      <c r="X283" s="1491" t="n"/>
      <c r="Y283" s="1491" t="n"/>
      <c r="Z283" s="1491" t="n"/>
      <c r="AA283" s="1491" t="n"/>
      <c r="AB283" s="1491" t="n"/>
      <c r="AC283" s="1491" t="n"/>
      <c r="AD283" s="1491" t="n"/>
      <c r="AE283" s="1491" t="n"/>
      <c r="AF283" s="1491" t="n"/>
      <c r="AG283" s="1491" t="n"/>
      <c r="AH283" s="1491" t="n"/>
      <c r="AI283" s="1491" t="n"/>
      <c r="AJ283" s="1491" t="n"/>
      <c r="AK283" s="1491" t="n"/>
      <c r="AL283" s="1491" t="n"/>
      <c r="AM283" s="1491" t="n"/>
      <c r="AN283" s="1491" t="n"/>
      <c r="AO283" s="1491" t="n"/>
      <c r="AP283" s="1491" t="n"/>
      <c r="AQ283" s="1491" t="n"/>
      <c r="AR283" s="1491" t="n"/>
      <c r="AS283" s="1491" t="n"/>
      <c r="AT283" s="1491" t="n"/>
      <c r="AU283" s="1491" t="n"/>
      <c r="AV283" s="1491" t="n"/>
      <c r="AW283" s="1491" t="n"/>
      <c r="AX283" s="1491" t="n"/>
      <c r="AY283" s="1491" t="n"/>
      <c r="AZ283" s="1491" t="n"/>
      <c r="BA283" s="1491" t="n"/>
      <c r="BB283" s="1491" t="n"/>
      <c r="BC283" s="1491" t="n"/>
      <c r="BD283" s="1491" t="n"/>
      <c r="BE283" s="1491" t="n"/>
      <c r="BF283" s="1491" t="n"/>
      <c r="BG283" s="1491" t="n"/>
      <c r="BH283" s="1491" t="n"/>
      <c r="BI283" s="1491" t="n"/>
      <c r="BJ283" s="1491" t="n"/>
      <c r="BK283" s="1491" t="n"/>
      <c r="BL283" s="1491" t="n"/>
      <c r="BM283" s="1491" t="n"/>
      <c r="BN283" s="1491" t="n"/>
      <c r="BO283" s="1467" t="n"/>
      <c r="BP283" s="1514" t="n">
        <v>279</v>
      </c>
      <c r="BQ283" s="1513">
        <f>[1]Sheet1!C284</f>
        <v/>
      </c>
      <c r="BR283" s="1515">
        <f>[1]Sheet1!D284</f>
        <v/>
      </c>
      <c r="BS283" s="1513">
        <f>[1]Sheet1!E284</f>
        <v/>
      </c>
      <c r="BT283" s="1515">
        <f>[1]Sheet1!F284</f>
        <v/>
      </c>
      <c r="BU283" s="1516">
        <f>[1]Sheet1!G284</f>
        <v/>
      </c>
      <c r="BV283" s="1513">
        <f>[1]Sheet1!H284</f>
        <v/>
      </c>
      <c r="BW283" s="1467" t="n"/>
      <c r="BX283" s="1491" t="n"/>
      <c r="BY283" s="1491" t="n"/>
      <c r="BZ283" s="1491" t="n"/>
      <c r="CA283" s="1491" t="n"/>
      <c r="CB283" s="1467" t="n"/>
      <c r="CC283" s="1467" t="n"/>
      <c r="CD283" s="1491" t="n"/>
      <c r="CE283" s="1491" t="n"/>
      <c r="CF283" s="1491" t="n"/>
      <c r="CG283" s="1491" t="n"/>
      <c r="CH283" s="1491" t="n"/>
      <c r="CI283" s="1491" t="n"/>
      <c r="CJ283" s="1491" t="n"/>
      <c r="CK283" s="1491" t="n"/>
      <c r="CL283" s="1491" t="n"/>
      <c r="CM283" s="1491" t="n"/>
      <c r="CN283" s="1491" t="n"/>
      <c r="CO283" s="1491" t="n"/>
      <c r="CP283" s="1491" t="n"/>
      <c r="CQ283" s="1491" t="n"/>
      <c r="CR283" s="1491" t="n"/>
      <c r="CS283" s="1491" t="n"/>
      <c r="CT283" s="1491" t="n"/>
      <c r="CU283" s="1491" t="n"/>
      <c r="CV283" s="1491" t="n"/>
      <c r="CW283" s="1491" t="n"/>
      <c r="CX283" s="1491" t="n"/>
    </row>
    <row r="284">
      <c r="A284" s="1491" t="n"/>
      <c r="B284" s="1491" t="n"/>
      <c r="C284" s="1491" t="n"/>
      <c r="D284" s="1497">
        <f>IF(E284&lt;&gt;"",D283+1,D283)</f>
        <v/>
      </c>
      <c r="E284" s="1497" t="inlineStr">
        <is>
          <t>Villagarcia de Arousa</t>
        </is>
      </c>
      <c r="F284" s="1535" t="inlineStr">
        <is>
          <t>.</t>
        </is>
      </c>
      <c r="G284" s="1498">
        <f>IF(H284="AIR",0,IF(H283="AIR",G282+1,IF(H284&lt;&gt;"",G283+1,G283)))</f>
        <v/>
      </c>
      <c r="H284" s="1498" t="inlineStr">
        <is>
          <t>Mellid</t>
        </is>
      </c>
      <c r="I284" s="1427" t="inlineStr">
        <is>
          <t>.</t>
        </is>
      </c>
      <c r="J284" s="1499" t="n">
        <v>279</v>
      </c>
      <c r="K284" s="1500">
        <f>_xlfn.XLOOKUP(cities[[#This Row],[id]],$D$5:$D$1500,E$5:E$1500,"-")</f>
        <v/>
      </c>
      <c r="L284" s="1500">
        <f>_xlfn.XLOOKUP(cities[[#This Row],[city]],ccc[city],ccc[ctry],"-")</f>
        <v/>
      </c>
      <c r="M284" s="1500">
        <f>SUMIFS(stayCity[stay],stayCity[city],cities[[#This Row],[city]])</f>
        <v/>
      </c>
      <c r="N284" s="1427">
        <f>N283+1</f>
        <v/>
      </c>
      <c r="O284" s="1500" t="n"/>
      <c r="P284" s="1500" t="n"/>
      <c r="Q284" s="1427" t="inlineStr">
        <is>
          <t>.</t>
        </is>
      </c>
      <c r="R284" s="1491" t="n"/>
      <c r="S284" s="1491" t="n"/>
      <c r="T284" s="1491" t="n"/>
      <c r="U284" s="1491" t="n"/>
      <c r="V284" s="1491" t="n"/>
      <c r="W284" s="1491" t="n"/>
      <c r="X284" s="1491" t="n"/>
      <c r="Y284" s="1491" t="n"/>
      <c r="Z284" s="1491" t="n"/>
      <c r="AA284" s="1491" t="n"/>
      <c r="AB284" s="1491" t="n"/>
      <c r="AC284" s="1491" t="n"/>
      <c r="AD284" s="1491" t="n"/>
      <c r="AE284" s="1491" t="n"/>
      <c r="AF284" s="1491" t="n"/>
      <c r="AG284" s="1491" t="n"/>
      <c r="AH284" s="1491" t="n"/>
      <c r="AI284" s="1491" t="n"/>
      <c r="AJ284" s="1491" t="n"/>
      <c r="AK284" s="1491" t="n"/>
      <c r="AL284" s="1491" t="n"/>
      <c r="AM284" s="1491" t="n"/>
      <c r="AN284" s="1491" t="n"/>
      <c r="AO284" s="1491" t="n"/>
      <c r="AP284" s="1491" t="n"/>
      <c r="AQ284" s="1491" t="n"/>
      <c r="AR284" s="1491" t="n"/>
      <c r="AS284" s="1491" t="n"/>
      <c r="AT284" s="1491" t="n"/>
      <c r="AU284" s="1491" t="n"/>
      <c r="AV284" s="1491" t="n"/>
      <c r="AW284" s="1491" t="n"/>
      <c r="AX284" s="1491" t="n"/>
      <c r="AY284" s="1491" t="n"/>
      <c r="AZ284" s="1491" t="n"/>
      <c r="BA284" s="1491" t="n"/>
      <c r="BB284" s="1491" t="n"/>
      <c r="BC284" s="1491" t="n"/>
      <c r="BD284" s="1491" t="n"/>
      <c r="BE284" s="1491" t="n"/>
      <c r="BF284" s="1491" t="n"/>
      <c r="BG284" s="1491" t="n"/>
      <c r="BH284" s="1491" t="n"/>
      <c r="BI284" s="1491" t="n"/>
      <c r="BJ284" s="1491" t="n"/>
      <c r="BK284" s="1491" t="n"/>
      <c r="BL284" s="1491" t="n"/>
      <c r="BM284" s="1491" t="n"/>
      <c r="BN284" s="1491" t="n"/>
      <c r="BO284" s="1467" t="n"/>
      <c r="BP284" s="1514" t="n">
        <v>280</v>
      </c>
      <c r="BQ284" s="1513">
        <f>[1]Sheet1!C285</f>
        <v/>
      </c>
      <c r="BR284" s="1515">
        <f>[1]Sheet1!D285</f>
        <v/>
      </c>
      <c r="BS284" s="1513">
        <f>[1]Sheet1!E285</f>
        <v/>
      </c>
      <c r="BT284" s="1515">
        <f>[1]Sheet1!F285</f>
        <v/>
      </c>
      <c r="BU284" s="1516">
        <f>[1]Sheet1!G285</f>
        <v/>
      </c>
      <c r="BV284" s="1513">
        <f>[1]Sheet1!H285</f>
        <v/>
      </c>
      <c r="BW284" s="1467" t="n"/>
      <c r="BX284" s="1491" t="n"/>
      <c r="BY284" s="1491" t="n"/>
      <c r="BZ284" s="1491" t="n"/>
      <c r="CA284" s="1491" t="n"/>
      <c r="CB284" s="1467" t="n"/>
      <c r="CC284" s="1467" t="n"/>
      <c r="CD284" s="1491" t="n"/>
      <c r="CE284" s="1491" t="n"/>
      <c r="CF284" s="1491" t="n"/>
      <c r="CG284" s="1491" t="n"/>
      <c r="CH284" s="1491" t="n"/>
      <c r="CI284" s="1491" t="n"/>
      <c r="CJ284" s="1491" t="n"/>
      <c r="CK284" s="1491" t="n"/>
      <c r="CL284" s="1491" t="n"/>
      <c r="CM284" s="1491" t="n"/>
      <c r="CN284" s="1491" t="n"/>
      <c r="CO284" s="1491" t="n"/>
      <c r="CP284" s="1491" t="n"/>
      <c r="CQ284" s="1491" t="n"/>
      <c r="CR284" s="1491" t="n"/>
      <c r="CS284" s="1491" t="n"/>
      <c r="CT284" s="1491" t="n"/>
      <c r="CU284" s="1491" t="n"/>
      <c r="CV284" s="1491" t="n"/>
      <c r="CW284" s="1491" t="n"/>
      <c r="CX284" s="1491" t="n"/>
    </row>
    <row r="285">
      <c r="A285" s="1491" t="n"/>
      <c r="B285" s="1491" t="n"/>
      <c r="C285" s="1491" t="n"/>
      <c r="D285" s="1497">
        <f>IF(E285&lt;&gt;"",D284+1,D284)</f>
        <v/>
      </c>
      <c r="E285" s="1497" t="inlineStr">
        <is>
          <t>Vigo</t>
        </is>
      </c>
      <c r="F285" s="1535" t="inlineStr">
        <is>
          <t>.</t>
        </is>
      </c>
      <c r="G285" s="1498">
        <f>IF(H285="AIR",0,IF(H284="AIR",G283+1,IF(H285&lt;&gt;"",G284+1,G284)))</f>
        <v/>
      </c>
      <c r="H285" s="1498" t="inlineStr">
        <is>
          <t>Ribadiso</t>
        </is>
      </c>
      <c r="I285" s="1427" t="inlineStr">
        <is>
          <t>.</t>
        </is>
      </c>
      <c r="J285" s="1499" t="n">
        <v>280</v>
      </c>
      <c r="K285" s="1500">
        <f>_xlfn.XLOOKUP(cities[[#This Row],[id]],$D$5:$D$1500,E$5:E$1500,"-")</f>
        <v/>
      </c>
      <c r="L285" s="1500">
        <f>_xlfn.XLOOKUP(cities[[#This Row],[city]],ccc[city],ccc[ctry],"-")</f>
        <v/>
      </c>
      <c r="M285" s="1500">
        <f>SUMIFS(stayCity[stay],stayCity[city],cities[[#This Row],[city]])</f>
        <v/>
      </c>
      <c r="N285" s="1427">
        <f>N284+1</f>
        <v/>
      </c>
      <c r="O285" s="1500" t="n"/>
      <c r="P285" s="1500" t="n"/>
      <c r="Q285" s="1427" t="inlineStr">
        <is>
          <t>.</t>
        </is>
      </c>
      <c r="R285" s="1491" t="n"/>
      <c r="S285" s="1491" t="n"/>
      <c r="T285" s="1491" t="n"/>
      <c r="U285" s="1491" t="n"/>
      <c r="V285" s="1491" t="n"/>
      <c r="W285" s="1491" t="n"/>
      <c r="X285" s="1491" t="n"/>
      <c r="Y285" s="1491" t="n"/>
      <c r="Z285" s="1491" t="n"/>
      <c r="AA285" s="1491" t="n"/>
      <c r="AB285" s="1491" t="n"/>
      <c r="AC285" s="1491" t="n"/>
      <c r="AD285" s="1491" t="n"/>
      <c r="AE285" s="1491" t="n"/>
      <c r="AF285" s="1491" t="n"/>
      <c r="AG285" s="1491" t="n"/>
      <c r="AH285" s="1491" t="n"/>
      <c r="AI285" s="1491" t="n"/>
      <c r="AJ285" s="1491" t="n"/>
      <c r="AK285" s="1491" t="n"/>
      <c r="AL285" s="1491" t="n"/>
      <c r="AM285" s="1491" t="n"/>
      <c r="AN285" s="1491" t="n"/>
      <c r="AO285" s="1491" t="n"/>
      <c r="AP285" s="1491" t="n"/>
      <c r="AQ285" s="1491" t="n"/>
      <c r="AR285" s="1491" t="n"/>
      <c r="AS285" s="1491" t="n"/>
      <c r="AT285" s="1491" t="n"/>
      <c r="AU285" s="1491" t="n"/>
      <c r="AV285" s="1491" t="n"/>
      <c r="AW285" s="1491" t="n"/>
      <c r="AX285" s="1491" t="n"/>
      <c r="AY285" s="1491" t="n"/>
      <c r="AZ285" s="1491" t="n"/>
      <c r="BA285" s="1491" t="n"/>
      <c r="BB285" s="1491" t="n"/>
      <c r="BC285" s="1491" t="n"/>
      <c r="BD285" s="1491" t="n"/>
      <c r="BE285" s="1491" t="n"/>
      <c r="BF285" s="1491" t="n"/>
      <c r="BG285" s="1491" t="n"/>
      <c r="BH285" s="1491" t="n"/>
      <c r="BI285" s="1491" t="n"/>
      <c r="BJ285" s="1491" t="n"/>
      <c r="BK285" s="1491" t="n"/>
      <c r="BL285" s="1491" t="n"/>
      <c r="BM285" s="1491" t="n"/>
      <c r="BN285" s="1491" t="n"/>
      <c r="BO285" s="1467" t="n"/>
      <c r="BP285" s="1514" t="n">
        <v>281</v>
      </c>
      <c r="BQ285" s="1513">
        <f>[1]Sheet1!C286</f>
        <v/>
      </c>
      <c r="BR285" s="1515">
        <f>[1]Sheet1!D286</f>
        <v/>
      </c>
      <c r="BS285" s="1513">
        <f>[1]Sheet1!E286</f>
        <v/>
      </c>
      <c r="BT285" s="1515">
        <f>[1]Sheet1!F286</f>
        <v/>
      </c>
      <c r="BU285" s="1516">
        <f>[1]Sheet1!G286</f>
        <v/>
      </c>
      <c r="BV285" s="1513">
        <f>[1]Sheet1!H286</f>
        <v/>
      </c>
      <c r="BW285" s="1467" t="n"/>
      <c r="BX285" s="1491" t="n"/>
      <c r="BY285" s="1491" t="n"/>
      <c r="BZ285" s="1491" t="n"/>
      <c r="CA285" s="1491" t="n"/>
      <c r="CB285" s="1467" t="n"/>
      <c r="CC285" s="1467" t="n"/>
      <c r="CD285" s="1491" t="n"/>
      <c r="CE285" s="1491" t="n"/>
      <c r="CF285" s="1491" t="n"/>
      <c r="CG285" s="1491" t="n"/>
      <c r="CH285" s="1491" t="n"/>
      <c r="CI285" s="1491" t="n"/>
      <c r="CJ285" s="1491" t="n"/>
      <c r="CK285" s="1491" t="n"/>
      <c r="CL285" s="1491" t="n"/>
      <c r="CM285" s="1491" t="n"/>
      <c r="CN285" s="1491" t="n"/>
      <c r="CO285" s="1491" t="n"/>
      <c r="CP285" s="1491" t="n"/>
      <c r="CQ285" s="1491" t="n"/>
      <c r="CR285" s="1491" t="n"/>
      <c r="CS285" s="1491" t="n"/>
      <c r="CT285" s="1491" t="n"/>
      <c r="CU285" s="1491" t="n"/>
      <c r="CV285" s="1491" t="n"/>
      <c r="CW285" s="1491" t="n"/>
      <c r="CX285" s="1491" t="n"/>
    </row>
    <row r="286">
      <c r="A286" s="1491" t="n"/>
      <c r="B286" s="1491" t="n"/>
      <c r="C286" s="1491" t="n"/>
      <c r="D286" s="1497">
        <f>IF(E286&lt;&gt;"",D285+1,D285)</f>
        <v/>
      </c>
      <c r="E286" s="1497" t="inlineStr">
        <is>
          <t>Cunha</t>
        </is>
      </c>
      <c r="F286" s="1535" t="inlineStr">
        <is>
          <t>.</t>
        </is>
      </c>
      <c r="G286" s="1498">
        <f>IF(H286="AIR",0,IF(H285="AIR",G284+1,IF(H286&lt;&gt;"",G285+1,G285)))</f>
        <v/>
      </c>
      <c r="H286" s="1498" t="inlineStr">
        <is>
          <t>Arzuá</t>
        </is>
      </c>
      <c r="I286" s="1427" t="inlineStr">
        <is>
          <t>.</t>
        </is>
      </c>
      <c r="J286" s="1499" t="n">
        <v>281</v>
      </c>
      <c r="K286" s="1500">
        <f>_xlfn.XLOOKUP(cities[[#This Row],[id]],$D$5:$D$1500,E$5:E$1500,"-")</f>
        <v/>
      </c>
      <c r="L286" s="1500">
        <f>_xlfn.XLOOKUP(cities[[#This Row],[city]],ccc[city],ccc[ctry],"-")</f>
        <v/>
      </c>
      <c r="M286" s="1500">
        <f>SUMIFS(stayCity[stay],stayCity[city],cities[[#This Row],[city]])</f>
        <v/>
      </c>
      <c r="N286" s="1427">
        <f>N285+1</f>
        <v/>
      </c>
      <c r="O286" s="1500" t="n"/>
      <c r="P286" s="1500" t="n"/>
      <c r="Q286" s="1427" t="inlineStr">
        <is>
          <t>.</t>
        </is>
      </c>
      <c r="R286" s="1491" t="n"/>
      <c r="S286" s="1491" t="n"/>
      <c r="T286" s="1491" t="n"/>
      <c r="U286" s="1491" t="n"/>
      <c r="V286" s="1491" t="n"/>
      <c r="W286" s="1491" t="n"/>
      <c r="X286" s="1491" t="n"/>
      <c r="Y286" s="1491" t="n"/>
      <c r="Z286" s="1491" t="n"/>
      <c r="AA286" s="1491" t="n"/>
      <c r="AB286" s="1491" t="n"/>
      <c r="AC286" s="1491" t="n"/>
      <c r="AD286" s="1491" t="n"/>
      <c r="AE286" s="1491" t="n"/>
      <c r="AF286" s="1491" t="n"/>
      <c r="AG286" s="1491" t="n"/>
      <c r="AH286" s="1491" t="n"/>
      <c r="AI286" s="1491" t="n"/>
      <c r="AJ286" s="1491" t="n"/>
      <c r="AK286" s="1491" t="n"/>
      <c r="AL286" s="1491" t="n"/>
      <c r="AM286" s="1491" t="n"/>
      <c r="AN286" s="1491" t="n"/>
      <c r="AO286" s="1491" t="n"/>
      <c r="AP286" s="1491" t="n"/>
      <c r="AQ286" s="1491" t="n"/>
      <c r="AR286" s="1491" t="n"/>
      <c r="AS286" s="1491" t="n"/>
      <c r="AT286" s="1491" t="n"/>
      <c r="AU286" s="1491" t="n"/>
      <c r="AV286" s="1491" t="n"/>
      <c r="AW286" s="1491" t="n"/>
      <c r="AX286" s="1491" t="n"/>
      <c r="AY286" s="1491" t="n"/>
      <c r="AZ286" s="1491" t="n"/>
      <c r="BA286" s="1491" t="n"/>
      <c r="BB286" s="1491" t="n"/>
      <c r="BC286" s="1491" t="n"/>
      <c r="BD286" s="1491" t="n"/>
      <c r="BE286" s="1491" t="n"/>
      <c r="BF286" s="1491" t="n"/>
      <c r="BG286" s="1491" t="n"/>
      <c r="BH286" s="1491" t="n"/>
      <c r="BI286" s="1491" t="n"/>
      <c r="BJ286" s="1491" t="n"/>
      <c r="BK286" s="1491" t="n"/>
      <c r="BL286" s="1491" t="n"/>
      <c r="BM286" s="1491" t="n"/>
      <c r="BN286" s="1491" t="n"/>
      <c r="BO286" s="1467" t="n"/>
      <c r="BP286" s="1514" t="n">
        <v>282</v>
      </c>
      <c r="BQ286" s="1513">
        <f>[1]Sheet1!C287</f>
        <v/>
      </c>
      <c r="BR286" s="1515">
        <f>[1]Sheet1!D287</f>
        <v/>
      </c>
      <c r="BS286" s="1513">
        <f>[1]Sheet1!E287</f>
        <v/>
      </c>
      <c r="BT286" s="1515">
        <f>[1]Sheet1!F287</f>
        <v/>
      </c>
      <c r="BU286" s="1516">
        <f>[1]Sheet1!G287</f>
        <v/>
      </c>
      <c r="BV286" s="1513">
        <f>[1]Sheet1!H287</f>
        <v/>
      </c>
      <c r="BW286" s="1467" t="n"/>
      <c r="BX286" s="1491" t="n"/>
      <c r="BY286" s="1491" t="n"/>
      <c r="BZ286" s="1491" t="n"/>
      <c r="CA286" s="1491" t="n"/>
      <c r="CB286" s="1467" t="n"/>
      <c r="CC286" s="1467" t="n"/>
      <c r="CD286" s="1491" t="n"/>
      <c r="CE286" s="1491" t="n"/>
      <c r="CF286" s="1491" t="n"/>
      <c r="CG286" s="1491" t="n"/>
      <c r="CH286" s="1491" t="n"/>
      <c r="CI286" s="1491" t="n"/>
      <c r="CJ286" s="1491" t="n"/>
      <c r="CK286" s="1491" t="n"/>
      <c r="CL286" s="1491" t="n"/>
      <c r="CM286" s="1491" t="n"/>
      <c r="CN286" s="1491" t="n"/>
      <c r="CO286" s="1491" t="n"/>
      <c r="CP286" s="1491" t="n"/>
      <c r="CQ286" s="1491" t="n"/>
      <c r="CR286" s="1491" t="n"/>
      <c r="CS286" s="1491" t="n"/>
      <c r="CT286" s="1491" t="n"/>
      <c r="CU286" s="1491" t="n"/>
      <c r="CV286" s="1491" t="n"/>
      <c r="CW286" s="1491" t="n"/>
      <c r="CX286" s="1491" t="n"/>
    </row>
    <row r="287">
      <c r="A287" s="1491" t="n"/>
      <c r="B287" s="1491" t="n"/>
      <c r="C287" s="1491" t="n"/>
      <c r="D287" s="1497">
        <f>IF(E287&lt;&gt;"",D286+1,D286)</f>
        <v/>
      </c>
      <c r="E287" s="1497" t="inlineStr">
        <is>
          <t>Boituva</t>
        </is>
      </c>
      <c r="F287" s="1535" t="inlineStr">
        <is>
          <t>.</t>
        </is>
      </c>
      <c r="G287" s="1498">
        <f>IF(H287="AIR",0,IF(H286="AIR",G285+1,IF(H287&lt;&gt;"",G286+1,G286)))</f>
        <v/>
      </c>
      <c r="H287" s="1498" t="inlineStr">
        <is>
          <t>Sta. Irene</t>
        </is>
      </c>
      <c r="I287" s="1427" t="inlineStr">
        <is>
          <t>.</t>
        </is>
      </c>
      <c r="J287" s="1499" t="n">
        <v>282</v>
      </c>
      <c r="K287" s="1500">
        <f>_xlfn.XLOOKUP(cities[[#This Row],[id]],$D$5:$D$1500,E$5:E$1500,"-")</f>
        <v/>
      </c>
      <c r="L287" s="1500">
        <f>_xlfn.XLOOKUP(cities[[#This Row],[city]],ccc[city],ccc[ctry],"-")</f>
        <v/>
      </c>
      <c r="M287" s="1500">
        <f>SUMIFS(stayCity[stay],stayCity[city],cities[[#This Row],[city]])</f>
        <v/>
      </c>
      <c r="N287" s="1427">
        <f>N286+1</f>
        <v/>
      </c>
      <c r="O287" s="1500" t="n"/>
      <c r="P287" s="1500" t="n"/>
      <c r="Q287" s="1427" t="inlineStr">
        <is>
          <t>.</t>
        </is>
      </c>
      <c r="R287" s="1491" t="n"/>
      <c r="S287" s="1491" t="n"/>
      <c r="T287" s="1491" t="n"/>
      <c r="U287" s="1491" t="n"/>
      <c r="V287" s="1491" t="n"/>
      <c r="W287" s="1491" t="n"/>
      <c r="X287" s="1491" t="n"/>
      <c r="Y287" s="1491" t="n"/>
      <c r="Z287" s="1491" t="n"/>
      <c r="AA287" s="1491" t="n"/>
      <c r="AB287" s="1491" t="n"/>
      <c r="AC287" s="1491" t="n"/>
      <c r="AD287" s="1491" t="n"/>
      <c r="AE287" s="1491" t="n"/>
      <c r="AF287" s="1491" t="n"/>
      <c r="AG287" s="1491" t="n"/>
      <c r="AH287" s="1491" t="n"/>
      <c r="AI287" s="1491" t="n"/>
      <c r="AJ287" s="1491" t="n"/>
      <c r="AK287" s="1491" t="n"/>
      <c r="AL287" s="1491" t="n"/>
      <c r="AM287" s="1491" t="n"/>
      <c r="AN287" s="1491" t="n"/>
      <c r="AO287" s="1491" t="n"/>
      <c r="AP287" s="1491" t="n"/>
      <c r="AQ287" s="1491" t="n"/>
      <c r="AR287" s="1491" t="n"/>
      <c r="AS287" s="1491" t="n"/>
      <c r="AT287" s="1491" t="n"/>
      <c r="AU287" s="1491" t="n"/>
      <c r="AV287" s="1491" t="n"/>
      <c r="AW287" s="1491" t="n"/>
      <c r="AX287" s="1491" t="n"/>
      <c r="AY287" s="1491" t="n"/>
      <c r="AZ287" s="1491" t="n"/>
      <c r="BA287" s="1491" t="n"/>
      <c r="BB287" s="1491" t="n"/>
      <c r="BC287" s="1491" t="n"/>
      <c r="BD287" s="1491" t="n"/>
      <c r="BE287" s="1491" t="n"/>
      <c r="BF287" s="1491" t="n"/>
      <c r="BG287" s="1491" t="n"/>
      <c r="BH287" s="1491" t="n"/>
      <c r="BI287" s="1491" t="n"/>
      <c r="BJ287" s="1491" t="n"/>
      <c r="BK287" s="1491" t="n"/>
      <c r="BL287" s="1491" t="n"/>
      <c r="BM287" s="1491" t="n"/>
      <c r="BN287" s="1491" t="n"/>
      <c r="BO287" s="1467" t="n"/>
      <c r="BP287" s="1514" t="n">
        <v>283</v>
      </c>
      <c r="BQ287" s="1513">
        <f>[1]Sheet1!C288</f>
        <v/>
      </c>
      <c r="BR287" s="1515">
        <f>[1]Sheet1!D288</f>
        <v/>
      </c>
      <c r="BS287" s="1513">
        <f>[1]Sheet1!E288</f>
        <v/>
      </c>
      <c r="BT287" s="1515">
        <f>[1]Sheet1!F288</f>
        <v/>
      </c>
      <c r="BU287" s="1516">
        <f>[1]Sheet1!G288</f>
        <v/>
      </c>
      <c r="BV287" s="1513">
        <f>[1]Sheet1!H288</f>
        <v/>
      </c>
      <c r="BW287" s="1467" t="n"/>
      <c r="BX287" s="1491" t="n"/>
      <c r="BY287" s="1491" t="n"/>
      <c r="BZ287" s="1491" t="n"/>
      <c r="CA287" s="1491" t="n"/>
      <c r="CB287" s="1467" t="n"/>
      <c r="CC287" s="1467" t="n"/>
      <c r="CD287" s="1491" t="n"/>
      <c r="CE287" s="1491" t="n"/>
      <c r="CF287" s="1491" t="n"/>
      <c r="CG287" s="1491" t="n"/>
      <c r="CH287" s="1491" t="n"/>
      <c r="CI287" s="1491" t="n"/>
      <c r="CJ287" s="1491" t="n"/>
      <c r="CK287" s="1491" t="n"/>
      <c r="CL287" s="1491" t="n"/>
      <c r="CM287" s="1491" t="n"/>
      <c r="CN287" s="1491" t="n"/>
      <c r="CO287" s="1491" t="n"/>
      <c r="CP287" s="1491" t="n"/>
      <c r="CQ287" s="1491" t="n"/>
      <c r="CR287" s="1491" t="n"/>
      <c r="CS287" s="1491" t="n"/>
      <c r="CT287" s="1491" t="n"/>
      <c r="CU287" s="1491" t="n"/>
      <c r="CV287" s="1491" t="n"/>
      <c r="CW287" s="1491" t="n"/>
      <c r="CX287" s="1491" t="n"/>
    </row>
    <row r="288">
      <c r="A288" s="1491" t="n"/>
      <c r="B288" s="1491" t="n"/>
      <c r="C288" s="1491" t="n"/>
      <c r="D288" s="1497">
        <f>IF(E288&lt;&gt;"",D287+1,D287)</f>
        <v/>
      </c>
      <c r="E288" s="1497" t="inlineStr">
        <is>
          <t>Iporanga</t>
        </is>
      </c>
      <c r="F288" s="1535" t="inlineStr">
        <is>
          <t>.</t>
        </is>
      </c>
      <c r="G288" s="1498">
        <f>IF(H288="AIR",0,IF(H287="AIR",G286+1,IF(H288&lt;&gt;"",G287+1,G287)))</f>
        <v/>
      </c>
      <c r="H288" s="1498" t="inlineStr">
        <is>
          <t>Monte del Gozo</t>
        </is>
      </c>
      <c r="I288" s="1427" t="inlineStr">
        <is>
          <t>.</t>
        </is>
      </c>
      <c r="J288" s="1499" t="n">
        <v>283</v>
      </c>
      <c r="K288" s="1500">
        <f>_xlfn.XLOOKUP(cities[[#This Row],[id]],$D$5:$D$1500,E$5:E$1500,"-")</f>
        <v/>
      </c>
      <c r="L288" s="1500">
        <f>_xlfn.XLOOKUP(cities[[#This Row],[city]],ccc[city],ccc[ctry],"-")</f>
        <v/>
      </c>
      <c r="M288" s="1500">
        <f>SUMIFS(stayCity[stay],stayCity[city],cities[[#This Row],[city]])</f>
        <v/>
      </c>
      <c r="N288" s="1427">
        <f>N287+1</f>
        <v/>
      </c>
      <c r="O288" s="1500" t="n"/>
      <c r="P288" s="1500" t="n"/>
      <c r="Q288" s="1427" t="inlineStr">
        <is>
          <t>.</t>
        </is>
      </c>
      <c r="R288" s="1491" t="n"/>
      <c r="S288" s="1491" t="n"/>
      <c r="T288" s="1491" t="n"/>
      <c r="U288" s="1491" t="n"/>
      <c r="V288" s="1491" t="n"/>
      <c r="W288" s="1491" t="n"/>
      <c r="X288" s="1491" t="n"/>
      <c r="Y288" s="1491" t="n"/>
      <c r="Z288" s="1491" t="n"/>
      <c r="AA288" s="1491" t="n"/>
      <c r="AB288" s="1491" t="n"/>
      <c r="AC288" s="1491" t="n"/>
      <c r="AD288" s="1491" t="n"/>
      <c r="AE288" s="1491" t="n"/>
      <c r="AF288" s="1491" t="n"/>
      <c r="AG288" s="1491" t="n"/>
      <c r="AH288" s="1491" t="n"/>
      <c r="AI288" s="1491" t="n"/>
      <c r="AJ288" s="1491" t="n"/>
      <c r="AK288" s="1491" t="n"/>
      <c r="AL288" s="1491" t="n"/>
      <c r="AM288" s="1491" t="n"/>
      <c r="AN288" s="1491" t="n"/>
      <c r="AO288" s="1491" t="n"/>
      <c r="AP288" s="1491" t="n"/>
      <c r="AQ288" s="1491" t="n"/>
      <c r="AR288" s="1491" t="n"/>
      <c r="AS288" s="1491" t="n"/>
      <c r="AT288" s="1491" t="n"/>
      <c r="AU288" s="1491" t="n"/>
      <c r="AV288" s="1491" t="n"/>
      <c r="AW288" s="1491" t="n"/>
      <c r="AX288" s="1491" t="n"/>
      <c r="AY288" s="1491" t="n"/>
      <c r="AZ288" s="1491" t="n"/>
      <c r="BA288" s="1491" t="n"/>
      <c r="BB288" s="1491" t="n"/>
      <c r="BC288" s="1491" t="n"/>
      <c r="BD288" s="1491" t="n"/>
      <c r="BE288" s="1491" t="n"/>
      <c r="BF288" s="1491" t="n"/>
      <c r="BG288" s="1491" t="n"/>
      <c r="BH288" s="1491" t="n"/>
      <c r="BI288" s="1491" t="n"/>
      <c r="BJ288" s="1491" t="n"/>
      <c r="BK288" s="1491" t="n"/>
      <c r="BL288" s="1491" t="n"/>
      <c r="BM288" s="1491" t="n"/>
      <c r="BN288" s="1491" t="n"/>
      <c r="BO288" s="1467" t="n"/>
      <c r="BP288" s="1514" t="n">
        <v>284</v>
      </c>
      <c r="BQ288" s="1513">
        <f>[1]Sheet1!C289</f>
        <v/>
      </c>
      <c r="BR288" s="1515">
        <f>[1]Sheet1!D289</f>
        <v/>
      </c>
      <c r="BS288" s="1513">
        <f>[1]Sheet1!E289</f>
        <v/>
      </c>
      <c r="BT288" s="1515">
        <f>[1]Sheet1!F289</f>
        <v/>
      </c>
      <c r="BU288" s="1516">
        <f>[1]Sheet1!G289</f>
        <v/>
      </c>
      <c r="BV288" s="1513">
        <f>[1]Sheet1!H289</f>
        <v/>
      </c>
      <c r="BW288" s="1467" t="n"/>
      <c r="BX288" s="1491" t="n"/>
      <c r="BY288" s="1491" t="n"/>
      <c r="BZ288" s="1491" t="n"/>
      <c r="CA288" s="1491" t="n"/>
      <c r="CB288" s="1467" t="n"/>
      <c r="CC288" s="1467" t="n"/>
      <c r="CD288" s="1491" t="n"/>
      <c r="CE288" s="1491" t="n"/>
      <c r="CF288" s="1491" t="n"/>
      <c r="CG288" s="1491" t="n"/>
      <c r="CH288" s="1491" t="n"/>
      <c r="CI288" s="1491" t="n"/>
      <c r="CJ288" s="1491" t="n"/>
      <c r="CK288" s="1491" t="n"/>
      <c r="CL288" s="1491" t="n"/>
      <c r="CM288" s="1491" t="n"/>
      <c r="CN288" s="1491" t="n"/>
      <c r="CO288" s="1491" t="n"/>
      <c r="CP288" s="1491" t="n"/>
      <c r="CQ288" s="1491" t="n"/>
      <c r="CR288" s="1491" t="n"/>
      <c r="CS288" s="1491" t="n"/>
      <c r="CT288" s="1491" t="n"/>
      <c r="CU288" s="1491" t="n"/>
      <c r="CV288" s="1491" t="n"/>
      <c r="CW288" s="1491" t="n"/>
      <c r="CX288" s="1491" t="n"/>
    </row>
    <row r="289">
      <c r="A289" s="1491" t="n"/>
      <c r="B289" s="1491" t="n"/>
      <c r="C289" s="1491" t="n"/>
      <c r="D289" s="1497">
        <f>IF(E289&lt;&gt;"",D288+1,D288)</f>
        <v/>
      </c>
      <c r="E289" s="1497" t="inlineStr">
        <is>
          <t>Itapeva</t>
        </is>
      </c>
      <c r="F289" s="1535" t="inlineStr">
        <is>
          <t>.</t>
        </is>
      </c>
      <c r="G289" s="1498">
        <f>IF(H289="AIR",0,IF(H288="AIR",G287+1,IF(H289&lt;&gt;"",G288+1,G288)))</f>
        <v/>
      </c>
      <c r="H289" s="1498" t="inlineStr">
        <is>
          <t>Santiago</t>
        </is>
      </c>
      <c r="I289" s="1427" t="inlineStr">
        <is>
          <t>.</t>
        </is>
      </c>
      <c r="J289" s="1499" t="n">
        <v>284</v>
      </c>
      <c r="K289" s="1500">
        <f>_xlfn.XLOOKUP(cities[[#This Row],[id]],$D$5:$D$1500,E$5:E$1500,"-")</f>
        <v/>
      </c>
      <c r="L289" s="1500">
        <f>_xlfn.XLOOKUP(cities[[#This Row],[city]],ccc[city],ccc[ctry],"-")</f>
        <v/>
      </c>
      <c r="M289" s="1500">
        <f>SUMIFS(stayCity[stay],stayCity[city],cities[[#This Row],[city]])</f>
        <v/>
      </c>
      <c r="N289" s="1427">
        <f>N288+1</f>
        <v/>
      </c>
      <c r="O289" s="1500" t="n"/>
      <c r="P289" s="1500" t="n"/>
      <c r="Q289" s="1427" t="inlineStr">
        <is>
          <t>.</t>
        </is>
      </c>
      <c r="R289" s="1491" t="n"/>
      <c r="S289" s="1491" t="n"/>
      <c r="T289" s="1491" t="n"/>
      <c r="U289" s="1491" t="n"/>
      <c r="V289" s="1491" t="n"/>
      <c r="W289" s="1491" t="n"/>
      <c r="X289" s="1491" t="n"/>
      <c r="Y289" s="1491" t="n"/>
      <c r="Z289" s="1491" t="n"/>
      <c r="AA289" s="1491" t="n"/>
      <c r="AB289" s="1491" t="n"/>
      <c r="AC289" s="1491" t="n"/>
      <c r="AD289" s="1491" t="n"/>
      <c r="AE289" s="1491" t="n"/>
      <c r="AF289" s="1491" t="n"/>
      <c r="AG289" s="1491" t="n"/>
      <c r="AH289" s="1491" t="n"/>
      <c r="AI289" s="1491" t="n"/>
      <c r="AJ289" s="1491" t="n"/>
      <c r="AK289" s="1491" t="n"/>
      <c r="AL289" s="1491" t="n"/>
      <c r="AM289" s="1491" t="n"/>
      <c r="AN289" s="1491" t="n"/>
      <c r="AO289" s="1491" t="n"/>
      <c r="AP289" s="1491" t="n"/>
      <c r="AQ289" s="1491" t="n"/>
      <c r="AR289" s="1491" t="n"/>
      <c r="AS289" s="1491" t="n"/>
      <c r="AT289" s="1491" t="n"/>
      <c r="AU289" s="1491" t="n"/>
      <c r="AV289" s="1491" t="n"/>
      <c r="AW289" s="1491" t="n"/>
      <c r="AX289" s="1491" t="n"/>
      <c r="AY289" s="1491" t="n"/>
      <c r="AZ289" s="1491" t="n"/>
      <c r="BA289" s="1491" t="n"/>
      <c r="BB289" s="1491" t="n"/>
      <c r="BC289" s="1491" t="n"/>
      <c r="BD289" s="1491" t="n"/>
      <c r="BE289" s="1491" t="n"/>
      <c r="BF289" s="1491" t="n"/>
      <c r="BG289" s="1491" t="n"/>
      <c r="BH289" s="1491" t="n"/>
      <c r="BI289" s="1491" t="n"/>
      <c r="BJ289" s="1491" t="n"/>
      <c r="BK289" s="1491" t="n"/>
      <c r="BL289" s="1491" t="n"/>
      <c r="BM289" s="1491" t="n"/>
      <c r="BN289" s="1491" t="n"/>
      <c r="BO289" s="1467" t="n"/>
      <c r="BP289" s="1514" t="n">
        <v>285</v>
      </c>
      <c r="BQ289" s="1513">
        <f>[1]Sheet1!C290</f>
        <v/>
      </c>
      <c r="BR289" s="1515">
        <f>[1]Sheet1!D290</f>
        <v/>
      </c>
      <c r="BS289" s="1513">
        <f>[1]Sheet1!E290</f>
        <v/>
      </c>
      <c r="BT289" s="1515">
        <f>[1]Sheet1!F290</f>
        <v/>
      </c>
      <c r="BU289" s="1516">
        <f>[1]Sheet1!G290</f>
        <v/>
      </c>
      <c r="BV289" s="1513">
        <f>[1]Sheet1!H290</f>
        <v/>
      </c>
      <c r="BW289" s="1467" t="n"/>
      <c r="BX289" s="1491" t="n"/>
      <c r="BY289" s="1491" t="n"/>
      <c r="BZ289" s="1491" t="n"/>
      <c r="CA289" s="1491" t="n"/>
      <c r="CB289" s="1467" t="n"/>
      <c r="CC289" s="1467" t="n"/>
      <c r="CD289" s="1491" t="n"/>
      <c r="CE289" s="1491" t="n"/>
      <c r="CF289" s="1491" t="n"/>
      <c r="CG289" s="1491" t="n"/>
      <c r="CH289" s="1491" t="n"/>
      <c r="CI289" s="1491" t="n"/>
      <c r="CJ289" s="1491" t="n"/>
      <c r="CK289" s="1491" t="n"/>
      <c r="CL289" s="1491" t="n"/>
      <c r="CM289" s="1491" t="n"/>
      <c r="CN289" s="1491" t="n"/>
      <c r="CO289" s="1491" t="n"/>
      <c r="CP289" s="1491" t="n"/>
      <c r="CQ289" s="1491" t="n"/>
      <c r="CR289" s="1491" t="n"/>
      <c r="CS289" s="1491" t="n"/>
      <c r="CT289" s="1491" t="n"/>
      <c r="CU289" s="1491" t="n"/>
      <c r="CV289" s="1491" t="n"/>
      <c r="CW289" s="1491" t="n"/>
      <c r="CX289" s="1491" t="n"/>
    </row>
    <row r="290">
      <c r="A290" s="1491" t="n"/>
      <c r="B290" s="1491" t="n"/>
      <c r="C290" s="1491" t="n"/>
      <c r="D290" s="1497">
        <f>IF(E290&lt;&gt;"",D289+1,D289)</f>
        <v/>
      </c>
      <c r="E290" s="1497" t="inlineStr">
        <is>
          <t>Lagoinha</t>
        </is>
      </c>
      <c r="F290" s="1535" t="inlineStr">
        <is>
          <t>.</t>
        </is>
      </c>
      <c r="G290" s="1498">
        <f>IF(H290="AIR",0,IF(H289="AIR",G288+1,IF(H290&lt;&gt;"",G289+1,G289)))</f>
        <v/>
      </c>
      <c r="H290" s="1498" t="inlineStr">
        <is>
          <t>Padron</t>
        </is>
      </c>
      <c r="I290" s="1427" t="inlineStr">
        <is>
          <t>.</t>
        </is>
      </c>
      <c r="J290" s="1499" t="n">
        <v>285</v>
      </c>
      <c r="K290" s="1500">
        <f>_xlfn.XLOOKUP(cities[[#This Row],[id]],$D$5:$D$1500,E$5:E$1500,"-")</f>
        <v/>
      </c>
      <c r="L290" s="1500">
        <f>_xlfn.XLOOKUP(cities[[#This Row],[city]],ccc[city],ccc[ctry],"-")</f>
        <v/>
      </c>
      <c r="M290" s="1500">
        <f>SUMIFS(stayCity[stay],stayCity[city],cities[[#This Row],[city]])</f>
        <v/>
      </c>
      <c r="N290" s="1427">
        <f>N289+1</f>
        <v/>
      </c>
      <c r="O290" s="1500" t="n"/>
      <c r="P290" s="1500" t="n"/>
      <c r="Q290" s="1427" t="inlineStr">
        <is>
          <t>.</t>
        </is>
      </c>
      <c r="R290" s="1491" t="n"/>
      <c r="S290" s="1491" t="n"/>
      <c r="T290" s="1491" t="n"/>
      <c r="U290" s="1491" t="n"/>
      <c r="V290" s="1491" t="n"/>
      <c r="W290" s="1491" t="n"/>
      <c r="X290" s="1491" t="n"/>
      <c r="Y290" s="1491" t="n"/>
      <c r="Z290" s="1491" t="n"/>
      <c r="AA290" s="1491" t="n"/>
      <c r="AB290" s="1491" t="n"/>
      <c r="AC290" s="1491" t="n"/>
      <c r="AD290" s="1491" t="n"/>
      <c r="AE290" s="1491" t="n"/>
      <c r="AF290" s="1491" t="n"/>
      <c r="AG290" s="1491" t="n"/>
      <c r="AH290" s="1491" t="n"/>
      <c r="AI290" s="1491" t="n"/>
      <c r="AJ290" s="1491" t="n"/>
      <c r="AK290" s="1491" t="n"/>
      <c r="AL290" s="1491" t="n"/>
      <c r="AM290" s="1491" t="n"/>
      <c r="AN290" s="1491" t="n"/>
      <c r="AO290" s="1491" t="n"/>
      <c r="AP290" s="1491" t="n"/>
      <c r="AQ290" s="1491" t="n"/>
      <c r="AR290" s="1491" t="n"/>
      <c r="AS290" s="1491" t="n"/>
      <c r="AT290" s="1491" t="n"/>
      <c r="AU290" s="1491" t="n"/>
      <c r="AV290" s="1491" t="n"/>
      <c r="AW290" s="1491" t="n"/>
      <c r="AX290" s="1491" t="n"/>
      <c r="AY290" s="1491" t="n"/>
      <c r="AZ290" s="1491" t="n"/>
      <c r="BA290" s="1491" t="n"/>
      <c r="BB290" s="1491" t="n"/>
      <c r="BC290" s="1491" t="n"/>
      <c r="BD290" s="1491" t="n"/>
      <c r="BE290" s="1491" t="n"/>
      <c r="BF290" s="1491" t="n"/>
      <c r="BG290" s="1491" t="n"/>
      <c r="BH290" s="1491" t="n"/>
      <c r="BI290" s="1491" t="n"/>
      <c r="BJ290" s="1491" t="n"/>
      <c r="BK290" s="1491" t="n"/>
      <c r="BL290" s="1491" t="n"/>
      <c r="BM290" s="1491" t="n"/>
      <c r="BN290" s="1491" t="n"/>
      <c r="BO290" s="1467" t="n"/>
      <c r="BP290" s="1514" t="n">
        <v>286</v>
      </c>
      <c r="BQ290" s="1513">
        <f>[1]Sheet1!C291</f>
        <v/>
      </c>
      <c r="BR290" s="1515">
        <f>[1]Sheet1!D291</f>
        <v/>
      </c>
      <c r="BS290" s="1513">
        <f>[1]Sheet1!E291</f>
        <v/>
      </c>
      <c r="BT290" s="1515">
        <f>[1]Sheet1!F291</f>
        <v/>
      </c>
      <c r="BU290" s="1516">
        <f>[1]Sheet1!G291</f>
        <v/>
      </c>
      <c r="BV290" s="1513">
        <f>[1]Sheet1!H291</f>
        <v/>
      </c>
      <c r="BW290" s="1467" t="n"/>
      <c r="BX290" s="1491" t="n"/>
      <c r="BY290" s="1491" t="n"/>
      <c r="BZ290" s="1491" t="n"/>
      <c r="CA290" s="1491" t="n"/>
      <c r="CB290" s="1467" t="n"/>
      <c r="CC290" s="1467" t="n"/>
      <c r="CD290" s="1491" t="n"/>
      <c r="CE290" s="1491" t="n"/>
      <c r="CF290" s="1491" t="n"/>
      <c r="CG290" s="1491" t="n"/>
      <c r="CH290" s="1491" t="n"/>
      <c r="CI290" s="1491" t="n"/>
      <c r="CJ290" s="1491" t="n"/>
      <c r="CK290" s="1491" t="n"/>
      <c r="CL290" s="1491" t="n"/>
      <c r="CM290" s="1491" t="n"/>
      <c r="CN290" s="1491" t="n"/>
      <c r="CO290" s="1491" t="n"/>
      <c r="CP290" s="1491" t="n"/>
      <c r="CQ290" s="1491" t="n"/>
      <c r="CR290" s="1491" t="n"/>
      <c r="CS290" s="1491" t="n"/>
      <c r="CT290" s="1491" t="n"/>
      <c r="CU290" s="1491" t="n"/>
      <c r="CV290" s="1491" t="n"/>
      <c r="CW290" s="1491" t="n"/>
      <c r="CX290" s="1491" t="n"/>
    </row>
    <row r="291">
      <c r="A291" s="1491" t="n"/>
      <c r="B291" s="1491" t="n"/>
      <c r="C291" s="1491" t="n"/>
      <c r="D291" s="1497">
        <f>IF(E291&lt;&gt;"",D290+1,D290)</f>
        <v/>
      </c>
      <c r="E291" s="1497" t="inlineStr">
        <is>
          <t>Sao Luis de Piratininga</t>
        </is>
      </c>
      <c r="F291" s="1535" t="inlineStr">
        <is>
          <t>.</t>
        </is>
      </c>
      <c r="G291" s="1498">
        <f>IF(H291="AIR",0,IF(H290="AIR",G289+1,IF(H291&lt;&gt;"",G290+1,G290)))</f>
        <v/>
      </c>
      <c r="H291" s="1498" t="inlineStr">
        <is>
          <t>Villagarcia de Arousa</t>
        </is>
      </c>
      <c r="I291" s="1427" t="inlineStr">
        <is>
          <t>.</t>
        </is>
      </c>
      <c r="J291" s="1499" t="n">
        <v>286</v>
      </c>
      <c r="K291" s="1500">
        <f>_xlfn.XLOOKUP(cities[[#This Row],[id]],$D$5:$D$1500,E$5:E$1500,"-")</f>
        <v/>
      </c>
      <c r="L291" s="1500">
        <f>_xlfn.XLOOKUP(cities[[#This Row],[city]],ccc[city],ccc[ctry],"-")</f>
        <v/>
      </c>
      <c r="M291" s="1500">
        <f>SUMIFS(stayCity[stay],stayCity[city],cities[[#This Row],[city]])</f>
        <v/>
      </c>
      <c r="N291" s="1427">
        <f>N290+1</f>
        <v/>
      </c>
      <c r="O291" s="1500" t="n"/>
      <c r="P291" s="1500" t="n"/>
      <c r="Q291" s="1427" t="inlineStr">
        <is>
          <t>.</t>
        </is>
      </c>
      <c r="R291" s="1491" t="n"/>
      <c r="S291" s="1491" t="n"/>
      <c r="T291" s="1491" t="n"/>
      <c r="U291" s="1491" t="n"/>
      <c r="V291" s="1491" t="n"/>
      <c r="W291" s="1491" t="n"/>
      <c r="X291" s="1491" t="n"/>
      <c r="Y291" s="1491" t="n"/>
      <c r="Z291" s="1491" t="n"/>
      <c r="AA291" s="1491" t="n"/>
      <c r="AB291" s="1491" t="n"/>
      <c r="AC291" s="1491" t="n"/>
      <c r="AD291" s="1491" t="n"/>
      <c r="AE291" s="1491" t="n"/>
      <c r="AF291" s="1491" t="n"/>
      <c r="AG291" s="1491" t="n"/>
      <c r="AH291" s="1491" t="n"/>
      <c r="AI291" s="1491" t="n"/>
      <c r="AJ291" s="1491" t="n"/>
      <c r="AK291" s="1491" t="n"/>
      <c r="AL291" s="1491" t="n"/>
      <c r="AM291" s="1491" t="n"/>
      <c r="AN291" s="1491" t="n"/>
      <c r="AO291" s="1491" t="n"/>
      <c r="AP291" s="1491" t="n"/>
      <c r="AQ291" s="1491" t="n"/>
      <c r="AR291" s="1491" t="n"/>
      <c r="AS291" s="1491" t="n"/>
      <c r="AT291" s="1491" t="n"/>
      <c r="AU291" s="1491" t="n"/>
      <c r="AV291" s="1491" t="n"/>
      <c r="AW291" s="1491" t="n"/>
      <c r="AX291" s="1491" t="n"/>
      <c r="AY291" s="1491" t="n"/>
      <c r="AZ291" s="1491" t="n"/>
      <c r="BA291" s="1491" t="n"/>
      <c r="BB291" s="1491" t="n"/>
      <c r="BC291" s="1491" t="n"/>
      <c r="BD291" s="1491" t="n"/>
      <c r="BE291" s="1491" t="n"/>
      <c r="BF291" s="1491" t="n"/>
      <c r="BG291" s="1491" t="n"/>
      <c r="BH291" s="1491" t="n"/>
      <c r="BI291" s="1491" t="n"/>
      <c r="BJ291" s="1491" t="n"/>
      <c r="BK291" s="1491" t="n"/>
      <c r="BL291" s="1491" t="n"/>
      <c r="BM291" s="1491" t="n"/>
      <c r="BN291" s="1491" t="n"/>
      <c r="BO291" s="1467" t="n"/>
      <c r="BP291" s="1514" t="n">
        <v>287</v>
      </c>
      <c r="BQ291" s="1513">
        <f>[1]Sheet1!C292</f>
        <v/>
      </c>
      <c r="BR291" s="1515">
        <f>[1]Sheet1!D292</f>
        <v/>
      </c>
      <c r="BS291" s="1513">
        <f>[1]Sheet1!E292</f>
        <v/>
      </c>
      <c r="BT291" s="1515">
        <f>[1]Sheet1!F292</f>
        <v/>
      </c>
      <c r="BU291" s="1516">
        <f>[1]Sheet1!G292</f>
        <v/>
      </c>
      <c r="BV291" s="1513">
        <f>[1]Sheet1!H292</f>
        <v/>
      </c>
      <c r="BW291" s="1467" t="n"/>
      <c r="BX291" s="1491" t="n"/>
      <c r="BY291" s="1491" t="n"/>
      <c r="BZ291" s="1491" t="n"/>
      <c r="CA291" s="1491" t="n"/>
      <c r="CB291" s="1467" t="n"/>
      <c r="CC291" s="1467" t="n"/>
      <c r="CD291" s="1491" t="n"/>
      <c r="CE291" s="1491" t="n"/>
      <c r="CF291" s="1491" t="n"/>
      <c r="CG291" s="1491" t="n"/>
      <c r="CH291" s="1491" t="n"/>
      <c r="CI291" s="1491" t="n"/>
      <c r="CJ291" s="1491" t="n"/>
      <c r="CK291" s="1491" t="n"/>
      <c r="CL291" s="1491" t="n"/>
      <c r="CM291" s="1491" t="n"/>
      <c r="CN291" s="1491" t="n"/>
      <c r="CO291" s="1491" t="n"/>
      <c r="CP291" s="1491" t="n"/>
      <c r="CQ291" s="1491" t="n"/>
      <c r="CR291" s="1491" t="n"/>
      <c r="CS291" s="1491" t="n"/>
      <c r="CT291" s="1491" t="n"/>
      <c r="CU291" s="1491" t="n"/>
      <c r="CV291" s="1491" t="n"/>
      <c r="CW291" s="1491" t="n"/>
      <c r="CX291" s="1491" t="n"/>
    </row>
    <row r="292">
      <c r="A292" s="1491" t="n"/>
      <c r="B292" s="1491" t="n"/>
      <c r="C292" s="1491" t="n"/>
      <c r="D292" s="1497">
        <f>IF(E292&lt;&gt;"",D291+1,D291)</f>
        <v/>
      </c>
      <c r="E292" s="1497" t="inlineStr">
        <is>
          <t>Campos do Jordao</t>
        </is>
      </c>
      <c r="F292" s="1535" t="inlineStr">
        <is>
          <t>.</t>
        </is>
      </c>
      <c r="G292" s="1498">
        <f>IF(H292="AIR",0,IF(H291="AIR",G290+1,IF(H292&lt;&gt;"",G291+1,G291)))</f>
        <v/>
      </c>
      <c r="H292" s="1498" t="inlineStr">
        <is>
          <t>Vigo</t>
        </is>
      </c>
      <c r="I292" s="1427" t="inlineStr">
        <is>
          <t>.</t>
        </is>
      </c>
      <c r="J292" s="1499" t="n">
        <v>287</v>
      </c>
      <c r="K292" s="1500">
        <f>_xlfn.XLOOKUP(cities[[#This Row],[id]],$D$5:$D$1500,E$5:E$1500,"-")</f>
        <v/>
      </c>
      <c r="L292" s="1500">
        <f>_xlfn.XLOOKUP(cities[[#This Row],[city]],ccc[city],ccc[ctry],"-")</f>
        <v/>
      </c>
      <c r="M292" s="1500">
        <f>SUMIFS(stayCity[stay],stayCity[city],cities[[#This Row],[city]])</f>
        <v/>
      </c>
      <c r="N292" s="1427">
        <f>N291+1</f>
        <v/>
      </c>
      <c r="O292" s="1500" t="n"/>
      <c r="P292" s="1500" t="n"/>
      <c r="Q292" s="1427" t="inlineStr">
        <is>
          <t>.</t>
        </is>
      </c>
      <c r="R292" s="1491" t="n"/>
      <c r="S292" s="1491" t="n"/>
      <c r="T292" s="1491" t="n"/>
      <c r="U292" s="1491" t="n"/>
      <c r="V292" s="1491" t="n"/>
      <c r="W292" s="1491" t="n"/>
      <c r="X292" s="1491" t="n"/>
      <c r="Y292" s="1491" t="n"/>
      <c r="Z292" s="1491" t="n"/>
      <c r="AA292" s="1491" t="n"/>
      <c r="AB292" s="1491" t="n"/>
      <c r="AC292" s="1491" t="n"/>
      <c r="AD292" s="1491" t="n"/>
      <c r="AE292" s="1491" t="n"/>
      <c r="AF292" s="1491" t="n"/>
      <c r="AG292" s="1491" t="n"/>
      <c r="AH292" s="1491" t="n"/>
      <c r="AI292" s="1491" t="n"/>
      <c r="AJ292" s="1491" t="n"/>
      <c r="AK292" s="1491" t="n"/>
      <c r="AL292" s="1491" t="n"/>
      <c r="AM292" s="1491" t="n"/>
      <c r="AN292" s="1491" t="n"/>
      <c r="AO292" s="1491" t="n"/>
      <c r="AP292" s="1491" t="n"/>
      <c r="AQ292" s="1491" t="n"/>
      <c r="AR292" s="1491" t="n"/>
      <c r="AS292" s="1491" t="n"/>
      <c r="AT292" s="1491" t="n"/>
      <c r="AU292" s="1491" t="n"/>
      <c r="AV292" s="1491" t="n"/>
      <c r="AW292" s="1491" t="n"/>
      <c r="AX292" s="1491" t="n"/>
      <c r="AY292" s="1491" t="n"/>
      <c r="AZ292" s="1491" t="n"/>
      <c r="BA292" s="1491" t="n"/>
      <c r="BB292" s="1491" t="n"/>
      <c r="BC292" s="1491" t="n"/>
      <c r="BD292" s="1491" t="n"/>
      <c r="BE292" s="1491" t="n"/>
      <c r="BF292" s="1491" t="n"/>
      <c r="BG292" s="1491" t="n"/>
      <c r="BH292" s="1491" t="n"/>
      <c r="BI292" s="1491" t="n"/>
      <c r="BJ292" s="1491" t="n"/>
      <c r="BK292" s="1491" t="n"/>
      <c r="BL292" s="1491" t="n"/>
      <c r="BM292" s="1491" t="n"/>
      <c r="BN292" s="1491" t="n"/>
      <c r="BO292" s="1467" t="n"/>
      <c r="BP292" s="1514" t="n">
        <v>288</v>
      </c>
      <c r="BQ292" s="1513">
        <f>[1]Sheet1!C293</f>
        <v/>
      </c>
      <c r="BR292" s="1515">
        <f>[1]Sheet1!D293</f>
        <v/>
      </c>
      <c r="BS292" s="1513">
        <f>[1]Sheet1!E293</f>
        <v/>
      </c>
      <c r="BT292" s="1515">
        <f>[1]Sheet1!F293</f>
        <v/>
      </c>
      <c r="BU292" s="1516">
        <f>[1]Sheet1!G293</f>
        <v/>
      </c>
      <c r="BV292" s="1513">
        <f>[1]Sheet1!H293</f>
        <v/>
      </c>
      <c r="BW292" s="1467" t="n"/>
      <c r="BX292" s="1491" t="n"/>
      <c r="BY292" s="1491" t="n"/>
      <c r="BZ292" s="1491" t="n"/>
      <c r="CA292" s="1491" t="n"/>
      <c r="CB292" s="1467" t="n"/>
      <c r="CC292" s="1467" t="n"/>
      <c r="CD292" s="1491" t="n"/>
      <c r="CE292" s="1491" t="n"/>
      <c r="CF292" s="1491" t="n"/>
      <c r="CG292" s="1491" t="n"/>
      <c r="CH292" s="1491" t="n"/>
      <c r="CI292" s="1491" t="n"/>
      <c r="CJ292" s="1491" t="n"/>
      <c r="CK292" s="1491" t="n"/>
      <c r="CL292" s="1491" t="n"/>
      <c r="CM292" s="1491" t="n"/>
      <c r="CN292" s="1491" t="n"/>
      <c r="CO292" s="1491" t="n"/>
      <c r="CP292" s="1491" t="n"/>
      <c r="CQ292" s="1491" t="n"/>
      <c r="CR292" s="1491" t="n"/>
      <c r="CS292" s="1491" t="n"/>
      <c r="CT292" s="1491" t="n"/>
      <c r="CU292" s="1491" t="n"/>
      <c r="CV292" s="1491" t="n"/>
      <c r="CW292" s="1491" t="n"/>
      <c r="CX292" s="1491" t="n"/>
    </row>
    <row r="293">
      <c r="A293" s="1491" t="n"/>
      <c r="B293" s="1491" t="n"/>
      <c r="C293" s="1491" t="n"/>
      <c r="D293" s="1497">
        <f>IF(E293&lt;&gt;"",D292+1,D292)</f>
        <v/>
      </c>
      <c r="E293" s="1497" t="inlineStr">
        <is>
          <t>Atibaia</t>
        </is>
      </c>
      <c r="F293" s="1535" t="inlineStr">
        <is>
          <t>.</t>
        </is>
      </c>
      <c r="G293" s="1498">
        <f>IF(H293="AIR",0,IF(H292="AIR",G291+1,IF(H293&lt;&gt;"",G292+1,G292)))</f>
        <v/>
      </c>
      <c r="H293" s="1498" t="inlineStr">
        <is>
          <t>Cunha</t>
        </is>
      </c>
      <c r="I293" s="1427" t="inlineStr">
        <is>
          <t>.</t>
        </is>
      </c>
      <c r="J293" s="1499" t="n">
        <v>288</v>
      </c>
      <c r="K293" s="1500">
        <f>_xlfn.XLOOKUP(cities[[#This Row],[id]],$D$5:$D$1500,E$5:E$1500,"-")</f>
        <v/>
      </c>
      <c r="L293" s="1500">
        <f>_xlfn.XLOOKUP(cities[[#This Row],[city]],ccc[city],ccc[ctry],"-")</f>
        <v/>
      </c>
      <c r="M293" s="1500">
        <f>SUMIFS(stayCity[stay],stayCity[city],cities[[#This Row],[city]])</f>
        <v/>
      </c>
      <c r="N293" s="1427">
        <f>N292+1</f>
        <v/>
      </c>
      <c r="O293" s="1500" t="n"/>
      <c r="P293" s="1500" t="n"/>
      <c r="Q293" s="1427" t="inlineStr">
        <is>
          <t>.</t>
        </is>
      </c>
      <c r="R293" s="1491" t="n"/>
      <c r="S293" s="1491" t="n"/>
      <c r="T293" s="1491" t="n"/>
      <c r="U293" s="1491" t="n"/>
      <c r="V293" s="1491" t="n"/>
      <c r="W293" s="1491" t="n"/>
      <c r="X293" s="1491" t="n"/>
      <c r="Y293" s="1491" t="n"/>
      <c r="Z293" s="1491" t="n"/>
      <c r="AA293" s="1491" t="n"/>
      <c r="AB293" s="1491" t="n"/>
      <c r="AC293" s="1491" t="n"/>
      <c r="AD293" s="1491" t="n"/>
      <c r="AE293" s="1491" t="n"/>
      <c r="AF293" s="1491" t="n"/>
      <c r="AG293" s="1491" t="n"/>
      <c r="AH293" s="1491" t="n"/>
      <c r="AI293" s="1491" t="n"/>
      <c r="AJ293" s="1491" t="n"/>
      <c r="AK293" s="1491" t="n"/>
      <c r="AL293" s="1491" t="n"/>
      <c r="AM293" s="1491" t="n"/>
      <c r="AN293" s="1491" t="n"/>
      <c r="AO293" s="1491" t="n"/>
      <c r="AP293" s="1491" t="n"/>
      <c r="AQ293" s="1491" t="n"/>
      <c r="AR293" s="1491" t="n"/>
      <c r="AS293" s="1491" t="n"/>
      <c r="AT293" s="1491" t="n"/>
      <c r="AU293" s="1491" t="n"/>
      <c r="AV293" s="1491" t="n"/>
      <c r="AW293" s="1491" t="n"/>
      <c r="AX293" s="1491" t="n"/>
      <c r="AY293" s="1491" t="n"/>
      <c r="AZ293" s="1491" t="n"/>
      <c r="BA293" s="1491" t="n"/>
      <c r="BB293" s="1491" t="n"/>
      <c r="BC293" s="1491" t="n"/>
      <c r="BD293" s="1491" t="n"/>
      <c r="BE293" s="1491" t="n"/>
      <c r="BF293" s="1491" t="n"/>
      <c r="BG293" s="1491" t="n"/>
      <c r="BH293" s="1491" t="n"/>
      <c r="BI293" s="1491" t="n"/>
      <c r="BJ293" s="1491" t="n"/>
      <c r="BK293" s="1491" t="n"/>
      <c r="BL293" s="1491" t="n"/>
      <c r="BM293" s="1491" t="n"/>
      <c r="BN293" s="1491" t="n"/>
      <c r="BO293" s="1467" t="n"/>
      <c r="BP293" s="1514" t="n">
        <v>289</v>
      </c>
      <c r="BQ293" s="1513">
        <f>[1]Sheet1!C294</f>
        <v/>
      </c>
      <c r="BR293" s="1515">
        <f>[1]Sheet1!D294</f>
        <v/>
      </c>
      <c r="BS293" s="1513">
        <f>[1]Sheet1!E294</f>
        <v/>
      </c>
      <c r="BT293" s="1515">
        <f>[1]Sheet1!F294</f>
        <v/>
      </c>
      <c r="BU293" s="1516">
        <f>[1]Sheet1!G294</f>
        <v/>
      </c>
      <c r="BV293" s="1513">
        <f>[1]Sheet1!H294</f>
        <v/>
      </c>
      <c r="BW293" s="1467" t="n"/>
      <c r="BX293" s="1491" t="n"/>
      <c r="BY293" s="1491" t="n"/>
      <c r="BZ293" s="1491" t="n"/>
      <c r="CA293" s="1491" t="n"/>
      <c r="CB293" s="1467" t="n"/>
      <c r="CC293" s="1467" t="n"/>
      <c r="CD293" s="1491" t="n"/>
      <c r="CE293" s="1491" t="n"/>
      <c r="CF293" s="1491" t="n"/>
      <c r="CG293" s="1491" t="n"/>
      <c r="CH293" s="1491" t="n"/>
      <c r="CI293" s="1491" t="n"/>
      <c r="CJ293" s="1491" t="n"/>
      <c r="CK293" s="1491" t="n"/>
      <c r="CL293" s="1491" t="n"/>
      <c r="CM293" s="1491" t="n"/>
      <c r="CN293" s="1491" t="n"/>
      <c r="CO293" s="1491" t="n"/>
      <c r="CP293" s="1491" t="n"/>
      <c r="CQ293" s="1491" t="n"/>
      <c r="CR293" s="1491" t="n"/>
      <c r="CS293" s="1491" t="n"/>
      <c r="CT293" s="1491" t="n"/>
      <c r="CU293" s="1491" t="n"/>
      <c r="CV293" s="1491" t="n"/>
      <c r="CW293" s="1491" t="n"/>
      <c r="CX293" s="1491" t="n"/>
    </row>
    <row r="294">
      <c r="A294" s="1491" t="n"/>
      <c r="B294" s="1491" t="n"/>
      <c r="C294" s="1491" t="n"/>
      <c r="D294" s="1497">
        <f>IF(E294&lt;&gt;"",D293+1,D293)</f>
        <v/>
      </c>
      <c r="E294" s="1497" t="inlineStr">
        <is>
          <t>Ilhabela</t>
        </is>
      </c>
      <c r="F294" s="1535" t="inlineStr">
        <is>
          <t>.</t>
        </is>
      </c>
      <c r="G294" s="1498">
        <f>IF(H294="AIR",0,IF(H293="AIR",G292+1,IF(H294&lt;&gt;"",G293+1,G293)))</f>
        <v/>
      </c>
      <c r="H294" s="1498" t="inlineStr">
        <is>
          <t>Boituva</t>
        </is>
      </c>
      <c r="I294" s="1427" t="inlineStr">
        <is>
          <t>.</t>
        </is>
      </c>
      <c r="J294" s="1499" t="n">
        <v>289</v>
      </c>
      <c r="K294" s="1500">
        <f>_xlfn.XLOOKUP(cities[[#This Row],[id]],$D$5:$D$1500,E$5:E$1500,"-")</f>
        <v/>
      </c>
      <c r="L294" s="1500">
        <f>_xlfn.XLOOKUP(cities[[#This Row],[city]],ccc[city],ccc[ctry],"-")</f>
        <v/>
      </c>
      <c r="M294" s="1500">
        <f>SUMIFS(stayCity[stay],stayCity[city],cities[[#This Row],[city]])</f>
        <v/>
      </c>
      <c r="N294" s="1427">
        <f>N293+1</f>
        <v/>
      </c>
      <c r="O294" s="1500" t="n"/>
      <c r="P294" s="1500" t="n"/>
      <c r="Q294" s="1427" t="inlineStr">
        <is>
          <t>.</t>
        </is>
      </c>
      <c r="R294" s="1491" t="n"/>
      <c r="S294" s="1491" t="n"/>
      <c r="T294" s="1491" t="n"/>
      <c r="U294" s="1491" t="n"/>
      <c r="V294" s="1491" t="n"/>
      <c r="W294" s="1491" t="n"/>
      <c r="X294" s="1491" t="n"/>
      <c r="Y294" s="1491" t="n"/>
      <c r="Z294" s="1491" t="n"/>
      <c r="AA294" s="1491" t="n"/>
      <c r="AB294" s="1491" t="n"/>
      <c r="AC294" s="1491" t="n"/>
      <c r="AD294" s="1491" t="n"/>
      <c r="AE294" s="1491" t="n"/>
      <c r="AF294" s="1491" t="n"/>
      <c r="AG294" s="1491" t="n"/>
      <c r="AH294" s="1491" t="n"/>
      <c r="AI294" s="1491" t="n"/>
      <c r="AJ294" s="1491" t="n"/>
      <c r="AK294" s="1491" t="n"/>
      <c r="AL294" s="1491" t="n"/>
      <c r="AM294" s="1491" t="n"/>
      <c r="AN294" s="1491" t="n"/>
      <c r="AO294" s="1491" t="n"/>
      <c r="AP294" s="1491" t="n"/>
      <c r="AQ294" s="1491" t="n"/>
      <c r="AR294" s="1491" t="n"/>
      <c r="AS294" s="1491" t="n"/>
      <c r="AT294" s="1491" t="n"/>
      <c r="AU294" s="1491" t="n"/>
      <c r="AV294" s="1491" t="n"/>
      <c r="AW294" s="1491" t="n"/>
      <c r="AX294" s="1491" t="n"/>
      <c r="AY294" s="1491" t="n"/>
      <c r="AZ294" s="1491" t="n"/>
      <c r="BA294" s="1491" t="n"/>
      <c r="BB294" s="1491" t="n"/>
      <c r="BC294" s="1491" t="n"/>
      <c r="BD294" s="1491" t="n"/>
      <c r="BE294" s="1491" t="n"/>
      <c r="BF294" s="1491" t="n"/>
      <c r="BG294" s="1491" t="n"/>
      <c r="BH294" s="1491" t="n"/>
      <c r="BI294" s="1491" t="n"/>
      <c r="BJ294" s="1491" t="n"/>
      <c r="BK294" s="1491" t="n"/>
      <c r="BL294" s="1491" t="n"/>
      <c r="BM294" s="1491" t="n"/>
      <c r="BN294" s="1491" t="n"/>
      <c r="BO294" s="1467" t="n"/>
      <c r="BP294" s="1514" t="n">
        <v>290</v>
      </c>
      <c r="BQ294" s="1513">
        <f>[1]Sheet1!C295</f>
        <v/>
      </c>
      <c r="BR294" s="1515">
        <f>[1]Sheet1!D295</f>
        <v/>
      </c>
      <c r="BS294" s="1513">
        <f>[1]Sheet1!E295</f>
        <v/>
      </c>
      <c r="BT294" s="1515">
        <f>[1]Sheet1!F295</f>
        <v/>
      </c>
      <c r="BU294" s="1516">
        <f>[1]Sheet1!G295</f>
        <v/>
      </c>
      <c r="BV294" s="1513">
        <f>[1]Sheet1!H295</f>
        <v/>
      </c>
      <c r="BW294" s="1467" t="n"/>
      <c r="BX294" s="1491" t="n"/>
      <c r="BY294" s="1491" t="n"/>
      <c r="BZ294" s="1491" t="n"/>
      <c r="CA294" s="1491" t="n"/>
      <c r="CB294" s="1467" t="n"/>
      <c r="CC294" s="1467" t="n"/>
      <c r="CD294" s="1491" t="n"/>
      <c r="CE294" s="1491" t="n"/>
      <c r="CF294" s="1491" t="n"/>
      <c r="CG294" s="1491" t="n"/>
      <c r="CH294" s="1491" t="n"/>
      <c r="CI294" s="1491" t="n"/>
      <c r="CJ294" s="1491" t="n"/>
      <c r="CK294" s="1491" t="n"/>
      <c r="CL294" s="1491" t="n"/>
      <c r="CM294" s="1491" t="n"/>
      <c r="CN294" s="1491" t="n"/>
      <c r="CO294" s="1491" t="n"/>
      <c r="CP294" s="1491" t="n"/>
      <c r="CQ294" s="1491" t="n"/>
      <c r="CR294" s="1491" t="n"/>
      <c r="CS294" s="1491" t="n"/>
      <c r="CT294" s="1491" t="n"/>
      <c r="CU294" s="1491" t="n"/>
      <c r="CV294" s="1491" t="n"/>
      <c r="CW294" s="1491" t="n"/>
      <c r="CX294" s="1491" t="n"/>
    </row>
    <row r="295">
      <c r="A295" s="1491" t="n"/>
      <c r="B295" s="1491" t="n"/>
      <c r="C295" s="1491" t="n"/>
      <c r="D295" s="1497">
        <f>IF(E295&lt;&gt;"",D294+1,D294)</f>
        <v/>
      </c>
      <c r="E295" s="1497" t="inlineStr">
        <is>
          <t>Guaratinguetá</t>
        </is>
      </c>
      <c r="F295" s="1535" t="inlineStr">
        <is>
          <t>.</t>
        </is>
      </c>
      <c r="G295" s="1498">
        <f>IF(H295="AIR",0,IF(H294="AIR",G293+1,IF(H295&lt;&gt;"",G294+1,G294)))</f>
        <v/>
      </c>
      <c r="H295" s="1498" t="inlineStr">
        <is>
          <t>Iporanga</t>
        </is>
      </c>
      <c r="I295" s="1427" t="inlineStr">
        <is>
          <t>.</t>
        </is>
      </c>
      <c r="J295" s="1499" t="n">
        <v>290</v>
      </c>
      <c r="K295" s="1500">
        <f>_xlfn.XLOOKUP(cities[[#This Row],[id]],$D$5:$D$1500,E$5:E$1500,"-")</f>
        <v/>
      </c>
      <c r="L295" s="1500">
        <f>_xlfn.XLOOKUP(cities[[#This Row],[city]],ccc[city],ccc[ctry],"-")</f>
        <v/>
      </c>
      <c r="M295" s="1500">
        <f>SUMIFS(stayCity[stay],stayCity[city],cities[[#This Row],[city]])</f>
        <v/>
      </c>
      <c r="N295" s="1427">
        <f>N294+1</f>
        <v/>
      </c>
      <c r="O295" s="1500" t="n"/>
      <c r="P295" s="1500" t="n"/>
      <c r="Q295" s="1427" t="inlineStr">
        <is>
          <t>.</t>
        </is>
      </c>
      <c r="R295" s="1491" t="n"/>
      <c r="S295" s="1491" t="n"/>
      <c r="T295" s="1491" t="n"/>
      <c r="U295" s="1491" t="n"/>
      <c r="V295" s="1491" t="n"/>
      <c r="W295" s="1491" t="n"/>
      <c r="X295" s="1491" t="n"/>
      <c r="Y295" s="1491" t="n"/>
      <c r="Z295" s="1491" t="n"/>
      <c r="AA295" s="1491" t="n"/>
      <c r="AB295" s="1491" t="n"/>
      <c r="AC295" s="1491" t="n"/>
      <c r="AD295" s="1491" t="n"/>
      <c r="AE295" s="1491" t="n"/>
      <c r="AF295" s="1491" t="n"/>
      <c r="AG295" s="1491" t="n"/>
      <c r="AH295" s="1491" t="n"/>
      <c r="AI295" s="1491" t="n"/>
      <c r="AJ295" s="1491" t="n"/>
      <c r="AK295" s="1491" t="n"/>
      <c r="AL295" s="1491" t="n"/>
      <c r="AM295" s="1491" t="n"/>
      <c r="AN295" s="1491" t="n"/>
      <c r="AO295" s="1491" t="n"/>
      <c r="AP295" s="1491" t="n"/>
      <c r="AQ295" s="1491" t="n"/>
      <c r="AR295" s="1491" t="n"/>
      <c r="AS295" s="1491" t="n"/>
      <c r="AT295" s="1491" t="n"/>
      <c r="AU295" s="1491" t="n"/>
      <c r="AV295" s="1491" t="n"/>
      <c r="AW295" s="1491" t="n"/>
      <c r="AX295" s="1491" t="n"/>
      <c r="AY295" s="1491" t="n"/>
      <c r="AZ295" s="1491" t="n"/>
      <c r="BA295" s="1491" t="n"/>
      <c r="BB295" s="1491" t="n"/>
      <c r="BC295" s="1491" t="n"/>
      <c r="BD295" s="1491" t="n"/>
      <c r="BE295" s="1491" t="n"/>
      <c r="BF295" s="1491" t="n"/>
      <c r="BG295" s="1491" t="n"/>
      <c r="BH295" s="1491" t="n"/>
      <c r="BI295" s="1491" t="n"/>
      <c r="BJ295" s="1491" t="n"/>
      <c r="BK295" s="1491" t="n"/>
      <c r="BL295" s="1491" t="n"/>
      <c r="BM295" s="1491" t="n"/>
      <c r="BN295" s="1491" t="n"/>
      <c r="BO295" s="1467" t="n"/>
      <c r="BP295" s="1514" t="n">
        <v>291</v>
      </c>
      <c r="BQ295" s="1513">
        <f>[1]Sheet1!C296</f>
        <v/>
      </c>
      <c r="BR295" s="1515">
        <f>[1]Sheet1!D296</f>
        <v/>
      </c>
      <c r="BS295" s="1513">
        <f>[1]Sheet1!E296</f>
        <v/>
      </c>
      <c r="BT295" s="1515">
        <f>[1]Sheet1!F296</f>
        <v/>
      </c>
      <c r="BU295" s="1516">
        <f>[1]Sheet1!G296</f>
        <v/>
      </c>
      <c r="BV295" s="1513">
        <f>[1]Sheet1!H296</f>
        <v/>
      </c>
      <c r="BW295" s="1467" t="n"/>
      <c r="BX295" s="1491" t="n"/>
      <c r="BY295" s="1491" t="n"/>
      <c r="BZ295" s="1491" t="n"/>
      <c r="CA295" s="1491" t="n"/>
      <c r="CB295" s="1467" t="n"/>
      <c r="CC295" s="1467" t="n"/>
      <c r="CD295" s="1491" t="n"/>
      <c r="CE295" s="1491" t="n"/>
      <c r="CF295" s="1491" t="n"/>
      <c r="CG295" s="1491" t="n"/>
      <c r="CH295" s="1491" t="n"/>
      <c r="CI295" s="1491" t="n"/>
      <c r="CJ295" s="1491" t="n"/>
      <c r="CK295" s="1491" t="n"/>
      <c r="CL295" s="1491" t="n"/>
      <c r="CM295" s="1491" t="n"/>
      <c r="CN295" s="1491" t="n"/>
      <c r="CO295" s="1491" t="n"/>
      <c r="CP295" s="1491" t="n"/>
      <c r="CQ295" s="1491" t="n"/>
      <c r="CR295" s="1491" t="n"/>
      <c r="CS295" s="1491" t="n"/>
      <c r="CT295" s="1491" t="n"/>
      <c r="CU295" s="1491" t="n"/>
      <c r="CV295" s="1491" t="n"/>
      <c r="CW295" s="1491" t="n"/>
      <c r="CX295" s="1491" t="n"/>
    </row>
    <row r="296">
      <c r="A296" s="1491" t="n"/>
      <c r="B296" s="1491" t="n"/>
      <c r="C296" s="1491" t="n"/>
      <c r="D296" s="1497">
        <f>IF(E296&lt;&gt;"",D295+1,D295)</f>
        <v/>
      </c>
      <c r="E296" s="1497" t="inlineStr">
        <is>
          <t>Paraty</t>
        </is>
      </c>
      <c r="F296" s="1535" t="inlineStr">
        <is>
          <t>.</t>
        </is>
      </c>
      <c r="G296" s="1498">
        <f>IF(H296="AIR",0,IF(H295="AIR",G294+1,IF(H296&lt;&gt;"",G295+1,G295)))</f>
        <v/>
      </c>
      <c r="H296" s="1498" t="inlineStr">
        <is>
          <t>Itapeva</t>
        </is>
      </c>
      <c r="I296" s="1427" t="inlineStr">
        <is>
          <t>.</t>
        </is>
      </c>
      <c r="J296" s="1499" t="n">
        <v>291</v>
      </c>
      <c r="K296" s="1500">
        <f>_xlfn.XLOOKUP(cities[[#This Row],[id]],$D$5:$D$1500,E$5:E$1500,"-")</f>
        <v/>
      </c>
      <c r="L296" s="1500">
        <f>_xlfn.XLOOKUP(cities[[#This Row],[city]],ccc[city],ccc[ctry],"-")</f>
        <v/>
      </c>
      <c r="M296" s="1500">
        <f>SUMIFS(stayCity[stay],stayCity[city],cities[[#This Row],[city]])</f>
        <v/>
      </c>
      <c r="N296" s="1427">
        <f>N295+1</f>
        <v/>
      </c>
      <c r="O296" s="1500" t="n"/>
      <c r="P296" s="1500" t="n"/>
      <c r="Q296" s="1427" t="inlineStr">
        <is>
          <t>.</t>
        </is>
      </c>
      <c r="R296" s="1491" t="n"/>
      <c r="S296" s="1491" t="n"/>
      <c r="T296" s="1491" t="n"/>
      <c r="U296" s="1491" t="n"/>
      <c r="V296" s="1491" t="n"/>
      <c r="W296" s="1491" t="n"/>
      <c r="X296" s="1491" t="n"/>
      <c r="Y296" s="1491" t="n"/>
      <c r="Z296" s="1491" t="n"/>
      <c r="AA296" s="1491" t="n"/>
      <c r="AB296" s="1491" t="n"/>
      <c r="AC296" s="1491" t="n"/>
      <c r="AD296" s="1491" t="n"/>
      <c r="AE296" s="1491" t="n"/>
      <c r="AF296" s="1491" t="n"/>
      <c r="AG296" s="1491" t="n"/>
      <c r="AH296" s="1491" t="n"/>
      <c r="AI296" s="1491" t="n"/>
      <c r="AJ296" s="1491" t="n"/>
      <c r="AK296" s="1491" t="n"/>
      <c r="AL296" s="1491" t="n"/>
      <c r="AM296" s="1491" t="n"/>
      <c r="AN296" s="1491" t="n"/>
      <c r="AO296" s="1491" t="n"/>
      <c r="AP296" s="1491" t="n"/>
      <c r="AQ296" s="1491" t="n"/>
      <c r="AR296" s="1491" t="n"/>
      <c r="AS296" s="1491" t="n"/>
      <c r="AT296" s="1491" t="n"/>
      <c r="AU296" s="1491" t="n"/>
      <c r="AV296" s="1491" t="n"/>
      <c r="AW296" s="1491" t="n"/>
      <c r="AX296" s="1491" t="n"/>
      <c r="AY296" s="1491" t="n"/>
      <c r="AZ296" s="1491" t="n"/>
      <c r="BA296" s="1491" t="n"/>
      <c r="BB296" s="1491" t="n"/>
      <c r="BC296" s="1491" t="n"/>
      <c r="BD296" s="1491" t="n"/>
      <c r="BE296" s="1491" t="n"/>
      <c r="BF296" s="1491" t="n"/>
      <c r="BG296" s="1491" t="n"/>
      <c r="BH296" s="1491" t="n"/>
      <c r="BI296" s="1491" t="n"/>
      <c r="BJ296" s="1491" t="n"/>
      <c r="BK296" s="1491" t="n"/>
      <c r="BL296" s="1491" t="n"/>
      <c r="BM296" s="1491" t="n"/>
      <c r="BN296" s="1491" t="n"/>
      <c r="BO296" s="1467" t="n"/>
      <c r="BP296" s="1514" t="n">
        <v>292</v>
      </c>
      <c r="BQ296" s="1513">
        <f>[1]Sheet1!C297</f>
        <v/>
      </c>
      <c r="BR296" s="1515">
        <f>[1]Sheet1!D297</f>
        <v/>
      </c>
      <c r="BS296" s="1513">
        <f>[1]Sheet1!E297</f>
        <v/>
      </c>
      <c r="BT296" s="1515">
        <f>[1]Sheet1!F297</f>
        <v/>
      </c>
      <c r="BU296" s="1516">
        <f>[1]Sheet1!G297</f>
        <v/>
      </c>
      <c r="BV296" s="1513">
        <f>[1]Sheet1!H297</f>
        <v/>
      </c>
      <c r="BW296" s="1467" t="n"/>
      <c r="BX296" s="1491" t="n"/>
      <c r="BY296" s="1491" t="n"/>
      <c r="BZ296" s="1491" t="n"/>
      <c r="CA296" s="1491" t="n"/>
      <c r="CB296" s="1467" t="n"/>
      <c r="CC296" s="1467" t="n"/>
      <c r="CD296" s="1491" t="n"/>
      <c r="CE296" s="1491" t="n"/>
      <c r="CF296" s="1491" t="n"/>
      <c r="CG296" s="1491" t="n"/>
      <c r="CH296" s="1491" t="n"/>
      <c r="CI296" s="1491" t="n"/>
      <c r="CJ296" s="1491" t="n"/>
      <c r="CK296" s="1491" t="n"/>
      <c r="CL296" s="1491" t="n"/>
      <c r="CM296" s="1491" t="n"/>
      <c r="CN296" s="1491" t="n"/>
      <c r="CO296" s="1491" t="n"/>
      <c r="CP296" s="1491" t="n"/>
      <c r="CQ296" s="1491" t="n"/>
      <c r="CR296" s="1491" t="n"/>
      <c r="CS296" s="1491" t="n"/>
      <c r="CT296" s="1491" t="n"/>
      <c r="CU296" s="1491" t="n"/>
      <c r="CV296" s="1491" t="n"/>
      <c r="CW296" s="1491" t="n"/>
      <c r="CX296" s="1491" t="n"/>
    </row>
    <row r="297">
      <c r="A297" s="1491" t="n"/>
      <c r="B297" s="1491" t="n"/>
      <c r="C297" s="1491" t="n"/>
      <c r="D297" s="1497">
        <f>IF(E297&lt;&gt;"",D296+1,D296)</f>
        <v/>
      </c>
      <c r="E297" s="1497" t="inlineStr">
        <is>
          <t>Trindade</t>
        </is>
      </c>
      <c r="F297" s="1535" t="inlineStr">
        <is>
          <t>.</t>
        </is>
      </c>
      <c r="G297" s="1498">
        <f>IF(H297="AIR",0,IF(H296="AIR",G295+1,IF(H297&lt;&gt;"",G296+1,G296)))</f>
        <v/>
      </c>
      <c r="H297" s="1498" t="inlineStr">
        <is>
          <t>Lagoinha</t>
        </is>
      </c>
      <c r="I297" s="1427" t="inlineStr">
        <is>
          <t>.</t>
        </is>
      </c>
      <c r="J297" s="1499" t="n">
        <v>292</v>
      </c>
      <c r="K297" s="1500">
        <f>_xlfn.XLOOKUP(cities[[#This Row],[id]],$D$5:$D$1500,E$5:E$1500,"-")</f>
        <v/>
      </c>
      <c r="L297" s="1500">
        <f>_xlfn.XLOOKUP(cities[[#This Row],[city]],ccc[city],ccc[ctry],"-")</f>
        <v/>
      </c>
      <c r="M297" s="1500">
        <f>SUMIFS(stayCity[stay],stayCity[city],cities[[#This Row],[city]])</f>
        <v/>
      </c>
      <c r="N297" s="1427">
        <f>N296+1</f>
        <v/>
      </c>
      <c r="O297" s="1500" t="n"/>
      <c r="P297" s="1500" t="n"/>
      <c r="Q297" s="1427" t="inlineStr">
        <is>
          <t>.</t>
        </is>
      </c>
      <c r="R297" s="1491" t="n"/>
      <c r="S297" s="1491" t="n"/>
      <c r="T297" s="1491" t="n"/>
      <c r="U297" s="1491" t="n"/>
      <c r="V297" s="1491" t="n"/>
      <c r="W297" s="1491" t="n"/>
      <c r="X297" s="1491" t="n"/>
      <c r="Y297" s="1491" t="n"/>
      <c r="Z297" s="1491" t="n"/>
      <c r="AA297" s="1491" t="n"/>
      <c r="AB297" s="1491" t="n"/>
      <c r="AC297" s="1491" t="n"/>
      <c r="AD297" s="1491" t="n"/>
      <c r="AE297" s="1491" t="n"/>
      <c r="AF297" s="1491" t="n"/>
      <c r="AG297" s="1491" t="n"/>
      <c r="AH297" s="1491" t="n"/>
      <c r="AI297" s="1491" t="n"/>
      <c r="AJ297" s="1491" t="n"/>
      <c r="AK297" s="1491" t="n"/>
      <c r="AL297" s="1491" t="n"/>
      <c r="AM297" s="1491" t="n"/>
      <c r="AN297" s="1491" t="n"/>
      <c r="AO297" s="1491" t="n"/>
      <c r="AP297" s="1491" t="n"/>
      <c r="AQ297" s="1491" t="n"/>
      <c r="AR297" s="1491" t="n"/>
      <c r="AS297" s="1491" t="n"/>
      <c r="AT297" s="1491" t="n"/>
      <c r="AU297" s="1491" t="n"/>
      <c r="AV297" s="1491" t="n"/>
      <c r="AW297" s="1491" t="n"/>
      <c r="AX297" s="1491" t="n"/>
      <c r="AY297" s="1491" t="n"/>
      <c r="AZ297" s="1491" t="n"/>
      <c r="BA297" s="1491" t="n"/>
      <c r="BB297" s="1491" t="n"/>
      <c r="BC297" s="1491" t="n"/>
      <c r="BD297" s="1491" t="n"/>
      <c r="BE297" s="1491" t="n"/>
      <c r="BF297" s="1491" t="n"/>
      <c r="BG297" s="1491" t="n"/>
      <c r="BH297" s="1491" t="n"/>
      <c r="BI297" s="1491" t="n"/>
      <c r="BJ297" s="1491" t="n"/>
      <c r="BK297" s="1491" t="n"/>
      <c r="BL297" s="1491" t="n"/>
      <c r="BM297" s="1491" t="n"/>
      <c r="BN297" s="1491" t="n"/>
      <c r="BO297" s="1467" t="n"/>
      <c r="BP297" s="1514" t="n">
        <v>293</v>
      </c>
      <c r="BQ297" s="1513">
        <f>[1]Sheet1!C298</f>
        <v/>
      </c>
      <c r="BR297" s="1515">
        <f>[1]Sheet1!D298</f>
        <v/>
      </c>
      <c r="BS297" s="1513">
        <f>[1]Sheet1!E298</f>
        <v/>
      </c>
      <c r="BT297" s="1515">
        <f>[1]Sheet1!F298</f>
        <v/>
      </c>
      <c r="BU297" s="1516">
        <f>[1]Sheet1!G298</f>
        <v/>
      </c>
      <c r="BV297" s="1513">
        <f>[1]Sheet1!H298</f>
        <v/>
      </c>
      <c r="BW297" s="1467" t="n"/>
      <c r="BX297" s="1491" t="n"/>
      <c r="BY297" s="1491" t="n"/>
      <c r="BZ297" s="1491" t="n"/>
      <c r="CA297" s="1491" t="n"/>
      <c r="CB297" s="1467" t="n"/>
      <c r="CC297" s="1467" t="n"/>
      <c r="CD297" s="1491" t="n"/>
      <c r="CE297" s="1491" t="n"/>
      <c r="CF297" s="1491" t="n"/>
      <c r="CG297" s="1491" t="n"/>
      <c r="CH297" s="1491" t="n"/>
      <c r="CI297" s="1491" t="n"/>
      <c r="CJ297" s="1491" t="n"/>
      <c r="CK297" s="1491" t="n"/>
      <c r="CL297" s="1491" t="n"/>
      <c r="CM297" s="1491" t="n"/>
      <c r="CN297" s="1491" t="n"/>
      <c r="CO297" s="1491" t="n"/>
      <c r="CP297" s="1491" t="n"/>
      <c r="CQ297" s="1491" t="n"/>
      <c r="CR297" s="1491" t="n"/>
      <c r="CS297" s="1491" t="n"/>
      <c r="CT297" s="1491" t="n"/>
      <c r="CU297" s="1491" t="n"/>
      <c r="CV297" s="1491" t="n"/>
      <c r="CW297" s="1491" t="n"/>
      <c r="CX297" s="1491" t="n"/>
    </row>
    <row r="298">
      <c r="A298" s="1491" t="n"/>
      <c r="B298" s="1491" t="n"/>
      <c r="C298" s="1491" t="n"/>
      <c r="D298" s="1497">
        <f>IF(E298&lt;&gt;"",D297+1,D297)</f>
        <v/>
      </c>
      <c r="E298" s="1497" t="inlineStr">
        <is>
          <t>Brotas</t>
        </is>
      </c>
      <c r="F298" s="1535" t="inlineStr">
        <is>
          <t>.</t>
        </is>
      </c>
      <c r="G298" s="1498">
        <f>IF(H298="AIR",0,IF(H297="AIR",G296+1,IF(H298&lt;&gt;"",G297+1,G297)))</f>
        <v/>
      </c>
      <c r="H298" s="1498" t="inlineStr">
        <is>
          <t>Sao Luis de Piratininga</t>
        </is>
      </c>
      <c r="I298" s="1427" t="inlineStr">
        <is>
          <t>.</t>
        </is>
      </c>
      <c r="J298" s="1499" t="n">
        <v>293</v>
      </c>
      <c r="K298" s="1500">
        <f>_xlfn.XLOOKUP(cities[[#This Row],[id]],$D$5:$D$1500,E$5:E$1500,"-")</f>
        <v/>
      </c>
      <c r="L298" s="1500">
        <f>_xlfn.XLOOKUP(cities[[#This Row],[city]],ccc[city],ccc[ctry],"-")</f>
        <v/>
      </c>
      <c r="M298" s="1500">
        <f>SUMIFS(stayCity[stay],stayCity[city],cities[[#This Row],[city]])</f>
        <v/>
      </c>
      <c r="N298" s="1427">
        <f>N297+1</f>
        <v/>
      </c>
      <c r="O298" s="1500" t="n"/>
      <c r="P298" s="1500" t="n"/>
      <c r="Q298" s="1427" t="inlineStr">
        <is>
          <t>.</t>
        </is>
      </c>
      <c r="R298" s="1491" t="n"/>
      <c r="S298" s="1491" t="n"/>
      <c r="T298" s="1491" t="n"/>
      <c r="U298" s="1491" t="n"/>
      <c r="V298" s="1491" t="n"/>
      <c r="W298" s="1491" t="n"/>
      <c r="X298" s="1491" t="n"/>
      <c r="Y298" s="1491" t="n"/>
      <c r="Z298" s="1491" t="n"/>
      <c r="AA298" s="1491" t="n"/>
      <c r="AB298" s="1491" t="n"/>
      <c r="AC298" s="1491" t="n"/>
      <c r="AD298" s="1491" t="n"/>
      <c r="AE298" s="1491" t="n"/>
      <c r="AF298" s="1491" t="n"/>
      <c r="AG298" s="1491" t="n"/>
      <c r="AH298" s="1491" t="n"/>
      <c r="AI298" s="1491" t="n"/>
      <c r="AJ298" s="1491" t="n"/>
      <c r="AK298" s="1491" t="n"/>
      <c r="AL298" s="1491" t="n"/>
      <c r="AM298" s="1491" t="n"/>
      <c r="AN298" s="1491" t="n"/>
      <c r="AO298" s="1491" t="n"/>
      <c r="AP298" s="1491" t="n"/>
      <c r="AQ298" s="1491" t="n"/>
      <c r="AR298" s="1491" t="n"/>
      <c r="AS298" s="1491" t="n"/>
      <c r="AT298" s="1491" t="n"/>
      <c r="AU298" s="1491" t="n"/>
      <c r="AV298" s="1491" t="n"/>
      <c r="AW298" s="1491" t="n"/>
      <c r="AX298" s="1491" t="n"/>
      <c r="AY298" s="1491" t="n"/>
      <c r="AZ298" s="1491" t="n"/>
      <c r="BA298" s="1491" t="n"/>
      <c r="BB298" s="1491" t="n"/>
      <c r="BC298" s="1491" t="n"/>
      <c r="BD298" s="1491" t="n"/>
      <c r="BE298" s="1491" t="n"/>
      <c r="BF298" s="1491" t="n"/>
      <c r="BG298" s="1491" t="n"/>
      <c r="BH298" s="1491" t="n"/>
      <c r="BI298" s="1491" t="n"/>
      <c r="BJ298" s="1491" t="n"/>
      <c r="BK298" s="1491" t="n"/>
      <c r="BL298" s="1491" t="n"/>
      <c r="BM298" s="1491" t="n"/>
      <c r="BN298" s="1491" t="n"/>
      <c r="BO298" s="1467" t="n"/>
      <c r="BP298" s="1514" t="n">
        <v>294</v>
      </c>
      <c r="BQ298" s="1513">
        <f>[1]Sheet1!C299</f>
        <v/>
      </c>
      <c r="BR298" s="1515">
        <f>[1]Sheet1!D299</f>
        <v/>
      </c>
      <c r="BS298" s="1513">
        <f>[1]Sheet1!E299</f>
        <v/>
      </c>
      <c r="BT298" s="1515">
        <f>[1]Sheet1!F299</f>
        <v/>
      </c>
      <c r="BU298" s="1516">
        <f>[1]Sheet1!G299</f>
        <v/>
      </c>
      <c r="BV298" s="1513">
        <f>[1]Sheet1!H299</f>
        <v/>
      </c>
      <c r="BW298" s="1467" t="n"/>
      <c r="BX298" s="1491" t="n"/>
      <c r="BY298" s="1491" t="n"/>
      <c r="BZ298" s="1491" t="n"/>
      <c r="CA298" s="1491" t="n"/>
      <c r="CB298" s="1467" t="n"/>
      <c r="CC298" s="1467" t="n"/>
      <c r="CD298" s="1491" t="n"/>
      <c r="CE298" s="1491" t="n"/>
      <c r="CF298" s="1491" t="n"/>
      <c r="CG298" s="1491" t="n"/>
      <c r="CH298" s="1491" t="n"/>
      <c r="CI298" s="1491" t="n"/>
      <c r="CJ298" s="1491" t="n"/>
      <c r="CK298" s="1491" t="n"/>
      <c r="CL298" s="1491" t="n"/>
      <c r="CM298" s="1491" t="n"/>
      <c r="CN298" s="1491" t="n"/>
      <c r="CO298" s="1491" t="n"/>
      <c r="CP298" s="1491" t="n"/>
      <c r="CQ298" s="1491" t="n"/>
      <c r="CR298" s="1491" t="n"/>
      <c r="CS298" s="1491" t="n"/>
      <c r="CT298" s="1491" t="n"/>
      <c r="CU298" s="1491" t="n"/>
      <c r="CV298" s="1491" t="n"/>
      <c r="CW298" s="1491" t="n"/>
      <c r="CX298" s="1491" t="n"/>
    </row>
    <row r="299">
      <c r="A299" s="1491" t="n"/>
      <c r="B299" s="1491" t="n"/>
      <c r="C299" s="1491" t="n"/>
      <c r="D299" s="1497">
        <f>IF(E299&lt;&gt;"",D298+1,D298)</f>
        <v/>
      </c>
      <c r="E299" s="1497" t="inlineStr">
        <is>
          <t>Ubatuba</t>
        </is>
      </c>
      <c r="F299" s="1535" t="inlineStr">
        <is>
          <t>.</t>
        </is>
      </c>
      <c r="G299" s="1498">
        <f>IF(H299="AIR",0,IF(H298="AIR",G297+1,IF(H299&lt;&gt;"",G298+1,G298)))</f>
        <v/>
      </c>
      <c r="H299" s="1498" t="inlineStr">
        <is>
          <t>Campos do Jordao</t>
        </is>
      </c>
      <c r="I299" s="1427" t="inlineStr">
        <is>
          <t>.</t>
        </is>
      </c>
      <c r="J299" s="1499" t="n">
        <v>294</v>
      </c>
      <c r="K299" s="1500">
        <f>_xlfn.XLOOKUP(cities[[#This Row],[id]],$D$5:$D$1500,E$5:E$1500,"-")</f>
        <v/>
      </c>
      <c r="L299" s="1500">
        <f>_xlfn.XLOOKUP(cities[[#This Row],[city]],ccc[city],ccc[ctry],"-")</f>
        <v/>
      </c>
      <c r="M299" s="1500">
        <f>SUMIFS(stayCity[stay],stayCity[city],cities[[#This Row],[city]])</f>
        <v/>
      </c>
      <c r="N299" s="1427">
        <f>N298+1</f>
        <v/>
      </c>
      <c r="O299" s="1500" t="n"/>
      <c r="P299" s="1500" t="n"/>
      <c r="Q299" s="1427" t="inlineStr">
        <is>
          <t>.</t>
        </is>
      </c>
      <c r="R299" s="1491" t="n"/>
      <c r="S299" s="1491" t="n"/>
      <c r="T299" s="1491" t="n"/>
      <c r="U299" s="1491" t="n"/>
      <c r="V299" s="1491" t="n"/>
      <c r="W299" s="1491" t="n"/>
      <c r="X299" s="1491" t="n"/>
      <c r="Y299" s="1491" t="n"/>
      <c r="Z299" s="1491" t="n"/>
      <c r="AA299" s="1491" t="n"/>
      <c r="AB299" s="1491" t="n"/>
      <c r="AC299" s="1491" t="n"/>
      <c r="AD299" s="1491" t="n"/>
      <c r="AE299" s="1491" t="n"/>
      <c r="AF299" s="1491" t="n"/>
      <c r="AG299" s="1491" t="n"/>
      <c r="AH299" s="1491" t="n"/>
      <c r="AI299" s="1491" t="n"/>
      <c r="AJ299" s="1491" t="n"/>
      <c r="AK299" s="1491" t="n"/>
      <c r="AL299" s="1491" t="n"/>
      <c r="AM299" s="1491" t="n"/>
      <c r="AN299" s="1491" t="n"/>
      <c r="AO299" s="1491" t="n"/>
      <c r="AP299" s="1491" t="n"/>
      <c r="AQ299" s="1491" t="n"/>
      <c r="AR299" s="1491" t="n"/>
      <c r="AS299" s="1491" t="n"/>
      <c r="AT299" s="1491" t="n"/>
      <c r="AU299" s="1491" t="n"/>
      <c r="AV299" s="1491" t="n"/>
      <c r="AW299" s="1491" t="n"/>
      <c r="AX299" s="1491" t="n"/>
      <c r="AY299" s="1491" t="n"/>
      <c r="AZ299" s="1491" t="n"/>
      <c r="BA299" s="1491" t="n"/>
      <c r="BB299" s="1491" t="n"/>
      <c r="BC299" s="1491" t="n"/>
      <c r="BD299" s="1491" t="n"/>
      <c r="BE299" s="1491" t="n"/>
      <c r="BF299" s="1491" t="n"/>
      <c r="BG299" s="1491" t="n"/>
      <c r="BH299" s="1491" t="n"/>
      <c r="BI299" s="1491" t="n"/>
      <c r="BJ299" s="1491" t="n"/>
      <c r="BK299" s="1491" t="n"/>
      <c r="BL299" s="1491" t="n"/>
      <c r="BM299" s="1491" t="n"/>
      <c r="BN299" s="1491" t="n"/>
      <c r="BO299" s="1467" t="n"/>
      <c r="BP299" s="1514" t="n">
        <v>295</v>
      </c>
      <c r="BQ299" s="1513">
        <f>[1]Sheet1!C300</f>
        <v/>
      </c>
      <c r="BR299" s="1515">
        <f>[1]Sheet1!D300</f>
        <v/>
      </c>
      <c r="BS299" s="1513">
        <f>[1]Sheet1!E300</f>
        <v/>
      </c>
      <c r="BT299" s="1515">
        <f>[1]Sheet1!F300</f>
        <v/>
      </c>
      <c r="BU299" s="1516">
        <f>[1]Sheet1!G300</f>
        <v/>
      </c>
      <c r="BV299" s="1513">
        <f>[1]Sheet1!H300</f>
        <v/>
      </c>
      <c r="BW299" s="1467" t="n"/>
      <c r="BX299" s="1491" t="n"/>
      <c r="BY299" s="1491" t="n"/>
      <c r="BZ299" s="1491" t="n"/>
      <c r="CA299" s="1491" t="n"/>
      <c r="CB299" s="1467" t="n"/>
      <c r="CC299" s="1467" t="n"/>
      <c r="CD299" s="1491" t="n"/>
      <c r="CE299" s="1491" t="n"/>
      <c r="CF299" s="1491" t="n"/>
      <c r="CG299" s="1491" t="n"/>
      <c r="CH299" s="1491" t="n"/>
      <c r="CI299" s="1491" t="n"/>
      <c r="CJ299" s="1491" t="n"/>
      <c r="CK299" s="1491" t="n"/>
      <c r="CL299" s="1491" t="n"/>
      <c r="CM299" s="1491" t="n"/>
      <c r="CN299" s="1491" t="n"/>
      <c r="CO299" s="1491" t="n"/>
      <c r="CP299" s="1491" t="n"/>
      <c r="CQ299" s="1491" t="n"/>
      <c r="CR299" s="1491" t="n"/>
      <c r="CS299" s="1491" t="n"/>
      <c r="CT299" s="1491" t="n"/>
      <c r="CU299" s="1491" t="n"/>
      <c r="CV299" s="1491" t="n"/>
      <c r="CW299" s="1491" t="n"/>
      <c r="CX299" s="1491" t="n"/>
    </row>
    <row r="300">
      <c r="A300" s="1491" t="n"/>
      <c r="B300" s="1491" t="n"/>
      <c r="C300" s="1491" t="n"/>
      <c r="D300" s="1497">
        <f>IF(E300&lt;&gt;"",D299+1,D299)</f>
        <v/>
      </c>
      <c r="E300" s="1497" t="inlineStr">
        <is>
          <t>Camboriú</t>
        </is>
      </c>
      <c r="F300" s="1535" t="inlineStr">
        <is>
          <t>.</t>
        </is>
      </c>
      <c r="G300" s="1498">
        <f>IF(H300="AIR",0,IF(H299="AIR",G298+1,IF(H300&lt;&gt;"",G299+1,G299)))</f>
        <v/>
      </c>
      <c r="H300" s="1498" t="inlineStr">
        <is>
          <t>Atibaia</t>
        </is>
      </c>
      <c r="I300" s="1427" t="inlineStr">
        <is>
          <t>.</t>
        </is>
      </c>
      <c r="J300" s="1499" t="n">
        <v>295</v>
      </c>
      <c r="K300" s="1500">
        <f>_xlfn.XLOOKUP(cities[[#This Row],[id]],$D$5:$D$1500,E$5:E$1500,"-")</f>
        <v/>
      </c>
      <c r="L300" s="1500">
        <f>_xlfn.XLOOKUP(cities[[#This Row],[city]],ccc[city],ccc[ctry],"-")</f>
        <v/>
      </c>
      <c r="M300" s="1500">
        <f>SUMIFS(stayCity[stay],stayCity[city],cities[[#This Row],[city]])</f>
        <v/>
      </c>
      <c r="N300" s="1427">
        <f>N299+1</f>
        <v/>
      </c>
      <c r="O300" s="1500" t="n"/>
      <c r="P300" s="1500" t="n"/>
      <c r="Q300" s="1427" t="inlineStr">
        <is>
          <t>.</t>
        </is>
      </c>
      <c r="R300" s="1491" t="n"/>
      <c r="S300" s="1491" t="n"/>
      <c r="T300" s="1491" t="n"/>
      <c r="U300" s="1491" t="n"/>
      <c r="V300" s="1491" t="n"/>
      <c r="W300" s="1491" t="n"/>
      <c r="X300" s="1491" t="n"/>
      <c r="Y300" s="1491" t="n"/>
      <c r="Z300" s="1491" t="n"/>
      <c r="AA300" s="1491" t="n"/>
      <c r="AB300" s="1491" t="n"/>
      <c r="AC300" s="1491" t="n"/>
      <c r="AD300" s="1491" t="n"/>
      <c r="AE300" s="1491" t="n"/>
      <c r="AF300" s="1491" t="n"/>
      <c r="AG300" s="1491" t="n"/>
      <c r="AH300" s="1491" t="n"/>
      <c r="AI300" s="1491" t="n"/>
      <c r="AJ300" s="1491" t="n"/>
      <c r="AK300" s="1491" t="n"/>
      <c r="AL300" s="1491" t="n"/>
      <c r="AM300" s="1491" t="n"/>
      <c r="AN300" s="1491" t="n"/>
      <c r="AO300" s="1491" t="n"/>
      <c r="AP300" s="1491" t="n"/>
      <c r="AQ300" s="1491" t="n"/>
      <c r="AR300" s="1491" t="n"/>
      <c r="AS300" s="1491" t="n"/>
      <c r="AT300" s="1491" t="n"/>
      <c r="AU300" s="1491" t="n"/>
      <c r="AV300" s="1491" t="n"/>
      <c r="AW300" s="1491" t="n"/>
      <c r="AX300" s="1491" t="n"/>
      <c r="AY300" s="1491" t="n"/>
      <c r="AZ300" s="1491" t="n"/>
      <c r="BA300" s="1491" t="n"/>
      <c r="BB300" s="1491" t="n"/>
      <c r="BC300" s="1491" t="n"/>
      <c r="BD300" s="1491" t="n"/>
      <c r="BE300" s="1491" t="n"/>
      <c r="BF300" s="1491" t="n"/>
      <c r="BG300" s="1491" t="n"/>
      <c r="BH300" s="1491" t="n"/>
      <c r="BI300" s="1491" t="n"/>
      <c r="BJ300" s="1491" t="n"/>
      <c r="BK300" s="1491" t="n"/>
      <c r="BL300" s="1491" t="n"/>
      <c r="BM300" s="1491" t="n"/>
      <c r="BN300" s="1491" t="n"/>
      <c r="BO300" s="1467" t="n"/>
      <c r="BP300" s="1514" t="n">
        <v>296</v>
      </c>
      <c r="BQ300" s="1513">
        <f>[1]Sheet1!C301</f>
        <v/>
      </c>
      <c r="BR300" s="1515">
        <f>[1]Sheet1!D301</f>
        <v/>
      </c>
      <c r="BS300" s="1513">
        <f>[1]Sheet1!E301</f>
        <v/>
      </c>
      <c r="BT300" s="1515">
        <f>[1]Sheet1!F301</f>
        <v/>
      </c>
      <c r="BU300" s="1516">
        <f>[1]Sheet1!G301</f>
        <v/>
      </c>
      <c r="BV300" s="1513">
        <f>[1]Sheet1!H301</f>
        <v/>
      </c>
      <c r="BW300" s="1467" t="n"/>
      <c r="BX300" s="1491" t="n"/>
      <c r="BY300" s="1491" t="n"/>
      <c r="BZ300" s="1491" t="n"/>
      <c r="CA300" s="1491" t="n"/>
      <c r="CB300" s="1467" t="n"/>
      <c r="CC300" s="1467" t="n"/>
      <c r="CD300" s="1491" t="n"/>
      <c r="CE300" s="1491" t="n"/>
      <c r="CF300" s="1491" t="n"/>
      <c r="CG300" s="1491" t="n"/>
      <c r="CH300" s="1491" t="n"/>
      <c r="CI300" s="1491" t="n"/>
      <c r="CJ300" s="1491" t="n"/>
      <c r="CK300" s="1491" t="n"/>
      <c r="CL300" s="1491" t="n"/>
      <c r="CM300" s="1491" t="n"/>
      <c r="CN300" s="1491" t="n"/>
      <c r="CO300" s="1491" t="n"/>
      <c r="CP300" s="1491" t="n"/>
      <c r="CQ300" s="1491" t="n"/>
      <c r="CR300" s="1491" t="n"/>
      <c r="CS300" s="1491" t="n"/>
      <c r="CT300" s="1491" t="n"/>
      <c r="CU300" s="1491" t="n"/>
      <c r="CV300" s="1491" t="n"/>
      <c r="CW300" s="1491" t="n"/>
      <c r="CX300" s="1491" t="n"/>
    </row>
    <row r="301">
      <c r="A301" s="1491" t="n"/>
      <c r="B301" s="1491" t="n"/>
      <c r="C301" s="1491" t="n"/>
      <c r="D301" s="1497">
        <f>IF(E301&lt;&gt;"",D300+1,D300)</f>
        <v/>
      </c>
      <c r="E301" s="1497" t="inlineStr">
        <is>
          <t>Guaecá</t>
        </is>
      </c>
      <c r="F301" s="1535" t="inlineStr">
        <is>
          <t>.</t>
        </is>
      </c>
      <c r="G301" s="1498">
        <f>IF(H301="AIR",0,IF(H300="AIR",G299+1,IF(H301&lt;&gt;"",G300+1,G300)))</f>
        <v/>
      </c>
      <c r="H301" s="1498" t="inlineStr">
        <is>
          <t>Ilhabela</t>
        </is>
      </c>
      <c r="I301" s="1427" t="inlineStr">
        <is>
          <t>.</t>
        </is>
      </c>
      <c r="J301" s="1499" t="n">
        <v>296</v>
      </c>
      <c r="K301" s="1500">
        <f>_xlfn.XLOOKUP(cities[[#This Row],[id]],$D$5:$D$1500,E$5:E$1500,"-")</f>
        <v/>
      </c>
      <c r="L301" s="1500">
        <f>_xlfn.XLOOKUP(cities[[#This Row],[city]],ccc[city],ccc[ctry],"-")</f>
        <v/>
      </c>
      <c r="M301" s="1500">
        <f>SUMIFS(stayCity[stay],stayCity[city],cities[[#This Row],[city]])</f>
        <v/>
      </c>
      <c r="N301" s="1427">
        <f>N300+1</f>
        <v/>
      </c>
      <c r="O301" s="1500" t="n"/>
      <c r="P301" s="1500" t="n"/>
      <c r="Q301" s="1427" t="inlineStr">
        <is>
          <t>.</t>
        </is>
      </c>
      <c r="R301" s="1491" t="n"/>
      <c r="S301" s="1491" t="n"/>
      <c r="T301" s="1491" t="n"/>
      <c r="U301" s="1491" t="n"/>
      <c r="V301" s="1491" t="n"/>
      <c r="W301" s="1491" t="n"/>
      <c r="X301" s="1491" t="n"/>
      <c r="Y301" s="1491" t="n"/>
      <c r="Z301" s="1491" t="n"/>
      <c r="AA301" s="1491" t="n"/>
      <c r="AB301" s="1491" t="n"/>
      <c r="AC301" s="1491" t="n"/>
      <c r="AD301" s="1491" t="n"/>
      <c r="AE301" s="1491" t="n"/>
      <c r="AF301" s="1491" t="n"/>
      <c r="AG301" s="1491" t="n"/>
      <c r="AH301" s="1491" t="n"/>
      <c r="AI301" s="1491" t="n"/>
      <c r="AJ301" s="1491" t="n"/>
      <c r="AK301" s="1491" t="n"/>
      <c r="AL301" s="1491" t="n"/>
      <c r="AM301" s="1491" t="n"/>
      <c r="AN301" s="1491" t="n"/>
      <c r="AO301" s="1491" t="n"/>
      <c r="AP301" s="1491" t="n"/>
      <c r="AQ301" s="1491" t="n"/>
      <c r="AR301" s="1491" t="n"/>
      <c r="AS301" s="1491" t="n"/>
      <c r="AT301" s="1491" t="n"/>
      <c r="AU301" s="1491" t="n"/>
      <c r="AV301" s="1491" t="n"/>
      <c r="AW301" s="1491" t="n"/>
      <c r="AX301" s="1491" t="n"/>
      <c r="AY301" s="1491" t="n"/>
      <c r="AZ301" s="1491" t="n"/>
      <c r="BA301" s="1491" t="n"/>
      <c r="BB301" s="1491" t="n"/>
      <c r="BC301" s="1491" t="n"/>
      <c r="BD301" s="1491" t="n"/>
      <c r="BE301" s="1491" t="n"/>
      <c r="BF301" s="1491" t="n"/>
      <c r="BG301" s="1491" t="n"/>
      <c r="BH301" s="1491" t="n"/>
      <c r="BI301" s="1491" t="n"/>
      <c r="BJ301" s="1491" t="n"/>
      <c r="BK301" s="1491" t="n"/>
      <c r="BL301" s="1491" t="n"/>
      <c r="BM301" s="1491" t="n"/>
      <c r="BN301" s="1491" t="n"/>
      <c r="BO301" s="1467" t="n"/>
      <c r="BP301" s="1514" t="n">
        <v>297</v>
      </c>
      <c r="BQ301" s="1513">
        <f>[1]Sheet1!C302</f>
        <v/>
      </c>
      <c r="BR301" s="1515">
        <f>[1]Sheet1!D302</f>
        <v/>
      </c>
      <c r="BS301" s="1513">
        <f>[1]Sheet1!E302</f>
        <v/>
      </c>
      <c r="BT301" s="1515">
        <f>[1]Sheet1!F302</f>
        <v/>
      </c>
      <c r="BU301" s="1516">
        <f>[1]Sheet1!G302</f>
        <v/>
      </c>
      <c r="BV301" s="1513">
        <f>[1]Sheet1!H302</f>
        <v/>
      </c>
      <c r="BW301" s="1467" t="n"/>
      <c r="BX301" s="1491" t="n"/>
      <c r="BY301" s="1491" t="n"/>
      <c r="BZ301" s="1491" t="n"/>
      <c r="CA301" s="1491" t="n"/>
      <c r="CB301" s="1467" t="n"/>
      <c r="CC301" s="1467" t="n"/>
      <c r="CD301" s="1491" t="n"/>
      <c r="CE301" s="1491" t="n"/>
      <c r="CF301" s="1491" t="n"/>
      <c r="CG301" s="1491" t="n"/>
      <c r="CH301" s="1491" t="n"/>
      <c r="CI301" s="1491" t="n"/>
      <c r="CJ301" s="1491" t="n"/>
      <c r="CK301" s="1491" t="n"/>
      <c r="CL301" s="1491" t="n"/>
      <c r="CM301" s="1491" t="n"/>
      <c r="CN301" s="1491" t="n"/>
      <c r="CO301" s="1491" t="n"/>
      <c r="CP301" s="1491" t="n"/>
      <c r="CQ301" s="1491" t="n"/>
      <c r="CR301" s="1491" t="n"/>
      <c r="CS301" s="1491" t="n"/>
      <c r="CT301" s="1491" t="n"/>
      <c r="CU301" s="1491" t="n"/>
      <c r="CV301" s="1491" t="n"/>
      <c r="CW301" s="1491" t="n"/>
      <c r="CX301" s="1491" t="n"/>
    </row>
    <row r="302">
      <c r="A302" s="1491" t="n"/>
      <c r="B302" s="1491" t="n"/>
      <c r="C302" s="1491" t="n"/>
      <c r="D302" s="1497">
        <f>IF(E302&lt;&gt;"",D301+1,D301)</f>
        <v/>
      </c>
      <c r="E302" s="1497" t="inlineStr">
        <is>
          <t>Lindoia</t>
        </is>
      </c>
      <c r="F302" s="1535" t="inlineStr">
        <is>
          <t>.</t>
        </is>
      </c>
      <c r="G302" s="1498">
        <f>IF(H302="AIR",0,IF(H301="AIR",G300+1,IF(H302&lt;&gt;"",G301+1,G301)))</f>
        <v/>
      </c>
      <c r="H302" s="1498" t="inlineStr">
        <is>
          <t>Guaratinguetá</t>
        </is>
      </c>
      <c r="I302" s="1427" t="inlineStr">
        <is>
          <t>.</t>
        </is>
      </c>
      <c r="J302" s="1499" t="n">
        <v>297</v>
      </c>
      <c r="K302" s="1500">
        <f>_xlfn.XLOOKUP(cities[[#This Row],[id]],$D$5:$D$1500,E$5:E$1500,"-")</f>
        <v/>
      </c>
      <c r="L302" s="1500">
        <f>_xlfn.XLOOKUP(cities[[#This Row],[city]],ccc[city],ccc[ctry],"-")</f>
        <v/>
      </c>
      <c r="M302" s="1500">
        <f>SUMIFS(stayCity[stay],stayCity[city],cities[[#This Row],[city]])</f>
        <v/>
      </c>
      <c r="N302" s="1427">
        <f>N301+1</f>
        <v/>
      </c>
      <c r="O302" s="1500" t="n"/>
      <c r="P302" s="1500" t="n"/>
      <c r="Q302" s="1427" t="inlineStr">
        <is>
          <t>.</t>
        </is>
      </c>
      <c r="R302" s="1491" t="n"/>
      <c r="S302" s="1491" t="n"/>
      <c r="T302" s="1491" t="n"/>
      <c r="U302" s="1491" t="n"/>
      <c r="V302" s="1491" t="n"/>
      <c r="W302" s="1491" t="n"/>
      <c r="X302" s="1491" t="n"/>
      <c r="Y302" s="1491" t="n"/>
      <c r="Z302" s="1491" t="n"/>
      <c r="AA302" s="1491" t="n"/>
      <c r="AB302" s="1491" t="n"/>
      <c r="AC302" s="1491" t="n"/>
      <c r="AD302" s="1491" t="n"/>
      <c r="AE302" s="1491" t="n"/>
      <c r="AF302" s="1491" t="n"/>
      <c r="AG302" s="1491" t="n"/>
      <c r="AH302" s="1491" t="n"/>
      <c r="AI302" s="1491" t="n"/>
      <c r="AJ302" s="1491" t="n"/>
      <c r="AK302" s="1491" t="n"/>
      <c r="AL302" s="1491" t="n"/>
      <c r="AM302" s="1491" t="n"/>
      <c r="AN302" s="1491" t="n"/>
      <c r="AO302" s="1491" t="n"/>
      <c r="AP302" s="1491" t="n"/>
      <c r="AQ302" s="1491" t="n"/>
      <c r="AR302" s="1491" t="n"/>
      <c r="AS302" s="1491" t="n"/>
      <c r="AT302" s="1491" t="n"/>
      <c r="AU302" s="1491" t="n"/>
      <c r="AV302" s="1491" t="n"/>
      <c r="AW302" s="1491" t="n"/>
      <c r="AX302" s="1491" t="n"/>
      <c r="AY302" s="1491" t="n"/>
      <c r="AZ302" s="1491" t="n"/>
      <c r="BA302" s="1491" t="n"/>
      <c r="BB302" s="1491" t="n"/>
      <c r="BC302" s="1491" t="n"/>
      <c r="BD302" s="1491" t="n"/>
      <c r="BE302" s="1491" t="n"/>
      <c r="BF302" s="1491" t="n"/>
      <c r="BG302" s="1491" t="n"/>
      <c r="BH302" s="1491" t="n"/>
      <c r="BI302" s="1491" t="n"/>
      <c r="BJ302" s="1491" t="n"/>
      <c r="BK302" s="1491" t="n"/>
      <c r="BL302" s="1491" t="n"/>
      <c r="BM302" s="1491" t="n"/>
      <c r="BN302" s="1491" t="n"/>
      <c r="BO302" s="1467" t="n"/>
      <c r="BP302" s="1514" t="n">
        <v>298</v>
      </c>
      <c r="BQ302" s="1513">
        <f>[1]Sheet1!C303</f>
        <v/>
      </c>
      <c r="BR302" s="1515">
        <f>[1]Sheet1!D303</f>
        <v/>
      </c>
      <c r="BS302" s="1513">
        <f>[1]Sheet1!E303</f>
        <v/>
      </c>
      <c r="BT302" s="1515">
        <f>[1]Sheet1!F303</f>
        <v/>
      </c>
      <c r="BU302" s="1516">
        <f>[1]Sheet1!G303</f>
        <v/>
      </c>
      <c r="BV302" s="1513">
        <f>[1]Sheet1!H303</f>
        <v/>
      </c>
      <c r="BW302" s="1467" t="n"/>
      <c r="BX302" s="1491" t="n"/>
      <c r="BY302" s="1491" t="n"/>
      <c r="BZ302" s="1491" t="n"/>
      <c r="CA302" s="1491" t="n"/>
      <c r="CB302" s="1467" t="n"/>
      <c r="CC302" s="1467" t="n"/>
      <c r="CD302" s="1491" t="n"/>
      <c r="CE302" s="1491" t="n"/>
      <c r="CF302" s="1491" t="n"/>
      <c r="CG302" s="1491" t="n"/>
      <c r="CH302" s="1491" t="n"/>
      <c r="CI302" s="1491" t="n"/>
      <c r="CJ302" s="1491" t="n"/>
      <c r="CK302" s="1491" t="n"/>
      <c r="CL302" s="1491" t="n"/>
      <c r="CM302" s="1491" t="n"/>
      <c r="CN302" s="1491" t="n"/>
      <c r="CO302" s="1491" t="n"/>
      <c r="CP302" s="1491" t="n"/>
      <c r="CQ302" s="1491" t="n"/>
      <c r="CR302" s="1491" t="n"/>
      <c r="CS302" s="1491" t="n"/>
      <c r="CT302" s="1491" t="n"/>
      <c r="CU302" s="1491" t="n"/>
      <c r="CV302" s="1491" t="n"/>
      <c r="CW302" s="1491" t="n"/>
      <c r="CX302" s="1491" t="n"/>
    </row>
    <row r="303">
      <c r="A303" s="1491" t="n"/>
      <c r="B303" s="1491" t="n"/>
      <c r="C303" s="1491" t="n"/>
      <c r="D303" s="1497">
        <f>IF(E303&lt;&gt;"",D302+1,D302)</f>
        <v/>
      </c>
      <c r="E303" s="1497" t="inlineStr">
        <is>
          <t>Bertioga</t>
        </is>
      </c>
      <c r="F303" s="1535" t="inlineStr">
        <is>
          <t>.</t>
        </is>
      </c>
      <c r="G303" s="1498">
        <f>IF(H303="AIR",0,IF(H302="AIR",G301+1,IF(H303&lt;&gt;"",G302+1,G302)))</f>
        <v/>
      </c>
      <c r="H303" s="1498" t="inlineStr">
        <is>
          <t>Paraty</t>
        </is>
      </c>
      <c r="I303" s="1427" t="inlineStr">
        <is>
          <t>.</t>
        </is>
      </c>
      <c r="J303" s="1499" t="n">
        <v>298</v>
      </c>
      <c r="K303" s="1500">
        <f>_xlfn.XLOOKUP(cities[[#This Row],[id]],$D$5:$D$1500,E$5:E$1500,"-")</f>
        <v/>
      </c>
      <c r="L303" s="1500">
        <f>_xlfn.XLOOKUP(cities[[#This Row],[city]],ccc[city],ccc[ctry],"-")</f>
        <v/>
      </c>
      <c r="M303" s="1500">
        <f>SUMIFS(stayCity[stay],stayCity[city],cities[[#This Row],[city]])</f>
        <v/>
      </c>
      <c r="N303" s="1427">
        <f>N302+1</f>
        <v/>
      </c>
      <c r="O303" s="1500" t="n"/>
      <c r="P303" s="1500" t="n"/>
      <c r="Q303" s="1427" t="inlineStr">
        <is>
          <t>.</t>
        </is>
      </c>
      <c r="R303" s="1491" t="n"/>
      <c r="S303" s="1491" t="n"/>
      <c r="T303" s="1491" t="n"/>
      <c r="U303" s="1491" t="n"/>
      <c r="V303" s="1491" t="n"/>
      <c r="W303" s="1491" t="n"/>
      <c r="X303" s="1491" t="n"/>
      <c r="Y303" s="1491" t="n"/>
      <c r="Z303" s="1491" t="n"/>
      <c r="AA303" s="1491" t="n"/>
      <c r="AB303" s="1491" t="n"/>
      <c r="AC303" s="1491" t="n"/>
      <c r="AD303" s="1491" t="n"/>
      <c r="AE303" s="1491" t="n"/>
      <c r="AF303" s="1491" t="n"/>
      <c r="AG303" s="1491" t="n"/>
      <c r="AH303" s="1491" t="n"/>
      <c r="AI303" s="1491" t="n"/>
      <c r="AJ303" s="1491" t="n"/>
      <c r="AK303" s="1491" t="n"/>
      <c r="AL303" s="1491" t="n"/>
      <c r="AM303" s="1491" t="n"/>
      <c r="AN303" s="1491" t="n"/>
      <c r="AO303" s="1491" t="n"/>
      <c r="AP303" s="1491" t="n"/>
      <c r="AQ303" s="1491" t="n"/>
      <c r="AR303" s="1491" t="n"/>
      <c r="AS303" s="1491" t="n"/>
      <c r="AT303" s="1491" t="n"/>
      <c r="AU303" s="1491" t="n"/>
      <c r="AV303" s="1491" t="n"/>
      <c r="AW303" s="1491" t="n"/>
      <c r="AX303" s="1491" t="n"/>
      <c r="AY303" s="1491" t="n"/>
      <c r="AZ303" s="1491" t="n"/>
      <c r="BA303" s="1491" t="n"/>
      <c r="BB303" s="1491" t="n"/>
      <c r="BC303" s="1491" t="n"/>
      <c r="BD303" s="1491" t="n"/>
      <c r="BE303" s="1491" t="n"/>
      <c r="BF303" s="1491" t="n"/>
      <c r="BG303" s="1491" t="n"/>
      <c r="BH303" s="1491" t="n"/>
      <c r="BI303" s="1491" t="n"/>
      <c r="BJ303" s="1491" t="n"/>
      <c r="BK303" s="1491" t="n"/>
      <c r="BL303" s="1491" t="n"/>
      <c r="BM303" s="1491" t="n"/>
      <c r="BN303" s="1491" t="n"/>
      <c r="BO303" s="1467" t="n"/>
      <c r="BP303" s="1514" t="n">
        <v>299</v>
      </c>
      <c r="BQ303" s="1513">
        <f>[1]Sheet1!C304</f>
        <v/>
      </c>
      <c r="BR303" s="1515">
        <f>[1]Sheet1!D304</f>
        <v/>
      </c>
      <c r="BS303" s="1513">
        <f>[1]Sheet1!E304</f>
        <v/>
      </c>
      <c r="BT303" s="1515">
        <f>[1]Sheet1!F304</f>
        <v/>
      </c>
      <c r="BU303" s="1516">
        <f>[1]Sheet1!G304</f>
        <v/>
      </c>
      <c r="BV303" s="1513">
        <f>[1]Sheet1!H304</f>
        <v/>
      </c>
      <c r="BW303" s="1467" t="n"/>
      <c r="BX303" s="1491" t="n"/>
      <c r="BY303" s="1491" t="n"/>
      <c r="BZ303" s="1491" t="n"/>
      <c r="CA303" s="1491" t="n"/>
      <c r="CB303" s="1467" t="n"/>
      <c r="CC303" s="1467" t="n"/>
      <c r="CD303" s="1491" t="n"/>
      <c r="CE303" s="1491" t="n"/>
      <c r="CF303" s="1491" t="n"/>
      <c r="CG303" s="1491" t="n"/>
      <c r="CH303" s="1491" t="n"/>
      <c r="CI303" s="1491" t="n"/>
      <c r="CJ303" s="1491" t="n"/>
      <c r="CK303" s="1491" t="n"/>
      <c r="CL303" s="1491" t="n"/>
      <c r="CM303" s="1491" t="n"/>
      <c r="CN303" s="1491" t="n"/>
      <c r="CO303" s="1491" t="n"/>
      <c r="CP303" s="1491" t="n"/>
      <c r="CQ303" s="1491" t="n"/>
      <c r="CR303" s="1491" t="n"/>
      <c r="CS303" s="1491" t="n"/>
      <c r="CT303" s="1491" t="n"/>
      <c r="CU303" s="1491" t="n"/>
      <c r="CV303" s="1491" t="n"/>
      <c r="CW303" s="1491" t="n"/>
      <c r="CX303" s="1491" t="n"/>
    </row>
    <row r="304">
      <c r="A304" s="1491" t="n"/>
      <c r="B304" s="1491" t="n"/>
      <c r="C304" s="1491" t="n"/>
      <c r="D304" s="1497">
        <f>IF(E304&lt;&gt;"",D303+1,D303)</f>
        <v/>
      </c>
      <c r="E304" s="1497" t="inlineStr">
        <is>
          <t>BH</t>
        </is>
      </c>
      <c r="F304" s="1535" t="inlineStr">
        <is>
          <t>.</t>
        </is>
      </c>
      <c r="G304" s="1498">
        <f>IF(H304="AIR",0,IF(H303="AIR",G302+1,IF(H304&lt;&gt;"",G303+1,G303)))</f>
        <v/>
      </c>
      <c r="H304" s="1498" t="inlineStr">
        <is>
          <t>Trindade</t>
        </is>
      </c>
      <c r="I304" s="1427" t="inlineStr">
        <is>
          <t>.</t>
        </is>
      </c>
      <c r="J304" s="1499" t="n">
        <v>299</v>
      </c>
      <c r="K304" s="1500">
        <f>_xlfn.XLOOKUP(cities[[#This Row],[id]],$D$5:$D$1500,E$5:E$1500,"-")</f>
        <v/>
      </c>
      <c r="L304" s="1500">
        <f>_xlfn.XLOOKUP(cities[[#This Row],[city]],ccc[city],ccc[ctry],"-")</f>
        <v/>
      </c>
      <c r="M304" s="1500">
        <f>SUMIFS(stayCity[stay],stayCity[city],cities[[#This Row],[city]])</f>
        <v/>
      </c>
      <c r="N304" s="1427">
        <f>N303+1</f>
        <v/>
      </c>
      <c r="O304" s="1500" t="n"/>
      <c r="P304" s="1500" t="n"/>
      <c r="Q304" s="1427" t="inlineStr">
        <is>
          <t>.</t>
        </is>
      </c>
      <c r="R304" s="1491" t="n"/>
      <c r="S304" s="1491" t="n"/>
      <c r="T304" s="1491" t="n"/>
      <c r="U304" s="1491" t="n"/>
      <c r="V304" s="1491" t="n"/>
      <c r="W304" s="1491" t="n"/>
      <c r="X304" s="1491" t="n"/>
      <c r="Y304" s="1491" t="n"/>
      <c r="Z304" s="1491" t="n"/>
      <c r="AA304" s="1491" t="n"/>
      <c r="AB304" s="1491" t="n"/>
      <c r="AC304" s="1491" t="n"/>
      <c r="AD304" s="1491" t="n"/>
      <c r="AE304" s="1491" t="n"/>
      <c r="AF304" s="1491" t="n"/>
      <c r="AG304" s="1491" t="n"/>
      <c r="AH304" s="1491" t="n"/>
      <c r="AI304" s="1491" t="n"/>
      <c r="AJ304" s="1491" t="n"/>
      <c r="AK304" s="1491" t="n"/>
      <c r="AL304" s="1491" t="n"/>
      <c r="AM304" s="1491" t="n"/>
      <c r="AN304" s="1491" t="n"/>
      <c r="AO304" s="1491" t="n"/>
      <c r="AP304" s="1491" t="n"/>
      <c r="AQ304" s="1491" t="n"/>
      <c r="AR304" s="1491" t="n"/>
      <c r="AS304" s="1491" t="n"/>
      <c r="AT304" s="1491" t="n"/>
      <c r="AU304" s="1491" t="n"/>
      <c r="AV304" s="1491" t="n"/>
      <c r="AW304" s="1491" t="n"/>
      <c r="AX304" s="1491" t="n"/>
      <c r="AY304" s="1491" t="n"/>
      <c r="AZ304" s="1491" t="n"/>
      <c r="BA304" s="1491" t="n"/>
      <c r="BB304" s="1491" t="n"/>
      <c r="BC304" s="1491" t="n"/>
      <c r="BD304" s="1491" t="n"/>
      <c r="BE304" s="1491" t="n"/>
      <c r="BF304" s="1491" t="n"/>
      <c r="BG304" s="1491" t="n"/>
      <c r="BH304" s="1491" t="n"/>
      <c r="BI304" s="1491" t="n"/>
      <c r="BJ304" s="1491" t="n"/>
      <c r="BK304" s="1491" t="n"/>
      <c r="BL304" s="1491" t="n"/>
      <c r="BM304" s="1491" t="n"/>
      <c r="BN304" s="1491" t="n"/>
      <c r="BO304" s="1467" t="n"/>
      <c r="BP304" s="1514" t="n">
        <v>300</v>
      </c>
      <c r="BQ304" s="1513">
        <f>[1]Sheet1!C305</f>
        <v/>
      </c>
      <c r="BR304" s="1515">
        <f>[1]Sheet1!D305</f>
        <v/>
      </c>
      <c r="BS304" s="1513">
        <f>[1]Sheet1!E305</f>
        <v/>
      </c>
      <c r="BT304" s="1515">
        <f>[1]Sheet1!F305</f>
        <v/>
      </c>
      <c r="BU304" s="1516">
        <f>[1]Sheet1!G305</f>
        <v/>
      </c>
      <c r="BV304" s="1513">
        <f>[1]Sheet1!H305</f>
        <v/>
      </c>
      <c r="BW304" s="1467" t="n"/>
      <c r="BX304" s="1491" t="n"/>
      <c r="BY304" s="1491" t="n"/>
      <c r="BZ304" s="1491" t="n"/>
      <c r="CA304" s="1491" t="n"/>
      <c r="CB304" s="1467" t="n"/>
      <c r="CC304" s="1467" t="n"/>
      <c r="CD304" s="1491" t="n"/>
      <c r="CE304" s="1491" t="n"/>
      <c r="CF304" s="1491" t="n"/>
      <c r="CG304" s="1491" t="n"/>
      <c r="CH304" s="1491" t="n"/>
      <c r="CI304" s="1491" t="n"/>
      <c r="CJ304" s="1491" t="n"/>
      <c r="CK304" s="1491" t="n"/>
      <c r="CL304" s="1491" t="n"/>
      <c r="CM304" s="1491" t="n"/>
      <c r="CN304" s="1491" t="n"/>
      <c r="CO304" s="1491" t="n"/>
      <c r="CP304" s="1491" t="n"/>
      <c r="CQ304" s="1491" t="n"/>
      <c r="CR304" s="1491" t="n"/>
      <c r="CS304" s="1491" t="n"/>
      <c r="CT304" s="1491" t="n"/>
      <c r="CU304" s="1491" t="n"/>
      <c r="CV304" s="1491" t="n"/>
      <c r="CW304" s="1491" t="n"/>
      <c r="CX304" s="1491" t="n"/>
    </row>
    <row r="305">
      <c r="A305" s="1491" t="n"/>
      <c r="B305" s="1491" t="n"/>
      <c r="C305" s="1491" t="n"/>
      <c r="D305" s="1497">
        <f>IF(E305&lt;&gt;"",D304+1,D304)</f>
        <v/>
      </c>
      <c r="E305" s="1497" t="inlineStr">
        <is>
          <t>Lauro de Freitas</t>
        </is>
      </c>
      <c r="F305" s="1535" t="inlineStr">
        <is>
          <t>.</t>
        </is>
      </c>
      <c r="G305" s="1498">
        <f>IF(H305="AIR",0,IF(H304="AIR",G303+1,IF(H305&lt;&gt;"",G304+1,G304)))</f>
        <v/>
      </c>
      <c r="H305" s="1498" t="inlineStr">
        <is>
          <t>Brotas</t>
        </is>
      </c>
      <c r="I305" s="1427" t="inlineStr">
        <is>
          <t>.</t>
        </is>
      </c>
      <c r="J305" s="1499" t="n">
        <v>300</v>
      </c>
      <c r="K305" s="1500">
        <f>_xlfn.XLOOKUP(cities[[#This Row],[id]],$D$5:$D$1500,E$5:E$1500,"-")</f>
        <v/>
      </c>
      <c r="L305" s="1500">
        <f>_xlfn.XLOOKUP(cities[[#This Row],[city]],ccc[city],ccc[ctry],"-")</f>
        <v/>
      </c>
      <c r="M305" s="1500">
        <f>SUMIFS(stayCity[stay],stayCity[city],cities[[#This Row],[city]])</f>
        <v/>
      </c>
      <c r="N305" s="1427">
        <f>N304+1</f>
        <v/>
      </c>
      <c r="O305" s="1500" t="n"/>
      <c r="P305" s="1500" t="n"/>
      <c r="Q305" s="1427" t="inlineStr">
        <is>
          <t>.</t>
        </is>
      </c>
      <c r="R305" s="1491" t="n"/>
      <c r="S305" s="1491" t="n"/>
      <c r="T305" s="1491" t="n"/>
      <c r="U305" s="1491" t="n"/>
      <c r="V305" s="1491" t="n"/>
      <c r="W305" s="1491" t="n"/>
      <c r="X305" s="1491" t="n"/>
      <c r="Y305" s="1491" t="n"/>
      <c r="Z305" s="1491" t="n"/>
      <c r="AA305" s="1491" t="n"/>
      <c r="AB305" s="1491" t="n"/>
      <c r="AC305" s="1491" t="n"/>
      <c r="AD305" s="1491" t="n"/>
      <c r="AE305" s="1491" t="n"/>
      <c r="AF305" s="1491" t="n"/>
      <c r="AG305" s="1491" t="n"/>
      <c r="AH305" s="1491" t="n"/>
      <c r="AI305" s="1491" t="n"/>
      <c r="AJ305" s="1491" t="n"/>
      <c r="AK305" s="1491" t="n"/>
      <c r="AL305" s="1491" t="n"/>
      <c r="AM305" s="1491" t="n"/>
      <c r="AN305" s="1491" t="n"/>
      <c r="AO305" s="1491" t="n"/>
      <c r="AP305" s="1491" t="n"/>
      <c r="AQ305" s="1491" t="n"/>
      <c r="AR305" s="1491" t="n"/>
      <c r="AS305" s="1491" t="n"/>
      <c r="AT305" s="1491" t="n"/>
      <c r="AU305" s="1491" t="n"/>
      <c r="AV305" s="1491" t="n"/>
      <c r="AW305" s="1491" t="n"/>
      <c r="AX305" s="1491" t="n"/>
      <c r="AY305" s="1491" t="n"/>
      <c r="AZ305" s="1491" t="n"/>
      <c r="BA305" s="1491" t="n"/>
      <c r="BB305" s="1491" t="n"/>
      <c r="BC305" s="1491" t="n"/>
      <c r="BD305" s="1491" t="n"/>
      <c r="BE305" s="1491" t="n"/>
      <c r="BF305" s="1491" t="n"/>
      <c r="BG305" s="1491" t="n"/>
      <c r="BH305" s="1491" t="n"/>
      <c r="BI305" s="1491" t="n"/>
      <c r="BJ305" s="1491" t="n"/>
      <c r="BK305" s="1491" t="n"/>
      <c r="BL305" s="1491" t="n"/>
      <c r="BM305" s="1491" t="n"/>
      <c r="BN305" s="1491" t="n"/>
      <c r="BO305" s="1467" t="n"/>
      <c r="BP305" s="1514" t="n">
        <v>301</v>
      </c>
      <c r="BQ305" s="1513">
        <f>[1]Sheet1!C306</f>
        <v/>
      </c>
      <c r="BR305" s="1515">
        <f>[1]Sheet1!D306</f>
        <v/>
      </c>
      <c r="BS305" s="1513">
        <f>[1]Sheet1!E306</f>
        <v/>
      </c>
      <c r="BT305" s="1515">
        <f>[1]Sheet1!F306</f>
        <v/>
      </c>
      <c r="BU305" s="1516">
        <f>[1]Sheet1!G306</f>
        <v/>
      </c>
      <c r="BV305" s="1513">
        <f>[1]Sheet1!H306</f>
        <v/>
      </c>
      <c r="BW305" s="1467" t="n"/>
      <c r="BX305" s="1491" t="n"/>
      <c r="BY305" s="1491" t="n"/>
      <c r="BZ305" s="1491" t="n"/>
      <c r="CA305" s="1491" t="n"/>
      <c r="CB305" s="1467" t="n"/>
      <c r="CC305" s="1467" t="n"/>
      <c r="CD305" s="1491" t="n"/>
      <c r="CE305" s="1491" t="n"/>
      <c r="CF305" s="1491" t="n"/>
      <c r="CG305" s="1491" t="n"/>
      <c r="CH305" s="1491" t="n"/>
      <c r="CI305" s="1491" t="n"/>
      <c r="CJ305" s="1491" t="n"/>
      <c r="CK305" s="1491" t="n"/>
      <c r="CL305" s="1491" t="n"/>
      <c r="CM305" s="1491" t="n"/>
      <c r="CN305" s="1491" t="n"/>
      <c r="CO305" s="1491" t="n"/>
      <c r="CP305" s="1491" t="n"/>
      <c r="CQ305" s="1491" t="n"/>
      <c r="CR305" s="1491" t="n"/>
      <c r="CS305" s="1491" t="n"/>
      <c r="CT305" s="1491" t="n"/>
      <c r="CU305" s="1491" t="n"/>
      <c r="CV305" s="1491" t="n"/>
      <c r="CW305" s="1491" t="n"/>
      <c r="CX305" s="1491" t="n"/>
    </row>
    <row r="306">
      <c r="A306" s="1491" t="n"/>
      <c r="B306" s="1491" t="n"/>
      <c r="C306" s="1491" t="n"/>
      <c r="D306" s="1497">
        <f>IF(E306&lt;&gt;"",D305+1,D305)</f>
        <v/>
      </c>
      <c r="E306" s="1497" t="inlineStr">
        <is>
          <t>Reykjavik</t>
        </is>
      </c>
      <c r="F306" s="1535" t="inlineStr">
        <is>
          <t>.</t>
        </is>
      </c>
      <c r="G306" s="1498">
        <f>IF(H306="AIR",0,IF(H305="AIR",G304+1,IF(H306&lt;&gt;"",G305+1,G305)))</f>
        <v/>
      </c>
      <c r="H306" s="1498" t="inlineStr">
        <is>
          <t>Ubatuba</t>
        </is>
      </c>
      <c r="I306" s="1427" t="inlineStr">
        <is>
          <t>.</t>
        </is>
      </c>
      <c r="J306" s="1499" t="n">
        <v>301</v>
      </c>
      <c r="K306" s="1500">
        <f>_xlfn.XLOOKUP(cities[[#This Row],[id]],$D$5:$D$1500,E$5:E$1500,"-")</f>
        <v/>
      </c>
      <c r="L306" s="1500">
        <f>_xlfn.XLOOKUP(cities[[#This Row],[city]],ccc[city],ccc[ctry],"-")</f>
        <v/>
      </c>
      <c r="M306" s="1500">
        <f>SUMIFS(stayCity[stay],stayCity[city],cities[[#This Row],[city]])</f>
        <v/>
      </c>
      <c r="N306" s="1427">
        <f>N305+1</f>
        <v/>
      </c>
      <c r="O306" s="1500" t="n"/>
      <c r="P306" s="1500" t="n"/>
      <c r="Q306" s="1427" t="inlineStr">
        <is>
          <t>.</t>
        </is>
      </c>
      <c r="R306" s="1491" t="n"/>
      <c r="S306" s="1491" t="n"/>
      <c r="T306" s="1491" t="n"/>
      <c r="U306" s="1491" t="n"/>
      <c r="V306" s="1491" t="n"/>
      <c r="W306" s="1491" t="n"/>
      <c r="X306" s="1491" t="n"/>
      <c r="Y306" s="1491" t="n"/>
      <c r="Z306" s="1491" t="n"/>
      <c r="AA306" s="1491" t="n"/>
      <c r="AB306" s="1491" t="n"/>
      <c r="AC306" s="1491" t="n"/>
      <c r="AD306" s="1491" t="n"/>
      <c r="AE306" s="1491" t="n"/>
      <c r="AF306" s="1491" t="n"/>
      <c r="AG306" s="1491" t="n"/>
      <c r="AH306" s="1491" t="n"/>
      <c r="AI306" s="1491" t="n"/>
      <c r="AJ306" s="1491" t="n"/>
      <c r="AK306" s="1491" t="n"/>
      <c r="AL306" s="1491" t="n"/>
      <c r="AM306" s="1491" t="n"/>
      <c r="AN306" s="1491" t="n"/>
      <c r="AO306" s="1491" t="n"/>
      <c r="AP306" s="1491" t="n"/>
      <c r="AQ306" s="1491" t="n"/>
      <c r="AR306" s="1491" t="n"/>
      <c r="AS306" s="1491" t="n"/>
      <c r="AT306" s="1491" t="n"/>
      <c r="AU306" s="1491" t="n"/>
      <c r="AV306" s="1491" t="n"/>
      <c r="AW306" s="1491" t="n"/>
      <c r="AX306" s="1491" t="n"/>
      <c r="AY306" s="1491" t="n"/>
      <c r="AZ306" s="1491" t="n"/>
      <c r="BA306" s="1491" t="n"/>
      <c r="BB306" s="1491" t="n"/>
      <c r="BC306" s="1491" t="n"/>
      <c r="BD306" s="1491" t="n"/>
      <c r="BE306" s="1491" t="n"/>
      <c r="BF306" s="1491" t="n"/>
      <c r="BG306" s="1491" t="n"/>
      <c r="BH306" s="1491" t="n"/>
      <c r="BI306" s="1491" t="n"/>
      <c r="BJ306" s="1491" t="n"/>
      <c r="BK306" s="1491" t="n"/>
      <c r="BL306" s="1491" t="n"/>
      <c r="BM306" s="1491" t="n"/>
      <c r="BN306" s="1491" t="n"/>
      <c r="BO306" s="1467" t="n"/>
      <c r="BP306" s="1514" t="n">
        <v>302</v>
      </c>
      <c r="BQ306" s="1513">
        <f>[1]Sheet1!C307</f>
        <v/>
      </c>
      <c r="BR306" s="1515">
        <f>[1]Sheet1!D307</f>
        <v/>
      </c>
      <c r="BS306" s="1513">
        <f>[1]Sheet1!E307</f>
        <v/>
      </c>
      <c r="BT306" s="1515">
        <f>[1]Sheet1!F307</f>
        <v/>
      </c>
      <c r="BU306" s="1516">
        <f>[1]Sheet1!G307</f>
        <v/>
      </c>
      <c r="BV306" s="1513">
        <f>[1]Sheet1!H307</f>
        <v/>
      </c>
      <c r="BW306" s="1467" t="n"/>
      <c r="BX306" s="1491" t="n"/>
      <c r="BY306" s="1491" t="n"/>
      <c r="BZ306" s="1491" t="n"/>
      <c r="CA306" s="1491" t="n"/>
      <c r="CB306" s="1467" t="n"/>
      <c r="CC306" s="1467" t="n"/>
      <c r="CD306" s="1491" t="n"/>
      <c r="CE306" s="1491" t="n"/>
      <c r="CF306" s="1491" t="n"/>
      <c r="CG306" s="1491" t="n"/>
      <c r="CH306" s="1491" t="n"/>
      <c r="CI306" s="1491" t="n"/>
      <c r="CJ306" s="1491" t="n"/>
      <c r="CK306" s="1491" t="n"/>
      <c r="CL306" s="1491" t="n"/>
      <c r="CM306" s="1491" t="n"/>
      <c r="CN306" s="1491" t="n"/>
      <c r="CO306" s="1491" t="n"/>
      <c r="CP306" s="1491" t="n"/>
      <c r="CQ306" s="1491" t="n"/>
      <c r="CR306" s="1491" t="n"/>
      <c r="CS306" s="1491" t="n"/>
      <c r="CT306" s="1491" t="n"/>
      <c r="CU306" s="1491" t="n"/>
      <c r="CV306" s="1491" t="n"/>
      <c r="CW306" s="1491" t="n"/>
      <c r="CX306" s="1491" t="n"/>
    </row>
    <row r="307">
      <c r="A307" s="1491" t="n"/>
      <c r="B307" s="1491" t="n"/>
      <c r="C307" s="1491" t="n"/>
      <c r="D307" s="1497">
        <f>IF(E307&lt;&gt;"",D306+1,D306)</f>
        <v/>
      </c>
      <c r="E307" s="1497" t="inlineStr">
        <is>
          <t>Columbia</t>
        </is>
      </c>
      <c r="F307" s="1535" t="inlineStr">
        <is>
          <t>.</t>
        </is>
      </c>
      <c r="G307" s="1498">
        <f>IF(H307="AIR",0,IF(H306="AIR",G305+1,IF(H307&lt;&gt;"",G306+1,G306)))</f>
        <v/>
      </c>
      <c r="H307" s="1498" t="inlineStr">
        <is>
          <t>Camboriú</t>
        </is>
      </c>
      <c r="I307" s="1427" t="inlineStr">
        <is>
          <t>.</t>
        </is>
      </c>
      <c r="J307" s="1499" t="n">
        <v>302</v>
      </c>
      <c r="K307" s="1500">
        <f>_xlfn.XLOOKUP(cities[[#This Row],[id]],$D$5:$D$1500,E$5:E$1500,"-")</f>
        <v/>
      </c>
      <c r="L307" s="1500">
        <f>_xlfn.XLOOKUP(cities[[#This Row],[city]],ccc[city],ccc[ctry],"-")</f>
        <v/>
      </c>
      <c r="M307" s="1500">
        <f>SUMIFS(stayCity[stay],stayCity[city],cities[[#This Row],[city]])</f>
        <v/>
      </c>
      <c r="N307" s="1427">
        <f>N306+1</f>
        <v/>
      </c>
      <c r="O307" s="1500" t="n"/>
      <c r="P307" s="1500" t="n"/>
      <c r="Q307" s="1427" t="inlineStr">
        <is>
          <t>.</t>
        </is>
      </c>
      <c r="R307" s="1491" t="n"/>
      <c r="S307" s="1491" t="n"/>
      <c r="T307" s="1491" t="n"/>
      <c r="U307" s="1491" t="n"/>
      <c r="V307" s="1491" t="n"/>
      <c r="W307" s="1491" t="n"/>
      <c r="X307" s="1491" t="n"/>
      <c r="Y307" s="1491" t="n"/>
      <c r="Z307" s="1491" t="n"/>
      <c r="AA307" s="1491" t="n"/>
      <c r="AB307" s="1491" t="n"/>
      <c r="AC307" s="1491" t="n"/>
      <c r="AD307" s="1491" t="n"/>
      <c r="AE307" s="1491" t="n"/>
      <c r="AF307" s="1491" t="n"/>
      <c r="AG307" s="1491" t="n"/>
      <c r="AH307" s="1491" t="n"/>
      <c r="AI307" s="1491" t="n"/>
      <c r="AJ307" s="1491" t="n"/>
      <c r="AK307" s="1491" t="n"/>
      <c r="AL307" s="1491" t="n"/>
      <c r="AM307" s="1491" t="n"/>
      <c r="AN307" s="1491" t="n"/>
      <c r="AO307" s="1491" t="n"/>
      <c r="AP307" s="1491" t="n"/>
      <c r="AQ307" s="1491" t="n"/>
      <c r="AR307" s="1491" t="n"/>
      <c r="AS307" s="1491" t="n"/>
      <c r="AT307" s="1491" t="n"/>
      <c r="AU307" s="1491" t="n"/>
      <c r="AV307" s="1491" t="n"/>
      <c r="AW307" s="1491" t="n"/>
      <c r="AX307" s="1491" t="n"/>
      <c r="AY307" s="1491" t="n"/>
      <c r="AZ307" s="1491" t="n"/>
      <c r="BA307" s="1491" t="n"/>
      <c r="BB307" s="1491" t="n"/>
      <c r="BC307" s="1491" t="n"/>
      <c r="BD307" s="1491" t="n"/>
      <c r="BE307" s="1491" t="n"/>
      <c r="BF307" s="1491" t="n"/>
      <c r="BG307" s="1491" t="n"/>
      <c r="BH307" s="1491" t="n"/>
      <c r="BI307" s="1491" t="n"/>
      <c r="BJ307" s="1491" t="n"/>
      <c r="BK307" s="1491" t="n"/>
      <c r="BL307" s="1491" t="n"/>
      <c r="BM307" s="1491" t="n"/>
      <c r="BN307" s="1491" t="n"/>
      <c r="BO307" s="1467" t="n"/>
      <c r="BP307" s="1514" t="n">
        <v>303</v>
      </c>
      <c r="BQ307" s="1513">
        <f>[1]Sheet1!C308</f>
        <v/>
      </c>
      <c r="BR307" s="1515">
        <f>[1]Sheet1!D308</f>
        <v/>
      </c>
      <c r="BS307" s="1513">
        <f>[1]Sheet1!E308</f>
        <v/>
      </c>
      <c r="BT307" s="1515">
        <f>[1]Sheet1!F308</f>
        <v/>
      </c>
      <c r="BU307" s="1516">
        <f>[1]Sheet1!G308</f>
        <v/>
      </c>
      <c r="BV307" s="1513">
        <f>[1]Sheet1!H308</f>
        <v/>
      </c>
      <c r="BW307" s="1467" t="n"/>
      <c r="BX307" s="1491" t="n"/>
      <c r="BY307" s="1491" t="n"/>
      <c r="BZ307" s="1491" t="n"/>
      <c r="CA307" s="1491" t="n"/>
      <c r="CB307" s="1467" t="n"/>
      <c r="CC307" s="1467" t="n"/>
      <c r="CD307" s="1491" t="n"/>
      <c r="CE307" s="1491" t="n"/>
      <c r="CF307" s="1491" t="n"/>
      <c r="CG307" s="1491" t="n"/>
      <c r="CH307" s="1491" t="n"/>
      <c r="CI307" s="1491" t="n"/>
      <c r="CJ307" s="1491" t="n"/>
      <c r="CK307" s="1491" t="n"/>
      <c r="CL307" s="1491" t="n"/>
      <c r="CM307" s="1491" t="n"/>
      <c r="CN307" s="1491" t="n"/>
      <c r="CO307" s="1491" t="n"/>
      <c r="CP307" s="1491" t="n"/>
      <c r="CQ307" s="1491" t="n"/>
      <c r="CR307" s="1491" t="n"/>
      <c r="CS307" s="1491" t="n"/>
      <c r="CT307" s="1491" t="n"/>
      <c r="CU307" s="1491" t="n"/>
      <c r="CV307" s="1491" t="n"/>
      <c r="CW307" s="1491" t="n"/>
      <c r="CX307" s="1491" t="n"/>
    </row>
    <row r="308">
      <c r="A308" s="1491" t="n"/>
      <c r="B308" s="1491" t="n"/>
      <c r="C308" s="1491" t="n"/>
      <c r="D308" s="1497">
        <f>IF(E308&lt;&gt;"",D307+1,D307)</f>
        <v/>
      </c>
      <c r="E308" s="1497" t="inlineStr">
        <is>
          <t>Asheville</t>
        </is>
      </c>
      <c r="F308" s="1535" t="inlineStr">
        <is>
          <t>.</t>
        </is>
      </c>
      <c r="G308" s="1498">
        <f>IF(H308="AIR",0,IF(H307="AIR",G306+1,IF(H308&lt;&gt;"",G307+1,G307)))</f>
        <v/>
      </c>
      <c r="H308" s="1498" t="inlineStr">
        <is>
          <t>Guaecá</t>
        </is>
      </c>
      <c r="I308" s="1427" t="inlineStr">
        <is>
          <t>.</t>
        </is>
      </c>
      <c r="J308" s="1499" t="n">
        <v>303</v>
      </c>
      <c r="K308" s="1500">
        <f>_xlfn.XLOOKUP(cities[[#This Row],[id]],$D$5:$D$1500,E$5:E$1500,"-")</f>
        <v/>
      </c>
      <c r="L308" s="1500">
        <f>_xlfn.XLOOKUP(cities[[#This Row],[city]],ccc[city],ccc[ctry],"-")</f>
        <v/>
      </c>
      <c r="M308" s="1500">
        <f>SUMIFS(stayCity[stay],stayCity[city],cities[[#This Row],[city]])</f>
        <v/>
      </c>
      <c r="N308" s="1427">
        <f>N307+1</f>
        <v/>
      </c>
      <c r="O308" s="1500" t="n"/>
      <c r="P308" s="1500" t="n"/>
      <c r="Q308" s="1427" t="inlineStr">
        <is>
          <t>.</t>
        </is>
      </c>
      <c r="R308" s="1491" t="n"/>
      <c r="S308" s="1491" t="n"/>
      <c r="T308" s="1491" t="n"/>
      <c r="U308" s="1491" t="n"/>
      <c r="V308" s="1491" t="n"/>
      <c r="W308" s="1491" t="n"/>
      <c r="X308" s="1491" t="n"/>
      <c r="Y308" s="1491" t="n"/>
      <c r="Z308" s="1491" t="n"/>
      <c r="AA308" s="1491" t="n"/>
      <c r="AB308" s="1491" t="n"/>
      <c r="AC308" s="1491" t="n"/>
      <c r="AD308" s="1491" t="n"/>
      <c r="AE308" s="1491" t="n"/>
      <c r="AF308" s="1491" t="n"/>
      <c r="AG308" s="1491" t="n"/>
      <c r="AH308" s="1491" t="n"/>
      <c r="AI308" s="1491" t="n"/>
      <c r="AJ308" s="1491" t="n"/>
      <c r="AK308" s="1491" t="n"/>
      <c r="AL308" s="1491" t="n"/>
      <c r="AM308" s="1491" t="n"/>
      <c r="AN308" s="1491" t="n"/>
      <c r="AO308" s="1491" t="n"/>
      <c r="AP308" s="1491" t="n"/>
      <c r="AQ308" s="1491" t="n"/>
      <c r="AR308" s="1491" t="n"/>
      <c r="AS308" s="1491" t="n"/>
      <c r="AT308" s="1491" t="n"/>
      <c r="AU308" s="1491" t="n"/>
      <c r="AV308" s="1491" t="n"/>
      <c r="AW308" s="1491" t="n"/>
      <c r="AX308" s="1491" t="n"/>
      <c r="AY308" s="1491" t="n"/>
      <c r="AZ308" s="1491" t="n"/>
      <c r="BA308" s="1491" t="n"/>
      <c r="BB308" s="1491" t="n"/>
      <c r="BC308" s="1491" t="n"/>
      <c r="BD308" s="1491" t="n"/>
      <c r="BE308" s="1491" t="n"/>
      <c r="BF308" s="1491" t="n"/>
      <c r="BG308" s="1491" t="n"/>
      <c r="BH308" s="1491" t="n"/>
      <c r="BI308" s="1491" t="n"/>
      <c r="BJ308" s="1491" t="n"/>
      <c r="BK308" s="1491" t="n"/>
      <c r="BL308" s="1491" t="n"/>
      <c r="BM308" s="1491" t="n"/>
      <c r="BN308" s="1491" t="n"/>
      <c r="BO308" s="1467" t="n"/>
      <c r="BP308" s="1514" t="n">
        <v>304</v>
      </c>
      <c r="BQ308" s="1513">
        <f>[1]Sheet1!C309</f>
        <v/>
      </c>
      <c r="BR308" s="1515">
        <f>[1]Sheet1!D309</f>
        <v/>
      </c>
      <c r="BS308" s="1513">
        <f>[1]Sheet1!E309</f>
        <v/>
      </c>
      <c r="BT308" s="1515">
        <f>[1]Sheet1!F309</f>
        <v/>
      </c>
      <c r="BU308" s="1516">
        <f>[1]Sheet1!G309</f>
        <v/>
      </c>
      <c r="BV308" s="1513">
        <f>[1]Sheet1!H309</f>
        <v/>
      </c>
      <c r="BW308" s="1467" t="n"/>
      <c r="BX308" s="1491" t="n"/>
      <c r="BY308" s="1491" t="n"/>
      <c r="BZ308" s="1491" t="n"/>
      <c r="CA308" s="1491" t="n"/>
      <c r="CB308" s="1467" t="n"/>
      <c r="CC308" s="1467" t="n"/>
      <c r="CD308" s="1491" t="n"/>
      <c r="CE308" s="1491" t="n"/>
      <c r="CF308" s="1491" t="n"/>
      <c r="CG308" s="1491" t="n"/>
      <c r="CH308" s="1491" t="n"/>
      <c r="CI308" s="1491" t="n"/>
      <c r="CJ308" s="1491" t="n"/>
      <c r="CK308" s="1491" t="n"/>
      <c r="CL308" s="1491" t="n"/>
      <c r="CM308" s="1491" t="n"/>
      <c r="CN308" s="1491" t="n"/>
      <c r="CO308" s="1491" t="n"/>
      <c r="CP308" s="1491" t="n"/>
      <c r="CQ308" s="1491" t="n"/>
      <c r="CR308" s="1491" t="n"/>
      <c r="CS308" s="1491" t="n"/>
      <c r="CT308" s="1491" t="n"/>
      <c r="CU308" s="1491" t="n"/>
      <c r="CV308" s="1491" t="n"/>
      <c r="CW308" s="1491" t="n"/>
      <c r="CX308" s="1491" t="n"/>
    </row>
    <row r="309">
      <c r="A309" s="1491" t="n"/>
      <c r="B309" s="1491" t="n"/>
      <c r="C309" s="1491" t="n"/>
      <c r="D309" s="1497">
        <f>IF(E309&lt;&gt;"",D308+1,D308)</f>
        <v/>
      </c>
      <c r="E309" s="1497" t="inlineStr">
        <is>
          <t>Combloux</t>
        </is>
      </c>
      <c r="F309" s="1535" t="inlineStr">
        <is>
          <t>.</t>
        </is>
      </c>
      <c r="G309" s="1498">
        <f>IF(H309="AIR",0,IF(H308="AIR",G307+1,IF(H309&lt;&gt;"",G308+1,G308)))</f>
        <v/>
      </c>
      <c r="H309" s="1498" t="inlineStr">
        <is>
          <t>Lindoia</t>
        </is>
      </c>
      <c r="I309" s="1427" t="inlineStr">
        <is>
          <t>.</t>
        </is>
      </c>
      <c r="J309" s="1499" t="n">
        <v>304</v>
      </c>
      <c r="K309" s="1500">
        <f>_xlfn.XLOOKUP(cities[[#This Row],[id]],$D$5:$D$1500,E$5:E$1500,"-")</f>
        <v/>
      </c>
      <c r="L309" s="1500">
        <f>_xlfn.XLOOKUP(cities[[#This Row],[city]],ccc[city],ccc[ctry],"-")</f>
        <v/>
      </c>
      <c r="M309" s="1500">
        <f>SUMIFS(stayCity[stay],stayCity[city],cities[[#This Row],[city]])</f>
        <v/>
      </c>
      <c r="N309" s="1427">
        <f>N308+1</f>
        <v/>
      </c>
      <c r="O309" s="1500" t="n"/>
      <c r="P309" s="1500" t="n"/>
      <c r="Q309" s="1427" t="inlineStr">
        <is>
          <t>.</t>
        </is>
      </c>
      <c r="R309" s="1491" t="n"/>
      <c r="S309" s="1491" t="n"/>
      <c r="T309" s="1491" t="n"/>
      <c r="U309" s="1491" t="n"/>
      <c r="V309" s="1491" t="n"/>
      <c r="W309" s="1491" t="n"/>
      <c r="X309" s="1491" t="n"/>
      <c r="Y309" s="1491" t="n"/>
      <c r="Z309" s="1491" t="n"/>
      <c r="AA309" s="1491" t="n"/>
      <c r="AB309" s="1491" t="n"/>
      <c r="AC309" s="1491" t="n"/>
      <c r="AD309" s="1491" t="n"/>
      <c r="AE309" s="1491" t="n"/>
      <c r="AF309" s="1491" t="n"/>
      <c r="AG309" s="1491" t="n"/>
      <c r="AH309" s="1491" t="n"/>
      <c r="AI309" s="1491" t="n"/>
      <c r="AJ309" s="1491" t="n"/>
      <c r="AK309" s="1491" t="n"/>
      <c r="AL309" s="1491" t="n"/>
      <c r="AM309" s="1491" t="n"/>
      <c r="AN309" s="1491" t="n"/>
      <c r="AO309" s="1491" t="n"/>
      <c r="AP309" s="1491" t="n"/>
      <c r="AQ309" s="1491" t="n"/>
      <c r="AR309" s="1491" t="n"/>
      <c r="AS309" s="1491" t="n"/>
      <c r="AT309" s="1491" t="n"/>
      <c r="AU309" s="1491" t="n"/>
      <c r="AV309" s="1491" t="n"/>
      <c r="AW309" s="1491" t="n"/>
      <c r="AX309" s="1491" t="n"/>
      <c r="AY309" s="1491" t="n"/>
      <c r="AZ309" s="1491" t="n"/>
      <c r="BA309" s="1491" t="n"/>
      <c r="BB309" s="1491" t="n"/>
      <c r="BC309" s="1491" t="n"/>
      <c r="BD309" s="1491" t="n"/>
      <c r="BE309" s="1491" t="n"/>
      <c r="BF309" s="1491" t="n"/>
      <c r="BG309" s="1491" t="n"/>
      <c r="BH309" s="1491" t="n"/>
      <c r="BI309" s="1491" t="n"/>
      <c r="BJ309" s="1491" t="n"/>
      <c r="BK309" s="1491" t="n"/>
      <c r="BL309" s="1491" t="n"/>
      <c r="BM309" s="1491" t="n"/>
      <c r="BN309" s="1491" t="n"/>
      <c r="BO309" s="1467" t="n"/>
      <c r="BP309" s="1514" t="n">
        <v>305</v>
      </c>
      <c r="BQ309" s="1513">
        <f>[1]Sheet1!C310</f>
        <v/>
      </c>
      <c r="BR309" s="1515">
        <f>[1]Sheet1!D310</f>
        <v/>
      </c>
      <c r="BS309" s="1513">
        <f>[1]Sheet1!E310</f>
        <v/>
      </c>
      <c r="BT309" s="1515">
        <f>[1]Sheet1!F310</f>
        <v/>
      </c>
      <c r="BU309" s="1516">
        <f>[1]Sheet1!G310</f>
        <v/>
      </c>
      <c r="BV309" s="1513">
        <f>[1]Sheet1!H310</f>
        <v/>
      </c>
      <c r="BW309" s="1467" t="n"/>
      <c r="BX309" s="1491" t="n"/>
      <c r="BY309" s="1491" t="n"/>
      <c r="BZ309" s="1491" t="n"/>
      <c r="CA309" s="1491" t="n"/>
      <c r="CB309" s="1467" t="n"/>
      <c r="CC309" s="1467" t="n"/>
      <c r="CD309" s="1491" t="n"/>
      <c r="CE309" s="1491" t="n"/>
      <c r="CF309" s="1491" t="n"/>
      <c r="CG309" s="1491" t="n"/>
      <c r="CH309" s="1491" t="n"/>
      <c r="CI309" s="1491" t="n"/>
      <c r="CJ309" s="1491" t="n"/>
      <c r="CK309" s="1491" t="n"/>
      <c r="CL309" s="1491" t="n"/>
      <c r="CM309" s="1491" t="n"/>
      <c r="CN309" s="1491" t="n"/>
      <c r="CO309" s="1491" t="n"/>
      <c r="CP309" s="1491" t="n"/>
      <c r="CQ309" s="1491" t="n"/>
      <c r="CR309" s="1491" t="n"/>
      <c r="CS309" s="1491" t="n"/>
      <c r="CT309" s="1491" t="n"/>
      <c r="CU309" s="1491" t="n"/>
      <c r="CV309" s="1491" t="n"/>
      <c r="CW309" s="1491" t="n"/>
      <c r="CX309" s="1491" t="n"/>
    </row>
    <row r="310">
      <c r="A310" s="1491" t="n"/>
      <c r="B310" s="1491" t="n"/>
      <c r="C310" s="1491" t="n"/>
      <c r="D310" s="1497">
        <f>IF(E310&lt;&gt;"",D309+1,D309)</f>
        <v/>
      </c>
      <c r="E310" s="1497" t="inlineStr">
        <is>
          <t>Megeve</t>
        </is>
      </c>
      <c r="F310" s="1535" t="inlineStr">
        <is>
          <t>.</t>
        </is>
      </c>
      <c r="G310" s="1498">
        <f>IF(H310="AIR",0,IF(H309="AIR",G308+1,IF(H310&lt;&gt;"",G309+1,G309)))</f>
        <v/>
      </c>
      <c r="H310" s="1498" t="inlineStr">
        <is>
          <t>Bertioga</t>
        </is>
      </c>
      <c r="I310" s="1427" t="inlineStr">
        <is>
          <t>.</t>
        </is>
      </c>
      <c r="J310" s="1499" t="n">
        <v>305</v>
      </c>
      <c r="K310" s="1500">
        <f>_xlfn.XLOOKUP(cities[[#This Row],[id]],$D$5:$D$1500,E$5:E$1500,"-")</f>
        <v/>
      </c>
      <c r="L310" s="1500">
        <f>_xlfn.XLOOKUP(cities[[#This Row],[city]],ccc[city],ccc[ctry],"-")</f>
        <v/>
      </c>
      <c r="M310" s="1500">
        <f>SUMIFS(stayCity[stay],stayCity[city],cities[[#This Row],[city]])</f>
        <v/>
      </c>
      <c r="N310" s="1427">
        <f>N309+1</f>
        <v/>
      </c>
      <c r="O310" s="1500" t="n"/>
      <c r="P310" s="1500" t="n"/>
      <c r="Q310" s="1427" t="inlineStr">
        <is>
          <t>.</t>
        </is>
      </c>
      <c r="R310" s="1491" t="n"/>
      <c r="S310" s="1491" t="n"/>
      <c r="T310" s="1491" t="n"/>
      <c r="U310" s="1491" t="n"/>
      <c r="V310" s="1491" t="n"/>
      <c r="W310" s="1491" t="n"/>
      <c r="X310" s="1491" t="n"/>
      <c r="Y310" s="1491" t="n"/>
      <c r="Z310" s="1491" t="n"/>
      <c r="AA310" s="1491" t="n"/>
      <c r="AB310" s="1491" t="n"/>
      <c r="AC310" s="1491" t="n"/>
      <c r="AD310" s="1491" t="n"/>
      <c r="AE310" s="1491" t="n"/>
      <c r="AF310" s="1491" t="n"/>
      <c r="AG310" s="1491" t="n"/>
      <c r="AH310" s="1491" t="n"/>
      <c r="AI310" s="1491" t="n"/>
      <c r="AJ310" s="1491" t="n"/>
      <c r="AK310" s="1491" t="n"/>
      <c r="AL310" s="1491" t="n"/>
      <c r="AM310" s="1491" t="n"/>
      <c r="AN310" s="1491" t="n"/>
      <c r="AO310" s="1491" t="n"/>
      <c r="AP310" s="1491" t="n"/>
      <c r="AQ310" s="1491" t="n"/>
      <c r="AR310" s="1491" t="n"/>
      <c r="AS310" s="1491" t="n"/>
      <c r="AT310" s="1491" t="n"/>
      <c r="AU310" s="1491" t="n"/>
      <c r="AV310" s="1491" t="n"/>
      <c r="AW310" s="1491" t="n"/>
      <c r="AX310" s="1491" t="n"/>
      <c r="AY310" s="1491" t="n"/>
      <c r="AZ310" s="1491" t="n"/>
      <c r="BA310" s="1491" t="n"/>
      <c r="BB310" s="1491" t="n"/>
      <c r="BC310" s="1491" t="n"/>
      <c r="BD310" s="1491" t="n"/>
      <c r="BE310" s="1491" t="n"/>
      <c r="BF310" s="1491" t="n"/>
      <c r="BG310" s="1491" t="n"/>
      <c r="BH310" s="1491" t="n"/>
      <c r="BI310" s="1491" t="n"/>
      <c r="BJ310" s="1491" t="n"/>
      <c r="BK310" s="1491" t="n"/>
      <c r="BL310" s="1491" t="n"/>
      <c r="BM310" s="1491" t="n"/>
      <c r="BN310" s="1491" t="n"/>
      <c r="BO310" s="1467" t="n"/>
      <c r="BP310" s="1514" t="n">
        <v>306</v>
      </c>
      <c r="BQ310" s="1513">
        <f>[1]Sheet1!C311</f>
        <v/>
      </c>
      <c r="BR310" s="1515">
        <f>[1]Sheet1!D311</f>
        <v/>
      </c>
      <c r="BS310" s="1513">
        <f>[1]Sheet1!E311</f>
        <v/>
      </c>
      <c r="BT310" s="1515">
        <f>[1]Sheet1!F311</f>
        <v/>
      </c>
      <c r="BU310" s="1516">
        <f>[1]Sheet1!G311</f>
        <v/>
      </c>
      <c r="BV310" s="1513">
        <f>[1]Sheet1!H311</f>
        <v/>
      </c>
      <c r="BW310" s="1467" t="n"/>
      <c r="BX310" s="1491" t="n"/>
      <c r="BY310" s="1491" t="n"/>
      <c r="BZ310" s="1491" t="n"/>
      <c r="CA310" s="1491" t="n"/>
      <c r="CB310" s="1467" t="n"/>
      <c r="CC310" s="1467" t="n"/>
      <c r="CD310" s="1491" t="n"/>
      <c r="CE310" s="1491" t="n"/>
      <c r="CF310" s="1491" t="n"/>
      <c r="CG310" s="1491" t="n"/>
      <c r="CH310" s="1491" t="n"/>
      <c r="CI310" s="1491" t="n"/>
      <c r="CJ310" s="1491" t="n"/>
      <c r="CK310" s="1491" t="n"/>
      <c r="CL310" s="1491" t="n"/>
      <c r="CM310" s="1491" t="n"/>
      <c r="CN310" s="1491" t="n"/>
      <c r="CO310" s="1491" t="n"/>
      <c r="CP310" s="1491" t="n"/>
      <c r="CQ310" s="1491" t="n"/>
      <c r="CR310" s="1491" t="n"/>
      <c r="CS310" s="1491" t="n"/>
      <c r="CT310" s="1491" t="n"/>
      <c r="CU310" s="1491" t="n"/>
      <c r="CV310" s="1491" t="n"/>
      <c r="CW310" s="1491" t="n"/>
      <c r="CX310" s="1491" t="n"/>
    </row>
    <row r="311">
      <c r="A311" s="1491" t="n"/>
      <c r="B311" s="1491" t="n"/>
      <c r="C311" s="1491" t="n"/>
      <c r="D311" s="1497">
        <f>IF(E311&lt;&gt;"",D310+1,D310)</f>
        <v/>
      </c>
      <c r="E311" s="1497" t="inlineStr">
        <is>
          <t>Amargosa</t>
        </is>
      </c>
      <c r="F311" s="1535" t="inlineStr">
        <is>
          <t>.</t>
        </is>
      </c>
      <c r="G311" s="1498">
        <f>IF(H311="AIR",0,IF(H310="AIR",G309+1,IF(H311&lt;&gt;"",G310+1,G310)))</f>
        <v/>
      </c>
      <c r="H311" s="1498" t="inlineStr">
        <is>
          <t>BH</t>
        </is>
      </c>
      <c r="I311" s="1427" t="inlineStr">
        <is>
          <t>.</t>
        </is>
      </c>
      <c r="J311" s="1499" t="n">
        <v>306</v>
      </c>
      <c r="K311" s="1500">
        <f>_xlfn.XLOOKUP(cities[[#This Row],[id]],$D$5:$D$1500,E$5:E$1500,"-")</f>
        <v/>
      </c>
      <c r="L311" s="1500">
        <f>_xlfn.XLOOKUP(cities[[#This Row],[city]],ccc[city],ccc[ctry],"-")</f>
        <v/>
      </c>
      <c r="M311" s="1500">
        <f>SUMIFS(stayCity[stay],stayCity[city],cities[[#This Row],[city]])</f>
        <v/>
      </c>
      <c r="N311" s="1427">
        <f>N310+1</f>
        <v/>
      </c>
      <c r="O311" s="1500" t="n"/>
      <c r="P311" s="1500" t="n"/>
      <c r="Q311" s="1427" t="inlineStr">
        <is>
          <t>.</t>
        </is>
      </c>
      <c r="R311" s="1491" t="n"/>
      <c r="S311" s="1491" t="n"/>
      <c r="T311" s="1491" t="n"/>
      <c r="U311" s="1491" t="n"/>
      <c r="V311" s="1491" t="n"/>
      <c r="W311" s="1491" t="n"/>
      <c r="X311" s="1491" t="n"/>
      <c r="Y311" s="1491" t="n"/>
      <c r="Z311" s="1491" t="n"/>
      <c r="AA311" s="1491" t="n"/>
      <c r="AB311" s="1491" t="n"/>
      <c r="AC311" s="1491" t="n"/>
      <c r="AD311" s="1491" t="n"/>
      <c r="AE311" s="1491" t="n"/>
      <c r="AF311" s="1491" t="n"/>
      <c r="AG311" s="1491" t="n"/>
      <c r="AH311" s="1491" t="n"/>
      <c r="AI311" s="1491" t="n"/>
      <c r="AJ311" s="1491" t="n"/>
      <c r="AK311" s="1491" t="n"/>
      <c r="AL311" s="1491" t="n"/>
      <c r="AM311" s="1491" t="n"/>
      <c r="AN311" s="1491" t="n"/>
      <c r="AO311" s="1491" t="n"/>
      <c r="AP311" s="1491" t="n"/>
      <c r="AQ311" s="1491" t="n"/>
      <c r="AR311" s="1491" t="n"/>
      <c r="AS311" s="1491" t="n"/>
      <c r="AT311" s="1491" t="n"/>
      <c r="AU311" s="1491" t="n"/>
      <c r="AV311" s="1491" t="n"/>
      <c r="AW311" s="1491" t="n"/>
      <c r="AX311" s="1491" t="n"/>
      <c r="AY311" s="1491" t="n"/>
      <c r="AZ311" s="1491" t="n"/>
      <c r="BA311" s="1491" t="n"/>
      <c r="BB311" s="1491" t="n"/>
      <c r="BC311" s="1491" t="n"/>
      <c r="BD311" s="1491" t="n"/>
      <c r="BE311" s="1491" t="n"/>
      <c r="BF311" s="1491" t="n"/>
      <c r="BG311" s="1491" t="n"/>
      <c r="BH311" s="1491" t="n"/>
      <c r="BI311" s="1491" t="n"/>
      <c r="BJ311" s="1491" t="n"/>
      <c r="BK311" s="1491" t="n"/>
      <c r="BL311" s="1491" t="n"/>
      <c r="BM311" s="1491" t="n"/>
      <c r="BN311" s="1491" t="n"/>
      <c r="BO311" s="1467" t="n"/>
      <c r="BP311" s="1514" t="n">
        <v>307</v>
      </c>
      <c r="BQ311" s="1513">
        <f>[1]Sheet1!C312</f>
        <v/>
      </c>
      <c r="BR311" s="1515">
        <f>[1]Sheet1!D312</f>
        <v/>
      </c>
      <c r="BS311" s="1513">
        <f>[1]Sheet1!E312</f>
        <v/>
      </c>
      <c r="BT311" s="1515">
        <f>[1]Sheet1!F312</f>
        <v/>
      </c>
      <c r="BU311" s="1516">
        <f>[1]Sheet1!G312</f>
        <v/>
      </c>
      <c r="BV311" s="1513">
        <f>[1]Sheet1!H312</f>
        <v/>
      </c>
      <c r="BW311" s="1467" t="n"/>
      <c r="BX311" s="1491" t="n"/>
      <c r="BY311" s="1491" t="n"/>
      <c r="BZ311" s="1491" t="n"/>
      <c r="CA311" s="1491" t="n"/>
      <c r="CB311" s="1467" t="n"/>
      <c r="CC311" s="1467" t="n"/>
      <c r="CD311" s="1491" t="n"/>
      <c r="CE311" s="1491" t="n"/>
      <c r="CF311" s="1491" t="n"/>
      <c r="CG311" s="1491" t="n"/>
      <c r="CH311" s="1491" t="n"/>
      <c r="CI311" s="1491" t="n"/>
      <c r="CJ311" s="1491" t="n"/>
      <c r="CK311" s="1491" t="n"/>
      <c r="CL311" s="1491" t="n"/>
      <c r="CM311" s="1491" t="n"/>
      <c r="CN311" s="1491" t="n"/>
      <c r="CO311" s="1491" t="n"/>
      <c r="CP311" s="1491" t="n"/>
      <c r="CQ311" s="1491" t="n"/>
      <c r="CR311" s="1491" t="n"/>
      <c r="CS311" s="1491" t="n"/>
      <c r="CT311" s="1491" t="n"/>
      <c r="CU311" s="1491" t="n"/>
      <c r="CV311" s="1491" t="n"/>
      <c r="CW311" s="1491" t="n"/>
      <c r="CX311" s="1491" t="n"/>
    </row>
    <row r="312">
      <c r="A312" s="1491" t="n"/>
      <c r="B312" s="1491" t="n"/>
      <c r="C312" s="1491" t="n"/>
      <c r="D312" s="1497">
        <f>IF(E312&lt;&gt;"",D311+1,D311)</f>
        <v/>
      </c>
      <c r="E312" s="1497" t="inlineStr">
        <is>
          <t>Windsor</t>
        </is>
      </c>
      <c r="F312" s="1535" t="inlineStr">
        <is>
          <t>.</t>
        </is>
      </c>
      <c r="G312" s="1498">
        <f>IF(H312="AIR",0,IF(H311="AIR",G310+1,IF(H312&lt;&gt;"",G311+1,G311)))</f>
        <v/>
      </c>
      <c r="H312" s="1498" t="inlineStr">
        <is>
          <t>Lauro de Freitas</t>
        </is>
      </c>
      <c r="I312" s="1427" t="inlineStr">
        <is>
          <t>.</t>
        </is>
      </c>
      <c r="J312" s="1499" t="n">
        <v>307</v>
      </c>
      <c r="K312" s="1500">
        <f>_xlfn.XLOOKUP(cities[[#This Row],[id]],$D$5:$D$1500,E$5:E$1500,"-")</f>
        <v/>
      </c>
      <c r="L312" s="1500">
        <f>_xlfn.XLOOKUP(cities[[#This Row],[city]],ccc[city],ccc[ctry],"-")</f>
        <v/>
      </c>
      <c r="M312" s="1500">
        <f>SUMIFS(stayCity[stay],stayCity[city],cities[[#This Row],[city]])</f>
        <v/>
      </c>
      <c r="N312" s="1427">
        <f>N311+1</f>
        <v/>
      </c>
      <c r="O312" s="1500" t="n"/>
      <c r="P312" s="1500" t="n"/>
      <c r="Q312" s="1427" t="inlineStr">
        <is>
          <t>.</t>
        </is>
      </c>
      <c r="R312" s="1491" t="n"/>
      <c r="S312" s="1491" t="n"/>
      <c r="T312" s="1491" t="n"/>
      <c r="U312" s="1491" t="n"/>
      <c r="V312" s="1491" t="n"/>
      <c r="W312" s="1491" t="n"/>
      <c r="X312" s="1491" t="n"/>
      <c r="Y312" s="1491" t="n"/>
      <c r="Z312" s="1491" t="n"/>
      <c r="AA312" s="1491" t="n"/>
      <c r="AB312" s="1491" t="n"/>
      <c r="AC312" s="1491" t="n"/>
      <c r="AD312" s="1491" t="n"/>
      <c r="AE312" s="1491" t="n"/>
      <c r="AF312" s="1491" t="n"/>
      <c r="AG312" s="1491" t="n"/>
      <c r="AH312" s="1491" t="n"/>
      <c r="AI312" s="1491" t="n"/>
      <c r="AJ312" s="1491" t="n"/>
      <c r="AK312" s="1491" t="n"/>
      <c r="AL312" s="1491" t="n"/>
      <c r="AM312" s="1491" t="n"/>
      <c r="AN312" s="1491" t="n"/>
      <c r="AO312" s="1491" t="n"/>
      <c r="AP312" s="1491" t="n"/>
      <c r="AQ312" s="1491" t="n"/>
      <c r="AR312" s="1491" t="n"/>
      <c r="AS312" s="1491" t="n"/>
      <c r="AT312" s="1491" t="n"/>
      <c r="AU312" s="1491" t="n"/>
      <c r="AV312" s="1491" t="n"/>
      <c r="AW312" s="1491" t="n"/>
      <c r="AX312" s="1491" t="n"/>
      <c r="AY312" s="1491" t="n"/>
      <c r="AZ312" s="1491" t="n"/>
      <c r="BA312" s="1491" t="n"/>
      <c r="BB312" s="1491" t="n"/>
      <c r="BC312" s="1491" t="n"/>
      <c r="BD312" s="1491" t="n"/>
      <c r="BE312" s="1491" t="n"/>
      <c r="BF312" s="1491" t="n"/>
      <c r="BG312" s="1491" t="n"/>
      <c r="BH312" s="1491" t="n"/>
      <c r="BI312" s="1491" t="n"/>
      <c r="BJ312" s="1491" t="n"/>
      <c r="BK312" s="1491" t="n"/>
      <c r="BL312" s="1491" t="n"/>
      <c r="BM312" s="1491" t="n"/>
      <c r="BN312" s="1491" t="n"/>
      <c r="BO312" s="1467" t="n"/>
      <c r="BP312" s="1514" t="n">
        <v>308</v>
      </c>
      <c r="BQ312" s="1513">
        <f>[1]Sheet1!C313</f>
        <v/>
      </c>
      <c r="BR312" s="1515">
        <f>[1]Sheet1!D313</f>
        <v/>
      </c>
      <c r="BS312" s="1513">
        <f>[1]Sheet1!E313</f>
        <v/>
      </c>
      <c r="BT312" s="1515">
        <f>[1]Sheet1!F313</f>
        <v/>
      </c>
      <c r="BU312" s="1516">
        <f>[1]Sheet1!G313</f>
        <v/>
      </c>
      <c r="BV312" s="1513">
        <f>[1]Sheet1!H313</f>
        <v/>
      </c>
      <c r="BW312" s="1467" t="n"/>
      <c r="BX312" s="1491" t="n"/>
      <c r="BY312" s="1491" t="n"/>
      <c r="BZ312" s="1491" t="n"/>
      <c r="CA312" s="1491" t="n"/>
      <c r="CB312" s="1467" t="n"/>
      <c r="CC312" s="1467" t="n"/>
      <c r="CD312" s="1491" t="n"/>
      <c r="CE312" s="1491" t="n"/>
      <c r="CF312" s="1491" t="n"/>
      <c r="CG312" s="1491" t="n"/>
      <c r="CH312" s="1491" t="n"/>
      <c r="CI312" s="1491" t="n"/>
      <c r="CJ312" s="1491" t="n"/>
      <c r="CK312" s="1491" t="n"/>
      <c r="CL312" s="1491" t="n"/>
      <c r="CM312" s="1491" t="n"/>
      <c r="CN312" s="1491" t="n"/>
      <c r="CO312" s="1491" t="n"/>
      <c r="CP312" s="1491" t="n"/>
      <c r="CQ312" s="1491" t="n"/>
      <c r="CR312" s="1491" t="n"/>
      <c r="CS312" s="1491" t="n"/>
      <c r="CT312" s="1491" t="n"/>
      <c r="CU312" s="1491" t="n"/>
      <c r="CV312" s="1491" t="n"/>
      <c r="CW312" s="1491" t="n"/>
      <c r="CX312" s="1491" t="n"/>
    </row>
    <row r="313">
      <c r="A313" s="1491" t="n"/>
      <c r="B313" s="1491" t="n"/>
      <c r="C313" s="1491" t="n"/>
      <c r="D313" s="1497">
        <f>IF(E313&lt;&gt;"",D312+1,D312)</f>
        <v/>
      </c>
      <c r="E313" s="1497" t="inlineStr">
        <is>
          <t>Hampton</t>
        </is>
      </c>
      <c r="F313" s="1535" t="inlineStr">
        <is>
          <t>.</t>
        </is>
      </c>
      <c r="G313" s="1498">
        <f>IF(H313="AIR",0,IF(H312="AIR",G311+1,IF(H313&lt;&gt;"",G312+1,G312)))</f>
        <v/>
      </c>
      <c r="H313" s="1498" t="inlineStr">
        <is>
          <t>Reykjavik</t>
        </is>
      </c>
      <c r="I313" s="1427" t="inlineStr">
        <is>
          <t>.</t>
        </is>
      </c>
      <c r="J313" s="1499" t="n">
        <v>308</v>
      </c>
      <c r="K313" s="1500">
        <f>_xlfn.XLOOKUP(cities[[#This Row],[id]],$D$5:$D$1500,E$5:E$1500,"-")</f>
        <v/>
      </c>
      <c r="L313" s="1500">
        <f>_xlfn.XLOOKUP(cities[[#This Row],[city]],ccc[city],ccc[ctry],"-")</f>
        <v/>
      </c>
      <c r="M313" s="1500">
        <f>SUMIFS(stayCity[stay],stayCity[city],cities[[#This Row],[city]])</f>
        <v/>
      </c>
      <c r="N313" s="1427">
        <f>N312+1</f>
        <v/>
      </c>
      <c r="O313" s="1500" t="n"/>
      <c r="P313" s="1500" t="n"/>
      <c r="Q313" s="1427" t="inlineStr">
        <is>
          <t>.</t>
        </is>
      </c>
      <c r="R313" s="1491" t="n"/>
      <c r="S313" s="1491" t="n"/>
      <c r="T313" s="1491" t="n"/>
      <c r="U313" s="1491" t="n"/>
      <c r="V313" s="1491" t="n"/>
      <c r="W313" s="1491" t="n"/>
      <c r="X313" s="1491" t="n"/>
      <c r="Y313" s="1491" t="n"/>
      <c r="Z313" s="1491" t="n"/>
      <c r="AA313" s="1491" t="n"/>
      <c r="AB313" s="1491" t="n"/>
      <c r="AC313" s="1491" t="n"/>
      <c r="AD313" s="1491" t="n"/>
      <c r="AE313" s="1491" t="n"/>
      <c r="AF313" s="1491" t="n"/>
      <c r="AG313" s="1491" t="n"/>
      <c r="AH313" s="1491" t="n"/>
      <c r="AI313" s="1491" t="n"/>
      <c r="AJ313" s="1491" t="n"/>
      <c r="AK313" s="1491" t="n"/>
      <c r="AL313" s="1491" t="n"/>
      <c r="AM313" s="1491" t="n"/>
      <c r="AN313" s="1491" t="n"/>
      <c r="AO313" s="1491" t="n"/>
      <c r="AP313" s="1491" t="n"/>
      <c r="AQ313" s="1491" t="n"/>
      <c r="AR313" s="1491" t="n"/>
      <c r="AS313" s="1491" t="n"/>
      <c r="AT313" s="1491" t="n"/>
      <c r="AU313" s="1491" t="n"/>
      <c r="AV313" s="1491" t="n"/>
      <c r="AW313" s="1491" t="n"/>
      <c r="AX313" s="1491" t="n"/>
      <c r="AY313" s="1491" t="n"/>
      <c r="AZ313" s="1491" t="n"/>
      <c r="BA313" s="1491" t="n"/>
      <c r="BB313" s="1491" t="n"/>
      <c r="BC313" s="1491" t="n"/>
      <c r="BD313" s="1491" t="n"/>
      <c r="BE313" s="1491" t="n"/>
      <c r="BF313" s="1491" t="n"/>
      <c r="BG313" s="1491" t="n"/>
      <c r="BH313" s="1491" t="n"/>
      <c r="BI313" s="1491" t="n"/>
      <c r="BJ313" s="1491" t="n"/>
      <c r="BK313" s="1491" t="n"/>
      <c r="BL313" s="1491" t="n"/>
      <c r="BM313" s="1491" t="n"/>
      <c r="BN313" s="1491" t="n"/>
      <c r="BO313" s="1467" t="n"/>
      <c r="BP313" s="1514" t="n">
        <v>309</v>
      </c>
      <c r="BQ313" s="1513">
        <f>[1]Sheet1!C314</f>
        <v/>
      </c>
      <c r="BR313" s="1515">
        <f>[1]Sheet1!D314</f>
        <v/>
      </c>
      <c r="BS313" s="1513">
        <f>[1]Sheet1!E314</f>
        <v/>
      </c>
      <c r="BT313" s="1515">
        <f>[1]Sheet1!F314</f>
        <v/>
      </c>
      <c r="BU313" s="1516">
        <f>[1]Sheet1!G314</f>
        <v/>
      </c>
      <c r="BV313" s="1513">
        <f>[1]Sheet1!H314</f>
        <v/>
      </c>
      <c r="BW313" s="1467" t="n"/>
      <c r="BX313" s="1491" t="n"/>
      <c r="BY313" s="1491" t="n"/>
      <c r="BZ313" s="1491" t="n"/>
      <c r="CA313" s="1491" t="n"/>
      <c r="CB313" s="1467" t="n"/>
      <c r="CC313" s="1467" t="n"/>
      <c r="CD313" s="1491" t="n"/>
      <c r="CE313" s="1491" t="n"/>
      <c r="CF313" s="1491" t="n"/>
      <c r="CG313" s="1491" t="n"/>
      <c r="CH313" s="1491" t="n"/>
      <c r="CI313" s="1491" t="n"/>
      <c r="CJ313" s="1491" t="n"/>
      <c r="CK313" s="1491" t="n"/>
      <c r="CL313" s="1491" t="n"/>
      <c r="CM313" s="1491" t="n"/>
      <c r="CN313" s="1491" t="n"/>
      <c r="CO313" s="1491" t="n"/>
      <c r="CP313" s="1491" t="n"/>
      <c r="CQ313" s="1491" t="n"/>
      <c r="CR313" s="1491" t="n"/>
      <c r="CS313" s="1491" t="n"/>
      <c r="CT313" s="1491" t="n"/>
      <c r="CU313" s="1491" t="n"/>
      <c r="CV313" s="1491" t="n"/>
      <c r="CW313" s="1491" t="n"/>
      <c r="CX313" s="1491" t="n"/>
    </row>
    <row r="314">
      <c r="A314" s="1491" t="n"/>
      <c r="B314" s="1491" t="n"/>
      <c r="C314" s="1491" t="n"/>
      <c r="D314" s="1497">
        <f>IF(E314&lt;&gt;"",D313+1,D313)</f>
        <v/>
      </c>
      <c r="E314" s="1497" t="inlineStr">
        <is>
          <t>Sheperdswell</t>
        </is>
      </c>
      <c r="F314" s="1535" t="inlineStr">
        <is>
          <t>.</t>
        </is>
      </c>
      <c r="G314" s="1498">
        <f>IF(H314="AIR",0,IF(H313="AIR",G312+1,IF(H314&lt;&gt;"",G313+1,G313)))</f>
        <v/>
      </c>
      <c r="H314" s="1498" t="inlineStr">
        <is>
          <t>Columbia</t>
        </is>
      </c>
      <c r="I314" s="1427" t="inlineStr">
        <is>
          <t>.</t>
        </is>
      </c>
      <c r="J314" s="1499" t="n">
        <v>309</v>
      </c>
      <c r="K314" s="1500">
        <f>_xlfn.XLOOKUP(cities[[#This Row],[id]],$D$5:$D$1500,E$5:E$1500,"-")</f>
        <v/>
      </c>
      <c r="L314" s="1500">
        <f>_xlfn.XLOOKUP(cities[[#This Row],[city]],ccc[city],ccc[ctry],"-")</f>
        <v/>
      </c>
      <c r="M314" s="1500">
        <f>SUMIFS(stayCity[stay],stayCity[city],cities[[#This Row],[city]])</f>
        <v/>
      </c>
      <c r="N314" s="1427">
        <f>N313+1</f>
        <v/>
      </c>
      <c r="O314" s="1500" t="n"/>
      <c r="P314" s="1500" t="n"/>
      <c r="Q314" s="1427" t="inlineStr">
        <is>
          <t>.</t>
        </is>
      </c>
      <c r="R314" s="1491" t="n"/>
      <c r="S314" s="1491" t="n"/>
      <c r="T314" s="1491" t="n"/>
      <c r="U314" s="1491" t="n"/>
      <c r="V314" s="1491" t="n"/>
      <c r="W314" s="1491" t="n"/>
      <c r="X314" s="1491" t="n"/>
      <c r="Y314" s="1491" t="n"/>
      <c r="Z314" s="1491" t="n"/>
      <c r="AA314" s="1491" t="n"/>
      <c r="AB314" s="1491" t="n"/>
      <c r="AC314" s="1491" t="n"/>
      <c r="AD314" s="1491" t="n"/>
      <c r="AE314" s="1491" t="n"/>
      <c r="AF314" s="1491" t="n"/>
      <c r="AG314" s="1491" t="n"/>
      <c r="AH314" s="1491" t="n"/>
      <c r="AI314" s="1491" t="n"/>
      <c r="AJ314" s="1491" t="n"/>
      <c r="AK314" s="1491" t="n"/>
      <c r="AL314" s="1491" t="n"/>
      <c r="AM314" s="1491" t="n"/>
      <c r="AN314" s="1491" t="n"/>
      <c r="AO314" s="1491" t="n"/>
      <c r="AP314" s="1491" t="n"/>
      <c r="AQ314" s="1491" t="n"/>
      <c r="AR314" s="1491" t="n"/>
      <c r="AS314" s="1491" t="n"/>
      <c r="AT314" s="1491" t="n"/>
      <c r="AU314" s="1491" t="n"/>
      <c r="AV314" s="1491" t="n"/>
      <c r="AW314" s="1491" t="n"/>
      <c r="AX314" s="1491" t="n"/>
      <c r="AY314" s="1491" t="n"/>
      <c r="AZ314" s="1491" t="n"/>
      <c r="BA314" s="1491" t="n"/>
      <c r="BB314" s="1491" t="n"/>
      <c r="BC314" s="1491" t="n"/>
      <c r="BD314" s="1491" t="n"/>
      <c r="BE314" s="1491" t="n"/>
      <c r="BF314" s="1491" t="n"/>
      <c r="BG314" s="1491" t="n"/>
      <c r="BH314" s="1491" t="n"/>
      <c r="BI314" s="1491" t="n"/>
      <c r="BJ314" s="1491" t="n"/>
      <c r="BK314" s="1491" t="n"/>
      <c r="BL314" s="1491" t="n"/>
      <c r="BM314" s="1491" t="n"/>
      <c r="BN314" s="1491" t="n"/>
      <c r="BO314" s="1467" t="n"/>
      <c r="BP314" s="1514" t="n">
        <v>310</v>
      </c>
      <c r="BQ314" s="1513">
        <f>[1]Sheet1!C315</f>
        <v/>
      </c>
      <c r="BR314" s="1515">
        <f>[1]Sheet1!D315</f>
        <v/>
      </c>
      <c r="BS314" s="1513">
        <f>[1]Sheet1!E315</f>
        <v/>
      </c>
      <c r="BT314" s="1515">
        <f>[1]Sheet1!F315</f>
        <v/>
      </c>
      <c r="BU314" s="1516">
        <f>[1]Sheet1!G315</f>
        <v/>
      </c>
      <c r="BV314" s="1513">
        <f>[1]Sheet1!H315</f>
        <v/>
      </c>
      <c r="BW314" s="1467" t="n"/>
      <c r="BX314" s="1491" t="n"/>
      <c r="BY314" s="1491" t="n"/>
      <c r="BZ314" s="1491" t="n"/>
      <c r="CA314" s="1491" t="n"/>
      <c r="CB314" s="1467" t="n"/>
      <c r="CC314" s="1467" t="n"/>
      <c r="CD314" s="1491" t="n"/>
      <c r="CE314" s="1491" t="n"/>
      <c r="CF314" s="1491" t="n"/>
      <c r="CG314" s="1491" t="n"/>
      <c r="CH314" s="1491" t="n"/>
      <c r="CI314" s="1491" t="n"/>
      <c r="CJ314" s="1491" t="n"/>
      <c r="CK314" s="1491" t="n"/>
      <c r="CL314" s="1491" t="n"/>
      <c r="CM314" s="1491" t="n"/>
      <c r="CN314" s="1491" t="n"/>
      <c r="CO314" s="1491" t="n"/>
      <c r="CP314" s="1491" t="n"/>
      <c r="CQ314" s="1491" t="n"/>
      <c r="CR314" s="1491" t="n"/>
      <c r="CS314" s="1491" t="n"/>
      <c r="CT314" s="1491" t="n"/>
      <c r="CU314" s="1491" t="n"/>
      <c r="CV314" s="1491" t="n"/>
      <c r="CW314" s="1491" t="n"/>
      <c r="CX314" s="1491" t="n"/>
    </row>
    <row r="315">
      <c r="A315" s="1491" t="n"/>
      <c r="B315" s="1491" t="n"/>
      <c r="C315" s="1491" t="n"/>
      <c r="D315" s="1497">
        <f>IF(E315&lt;&gt;"",D314+1,D314)</f>
        <v/>
      </c>
      <c r="E315" s="1497" t="inlineStr">
        <is>
          <t>Whitfield</t>
        </is>
      </c>
      <c r="F315" s="1535" t="inlineStr">
        <is>
          <t>.</t>
        </is>
      </c>
      <c r="G315" s="1498">
        <f>IF(H315="AIR",0,IF(H314="AIR",G313+1,IF(H315&lt;&gt;"",G314+1,G314)))</f>
        <v/>
      </c>
      <c r="H315" s="1498" t="inlineStr">
        <is>
          <t>Asheville</t>
        </is>
      </c>
      <c r="I315" s="1427" t="inlineStr">
        <is>
          <t>.</t>
        </is>
      </c>
      <c r="J315" s="1499" t="n">
        <v>310</v>
      </c>
      <c r="K315" s="1500">
        <f>_xlfn.XLOOKUP(cities[[#This Row],[id]],$D$5:$D$1500,E$5:E$1500,"-")</f>
        <v/>
      </c>
      <c r="L315" s="1500">
        <f>_xlfn.XLOOKUP(cities[[#This Row],[city]],ccc[city],ccc[ctry],"-")</f>
        <v/>
      </c>
      <c r="M315" s="1500">
        <f>SUMIFS(stayCity[stay],stayCity[city],cities[[#This Row],[city]])</f>
        <v/>
      </c>
      <c r="N315" s="1427">
        <f>N314+1</f>
        <v/>
      </c>
      <c r="O315" s="1500" t="n"/>
      <c r="P315" s="1500" t="n"/>
      <c r="Q315" s="1427" t="inlineStr">
        <is>
          <t>.</t>
        </is>
      </c>
      <c r="R315" s="1491" t="n"/>
      <c r="S315" s="1491" t="n"/>
      <c r="T315" s="1491" t="n"/>
      <c r="U315" s="1491" t="n"/>
      <c r="V315" s="1491" t="n"/>
      <c r="W315" s="1491" t="n"/>
      <c r="X315" s="1491" t="n"/>
      <c r="Y315" s="1491" t="n"/>
      <c r="Z315" s="1491" t="n"/>
      <c r="AA315" s="1491" t="n"/>
      <c r="AB315" s="1491" t="n"/>
      <c r="AC315" s="1491" t="n"/>
      <c r="AD315" s="1491" t="n"/>
      <c r="AE315" s="1491" t="n"/>
      <c r="AF315" s="1491" t="n"/>
      <c r="AG315" s="1491" t="n"/>
      <c r="AH315" s="1491" t="n"/>
      <c r="AI315" s="1491" t="n"/>
      <c r="AJ315" s="1491" t="n"/>
      <c r="AK315" s="1491" t="n"/>
      <c r="AL315" s="1491" t="n"/>
      <c r="AM315" s="1491" t="n"/>
      <c r="AN315" s="1491" t="n"/>
      <c r="AO315" s="1491" t="n"/>
      <c r="AP315" s="1491" t="n"/>
      <c r="AQ315" s="1491" t="n"/>
      <c r="AR315" s="1491" t="n"/>
      <c r="AS315" s="1491" t="n"/>
      <c r="AT315" s="1491" t="n"/>
      <c r="AU315" s="1491" t="n"/>
      <c r="AV315" s="1491" t="n"/>
      <c r="AW315" s="1491" t="n"/>
      <c r="AX315" s="1491" t="n"/>
      <c r="AY315" s="1491" t="n"/>
      <c r="AZ315" s="1491" t="n"/>
      <c r="BA315" s="1491" t="n"/>
      <c r="BB315" s="1491" t="n"/>
      <c r="BC315" s="1491" t="n"/>
      <c r="BD315" s="1491" t="n"/>
      <c r="BE315" s="1491" t="n"/>
      <c r="BF315" s="1491" t="n"/>
      <c r="BG315" s="1491" t="n"/>
      <c r="BH315" s="1491" t="n"/>
      <c r="BI315" s="1491" t="n"/>
      <c r="BJ315" s="1491" t="n"/>
      <c r="BK315" s="1491" t="n"/>
      <c r="BL315" s="1491" t="n"/>
      <c r="BM315" s="1491" t="n"/>
      <c r="BN315" s="1491" t="n"/>
      <c r="BO315" s="1467" t="n"/>
      <c r="BP315" s="1514" t="n">
        <v>311</v>
      </c>
      <c r="BQ315" s="1513">
        <f>[1]Sheet1!C316</f>
        <v/>
      </c>
      <c r="BR315" s="1515">
        <f>[1]Sheet1!D316</f>
        <v/>
      </c>
      <c r="BS315" s="1513">
        <f>[1]Sheet1!E316</f>
        <v/>
      </c>
      <c r="BT315" s="1515">
        <f>[1]Sheet1!F316</f>
        <v/>
      </c>
      <c r="BU315" s="1516">
        <f>[1]Sheet1!G316</f>
        <v/>
      </c>
      <c r="BV315" s="1513">
        <f>[1]Sheet1!H316</f>
        <v/>
      </c>
      <c r="BW315" s="1467" t="n"/>
      <c r="BX315" s="1491" t="n"/>
      <c r="BY315" s="1491" t="n"/>
      <c r="BZ315" s="1491" t="n"/>
      <c r="CA315" s="1491" t="n"/>
      <c r="CB315" s="1467" t="n"/>
      <c r="CC315" s="1467" t="n"/>
      <c r="CD315" s="1491" t="n"/>
      <c r="CE315" s="1491" t="n"/>
      <c r="CF315" s="1491" t="n"/>
      <c r="CG315" s="1491" t="n"/>
      <c r="CH315" s="1491" t="n"/>
      <c r="CI315" s="1491" t="n"/>
      <c r="CJ315" s="1491" t="n"/>
      <c r="CK315" s="1491" t="n"/>
      <c r="CL315" s="1491" t="n"/>
      <c r="CM315" s="1491" t="n"/>
      <c r="CN315" s="1491" t="n"/>
      <c r="CO315" s="1491" t="n"/>
      <c r="CP315" s="1491" t="n"/>
      <c r="CQ315" s="1491" t="n"/>
      <c r="CR315" s="1491" t="n"/>
      <c r="CS315" s="1491" t="n"/>
      <c r="CT315" s="1491" t="n"/>
      <c r="CU315" s="1491" t="n"/>
      <c r="CV315" s="1491" t="n"/>
      <c r="CW315" s="1491" t="n"/>
      <c r="CX315" s="1491" t="n"/>
    </row>
    <row r="316">
      <c r="A316" s="1491" t="n"/>
      <c r="B316" s="1491" t="n"/>
      <c r="C316" s="1491" t="n"/>
      <c r="D316" s="1497">
        <f>IF(E316&lt;&gt;"",D315+1,D315)</f>
        <v/>
      </c>
      <c r="E316" s="1497" t="inlineStr">
        <is>
          <t>Coulogne</t>
        </is>
      </c>
      <c r="F316" s="1535" t="inlineStr">
        <is>
          <t>.</t>
        </is>
      </c>
      <c r="G316" s="1498">
        <f>IF(H316="AIR",0,IF(H315="AIR",G314+1,IF(H316&lt;&gt;"",G315+1,G315)))</f>
        <v/>
      </c>
      <c r="H316" s="1498" t="inlineStr">
        <is>
          <t>Combloux</t>
        </is>
      </c>
      <c r="I316" s="1427" t="inlineStr">
        <is>
          <t>.</t>
        </is>
      </c>
      <c r="J316" s="1499" t="n">
        <v>311</v>
      </c>
      <c r="K316" s="1500">
        <f>_xlfn.XLOOKUP(cities[[#This Row],[id]],$D$5:$D$1500,E$5:E$1500,"-")</f>
        <v/>
      </c>
      <c r="L316" s="1500">
        <f>_xlfn.XLOOKUP(cities[[#This Row],[city]],ccc[city],ccc[ctry],"-")</f>
        <v/>
      </c>
      <c r="M316" s="1500">
        <f>SUMIFS(stayCity[stay],stayCity[city],cities[[#This Row],[city]])</f>
        <v/>
      </c>
      <c r="N316" s="1427">
        <f>N315+1</f>
        <v/>
      </c>
      <c r="O316" s="1500" t="n"/>
      <c r="P316" s="1500" t="n"/>
      <c r="Q316" s="1427" t="inlineStr">
        <is>
          <t>.</t>
        </is>
      </c>
      <c r="R316" s="1491" t="n"/>
      <c r="S316" s="1491" t="n"/>
      <c r="T316" s="1491" t="n"/>
      <c r="U316" s="1491" t="n"/>
      <c r="V316" s="1491" t="n"/>
      <c r="W316" s="1491" t="n"/>
      <c r="X316" s="1491" t="n"/>
      <c r="Y316" s="1491" t="n"/>
      <c r="Z316" s="1491" t="n"/>
      <c r="AA316" s="1491" t="n"/>
      <c r="AB316" s="1491" t="n"/>
      <c r="AC316" s="1491" t="n"/>
      <c r="AD316" s="1491" t="n"/>
      <c r="AE316" s="1491" t="n"/>
      <c r="AF316" s="1491" t="n"/>
      <c r="AG316" s="1491" t="n"/>
      <c r="AH316" s="1491" t="n"/>
      <c r="AI316" s="1491" t="n"/>
      <c r="AJ316" s="1491" t="n"/>
      <c r="AK316" s="1491" t="n"/>
      <c r="AL316" s="1491" t="n"/>
      <c r="AM316" s="1491" t="n"/>
      <c r="AN316" s="1491" t="n"/>
      <c r="AO316" s="1491" t="n"/>
      <c r="AP316" s="1491" t="n"/>
      <c r="AQ316" s="1491" t="n"/>
      <c r="AR316" s="1491" t="n"/>
      <c r="AS316" s="1491" t="n"/>
      <c r="AT316" s="1491" t="n"/>
      <c r="AU316" s="1491" t="n"/>
      <c r="AV316" s="1491" t="n"/>
      <c r="AW316" s="1491" t="n"/>
      <c r="AX316" s="1491" t="n"/>
      <c r="AY316" s="1491" t="n"/>
      <c r="AZ316" s="1491" t="n"/>
      <c r="BA316" s="1491" t="n"/>
      <c r="BB316" s="1491" t="n"/>
      <c r="BC316" s="1491" t="n"/>
      <c r="BD316" s="1491" t="n"/>
      <c r="BE316" s="1491" t="n"/>
      <c r="BF316" s="1491" t="n"/>
      <c r="BG316" s="1491" t="n"/>
      <c r="BH316" s="1491" t="n"/>
      <c r="BI316" s="1491" t="n"/>
      <c r="BJ316" s="1491" t="n"/>
      <c r="BK316" s="1491" t="n"/>
      <c r="BL316" s="1491" t="n"/>
      <c r="BM316" s="1491" t="n"/>
      <c r="BN316" s="1491" t="n"/>
      <c r="BO316" s="1467" t="n"/>
      <c r="BP316" s="1514" t="n">
        <v>312</v>
      </c>
      <c r="BQ316" s="1513">
        <f>[1]Sheet1!C317</f>
        <v/>
      </c>
      <c r="BR316" s="1515">
        <f>[1]Sheet1!D317</f>
        <v/>
      </c>
      <c r="BS316" s="1513">
        <f>[1]Sheet1!E317</f>
        <v/>
      </c>
      <c r="BT316" s="1515">
        <f>[1]Sheet1!F317</f>
        <v/>
      </c>
      <c r="BU316" s="1516">
        <f>[1]Sheet1!G317</f>
        <v/>
      </c>
      <c r="BV316" s="1513">
        <f>[1]Sheet1!H317</f>
        <v/>
      </c>
      <c r="BW316" s="1467" t="n"/>
      <c r="BX316" s="1491" t="n"/>
      <c r="BY316" s="1491" t="n"/>
      <c r="BZ316" s="1491" t="n"/>
      <c r="CA316" s="1491" t="n"/>
      <c r="CB316" s="1467" t="n"/>
      <c r="CC316" s="1467" t="n"/>
      <c r="CD316" s="1491" t="n"/>
      <c r="CE316" s="1491" t="n"/>
      <c r="CF316" s="1491" t="n"/>
      <c r="CG316" s="1491" t="n"/>
      <c r="CH316" s="1491" t="n"/>
      <c r="CI316" s="1491" t="n"/>
      <c r="CJ316" s="1491" t="n"/>
      <c r="CK316" s="1491" t="n"/>
      <c r="CL316" s="1491" t="n"/>
      <c r="CM316" s="1491" t="n"/>
      <c r="CN316" s="1491" t="n"/>
      <c r="CO316" s="1491" t="n"/>
      <c r="CP316" s="1491" t="n"/>
      <c r="CQ316" s="1491" t="n"/>
      <c r="CR316" s="1491" t="n"/>
      <c r="CS316" s="1491" t="n"/>
      <c r="CT316" s="1491" t="n"/>
      <c r="CU316" s="1491" t="n"/>
      <c r="CV316" s="1491" t="n"/>
      <c r="CW316" s="1491" t="n"/>
      <c r="CX316" s="1491" t="n"/>
    </row>
    <row r="317">
      <c r="A317" s="1491" t="n"/>
      <c r="B317" s="1491" t="n"/>
      <c r="C317" s="1491" t="n"/>
      <c r="D317" s="1497">
        <f>IF(E317&lt;&gt;"",D316+1,D316)</f>
        <v/>
      </c>
      <c r="E317" s="1497" t="inlineStr">
        <is>
          <t>Hanes</t>
        </is>
      </c>
      <c r="F317" s="1535" t="inlineStr">
        <is>
          <t>.</t>
        </is>
      </c>
      <c r="G317" s="1498">
        <f>IF(H317="AIR",0,IF(H316="AIR",G315+1,IF(H317&lt;&gt;"",G316+1,G316)))</f>
        <v/>
      </c>
      <c r="H317" s="1498" t="inlineStr">
        <is>
          <t>Megeve</t>
        </is>
      </c>
      <c r="I317" s="1427" t="inlineStr">
        <is>
          <t>.</t>
        </is>
      </c>
      <c r="J317" s="1499" t="n">
        <v>312</v>
      </c>
      <c r="K317" s="1500">
        <f>_xlfn.XLOOKUP(cities[[#This Row],[id]],$D$5:$D$1500,E$5:E$1500,"-")</f>
        <v/>
      </c>
      <c r="L317" s="1500">
        <f>_xlfn.XLOOKUP(cities[[#This Row],[city]],ccc[city],ccc[ctry],"-")</f>
        <v/>
      </c>
      <c r="M317" s="1500">
        <f>SUMIFS(stayCity[stay],stayCity[city],cities[[#This Row],[city]])</f>
        <v/>
      </c>
      <c r="N317" s="1427">
        <f>N316+1</f>
        <v/>
      </c>
      <c r="O317" s="1500" t="n"/>
      <c r="P317" s="1500" t="n"/>
      <c r="Q317" s="1427" t="inlineStr">
        <is>
          <t>.</t>
        </is>
      </c>
      <c r="R317" s="1491" t="n"/>
      <c r="S317" s="1491" t="n"/>
      <c r="T317" s="1491" t="n"/>
      <c r="U317" s="1491" t="n"/>
      <c r="V317" s="1491" t="n"/>
      <c r="W317" s="1491" t="n"/>
      <c r="X317" s="1491" t="n"/>
      <c r="Y317" s="1491" t="n"/>
      <c r="Z317" s="1491" t="n"/>
      <c r="AA317" s="1491" t="n"/>
      <c r="AB317" s="1491" t="n"/>
      <c r="AC317" s="1491" t="n"/>
      <c r="AD317" s="1491" t="n"/>
      <c r="AE317" s="1491" t="n"/>
      <c r="AF317" s="1491" t="n"/>
      <c r="AG317" s="1491" t="n"/>
      <c r="AH317" s="1491" t="n"/>
      <c r="AI317" s="1491" t="n"/>
      <c r="AJ317" s="1491" t="n"/>
      <c r="AK317" s="1491" t="n"/>
      <c r="AL317" s="1491" t="n"/>
      <c r="AM317" s="1491" t="n"/>
      <c r="AN317" s="1491" t="n"/>
      <c r="AO317" s="1491" t="n"/>
      <c r="AP317" s="1491" t="n"/>
      <c r="AQ317" s="1491" t="n"/>
      <c r="AR317" s="1491" t="n"/>
      <c r="AS317" s="1491" t="n"/>
      <c r="AT317" s="1491" t="n"/>
      <c r="AU317" s="1491" t="n"/>
      <c r="AV317" s="1491" t="n"/>
      <c r="AW317" s="1491" t="n"/>
      <c r="AX317" s="1491" t="n"/>
      <c r="AY317" s="1491" t="n"/>
      <c r="AZ317" s="1491" t="n"/>
      <c r="BA317" s="1491" t="n"/>
      <c r="BB317" s="1491" t="n"/>
      <c r="BC317" s="1491" t="n"/>
      <c r="BD317" s="1491" t="n"/>
      <c r="BE317" s="1491" t="n"/>
      <c r="BF317" s="1491" t="n"/>
      <c r="BG317" s="1491" t="n"/>
      <c r="BH317" s="1491" t="n"/>
      <c r="BI317" s="1491" t="n"/>
      <c r="BJ317" s="1491" t="n"/>
      <c r="BK317" s="1491" t="n"/>
      <c r="BL317" s="1491" t="n"/>
      <c r="BM317" s="1491" t="n"/>
      <c r="BN317" s="1491" t="n"/>
      <c r="BO317" s="1467" t="n"/>
      <c r="BP317" s="1514" t="n">
        <v>313</v>
      </c>
      <c r="BQ317" s="1513">
        <f>[1]Sheet1!C318</f>
        <v/>
      </c>
      <c r="BR317" s="1515">
        <f>[1]Sheet1!D318</f>
        <v/>
      </c>
      <c r="BS317" s="1513">
        <f>[1]Sheet1!E318</f>
        <v/>
      </c>
      <c r="BT317" s="1515">
        <f>[1]Sheet1!F318</f>
        <v/>
      </c>
      <c r="BU317" s="1516">
        <f>[1]Sheet1!G318</f>
        <v/>
      </c>
      <c r="BV317" s="1513">
        <f>[1]Sheet1!H318</f>
        <v/>
      </c>
      <c r="BW317" s="1467" t="n"/>
      <c r="BX317" s="1491" t="n"/>
      <c r="BY317" s="1491" t="n"/>
      <c r="BZ317" s="1491" t="n"/>
      <c r="CA317" s="1491" t="n"/>
      <c r="CB317" s="1467" t="n"/>
      <c r="CC317" s="1467" t="n"/>
      <c r="CD317" s="1491" t="n"/>
      <c r="CE317" s="1491" t="n"/>
      <c r="CF317" s="1491" t="n"/>
      <c r="CG317" s="1491" t="n"/>
      <c r="CH317" s="1491" t="n"/>
      <c r="CI317" s="1491" t="n"/>
      <c r="CJ317" s="1491" t="n"/>
      <c r="CK317" s="1491" t="n"/>
      <c r="CL317" s="1491" t="n"/>
      <c r="CM317" s="1491" t="n"/>
      <c r="CN317" s="1491" t="n"/>
      <c r="CO317" s="1491" t="n"/>
      <c r="CP317" s="1491" t="n"/>
      <c r="CQ317" s="1491" t="n"/>
      <c r="CR317" s="1491" t="n"/>
      <c r="CS317" s="1491" t="n"/>
      <c r="CT317" s="1491" t="n"/>
      <c r="CU317" s="1491" t="n"/>
      <c r="CV317" s="1491" t="n"/>
      <c r="CW317" s="1491" t="n"/>
      <c r="CX317" s="1491" t="n"/>
    </row>
    <row r="318">
      <c r="A318" s="1491" t="n"/>
      <c r="B318" s="1491" t="n"/>
      <c r="C318" s="1491" t="n"/>
      <c r="D318" s="1497">
        <f>IF(E318&lt;&gt;"",D317+1,D317)</f>
        <v/>
      </c>
      <c r="E318" s="1497" t="inlineStr">
        <is>
          <t>Boucres</t>
        </is>
      </c>
      <c r="F318" s="1535" t="inlineStr">
        <is>
          <t>.</t>
        </is>
      </c>
      <c r="G318" s="1498">
        <f>IF(H318="AIR",0,IF(H317="AIR",G316+1,IF(H318&lt;&gt;"",G317+1,G317)))</f>
        <v/>
      </c>
      <c r="H318" s="1498" t="inlineStr">
        <is>
          <t>Amargosa</t>
        </is>
      </c>
      <c r="I318" s="1427" t="inlineStr">
        <is>
          <t>.</t>
        </is>
      </c>
      <c r="J318" s="1499" t="n">
        <v>313</v>
      </c>
      <c r="K318" s="1500">
        <f>_xlfn.XLOOKUP(cities[[#This Row],[id]],$D$5:$D$1500,E$5:E$1500,"-")</f>
        <v/>
      </c>
      <c r="L318" s="1500">
        <f>_xlfn.XLOOKUP(cities[[#This Row],[city]],ccc[city],ccc[ctry],"-")</f>
        <v/>
      </c>
      <c r="M318" s="1500">
        <f>SUMIFS(stayCity[stay],stayCity[city],cities[[#This Row],[city]])</f>
        <v/>
      </c>
      <c r="N318" s="1427">
        <f>N317+1</f>
        <v/>
      </c>
      <c r="O318" s="1500" t="n"/>
      <c r="P318" s="1500" t="n"/>
      <c r="Q318" s="1427" t="inlineStr">
        <is>
          <t>.</t>
        </is>
      </c>
      <c r="R318" s="1491" t="n"/>
      <c r="S318" s="1491" t="n"/>
      <c r="T318" s="1491" t="n"/>
      <c r="U318" s="1491" t="n"/>
      <c r="V318" s="1491" t="n"/>
      <c r="W318" s="1491" t="n"/>
      <c r="X318" s="1491" t="n"/>
      <c r="Y318" s="1491" t="n"/>
      <c r="Z318" s="1491" t="n"/>
      <c r="AA318" s="1491" t="n"/>
      <c r="AB318" s="1491" t="n"/>
      <c r="AC318" s="1491" t="n"/>
      <c r="AD318" s="1491" t="n"/>
      <c r="AE318" s="1491" t="n"/>
      <c r="AF318" s="1491" t="n"/>
      <c r="AG318" s="1491" t="n"/>
      <c r="AH318" s="1491" t="n"/>
      <c r="AI318" s="1491" t="n"/>
      <c r="AJ318" s="1491" t="n"/>
      <c r="AK318" s="1491" t="n"/>
      <c r="AL318" s="1491" t="n"/>
      <c r="AM318" s="1491" t="n"/>
      <c r="AN318" s="1491" t="n"/>
      <c r="AO318" s="1491" t="n"/>
      <c r="AP318" s="1491" t="n"/>
      <c r="AQ318" s="1491" t="n"/>
      <c r="AR318" s="1491" t="n"/>
      <c r="AS318" s="1491" t="n"/>
      <c r="AT318" s="1491" t="n"/>
      <c r="AU318" s="1491" t="n"/>
      <c r="AV318" s="1491" t="n"/>
      <c r="AW318" s="1491" t="n"/>
      <c r="AX318" s="1491" t="n"/>
      <c r="AY318" s="1491" t="n"/>
      <c r="AZ318" s="1491" t="n"/>
      <c r="BA318" s="1491" t="n"/>
      <c r="BB318" s="1491" t="n"/>
      <c r="BC318" s="1491" t="n"/>
      <c r="BD318" s="1491" t="n"/>
      <c r="BE318" s="1491" t="n"/>
      <c r="BF318" s="1491" t="n"/>
      <c r="BG318" s="1491" t="n"/>
      <c r="BH318" s="1491" t="n"/>
      <c r="BI318" s="1491" t="n"/>
      <c r="BJ318" s="1491" t="n"/>
      <c r="BK318" s="1491" t="n"/>
      <c r="BL318" s="1491" t="n"/>
      <c r="BM318" s="1491" t="n"/>
      <c r="BN318" s="1491" t="n"/>
      <c r="BO318" s="1467" t="n"/>
      <c r="BP318" s="1514" t="n">
        <v>314</v>
      </c>
      <c r="BQ318" s="1513">
        <f>[1]Sheet1!C319</f>
        <v/>
      </c>
      <c r="BR318" s="1515">
        <f>[1]Sheet1!D319</f>
        <v/>
      </c>
      <c r="BS318" s="1513">
        <f>[1]Sheet1!E319</f>
        <v/>
      </c>
      <c r="BT318" s="1515">
        <f>[1]Sheet1!F319</f>
        <v/>
      </c>
      <c r="BU318" s="1516">
        <f>[1]Sheet1!G319</f>
        <v/>
      </c>
      <c r="BV318" s="1513">
        <f>[1]Sheet1!H319</f>
        <v/>
      </c>
      <c r="BW318" s="1467" t="n"/>
      <c r="BX318" s="1491" t="n"/>
      <c r="BY318" s="1491" t="n"/>
      <c r="BZ318" s="1491" t="n"/>
      <c r="CA318" s="1491" t="n"/>
      <c r="CB318" s="1467" t="n"/>
      <c r="CC318" s="1467" t="n"/>
      <c r="CD318" s="1491" t="n"/>
      <c r="CE318" s="1491" t="n"/>
      <c r="CF318" s="1491" t="n"/>
      <c r="CG318" s="1491" t="n"/>
      <c r="CH318" s="1491" t="n"/>
      <c r="CI318" s="1491" t="n"/>
      <c r="CJ318" s="1491" t="n"/>
      <c r="CK318" s="1491" t="n"/>
      <c r="CL318" s="1491" t="n"/>
      <c r="CM318" s="1491" t="n"/>
      <c r="CN318" s="1491" t="n"/>
      <c r="CO318" s="1491" t="n"/>
      <c r="CP318" s="1491" t="n"/>
      <c r="CQ318" s="1491" t="n"/>
      <c r="CR318" s="1491" t="n"/>
      <c r="CS318" s="1491" t="n"/>
      <c r="CT318" s="1491" t="n"/>
      <c r="CU318" s="1491" t="n"/>
      <c r="CV318" s="1491" t="n"/>
      <c r="CW318" s="1491" t="n"/>
      <c r="CX318" s="1491" t="n"/>
    </row>
    <row r="319">
      <c r="A319" s="1491" t="n"/>
      <c r="B319" s="1491" t="n"/>
      <c r="C319" s="1491" t="n"/>
      <c r="D319" s="1497">
        <f>IF(E319&lt;&gt;"",D318+1,D318)</f>
        <v/>
      </c>
      <c r="E319" s="1497" t="inlineStr">
        <is>
          <t>Guines</t>
        </is>
      </c>
      <c r="F319" s="1535" t="inlineStr">
        <is>
          <t>.</t>
        </is>
      </c>
      <c r="G319" s="1498">
        <f>IF(H319="AIR",0,IF(H318="AIR",G317+1,IF(H319&lt;&gt;"",G318+1,G318)))</f>
        <v/>
      </c>
      <c r="H319" s="1498" t="inlineStr">
        <is>
          <t>Windsor</t>
        </is>
      </c>
      <c r="I319" s="1427" t="inlineStr">
        <is>
          <t>.</t>
        </is>
      </c>
      <c r="J319" s="1499" t="n">
        <v>314</v>
      </c>
      <c r="K319" s="1500">
        <f>_xlfn.XLOOKUP(cities[[#This Row],[id]],$D$5:$D$1500,E$5:E$1500,"-")</f>
        <v/>
      </c>
      <c r="L319" s="1500">
        <f>_xlfn.XLOOKUP(cities[[#This Row],[city]],ccc[city],ccc[ctry],"-")</f>
        <v/>
      </c>
      <c r="M319" s="1500">
        <f>SUMIFS(stayCity[stay],stayCity[city],cities[[#This Row],[city]])</f>
        <v/>
      </c>
      <c r="N319" s="1427">
        <f>N318+1</f>
        <v/>
      </c>
      <c r="O319" s="1500" t="n"/>
      <c r="P319" s="1500" t="n"/>
      <c r="Q319" s="1427" t="inlineStr">
        <is>
          <t>.</t>
        </is>
      </c>
      <c r="R319" s="1491" t="n"/>
      <c r="S319" s="1491" t="n"/>
      <c r="T319" s="1491" t="n"/>
      <c r="U319" s="1491" t="n"/>
      <c r="V319" s="1491" t="n"/>
      <c r="W319" s="1491" t="n"/>
      <c r="X319" s="1491" t="n"/>
      <c r="Y319" s="1491" t="n"/>
      <c r="Z319" s="1491" t="n"/>
      <c r="AA319" s="1491" t="n"/>
      <c r="AB319" s="1491" t="n"/>
      <c r="AC319" s="1491" t="n"/>
      <c r="AD319" s="1491" t="n"/>
      <c r="AE319" s="1491" t="n"/>
      <c r="AF319" s="1491" t="n"/>
      <c r="AG319" s="1491" t="n"/>
      <c r="AH319" s="1491" t="n"/>
      <c r="AI319" s="1491" t="n"/>
      <c r="AJ319" s="1491" t="n"/>
      <c r="AK319" s="1491" t="n"/>
      <c r="AL319" s="1491" t="n"/>
      <c r="AM319" s="1491" t="n"/>
      <c r="AN319" s="1491" t="n"/>
      <c r="AO319" s="1491" t="n"/>
      <c r="AP319" s="1491" t="n"/>
      <c r="AQ319" s="1491" t="n"/>
      <c r="AR319" s="1491" t="n"/>
      <c r="AS319" s="1491" t="n"/>
      <c r="AT319" s="1491" t="n"/>
      <c r="AU319" s="1491" t="n"/>
      <c r="AV319" s="1491" t="n"/>
      <c r="AW319" s="1491" t="n"/>
      <c r="AX319" s="1491" t="n"/>
      <c r="AY319" s="1491" t="n"/>
      <c r="AZ319" s="1491" t="n"/>
      <c r="BA319" s="1491" t="n"/>
      <c r="BB319" s="1491" t="n"/>
      <c r="BC319" s="1491" t="n"/>
      <c r="BD319" s="1491" t="n"/>
      <c r="BE319" s="1491" t="n"/>
      <c r="BF319" s="1491" t="n"/>
      <c r="BG319" s="1491" t="n"/>
      <c r="BH319" s="1491" t="n"/>
      <c r="BI319" s="1491" t="n"/>
      <c r="BJ319" s="1491" t="n"/>
      <c r="BK319" s="1491" t="n"/>
      <c r="BL319" s="1491" t="n"/>
      <c r="BM319" s="1491" t="n"/>
      <c r="BN319" s="1491" t="n"/>
      <c r="BO319" s="1467" t="n"/>
      <c r="BP319" s="1514" t="n">
        <v>315</v>
      </c>
      <c r="BQ319" s="1513">
        <f>[1]Sheet1!C320</f>
        <v/>
      </c>
      <c r="BR319" s="1515">
        <f>[1]Sheet1!D320</f>
        <v/>
      </c>
      <c r="BS319" s="1513">
        <f>[1]Sheet1!E320</f>
        <v/>
      </c>
      <c r="BT319" s="1515">
        <f>[1]Sheet1!F320</f>
        <v/>
      </c>
      <c r="BU319" s="1516">
        <f>[1]Sheet1!G320</f>
        <v/>
      </c>
      <c r="BV319" s="1513">
        <f>[1]Sheet1!H320</f>
        <v/>
      </c>
      <c r="BW319" s="1467" t="n"/>
      <c r="BX319" s="1491" t="n"/>
      <c r="BY319" s="1491" t="n"/>
      <c r="BZ319" s="1491" t="n"/>
      <c r="CA319" s="1491" t="n"/>
      <c r="CB319" s="1467" t="n"/>
      <c r="CC319" s="1467" t="n"/>
      <c r="CD319" s="1491" t="n"/>
      <c r="CE319" s="1491" t="n"/>
      <c r="CF319" s="1491" t="n"/>
      <c r="CG319" s="1491" t="n"/>
      <c r="CH319" s="1491" t="n"/>
      <c r="CI319" s="1491" t="n"/>
      <c r="CJ319" s="1491" t="n"/>
      <c r="CK319" s="1491" t="n"/>
      <c r="CL319" s="1491" t="n"/>
      <c r="CM319" s="1491" t="n"/>
      <c r="CN319" s="1491" t="n"/>
      <c r="CO319" s="1491" t="n"/>
      <c r="CP319" s="1491" t="n"/>
      <c r="CQ319" s="1491" t="n"/>
      <c r="CR319" s="1491" t="n"/>
      <c r="CS319" s="1491" t="n"/>
      <c r="CT319" s="1491" t="n"/>
      <c r="CU319" s="1491" t="n"/>
      <c r="CV319" s="1491" t="n"/>
      <c r="CW319" s="1491" t="n"/>
      <c r="CX319" s="1491" t="n"/>
    </row>
    <row r="320">
      <c r="A320" s="1491" t="n"/>
      <c r="B320" s="1491" t="n"/>
      <c r="C320" s="1491" t="n"/>
      <c r="D320" s="1497">
        <f>IF(E320&lt;&gt;"",D319+1,D319)</f>
        <v/>
      </c>
      <c r="E320" s="1497" t="inlineStr">
        <is>
          <t>Licques</t>
        </is>
      </c>
      <c r="F320" s="1535" t="inlineStr">
        <is>
          <t>.</t>
        </is>
      </c>
      <c r="G320" s="1498">
        <f>IF(H320="AIR",0,IF(H319="AIR",G318+1,IF(H320&lt;&gt;"",G319+1,G319)))</f>
        <v/>
      </c>
      <c r="H320" s="1498" t="inlineStr">
        <is>
          <t>Hampton</t>
        </is>
      </c>
      <c r="I320" s="1427" t="inlineStr">
        <is>
          <t>.</t>
        </is>
      </c>
      <c r="J320" s="1499" t="n">
        <v>315</v>
      </c>
      <c r="K320" s="1500">
        <f>_xlfn.XLOOKUP(cities[[#This Row],[id]],$D$5:$D$1500,E$5:E$1500,"-")</f>
        <v/>
      </c>
      <c r="L320" s="1500">
        <f>_xlfn.XLOOKUP(cities[[#This Row],[city]],ccc[city],ccc[ctry],"-")</f>
        <v/>
      </c>
      <c r="M320" s="1500">
        <f>SUMIFS(stayCity[stay],stayCity[city],cities[[#This Row],[city]])</f>
        <v/>
      </c>
      <c r="N320" s="1427">
        <f>N319+1</f>
        <v/>
      </c>
      <c r="O320" s="1500" t="n"/>
      <c r="P320" s="1500" t="n"/>
      <c r="Q320" s="1427" t="inlineStr">
        <is>
          <t>.</t>
        </is>
      </c>
      <c r="R320" s="1491" t="n"/>
      <c r="S320" s="1491" t="n"/>
      <c r="T320" s="1491" t="n"/>
      <c r="U320" s="1491" t="n"/>
      <c r="V320" s="1491" t="n"/>
      <c r="W320" s="1491" t="n"/>
      <c r="X320" s="1491" t="n"/>
      <c r="Y320" s="1491" t="n"/>
      <c r="Z320" s="1491" t="n"/>
      <c r="AA320" s="1491" t="n"/>
      <c r="AB320" s="1491" t="n"/>
      <c r="AC320" s="1491" t="n"/>
      <c r="AD320" s="1491" t="n"/>
      <c r="AE320" s="1491" t="n"/>
      <c r="AF320" s="1491" t="n"/>
      <c r="AG320" s="1491" t="n"/>
      <c r="AH320" s="1491" t="n"/>
      <c r="AI320" s="1491" t="n"/>
      <c r="AJ320" s="1491" t="n"/>
      <c r="AK320" s="1491" t="n"/>
      <c r="AL320" s="1491" t="n"/>
      <c r="AM320" s="1491" t="n"/>
      <c r="AN320" s="1491" t="n"/>
      <c r="AO320" s="1491" t="n"/>
      <c r="AP320" s="1491" t="n"/>
      <c r="AQ320" s="1491" t="n"/>
      <c r="AR320" s="1491" t="n"/>
      <c r="AS320" s="1491" t="n"/>
      <c r="AT320" s="1491" t="n"/>
      <c r="AU320" s="1491" t="n"/>
      <c r="AV320" s="1491" t="n"/>
      <c r="AW320" s="1491" t="n"/>
      <c r="AX320" s="1491" t="n"/>
      <c r="AY320" s="1491" t="n"/>
      <c r="AZ320" s="1491" t="n"/>
      <c r="BA320" s="1491" t="n"/>
      <c r="BB320" s="1491" t="n"/>
      <c r="BC320" s="1491" t="n"/>
      <c r="BD320" s="1491" t="n"/>
      <c r="BE320" s="1491" t="n"/>
      <c r="BF320" s="1491" t="n"/>
      <c r="BG320" s="1491" t="n"/>
      <c r="BH320" s="1491" t="n"/>
      <c r="BI320" s="1491" t="n"/>
      <c r="BJ320" s="1491" t="n"/>
      <c r="BK320" s="1491" t="n"/>
      <c r="BL320" s="1491" t="n"/>
      <c r="BM320" s="1491" t="n"/>
      <c r="BN320" s="1491" t="n"/>
      <c r="BO320" s="1467" t="n"/>
      <c r="BP320" s="1514" t="n">
        <v>316</v>
      </c>
      <c r="BQ320" s="1513">
        <f>[1]Sheet1!C321</f>
        <v/>
      </c>
      <c r="BR320" s="1515">
        <f>[1]Sheet1!D321</f>
        <v/>
      </c>
      <c r="BS320" s="1513">
        <f>[1]Sheet1!E321</f>
        <v/>
      </c>
      <c r="BT320" s="1515">
        <f>[1]Sheet1!F321</f>
        <v/>
      </c>
      <c r="BU320" s="1516">
        <f>[1]Sheet1!G321</f>
        <v/>
      </c>
      <c r="BV320" s="1513">
        <f>[1]Sheet1!H321</f>
        <v/>
      </c>
      <c r="BW320" s="1467" t="n"/>
      <c r="BX320" s="1491" t="n"/>
      <c r="BY320" s="1491" t="n"/>
      <c r="BZ320" s="1491" t="n"/>
      <c r="CA320" s="1491" t="n"/>
      <c r="CB320" s="1467" t="n"/>
      <c r="CC320" s="1467" t="n"/>
      <c r="CD320" s="1491" t="n"/>
      <c r="CE320" s="1491" t="n"/>
      <c r="CF320" s="1491" t="n"/>
      <c r="CG320" s="1491" t="n"/>
      <c r="CH320" s="1491" t="n"/>
      <c r="CI320" s="1491" t="n"/>
      <c r="CJ320" s="1491" t="n"/>
      <c r="CK320" s="1491" t="n"/>
      <c r="CL320" s="1491" t="n"/>
      <c r="CM320" s="1491" t="n"/>
      <c r="CN320" s="1491" t="n"/>
      <c r="CO320" s="1491" t="n"/>
      <c r="CP320" s="1491" t="n"/>
      <c r="CQ320" s="1491" t="n"/>
      <c r="CR320" s="1491" t="n"/>
      <c r="CS320" s="1491" t="n"/>
      <c r="CT320" s="1491" t="n"/>
      <c r="CU320" s="1491" t="n"/>
      <c r="CV320" s="1491" t="n"/>
      <c r="CW320" s="1491" t="n"/>
      <c r="CX320" s="1491" t="n"/>
    </row>
    <row r="321">
      <c r="A321" s="1491" t="n"/>
      <c r="B321" s="1491" t="n"/>
      <c r="C321" s="1491" t="n"/>
      <c r="D321" s="1497">
        <f>IF(E321&lt;&gt;"",D320+1,D320)</f>
        <v/>
      </c>
      <c r="E321" s="1497" t="inlineStr">
        <is>
          <t>Wisques</t>
        </is>
      </c>
      <c r="F321" s="1535" t="inlineStr">
        <is>
          <t>.</t>
        </is>
      </c>
      <c r="G321" s="1498">
        <f>IF(H321="AIR",0,IF(H320="AIR",G319+1,IF(H321&lt;&gt;"",G320+1,G320)))</f>
        <v/>
      </c>
      <c r="H321" s="1498" t="inlineStr">
        <is>
          <t>Sheperdswell</t>
        </is>
      </c>
      <c r="I321" s="1427" t="inlineStr">
        <is>
          <t>.</t>
        </is>
      </c>
      <c r="J321" s="1499" t="n">
        <v>316</v>
      </c>
      <c r="K321" s="1500">
        <f>_xlfn.XLOOKUP(cities[[#This Row],[id]],$D$5:$D$1500,E$5:E$1500,"-")</f>
        <v/>
      </c>
      <c r="L321" s="1500">
        <f>_xlfn.XLOOKUP(cities[[#This Row],[city]],ccc[city],ccc[ctry],"-")</f>
        <v/>
      </c>
      <c r="M321" s="1500">
        <f>SUMIFS(stayCity[stay],stayCity[city],cities[[#This Row],[city]])</f>
        <v/>
      </c>
      <c r="N321" s="1427">
        <f>N320+1</f>
        <v/>
      </c>
      <c r="O321" s="1500" t="n"/>
      <c r="P321" s="1500" t="n"/>
      <c r="Q321" s="1427" t="inlineStr">
        <is>
          <t>.</t>
        </is>
      </c>
      <c r="R321" s="1491" t="n"/>
      <c r="S321" s="1491" t="n"/>
      <c r="T321" s="1491" t="n"/>
      <c r="U321" s="1491" t="n"/>
      <c r="V321" s="1491" t="n"/>
      <c r="W321" s="1491" t="n"/>
      <c r="X321" s="1491" t="n"/>
      <c r="Y321" s="1491" t="n"/>
      <c r="Z321" s="1491" t="n"/>
      <c r="AA321" s="1491" t="n"/>
      <c r="AB321" s="1491" t="n"/>
      <c r="AC321" s="1491" t="n"/>
      <c r="AD321" s="1491" t="n"/>
      <c r="AE321" s="1491" t="n"/>
      <c r="AF321" s="1491" t="n"/>
      <c r="AG321" s="1491" t="n"/>
      <c r="AH321" s="1491" t="n"/>
      <c r="AI321" s="1491" t="n"/>
      <c r="AJ321" s="1491" t="n"/>
      <c r="AK321" s="1491" t="n"/>
      <c r="AL321" s="1491" t="n"/>
      <c r="AM321" s="1491" t="n"/>
      <c r="AN321" s="1491" t="n"/>
      <c r="AO321" s="1491" t="n"/>
      <c r="AP321" s="1491" t="n"/>
      <c r="AQ321" s="1491" t="n"/>
      <c r="AR321" s="1491" t="n"/>
      <c r="AS321" s="1491" t="n"/>
      <c r="AT321" s="1491" t="n"/>
      <c r="AU321" s="1491" t="n"/>
      <c r="AV321" s="1491" t="n"/>
      <c r="AW321" s="1491" t="n"/>
      <c r="AX321" s="1491" t="n"/>
      <c r="AY321" s="1491" t="n"/>
      <c r="AZ321" s="1491" t="n"/>
      <c r="BA321" s="1491" t="n"/>
      <c r="BB321" s="1491" t="n"/>
      <c r="BC321" s="1491" t="n"/>
      <c r="BD321" s="1491" t="n"/>
      <c r="BE321" s="1491" t="n"/>
      <c r="BF321" s="1491" t="n"/>
      <c r="BG321" s="1491" t="n"/>
      <c r="BH321" s="1491" t="n"/>
      <c r="BI321" s="1491" t="n"/>
      <c r="BJ321" s="1491" t="n"/>
      <c r="BK321" s="1491" t="n"/>
      <c r="BL321" s="1491" t="n"/>
      <c r="BM321" s="1491" t="n"/>
      <c r="BN321" s="1491" t="n"/>
      <c r="BO321" s="1467" t="n"/>
      <c r="BP321" s="1514" t="n">
        <v>317</v>
      </c>
      <c r="BQ321" s="1513">
        <f>[1]Sheet1!C322</f>
        <v/>
      </c>
      <c r="BR321" s="1515">
        <f>[1]Sheet1!D322</f>
        <v/>
      </c>
      <c r="BS321" s="1513">
        <f>[1]Sheet1!E322</f>
        <v/>
      </c>
      <c r="BT321" s="1515">
        <f>[1]Sheet1!F322</f>
        <v/>
      </c>
      <c r="BU321" s="1516">
        <f>[1]Sheet1!G322</f>
        <v/>
      </c>
      <c r="BV321" s="1513">
        <f>[1]Sheet1!H322</f>
        <v/>
      </c>
      <c r="BW321" s="1467" t="n"/>
      <c r="BX321" s="1491" t="n"/>
      <c r="BY321" s="1491" t="n"/>
      <c r="BZ321" s="1491" t="n"/>
      <c r="CA321" s="1491" t="n"/>
      <c r="CB321" s="1467" t="n"/>
      <c r="CC321" s="1467" t="n"/>
      <c r="CD321" s="1491" t="n"/>
      <c r="CE321" s="1491" t="n"/>
      <c r="CF321" s="1491" t="n"/>
      <c r="CG321" s="1491" t="n"/>
      <c r="CH321" s="1491" t="n"/>
      <c r="CI321" s="1491" t="n"/>
      <c r="CJ321" s="1491" t="n"/>
      <c r="CK321" s="1491" t="n"/>
      <c r="CL321" s="1491" t="n"/>
      <c r="CM321" s="1491" t="n"/>
      <c r="CN321" s="1491" t="n"/>
      <c r="CO321" s="1491" t="n"/>
      <c r="CP321" s="1491" t="n"/>
      <c r="CQ321" s="1491" t="n"/>
      <c r="CR321" s="1491" t="n"/>
      <c r="CS321" s="1491" t="n"/>
      <c r="CT321" s="1491" t="n"/>
      <c r="CU321" s="1491" t="n"/>
      <c r="CV321" s="1491" t="n"/>
      <c r="CW321" s="1491" t="n"/>
      <c r="CX321" s="1491" t="n"/>
    </row>
    <row r="322">
      <c r="A322" s="1491" t="n"/>
      <c r="B322" s="1491" t="n"/>
      <c r="C322" s="1491" t="n"/>
      <c r="D322" s="1497">
        <f>IF(E322&lt;&gt;"",D321+1,D321)</f>
        <v/>
      </c>
      <c r="E322" s="1497" t="inlineStr">
        <is>
          <t>Therouanne</t>
        </is>
      </c>
      <c r="F322" s="1535" t="inlineStr">
        <is>
          <t>.</t>
        </is>
      </c>
      <c r="G322" s="1498">
        <f>IF(H322="AIR",0,IF(H321="AIR",G320+1,IF(H322&lt;&gt;"",G321+1,G321)))</f>
        <v/>
      </c>
      <c r="H322" s="1498" t="inlineStr">
        <is>
          <t>Whitfield</t>
        </is>
      </c>
      <c r="I322" s="1427" t="inlineStr">
        <is>
          <t>.</t>
        </is>
      </c>
      <c r="J322" s="1499" t="n">
        <v>317</v>
      </c>
      <c r="K322" s="1500">
        <f>_xlfn.XLOOKUP(cities[[#This Row],[id]],$D$5:$D$1500,E$5:E$1500,"-")</f>
        <v/>
      </c>
      <c r="L322" s="1500">
        <f>_xlfn.XLOOKUP(cities[[#This Row],[city]],ccc[city],ccc[ctry],"-")</f>
        <v/>
      </c>
      <c r="M322" s="1500">
        <f>SUMIFS(stayCity[stay],stayCity[city],cities[[#This Row],[city]])</f>
        <v/>
      </c>
      <c r="N322" s="1427">
        <f>N321+1</f>
        <v/>
      </c>
      <c r="O322" s="1500" t="n"/>
      <c r="P322" s="1500" t="n"/>
      <c r="Q322" s="1427" t="inlineStr">
        <is>
          <t>.</t>
        </is>
      </c>
      <c r="R322" s="1491" t="n"/>
      <c r="S322" s="1491" t="n"/>
      <c r="T322" s="1491" t="n"/>
      <c r="U322" s="1491" t="n"/>
      <c r="V322" s="1491" t="n"/>
      <c r="W322" s="1491" t="n"/>
      <c r="X322" s="1491" t="n"/>
      <c r="Y322" s="1491" t="n"/>
      <c r="Z322" s="1491" t="n"/>
      <c r="AA322" s="1491" t="n"/>
      <c r="AB322" s="1491" t="n"/>
      <c r="AC322" s="1491" t="n"/>
      <c r="AD322" s="1491" t="n"/>
      <c r="AE322" s="1491" t="n"/>
      <c r="AF322" s="1491" t="n"/>
      <c r="AG322" s="1491" t="n"/>
      <c r="AH322" s="1491" t="n"/>
      <c r="AI322" s="1491" t="n"/>
      <c r="AJ322" s="1491" t="n"/>
      <c r="AK322" s="1491" t="n"/>
      <c r="AL322" s="1491" t="n"/>
      <c r="AM322" s="1491" t="n"/>
      <c r="AN322" s="1491" t="n"/>
      <c r="AO322" s="1491" t="n"/>
      <c r="AP322" s="1491" t="n"/>
      <c r="AQ322" s="1491" t="n"/>
      <c r="AR322" s="1491" t="n"/>
      <c r="AS322" s="1491" t="n"/>
      <c r="AT322" s="1491" t="n"/>
      <c r="AU322" s="1491" t="n"/>
      <c r="AV322" s="1491" t="n"/>
      <c r="AW322" s="1491" t="n"/>
      <c r="AX322" s="1491" t="n"/>
      <c r="AY322" s="1491" t="n"/>
      <c r="AZ322" s="1491" t="n"/>
      <c r="BA322" s="1491" t="n"/>
      <c r="BB322" s="1491" t="n"/>
      <c r="BC322" s="1491" t="n"/>
      <c r="BD322" s="1491" t="n"/>
      <c r="BE322" s="1491" t="n"/>
      <c r="BF322" s="1491" t="n"/>
      <c r="BG322" s="1491" t="n"/>
      <c r="BH322" s="1491" t="n"/>
      <c r="BI322" s="1491" t="n"/>
      <c r="BJ322" s="1491" t="n"/>
      <c r="BK322" s="1491" t="n"/>
      <c r="BL322" s="1491" t="n"/>
      <c r="BM322" s="1491" t="n"/>
      <c r="BN322" s="1491" t="n"/>
      <c r="BO322" s="1467" t="n"/>
      <c r="BP322" s="1514" t="n">
        <v>318</v>
      </c>
      <c r="BQ322" s="1513">
        <f>[1]Sheet1!C323</f>
        <v/>
      </c>
      <c r="BR322" s="1515">
        <f>[1]Sheet1!D323</f>
        <v/>
      </c>
      <c r="BS322" s="1513">
        <f>[1]Sheet1!E323</f>
        <v/>
      </c>
      <c r="BT322" s="1515">
        <f>[1]Sheet1!F323</f>
        <v/>
      </c>
      <c r="BU322" s="1516">
        <f>[1]Sheet1!G323</f>
        <v/>
      </c>
      <c r="BV322" s="1513">
        <f>[1]Sheet1!H323</f>
        <v/>
      </c>
      <c r="BW322" s="1467" t="n"/>
      <c r="BX322" s="1491" t="n"/>
      <c r="BY322" s="1491" t="n"/>
      <c r="BZ322" s="1491" t="n"/>
      <c r="CA322" s="1491" t="n"/>
      <c r="CB322" s="1467" t="n"/>
      <c r="CC322" s="1467" t="n"/>
      <c r="CD322" s="1491" t="n"/>
      <c r="CE322" s="1491" t="n"/>
      <c r="CF322" s="1491" t="n"/>
      <c r="CG322" s="1491" t="n"/>
      <c r="CH322" s="1491" t="n"/>
      <c r="CI322" s="1491" t="n"/>
      <c r="CJ322" s="1491" t="n"/>
      <c r="CK322" s="1491" t="n"/>
      <c r="CL322" s="1491" t="n"/>
      <c r="CM322" s="1491" t="n"/>
      <c r="CN322" s="1491" t="n"/>
      <c r="CO322" s="1491" t="n"/>
      <c r="CP322" s="1491" t="n"/>
      <c r="CQ322" s="1491" t="n"/>
      <c r="CR322" s="1491" t="n"/>
      <c r="CS322" s="1491" t="n"/>
      <c r="CT322" s="1491" t="n"/>
      <c r="CU322" s="1491" t="n"/>
      <c r="CV322" s="1491" t="n"/>
      <c r="CW322" s="1491" t="n"/>
      <c r="CX322" s="1491" t="n"/>
    </row>
    <row r="323">
      <c r="A323" s="1491" t="n"/>
      <c r="B323" s="1491" t="n"/>
      <c r="C323" s="1491" t="n"/>
      <c r="D323" s="1497">
        <f>IF(E323&lt;&gt;"",D322+1,D322)</f>
        <v/>
      </c>
      <c r="E323" s="1497" t="inlineStr">
        <is>
          <t>Auchy-au-Bois</t>
        </is>
      </c>
      <c r="F323" s="1535" t="inlineStr">
        <is>
          <t>.</t>
        </is>
      </c>
      <c r="G323" s="1498">
        <f>IF(H323="AIR",0,IF(H322="AIR",G321+1,IF(H323&lt;&gt;"",G322+1,G322)))</f>
        <v/>
      </c>
      <c r="H323" s="1498" t="inlineStr">
        <is>
          <t>Coulogne</t>
        </is>
      </c>
      <c r="I323" s="1427" t="inlineStr">
        <is>
          <t>.</t>
        </is>
      </c>
      <c r="J323" s="1499" t="n">
        <v>318</v>
      </c>
      <c r="K323" s="1500">
        <f>_xlfn.XLOOKUP(cities[[#This Row],[id]],$D$5:$D$1500,E$5:E$1500,"-")</f>
        <v/>
      </c>
      <c r="L323" s="1500">
        <f>_xlfn.XLOOKUP(cities[[#This Row],[city]],ccc[city],ccc[ctry],"-")</f>
        <v/>
      </c>
      <c r="M323" s="1500">
        <f>SUMIFS(stayCity[stay],stayCity[city],cities[[#This Row],[city]])</f>
        <v/>
      </c>
      <c r="N323" s="1427">
        <f>N322+1</f>
        <v/>
      </c>
      <c r="O323" s="1500" t="n"/>
      <c r="P323" s="1500" t="n"/>
      <c r="Q323" s="1427" t="inlineStr">
        <is>
          <t>.</t>
        </is>
      </c>
      <c r="R323" s="1491" t="n"/>
      <c r="S323" s="1491" t="n"/>
      <c r="T323" s="1491" t="n"/>
      <c r="U323" s="1491" t="n"/>
      <c r="V323" s="1491" t="n"/>
      <c r="W323" s="1491" t="n"/>
      <c r="X323" s="1491" t="n"/>
      <c r="Y323" s="1491" t="n"/>
      <c r="Z323" s="1491" t="n"/>
      <c r="AA323" s="1491" t="n"/>
      <c r="AB323" s="1491" t="n"/>
      <c r="AC323" s="1491" t="n"/>
      <c r="AD323" s="1491" t="n"/>
      <c r="AE323" s="1491" t="n"/>
      <c r="AF323" s="1491" t="n"/>
      <c r="AG323" s="1491" t="n"/>
      <c r="AH323" s="1491" t="n"/>
      <c r="AI323" s="1491" t="n"/>
      <c r="AJ323" s="1491" t="n"/>
      <c r="AK323" s="1491" t="n"/>
      <c r="AL323" s="1491" t="n"/>
      <c r="AM323" s="1491" t="n"/>
      <c r="AN323" s="1491" t="n"/>
      <c r="AO323" s="1491" t="n"/>
      <c r="AP323" s="1491" t="n"/>
      <c r="AQ323" s="1491" t="n"/>
      <c r="AR323" s="1491" t="n"/>
      <c r="AS323" s="1491" t="n"/>
      <c r="AT323" s="1491" t="n"/>
      <c r="AU323" s="1491" t="n"/>
      <c r="AV323" s="1491" t="n"/>
      <c r="AW323" s="1491" t="n"/>
      <c r="AX323" s="1491" t="n"/>
      <c r="AY323" s="1491" t="n"/>
      <c r="AZ323" s="1491" t="n"/>
      <c r="BA323" s="1491" t="n"/>
      <c r="BB323" s="1491" t="n"/>
      <c r="BC323" s="1491" t="n"/>
      <c r="BD323" s="1491" t="n"/>
      <c r="BE323" s="1491" t="n"/>
      <c r="BF323" s="1491" t="n"/>
      <c r="BG323" s="1491" t="n"/>
      <c r="BH323" s="1491" t="n"/>
      <c r="BI323" s="1491" t="n"/>
      <c r="BJ323" s="1491" t="n"/>
      <c r="BK323" s="1491" t="n"/>
      <c r="BL323" s="1491" t="n"/>
      <c r="BM323" s="1491" t="n"/>
      <c r="BN323" s="1491" t="n"/>
      <c r="BO323" s="1467" t="n"/>
      <c r="BP323" s="1514" t="n">
        <v>319</v>
      </c>
      <c r="BQ323" s="1513">
        <f>[1]Sheet1!C324</f>
        <v/>
      </c>
      <c r="BR323" s="1515">
        <f>[1]Sheet1!D324</f>
        <v/>
      </c>
      <c r="BS323" s="1513">
        <f>[1]Sheet1!E324</f>
        <v/>
      </c>
      <c r="BT323" s="1515">
        <f>[1]Sheet1!F324</f>
        <v/>
      </c>
      <c r="BU323" s="1516">
        <f>[1]Sheet1!G324</f>
        <v/>
      </c>
      <c r="BV323" s="1513">
        <f>[1]Sheet1!H324</f>
        <v/>
      </c>
      <c r="BW323" s="1467" t="n"/>
      <c r="BX323" s="1491" t="n"/>
      <c r="BY323" s="1491" t="n"/>
      <c r="BZ323" s="1491" t="n"/>
      <c r="CA323" s="1491" t="n"/>
      <c r="CB323" s="1467" t="n"/>
      <c r="CC323" s="1467" t="n"/>
      <c r="CD323" s="1491" t="n"/>
      <c r="CE323" s="1491" t="n"/>
      <c r="CF323" s="1491" t="n"/>
      <c r="CG323" s="1491" t="n"/>
      <c r="CH323" s="1491" t="n"/>
      <c r="CI323" s="1491" t="n"/>
      <c r="CJ323" s="1491" t="n"/>
      <c r="CK323" s="1491" t="n"/>
      <c r="CL323" s="1491" t="n"/>
      <c r="CM323" s="1491" t="n"/>
      <c r="CN323" s="1491" t="n"/>
      <c r="CO323" s="1491" t="n"/>
      <c r="CP323" s="1491" t="n"/>
      <c r="CQ323" s="1491" t="n"/>
      <c r="CR323" s="1491" t="n"/>
      <c r="CS323" s="1491" t="n"/>
      <c r="CT323" s="1491" t="n"/>
      <c r="CU323" s="1491" t="n"/>
      <c r="CV323" s="1491" t="n"/>
      <c r="CW323" s="1491" t="n"/>
      <c r="CX323" s="1491" t="n"/>
    </row>
    <row r="324">
      <c r="A324" s="1491" t="n"/>
      <c r="B324" s="1491" t="n"/>
      <c r="C324" s="1491" t="n"/>
      <c r="D324" s="1497">
        <f>IF(E324&lt;&gt;"",D323+1,D323)</f>
        <v/>
      </c>
      <c r="E324" s="1497" t="inlineStr">
        <is>
          <t>Amettes</t>
        </is>
      </c>
      <c r="F324" s="1535" t="inlineStr">
        <is>
          <t>.</t>
        </is>
      </c>
      <c r="G324" s="1498">
        <f>IF(H324="AIR",0,IF(H323="AIR",G322+1,IF(H324&lt;&gt;"",G323+1,G323)))</f>
        <v/>
      </c>
      <c r="H324" s="1498" t="inlineStr">
        <is>
          <t>Hanes</t>
        </is>
      </c>
      <c r="I324" s="1427" t="inlineStr">
        <is>
          <t>.</t>
        </is>
      </c>
      <c r="J324" s="1499" t="n">
        <v>319</v>
      </c>
      <c r="K324" s="1500">
        <f>_xlfn.XLOOKUP(cities[[#This Row],[id]],$D$5:$D$1500,E$5:E$1500,"-")</f>
        <v/>
      </c>
      <c r="L324" s="1500">
        <f>_xlfn.XLOOKUP(cities[[#This Row],[city]],ccc[city],ccc[ctry],"-")</f>
        <v/>
      </c>
      <c r="M324" s="1500">
        <f>SUMIFS(stayCity[stay],stayCity[city],cities[[#This Row],[city]])</f>
        <v/>
      </c>
      <c r="N324" s="1427">
        <f>N323+1</f>
        <v/>
      </c>
      <c r="O324" s="1500" t="n"/>
      <c r="P324" s="1500" t="n"/>
      <c r="Q324" s="1427" t="inlineStr">
        <is>
          <t>.</t>
        </is>
      </c>
      <c r="R324" s="1491" t="n"/>
      <c r="S324" s="1491" t="n"/>
      <c r="T324" s="1491" t="n"/>
      <c r="U324" s="1491" t="n"/>
      <c r="V324" s="1491" t="n"/>
      <c r="W324" s="1491" t="n"/>
      <c r="X324" s="1491" t="n"/>
      <c r="Y324" s="1491" t="n"/>
      <c r="Z324" s="1491" t="n"/>
      <c r="AA324" s="1491" t="n"/>
      <c r="AB324" s="1491" t="n"/>
      <c r="AC324" s="1491" t="n"/>
      <c r="AD324" s="1491" t="n"/>
      <c r="AE324" s="1491" t="n"/>
      <c r="AF324" s="1491" t="n"/>
      <c r="AG324" s="1491" t="n"/>
      <c r="AH324" s="1491" t="n"/>
      <c r="AI324" s="1491" t="n"/>
      <c r="AJ324" s="1491" t="n"/>
      <c r="AK324" s="1491" t="n"/>
      <c r="AL324" s="1491" t="n"/>
      <c r="AM324" s="1491" t="n"/>
      <c r="AN324" s="1491" t="n"/>
      <c r="AO324" s="1491" t="n"/>
      <c r="AP324" s="1491" t="n"/>
      <c r="AQ324" s="1491" t="n"/>
      <c r="AR324" s="1491" t="n"/>
      <c r="AS324" s="1491" t="n"/>
      <c r="AT324" s="1491" t="n"/>
      <c r="AU324" s="1491" t="n"/>
      <c r="AV324" s="1491" t="n"/>
      <c r="AW324" s="1491" t="n"/>
      <c r="AX324" s="1491" t="n"/>
      <c r="AY324" s="1491" t="n"/>
      <c r="AZ324" s="1491" t="n"/>
      <c r="BA324" s="1491" t="n"/>
      <c r="BB324" s="1491" t="n"/>
      <c r="BC324" s="1491" t="n"/>
      <c r="BD324" s="1491" t="n"/>
      <c r="BE324" s="1491" t="n"/>
      <c r="BF324" s="1491" t="n"/>
      <c r="BG324" s="1491" t="n"/>
      <c r="BH324" s="1491" t="n"/>
      <c r="BI324" s="1491" t="n"/>
      <c r="BJ324" s="1491" t="n"/>
      <c r="BK324" s="1491" t="n"/>
      <c r="BL324" s="1491" t="n"/>
      <c r="BM324" s="1491" t="n"/>
      <c r="BN324" s="1491" t="n"/>
      <c r="BO324" s="1467" t="n"/>
      <c r="BP324" s="1514" t="n">
        <v>320</v>
      </c>
      <c r="BQ324" s="1513">
        <f>[1]Sheet1!C325</f>
        <v/>
      </c>
      <c r="BR324" s="1515">
        <f>[1]Sheet1!D325</f>
        <v/>
      </c>
      <c r="BS324" s="1513">
        <f>[1]Sheet1!E325</f>
        <v/>
      </c>
      <c r="BT324" s="1515">
        <f>[1]Sheet1!F325</f>
        <v/>
      </c>
      <c r="BU324" s="1516">
        <f>[1]Sheet1!G325</f>
        <v/>
      </c>
      <c r="BV324" s="1513">
        <f>[1]Sheet1!H325</f>
        <v/>
      </c>
      <c r="BW324" s="1467" t="n"/>
      <c r="BX324" s="1491" t="n"/>
      <c r="BY324" s="1491" t="n"/>
      <c r="BZ324" s="1491" t="n"/>
      <c r="CA324" s="1491" t="n"/>
      <c r="CB324" s="1467" t="n"/>
      <c r="CC324" s="1467" t="n"/>
      <c r="CD324" s="1491" t="n"/>
      <c r="CE324" s="1491" t="n"/>
      <c r="CF324" s="1491" t="n"/>
      <c r="CG324" s="1491" t="n"/>
      <c r="CH324" s="1491" t="n"/>
      <c r="CI324" s="1491" t="n"/>
      <c r="CJ324" s="1491" t="n"/>
      <c r="CK324" s="1491" t="n"/>
      <c r="CL324" s="1491" t="n"/>
      <c r="CM324" s="1491" t="n"/>
      <c r="CN324" s="1491" t="n"/>
      <c r="CO324" s="1491" t="n"/>
      <c r="CP324" s="1491" t="n"/>
      <c r="CQ324" s="1491" t="n"/>
      <c r="CR324" s="1491" t="n"/>
      <c r="CS324" s="1491" t="n"/>
      <c r="CT324" s="1491" t="n"/>
      <c r="CU324" s="1491" t="n"/>
      <c r="CV324" s="1491" t="n"/>
      <c r="CW324" s="1491" t="n"/>
      <c r="CX324" s="1491" t="n"/>
    </row>
    <row r="325">
      <c r="A325" s="1491" t="n"/>
      <c r="B325" s="1491" t="n"/>
      <c r="C325" s="1491" t="n"/>
      <c r="D325" s="1497">
        <f>IF(E325&lt;&gt;"",D324+1,D324)</f>
        <v/>
      </c>
      <c r="E325" s="1497" t="inlineStr">
        <is>
          <t>Houdain</t>
        </is>
      </c>
      <c r="F325" s="1535" t="inlineStr">
        <is>
          <t>.</t>
        </is>
      </c>
      <c r="G325" s="1498">
        <f>IF(H325="AIR",0,IF(H324="AIR",G323+1,IF(H325&lt;&gt;"",G324+1,G324)))</f>
        <v/>
      </c>
      <c r="H325" s="1498" t="inlineStr">
        <is>
          <t>Boucres</t>
        </is>
      </c>
      <c r="I325" s="1427" t="inlineStr">
        <is>
          <t>.</t>
        </is>
      </c>
      <c r="J325" s="1499" t="n">
        <v>320</v>
      </c>
      <c r="K325" s="1500">
        <f>_xlfn.XLOOKUP(cities[[#This Row],[id]],$D$5:$D$1500,E$5:E$1500,"-")</f>
        <v/>
      </c>
      <c r="L325" s="1500">
        <f>_xlfn.XLOOKUP(cities[[#This Row],[city]],ccc[city],ccc[ctry],"-")</f>
        <v/>
      </c>
      <c r="M325" s="1500">
        <f>SUMIFS(stayCity[stay],stayCity[city],cities[[#This Row],[city]])</f>
        <v/>
      </c>
      <c r="N325" s="1427">
        <f>N324+1</f>
        <v/>
      </c>
      <c r="O325" s="1500" t="n"/>
      <c r="P325" s="1500" t="n"/>
      <c r="Q325" s="1427" t="inlineStr">
        <is>
          <t>.</t>
        </is>
      </c>
      <c r="R325" s="1491" t="n"/>
      <c r="S325" s="1491" t="n"/>
      <c r="T325" s="1491" t="n"/>
      <c r="U325" s="1491" t="n"/>
      <c r="V325" s="1491" t="n"/>
      <c r="W325" s="1491" t="n"/>
      <c r="X325" s="1491" t="n"/>
      <c r="Y325" s="1491" t="n"/>
      <c r="Z325" s="1491" t="n"/>
      <c r="AA325" s="1491" t="n"/>
      <c r="AB325" s="1491" t="n"/>
      <c r="AC325" s="1491" t="n"/>
      <c r="AD325" s="1491" t="n"/>
      <c r="AE325" s="1491" t="n"/>
      <c r="AF325" s="1491" t="n"/>
      <c r="AG325" s="1491" t="n"/>
      <c r="AH325" s="1491" t="n"/>
      <c r="AI325" s="1491" t="n"/>
      <c r="AJ325" s="1491" t="n"/>
      <c r="AK325" s="1491" t="n"/>
      <c r="AL325" s="1491" t="n"/>
      <c r="AM325" s="1491" t="n"/>
      <c r="AN325" s="1491" t="n"/>
      <c r="AO325" s="1491" t="n"/>
      <c r="AP325" s="1491" t="n"/>
      <c r="AQ325" s="1491" t="n"/>
      <c r="AR325" s="1491" t="n"/>
      <c r="AS325" s="1491" t="n"/>
      <c r="AT325" s="1491" t="n"/>
      <c r="AU325" s="1491" t="n"/>
      <c r="AV325" s="1491" t="n"/>
      <c r="AW325" s="1491" t="n"/>
      <c r="AX325" s="1491" t="n"/>
      <c r="AY325" s="1491" t="n"/>
      <c r="AZ325" s="1491" t="n"/>
      <c r="BA325" s="1491" t="n"/>
      <c r="BB325" s="1491" t="n"/>
      <c r="BC325" s="1491" t="n"/>
      <c r="BD325" s="1491" t="n"/>
      <c r="BE325" s="1491" t="n"/>
      <c r="BF325" s="1491" t="n"/>
      <c r="BG325" s="1491" t="n"/>
      <c r="BH325" s="1491" t="n"/>
      <c r="BI325" s="1491" t="n"/>
      <c r="BJ325" s="1491" t="n"/>
      <c r="BK325" s="1491" t="n"/>
      <c r="BL325" s="1491" t="n"/>
      <c r="BM325" s="1491" t="n"/>
      <c r="BN325" s="1491" t="n"/>
      <c r="BO325" s="1467" t="n"/>
      <c r="BP325" s="1514" t="n">
        <v>321</v>
      </c>
      <c r="BQ325" s="1513">
        <f>[1]Sheet1!C326</f>
        <v/>
      </c>
      <c r="BR325" s="1515">
        <f>[1]Sheet1!D326</f>
        <v/>
      </c>
      <c r="BS325" s="1513">
        <f>[1]Sheet1!E326</f>
        <v/>
      </c>
      <c r="BT325" s="1515">
        <f>[1]Sheet1!F326</f>
        <v/>
      </c>
      <c r="BU325" s="1516">
        <f>[1]Sheet1!G326</f>
        <v/>
      </c>
      <c r="BV325" s="1513">
        <f>[1]Sheet1!H326</f>
        <v/>
      </c>
      <c r="BW325" s="1467" t="n"/>
      <c r="BX325" s="1491" t="n"/>
      <c r="BY325" s="1491" t="n"/>
      <c r="BZ325" s="1491" t="n"/>
      <c r="CA325" s="1491" t="n"/>
      <c r="CB325" s="1467" t="n"/>
      <c r="CC325" s="1467" t="n"/>
      <c r="CD325" s="1491" t="n"/>
      <c r="CE325" s="1491" t="n"/>
      <c r="CF325" s="1491" t="n"/>
      <c r="CG325" s="1491" t="n"/>
      <c r="CH325" s="1491" t="n"/>
      <c r="CI325" s="1491" t="n"/>
      <c r="CJ325" s="1491" t="n"/>
      <c r="CK325" s="1491" t="n"/>
      <c r="CL325" s="1491" t="n"/>
      <c r="CM325" s="1491" t="n"/>
      <c r="CN325" s="1491" t="n"/>
      <c r="CO325" s="1491" t="n"/>
      <c r="CP325" s="1491" t="n"/>
      <c r="CQ325" s="1491" t="n"/>
      <c r="CR325" s="1491" t="n"/>
      <c r="CS325" s="1491" t="n"/>
      <c r="CT325" s="1491" t="n"/>
      <c r="CU325" s="1491" t="n"/>
      <c r="CV325" s="1491" t="n"/>
      <c r="CW325" s="1491" t="n"/>
      <c r="CX325" s="1491" t="n"/>
    </row>
    <row r="326">
      <c r="A326" s="1491" t="n"/>
      <c r="B326" s="1491" t="n"/>
      <c r="C326" s="1491" t="n"/>
      <c r="D326" s="1497">
        <f>IF(E326&lt;&gt;"",D325+1,D325)</f>
        <v/>
      </c>
      <c r="E326" s="1497" t="inlineStr">
        <is>
          <t>Camblain-l'Abbé</t>
        </is>
      </c>
      <c r="F326" s="1535" t="inlineStr">
        <is>
          <t>.</t>
        </is>
      </c>
      <c r="G326" s="1498">
        <f>IF(H326="AIR",0,IF(H325="AIR",G324+1,IF(H326&lt;&gt;"",G325+1,G325)))</f>
        <v/>
      </c>
      <c r="H326" s="1498" t="inlineStr">
        <is>
          <t>Guines</t>
        </is>
      </c>
      <c r="I326" s="1427" t="inlineStr">
        <is>
          <t>.</t>
        </is>
      </c>
      <c r="J326" s="1499" t="n">
        <v>321</v>
      </c>
      <c r="K326" s="1500">
        <f>_xlfn.XLOOKUP(cities[[#This Row],[id]],$D$5:$D$1500,E$5:E$1500,"-")</f>
        <v/>
      </c>
      <c r="L326" s="1500">
        <f>_xlfn.XLOOKUP(cities[[#This Row],[city]],ccc[city],ccc[ctry],"-")</f>
        <v/>
      </c>
      <c r="M326" s="1500">
        <f>SUMIFS(stayCity[stay],stayCity[city],cities[[#This Row],[city]])</f>
        <v/>
      </c>
      <c r="N326" s="1427">
        <f>N325+1</f>
        <v/>
      </c>
      <c r="O326" s="1500" t="n"/>
      <c r="P326" s="1500" t="n"/>
      <c r="Q326" s="1427" t="inlineStr">
        <is>
          <t>.</t>
        </is>
      </c>
      <c r="R326" s="1491" t="n"/>
      <c r="S326" s="1491" t="n"/>
      <c r="T326" s="1491" t="n"/>
      <c r="U326" s="1491" t="n"/>
      <c r="V326" s="1491" t="n"/>
      <c r="W326" s="1491" t="n"/>
      <c r="X326" s="1491" t="n"/>
      <c r="Y326" s="1491" t="n"/>
      <c r="Z326" s="1491" t="n"/>
      <c r="AA326" s="1491" t="n"/>
      <c r="AB326" s="1491" t="n"/>
      <c r="AC326" s="1491" t="n"/>
      <c r="AD326" s="1491" t="n"/>
      <c r="AE326" s="1491" t="n"/>
      <c r="AF326" s="1491" t="n"/>
      <c r="AG326" s="1491" t="n"/>
      <c r="AH326" s="1491" t="n"/>
      <c r="AI326" s="1491" t="n"/>
      <c r="AJ326" s="1491" t="n"/>
      <c r="AK326" s="1491" t="n"/>
      <c r="AL326" s="1491" t="n"/>
      <c r="AM326" s="1491" t="n"/>
      <c r="AN326" s="1491" t="n"/>
      <c r="AO326" s="1491" t="n"/>
      <c r="AP326" s="1491" t="n"/>
      <c r="AQ326" s="1491" t="n"/>
      <c r="AR326" s="1491" t="n"/>
      <c r="AS326" s="1491" t="n"/>
      <c r="AT326" s="1491" t="n"/>
      <c r="AU326" s="1491" t="n"/>
      <c r="AV326" s="1491" t="n"/>
      <c r="AW326" s="1491" t="n"/>
      <c r="AX326" s="1491" t="n"/>
      <c r="AY326" s="1491" t="n"/>
      <c r="AZ326" s="1491" t="n"/>
      <c r="BA326" s="1491" t="n"/>
      <c r="BB326" s="1491" t="n"/>
      <c r="BC326" s="1491" t="n"/>
      <c r="BD326" s="1491" t="n"/>
      <c r="BE326" s="1491" t="n"/>
      <c r="BF326" s="1491" t="n"/>
      <c r="BG326" s="1491" t="n"/>
      <c r="BH326" s="1491" t="n"/>
      <c r="BI326" s="1491" t="n"/>
      <c r="BJ326" s="1491" t="n"/>
      <c r="BK326" s="1491" t="n"/>
      <c r="BL326" s="1491" t="n"/>
      <c r="BM326" s="1491" t="n"/>
      <c r="BN326" s="1491" t="n"/>
      <c r="BO326" s="1467" t="n"/>
      <c r="BP326" s="1514" t="n">
        <v>322</v>
      </c>
      <c r="BQ326" s="1513">
        <f>[1]Sheet1!C327</f>
        <v/>
      </c>
      <c r="BR326" s="1515">
        <f>[1]Sheet1!D327</f>
        <v/>
      </c>
      <c r="BS326" s="1513">
        <f>[1]Sheet1!E327</f>
        <v/>
      </c>
      <c r="BT326" s="1515">
        <f>[1]Sheet1!F327</f>
        <v/>
      </c>
      <c r="BU326" s="1516">
        <f>[1]Sheet1!G327</f>
        <v/>
      </c>
      <c r="BV326" s="1513">
        <f>[1]Sheet1!H327</f>
        <v/>
      </c>
      <c r="BW326" s="1467" t="n"/>
      <c r="BX326" s="1491" t="n"/>
      <c r="BY326" s="1491" t="n"/>
      <c r="BZ326" s="1491" t="n"/>
      <c r="CA326" s="1491" t="n"/>
      <c r="CB326" s="1467" t="n"/>
      <c r="CC326" s="1467" t="n"/>
      <c r="CD326" s="1491" t="n"/>
      <c r="CE326" s="1491" t="n"/>
      <c r="CF326" s="1491" t="n"/>
      <c r="CG326" s="1491" t="n"/>
      <c r="CH326" s="1491" t="n"/>
      <c r="CI326" s="1491" t="n"/>
      <c r="CJ326" s="1491" t="n"/>
      <c r="CK326" s="1491" t="n"/>
      <c r="CL326" s="1491" t="n"/>
      <c r="CM326" s="1491" t="n"/>
      <c r="CN326" s="1491" t="n"/>
      <c r="CO326" s="1491" t="n"/>
      <c r="CP326" s="1491" t="n"/>
      <c r="CQ326" s="1491" t="n"/>
      <c r="CR326" s="1491" t="n"/>
      <c r="CS326" s="1491" t="n"/>
      <c r="CT326" s="1491" t="n"/>
      <c r="CU326" s="1491" t="n"/>
      <c r="CV326" s="1491" t="n"/>
      <c r="CW326" s="1491" t="n"/>
      <c r="CX326" s="1491" t="n"/>
    </row>
    <row r="327">
      <c r="A327" s="1491" t="n"/>
      <c r="B327" s="1491" t="n"/>
      <c r="C327" s="1491" t="n"/>
      <c r="D327" s="1497">
        <f>IF(E327&lt;&gt;"",D326+1,D326)</f>
        <v/>
      </c>
      <c r="E327" s="1497" t="inlineStr">
        <is>
          <t>Saint Eloi</t>
        </is>
      </c>
      <c r="F327" s="1535" t="inlineStr">
        <is>
          <t>.</t>
        </is>
      </c>
      <c r="G327" s="1498">
        <f>IF(H327="AIR",0,IF(H326="AIR",G325+1,IF(H327&lt;&gt;"",G326+1,G326)))</f>
        <v/>
      </c>
      <c r="H327" s="1498" t="inlineStr">
        <is>
          <t>Licques</t>
        </is>
      </c>
      <c r="I327" s="1427" t="inlineStr">
        <is>
          <t>.</t>
        </is>
      </c>
      <c r="J327" s="1499" t="n">
        <v>322</v>
      </c>
      <c r="K327" s="1500">
        <f>_xlfn.XLOOKUP(cities[[#This Row],[id]],$D$5:$D$1500,E$5:E$1500,"-")</f>
        <v/>
      </c>
      <c r="L327" s="1500">
        <f>_xlfn.XLOOKUP(cities[[#This Row],[city]],ccc[city],ccc[ctry],"-")</f>
        <v/>
      </c>
      <c r="M327" s="1500">
        <f>SUMIFS(stayCity[stay],stayCity[city],cities[[#This Row],[city]])</f>
        <v/>
      </c>
      <c r="N327" s="1427">
        <f>N326+1</f>
        <v/>
      </c>
      <c r="O327" s="1500" t="n"/>
      <c r="P327" s="1500" t="n"/>
      <c r="Q327" s="1427" t="inlineStr">
        <is>
          <t>.</t>
        </is>
      </c>
      <c r="R327" s="1491" t="n"/>
      <c r="S327" s="1491" t="n"/>
      <c r="T327" s="1491" t="n"/>
      <c r="U327" s="1491" t="n"/>
      <c r="V327" s="1491" t="n"/>
      <c r="W327" s="1491" t="n"/>
      <c r="X327" s="1491" t="n"/>
      <c r="Y327" s="1491" t="n"/>
      <c r="Z327" s="1491" t="n"/>
      <c r="AA327" s="1491" t="n"/>
      <c r="AB327" s="1491" t="n"/>
      <c r="AC327" s="1491" t="n"/>
      <c r="AD327" s="1491" t="n"/>
      <c r="AE327" s="1491" t="n"/>
      <c r="AF327" s="1491" t="n"/>
      <c r="AG327" s="1491" t="n"/>
      <c r="AH327" s="1491" t="n"/>
      <c r="AI327" s="1491" t="n"/>
      <c r="AJ327" s="1491" t="n"/>
      <c r="AK327" s="1491" t="n"/>
      <c r="AL327" s="1491" t="n"/>
      <c r="AM327" s="1491" t="n"/>
      <c r="AN327" s="1491" t="n"/>
      <c r="AO327" s="1491" t="n"/>
      <c r="AP327" s="1491" t="n"/>
      <c r="AQ327" s="1491" t="n"/>
      <c r="AR327" s="1491" t="n"/>
      <c r="AS327" s="1491" t="n"/>
      <c r="AT327" s="1491" t="n"/>
      <c r="AU327" s="1491" t="n"/>
      <c r="AV327" s="1491" t="n"/>
      <c r="AW327" s="1491" t="n"/>
      <c r="AX327" s="1491" t="n"/>
      <c r="AY327" s="1491" t="n"/>
      <c r="AZ327" s="1491" t="n"/>
      <c r="BA327" s="1491" t="n"/>
      <c r="BB327" s="1491" t="n"/>
      <c r="BC327" s="1491" t="n"/>
      <c r="BD327" s="1491" t="n"/>
      <c r="BE327" s="1491" t="n"/>
      <c r="BF327" s="1491" t="n"/>
      <c r="BG327" s="1491" t="n"/>
      <c r="BH327" s="1491" t="n"/>
      <c r="BI327" s="1491" t="n"/>
      <c r="BJ327" s="1491" t="n"/>
      <c r="BK327" s="1491" t="n"/>
      <c r="BL327" s="1491" t="n"/>
      <c r="BM327" s="1491" t="n"/>
      <c r="BN327" s="1491" t="n"/>
      <c r="BO327" s="1467" t="n"/>
      <c r="BP327" s="1514" t="n">
        <v>323</v>
      </c>
      <c r="BQ327" s="1513">
        <f>[1]Sheet1!C328</f>
        <v/>
      </c>
      <c r="BR327" s="1515">
        <f>[1]Sheet1!D328</f>
        <v/>
      </c>
      <c r="BS327" s="1513">
        <f>[1]Sheet1!E328</f>
        <v/>
      </c>
      <c r="BT327" s="1515">
        <f>[1]Sheet1!F328</f>
        <v/>
      </c>
      <c r="BU327" s="1516">
        <f>[1]Sheet1!G328</f>
        <v/>
      </c>
      <c r="BV327" s="1513">
        <f>[1]Sheet1!H328</f>
        <v/>
      </c>
      <c r="BW327" s="1467" t="n"/>
      <c r="BX327" s="1491" t="n"/>
      <c r="BY327" s="1491" t="n"/>
      <c r="BZ327" s="1491" t="n"/>
      <c r="CA327" s="1491" t="n"/>
      <c r="CB327" s="1467" t="n"/>
      <c r="CC327" s="1467" t="n"/>
      <c r="CD327" s="1491" t="n"/>
      <c r="CE327" s="1491" t="n"/>
      <c r="CF327" s="1491" t="n"/>
      <c r="CG327" s="1491" t="n"/>
      <c r="CH327" s="1491" t="n"/>
      <c r="CI327" s="1491" t="n"/>
      <c r="CJ327" s="1491" t="n"/>
      <c r="CK327" s="1491" t="n"/>
      <c r="CL327" s="1491" t="n"/>
      <c r="CM327" s="1491" t="n"/>
      <c r="CN327" s="1491" t="n"/>
      <c r="CO327" s="1491" t="n"/>
      <c r="CP327" s="1491" t="n"/>
      <c r="CQ327" s="1491" t="n"/>
      <c r="CR327" s="1491" t="n"/>
      <c r="CS327" s="1491" t="n"/>
      <c r="CT327" s="1491" t="n"/>
      <c r="CU327" s="1491" t="n"/>
      <c r="CV327" s="1491" t="n"/>
      <c r="CW327" s="1491" t="n"/>
      <c r="CX327" s="1491" t="n"/>
    </row>
    <row r="328">
      <c r="A328" s="1491" t="n"/>
      <c r="B328" s="1491" t="n"/>
      <c r="C328" s="1491" t="n"/>
      <c r="D328" s="1497">
        <f>IF(E328&lt;&gt;"",D327+1,D327)</f>
        <v/>
      </c>
      <c r="E328" s="1497" t="inlineStr">
        <is>
          <t>Arras</t>
        </is>
      </c>
      <c r="F328" s="1535" t="inlineStr">
        <is>
          <t>.</t>
        </is>
      </c>
      <c r="G328" s="1498">
        <f>IF(H328="AIR",0,IF(H327="AIR",G326+1,IF(H328&lt;&gt;"",G327+1,G327)))</f>
        <v/>
      </c>
      <c r="H328" s="1498" t="inlineStr">
        <is>
          <t>Wisques</t>
        </is>
      </c>
      <c r="I328" s="1427" t="inlineStr">
        <is>
          <t>.</t>
        </is>
      </c>
      <c r="J328" s="1499" t="n">
        <v>323</v>
      </c>
      <c r="K328" s="1500">
        <f>_xlfn.XLOOKUP(cities[[#This Row],[id]],$D$5:$D$1500,E$5:E$1500,"-")</f>
        <v/>
      </c>
      <c r="L328" s="1500">
        <f>_xlfn.XLOOKUP(cities[[#This Row],[city]],ccc[city],ccc[ctry],"-")</f>
        <v/>
      </c>
      <c r="M328" s="1500">
        <f>SUMIFS(stayCity[stay],stayCity[city],cities[[#This Row],[city]])</f>
        <v/>
      </c>
      <c r="N328" s="1427">
        <f>N327+1</f>
        <v/>
      </c>
      <c r="O328" s="1500" t="n"/>
      <c r="P328" s="1500" t="n"/>
      <c r="Q328" s="1427" t="inlineStr">
        <is>
          <t>.</t>
        </is>
      </c>
      <c r="R328" s="1491" t="n"/>
      <c r="S328" s="1491" t="n"/>
      <c r="T328" s="1491" t="n"/>
      <c r="U328" s="1491" t="n"/>
      <c r="V328" s="1491" t="n"/>
      <c r="W328" s="1491" t="n"/>
      <c r="X328" s="1491" t="n"/>
      <c r="Y328" s="1491" t="n"/>
      <c r="Z328" s="1491" t="n"/>
      <c r="AA328" s="1491" t="n"/>
      <c r="AB328" s="1491" t="n"/>
      <c r="AC328" s="1491" t="n"/>
      <c r="AD328" s="1491" t="n"/>
      <c r="AE328" s="1491" t="n"/>
      <c r="AF328" s="1491" t="n"/>
      <c r="AG328" s="1491" t="n"/>
      <c r="AH328" s="1491" t="n"/>
      <c r="AI328" s="1491" t="n"/>
      <c r="AJ328" s="1491" t="n"/>
      <c r="AK328" s="1491" t="n"/>
      <c r="AL328" s="1491" t="n"/>
      <c r="AM328" s="1491" t="n"/>
      <c r="AN328" s="1491" t="n"/>
      <c r="AO328" s="1491" t="n"/>
      <c r="AP328" s="1491" t="n"/>
      <c r="AQ328" s="1491" t="n"/>
      <c r="AR328" s="1491" t="n"/>
      <c r="AS328" s="1491" t="n"/>
      <c r="AT328" s="1491" t="n"/>
      <c r="AU328" s="1491" t="n"/>
      <c r="AV328" s="1491" t="n"/>
      <c r="AW328" s="1491" t="n"/>
      <c r="AX328" s="1491" t="n"/>
      <c r="AY328" s="1491" t="n"/>
      <c r="AZ328" s="1491" t="n"/>
      <c r="BA328" s="1491" t="n"/>
      <c r="BB328" s="1491" t="n"/>
      <c r="BC328" s="1491" t="n"/>
      <c r="BD328" s="1491" t="n"/>
      <c r="BE328" s="1491" t="n"/>
      <c r="BF328" s="1491" t="n"/>
      <c r="BG328" s="1491" t="n"/>
      <c r="BH328" s="1491" t="n"/>
      <c r="BI328" s="1491" t="n"/>
      <c r="BJ328" s="1491" t="n"/>
      <c r="BK328" s="1491" t="n"/>
      <c r="BL328" s="1491" t="n"/>
      <c r="BM328" s="1491" t="n"/>
      <c r="BN328" s="1491" t="n"/>
      <c r="BO328" s="1467" t="n"/>
      <c r="BP328" s="1514" t="n">
        <v>324</v>
      </c>
      <c r="BQ328" s="1513">
        <f>[1]Sheet1!C329</f>
        <v/>
      </c>
      <c r="BR328" s="1515">
        <f>[1]Sheet1!D329</f>
        <v/>
      </c>
      <c r="BS328" s="1513">
        <f>[1]Sheet1!E329</f>
        <v/>
      </c>
      <c r="BT328" s="1515">
        <f>[1]Sheet1!F329</f>
        <v/>
      </c>
      <c r="BU328" s="1516">
        <f>[1]Sheet1!G329</f>
        <v/>
      </c>
      <c r="BV328" s="1513">
        <f>[1]Sheet1!H329</f>
        <v/>
      </c>
      <c r="BW328" s="1467" t="n"/>
      <c r="BX328" s="1491" t="n"/>
      <c r="BY328" s="1491" t="n"/>
      <c r="BZ328" s="1491" t="n"/>
      <c r="CA328" s="1491" t="n"/>
      <c r="CB328" s="1467" t="n"/>
      <c r="CC328" s="1467" t="n"/>
      <c r="CD328" s="1491" t="n"/>
      <c r="CE328" s="1491" t="n"/>
      <c r="CF328" s="1491" t="n"/>
      <c r="CG328" s="1491" t="n"/>
      <c r="CH328" s="1491" t="n"/>
      <c r="CI328" s="1491" t="n"/>
      <c r="CJ328" s="1491" t="n"/>
      <c r="CK328" s="1491" t="n"/>
      <c r="CL328" s="1491" t="n"/>
      <c r="CM328" s="1491" t="n"/>
      <c r="CN328" s="1491" t="n"/>
      <c r="CO328" s="1491" t="n"/>
      <c r="CP328" s="1491" t="n"/>
      <c r="CQ328" s="1491" t="n"/>
      <c r="CR328" s="1491" t="n"/>
      <c r="CS328" s="1491" t="n"/>
      <c r="CT328" s="1491" t="n"/>
      <c r="CU328" s="1491" t="n"/>
      <c r="CV328" s="1491" t="n"/>
      <c r="CW328" s="1491" t="n"/>
      <c r="CX328" s="1491" t="n"/>
    </row>
    <row r="329">
      <c r="A329" s="1491" t="n"/>
      <c r="B329" s="1491" t="n"/>
      <c r="C329" s="1491" t="n"/>
      <c r="D329" s="1497">
        <f>IF(E329&lt;&gt;"",D328+1,D328)</f>
        <v/>
      </c>
      <c r="E329" s="1497" t="inlineStr">
        <is>
          <t>Bapaume</t>
        </is>
      </c>
      <c r="F329" s="1535" t="inlineStr">
        <is>
          <t>.</t>
        </is>
      </c>
      <c r="G329" s="1498">
        <f>IF(H329="AIR",0,IF(H328="AIR",G327+1,IF(H329&lt;&gt;"",G328+1,G328)))</f>
        <v/>
      </c>
      <c r="H329" s="1498" t="inlineStr">
        <is>
          <t>Therouanne</t>
        </is>
      </c>
      <c r="I329" s="1427" t="inlineStr">
        <is>
          <t>.</t>
        </is>
      </c>
      <c r="J329" s="1499" t="n">
        <v>324</v>
      </c>
      <c r="K329" s="1500">
        <f>_xlfn.XLOOKUP(cities[[#This Row],[id]],$D$5:$D$1500,E$5:E$1500,"-")</f>
        <v/>
      </c>
      <c r="L329" s="1500">
        <f>_xlfn.XLOOKUP(cities[[#This Row],[city]],ccc[city],ccc[ctry],"-")</f>
        <v/>
      </c>
      <c r="M329" s="1500">
        <f>SUMIFS(stayCity[stay],stayCity[city],cities[[#This Row],[city]])</f>
        <v/>
      </c>
      <c r="N329" s="1427">
        <f>N328+1</f>
        <v/>
      </c>
      <c r="O329" s="1500" t="n"/>
      <c r="P329" s="1500" t="n"/>
      <c r="Q329" s="1427" t="inlineStr">
        <is>
          <t>.</t>
        </is>
      </c>
      <c r="R329" s="1491" t="n"/>
      <c r="S329" s="1491" t="n"/>
      <c r="T329" s="1491" t="n"/>
      <c r="U329" s="1491" t="n"/>
      <c r="V329" s="1491" t="n"/>
      <c r="W329" s="1491" t="n"/>
      <c r="X329" s="1491" t="n"/>
      <c r="Y329" s="1491" t="n"/>
      <c r="Z329" s="1491" t="n"/>
      <c r="AA329" s="1491" t="n"/>
      <c r="AB329" s="1491" t="n"/>
      <c r="AC329" s="1491" t="n"/>
      <c r="AD329" s="1491" t="n"/>
      <c r="AE329" s="1491" t="n"/>
      <c r="AF329" s="1491" t="n"/>
      <c r="AG329" s="1491" t="n"/>
      <c r="AH329" s="1491" t="n"/>
      <c r="AI329" s="1491" t="n"/>
      <c r="AJ329" s="1491" t="n"/>
      <c r="AK329" s="1491" t="n"/>
      <c r="AL329" s="1491" t="n"/>
      <c r="AM329" s="1491" t="n"/>
      <c r="AN329" s="1491" t="n"/>
      <c r="AO329" s="1491" t="n"/>
      <c r="AP329" s="1491" t="n"/>
      <c r="AQ329" s="1491" t="n"/>
      <c r="AR329" s="1491" t="n"/>
      <c r="AS329" s="1491" t="n"/>
      <c r="AT329" s="1491" t="n"/>
      <c r="AU329" s="1491" t="n"/>
      <c r="AV329" s="1491" t="n"/>
      <c r="AW329" s="1491" t="n"/>
      <c r="AX329" s="1491" t="n"/>
      <c r="AY329" s="1491" t="n"/>
      <c r="AZ329" s="1491" t="n"/>
      <c r="BA329" s="1491" t="n"/>
      <c r="BB329" s="1491" t="n"/>
      <c r="BC329" s="1491" t="n"/>
      <c r="BD329" s="1491" t="n"/>
      <c r="BE329" s="1491" t="n"/>
      <c r="BF329" s="1491" t="n"/>
      <c r="BG329" s="1491" t="n"/>
      <c r="BH329" s="1491" t="n"/>
      <c r="BI329" s="1491" t="n"/>
      <c r="BJ329" s="1491" t="n"/>
      <c r="BK329" s="1491" t="n"/>
      <c r="BL329" s="1491" t="n"/>
      <c r="BM329" s="1491" t="n"/>
      <c r="BN329" s="1491" t="n"/>
      <c r="BO329" s="1467" t="n"/>
      <c r="BP329" s="1514" t="n">
        <v>325</v>
      </c>
      <c r="BQ329" s="1513">
        <f>[1]Sheet1!C330</f>
        <v/>
      </c>
      <c r="BR329" s="1515">
        <f>[1]Sheet1!D330</f>
        <v/>
      </c>
      <c r="BS329" s="1513">
        <f>[1]Sheet1!E330</f>
        <v/>
      </c>
      <c r="BT329" s="1515">
        <f>[1]Sheet1!F330</f>
        <v/>
      </c>
      <c r="BU329" s="1516">
        <f>[1]Sheet1!G330</f>
        <v/>
      </c>
      <c r="BV329" s="1513">
        <f>[1]Sheet1!H330</f>
        <v/>
      </c>
      <c r="BW329" s="1467" t="n"/>
      <c r="BX329" s="1491" t="n"/>
      <c r="BY329" s="1491" t="n"/>
      <c r="BZ329" s="1491" t="n"/>
      <c r="CA329" s="1491" t="n"/>
      <c r="CB329" s="1467" t="n"/>
      <c r="CC329" s="1467" t="n"/>
      <c r="CD329" s="1491" t="n"/>
      <c r="CE329" s="1491" t="n"/>
      <c r="CF329" s="1491" t="n"/>
      <c r="CG329" s="1491" t="n"/>
      <c r="CH329" s="1491" t="n"/>
      <c r="CI329" s="1491" t="n"/>
      <c r="CJ329" s="1491" t="n"/>
      <c r="CK329" s="1491" t="n"/>
      <c r="CL329" s="1491" t="n"/>
      <c r="CM329" s="1491" t="n"/>
      <c r="CN329" s="1491" t="n"/>
      <c r="CO329" s="1491" t="n"/>
      <c r="CP329" s="1491" t="n"/>
      <c r="CQ329" s="1491" t="n"/>
      <c r="CR329" s="1491" t="n"/>
      <c r="CS329" s="1491" t="n"/>
      <c r="CT329" s="1491" t="n"/>
      <c r="CU329" s="1491" t="n"/>
      <c r="CV329" s="1491" t="n"/>
      <c r="CW329" s="1491" t="n"/>
      <c r="CX329" s="1491" t="n"/>
    </row>
    <row r="330">
      <c r="A330" s="1491" t="n"/>
      <c r="B330" s="1491" t="n"/>
      <c r="C330" s="1491" t="n"/>
      <c r="D330" s="1497">
        <f>IF(E330&lt;&gt;"",D329+1,D329)</f>
        <v/>
      </c>
      <c r="E330" s="1497" t="inlineStr">
        <is>
          <t>Peronne</t>
        </is>
      </c>
      <c r="F330" s="1535" t="inlineStr">
        <is>
          <t>.</t>
        </is>
      </c>
      <c r="G330" s="1498">
        <f>IF(H330="AIR",0,IF(H329="AIR",G328+1,IF(H330&lt;&gt;"",G329+1,G329)))</f>
        <v/>
      </c>
      <c r="H330" s="1498" t="inlineStr">
        <is>
          <t>Auchy-au-Bois</t>
        </is>
      </c>
      <c r="I330" s="1427" t="inlineStr">
        <is>
          <t>.</t>
        </is>
      </c>
      <c r="J330" s="1499" t="n">
        <v>325</v>
      </c>
      <c r="K330" s="1500">
        <f>_xlfn.XLOOKUP(cities[[#This Row],[id]],$D$5:$D$1500,E$5:E$1500,"-")</f>
        <v/>
      </c>
      <c r="L330" s="1500">
        <f>_xlfn.XLOOKUP(cities[[#This Row],[city]],ccc[city],ccc[ctry],"-")</f>
        <v/>
      </c>
      <c r="M330" s="1500">
        <f>SUMIFS(stayCity[stay],stayCity[city],cities[[#This Row],[city]])</f>
        <v/>
      </c>
      <c r="N330" s="1427">
        <f>N329+1</f>
        <v/>
      </c>
      <c r="O330" s="1500" t="n"/>
      <c r="P330" s="1500" t="n"/>
      <c r="Q330" s="1427" t="inlineStr">
        <is>
          <t>.</t>
        </is>
      </c>
      <c r="R330" s="1491" t="n"/>
      <c r="S330" s="1491" t="n"/>
      <c r="T330" s="1491" t="n"/>
      <c r="U330" s="1491" t="n"/>
      <c r="V330" s="1491" t="n"/>
      <c r="W330" s="1491" t="n"/>
      <c r="X330" s="1491" t="n"/>
      <c r="Y330" s="1491" t="n"/>
      <c r="Z330" s="1491" t="n"/>
      <c r="AA330" s="1491" t="n"/>
      <c r="AB330" s="1491" t="n"/>
      <c r="AC330" s="1491" t="n"/>
      <c r="AD330" s="1491" t="n"/>
      <c r="AE330" s="1491" t="n"/>
      <c r="AF330" s="1491" t="n"/>
      <c r="AG330" s="1491" t="n"/>
      <c r="AH330" s="1491" t="n"/>
      <c r="AI330" s="1491" t="n"/>
      <c r="AJ330" s="1491" t="n"/>
      <c r="AK330" s="1491" t="n"/>
      <c r="AL330" s="1491" t="n"/>
      <c r="AM330" s="1491" t="n"/>
      <c r="AN330" s="1491" t="n"/>
      <c r="AO330" s="1491" t="n"/>
      <c r="AP330" s="1491" t="n"/>
      <c r="AQ330" s="1491" t="n"/>
      <c r="AR330" s="1491" t="n"/>
      <c r="AS330" s="1491" t="n"/>
      <c r="AT330" s="1491" t="n"/>
      <c r="AU330" s="1491" t="n"/>
      <c r="AV330" s="1491" t="n"/>
      <c r="AW330" s="1491" t="n"/>
      <c r="AX330" s="1491" t="n"/>
      <c r="AY330" s="1491" t="n"/>
      <c r="AZ330" s="1491" t="n"/>
      <c r="BA330" s="1491" t="n"/>
      <c r="BB330" s="1491" t="n"/>
      <c r="BC330" s="1491" t="n"/>
      <c r="BD330" s="1491" t="n"/>
      <c r="BE330" s="1491" t="n"/>
      <c r="BF330" s="1491" t="n"/>
      <c r="BG330" s="1491" t="n"/>
      <c r="BH330" s="1491" t="n"/>
      <c r="BI330" s="1491" t="n"/>
      <c r="BJ330" s="1491" t="n"/>
      <c r="BK330" s="1491" t="n"/>
      <c r="BL330" s="1491" t="n"/>
      <c r="BM330" s="1491" t="n"/>
      <c r="BN330" s="1491" t="n"/>
      <c r="BO330" s="1467" t="n"/>
      <c r="BP330" s="1514" t="n">
        <v>326</v>
      </c>
      <c r="BQ330" s="1513">
        <f>[1]Sheet1!C331</f>
        <v/>
      </c>
      <c r="BR330" s="1515">
        <f>[1]Sheet1!D331</f>
        <v/>
      </c>
      <c r="BS330" s="1513">
        <f>[1]Sheet1!E331</f>
        <v/>
      </c>
      <c r="BT330" s="1515">
        <f>[1]Sheet1!F331</f>
        <v/>
      </c>
      <c r="BU330" s="1516">
        <f>[1]Sheet1!G331</f>
        <v/>
      </c>
      <c r="BV330" s="1513">
        <f>[1]Sheet1!H331</f>
        <v/>
      </c>
      <c r="BW330" s="1467" t="n"/>
      <c r="BX330" s="1491" t="n"/>
      <c r="BY330" s="1491" t="n"/>
      <c r="BZ330" s="1491" t="n"/>
      <c r="CA330" s="1491" t="n"/>
      <c r="CB330" s="1467" t="n"/>
      <c r="CC330" s="1467" t="n"/>
      <c r="CD330" s="1491" t="n"/>
      <c r="CE330" s="1491" t="n"/>
      <c r="CF330" s="1491" t="n"/>
      <c r="CG330" s="1491" t="n"/>
      <c r="CH330" s="1491" t="n"/>
      <c r="CI330" s="1491" t="n"/>
      <c r="CJ330" s="1491" t="n"/>
      <c r="CK330" s="1491" t="n"/>
      <c r="CL330" s="1491" t="n"/>
      <c r="CM330" s="1491" t="n"/>
      <c r="CN330" s="1491" t="n"/>
      <c r="CO330" s="1491" t="n"/>
      <c r="CP330" s="1491" t="n"/>
      <c r="CQ330" s="1491" t="n"/>
      <c r="CR330" s="1491" t="n"/>
      <c r="CS330" s="1491" t="n"/>
      <c r="CT330" s="1491" t="n"/>
      <c r="CU330" s="1491" t="n"/>
      <c r="CV330" s="1491" t="n"/>
      <c r="CW330" s="1491" t="n"/>
      <c r="CX330" s="1491" t="n"/>
    </row>
    <row r="331">
      <c r="A331" s="1491" t="n"/>
      <c r="B331" s="1491" t="n"/>
      <c r="C331" s="1491" t="n"/>
      <c r="D331" s="1497">
        <f>IF(E331&lt;&gt;"",D330+1,D330)</f>
        <v/>
      </c>
      <c r="E331" s="1497" t="inlineStr">
        <is>
          <t>Trefcon</t>
        </is>
      </c>
      <c r="F331" s="1535" t="inlineStr">
        <is>
          <t>.</t>
        </is>
      </c>
      <c r="G331" s="1498">
        <f>IF(H331="AIR",0,IF(H330="AIR",G329+1,IF(H331&lt;&gt;"",G330+1,G330)))</f>
        <v/>
      </c>
      <c r="H331" s="1498" t="inlineStr">
        <is>
          <t>Amettes</t>
        </is>
      </c>
      <c r="I331" s="1427" t="inlineStr">
        <is>
          <t>.</t>
        </is>
      </c>
      <c r="J331" s="1499" t="n">
        <v>326</v>
      </c>
      <c r="K331" s="1500">
        <f>_xlfn.XLOOKUP(cities[[#This Row],[id]],$D$5:$D$1500,E$5:E$1500,"-")</f>
        <v/>
      </c>
      <c r="L331" s="1500">
        <f>_xlfn.XLOOKUP(cities[[#This Row],[city]],ccc[city],ccc[ctry],"-")</f>
        <v/>
      </c>
      <c r="M331" s="1500">
        <f>SUMIFS(stayCity[stay],stayCity[city],cities[[#This Row],[city]])</f>
        <v/>
      </c>
      <c r="N331" s="1427">
        <f>N330+1</f>
        <v/>
      </c>
      <c r="O331" s="1500" t="n"/>
      <c r="P331" s="1500" t="n"/>
      <c r="Q331" s="1427" t="inlineStr">
        <is>
          <t>.</t>
        </is>
      </c>
      <c r="R331" s="1491" t="n"/>
      <c r="S331" s="1491" t="n"/>
      <c r="T331" s="1491" t="n"/>
      <c r="U331" s="1491" t="n"/>
      <c r="V331" s="1491" t="n"/>
      <c r="W331" s="1491" t="n"/>
      <c r="X331" s="1491" t="n"/>
      <c r="Y331" s="1491" t="n"/>
      <c r="Z331" s="1491" t="n"/>
      <c r="AA331" s="1491" t="n"/>
      <c r="AB331" s="1491" t="n"/>
      <c r="AC331" s="1491" t="n"/>
      <c r="AD331" s="1491" t="n"/>
      <c r="AE331" s="1491" t="n"/>
      <c r="AF331" s="1491" t="n"/>
      <c r="AG331" s="1491" t="n"/>
      <c r="AH331" s="1491" t="n"/>
      <c r="AI331" s="1491" t="n"/>
      <c r="AJ331" s="1491" t="n"/>
      <c r="AK331" s="1491" t="n"/>
      <c r="AL331" s="1491" t="n"/>
      <c r="AM331" s="1491" t="n"/>
      <c r="AN331" s="1491" t="n"/>
      <c r="AO331" s="1491" t="n"/>
      <c r="AP331" s="1491" t="n"/>
      <c r="AQ331" s="1491" t="n"/>
      <c r="AR331" s="1491" t="n"/>
      <c r="AS331" s="1491" t="n"/>
      <c r="AT331" s="1491" t="n"/>
      <c r="AU331" s="1491" t="n"/>
      <c r="AV331" s="1491" t="n"/>
      <c r="AW331" s="1491" t="n"/>
      <c r="AX331" s="1491" t="n"/>
      <c r="AY331" s="1491" t="n"/>
      <c r="AZ331" s="1491" t="n"/>
      <c r="BA331" s="1491" t="n"/>
      <c r="BB331" s="1491" t="n"/>
      <c r="BC331" s="1491" t="n"/>
      <c r="BD331" s="1491" t="n"/>
      <c r="BE331" s="1491" t="n"/>
      <c r="BF331" s="1491" t="n"/>
      <c r="BG331" s="1491" t="n"/>
      <c r="BH331" s="1491" t="n"/>
      <c r="BI331" s="1491" t="n"/>
      <c r="BJ331" s="1491" t="n"/>
      <c r="BK331" s="1491" t="n"/>
      <c r="BL331" s="1491" t="n"/>
      <c r="BM331" s="1491" t="n"/>
      <c r="BN331" s="1491" t="n"/>
      <c r="BO331" s="1467" t="n"/>
      <c r="BP331" s="1514" t="n">
        <v>327</v>
      </c>
      <c r="BQ331" s="1513">
        <f>[1]Sheet1!C332</f>
        <v/>
      </c>
      <c r="BR331" s="1515">
        <f>[1]Sheet1!D332</f>
        <v/>
      </c>
      <c r="BS331" s="1513">
        <f>[1]Sheet1!E332</f>
        <v/>
      </c>
      <c r="BT331" s="1515">
        <f>[1]Sheet1!F332</f>
        <v/>
      </c>
      <c r="BU331" s="1516">
        <f>[1]Sheet1!G332</f>
        <v/>
      </c>
      <c r="BV331" s="1513">
        <f>[1]Sheet1!H332</f>
        <v/>
      </c>
      <c r="BW331" s="1467" t="n"/>
      <c r="BX331" s="1491" t="n"/>
      <c r="BY331" s="1491" t="n"/>
      <c r="BZ331" s="1491" t="n"/>
      <c r="CA331" s="1491" t="n"/>
      <c r="CB331" s="1467" t="n"/>
      <c r="CC331" s="1467" t="n"/>
      <c r="CD331" s="1491" t="n"/>
      <c r="CE331" s="1491" t="n"/>
      <c r="CF331" s="1491" t="n"/>
      <c r="CG331" s="1491" t="n"/>
      <c r="CH331" s="1491" t="n"/>
      <c r="CI331" s="1491" t="n"/>
      <c r="CJ331" s="1491" t="n"/>
      <c r="CK331" s="1491" t="n"/>
      <c r="CL331" s="1491" t="n"/>
      <c r="CM331" s="1491" t="n"/>
      <c r="CN331" s="1491" t="n"/>
      <c r="CO331" s="1491" t="n"/>
      <c r="CP331" s="1491" t="n"/>
      <c r="CQ331" s="1491" t="n"/>
      <c r="CR331" s="1491" t="n"/>
      <c r="CS331" s="1491" t="n"/>
      <c r="CT331" s="1491" t="n"/>
      <c r="CU331" s="1491" t="n"/>
      <c r="CV331" s="1491" t="n"/>
      <c r="CW331" s="1491" t="n"/>
      <c r="CX331" s="1491" t="n"/>
    </row>
    <row r="332">
      <c r="A332" s="1491" t="n"/>
      <c r="B332" s="1491" t="n"/>
      <c r="C332" s="1491" t="n"/>
      <c r="D332" s="1497">
        <f>IF(E332&lt;&gt;"",D331+1,D331)</f>
        <v/>
      </c>
      <c r="E332" s="1497" t="inlineStr">
        <is>
          <t>Montescourt-Lizerolles</t>
        </is>
      </c>
      <c r="F332" s="1535" t="inlineStr">
        <is>
          <t>.</t>
        </is>
      </c>
      <c r="G332" s="1498">
        <f>IF(H332="AIR",0,IF(H331="AIR",G330+1,IF(H332&lt;&gt;"",G331+1,G331)))</f>
        <v/>
      </c>
      <c r="H332" s="1498" t="inlineStr">
        <is>
          <t>Houdain</t>
        </is>
      </c>
      <c r="I332" s="1427" t="inlineStr">
        <is>
          <t>.</t>
        </is>
      </c>
      <c r="J332" s="1499" t="n">
        <v>327</v>
      </c>
      <c r="K332" s="1500">
        <f>_xlfn.XLOOKUP(cities[[#This Row],[id]],$D$5:$D$1500,E$5:E$1500,"-")</f>
        <v/>
      </c>
      <c r="L332" s="1500">
        <f>_xlfn.XLOOKUP(cities[[#This Row],[city]],ccc[city],ccc[ctry],"-")</f>
        <v/>
      </c>
      <c r="M332" s="1500">
        <f>SUMIFS(stayCity[stay],stayCity[city],cities[[#This Row],[city]])</f>
        <v/>
      </c>
      <c r="N332" s="1427">
        <f>N331+1</f>
        <v/>
      </c>
      <c r="O332" s="1500" t="n"/>
      <c r="P332" s="1500" t="n"/>
      <c r="Q332" s="1427" t="inlineStr">
        <is>
          <t>.</t>
        </is>
      </c>
      <c r="R332" s="1491" t="n"/>
      <c r="S332" s="1491" t="n"/>
      <c r="T332" s="1491" t="n"/>
      <c r="U332" s="1491" t="n"/>
      <c r="V332" s="1491" t="n"/>
      <c r="W332" s="1491" t="n"/>
      <c r="X332" s="1491" t="n"/>
      <c r="Y332" s="1491" t="n"/>
      <c r="Z332" s="1491" t="n"/>
      <c r="AA332" s="1491" t="n"/>
      <c r="AB332" s="1491" t="n"/>
      <c r="AC332" s="1491" t="n"/>
      <c r="AD332" s="1491" t="n"/>
      <c r="AE332" s="1491" t="n"/>
      <c r="AF332" s="1491" t="n"/>
      <c r="AG332" s="1491" t="n"/>
      <c r="AH332" s="1491" t="n"/>
      <c r="AI332" s="1491" t="n"/>
      <c r="AJ332" s="1491" t="n"/>
      <c r="AK332" s="1491" t="n"/>
      <c r="AL332" s="1491" t="n"/>
      <c r="AM332" s="1491" t="n"/>
      <c r="AN332" s="1491" t="n"/>
      <c r="AO332" s="1491" t="n"/>
      <c r="AP332" s="1491" t="n"/>
      <c r="AQ332" s="1491" t="n"/>
      <c r="AR332" s="1491" t="n"/>
      <c r="AS332" s="1491" t="n"/>
      <c r="AT332" s="1491" t="n"/>
      <c r="AU332" s="1491" t="n"/>
      <c r="AV332" s="1491" t="n"/>
      <c r="AW332" s="1491" t="n"/>
      <c r="AX332" s="1491" t="n"/>
      <c r="AY332" s="1491" t="n"/>
      <c r="AZ332" s="1491" t="n"/>
      <c r="BA332" s="1491" t="n"/>
      <c r="BB332" s="1491" t="n"/>
      <c r="BC332" s="1491" t="n"/>
      <c r="BD332" s="1491" t="n"/>
      <c r="BE332" s="1491" t="n"/>
      <c r="BF332" s="1491" t="n"/>
      <c r="BG332" s="1491" t="n"/>
      <c r="BH332" s="1491" t="n"/>
      <c r="BI332" s="1491" t="n"/>
      <c r="BJ332" s="1491" t="n"/>
      <c r="BK332" s="1491" t="n"/>
      <c r="BL332" s="1491" t="n"/>
      <c r="BM332" s="1491" t="n"/>
      <c r="BN332" s="1491" t="n"/>
      <c r="BO332" s="1467" t="n"/>
      <c r="BP332" s="1514" t="n">
        <v>328</v>
      </c>
      <c r="BQ332" s="1513">
        <f>[1]Sheet1!C333</f>
        <v/>
      </c>
      <c r="BR332" s="1515">
        <f>[1]Sheet1!D333</f>
        <v/>
      </c>
      <c r="BS332" s="1513">
        <f>[1]Sheet1!E333</f>
        <v/>
      </c>
      <c r="BT332" s="1515">
        <f>[1]Sheet1!F333</f>
        <v/>
      </c>
      <c r="BU332" s="1516">
        <f>[1]Sheet1!G333</f>
        <v/>
      </c>
      <c r="BV332" s="1513">
        <f>[1]Sheet1!H333</f>
        <v/>
      </c>
      <c r="BW332" s="1467" t="n"/>
      <c r="BX332" s="1491" t="n"/>
      <c r="BY332" s="1491" t="n"/>
      <c r="BZ332" s="1491" t="n"/>
      <c r="CA332" s="1491" t="n"/>
      <c r="CB332" s="1467" t="n"/>
      <c r="CC332" s="1467" t="n"/>
      <c r="CD332" s="1491" t="n"/>
      <c r="CE332" s="1491" t="n"/>
      <c r="CF332" s="1491" t="n"/>
      <c r="CG332" s="1491" t="n"/>
      <c r="CH332" s="1491" t="n"/>
      <c r="CI332" s="1491" t="n"/>
      <c r="CJ332" s="1491" t="n"/>
      <c r="CK332" s="1491" t="n"/>
      <c r="CL332" s="1491" t="n"/>
      <c r="CM332" s="1491" t="n"/>
      <c r="CN332" s="1491" t="n"/>
      <c r="CO332" s="1491" t="n"/>
      <c r="CP332" s="1491" t="n"/>
      <c r="CQ332" s="1491" t="n"/>
      <c r="CR332" s="1491" t="n"/>
      <c r="CS332" s="1491" t="n"/>
      <c r="CT332" s="1491" t="n"/>
      <c r="CU332" s="1491" t="n"/>
      <c r="CV332" s="1491" t="n"/>
      <c r="CW332" s="1491" t="n"/>
      <c r="CX332" s="1491" t="n"/>
    </row>
    <row r="333">
      <c r="A333" s="1491" t="n"/>
      <c r="B333" s="1491" t="n"/>
      <c r="C333" s="1491" t="n"/>
      <c r="D333" s="1497">
        <f>IF(E333&lt;&gt;"",D332+1,D332)</f>
        <v/>
      </c>
      <c r="E333" s="1497" t="inlineStr">
        <is>
          <t>Tergnier</t>
        </is>
      </c>
      <c r="F333" s="1535" t="inlineStr">
        <is>
          <t>.</t>
        </is>
      </c>
      <c r="G333" s="1498">
        <f>IF(H333="AIR",0,IF(H332="AIR",G331+1,IF(H333&lt;&gt;"",G332+1,G332)))</f>
        <v/>
      </c>
      <c r="H333" s="1498" t="inlineStr">
        <is>
          <t>Camblain-l'Abbé</t>
        </is>
      </c>
      <c r="I333" s="1427" t="inlineStr">
        <is>
          <t>.</t>
        </is>
      </c>
      <c r="J333" s="1499" t="n">
        <v>328</v>
      </c>
      <c r="K333" s="1500">
        <f>_xlfn.XLOOKUP(cities[[#This Row],[id]],$D$5:$D$1500,E$5:E$1500,"-")</f>
        <v/>
      </c>
      <c r="L333" s="1500">
        <f>_xlfn.XLOOKUP(cities[[#This Row],[city]],ccc[city],ccc[ctry],"-")</f>
        <v/>
      </c>
      <c r="M333" s="1500">
        <f>SUMIFS(stayCity[stay],stayCity[city],cities[[#This Row],[city]])</f>
        <v/>
      </c>
      <c r="N333" s="1427">
        <f>N332+1</f>
        <v/>
      </c>
      <c r="O333" s="1500" t="n"/>
      <c r="P333" s="1500" t="n"/>
      <c r="Q333" s="1427" t="inlineStr">
        <is>
          <t>.</t>
        </is>
      </c>
      <c r="R333" s="1491" t="n"/>
      <c r="S333" s="1491" t="n"/>
      <c r="T333" s="1491" t="n"/>
      <c r="U333" s="1491" t="n"/>
      <c r="V333" s="1491" t="n"/>
      <c r="W333" s="1491" t="n"/>
      <c r="X333" s="1491" t="n"/>
      <c r="Y333" s="1491" t="n"/>
      <c r="Z333" s="1491" t="n"/>
      <c r="AA333" s="1491" t="n"/>
      <c r="AB333" s="1491" t="n"/>
      <c r="AC333" s="1491" t="n"/>
      <c r="AD333" s="1491" t="n"/>
      <c r="AE333" s="1491" t="n"/>
      <c r="AF333" s="1491" t="n"/>
      <c r="AG333" s="1491" t="n"/>
      <c r="AH333" s="1491" t="n"/>
      <c r="AI333" s="1491" t="n"/>
      <c r="AJ333" s="1491" t="n"/>
      <c r="AK333" s="1491" t="n"/>
      <c r="AL333" s="1491" t="n"/>
      <c r="AM333" s="1491" t="n"/>
      <c r="AN333" s="1491" t="n"/>
      <c r="AO333" s="1491" t="n"/>
      <c r="AP333" s="1491" t="n"/>
      <c r="AQ333" s="1491" t="n"/>
      <c r="AR333" s="1491" t="n"/>
      <c r="AS333" s="1491" t="n"/>
      <c r="AT333" s="1491" t="n"/>
      <c r="AU333" s="1491" t="n"/>
      <c r="AV333" s="1491" t="n"/>
      <c r="AW333" s="1491" t="n"/>
      <c r="AX333" s="1491" t="n"/>
      <c r="AY333" s="1491" t="n"/>
      <c r="AZ333" s="1491" t="n"/>
      <c r="BA333" s="1491" t="n"/>
      <c r="BB333" s="1491" t="n"/>
      <c r="BC333" s="1491" t="n"/>
      <c r="BD333" s="1491" t="n"/>
      <c r="BE333" s="1491" t="n"/>
      <c r="BF333" s="1491" t="n"/>
      <c r="BG333" s="1491" t="n"/>
      <c r="BH333" s="1491" t="n"/>
      <c r="BI333" s="1491" t="n"/>
      <c r="BJ333" s="1491" t="n"/>
      <c r="BK333" s="1491" t="n"/>
      <c r="BL333" s="1491" t="n"/>
      <c r="BM333" s="1491" t="n"/>
      <c r="BN333" s="1491" t="n"/>
      <c r="BO333" s="1467" t="n"/>
      <c r="BP333" s="1514" t="n">
        <v>329</v>
      </c>
      <c r="BQ333" s="1513">
        <f>[1]Sheet1!C334</f>
        <v/>
      </c>
      <c r="BR333" s="1515">
        <f>[1]Sheet1!D334</f>
        <v/>
      </c>
      <c r="BS333" s="1513">
        <f>[1]Sheet1!E334</f>
        <v/>
      </c>
      <c r="BT333" s="1515">
        <f>[1]Sheet1!F334</f>
        <v/>
      </c>
      <c r="BU333" s="1516">
        <f>[1]Sheet1!G334</f>
        <v/>
      </c>
      <c r="BV333" s="1513">
        <f>[1]Sheet1!H334</f>
        <v/>
      </c>
      <c r="BW333" s="1467" t="n"/>
      <c r="BX333" s="1491" t="n"/>
      <c r="BY333" s="1491" t="n"/>
      <c r="BZ333" s="1491" t="n"/>
      <c r="CA333" s="1491" t="n"/>
      <c r="CB333" s="1467" t="n"/>
      <c r="CC333" s="1467" t="n"/>
      <c r="CD333" s="1491" t="n"/>
      <c r="CE333" s="1491" t="n"/>
      <c r="CF333" s="1491" t="n"/>
      <c r="CG333" s="1491" t="n"/>
      <c r="CH333" s="1491" t="n"/>
      <c r="CI333" s="1491" t="n"/>
      <c r="CJ333" s="1491" t="n"/>
      <c r="CK333" s="1491" t="n"/>
      <c r="CL333" s="1491" t="n"/>
      <c r="CM333" s="1491" t="n"/>
      <c r="CN333" s="1491" t="n"/>
      <c r="CO333" s="1491" t="n"/>
      <c r="CP333" s="1491" t="n"/>
      <c r="CQ333" s="1491" t="n"/>
      <c r="CR333" s="1491" t="n"/>
      <c r="CS333" s="1491" t="n"/>
      <c r="CT333" s="1491" t="n"/>
      <c r="CU333" s="1491" t="n"/>
      <c r="CV333" s="1491" t="n"/>
      <c r="CW333" s="1491" t="n"/>
      <c r="CX333" s="1491" t="n"/>
    </row>
    <row r="334">
      <c r="A334" s="1491" t="n"/>
      <c r="B334" s="1491" t="n"/>
      <c r="C334" s="1491" t="n"/>
      <c r="D334" s="1497">
        <f>IF(E334&lt;&gt;"",D333+1,D333)</f>
        <v/>
      </c>
      <c r="E334" s="1497" t="inlineStr">
        <is>
          <t>Laon</t>
        </is>
      </c>
      <c r="F334" s="1535" t="inlineStr">
        <is>
          <t>.</t>
        </is>
      </c>
      <c r="G334" s="1498">
        <f>IF(H334="AIR",0,IF(H333="AIR",G332+1,IF(H334&lt;&gt;"",G333+1,G333)))</f>
        <v/>
      </c>
      <c r="H334" s="1498" t="inlineStr">
        <is>
          <t>Saint Eloi</t>
        </is>
      </c>
      <c r="I334" s="1427" t="inlineStr">
        <is>
          <t>.</t>
        </is>
      </c>
      <c r="J334" s="1499" t="n">
        <v>329</v>
      </c>
      <c r="K334" s="1500">
        <f>_xlfn.XLOOKUP(cities[[#This Row],[id]],$D$5:$D$1500,E$5:E$1500,"-")</f>
        <v/>
      </c>
      <c r="L334" s="1500">
        <f>_xlfn.XLOOKUP(cities[[#This Row],[city]],ccc[city],ccc[ctry],"-")</f>
        <v/>
      </c>
      <c r="M334" s="1500">
        <f>SUMIFS(stayCity[stay],stayCity[city],cities[[#This Row],[city]])</f>
        <v/>
      </c>
      <c r="N334" s="1427">
        <f>N333+1</f>
        <v/>
      </c>
      <c r="O334" s="1500" t="n"/>
      <c r="P334" s="1500" t="n"/>
      <c r="Q334" s="1427" t="inlineStr">
        <is>
          <t>.</t>
        </is>
      </c>
      <c r="R334" s="1491" t="n"/>
      <c r="S334" s="1491" t="n"/>
      <c r="T334" s="1491" t="n"/>
      <c r="U334" s="1491" t="n"/>
      <c r="V334" s="1491" t="n"/>
      <c r="W334" s="1491" t="n"/>
      <c r="X334" s="1491" t="n"/>
      <c r="Y334" s="1491" t="n"/>
      <c r="Z334" s="1491" t="n"/>
      <c r="AA334" s="1491" t="n"/>
      <c r="AB334" s="1491" t="n"/>
      <c r="AC334" s="1491" t="n"/>
      <c r="AD334" s="1491" t="n"/>
      <c r="AE334" s="1491" t="n"/>
      <c r="AF334" s="1491" t="n"/>
      <c r="AG334" s="1491" t="n"/>
      <c r="AH334" s="1491" t="n"/>
      <c r="AI334" s="1491" t="n"/>
      <c r="AJ334" s="1491" t="n"/>
      <c r="AK334" s="1491" t="n"/>
      <c r="AL334" s="1491" t="n"/>
      <c r="AM334" s="1491" t="n"/>
      <c r="AN334" s="1491" t="n"/>
      <c r="AO334" s="1491" t="n"/>
      <c r="AP334" s="1491" t="n"/>
      <c r="AQ334" s="1491" t="n"/>
      <c r="AR334" s="1491" t="n"/>
      <c r="AS334" s="1491" t="n"/>
      <c r="AT334" s="1491" t="n"/>
      <c r="AU334" s="1491" t="n"/>
      <c r="AV334" s="1491" t="n"/>
      <c r="AW334" s="1491" t="n"/>
      <c r="AX334" s="1491" t="n"/>
      <c r="AY334" s="1491" t="n"/>
      <c r="AZ334" s="1491" t="n"/>
      <c r="BA334" s="1491" t="n"/>
      <c r="BB334" s="1491" t="n"/>
      <c r="BC334" s="1491" t="n"/>
      <c r="BD334" s="1491" t="n"/>
      <c r="BE334" s="1491" t="n"/>
      <c r="BF334" s="1491" t="n"/>
      <c r="BG334" s="1491" t="n"/>
      <c r="BH334" s="1491" t="n"/>
      <c r="BI334" s="1491" t="n"/>
      <c r="BJ334" s="1491" t="n"/>
      <c r="BK334" s="1491" t="n"/>
      <c r="BL334" s="1491" t="n"/>
      <c r="BM334" s="1491" t="n"/>
      <c r="BN334" s="1491" t="n"/>
      <c r="BO334" s="1467" t="n"/>
      <c r="BP334" s="1514" t="n">
        <v>330</v>
      </c>
      <c r="BQ334" s="1513">
        <f>[1]Sheet1!C335</f>
        <v/>
      </c>
      <c r="BR334" s="1515">
        <f>[1]Sheet1!D335</f>
        <v/>
      </c>
      <c r="BS334" s="1513">
        <f>[1]Sheet1!E335</f>
        <v/>
      </c>
      <c r="BT334" s="1515">
        <f>[1]Sheet1!F335</f>
        <v/>
      </c>
      <c r="BU334" s="1516">
        <f>[1]Sheet1!G335</f>
        <v/>
      </c>
      <c r="BV334" s="1513">
        <f>[1]Sheet1!H335</f>
        <v/>
      </c>
      <c r="BW334" s="1467" t="n"/>
      <c r="BX334" s="1491" t="n"/>
      <c r="BY334" s="1491" t="n"/>
      <c r="BZ334" s="1491" t="n"/>
      <c r="CA334" s="1491" t="n"/>
      <c r="CB334" s="1467" t="n"/>
      <c r="CC334" s="1467" t="n"/>
      <c r="CD334" s="1491" t="n"/>
      <c r="CE334" s="1491" t="n"/>
      <c r="CF334" s="1491" t="n"/>
      <c r="CG334" s="1491" t="n"/>
      <c r="CH334" s="1491" t="n"/>
      <c r="CI334" s="1491" t="n"/>
      <c r="CJ334" s="1491" t="n"/>
      <c r="CK334" s="1491" t="n"/>
      <c r="CL334" s="1491" t="n"/>
      <c r="CM334" s="1491" t="n"/>
      <c r="CN334" s="1491" t="n"/>
      <c r="CO334" s="1491" t="n"/>
      <c r="CP334" s="1491" t="n"/>
      <c r="CQ334" s="1491" t="n"/>
      <c r="CR334" s="1491" t="n"/>
      <c r="CS334" s="1491" t="n"/>
      <c r="CT334" s="1491" t="n"/>
      <c r="CU334" s="1491" t="n"/>
      <c r="CV334" s="1491" t="n"/>
      <c r="CW334" s="1491" t="n"/>
      <c r="CX334" s="1491" t="n"/>
    </row>
    <row r="335">
      <c r="A335" s="1491" t="n"/>
      <c r="B335" s="1491" t="n"/>
      <c r="C335" s="1491" t="n"/>
      <c r="D335" s="1497">
        <f>IF(E335&lt;&gt;"",D334+1,D334)</f>
        <v/>
      </c>
      <c r="E335" s="1497" t="inlineStr">
        <is>
          <t>Coberny</t>
        </is>
      </c>
      <c r="F335" s="1535" t="inlineStr">
        <is>
          <t>.</t>
        </is>
      </c>
      <c r="G335" s="1498">
        <f>IF(H335="AIR",0,IF(H334="AIR",G333+1,IF(H335&lt;&gt;"",G334+1,G334)))</f>
        <v/>
      </c>
      <c r="H335" s="1498" t="inlineStr">
        <is>
          <t>Arras</t>
        </is>
      </c>
      <c r="I335" s="1427" t="inlineStr">
        <is>
          <t>.</t>
        </is>
      </c>
      <c r="J335" s="1499" t="n">
        <v>330</v>
      </c>
      <c r="K335" s="1500">
        <f>_xlfn.XLOOKUP(cities[[#This Row],[id]],$D$5:$D$1500,E$5:E$1500,"-")</f>
        <v/>
      </c>
      <c r="L335" s="1500">
        <f>_xlfn.XLOOKUP(cities[[#This Row],[city]],ccc[city],ccc[ctry],"-")</f>
        <v/>
      </c>
      <c r="M335" s="1500">
        <f>SUMIFS(stayCity[stay],stayCity[city],cities[[#This Row],[city]])</f>
        <v/>
      </c>
      <c r="N335" s="1427">
        <f>N334+1</f>
        <v/>
      </c>
      <c r="O335" s="1500" t="n"/>
      <c r="P335" s="1500" t="n"/>
      <c r="Q335" s="1427" t="inlineStr">
        <is>
          <t>.</t>
        </is>
      </c>
      <c r="R335" s="1491" t="n"/>
      <c r="S335" s="1491" t="n"/>
      <c r="T335" s="1491" t="n"/>
      <c r="U335" s="1491" t="n"/>
      <c r="V335" s="1491" t="n"/>
      <c r="W335" s="1491" t="n"/>
      <c r="X335" s="1491" t="n"/>
      <c r="Y335" s="1491" t="n"/>
      <c r="Z335" s="1491" t="n"/>
      <c r="AA335" s="1491" t="n"/>
      <c r="AB335" s="1491" t="n"/>
      <c r="AC335" s="1491" t="n"/>
      <c r="AD335" s="1491" t="n"/>
      <c r="AE335" s="1491" t="n"/>
      <c r="AF335" s="1491" t="n"/>
      <c r="AG335" s="1491" t="n"/>
      <c r="AH335" s="1491" t="n"/>
      <c r="AI335" s="1491" t="n"/>
      <c r="AJ335" s="1491" t="n"/>
      <c r="AK335" s="1491" t="n"/>
      <c r="AL335" s="1491" t="n"/>
      <c r="AM335" s="1491" t="n"/>
      <c r="AN335" s="1491" t="n"/>
      <c r="AO335" s="1491" t="n"/>
      <c r="AP335" s="1491" t="n"/>
      <c r="AQ335" s="1491" t="n"/>
      <c r="AR335" s="1491" t="n"/>
      <c r="AS335" s="1491" t="n"/>
      <c r="AT335" s="1491" t="n"/>
      <c r="AU335" s="1491" t="n"/>
      <c r="AV335" s="1491" t="n"/>
      <c r="AW335" s="1491" t="n"/>
      <c r="AX335" s="1491" t="n"/>
      <c r="AY335" s="1491" t="n"/>
      <c r="AZ335" s="1491" t="n"/>
      <c r="BA335" s="1491" t="n"/>
      <c r="BB335" s="1491" t="n"/>
      <c r="BC335" s="1491" t="n"/>
      <c r="BD335" s="1491" t="n"/>
      <c r="BE335" s="1491" t="n"/>
      <c r="BF335" s="1491" t="n"/>
      <c r="BG335" s="1491" t="n"/>
      <c r="BH335" s="1491" t="n"/>
      <c r="BI335" s="1491" t="n"/>
      <c r="BJ335" s="1491" t="n"/>
      <c r="BK335" s="1491" t="n"/>
      <c r="BL335" s="1491" t="n"/>
      <c r="BM335" s="1491" t="n"/>
      <c r="BN335" s="1491" t="n"/>
      <c r="BO335" s="1467" t="n"/>
      <c r="BP335" s="1514" t="n">
        <v>331</v>
      </c>
      <c r="BQ335" s="1513">
        <f>[1]Sheet1!C336</f>
        <v/>
      </c>
      <c r="BR335" s="1515">
        <f>[1]Sheet1!D336</f>
        <v/>
      </c>
      <c r="BS335" s="1513">
        <f>[1]Sheet1!E336</f>
        <v/>
      </c>
      <c r="BT335" s="1515">
        <f>[1]Sheet1!F336</f>
        <v/>
      </c>
      <c r="BU335" s="1516">
        <f>[1]Sheet1!G336</f>
        <v/>
      </c>
      <c r="BV335" s="1513">
        <f>[1]Sheet1!H336</f>
        <v/>
      </c>
      <c r="BW335" s="1467" t="n"/>
      <c r="BX335" s="1491" t="n"/>
      <c r="BY335" s="1491" t="n"/>
      <c r="BZ335" s="1491" t="n"/>
      <c r="CA335" s="1491" t="n"/>
      <c r="CB335" s="1467" t="n"/>
      <c r="CC335" s="1467" t="n"/>
      <c r="CD335" s="1491" t="n"/>
      <c r="CE335" s="1491" t="n"/>
      <c r="CF335" s="1491" t="n"/>
      <c r="CG335" s="1491" t="n"/>
      <c r="CH335" s="1491" t="n"/>
      <c r="CI335" s="1491" t="n"/>
      <c r="CJ335" s="1491" t="n"/>
      <c r="CK335" s="1491" t="n"/>
      <c r="CL335" s="1491" t="n"/>
      <c r="CM335" s="1491" t="n"/>
      <c r="CN335" s="1491" t="n"/>
      <c r="CO335" s="1491" t="n"/>
      <c r="CP335" s="1491" t="n"/>
      <c r="CQ335" s="1491" t="n"/>
      <c r="CR335" s="1491" t="n"/>
      <c r="CS335" s="1491" t="n"/>
      <c r="CT335" s="1491" t="n"/>
      <c r="CU335" s="1491" t="n"/>
      <c r="CV335" s="1491" t="n"/>
      <c r="CW335" s="1491" t="n"/>
      <c r="CX335" s="1491" t="n"/>
    </row>
    <row r="336">
      <c r="A336" s="1491" t="n"/>
      <c r="B336" s="1491" t="n"/>
      <c r="C336" s="1491" t="n"/>
      <c r="D336" s="1497">
        <f>IF(E336&lt;&gt;"",D335+1,D335)</f>
        <v/>
      </c>
      <c r="E336" s="1497" t="inlineStr">
        <is>
          <t>Reims</t>
        </is>
      </c>
      <c r="F336" s="1535" t="inlineStr">
        <is>
          <t>.</t>
        </is>
      </c>
      <c r="G336" s="1498">
        <f>IF(H336="AIR",0,IF(H335="AIR",G334+1,IF(H336&lt;&gt;"",G335+1,G335)))</f>
        <v/>
      </c>
      <c r="H336" s="1498" t="inlineStr">
        <is>
          <t>Bapaume</t>
        </is>
      </c>
      <c r="I336" s="1427" t="inlineStr">
        <is>
          <t>.</t>
        </is>
      </c>
      <c r="J336" s="1499" t="n">
        <v>331</v>
      </c>
      <c r="K336" s="1500">
        <f>_xlfn.XLOOKUP(cities[[#This Row],[id]],$D$5:$D$1500,E$5:E$1500,"-")</f>
        <v/>
      </c>
      <c r="L336" s="1500">
        <f>_xlfn.XLOOKUP(cities[[#This Row],[city]],ccc[city],ccc[ctry],"-")</f>
        <v/>
      </c>
      <c r="M336" s="1500">
        <f>SUMIFS(stayCity[stay],stayCity[city],cities[[#This Row],[city]])</f>
        <v/>
      </c>
      <c r="N336" s="1427">
        <f>N335+1</f>
        <v/>
      </c>
      <c r="O336" s="1500" t="n"/>
      <c r="P336" s="1500" t="n"/>
      <c r="Q336" s="1427" t="inlineStr">
        <is>
          <t>.</t>
        </is>
      </c>
      <c r="R336" s="1491" t="n"/>
      <c r="S336" s="1491" t="n"/>
      <c r="T336" s="1491" t="n"/>
      <c r="U336" s="1491" t="n"/>
      <c r="V336" s="1491" t="n"/>
      <c r="W336" s="1491" t="n"/>
      <c r="X336" s="1491" t="n"/>
      <c r="Y336" s="1491" t="n"/>
      <c r="Z336" s="1491" t="n"/>
      <c r="AA336" s="1491" t="n"/>
      <c r="AB336" s="1491" t="n"/>
      <c r="AC336" s="1491" t="n"/>
      <c r="AD336" s="1491" t="n"/>
      <c r="AE336" s="1491" t="n"/>
      <c r="AF336" s="1491" t="n"/>
      <c r="AG336" s="1491" t="n"/>
      <c r="AH336" s="1491" t="n"/>
      <c r="AI336" s="1491" t="n"/>
      <c r="AJ336" s="1491" t="n"/>
      <c r="AK336" s="1491" t="n"/>
      <c r="AL336" s="1491" t="n"/>
      <c r="AM336" s="1491" t="n"/>
      <c r="AN336" s="1491" t="n"/>
      <c r="AO336" s="1491" t="n"/>
      <c r="AP336" s="1491" t="n"/>
      <c r="AQ336" s="1491" t="n"/>
      <c r="AR336" s="1491" t="n"/>
      <c r="AS336" s="1491" t="n"/>
      <c r="AT336" s="1491" t="n"/>
      <c r="AU336" s="1491" t="n"/>
      <c r="AV336" s="1491" t="n"/>
      <c r="AW336" s="1491" t="n"/>
      <c r="AX336" s="1491" t="n"/>
      <c r="AY336" s="1491" t="n"/>
      <c r="AZ336" s="1491" t="n"/>
      <c r="BA336" s="1491" t="n"/>
      <c r="BB336" s="1491" t="n"/>
      <c r="BC336" s="1491" t="n"/>
      <c r="BD336" s="1491" t="n"/>
      <c r="BE336" s="1491" t="n"/>
      <c r="BF336" s="1491" t="n"/>
      <c r="BG336" s="1491" t="n"/>
      <c r="BH336" s="1491" t="n"/>
      <c r="BI336" s="1491" t="n"/>
      <c r="BJ336" s="1491" t="n"/>
      <c r="BK336" s="1491" t="n"/>
      <c r="BL336" s="1491" t="n"/>
      <c r="BM336" s="1491" t="n"/>
      <c r="BN336" s="1491" t="n"/>
      <c r="BO336" s="1467" t="n"/>
      <c r="BP336" s="1514" t="n">
        <v>332</v>
      </c>
      <c r="BQ336" s="1513">
        <f>[1]Sheet1!C337</f>
        <v/>
      </c>
      <c r="BR336" s="1515">
        <f>[1]Sheet1!D337</f>
        <v/>
      </c>
      <c r="BS336" s="1513">
        <f>[1]Sheet1!E337</f>
        <v/>
      </c>
      <c r="BT336" s="1515">
        <f>[1]Sheet1!F337</f>
        <v/>
      </c>
      <c r="BU336" s="1516">
        <f>[1]Sheet1!G337</f>
        <v/>
      </c>
      <c r="BV336" s="1513">
        <f>[1]Sheet1!H337</f>
        <v/>
      </c>
      <c r="BW336" s="1467" t="n"/>
      <c r="BX336" s="1491" t="n"/>
      <c r="BY336" s="1491" t="n"/>
      <c r="BZ336" s="1491" t="n"/>
      <c r="CA336" s="1491" t="n"/>
      <c r="CB336" s="1467" t="n"/>
      <c r="CC336" s="1467" t="n"/>
      <c r="CD336" s="1491" t="n"/>
      <c r="CE336" s="1491" t="n"/>
      <c r="CF336" s="1491" t="n"/>
      <c r="CG336" s="1491" t="n"/>
      <c r="CH336" s="1491" t="n"/>
      <c r="CI336" s="1491" t="n"/>
      <c r="CJ336" s="1491" t="n"/>
      <c r="CK336" s="1491" t="n"/>
      <c r="CL336" s="1491" t="n"/>
      <c r="CM336" s="1491" t="n"/>
      <c r="CN336" s="1491" t="n"/>
      <c r="CO336" s="1491" t="n"/>
      <c r="CP336" s="1491" t="n"/>
      <c r="CQ336" s="1491" t="n"/>
      <c r="CR336" s="1491" t="n"/>
      <c r="CS336" s="1491" t="n"/>
      <c r="CT336" s="1491" t="n"/>
      <c r="CU336" s="1491" t="n"/>
      <c r="CV336" s="1491" t="n"/>
      <c r="CW336" s="1491" t="n"/>
      <c r="CX336" s="1491" t="n"/>
    </row>
    <row r="337">
      <c r="A337" s="1491" t="n"/>
      <c r="B337" s="1491" t="n"/>
      <c r="C337" s="1491" t="n"/>
      <c r="D337" s="1497">
        <f>IF(E337&lt;&gt;"",D336+1,D336)</f>
        <v/>
      </c>
      <c r="E337" s="1497" t="inlineStr">
        <is>
          <t>Verzenay</t>
        </is>
      </c>
      <c r="F337" s="1535" t="inlineStr">
        <is>
          <t>.</t>
        </is>
      </c>
      <c r="G337" s="1498">
        <f>IF(H337="AIR",0,IF(H336="AIR",G335+1,IF(H337&lt;&gt;"",G336+1,G336)))</f>
        <v/>
      </c>
      <c r="H337" s="1498" t="inlineStr">
        <is>
          <t>Peronne</t>
        </is>
      </c>
      <c r="I337" s="1427" t="inlineStr">
        <is>
          <t>.</t>
        </is>
      </c>
      <c r="J337" s="1499" t="n">
        <v>332</v>
      </c>
      <c r="K337" s="1500">
        <f>_xlfn.XLOOKUP(cities[[#This Row],[id]],$D$5:$D$1500,E$5:E$1500,"-")</f>
        <v/>
      </c>
      <c r="L337" s="1500">
        <f>_xlfn.XLOOKUP(cities[[#This Row],[city]],ccc[city],ccc[ctry],"-")</f>
        <v/>
      </c>
      <c r="M337" s="1500">
        <f>SUMIFS(stayCity[stay],stayCity[city],cities[[#This Row],[city]])</f>
        <v/>
      </c>
      <c r="N337" s="1427">
        <f>N336+1</f>
        <v/>
      </c>
      <c r="O337" s="1500" t="n"/>
      <c r="P337" s="1500" t="n"/>
      <c r="Q337" s="1427" t="inlineStr">
        <is>
          <t>.</t>
        </is>
      </c>
      <c r="R337" s="1491" t="n"/>
      <c r="S337" s="1491" t="n"/>
      <c r="T337" s="1491" t="n"/>
      <c r="U337" s="1491" t="n"/>
      <c r="V337" s="1491" t="n"/>
      <c r="W337" s="1491" t="n"/>
      <c r="X337" s="1491" t="n"/>
      <c r="Y337" s="1491" t="n"/>
      <c r="Z337" s="1491" t="n"/>
      <c r="AA337" s="1491" t="n"/>
      <c r="AB337" s="1491" t="n"/>
      <c r="AC337" s="1491" t="n"/>
      <c r="AD337" s="1491" t="n"/>
      <c r="AE337" s="1491" t="n"/>
      <c r="AF337" s="1491" t="n"/>
      <c r="AG337" s="1491" t="n"/>
      <c r="AH337" s="1491" t="n"/>
      <c r="AI337" s="1491" t="n"/>
      <c r="AJ337" s="1491" t="n"/>
      <c r="AK337" s="1491" t="n"/>
      <c r="AL337" s="1491" t="n"/>
      <c r="AM337" s="1491" t="n"/>
      <c r="AN337" s="1491" t="n"/>
      <c r="AO337" s="1491" t="n"/>
      <c r="AP337" s="1491" t="n"/>
      <c r="AQ337" s="1491" t="n"/>
      <c r="AR337" s="1491" t="n"/>
      <c r="AS337" s="1491" t="n"/>
      <c r="AT337" s="1491" t="n"/>
      <c r="AU337" s="1491" t="n"/>
      <c r="AV337" s="1491" t="n"/>
      <c r="AW337" s="1491" t="n"/>
      <c r="AX337" s="1491" t="n"/>
      <c r="AY337" s="1491" t="n"/>
      <c r="AZ337" s="1491" t="n"/>
      <c r="BA337" s="1491" t="n"/>
      <c r="BB337" s="1491" t="n"/>
      <c r="BC337" s="1491" t="n"/>
      <c r="BD337" s="1491" t="n"/>
      <c r="BE337" s="1491" t="n"/>
      <c r="BF337" s="1491" t="n"/>
      <c r="BG337" s="1491" t="n"/>
      <c r="BH337" s="1491" t="n"/>
      <c r="BI337" s="1491" t="n"/>
      <c r="BJ337" s="1491" t="n"/>
      <c r="BK337" s="1491" t="n"/>
      <c r="BL337" s="1491" t="n"/>
      <c r="BM337" s="1491" t="n"/>
      <c r="BN337" s="1491" t="n"/>
      <c r="BO337" s="1467" t="n"/>
      <c r="BP337" s="1514" t="n">
        <v>333</v>
      </c>
      <c r="BQ337" s="1513">
        <f>[1]Sheet1!C338</f>
        <v/>
      </c>
      <c r="BR337" s="1515">
        <f>[1]Sheet1!D338</f>
        <v/>
      </c>
      <c r="BS337" s="1513">
        <f>[1]Sheet1!E338</f>
        <v/>
      </c>
      <c r="BT337" s="1515">
        <f>[1]Sheet1!F338</f>
        <v/>
      </c>
      <c r="BU337" s="1516">
        <f>[1]Sheet1!G338</f>
        <v/>
      </c>
      <c r="BV337" s="1513">
        <f>[1]Sheet1!H338</f>
        <v/>
      </c>
      <c r="BW337" s="1467" t="n"/>
      <c r="BX337" s="1491" t="n"/>
      <c r="BY337" s="1491" t="n"/>
      <c r="BZ337" s="1491" t="n"/>
      <c r="CA337" s="1491" t="n"/>
      <c r="CB337" s="1467" t="n"/>
      <c r="CC337" s="1467" t="n"/>
      <c r="CD337" s="1491" t="n"/>
      <c r="CE337" s="1491" t="n"/>
      <c r="CF337" s="1491" t="n"/>
      <c r="CG337" s="1491" t="n"/>
      <c r="CH337" s="1491" t="n"/>
      <c r="CI337" s="1491" t="n"/>
      <c r="CJ337" s="1491" t="n"/>
      <c r="CK337" s="1491" t="n"/>
      <c r="CL337" s="1491" t="n"/>
      <c r="CM337" s="1491" t="n"/>
      <c r="CN337" s="1491" t="n"/>
      <c r="CO337" s="1491" t="n"/>
      <c r="CP337" s="1491" t="n"/>
      <c r="CQ337" s="1491" t="n"/>
      <c r="CR337" s="1491" t="n"/>
      <c r="CS337" s="1491" t="n"/>
      <c r="CT337" s="1491" t="n"/>
      <c r="CU337" s="1491" t="n"/>
      <c r="CV337" s="1491" t="n"/>
      <c r="CW337" s="1491" t="n"/>
      <c r="CX337" s="1491" t="n"/>
    </row>
    <row r="338">
      <c r="A338" s="1491" t="n"/>
      <c r="B338" s="1491" t="n"/>
      <c r="C338" s="1491" t="n"/>
      <c r="D338" s="1497">
        <f>IF(E338&lt;&gt;"",D337+1,D337)</f>
        <v/>
      </c>
      <c r="E338" s="1497" t="inlineStr">
        <is>
          <t>Verzy</t>
        </is>
      </c>
      <c r="F338" s="1535" t="inlineStr">
        <is>
          <t>.</t>
        </is>
      </c>
      <c r="G338" s="1498">
        <f>IF(H338="AIR",0,IF(H337="AIR",G336+1,IF(H338&lt;&gt;"",G337+1,G337)))</f>
        <v/>
      </c>
      <c r="H338" s="1498" t="inlineStr">
        <is>
          <t>Trefcon</t>
        </is>
      </c>
      <c r="I338" s="1427" t="inlineStr">
        <is>
          <t>.</t>
        </is>
      </c>
      <c r="J338" s="1499" t="n">
        <v>333</v>
      </c>
      <c r="K338" s="1500">
        <f>_xlfn.XLOOKUP(cities[[#This Row],[id]],$D$5:$D$1500,E$5:E$1500,"-")</f>
        <v/>
      </c>
      <c r="L338" s="1500">
        <f>_xlfn.XLOOKUP(cities[[#This Row],[city]],ccc[city],ccc[ctry],"-")</f>
        <v/>
      </c>
      <c r="M338" s="1500">
        <f>SUMIFS(stayCity[stay],stayCity[city],cities[[#This Row],[city]])</f>
        <v/>
      </c>
      <c r="N338" s="1427">
        <f>N337+1</f>
        <v/>
      </c>
      <c r="O338" s="1500" t="n"/>
      <c r="P338" s="1500" t="n"/>
      <c r="Q338" s="1427" t="inlineStr">
        <is>
          <t>.</t>
        </is>
      </c>
      <c r="R338" s="1491" t="n"/>
      <c r="S338" s="1491" t="n"/>
      <c r="T338" s="1491" t="n"/>
      <c r="U338" s="1491" t="n"/>
      <c r="V338" s="1491" t="n"/>
      <c r="W338" s="1491" t="n"/>
      <c r="X338" s="1491" t="n"/>
      <c r="Y338" s="1491" t="n"/>
      <c r="Z338" s="1491" t="n"/>
      <c r="AA338" s="1491" t="n"/>
      <c r="AB338" s="1491" t="n"/>
      <c r="AC338" s="1491" t="n"/>
      <c r="AD338" s="1491" t="n"/>
      <c r="AE338" s="1491" t="n"/>
      <c r="AF338" s="1491" t="n"/>
      <c r="AG338" s="1491" t="n"/>
      <c r="AH338" s="1491" t="n"/>
      <c r="AI338" s="1491" t="n"/>
      <c r="AJ338" s="1491" t="n"/>
      <c r="AK338" s="1491" t="n"/>
      <c r="AL338" s="1491" t="n"/>
      <c r="AM338" s="1491" t="n"/>
      <c r="AN338" s="1491" t="n"/>
      <c r="AO338" s="1491" t="n"/>
      <c r="AP338" s="1491" t="n"/>
      <c r="AQ338" s="1491" t="n"/>
      <c r="AR338" s="1491" t="n"/>
      <c r="AS338" s="1491" t="n"/>
      <c r="AT338" s="1491" t="n"/>
      <c r="AU338" s="1491" t="n"/>
      <c r="AV338" s="1491" t="n"/>
      <c r="AW338" s="1491" t="n"/>
      <c r="AX338" s="1491" t="n"/>
      <c r="AY338" s="1491" t="n"/>
      <c r="AZ338" s="1491" t="n"/>
      <c r="BA338" s="1491" t="n"/>
      <c r="BB338" s="1491" t="n"/>
      <c r="BC338" s="1491" t="n"/>
      <c r="BD338" s="1491" t="n"/>
      <c r="BE338" s="1491" t="n"/>
      <c r="BF338" s="1491" t="n"/>
      <c r="BG338" s="1491" t="n"/>
      <c r="BH338" s="1491" t="n"/>
      <c r="BI338" s="1491" t="n"/>
      <c r="BJ338" s="1491" t="n"/>
      <c r="BK338" s="1491" t="n"/>
      <c r="BL338" s="1491" t="n"/>
      <c r="BM338" s="1491" t="n"/>
      <c r="BN338" s="1491" t="n"/>
      <c r="BO338" s="1467" t="n"/>
      <c r="BP338" s="1514" t="n">
        <v>334</v>
      </c>
      <c r="BQ338" s="1513">
        <f>[1]Sheet1!C339</f>
        <v/>
      </c>
      <c r="BR338" s="1515">
        <f>[1]Sheet1!D339</f>
        <v/>
      </c>
      <c r="BS338" s="1513">
        <f>[1]Sheet1!E339</f>
        <v/>
      </c>
      <c r="BT338" s="1515">
        <f>[1]Sheet1!F339</f>
        <v/>
      </c>
      <c r="BU338" s="1516">
        <f>[1]Sheet1!G339</f>
        <v/>
      </c>
      <c r="BV338" s="1513">
        <f>[1]Sheet1!H339</f>
        <v/>
      </c>
      <c r="BW338" s="1467" t="n"/>
      <c r="BX338" s="1491" t="n"/>
      <c r="BY338" s="1491" t="n"/>
      <c r="BZ338" s="1491" t="n"/>
      <c r="CA338" s="1491" t="n"/>
      <c r="CB338" s="1467" t="n"/>
      <c r="CC338" s="1467" t="n"/>
      <c r="CD338" s="1491" t="n"/>
      <c r="CE338" s="1491" t="n"/>
      <c r="CF338" s="1491" t="n"/>
      <c r="CG338" s="1491" t="n"/>
      <c r="CH338" s="1491" t="n"/>
      <c r="CI338" s="1491" t="n"/>
      <c r="CJ338" s="1491" t="n"/>
      <c r="CK338" s="1491" t="n"/>
      <c r="CL338" s="1491" t="n"/>
      <c r="CM338" s="1491" t="n"/>
      <c r="CN338" s="1491" t="n"/>
      <c r="CO338" s="1491" t="n"/>
      <c r="CP338" s="1491" t="n"/>
      <c r="CQ338" s="1491" t="n"/>
      <c r="CR338" s="1491" t="n"/>
      <c r="CS338" s="1491" t="n"/>
      <c r="CT338" s="1491" t="n"/>
      <c r="CU338" s="1491" t="n"/>
      <c r="CV338" s="1491" t="n"/>
      <c r="CW338" s="1491" t="n"/>
      <c r="CX338" s="1491" t="n"/>
    </row>
    <row r="339">
      <c r="A339" s="1491" t="n"/>
      <c r="B339" s="1491" t="n"/>
      <c r="C339" s="1491" t="n"/>
      <c r="D339" s="1497">
        <f>IF(E339&lt;&gt;"",D338+1,D338)</f>
        <v/>
      </c>
      <c r="E339" s="1497" t="inlineStr">
        <is>
          <t>Trepail</t>
        </is>
      </c>
      <c r="F339" s="1535" t="inlineStr">
        <is>
          <t>.</t>
        </is>
      </c>
      <c r="G339" s="1498">
        <f>IF(H339="AIR",0,IF(H338="AIR",G337+1,IF(H339&lt;&gt;"",G338+1,G338)))</f>
        <v/>
      </c>
      <c r="H339" s="1498" t="inlineStr">
        <is>
          <t>Montescourt-Lizerolles</t>
        </is>
      </c>
      <c r="I339" s="1427" t="inlineStr">
        <is>
          <t>.</t>
        </is>
      </c>
      <c r="J339" s="1499" t="n">
        <v>334</v>
      </c>
      <c r="K339" s="1500">
        <f>_xlfn.XLOOKUP(cities[[#This Row],[id]],$D$5:$D$1500,E$5:E$1500,"-")</f>
        <v/>
      </c>
      <c r="L339" s="1500">
        <f>_xlfn.XLOOKUP(cities[[#This Row],[city]],ccc[city],ccc[ctry],"-")</f>
        <v/>
      </c>
      <c r="M339" s="1500">
        <f>SUMIFS(stayCity[stay],stayCity[city],cities[[#This Row],[city]])</f>
        <v/>
      </c>
      <c r="N339" s="1427">
        <f>N338+1</f>
        <v/>
      </c>
      <c r="O339" s="1500" t="n"/>
      <c r="P339" s="1500" t="n"/>
      <c r="Q339" s="1427" t="inlineStr">
        <is>
          <t>.</t>
        </is>
      </c>
      <c r="R339" s="1491" t="n"/>
      <c r="S339" s="1491" t="n"/>
      <c r="T339" s="1491" t="n"/>
      <c r="U339" s="1491" t="n"/>
      <c r="V339" s="1491" t="n"/>
      <c r="W339" s="1491" t="n"/>
      <c r="X339" s="1491" t="n"/>
      <c r="Y339" s="1491" t="n"/>
      <c r="Z339" s="1491" t="n"/>
      <c r="AA339" s="1491" t="n"/>
      <c r="AB339" s="1491" t="n"/>
      <c r="AC339" s="1491" t="n"/>
      <c r="AD339" s="1491" t="n"/>
      <c r="AE339" s="1491" t="n"/>
      <c r="AF339" s="1491" t="n"/>
      <c r="AG339" s="1491" t="n"/>
      <c r="AH339" s="1491" t="n"/>
      <c r="AI339" s="1491" t="n"/>
      <c r="AJ339" s="1491" t="n"/>
      <c r="AK339" s="1491" t="n"/>
      <c r="AL339" s="1491" t="n"/>
      <c r="AM339" s="1491" t="n"/>
      <c r="AN339" s="1491" t="n"/>
      <c r="AO339" s="1491" t="n"/>
      <c r="AP339" s="1491" t="n"/>
      <c r="AQ339" s="1491" t="n"/>
      <c r="AR339" s="1491" t="n"/>
      <c r="AS339" s="1491" t="n"/>
      <c r="AT339" s="1491" t="n"/>
      <c r="AU339" s="1491" t="n"/>
      <c r="AV339" s="1491" t="n"/>
      <c r="AW339" s="1491" t="n"/>
      <c r="AX339" s="1491" t="n"/>
      <c r="AY339" s="1491" t="n"/>
      <c r="AZ339" s="1491" t="n"/>
      <c r="BA339" s="1491" t="n"/>
      <c r="BB339" s="1491" t="n"/>
      <c r="BC339" s="1491" t="n"/>
      <c r="BD339" s="1491" t="n"/>
      <c r="BE339" s="1491" t="n"/>
      <c r="BF339" s="1491" t="n"/>
      <c r="BG339" s="1491" t="n"/>
      <c r="BH339" s="1491" t="n"/>
      <c r="BI339" s="1491" t="n"/>
      <c r="BJ339" s="1491" t="n"/>
      <c r="BK339" s="1491" t="n"/>
      <c r="BL339" s="1491" t="n"/>
      <c r="BM339" s="1491" t="n"/>
      <c r="BN339" s="1491" t="n"/>
      <c r="BO339" s="1467" t="n"/>
      <c r="BP339" s="1514" t="n">
        <v>335</v>
      </c>
      <c r="BQ339" s="1513">
        <f>[1]Sheet1!C340</f>
        <v/>
      </c>
      <c r="BR339" s="1515">
        <f>[1]Sheet1!D340</f>
        <v/>
      </c>
      <c r="BS339" s="1513">
        <f>[1]Sheet1!E340</f>
        <v/>
      </c>
      <c r="BT339" s="1515">
        <f>[1]Sheet1!F340</f>
        <v/>
      </c>
      <c r="BU339" s="1516">
        <f>[1]Sheet1!G340</f>
        <v/>
      </c>
      <c r="BV339" s="1513">
        <f>[1]Sheet1!H340</f>
        <v/>
      </c>
      <c r="BW339" s="1467" t="n"/>
      <c r="BX339" s="1491" t="n"/>
      <c r="BY339" s="1491" t="n"/>
      <c r="BZ339" s="1491" t="n"/>
      <c r="CA339" s="1491" t="n"/>
      <c r="CB339" s="1467" t="n"/>
      <c r="CC339" s="1467" t="n"/>
      <c r="CD339" s="1491" t="n"/>
      <c r="CE339" s="1491" t="n"/>
      <c r="CF339" s="1491" t="n"/>
      <c r="CG339" s="1491" t="n"/>
      <c r="CH339" s="1491" t="n"/>
      <c r="CI339" s="1491" t="n"/>
      <c r="CJ339" s="1491" t="n"/>
      <c r="CK339" s="1491" t="n"/>
      <c r="CL339" s="1491" t="n"/>
      <c r="CM339" s="1491" t="n"/>
      <c r="CN339" s="1491" t="n"/>
      <c r="CO339" s="1491" t="n"/>
      <c r="CP339" s="1491" t="n"/>
      <c r="CQ339" s="1491" t="n"/>
      <c r="CR339" s="1491" t="n"/>
      <c r="CS339" s="1491" t="n"/>
      <c r="CT339" s="1491" t="n"/>
      <c r="CU339" s="1491" t="n"/>
      <c r="CV339" s="1491" t="n"/>
      <c r="CW339" s="1491" t="n"/>
      <c r="CX339" s="1491" t="n"/>
    </row>
    <row r="340">
      <c r="A340" s="1491" t="n"/>
      <c r="B340" s="1491" t="n"/>
      <c r="C340" s="1491" t="n"/>
      <c r="D340" s="1497">
        <f>IF(E340&lt;&gt;"",D339+1,D339)</f>
        <v/>
      </c>
      <c r="E340" s="1497" t="inlineStr">
        <is>
          <t>Ambonay</t>
        </is>
      </c>
      <c r="F340" s="1535" t="inlineStr">
        <is>
          <t>.</t>
        </is>
      </c>
      <c r="G340" s="1498">
        <f>IF(H340="AIR",0,IF(H339="AIR",G338+1,IF(H340&lt;&gt;"",G339+1,G339)))</f>
        <v/>
      </c>
      <c r="H340" s="1498" t="inlineStr">
        <is>
          <t>Tergnier</t>
        </is>
      </c>
      <c r="I340" s="1427" t="inlineStr">
        <is>
          <t>.</t>
        </is>
      </c>
      <c r="J340" s="1499" t="n">
        <v>335</v>
      </c>
      <c r="K340" s="1500">
        <f>_xlfn.XLOOKUP(cities[[#This Row],[id]],$D$5:$D$1500,E$5:E$1500,"-")</f>
        <v/>
      </c>
      <c r="L340" s="1500">
        <f>_xlfn.XLOOKUP(cities[[#This Row],[city]],ccc[city],ccc[ctry],"-")</f>
        <v/>
      </c>
      <c r="M340" s="1500">
        <f>SUMIFS(stayCity[stay],stayCity[city],cities[[#This Row],[city]])</f>
        <v/>
      </c>
      <c r="N340" s="1427">
        <f>N339+1</f>
        <v/>
      </c>
      <c r="O340" s="1500" t="n"/>
      <c r="P340" s="1500" t="n"/>
      <c r="Q340" s="1427" t="inlineStr">
        <is>
          <t>.</t>
        </is>
      </c>
      <c r="R340" s="1491" t="n"/>
      <c r="S340" s="1491" t="n"/>
      <c r="T340" s="1491" t="n"/>
      <c r="U340" s="1491" t="n"/>
      <c r="V340" s="1491" t="n"/>
      <c r="W340" s="1491" t="n"/>
      <c r="X340" s="1491" t="n"/>
      <c r="Y340" s="1491" t="n"/>
      <c r="Z340" s="1491" t="n"/>
      <c r="AA340" s="1491" t="n"/>
      <c r="AB340" s="1491" t="n"/>
      <c r="AC340" s="1491" t="n"/>
      <c r="AD340" s="1491" t="n"/>
      <c r="AE340" s="1491" t="n"/>
      <c r="AF340" s="1491" t="n"/>
      <c r="AG340" s="1491" t="n"/>
      <c r="AH340" s="1491" t="n"/>
      <c r="AI340" s="1491" t="n"/>
      <c r="AJ340" s="1491" t="n"/>
      <c r="AK340" s="1491" t="n"/>
      <c r="AL340" s="1491" t="n"/>
      <c r="AM340" s="1491" t="n"/>
      <c r="AN340" s="1491" t="n"/>
      <c r="AO340" s="1491" t="n"/>
      <c r="AP340" s="1491" t="n"/>
      <c r="AQ340" s="1491" t="n"/>
      <c r="AR340" s="1491" t="n"/>
      <c r="AS340" s="1491" t="n"/>
      <c r="AT340" s="1491" t="n"/>
      <c r="AU340" s="1491" t="n"/>
      <c r="AV340" s="1491" t="n"/>
      <c r="AW340" s="1491" t="n"/>
      <c r="AX340" s="1491" t="n"/>
      <c r="AY340" s="1491" t="n"/>
      <c r="AZ340" s="1491" t="n"/>
      <c r="BA340" s="1491" t="n"/>
      <c r="BB340" s="1491" t="n"/>
      <c r="BC340" s="1491" t="n"/>
      <c r="BD340" s="1491" t="n"/>
      <c r="BE340" s="1491" t="n"/>
      <c r="BF340" s="1491" t="n"/>
      <c r="BG340" s="1491" t="n"/>
      <c r="BH340" s="1491" t="n"/>
      <c r="BI340" s="1491" t="n"/>
      <c r="BJ340" s="1491" t="n"/>
      <c r="BK340" s="1491" t="n"/>
      <c r="BL340" s="1491" t="n"/>
      <c r="BM340" s="1491" t="n"/>
      <c r="BN340" s="1491" t="n"/>
      <c r="BO340" s="1467" t="n"/>
      <c r="BP340" s="1514" t="n">
        <v>336</v>
      </c>
      <c r="BQ340" s="1513">
        <f>[1]Sheet1!C341</f>
        <v/>
      </c>
      <c r="BR340" s="1515">
        <f>[1]Sheet1!D341</f>
        <v/>
      </c>
      <c r="BS340" s="1513">
        <f>[1]Sheet1!E341</f>
        <v/>
      </c>
      <c r="BT340" s="1515">
        <f>[1]Sheet1!F341</f>
        <v/>
      </c>
      <c r="BU340" s="1516">
        <f>[1]Sheet1!G341</f>
        <v/>
      </c>
      <c r="BV340" s="1513">
        <f>[1]Sheet1!H341</f>
        <v/>
      </c>
      <c r="BW340" s="1467" t="n"/>
      <c r="BX340" s="1491" t="n"/>
      <c r="BY340" s="1491" t="n"/>
      <c r="BZ340" s="1491" t="n"/>
      <c r="CA340" s="1491" t="n"/>
      <c r="CB340" s="1467" t="n"/>
      <c r="CC340" s="1467" t="n"/>
      <c r="CD340" s="1491" t="n"/>
      <c r="CE340" s="1491" t="n"/>
      <c r="CF340" s="1491" t="n"/>
      <c r="CG340" s="1491" t="n"/>
      <c r="CH340" s="1491" t="n"/>
      <c r="CI340" s="1491" t="n"/>
      <c r="CJ340" s="1491" t="n"/>
      <c r="CK340" s="1491" t="n"/>
      <c r="CL340" s="1491" t="n"/>
      <c r="CM340" s="1491" t="n"/>
      <c r="CN340" s="1491" t="n"/>
      <c r="CO340" s="1491" t="n"/>
      <c r="CP340" s="1491" t="n"/>
      <c r="CQ340" s="1491" t="n"/>
      <c r="CR340" s="1491" t="n"/>
      <c r="CS340" s="1491" t="n"/>
      <c r="CT340" s="1491" t="n"/>
      <c r="CU340" s="1491" t="n"/>
      <c r="CV340" s="1491" t="n"/>
      <c r="CW340" s="1491" t="n"/>
      <c r="CX340" s="1491" t="n"/>
    </row>
    <row r="341">
      <c r="A341" s="1491" t="n"/>
      <c r="B341" s="1491" t="n"/>
      <c r="C341" s="1491" t="n"/>
      <c r="D341" s="1497">
        <f>IF(E341&lt;&gt;"",D340+1,D340)</f>
        <v/>
      </c>
      <c r="E341" s="1497" t="inlineStr">
        <is>
          <t>Conde-sur-Marne</t>
        </is>
      </c>
      <c r="F341" s="1535" t="inlineStr">
        <is>
          <t>.</t>
        </is>
      </c>
      <c r="G341" s="1498">
        <f>IF(H341="AIR",0,IF(H340="AIR",G339+1,IF(H341&lt;&gt;"",G340+1,G340)))</f>
        <v/>
      </c>
      <c r="H341" s="1498" t="inlineStr">
        <is>
          <t>Laon</t>
        </is>
      </c>
      <c r="I341" s="1427" t="inlineStr">
        <is>
          <t>.</t>
        </is>
      </c>
      <c r="J341" s="1499" t="n">
        <v>336</v>
      </c>
      <c r="K341" s="1500">
        <f>_xlfn.XLOOKUP(cities[[#This Row],[id]],$D$5:$D$1500,E$5:E$1500,"-")</f>
        <v/>
      </c>
      <c r="L341" s="1500">
        <f>_xlfn.XLOOKUP(cities[[#This Row],[city]],ccc[city],ccc[ctry],"-")</f>
        <v/>
      </c>
      <c r="M341" s="1500">
        <f>SUMIFS(stayCity[stay],stayCity[city],cities[[#This Row],[city]])</f>
        <v/>
      </c>
      <c r="N341" s="1427">
        <f>N340+1</f>
        <v/>
      </c>
      <c r="O341" s="1500" t="n"/>
      <c r="P341" s="1500" t="n"/>
      <c r="Q341" s="1427" t="inlineStr">
        <is>
          <t>.</t>
        </is>
      </c>
      <c r="R341" s="1491" t="n"/>
      <c r="S341" s="1491" t="n"/>
      <c r="T341" s="1491" t="n"/>
      <c r="U341" s="1491" t="n"/>
      <c r="V341" s="1491" t="n"/>
      <c r="W341" s="1491" t="n"/>
      <c r="X341" s="1491" t="n"/>
      <c r="Y341" s="1491" t="n"/>
      <c r="Z341" s="1491" t="n"/>
      <c r="AA341" s="1491" t="n"/>
      <c r="AB341" s="1491" t="n"/>
      <c r="AC341" s="1491" t="n"/>
      <c r="AD341" s="1491" t="n"/>
      <c r="AE341" s="1491" t="n"/>
      <c r="AF341" s="1491" t="n"/>
      <c r="AG341" s="1491" t="n"/>
      <c r="AH341" s="1491" t="n"/>
      <c r="AI341" s="1491" t="n"/>
      <c r="AJ341" s="1491" t="n"/>
      <c r="AK341" s="1491" t="n"/>
      <c r="AL341" s="1491" t="n"/>
      <c r="AM341" s="1491" t="n"/>
      <c r="AN341" s="1491" t="n"/>
      <c r="AO341" s="1491" t="n"/>
      <c r="AP341" s="1491" t="n"/>
      <c r="AQ341" s="1491" t="n"/>
      <c r="AR341" s="1491" t="n"/>
      <c r="AS341" s="1491" t="n"/>
      <c r="AT341" s="1491" t="n"/>
      <c r="AU341" s="1491" t="n"/>
      <c r="AV341" s="1491" t="n"/>
      <c r="AW341" s="1491" t="n"/>
      <c r="AX341" s="1491" t="n"/>
      <c r="AY341" s="1491" t="n"/>
      <c r="AZ341" s="1491" t="n"/>
      <c r="BA341" s="1491" t="n"/>
      <c r="BB341" s="1491" t="n"/>
      <c r="BC341" s="1491" t="n"/>
      <c r="BD341" s="1491" t="n"/>
      <c r="BE341" s="1491" t="n"/>
      <c r="BF341" s="1491" t="n"/>
      <c r="BG341" s="1491" t="n"/>
      <c r="BH341" s="1491" t="n"/>
      <c r="BI341" s="1491" t="n"/>
      <c r="BJ341" s="1491" t="n"/>
      <c r="BK341" s="1491" t="n"/>
      <c r="BL341" s="1491" t="n"/>
      <c r="BM341" s="1491" t="n"/>
      <c r="BN341" s="1491" t="n"/>
      <c r="BO341" s="1467" t="n"/>
      <c r="BP341" s="1514" t="n">
        <v>337</v>
      </c>
      <c r="BQ341" s="1513">
        <f>[1]Sheet1!C342</f>
        <v/>
      </c>
      <c r="BR341" s="1515">
        <f>[1]Sheet1!D342</f>
        <v/>
      </c>
      <c r="BS341" s="1513">
        <f>[1]Sheet1!E342</f>
        <v/>
      </c>
      <c r="BT341" s="1515">
        <f>[1]Sheet1!F342</f>
        <v/>
      </c>
      <c r="BU341" s="1516">
        <f>[1]Sheet1!G342</f>
        <v/>
      </c>
      <c r="BV341" s="1513">
        <f>[1]Sheet1!H342</f>
        <v/>
      </c>
      <c r="BW341" s="1467" t="n"/>
      <c r="BX341" s="1491" t="n"/>
      <c r="BY341" s="1491" t="n"/>
      <c r="BZ341" s="1491" t="n"/>
      <c r="CA341" s="1491" t="n"/>
      <c r="CB341" s="1467" t="n"/>
      <c r="CC341" s="1467" t="n"/>
      <c r="CD341" s="1491" t="n"/>
      <c r="CE341" s="1491" t="n"/>
      <c r="CF341" s="1491" t="n"/>
      <c r="CG341" s="1491" t="n"/>
      <c r="CH341" s="1491" t="n"/>
      <c r="CI341" s="1491" t="n"/>
      <c r="CJ341" s="1491" t="n"/>
      <c r="CK341" s="1491" t="n"/>
      <c r="CL341" s="1491" t="n"/>
      <c r="CM341" s="1491" t="n"/>
      <c r="CN341" s="1491" t="n"/>
      <c r="CO341" s="1491" t="n"/>
      <c r="CP341" s="1491" t="n"/>
      <c r="CQ341" s="1491" t="n"/>
      <c r="CR341" s="1491" t="n"/>
      <c r="CS341" s="1491" t="n"/>
      <c r="CT341" s="1491" t="n"/>
      <c r="CU341" s="1491" t="n"/>
      <c r="CV341" s="1491" t="n"/>
      <c r="CW341" s="1491" t="n"/>
      <c r="CX341" s="1491" t="n"/>
    </row>
    <row r="342">
      <c r="A342" s="1491" t="n"/>
      <c r="B342" s="1491" t="n"/>
      <c r="C342" s="1491" t="n"/>
      <c r="D342" s="1497">
        <f>IF(E342&lt;&gt;"",D341+1,D341)</f>
        <v/>
      </c>
      <c r="E342" s="1497" t="inlineStr">
        <is>
          <t>Recy</t>
        </is>
      </c>
      <c r="F342" s="1535" t="inlineStr">
        <is>
          <t>.</t>
        </is>
      </c>
      <c r="G342" s="1498">
        <f>IF(H342="AIR",0,IF(H341="AIR",G340+1,IF(H342&lt;&gt;"",G341+1,G341)))</f>
        <v/>
      </c>
      <c r="H342" s="1498" t="inlineStr">
        <is>
          <t>Coberny</t>
        </is>
      </c>
      <c r="I342" s="1427" t="inlineStr">
        <is>
          <t>.</t>
        </is>
      </c>
      <c r="J342" s="1499" t="n">
        <v>337</v>
      </c>
      <c r="K342" s="1500">
        <f>_xlfn.XLOOKUP(cities[[#This Row],[id]],$D$5:$D$1500,E$5:E$1500,"-")</f>
        <v/>
      </c>
      <c r="L342" s="1500">
        <f>_xlfn.XLOOKUP(cities[[#This Row],[city]],ccc[city],ccc[ctry],"-")</f>
        <v/>
      </c>
      <c r="M342" s="1500">
        <f>SUMIFS(stayCity[stay],stayCity[city],cities[[#This Row],[city]])</f>
        <v/>
      </c>
      <c r="N342" s="1427">
        <f>N341+1</f>
        <v/>
      </c>
      <c r="O342" s="1500" t="n"/>
      <c r="P342" s="1500" t="n"/>
      <c r="Q342" s="1427" t="inlineStr">
        <is>
          <t>.</t>
        </is>
      </c>
      <c r="R342" s="1491" t="n"/>
      <c r="S342" s="1491" t="n"/>
      <c r="T342" s="1491" t="n"/>
      <c r="U342" s="1491" t="n"/>
      <c r="V342" s="1491" t="n"/>
      <c r="W342" s="1491" t="n"/>
      <c r="X342" s="1491" t="n"/>
      <c r="Y342" s="1491" t="n"/>
      <c r="Z342" s="1491" t="n"/>
      <c r="AA342" s="1491" t="n"/>
      <c r="AB342" s="1491" t="n"/>
      <c r="AC342" s="1491" t="n"/>
      <c r="AD342" s="1491" t="n"/>
      <c r="AE342" s="1491" t="n"/>
      <c r="AF342" s="1491" t="n"/>
      <c r="AG342" s="1491" t="n"/>
      <c r="AH342" s="1491" t="n"/>
      <c r="AI342" s="1491" t="n"/>
      <c r="AJ342" s="1491" t="n"/>
      <c r="AK342" s="1491" t="n"/>
      <c r="AL342" s="1491" t="n"/>
      <c r="AM342" s="1491" t="n"/>
      <c r="AN342" s="1491" t="n"/>
      <c r="AO342" s="1491" t="n"/>
      <c r="AP342" s="1491" t="n"/>
      <c r="AQ342" s="1491" t="n"/>
      <c r="AR342" s="1491" t="n"/>
      <c r="AS342" s="1491" t="n"/>
      <c r="AT342" s="1491" t="n"/>
      <c r="AU342" s="1491" t="n"/>
      <c r="AV342" s="1491" t="n"/>
      <c r="AW342" s="1491" t="n"/>
      <c r="AX342" s="1491" t="n"/>
      <c r="AY342" s="1491" t="n"/>
      <c r="AZ342" s="1491" t="n"/>
      <c r="BA342" s="1491" t="n"/>
      <c r="BB342" s="1491" t="n"/>
      <c r="BC342" s="1491" t="n"/>
      <c r="BD342" s="1491" t="n"/>
      <c r="BE342" s="1491" t="n"/>
      <c r="BF342" s="1491" t="n"/>
      <c r="BG342" s="1491" t="n"/>
      <c r="BH342" s="1491" t="n"/>
      <c r="BI342" s="1491" t="n"/>
      <c r="BJ342" s="1491" t="n"/>
      <c r="BK342" s="1491" t="n"/>
      <c r="BL342" s="1491" t="n"/>
      <c r="BM342" s="1491" t="n"/>
      <c r="BN342" s="1491" t="n"/>
      <c r="BO342" s="1467" t="n"/>
      <c r="BP342" s="1514" t="n">
        <v>338</v>
      </c>
      <c r="BQ342" s="1513">
        <f>[1]Sheet1!C343</f>
        <v/>
      </c>
      <c r="BR342" s="1515">
        <f>[1]Sheet1!D343</f>
        <v/>
      </c>
      <c r="BS342" s="1513">
        <f>[1]Sheet1!E343</f>
        <v/>
      </c>
      <c r="BT342" s="1515">
        <f>[1]Sheet1!F343</f>
        <v/>
      </c>
      <c r="BU342" s="1516">
        <f>[1]Sheet1!G343</f>
        <v/>
      </c>
      <c r="BV342" s="1513">
        <f>[1]Sheet1!H343</f>
        <v/>
      </c>
      <c r="BW342" s="1467" t="n"/>
      <c r="BX342" s="1491" t="n"/>
      <c r="BY342" s="1491" t="n"/>
      <c r="BZ342" s="1491" t="n"/>
      <c r="CA342" s="1491" t="n"/>
      <c r="CB342" s="1467" t="n"/>
      <c r="CC342" s="1467" t="n"/>
      <c r="CD342" s="1491" t="n"/>
      <c r="CE342" s="1491" t="n"/>
      <c r="CF342" s="1491" t="n"/>
      <c r="CG342" s="1491" t="n"/>
      <c r="CH342" s="1491" t="n"/>
      <c r="CI342" s="1491" t="n"/>
      <c r="CJ342" s="1491" t="n"/>
      <c r="CK342" s="1491" t="n"/>
      <c r="CL342" s="1491" t="n"/>
      <c r="CM342" s="1491" t="n"/>
      <c r="CN342" s="1491" t="n"/>
      <c r="CO342" s="1491" t="n"/>
      <c r="CP342" s="1491" t="n"/>
      <c r="CQ342" s="1491" t="n"/>
      <c r="CR342" s="1491" t="n"/>
      <c r="CS342" s="1491" t="n"/>
      <c r="CT342" s="1491" t="n"/>
      <c r="CU342" s="1491" t="n"/>
      <c r="CV342" s="1491" t="n"/>
      <c r="CW342" s="1491" t="n"/>
      <c r="CX342" s="1491" t="n"/>
    </row>
    <row r="343">
      <c r="A343" s="1491" t="n"/>
      <c r="B343" s="1491" t="n"/>
      <c r="C343" s="1491" t="n"/>
      <c r="D343" s="1497">
        <f>IF(E343&lt;&gt;"",D342+1,D342)</f>
        <v/>
      </c>
      <c r="E343" s="1497" t="inlineStr">
        <is>
          <t>Chalons-en-Champagne</t>
        </is>
      </c>
      <c r="F343" s="1535" t="inlineStr">
        <is>
          <t>.</t>
        </is>
      </c>
      <c r="G343" s="1498">
        <f>IF(H343="AIR",0,IF(H342="AIR",G341+1,IF(H343&lt;&gt;"",G342+1,G342)))</f>
        <v/>
      </c>
      <c r="H343" s="1498" t="inlineStr">
        <is>
          <t>Reims</t>
        </is>
      </c>
      <c r="I343" s="1427" t="inlineStr">
        <is>
          <t>.</t>
        </is>
      </c>
      <c r="J343" s="1499" t="n">
        <v>338</v>
      </c>
      <c r="K343" s="1500">
        <f>_xlfn.XLOOKUP(cities[[#This Row],[id]],$D$5:$D$1500,E$5:E$1500,"-")</f>
        <v/>
      </c>
      <c r="L343" s="1500">
        <f>_xlfn.XLOOKUP(cities[[#This Row],[city]],ccc[city],ccc[ctry],"-")</f>
        <v/>
      </c>
      <c r="M343" s="1500">
        <f>SUMIFS(stayCity[stay],stayCity[city],cities[[#This Row],[city]])</f>
        <v/>
      </c>
      <c r="N343" s="1427">
        <f>N342+1</f>
        <v/>
      </c>
      <c r="O343" s="1500" t="n"/>
      <c r="P343" s="1500" t="n"/>
      <c r="Q343" s="1427" t="inlineStr">
        <is>
          <t>.</t>
        </is>
      </c>
      <c r="R343" s="1491" t="n"/>
      <c r="S343" s="1491" t="n"/>
      <c r="T343" s="1491" t="n"/>
      <c r="U343" s="1491" t="n"/>
      <c r="V343" s="1491" t="n"/>
      <c r="W343" s="1491" t="n"/>
      <c r="X343" s="1491" t="n"/>
      <c r="Y343" s="1491" t="n"/>
      <c r="Z343" s="1491" t="n"/>
      <c r="AA343" s="1491" t="n"/>
      <c r="AB343" s="1491" t="n"/>
      <c r="AC343" s="1491" t="n"/>
      <c r="AD343" s="1491" t="n"/>
      <c r="AE343" s="1491" t="n"/>
      <c r="AF343" s="1491" t="n"/>
      <c r="AG343" s="1491" t="n"/>
      <c r="AH343" s="1491" t="n"/>
      <c r="AI343" s="1491" t="n"/>
      <c r="AJ343" s="1491" t="n"/>
      <c r="AK343" s="1491" t="n"/>
      <c r="AL343" s="1491" t="n"/>
      <c r="AM343" s="1491" t="n"/>
      <c r="AN343" s="1491" t="n"/>
      <c r="AO343" s="1491" t="n"/>
      <c r="AP343" s="1491" t="n"/>
      <c r="AQ343" s="1491" t="n"/>
      <c r="AR343" s="1491" t="n"/>
      <c r="AS343" s="1491" t="n"/>
      <c r="AT343" s="1491" t="n"/>
      <c r="AU343" s="1491" t="n"/>
      <c r="AV343" s="1491" t="n"/>
      <c r="AW343" s="1491" t="n"/>
      <c r="AX343" s="1491" t="n"/>
      <c r="AY343" s="1491" t="n"/>
      <c r="AZ343" s="1491" t="n"/>
      <c r="BA343" s="1491" t="n"/>
      <c r="BB343" s="1491" t="n"/>
      <c r="BC343" s="1491" t="n"/>
      <c r="BD343" s="1491" t="n"/>
      <c r="BE343" s="1491" t="n"/>
      <c r="BF343" s="1491" t="n"/>
      <c r="BG343" s="1491" t="n"/>
      <c r="BH343" s="1491" t="n"/>
      <c r="BI343" s="1491" t="n"/>
      <c r="BJ343" s="1491" t="n"/>
      <c r="BK343" s="1491" t="n"/>
      <c r="BL343" s="1491" t="n"/>
      <c r="BM343" s="1491" t="n"/>
      <c r="BN343" s="1491" t="n"/>
      <c r="BO343" s="1467" t="n"/>
      <c r="BP343" s="1514" t="n">
        <v>339</v>
      </c>
      <c r="BQ343" s="1513">
        <f>[1]Sheet1!C344</f>
        <v/>
      </c>
      <c r="BR343" s="1515">
        <f>[1]Sheet1!D344</f>
        <v/>
      </c>
      <c r="BS343" s="1513">
        <f>[1]Sheet1!E344</f>
        <v/>
      </c>
      <c r="BT343" s="1515">
        <f>[1]Sheet1!F344</f>
        <v/>
      </c>
      <c r="BU343" s="1516">
        <f>[1]Sheet1!G344</f>
        <v/>
      </c>
      <c r="BV343" s="1513">
        <f>[1]Sheet1!H344</f>
        <v/>
      </c>
      <c r="BW343" s="1467" t="n"/>
      <c r="BX343" s="1491" t="n"/>
      <c r="BY343" s="1491" t="n"/>
      <c r="BZ343" s="1491" t="n"/>
      <c r="CA343" s="1491" t="n"/>
      <c r="CB343" s="1467" t="n"/>
      <c r="CC343" s="1467" t="n"/>
      <c r="CD343" s="1491" t="n"/>
      <c r="CE343" s="1491" t="n"/>
      <c r="CF343" s="1491" t="n"/>
      <c r="CG343" s="1491" t="n"/>
      <c r="CH343" s="1491" t="n"/>
      <c r="CI343" s="1491" t="n"/>
      <c r="CJ343" s="1491" t="n"/>
      <c r="CK343" s="1491" t="n"/>
      <c r="CL343" s="1491" t="n"/>
      <c r="CM343" s="1491" t="n"/>
      <c r="CN343" s="1491" t="n"/>
      <c r="CO343" s="1491" t="n"/>
      <c r="CP343" s="1491" t="n"/>
      <c r="CQ343" s="1491" t="n"/>
      <c r="CR343" s="1491" t="n"/>
      <c r="CS343" s="1491" t="n"/>
      <c r="CT343" s="1491" t="n"/>
      <c r="CU343" s="1491" t="n"/>
      <c r="CV343" s="1491" t="n"/>
      <c r="CW343" s="1491" t="n"/>
      <c r="CX343" s="1491" t="n"/>
    </row>
    <row r="344">
      <c r="A344" s="1491" t="n"/>
      <c r="B344" s="1491" t="n"/>
      <c r="C344" s="1491" t="n"/>
      <c r="D344" s="1497">
        <f>IF(E344&lt;&gt;"",D343+1,D343)</f>
        <v/>
      </c>
      <c r="E344" s="1497" t="inlineStr">
        <is>
          <t>Vitry-le-François</t>
        </is>
      </c>
      <c r="F344" s="1535" t="inlineStr">
        <is>
          <t>.</t>
        </is>
      </c>
      <c r="G344" s="1498">
        <f>IF(H344="AIR",0,IF(H343="AIR",G342+1,IF(H344&lt;&gt;"",G343+1,G343)))</f>
        <v/>
      </c>
      <c r="H344" s="1498" t="inlineStr">
        <is>
          <t>Verzenay</t>
        </is>
      </c>
      <c r="I344" s="1427" t="inlineStr">
        <is>
          <t>.</t>
        </is>
      </c>
      <c r="J344" s="1499" t="n">
        <v>339</v>
      </c>
      <c r="K344" s="1500">
        <f>_xlfn.XLOOKUP(cities[[#This Row],[id]],$D$5:$D$1500,E$5:E$1500,"-")</f>
        <v/>
      </c>
      <c r="L344" s="1500">
        <f>_xlfn.XLOOKUP(cities[[#This Row],[city]],ccc[city],ccc[ctry],"-")</f>
        <v/>
      </c>
      <c r="M344" s="1500">
        <f>SUMIFS(stayCity[stay],stayCity[city],cities[[#This Row],[city]])</f>
        <v/>
      </c>
      <c r="N344" s="1427">
        <f>N343+1</f>
        <v/>
      </c>
      <c r="O344" s="1500" t="n"/>
      <c r="P344" s="1500" t="n"/>
      <c r="Q344" s="1427" t="inlineStr">
        <is>
          <t>.</t>
        </is>
      </c>
      <c r="R344" s="1491" t="n"/>
      <c r="S344" s="1491" t="n"/>
      <c r="T344" s="1491" t="n"/>
      <c r="U344" s="1491" t="n"/>
      <c r="V344" s="1491" t="n"/>
      <c r="W344" s="1491" t="n"/>
      <c r="X344" s="1491" t="n"/>
      <c r="Y344" s="1491" t="n"/>
      <c r="Z344" s="1491" t="n"/>
      <c r="AA344" s="1491" t="n"/>
      <c r="AB344" s="1491" t="n"/>
      <c r="AC344" s="1491" t="n"/>
      <c r="AD344" s="1491" t="n"/>
      <c r="AE344" s="1491" t="n"/>
      <c r="AF344" s="1491" t="n"/>
      <c r="AG344" s="1491" t="n"/>
      <c r="AH344" s="1491" t="n"/>
      <c r="AI344" s="1491" t="n"/>
      <c r="AJ344" s="1491" t="n"/>
      <c r="AK344" s="1491" t="n"/>
      <c r="AL344" s="1491" t="n"/>
      <c r="AM344" s="1491" t="n"/>
      <c r="AN344" s="1491" t="n"/>
      <c r="AO344" s="1491" t="n"/>
      <c r="AP344" s="1491" t="n"/>
      <c r="AQ344" s="1491" t="n"/>
      <c r="AR344" s="1491" t="n"/>
      <c r="AS344" s="1491" t="n"/>
      <c r="AT344" s="1491" t="n"/>
      <c r="AU344" s="1491" t="n"/>
      <c r="AV344" s="1491" t="n"/>
      <c r="AW344" s="1491" t="n"/>
      <c r="AX344" s="1491" t="n"/>
      <c r="AY344" s="1491" t="n"/>
      <c r="AZ344" s="1491" t="n"/>
      <c r="BA344" s="1491" t="n"/>
      <c r="BB344" s="1491" t="n"/>
      <c r="BC344" s="1491" t="n"/>
      <c r="BD344" s="1491" t="n"/>
      <c r="BE344" s="1491" t="n"/>
      <c r="BF344" s="1491" t="n"/>
      <c r="BG344" s="1491" t="n"/>
      <c r="BH344" s="1491" t="n"/>
      <c r="BI344" s="1491" t="n"/>
      <c r="BJ344" s="1491" t="n"/>
      <c r="BK344" s="1491" t="n"/>
      <c r="BL344" s="1491" t="n"/>
      <c r="BM344" s="1491" t="n"/>
      <c r="BN344" s="1491" t="n"/>
      <c r="BO344" s="1467" t="n"/>
      <c r="BP344" s="1514" t="n">
        <v>340</v>
      </c>
      <c r="BQ344" s="1513">
        <f>[1]Sheet1!C345</f>
        <v/>
      </c>
      <c r="BR344" s="1515">
        <f>[1]Sheet1!D345</f>
        <v/>
      </c>
      <c r="BS344" s="1513">
        <f>[1]Sheet1!E345</f>
        <v/>
      </c>
      <c r="BT344" s="1515">
        <f>[1]Sheet1!F345</f>
        <v/>
      </c>
      <c r="BU344" s="1516">
        <f>[1]Sheet1!G345</f>
        <v/>
      </c>
      <c r="BV344" s="1513">
        <f>[1]Sheet1!H345</f>
        <v/>
      </c>
      <c r="BW344" s="1467" t="n"/>
      <c r="BX344" s="1491" t="n"/>
      <c r="BY344" s="1491" t="n"/>
      <c r="BZ344" s="1491" t="n"/>
      <c r="CA344" s="1491" t="n"/>
      <c r="CB344" s="1467" t="n"/>
      <c r="CC344" s="1467" t="n"/>
      <c r="CD344" s="1491" t="n"/>
      <c r="CE344" s="1491" t="n"/>
      <c r="CF344" s="1491" t="n"/>
      <c r="CG344" s="1491" t="n"/>
      <c r="CH344" s="1491" t="n"/>
      <c r="CI344" s="1491" t="n"/>
      <c r="CJ344" s="1491" t="n"/>
      <c r="CK344" s="1491" t="n"/>
      <c r="CL344" s="1491" t="n"/>
      <c r="CM344" s="1491" t="n"/>
      <c r="CN344" s="1491" t="n"/>
      <c r="CO344" s="1491" t="n"/>
      <c r="CP344" s="1491" t="n"/>
      <c r="CQ344" s="1491" t="n"/>
      <c r="CR344" s="1491" t="n"/>
      <c r="CS344" s="1491" t="n"/>
      <c r="CT344" s="1491" t="n"/>
      <c r="CU344" s="1491" t="n"/>
      <c r="CV344" s="1491" t="n"/>
      <c r="CW344" s="1491" t="n"/>
      <c r="CX344" s="1491" t="n"/>
    </row>
    <row r="345">
      <c r="A345" s="1491" t="n"/>
      <c r="B345" s="1491" t="n"/>
      <c r="C345" s="1491" t="n"/>
      <c r="D345" s="1497">
        <f>IF(E345&lt;&gt;"",D344+1,D344)</f>
        <v/>
      </c>
      <c r="E345" s="1497" t="inlineStr">
        <is>
          <t>Saint Dizier</t>
        </is>
      </c>
      <c r="F345" s="1535" t="inlineStr">
        <is>
          <t>.</t>
        </is>
      </c>
      <c r="G345" s="1498">
        <f>IF(H345="AIR",0,IF(H344="AIR",G343+1,IF(H345&lt;&gt;"",G344+1,G344)))</f>
        <v/>
      </c>
      <c r="H345" s="1498" t="inlineStr">
        <is>
          <t>Verzy</t>
        </is>
      </c>
      <c r="I345" s="1427" t="inlineStr">
        <is>
          <t>.</t>
        </is>
      </c>
      <c r="J345" s="1499" t="n">
        <v>340</v>
      </c>
      <c r="K345" s="1500">
        <f>_xlfn.XLOOKUP(cities[[#This Row],[id]],$D$5:$D$1500,E$5:E$1500,"-")</f>
        <v/>
      </c>
      <c r="L345" s="1500">
        <f>_xlfn.XLOOKUP(cities[[#This Row],[city]],ccc[city],ccc[ctry],"-")</f>
        <v/>
      </c>
      <c r="M345" s="1500">
        <f>SUMIFS(stayCity[stay],stayCity[city],cities[[#This Row],[city]])</f>
        <v/>
      </c>
      <c r="N345" s="1427">
        <f>N344+1</f>
        <v/>
      </c>
      <c r="O345" s="1500" t="n"/>
      <c r="P345" s="1500" t="n"/>
      <c r="Q345" s="1427" t="inlineStr">
        <is>
          <t>.</t>
        </is>
      </c>
      <c r="R345" s="1491" t="n"/>
      <c r="S345" s="1491" t="n"/>
      <c r="T345" s="1491" t="n"/>
      <c r="U345" s="1491" t="n"/>
      <c r="V345" s="1491" t="n"/>
      <c r="W345" s="1491" t="n"/>
      <c r="X345" s="1491" t="n"/>
      <c r="Y345" s="1491" t="n"/>
      <c r="Z345" s="1491" t="n"/>
      <c r="AA345" s="1491" t="n"/>
      <c r="AB345" s="1491" t="n"/>
      <c r="AC345" s="1491" t="n"/>
      <c r="AD345" s="1491" t="n"/>
      <c r="AE345" s="1491" t="n"/>
      <c r="AF345" s="1491" t="n"/>
      <c r="AG345" s="1491" t="n"/>
      <c r="AH345" s="1491" t="n"/>
      <c r="AI345" s="1491" t="n"/>
      <c r="AJ345" s="1491" t="n"/>
      <c r="AK345" s="1491" t="n"/>
      <c r="AL345" s="1491" t="n"/>
      <c r="AM345" s="1491" t="n"/>
      <c r="AN345" s="1491" t="n"/>
      <c r="AO345" s="1491" t="n"/>
      <c r="AP345" s="1491" t="n"/>
      <c r="AQ345" s="1491" t="n"/>
      <c r="AR345" s="1491" t="n"/>
      <c r="AS345" s="1491" t="n"/>
      <c r="AT345" s="1491" t="n"/>
      <c r="AU345" s="1491" t="n"/>
      <c r="AV345" s="1491" t="n"/>
      <c r="AW345" s="1491" t="n"/>
      <c r="AX345" s="1491" t="n"/>
      <c r="AY345" s="1491" t="n"/>
      <c r="AZ345" s="1491" t="n"/>
      <c r="BA345" s="1491" t="n"/>
      <c r="BB345" s="1491" t="n"/>
      <c r="BC345" s="1491" t="n"/>
      <c r="BD345" s="1491" t="n"/>
      <c r="BE345" s="1491" t="n"/>
      <c r="BF345" s="1491" t="n"/>
      <c r="BG345" s="1491" t="n"/>
      <c r="BH345" s="1491" t="n"/>
      <c r="BI345" s="1491" t="n"/>
      <c r="BJ345" s="1491" t="n"/>
      <c r="BK345" s="1491" t="n"/>
      <c r="BL345" s="1491" t="n"/>
      <c r="BM345" s="1491" t="n"/>
      <c r="BN345" s="1491" t="n"/>
      <c r="BO345" s="1467" t="n"/>
      <c r="BP345" s="1514" t="n">
        <v>341</v>
      </c>
      <c r="BQ345" s="1513">
        <f>[1]Sheet1!C346</f>
        <v/>
      </c>
      <c r="BR345" s="1515">
        <f>[1]Sheet1!D346</f>
        <v/>
      </c>
      <c r="BS345" s="1513">
        <f>[1]Sheet1!E346</f>
        <v/>
      </c>
      <c r="BT345" s="1515">
        <f>[1]Sheet1!F346</f>
        <v/>
      </c>
      <c r="BU345" s="1516">
        <f>[1]Sheet1!G346</f>
        <v/>
      </c>
      <c r="BV345" s="1513">
        <f>[1]Sheet1!H346</f>
        <v/>
      </c>
      <c r="BW345" s="1467" t="n"/>
      <c r="BX345" s="1491" t="n"/>
      <c r="BY345" s="1491" t="n"/>
      <c r="BZ345" s="1491" t="n"/>
      <c r="CA345" s="1491" t="n"/>
      <c r="CB345" s="1467" t="n"/>
      <c r="CC345" s="1467" t="n"/>
      <c r="CD345" s="1491" t="n"/>
      <c r="CE345" s="1491" t="n"/>
      <c r="CF345" s="1491" t="n"/>
      <c r="CG345" s="1491" t="n"/>
      <c r="CH345" s="1491" t="n"/>
      <c r="CI345" s="1491" t="n"/>
      <c r="CJ345" s="1491" t="n"/>
      <c r="CK345" s="1491" t="n"/>
      <c r="CL345" s="1491" t="n"/>
      <c r="CM345" s="1491" t="n"/>
      <c r="CN345" s="1491" t="n"/>
      <c r="CO345" s="1491" t="n"/>
      <c r="CP345" s="1491" t="n"/>
      <c r="CQ345" s="1491" t="n"/>
      <c r="CR345" s="1491" t="n"/>
      <c r="CS345" s="1491" t="n"/>
      <c r="CT345" s="1491" t="n"/>
      <c r="CU345" s="1491" t="n"/>
      <c r="CV345" s="1491" t="n"/>
      <c r="CW345" s="1491" t="n"/>
      <c r="CX345" s="1491" t="n"/>
    </row>
    <row r="346">
      <c r="A346" s="1491" t="n"/>
      <c r="B346" s="1491" t="n"/>
      <c r="C346" s="1491" t="n"/>
      <c r="D346" s="1497">
        <f>IF(E346&lt;&gt;"",D345+1,D345)</f>
        <v/>
      </c>
      <c r="E346" s="1497" t="inlineStr">
        <is>
          <t>Joinville</t>
        </is>
      </c>
      <c r="F346" s="1535" t="inlineStr">
        <is>
          <t>.</t>
        </is>
      </c>
      <c r="G346" s="1498">
        <f>IF(H346="AIR",0,IF(H345="AIR",G344+1,IF(H346&lt;&gt;"",G345+1,G345)))</f>
        <v/>
      </c>
      <c r="H346" s="1498" t="inlineStr">
        <is>
          <t>Trepail</t>
        </is>
      </c>
      <c r="I346" s="1427" t="inlineStr">
        <is>
          <t>.</t>
        </is>
      </c>
      <c r="J346" s="1499" t="n">
        <v>341</v>
      </c>
      <c r="K346" s="1500">
        <f>_xlfn.XLOOKUP(cities[[#This Row],[id]],$D$5:$D$1500,E$5:E$1500,"-")</f>
        <v/>
      </c>
      <c r="L346" s="1500">
        <f>_xlfn.XLOOKUP(cities[[#This Row],[city]],ccc[city],ccc[ctry],"-")</f>
        <v/>
      </c>
      <c r="M346" s="1500">
        <f>SUMIFS(stayCity[stay],stayCity[city],cities[[#This Row],[city]])</f>
        <v/>
      </c>
      <c r="N346" s="1427">
        <f>N345+1</f>
        <v/>
      </c>
      <c r="O346" s="1500" t="n"/>
      <c r="P346" s="1500" t="n"/>
      <c r="Q346" s="1427" t="inlineStr">
        <is>
          <t>.</t>
        </is>
      </c>
      <c r="R346" s="1491" t="n"/>
      <c r="S346" s="1491" t="n"/>
      <c r="T346" s="1491" t="n"/>
      <c r="U346" s="1491" t="n"/>
      <c r="V346" s="1491" t="n"/>
      <c r="W346" s="1491" t="n"/>
      <c r="X346" s="1491" t="n"/>
      <c r="Y346" s="1491" t="n"/>
      <c r="Z346" s="1491" t="n"/>
      <c r="AA346" s="1491" t="n"/>
      <c r="AB346" s="1491" t="n"/>
      <c r="AC346" s="1491" t="n"/>
      <c r="AD346" s="1491" t="n"/>
      <c r="AE346" s="1491" t="n"/>
      <c r="AF346" s="1491" t="n"/>
      <c r="AG346" s="1491" t="n"/>
      <c r="AH346" s="1491" t="n"/>
      <c r="AI346" s="1491" t="n"/>
      <c r="AJ346" s="1491" t="n"/>
      <c r="AK346" s="1491" t="n"/>
      <c r="AL346" s="1491" t="n"/>
      <c r="AM346" s="1491" t="n"/>
      <c r="AN346" s="1491" t="n"/>
      <c r="AO346" s="1491" t="n"/>
      <c r="AP346" s="1491" t="n"/>
      <c r="AQ346" s="1491" t="n"/>
      <c r="AR346" s="1491" t="n"/>
      <c r="AS346" s="1491" t="n"/>
      <c r="AT346" s="1491" t="n"/>
      <c r="AU346" s="1491" t="n"/>
      <c r="AV346" s="1491" t="n"/>
      <c r="AW346" s="1491" t="n"/>
      <c r="AX346" s="1491" t="n"/>
      <c r="AY346" s="1491" t="n"/>
      <c r="AZ346" s="1491" t="n"/>
      <c r="BA346" s="1491" t="n"/>
      <c r="BB346" s="1491" t="n"/>
      <c r="BC346" s="1491" t="n"/>
      <c r="BD346" s="1491" t="n"/>
      <c r="BE346" s="1491" t="n"/>
      <c r="BF346" s="1491" t="n"/>
      <c r="BG346" s="1491" t="n"/>
      <c r="BH346" s="1491" t="n"/>
      <c r="BI346" s="1491" t="n"/>
      <c r="BJ346" s="1491" t="n"/>
      <c r="BK346" s="1491" t="n"/>
      <c r="BL346" s="1491" t="n"/>
      <c r="BM346" s="1491" t="n"/>
      <c r="BN346" s="1491" t="n"/>
      <c r="BO346" s="1467" t="n"/>
      <c r="BP346" s="1514" t="n">
        <v>342</v>
      </c>
      <c r="BQ346" s="1513">
        <f>[1]Sheet1!C347</f>
        <v/>
      </c>
      <c r="BR346" s="1515">
        <f>[1]Sheet1!D347</f>
        <v/>
      </c>
      <c r="BS346" s="1513">
        <f>[1]Sheet1!E347</f>
        <v/>
      </c>
      <c r="BT346" s="1515">
        <f>[1]Sheet1!F347</f>
        <v/>
      </c>
      <c r="BU346" s="1516">
        <f>[1]Sheet1!G347</f>
        <v/>
      </c>
      <c r="BV346" s="1513">
        <f>[1]Sheet1!H347</f>
        <v/>
      </c>
      <c r="BW346" s="1467" t="n"/>
      <c r="BX346" s="1491" t="n"/>
      <c r="BY346" s="1491" t="n"/>
      <c r="BZ346" s="1491" t="n"/>
      <c r="CA346" s="1491" t="n"/>
      <c r="CB346" s="1467" t="n"/>
      <c r="CC346" s="1467" t="n"/>
      <c r="CD346" s="1491" t="n"/>
      <c r="CE346" s="1491" t="n"/>
      <c r="CF346" s="1491" t="n"/>
      <c r="CG346" s="1491" t="n"/>
      <c r="CH346" s="1491" t="n"/>
      <c r="CI346" s="1491" t="n"/>
      <c r="CJ346" s="1491" t="n"/>
      <c r="CK346" s="1491" t="n"/>
      <c r="CL346" s="1491" t="n"/>
      <c r="CM346" s="1491" t="n"/>
      <c r="CN346" s="1491" t="n"/>
      <c r="CO346" s="1491" t="n"/>
      <c r="CP346" s="1491" t="n"/>
      <c r="CQ346" s="1491" t="n"/>
      <c r="CR346" s="1491" t="n"/>
      <c r="CS346" s="1491" t="n"/>
      <c r="CT346" s="1491" t="n"/>
      <c r="CU346" s="1491" t="n"/>
      <c r="CV346" s="1491" t="n"/>
      <c r="CW346" s="1491" t="n"/>
      <c r="CX346" s="1491" t="n"/>
    </row>
    <row r="347" ht="18" customHeight="1">
      <c r="A347" s="1491" t="n"/>
      <c r="B347" s="1491" t="n"/>
      <c r="C347" s="1491" t="n"/>
      <c r="D347" s="1497">
        <f>IF(E347&lt;&gt;"",D346+1,D346)</f>
        <v/>
      </c>
      <c r="E347" s="1497" t="inlineStr">
        <is>
          <t>Chaumont</t>
        </is>
      </c>
      <c r="F347" s="1535" t="inlineStr">
        <is>
          <t>.</t>
        </is>
      </c>
      <c r="G347" s="1498">
        <f>IF(H347="AIR",0,IF(H346="AIR",G345+1,IF(H347&lt;&gt;"",G346+1,G346)))</f>
        <v/>
      </c>
      <c r="H347" s="1498" t="inlineStr">
        <is>
          <t>Ambonay</t>
        </is>
      </c>
      <c r="I347" s="1427" t="inlineStr">
        <is>
          <t>.</t>
        </is>
      </c>
      <c r="J347" s="1499" t="n">
        <v>342</v>
      </c>
      <c r="K347" s="1500">
        <f>_xlfn.XLOOKUP(cities[[#This Row],[id]],$D$5:$D$1500,E$5:E$1500,"-")</f>
        <v/>
      </c>
      <c r="L347" s="1500">
        <f>_xlfn.XLOOKUP(cities[[#This Row],[city]],ccc[city],ccc[ctry],"-")</f>
        <v/>
      </c>
      <c r="M347" s="1500">
        <f>SUMIFS(stayCity[stay],stayCity[city],cities[[#This Row],[city]])</f>
        <v/>
      </c>
      <c r="N347" s="1427">
        <f>N346+1</f>
        <v/>
      </c>
      <c r="O347" s="1500" t="n"/>
      <c r="P347" s="1500" t="n"/>
      <c r="Q347" s="1427" t="inlineStr">
        <is>
          <t>.</t>
        </is>
      </c>
      <c r="R347" s="1491" t="n"/>
      <c r="S347" s="1491" t="n"/>
      <c r="T347" s="1491" t="n"/>
      <c r="U347" s="1491" t="n"/>
      <c r="V347" s="1491" t="n"/>
      <c r="W347" s="1491" t="n"/>
      <c r="X347" s="1491" t="n"/>
      <c r="Y347" s="1491" t="n"/>
      <c r="Z347" s="1491" t="n"/>
      <c r="AA347" s="1491" t="n"/>
      <c r="AB347" s="1491" t="n"/>
      <c r="AC347" s="1491" t="n"/>
      <c r="AD347" s="1491" t="n"/>
      <c r="AE347" s="1491" t="n"/>
      <c r="AF347" s="1491" t="n"/>
      <c r="AG347" s="1491" t="n"/>
      <c r="AH347" s="1491" t="n"/>
      <c r="AI347" s="1491" t="n"/>
      <c r="AJ347" s="1491" t="n"/>
      <c r="AK347" s="1491" t="n"/>
      <c r="AL347" s="1491" t="n"/>
      <c r="AM347" s="1491" t="n"/>
      <c r="AN347" s="1491" t="n"/>
      <c r="AO347" s="1491" t="n"/>
      <c r="AP347" s="1491" t="n"/>
      <c r="AQ347" s="1491" t="n"/>
      <c r="AR347" s="1491" t="n"/>
      <c r="AS347" s="1491" t="n"/>
      <c r="AT347" s="1491" t="n"/>
      <c r="AU347" s="1491" t="n"/>
      <c r="AV347" s="1491" t="n"/>
      <c r="AW347" s="1491" t="n"/>
      <c r="AX347" s="1491" t="n"/>
      <c r="AY347" s="1491" t="n"/>
      <c r="AZ347" s="1491" t="n"/>
      <c r="BA347" s="1491" t="n"/>
      <c r="BB347" s="1491" t="n"/>
      <c r="BC347" s="1491" t="n"/>
      <c r="BD347" s="1491" t="n"/>
      <c r="BE347" s="1491" t="n"/>
      <c r="BF347" s="1491" t="n"/>
      <c r="BG347" s="1491" t="n"/>
      <c r="BH347" s="1491" t="n"/>
      <c r="BI347" s="1491" t="n"/>
      <c r="BJ347" s="1491" t="n"/>
      <c r="BK347" s="1491" t="n"/>
      <c r="BL347" s="1491" t="n"/>
      <c r="BM347" s="1491" t="n"/>
      <c r="BN347" s="1491" t="n"/>
      <c r="BO347" s="1467" t="n"/>
      <c r="BP347" s="1514" t="n">
        <v>343</v>
      </c>
      <c r="BQ347" s="1513">
        <f>[1]Sheet1!C348</f>
        <v/>
      </c>
      <c r="BR347" s="1515">
        <f>[1]Sheet1!D348</f>
        <v/>
      </c>
      <c r="BS347" s="1513">
        <f>[1]Sheet1!E348</f>
        <v/>
      </c>
      <c r="BT347" s="1515">
        <f>[1]Sheet1!F348</f>
        <v/>
      </c>
      <c r="BU347" s="1516">
        <f>[1]Sheet1!G348</f>
        <v/>
      </c>
      <c r="BV347" s="1513">
        <f>[1]Sheet1!H348</f>
        <v/>
      </c>
      <c r="BW347" s="1467" t="n"/>
      <c r="BX347" s="1491" t="n"/>
      <c r="BY347" s="1491" t="n"/>
      <c r="BZ347" s="1543" t="n"/>
      <c r="CA347" s="1491" t="n"/>
      <c r="CB347" s="1467" t="n"/>
      <c r="CC347" s="1467" t="n"/>
      <c r="CD347" s="1491" t="n"/>
      <c r="CE347" s="1491" t="n"/>
      <c r="CF347" s="1491" t="n"/>
      <c r="CG347" s="1491" t="n"/>
      <c r="CH347" s="1491" t="n"/>
      <c r="CI347" s="1491" t="n"/>
      <c r="CJ347" s="1491" t="n"/>
      <c r="CK347" s="1491" t="n"/>
      <c r="CL347" s="1491" t="n"/>
      <c r="CM347" s="1491" t="n"/>
      <c r="CN347" s="1491" t="n"/>
      <c r="CO347" s="1491" t="n"/>
      <c r="CP347" s="1491" t="n"/>
      <c r="CQ347" s="1491" t="n"/>
      <c r="CR347" s="1491" t="n"/>
      <c r="CS347" s="1491" t="n"/>
      <c r="CT347" s="1491" t="n"/>
      <c r="CU347" s="1491" t="n"/>
      <c r="CV347" s="1491" t="n"/>
      <c r="CW347" s="1491" t="n"/>
      <c r="CX347" s="1491" t="n"/>
    </row>
    <row r="348" ht="18" customHeight="1">
      <c r="A348" s="1491" t="n"/>
      <c r="B348" s="1491" t="n"/>
      <c r="C348" s="1491" t="n"/>
      <c r="D348" s="1497">
        <f>IF(E348&lt;&gt;"",D347+1,D347)</f>
        <v/>
      </c>
      <c r="E348" s="1497" t="inlineStr">
        <is>
          <t>Rolamport</t>
        </is>
      </c>
      <c r="F348" s="1535" t="inlineStr">
        <is>
          <t>.</t>
        </is>
      </c>
      <c r="G348" s="1498">
        <f>IF(H348="AIR",0,IF(H347="AIR",G346+1,IF(H348&lt;&gt;"",G347+1,G347)))</f>
        <v/>
      </c>
      <c r="H348" s="1498" t="inlineStr">
        <is>
          <t>Conde-sur-Marne</t>
        </is>
      </c>
      <c r="I348" s="1427" t="inlineStr">
        <is>
          <t>.</t>
        </is>
      </c>
      <c r="J348" s="1499" t="n">
        <v>343</v>
      </c>
      <c r="K348" s="1500">
        <f>_xlfn.XLOOKUP(cities[[#This Row],[id]],$D$5:$D$1500,E$5:E$1500,"-")</f>
        <v/>
      </c>
      <c r="L348" s="1500">
        <f>_xlfn.XLOOKUP(cities[[#This Row],[city]],ccc[city],ccc[ctry],"-")</f>
        <v/>
      </c>
      <c r="M348" s="1500">
        <f>SUMIFS(stayCity[stay],stayCity[city],cities[[#This Row],[city]])</f>
        <v/>
      </c>
      <c r="N348" s="1427">
        <f>N347+1</f>
        <v/>
      </c>
      <c r="O348" s="1500" t="n"/>
      <c r="P348" s="1500" t="n"/>
      <c r="Q348" s="1427" t="inlineStr">
        <is>
          <t>.</t>
        </is>
      </c>
      <c r="R348" s="1491" t="n"/>
      <c r="S348" s="1491" t="n"/>
      <c r="T348" s="1491" t="n"/>
      <c r="U348" s="1491" t="n"/>
      <c r="V348" s="1491" t="n"/>
      <c r="W348" s="1491" t="n"/>
      <c r="X348" s="1491" t="n"/>
      <c r="Y348" s="1491" t="n"/>
      <c r="Z348" s="1491" t="n"/>
      <c r="AA348" s="1491" t="n"/>
      <c r="AB348" s="1491" t="n"/>
      <c r="AC348" s="1491" t="n"/>
      <c r="AD348" s="1491" t="n"/>
      <c r="AE348" s="1491" t="n"/>
      <c r="AF348" s="1491" t="n"/>
      <c r="AG348" s="1491" t="n"/>
      <c r="AH348" s="1491" t="n"/>
      <c r="AI348" s="1491" t="n"/>
      <c r="AJ348" s="1491" t="n"/>
      <c r="AK348" s="1491" t="n"/>
      <c r="AL348" s="1491" t="n"/>
      <c r="AM348" s="1491" t="n"/>
      <c r="AN348" s="1491" t="n"/>
      <c r="AO348" s="1491" t="n"/>
      <c r="AP348" s="1491" t="n"/>
      <c r="AQ348" s="1491" t="n"/>
      <c r="AR348" s="1491" t="n"/>
      <c r="AS348" s="1491" t="n"/>
      <c r="AT348" s="1491" t="n"/>
      <c r="AU348" s="1491" t="n"/>
      <c r="AV348" s="1491" t="n"/>
      <c r="AW348" s="1491" t="n"/>
      <c r="AX348" s="1491" t="n"/>
      <c r="AY348" s="1491" t="n"/>
      <c r="AZ348" s="1491" t="n"/>
      <c r="BA348" s="1491" t="n"/>
      <c r="BB348" s="1491" t="n"/>
      <c r="BC348" s="1491" t="n"/>
      <c r="BD348" s="1491" t="n"/>
      <c r="BE348" s="1491" t="n"/>
      <c r="BF348" s="1491" t="n"/>
      <c r="BG348" s="1491" t="n"/>
      <c r="BH348" s="1491" t="n"/>
      <c r="BI348" s="1491" t="n"/>
      <c r="BJ348" s="1491" t="n"/>
      <c r="BK348" s="1491" t="n"/>
      <c r="BL348" s="1491" t="n"/>
      <c r="BM348" s="1491" t="n"/>
      <c r="BN348" s="1491" t="n"/>
      <c r="BO348" s="1467" t="n"/>
      <c r="BP348" s="1514" t="n">
        <v>344</v>
      </c>
      <c r="BQ348" s="1513">
        <f>[1]Sheet1!C349</f>
        <v/>
      </c>
      <c r="BR348" s="1515">
        <f>[1]Sheet1!D349</f>
        <v/>
      </c>
      <c r="BS348" s="1513">
        <f>[1]Sheet1!E349</f>
        <v/>
      </c>
      <c r="BT348" s="1515">
        <f>[1]Sheet1!F349</f>
        <v/>
      </c>
      <c r="BU348" s="1516">
        <f>[1]Sheet1!G349</f>
        <v/>
      </c>
      <c r="BV348" s="1513">
        <f>[1]Sheet1!H349</f>
        <v/>
      </c>
      <c r="BW348" s="1467" t="n"/>
      <c r="BX348" s="1491" t="n"/>
      <c r="BY348" s="1491" t="n"/>
      <c r="BZ348" s="1543" t="n"/>
      <c r="CA348" s="1491" t="n"/>
      <c r="CB348" s="1467" t="n"/>
      <c r="CC348" s="1467" t="n"/>
      <c r="CD348" s="1491" t="n"/>
      <c r="CE348" s="1491" t="n"/>
      <c r="CF348" s="1491" t="n"/>
      <c r="CG348" s="1491" t="n"/>
      <c r="CH348" s="1491" t="n"/>
      <c r="CI348" s="1491" t="n"/>
      <c r="CJ348" s="1491" t="n"/>
      <c r="CK348" s="1491" t="n"/>
      <c r="CL348" s="1491" t="n"/>
      <c r="CM348" s="1491" t="n"/>
      <c r="CN348" s="1491" t="n"/>
      <c r="CO348" s="1491" t="n"/>
      <c r="CP348" s="1491" t="n"/>
      <c r="CQ348" s="1491" t="n"/>
      <c r="CR348" s="1491" t="n"/>
      <c r="CS348" s="1491" t="n"/>
      <c r="CT348" s="1491" t="n"/>
      <c r="CU348" s="1491" t="n"/>
      <c r="CV348" s="1491" t="n"/>
      <c r="CW348" s="1491" t="n"/>
      <c r="CX348" s="1491" t="n"/>
    </row>
    <row r="349">
      <c r="A349" s="1491" t="n"/>
      <c r="B349" s="1491" t="n"/>
      <c r="C349" s="1491" t="n"/>
      <c r="D349" s="1497">
        <f>IF(E349&lt;&gt;"",D348+1,D348)</f>
        <v/>
      </c>
      <c r="E349" s="1497" t="inlineStr">
        <is>
          <t>Langres</t>
        </is>
      </c>
      <c r="F349" s="1535" t="inlineStr">
        <is>
          <t>.</t>
        </is>
      </c>
      <c r="G349" s="1498">
        <f>IF(H349="AIR",0,IF(H348="AIR",G347+1,IF(H349&lt;&gt;"",G348+1,G348)))</f>
        <v/>
      </c>
      <c r="H349" s="1498" t="inlineStr">
        <is>
          <t>Recy</t>
        </is>
      </c>
      <c r="I349" s="1427" t="inlineStr">
        <is>
          <t>.</t>
        </is>
      </c>
      <c r="J349" s="1499" t="n">
        <v>344</v>
      </c>
      <c r="K349" s="1500">
        <f>_xlfn.XLOOKUP(cities[[#This Row],[id]],$D$5:$D$1500,E$5:E$1500,"-")</f>
        <v/>
      </c>
      <c r="L349" s="1500">
        <f>_xlfn.XLOOKUP(cities[[#This Row],[city]],ccc[city],ccc[ctry],"-")</f>
        <v/>
      </c>
      <c r="M349" s="1500">
        <f>SUMIFS(stayCity[stay],stayCity[city],cities[[#This Row],[city]])</f>
        <v/>
      </c>
      <c r="N349" s="1427">
        <f>N348+1</f>
        <v/>
      </c>
      <c r="O349" s="1500" t="n"/>
      <c r="P349" s="1500" t="n"/>
      <c r="Q349" s="1427" t="inlineStr">
        <is>
          <t>.</t>
        </is>
      </c>
      <c r="R349" s="1491" t="n"/>
      <c r="S349" s="1491" t="n"/>
      <c r="T349" s="1491" t="n"/>
      <c r="U349" s="1491" t="n"/>
      <c r="V349" s="1491" t="n"/>
      <c r="W349" s="1491" t="n"/>
      <c r="X349" s="1491" t="n"/>
      <c r="Y349" s="1491" t="n"/>
      <c r="Z349" s="1491" t="n"/>
      <c r="AA349" s="1491" t="n"/>
      <c r="AB349" s="1491" t="n"/>
      <c r="AC349" s="1491" t="n"/>
      <c r="AD349" s="1491" t="n"/>
      <c r="AE349" s="1491" t="n"/>
      <c r="AF349" s="1491" t="n"/>
      <c r="AG349" s="1491" t="n"/>
      <c r="AH349" s="1491" t="n"/>
      <c r="AI349" s="1491" t="n"/>
      <c r="AJ349" s="1491" t="n"/>
      <c r="AK349" s="1491" t="n"/>
      <c r="AL349" s="1491" t="n"/>
      <c r="AM349" s="1491" t="n"/>
      <c r="AN349" s="1491" t="n"/>
      <c r="AO349" s="1491" t="n"/>
      <c r="AP349" s="1491" t="n"/>
      <c r="AQ349" s="1491" t="n"/>
      <c r="AR349" s="1491" t="n"/>
      <c r="AS349" s="1491" t="n"/>
      <c r="AT349" s="1491" t="n"/>
      <c r="AU349" s="1491" t="n"/>
      <c r="AV349" s="1491" t="n"/>
      <c r="AW349" s="1491" t="n"/>
      <c r="AX349" s="1491" t="n"/>
      <c r="AY349" s="1491" t="n"/>
      <c r="AZ349" s="1491" t="n"/>
      <c r="BA349" s="1491" t="n"/>
      <c r="BB349" s="1491" t="n"/>
      <c r="BC349" s="1491" t="n"/>
      <c r="BD349" s="1491" t="n"/>
      <c r="BE349" s="1491" t="n"/>
      <c r="BF349" s="1491" t="n"/>
      <c r="BG349" s="1491" t="n"/>
      <c r="BH349" s="1491" t="n"/>
      <c r="BI349" s="1491" t="n"/>
      <c r="BJ349" s="1491" t="n"/>
      <c r="BK349" s="1491" t="n"/>
      <c r="BL349" s="1491" t="n"/>
      <c r="BM349" s="1491" t="n"/>
      <c r="BN349" s="1491" t="n"/>
      <c r="BO349" s="1467" t="n"/>
      <c r="BP349" s="1514" t="n">
        <v>345</v>
      </c>
      <c r="BQ349" s="1513">
        <f>[1]Sheet1!C350</f>
        <v/>
      </c>
      <c r="BR349" s="1515">
        <f>[1]Sheet1!D350</f>
        <v/>
      </c>
      <c r="BS349" s="1513">
        <f>[1]Sheet1!E350</f>
        <v/>
      </c>
      <c r="BT349" s="1515">
        <f>[1]Sheet1!F350</f>
        <v/>
      </c>
      <c r="BU349" s="1516">
        <f>[1]Sheet1!G350</f>
        <v/>
      </c>
      <c r="BV349" s="1513">
        <f>[1]Sheet1!H350</f>
        <v/>
      </c>
      <c r="BW349" s="1467" t="n"/>
      <c r="BX349" s="1491" t="n"/>
      <c r="BY349" s="1491" t="n"/>
      <c r="BZ349" s="1491" t="n"/>
      <c r="CA349" s="1491" t="n"/>
      <c r="CB349" s="1467" t="n"/>
      <c r="CC349" s="1467" t="n"/>
      <c r="CD349" s="1491" t="n"/>
      <c r="CE349" s="1491" t="n"/>
      <c r="CF349" s="1491" t="n"/>
      <c r="CG349" s="1491" t="n"/>
      <c r="CH349" s="1491" t="n"/>
      <c r="CI349" s="1491" t="n"/>
      <c r="CJ349" s="1491" t="n"/>
      <c r="CK349" s="1491" t="n"/>
      <c r="CL349" s="1491" t="n"/>
      <c r="CM349" s="1491" t="n"/>
      <c r="CN349" s="1491" t="n"/>
      <c r="CO349" s="1491" t="n"/>
      <c r="CP349" s="1491" t="n"/>
      <c r="CQ349" s="1491" t="n"/>
      <c r="CR349" s="1491" t="n"/>
      <c r="CS349" s="1491" t="n"/>
      <c r="CT349" s="1491" t="n"/>
      <c r="CU349" s="1491" t="n"/>
      <c r="CV349" s="1491" t="n"/>
      <c r="CW349" s="1491" t="n"/>
      <c r="CX349" s="1491" t="n"/>
    </row>
    <row r="350">
      <c r="A350" s="1491" t="n"/>
      <c r="B350" s="1491" t="n"/>
      <c r="C350" s="1491" t="n"/>
      <c r="D350" s="1497">
        <f>IF(E350&lt;&gt;"",D349+1,D349)</f>
        <v/>
      </c>
      <c r="E350" s="1497" t="inlineStr">
        <is>
          <t>Les Archots</t>
        </is>
      </c>
      <c r="F350" s="1535" t="inlineStr">
        <is>
          <t>.</t>
        </is>
      </c>
      <c r="G350" s="1498">
        <f>IF(H350="AIR",0,IF(H349="AIR",G348+1,IF(H350&lt;&gt;"",G349+1,G349)))</f>
        <v/>
      </c>
      <c r="H350" s="1498" t="inlineStr">
        <is>
          <t>Chalons-en-Champagne</t>
        </is>
      </c>
      <c r="I350" s="1427" t="inlineStr">
        <is>
          <t>.</t>
        </is>
      </c>
      <c r="J350" s="1499" t="n">
        <v>345</v>
      </c>
      <c r="K350" s="1500">
        <f>_xlfn.XLOOKUP(cities[[#This Row],[id]],$D$5:$D$1500,E$5:E$1500,"-")</f>
        <v/>
      </c>
      <c r="L350" s="1500">
        <f>_xlfn.XLOOKUP(cities[[#This Row],[city]],ccc[city],ccc[ctry],"-")</f>
        <v/>
      </c>
      <c r="M350" s="1500">
        <f>SUMIFS(stayCity[stay],stayCity[city],cities[[#This Row],[city]])</f>
        <v/>
      </c>
      <c r="N350" s="1427">
        <f>N349+1</f>
        <v/>
      </c>
      <c r="O350" s="1500" t="n"/>
      <c r="P350" s="1500" t="n"/>
      <c r="Q350" s="1427" t="inlineStr">
        <is>
          <t>.</t>
        </is>
      </c>
      <c r="R350" s="1491" t="n"/>
      <c r="S350" s="1491" t="n"/>
      <c r="T350" s="1491" t="n"/>
      <c r="U350" s="1491" t="n"/>
      <c r="V350" s="1491" t="n"/>
      <c r="W350" s="1491" t="n"/>
      <c r="X350" s="1491" t="n"/>
      <c r="Y350" s="1491" t="n"/>
      <c r="Z350" s="1491" t="n"/>
      <c r="AA350" s="1491" t="n"/>
      <c r="AB350" s="1491" t="n"/>
      <c r="AC350" s="1491" t="n"/>
      <c r="AD350" s="1491" t="n"/>
      <c r="AE350" s="1491" t="n"/>
      <c r="AF350" s="1491" t="n"/>
      <c r="AG350" s="1491" t="n"/>
      <c r="AH350" s="1491" t="n"/>
      <c r="AI350" s="1491" t="n"/>
      <c r="AJ350" s="1491" t="n"/>
      <c r="AK350" s="1491" t="n"/>
      <c r="AL350" s="1491" t="n"/>
      <c r="AM350" s="1491" t="n"/>
      <c r="AN350" s="1491" t="n"/>
      <c r="AO350" s="1491" t="n"/>
      <c r="AP350" s="1491" t="n"/>
      <c r="AQ350" s="1491" t="n"/>
      <c r="AR350" s="1491" t="n"/>
      <c r="AS350" s="1491" t="n"/>
      <c r="AT350" s="1491" t="n"/>
      <c r="AU350" s="1491" t="n"/>
      <c r="AV350" s="1491" t="n"/>
      <c r="AW350" s="1491" t="n"/>
      <c r="AX350" s="1491" t="n"/>
      <c r="AY350" s="1491" t="n"/>
      <c r="AZ350" s="1491" t="n"/>
      <c r="BA350" s="1491" t="n"/>
      <c r="BB350" s="1491" t="n"/>
      <c r="BC350" s="1491" t="n"/>
      <c r="BD350" s="1491" t="n"/>
      <c r="BE350" s="1491" t="n"/>
      <c r="BF350" s="1491" t="n"/>
      <c r="BG350" s="1491" t="n"/>
      <c r="BH350" s="1491" t="n"/>
      <c r="BI350" s="1491" t="n"/>
      <c r="BJ350" s="1491" t="n"/>
      <c r="BK350" s="1491" t="n"/>
      <c r="BL350" s="1491" t="n"/>
      <c r="BM350" s="1491" t="n"/>
      <c r="BN350" s="1491" t="n"/>
      <c r="BO350" s="1467" t="n"/>
      <c r="BP350" s="1514" t="n">
        <v>346</v>
      </c>
      <c r="BQ350" s="1513">
        <f>[1]Sheet1!C351</f>
        <v/>
      </c>
      <c r="BR350" s="1515">
        <f>[1]Sheet1!D351</f>
        <v/>
      </c>
      <c r="BS350" s="1513">
        <f>[1]Sheet1!E351</f>
        <v/>
      </c>
      <c r="BT350" s="1515">
        <f>[1]Sheet1!F351</f>
        <v/>
      </c>
      <c r="BU350" s="1516">
        <f>[1]Sheet1!G351</f>
        <v/>
      </c>
      <c r="BV350" s="1513">
        <f>[1]Sheet1!H351</f>
        <v/>
      </c>
      <c r="BW350" s="1467" t="n"/>
      <c r="BX350" s="1491" t="n"/>
      <c r="BY350" s="1491" t="n"/>
      <c r="BZ350" s="1491" t="n"/>
      <c r="CA350" s="1491" t="n"/>
      <c r="CB350" s="1467" t="n"/>
      <c r="CC350" s="1467" t="n"/>
      <c r="CD350" s="1491" t="n"/>
      <c r="CE350" s="1491" t="n"/>
      <c r="CF350" s="1491" t="n"/>
      <c r="CG350" s="1491" t="n"/>
      <c r="CH350" s="1491" t="n"/>
      <c r="CI350" s="1491" t="n"/>
      <c r="CJ350" s="1491" t="n"/>
      <c r="CK350" s="1491" t="n"/>
      <c r="CL350" s="1491" t="n"/>
      <c r="CM350" s="1491" t="n"/>
      <c r="CN350" s="1491" t="n"/>
      <c r="CO350" s="1491" t="n"/>
      <c r="CP350" s="1491" t="n"/>
      <c r="CQ350" s="1491" t="n"/>
      <c r="CR350" s="1491" t="n"/>
      <c r="CS350" s="1491" t="n"/>
      <c r="CT350" s="1491" t="n"/>
      <c r="CU350" s="1491" t="n"/>
      <c r="CV350" s="1491" t="n"/>
      <c r="CW350" s="1491" t="n"/>
      <c r="CX350" s="1491" t="n"/>
    </row>
    <row r="351">
      <c r="A351" s="1491" t="n"/>
      <c r="B351" s="1491" t="n"/>
      <c r="C351" s="1491" t="n"/>
      <c r="D351" s="1497">
        <f>IF(E351&lt;&gt;"",D350+1,D350)</f>
        <v/>
      </c>
      <c r="E351" s="1497" t="inlineStr">
        <is>
          <t>Grenant</t>
        </is>
      </c>
      <c r="F351" s="1535" t="inlineStr">
        <is>
          <t>.</t>
        </is>
      </c>
      <c r="G351" s="1498">
        <f>IF(H351="AIR",0,IF(H350="AIR",G349+1,IF(H351&lt;&gt;"",G350+1,G350)))</f>
        <v/>
      </c>
      <c r="H351" s="1498" t="inlineStr">
        <is>
          <t>Vitry-le-François</t>
        </is>
      </c>
      <c r="I351" s="1427" t="inlineStr">
        <is>
          <t>.</t>
        </is>
      </c>
      <c r="J351" s="1499" t="n">
        <v>346</v>
      </c>
      <c r="K351" s="1500">
        <f>_xlfn.XLOOKUP(cities[[#This Row],[id]],$D$5:$D$1500,E$5:E$1500,"-")</f>
        <v/>
      </c>
      <c r="L351" s="1500">
        <f>_xlfn.XLOOKUP(cities[[#This Row],[city]],ccc[city],ccc[ctry],"-")</f>
        <v/>
      </c>
      <c r="M351" s="1500">
        <f>SUMIFS(stayCity[stay],stayCity[city],cities[[#This Row],[city]])</f>
        <v/>
      </c>
      <c r="N351" s="1427">
        <f>N350+1</f>
        <v/>
      </c>
      <c r="O351" s="1500" t="n"/>
      <c r="P351" s="1500" t="n"/>
      <c r="Q351" s="1427" t="inlineStr">
        <is>
          <t>.</t>
        </is>
      </c>
      <c r="R351" s="1491" t="n"/>
      <c r="S351" s="1491" t="n"/>
      <c r="T351" s="1491" t="n"/>
      <c r="U351" s="1491" t="n"/>
      <c r="V351" s="1491" t="n"/>
      <c r="W351" s="1491" t="n"/>
      <c r="X351" s="1491" t="n"/>
      <c r="Y351" s="1491" t="n"/>
      <c r="Z351" s="1491" t="n"/>
      <c r="AA351" s="1491" t="n"/>
      <c r="AB351" s="1491" t="n"/>
      <c r="AC351" s="1491" t="n"/>
      <c r="AD351" s="1491" t="n"/>
      <c r="AE351" s="1491" t="n"/>
      <c r="AF351" s="1491" t="n"/>
      <c r="AG351" s="1491" t="n"/>
      <c r="AH351" s="1491" t="n"/>
      <c r="AI351" s="1491" t="n"/>
      <c r="AJ351" s="1491" t="n"/>
      <c r="AK351" s="1491" t="n"/>
      <c r="AL351" s="1491" t="n"/>
      <c r="AM351" s="1491" t="n"/>
      <c r="AN351" s="1491" t="n"/>
      <c r="AO351" s="1491" t="n"/>
      <c r="AP351" s="1491" t="n"/>
      <c r="AQ351" s="1491" t="n"/>
      <c r="AR351" s="1491" t="n"/>
      <c r="AS351" s="1491" t="n"/>
      <c r="AT351" s="1491" t="n"/>
      <c r="AU351" s="1491" t="n"/>
      <c r="AV351" s="1491" t="n"/>
      <c r="AW351" s="1491" t="n"/>
      <c r="AX351" s="1491" t="n"/>
      <c r="AY351" s="1491" t="n"/>
      <c r="AZ351" s="1491" t="n"/>
      <c r="BA351" s="1491" t="n"/>
      <c r="BB351" s="1491" t="n"/>
      <c r="BC351" s="1491" t="n"/>
      <c r="BD351" s="1491" t="n"/>
      <c r="BE351" s="1491" t="n"/>
      <c r="BF351" s="1491" t="n"/>
      <c r="BG351" s="1491" t="n"/>
      <c r="BH351" s="1491" t="n"/>
      <c r="BI351" s="1491" t="n"/>
      <c r="BJ351" s="1491" t="n"/>
      <c r="BK351" s="1491" t="n"/>
      <c r="BL351" s="1491" t="n"/>
      <c r="BM351" s="1491" t="n"/>
      <c r="BN351" s="1491" t="n"/>
      <c r="BO351" s="1467" t="n"/>
      <c r="BP351" s="1514" t="n">
        <v>347</v>
      </c>
      <c r="BQ351" s="1513">
        <f>[1]Sheet1!C352</f>
        <v/>
      </c>
      <c r="BR351" s="1515">
        <f>[1]Sheet1!D352</f>
        <v/>
      </c>
      <c r="BS351" s="1513">
        <f>[1]Sheet1!E352</f>
        <v/>
      </c>
      <c r="BT351" s="1515">
        <f>[1]Sheet1!F352</f>
        <v/>
      </c>
      <c r="BU351" s="1516">
        <f>[1]Sheet1!G352</f>
        <v/>
      </c>
      <c r="BV351" s="1513">
        <f>[1]Sheet1!H352</f>
        <v/>
      </c>
      <c r="BW351" s="1467" t="n"/>
      <c r="BX351" s="1491" t="n"/>
      <c r="BY351" s="1491" t="n"/>
      <c r="BZ351" s="1491" t="n"/>
      <c r="CA351" s="1491" t="n"/>
      <c r="CB351" s="1467" t="n"/>
      <c r="CC351" s="1467" t="n"/>
      <c r="CD351" s="1491" t="n"/>
      <c r="CE351" s="1491" t="n"/>
      <c r="CF351" s="1491" t="n"/>
      <c r="CG351" s="1491" t="n"/>
      <c r="CH351" s="1491" t="n"/>
      <c r="CI351" s="1491" t="n"/>
      <c r="CJ351" s="1491" t="n"/>
      <c r="CK351" s="1491" t="n"/>
      <c r="CL351" s="1491" t="n"/>
      <c r="CM351" s="1491" t="n"/>
      <c r="CN351" s="1491" t="n"/>
      <c r="CO351" s="1491" t="n"/>
      <c r="CP351" s="1491" t="n"/>
      <c r="CQ351" s="1491" t="n"/>
      <c r="CR351" s="1491" t="n"/>
      <c r="CS351" s="1491" t="n"/>
      <c r="CT351" s="1491" t="n"/>
      <c r="CU351" s="1491" t="n"/>
      <c r="CV351" s="1491" t="n"/>
      <c r="CW351" s="1491" t="n"/>
      <c r="CX351" s="1491" t="n"/>
    </row>
    <row r="352">
      <c r="A352" s="1491" t="n"/>
      <c r="B352" s="1491" t="n"/>
      <c r="C352" s="1491" t="n"/>
      <c r="D352" s="1497">
        <f>IF(E352&lt;&gt;"",D351+1,D351)</f>
        <v/>
      </c>
      <c r="E352" s="1497" t="inlineStr">
        <is>
          <t>Champlitte</t>
        </is>
      </c>
      <c r="F352" s="1535" t="inlineStr">
        <is>
          <t>.</t>
        </is>
      </c>
      <c r="G352" s="1498">
        <f>IF(H352="AIR",0,IF(H351="AIR",G350+1,IF(H352&lt;&gt;"",G351+1,G351)))</f>
        <v/>
      </c>
      <c r="H352" s="1498" t="inlineStr">
        <is>
          <t>Saint Dizier</t>
        </is>
      </c>
      <c r="I352" s="1427" t="inlineStr">
        <is>
          <t>.</t>
        </is>
      </c>
      <c r="J352" s="1499" t="n">
        <v>347</v>
      </c>
      <c r="K352" s="1500">
        <f>_xlfn.XLOOKUP(cities[[#This Row],[id]],$D$5:$D$1500,E$5:E$1500,"-")</f>
        <v/>
      </c>
      <c r="L352" s="1500">
        <f>_xlfn.XLOOKUP(cities[[#This Row],[city]],ccc[city],ccc[ctry],"-")</f>
        <v/>
      </c>
      <c r="M352" s="1500">
        <f>SUMIFS(stayCity[stay],stayCity[city],cities[[#This Row],[city]])</f>
        <v/>
      </c>
      <c r="N352" s="1427">
        <f>N351+1</f>
        <v/>
      </c>
      <c r="O352" s="1500" t="n"/>
      <c r="P352" s="1500" t="n"/>
      <c r="Q352" s="1427" t="inlineStr">
        <is>
          <t>.</t>
        </is>
      </c>
      <c r="R352" s="1491" t="n"/>
      <c r="S352" s="1491" t="n"/>
      <c r="T352" s="1491" t="n"/>
      <c r="U352" s="1491" t="n"/>
      <c r="V352" s="1491" t="n"/>
      <c r="W352" s="1491" t="n"/>
      <c r="X352" s="1491" t="n"/>
      <c r="Y352" s="1491" t="n"/>
      <c r="Z352" s="1491" t="n"/>
      <c r="AA352" s="1491" t="n"/>
      <c r="AB352" s="1491" t="n"/>
      <c r="AC352" s="1491" t="n"/>
      <c r="AD352" s="1491" t="n"/>
      <c r="AE352" s="1491" t="n"/>
      <c r="AF352" s="1491" t="n"/>
      <c r="AG352" s="1491" t="n"/>
      <c r="AH352" s="1491" t="n"/>
      <c r="AI352" s="1491" t="n"/>
      <c r="AJ352" s="1491" t="n"/>
      <c r="AK352" s="1491" t="n"/>
      <c r="AL352" s="1491" t="n"/>
      <c r="AM352" s="1491" t="n"/>
      <c r="AN352" s="1491" t="n"/>
      <c r="AO352" s="1491" t="n"/>
      <c r="AP352" s="1491" t="n"/>
      <c r="AQ352" s="1491" t="n"/>
      <c r="AR352" s="1491" t="n"/>
      <c r="AS352" s="1491" t="n"/>
      <c r="AT352" s="1491" t="n"/>
      <c r="AU352" s="1491" t="n"/>
      <c r="AV352" s="1491" t="n"/>
      <c r="AW352" s="1491" t="n"/>
      <c r="AX352" s="1491" t="n"/>
      <c r="AY352" s="1491" t="n"/>
      <c r="AZ352" s="1491" t="n"/>
      <c r="BA352" s="1491" t="n"/>
      <c r="BB352" s="1491" t="n"/>
      <c r="BC352" s="1491" t="n"/>
      <c r="BD352" s="1491" t="n"/>
      <c r="BE352" s="1491" t="n"/>
      <c r="BF352" s="1491" t="n"/>
      <c r="BG352" s="1491" t="n"/>
      <c r="BH352" s="1491" t="n"/>
      <c r="BI352" s="1491" t="n"/>
      <c r="BJ352" s="1491" t="n"/>
      <c r="BK352" s="1491" t="n"/>
      <c r="BL352" s="1491" t="n"/>
      <c r="BM352" s="1491" t="n"/>
      <c r="BN352" s="1491" t="n"/>
      <c r="BO352" s="1467" t="n"/>
      <c r="BP352" s="1514" t="n">
        <v>348</v>
      </c>
      <c r="BQ352" s="1513">
        <f>[1]Sheet1!C353</f>
        <v/>
      </c>
      <c r="BR352" s="1515">
        <f>[1]Sheet1!D353</f>
        <v/>
      </c>
      <c r="BS352" s="1513">
        <f>[1]Sheet1!E353</f>
        <v/>
      </c>
      <c r="BT352" s="1515">
        <f>[1]Sheet1!F353</f>
        <v/>
      </c>
      <c r="BU352" s="1516">
        <f>[1]Sheet1!G353</f>
        <v/>
      </c>
      <c r="BV352" s="1513">
        <f>[1]Sheet1!H353</f>
        <v/>
      </c>
      <c r="BW352" s="1467" t="n"/>
      <c r="BX352" s="1491" t="n"/>
      <c r="BY352" s="1491" t="n"/>
      <c r="BZ352" s="1491" t="n"/>
      <c r="CA352" s="1491" t="n"/>
      <c r="CB352" s="1467" t="n"/>
      <c r="CC352" s="1467" t="n"/>
      <c r="CD352" s="1491" t="n"/>
      <c r="CE352" s="1491" t="n"/>
      <c r="CF352" s="1491" t="n"/>
      <c r="CG352" s="1491" t="n"/>
      <c r="CH352" s="1491" t="n"/>
      <c r="CI352" s="1491" t="n"/>
      <c r="CJ352" s="1491" t="n"/>
      <c r="CK352" s="1491" t="n"/>
      <c r="CL352" s="1491" t="n"/>
      <c r="CM352" s="1491" t="n"/>
      <c r="CN352" s="1491" t="n"/>
      <c r="CO352" s="1491" t="n"/>
      <c r="CP352" s="1491" t="n"/>
      <c r="CQ352" s="1491" t="n"/>
      <c r="CR352" s="1491" t="n"/>
      <c r="CS352" s="1491" t="n"/>
      <c r="CT352" s="1491" t="n"/>
      <c r="CU352" s="1491" t="n"/>
      <c r="CV352" s="1491" t="n"/>
      <c r="CW352" s="1491" t="n"/>
      <c r="CX352" s="1491" t="n"/>
    </row>
    <row r="353">
      <c r="A353" s="1491" t="n"/>
      <c r="B353" s="1491" t="n"/>
      <c r="C353" s="1491" t="n"/>
      <c r="D353" s="1497">
        <f>IF(E353&lt;&gt;"",D352+1,D352)</f>
        <v/>
      </c>
      <c r="E353" s="1497" t="inlineStr">
        <is>
          <t>Mercey-sur-Saone</t>
        </is>
      </c>
      <c r="F353" s="1535" t="inlineStr">
        <is>
          <t>.</t>
        </is>
      </c>
      <c r="G353" s="1498">
        <f>IF(H353="AIR",0,IF(H352="AIR",G351+1,IF(H353&lt;&gt;"",G352+1,G352)))</f>
        <v/>
      </c>
      <c r="H353" s="1498" t="inlineStr">
        <is>
          <t>Joinville</t>
        </is>
      </c>
      <c r="I353" s="1427" t="inlineStr">
        <is>
          <t>.</t>
        </is>
      </c>
      <c r="J353" s="1499" t="n">
        <v>348</v>
      </c>
      <c r="K353" s="1500">
        <f>_xlfn.XLOOKUP(cities[[#This Row],[id]],$D$5:$D$1500,E$5:E$1500,"-")</f>
        <v/>
      </c>
      <c r="L353" s="1500">
        <f>_xlfn.XLOOKUP(cities[[#This Row],[city]],ccc[city],ccc[ctry],"-")</f>
        <v/>
      </c>
      <c r="M353" s="1500">
        <f>SUMIFS(stayCity[stay],stayCity[city],cities[[#This Row],[city]])</f>
        <v/>
      </c>
      <c r="N353" s="1427">
        <f>N352+1</f>
        <v/>
      </c>
      <c r="O353" s="1500" t="n"/>
      <c r="P353" s="1500" t="n"/>
      <c r="Q353" s="1427" t="inlineStr">
        <is>
          <t>.</t>
        </is>
      </c>
      <c r="R353" s="1491" t="n"/>
      <c r="S353" s="1491" t="n"/>
      <c r="T353" s="1491" t="n"/>
      <c r="U353" s="1491" t="n"/>
      <c r="V353" s="1491" t="n"/>
      <c r="W353" s="1491" t="n"/>
      <c r="X353" s="1491" t="n"/>
      <c r="Y353" s="1491" t="n"/>
      <c r="Z353" s="1491" t="n"/>
      <c r="AA353" s="1491" t="n"/>
      <c r="AB353" s="1491" t="n"/>
      <c r="AC353" s="1491" t="n"/>
      <c r="AD353" s="1491" t="n"/>
      <c r="AE353" s="1491" t="n"/>
      <c r="AF353" s="1491" t="n"/>
      <c r="AG353" s="1491" t="n"/>
      <c r="AH353" s="1491" t="n"/>
      <c r="AI353" s="1491" t="n"/>
      <c r="AJ353" s="1491" t="n"/>
      <c r="AK353" s="1491" t="n"/>
      <c r="AL353" s="1491" t="n"/>
      <c r="AM353" s="1491" t="n"/>
      <c r="AN353" s="1491" t="n"/>
      <c r="AO353" s="1491" t="n"/>
      <c r="AP353" s="1491" t="n"/>
      <c r="AQ353" s="1491" t="n"/>
      <c r="AR353" s="1491" t="n"/>
      <c r="AS353" s="1491" t="n"/>
      <c r="AT353" s="1491" t="n"/>
      <c r="AU353" s="1491" t="n"/>
      <c r="AV353" s="1491" t="n"/>
      <c r="AW353" s="1491" t="n"/>
      <c r="AX353" s="1491" t="n"/>
      <c r="AY353" s="1491" t="n"/>
      <c r="AZ353" s="1491" t="n"/>
      <c r="BA353" s="1491" t="n"/>
      <c r="BB353" s="1491" t="n"/>
      <c r="BC353" s="1491" t="n"/>
      <c r="BD353" s="1491" t="n"/>
      <c r="BE353" s="1491" t="n"/>
      <c r="BF353" s="1491" t="n"/>
      <c r="BG353" s="1491" t="n"/>
      <c r="BH353" s="1491" t="n"/>
      <c r="BI353" s="1491" t="n"/>
      <c r="BJ353" s="1491" t="n"/>
      <c r="BK353" s="1491" t="n"/>
      <c r="BL353" s="1491" t="n"/>
      <c r="BM353" s="1491" t="n"/>
      <c r="BN353" s="1491" t="n"/>
      <c r="BO353" s="1467" t="n"/>
      <c r="BP353" s="1514" t="n">
        <v>349</v>
      </c>
      <c r="BQ353" s="1513">
        <f>[1]Sheet1!C354</f>
        <v/>
      </c>
      <c r="BR353" s="1515">
        <f>[1]Sheet1!D354</f>
        <v/>
      </c>
      <c r="BS353" s="1513">
        <f>[1]Sheet1!E354</f>
        <v/>
      </c>
      <c r="BT353" s="1515">
        <f>[1]Sheet1!F354</f>
        <v/>
      </c>
      <c r="BU353" s="1516">
        <f>[1]Sheet1!G354</f>
        <v/>
      </c>
      <c r="BV353" s="1513">
        <f>[1]Sheet1!H354</f>
        <v/>
      </c>
      <c r="BW353" s="1467" t="n"/>
      <c r="BX353" s="1491" t="n"/>
      <c r="BY353" s="1491" t="n"/>
      <c r="BZ353" s="1491" t="n"/>
      <c r="CA353" s="1491" t="n"/>
      <c r="CB353" s="1467" t="n"/>
      <c r="CC353" s="1467" t="n"/>
      <c r="CD353" s="1491" t="n"/>
      <c r="CE353" s="1491" t="n"/>
      <c r="CF353" s="1491" t="n"/>
      <c r="CG353" s="1491" t="n"/>
      <c r="CH353" s="1491" t="n"/>
      <c r="CI353" s="1491" t="n"/>
      <c r="CJ353" s="1491" t="n"/>
      <c r="CK353" s="1491" t="n"/>
      <c r="CL353" s="1491" t="n"/>
      <c r="CM353" s="1491" t="n"/>
      <c r="CN353" s="1491" t="n"/>
      <c r="CO353" s="1491" t="n"/>
      <c r="CP353" s="1491" t="n"/>
      <c r="CQ353" s="1491" t="n"/>
      <c r="CR353" s="1491" t="n"/>
      <c r="CS353" s="1491" t="n"/>
      <c r="CT353" s="1491" t="n"/>
      <c r="CU353" s="1491" t="n"/>
      <c r="CV353" s="1491" t="n"/>
      <c r="CW353" s="1491" t="n"/>
      <c r="CX353" s="1491" t="n"/>
    </row>
    <row r="354">
      <c r="A354" s="1491" t="n"/>
      <c r="B354" s="1491" t="n"/>
      <c r="C354" s="1491" t="n"/>
      <c r="D354" s="1497">
        <f>IF(E354&lt;&gt;"",D353+1,D353)</f>
        <v/>
      </c>
      <c r="E354" s="1497" t="inlineStr">
        <is>
          <t>Frasne-le-Chateau</t>
        </is>
      </c>
      <c r="F354" s="1535" t="inlineStr">
        <is>
          <t>.</t>
        </is>
      </c>
      <c r="G354" s="1498">
        <f>IF(H354="AIR",0,IF(H353="AIR",G352+1,IF(H354&lt;&gt;"",G353+1,G353)))</f>
        <v/>
      </c>
      <c r="H354" s="1498" t="inlineStr">
        <is>
          <t>Chaumont</t>
        </is>
      </c>
      <c r="I354" s="1427" t="inlineStr">
        <is>
          <t>.</t>
        </is>
      </c>
      <c r="J354" s="1499" t="n">
        <v>349</v>
      </c>
      <c r="K354" s="1500">
        <f>_xlfn.XLOOKUP(cities[[#This Row],[id]],$D$5:$D$1500,E$5:E$1500,"-")</f>
        <v/>
      </c>
      <c r="L354" s="1500">
        <f>_xlfn.XLOOKUP(cities[[#This Row],[city]],ccc[city],ccc[ctry],"-")</f>
        <v/>
      </c>
      <c r="M354" s="1500">
        <f>SUMIFS(stayCity[stay],stayCity[city],cities[[#This Row],[city]])</f>
        <v/>
      </c>
      <c r="N354" s="1427">
        <f>N353+1</f>
        <v/>
      </c>
      <c r="O354" s="1500" t="n"/>
      <c r="P354" s="1500" t="n"/>
      <c r="Q354" s="1427" t="inlineStr">
        <is>
          <t>.</t>
        </is>
      </c>
      <c r="R354" s="1491" t="n"/>
      <c r="S354" s="1491" t="n"/>
      <c r="T354" s="1491" t="n"/>
      <c r="U354" s="1491" t="n"/>
      <c r="V354" s="1491" t="n"/>
      <c r="W354" s="1491" t="n"/>
      <c r="X354" s="1491" t="n"/>
      <c r="Y354" s="1491" t="n"/>
      <c r="Z354" s="1491" t="n"/>
      <c r="AA354" s="1491" t="n"/>
      <c r="AB354" s="1491" t="n"/>
      <c r="AC354" s="1491" t="n"/>
      <c r="AD354" s="1491" t="n"/>
      <c r="AE354" s="1491" t="n"/>
      <c r="AF354" s="1491" t="n"/>
      <c r="AG354" s="1491" t="n"/>
      <c r="AH354" s="1491" t="n"/>
      <c r="AI354" s="1491" t="n"/>
      <c r="AJ354" s="1491" t="n"/>
      <c r="AK354" s="1491" t="n"/>
      <c r="AL354" s="1491" t="n"/>
      <c r="AM354" s="1491" t="n"/>
      <c r="AN354" s="1491" t="n"/>
      <c r="AO354" s="1491" t="n"/>
      <c r="AP354" s="1491" t="n"/>
      <c r="AQ354" s="1491" t="n"/>
      <c r="AR354" s="1491" t="n"/>
      <c r="AS354" s="1491" t="n"/>
      <c r="AT354" s="1491" t="n"/>
      <c r="AU354" s="1491" t="n"/>
      <c r="AV354" s="1491" t="n"/>
      <c r="AW354" s="1491" t="n"/>
      <c r="AX354" s="1491" t="n"/>
      <c r="AY354" s="1491" t="n"/>
      <c r="AZ354" s="1491" t="n"/>
      <c r="BA354" s="1491" t="n"/>
      <c r="BB354" s="1491" t="n"/>
      <c r="BC354" s="1491" t="n"/>
      <c r="BD354" s="1491" t="n"/>
      <c r="BE354" s="1491" t="n"/>
      <c r="BF354" s="1491" t="n"/>
      <c r="BG354" s="1491" t="n"/>
      <c r="BH354" s="1491" t="n"/>
      <c r="BI354" s="1491" t="n"/>
      <c r="BJ354" s="1491" t="n"/>
      <c r="BK354" s="1491" t="n"/>
      <c r="BL354" s="1491" t="n"/>
      <c r="BM354" s="1491" t="n"/>
      <c r="BN354" s="1491" t="n"/>
      <c r="BO354" s="1467" t="n"/>
      <c r="BP354" s="1514" t="n">
        <v>350</v>
      </c>
      <c r="BQ354" s="1513">
        <f>[1]Sheet1!C355</f>
        <v/>
      </c>
      <c r="BR354" s="1515">
        <f>[1]Sheet1!D355</f>
        <v/>
      </c>
      <c r="BS354" s="1513">
        <f>[1]Sheet1!E355</f>
        <v/>
      </c>
      <c r="BT354" s="1515">
        <f>[1]Sheet1!F355</f>
        <v/>
      </c>
      <c r="BU354" s="1516">
        <f>[1]Sheet1!G355</f>
        <v/>
      </c>
      <c r="BV354" s="1513">
        <f>[1]Sheet1!H355</f>
        <v/>
      </c>
      <c r="BW354" s="1467" t="n"/>
      <c r="BX354" s="1491" t="n"/>
      <c r="BY354" s="1491" t="n"/>
      <c r="BZ354" s="1491" t="n"/>
      <c r="CA354" s="1491" t="n"/>
      <c r="CB354" s="1467" t="n"/>
      <c r="CC354" s="1467" t="n"/>
      <c r="CD354" s="1491" t="n"/>
      <c r="CE354" s="1491" t="n"/>
      <c r="CF354" s="1491" t="n"/>
      <c r="CG354" s="1491" t="n"/>
      <c r="CH354" s="1491" t="n"/>
      <c r="CI354" s="1491" t="n"/>
      <c r="CJ354" s="1491" t="n"/>
      <c r="CK354" s="1491" t="n"/>
      <c r="CL354" s="1491" t="n"/>
      <c r="CM354" s="1491" t="n"/>
      <c r="CN354" s="1491" t="n"/>
      <c r="CO354" s="1491" t="n"/>
      <c r="CP354" s="1491" t="n"/>
      <c r="CQ354" s="1491" t="n"/>
      <c r="CR354" s="1491" t="n"/>
      <c r="CS354" s="1491" t="n"/>
      <c r="CT354" s="1491" t="n"/>
      <c r="CU354" s="1491" t="n"/>
      <c r="CV354" s="1491" t="n"/>
      <c r="CW354" s="1491" t="n"/>
      <c r="CX354" s="1491" t="n"/>
    </row>
    <row r="355">
      <c r="A355" s="1491" t="n"/>
      <c r="B355" s="1491" t="n"/>
      <c r="C355" s="1491" t="n"/>
      <c r="D355" s="1497">
        <f>IF(E355&lt;&gt;"",D354+1,D354)</f>
        <v/>
      </c>
      <c r="E355" s="1497" t="inlineStr">
        <is>
          <t>Cussey-sur-l'Ognon</t>
        </is>
      </c>
      <c r="F355" s="1535" t="inlineStr">
        <is>
          <t>.</t>
        </is>
      </c>
      <c r="G355" s="1498">
        <f>IF(H355="AIR",0,IF(H354="AIR",G353+1,IF(H355&lt;&gt;"",G354+1,G354)))</f>
        <v/>
      </c>
      <c r="H355" s="1498" t="inlineStr">
        <is>
          <t>Rolamport</t>
        </is>
      </c>
      <c r="I355" s="1427" t="inlineStr">
        <is>
          <t>.</t>
        </is>
      </c>
      <c r="J355" s="1499" t="n">
        <v>350</v>
      </c>
      <c r="K355" s="1500">
        <f>_xlfn.XLOOKUP(cities[[#This Row],[id]],$D$5:$D$1500,E$5:E$1500,"-")</f>
        <v/>
      </c>
      <c r="L355" s="1500">
        <f>_xlfn.XLOOKUP(cities[[#This Row],[city]],ccc[city],ccc[ctry],"-")</f>
        <v/>
      </c>
      <c r="M355" s="1500">
        <f>SUMIFS(stayCity[stay],stayCity[city],cities[[#This Row],[city]])</f>
        <v/>
      </c>
      <c r="N355" s="1427">
        <f>N354+1</f>
        <v/>
      </c>
      <c r="O355" s="1500" t="n"/>
      <c r="P355" s="1500" t="n"/>
      <c r="Q355" s="1427" t="inlineStr">
        <is>
          <t>.</t>
        </is>
      </c>
      <c r="R355" s="1491" t="n"/>
      <c r="S355" s="1491" t="n"/>
      <c r="T355" s="1491" t="n"/>
      <c r="U355" s="1491" t="n"/>
      <c r="V355" s="1491" t="n"/>
      <c r="W355" s="1491" t="n"/>
      <c r="X355" s="1491" t="n"/>
      <c r="Y355" s="1491" t="n"/>
      <c r="Z355" s="1491" t="n"/>
      <c r="AA355" s="1491" t="n"/>
      <c r="AB355" s="1491" t="n"/>
      <c r="AC355" s="1491" t="n"/>
      <c r="AD355" s="1491" t="n"/>
      <c r="AE355" s="1491" t="n"/>
      <c r="AF355" s="1491" t="n"/>
      <c r="AG355" s="1491" t="n"/>
      <c r="AH355" s="1491" t="n"/>
      <c r="AI355" s="1491" t="n"/>
      <c r="AJ355" s="1491" t="n"/>
      <c r="AK355" s="1491" t="n"/>
      <c r="AL355" s="1491" t="n"/>
      <c r="AM355" s="1491" t="n"/>
      <c r="AN355" s="1491" t="n"/>
      <c r="AO355" s="1491" t="n"/>
      <c r="AP355" s="1491" t="n"/>
      <c r="AQ355" s="1491" t="n"/>
      <c r="AR355" s="1491" t="n"/>
      <c r="AS355" s="1491" t="n"/>
      <c r="AT355" s="1491" t="n"/>
      <c r="AU355" s="1491" t="n"/>
      <c r="AV355" s="1491" t="n"/>
      <c r="AW355" s="1491" t="n"/>
      <c r="AX355" s="1491" t="n"/>
      <c r="AY355" s="1491" t="n"/>
      <c r="AZ355" s="1491" t="n"/>
      <c r="BA355" s="1491" t="n"/>
      <c r="BB355" s="1491" t="n"/>
      <c r="BC355" s="1491" t="n"/>
      <c r="BD355" s="1491" t="n"/>
      <c r="BE355" s="1491" t="n"/>
      <c r="BF355" s="1491" t="n"/>
      <c r="BG355" s="1491" t="n"/>
      <c r="BH355" s="1491" t="n"/>
      <c r="BI355" s="1491" t="n"/>
      <c r="BJ355" s="1491" t="n"/>
      <c r="BK355" s="1491" t="n"/>
      <c r="BL355" s="1491" t="n"/>
      <c r="BM355" s="1491" t="n"/>
      <c r="BN355" s="1491" t="n"/>
      <c r="BO355" s="1467" t="n"/>
      <c r="BP355" s="1514" t="n">
        <v>351</v>
      </c>
      <c r="BQ355" s="1513">
        <f>[1]Sheet1!C356</f>
        <v/>
      </c>
      <c r="BR355" s="1515">
        <f>[1]Sheet1!D356</f>
        <v/>
      </c>
      <c r="BS355" s="1513">
        <f>[1]Sheet1!E356</f>
        <v/>
      </c>
      <c r="BT355" s="1515">
        <f>[1]Sheet1!F356</f>
        <v/>
      </c>
      <c r="BU355" s="1516">
        <f>[1]Sheet1!G356</f>
        <v/>
      </c>
      <c r="BV355" s="1513">
        <f>[1]Sheet1!H356</f>
        <v/>
      </c>
      <c r="BW355" s="1467" t="n"/>
      <c r="BX355" s="1491" t="n"/>
      <c r="BY355" s="1491" t="n"/>
      <c r="BZ355" s="1491" t="n"/>
      <c r="CA355" s="1491" t="n"/>
      <c r="CB355" s="1467" t="n"/>
      <c r="CC355" s="1467" t="n"/>
      <c r="CD355" s="1491" t="n"/>
      <c r="CE355" s="1491" t="n"/>
      <c r="CF355" s="1491" t="n"/>
      <c r="CG355" s="1491" t="n"/>
      <c r="CH355" s="1491" t="n"/>
      <c r="CI355" s="1491" t="n"/>
      <c r="CJ355" s="1491" t="n"/>
      <c r="CK355" s="1491" t="n"/>
      <c r="CL355" s="1491" t="n"/>
      <c r="CM355" s="1491" t="n"/>
      <c r="CN355" s="1491" t="n"/>
      <c r="CO355" s="1491" t="n"/>
      <c r="CP355" s="1491" t="n"/>
      <c r="CQ355" s="1491" t="n"/>
      <c r="CR355" s="1491" t="n"/>
      <c r="CS355" s="1491" t="n"/>
      <c r="CT355" s="1491" t="n"/>
      <c r="CU355" s="1491" t="n"/>
      <c r="CV355" s="1491" t="n"/>
      <c r="CW355" s="1491" t="n"/>
      <c r="CX355" s="1491" t="n"/>
    </row>
    <row r="356">
      <c r="A356" s="1491" t="n"/>
      <c r="B356" s="1491" t="n"/>
      <c r="C356" s="1491" t="n"/>
      <c r="D356" s="1497">
        <f>IF(E356&lt;&gt;"",D355+1,D355)</f>
        <v/>
      </c>
      <c r="E356" s="1497" t="inlineStr">
        <is>
          <t>Besançon</t>
        </is>
      </c>
      <c r="F356" s="1535" t="inlineStr">
        <is>
          <t>.</t>
        </is>
      </c>
      <c r="G356" s="1498">
        <f>IF(H356="AIR",0,IF(H355="AIR",G354+1,IF(H356&lt;&gt;"",G355+1,G355)))</f>
        <v/>
      </c>
      <c r="H356" s="1498" t="inlineStr">
        <is>
          <t>Langres</t>
        </is>
      </c>
      <c r="I356" s="1427" t="inlineStr">
        <is>
          <t>.</t>
        </is>
      </c>
      <c r="J356" s="1499" t="n">
        <v>351</v>
      </c>
      <c r="K356" s="1500">
        <f>_xlfn.XLOOKUP(cities[[#This Row],[id]],$D$5:$D$1500,E$5:E$1500,"-")</f>
        <v/>
      </c>
      <c r="L356" s="1500">
        <f>_xlfn.XLOOKUP(cities[[#This Row],[city]],ccc[city],ccc[ctry],"-")</f>
        <v/>
      </c>
      <c r="M356" s="1500">
        <f>SUMIFS(stayCity[stay],stayCity[city],cities[[#This Row],[city]])</f>
        <v/>
      </c>
      <c r="N356" s="1427">
        <f>N355+1</f>
        <v/>
      </c>
      <c r="O356" s="1500" t="n"/>
      <c r="P356" s="1500" t="n"/>
      <c r="Q356" s="1427" t="inlineStr">
        <is>
          <t>.</t>
        </is>
      </c>
      <c r="R356" s="1491" t="n"/>
      <c r="S356" s="1491" t="n"/>
      <c r="T356" s="1491" t="n"/>
      <c r="U356" s="1491" t="n"/>
      <c r="V356" s="1491" t="n"/>
      <c r="W356" s="1491" t="n"/>
      <c r="X356" s="1491" t="n"/>
      <c r="Y356" s="1491" t="n"/>
      <c r="Z356" s="1491" t="n"/>
      <c r="AA356" s="1491" t="n"/>
      <c r="AB356" s="1491" t="n"/>
      <c r="AC356" s="1491" t="n"/>
      <c r="AD356" s="1491" t="n"/>
      <c r="AE356" s="1491" t="n"/>
      <c r="AF356" s="1491" t="n"/>
      <c r="AG356" s="1491" t="n"/>
      <c r="AH356" s="1491" t="n"/>
      <c r="AI356" s="1491" t="n"/>
      <c r="AJ356" s="1491" t="n"/>
      <c r="AK356" s="1491" t="n"/>
      <c r="AL356" s="1491" t="n"/>
      <c r="AM356" s="1491" t="n"/>
      <c r="AN356" s="1491" t="n"/>
      <c r="AO356" s="1491" t="n"/>
      <c r="AP356" s="1491" t="n"/>
      <c r="AQ356" s="1491" t="n"/>
      <c r="AR356" s="1491" t="n"/>
      <c r="AS356" s="1491" t="n"/>
      <c r="AT356" s="1491" t="n"/>
      <c r="AU356" s="1491" t="n"/>
      <c r="AV356" s="1491" t="n"/>
      <c r="AW356" s="1491" t="n"/>
      <c r="AX356" s="1491" t="n"/>
      <c r="AY356" s="1491" t="n"/>
      <c r="AZ356" s="1491" t="n"/>
      <c r="BA356" s="1491" t="n"/>
      <c r="BB356" s="1491" t="n"/>
      <c r="BC356" s="1491" t="n"/>
      <c r="BD356" s="1491" t="n"/>
      <c r="BE356" s="1491" t="n"/>
      <c r="BF356" s="1491" t="n"/>
      <c r="BG356" s="1491" t="n"/>
      <c r="BH356" s="1491" t="n"/>
      <c r="BI356" s="1491" t="n"/>
      <c r="BJ356" s="1491" t="n"/>
      <c r="BK356" s="1491" t="n"/>
      <c r="BL356" s="1491" t="n"/>
      <c r="BM356" s="1491" t="n"/>
      <c r="BN356" s="1491" t="n"/>
      <c r="BO356" s="1467" t="n"/>
      <c r="BP356" s="1514" t="n">
        <v>352</v>
      </c>
      <c r="BQ356" s="1513">
        <f>[1]Sheet1!C357</f>
        <v/>
      </c>
      <c r="BR356" s="1515">
        <f>[1]Sheet1!D357</f>
        <v/>
      </c>
      <c r="BS356" s="1513">
        <f>[1]Sheet1!E357</f>
        <v/>
      </c>
      <c r="BT356" s="1515">
        <f>[1]Sheet1!F357</f>
        <v/>
      </c>
      <c r="BU356" s="1516">
        <f>[1]Sheet1!G357</f>
        <v/>
      </c>
      <c r="BV356" s="1513">
        <f>[1]Sheet1!H357</f>
        <v/>
      </c>
      <c r="BW356" s="1467" t="n"/>
      <c r="BX356" s="1491" t="n"/>
      <c r="BY356" s="1491" t="n"/>
      <c r="BZ356" s="1491" t="n"/>
      <c r="CA356" s="1491" t="n"/>
      <c r="CB356" s="1467" t="n"/>
      <c r="CC356" s="1467" t="n"/>
      <c r="CD356" s="1491" t="n"/>
      <c r="CE356" s="1491" t="n"/>
      <c r="CF356" s="1491" t="n"/>
      <c r="CG356" s="1491" t="n"/>
      <c r="CH356" s="1491" t="n"/>
      <c r="CI356" s="1491" t="n"/>
      <c r="CJ356" s="1491" t="n"/>
      <c r="CK356" s="1491" t="n"/>
      <c r="CL356" s="1491" t="n"/>
      <c r="CM356" s="1491" t="n"/>
      <c r="CN356" s="1491" t="n"/>
      <c r="CO356" s="1491" t="n"/>
      <c r="CP356" s="1491" t="n"/>
      <c r="CQ356" s="1491" t="n"/>
      <c r="CR356" s="1491" t="n"/>
      <c r="CS356" s="1491" t="n"/>
      <c r="CT356" s="1491" t="n"/>
      <c r="CU356" s="1491" t="n"/>
      <c r="CV356" s="1491" t="n"/>
      <c r="CW356" s="1491" t="n"/>
      <c r="CX356" s="1491" t="n"/>
    </row>
    <row r="357">
      <c r="A357" s="1491" t="n"/>
      <c r="B357" s="1491" t="n"/>
      <c r="C357" s="1491" t="n"/>
      <c r="D357" s="1497">
        <f>IF(E357&lt;&gt;"",D356+1,D356)</f>
        <v/>
      </c>
      <c r="E357" s="1497" t="inlineStr">
        <is>
          <t>Ornans</t>
        </is>
      </c>
      <c r="F357" s="1535" t="inlineStr">
        <is>
          <t>.</t>
        </is>
      </c>
      <c r="G357" s="1498">
        <f>IF(H357="AIR",0,IF(H356="AIR",G355+1,IF(H357&lt;&gt;"",G356+1,G356)))</f>
        <v/>
      </c>
      <c r="H357" s="1498" t="inlineStr">
        <is>
          <t>Les Archots</t>
        </is>
      </c>
      <c r="I357" s="1427" t="inlineStr">
        <is>
          <t>.</t>
        </is>
      </c>
      <c r="J357" s="1499" t="n">
        <v>352</v>
      </c>
      <c r="K357" s="1500">
        <f>_xlfn.XLOOKUP(cities[[#This Row],[id]],$D$5:$D$1500,E$5:E$1500,"-")</f>
        <v/>
      </c>
      <c r="L357" s="1500">
        <f>_xlfn.XLOOKUP(cities[[#This Row],[city]],ccc[city],ccc[ctry],"-")</f>
        <v/>
      </c>
      <c r="M357" s="1500">
        <f>SUMIFS(stayCity[stay],stayCity[city],cities[[#This Row],[city]])</f>
        <v/>
      </c>
      <c r="N357" s="1427">
        <f>N356+1</f>
        <v/>
      </c>
      <c r="O357" s="1500" t="n"/>
      <c r="P357" s="1500" t="n"/>
      <c r="Q357" s="1427" t="inlineStr">
        <is>
          <t>.</t>
        </is>
      </c>
      <c r="R357" s="1491" t="n"/>
      <c r="S357" s="1491" t="n"/>
      <c r="T357" s="1491" t="n"/>
      <c r="U357" s="1491" t="n"/>
      <c r="V357" s="1491" t="n"/>
      <c r="W357" s="1491" t="n"/>
      <c r="X357" s="1491" t="n"/>
      <c r="Y357" s="1491" t="n"/>
      <c r="Z357" s="1491" t="n"/>
      <c r="AA357" s="1491" t="n"/>
      <c r="AB357" s="1491" t="n"/>
      <c r="AC357" s="1491" t="n"/>
      <c r="AD357" s="1491" t="n"/>
      <c r="AE357" s="1491" t="n"/>
      <c r="AF357" s="1491" t="n"/>
      <c r="AG357" s="1491" t="n"/>
      <c r="AH357" s="1491" t="n"/>
      <c r="AI357" s="1491" t="n"/>
      <c r="AJ357" s="1491" t="n"/>
      <c r="AK357" s="1491" t="n"/>
      <c r="AL357" s="1491" t="n"/>
      <c r="AM357" s="1491" t="n"/>
      <c r="AN357" s="1491" t="n"/>
      <c r="AO357" s="1491" t="n"/>
      <c r="AP357" s="1491" t="n"/>
      <c r="AQ357" s="1491" t="n"/>
      <c r="AR357" s="1491" t="n"/>
      <c r="AS357" s="1491" t="n"/>
      <c r="AT357" s="1491" t="n"/>
      <c r="AU357" s="1491" t="n"/>
      <c r="AV357" s="1491" t="n"/>
      <c r="AW357" s="1491" t="n"/>
      <c r="AX357" s="1491" t="n"/>
      <c r="AY357" s="1491" t="n"/>
      <c r="AZ357" s="1491" t="n"/>
      <c r="BA357" s="1491" t="n"/>
      <c r="BB357" s="1491" t="n"/>
      <c r="BC357" s="1491" t="n"/>
      <c r="BD357" s="1491" t="n"/>
      <c r="BE357" s="1491" t="n"/>
      <c r="BF357" s="1491" t="n"/>
      <c r="BG357" s="1491" t="n"/>
      <c r="BH357" s="1491" t="n"/>
      <c r="BI357" s="1491" t="n"/>
      <c r="BJ357" s="1491" t="n"/>
      <c r="BK357" s="1491" t="n"/>
      <c r="BL357" s="1491" t="n"/>
      <c r="BM357" s="1491" t="n"/>
      <c r="BN357" s="1491" t="n"/>
      <c r="BO357" s="1467" t="n"/>
      <c r="BP357" s="1514" t="n">
        <v>353</v>
      </c>
      <c r="BQ357" s="1513">
        <f>[1]Sheet1!C358</f>
        <v/>
      </c>
      <c r="BR357" s="1515">
        <f>[1]Sheet1!D358</f>
        <v/>
      </c>
      <c r="BS357" s="1513">
        <f>[1]Sheet1!E358</f>
        <v/>
      </c>
      <c r="BT357" s="1515">
        <f>[1]Sheet1!F358</f>
        <v/>
      </c>
      <c r="BU357" s="1516">
        <f>[1]Sheet1!G358</f>
        <v/>
      </c>
      <c r="BV357" s="1513">
        <f>[1]Sheet1!H358</f>
        <v/>
      </c>
      <c r="BW357" s="1467" t="n"/>
      <c r="BX357" s="1491" t="n"/>
      <c r="BY357" s="1491" t="n"/>
      <c r="BZ357" s="1491" t="n"/>
      <c r="CA357" s="1491" t="n"/>
      <c r="CB357" s="1467" t="n"/>
      <c r="CC357" s="1467" t="n"/>
      <c r="CD357" s="1491" t="n"/>
      <c r="CE357" s="1491" t="n"/>
      <c r="CF357" s="1491" t="n"/>
      <c r="CG357" s="1491" t="n"/>
      <c r="CH357" s="1491" t="n"/>
      <c r="CI357" s="1491" t="n"/>
      <c r="CJ357" s="1491" t="n"/>
      <c r="CK357" s="1491" t="n"/>
      <c r="CL357" s="1491" t="n"/>
      <c r="CM357" s="1491" t="n"/>
      <c r="CN357" s="1491" t="n"/>
      <c r="CO357" s="1491" t="n"/>
      <c r="CP357" s="1491" t="n"/>
      <c r="CQ357" s="1491" t="n"/>
      <c r="CR357" s="1491" t="n"/>
      <c r="CS357" s="1491" t="n"/>
      <c r="CT357" s="1491" t="n"/>
      <c r="CU357" s="1491" t="n"/>
      <c r="CV357" s="1491" t="n"/>
      <c r="CW357" s="1491" t="n"/>
      <c r="CX357" s="1491" t="n"/>
    </row>
    <row r="358">
      <c r="A358" s="1491" t="n"/>
      <c r="B358" s="1491" t="n"/>
      <c r="C358" s="1491" t="n"/>
      <c r="D358" s="1497">
        <f>IF(E358&lt;&gt;"",D357+1,D357)</f>
        <v/>
      </c>
      <c r="E358" s="1497" t="inlineStr">
        <is>
          <t>Vuillafans</t>
        </is>
      </c>
      <c r="F358" s="1535" t="inlineStr">
        <is>
          <t>.</t>
        </is>
      </c>
      <c r="G358" s="1498">
        <f>IF(H358="AIR",0,IF(H357="AIR",G356+1,IF(H358&lt;&gt;"",G357+1,G357)))</f>
        <v/>
      </c>
      <c r="H358" s="1498" t="inlineStr">
        <is>
          <t>Grenant</t>
        </is>
      </c>
      <c r="I358" s="1427" t="inlineStr">
        <is>
          <t>.</t>
        </is>
      </c>
      <c r="J358" s="1499" t="n">
        <v>353</v>
      </c>
      <c r="K358" s="1500">
        <f>_xlfn.XLOOKUP(cities[[#This Row],[id]],$D$5:$D$1500,E$5:E$1500,"-")</f>
        <v/>
      </c>
      <c r="L358" s="1500">
        <f>_xlfn.XLOOKUP(cities[[#This Row],[city]],ccc[city],ccc[ctry],"-")</f>
        <v/>
      </c>
      <c r="M358" s="1500">
        <f>SUMIFS(stayCity[stay],stayCity[city],cities[[#This Row],[city]])</f>
        <v/>
      </c>
      <c r="N358" s="1427">
        <f>N357+1</f>
        <v/>
      </c>
      <c r="O358" s="1500" t="n"/>
      <c r="P358" s="1500" t="n"/>
      <c r="Q358" s="1427" t="inlineStr">
        <is>
          <t>.</t>
        </is>
      </c>
      <c r="R358" s="1491" t="n"/>
      <c r="S358" s="1491" t="n"/>
      <c r="T358" s="1491" t="n"/>
      <c r="U358" s="1491" t="n"/>
      <c r="V358" s="1491" t="n"/>
      <c r="W358" s="1491" t="n"/>
      <c r="X358" s="1491" t="n"/>
      <c r="Y358" s="1491" t="n"/>
      <c r="Z358" s="1491" t="n"/>
      <c r="AA358" s="1491" t="n"/>
      <c r="AB358" s="1491" t="n"/>
      <c r="AC358" s="1491" t="n"/>
      <c r="AD358" s="1491" t="n"/>
      <c r="AE358" s="1491" t="n"/>
      <c r="AF358" s="1491" t="n"/>
      <c r="AG358" s="1491" t="n"/>
      <c r="AH358" s="1491" t="n"/>
      <c r="AI358" s="1491" t="n"/>
      <c r="AJ358" s="1491" t="n"/>
      <c r="AK358" s="1491" t="n"/>
      <c r="AL358" s="1491" t="n"/>
      <c r="AM358" s="1491" t="n"/>
      <c r="AN358" s="1491" t="n"/>
      <c r="AO358" s="1491" t="n"/>
      <c r="AP358" s="1491" t="n"/>
      <c r="AQ358" s="1491" t="n"/>
      <c r="AR358" s="1491" t="n"/>
      <c r="AS358" s="1491" t="n"/>
      <c r="AT358" s="1491" t="n"/>
      <c r="AU358" s="1491" t="n"/>
      <c r="AV358" s="1491" t="n"/>
      <c r="AW358" s="1491" t="n"/>
      <c r="AX358" s="1491" t="n"/>
      <c r="AY358" s="1491" t="n"/>
      <c r="AZ358" s="1491" t="n"/>
      <c r="BA358" s="1491" t="n"/>
      <c r="BB358" s="1491" t="n"/>
      <c r="BC358" s="1491" t="n"/>
      <c r="BD358" s="1491" t="n"/>
      <c r="BE358" s="1491" t="n"/>
      <c r="BF358" s="1491" t="n"/>
      <c r="BG358" s="1491" t="n"/>
      <c r="BH358" s="1491" t="n"/>
      <c r="BI358" s="1491" t="n"/>
      <c r="BJ358" s="1491" t="n"/>
      <c r="BK358" s="1491" t="n"/>
      <c r="BL358" s="1491" t="n"/>
      <c r="BM358" s="1491" t="n"/>
      <c r="BN358" s="1491" t="n"/>
      <c r="BO358" s="1467" t="n"/>
      <c r="BP358" s="1514" t="n">
        <v>354</v>
      </c>
      <c r="BQ358" s="1513">
        <f>[1]Sheet1!C359</f>
        <v/>
      </c>
      <c r="BR358" s="1515">
        <f>[1]Sheet1!D359</f>
        <v/>
      </c>
      <c r="BS358" s="1513">
        <f>[1]Sheet1!E359</f>
        <v/>
      </c>
      <c r="BT358" s="1515">
        <f>[1]Sheet1!F359</f>
        <v/>
      </c>
      <c r="BU358" s="1516">
        <f>[1]Sheet1!G359</f>
        <v/>
      </c>
      <c r="BV358" s="1513">
        <f>[1]Sheet1!H359</f>
        <v/>
      </c>
      <c r="BW358" s="1467" t="n"/>
      <c r="BX358" s="1491" t="n"/>
      <c r="BY358" s="1491" t="n"/>
      <c r="BZ358" s="1491" t="n"/>
      <c r="CA358" s="1491" t="n"/>
      <c r="CB358" s="1467" t="n"/>
      <c r="CC358" s="1467" t="n"/>
      <c r="CD358" s="1491" t="n"/>
      <c r="CE358" s="1491" t="n"/>
      <c r="CF358" s="1491" t="n"/>
      <c r="CG358" s="1491" t="n"/>
      <c r="CH358" s="1491" t="n"/>
      <c r="CI358" s="1491" t="n"/>
      <c r="CJ358" s="1491" t="n"/>
      <c r="CK358" s="1491" t="n"/>
      <c r="CL358" s="1491" t="n"/>
      <c r="CM358" s="1491" t="n"/>
      <c r="CN358" s="1491" t="n"/>
      <c r="CO358" s="1491" t="n"/>
      <c r="CP358" s="1491" t="n"/>
      <c r="CQ358" s="1491" t="n"/>
      <c r="CR358" s="1491" t="n"/>
      <c r="CS358" s="1491" t="n"/>
      <c r="CT358" s="1491" t="n"/>
      <c r="CU358" s="1491" t="n"/>
      <c r="CV358" s="1491" t="n"/>
      <c r="CW358" s="1491" t="n"/>
      <c r="CX358" s="1491" t="n"/>
    </row>
    <row r="359">
      <c r="A359" s="1491" t="n"/>
      <c r="B359" s="1491" t="n"/>
      <c r="C359" s="1491" t="n"/>
      <c r="D359" s="1497">
        <f>IF(E359&lt;&gt;"",D358+1,D358)</f>
        <v/>
      </c>
      <c r="E359" s="1497" t="inlineStr">
        <is>
          <t>Lods</t>
        </is>
      </c>
      <c r="F359" s="1535" t="inlineStr">
        <is>
          <t>.</t>
        </is>
      </c>
      <c r="G359" s="1498">
        <f>IF(H359="AIR",0,IF(H358="AIR",G357+1,IF(H359&lt;&gt;"",G358+1,G358)))</f>
        <v/>
      </c>
      <c r="H359" s="1498" t="inlineStr">
        <is>
          <t>Champlitte</t>
        </is>
      </c>
      <c r="I359" s="1427" t="inlineStr">
        <is>
          <t>.</t>
        </is>
      </c>
      <c r="J359" s="1499" t="n">
        <v>354</v>
      </c>
      <c r="K359" s="1500">
        <f>_xlfn.XLOOKUP(cities[[#This Row],[id]],$D$5:$D$1500,E$5:E$1500,"-")</f>
        <v/>
      </c>
      <c r="L359" s="1500">
        <f>_xlfn.XLOOKUP(cities[[#This Row],[city]],ccc[city],ccc[ctry],"-")</f>
        <v/>
      </c>
      <c r="M359" s="1500">
        <f>SUMIFS(stayCity[stay],stayCity[city],cities[[#This Row],[city]])</f>
        <v/>
      </c>
      <c r="N359" s="1427">
        <f>N358+1</f>
        <v/>
      </c>
      <c r="O359" s="1500" t="n"/>
      <c r="P359" s="1500" t="n"/>
      <c r="Q359" s="1427" t="inlineStr">
        <is>
          <t>.</t>
        </is>
      </c>
      <c r="R359" s="1491" t="n"/>
      <c r="S359" s="1491" t="n"/>
      <c r="T359" s="1491" t="n"/>
      <c r="U359" s="1491" t="n"/>
      <c r="V359" s="1491" t="n"/>
      <c r="W359" s="1491" t="n"/>
      <c r="X359" s="1491" t="n"/>
      <c r="Y359" s="1491" t="n"/>
      <c r="Z359" s="1491" t="n"/>
      <c r="AA359" s="1491" t="n"/>
      <c r="AB359" s="1491" t="n"/>
      <c r="AC359" s="1491" t="n"/>
      <c r="AD359" s="1491" t="n"/>
      <c r="AE359" s="1491" t="n"/>
      <c r="AF359" s="1491" t="n"/>
      <c r="AG359" s="1491" t="n"/>
      <c r="AH359" s="1491" t="n"/>
      <c r="AI359" s="1491" t="n"/>
      <c r="AJ359" s="1491" t="n"/>
      <c r="AK359" s="1491" t="n"/>
      <c r="AL359" s="1491" t="n"/>
      <c r="AM359" s="1491" t="n"/>
      <c r="AN359" s="1491" t="n"/>
      <c r="AO359" s="1491" t="n"/>
      <c r="AP359" s="1491" t="n"/>
      <c r="AQ359" s="1491" t="n"/>
      <c r="AR359" s="1491" t="n"/>
      <c r="AS359" s="1491" t="n"/>
      <c r="AT359" s="1491" t="n"/>
      <c r="AU359" s="1491" t="n"/>
      <c r="AV359" s="1491" t="n"/>
      <c r="AW359" s="1491" t="n"/>
      <c r="AX359" s="1491" t="n"/>
      <c r="AY359" s="1491" t="n"/>
      <c r="AZ359" s="1491" t="n"/>
      <c r="BA359" s="1491" t="n"/>
      <c r="BB359" s="1491" t="n"/>
      <c r="BC359" s="1491" t="n"/>
      <c r="BD359" s="1491" t="n"/>
      <c r="BE359" s="1491" t="n"/>
      <c r="BF359" s="1491" t="n"/>
      <c r="BG359" s="1491" t="n"/>
      <c r="BH359" s="1491" t="n"/>
      <c r="BI359" s="1491" t="n"/>
      <c r="BJ359" s="1491" t="n"/>
      <c r="BK359" s="1491" t="n"/>
      <c r="BL359" s="1491" t="n"/>
      <c r="BM359" s="1491" t="n"/>
      <c r="BN359" s="1491" t="n"/>
      <c r="BO359" s="1467" t="n"/>
      <c r="BP359" s="1514" t="n">
        <v>355</v>
      </c>
      <c r="BQ359" s="1513">
        <f>[1]Sheet1!C360</f>
        <v/>
      </c>
      <c r="BR359" s="1515">
        <f>[1]Sheet1!D360</f>
        <v/>
      </c>
      <c r="BS359" s="1513">
        <f>[1]Sheet1!E360</f>
        <v/>
      </c>
      <c r="BT359" s="1515">
        <f>[1]Sheet1!F360</f>
        <v/>
      </c>
      <c r="BU359" s="1516">
        <f>[1]Sheet1!G360</f>
        <v/>
      </c>
      <c r="BV359" s="1513">
        <f>[1]Sheet1!H360</f>
        <v/>
      </c>
      <c r="BW359" s="1467" t="n"/>
      <c r="BX359" s="1491" t="n"/>
      <c r="BY359" s="1491" t="n"/>
      <c r="BZ359" s="1491" t="n"/>
      <c r="CA359" s="1491" t="n"/>
      <c r="CB359" s="1467" t="n"/>
      <c r="CC359" s="1467" t="n"/>
      <c r="CD359" s="1491" t="n"/>
      <c r="CE359" s="1491" t="n"/>
      <c r="CF359" s="1491" t="n"/>
      <c r="CG359" s="1491" t="n"/>
      <c r="CH359" s="1491" t="n"/>
      <c r="CI359" s="1491" t="n"/>
      <c r="CJ359" s="1491" t="n"/>
      <c r="CK359" s="1491" t="n"/>
      <c r="CL359" s="1491" t="n"/>
      <c r="CM359" s="1491" t="n"/>
      <c r="CN359" s="1491" t="n"/>
      <c r="CO359" s="1491" t="n"/>
      <c r="CP359" s="1491" t="n"/>
      <c r="CQ359" s="1491" t="n"/>
      <c r="CR359" s="1491" t="n"/>
      <c r="CS359" s="1491" t="n"/>
      <c r="CT359" s="1491" t="n"/>
      <c r="CU359" s="1491" t="n"/>
      <c r="CV359" s="1491" t="n"/>
      <c r="CW359" s="1491" t="n"/>
      <c r="CX359" s="1491" t="n"/>
    </row>
    <row r="360">
      <c r="A360" s="1491" t="n"/>
      <c r="B360" s="1491" t="n"/>
      <c r="C360" s="1491" t="n"/>
      <c r="D360" s="1497">
        <f>IF(E360&lt;&gt;"",D359+1,D359)</f>
        <v/>
      </c>
      <c r="E360" s="1497" t="inlineStr">
        <is>
          <t>Mouthier-Haute-Pierre</t>
        </is>
      </c>
      <c r="F360" s="1535" t="inlineStr">
        <is>
          <t>.</t>
        </is>
      </c>
      <c r="G360" s="1498">
        <f>IF(H360="AIR",0,IF(H359="AIR",G358+1,IF(H360&lt;&gt;"",G359+1,G359)))</f>
        <v/>
      </c>
      <c r="H360" s="1498" t="inlineStr">
        <is>
          <t>Mercey-sur-Saone</t>
        </is>
      </c>
      <c r="I360" s="1427" t="inlineStr">
        <is>
          <t>.</t>
        </is>
      </c>
      <c r="J360" s="1499" t="n">
        <v>355</v>
      </c>
      <c r="K360" s="1500">
        <f>_xlfn.XLOOKUP(cities[[#This Row],[id]],$D$5:$D$1500,E$5:E$1500,"-")</f>
        <v/>
      </c>
      <c r="L360" s="1500">
        <f>_xlfn.XLOOKUP(cities[[#This Row],[city]],ccc[city],ccc[ctry],"-")</f>
        <v/>
      </c>
      <c r="M360" s="1500">
        <f>SUMIFS(stayCity[stay],stayCity[city],cities[[#This Row],[city]])</f>
        <v/>
      </c>
      <c r="N360" s="1427">
        <f>N359+1</f>
        <v/>
      </c>
      <c r="O360" s="1500" t="n"/>
      <c r="P360" s="1500" t="n"/>
      <c r="Q360" s="1427" t="inlineStr">
        <is>
          <t>.</t>
        </is>
      </c>
      <c r="R360" s="1491" t="n"/>
      <c r="S360" s="1491" t="n"/>
      <c r="T360" s="1491" t="n"/>
      <c r="U360" s="1491" t="n"/>
      <c r="V360" s="1491" t="n"/>
      <c r="W360" s="1491" t="n"/>
      <c r="X360" s="1491" t="n"/>
      <c r="Y360" s="1491" t="n"/>
      <c r="Z360" s="1491" t="n"/>
      <c r="AA360" s="1491" t="n"/>
      <c r="AB360" s="1491" t="n"/>
      <c r="AC360" s="1491" t="n"/>
      <c r="AD360" s="1491" t="n"/>
      <c r="AE360" s="1491" t="n"/>
      <c r="AF360" s="1491" t="n"/>
      <c r="AG360" s="1491" t="n"/>
      <c r="AH360" s="1491" t="n"/>
      <c r="AI360" s="1491" t="n"/>
      <c r="AJ360" s="1491" t="n"/>
      <c r="AK360" s="1491" t="n"/>
      <c r="AL360" s="1491" t="n"/>
      <c r="AM360" s="1491" t="n"/>
      <c r="AN360" s="1491" t="n"/>
      <c r="AO360" s="1491" t="n"/>
      <c r="AP360" s="1491" t="n"/>
      <c r="AQ360" s="1491" t="n"/>
      <c r="AR360" s="1491" t="n"/>
      <c r="AS360" s="1491" t="n"/>
      <c r="AT360" s="1491" t="n"/>
      <c r="AU360" s="1491" t="n"/>
      <c r="AV360" s="1491" t="n"/>
      <c r="AW360" s="1491" t="n"/>
      <c r="AX360" s="1491" t="n"/>
      <c r="AY360" s="1491" t="n"/>
      <c r="AZ360" s="1491" t="n"/>
      <c r="BA360" s="1491" t="n"/>
      <c r="BB360" s="1491" t="n"/>
      <c r="BC360" s="1491" t="n"/>
      <c r="BD360" s="1491" t="n"/>
      <c r="BE360" s="1491" t="n"/>
      <c r="BF360" s="1491" t="n"/>
      <c r="BG360" s="1491" t="n"/>
      <c r="BH360" s="1491" t="n"/>
      <c r="BI360" s="1491" t="n"/>
      <c r="BJ360" s="1491" t="n"/>
      <c r="BK360" s="1491" t="n"/>
      <c r="BL360" s="1491" t="n"/>
      <c r="BM360" s="1491" t="n"/>
      <c r="BN360" s="1491" t="n"/>
      <c r="BO360" s="1467" t="n"/>
      <c r="BP360" s="1514" t="n">
        <v>356</v>
      </c>
      <c r="BQ360" s="1513">
        <f>[1]Sheet1!C361</f>
        <v/>
      </c>
      <c r="BR360" s="1515">
        <f>[1]Sheet1!D361</f>
        <v/>
      </c>
      <c r="BS360" s="1513">
        <f>[1]Sheet1!E361</f>
        <v/>
      </c>
      <c r="BT360" s="1515">
        <f>[1]Sheet1!F361</f>
        <v/>
      </c>
      <c r="BU360" s="1516">
        <f>[1]Sheet1!G361</f>
        <v/>
      </c>
      <c r="BV360" s="1513">
        <f>[1]Sheet1!H361</f>
        <v/>
      </c>
      <c r="BW360" s="1467" t="n"/>
      <c r="BX360" s="1491" t="n"/>
      <c r="BY360" s="1491" t="n"/>
      <c r="BZ360" s="1491" t="n"/>
      <c r="CA360" s="1491" t="n"/>
      <c r="CB360" s="1467" t="n"/>
      <c r="CC360" s="1467" t="n"/>
      <c r="CD360" s="1491" t="n"/>
      <c r="CE360" s="1491" t="n"/>
      <c r="CF360" s="1491" t="n"/>
      <c r="CG360" s="1491" t="n"/>
      <c r="CH360" s="1491" t="n"/>
      <c r="CI360" s="1491" t="n"/>
      <c r="CJ360" s="1491" t="n"/>
      <c r="CK360" s="1491" t="n"/>
      <c r="CL360" s="1491" t="n"/>
      <c r="CM360" s="1491" t="n"/>
      <c r="CN360" s="1491" t="n"/>
      <c r="CO360" s="1491" t="n"/>
      <c r="CP360" s="1491" t="n"/>
      <c r="CQ360" s="1491" t="n"/>
      <c r="CR360" s="1491" t="n"/>
      <c r="CS360" s="1491" t="n"/>
      <c r="CT360" s="1491" t="n"/>
      <c r="CU360" s="1491" t="n"/>
      <c r="CV360" s="1491" t="n"/>
      <c r="CW360" s="1491" t="n"/>
      <c r="CX360" s="1491" t="n"/>
    </row>
    <row r="361">
      <c r="A361" s="1491" t="n"/>
      <c r="B361" s="1491" t="n"/>
      <c r="C361" s="1491" t="n"/>
      <c r="D361" s="1497">
        <f>IF(E361&lt;&gt;"",D360+1,D360)</f>
        <v/>
      </c>
      <c r="E361" s="1497" t="inlineStr">
        <is>
          <t>La Vrine</t>
        </is>
      </c>
      <c r="F361" s="1535" t="inlineStr">
        <is>
          <t>.</t>
        </is>
      </c>
      <c r="G361" s="1498">
        <f>IF(H361="AIR",0,IF(H360="AIR",G359+1,IF(H361&lt;&gt;"",G360+1,G360)))</f>
        <v/>
      </c>
      <c r="H361" s="1498" t="inlineStr">
        <is>
          <t>Frasne-le-Chateau</t>
        </is>
      </c>
      <c r="I361" s="1427" t="inlineStr">
        <is>
          <t>.</t>
        </is>
      </c>
      <c r="J361" s="1499" t="n">
        <v>356</v>
      </c>
      <c r="K361" s="1500">
        <f>_xlfn.XLOOKUP(cities[[#This Row],[id]],$D$5:$D$1500,E$5:E$1500,"-")</f>
        <v/>
      </c>
      <c r="L361" s="1500">
        <f>_xlfn.XLOOKUP(cities[[#This Row],[city]],ccc[city],ccc[ctry],"-")</f>
        <v/>
      </c>
      <c r="M361" s="1500">
        <f>SUMIFS(stayCity[stay],stayCity[city],cities[[#This Row],[city]])</f>
        <v/>
      </c>
      <c r="N361" s="1427">
        <f>N360+1</f>
        <v/>
      </c>
      <c r="O361" s="1500" t="n"/>
      <c r="P361" s="1500" t="n"/>
      <c r="Q361" s="1427" t="inlineStr">
        <is>
          <t>.</t>
        </is>
      </c>
      <c r="R361" s="1491" t="n"/>
      <c r="S361" s="1491" t="n"/>
      <c r="T361" s="1491" t="n"/>
      <c r="U361" s="1491" t="n"/>
      <c r="V361" s="1491" t="n"/>
      <c r="W361" s="1491" t="n"/>
      <c r="X361" s="1491" t="n"/>
      <c r="Y361" s="1491" t="n"/>
      <c r="Z361" s="1491" t="n"/>
      <c r="AA361" s="1491" t="n"/>
      <c r="AB361" s="1491" t="n"/>
      <c r="AC361" s="1491" t="n"/>
      <c r="AD361" s="1491" t="n"/>
      <c r="AE361" s="1491" t="n"/>
      <c r="AF361" s="1491" t="n"/>
      <c r="AG361" s="1491" t="n"/>
      <c r="AH361" s="1491" t="n"/>
      <c r="AI361" s="1491" t="n"/>
      <c r="AJ361" s="1491" t="n"/>
      <c r="AK361" s="1491" t="n"/>
      <c r="AL361" s="1491" t="n"/>
      <c r="AM361" s="1491" t="n"/>
      <c r="AN361" s="1491" t="n"/>
      <c r="AO361" s="1491" t="n"/>
      <c r="AP361" s="1491" t="n"/>
      <c r="AQ361" s="1491" t="n"/>
      <c r="AR361" s="1491" t="n"/>
      <c r="AS361" s="1491" t="n"/>
      <c r="AT361" s="1491" t="n"/>
      <c r="AU361" s="1491" t="n"/>
      <c r="AV361" s="1491" t="n"/>
      <c r="AW361" s="1491" t="n"/>
      <c r="AX361" s="1491" t="n"/>
      <c r="AY361" s="1491" t="n"/>
      <c r="AZ361" s="1491" t="n"/>
      <c r="BA361" s="1491" t="n"/>
      <c r="BB361" s="1491" t="n"/>
      <c r="BC361" s="1491" t="n"/>
      <c r="BD361" s="1491" t="n"/>
      <c r="BE361" s="1491" t="n"/>
      <c r="BF361" s="1491" t="n"/>
      <c r="BG361" s="1491" t="n"/>
      <c r="BH361" s="1491" t="n"/>
      <c r="BI361" s="1491" t="n"/>
      <c r="BJ361" s="1491" t="n"/>
      <c r="BK361" s="1491" t="n"/>
      <c r="BL361" s="1491" t="n"/>
      <c r="BM361" s="1491" t="n"/>
      <c r="BN361" s="1491" t="n"/>
      <c r="BO361" s="1467" t="n"/>
      <c r="BP361" s="1514" t="n">
        <v>357</v>
      </c>
      <c r="BQ361" s="1513">
        <f>[1]Sheet1!C362</f>
        <v/>
      </c>
      <c r="BR361" s="1515">
        <f>[1]Sheet1!D362</f>
        <v/>
      </c>
      <c r="BS361" s="1513">
        <f>[1]Sheet1!E362</f>
        <v/>
      </c>
      <c r="BT361" s="1515">
        <f>[1]Sheet1!F362</f>
        <v/>
      </c>
      <c r="BU361" s="1516">
        <f>[1]Sheet1!G362</f>
        <v/>
      </c>
      <c r="BV361" s="1513">
        <f>[1]Sheet1!H362</f>
        <v/>
      </c>
      <c r="BW361" s="1467" t="n"/>
      <c r="BX361" s="1491" t="n"/>
      <c r="BY361" s="1491" t="n"/>
      <c r="BZ361" s="1491" t="n"/>
      <c r="CA361" s="1491" t="n"/>
      <c r="CB361" s="1467" t="n"/>
      <c r="CC361" s="1467" t="n"/>
      <c r="CD361" s="1491" t="n"/>
      <c r="CE361" s="1491" t="n"/>
      <c r="CF361" s="1491" t="n"/>
      <c r="CG361" s="1491" t="n"/>
      <c r="CH361" s="1491" t="n"/>
      <c r="CI361" s="1491" t="n"/>
      <c r="CJ361" s="1491" t="n"/>
      <c r="CK361" s="1491" t="n"/>
      <c r="CL361" s="1491" t="n"/>
      <c r="CM361" s="1491" t="n"/>
      <c r="CN361" s="1491" t="n"/>
      <c r="CO361" s="1491" t="n"/>
      <c r="CP361" s="1491" t="n"/>
      <c r="CQ361" s="1491" t="n"/>
      <c r="CR361" s="1491" t="n"/>
      <c r="CS361" s="1491" t="n"/>
      <c r="CT361" s="1491" t="n"/>
      <c r="CU361" s="1491" t="n"/>
      <c r="CV361" s="1491" t="n"/>
      <c r="CW361" s="1491" t="n"/>
      <c r="CX361" s="1491" t="n"/>
    </row>
    <row r="362">
      <c r="A362" s="1491" t="n"/>
      <c r="B362" s="1491" t="n"/>
      <c r="C362" s="1491" t="n"/>
      <c r="D362" s="1497">
        <f>IF(E362&lt;&gt;"",D361+1,D361)</f>
        <v/>
      </c>
      <c r="E362" s="1497" t="inlineStr">
        <is>
          <t>Pontarlier</t>
        </is>
      </c>
      <c r="F362" s="1535" t="inlineStr">
        <is>
          <t>.</t>
        </is>
      </c>
      <c r="G362" s="1498">
        <f>IF(H362="AIR",0,IF(H361="AIR",G360+1,IF(H362&lt;&gt;"",G361+1,G361)))</f>
        <v/>
      </c>
      <c r="H362" s="1498" t="inlineStr">
        <is>
          <t>Cussey-sur-l'Ognon</t>
        </is>
      </c>
      <c r="I362" s="1427" t="inlineStr">
        <is>
          <t>.</t>
        </is>
      </c>
      <c r="J362" s="1499" t="n">
        <v>357</v>
      </c>
      <c r="K362" s="1500">
        <f>_xlfn.XLOOKUP(cities[[#This Row],[id]],$D$5:$D$1500,E$5:E$1500,"-")</f>
        <v/>
      </c>
      <c r="L362" s="1500">
        <f>_xlfn.XLOOKUP(cities[[#This Row],[city]],ccc[city],ccc[ctry],"-")</f>
        <v/>
      </c>
      <c r="M362" s="1500">
        <f>SUMIFS(stayCity[stay],stayCity[city],cities[[#This Row],[city]])</f>
        <v/>
      </c>
      <c r="N362" s="1427">
        <f>N361+1</f>
        <v/>
      </c>
      <c r="O362" s="1500" t="n"/>
      <c r="P362" s="1500" t="n"/>
      <c r="Q362" s="1427" t="inlineStr">
        <is>
          <t>.</t>
        </is>
      </c>
      <c r="R362" s="1491" t="n"/>
      <c r="S362" s="1491" t="n"/>
      <c r="T362" s="1491" t="n"/>
      <c r="U362" s="1491" t="n"/>
      <c r="V362" s="1491" t="n"/>
      <c r="W362" s="1491" t="n"/>
      <c r="X362" s="1491" t="n"/>
      <c r="Y362" s="1491" t="n"/>
      <c r="Z362" s="1491" t="n"/>
      <c r="AA362" s="1491" t="n"/>
      <c r="AB362" s="1491" t="n"/>
      <c r="AC362" s="1491" t="n"/>
      <c r="AD362" s="1491" t="n"/>
      <c r="AE362" s="1491" t="n"/>
      <c r="AF362" s="1491" t="n"/>
      <c r="AG362" s="1491" t="n"/>
      <c r="AH362" s="1491" t="n"/>
      <c r="AI362" s="1491" t="n"/>
      <c r="AJ362" s="1491" t="n"/>
      <c r="AK362" s="1491" t="n"/>
      <c r="AL362" s="1491" t="n"/>
      <c r="AM362" s="1491" t="n"/>
      <c r="AN362" s="1491" t="n"/>
      <c r="AO362" s="1491" t="n"/>
      <c r="AP362" s="1491" t="n"/>
      <c r="AQ362" s="1491" t="n"/>
      <c r="AR362" s="1491" t="n"/>
      <c r="AS362" s="1491" t="n"/>
      <c r="AT362" s="1491" t="n"/>
      <c r="AU362" s="1491" t="n"/>
      <c r="AV362" s="1491" t="n"/>
      <c r="AW362" s="1491" t="n"/>
      <c r="AX362" s="1491" t="n"/>
      <c r="AY362" s="1491" t="n"/>
      <c r="AZ362" s="1491" t="n"/>
      <c r="BA362" s="1491" t="n"/>
      <c r="BB362" s="1491" t="n"/>
      <c r="BC362" s="1491" t="n"/>
      <c r="BD362" s="1491" t="n"/>
      <c r="BE362" s="1491" t="n"/>
      <c r="BF362" s="1491" t="n"/>
      <c r="BG362" s="1491" t="n"/>
      <c r="BH362" s="1491" t="n"/>
      <c r="BI362" s="1491" t="n"/>
      <c r="BJ362" s="1491" t="n"/>
      <c r="BK362" s="1491" t="n"/>
      <c r="BL362" s="1491" t="n"/>
      <c r="BM362" s="1491" t="n"/>
      <c r="BN362" s="1491" t="n"/>
      <c r="BO362" s="1467" t="n"/>
      <c r="BP362" s="1514" t="n">
        <v>358</v>
      </c>
      <c r="BQ362" s="1513">
        <f>[1]Sheet1!C363</f>
        <v/>
      </c>
      <c r="BR362" s="1515">
        <f>[1]Sheet1!D363</f>
        <v/>
      </c>
      <c r="BS362" s="1513">
        <f>[1]Sheet1!E363</f>
        <v/>
      </c>
      <c r="BT362" s="1515">
        <f>[1]Sheet1!F363</f>
        <v/>
      </c>
      <c r="BU362" s="1516">
        <f>[1]Sheet1!G363</f>
        <v/>
      </c>
      <c r="BV362" s="1513">
        <f>[1]Sheet1!H363</f>
        <v/>
      </c>
      <c r="BW362" s="1467" t="n"/>
      <c r="BX362" s="1491" t="n"/>
      <c r="BY362" s="1491" t="n"/>
      <c r="BZ362" s="1491" t="n"/>
      <c r="CA362" s="1491" t="n"/>
      <c r="CB362" s="1467" t="n"/>
      <c r="CC362" s="1467" t="n"/>
      <c r="CD362" s="1491" t="n"/>
      <c r="CE362" s="1491" t="n"/>
      <c r="CF362" s="1491" t="n"/>
      <c r="CG362" s="1491" t="n"/>
      <c r="CH362" s="1491" t="n"/>
      <c r="CI362" s="1491" t="n"/>
      <c r="CJ362" s="1491" t="n"/>
      <c r="CK362" s="1491" t="n"/>
      <c r="CL362" s="1491" t="n"/>
      <c r="CM362" s="1491" t="n"/>
      <c r="CN362" s="1491" t="n"/>
      <c r="CO362" s="1491" t="n"/>
      <c r="CP362" s="1491" t="n"/>
      <c r="CQ362" s="1491" t="n"/>
      <c r="CR362" s="1491" t="n"/>
      <c r="CS362" s="1491" t="n"/>
      <c r="CT362" s="1491" t="n"/>
      <c r="CU362" s="1491" t="n"/>
      <c r="CV362" s="1491" t="n"/>
      <c r="CW362" s="1491" t="n"/>
      <c r="CX362" s="1491" t="n"/>
    </row>
    <row r="363">
      <c r="A363" s="1491" t="n"/>
      <c r="B363" s="1491" t="n"/>
      <c r="C363" s="1491" t="n"/>
      <c r="D363" s="1497">
        <f>IF(E363&lt;&gt;"",D362+1,D362)</f>
        <v/>
      </c>
      <c r="E363" s="1497" t="inlineStr">
        <is>
          <t>Cluse-et-Mijoux</t>
        </is>
      </c>
      <c r="F363" s="1535" t="inlineStr">
        <is>
          <t>.</t>
        </is>
      </c>
      <c r="G363" s="1498">
        <f>IF(H363="AIR",0,IF(H362="AIR",G361+1,IF(H363&lt;&gt;"",G362+1,G362)))</f>
        <v/>
      </c>
      <c r="H363" s="1498" t="inlineStr">
        <is>
          <t>Besançon</t>
        </is>
      </c>
      <c r="I363" s="1427" t="inlineStr">
        <is>
          <t>.</t>
        </is>
      </c>
      <c r="J363" s="1499" t="n">
        <v>358</v>
      </c>
      <c r="K363" s="1500">
        <f>_xlfn.XLOOKUP(cities[[#This Row],[id]],$D$5:$D$1500,E$5:E$1500,"-")</f>
        <v/>
      </c>
      <c r="L363" s="1500">
        <f>_xlfn.XLOOKUP(cities[[#This Row],[city]],ccc[city],ccc[ctry],"-")</f>
        <v/>
      </c>
      <c r="M363" s="1500">
        <f>SUMIFS(stayCity[stay],stayCity[city],cities[[#This Row],[city]])</f>
        <v/>
      </c>
      <c r="N363" s="1427">
        <f>N362+1</f>
        <v/>
      </c>
      <c r="O363" s="1500" t="n"/>
      <c r="P363" s="1500" t="n"/>
      <c r="Q363" s="1427" t="inlineStr">
        <is>
          <t>.</t>
        </is>
      </c>
      <c r="R363" s="1491" t="n"/>
      <c r="S363" s="1491" t="n"/>
      <c r="T363" s="1491" t="n"/>
      <c r="U363" s="1491" t="n"/>
      <c r="V363" s="1491" t="n"/>
      <c r="W363" s="1491" t="n"/>
      <c r="X363" s="1491" t="n"/>
      <c r="Y363" s="1491" t="n"/>
      <c r="Z363" s="1491" t="n"/>
      <c r="AA363" s="1491" t="n"/>
      <c r="AB363" s="1491" t="n"/>
      <c r="AC363" s="1491" t="n"/>
      <c r="AD363" s="1491" t="n"/>
      <c r="AE363" s="1491" t="n"/>
      <c r="AF363" s="1491" t="n"/>
      <c r="AG363" s="1491" t="n"/>
      <c r="AH363" s="1491" t="n"/>
      <c r="AI363" s="1491" t="n"/>
      <c r="AJ363" s="1491" t="n"/>
      <c r="AK363" s="1491" t="n"/>
      <c r="AL363" s="1491" t="n"/>
      <c r="AM363" s="1491" t="n"/>
      <c r="AN363" s="1491" t="n"/>
      <c r="AO363" s="1491" t="n"/>
      <c r="AP363" s="1491" t="n"/>
      <c r="AQ363" s="1491" t="n"/>
      <c r="AR363" s="1491" t="n"/>
      <c r="AS363" s="1491" t="n"/>
      <c r="AT363" s="1491" t="n"/>
      <c r="AU363" s="1491" t="n"/>
      <c r="AV363" s="1491" t="n"/>
      <c r="AW363" s="1491" t="n"/>
      <c r="AX363" s="1491" t="n"/>
      <c r="AY363" s="1491" t="n"/>
      <c r="AZ363" s="1491" t="n"/>
      <c r="BA363" s="1491" t="n"/>
      <c r="BB363" s="1491" t="n"/>
      <c r="BC363" s="1491" t="n"/>
      <c r="BD363" s="1491" t="n"/>
      <c r="BE363" s="1491" t="n"/>
      <c r="BF363" s="1491" t="n"/>
      <c r="BG363" s="1491" t="n"/>
      <c r="BH363" s="1491" t="n"/>
      <c r="BI363" s="1491" t="n"/>
      <c r="BJ363" s="1491" t="n"/>
      <c r="BK363" s="1491" t="n"/>
      <c r="BL363" s="1491" t="n"/>
      <c r="BM363" s="1491" t="n"/>
      <c r="BN363" s="1491" t="n"/>
      <c r="BO363" s="1467" t="n"/>
      <c r="BP363" s="1514" t="n">
        <v>359</v>
      </c>
      <c r="BQ363" s="1513">
        <f>[1]Sheet1!C364</f>
        <v/>
      </c>
      <c r="BR363" s="1515">
        <f>[1]Sheet1!D364</f>
        <v/>
      </c>
      <c r="BS363" s="1513">
        <f>[1]Sheet1!E364</f>
        <v/>
      </c>
      <c r="BT363" s="1515">
        <f>[1]Sheet1!F364</f>
        <v/>
      </c>
      <c r="BU363" s="1516">
        <f>[1]Sheet1!G364</f>
        <v/>
      </c>
      <c r="BV363" s="1513">
        <f>[1]Sheet1!H364</f>
        <v/>
      </c>
      <c r="BW363" s="1467" t="n"/>
      <c r="BX363" s="1491" t="n"/>
      <c r="BY363" s="1491" t="n"/>
      <c r="BZ363" s="1491" t="n"/>
      <c r="CA363" s="1491" t="n"/>
      <c r="CB363" s="1467" t="n"/>
      <c r="CC363" s="1467" t="n"/>
      <c r="CD363" s="1491" t="n"/>
      <c r="CE363" s="1491" t="n"/>
      <c r="CF363" s="1491" t="n"/>
      <c r="CG363" s="1491" t="n"/>
      <c r="CH363" s="1491" t="n"/>
      <c r="CI363" s="1491" t="n"/>
      <c r="CJ363" s="1491" t="n"/>
      <c r="CK363" s="1491" t="n"/>
      <c r="CL363" s="1491" t="n"/>
      <c r="CM363" s="1491" t="n"/>
      <c r="CN363" s="1491" t="n"/>
      <c r="CO363" s="1491" t="n"/>
      <c r="CP363" s="1491" t="n"/>
      <c r="CQ363" s="1491" t="n"/>
      <c r="CR363" s="1491" t="n"/>
      <c r="CS363" s="1491" t="n"/>
      <c r="CT363" s="1491" t="n"/>
      <c r="CU363" s="1491" t="n"/>
      <c r="CV363" s="1491" t="n"/>
      <c r="CW363" s="1491" t="n"/>
      <c r="CX363" s="1491" t="n"/>
    </row>
    <row r="364">
      <c r="A364" s="1491" t="n"/>
      <c r="B364" s="1491" t="n"/>
      <c r="C364" s="1491" t="n"/>
      <c r="D364" s="1497">
        <f>IF(E364&lt;&gt;"",D363+1,D363)</f>
        <v/>
      </c>
      <c r="E364" s="1497" t="inlineStr">
        <is>
          <t>Les Fourgs</t>
        </is>
      </c>
      <c r="F364" s="1535" t="inlineStr">
        <is>
          <t>.</t>
        </is>
      </c>
      <c r="G364" s="1498">
        <f>IF(H364="AIR",0,IF(H363="AIR",G362+1,IF(H364&lt;&gt;"",G363+1,G363)))</f>
        <v/>
      </c>
      <c r="H364" s="1498" t="inlineStr">
        <is>
          <t>Ornans</t>
        </is>
      </c>
      <c r="I364" s="1427" t="inlineStr">
        <is>
          <t>.</t>
        </is>
      </c>
      <c r="J364" s="1499" t="n">
        <v>359</v>
      </c>
      <c r="K364" s="1500">
        <f>_xlfn.XLOOKUP(cities[[#This Row],[id]],$D$5:$D$1500,E$5:E$1500,"-")</f>
        <v/>
      </c>
      <c r="L364" s="1500">
        <f>_xlfn.XLOOKUP(cities[[#This Row],[city]],ccc[city],ccc[ctry],"-")</f>
        <v/>
      </c>
      <c r="M364" s="1500">
        <f>SUMIFS(stayCity[stay],stayCity[city],cities[[#This Row],[city]])</f>
        <v/>
      </c>
      <c r="N364" s="1427">
        <f>N363+1</f>
        <v/>
      </c>
      <c r="O364" s="1500" t="n"/>
      <c r="P364" s="1500" t="n"/>
      <c r="Q364" s="1427" t="inlineStr">
        <is>
          <t>.</t>
        </is>
      </c>
      <c r="R364" s="1491" t="n"/>
      <c r="S364" s="1491" t="n"/>
      <c r="T364" s="1491" t="n"/>
      <c r="U364" s="1491" t="n"/>
      <c r="V364" s="1491" t="n"/>
      <c r="W364" s="1491" t="n"/>
      <c r="X364" s="1491" t="n"/>
      <c r="Y364" s="1491" t="n"/>
      <c r="Z364" s="1491" t="n"/>
      <c r="AA364" s="1491" t="n"/>
      <c r="AB364" s="1491" t="n"/>
      <c r="AC364" s="1491" t="n"/>
      <c r="AD364" s="1491" t="n"/>
      <c r="AE364" s="1491" t="n"/>
      <c r="AF364" s="1491" t="n"/>
      <c r="AG364" s="1491" t="n"/>
      <c r="AH364" s="1491" t="n"/>
      <c r="AI364" s="1491" t="n"/>
      <c r="AJ364" s="1491" t="n"/>
      <c r="AK364" s="1491" t="n"/>
      <c r="AL364" s="1491" t="n"/>
      <c r="AM364" s="1491" t="n"/>
      <c r="AN364" s="1491" t="n"/>
      <c r="AO364" s="1491" t="n"/>
      <c r="AP364" s="1491" t="n"/>
      <c r="AQ364" s="1491" t="n"/>
      <c r="AR364" s="1491" t="n"/>
      <c r="AS364" s="1491" t="n"/>
      <c r="AT364" s="1491" t="n"/>
      <c r="AU364" s="1491" t="n"/>
      <c r="AV364" s="1491" t="n"/>
      <c r="AW364" s="1491" t="n"/>
      <c r="AX364" s="1491" t="n"/>
      <c r="AY364" s="1491" t="n"/>
      <c r="AZ364" s="1491" t="n"/>
      <c r="BA364" s="1491" t="n"/>
      <c r="BB364" s="1491" t="n"/>
      <c r="BC364" s="1491" t="n"/>
      <c r="BD364" s="1491" t="n"/>
      <c r="BE364" s="1491" t="n"/>
      <c r="BF364" s="1491" t="n"/>
      <c r="BG364" s="1491" t="n"/>
      <c r="BH364" s="1491" t="n"/>
      <c r="BI364" s="1491" t="n"/>
      <c r="BJ364" s="1491" t="n"/>
      <c r="BK364" s="1491" t="n"/>
      <c r="BL364" s="1491" t="n"/>
      <c r="BM364" s="1491" t="n"/>
      <c r="BN364" s="1491" t="n"/>
      <c r="BO364" s="1467" t="n"/>
      <c r="BP364" s="1514" t="n">
        <v>360</v>
      </c>
      <c r="BQ364" s="1513">
        <f>[1]Sheet1!C365</f>
        <v/>
      </c>
      <c r="BR364" s="1515">
        <f>[1]Sheet1!D365</f>
        <v/>
      </c>
      <c r="BS364" s="1513">
        <f>[1]Sheet1!E365</f>
        <v/>
      </c>
      <c r="BT364" s="1515">
        <f>[1]Sheet1!F365</f>
        <v/>
      </c>
      <c r="BU364" s="1516">
        <f>[1]Sheet1!G365</f>
        <v/>
      </c>
      <c r="BV364" s="1513">
        <f>[1]Sheet1!H365</f>
        <v/>
      </c>
      <c r="BW364" s="1467" t="n"/>
      <c r="BX364" s="1491" t="n"/>
      <c r="BY364" s="1491" t="n"/>
      <c r="BZ364" s="1491" t="n"/>
      <c r="CA364" s="1491" t="n"/>
      <c r="CB364" s="1467" t="n"/>
      <c r="CC364" s="1467" t="n"/>
      <c r="CD364" s="1491" t="n"/>
      <c r="CE364" s="1491" t="n"/>
      <c r="CF364" s="1491" t="n"/>
      <c r="CG364" s="1491" t="n"/>
      <c r="CH364" s="1491" t="n"/>
      <c r="CI364" s="1491" t="n"/>
      <c r="CJ364" s="1491" t="n"/>
      <c r="CK364" s="1491" t="n"/>
      <c r="CL364" s="1491" t="n"/>
      <c r="CM364" s="1491" t="n"/>
      <c r="CN364" s="1491" t="n"/>
      <c r="CO364" s="1491" t="n"/>
      <c r="CP364" s="1491" t="n"/>
      <c r="CQ364" s="1491" t="n"/>
      <c r="CR364" s="1491" t="n"/>
      <c r="CS364" s="1491" t="n"/>
      <c r="CT364" s="1491" t="n"/>
      <c r="CU364" s="1491" t="n"/>
      <c r="CV364" s="1491" t="n"/>
      <c r="CW364" s="1491" t="n"/>
      <c r="CX364" s="1491" t="n"/>
    </row>
    <row r="365">
      <c r="A365" s="1491" t="n"/>
      <c r="B365" s="1491" t="n"/>
      <c r="C365" s="1491" t="n"/>
      <c r="D365" s="1497">
        <f>IF(E365&lt;&gt;"",D364+1,D364)</f>
        <v/>
      </c>
      <c r="E365" s="1497" t="inlineStr">
        <is>
          <t>Auberson</t>
        </is>
      </c>
      <c r="F365" s="1535" t="inlineStr">
        <is>
          <t>.</t>
        </is>
      </c>
      <c r="G365" s="1498">
        <f>IF(H365="AIR",0,IF(H364="AIR",G363+1,IF(H365&lt;&gt;"",G364+1,G364)))</f>
        <v/>
      </c>
      <c r="H365" s="1498" t="inlineStr">
        <is>
          <t>Vuillafans</t>
        </is>
      </c>
      <c r="I365" s="1427" t="inlineStr">
        <is>
          <t>.</t>
        </is>
      </c>
      <c r="J365" s="1499" t="n">
        <v>360</v>
      </c>
      <c r="K365" s="1500">
        <f>_xlfn.XLOOKUP(cities[[#This Row],[id]],$D$5:$D$1500,E$5:E$1500,"-")</f>
        <v/>
      </c>
      <c r="L365" s="1500">
        <f>_xlfn.XLOOKUP(cities[[#This Row],[city]],ccc[city],ccc[ctry],"-")</f>
        <v/>
      </c>
      <c r="M365" s="1500">
        <f>SUMIFS(stayCity[stay],stayCity[city],cities[[#This Row],[city]])</f>
        <v/>
      </c>
      <c r="N365" s="1427">
        <f>N364+1</f>
        <v/>
      </c>
      <c r="O365" s="1500" t="n"/>
      <c r="P365" s="1500" t="n"/>
      <c r="Q365" s="1427" t="inlineStr">
        <is>
          <t>.</t>
        </is>
      </c>
      <c r="R365" s="1491" t="n"/>
      <c r="S365" s="1491" t="n"/>
      <c r="T365" s="1491" t="n"/>
      <c r="U365" s="1491" t="n"/>
      <c r="V365" s="1491" t="n"/>
      <c r="W365" s="1491" t="n"/>
      <c r="X365" s="1491" t="n"/>
      <c r="Y365" s="1491" t="n"/>
      <c r="Z365" s="1491" t="n"/>
      <c r="AA365" s="1491" t="n"/>
      <c r="AB365" s="1491" t="n"/>
      <c r="AC365" s="1491" t="n"/>
      <c r="AD365" s="1491" t="n"/>
      <c r="AE365" s="1491" t="n"/>
      <c r="AF365" s="1491" t="n"/>
      <c r="AG365" s="1491" t="n"/>
      <c r="AH365" s="1491" t="n"/>
      <c r="AI365" s="1491" t="n"/>
      <c r="AJ365" s="1491" t="n"/>
      <c r="AK365" s="1491" t="n"/>
      <c r="AL365" s="1491" t="n"/>
      <c r="AM365" s="1491" t="n"/>
      <c r="AN365" s="1491" t="n"/>
      <c r="AO365" s="1491" t="n"/>
      <c r="AP365" s="1491" t="n"/>
      <c r="AQ365" s="1491" t="n"/>
      <c r="AR365" s="1491" t="n"/>
      <c r="AS365" s="1491" t="n"/>
      <c r="AT365" s="1491" t="n"/>
      <c r="AU365" s="1491" t="n"/>
      <c r="AV365" s="1491" t="n"/>
      <c r="AW365" s="1491" t="n"/>
      <c r="AX365" s="1491" t="n"/>
      <c r="AY365" s="1491" t="n"/>
      <c r="AZ365" s="1491" t="n"/>
      <c r="BA365" s="1491" t="n"/>
      <c r="BB365" s="1491" t="n"/>
      <c r="BC365" s="1491" t="n"/>
      <c r="BD365" s="1491" t="n"/>
      <c r="BE365" s="1491" t="n"/>
      <c r="BF365" s="1491" t="n"/>
      <c r="BG365" s="1491" t="n"/>
      <c r="BH365" s="1491" t="n"/>
      <c r="BI365" s="1491" t="n"/>
      <c r="BJ365" s="1491" t="n"/>
      <c r="BK365" s="1491" t="n"/>
      <c r="BL365" s="1491" t="n"/>
      <c r="BM365" s="1491" t="n"/>
      <c r="BN365" s="1491" t="n"/>
      <c r="BO365" s="1467" t="n"/>
      <c r="BP365" s="1514" t="n">
        <v>361</v>
      </c>
      <c r="BQ365" s="1513">
        <f>[1]Sheet1!C366</f>
        <v/>
      </c>
      <c r="BR365" s="1515">
        <f>[1]Sheet1!D366</f>
        <v/>
      </c>
      <c r="BS365" s="1513">
        <f>[1]Sheet1!E366</f>
        <v/>
      </c>
      <c r="BT365" s="1515">
        <f>[1]Sheet1!F366</f>
        <v/>
      </c>
      <c r="BU365" s="1516">
        <f>[1]Sheet1!G366</f>
        <v/>
      </c>
      <c r="BV365" s="1513">
        <f>[1]Sheet1!H366</f>
        <v/>
      </c>
      <c r="BW365" s="1467" t="n"/>
      <c r="BX365" s="1491" t="n"/>
      <c r="BY365" s="1491" t="n"/>
      <c r="BZ365" s="1491" t="n"/>
      <c r="CA365" s="1491" t="n"/>
      <c r="CB365" s="1467" t="n"/>
      <c r="CC365" s="1467" t="n"/>
      <c r="CD365" s="1491" t="n"/>
      <c r="CE365" s="1491" t="n"/>
      <c r="CF365" s="1491" t="n"/>
      <c r="CG365" s="1491" t="n"/>
      <c r="CH365" s="1491" t="n"/>
      <c r="CI365" s="1491" t="n"/>
      <c r="CJ365" s="1491" t="n"/>
      <c r="CK365" s="1491" t="n"/>
      <c r="CL365" s="1491" t="n"/>
      <c r="CM365" s="1491" t="n"/>
      <c r="CN365" s="1491" t="n"/>
      <c r="CO365" s="1491" t="n"/>
      <c r="CP365" s="1491" t="n"/>
      <c r="CQ365" s="1491" t="n"/>
      <c r="CR365" s="1491" t="n"/>
      <c r="CS365" s="1491" t="n"/>
      <c r="CT365" s="1491" t="n"/>
      <c r="CU365" s="1491" t="n"/>
      <c r="CV365" s="1491" t="n"/>
      <c r="CW365" s="1491" t="n"/>
      <c r="CX365" s="1491" t="n"/>
    </row>
    <row r="366">
      <c r="A366" s="1491" t="n"/>
      <c r="B366" s="1491" t="n"/>
      <c r="C366" s="1491" t="n"/>
      <c r="D366" s="1497">
        <f>IF(E366&lt;&gt;"",D365+1,D365)</f>
        <v/>
      </c>
      <c r="E366" s="1497" t="inlineStr">
        <is>
          <t>Ste. Croix</t>
        </is>
      </c>
      <c r="F366" s="1535" t="inlineStr">
        <is>
          <t>.</t>
        </is>
      </c>
      <c r="G366" s="1498">
        <f>IF(H366="AIR",0,IF(H365="AIR",G364+1,IF(H366&lt;&gt;"",G365+1,G365)))</f>
        <v/>
      </c>
      <c r="H366" s="1498" t="inlineStr">
        <is>
          <t>Lods</t>
        </is>
      </c>
      <c r="I366" s="1427" t="inlineStr">
        <is>
          <t>.</t>
        </is>
      </c>
      <c r="J366" s="1499" t="n">
        <v>361</v>
      </c>
      <c r="K366" s="1500">
        <f>_xlfn.XLOOKUP(cities[[#This Row],[id]],$D$5:$D$1500,E$5:E$1500,"-")</f>
        <v/>
      </c>
      <c r="L366" s="1500">
        <f>_xlfn.XLOOKUP(cities[[#This Row],[city]],ccc[city],ccc[ctry],"-")</f>
        <v/>
      </c>
      <c r="M366" s="1500">
        <f>SUMIFS(stayCity[stay],stayCity[city],cities[[#This Row],[city]])</f>
        <v/>
      </c>
      <c r="N366" s="1427">
        <f>N365+1</f>
        <v/>
      </c>
      <c r="O366" s="1500" t="n"/>
      <c r="P366" s="1500" t="n"/>
      <c r="Q366" s="1427" t="inlineStr">
        <is>
          <t>.</t>
        </is>
      </c>
      <c r="R366" s="1491" t="n"/>
      <c r="S366" s="1491" t="n"/>
      <c r="T366" s="1491" t="n"/>
      <c r="U366" s="1491" t="n"/>
      <c r="V366" s="1491" t="n"/>
      <c r="W366" s="1491" t="n"/>
      <c r="X366" s="1491" t="n"/>
      <c r="Y366" s="1491" t="n"/>
      <c r="Z366" s="1491" t="n"/>
      <c r="AA366" s="1491" t="n"/>
      <c r="AB366" s="1491" t="n"/>
      <c r="AC366" s="1491" t="n"/>
      <c r="AD366" s="1491" t="n"/>
      <c r="AE366" s="1491" t="n"/>
      <c r="AF366" s="1491" t="n"/>
      <c r="AG366" s="1491" t="n"/>
      <c r="AH366" s="1491" t="n"/>
      <c r="AI366" s="1491" t="n"/>
      <c r="AJ366" s="1491" t="n"/>
      <c r="AK366" s="1491" t="n"/>
      <c r="AL366" s="1491" t="n"/>
      <c r="AM366" s="1491" t="n"/>
      <c r="AN366" s="1491" t="n"/>
      <c r="AO366" s="1491" t="n"/>
      <c r="AP366" s="1491" t="n"/>
      <c r="AQ366" s="1491" t="n"/>
      <c r="AR366" s="1491" t="n"/>
      <c r="AS366" s="1491" t="n"/>
      <c r="AT366" s="1491" t="n"/>
      <c r="AU366" s="1491" t="n"/>
      <c r="AV366" s="1491" t="n"/>
      <c r="AW366" s="1491" t="n"/>
      <c r="AX366" s="1491" t="n"/>
      <c r="AY366" s="1491" t="n"/>
      <c r="AZ366" s="1491" t="n"/>
      <c r="BA366" s="1491" t="n"/>
      <c r="BB366" s="1491" t="n"/>
      <c r="BC366" s="1491" t="n"/>
      <c r="BD366" s="1491" t="n"/>
      <c r="BE366" s="1491" t="n"/>
      <c r="BF366" s="1491" t="n"/>
      <c r="BG366" s="1491" t="n"/>
      <c r="BH366" s="1491" t="n"/>
      <c r="BI366" s="1491" t="n"/>
      <c r="BJ366" s="1491" t="n"/>
      <c r="BK366" s="1491" t="n"/>
      <c r="BL366" s="1491" t="n"/>
      <c r="BM366" s="1491" t="n"/>
      <c r="BN366" s="1491" t="n"/>
      <c r="BO366" s="1467" t="n"/>
      <c r="BP366" s="1514" t="n">
        <v>362</v>
      </c>
      <c r="BQ366" s="1513">
        <f>[1]Sheet1!C367</f>
        <v/>
      </c>
      <c r="BR366" s="1515">
        <f>[1]Sheet1!D367</f>
        <v/>
      </c>
      <c r="BS366" s="1513">
        <f>[1]Sheet1!E367</f>
        <v/>
      </c>
      <c r="BT366" s="1515">
        <f>[1]Sheet1!F367</f>
        <v/>
      </c>
      <c r="BU366" s="1516">
        <f>[1]Sheet1!G367</f>
        <v/>
      </c>
      <c r="BV366" s="1513">
        <f>[1]Sheet1!H367</f>
        <v/>
      </c>
      <c r="BW366" s="1467" t="n"/>
      <c r="BX366" s="1491" t="n"/>
      <c r="BY366" s="1491" t="n"/>
      <c r="BZ366" s="1491" t="n"/>
      <c r="CA366" s="1491" t="n"/>
      <c r="CB366" s="1467" t="n"/>
      <c r="CC366" s="1467" t="n"/>
      <c r="CD366" s="1491" t="n"/>
      <c r="CE366" s="1491" t="n"/>
      <c r="CF366" s="1491" t="n"/>
      <c r="CG366" s="1491" t="n"/>
      <c r="CH366" s="1491" t="n"/>
      <c r="CI366" s="1491" t="n"/>
      <c r="CJ366" s="1491" t="n"/>
      <c r="CK366" s="1491" t="n"/>
      <c r="CL366" s="1491" t="n"/>
      <c r="CM366" s="1491" t="n"/>
      <c r="CN366" s="1491" t="n"/>
      <c r="CO366" s="1491" t="n"/>
      <c r="CP366" s="1491" t="n"/>
      <c r="CQ366" s="1491" t="n"/>
      <c r="CR366" s="1491" t="n"/>
      <c r="CS366" s="1491" t="n"/>
      <c r="CT366" s="1491" t="n"/>
      <c r="CU366" s="1491" t="n"/>
      <c r="CV366" s="1491" t="n"/>
      <c r="CW366" s="1491" t="n"/>
      <c r="CX366" s="1491" t="n"/>
    </row>
    <row r="367">
      <c r="A367" s="1491" t="n"/>
      <c r="B367" s="1491" t="n"/>
      <c r="C367" s="1491" t="n"/>
      <c r="D367" s="1497">
        <f>IF(E367&lt;&gt;"",D366+1,D366)</f>
        <v/>
      </c>
      <c r="E367" s="1497" t="inlineStr">
        <is>
          <t>Vuiteboeuf</t>
        </is>
      </c>
      <c r="F367" s="1535" t="inlineStr">
        <is>
          <t>.</t>
        </is>
      </c>
      <c r="G367" s="1498">
        <f>IF(H367="AIR",0,IF(H366="AIR",G365+1,IF(H367&lt;&gt;"",G366+1,G366)))</f>
        <v/>
      </c>
      <c r="H367" s="1498" t="inlineStr">
        <is>
          <t>Mouthier-Haute-Pierre</t>
        </is>
      </c>
      <c r="I367" s="1427" t="inlineStr">
        <is>
          <t>.</t>
        </is>
      </c>
      <c r="J367" s="1499" t="n">
        <v>362</v>
      </c>
      <c r="K367" s="1500">
        <f>_xlfn.XLOOKUP(cities[[#This Row],[id]],$D$5:$D$1500,E$5:E$1500,"-")</f>
        <v/>
      </c>
      <c r="L367" s="1500">
        <f>_xlfn.XLOOKUP(cities[[#This Row],[city]],ccc[city],ccc[ctry],"-")</f>
        <v/>
      </c>
      <c r="M367" s="1500">
        <f>SUMIFS(stayCity[stay],stayCity[city],cities[[#This Row],[city]])</f>
        <v/>
      </c>
      <c r="N367" s="1427">
        <f>N366+1</f>
        <v/>
      </c>
      <c r="O367" s="1500" t="n"/>
      <c r="P367" s="1500" t="n"/>
      <c r="Q367" s="1427" t="inlineStr">
        <is>
          <t>.</t>
        </is>
      </c>
      <c r="R367" s="1491" t="n"/>
      <c r="S367" s="1491" t="n"/>
      <c r="T367" s="1491" t="n"/>
      <c r="U367" s="1491" t="n"/>
      <c r="V367" s="1491" t="n"/>
      <c r="W367" s="1491" t="n"/>
      <c r="X367" s="1491" t="n"/>
      <c r="Y367" s="1491" t="n"/>
      <c r="Z367" s="1491" t="n"/>
      <c r="AA367" s="1491" t="n"/>
      <c r="AB367" s="1491" t="n"/>
      <c r="AC367" s="1491" t="n"/>
      <c r="AD367" s="1491" t="n"/>
      <c r="AE367" s="1491" t="n"/>
      <c r="AF367" s="1491" t="n"/>
      <c r="AG367" s="1491" t="n"/>
      <c r="AH367" s="1491" t="n"/>
      <c r="AI367" s="1491" t="n"/>
      <c r="AJ367" s="1491" t="n"/>
      <c r="AK367" s="1491" t="n"/>
      <c r="AL367" s="1491" t="n"/>
      <c r="AM367" s="1491" t="n"/>
      <c r="AN367" s="1491" t="n"/>
      <c r="AO367" s="1491" t="n"/>
      <c r="AP367" s="1491" t="n"/>
      <c r="AQ367" s="1491" t="n"/>
      <c r="AR367" s="1491" t="n"/>
      <c r="AS367" s="1491" t="n"/>
      <c r="AT367" s="1491" t="n"/>
      <c r="AU367" s="1491" t="n"/>
      <c r="AV367" s="1491" t="n"/>
      <c r="AW367" s="1491" t="n"/>
      <c r="AX367" s="1491" t="n"/>
      <c r="AY367" s="1491" t="n"/>
      <c r="AZ367" s="1491" t="n"/>
      <c r="BA367" s="1491" t="n"/>
      <c r="BB367" s="1491" t="n"/>
      <c r="BC367" s="1491" t="n"/>
      <c r="BD367" s="1491" t="n"/>
      <c r="BE367" s="1491" t="n"/>
      <c r="BF367" s="1491" t="n"/>
      <c r="BG367" s="1491" t="n"/>
      <c r="BH367" s="1491" t="n"/>
      <c r="BI367" s="1491" t="n"/>
      <c r="BJ367" s="1491" t="n"/>
      <c r="BK367" s="1491" t="n"/>
      <c r="BL367" s="1491" t="n"/>
      <c r="BM367" s="1491" t="n"/>
      <c r="BN367" s="1491" t="n"/>
      <c r="BO367" s="1467" t="n"/>
      <c r="BP367" s="1514" t="n">
        <v>363</v>
      </c>
      <c r="BQ367" s="1513">
        <f>[1]Sheet1!C368</f>
        <v/>
      </c>
      <c r="BR367" s="1515">
        <f>[1]Sheet1!D368</f>
        <v/>
      </c>
      <c r="BS367" s="1513">
        <f>[1]Sheet1!E368</f>
        <v/>
      </c>
      <c r="BT367" s="1515">
        <f>[1]Sheet1!F368</f>
        <v/>
      </c>
      <c r="BU367" s="1516">
        <f>[1]Sheet1!G368</f>
        <v/>
      </c>
      <c r="BV367" s="1513">
        <f>[1]Sheet1!H368</f>
        <v/>
      </c>
      <c r="BW367" s="1467" t="n"/>
      <c r="BX367" s="1491" t="n"/>
      <c r="BY367" s="1491" t="n"/>
      <c r="BZ367" s="1491" t="n"/>
      <c r="CA367" s="1491" t="n"/>
      <c r="CB367" s="1467" t="n"/>
      <c r="CC367" s="1467" t="n"/>
      <c r="CD367" s="1491" t="n"/>
      <c r="CE367" s="1491" t="n"/>
      <c r="CF367" s="1491" t="n"/>
      <c r="CG367" s="1491" t="n"/>
      <c r="CH367" s="1491" t="n"/>
      <c r="CI367" s="1491" t="n"/>
      <c r="CJ367" s="1491" t="n"/>
      <c r="CK367" s="1491" t="n"/>
      <c r="CL367" s="1491" t="n"/>
      <c r="CM367" s="1491" t="n"/>
      <c r="CN367" s="1491" t="n"/>
      <c r="CO367" s="1491" t="n"/>
      <c r="CP367" s="1491" t="n"/>
      <c r="CQ367" s="1491" t="n"/>
      <c r="CR367" s="1491" t="n"/>
      <c r="CS367" s="1491" t="n"/>
      <c r="CT367" s="1491" t="n"/>
      <c r="CU367" s="1491" t="n"/>
      <c r="CV367" s="1491" t="n"/>
      <c r="CW367" s="1491" t="n"/>
      <c r="CX367" s="1491" t="n"/>
    </row>
    <row r="368">
      <c r="A368" s="1491" t="n"/>
      <c r="B368" s="1491" t="n"/>
      <c r="C368" s="1491" t="n"/>
      <c r="D368" s="1497">
        <f>IF(E368&lt;&gt;"",D367+1,D367)</f>
        <v/>
      </c>
      <c r="E368" s="1497" t="inlineStr">
        <is>
          <t>Baulmes</t>
        </is>
      </c>
      <c r="F368" s="1535" t="inlineStr">
        <is>
          <t>.</t>
        </is>
      </c>
      <c r="G368" s="1498">
        <f>IF(H368="AIR",0,IF(H367="AIR",G366+1,IF(H368&lt;&gt;"",G367+1,G367)))</f>
        <v/>
      </c>
      <c r="H368" s="1498" t="inlineStr">
        <is>
          <t>La Vrine</t>
        </is>
      </c>
      <c r="I368" s="1427" t="inlineStr">
        <is>
          <t>.</t>
        </is>
      </c>
      <c r="J368" s="1499" t="n">
        <v>363</v>
      </c>
      <c r="K368" s="1500">
        <f>_xlfn.XLOOKUP(cities[[#This Row],[id]],$D$5:$D$1500,E$5:E$1500,"-")</f>
        <v/>
      </c>
      <c r="L368" s="1500">
        <f>_xlfn.XLOOKUP(cities[[#This Row],[city]],ccc[city],ccc[ctry],"-")</f>
        <v/>
      </c>
      <c r="M368" s="1500">
        <f>SUMIFS(stayCity[stay],stayCity[city],cities[[#This Row],[city]])</f>
        <v/>
      </c>
      <c r="N368" s="1427">
        <f>N367+1</f>
        <v/>
      </c>
      <c r="O368" s="1500" t="n"/>
      <c r="P368" s="1500" t="n"/>
      <c r="Q368" s="1427" t="inlineStr">
        <is>
          <t>.</t>
        </is>
      </c>
      <c r="R368" s="1491" t="n"/>
      <c r="S368" s="1491" t="n"/>
      <c r="T368" s="1491" t="n"/>
      <c r="U368" s="1491" t="n"/>
      <c r="V368" s="1491" t="n"/>
      <c r="W368" s="1491" t="n"/>
      <c r="X368" s="1491" t="n"/>
      <c r="Y368" s="1491" t="n"/>
      <c r="Z368" s="1491" t="n"/>
      <c r="AA368" s="1491" t="n"/>
      <c r="AB368" s="1491" t="n"/>
      <c r="AC368" s="1491" t="n"/>
      <c r="AD368" s="1491" t="n"/>
      <c r="AE368" s="1491" t="n"/>
      <c r="AF368" s="1491" t="n"/>
      <c r="AG368" s="1491" t="n"/>
      <c r="AH368" s="1491" t="n"/>
      <c r="AI368" s="1491" t="n"/>
      <c r="AJ368" s="1491" t="n"/>
      <c r="AK368" s="1491" t="n"/>
      <c r="AL368" s="1491" t="n"/>
      <c r="AM368" s="1491" t="n"/>
      <c r="AN368" s="1491" t="n"/>
      <c r="AO368" s="1491" t="n"/>
      <c r="AP368" s="1491" t="n"/>
      <c r="AQ368" s="1491" t="n"/>
      <c r="AR368" s="1491" t="n"/>
      <c r="AS368" s="1491" t="n"/>
      <c r="AT368" s="1491" t="n"/>
      <c r="AU368" s="1491" t="n"/>
      <c r="AV368" s="1491" t="n"/>
      <c r="AW368" s="1491" t="n"/>
      <c r="AX368" s="1491" t="n"/>
      <c r="AY368" s="1491" t="n"/>
      <c r="AZ368" s="1491" t="n"/>
      <c r="BA368" s="1491" t="n"/>
      <c r="BB368" s="1491" t="n"/>
      <c r="BC368" s="1491" t="n"/>
      <c r="BD368" s="1491" t="n"/>
      <c r="BE368" s="1491" t="n"/>
      <c r="BF368" s="1491" t="n"/>
      <c r="BG368" s="1491" t="n"/>
      <c r="BH368" s="1491" t="n"/>
      <c r="BI368" s="1491" t="n"/>
      <c r="BJ368" s="1491" t="n"/>
      <c r="BK368" s="1491" t="n"/>
      <c r="BL368" s="1491" t="n"/>
      <c r="BM368" s="1491" t="n"/>
      <c r="BN368" s="1491" t="n"/>
      <c r="BO368" s="1467" t="n"/>
      <c r="BP368" s="1514" t="n">
        <v>364</v>
      </c>
      <c r="BQ368" s="1513">
        <f>[1]Sheet1!C369</f>
        <v/>
      </c>
      <c r="BR368" s="1515">
        <f>[1]Sheet1!D369</f>
        <v/>
      </c>
      <c r="BS368" s="1513">
        <f>[1]Sheet1!E369</f>
        <v/>
      </c>
      <c r="BT368" s="1515">
        <f>[1]Sheet1!F369</f>
        <v/>
      </c>
      <c r="BU368" s="1516">
        <f>[1]Sheet1!G369</f>
        <v/>
      </c>
      <c r="BV368" s="1513">
        <f>[1]Sheet1!H369</f>
        <v/>
      </c>
      <c r="BW368" s="1467" t="n"/>
      <c r="BX368" s="1491" t="n"/>
      <c r="BY368" s="1491" t="n"/>
      <c r="BZ368" s="1491" t="n"/>
      <c r="CA368" s="1491" t="n"/>
      <c r="CB368" s="1467" t="n"/>
      <c r="CC368" s="1467" t="n"/>
      <c r="CD368" s="1491" t="n"/>
      <c r="CE368" s="1491" t="n"/>
      <c r="CF368" s="1491" t="n"/>
      <c r="CG368" s="1491" t="n"/>
      <c r="CH368" s="1491" t="n"/>
      <c r="CI368" s="1491" t="n"/>
      <c r="CJ368" s="1491" t="n"/>
      <c r="CK368" s="1491" t="n"/>
      <c r="CL368" s="1491" t="n"/>
      <c r="CM368" s="1491" t="n"/>
      <c r="CN368" s="1491" t="n"/>
      <c r="CO368" s="1491" t="n"/>
      <c r="CP368" s="1491" t="n"/>
      <c r="CQ368" s="1491" t="n"/>
      <c r="CR368" s="1491" t="n"/>
      <c r="CS368" s="1491" t="n"/>
      <c r="CT368" s="1491" t="n"/>
      <c r="CU368" s="1491" t="n"/>
      <c r="CV368" s="1491" t="n"/>
      <c r="CW368" s="1491" t="n"/>
      <c r="CX368" s="1491" t="n"/>
    </row>
    <row r="369">
      <c r="A369" s="1491" t="n"/>
      <c r="B369" s="1491" t="n"/>
      <c r="C369" s="1491" t="n"/>
      <c r="D369" s="1497">
        <f>IF(E369&lt;&gt;"",D368+1,D368)</f>
        <v/>
      </c>
      <c r="E369" s="1497" t="inlineStr">
        <is>
          <t>Orbe</t>
        </is>
      </c>
      <c r="F369" s="1535" t="inlineStr">
        <is>
          <t>.</t>
        </is>
      </c>
      <c r="G369" s="1498">
        <f>IF(H369="AIR",0,IF(H368="AIR",G367+1,IF(H369&lt;&gt;"",G368+1,G368)))</f>
        <v/>
      </c>
      <c r="H369" s="1498" t="inlineStr">
        <is>
          <t>Pontarlier</t>
        </is>
      </c>
      <c r="I369" s="1427" t="inlineStr">
        <is>
          <t>.</t>
        </is>
      </c>
      <c r="J369" s="1499" t="n">
        <v>364</v>
      </c>
      <c r="K369" s="1500">
        <f>_xlfn.XLOOKUP(cities[[#This Row],[id]],$D$5:$D$1500,E$5:E$1500,"-")</f>
        <v/>
      </c>
      <c r="L369" s="1500">
        <f>_xlfn.XLOOKUP(cities[[#This Row],[city]],ccc[city],ccc[ctry],"-")</f>
        <v/>
      </c>
      <c r="M369" s="1500">
        <f>SUMIFS(stayCity[stay],stayCity[city],cities[[#This Row],[city]])</f>
        <v/>
      </c>
      <c r="N369" s="1427">
        <f>N368+1</f>
        <v/>
      </c>
      <c r="O369" s="1500" t="n"/>
      <c r="P369" s="1500" t="n"/>
      <c r="Q369" s="1427" t="inlineStr">
        <is>
          <t>.</t>
        </is>
      </c>
      <c r="R369" s="1491" t="n"/>
      <c r="S369" s="1491" t="n"/>
      <c r="T369" s="1491" t="n"/>
      <c r="U369" s="1491" t="n"/>
      <c r="V369" s="1491" t="n"/>
      <c r="W369" s="1491" t="n"/>
      <c r="X369" s="1491" t="n"/>
      <c r="Y369" s="1491" t="n"/>
      <c r="Z369" s="1491" t="n"/>
      <c r="AA369" s="1491" t="n"/>
      <c r="AB369" s="1491" t="n"/>
      <c r="AC369" s="1491" t="n"/>
      <c r="AD369" s="1491" t="n"/>
      <c r="AE369" s="1491" t="n"/>
      <c r="AF369" s="1491" t="n"/>
      <c r="AG369" s="1491" t="n"/>
      <c r="AH369" s="1491" t="n"/>
      <c r="AI369" s="1491" t="n"/>
      <c r="AJ369" s="1491" t="n"/>
      <c r="AK369" s="1491" t="n"/>
      <c r="AL369" s="1491" t="n"/>
      <c r="AM369" s="1491" t="n"/>
      <c r="AN369" s="1491" t="n"/>
      <c r="AO369" s="1491" t="n"/>
      <c r="AP369" s="1491" t="n"/>
      <c r="AQ369" s="1491" t="n"/>
      <c r="AR369" s="1491" t="n"/>
      <c r="AS369" s="1491" t="n"/>
      <c r="AT369" s="1491" t="n"/>
      <c r="AU369" s="1491" t="n"/>
      <c r="AV369" s="1491" t="n"/>
      <c r="AW369" s="1491" t="n"/>
      <c r="AX369" s="1491" t="n"/>
      <c r="AY369" s="1491" t="n"/>
      <c r="AZ369" s="1491" t="n"/>
      <c r="BA369" s="1491" t="n"/>
      <c r="BB369" s="1491" t="n"/>
      <c r="BC369" s="1491" t="n"/>
      <c r="BD369" s="1491" t="n"/>
      <c r="BE369" s="1491" t="n"/>
      <c r="BF369" s="1491" t="n"/>
      <c r="BG369" s="1491" t="n"/>
      <c r="BH369" s="1491" t="n"/>
      <c r="BI369" s="1491" t="n"/>
      <c r="BJ369" s="1491" t="n"/>
      <c r="BK369" s="1491" t="n"/>
      <c r="BL369" s="1491" t="n"/>
      <c r="BM369" s="1491" t="n"/>
      <c r="BN369" s="1491" t="n"/>
      <c r="BO369" s="1467" t="n"/>
      <c r="BP369" s="1514" t="n">
        <v>365</v>
      </c>
      <c r="BQ369" s="1513">
        <f>[1]Sheet1!C370</f>
        <v/>
      </c>
      <c r="BR369" s="1515">
        <f>[1]Sheet1!D370</f>
        <v/>
      </c>
      <c r="BS369" s="1513">
        <f>[1]Sheet1!E370</f>
        <v/>
      </c>
      <c r="BT369" s="1515">
        <f>[1]Sheet1!F370</f>
        <v/>
      </c>
      <c r="BU369" s="1516">
        <f>[1]Sheet1!G370</f>
        <v/>
      </c>
      <c r="BV369" s="1513">
        <f>[1]Sheet1!H370</f>
        <v/>
      </c>
      <c r="BW369" s="1467" t="n"/>
      <c r="BX369" s="1491" t="n"/>
      <c r="BY369" s="1491" t="n"/>
      <c r="BZ369" s="1491" t="n"/>
      <c r="CA369" s="1491" t="n"/>
      <c r="CB369" s="1467" t="n"/>
      <c r="CC369" s="1467" t="n"/>
      <c r="CD369" s="1491" t="n"/>
      <c r="CE369" s="1491" t="n"/>
      <c r="CF369" s="1491" t="n"/>
      <c r="CG369" s="1491" t="n"/>
      <c r="CH369" s="1491" t="n"/>
      <c r="CI369" s="1491" t="n"/>
      <c r="CJ369" s="1491" t="n"/>
      <c r="CK369" s="1491" t="n"/>
      <c r="CL369" s="1491" t="n"/>
      <c r="CM369" s="1491" t="n"/>
      <c r="CN369" s="1491" t="n"/>
      <c r="CO369" s="1491" t="n"/>
      <c r="CP369" s="1491" t="n"/>
      <c r="CQ369" s="1491" t="n"/>
      <c r="CR369" s="1491" t="n"/>
      <c r="CS369" s="1491" t="n"/>
      <c r="CT369" s="1491" t="n"/>
      <c r="CU369" s="1491" t="n"/>
      <c r="CV369" s="1491" t="n"/>
      <c r="CW369" s="1491" t="n"/>
      <c r="CX369" s="1491" t="n"/>
    </row>
    <row r="370">
      <c r="A370" s="1491" t="n"/>
      <c r="B370" s="1491" t="n"/>
      <c r="C370" s="1491" t="n"/>
      <c r="D370" s="1497">
        <f>IF(E370&lt;&gt;"",D369+1,D369)</f>
        <v/>
      </c>
      <c r="E370" s="1497" t="inlineStr">
        <is>
          <t>Villette</t>
        </is>
      </c>
      <c r="F370" s="1535" t="inlineStr">
        <is>
          <t>.</t>
        </is>
      </c>
      <c r="G370" s="1498">
        <f>IF(H370="AIR",0,IF(H369="AIR",G368+1,IF(H370&lt;&gt;"",G369+1,G369)))</f>
        <v/>
      </c>
      <c r="H370" s="1498" t="inlineStr">
        <is>
          <t>Cluse-et-Mijoux</t>
        </is>
      </c>
      <c r="I370" s="1427" t="inlineStr">
        <is>
          <t>.</t>
        </is>
      </c>
      <c r="J370" s="1499" t="n">
        <v>365</v>
      </c>
      <c r="K370" s="1500">
        <f>_xlfn.XLOOKUP(cities[[#This Row],[id]],$D$5:$D$1500,E$5:E$1500,"-")</f>
        <v/>
      </c>
      <c r="L370" s="1500">
        <f>_xlfn.XLOOKUP(cities[[#This Row],[city]],ccc[city],ccc[ctry],"-")</f>
        <v/>
      </c>
      <c r="M370" s="1500">
        <f>SUMIFS(stayCity[stay],stayCity[city],cities[[#This Row],[city]])</f>
        <v/>
      </c>
      <c r="N370" s="1427">
        <f>N369+1</f>
        <v/>
      </c>
      <c r="O370" s="1500" t="n"/>
      <c r="P370" s="1500" t="n"/>
      <c r="Q370" s="1427" t="inlineStr">
        <is>
          <t>.</t>
        </is>
      </c>
      <c r="R370" s="1491" t="n"/>
      <c r="S370" s="1491" t="n"/>
      <c r="T370" s="1491" t="n"/>
      <c r="U370" s="1491" t="n"/>
      <c r="V370" s="1491" t="n"/>
      <c r="W370" s="1491" t="n"/>
      <c r="X370" s="1491" t="n"/>
      <c r="Y370" s="1491" t="n"/>
      <c r="Z370" s="1491" t="n"/>
      <c r="AA370" s="1491" t="n"/>
      <c r="AB370" s="1491" t="n"/>
      <c r="AC370" s="1491" t="n"/>
      <c r="AD370" s="1491" t="n"/>
      <c r="AE370" s="1491" t="n"/>
      <c r="AF370" s="1491" t="n"/>
      <c r="AG370" s="1491" t="n"/>
      <c r="AH370" s="1491" t="n"/>
      <c r="AI370" s="1491" t="n"/>
      <c r="AJ370" s="1491" t="n"/>
      <c r="AK370" s="1491" t="n"/>
      <c r="AL370" s="1491" t="n"/>
      <c r="AM370" s="1491" t="n"/>
      <c r="AN370" s="1491" t="n"/>
      <c r="AO370" s="1491" t="n"/>
      <c r="AP370" s="1491" t="n"/>
      <c r="AQ370" s="1491" t="n"/>
      <c r="AR370" s="1491" t="n"/>
      <c r="AS370" s="1491" t="n"/>
      <c r="AT370" s="1491" t="n"/>
      <c r="AU370" s="1491" t="n"/>
      <c r="AV370" s="1491" t="n"/>
      <c r="AW370" s="1491" t="n"/>
      <c r="AX370" s="1491" t="n"/>
      <c r="AY370" s="1491" t="n"/>
      <c r="AZ370" s="1491" t="n"/>
      <c r="BA370" s="1491" t="n"/>
      <c r="BB370" s="1491" t="n"/>
      <c r="BC370" s="1491" t="n"/>
      <c r="BD370" s="1491" t="n"/>
      <c r="BE370" s="1491" t="n"/>
      <c r="BF370" s="1491" t="n"/>
      <c r="BG370" s="1491" t="n"/>
      <c r="BH370" s="1491" t="n"/>
      <c r="BI370" s="1491" t="n"/>
      <c r="BJ370" s="1491" t="n"/>
      <c r="BK370" s="1491" t="n"/>
      <c r="BL370" s="1491" t="n"/>
      <c r="BM370" s="1491" t="n"/>
      <c r="BN370" s="1491" t="n"/>
      <c r="BO370" s="1467" t="n"/>
      <c r="BP370" s="1514" t="n">
        <v>366</v>
      </c>
      <c r="BQ370" s="1513">
        <f>[1]Sheet1!C371</f>
        <v/>
      </c>
      <c r="BR370" s="1515">
        <f>[1]Sheet1!D371</f>
        <v/>
      </c>
      <c r="BS370" s="1513">
        <f>[1]Sheet1!E371</f>
        <v/>
      </c>
      <c r="BT370" s="1515">
        <f>[1]Sheet1!F371</f>
        <v/>
      </c>
      <c r="BU370" s="1516">
        <f>[1]Sheet1!G371</f>
        <v/>
      </c>
      <c r="BV370" s="1513">
        <f>[1]Sheet1!H371</f>
        <v/>
      </c>
      <c r="BW370" s="1467" t="n"/>
      <c r="BX370" s="1491" t="n"/>
      <c r="BY370" s="1491" t="n"/>
      <c r="BZ370" s="1491" t="n"/>
      <c r="CA370" s="1491" t="n"/>
      <c r="CB370" s="1467" t="n"/>
      <c r="CC370" s="1467" t="n"/>
      <c r="CD370" s="1491" t="n"/>
      <c r="CE370" s="1491" t="n"/>
      <c r="CF370" s="1491" t="n"/>
      <c r="CG370" s="1491" t="n"/>
      <c r="CH370" s="1491" t="n"/>
      <c r="CI370" s="1491" t="n"/>
      <c r="CJ370" s="1491" t="n"/>
      <c r="CK370" s="1491" t="n"/>
      <c r="CL370" s="1491" t="n"/>
      <c r="CM370" s="1491" t="n"/>
      <c r="CN370" s="1491" t="n"/>
      <c r="CO370" s="1491" t="n"/>
      <c r="CP370" s="1491" t="n"/>
      <c r="CQ370" s="1491" t="n"/>
      <c r="CR370" s="1491" t="n"/>
      <c r="CS370" s="1491" t="n"/>
      <c r="CT370" s="1491" t="n"/>
      <c r="CU370" s="1491" t="n"/>
      <c r="CV370" s="1491" t="n"/>
      <c r="CW370" s="1491" t="n"/>
      <c r="CX370" s="1491" t="n"/>
    </row>
    <row r="371">
      <c r="A371" s="1491" t="n"/>
      <c r="B371" s="1491" t="n"/>
      <c r="C371" s="1491" t="n"/>
      <c r="D371" s="1497">
        <f>IF(E371&lt;&gt;"",D370+1,D370)</f>
        <v/>
      </c>
      <c r="E371" s="1497" t="inlineStr">
        <is>
          <t>Vevey</t>
        </is>
      </c>
      <c r="F371" s="1535" t="inlineStr">
        <is>
          <t>.</t>
        </is>
      </c>
      <c r="G371" s="1498">
        <f>IF(H371="AIR",0,IF(H370="AIR",G369+1,IF(H371&lt;&gt;"",G370+1,G370)))</f>
        <v/>
      </c>
      <c r="H371" s="1498" t="inlineStr">
        <is>
          <t>Les Fourgs</t>
        </is>
      </c>
      <c r="I371" s="1427" t="inlineStr">
        <is>
          <t>.</t>
        </is>
      </c>
      <c r="J371" s="1499" t="n">
        <v>366</v>
      </c>
      <c r="K371" s="1500">
        <f>_xlfn.XLOOKUP(cities[[#This Row],[id]],$D$5:$D$1500,E$5:E$1500,"-")</f>
        <v/>
      </c>
      <c r="L371" s="1500">
        <f>_xlfn.XLOOKUP(cities[[#This Row],[city]],ccc[city],ccc[ctry],"-")</f>
        <v/>
      </c>
      <c r="M371" s="1500">
        <f>SUMIFS(stayCity[stay],stayCity[city],cities[[#This Row],[city]])</f>
        <v/>
      </c>
      <c r="N371" s="1427">
        <f>N370+1</f>
        <v/>
      </c>
      <c r="O371" s="1500" t="n"/>
      <c r="P371" s="1500" t="n"/>
      <c r="Q371" s="1427" t="inlineStr">
        <is>
          <t>.</t>
        </is>
      </c>
      <c r="R371" s="1491" t="n"/>
      <c r="S371" s="1491" t="n"/>
      <c r="T371" s="1491" t="n"/>
      <c r="U371" s="1491" t="n"/>
      <c r="V371" s="1491" t="n"/>
      <c r="W371" s="1491" t="n"/>
      <c r="X371" s="1491" t="n"/>
      <c r="Y371" s="1491" t="n"/>
      <c r="Z371" s="1491" t="n"/>
      <c r="AA371" s="1491" t="n"/>
      <c r="AB371" s="1491" t="n"/>
      <c r="AC371" s="1491" t="n"/>
      <c r="AD371" s="1491" t="n"/>
      <c r="AE371" s="1491" t="n"/>
      <c r="AF371" s="1491" t="n"/>
      <c r="AG371" s="1491" t="n"/>
      <c r="AH371" s="1491" t="n"/>
      <c r="AI371" s="1491" t="n"/>
      <c r="AJ371" s="1491" t="n"/>
      <c r="AK371" s="1491" t="n"/>
      <c r="AL371" s="1491" t="n"/>
      <c r="AM371" s="1491" t="n"/>
      <c r="AN371" s="1491" t="n"/>
      <c r="AO371" s="1491" t="n"/>
      <c r="AP371" s="1491" t="n"/>
      <c r="AQ371" s="1491" t="n"/>
      <c r="AR371" s="1491" t="n"/>
      <c r="AS371" s="1491" t="n"/>
      <c r="AT371" s="1491" t="n"/>
      <c r="AU371" s="1491" t="n"/>
      <c r="AV371" s="1491" t="n"/>
      <c r="AW371" s="1491" t="n"/>
      <c r="AX371" s="1491" t="n"/>
      <c r="AY371" s="1491" t="n"/>
      <c r="AZ371" s="1491" t="n"/>
      <c r="BA371" s="1491" t="n"/>
      <c r="BB371" s="1491" t="n"/>
      <c r="BC371" s="1491" t="n"/>
      <c r="BD371" s="1491" t="n"/>
      <c r="BE371" s="1491" t="n"/>
      <c r="BF371" s="1491" t="n"/>
      <c r="BG371" s="1491" t="n"/>
      <c r="BH371" s="1491" t="n"/>
      <c r="BI371" s="1491" t="n"/>
      <c r="BJ371" s="1491" t="n"/>
      <c r="BK371" s="1491" t="n"/>
      <c r="BL371" s="1491" t="n"/>
      <c r="BM371" s="1491" t="n"/>
      <c r="BN371" s="1491" t="n"/>
      <c r="BO371" s="1467" t="n"/>
      <c r="BP371" s="1514" t="n">
        <v>367</v>
      </c>
      <c r="BQ371" s="1513">
        <f>[1]Sheet1!C372</f>
        <v/>
      </c>
      <c r="BR371" s="1515">
        <f>[1]Sheet1!D372</f>
        <v/>
      </c>
      <c r="BS371" s="1513">
        <f>[1]Sheet1!E372</f>
        <v/>
      </c>
      <c r="BT371" s="1515">
        <f>[1]Sheet1!F372</f>
        <v/>
      </c>
      <c r="BU371" s="1516">
        <f>[1]Sheet1!G372</f>
        <v/>
      </c>
      <c r="BV371" s="1513">
        <f>[1]Sheet1!H372</f>
        <v/>
      </c>
      <c r="BW371" s="1467" t="n"/>
      <c r="BX371" s="1491" t="n"/>
      <c r="BY371" s="1491" t="n"/>
      <c r="BZ371" s="1491" t="n"/>
      <c r="CA371" s="1491" t="n"/>
      <c r="CB371" s="1467" t="n"/>
      <c r="CC371" s="1467" t="n"/>
      <c r="CD371" s="1491" t="n"/>
      <c r="CE371" s="1491" t="n"/>
      <c r="CF371" s="1491" t="n"/>
      <c r="CG371" s="1491" t="n"/>
      <c r="CH371" s="1491" t="n"/>
      <c r="CI371" s="1491" t="n"/>
      <c r="CJ371" s="1491" t="n"/>
      <c r="CK371" s="1491" t="n"/>
      <c r="CL371" s="1491" t="n"/>
      <c r="CM371" s="1491" t="n"/>
      <c r="CN371" s="1491" t="n"/>
      <c r="CO371" s="1491" t="n"/>
      <c r="CP371" s="1491" t="n"/>
      <c r="CQ371" s="1491" t="n"/>
      <c r="CR371" s="1491" t="n"/>
      <c r="CS371" s="1491" t="n"/>
      <c r="CT371" s="1491" t="n"/>
      <c r="CU371" s="1491" t="n"/>
      <c r="CV371" s="1491" t="n"/>
      <c r="CW371" s="1491" t="n"/>
      <c r="CX371" s="1491" t="n"/>
    </row>
    <row r="372">
      <c r="A372" s="1491" t="n"/>
      <c r="B372" s="1491" t="n"/>
      <c r="C372" s="1491" t="n"/>
      <c r="D372" s="1497">
        <f>IF(E372&lt;&gt;"",D371+1,D371)</f>
        <v/>
      </c>
      <c r="E372" s="1497" t="inlineStr">
        <is>
          <t>Villeneuve</t>
        </is>
      </c>
      <c r="F372" s="1535" t="inlineStr">
        <is>
          <t>.</t>
        </is>
      </c>
      <c r="G372" s="1498">
        <f>IF(H372="AIR",0,IF(H371="AIR",G370+1,IF(H372&lt;&gt;"",G371+1,G371)))</f>
        <v/>
      </c>
      <c r="H372" s="1498" t="inlineStr">
        <is>
          <t>BORDER CHE</t>
        </is>
      </c>
      <c r="I372" s="1427" t="inlineStr">
        <is>
          <t>.</t>
        </is>
      </c>
      <c r="J372" s="1499" t="n">
        <v>367</v>
      </c>
      <c r="K372" s="1500">
        <f>_xlfn.XLOOKUP(cities[[#This Row],[id]],$D$5:$D$1500,E$5:E$1500,"-")</f>
        <v/>
      </c>
      <c r="L372" s="1500">
        <f>_xlfn.XLOOKUP(cities[[#This Row],[city]],ccc[city],ccc[ctry],"-")</f>
        <v/>
      </c>
      <c r="M372" s="1500">
        <f>SUMIFS(stayCity[stay],stayCity[city],cities[[#This Row],[city]])</f>
        <v/>
      </c>
      <c r="N372" s="1427">
        <f>N371+1</f>
        <v/>
      </c>
      <c r="O372" s="1500" t="n"/>
      <c r="P372" s="1500" t="n"/>
      <c r="Q372" s="1427" t="inlineStr">
        <is>
          <t>.</t>
        </is>
      </c>
      <c r="R372" s="1491" t="n"/>
      <c r="S372" s="1491" t="n"/>
      <c r="T372" s="1491" t="n"/>
      <c r="U372" s="1491" t="n"/>
      <c r="V372" s="1491" t="n"/>
      <c r="W372" s="1491" t="n"/>
      <c r="X372" s="1491" t="n"/>
      <c r="Y372" s="1491" t="n"/>
      <c r="Z372" s="1491" t="n"/>
      <c r="AA372" s="1491" t="n"/>
      <c r="AB372" s="1491" t="n"/>
      <c r="AC372" s="1491" t="n"/>
      <c r="AD372" s="1491" t="n"/>
      <c r="AE372" s="1491" t="n"/>
      <c r="AF372" s="1491" t="n"/>
      <c r="AG372" s="1491" t="n"/>
      <c r="AH372" s="1491" t="n"/>
      <c r="AI372" s="1491" t="n"/>
      <c r="AJ372" s="1491" t="n"/>
      <c r="AK372" s="1491" t="n"/>
      <c r="AL372" s="1491" t="n"/>
      <c r="AM372" s="1491" t="n"/>
      <c r="AN372" s="1491" t="n"/>
      <c r="AO372" s="1491" t="n"/>
      <c r="AP372" s="1491" t="n"/>
      <c r="AQ372" s="1491" t="n"/>
      <c r="AR372" s="1491" t="n"/>
      <c r="AS372" s="1491" t="n"/>
      <c r="AT372" s="1491" t="n"/>
      <c r="AU372" s="1491" t="n"/>
      <c r="AV372" s="1491" t="n"/>
      <c r="AW372" s="1491" t="n"/>
      <c r="AX372" s="1491" t="n"/>
      <c r="AY372" s="1491" t="n"/>
      <c r="AZ372" s="1491" t="n"/>
      <c r="BA372" s="1491" t="n"/>
      <c r="BB372" s="1491" t="n"/>
      <c r="BC372" s="1491" t="n"/>
      <c r="BD372" s="1491" t="n"/>
      <c r="BE372" s="1491" t="n"/>
      <c r="BF372" s="1491" t="n"/>
      <c r="BG372" s="1491" t="n"/>
      <c r="BH372" s="1491" t="n"/>
      <c r="BI372" s="1491" t="n"/>
      <c r="BJ372" s="1491" t="n"/>
      <c r="BK372" s="1491" t="n"/>
      <c r="BL372" s="1491" t="n"/>
      <c r="BM372" s="1491" t="n"/>
      <c r="BN372" s="1491" t="n"/>
      <c r="BO372" s="1467" t="n"/>
      <c r="BP372" s="1514" t="n">
        <v>368</v>
      </c>
      <c r="BQ372" s="1513">
        <f>[1]Sheet1!C373</f>
        <v/>
      </c>
      <c r="BR372" s="1515">
        <f>[1]Sheet1!D373</f>
        <v/>
      </c>
      <c r="BS372" s="1513">
        <f>[1]Sheet1!E373</f>
        <v/>
      </c>
      <c r="BT372" s="1515">
        <f>[1]Sheet1!F373</f>
        <v/>
      </c>
      <c r="BU372" s="1516">
        <f>[1]Sheet1!G373</f>
        <v/>
      </c>
      <c r="BV372" s="1513">
        <f>[1]Sheet1!H373</f>
        <v/>
      </c>
      <c r="BW372" s="1467" t="n"/>
      <c r="BX372" s="1491" t="n"/>
      <c r="BY372" s="1491" t="n"/>
      <c r="BZ372" s="1491" t="n"/>
      <c r="CA372" s="1491" t="n"/>
      <c r="CB372" s="1467" t="n"/>
      <c r="CC372" s="1467" t="n"/>
      <c r="CD372" s="1491" t="n"/>
      <c r="CE372" s="1491" t="n"/>
      <c r="CF372" s="1491" t="n"/>
      <c r="CG372" s="1491" t="n"/>
      <c r="CH372" s="1491" t="n"/>
      <c r="CI372" s="1491" t="n"/>
      <c r="CJ372" s="1491" t="n"/>
      <c r="CK372" s="1491" t="n"/>
      <c r="CL372" s="1491" t="n"/>
      <c r="CM372" s="1491" t="n"/>
      <c r="CN372" s="1491" t="n"/>
      <c r="CO372" s="1491" t="n"/>
      <c r="CP372" s="1491" t="n"/>
      <c r="CQ372" s="1491" t="n"/>
      <c r="CR372" s="1491" t="n"/>
      <c r="CS372" s="1491" t="n"/>
      <c r="CT372" s="1491" t="n"/>
      <c r="CU372" s="1491" t="n"/>
      <c r="CV372" s="1491" t="n"/>
      <c r="CW372" s="1491" t="n"/>
      <c r="CX372" s="1491" t="n"/>
    </row>
    <row r="373">
      <c r="A373" s="1491" t="n"/>
      <c r="B373" s="1491" t="n"/>
      <c r="C373" s="1491" t="n"/>
      <c r="D373" s="1497">
        <f>IF(E373&lt;&gt;"",D372+1,D372)</f>
        <v/>
      </c>
      <c r="E373" s="1497" t="inlineStr">
        <is>
          <t>Aigle</t>
        </is>
      </c>
      <c r="F373" s="1535" t="inlineStr">
        <is>
          <t>.</t>
        </is>
      </c>
      <c r="G373" s="1498">
        <f>IF(H373="AIR",0,IF(H372="AIR",G371+1,IF(H373&lt;&gt;"",G372+1,G372)))</f>
        <v/>
      </c>
      <c r="H373" s="1498" t="inlineStr">
        <is>
          <t>Auberson</t>
        </is>
      </c>
      <c r="I373" s="1427" t="inlineStr">
        <is>
          <t>.</t>
        </is>
      </c>
      <c r="J373" s="1499" t="n">
        <v>368</v>
      </c>
      <c r="K373" s="1500">
        <f>_xlfn.XLOOKUP(cities[[#This Row],[id]],$D$5:$D$1500,E$5:E$1500,"-")</f>
        <v/>
      </c>
      <c r="L373" s="1500">
        <f>_xlfn.XLOOKUP(cities[[#This Row],[city]],ccc[city],ccc[ctry],"-")</f>
        <v/>
      </c>
      <c r="M373" s="1500">
        <f>SUMIFS(stayCity[stay],stayCity[city],cities[[#This Row],[city]])</f>
        <v/>
      </c>
      <c r="N373" s="1427">
        <f>N372+1</f>
        <v/>
      </c>
      <c r="O373" s="1500" t="n"/>
      <c r="P373" s="1500" t="n"/>
      <c r="Q373" s="1427" t="inlineStr">
        <is>
          <t>.</t>
        </is>
      </c>
      <c r="R373" s="1491" t="n"/>
      <c r="S373" s="1491" t="n"/>
      <c r="T373" s="1491" t="n"/>
      <c r="U373" s="1491" t="n"/>
      <c r="V373" s="1491" t="n"/>
      <c r="W373" s="1491" t="n"/>
      <c r="X373" s="1491" t="n"/>
      <c r="Y373" s="1491" t="n"/>
      <c r="Z373" s="1491" t="n"/>
      <c r="AA373" s="1491" t="n"/>
      <c r="AB373" s="1491" t="n"/>
      <c r="AC373" s="1491" t="n"/>
      <c r="AD373" s="1491" t="n"/>
      <c r="AE373" s="1491" t="n"/>
      <c r="AF373" s="1491" t="n"/>
      <c r="AG373" s="1491" t="n"/>
      <c r="AH373" s="1491" t="n"/>
      <c r="AI373" s="1491" t="n"/>
      <c r="AJ373" s="1491" t="n"/>
      <c r="AK373" s="1491" t="n"/>
      <c r="AL373" s="1491" t="n"/>
      <c r="AM373" s="1491" t="n"/>
      <c r="AN373" s="1491" t="n"/>
      <c r="AO373" s="1491" t="n"/>
      <c r="AP373" s="1491" t="n"/>
      <c r="AQ373" s="1491" t="n"/>
      <c r="AR373" s="1491" t="n"/>
      <c r="AS373" s="1491" t="n"/>
      <c r="AT373" s="1491" t="n"/>
      <c r="AU373" s="1491" t="n"/>
      <c r="AV373" s="1491" t="n"/>
      <c r="AW373" s="1491" t="n"/>
      <c r="AX373" s="1491" t="n"/>
      <c r="AY373" s="1491" t="n"/>
      <c r="AZ373" s="1491" t="n"/>
      <c r="BA373" s="1491" t="n"/>
      <c r="BB373" s="1491" t="n"/>
      <c r="BC373" s="1491" t="n"/>
      <c r="BD373" s="1491" t="n"/>
      <c r="BE373" s="1491" t="n"/>
      <c r="BF373" s="1491" t="n"/>
      <c r="BG373" s="1491" t="n"/>
      <c r="BH373" s="1491" t="n"/>
      <c r="BI373" s="1491" t="n"/>
      <c r="BJ373" s="1491" t="n"/>
      <c r="BK373" s="1491" t="n"/>
      <c r="BL373" s="1491" t="n"/>
      <c r="BM373" s="1491" t="n"/>
      <c r="BN373" s="1491" t="n"/>
      <c r="BO373" s="1467" t="n"/>
      <c r="BP373" s="1514" t="n">
        <v>369</v>
      </c>
      <c r="BQ373" s="1513">
        <f>[1]Sheet1!C374</f>
        <v/>
      </c>
      <c r="BR373" s="1515">
        <f>[1]Sheet1!D374</f>
        <v/>
      </c>
      <c r="BS373" s="1513">
        <f>[1]Sheet1!E374</f>
        <v/>
      </c>
      <c r="BT373" s="1515">
        <f>[1]Sheet1!F374</f>
        <v/>
      </c>
      <c r="BU373" s="1516">
        <f>[1]Sheet1!G374</f>
        <v/>
      </c>
      <c r="BV373" s="1513">
        <f>[1]Sheet1!H374</f>
        <v/>
      </c>
      <c r="BW373" s="1467" t="n"/>
      <c r="BX373" s="1491" t="n"/>
      <c r="BY373" s="1491" t="n"/>
      <c r="BZ373" s="1491" t="n"/>
      <c r="CA373" s="1491" t="n"/>
      <c r="CB373" s="1467" t="n"/>
      <c r="CC373" s="1467" t="n"/>
      <c r="CD373" s="1491" t="n"/>
      <c r="CE373" s="1491" t="n"/>
      <c r="CF373" s="1491" t="n"/>
      <c r="CG373" s="1491" t="n"/>
      <c r="CH373" s="1491" t="n"/>
      <c r="CI373" s="1491" t="n"/>
      <c r="CJ373" s="1491" t="n"/>
      <c r="CK373" s="1491" t="n"/>
      <c r="CL373" s="1491" t="n"/>
      <c r="CM373" s="1491" t="n"/>
      <c r="CN373" s="1491" t="n"/>
      <c r="CO373" s="1491" t="n"/>
      <c r="CP373" s="1491" t="n"/>
      <c r="CQ373" s="1491" t="n"/>
      <c r="CR373" s="1491" t="n"/>
      <c r="CS373" s="1491" t="n"/>
      <c r="CT373" s="1491" t="n"/>
      <c r="CU373" s="1491" t="n"/>
      <c r="CV373" s="1491" t="n"/>
      <c r="CW373" s="1491" t="n"/>
      <c r="CX373" s="1491" t="n"/>
    </row>
    <row r="374">
      <c r="A374" s="1491" t="n"/>
      <c r="B374" s="1491" t="n"/>
      <c r="C374" s="1491" t="n"/>
      <c r="D374" s="1497">
        <f>IF(E374&lt;&gt;"",D373+1,D373)</f>
        <v/>
      </c>
      <c r="E374" s="1497" t="inlineStr">
        <is>
          <t>Saint-Maurice</t>
        </is>
      </c>
      <c r="F374" s="1535" t="inlineStr">
        <is>
          <t>.</t>
        </is>
      </c>
      <c r="G374" s="1498">
        <f>IF(H374="AIR",0,IF(H373="AIR",G372+1,IF(H374&lt;&gt;"",G373+1,G373)))</f>
        <v/>
      </c>
      <c r="H374" s="1498" t="inlineStr">
        <is>
          <t>Ste. Croix</t>
        </is>
      </c>
      <c r="I374" s="1427" t="inlineStr">
        <is>
          <t>.</t>
        </is>
      </c>
      <c r="J374" s="1499" t="n">
        <v>369</v>
      </c>
      <c r="K374" s="1500">
        <f>_xlfn.XLOOKUP(cities[[#This Row],[id]],$D$5:$D$1500,E$5:E$1500,"-")</f>
        <v/>
      </c>
      <c r="L374" s="1500">
        <f>_xlfn.XLOOKUP(cities[[#This Row],[city]],ccc[city],ccc[ctry],"-")</f>
        <v/>
      </c>
      <c r="M374" s="1500">
        <f>SUMIFS(stayCity[stay],stayCity[city],cities[[#This Row],[city]])</f>
        <v/>
      </c>
      <c r="N374" s="1427">
        <f>N373+1</f>
        <v/>
      </c>
      <c r="O374" s="1500" t="n"/>
      <c r="P374" s="1500" t="n"/>
      <c r="Q374" s="1427" t="inlineStr">
        <is>
          <t>.</t>
        </is>
      </c>
      <c r="R374" s="1491" t="n"/>
      <c r="S374" s="1491" t="n"/>
      <c r="T374" s="1491" t="n"/>
      <c r="U374" s="1491" t="n"/>
      <c r="V374" s="1491" t="n"/>
      <c r="W374" s="1491" t="n"/>
      <c r="X374" s="1491" t="n"/>
      <c r="Y374" s="1491" t="n"/>
      <c r="Z374" s="1491" t="n"/>
      <c r="AA374" s="1491" t="n"/>
      <c r="AB374" s="1491" t="n"/>
      <c r="AC374" s="1491" t="n"/>
      <c r="AD374" s="1491" t="n"/>
      <c r="AE374" s="1491" t="n"/>
      <c r="AF374" s="1491" t="n"/>
      <c r="AG374" s="1491" t="n"/>
      <c r="AH374" s="1491" t="n"/>
      <c r="AI374" s="1491" t="n"/>
      <c r="AJ374" s="1491" t="n"/>
      <c r="AK374" s="1491" t="n"/>
      <c r="AL374" s="1491" t="n"/>
      <c r="AM374" s="1491" t="n"/>
      <c r="AN374" s="1491" t="n"/>
      <c r="AO374" s="1491" t="n"/>
      <c r="AP374" s="1491" t="n"/>
      <c r="AQ374" s="1491" t="n"/>
      <c r="AR374" s="1491" t="n"/>
      <c r="AS374" s="1491" t="n"/>
      <c r="AT374" s="1491" t="n"/>
      <c r="AU374" s="1491" t="n"/>
      <c r="AV374" s="1491" t="n"/>
      <c r="AW374" s="1491" t="n"/>
      <c r="AX374" s="1491" t="n"/>
      <c r="AY374" s="1491" t="n"/>
      <c r="AZ374" s="1491" t="n"/>
      <c r="BA374" s="1491" t="n"/>
      <c r="BB374" s="1491" t="n"/>
      <c r="BC374" s="1491" t="n"/>
      <c r="BD374" s="1491" t="n"/>
      <c r="BE374" s="1491" t="n"/>
      <c r="BF374" s="1491" t="n"/>
      <c r="BG374" s="1491" t="n"/>
      <c r="BH374" s="1491" t="n"/>
      <c r="BI374" s="1491" t="n"/>
      <c r="BJ374" s="1491" t="n"/>
      <c r="BK374" s="1491" t="n"/>
      <c r="BL374" s="1491" t="n"/>
      <c r="BM374" s="1491" t="n"/>
      <c r="BN374" s="1491" t="n"/>
      <c r="BO374" s="1467" t="n"/>
      <c r="BP374" s="1514" t="n">
        <v>370</v>
      </c>
      <c r="BQ374" s="1513">
        <f>[1]Sheet1!C375</f>
        <v/>
      </c>
      <c r="BR374" s="1515">
        <f>[1]Sheet1!D375</f>
        <v/>
      </c>
      <c r="BS374" s="1513">
        <f>[1]Sheet1!E375</f>
        <v/>
      </c>
      <c r="BT374" s="1515">
        <f>[1]Sheet1!F375</f>
        <v/>
      </c>
      <c r="BU374" s="1516">
        <f>[1]Sheet1!G375</f>
        <v/>
      </c>
      <c r="BV374" s="1513">
        <f>[1]Sheet1!H375</f>
        <v/>
      </c>
      <c r="BW374" s="1467" t="n"/>
      <c r="BX374" s="1491" t="n"/>
      <c r="BY374" s="1491" t="n"/>
      <c r="BZ374" s="1491" t="n"/>
      <c r="CA374" s="1491" t="n"/>
      <c r="CB374" s="1467" t="n"/>
      <c r="CC374" s="1467" t="n"/>
      <c r="CD374" s="1491" t="n"/>
      <c r="CE374" s="1491" t="n"/>
      <c r="CF374" s="1491" t="n"/>
      <c r="CG374" s="1491" t="n"/>
      <c r="CH374" s="1491" t="n"/>
      <c r="CI374" s="1491" t="n"/>
      <c r="CJ374" s="1491" t="n"/>
      <c r="CK374" s="1491" t="n"/>
      <c r="CL374" s="1491" t="n"/>
      <c r="CM374" s="1491" t="n"/>
      <c r="CN374" s="1491" t="n"/>
      <c r="CO374" s="1491" t="n"/>
      <c r="CP374" s="1491" t="n"/>
      <c r="CQ374" s="1491" t="n"/>
      <c r="CR374" s="1491" t="n"/>
      <c r="CS374" s="1491" t="n"/>
      <c r="CT374" s="1491" t="n"/>
      <c r="CU374" s="1491" t="n"/>
      <c r="CV374" s="1491" t="n"/>
      <c r="CW374" s="1491" t="n"/>
      <c r="CX374" s="1491" t="n"/>
    </row>
    <row r="375">
      <c r="A375" s="1491" t="n"/>
      <c r="B375" s="1491" t="n"/>
      <c r="C375" s="1491" t="n"/>
      <c r="D375" s="1497">
        <f>IF(E375&lt;&gt;"",D374+1,D374)</f>
        <v/>
      </c>
      <c r="E375" s="1497" t="inlineStr">
        <is>
          <t>Evionnaz</t>
        </is>
      </c>
      <c r="F375" s="1535" t="inlineStr">
        <is>
          <t>.</t>
        </is>
      </c>
      <c r="G375" s="1498">
        <f>IF(H375="AIR",0,IF(H374="AIR",G373+1,IF(H375&lt;&gt;"",G374+1,G374)))</f>
        <v/>
      </c>
      <c r="H375" s="1498" t="inlineStr">
        <is>
          <t>Vuiteboeuf</t>
        </is>
      </c>
      <c r="I375" s="1427" t="inlineStr">
        <is>
          <t>.</t>
        </is>
      </c>
      <c r="J375" s="1499" t="n">
        <v>370</v>
      </c>
      <c r="K375" s="1500">
        <f>_xlfn.XLOOKUP(cities[[#This Row],[id]],$D$5:$D$1500,E$5:E$1500,"-")</f>
        <v/>
      </c>
      <c r="L375" s="1500">
        <f>_xlfn.XLOOKUP(cities[[#This Row],[city]],ccc[city],ccc[ctry],"-")</f>
        <v/>
      </c>
      <c r="M375" s="1500">
        <f>SUMIFS(stayCity[stay],stayCity[city],cities[[#This Row],[city]])</f>
        <v/>
      </c>
      <c r="N375" s="1427">
        <f>N374+1</f>
        <v/>
      </c>
      <c r="O375" s="1500" t="n"/>
      <c r="P375" s="1500" t="n"/>
      <c r="Q375" s="1427" t="inlineStr">
        <is>
          <t>.</t>
        </is>
      </c>
      <c r="R375" s="1491" t="n"/>
      <c r="S375" s="1491" t="n"/>
      <c r="T375" s="1491" t="n"/>
      <c r="U375" s="1491" t="n"/>
      <c r="V375" s="1491" t="n"/>
      <c r="W375" s="1491" t="n"/>
      <c r="X375" s="1491" t="n"/>
      <c r="Y375" s="1491" t="n"/>
      <c r="Z375" s="1491" t="n"/>
      <c r="AA375" s="1491" t="n"/>
      <c r="AB375" s="1491" t="n"/>
      <c r="AC375" s="1491" t="n"/>
      <c r="AD375" s="1491" t="n"/>
      <c r="AE375" s="1491" t="n"/>
      <c r="AF375" s="1491" t="n"/>
      <c r="AG375" s="1491" t="n"/>
      <c r="AH375" s="1491" t="n"/>
      <c r="AI375" s="1491" t="n"/>
      <c r="AJ375" s="1491" t="n"/>
      <c r="AK375" s="1491" t="n"/>
      <c r="AL375" s="1491" t="n"/>
      <c r="AM375" s="1491" t="n"/>
      <c r="AN375" s="1491" t="n"/>
      <c r="AO375" s="1491" t="n"/>
      <c r="AP375" s="1491" t="n"/>
      <c r="AQ375" s="1491" t="n"/>
      <c r="AR375" s="1491" t="n"/>
      <c r="AS375" s="1491" t="n"/>
      <c r="AT375" s="1491" t="n"/>
      <c r="AU375" s="1491" t="n"/>
      <c r="AV375" s="1491" t="n"/>
      <c r="AW375" s="1491" t="n"/>
      <c r="AX375" s="1491" t="n"/>
      <c r="AY375" s="1491" t="n"/>
      <c r="AZ375" s="1491" t="n"/>
      <c r="BA375" s="1491" t="n"/>
      <c r="BB375" s="1491" t="n"/>
      <c r="BC375" s="1491" t="n"/>
      <c r="BD375" s="1491" t="n"/>
      <c r="BE375" s="1491" t="n"/>
      <c r="BF375" s="1491" t="n"/>
      <c r="BG375" s="1491" t="n"/>
      <c r="BH375" s="1491" t="n"/>
      <c r="BI375" s="1491" t="n"/>
      <c r="BJ375" s="1491" t="n"/>
      <c r="BK375" s="1491" t="n"/>
      <c r="BL375" s="1491" t="n"/>
      <c r="BM375" s="1491" t="n"/>
      <c r="BN375" s="1491" t="n"/>
      <c r="BO375" s="1467" t="n"/>
      <c r="BP375" s="1514" t="n">
        <v>371</v>
      </c>
      <c r="BQ375" s="1513">
        <f>[1]Sheet1!C376</f>
        <v/>
      </c>
      <c r="BR375" s="1515">
        <f>[1]Sheet1!D376</f>
        <v/>
      </c>
      <c r="BS375" s="1513">
        <f>[1]Sheet1!E376</f>
        <v/>
      </c>
      <c r="BT375" s="1515">
        <f>[1]Sheet1!F376</f>
        <v/>
      </c>
      <c r="BU375" s="1516">
        <f>[1]Sheet1!G376</f>
        <v/>
      </c>
      <c r="BV375" s="1513">
        <f>[1]Sheet1!H376</f>
        <v/>
      </c>
      <c r="BW375" s="1467" t="n"/>
      <c r="BX375" s="1491" t="n"/>
      <c r="BY375" s="1491" t="n"/>
      <c r="BZ375" s="1491" t="n"/>
      <c r="CA375" s="1491" t="n"/>
      <c r="CB375" s="1467" t="n"/>
      <c r="CC375" s="1467" t="n"/>
      <c r="CD375" s="1491" t="n"/>
      <c r="CE375" s="1491" t="n"/>
      <c r="CF375" s="1491" t="n"/>
      <c r="CG375" s="1491" t="n"/>
      <c r="CH375" s="1491" t="n"/>
      <c r="CI375" s="1491" t="n"/>
      <c r="CJ375" s="1491" t="n"/>
      <c r="CK375" s="1491" t="n"/>
      <c r="CL375" s="1491" t="n"/>
      <c r="CM375" s="1491" t="n"/>
      <c r="CN375" s="1491" t="n"/>
      <c r="CO375" s="1491" t="n"/>
      <c r="CP375" s="1491" t="n"/>
      <c r="CQ375" s="1491" t="n"/>
      <c r="CR375" s="1491" t="n"/>
      <c r="CS375" s="1491" t="n"/>
      <c r="CT375" s="1491" t="n"/>
      <c r="CU375" s="1491" t="n"/>
      <c r="CV375" s="1491" t="n"/>
      <c r="CW375" s="1491" t="n"/>
      <c r="CX375" s="1491" t="n"/>
    </row>
    <row r="376">
      <c r="A376" s="1491" t="n"/>
      <c r="B376" s="1491" t="n"/>
      <c r="C376" s="1491" t="n"/>
      <c r="D376" s="1497">
        <f>IF(E376&lt;&gt;"",D375+1,D375)</f>
        <v/>
      </c>
      <c r="E376" s="1497" t="inlineStr">
        <is>
          <t>Trient</t>
        </is>
      </c>
      <c r="F376" s="1535" t="inlineStr">
        <is>
          <t>.</t>
        </is>
      </c>
      <c r="G376" s="1498">
        <f>IF(H376="AIR",0,IF(H375="AIR",G374+1,IF(H376&lt;&gt;"",G375+1,G375)))</f>
        <v/>
      </c>
      <c r="H376" s="1498" t="inlineStr">
        <is>
          <t>Baulmes</t>
        </is>
      </c>
      <c r="I376" s="1427" t="inlineStr">
        <is>
          <t>.</t>
        </is>
      </c>
      <c r="J376" s="1499" t="n">
        <v>371</v>
      </c>
      <c r="K376" s="1500">
        <f>_xlfn.XLOOKUP(cities[[#This Row],[id]],$D$5:$D$1500,E$5:E$1500,"-")</f>
        <v/>
      </c>
      <c r="L376" s="1500">
        <f>_xlfn.XLOOKUP(cities[[#This Row],[city]],ccc[city],ccc[ctry],"-")</f>
        <v/>
      </c>
      <c r="M376" s="1500">
        <f>SUMIFS(stayCity[stay],stayCity[city],cities[[#This Row],[city]])</f>
        <v/>
      </c>
      <c r="N376" s="1427">
        <f>N375+1</f>
        <v/>
      </c>
      <c r="O376" s="1500" t="n"/>
      <c r="P376" s="1500" t="n"/>
      <c r="Q376" s="1427" t="inlineStr">
        <is>
          <t>.</t>
        </is>
      </c>
      <c r="R376" s="1491" t="n"/>
      <c r="S376" s="1491" t="n"/>
      <c r="T376" s="1491" t="n"/>
      <c r="U376" s="1491" t="n"/>
      <c r="V376" s="1491" t="n"/>
      <c r="W376" s="1491" t="n"/>
      <c r="X376" s="1491" t="n"/>
      <c r="Y376" s="1491" t="n"/>
      <c r="Z376" s="1491" t="n"/>
      <c r="AA376" s="1491" t="n"/>
      <c r="AB376" s="1491" t="n"/>
      <c r="AC376" s="1491" t="n"/>
      <c r="AD376" s="1491" t="n"/>
      <c r="AE376" s="1491" t="n"/>
      <c r="AF376" s="1491" t="n"/>
      <c r="AG376" s="1491" t="n"/>
      <c r="AH376" s="1491" t="n"/>
      <c r="AI376" s="1491" t="n"/>
      <c r="AJ376" s="1491" t="n"/>
      <c r="AK376" s="1491" t="n"/>
      <c r="AL376" s="1491" t="n"/>
      <c r="AM376" s="1491" t="n"/>
      <c r="AN376" s="1491" t="n"/>
      <c r="AO376" s="1491" t="n"/>
      <c r="AP376" s="1491" t="n"/>
      <c r="AQ376" s="1491" t="n"/>
      <c r="AR376" s="1491" t="n"/>
      <c r="AS376" s="1491" t="n"/>
      <c r="AT376" s="1491" t="n"/>
      <c r="AU376" s="1491" t="n"/>
      <c r="AV376" s="1491" t="n"/>
      <c r="AW376" s="1491" t="n"/>
      <c r="AX376" s="1491" t="n"/>
      <c r="AY376" s="1491" t="n"/>
      <c r="AZ376" s="1491" t="n"/>
      <c r="BA376" s="1491" t="n"/>
      <c r="BB376" s="1491" t="n"/>
      <c r="BC376" s="1491" t="n"/>
      <c r="BD376" s="1491" t="n"/>
      <c r="BE376" s="1491" t="n"/>
      <c r="BF376" s="1491" t="n"/>
      <c r="BG376" s="1491" t="n"/>
      <c r="BH376" s="1491" t="n"/>
      <c r="BI376" s="1491" t="n"/>
      <c r="BJ376" s="1491" t="n"/>
      <c r="BK376" s="1491" t="n"/>
      <c r="BL376" s="1491" t="n"/>
      <c r="BM376" s="1491" t="n"/>
      <c r="BN376" s="1491" t="n"/>
      <c r="BO376" s="1467" t="n"/>
      <c r="BP376" s="1514" t="n">
        <v>372</v>
      </c>
      <c r="BQ376" s="1513">
        <f>[1]Sheet1!C377</f>
        <v/>
      </c>
      <c r="BR376" s="1515">
        <f>[1]Sheet1!D377</f>
        <v/>
      </c>
      <c r="BS376" s="1513">
        <f>[1]Sheet1!E377</f>
        <v/>
      </c>
      <c r="BT376" s="1515">
        <f>[1]Sheet1!F377</f>
        <v/>
      </c>
      <c r="BU376" s="1516">
        <f>[1]Sheet1!G377</f>
        <v/>
      </c>
      <c r="BV376" s="1513">
        <f>[1]Sheet1!H377</f>
        <v/>
      </c>
      <c r="BW376" s="1467" t="n"/>
      <c r="BX376" s="1491" t="n"/>
      <c r="BY376" s="1491" t="n"/>
      <c r="BZ376" s="1491" t="n"/>
      <c r="CA376" s="1491" t="n"/>
      <c r="CB376" s="1467" t="n"/>
      <c r="CC376" s="1467" t="n"/>
      <c r="CD376" s="1491" t="n"/>
      <c r="CE376" s="1491" t="n"/>
      <c r="CF376" s="1491" t="n"/>
      <c r="CG376" s="1491" t="n"/>
      <c r="CH376" s="1491" t="n"/>
      <c r="CI376" s="1491" t="n"/>
      <c r="CJ376" s="1491" t="n"/>
      <c r="CK376" s="1491" t="n"/>
      <c r="CL376" s="1491" t="n"/>
      <c r="CM376" s="1491" t="n"/>
      <c r="CN376" s="1491" t="n"/>
      <c r="CO376" s="1491" t="n"/>
      <c r="CP376" s="1491" t="n"/>
      <c r="CQ376" s="1491" t="n"/>
      <c r="CR376" s="1491" t="n"/>
      <c r="CS376" s="1491" t="n"/>
      <c r="CT376" s="1491" t="n"/>
      <c r="CU376" s="1491" t="n"/>
      <c r="CV376" s="1491" t="n"/>
      <c r="CW376" s="1491" t="n"/>
      <c r="CX376" s="1491" t="n"/>
    </row>
    <row r="377">
      <c r="A377" s="1491" t="n"/>
      <c r="B377" s="1491" t="n"/>
      <c r="C377" s="1491" t="n"/>
      <c r="D377" s="1497">
        <f>IF(E377&lt;&gt;"",D376+1,D376)</f>
        <v/>
      </c>
      <c r="E377" s="1497" t="inlineStr">
        <is>
          <t>Martigny</t>
        </is>
      </c>
      <c r="F377" s="1535" t="inlineStr">
        <is>
          <t>.</t>
        </is>
      </c>
      <c r="G377" s="1498">
        <f>IF(H377="AIR",0,IF(H376="AIR",G375+1,IF(H377&lt;&gt;"",G376+1,G376)))</f>
        <v/>
      </c>
      <c r="H377" s="1498" t="inlineStr">
        <is>
          <t>Orbe</t>
        </is>
      </c>
      <c r="I377" s="1427" t="inlineStr">
        <is>
          <t>.</t>
        </is>
      </c>
      <c r="J377" s="1499" t="n">
        <v>372</v>
      </c>
      <c r="K377" s="1500">
        <f>_xlfn.XLOOKUP(cities[[#This Row],[id]],$D$5:$D$1500,E$5:E$1500,"-")</f>
        <v/>
      </c>
      <c r="L377" s="1500">
        <f>_xlfn.XLOOKUP(cities[[#This Row],[city]],ccc[city],ccc[ctry],"-")</f>
        <v/>
      </c>
      <c r="M377" s="1500">
        <f>SUMIFS(stayCity[stay],stayCity[city],cities[[#This Row],[city]])</f>
        <v/>
      </c>
      <c r="N377" s="1427">
        <f>N376+1</f>
        <v/>
      </c>
      <c r="O377" s="1500" t="n"/>
      <c r="P377" s="1500" t="n"/>
      <c r="Q377" s="1427" t="inlineStr">
        <is>
          <t>.</t>
        </is>
      </c>
      <c r="R377" s="1491" t="n"/>
      <c r="S377" s="1491" t="n"/>
      <c r="T377" s="1491" t="n"/>
      <c r="U377" s="1491" t="n"/>
      <c r="V377" s="1491" t="n"/>
      <c r="W377" s="1491" t="n"/>
      <c r="X377" s="1491" t="n"/>
      <c r="Y377" s="1491" t="n"/>
      <c r="Z377" s="1491" t="n"/>
      <c r="AA377" s="1491" t="n"/>
      <c r="AB377" s="1491" t="n"/>
      <c r="AC377" s="1491" t="n"/>
      <c r="AD377" s="1491" t="n"/>
      <c r="AE377" s="1491" t="n"/>
      <c r="AF377" s="1491" t="n"/>
      <c r="AG377" s="1491" t="n"/>
      <c r="AH377" s="1491" t="n"/>
      <c r="AI377" s="1491" t="n"/>
      <c r="AJ377" s="1491" t="n"/>
      <c r="AK377" s="1491" t="n"/>
      <c r="AL377" s="1491" t="n"/>
      <c r="AM377" s="1491" t="n"/>
      <c r="AN377" s="1491" t="n"/>
      <c r="AO377" s="1491" t="n"/>
      <c r="AP377" s="1491" t="n"/>
      <c r="AQ377" s="1491" t="n"/>
      <c r="AR377" s="1491" t="n"/>
      <c r="AS377" s="1491" t="n"/>
      <c r="AT377" s="1491" t="n"/>
      <c r="AU377" s="1491" t="n"/>
      <c r="AV377" s="1491" t="n"/>
      <c r="AW377" s="1491" t="n"/>
      <c r="AX377" s="1491" t="n"/>
      <c r="AY377" s="1491" t="n"/>
      <c r="AZ377" s="1491" t="n"/>
      <c r="BA377" s="1491" t="n"/>
      <c r="BB377" s="1491" t="n"/>
      <c r="BC377" s="1491" t="n"/>
      <c r="BD377" s="1491" t="n"/>
      <c r="BE377" s="1491" t="n"/>
      <c r="BF377" s="1491" t="n"/>
      <c r="BG377" s="1491" t="n"/>
      <c r="BH377" s="1491" t="n"/>
      <c r="BI377" s="1491" t="n"/>
      <c r="BJ377" s="1491" t="n"/>
      <c r="BK377" s="1491" t="n"/>
      <c r="BL377" s="1491" t="n"/>
      <c r="BM377" s="1491" t="n"/>
      <c r="BN377" s="1491" t="n"/>
      <c r="BO377" s="1467" t="n"/>
      <c r="BP377" s="1514" t="n">
        <v>373</v>
      </c>
      <c r="BQ377" s="1513">
        <f>[1]Sheet1!C378</f>
        <v/>
      </c>
      <c r="BR377" s="1515">
        <f>[1]Sheet1!D378</f>
        <v/>
      </c>
      <c r="BS377" s="1513">
        <f>[1]Sheet1!E378</f>
        <v/>
      </c>
      <c r="BT377" s="1515">
        <f>[1]Sheet1!F378</f>
        <v/>
      </c>
      <c r="BU377" s="1516">
        <f>[1]Sheet1!G378</f>
        <v/>
      </c>
      <c r="BV377" s="1513">
        <f>[1]Sheet1!H378</f>
        <v/>
      </c>
      <c r="BW377" s="1467" t="n"/>
      <c r="BX377" s="1491" t="n"/>
      <c r="BY377" s="1491" t="n"/>
      <c r="BZ377" s="1491" t="n"/>
      <c r="CA377" s="1491" t="n"/>
      <c r="CB377" s="1467" t="n"/>
      <c r="CC377" s="1467" t="n"/>
      <c r="CD377" s="1491" t="n"/>
      <c r="CE377" s="1491" t="n"/>
      <c r="CF377" s="1491" t="n"/>
      <c r="CG377" s="1491" t="n"/>
      <c r="CH377" s="1491" t="n"/>
      <c r="CI377" s="1491" t="n"/>
      <c r="CJ377" s="1491" t="n"/>
      <c r="CK377" s="1491" t="n"/>
      <c r="CL377" s="1491" t="n"/>
      <c r="CM377" s="1491" t="n"/>
      <c r="CN377" s="1491" t="n"/>
      <c r="CO377" s="1491" t="n"/>
      <c r="CP377" s="1491" t="n"/>
      <c r="CQ377" s="1491" t="n"/>
      <c r="CR377" s="1491" t="n"/>
      <c r="CS377" s="1491" t="n"/>
      <c r="CT377" s="1491" t="n"/>
      <c r="CU377" s="1491" t="n"/>
      <c r="CV377" s="1491" t="n"/>
      <c r="CW377" s="1491" t="n"/>
      <c r="CX377" s="1491" t="n"/>
    </row>
    <row r="378">
      <c r="A378" s="1491" t="n"/>
      <c r="B378" s="1491" t="n"/>
      <c r="C378" s="1491" t="n"/>
      <c r="D378" s="1497">
        <f>IF(E378&lt;&gt;"",D377+1,D377)</f>
        <v/>
      </c>
      <c r="E378" s="1497" t="inlineStr">
        <is>
          <t>Les Hauderes</t>
        </is>
      </c>
      <c r="F378" s="1535" t="inlineStr">
        <is>
          <t>.</t>
        </is>
      </c>
      <c r="G378" s="1498">
        <f>IF(H378="AIR",0,IF(H377="AIR",G376+1,IF(H378&lt;&gt;"",G377+1,G377)))</f>
        <v/>
      </c>
      <c r="H378" s="1498" t="inlineStr">
        <is>
          <t>Villette</t>
        </is>
      </c>
      <c r="I378" s="1427" t="inlineStr">
        <is>
          <t>.</t>
        </is>
      </c>
      <c r="J378" s="1499" t="n">
        <v>373</v>
      </c>
      <c r="K378" s="1500">
        <f>_xlfn.XLOOKUP(cities[[#This Row],[id]],$D$5:$D$1500,E$5:E$1500,"-")</f>
        <v/>
      </c>
      <c r="L378" s="1500">
        <f>_xlfn.XLOOKUP(cities[[#This Row],[city]],ccc[city],ccc[ctry],"-")</f>
        <v/>
      </c>
      <c r="M378" s="1500">
        <f>SUMIFS(stayCity[stay],stayCity[city],cities[[#This Row],[city]])</f>
        <v/>
      </c>
      <c r="N378" s="1427">
        <f>N377+1</f>
        <v/>
      </c>
      <c r="O378" s="1500" t="n"/>
      <c r="P378" s="1500" t="n"/>
      <c r="Q378" s="1427" t="inlineStr">
        <is>
          <t>.</t>
        </is>
      </c>
      <c r="R378" s="1491" t="n"/>
      <c r="S378" s="1491" t="n"/>
      <c r="T378" s="1491" t="n"/>
      <c r="U378" s="1491" t="n"/>
      <c r="V378" s="1491" t="n"/>
      <c r="W378" s="1491" t="n"/>
      <c r="X378" s="1491" t="n"/>
      <c r="Y378" s="1491" t="n"/>
      <c r="Z378" s="1491" t="n"/>
      <c r="AA378" s="1491" t="n"/>
      <c r="AB378" s="1491" t="n"/>
      <c r="AC378" s="1491" t="n"/>
      <c r="AD378" s="1491" t="n"/>
      <c r="AE378" s="1491" t="n"/>
      <c r="AF378" s="1491" t="n"/>
      <c r="AG378" s="1491" t="n"/>
      <c r="AH378" s="1491" t="n"/>
      <c r="AI378" s="1491" t="n"/>
      <c r="AJ378" s="1491" t="n"/>
      <c r="AK378" s="1491" t="n"/>
      <c r="AL378" s="1491" t="n"/>
      <c r="AM378" s="1491" t="n"/>
      <c r="AN378" s="1491" t="n"/>
      <c r="AO378" s="1491" t="n"/>
      <c r="AP378" s="1491" t="n"/>
      <c r="AQ378" s="1491" t="n"/>
      <c r="AR378" s="1491" t="n"/>
      <c r="AS378" s="1491" t="n"/>
      <c r="AT378" s="1491" t="n"/>
      <c r="AU378" s="1491" t="n"/>
      <c r="AV378" s="1491" t="n"/>
      <c r="AW378" s="1491" t="n"/>
      <c r="AX378" s="1491" t="n"/>
      <c r="AY378" s="1491" t="n"/>
      <c r="AZ378" s="1491" t="n"/>
      <c r="BA378" s="1491" t="n"/>
      <c r="BB378" s="1491" t="n"/>
      <c r="BC378" s="1491" t="n"/>
      <c r="BD378" s="1491" t="n"/>
      <c r="BE378" s="1491" t="n"/>
      <c r="BF378" s="1491" t="n"/>
      <c r="BG378" s="1491" t="n"/>
      <c r="BH378" s="1491" t="n"/>
      <c r="BI378" s="1491" t="n"/>
      <c r="BJ378" s="1491" t="n"/>
      <c r="BK378" s="1491" t="n"/>
      <c r="BL378" s="1491" t="n"/>
      <c r="BM378" s="1491" t="n"/>
      <c r="BN378" s="1491" t="n"/>
      <c r="BO378" s="1467" t="n"/>
      <c r="BP378" s="1514" t="n">
        <v>374</v>
      </c>
      <c r="BQ378" s="1513">
        <f>[1]Sheet1!C379</f>
        <v/>
      </c>
      <c r="BR378" s="1515">
        <f>[1]Sheet1!D379</f>
        <v/>
      </c>
      <c r="BS378" s="1513">
        <f>[1]Sheet1!E379</f>
        <v/>
      </c>
      <c r="BT378" s="1515">
        <f>[1]Sheet1!F379</f>
        <v/>
      </c>
      <c r="BU378" s="1516">
        <f>[1]Sheet1!G379</f>
        <v/>
      </c>
      <c r="BV378" s="1513">
        <f>[1]Sheet1!H379</f>
        <v/>
      </c>
      <c r="BW378" s="1467" t="n"/>
      <c r="BX378" s="1491" t="n"/>
      <c r="BY378" s="1491" t="n"/>
      <c r="BZ378" s="1491" t="n"/>
      <c r="CA378" s="1491" t="n"/>
      <c r="CB378" s="1467" t="n"/>
      <c r="CC378" s="1467" t="n"/>
      <c r="CD378" s="1491" t="n"/>
      <c r="CE378" s="1491" t="n"/>
      <c r="CF378" s="1491" t="n"/>
      <c r="CG378" s="1491" t="n"/>
      <c r="CH378" s="1491" t="n"/>
      <c r="CI378" s="1491" t="n"/>
      <c r="CJ378" s="1491" t="n"/>
      <c r="CK378" s="1491" t="n"/>
      <c r="CL378" s="1491" t="n"/>
      <c r="CM378" s="1491" t="n"/>
      <c r="CN378" s="1491" t="n"/>
      <c r="CO378" s="1491" t="n"/>
      <c r="CP378" s="1491" t="n"/>
      <c r="CQ378" s="1491" t="n"/>
      <c r="CR378" s="1491" t="n"/>
      <c r="CS378" s="1491" t="n"/>
      <c r="CT378" s="1491" t="n"/>
      <c r="CU378" s="1491" t="n"/>
      <c r="CV378" s="1491" t="n"/>
      <c r="CW378" s="1491" t="n"/>
      <c r="CX378" s="1491" t="n"/>
    </row>
    <row r="379">
      <c r="A379" s="1491" t="n"/>
      <c r="B379" s="1491" t="n"/>
      <c r="C379" s="1491" t="n"/>
      <c r="D379" s="1497">
        <f>IF(E379&lt;&gt;"",D378+1,D378)</f>
        <v/>
      </c>
      <c r="E379" s="1497" t="inlineStr">
        <is>
          <t>La Sage</t>
        </is>
      </c>
      <c r="F379" s="1535" t="inlineStr">
        <is>
          <t>.</t>
        </is>
      </c>
      <c r="G379" s="1498">
        <f>IF(H379="AIR",0,IF(H378="AIR",G377+1,IF(H379&lt;&gt;"",G378+1,G378)))</f>
        <v/>
      </c>
      <c r="H379" s="1498" t="inlineStr">
        <is>
          <t>Vevey</t>
        </is>
      </c>
      <c r="I379" s="1427" t="inlineStr">
        <is>
          <t>.</t>
        </is>
      </c>
      <c r="J379" s="1499" t="n">
        <v>374</v>
      </c>
      <c r="K379" s="1500">
        <f>_xlfn.XLOOKUP(cities[[#This Row],[id]],$D$5:$D$1500,E$5:E$1500,"-")</f>
        <v/>
      </c>
      <c r="L379" s="1500">
        <f>_xlfn.XLOOKUP(cities[[#This Row],[city]],ccc[city],ccc[ctry],"-")</f>
        <v/>
      </c>
      <c r="M379" s="1500">
        <f>SUMIFS(stayCity[stay],stayCity[city],cities[[#This Row],[city]])</f>
        <v/>
      </c>
      <c r="N379" s="1427">
        <f>N378+1</f>
        <v/>
      </c>
      <c r="O379" s="1500" t="n"/>
      <c r="P379" s="1500" t="n"/>
      <c r="Q379" s="1427" t="inlineStr">
        <is>
          <t>.</t>
        </is>
      </c>
      <c r="R379" s="1491" t="n"/>
      <c r="S379" s="1491" t="n"/>
      <c r="T379" s="1491" t="n"/>
      <c r="U379" s="1491" t="n"/>
      <c r="V379" s="1491" t="n"/>
      <c r="W379" s="1491" t="n"/>
      <c r="X379" s="1491" t="n"/>
      <c r="Y379" s="1491" t="n"/>
      <c r="Z379" s="1491" t="n"/>
      <c r="AA379" s="1491" t="n"/>
      <c r="AB379" s="1491" t="n"/>
      <c r="AC379" s="1491" t="n"/>
      <c r="AD379" s="1491" t="n"/>
      <c r="AE379" s="1491" t="n"/>
      <c r="AF379" s="1491" t="n"/>
      <c r="AG379" s="1491" t="n"/>
      <c r="AH379" s="1491" t="n"/>
      <c r="AI379" s="1491" t="n"/>
      <c r="AJ379" s="1491" t="n"/>
      <c r="AK379" s="1491" t="n"/>
      <c r="AL379" s="1491" t="n"/>
      <c r="AM379" s="1491" t="n"/>
      <c r="AN379" s="1491" t="n"/>
      <c r="AO379" s="1491" t="n"/>
      <c r="AP379" s="1491" t="n"/>
      <c r="AQ379" s="1491" t="n"/>
      <c r="AR379" s="1491" t="n"/>
      <c r="AS379" s="1491" t="n"/>
      <c r="AT379" s="1491" t="n"/>
      <c r="AU379" s="1491" t="n"/>
      <c r="AV379" s="1491" t="n"/>
      <c r="AW379" s="1491" t="n"/>
      <c r="AX379" s="1491" t="n"/>
      <c r="AY379" s="1491" t="n"/>
      <c r="AZ379" s="1491" t="n"/>
      <c r="BA379" s="1491" t="n"/>
      <c r="BB379" s="1491" t="n"/>
      <c r="BC379" s="1491" t="n"/>
      <c r="BD379" s="1491" t="n"/>
      <c r="BE379" s="1491" t="n"/>
      <c r="BF379" s="1491" t="n"/>
      <c r="BG379" s="1491" t="n"/>
      <c r="BH379" s="1491" t="n"/>
      <c r="BI379" s="1491" t="n"/>
      <c r="BJ379" s="1491" t="n"/>
      <c r="BK379" s="1491" t="n"/>
      <c r="BL379" s="1491" t="n"/>
      <c r="BM379" s="1491" t="n"/>
      <c r="BN379" s="1491" t="n"/>
      <c r="BO379" s="1467" t="n"/>
      <c r="BP379" s="1514" t="n">
        <v>375</v>
      </c>
      <c r="BQ379" s="1513">
        <f>[1]Sheet1!C380</f>
        <v/>
      </c>
      <c r="BR379" s="1515">
        <f>[1]Sheet1!D380</f>
        <v/>
      </c>
      <c r="BS379" s="1513">
        <f>[1]Sheet1!E380</f>
        <v/>
      </c>
      <c r="BT379" s="1515">
        <f>[1]Sheet1!F380</f>
        <v/>
      </c>
      <c r="BU379" s="1516">
        <f>[1]Sheet1!G380</f>
        <v/>
      </c>
      <c r="BV379" s="1513">
        <f>[1]Sheet1!H380</f>
        <v/>
      </c>
      <c r="BW379" s="1467" t="n"/>
      <c r="BX379" s="1491" t="n"/>
      <c r="BY379" s="1491" t="n"/>
      <c r="BZ379" s="1491" t="n"/>
      <c r="CA379" s="1491" t="n"/>
      <c r="CB379" s="1467" t="n"/>
      <c r="CC379" s="1467" t="n"/>
      <c r="CD379" s="1491" t="n"/>
      <c r="CE379" s="1491" t="n"/>
      <c r="CF379" s="1491" t="n"/>
      <c r="CG379" s="1491" t="n"/>
      <c r="CH379" s="1491" t="n"/>
      <c r="CI379" s="1491" t="n"/>
      <c r="CJ379" s="1491" t="n"/>
      <c r="CK379" s="1491" t="n"/>
      <c r="CL379" s="1491" t="n"/>
      <c r="CM379" s="1491" t="n"/>
      <c r="CN379" s="1491" t="n"/>
      <c r="CO379" s="1491" t="n"/>
      <c r="CP379" s="1491" t="n"/>
      <c r="CQ379" s="1491" t="n"/>
      <c r="CR379" s="1491" t="n"/>
      <c r="CS379" s="1491" t="n"/>
      <c r="CT379" s="1491" t="n"/>
      <c r="CU379" s="1491" t="n"/>
      <c r="CV379" s="1491" t="n"/>
      <c r="CW379" s="1491" t="n"/>
      <c r="CX379" s="1491" t="n"/>
    </row>
    <row r="380">
      <c r="A380" s="1491" t="n"/>
      <c r="B380" s="1491" t="n"/>
      <c r="C380" s="1491" t="n"/>
      <c r="D380" s="1497">
        <f>IF(E380&lt;&gt;"",D379+1,D379)</f>
        <v/>
      </c>
      <c r="E380" s="1497" t="inlineStr">
        <is>
          <t>Le Bourg</t>
        </is>
      </c>
      <c r="F380" s="1535" t="inlineStr">
        <is>
          <t>.</t>
        </is>
      </c>
      <c r="G380" s="1498">
        <f>IF(H380="AIR",0,IF(H379="AIR",G378+1,IF(H380&lt;&gt;"",G379+1,G379)))</f>
        <v/>
      </c>
      <c r="H380" s="1498" t="inlineStr">
        <is>
          <t>Villeneuve</t>
        </is>
      </c>
      <c r="I380" s="1427" t="inlineStr">
        <is>
          <t>.</t>
        </is>
      </c>
      <c r="J380" s="1499" t="n">
        <v>375</v>
      </c>
      <c r="K380" s="1500">
        <f>_xlfn.XLOOKUP(cities[[#This Row],[id]],$D$5:$D$1500,E$5:E$1500,"-")</f>
        <v/>
      </c>
      <c r="L380" s="1500">
        <f>_xlfn.XLOOKUP(cities[[#This Row],[city]],ccc[city],ccc[ctry],"-")</f>
        <v/>
      </c>
      <c r="M380" s="1500">
        <f>SUMIFS(stayCity[stay],stayCity[city],cities[[#This Row],[city]])</f>
        <v/>
      </c>
      <c r="N380" s="1427">
        <f>N379+1</f>
        <v/>
      </c>
      <c r="O380" s="1500" t="n"/>
      <c r="P380" s="1500" t="n"/>
      <c r="Q380" s="1427" t="inlineStr">
        <is>
          <t>.</t>
        </is>
      </c>
      <c r="R380" s="1491" t="n"/>
      <c r="S380" s="1491" t="n"/>
      <c r="T380" s="1491" t="n"/>
      <c r="U380" s="1491" t="n"/>
      <c r="V380" s="1491" t="n"/>
      <c r="W380" s="1491" t="n"/>
      <c r="X380" s="1491" t="n"/>
      <c r="Y380" s="1491" t="n"/>
      <c r="Z380" s="1491" t="n"/>
      <c r="AA380" s="1491" t="n"/>
      <c r="AB380" s="1491" t="n"/>
      <c r="AC380" s="1491" t="n"/>
      <c r="AD380" s="1491" t="n"/>
      <c r="AE380" s="1491" t="n"/>
      <c r="AF380" s="1491" t="n"/>
      <c r="AG380" s="1491" t="n"/>
      <c r="AH380" s="1491" t="n"/>
      <c r="AI380" s="1491" t="n"/>
      <c r="AJ380" s="1491" t="n"/>
      <c r="AK380" s="1491" t="n"/>
      <c r="AL380" s="1491" t="n"/>
      <c r="AM380" s="1491" t="n"/>
      <c r="AN380" s="1491" t="n"/>
      <c r="AO380" s="1491" t="n"/>
      <c r="AP380" s="1491" t="n"/>
      <c r="AQ380" s="1491" t="n"/>
      <c r="AR380" s="1491" t="n"/>
      <c r="AS380" s="1491" t="n"/>
      <c r="AT380" s="1491" t="n"/>
      <c r="AU380" s="1491" t="n"/>
      <c r="AV380" s="1491" t="n"/>
      <c r="AW380" s="1491" t="n"/>
      <c r="AX380" s="1491" t="n"/>
      <c r="AY380" s="1491" t="n"/>
      <c r="AZ380" s="1491" t="n"/>
      <c r="BA380" s="1491" t="n"/>
      <c r="BB380" s="1491" t="n"/>
      <c r="BC380" s="1491" t="n"/>
      <c r="BD380" s="1491" t="n"/>
      <c r="BE380" s="1491" t="n"/>
      <c r="BF380" s="1491" t="n"/>
      <c r="BG380" s="1491" t="n"/>
      <c r="BH380" s="1491" t="n"/>
      <c r="BI380" s="1491" t="n"/>
      <c r="BJ380" s="1491" t="n"/>
      <c r="BK380" s="1491" t="n"/>
      <c r="BL380" s="1491" t="n"/>
      <c r="BM380" s="1491" t="n"/>
      <c r="BN380" s="1491" t="n"/>
      <c r="BO380" s="1467" t="n"/>
      <c r="BP380" s="1514" t="n">
        <v>376</v>
      </c>
      <c r="BQ380" s="1513">
        <f>[1]Sheet1!C381</f>
        <v/>
      </c>
      <c r="BR380" s="1515">
        <f>[1]Sheet1!D381</f>
        <v/>
      </c>
      <c r="BS380" s="1513">
        <f>[1]Sheet1!E381</f>
        <v/>
      </c>
      <c r="BT380" s="1515">
        <f>[1]Sheet1!F381</f>
        <v/>
      </c>
      <c r="BU380" s="1516">
        <f>[1]Sheet1!G381</f>
        <v/>
      </c>
      <c r="BV380" s="1513">
        <f>[1]Sheet1!H381</f>
        <v/>
      </c>
      <c r="BW380" s="1467" t="n"/>
      <c r="BX380" s="1491" t="n"/>
      <c r="BY380" s="1491" t="n"/>
      <c r="BZ380" s="1491" t="n"/>
      <c r="CA380" s="1491" t="n"/>
      <c r="CB380" s="1467" t="n"/>
      <c r="CC380" s="1467" t="n"/>
      <c r="CD380" s="1491" t="n"/>
      <c r="CE380" s="1491" t="n"/>
      <c r="CF380" s="1491" t="n"/>
      <c r="CG380" s="1491" t="n"/>
      <c r="CH380" s="1491" t="n"/>
      <c r="CI380" s="1491" t="n"/>
      <c r="CJ380" s="1491" t="n"/>
      <c r="CK380" s="1491" t="n"/>
      <c r="CL380" s="1491" t="n"/>
      <c r="CM380" s="1491" t="n"/>
      <c r="CN380" s="1491" t="n"/>
      <c r="CO380" s="1491" t="n"/>
      <c r="CP380" s="1491" t="n"/>
      <c r="CQ380" s="1491" t="n"/>
      <c r="CR380" s="1491" t="n"/>
      <c r="CS380" s="1491" t="n"/>
      <c r="CT380" s="1491" t="n"/>
      <c r="CU380" s="1491" t="n"/>
      <c r="CV380" s="1491" t="n"/>
      <c r="CW380" s="1491" t="n"/>
      <c r="CX380" s="1491" t="n"/>
    </row>
    <row r="381">
      <c r="A381" s="1491" t="n"/>
      <c r="B381" s="1491" t="n"/>
      <c r="C381" s="1491" t="n"/>
      <c r="D381" s="1497">
        <f>IF(E381&lt;&gt;"",D380+1,D380)</f>
        <v/>
      </c>
      <c r="E381" s="1497" t="inlineStr">
        <is>
          <t>Le Borgeaud</t>
        </is>
      </c>
      <c r="F381" s="1535" t="inlineStr">
        <is>
          <t>.</t>
        </is>
      </c>
      <c r="G381" s="1498">
        <f>IF(H381="AIR",0,IF(H380="AIR",G379+1,IF(H381&lt;&gt;"",G380+1,G380)))</f>
        <v/>
      </c>
      <c r="H381" s="1498" t="inlineStr">
        <is>
          <t>Aigle</t>
        </is>
      </c>
      <c r="I381" s="1427" t="inlineStr">
        <is>
          <t>.</t>
        </is>
      </c>
      <c r="J381" s="1499" t="n">
        <v>376</v>
      </c>
      <c r="K381" s="1500">
        <f>_xlfn.XLOOKUP(cities[[#This Row],[id]],$D$5:$D$1500,E$5:E$1500,"-")</f>
        <v/>
      </c>
      <c r="L381" s="1500">
        <f>_xlfn.XLOOKUP(cities[[#This Row],[city]],ccc[city],ccc[ctry],"-")</f>
        <v/>
      </c>
      <c r="M381" s="1500">
        <f>SUMIFS(stayCity[stay],stayCity[city],cities[[#This Row],[city]])</f>
        <v/>
      </c>
      <c r="N381" s="1427">
        <f>N380+1</f>
        <v/>
      </c>
      <c r="O381" s="1500" t="n"/>
      <c r="P381" s="1500" t="n"/>
      <c r="Q381" s="1427" t="inlineStr">
        <is>
          <t>.</t>
        </is>
      </c>
      <c r="R381" s="1491" t="n"/>
      <c r="S381" s="1491" t="n"/>
      <c r="T381" s="1491" t="n"/>
      <c r="U381" s="1491" t="n"/>
      <c r="V381" s="1491" t="n"/>
      <c r="W381" s="1491" t="n"/>
      <c r="X381" s="1491" t="n"/>
      <c r="Y381" s="1491" t="n"/>
      <c r="Z381" s="1491" t="n"/>
      <c r="AA381" s="1491" t="n"/>
      <c r="AB381" s="1491" t="n"/>
      <c r="AC381" s="1491" t="n"/>
      <c r="AD381" s="1491" t="n"/>
      <c r="AE381" s="1491" t="n"/>
      <c r="AF381" s="1491" t="n"/>
      <c r="AG381" s="1491" t="n"/>
      <c r="AH381" s="1491" t="n"/>
      <c r="AI381" s="1491" t="n"/>
      <c r="AJ381" s="1491" t="n"/>
      <c r="AK381" s="1491" t="n"/>
      <c r="AL381" s="1491" t="n"/>
      <c r="AM381" s="1491" t="n"/>
      <c r="AN381" s="1491" t="n"/>
      <c r="AO381" s="1491" t="n"/>
      <c r="AP381" s="1491" t="n"/>
      <c r="AQ381" s="1491" t="n"/>
      <c r="AR381" s="1491" t="n"/>
      <c r="AS381" s="1491" t="n"/>
      <c r="AT381" s="1491" t="n"/>
      <c r="AU381" s="1491" t="n"/>
      <c r="AV381" s="1491" t="n"/>
      <c r="AW381" s="1491" t="n"/>
      <c r="AX381" s="1491" t="n"/>
      <c r="AY381" s="1491" t="n"/>
      <c r="AZ381" s="1491" t="n"/>
      <c r="BA381" s="1491" t="n"/>
      <c r="BB381" s="1491" t="n"/>
      <c r="BC381" s="1491" t="n"/>
      <c r="BD381" s="1491" t="n"/>
      <c r="BE381" s="1491" t="n"/>
      <c r="BF381" s="1491" t="n"/>
      <c r="BG381" s="1491" t="n"/>
      <c r="BH381" s="1491" t="n"/>
      <c r="BI381" s="1491" t="n"/>
      <c r="BJ381" s="1491" t="n"/>
      <c r="BK381" s="1491" t="n"/>
      <c r="BL381" s="1491" t="n"/>
      <c r="BM381" s="1491" t="n"/>
      <c r="BN381" s="1491" t="n"/>
      <c r="BO381" s="1467" t="n"/>
      <c r="BP381" s="1514" t="n">
        <v>377</v>
      </c>
      <c r="BQ381" s="1513">
        <f>[1]Sheet1!C382</f>
        <v/>
      </c>
      <c r="BR381" s="1515">
        <f>[1]Sheet1!D382</f>
        <v/>
      </c>
      <c r="BS381" s="1513">
        <f>[1]Sheet1!E382</f>
        <v/>
      </c>
      <c r="BT381" s="1515">
        <f>[1]Sheet1!F382</f>
        <v/>
      </c>
      <c r="BU381" s="1516">
        <f>[1]Sheet1!G382</f>
        <v/>
      </c>
      <c r="BV381" s="1513">
        <f>[1]Sheet1!H382</f>
        <v/>
      </c>
      <c r="BW381" s="1467" t="n"/>
      <c r="BX381" s="1491" t="n"/>
      <c r="BY381" s="1491" t="n"/>
      <c r="BZ381" s="1491" t="n"/>
      <c r="CA381" s="1491" t="n"/>
      <c r="CB381" s="1467" t="n"/>
      <c r="CC381" s="1467" t="n"/>
      <c r="CD381" s="1491" t="n"/>
      <c r="CE381" s="1491" t="n"/>
      <c r="CF381" s="1491" t="n"/>
      <c r="CG381" s="1491" t="n"/>
      <c r="CH381" s="1491" t="n"/>
      <c r="CI381" s="1491" t="n"/>
      <c r="CJ381" s="1491" t="n"/>
      <c r="CK381" s="1491" t="n"/>
      <c r="CL381" s="1491" t="n"/>
      <c r="CM381" s="1491" t="n"/>
      <c r="CN381" s="1491" t="n"/>
      <c r="CO381" s="1491" t="n"/>
      <c r="CP381" s="1491" t="n"/>
      <c r="CQ381" s="1491" t="n"/>
      <c r="CR381" s="1491" t="n"/>
      <c r="CS381" s="1491" t="n"/>
      <c r="CT381" s="1491" t="n"/>
      <c r="CU381" s="1491" t="n"/>
      <c r="CV381" s="1491" t="n"/>
      <c r="CW381" s="1491" t="n"/>
      <c r="CX381" s="1491" t="n"/>
    </row>
    <row r="382">
      <c r="A382" s="1491" t="n"/>
      <c r="B382" s="1491" t="n"/>
      <c r="C382" s="1491" t="n"/>
      <c r="D382" s="1497">
        <f>IF(E382&lt;&gt;"",D381+1,D381)</f>
        <v/>
      </c>
      <c r="E382" s="1497" t="inlineStr">
        <is>
          <t>Sembrancher</t>
        </is>
      </c>
      <c r="F382" s="1535" t="inlineStr">
        <is>
          <t>.</t>
        </is>
      </c>
      <c r="G382" s="1498">
        <f>IF(H382="AIR",0,IF(H381="AIR",G380+1,IF(H382&lt;&gt;"",G381+1,G381)))</f>
        <v/>
      </c>
      <c r="H382" s="1498" t="inlineStr">
        <is>
          <t>Saint-Maurice</t>
        </is>
      </c>
      <c r="I382" s="1427" t="inlineStr">
        <is>
          <t>.</t>
        </is>
      </c>
      <c r="J382" s="1499" t="n">
        <v>377</v>
      </c>
      <c r="K382" s="1500">
        <f>_xlfn.XLOOKUP(cities[[#This Row],[id]],$D$5:$D$1500,E$5:E$1500,"-")</f>
        <v/>
      </c>
      <c r="L382" s="1500">
        <f>_xlfn.XLOOKUP(cities[[#This Row],[city]],ccc[city],ccc[ctry],"-")</f>
        <v/>
      </c>
      <c r="M382" s="1500">
        <f>SUMIFS(stayCity[stay],stayCity[city],cities[[#This Row],[city]])</f>
        <v/>
      </c>
      <c r="N382" s="1427">
        <f>N381+1</f>
        <v/>
      </c>
      <c r="O382" s="1500" t="n"/>
      <c r="P382" s="1500" t="n"/>
      <c r="Q382" s="1427" t="inlineStr">
        <is>
          <t>.</t>
        </is>
      </c>
      <c r="R382" s="1491" t="n"/>
      <c r="S382" s="1491" t="n"/>
      <c r="T382" s="1491" t="n"/>
      <c r="U382" s="1491" t="n"/>
      <c r="V382" s="1491" t="n"/>
      <c r="W382" s="1491" t="n"/>
      <c r="X382" s="1491" t="n"/>
      <c r="Y382" s="1491" t="n"/>
      <c r="Z382" s="1491" t="n"/>
      <c r="AA382" s="1491" t="n"/>
      <c r="AB382" s="1491" t="n"/>
      <c r="AC382" s="1491" t="n"/>
      <c r="AD382" s="1491" t="n"/>
      <c r="AE382" s="1491" t="n"/>
      <c r="AF382" s="1491" t="n"/>
      <c r="AG382" s="1491" t="n"/>
      <c r="AH382" s="1491" t="n"/>
      <c r="AI382" s="1491" t="n"/>
      <c r="AJ382" s="1491" t="n"/>
      <c r="AK382" s="1491" t="n"/>
      <c r="AL382" s="1491" t="n"/>
      <c r="AM382" s="1491" t="n"/>
      <c r="AN382" s="1491" t="n"/>
      <c r="AO382" s="1491" t="n"/>
      <c r="AP382" s="1491" t="n"/>
      <c r="AQ382" s="1491" t="n"/>
      <c r="AR382" s="1491" t="n"/>
      <c r="AS382" s="1491" t="n"/>
      <c r="AT382" s="1491" t="n"/>
      <c r="AU382" s="1491" t="n"/>
      <c r="AV382" s="1491" t="n"/>
      <c r="AW382" s="1491" t="n"/>
      <c r="AX382" s="1491" t="n"/>
      <c r="AY382" s="1491" t="n"/>
      <c r="AZ382" s="1491" t="n"/>
      <c r="BA382" s="1491" t="n"/>
      <c r="BB382" s="1491" t="n"/>
      <c r="BC382" s="1491" t="n"/>
      <c r="BD382" s="1491" t="n"/>
      <c r="BE382" s="1491" t="n"/>
      <c r="BF382" s="1491" t="n"/>
      <c r="BG382" s="1491" t="n"/>
      <c r="BH382" s="1491" t="n"/>
      <c r="BI382" s="1491" t="n"/>
      <c r="BJ382" s="1491" t="n"/>
      <c r="BK382" s="1491" t="n"/>
      <c r="BL382" s="1491" t="n"/>
      <c r="BM382" s="1491" t="n"/>
      <c r="BN382" s="1491" t="n"/>
      <c r="BO382" s="1467" t="n"/>
      <c r="BP382" s="1514" t="n">
        <v>378</v>
      </c>
      <c r="BQ382" s="1513">
        <f>[1]Sheet1!C383</f>
        <v/>
      </c>
      <c r="BR382" s="1515">
        <f>[1]Sheet1!D383</f>
        <v/>
      </c>
      <c r="BS382" s="1513">
        <f>[1]Sheet1!E383</f>
        <v/>
      </c>
      <c r="BT382" s="1515">
        <f>[1]Sheet1!F383</f>
        <v/>
      </c>
      <c r="BU382" s="1516">
        <f>[1]Sheet1!G383</f>
        <v/>
      </c>
      <c r="BV382" s="1513">
        <f>[1]Sheet1!H383</f>
        <v/>
      </c>
      <c r="BW382" s="1467" t="n"/>
      <c r="BX382" s="1491" t="n"/>
      <c r="BY382" s="1491" t="n"/>
      <c r="BZ382" s="1491" t="n"/>
      <c r="CA382" s="1491" t="n"/>
      <c r="CB382" s="1467" t="n"/>
      <c r="CC382" s="1467" t="n"/>
      <c r="CD382" s="1491" t="n"/>
      <c r="CE382" s="1491" t="n"/>
      <c r="CF382" s="1491" t="n"/>
      <c r="CG382" s="1491" t="n"/>
      <c r="CH382" s="1491" t="n"/>
      <c r="CI382" s="1491" t="n"/>
      <c r="CJ382" s="1491" t="n"/>
      <c r="CK382" s="1491" t="n"/>
      <c r="CL382" s="1491" t="n"/>
      <c r="CM382" s="1491" t="n"/>
      <c r="CN382" s="1491" t="n"/>
      <c r="CO382" s="1491" t="n"/>
      <c r="CP382" s="1491" t="n"/>
      <c r="CQ382" s="1491" t="n"/>
      <c r="CR382" s="1491" t="n"/>
      <c r="CS382" s="1491" t="n"/>
      <c r="CT382" s="1491" t="n"/>
      <c r="CU382" s="1491" t="n"/>
      <c r="CV382" s="1491" t="n"/>
      <c r="CW382" s="1491" t="n"/>
      <c r="CX382" s="1491" t="n"/>
    </row>
    <row r="383">
      <c r="A383" s="1491" t="n"/>
      <c r="B383" s="1491" t="n"/>
      <c r="C383" s="1491" t="n"/>
      <c r="D383" s="1497">
        <f>IF(E383&lt;&gt;"",D382+1,D382)</f>
        <v/>
      </c>
      <c r="E383" s="1497" t="inlineStr">
        <is>
          <t>Orsieres</t>
        </is>
      </c>
      <c r="F383" s="1535" t="inlineStr">
        <is>
          <t>.</t>
        </is>
      </c>
      <c r="G383" s="1498">
        <f>IF(H383="AIR",0,IF(H382="AIR",G381+1,IF(H383&lt;&gt;"",G382+1,G382)))</f>
        <v/>
      </c>
      <c r="H383" s="1498" t="inlineStr">
        <is>
          <t>Evionnaz</t>
        </is>
      </c>
      <c r="I383" s="1427" t="inlineStr">
        <is>
          <t>.</t>
        </is>
      </c>
      <c r="J383" s="1499" t="n">
        <v>378</v>
      </c>
      <c r="K383" s="1500">
        <f>_xlfn.XLOOKUP(cities[[#This Row],[id]],$D$5:$D$1500,E$5:E$1500,"-")</f>
        <v/>
      </c>
      <c r="L383" s="1500">
        <f>_xlfn.XLOOKUP(cities[[#This Row],[city]],ccc[city],ccc[ctry],"-")</f>
        <v/>
      </c>
      <c r="M383" s="1500">
        <f>SUMIFS(stayCity[stay],stayCity[city],cities[[#This Row],[city]])</f>
        <v/>
      </c>
      <c r="N383" s="1427">
        <f>N382+1</f>
        <v/>
      </c>
      <c r="O383" s="1500" t="n"/>
      <c r="P383" s="1500" t="n"/>
      <c r="Q383" s="1427" t="inlineStr">
        <is>
          <t>.</t>
        </is>
      </c>
      <c r="R383" s="1491" t="n"/>
      <c r="S383" s="1491" t="n"/>
      <c r="T383" s="1491" t="n"/>
      <c r="U383" s="1491" t="n"/>
      <c r="V383" s="1491" t="n"/>
      <c r="W383" s="1491" t="n"/>
      <c r="X383" s="1491" t="n"/>
      <c r="Y383" s="1491" t="n"/>
      <c r="Z383" s="1491" t="n"/>
      <c r="AA383" s="1491" t="n"/>
      <c r="AB383" s="1491" t="n"/>
      <c r="AC383" s="1491" t="n"/>
      <c r="AD383" s="1491" t="n"/>
      <c r="AE383" s="1491" t="n"/>
      <c r="AF383" s="1491" t="n"/>
      <c r="AG383" s="1491" t="n"/>
      <c r="AH383" s="1491" t="n"/>
      <c r="AI383" s="1491" t="n"/>
      <c r="AJ383" s="1491" t="n"/>
      <c r="AK383" s="1491" t="n"/>
      <c r="AL383" s="1491" t="n"/>
      <c r="AM383" s="1491" t="n"/>
      <c r="AN383" s="1491" t="n"/>
      <c r="AO383" s="1491" t="n"/>
      <c r="AP383" s="1491" t="n"/>
      <c r="AQ383" s="1491" t="n"/>
      <c r="AR383" s="1491" t="n"/>
      <c r="AS383" s="1491" t="n"/>
      <c r="AT383" s="1491" t="n"/>
      <c r="AU383" s="1491" t="n"/>
      <c r="AV383" s="1491" t="n"/>
      <c r="AW383" s="1491" t="n"/>
      <c r="AX383" s="1491" t="n"/>
      <c r="AY383" s="1491" t="n"/>
      <c r="AZ383" s="1491" t="n"/>
      <c r="BA383" s="1491" t="n"/>
      <c r="BB383" s="1491" t="n"/>
      <c r="BC383" s="1491" t="n"/>
      <c r="BD383" s="1491" t="n"/>
      <c r="BE383" s="1491" t="n"/>
      <c r="BF383" s="1491" t="n"/>
      <c r="BG383" s="1491" t="n"/>
      <c r="BH383" s="1491" t="n"/>
      <c r="BI383" s="1491" t="n"/>
      <c r="BJ383" s="1491" t="n"/>
      <c r="BK383" s="1491" t="n"/>
      <c r="BL383" s="1491" t="n"/>
      <c r="BM383" s="1491" t="n"/>
      <c r="BN383" s="1491" t="n"/>
      <c r="BO383" s="1467" t="n"/>
      <c r="BP383" s="1514" t="n">
        <v>379</v>
      </c>
      <c r="BQ383" s="1513">
        <f>[1]Sheet1!C384</f>
        <v/>
      </c>
      <c r="BR383" s="1515">
        <f>[1]Sheet1!D384</f>
        <v/>
      </c>
      <c r="BS383" s="1513">
        <f>[1]Sheet1!E384</f>
        <v/>
      </c>
      <c r="BT383" s="1515">
        <f>[1]Sheet1!F384</f>
        <v/>
      </c>
      <c r="BU383" s="1516">
        <f>[1]Sheet1!G384</f>
        <v/>
      </c>
      <c r="BV383" s="1513">
        <f>[1]Sheet1!H384</f>
        <v/>
      </c>
      <c r="BW383" s="1467" t="n"/>
      <c r="BX383" s="1491" t="n"/>
      <c r="BY383" s="1491" t="n"/>
      <c r="BZ383" s="1491" t="n"/>
      <c r="CA383" s="1491" t="n"/>
      <c r="CB383" s="1467" t="n"/>
      <c r="CC383" s="1467" t="n"/>
      <c r="CD383" s="1491" t="n"/>
      <c r="CE383" s="1491" t="n"/>
      <c r="CF383" s="1491" t="n"/>
      <c r="CG383" s="1491" t="n"/>
      <c r="CH383" s="1491" t="n"/>
      <c r="CI383" s="1491" t="n"/>
      <c r="CJ383" s="1491" t="n"/>
      <c r="CK383" s="1491" t="n"/>
      <c r="CL383" s="1491" t="n"/>
      <c r="CM383" s="1491" t="n"/>
      <c r="CN383" s="1491" t="n"/>
      <c r="CO383" s="1491" t="n"/>
      <c r="CP383" s="1491" t="n"/>
      <c r="CQ383" s="1491" t="n"/>
      <c r="CR383" s="1491" t="n"/>
      <c r="CS383" s="1491" t="n"/>
      <c r="CT383" s="1491" t="n"/>
      <c r="CU383" s="1491" t="n"/>
      <c r="CV383" s="1491" t="n"/>
      <c r="CW383" s="1491" t="n"/>
      <c r="CX383" s="1491" t="n"/>
    </row>
    <row r="384">
      <c r="A384" s="1491" t="n"/>
      <c r="B384" s="1491" t="n"/>
      <c r="C384" s="1491" t="n"/>
      <c r="D384" s="1497">
        <f>IF(E384&lt;&gt;"",D383+1,D383)</f>
        <v/>
      </c>
      <c r="E384" s="1497" t="inlineStr">
        <is>
          <t>Grand Saint-Bernard</t>
        </is>
      </c>
      <c r="F384" s="1535" t="inlineStr">
        <is>
          <t>.</t>
        </is>
      </c>
      <c r="G384" s="1498">
        <f>IF(H384="AIR",0,IF(H383="AIR",G382+1,IF(H384&lt;&gt;"",G383+1,G383)))</f>
        <v/>
      </c>
      <c r="H384" s="1498" t="inlineStr">
        <is>
          <t>Trient</t>
        </is>
      </c>
      <c r="I384" s="1427" t="inlineStr">
        <is>
          <t>.</t>
        </is>
      </c>
      <c r="J384" s="1499" t="n">
        <v>379</v>
      </c>
      <c r="K384" s="1500">
        <f>_xlfn.XLOOKUP(cities[[#This Row],[id]],$D$5:$D$1500,E$5:E$1500,"-")</f>
        <v/>
      </c>
      <c r="L384" s="1500">
        <f>_xlfn.XLOOKUP(cities[[#This Row],[city]],ccc[city],ccc[ctry],"-")</f>
        <v/>
      </c>
      <c r="M384" s="1500">
        <f>SUMIFS(stayCity[stay],stayCity[city],cities[[#This Row],[city]])</f>
        <v/>
      </c>
      <c r="N384" s="1427">
        <f>N383+1</f>
        <v/>
      </c>
      <c r="O384" s="1500" t="n"/>
      <c r="P384" s="1500" t="n"/>
      <c r="Q384" s="1427" t="inlineStr">
        <is>
          <t>.</t>
        </is>
      </c>
      <c r="R384" s="1491" t="n"/>
      <c r="S384" s="1491" t="n"/>
      <c r="T384" s="1491" t="n"/>
      <c r="U384" s="1491" t="n"/>
      <c r="V384" s="1491" t="n"/>
      <c r="W384" s="1491" t="n"/>
      <c r="X384" s="1491" t="n"/>
      <c r="Y384" s="1491" t="n"/>
      <c r="Z384" s="1491" t="n"/>
      <c r="AA384" s="1491" t="n"/>
      <c r="AB384" s="1491" t="n"/>
      <c r="AC384" s="1491" t="n"/>
      <c r="AD384" s="1491" t="n"/>
      <c r="AE384" s="1491" t="n"/>
      <c r="AF384" s="1491" t="n"/>
      <c r="AG384" s="1491" t="n"/>
      <c r="AH384" s="1491" t="n"/>
      <c r="AI384" s="1491" t="n"/>
      <c r="AJ384" s="1491" t="n"/>
      <c r="AK384" s="1491" t="n"/>
      <c r="AL384" s="1491" t="n"/>
      <c r="AM384" s="1491" t="n"/>
      <c r="AN384" s="1491" t="n"/>
      <c r="AO384" s="1491" t="n"/>
      <c r="AP384" s="1491" t="n"/>
      <c r="AQ384" s="1491" t="n"/>
      <c r="AR384" s="1491" t="n"/>
      <c r="AS384" s="1491" t="n"/>
      <c r="AT384" s="1491" t="n"/>
      <c r="AU384" s="1491" t="n"/>
      <c r="AV384" s="1491" t="n"/>
      <c r="AW384" s="1491" t="n"/>
      <c r="AX384" s="1491" t="n"/>
      <c r="AY384" s="1491" t="n"/>
      <c r="AZ384" s="1491" t="n"/>
      <c r="BA384" s="1491" t="n"/>
      <c r="BB384" s="1491" t="n"/>
      <c r="BC384" s="1491" t="n"/>
      <c r="BD384" s="1491" t="n"/>
      <c r="BE384" s="1491" t="n"/>
      <c r="BF384" s="1491" t="n"/>
      <c r="BG384" s="1491" t="n"/>
      <c r="BH384" s="1491" t="n"/>
      <c r="BI384" s="1491" t="n"/>
      <c r="BJ384" s="1491" t="n"/>
      <c r="BK384" s="1491" t="n"/>
      <c r="BL384" s="1491" t="n"/>
      <c r="BM384" s="1491" t="n"/>
      <c r="BN384" s="1491" t="n"/>
      <c r="BO384" s="1467" t="n"/>
      <c r="BP384" s="1514" t="n">
        <v>380</v>
      </c>
      <c r="BQ384" s="1513">
        <f>[1]Sheet1!C385</f>
        <v/>
      </c>
      <c r="BR384" s="1515">
        <f>[1]Sheet1!D385</f>
        <v/>
      </c>
      <c r="BS384" s="1513">
        <f>[1]Sheet1!E385</f>
        <v/>
      </c>
      <c r="BT384" s="1515">
        <f>[1]Sheet1!F385</f>
        <v/>
      </c>
      <c r="BU384" s="1516">
        <f>[1]Sheet1!G385</f>
        <v/>
      </c>
      <c r="BV384" s="1513">
        <f>[1]Sheet1!H385</f>
        <v/>
      </c>
      <c r="BW384" s="1467" t="n"/>
      <c r="BX384" s="1491" t="n"/>
      <c r="BY384" s="1491" t="n"/>
      <c r="BZ384" s="1491" t="n"/>
      <c r="CA384" s="1491" t="n"/>
      <c r="CB384" s="1467" t="n"/>
      <c r="CC384" s="1467" t="n"/>
      <c r="CD384" s="1491" t="n"/>
      <c r="CE384" s="1491" t="n"/>
      <c r="CF384" s="1491" t="n"/>
      <c r="CG384" s="1491" t="n"/>
      <c r="CH384" s="1491" t="n"/>
      <c r="CI384" s="1491" t="n"/>
      <c r="CJ384" s="1491" t="n"/>
      <c r="CK384" s="1491" t="n"/>
      <c r="CL384" s="1491" t="n"/>
      <c r="CM384" s="1491" t="n"/>
      <c r="CN384" s="1491" t="n"/>
      <c r="CO384" s="1491" t="n"/>
      <c r="CP384" s="1491" t="n"/>
      <c r="CQ384" s="1491" t="n"/>
      <c r="CR384" s="1491" t="n"/>
      <c r="CS384" s="1491" t="n"/>
      <c r="CT384" s="1491" t="n"/>
      <c r="CU384" s="1491" t="n"/>
      <c r="CV384" s="1491" t="n"/>
      <c r="CW384" s="1491" t="n"/>
      <c r="CX384" s="1491" t="n"/>
    </row>
    <row r="385">
      <c r="A385" s="1491" t="n"/>
      <c r="B385" s="1491" t="n"/>
      <c r="C385" s="1491" t="n"/>
      <c r="D385" s="1497">
        <f>IF(E385&lt;&gt;"",D384+1,D384)</f>
        <v/>
      </c>
      <c r="E385" s="1497" t="inlineStr">
        <is>
          <t>Etroubles</t>
        </is>
      </c>
      <c r="F385" s="1535" t="inlineStr">
        <is>
          <t>.</t>
        </is>
      </c>
      <c r="G385" s="1498">
        <f>IF(H385="AIR",0,IF(H384="AIR",G383+1,IF(H385&lt;&gt;"",G384+1,G384)))</f>
        <v/>
      </c>
      <c r="H385" s="1498" t="inlineStr">
        <is>
          <t>Martigny</t>
        </is>
      </c>
      <c r="I385" s="1427" t="inlineStr">
        <is>
          <t>.</t>
        </is>
      </c>
      <c r="J385" s="1499" t="n">
        <v>380</v>
      </c>
      <c r="K385" s="1500">
        <f>_xlfn.XLOOKUP(cities[[#This Row],[id]],$D$5:$D$1500,E$5:E$1500,"-")</f>
        <v/>
      </c>
      <c r="L385" s="1500">
        <f>_xlfn.XLOOKUP(cities[[#This Row],[city]],ccc[city],ccc[ctry],"-")</f>
        <v/>
      </c>
      <c r="M385" s="1500">
        <f>SUMIFS(stayCity[stay],stayCity[city],cities[[#This Row],[city]])</f>
        <v/>
      </c>
      <c r="N385" s="1427">
        <f>N384+1</f>
        <v/>
      </c>
      <c r="O385" s="1500" t="n"/>
      <c r="P385" s="1500" t="n"/>
      <c r="Q385" s="1427" t="inlineStr">
        <is>
          <t>.</t>
        </is>
      </c>
      <c r="R385" s="1491" t="n"/>
      <c r="S385" s="1491" t="n"/>
      <c r="T385" s="1491" t="n"/>
      <c r="U385" s="1491" t="n"/>
      <c r="V385" s="1491" t="n"/>
      <c r="W385" s="1491" t="n"/>
      <c r="X385" s="1491" t="n"/>
      <c r="Y385" s="1491" t="n"/>
      <c r="Z385" s="1491" t="n"/>
      <c r="AA385" s="1491" t="n"/>
      <c r="AB385" s="1491" t="n"/>
      <c r="AC385" s="1491" t="n"/>
      <c r="AD385" s="1491" t="n"/>
      <c r="AE385" s="1491" t="n"/>
      <c r="AF385" s="1491" t="n"/>
      <c r="AG385" s="1491" t="n"/>
      <c r="AH385" s="1491" t="n"/>
      <c r="AI385" s="1491" t="n"/>
      <c r="AJ385" s="1491" t="n"/>
      <c r="AK385" s="1491" t="n"/>
      <c r="AL385" s="1491" t="n"/>
      <c r="AM385" s="1491" t="n"/>
      <c r="AN385" s="1491" t="n"/>
      <c r="AO385" s="1491" t="n"/>
      <c r="AP385" s="1491" t="n"/>
      <c r="AQ385" s="1491" t="n"/>
      <c r="AR385" s="1491" t="n"/>
      <c r="AS385" s="1491" t="n"/>
      <c r="AT385" s="1491" t="n"/>
      <c r="AU385" s="1491" t="n"/>
      <c r="AV385" s="1491" t="n"/>
      <c r="AW385" s="1491" t="n"/>
      <c r="AX385" s="1491" t="n"/>
      <c r="AY385" s="1491" t="n"/>
      <c r="AZ385" s="1491" t="n"/>
      <c r="BA385" s="1491" t="n"/>
      <c r="BB385" s="1491" t="n"/>
      <c r="BC385" s="1491" t="n"/>
      <c r="BD385" s="1491" t="n"/>
      <c r="BE385" s="1491" t="n"/>
      <c r="BF385" s="1491" t="n"/>
      <c r="BG385" s="1491" t="n"/>
      <c r="BH385" s="1491" t="n"/>
      <c r="BI385" s="1491" t="n"/>
      <c r="BJ385" s="1491" t="n"/>
      <c r="BK385" s="1491" t="n"/>
      <c r="BL385" s="1491" t="n"/>
      <c r="BM385" s="1491" t="n"/>
      <c r="BN385" s="1491" t="n"/>
      <c r="BO385" s="1467" t="n"/>
      <c r="BP385" s="1514" t="n">
        <v>381</v>
      </c>
      <c r="BQ385" s="1513">
        <f>[1]Sheet1!C386</f>
        <v/>
      </c>
      <c r="BR385" s="1515">
        <f>[1]Sheet1!D386</f>
        <v/>
      </c>
      <c r="BS385" s="1513">
        <f>[1]Sheet1!E386</f>
        <v/>
      </c>
      <c r="BT385" s="1515">
        <f>[1]Sheet1!F386</f>
        <v/>
      </c>
      <c r="BU385" s="1516">
        <f>[1]Sheet1!G386</f>
        <v/>
      </c>
      <c r="BV385" s="1513">
        <f>[1]Sheet1!H386</f>
        <v/>
      </c>
      <c r="BW385" s="1467" t="n"/>
      <c r="BX385" s="1491" t="n"/>
      <c r="BY385" s="1491" t="n"/>
      <c r="BZ385" s="1491" t="n"/>
      <c r="CA385" s="1491" t="n"/>
      <c r="CB385" s="1467" t="n"/>
      <c r="CC385" s="1467" t="n"/>
      <c r="CD385" s="1491" t="n"/>
      <c r="CE385" s="1491" t="n"/>
      <c r="CF385" s="1491" t="n"/>
      <c r="CG385" s="1491" t="n"/>
      <c r="CH385" s="1491" t="n"/>
      <c r="CI385" s="1491" t="n"/>
      <c r="CJ385" s="1491" t="n"/>
      <c r="CK385" s="1491" t="n"/>
      <c r="CL385" s="1491" t="n"/>
      <c r="CM385" s="1491" t="n"/>
      <c r="CN385" s="1491" t="n"/>
      <c r="CO385" s="1491" t="n"/>
      <c r="CP385" s="1491" t="n"/>
      <c r="CQ385" s="1491" t="n"/>
      <c r="CR385" s="1491" t="n"/>
      <c r="CS385" s="1491" t="n"/>
      <c r="CT385" s="1491" t="n"/>
      <c r="CU385" s="1491" t="n"/>
      <c r="CV385" s="1491" t="n"/>
      <c r="CW385" s="1491" t="n"/>
      <c r="CX385" s="1491" t="n"/>
    </row>
    <row r="386">
      <c r="A386" s="1491" t="n"/>
      <c r="B386" s="1491" t="n"/>
      <c r="C386" s="1491" t="n"/>
      <c r="D386" s="1497">
        <f>IF(E386&lt;&gt;"",D385+1,D385)</f>
        <v/>
      </c>
      <c r="E386" s="1497" t="inlineStr">
        <is>
          <t>Aosta</t>
        </is>
      </c>
      <c r="F386" s="1535" t="inlineStr">
        <is>
          <t>.</t>
        </is>
      </c>
      <c r="G386" s="1498">
        <f>IF(H386="AIR",0,IF(H385="AIR",G384+1,IF(H386&lt;&gt;"",G385+1,G385)))</f>
        <v/>
      </c>
      <c r="H386" s="1498" t="inlineStr">
        <is>
          <t>Les Hauderes</t>
        </is>
      </c>
      <c r="I386" s="1427" t="inlineStr">
        <is>
          <t>.</t>
        </is>
      </c>
      <c r="J386" s="1499" t="n">
        <v>381</v>
      </c>
      <c r="K386" s="1500">
        <f>_xlfn.XLOOKUP(cities[[#This Row],[id]],$D$5:$D$1500,E$5:E$1500,"-")</f>
        <v/>
      </c>
      <c r="L386" s="1500">
        <f>_xlfn.XLOOKUP(cities[[#This Row],[city]],ccc[city],ccc[ctry],"-")</f>
        <v/>
      </c>
      <c r="M386" s="1500">
        <f>SUMIFS(stayCity[stay],stayCity[city],cities[[#This Row],[city]])</f>
        <v/>
      </c>
      <c r="N386" s="1427">
        <f>N385+1</f>
        <v/>
      </c>
      <c r="O386" s="1500" t="n"/>
      <c r="P386" s="1500" t="n"/>
      <c r="Q386" s="1427" t="inlineStr">
        <is>
          <t>.</t>
        </is>
      </c>
      <c r="R386" s="1491" t="n"/>
      <c r="S386" s="1491" t="n"/>
      <c r="T386" s="1491" t="n"/>
      <c r="U386" s="1491" t="n"/>
      <c r="V386" s="1491" t="n"/>
      <c r="W386" s="1491" t="n"/>
      <c r="X386" s="1491" t="n"/>
      <c r="Y386" s="1491" t="n"/>
      <c r="Z386" s="1491" t="n"/>
      <c r="AA386" s="1491" t="n"/>
      <c r="AB386" s="1491" t="n"/>
      <c r="AC386" s="1491" t="n"/>
      <c r="AD386" s="1491" t="n"/>
      <c r="AE386" s="1491" t="n"/>
      <c r="AF386" s="1491" t="n"/>
      <c r="AG386" s="1491" t="n"/>
      <c r="AH386" s="1491" t="n"/>
      <c r="AI386" s="1491" t="n"/>
      <c r="AJ386" s="1491" t="n"/>
      <c r="AK386" s="1491" t="n"/>
      <c r="AL386" s="1491" t="n"/>
      <c r="AM386" s="1491" t="n"/>
      <c r="AN386" s="1491" t="n"/>
      <c r="AO386" s="1491" t="n"/>
      <c r="AP386" s="1491" t="n"/>
      <c r="AQ386" s="1491" t="n"/>
      <c r="AR386" s="1491" t="n"/>
      <c r="AS386" s="1491" t="n"/>
      <c r="AT386" s="1491" t="n"/>
      <c r="AU386" s="1491" t="n"/>
      <c r="AV386" s="1491" t="n"/>
      <c r="AW386" s="1491" t="n"/>
      <c r="AX386" s="1491" t="n"/>
      <c r="AY386" s="1491" t="n"/>
      <c r="AZ386" s="1491" t="n"/>
      <c r="BA386" s="1491" t="n"/>
      <c r="BB386" s="1491" t="n"/>
      <c r="BC386" s="1491" t="n"/>
      <c r="BD386" s="1491" t="n"/>
      <c r="BE386" s="1491" t="n"/>
      <c r="BF386" s="1491" t="n"/>
      <c r="BG386" s="1491" t="n"/>
      <c r="BH386" s="1491" t="n"/>
      <c r="BI386" s="1491" t="n"/>
      <c r="BJ386" s="1491" t="n"/>
      <c r="BK386" s="1491" t="n"/>
      <c r="BL386" s="1491" t="n"/>
      <c r="BM386" s="1491" t="n"/>
      <c r="BN386" s="1491" t="n"/>
      <c r="BO386" s="1467" t="n"/>
      <c r="BP386" s="1514" t="n">
        <v>382</v>
      </c>
      <c r="BQ386" s="1513">
        <f>[1]Sheet1!C387</f>
        <v/>
      </c>
      <c r="BR386" s="1515">
        <f>[1]Sheet1!D387</f>
        <v/>
      </c>
      <c r="BS386" s="1513">
        <f>[1]Sheet1!E387</f>
        <v/>
      </c>
      <c r="BT386" s="1515">
        <f>[1]Sheet1!F387</f>
        <v/>
      </c>
      <c r="BU386" s="1516">
        <f>[1]Sheet1!G387</f>
        <v/>
      </c>
      <c r="BV386" s="1513">
        <f>[1]Sheet1!H387</f>
        <v/>
      </c>
      <c r="BW386" s="1467" t="n"/>
      <c r="BX386" s="1491" t="n"/>
      <c r="BY386" s="1491" t="n"/>
      <c r="BZ386" s="1491" t="n"/>
      <c r="CA386" s="1491" t="n"/>
      <c r="CB386" s="1467" t="n"/>
      <c r="CC386" s="1467" t="n"/>
      <c r="CD386" s="1491" t="n"/>
      <c r="CE386" s="1491" t="n"/>
      <c r="CF386" s="1491" t="n"/>
      <c r="CG386" s="1491" t="n"/>
      <c r="CH386" s="1491" t="n"/>
      <c r="CI386" s="1491" t="n"/>
      <c r="CJ386" s="1491" t="n"/>
      <c r="CK386" s="1491" t="n"/>
      <c r="CL386" s="1491" t="n"/>
      <c r="CM386" s="1491" t="n"/>
      <c r="CN386" s="1491" t="n"/>
      <c r="CO386" s="1491" t="n"/>
      <c r="CP386" s="1491" t="n"/>
      <c r="CQ386" s="1491" t="n"/>
      <c r="CR386" s="1491" t="n"/>
      <c r="CS386" s="1491" t="n"/>
      <c r="CT386" s="1491" t="n"/>
      <c r="CU386" s="1491" t="n"/>
      <c r="CV386" s="1491" t="n"/>
      <c r="CW386" s="1491" t="n"/>
      <c r="CX386" s="1491" t="n"/>
    </row>
    <row r="387">
      <c r="A387" s="1491" t="n"/>
      <c r="B387" s="1491" t="n"/>
      <c r="C387" s="1491" t="n"/>
      <c r="D387" s="1497">
        <f>IF(E387&lt;&gt;"",D386+1,D386)</f>
        <v/>
      </c>
      <c r="E387" s="1497" t="inlineStr">
        <is>
          <t>Chatillon</t>
        </is>
      </c>
      <c r="F387" s="1535" t="inlineStr">
        <is>
          <t>.</t>
        </is>
      </c>
      <c r="G387" s="1498">
        <f>IF(H387="AIR",0,IF(H386="AIR",G385+1,IF(H387&lt;&gt;"",G386+1,G386)))</f>
        <v/>
      </c>
      <c r="H387" s="1498" t="inlineStr">
        <is>
          <t>La Sage</t>
        </is>
      </c>
      <c r="I387" s="1427" t="inlineStr">
        <is>
          <t>.</t>
        </is>
      </c>
      <c r="J387" s="1499" t="n">
        <v>382</v>
      </c>
      <c r="K387" s="1500">
        <f>_xlfn.XLOOKUP(cities[[#This Row],[id]],$D$5:$D$1500,E$5:E$1500,"-")</f>
        <v/>
      </c>
      <c r="L387" s="1500">
        <f>_xlfn.XLOOKUP(cities[[#This Row],[city]],ccc[city],ccc[ctry],"-")</f>
        <v/>
      </c>
      <c r="M387" s="1500">
        <f>SUMIFS(stayCity[stay],stayCity[city],cities[[#This Row],[city]])</f>
        <v/>
      </c>
      <c r="N387" s="1427">
        <f>N386+1</f>
        <v/>
      </c>
      <c r="O387" s="1500" t="n"/>
      <c r="P387" s="1500" t="n"/>
      <c r="Q387" s="1427" t="inlineStr">
        <is>
          <t>.</t>
        </is>
      </c>
      <c r="R387" s="1491" t="n"/>
      <c r="S387" s="1491" t="n"/>
      <c r="T387" s="1491" t="n"/>
      <c r="U387" s="1491" t="n"/>
      <c r="V387" s="1491" t="n"/>
      <c r="W387" s="1491" t="n"/>
      <c r="X387" s="1491" t="n"/>
      <c r="Y387" s="1491" t="n"/>
      <c r="Z387" s="1491" t="n"/>
      <c r="AA387" s="1491" t="n"/>
      <c r="AB387" s="1491" t="n"/>
      <c r="AC387" s="1491" t="n"/>
      <c r="AD387" s="1491" t="n"/>
      <c r="AE387" s="1491" t="n"/>
      <c r="AF387" s="1491" t="n"/>
      <c r="AG387" s="1491" t="n"/>
      <c r="AH387" s="1491" t="n"/>
      <c r="AI387" s="1491" t="n"/>
      <c r="AJ387" s="1491" t="n"/>
      <c r="AK387" s="1491" t="n"/>
      <c r="AL387" s="1491" t="n"/>
      <c r="AM387" s="1491" t="n"/>
      <c r="AN387" s="1491" t="n"/>
      <c r="AO387" s="1491" t="n"/>
      <c r="AP387" s="1491" t="n"/>
      <c r="AQ387" s="1491" t="n"/>
      <c r="AR387" s="1491" t="n"/>
      <c r="AS387" s="1491" t="n"/>
      <c r="AT387" s="1491" t="n"/>
      <c r="AU387" s="1491" t="n"/>
      <c r="AV387" s="1491" t="n"/>
      <c r="AW387" s="1491" t="n"/>
      <c r="AX387" s="1491" t="n"/>
      <c r="AY387" s="1491" t="n"/>
      <c r="AZ387" s="1491" t="n"/>
      <c r="BA387" s="1491" t="n"/>
      <c r="BB387" s="1491" t="n"/>
      <c r="BC387" s="1491" t="n"/>
      <c r="BD387" s="1491" t="n"/>
      <c r="BE387" s="1491" t="n"/>
      <c r="BF387" s="1491" t="n"/>
      <c r="BG387" s="1491" t="n"/>
      <c r="BH387" s="1491" t="n"/>
      <c r="BI387" s="1491" t="n"/>
      <c r="BJ387" s="1491" t="n"/>
      <c r="BK387" s="1491" t="n"/>
      <c r="BL387" s="1491" t="n"/>
      <c r="BM387" s="1491" t="n"/>
      <c r="BN387" s="1491" t="n"/>
      <c r="BO387" s="1467" t="n"/>
      <c r="BP387" s="1514" t="n">
        <v>383</v>
      </c>
      <c r="BQ387" s="1513">
        <f>[1]Sheet1!C388</f>
        <v/>
      </c>
      <c r="BR387" s="1515">
        <f>[1]Sheet1!D388</f>
        <v/>
      </c>
      <c r="BS387" s="1513">
        <f>[1]Sheet1!E388</f>
        <v/>
      </c>
      <c r="BT387" s="1515">
        <f>[1]Sheet1!F388</f>
        <v/>
      </c>
      <c r="BU387" s="1516">
        <f>[1]Sheet1!G388</f>
        <v/>
      </c>
      <c r="BV387" s="1513">
        <f>[1]Sheet1!H388</f>
        <v/>
      </c>
      <c r="BW387" s="1467" t="n"/>
      <c r="BX387" s="1491" t="n"/>
      <c r="BY387" s="1491" t="n"/>
      <c r="BZ387" s="1491" t="n"/>
      <c r="CA387" s="1491" t="n"/>
      <c r="CB387" s="1467" t="n"/>
      <c r="CC387" s="1467" t="n"/>
      <c r="CD387" s="1491" t="n"/>
      <c r="CE387" s="1491" t="n"/>
      <c r="CF387" s="1491" t="n"/>
      <c r="CG387" s="1491" t="n"/>
      <c r="CH387" s="1491" t="n"/>
      <c r="CI387" s="1491" t="n"/>
      <c r="CJ387" s="1491" t="n"/>
      <c r="CK387" s="1491" t="n"/>
      <c r="CL387" s="1491" t="n"/>
      <c r="CM387" s="1491" t="n"/>
      <c r="CN387" s="1491" t="n"/>
      <c r="CO387" s="1491" t="n"/>
      <c r="CP387" s="1491" t="n"/>
      <c r="CQ387" s="1491" t="n"/>
      <c r="CR387" s="1491" t="n"/>
      <c r="CS387" s="1491" t="n"/>
      <c r="CT387" s="1491" t="n"/>
      <c r="CU387" s="1491" t="n"/>
      <c r="CV387" s="1491" t="n"/>
      <c r="CW387" s="1491" t="n"/>
      <c r="CX387" s="1491" t="n"/>
    </row>
    <row r="388">
      <c r="A388" s="1491" t="n"/>
      <c r="B388" s="1491" t="n"/>
      <c r="C388" s="1491" t="n"/>
      <c r="D388" s="1497">
        <f>IF(E388&lt;&gt;"",D387+1,D387)</f>
        <v/>
      </c>
      <c r="E388" s="1497" t="inlineStr">
        <is>
          <t>Saint-Vincent</t>
        </is>
      </c>
      <c r="F388" s="1535" t="inlineStr">
        <is>
          <t>.</t>
        </is>
      </c>
      <c r="G388" s="1498">
        <f>IF(H388="AIR",0,IF(H387="AIR",G386+1,IF(H388&lt;&gt;"",G387+1,G387)))</f>
        <v/>
      </c>
      <c r="H388" s="1498" t="inlineStr">
        <is>
          <t>Le Bourg</t>
        </is>
      </c>
      <c r="I388" s="1427" t="inlineStr">
        <is>
          <t>.</t>
        </is>
      </c>
      <c r="J388" s="1499" t="n">
        <v>383</v>
      </c>
      <c r="K388" s="1500">
        <f>_xlfn.XLOOKUP(cities[[#This Row],[id]],$D$5:$D$1500,E$5:E$1500,"-")</f>
        <v/>
      </c>
      <c r="L388" s="1500">
        <f>_xlfn.XLOOKUP(cities[[#This Row],[city]],ccc[city],ccc[ctry],"-")</f>
        <v/>
      </c>
      <c r="M388" s="1500">
        <f>SUMIFS(stayCity[stay],stayCity[city],cities[[#This Row],[city]])</f>
        <v/>
      </c>
      <c r="N388" s="1427">
        <f>N387+1</f>
        <v/>
      </c>
      <c r="O388" s="1500" t="n"/>
      <c r="P388" s="1500" t="n"/>
      <c r="Q388" s="1427" t="inlineStr">
        <is>
          <t>.</t>
        </is>
      </c>
      <c r="R388" s="1491" t="n"/>
      <c r="S388" s="1491" t="n"/>
      <c r="T388" s="1491" t="n"/>
      <c r="U388" s="1491" t="n"/>
      <c r="V388" s="1491" t="n"/>
      <c r="W388" s="1491" t="n"/>
      <c r="X388" s="1491" t="n"/>
      <c r="Y388" s="1491" t="n"/>
      <c r="Z388" s="1491" t="n"/>
      <c r="AA388" s="1491" t="n"/>
      <c r="AB388" s="1491" t="n"/>
      <c r="AC388" s="1491" t="n"/>
      <c r="AD388" s="1491" t="n"/>
      <c r="AE388" s="1491" t="n"/>
      <c r="AF388" s="1491" t="n"/>
      <c r="AG388" s="1491" t="n"/>
      <c r="AH388" s="1491" t="n"/>
      <c r="AI388" s="1491" t="n"/>
      <c r="AJ388" s="1491" t="n"/>
      <c r="AK388" s="1491" t="n"/>
      <c r="AL388" s="1491" t="n"/>
      <c r="AM388" s="1491" t="n"/>
      <c r="AN388" s="1491" t="n"/>
      <c r="AO388" s="1491" t="n"/>
      <c r="AP388" s="1491" t="n"/>
      <c r="AQ388" s="1491" t="n"/>
      <c r="AR388" s="1491" t="n"/>
      <c r="AS388" s="1491" t="n"/>
      <c r="AT388" s="1491" t="n"/>
      <c r="AU388" s="1491" t="n"/>
      <c r="AV388" s="1491" t="n"/>
      <c r="AW388" s="1491" t="n"/>
      <c r="AX388" s="1491" t="n"/>
      <c r="AY388" s="1491" t="n"/>
      <c r="AZ388" s="1491" t="n"/>
      <c r="BA388" s="1491" t="n"/>
      <c r="BB388" s="1491" t="n"/>
      <c r="BC388" s="1491" t="n"/>
      <c r="BD388" s="1491" t="n"/>
      <c r="BE388" s="1491" t="n"/>
      <c r="BF388" s="1491" t="n"/>
      <c r="BG388" s="1491" t="n"/>
      <c r="BH388" s="1491" t="n"/>
      <c r="BI388" s="1491" t="n"/>
      <c r="BJ388" s="1491" t="n"/>
      <c r="BK388" s="1491" t="n"/>
      <c r="BL388" s="1491" t="n"/>
      <c r="BM388" s="1491" t="n"/>
      <c r="BN388" s="1491" t="n"/>
      <c r="BO388" s="1467" t="n"/>
      <c r="BP388" s="1514" t="n">
        <v>384</v>
      </c>
      <c r="BQ388" s="1513">
        <f>[1]Sheet1!C389</f>
        <v/>
      </c>
      <c r="BR388" s="1515">
        <f>[1]Sheet1!D389</f>
        <v/>
      </c>
      <c r="BS388" s="1513">
        <f>[1]Sheet1!E389</f>
        <v/>
      </c>
      <c r="BT388" s="1515">
        <f>[1]Sheet1!F389</f>
        <v/>
      </c>
      <c r="BU388" s="1516">
        <f>[1]Sheet1!G389</f>
        <v/>
      </c>
      <c r="BV388" s="1513">
        <f>[1]Sheet1!H389</f>
        <v/>
      </c>
      <c r="BW388" s="1467" t="n"/>
      <c r="BX388" s="1491" t="n"/>
      <c r="BY388" s="1491" t="n"/>
      <c r="BZ388" s="1491" t="n"/>
      <c r="CA388" s="1491" t="n"/>
      <c r="CB388" s="1467" t="n"/>
      <c r="CC388" s="1467" t="n"/>
      <c r="CD388" s="1491" t="n"/>
      <c r="CE388" s="1491" t="n"/>
      <c r="CF388" s="1491" t="n"/>
      <c r="CG388" s="1491" t="n"/>
      <c r="CH388" s="1491" t="n"/>
      <c r="CI388" s="1491" t="n"/>
      <c r="CJ388" s="1491" t="n"/>
      <c r="CK388" s="1491" t="n"/>
      <c r="CL388" s="1491" t="n"/>
      <c r="CM388" s="1491" t="n"/>
      <c r="CN388" s="1491" t="n"/>
      <c r="CO388" s="1491" t="n"/>
      <c r="CP388" s="1491" t="n"/>
      <c r="CQ388" s="1491" t="n"/>
      <c r="CR388" s="1491" t="n"/>
      <c r="CS388" s="1491" t="n"/>
      <c r="CT388" s="1491" t="n"/>
      <c r="CU388" s="1491" t="n"/>
      <c r="CV388" s="1491" t="n"/>
      <c r="CW388" s="1491" t="n"/>
      <c r="CX388" s="1491" t="n"/>
    </row>
    <row r="389">
      <c r="A389" s="1491" t="n"/>
      <c r="B389" s="1491" t="n"/>
      <c r="C389" s="1491" t="n"/>
      <c r="D389" s="1497">
        <f>IF(E389&lt;&gt;"",D388+1,D388)</f>
        <v/>
      </c>
      <c r="E389" s="1497" t="inlineStr">
        <is>
          <t>Montjovet</t>
        </is>
      </c>
      <c r="F389" s="1535" t="inlineStr">
        <is>
          <t>.</t>
        </is>
      </c>
      <c r="G389" s="1498">
        <f>IF(H389="AIR",0,IF(H388="AIR",G387+1,IF(H389&lt;&gt;"",G388+1,G388)))</f>
        <v/>
      </c>
      <c r="H389" s="1498" t="inlineStr">
        <is>
          <t>Le Borgeaud</t>
        </is>
      </c>
      <c r="I389" s="1427" t="inlineStr">
        <is>
          <t>.</t>
        </is>
      </c>
      <c r="J389" s="1499" t="n">
        <v>384</v>
      </c>
      <c r="K389" s="1500">
        <f>_xlfn.XLOOKUP(cities[[#This Row],[id]],$D$5:$D$1500,E$5:E$1500,"-")</f>
        <v/>
      </c>
      <c r="L389" s="1500">
        <f>_xlfn.XLOOKUP(cities[[#This Row],[city]],ccc[city],ccc[ctry],"-")</f>
        <v/>
      </c>
      <c r="M389" s="1500">
        <f>SUMIFS(stayCity[stay],stayCity[city],cities[[#This Row],[city]])</f>
        <v/>
      </c>
      <c r="N389" s="1427">
        <f>N388+1</f>
        <v/>
      </c>
      <c r="O389" s="1500" t="n"/>
      <c r="P389" s="1500" t="n"/>
      <c r="Q389" s="1427" t="inlineStr">
        <is>
          <t>.</t>
        </is>
      </c>
      <c r="R389" s="1491" t="n"/>
      <c r="S389" s="1491" t="n"/>
      <c r="T389" s="1491" t="n"/>
      <c r="U389" s="1491" t="n"/>
      <c r="V389" s="1491" t="n"/>
      <c r="W389" s="1491" t="n"/>
      <c r="X389" s="1491" t="n"/>
      <c r="Y389" s="1491" t="n"/>
      <c r="Z389" s="1491" t="n"/>
      <c r="AA389" s="1491" t="n"/>
      <c r="AB389" s="1491" t="n"/>
      <c r="AC389" s="1491" t="n"/>
      <c r="AD389" s="1491" t="n"/>
      <c r="AE389" s="1491" t="n"/>
      <c r="AF389" s="1491" t="n"/>
      <c r="AG389" s="1491" t="n"/>
      <c r="AH389" s="1491" t="n"/>
      <c r="AI389" s="1491" t="n"/>
      <c r="AJ389" s="1491" t="n"/>
      <c r="AK389" s="1491" t="n"/>
      <c r="AL389" s="1491" t="n"/>
      <c r="AM389" s="1491" t="n"/>
      <c r="AN389" s="1491" t="n"/>
      <c r="AO389" s="1491" t="n"/>
      <c r="AP389" s="1491" t="n"/>
      <c r="AQ389" s="1491" t="n"/>
      <c r="AR389" s="1491" t="n"/>
      <c r="AS389" s="1491" t="n"/>
      <c r="AT389" s="1491" t="n"/>
      <c r="AU389" s="1491" t="n"/>
      <c r="AV389" s="1491" t="n"/>
      <c r="AW389" s="1491" t="n"/>
      <c r="AX389" s="1491" t="n"/>
      <c r="AY389" s="1491" t="n"/>
      <c r="AZ389" s="1491" t="n"/>
      <c r="BA389" s="1491" t="n"/>
      <c r="BB389" s="1491" t="n"/>
      <c r="BC389" s="1491" t="n"/>
      <c r="BD389" s="1491" t="n"/>
      <c r="BE389" s="1491" t="n"/>
      <c r="BF389" s="1491" t="n"/>
      <c r="BG389" s="1491" t="n"/>
      <c r="BH389" s="1491" t="n"/>
      <c r="BI389" s="1491" t="n"/>
      <c r="BJ389" s="1491" t="n"/>
      <c r="BK389" s="1491" t="n"/>
      <c r="BL389" s="1491" t="n"/>
      <c r="BM389" s="1491" t="n"/>
      <c r="BN389" s="1491" t="n"/>
      <c r="BO389" s="1467" t="n"/>
      <c r="BP389" s="1514" t="n">
        <v>385</v>
      </c>
      <c r="BQ389" s="1513">
        <f>[1]Sheet1!C390</f>
        <v/>
      </c>
      <c r="BR389" s="1515">
        <f>[1]Sheet1!D390</f>
        <v/>
      </c>
      <c r="BS389" s="1513">
        <f>[1]Sheet1!E390</f>
        <v/>
      </c>
      <c r="BT389" s="1515">
        <f>[1]Sheet1!F390</f>
        <v/>
      </c>
      <c r="BU389" s="1516">
        <f>[1]Sheet1!G390</f>
        <v/>
      </c>
      <c r="BV389" s="1513">
        <f>[1]Sheet1!H390</f>
        <v/>
      </c>
      <c r="BW389" s="1467" t="n"/>
      <c r="BX389" s="1491" t="n"/>
      <c r="BY389" s="1491" t="n"/>
      <c r="BZ389" s="1491" t="n"/>
      <c r="CA389" s="1491" t="n"/>
      <c r="CB389" s="1467" t="n"/>
      <c r="CC389" s="1467" t="n"/>
      <c r="CD389" s="1491" t="n"/>
      <c r="CE389" s="1491" t="n"/>
      <c r="CF389" s="1491" t="n"/>
      <c r="CG389" s="1491" t="n"/>
      <c r="CH389" s="1491" t="n"/>
      <c r="CI389" s="1491" t="n"/>
      <c r="CJ389" s="1491" t="n"/>
      <c r="CK389" s="1491" t="n"/>
      <c r="CL389" s="1491" t="n"/>
      <c r="CM389" s="1491" t="n"/>
      <c r="CN389" s="1491" t="n"/>
      <c r="CO389" s="1491" t="n"/>
      <c r="CP389" s="1491" t="n"/>
      <c r="CQ389" s="1491" t="n"/>
      <c r="CR389" s="1491" t="n"/>
      <c r="CS389" s="1491" t="n"/>
      <c r="CT389" s="1491" t="n"/>
      <c r="CU389" s="1491" t="n"/>
      <c r="CV389" s="1491" t="n"/>
      <c r="CW389" s="1491" t="n"/>
      <c r="CX389" s="1491" t="n"/>
    </row>
    <row r="390">
      <c r="A390" s="1491" t="n"/>
      <c r="B390" s="1491" t="n"/>
      <c r="C390" s="1491" t="n"/>
      <c r="D390" s="1497">
        <f>IF(E390&lt;&gt;"",D389+1,D389)</f>
        <v/>
      </c>
      <c r="E390" s="1497" t="inlineStr">
        <is>
          <t>Bourg-Montjovet</t>
        </is>
      </c>
      <c r="F390" s="1535" t="inlineStr">
        <is>
          <t>.</t>
        </is>
      </c>
      <c r="G390" s="1498">
        <f>IF(H390="AIR",0,IF(H389="AIR",G388+1,IF(H390&lt;&gt;"",G389+1,G389)))</f>
        <v/>
      </c>
      <c r="H390" s="1498" t="inlineStr">
        <is>
          <t>Sembrancher</t>
        </is>
      </c>
      <c r="I390" s="1427" t="inlineStr">
        <is>
          <t>.</t>
        </is>
      </c>
      <c r="J390" s="1499" t="n">
        <v>385</v>
      </c>
      <c r="K390" s="1500">
        <f>_xlfn.XLOOKUP(cities[[#This Row],[id]],$D$5:$D$1500,E$5:E$1500,"-")</f>
        <v/>
      </c>
      <c r="L390" s="1500">
        <f>_xlfn.XLOOKUP(cities[[#This Row],[city]],ccc[city],ccc[ctry],"-")</f>
        <v/>
      </c>
      <c r="M390" s="1500">
        <f>SUMIFS(stayCity[stay],stayCity[city],cities[[#This Row],[city]])</f>
        <v/>
      </c>
      <c r="N390" s="1427">
        <f>N389+1</f>
        <v/>
      </c>
      <c r="O390" s="1500" t="n"/>
      <c r="P390" s="1500" t="n"/>
      <c r="Q390" s="1427" t="inlineStr">
        <is>
          <t>.</t>
        </is>
      </c>
      <c r="R390" s="1491" t="n"/>
      <c r="S390" s="1491" t="n"/>
      <c r="T390" s="1491" t="n"/>
      <c r="U390" s="1491" t="n"/>
      <c r="V390" s="1491" t="n"/>
      <c r="W390" s="1491" t="n"/>
      <c r="X390" s="1491" t="n"/>
      <c r="Y390" s="1491" t="n"/>
      <c r="Z390" s="1491" t="n"/>
      <c r="AA390" s="1491" t="n"/>
      <c r="AB390" s="1491" t="n"/>
      <c r="AC390" s="1491" t="n"/>
      <c r="AD390" s="1491" t="n"/>
      <c r="AE390" s="1491" t="n"/>
      <c r="AF390" s="1491" t="n"/>
      <c r="AG390" s="1491" t="n"/>
      <c r="AH390" s="1491" t="n"/>
      <c r="AI390" s="1491" t="n"/>
      <c r="AJ390" s="1491" t="n"/>
      <c r="AK390" s="1491" t="n"/>
      <c r="AL390" s="1491" t="n"/>
      <c r="AM390" s="1491" t="n"/>
      <c r="AN390" s="1491" t="n"/>
      <c r="AO390" s="1491" t="n"/>
      <c r="AP390" s="1491" t="n"/>
      <c r="AQ390" s="1491" t="n"/>
      <c r="AR390" s="1491" t="n"/>
      <c r="AS390" s="1491" t="n"/>
      <c r="AT390" s="1491" t="n"/>
      <c r="AU390" s="1491" t="n"/>
      <c r="AV390" s="1491" t="n"/>
      <c r="AW390" s="1491" t="n"/>
      <c r="AX390" s="1491" t="n"/>
      <c r="AY390" s="1491" t="n"/>
      <c r="AZ390" s="1491" t="n"/>
      <c r="BA390" s="1491" t="n"/>
      <c r="BB390" s="1491" t="n"/>
      <c r="BC390" s="1491" t="n"/>
      <c r="BD390" s="1491" t="n"/>
      <c r="BE390" s="1491" t="n"/>
      <c r="BF390" s="1491" t="n"/>
      <c r="BG390" s="1491" t="n"/>
      <c r="BH390" s="1491" t="n"/>
      <c r="BI390" s="1491" t="n"/>
      <c r="BJ390" s="1491" t="n"/>
      <c r="BK390" s="1491" t="n"/>
      <c r="BL390" s="1491" t="n"/>
      <c r="BM390" s="1491" t="n"/>
      <c r="BN390" s="1491" t="n"/>
      <c r="BO390" s="1467" t="n"/>
      <c r="BP390" s="1514" t="n">
        <v>386</v>
      </c>
      <c r="BQ390" s="1513">
        <f>[1]Sheet1!C391</f>
        <v/>
      </c>
      <c r="BR390" s="1515">
        <f>[1]Sheet1!D391</f>
        <v/>
      </c>
      <c r="BS390" s="1513">
        <f>[1]Sheet1!E391</f>
        <v/>
      </c>
      <c r="BT390" s="1515">
        <f>[1]Sheet1!F391</f>
        <v/>
      </c>
      <c r="BU390" s="1516">
        <f>[1]Sheet1!G391</f>
        <v/>
      </c>
      <c r="BV390" s="1513">
        <f>[1]Sheet1!H391</f>
        <v/>
      </c>
      <c r="BW390" s="1467" t="n"/>
      <c r="BX390" s="1491" t="n"/>
      <c r="BY390" s="1491" t="n"/>
      <c r="BZ390" s="1491" t="n"/>
      <c r="CA390" s="1491" t="n"/>
      <c r="CB390" s="1467" t="n"/>
      <c r="CC390" s="1467" t="n"/>
      <c r="CD390" s="1491" t="n"/>
      <c r="CE390" s="1491" t="n"/>
      <c r="CF390" s="1491" t="n"/>
      <c r="CG390" s="1491" t="n"/>
      <c r="CH390" s="1491" t="n"/>
      <c r="CI390" s="1491" t="n"/>
      <c r="CJ390" s="1491" t="n"/>
      <c r="CK390" s="1491" t="n"/>
      <c r="CL390" s="1491" t="n"/>
      <c r="CM390" s="1491" t="n"/>
      <c r="CN390" s="1491" t="n"/>
      <c r="CO390" s="1491" t="n"/>
      <c r="CP390" s="1491" t="n"/>
      <c r="CQ390" s="1491" t="n"/>
      <c r="CR390" s="1491" t="n"/>
      <c r="CS390" s="1491" t="n"/>
      <c r="CT390" s="1491" t="n"/>
      <c r="CU390" s="1491" t="n"/>
      <c r="CV390" s="1491" t="n"/>
      <c r="CW390" s="1491" t="n"/>
      <c r="CX390" s="1491" t="n"/>
    </row>
    <row r="391">
      <c r="A391" s="1491" t="n"/>
      <c r="B391" s="1491" t="n"/>
      <c r="C391" s="1491" t="n"/>
      <c r="D391" s="1497">
        <f>IF(E391&lt;&gt;"",D390+1,D390)</f>
        <v/>
      </c>
      <c r="E391" s="1497" t="inlineStr">
        <is>
          <t>Pont-Saint-Martin</t>
        </is>
      </c>
      <c r="F391" s="1535" t="inlineStr">
        <is>
          <t>.</t>
        </is>
      </c>
      <c r="G391" s="1498">
        <f>IF(H391="AIR",0,IF(H390="AIR",G389+1,IF(H391&lt;&gt;"",G390+1,G390)))</f>
        <v/>
      </c>
      <c r="H391" s="1498" t="inlineStr">
        <is>
          <t>Orsieres</t>
        </is>
      </c>
      <c r="I391" s="1427" t="inlineStr">
        <is>
          <t>.</t>
        </is>
      </c>
      <c r="J391" s="1499" t="n">
        <v>386</v>
      </c>
      <c r="K391" s="1500">
        <f>_xlfn.XLOOKUP(cities[[#This Row],[id]],$D$5:$D$1500,E$5:E$1500,"-")</f>
        <v/>
      </c>
      <c r="L391" s="1500">
        <f>_xlfn.XLOOKUP(cities[[#This Row],[city]],ccc[city],ccc[ctry],"-")</f>
        <v/>
      </c>
      <c r="M391" s="1500">
        <f>SUMIFS(stayCity[stay],stayCity[city],cities[[#This Row],[city]])</f>
        <v/>
      </c>
      <c r="N391" s="1427">
        <f>N390+1</f>
        <v/>
      </c>
      <c r="O391" s="1500" t="n"/>
      <c r="P391" s="1500" t="n"/>
      <c r="Q391" s="1427" t="inlineStr">
        <is>
          <t>.</t>
        </is>
      </c>
      <c r="R391" s="1491" t="n"/>
      <c r="S391" s="1491" t="n"/>
      <c r="T391" s="1491" t="n"/>
      <c r="U391" s="1491" t="n"/>
      <c r="V391" s="1491" t="n"/>
      <c r="W391" s="1491" t="n"/>
      <c r="X391" s="1491" t="n"/>
      <c r="Y391" s="1491" t="n"/>
      <c r="Z391" s="1491" t="n"/>
      <c r="AA391" s="1491" t="n"/>
      <c r="AB391" s="1491" t="n"/>
      <c r="AC391" s="1491" t="n"/>
      <c r="AD391" s="1491" t="n"/>
      <c r="AE391" s="1491" t="n"/>
      <c r="AF391" s="1491" t="n"/>
      <c r="AG391" s="1491" t="n"/>
      <c r="AH391" s="1491" t="n"/>
      <c r="AI391" s="1491" t="n"/>
      <c r="AJ391" s="1491" t="n"/>
      <c r="AK391" s="1491" t="n"/>
      <c r="AL391" s="1491" t="n"/>
      <c r="AM391" s="1491" t="n"/>
      <c r="AN391" s="1491" t="n"/>
      <c r="AO391" s="1491" t="n"/>
      <c r="AP391" s="1491" t="n"/>
      <c r="AQ391" s="1491" t="n"/>
      <c r="AR391" s="1491" t="n"/>
      <c r="AS391" s="1491" t="n"/>
      <c r="AT391" s="1491" t="n"/>
      <c r="AU391" s="1491" t="n"/>
      <c r="AV391" s="1491" t="n"/>
      <c r="AW391" s="1491" t="n"/>
      <c r="AX391" s="1491" t="n"/>
      <c r="AY391" s="1491" t="n"/>
      <c r="AZ391" s="1491" t="n"/>
      <c r="BA391" s="1491" t="n"/>
      <c r="BB391" s="1491" t="n"/>
      <c r="BC391" s="1491" t="n"/>
      <c r="BD391" s="1491" t="n"/>
      <c r="BE391" s="1491" t="n"/>
      <c r="BF391" s="1491" t="n"/>
      <c r="BG391" s="1491" t="n"/>
      <c r="BH391" s="1491" t="n"/>
      <c r="BI391" s="1491" t="n"/>
      <c r="BJ391" s="1491" t="n"/>
      <c r="BK391" s="1491" t="n"/>
      <c r="BL391" s="1491" t="n"/>
      <c r="BM391" s="1491" t="n"/>
      <c r="BN391" s="1491" t="n"/>
      <c r="BO391" s="1467" t="n"/>
      <c r="BP391" s="1514" t="n">
        <v>387</v>
      </c>
      <c r="BQ391" s="1513">
        <f>[1]Sheet1!C392</f>
        <v/>
      </c>
      <c r="BR391" s="1515">
        <f>[1]Sheet1!D392</f>
        <v/>
      </c>
      <c r="BS391" s="1513">
        <f>[1]Sheet1!E392</f>
        <v/>
      </c>
      <c r="BT391" s="1515">
        <f>[1]Sheet1!F392</f>
        <v/>
      </c>
      <c r="BU391" s="1516">
        <f>[1]Sheet1!G392</f>
        <v/>
      </c>
      <c r="BV391" s="1513">
        <f>[1]Sheet1!H392</f>
        <v/>
      </c>
      <c r="BW391" s="1467" t="n"/>
      <c r="BX391" s="1491" t="n"/>
      <c r="BY391" s="1491" t="n"/>
      <c r="BZ391" s="1491" t="n"/>
      <c r="CA391" s="1491" t="n"/>
      <c r="CB391" s="1467" t="n"/>
      <c r="CC391" s="1467" t="n"/>
      <c r="CD391" s="1491" t="n"/>
      <c r="CE391" s="1491" t="n"/>
      <c r="CF391" s="1491" t="n"/>
      <c r="CG391" s="1491" t="n"/>
      <c r="CH391" s="1491" t="n"/>
      <c r="CI391" s="1491" t="n"/>
      <c r="CJ391" s="1491" t="n"/>
      <c r="CK391" s="1491" t="n"/>
      <c r="CL391" s="1491" t="n"/>
      <c r="CM391" s="1491" t="n"/>
      <c r="CN391" s="1491" t="n"/>
      <c r="CO391" s="1491" t="n"/>
      <c r="CP391" s="1491" t="n"/>
      <c r="CQ391" s="1491" t="n"/>
      <c r="CR391" s="1491" t="n"/>
      <c r="CS391" s="1491" t="n"/>
      <c r="CT391" s="1491" t="n"/>
      <c r="CU391" s="1491" t="n"/>
      <c r="CV391" s="1491" t="n"/>
      <c r="CW391" s="1491" t="n"/>
      <c r="CX391" s="1491" t="n"/>
    </row>
    <row r="392">
      <c r="A392" s="1491" t="n"/>
      <c r="B392" s="1491" t="n"/>
      <c r="C392" s="1491" t="n"/>
      <c r="D392" s="1497">
        <f>IF(E392&lt;&gt;"",D391+1,D391)</f>
        <v/>
      </c>
      <c r="E392" s="1497" t="inlineStr">
        <is>
          <t>Ivrea</t>
        </is>
      </c>
      <c r="F392" s="1535" t="inlineStr">
        <is>
          <t>.</t>
        </is>
      </c>
      <c r="G392" s="1498">
        <f>IF(H392="AIR",0,IF(H391="AIR",G390+1,IF(H392&lt;&gt;"",G391+1,G391)))</f>
        <v/>
      </c>
      <c r="H392" s="1498" t="inlineStr">
        <is>
          <t>Grand Saint-Bernard</t>
        </is>
      </c>
      <c r="I392" s="1427" t="inlineStr">
        <is>
          <t>.</t>
        </is>
      </c>
      <c r="J392" s="1499" t="n">
        <v>387</v>
      </c>
      <c r="K392" s="1500">
        <f>_xlfn.XLOOKUP(cities[[#This Row],[id]],$D$5:$D$1500,E$5:E$1500,"-")</f>
        <v/>
      </c>
      <c r="L392" s="1500">
        <f>_xlfn.XLOOKUP(cities[[#This Row],[city]],ccc[city],ccc[ctry],"-")</f>
        <v/>
      </c>
      <c r="M392" s="1500">
        <f>SUMIFS(stayCity[stay],stayCity[city],cities[[#This Row],[city]])</f>
        <v/>
      </c>
      <c r="N392" s="1427">
        <f>N391+1</f>
        <v/>
      </c>
      <c r="O392" s="1500" t="n"/>
      <c r="P392" s="1500" t="n"/>
      <c r="Q392" s="1427" t="inlineStr">
        <is>
          <t>.</t>
        </is>
      </c>
      <c r="R392" s="1491" t="n"/>
      <c r="S392" s="1491" t="n"/>
      <c r="T392" s="1491" t="n"/>
      <c r="U392" s="1491" t="n"/>
      <c r="V392" s="1491" t="n"/>
      <c r="W392" s="1491" t="n"/>
      <c r="X392" s="1491" t="n"/>
      <c r="Y392" s="1491" t="n"/>
      <c r="Z392" s="1491" t="n"/>
      <c r="AA392" s="1491" t="n"/>
      <c r="AB392" s="1491" t="n"/>
      <c r="AC392" s="1491" t="n"/>
      <c r="AD392" s="1491" t="n"/>
      <c r="AE392" s="1491" t="n"/>
      <c r="AF392" s="1491" t="n"/>
      <c r="AG392" s="1491" t="n"/>
      <c r="AH392" s="1491" t="n"/>
      <c r="AI392" s="1491" t="n"/>
      <c r="AJ392" s="1491" t="n"/>
      <c r="AK392" s="1491" t="n"/>
      <c r="AL392" s="1491" t="n"/>
      <c r="AM392" s="1491" t="n"/>
      <c r="AN392" s="1491" t="n"/>
      <c r="AO392" s="1491" t="n"/>
      <c r="AP392" s="1491" t="n"/>
      <c r="AQ392" s="1491" t="n"/>
      <c r="AR392" s="1491" t="n"/>
      <c r="AS392" s="1491" t="n"/>
      <c r="AT392" s="1491" t="n"/>
      <c r="AU392" s="1491" t="n"/>
      <c r="AV392" s="1491" t="n"/>
      <c r="AW392" s="1491" t="n"/>
      <c r="AX392" s="1491" t="n"/>
      <c r="AY392" s="1491" t="n"/>
      <c r="AZ392" s="1491" t="n"/>
      <c r="BA392" s="1491" t="n"/>
      <c r="BB392" s="1491" t="n"/>
      <c r="BC392" s="1491" t="n"/>
      <c r="BD392" s="1491" t="n"/>
      <c r="BE392" s="1491" t="n"/>
      <c r="BF392" s="1491" t="n"/>
      <c r="BG392" s="1491" t="n"/>
      <c r="BH392" s="1491" t="n"/>
      <c r="BI392" s="1491" t="n"/>
      <c r="BJ392" s="1491" t="n"/>
      <c r="BK392" s="1491" t="n"/>
      <c r="BL392" s="1491" t="n"/>
      <c r="BM392" s="1491" t="n"/>
      <c r="BN392" s="1491" t="n"/>
      <c r="BO392" s="1467" t="n"/>
      <c r="BP392" s="1514" t="n">
        <v>388</v>
      </c>
      <c r="BQ392" s="1513">
        <f>[1]Sheet1!C393</f>
        <v/>
      </c>
      <c r="BR392" s="1515">
        <f>[1]Sheet1!D393</f>
        <v/>
      </c>
      <c r="BS392" s="1513">
        <f>[1]Sheet1!E393</f>
        <v/>
      </c>
      <c r="BT392" s="1515">
        <f>[1]Sheet1!F393</f>
        <v/>
      </c>
      <c r="BU392" s="1516">
        <f>[1]Sheet1!G393</f>
        <v/>
      </c>
      <c r="BV392" s="1513">
        <f>[1]Sheet1!H393</f>
        <v/>
      </c>
      <c r="BW392" s="1467" t="n"/>
      <c r="BX392" s="1491" t="n"/>
      <c r="BY392" s="1491" t="n"/>
      <c r="BZ392" s="1491" t="n"/>
      <c r="CA392" s="1491" t="n"/>
      <c r="CB392" s="1467" t="n"/>
      <c r="CC392" s="1467" t="n"/>
      <c r="CD392" s="1491" t="n"/>
      <c r="CE392" s="1491" t="n"/>
      <c r="CF392" s="1491" t="n"/>
      <c r="CG392" s="1491" t="n"/>
      <c r="CH392" s="1491" t="n"/>
      <c r="CI392" s="1491" t="n"/>
      <c r="CJ392" s="1491" t="n"/>
      <c r="CK392" s="1491" t="n"/>
      <c r="CL392" s="1491" t="n"/>
      <c r="CM392" s="1491" t="n"/>
      <c r="CN392" s="1491" t="n"/>
      <c r="CO392" s="1491" t="n"/>
      <c r="CP392" s="1491" t="n"/>
      <c r="CQ392" s="1491" t="n"/>
      <c r="CR392" s="1491" t="n"/>
      <c r="CS392" s="1491" t="n"/>
      <c r="CT392" s="1491" t="n"/>
      <c r="CU392" s="1491" t="n"/>
      <c r="CV392" s="1491" t="n"/>
      <c r="CW392" s="1491" t="n"/>
      <c r="CX392" s="1491" t="n"/>
    </row>
    <row r="393">
      <c r="A393" s="1491" t="n"/>
      <c r="B393" s="1491" t="n"/>
      <c r="C393" s="1491" t="n"/>
      <c r="D393" s="1497">
        <f>IF(E393&lt;&gt;"",D392+1,D392)</f>
        <v/>
      </c>
      <c r="E393" s="1497" t="inlineStr">
        <is>
          <t>San Germano</t>
        </is>
      </c>
      <c r="F393" s="1535" t="inlineStr">
        <is>
          <t>.</t>
        </is>
      </c>
      <c r="G393" s="1498">
        <f>IF(H393="AIR",0,IF(H392="AIR",G391+1,IF(H393&lt;&gt;"",G392+1,G392)))</f>
        <v/>
      </c>
      <c r="H393" s="1498" t="inlineStr">
        <is>
          <t>Etroubles</t>
        </is>
      </c>
      <c r="I393" s="1427" t="inlineStr">
        <is>
          <t>.</t>
        </is>
      </c>
      <c r="J393" s="1499" t="n">
        <v>388</v>
      </c>
      <c r="K393" s="1500">
        <f>_xlfn.XLOOKUP(cities[[#This Row],[id]],$D$5:$D$1500,E$5:E$1500,"-")</f>
        <v/>
      </c>
      <c r="L393" s="1500">
        <f>_xlfn.XLOOKUP(cities[[#This Row],[city]],ccc[city],ccc[ctry],"-")</f>
        <v/>
      </c>
      <c r="M393" s="1500">
        <f>SUMIFS(stayCity[stay],stayCity[city],cities[[#This Row],[city]])</f>
        <v/>
      </c>
      <c r="N393" s="1427">
        <f>N392+1</f>
        <v/>
      </c>
      <c r="O393" s="1500" t="n"/>
      <c r="P393" s="1500" t="n"/>
      <c r="Q393" s="1427" t="inlineStr">
        <is>
          <t>.</t>
        </is>
      </c>
      <c r="R393" s="1491" t="n"/>
      <c r="S393" s="1491" t="n"/>
      <c r="T393" s="1491" t="n"/>
      <c r="U393" s="1491" t="n"/>
      <c r="V393" s="1491" t="n"/>
      <c r="W393" s="1491" t="n"/>
      <c r="X393" s="1491" t="n"/>
      <c r="Y393" s="1491" t="n"/>
      <c r="Z393" s="1491" t="n"/>
      <c r="AA393" s="1491" t="n"/>
      <c r="AB393" s="1491" t="n"/>
      <c r="AC393" s="1491" t="n"/>
      <c r="AD393" s="1491" t="n"/>
      <c r="AE393" s="1491" t="n"/>
      <c r="AF393" s="1491" t="n"/>
      <c r="AG393" s="1491" t="n"/>
      <c r="AH393" s="1491" t="n"/>
      <c r="AI393" s="1491" t="n"/>
      <c r="AJ393" s="1491" t="n"/>
      <c r="AK393" s="1491" t="n"/>
      <c r="AL393" s="1491" t="n"/>
      <c r="AM393" s="1491" t="n"/>
      <c r="AN393" s="1491" t="n"/>
      <c r="AO393" s="1491" t="n"/>
      <c r="AP393" s="1491" t="n"/>
      <c r="AQ393" s="1491" t="n"/>
      <c r="AR393" s="1491" t="n"/>
      <c r="AS393" s="1491" t="n"/>
      <c r="AT393" s="1491" t="n"/>
      <c r="AU393" s="1491" t="n"/>
      <c r="AV393" s="1491" t="n"/>
      <c r="AW393" s="1491" t="n"/>
      <c r="AX393" s="1491" t="n"/>
      <c r="AY393" s="1491" t="n"/>
      <c r="AZ393" s="1491" t="n"/>
      <c r="BA393" s="1491" t="n"/>
      <c r="BB393" s="1491" t="n"/>
      <c r="BC393" s="1491" t="n"/>
      <c r="BD393" s="1491" t="n"/>
      <c r="BE393" s="1491" t="n"/>
      <c r="BF393" s="1491" t="n"/>
      <c r="BG393" s="1491" t="n"/>
      <c r="BH393" s="1491" t="n"/>
      <c r="BI393" s="1491" t="n"/>
      <c r="BJ393" s="1491" t="n"/>
      <c r="BK393" s="1491" t="n"/>
      <c r="BL393" s="1491" t="n"/>
      <c r="BM393" s="1491" t="n"/>
      <c r="BN393" s="1491" t="n"/>
      <c r="BO393" s="1467" t="n"/>
      <c r="BP393" s="1514" t="n">
        <v>389</v>
      </c>
      <c r="BQ393" s="1513">
        <f>[1]Sheet1!C394</f>
        <v/>
      </c>
      <c r="BR393" s="1515">
        <f>[1]Sheet1!D394</f>
        <v/>
      </c>
      <c r="BS393" s="1513">
        <f>[1]Sheet1!E394</f>
        <v/>
      </c>
      <c r="BT393" s="1515">
        <f>[1]Sheet1!F394</f>
        <v/>
      </c>
      <c r="BU393" s="1516">
        <f>[1]Sheet1!G394</f>
        <v/>
      </c>
      <c r="BV393" s="1513">
        <f>[1]Sheet1!H394</f>
        <v/>
      </c>
      <c r="BW393" s="1467" t="n"/>
      <c r="BX393" s="1491" t="n"/>
      <c r="BY393" s="1491" t="n"/>
      <c r="BZ393" s="1491" t="n"/>
      <c r="CA393" s="1491" t="n"/>
      <c r="CB393" s="1467" t="n"/>
      <c r="CC393" s="1467" t="n"/>
      <c r="CD393" s="1491" t="n"/>
      <c r="CE393" s="1491" t="n"/>
      <c r="CF393" s="1491" t="n"/>
      <c r="CG393" s="1491" t="n"/>
      <c r="CH393" s="1491" t="n"/>
      <c r="CI393" s="1491" t="n"/>
      <c r="CJ393" s="1491" t="n"/>
      <c r="CK393" s="1491" t="n"/>
      <c r="CL393" s="1491" t="n"/>
      <c r="CM393" s="1491" t="n"/>
      <c r="CN393" s="1491" t="n"/>
      <c r="CO393" s="1491" t="n"/>
      <c r="CP393" s="1491" t="n"/>
      <c r="CQ393" s="1491" t="n"/>
      <c r="CR393" s="1491" t="n"/>
      <c r="CS393" s="1491" t="n"/>
      <c r="CT393" s="1491" t="n"/>
      <c r="CU393" s="1491" t="n"/>
      <c r="CV393" s="1491" t="n"/>
      <c r="CW393" s="1491" t="n"/>
      <c r="CX393" s="1491" t="n"/>
    </row>
    <row r="394">
      <c r="A394" s="1491" t="n"/>
      <c r="B394" s="1491" t="n"/>
      <c r="C394" s="1491" t="n"/>
      <c r="D394" s="1497">
        <f>IF(E394&lt;&gt;"",D393+1,D393)</f>
        <v/>
      </c>
      <c r="E394" s="1497" t="inlineStr">
        <is>
          <t>Vercelli</t>
        </is>
      </c>
      <c r="F394" s="1535" t="inlineStr">
        <is>
          <t>.</t>
        </is>
      </c>
      <c r="G394" s="1498">
        <f>IF(H394="AIR",0,IF(H393="AIR",G392+1,IF(H394&lt;&gt;"",G393+1,G393)))</f>
        <v/>
      </c>
      <c r="H394" s="1498" t="inlineStr">
        <is>
          <t>Aosta</t>
        </is>
      </c>
      <c r="I394" s="1427" t="inlineStr">
        <is>
          <t>.</t>
        </is>
      </c>
      <c r="J394" s="1499" t="n">
        <v>389</v>
      </c>
      <c r="K394" s="1500">
        <f>_xlfn.XLOOKUP(cities[[#This Row],[id]],$D$5:$D$1500,E$5:E$1500,"-")</f>
        <v/>
      </c>
      <c r="L394" s="1500">
        <f>_xlfn.XLOOKUP(cities[[#This Row],[city]],ccc[city],ccc[ctry],"-")</f>
        <v/>
      </c>
      <c r="M394" s="1500">
        <f>SUMIFS(stayCity[stay],stayCity[city],cities[[#This Row],[city]])</f>
        <v/>
      </c>
      <c r="N394" s="1427">
        <f>N393+1</f>
        <v/>
      </c>
      <c r="O394" s="1500" t="n"/>
      <c r="P394" s="1500" t="n"/>
      <c r="Q394" s="1427" t="inlineStr">
        <is>
          <t>.</t>
        </is>
      </c>
      <c r="R394" s="1491" t="n"/>
      <c r="S394" s="1491" t="n"/>
      <c r="T394" s="1491" t="n"/>
      <c r="U394" s="1491" t="n"/>
      <c r="V394" s="1491" t="n"/>
      <c r="W394" s="1491" t="n"/>
      <c r="X394" s="1491" t="n"/>
      <c r="Y394" s="1491" t="n"/>
      <c r="Z394" s="1491" t="n"/>
      <c r="AA394" s="1491" t="n"/>
      <c r="AB394" s="1491" t="n"/>
      <c r="AC394" s="1491" t="n"/>
      <c r="AD394" s="1491" t="n"/>
      <c r="AE394" s="1491" t="n"/>
      <c r="AF394" s="1491" t="n"/>
      <c r="AG394" s="1491" t="n"/>
      <c r="AH394" s="1491" t="n"/>
      <c r="AI394" s="1491" t="n"/>
      <c r="AJ394" s="1491" t="n"/>
      <c r="AK394" s="1491" t="n"/>
      <c r="AL394" s="1491" t="n"/>
      <c r="AM394" s="1491" t="n"/>
      <c r="AN394" s="1491" t="n"/>
      <c r="AO394" s="1491" t="n"/>
      <c r="AP394" s="1491" t="n"/>
      <c r="AQ394" s="1491" t="n"/>
      <c r="AR394" s="1491" t="n"/>
      <c r="AS394" s="1491" t="n"/>
      <c r="AT394" s="1491" t="n"/>
      <c r="AU394" s="1491" t="n"/>
      <c r="AV394" s="1491" t="n"/>
      <c r="AW394" s="1491" t="n"/>
      <c r="AX394" s="1491" t="n"/>
      <c r="AY394" s="1491" t="n"/>
      <c r="AZ394" s="1491" t="n"/>
      <c r="BA394" s="1491" t="n"/>
      <c r="BB394" s="1491" t="n"/>
      <c r="BC394" s="1491" t="n"/>
      <c r="BD394" s="1491" t="n"/>
      <c r="BE394" s="1491" t="n"/>
      <c r="BF394" s="1491" t="n"/>
      <c r="BG394" s="1491" t="n"/>
      <c r="BH394" s="1491" t="n"/>
      <c r="BI394" s="1491" t="n"/>
      <c r="BJ394" s="1491" t="n"/>
      <c r="BK394" s="1491" t="n"/>
      <c r="BL394" s="1491" t="n"/>
      <c r="BM394" s="1491" t="n"/>
      <c r="BN394" s="1491" t="n"/>
      <c r="BO394" s="1467" t="n"/>
      <c r="BP394" s="1514" t="n">
        <v>390</v>
      </c>
      <c r="BQ394" s="1513">
        <f>[1]Sheet1!C395</f>
        <v/>
      </c>
      <c r="BR394" s="1515">
        <f>[1]Sheet1!D395</f>
        <v/>
      </c>
      <c r="BS394" s="1513">
        <f>[1]Sheet1!E395</f>
        <v/>
      </c>
      <c r="BT394" s="1515">
        <f>[1]Sheet1!F395</f>
        <v/>
      </c>
      <c r="BU394" s="1516">
        <f>[1]Sheet1!G395</f>
        <v/>
      </c>
      <c r="BV394" s="1513">
        <f>[1]Sheet1!H395</f>
        <v/>
      </c>
      <c r="BW394" s="1467" t="n"/>
      <c r="BX394" s="1491" t="n"/>
      <c r="BY394" s="1491" t="n"/>
      <c r="BZ394" s="1491" t="n"/>
      <c r="CA394" s="1491" t="n"/>
      <c r="CB394" s="1467" t="n"/>
      <c r="CC394" s="1467" t="n"/>
      <c r="CD394" s="1491" t="n"/>
      <c r="CE394" s="1491" t="n"/>
      <c r="CF394" s="1491" t="n"/>
      <c r="CG394" s="1491" t="n"/>
      <c r="CH394" s="1491" t="n"/>
      <c r="CI394" s="1491" t="n"/>
      <c r="CJ394" s="1491" t="n"/>
      <c r="CK394" s="1491" t="n"/>
      <c r="CL394" s="1491" t="n"/>
      <c r="CM394" s="1491" t="n"/>
      <c r="CN394" s="1491" t="n"/>
      <c r="CO394" s="1491" t="n"/>
      <c r="CP394" s="1491" t="n"/>
      <c r="CQ394" s="1491" t="n"/>
      <c r="CR394" s="1491" t="n"/>
      <c r="CS394" s="1491" t="n"/>
      <c r="CT394" s="1491" t="n"/>
      <c r="CU394" s="1491" t="n"/>
      <c r="CV394" s="1491" t="n"/>
      <c r="CW394" s="1491" t="n"/>
      <c r="CX394" s="1491" t="n"/>
    </row>
    <row r="395">
      <c r="A395" s="1491" t="n"/>
      <c r="B395" s="1491" t="n"/>
      <c r="C395" s="1491" t="n"/>
      <c r="D395" s="1497">
        <f>IF(E395&lt;&gt;"",D394+1,D394)</f>
        <v/>
      </c>
      <c r="E395" s="1497" t="inlineStr">
        <is>
          <t>Robbio</t>
        </is>
      </c>
      <c r="F395" s="1535" t="inlineStr">
        <is>
          <t>.</t>
        </is>
      </c>
      <c r="G395" s="1498">
        <f>IF(H395="AIR",0,IF(H394="AIR",G393+1,IF(H395&lt;&gt;"",G394+1,G394)))</f>
        <v/>
      </c>
      <c r="H395" s="1498" t="inlineStr">
        <is>
          <t>Chatillon</t>
        </is>
      </c>
      <c r="I395" s="1427" t="inlineStr">
        <is>
          <t>.</t>
        </is>
      </c>
      <c r="J395" s="1499" t="n">
        <v>390</v>
      </c>
      <c r="K395" s="1500">
        <f>_xlfn.XLOOKUP(cities[[#This Row],[id]],$D$5:$D$1500,E$5:E$1500,"-")</f>
        <v/>
      </c>
      <c r="L395" s="1500">
        <f>_xlfn.XLOOKUP(cities[[#This Row],[city]],ccc[city],ccc[ctry],"-")</f>
        <v/>
      </c>
      <c r="M395" s="1500">
        <f>SUMIFS(stayCity[stay],stayCity[city],cities[[#This Row],[city]])</f>
        <v/>
      </c>
      <c r="N395" s="1427">
        <f>N394+1</f>
        <v/>
      </c>
      <c r="O395" s="1500" t="n"/>
      <c r="P395" s="1500" t="n"/>
      <c r="Q395" s="1427" t="inlineStr">
        <is>
          <t>.</t>
        </is>
      </c>
      <c r="R395" s="1491" t="n"/>
      <c r="S395" s="1491" t="n"/>
      <c r="T395" s="1491" t="n"/>
      <c r="U395" s="1491" t="n"/>
      <c r="V395" s="1491" t="n"/>
      <c r="W395" s="1491" t="n"/>
      <c r="X395" s="1491" t="n"/>
      <c r="Y395" s="1491" t="n"/>
      <c r="Z395" s="1491" t="n"/>
      <c r="AA395" s="1491" t="n"/>
      <c r="AB395" s="1491" t="n"/>
      <c r="AC395" s="1491" t="n"/>
      <c r="AD395" s="1491" t="n"/>
      <c r="AE395" s="1491" t="n"/>
      <c r="AF395" s="1491" t="n"/>
      <c r="AG395" s="1491" t="n"/>
      <c r="AH395" s="1491" t="n"/>
      <c r="AI395" s="1491" t="n"/>
      <c r="AJ395" s="1491" t="n"/>
      <c r="AK395" s="1491" t="n"/>
      <c r="AL395" s="1491" t="n"/>
      <c r="AM395" s="1491" t="n"/>
      <c r="AN395" s="1491" t="n"/>
      <c r="AO395" s="1491" t="n"/>
      <c r="AP395" s="1491" t="n"/>
      <c r="AQ395" s="1491" t="n"/>
      <c r="AR395" s="1491" t="n"/>
      <c r="AS395" s="1491" t="n"/>
      <c r="AT395" s="1491" t="n"/>
      <c r="AU395" s="1491" t="n"/>
      <c r="AV395" s="1491" t="n"/>
      <c r="AW395" s="1491" t="n"/>
      <c r="AX395" s="1491" t="n"/>
      <c r="AY395" s="1491" t="n"/>
      <c r="AZ395" s="1491" t="n"/>
      <c r="BA395" s="1491" t="n"/>
      <c r="BB395" s="1491" t="n"/>
      <c r="BC395" s="1491" t="n"/>
      <c r="BD395" s="1491" t="n"/>
      <c r="BE395" s="1491" t="n"/>
      <c r="BF395" s="1491" t="n"/>
      <c r="BG395" s="1491" t="n"/>
      <c r="BH395" s="1491" t="n"/>
      <c r="BI395" s="1491" t="n"/>
      <c r="BJ395" s="1491" t="n"/>
      <c r="BK395" s="1491" t="n"/>
      <c r="BL395" s="1491" t="n"/>
      <c r="BM395" s="1491" t="n"/>
      <c r="BN395" s="1491" t="n"/>
      <c r="BO395" s="1467" t="n"/>
      <c r="BP395" s="1514" t="n">
        <v>391</v>
      </c>
      <c r="BQ395" s="1513">
        <f>[1]Sheet1!C396</f>
        <v/>
      </c>
      <c r="BR395" s="1515">
        <f>[1]Sheet1!D396</f>
        <v/>
      </c>
      <c r="BS395" s="1513">
        <f>[1]Sheet1!E396</f>
        <v/>
      </c>
      <c r="BT395" s="1515">
        <f>[1]Sheet1!F396</f>
        <v/>
      </c>
      <c r="BU395" s="1516">
        <f>[1]Sheet1!G396</f>
        <v/>
      </c>
      <c r="BV395" s="1513">
        <f>[1]Sheet1!H396</f>
        <v/>
      </c>
      <c r="BW395" s="1467" t="n"/>
      <c r="BX395" s="1491" t="n"/>
      <c r="BY395" s="1491" t="n"/>
      <c r="BZ395" s="1491" t="n"/>
      <c r="CA395" s="1491" t="n"/>
      <c r="CB395" s="1467" t="n"/>
      <c r="CC395" s="1467" t="n"/>
      <c r="CD395" s="1491" t="n"/>
      <c r="CE395" s="1491" t="n"/>
      <c r="CF395" s="1491" t="n"/>
      <c r="CG395" s="1491" t="n"/>
      <c r="CH395" s="1491" t="n"/>
      <c r="CI395" s="1491" t="n"/>
      <c r="CJ395" s="1491" t="n"/>
      <c r="CK395" s="1491" t="n"/>
      <c r="CL395" s="1491" t="n"/>
      <c r="CM395" s="1491" t="n"/>
      <c r="CN395" s="1491" t="n"/>
      <c r="CO395" s="1491" t="n"/>
      <c r="CP395" s="1491" t="n"/>
      <c r="CQ395" s="1491" t="n"/>
      <c r="CR395" s="1491" t="n"/>
      <c r="CS395" s="1491" t="n"/>
      <c r="CT395" s="1491" t="n"/>
      <c r="CU395" s="1491" t="n"/>
      <c r="CV395" s="1491" t="n"/>
      <c r="CW395" s="1491" t="n"/>
      <c r="CX395" s="1491" t="n"/>
    </row>
    <row r="396">
      <c r="A396" s="1491" t="n"/>
      <c r="B396" s="1491" t="n"/>
      <c r="C396" s="1491" t="n"/>
      <c r="D396" s="1497">
        <f>IF(E396&lt;&gt;"",D395+1,D395)</f>
        <v/>
      </c>
      <c r="E396" s="1497" t="inlineStr">
        <is>
          <t>Mortara</t>
        </is>
      </c>
      <c r="F396" s="1535" t="inlineStr">
        <is>
          <t>.</t>
        </is>
      </c>
      <c r="G396" s="1498">
        <f>IF(H396="AIR",0,IF(H395="AIR",G394+1,IF(H396&lt;&gt;"",G395+1,G395)))</f>
        <v/>
      </c>
      <c r="H396" s="1498" t="inlineStr">
        <is>
          <t>Saint-Vincent</t>
        </is>
      </c>
      <c r="I396" s="1427" t="inlineStr">
        <is>
          <t>.</t>
        </is>
      </c>
      <c r="J396" s="1499" t="n">
        <v>391</v>
      </c>
      <c r="K396" s="1500">
        <f>_xlfn.XLOOKUP(cities[[#This Row],[id]],$D$5:$D$1500,E$5:E$1500,"-")</f>
        <v/>
      </c>
      <c r="L396" s="1500">
        <f>_xlfn.XLOOKUP(cities[[#This Row],[city]],ccc[city],ccc[ctry],"-")</f>
        <v/>
      </c>
      <c r="M396" s="1500">
        <f>SUMIFS(stayCity[stay],stayCity[city],cities[[#This Row],[city]])</f>
        <v/>
      </c>
      <c r="N396" s="1427">
        <f>N395+1</f>
        <v/>
      </c>
      <c r="O396" s="1500" t="n"/>
      <c r="P396" s="1500" t="n"/>
      <c r="Q396" s="1427" t="inlineStr">
        <is>
          <t>.</t>
        </is>
      </c>
      <c r="R396" s="1491" t="n"/>
      <c r="S396" s="1491" t="n"/>
      <c r="T396" s="1491" t="n"/>
      <c r="U396" s="1491" t="n"/>
      <c r="V396" s="1491" t="n"/>
      <c r="W396" s="1491" t="n"/>
      <c r="X396" s="1491" t="n"/>
      <c r="Y396" s="1491" t="n"/>
      <c r="Z396" s="1491" t="n"/>
      <c r="AA396" s="1491" t="n"/>
      <c r="AB396" s="1491" t="n"/>
      <c r="AC396" s="1491" t="n"/>
      <c r="AD396" s="1491" t="n"/>
      <c r="AE396" s="1491" t="n"/>
      <c r="AF396" s="1491" t="n"/>
      <c r="AG396" s="1491" t="n"/>
      <c r="AH396" s="1491" t="n"/>
      <c r="AI396" s="1491" t="n"/>
      <c r="AJ396" s="1491" t="n"/>
      <c r="AK396" s="1491" t="n"/>
      <c r="AL396" s="1491" t="n"/>
      <c r="AM396" s="1491" t="n"/>
      <c r="AN396" s="1491" t="n"/>
      <c r="AO396" s="1491" t="n"/>
      <c r="AP396" s="1491" t="n"/>
      <c r="AQ396" s="1491" t="n"/>
      <c r="AR396" s="1491" t="n"/>
      <c r="AS396" s="1491" t="n"/>
      <c r="AT396" s="1491" t="n"/>
      <c r="AU396" s="1491" t="n"/>
      <c r="AV396" s="1491" t="n"/>
      <c r="AW396" s="1491" t="n"/>
      <c r="AX396" s="1491" t="n"/>
      <c r="AY396" s="1491" t="n"/>
      <c r="AZ396" s="1491" t="n"/>
      <c r="BA396" s="1491" t="n"/>
      <c r="BB396" s="1491" t="n"/>
      <c r="BC396" s="1491" t="n"/>
      <c r="BD396" s="1491" t="n"/>
      <c r="BE396" s="1491" t="n"/>
      <c r="BF396" s="1491" t="n"/>
      <c r="BG396" s="1491" t="n"/>
      <c r="BH396" s="1491" t="n"/>
      <c r="BI396" s="1491" t="n"/>
      <c r="BJ396" s="1491" t="n"/>
      <c r="BK396" s="1491" t="n"/>
      <c r="BL396" s="1491" t="n"/>
      <c r="BM396" s="1491" t="n"/>
      <c r="BN396" s="1491" t="n"/>
      <c r="BO396" s="1467" t="n"/>
      <c r="BP396" s="1514" t="n">
        <v>392</v>
      </c>
      <c r="BQ396" s="1513">
        <f>[1]Sheet1!C397</f>
        <v/>
      </c>
      <c r="BR396" s="1515">
        <f>[1]Sheet1!D397</f>
        <v/>
      </c>
      <c r="BS396" s="1513">
        <f>[1]Sheet1!E397</f>
        <v/>
      </c>
      <c r="BT396" s="1515">
        <f>[1]Sheet1!F397</f>
        <v/>
      </c>
      <c r="BU396" s="1516">
        <f>[1]Sheet1!G397</f>
        <v/>
      </c>
      <c r="BV396" s="1513">
        <f>[1]Sheet1!H397</f>
        <v/>
      </c>
      <c r="BW396" s="1467" t="n"/>
      <c r="BX396" s="1491" t="n"/>
      <c r="BY396" s="1491" t="n"/>
      <c r="BZ396" s="1491" t="n"/>
      <c r="CA396" s="1491" t="n"/>
      <c r="CB396" s="1467" t="n"/>
      <c r="CC396" s="1467" t="n"/>
      <c r="CD396" s="1491" t="n"/>
      <c r="CE396" s="1491" t="n"/>
      <c r="CF396" s="1491" t="n"/>
      <c r="CG396" s="1491" t="n"/>
      <c r="CH396" s="1491" t="n"/>
      <c r="CI396" s="1491" t="n"/>
      <c r="CJ396" s="1491" t="n"/>
      <c r="CK396" s="1491" t="n"/>
      <c r="CL396" s="1491" t="n"/>
      <c r="CM396" s="1491" t="n"/>
      <c r="CN396" s="1491" t="n"/>
      <c r="CO396" s="1491" t="n"/>
      <c r="CP396" s="1491" t="n"/>
      <c r="CQ396" s="1491" t="n"/>
      <c r="CR396" s="1491" t="n"/>
      <c r="CS396" s="1491" t="n"/>
      <c r="CT396" s="1491" t="n"/>
      <c r="CU396" s="1491" t="n"/>
      <c r="CV396" s="1491" t="n"/>
      <c r="CW396" s="1491" t="n"/>
      <c r="CX396" s="1491" t="n"/>
    </row>
    <row r="397">
      <c r="A397" s="1491" t="n"/>
      <c r="B397" s="1491" t="n"/>
      <c r="C397" s="1491" t="n"/>
      <c r="D397" s="1497">
        <f>IF(E397&lt;&gt;"",D396+1,D396)</f>
        <v/>
      </c>
      <c r="E397" s="1497" t="inlineStr">
        <is>
          <t>Garlasco</t>
        </is>
      </c>
      <c r="F397" s="1535" t="inlineStr">
        <is>
          <t>.</t>
        </is>
      </c>
      <c r="G397" s="1498">
        <f>IF(H397="AIR",0,IF(H396="AIR",G395+1,IF(H397&lt;&gt;"",G396+1,G396)))</f>
        <v/>
      </c>
      <c r="H397" s="1498" t="inlineStr">
        <is>
          <t>Montjovet</t>
        </is>
      </c>
      <c r="I397" s="1427" t="inlineStr">
        <is>
          <t>.</t>
        </is>
      </c>
      <c r="J397" s="1499" t="n">
        <v>392</v>
      </c>
      <c r="K397" s="1500">
        <f>_xlfn.XLOOKUP(cities[[#This Row],[id]],$D$5:$D$1500,E$5:E$1500,"-")</f>
        <v/>
      </c>
      <c r="L397" s="1500">
        <f>_xlfn.XLOOKUP(cities[[#This Row],[city]],ccc[city],ccc[ctry],"-")</f>
        <v/>
      </c>
      <c r="M397" s="1500">
        <f>SUMIFS(stayCity[stay],stayCity[city],cities[[#This Row],[city]])</f>
        <v/>
      </c>
      <c r="N397" s="1427">
        <f>N396+1</f>
        <v/>
      </c>
      <c r="O397" s="1500" t="n"/>
      <c r="P397" s="1500" t="n"/>
      <c r="Q397" s="1427" t="inlineStr">
        <is>
          <t>.</t>
        </is>
      </c>
      <c r="R397" s="1491" t="n"/>
      <c r="S397" s="1491" t="n"/>
      <c r="T397" s="1491" t="n"/>
      <c r="U397" s="1491" t="n"/>
      <c r="V397" s="1491" t="n"/>
      <c r="W397" s="1491" t="n"/>
      <c r="X397" s="1491" t="n"/>
      <c r="Y397" s="1491" t="n"/>
      <c r="Z397" s="1491" t="n"/>
      <c r="AA397" s="1491" t="n"/>
      <c r="AB397" s="1491" t="n"/>
      <c r="AC397" s="1491" t="n"/>
      <c r="AD397" s="1491" t="n"/>
      <c r="AE397" s="1491" t="n"/>
      <c r="AF397" s="1491" t="n"/>
      <c r="AG397" s="1491" t="n"/>
      <c r="AH397" s="1491" t="n"/>
      <c r="AI397" s="1491" t="n"/>
      <c r="AJ397" s="1491" t="n"/>
      <c r="AK397" s="1491" t="n"/>
      <c r="AL397" s="1491" t="n"/>
      <c r="AM397" s="1491" t="n"/>
      <c r="AN397" s="1491" t="n"/>
      <c r="AO397" s="1491" t="n"/>
      <c r="AP397" s="1491" t="n"/>
      <c r="AQ397" s="1491" t="n"/>
      <c r="AR397" s="1491" t="n"/>
      <c r="AS397" s="1491" t="n"/>
      <c r="AT397" s="1491" t="n"/>
      <c r="AU397" s="1491" t="n"/>
      <c r="AV397" s="1491" t="n"/>
      <c r="AW397" s="1491" t="n"/>
      <c r="AX397" s="1491" t="n"/>
      <c r="AY397" s="1491" t="n"/>
      <c r="AZ397" s="1491" t="n"/>
      <c r="BA397" s="1491" t="n"/>
      <c r="BB397" s="1491" t="n"/>
      <c r="BC397" s="1491" t="n"/>
      <c r="BD397" s="1491" t="n"/>
      <c r="BE397" s="1491" t="n"/>
      <c r="BF397" s="1491" t="n"/>
      <c r="BG397" s="1491" t="n"/>
      <c r="BH397" s="1491" t="n"/>
      <c r="BI397" s="1491" t="n"/>
      <c r="BJ397" s="1491" t="n"/>
      <c r="BK397" s="1491" t="n"/>
      <c r="BL397" s="1491" t="n"/>
      <c r="BM397" s="1491" t="n"/>
      <c r="BN397" s="1491" t="n"/>
      <c r="BO397" s="1467" t="n"/>
      <c r="BP397" s="1514" t="n">
        <v>393</v>
      </c>
      <c r="BQ397" s="1513">
        <f>[1]Sheet1!C398</f>
        <v/>
      </c>
      <c r="BR397" s="1515">
        <f>[1]Sheet1!D398</f>
        <v/>
      </c>
      <c r="BS397" s="1513">
        <f>[1]Sheet1!E398</f>
        <v/>
      </c>
      <c r="BT397" s="1515">
        <f>[1]Sheet1!F398</f>
        <v/>
      </c>
      <c r="BU397" s="1516">
        <f>[1]Sheet1!G398</f>
        <v/>
      </c>
      <c r="BV397" s="1513">
        <f>[1]Sheet1!H398</f>
        <v/>
      </c>
      <c r="BW397" s="1467" t="n"/>
      <c r="BX397" s="1491" t="n"/>
      <c r="BY397" s="1491" t="n"/>
      <c r="BZ397" s="1491" t="n"/>
      <c r="CA397" s="1491" t="n"/>
      <c r="CB397" s="1467" t="n"/>
      <c r="CC397" s="1467" t="n"/>
      <c r="CD397" s="1491" t="n"/>
      <c r="CE397" s="1491" t="n"/>
      <c r="CF397" s="1491" t="n"/>
      <c r="CG397" s="1491" t="n"/>
      <c r="CH397" s="1491" t="n"/>
      <c r="CI397" s="1491" t="n"/>
      <c r="CJ397" s="1491" t="n"/>
      <c r="CK397" s="1491" t="n"/>
      <c r="CL397" s="1491" t="n"/>
      <c r="CM397" s="1491" t="n"/>
      <c r="CN397" s="1491" t="n"/>
      <c r="CO397" s="1491" t="n"/>
      <c r="CP397" s="1491" t="n"/>
      <c r="CQ397" s="1491" t="n"/>
      <c r="CR397" s="1491" t="n"/>
      <c r="CS397" s="1491" t="n"/>
      <c r="CT397" s="1491" t="n"/>
      <c r="CU397" s="1491" t="n"/>
      <c r="CV397" s="1491" t="n"/>
      <c r="CW397" s="1491" t="n"/>
      <c r="CX397" s="1491" t="n"/>
    </row>
    <row r="398">
      <c r="A398" s="1491" t="n"/>
      <c r="B398" s="1491" t="n"/>
      <c r="C398" s="1491" t="n"/>
      <c r="D398" s="1497">
        <f>IF(E398&lt;&gt;"",D397+1,D397)</f>
        <v/>
      </c>
      <c r="E398" s="1497" t="inlineStr">
        <is>
          <t>Pavia</t>
        </is>
      </c>
      <c r="F398" s="1535" t="inlineStr">
        <is>
          <t>.</t>
        </is>
      </c>
      <c r="G398" s="1498">
        <f>IF(H398="AIR",0,IF(H397="AIR",G396+1,IF(H398&lt;&gt;"",G397+1,G397)))</f>
        <v/>
      </c>
      <c r="H398" s="1498" t="inlineStr">
        <is>
          <t>Bourg-Montjovet</t>
        </is>
      </c>
      <c r="I398" s="1427" t="inlineStr">
        <is>
          <t>.</t>
        </is>
      </c>
      <c r="J398" s="1499" t="n">
        <v>393</v>
      </c>
      <c r="K398" s="1500">
        <f>_xlfn.XLOOKUP(cities[[#This Row],[id]],$D$5:$D$1500,E$5:E$1500,"-")</f>
        <v/>
      </c>
      <c r="L398" s="1500">
        <f>_xlfn.XLOOKUP(cities[[#This Row],[city]],ccc[city],ccc[ctry],"-")</f>
        <v/>
      </c>
      <c r="M398" s="1500">
        <f>SUMIFS(stayCity[stay],stayCity[city],cities[[#This Row],[city]])</f>
        <v/>
      </c>
      <c r="N398" s="1427">
        <f>N397+1</f>
        <v/>
      </c>
      <c r="O398" s="1500" t="n"/>
      <c r="P398" s="1500" t="n"/>
      <c r="Q398" s="1427" t="inlineStr">
        <is>
          <t>.</t>
        </is>
      </c>
      <c r="R398" s="1491" t="n"/>
      <c r="S398" s="1491" t="n"/>
      <c r="T398" s="1491" t="n"/>
      <c r="U398" s="1491" t="n"/>
      <c r="V398" s="1491" t="n"/>
      <c r="W398" s="1491" t="n"/>
      <c r="X398" s="1491" t="n"/>
      <c r="Y398" s="1491" t="n"/>
      <c r="Z398" s="1491" t="n"/>
      <c r="AA398" s="1491" t="n"/>
      <c r="AB398" s="1491" t="n"/>
      <c r="AC398" s="1491" t="n"/>
      <c r="AD398" s="1491" t="n"/>
      <c r="AE398" s="1491" t="n"/>
      <c r="AF398" s="1491" t="n"/>
      <c r="AG398" s="1491" t="n"/>
      <c r="AH398" s="1491" t="n"/>
      <c r="AI398" s="1491" t="n"/>
      <c r="AJ398" s="1491" t="n"/>
      <c r="AK398" s="1491" t="n"/>
      <c r="AL398" s="1491" t="n"/>
      <c r="AM398" s="1491" t="n"/>
      <c r="AN398" s="1491" t="n"/>
      <c r="AO398" s="1491" t="n"/>
      <c r="AP398" s="1491" t="n"/>
      <c r="AQ398" s="1491" t="n"/>
      <c r="AR398" s="1491" t="n"/>
      <c r="AS398" s="1491" t="n"/>
      <c r="AT398" s="1491" t="n"/>
      <c r="AU398" s="1491" t="n"/>
      <c r="AV398" s="1491" t="n"/>
      <c r="AW398" s="1491" t="n"/>
      <c r="AX398" s="1491" t="n"/>
      <c r="AY398" s="1491" t="n"/>
      <c r="AZ398" s="1491" t="n"/>
      <c r="BA398" s="1491" t="n"/>
      <c r="BB398" s="1491" t="n"/>
      <c r="BC398" s="1491" t="n"/>
      <c r="BD398" s="1491" t="n"/>
      <c r="BE398" s="1491" t="n"/>
      <c r="BF398" s="1491" t="n"/>
      <c r="BG398" s="1491" t="n"/>
      <c r="BH398" s="1491" t="n"/>
      <c r="BI398" s="1491" t="n"/>
      <c r="BJ398" s="1491" t="n"/>
      <c r="BK398" s="1491" t="n"/>
      <c r="BL398" s="1491" t="n"/>
      <c r="BM398" s="1491" t="n"/>
      <c r="BN398" s="1491" t="n"/>
      <c r="BO398" s="1467" t="n"/>
      <c r="BP398" s="1514" t="n">
        <v>394</v>
      </c>
      <c r="BQ398" s="1513">
        <f>[1]Sheet1!C399</f>
        <v/>
      </c>
      <c r="BR398" s="1515">
        <f>[1]Sheet1!D399</f>
        <v/>
      </c>
      <c r="BS398" s="1513">
        <f>[1]Sheet1!E399</f>
        <v/>
      </c>
      <c r="BT398" s="1515">
        <f>[1]Sheet1!F399</f>
        <v/>
      </c>
      <c r="BU398" s="1516">
        <f>[1]Sheet1!G399</f>
        <v/>
      </c>
      <c r="BV398" s="1513">
        <f>[1]Sheet1!H399</f>
        <v/>
      </c>
      <c r="BW398" s="1467" t="n"/>
      <c r="BX398" s="1491" t="n"/>
      <c r="BY398" s="1491" t="n"/>
      <c r="BZ398" s="1491" t="n"/>
      <c r="CA398" s="1491" t="n"/>
      <c r="CB398" s="1467" t="n"/>
      <c r="CC398" s="1467" t="n"/>
      <c r="CD398" s="1491" t="n"/>
      <c r="CE398" s="1491" t="n"/>
      <c r="CF398" s="1491" t="n"/>
      <c r="CG398" s="1491" t="n"/>
      <c r="CH398" s="1491" t="n"/>
      <c r="CI398" s="1491" t="n"/>
      <c r="CJ398" s="1491" t="n"/>
      <c r="CK398" s="1491" t="n"/>
      <c r="CL398" s="1491" t="n"/>
      <c r="CM398" s="1491" t="n"/>
      <c r="CN398" s="1491" t="n"/>
      <c r="CO398" s="1491" t="n"/>
      <c r="CP398" s="1491" t="n"/>
      <c r="CQ398" s="1491" t="n"/>
      <c r="CR398" s="1491" t="n"/>
      <c r="CS398" s="1491" t="n"/>
      <c r="CT398" s="1491" t="n"/>
      <c r="CU398" s="1491" t="n"/>
      <c r="CV398" s="1491" t="n"/>
      <c r="CW398" s="1491" t="n"/>
      <c r="CX398" s="1491" t="n"/>
    </row>
    <row r="399">
      <c r="A399" s="1491" t="n"/>
      <c r="B399" s="1491" t="n"/>
      <c r="C399" s="1491" t="n"/>
      <c r="D399" s="1497">
        <f>IF(E399&lt;&gt;"",D398+1,D398)</f>
        <v/>
      </c>
      <c r="E399" s="1497" t="inlineStr">
        <is>
          <t>Santa Cristina</t>
        </is>
      </c>
      <c r="F399" s="1535" t="inlineStr">
        <is>
          <t>.</t>
        </is>
      </c>
      <c r="G399" s="1498">
        <f>IF(H399="AIR",0,IF(H398="AIR",G397+1,IF(H399&lt;&gt;"",G398+1,G398)))</f>
        <v/>
      </c>
      <c r="H399" s="1498" t="inlineStr">
        <is>
          <t>Pont-Saint-Martin</t>
        </is>
      </c>
      <c r="I399" s="1427" t="inlineStr">
        <is>
          <t>.</t>
        </is>
      </c>
      <c r="J399" s="1499" t="n">
        <v>394</v>
      </c>
      <c r="K399" s="1500">
        <f>_xlfn.XLOOKUP(cities[[#This Row],[id]],$D$5:$D$1500,E$5:E$1500,"-")</f>
        <v/>
      </c>
      <c r="L399" s="1500">
        <f>_xlfn.XLOOKUP(cities[[#This Row],[city]],ccc[city],ccc[ctry],"-")</f>
        <v/>
      </c>
      <c r="M399" s="1500">
        <f>SUMIFS(stayCity[stay],stayCity[city],cities[[#This Row],[city]])</f>
        <v/>
      </c>
      <c r="N399" s="1427">
        <f>N398+1</f>
        <v/>
      </c>
      <c r="O399" s="1500" t="n"/>
      <c r="P399" s="1500" t="n"/>
      <c r="Q399" s="1427" t="inlineStr">
        <is>
          <t>.</t>
        </is>
      </c>
      <c r="R399" s="1491" t="n"/>
      <c r="S399" s="1491" t="n"/>
      <c r="T399" s="1491" t="n"/>
      <c r="U399" s="1491" t="n"/>
      <c r="V399" s="1491" t="n"/>
      <c r="W399" s="1491" t="n"/>
      <c r="X399" s="1491" t="n"/>
      <c r="Y399" s="1491" t="n"/>
      <c r="Z399" s="1491" t="n"/>
      <c r="AA399" s="1491" t="n"/>
      <c r="AB399" s="1491" t="n"/>
      <c r="AC399" s="1491" t="n"/>
      <c r="AD399" s="1491" t="n"/>
      <c r="AE399" s="1491" t="n"/>
      <c r="AF399" s="1491" t="n"/>
      <c r="AG399" s="1491" t="n"/>
      <c r="AH399" s="1491" t="n"/>
      <c r="AI399" s="1491" t="n"/>
      <c r="AJ399" s="1491" t="n"/>
      <c r="AK399" s="1491" t="n"/>
      <c r="AL399" s="1491" t="n"/>
      <c r="AM399" s="1491" t="n"/>
      <c r="AN399" s="1491" t="n"/>
      <c r="AO399" s="1491" t="n"/>
      <c r="AP399" s="1491" t="n"/>
      <c r="AQ399" s="1491" t="n"/>
      <c r="AR399" s="1491" t="n"/>
      <c r="AS399" s="1491" t="n"/>
      <c r="AT399" s="1491" t="n"/>
      <c r="AU399" s="1491" t="n"/>
      <c r="AV399" s="1491" t="n"/>
      <c r="AW399" s="1491" t="n"/>
      <c r="AX399" s="1491" t="n"/>
      <c r="AY399" s="1491" t="n"/>
      <c r="AZ399" s="1491" t="n"/>
      <c r="BA399" s="1491" t="n"/>
      <c r="BB399" s="1491" t="n"/>
      <c r="BC399" s="1491" t="n"/>
      <c r="BD399" s="1491" t="n"/>
      <c r="BE399" s="1491" t="n"/>
      <c r="BF399" s="1491" t="n"/>
      <c r="BG399" s="1491" t="n"/>
      <c r="BH399" s="1491" t="n"/>
      <c r="BI399" s="1491" t="n"/>
      <c r="BJ399" s="1491" t="n"/>
      <c r="BK399" s="1491" t="n"/>
      <c r="BL399" s="1491" t="n"/>
      <c r="BM399" s="1491" t="n"/>
      <c r="BN399" s="1491" t="n"/>
      <c r="BO399" s="1467" t="n"/>
      <c r="BP399" s="1514" t="n">
        <v>395</v>
      </c>
      <c r="BQ399" s="1513">
        <f>[1]Sheet1!C400</f>
        <v/>
      </c>
      <c r="BR399" s="1515">
        <f>[1]Sheet1!D400</f>
        <v/>
      </c>
      <c r="BS399" s="1513">
        <f>[1]Sheet1!E400</f>
        <v/>
      </c>
      <c r="BT399" s="1515">
        <f>[1]Sheet1!F400</f>
        <v/>
      </c>
      <c r="BU399" s="1516">
        <f>[1]Sheet1!G400</f>
        <v/>
      </c>
      <c r="BV399" s="1513">
        <f>[1]Sheet1!H400</f>
        <v/>
      </c>
      <c r="BW399" s="1467" t="n"/>
      <c r="BX399" s="1491" t="n"/>
      <c r="BY399" s="1491" t="n"/>
      <c r="BZ399" s="1491" t="n"/>
      <c r="CA399" s="1491" t="n"/>
      <c r="CB399" s="1467" t="n"/>
      <c r="CC399" s="1467" t="n"/>
      <c r="CD399" s="1491" t="n"/>
      <c r="CE399" s="1491" t="n"/>
      <c r="CF399" s="1491" t="n"/>
      <c r="CG399" s="1491" t="n"/>
      <c r="CH399" s="1491" t="n"/>
      <c r="CI399" s="1491" t="n"/>
      <c r="CJ399" s="1491" t="n"/>
      <c r="CK399" s="1491" t="n"/>
      <c r="CL399" s="1491" t="n"/>
      <c r="CM399" s="1491" t="n"/>
      <c r="CN399" s="1491" t="n"/>
      <c r="CO399" s="1491" t="n"/>
      <c r="CP399" s="1491" t="n"/>
      <c r="CQ399" s="1491" t="n"/>
      <c r="CR399" s="1491" t="n"/>
      <c r="CS399" s="1491" t="n"/>
      <c r="CT399" s="1491" t="n"/>
      <c r="CU399" s="1491" t="n"/>
      <c r="CV399" s="1491" t="n"/>
      <c r="CW399" s="1491" t="n"/>
      <c r="CX399" s="1491" t="n"/>
    </row>
    <row r="400">
      <c r="A400" s="1491" t="n"/>
      <c r="B400" s="1491" t="n"/>
      <c r="C400" s="1491" t="n"/>
      <c r="D400" s="1497">
        <f>IF(E400&lt;&gt;"",D399+1,D399)</f>
        <v/>
      </c>
      <c r="E400" s="1497" t="inlineStr">
        <is>
          <t>Orio Litta</t>
        </is>
      </c>
      <c r="F400" s="1535" t="inlineStr">
        <is>
          <t>.</t>
        </is>
      </c>
      <c r="G400" s="1498">
        <f>IF(H400="AIR",0,IF(H399="AIR",G398+1,IF(H400&lt;&gt;"",G399+1,G399)))</f>
        <v/>
      </c>
      <c r="H400" s="1498" t="inlineStr">
        <is>
          <t>Ivrea</t>
        </is>
      </c>
      <c r="I400" s="1427" t="inlineStr">
        <is>
          <t>.</t>
        </is>
      </c>
      <c r="J400" s="1499" t="n">
        <v>395</v>
      </c>
      <c r="K400" s="1500">
        <f>_xlfn.XLOOKUP(cities[[#This Row],[id]],$D$5:$D$1500,E$5:E$1500,"-")</f>
        <v/>
      </c>
      <c r="L400" s="1500">
        <f>_xlfn.XLOOKUP(cities[[#This Row],[city]],ccc[city],ccc[ctry],"-")</f>
        <v/>
      </c>
      <c r="M400" s="1500">
        <f>SUMIFS(stayCity[stay],stayCity[city],cities[[#This Row],[city]])</f>
        <v/>
      </c>
      <c r="N400" s="1427">
        <f>N399+1</f>
        <v/>
      </c>
      <c r="O400" s="1500" t="n"/>
      <c r="P400" s="1500" t="n"/>
      <c r="Q400" s="1427" t="inlineStr">
        <is>
          <t>.</t>
        </is>
      </c>
      <c r="R400" s="1491" t="n"/>
      <c r="S400" s="1491" t="n"/>
      <c r="T400" s="1491" t="n"/>
      <c r="U400" s="1491" t="n"/>
      <c r="V400" s="1491" t="n"/>
      <c r="W400" s="1491" t="n"/>
      <c r="X400" s="1491" t="n"/>
      <c r="Y400" s="1491" t="n"/>
      <c r="Z400" s="1491" t="n"/>
      <c r="AA400" s="1491" t="n"/>
      <c r="AB400" s="1491" t="n"/>
      <c r="AC400" s="1491" t="n"/>
      <c r="AD400" s="1491" t="n"/>
      <c r="AE400" s="1491" t="n"/>
      <c r="AF400" s="1491" t="n"/>
      <c r="AG400" s="1491" t="n"/>
      <c r="AH400" s="1491" t="n"/>
      <c r="AI400" s="1491" t="n"/>
      <c r="AJ400" s="1491" t="n"/>
      <c r="AK400" s="1491" t="n"/>
      <c r="AL400" s="1491" t="n"/>
      <c r="AM400" s="1491" t="n"/>
      <c r="AN400" s="1491" t="n"/>
      <c r="AO400" s="1491" t="n"/>
      <c r="AP400" s="1491" t="n"/>
      <c r="AQ400" s="1491" t="n"/>
      <c r="AR400" s="1491" t="n"/>
      <c r="AS400" s="1491" t="n"/>
      <c r="AT400" s="1491" t="n"/>
      <c r="AU400" s="1491" t="n"/>
      <c r="AV400" s="1491" t="n"/>
      <c r="AW400" s="1491" t="n"/>
      <c r="AX400" s="1491" t="n"/>
      <c r="AY400" s="1491" t="n"/>
      <c r="AZ400" s="1491" t="n"/>
      <c r="BA400" s="1491" t="n"/>
      <c r="BB400" s="1491" t="n"/>
      <c r="BC400" s="1491" t="n"/>
      <c r="BD400" s="1491" t="n"/>
      <c r="BE400" s="1491" t="n"/>
      <c r="BF400" s="1491" t="n"/>
      <c r="BG400" s="1491" t="n"/>
      <c r="BH400" s="1491" t="n"/>
      <c r="BI400" s="1491" t="n"/>
      <c r="BJ400" s="1491" t="n"/>
      <c r="BK400" s="1491" t="n"/>
      <c r="BL400" s="1491" t="n"/>
      <c r="BM400" s="1491" t="n"/>
      <c r="BN400" s="1491" t="n"/>
      <c r="BO400" s="1467" t="n"/>
      <c r="BP400" s="1514" t="n">
        <v>396</v>
      </c>
      <c r="BQ400" s="1513">
        <f>[1]Sheet1!C401</f>
        <v/>
      </c>
      <c r="BR400" s="1515">
        <f>[1]Sheet1!D401</f>
        <v/>
      </c>
      <c r="BS400" s="1513">
        <f>[1]Sheet1!E401</f>
        <v/>
      </c>
      <c r="BT400" s="1515">
        <f>[1]Sheet1!F401</f>
        <v/>
      </c>
      <c r="BU400" s="1516">
        <f>[1]Sheet1!G401</f>
        <v/>
      </c>
      <c r="BV400" s="1513">
        <f>[1]Sheet1!H401</f>
        <v/>
      </c>
      <c r="BW400" s="1467" t="n"/>
      <c r="BX400" s="1491" t="n"/>
      <c r="BY400" s="1491" t="n"/>
      <c r="BZ400" s="1491" t="n"/>
      <c r="CA400" s="1491" t="n"/>
      <c r="CB400" s="1467" t="n"/>
      <c r="CC400" s="1467" t="n"/>
      <c r="CD400" s="1491" t="n"/>
      <c r="CE400" s="1491" t="n"/>
      <c r="CF400" s="1491" t="n"/>
      <c r="CG400" s="1491" t="n"/>
      <c r="CH400" s="1491" t="n"/>
      <c r="CI400" s="1491" t="n"/>
      <c r="CJ400" s="1491" t="n"/>
      <c r="CK400" s="1491" t="n"/>
      <c r="CL400" s="1491" t="n"/>
      <c r="CM400" s="1491" t="n"/>
      <c r="CN400" s="1491" t="n"/>
      <c r="CO400" s="1491" t="n"/>
      <c r="CP400" s="1491" t="n"/>
      <c r="CQ400" s="1491" t="n"/>
      <c r="CR400" s="1491" t="n"/>
      <c r="CS400" s="1491" t="n"/>
      <c r="CT400" s="1491" t="n"/>
      <c r="CU400" s="1491" t="n"/>
      <c r="CV400" s="1491" t="n"/>
      <c r="CW400" s="1491" t="n"/>
      <c r="CX400" s="1491" t="n"/>
    </row>
    <row r="401">
      <c r="A401" s="1491" t="n"/>
      <c r="B401" s="1491" t="n"/>
      <c r="C401" s="1491" t="n"/>
      <c r="D401" s="1497">
        <f>IF(E401&lt;&gt;"",D400+1,D400)</f>
        <v/>
      </c>
      <c r="E401" s="1497" t="inlineStr">
        <is>
          <t>Vilarejo vizinho</t>
        </is>
      </c>
      <c r="F401" s="1535" t="inlineStr">
        <is>
          <t>.</t>
        </is>
      </c>
      <c r="G401" s="1498">
        <f>IF(H401="AIR",0,IF(H400="AIR",G399+1,IF(H401&lt;&gt;"",G400+1,G400)))</f>
        <v/>
      </c>
      <c r="H401" s="1498" t="inlineStr">
        <is>
          <t>San Germano</t>
        </is>
      </c>
      <c r="I401" s="1427" t="inlineStr">
        <is>
          <t>.</t>
        </is>
      </c>
      <c r="J401" s="1499" t="n">
        <v>396</v>
      </c>
      <c r="K401" s="1500">
        <f>_xlfn.XLOOKUP(cities[[#This Row],[id]],$D$5:$D$1500,E$5:E$1500,"-")</f>
        <v/>
      </c>
      <c r="L401" s="1500">
        <f>_xlfn.XLOOKUP(cities[[#This Row],[city]],ccc[city],ccc[ctry],"-")</f>
        <v/>
      </c>
      <c r="M401" s="1500">
        <f>SUMIFS(stayCity[stay],stayCity[city],cities[[#This Row],[city]])</f>
        <v/>
      </c>
      <c r="N401" s="1427">
        <f>N400+1</f>
        <v/>
      </c>
      <c r="O401" s="1500" t="n"/>
      <c r="P401" s="1500" t="n"/>
      <c r="Q401" s="1427" t="inlineStr">
        <is>
          <t>.</t>
        </is>
      </c>
      <c r="R401" s="1491" t="n"/>
      <c r="S401" s="1491" t="n"/>
      <c r="T401" s="1491" t="n"/>
      <c r="U401" s="1491" t="n"/>
      <c r="V401" s="1491" t="n"/>
      <c r="W401" s="1491" t="n"/>
      <c r="X401" s="1491" t="n"/>
      <c r="Y401" s="1491" t="n"/>
      <c r="Z401" s="1491" t="n"/>
      <c r="AA401" s="1491" t="n"/>
      <c r="AB401" s="1491" t="n"/>
      <c r="AC401" s="1491" t="n"/>
      <c r="AD401" s="1491" t="n"/>
      <c r="AE401" s="1491" t="n"/>
      <c r="AF401" s="1491" t="n"/>
      <c r="AG401" s="1491" t="n"/>
      <c r="AH401" s="1491" t="n"/>
      <c r="AI401" s="1491" t="n"/>
      <c r="AJ401" s="1491" t="n"/>
      <c r="AK401" s="1491" t="n"/>
      <c r="AL401" s="1491" t="n"/>
      <c r="AM401" s="1491" t="n"/>
      <c r="AN401" s="1491" t="n"/>
      <c r="AO401" s="1491" t="n"/>
      <c r="AP401" s="1491" t="n"/>
      <c r="AQ401" s="1491" t="n"/>
      <c r="AR401" s="1491" t="n"/>
      <c r="AS401" s="1491" t="n"/>
      <c r="AT401" s="1491" t="n"/>
      <c r="AU401" s="1491" t="n"/>
      <c r="AV401" s="1491" t="n"/>
      <c r="AW401" s="1491" t="n"/>
      <c r="AX401" s="1491" t="n"/>
      <c r="AY401" s="1491" t="n"/>
      <c r="AZ401" s="1491" t="n"/>
      <c r="BA401" s="1491" t="n"/>
      <c r="BB401" s="1491" t="n"/>
      <c r="BC401" s="1491" t="n"/>
      <c r="BD401" s="1491" t="n"/>
      <c r="BE401" s="1491" t="n"/>
      <c r="BF401" s="1491" t="n"/>
      <c r="BG401" s="1491" t="n"/>
      <c r="BH401" s="1491" t="n"/>
      <c r="BI401" s="1491" t="n"/>
      <c r="BJ401" s="1491" t="n"/>
      <c r="BK401" s="1491" t="n"/>
      <c r="BL401" s="1491" t="n"/>
      <c r="BM401" s="1491" t="n"/>
      <c r="BN401" s="1491" t="n"/>
      <c r="BO401" s="1467" t="n"/>
      <c r="BP401" s="1514" t="n">
        <v>397</v>
      </c>
      <c r="BQ401" s="1513">
        <f>[1]Sheet1!C402</f>
        <v/>
      </c>
      <c r="BR401" s="1515">
        <f>[1]Sheet1!D402</f>
        <v/>
      </c>
      <c r="BS401" s="1513">
        <f>[1]Sheet1!E402</f>
        <v/>
      </c>
      <c r="BT401" s="1515">
        <f>[1]Sheet1!F402</f>
        <v/>
      </c>
      <c r="BU401" s="1516">
        <f>[1]Sheet1!G402</f>
        <v/>
      </c>
      <c r="BV401" s="1513">
        <f>[1]Sheet1!H402</f>
        <v/>
      </c>
      <c r="BW401" s="1467" t="n"/>
      <c r="BX401" s="1491" t="n"/>
      <c r="BY401" s="1491" t="n"/>
      <c r="BZ401" s="1491" t="n"/>
      <c r="CA401" s="1491" t="n"/>
      <c r="CB401" s="1467" t="n"/>
      <c r="CC401" s="1467" t="n"/>
      <c r="CD401" s="1491" t="n"/>
      <c r="CE401" s="1491" t="n"/>
      <c r="CF401" s="1491" t="n"/>
      <c r="CG401" s="1491" t="n"/>
      <c r="CH401" s="1491" t="n"/>
      <c r="CI401" s="1491" t="n"/>
      <c r="CJ401" s="1491" t="n"/>
      <c r="CK401" s="1491" t="n"/>
      <c r="CL401" s="1491" t="n"/>
      <c r="CM401" s="1491" t="n"/>
      <c r="CN401" s="1491" t="n"/>
      <c r="CO401" s="1491" t="n"/>
      <c r="CP401" s="1491" t="n"/>
      <c r="CQ401" s="1491" t="n"/>
      <c r="CR401" s="1491" t="n"/>
      <c r="CS401" s="1491" t="n"/>
      <c r="CT401" s="1491" t="n"/>
      <c r="CU401" s="1491" t="n"/>
      <c r="CV401" s="1491" t="n"/>
      <c r="CW401" s="1491" t="n"/>
      <c r="CX401" s="1491" t="n"/>
    </row>
    <row r="402">
      <c r="A402" s="1491" t="n"/>
      <c r="B402" s="1491" t="n"/>
      <c r="C402" s="1491" t="n"/>
      <c r="D402" s="1497">
        <f>IF(E402&lt;&gt;"",D401+1,D401)</f>
        <v/>
      </c>
      <c r="E402" s="1497" t="inlineStr">
        <is>
          <t>Senna Lodigiana</t>
        </is>
      </c>
      <c r="F402" s="1535" t="inlineStr">
        <is>
          <t>.</t>
        </is>
      </c>
      <c r="G402" s="1498">
        <f>IF(H402="AIR",0,IF(H401="AIR",G400+1,IF(H402&lt;&gt;"",G401+1,G401)))</f>
        <v/>
      </c>
      <c r="H402" s="1498" t="inlineStr">
        <is>
          <t>Vercelli</t>
        </is>
      </c>
      <c r="I402" s="1427" t="inlineStr">
        <is>
          <t>.</t>
        </is>
      </c>
      <c r="J402" s="1499" t="n">
        <v>397</v>
      </c>
      <c r="K402" s="1500">
        <f>_xlfn.XLOOKUP(cities[[#This Row],[id]],$D$5:$D$1500,E$5:E$1500,"-")</f>
        <v/>
      </c>
      <c r="L402" s="1500">
        <f>_xlfn.XLOOKUP(cities[[#This Row],[city]],ccc[city],ccc[ctry],"-")</f>
        <v/>
      </c>
      <c r="M402" s="1500">
        <f>SUMIFS(stayCity[stay],stayCity[city],cities[[#This Row],[city]])</f>
        <v/>
      </c>
      <c r="N402" s="1427">
        <f>N401+1</f>
        <v/>
      </c>
      <c r="O402" s="1500" t="n"/>
      <c r="P402" s="1500" t="n"/>
      <c r="Q402" s="1427" t="inlineStr">
        <is>
          <t>.</t>
        </is>
      </c>
      <c r="R402" s="1491" t="n"/>
      <c r="S402" s="1491" t="n"/>
      <c r="T402" s="1491" t="n"/>
      <c r="U402" s="1491" t="n"/>
      <c r="V402" s="1491" t="n"/>
      <c r="W402" s="1491" t="n"/>
      <c r="X402" s="1491" t="n"/>
      <c r="Y402" s="1491" t="n"/>
      <c r="Z402" s="1491" t="n"/>
      <c r="AA402" s="1491" t="n"/>
      <c r="AB402" s="1491" t="n"/>
      <c r="AC402" s="1491" t="n"/>
      <c r="AD402" s="1491" t="n"/>
      <c r="AE402" s="1491" t="n"/>
      <c r="AF402" s="1491" t="n"/>
      <c r="AG402" s="1491" t="n"/>
      <c r="AH402" s="1491" t="n"/>
      <c r="AI402" s="1491" t="n"/>
      <c r="AJ402" s="1491" t="n"/>
      <c r="AK402" s="1491" t="n"/>
      <c r="AL402" s="1491" t="n"/>
      <c r="AM402" s="1491" t="n"/>
      <c r="AN402" s="1491" t="n"/>
      <c r="AO402" s="1491" t="n"/>
      <c r="AP402" s="1491" t="n"/>
      <c r="AQ402" s="1491" t="n"/>
      <c r="AR402" s="1491" t="n"/>
      <c r="AS402" s="1491" t="n"/>
      <c r="AT402" s="1491" t="n"/>
      <c r="AU402" s="1491" t="n"/>
      <c r="AV402" s="1491" t="n"/>
      <c r="AW402" s="1491" t="n"/>
      <c r="AX402" s="1491" t="n"/>
      <c r="AY402" s="1491" t="n"/>
      <c r="AZ402" s="1491" t="n"/>
      <c r="BA402" s="1491" t="n"/>
      <c r="BB402" s="1491" t="n"/>
      <c r="BC402" s="1491" t="n"/>
      <c r="BD402" s="1491" t="n"/>
      <c r="BE402" s="1491" t="n"/>
      <c r="BF402" s="1491" t="n"/>
      <c r="BG402" s="1491" t="n"/>
      <c r="BH402" s="1491" t="n"/>
      <c r="BI402" s="1491" t="n"/>
      <c r="BJ402" s="1491" t="n"/>
      <c r="BK402" s="1491" t="n"/>
      <c r="BL402" s="1491" t="n"/>
      <c r="BM402" s="1491" t="n"/>
      <c r="BN402" s="1491" t="n"/>
      <c r="BO402" s="1467" t="n"/>
      <c r="BP402" s="1514" t="n">
        <v>398</v>
      </c>
      <c r="BQ402" s="1513">
        <f>[1]Sheet1!C403</f>
        <v/>
      </c>
      <c r="BR402" s="1515">
        <f>[1]Sheet1!D403</f>
        <v/>
      </c>
      <c r="BS402" s="1513">
        <f>[1]Sheet1!E403</f>
        <v/>
      </c>
      <c r="BT402" s="1515">
        <f>[1]Sheet1!F403</f>
        <v/>
      </c>
      <c r="BU402" s="1516">
        <f>[1]Sheet1!G403</f>
        <v/>
      </c>
      <c r="BV402" s="1513">
        <f>[1]Sheet1!H403</f>
        <v/>
      </c>
      <c r="BW402" s="1467" t="n"/>
      <c r="BX402" s="1491" t="n"/>
      <c r="BY402" s="1491" t="n"/>
      <c r="BZ402" s="1491" t="n"/>
      <c r="CA402" s="1491" t="n"/>
      <c r="CB402" s="1467" t="n"/>
      <c r="CC402" s="1467" t="n"/>
      <c r="CD402" s="1491" t="n"/>
      <c r="CE402" s="1491" t="n"/>
      <c r="CF402" s="1491" t="n"/>
      <c r="CG402" s="1491" t="n"/>
      <c r="CH402" s="1491" t="n"/>
      <c r="CI402" s="1491" t="n"/>
      <c r="CJ402" s="1491" t="n"/>
      <c r="CK402" s="1491" t="n"/>
      <c r="CL402" s="1491" t="n"/>
      <c r="CM402" s="1491" t="n"/>
      <c r="CN402" s="1491" t="n"/>
      <c r="CO402" s="1491" t="n"/>
      <c r="CP402" s="1491" t="n"/>
      <c r="CQ402" s="1491" t="n"/>
      <c r="CR402" s="1491" t="n"/>
      <c r="CS402" s="1491" t="n"/>
      <c r="CT402" s="1491" t="n"/>
      <c r="CU402" s="1491" t="n"/>
      <c r="CV402" s="1491" t="n"/>
      <c r="CW402" s="1491" t="n"/>
      <c r="CX402" s="1491" t="n"/>
    </row>
    <row r="403">
      <c r="A403" s="1491" t="n"/>
      <c r="B403" s="1491" t="n"/>
      <c r="C403" s="1491" t="n"/>
      <c r="D403" s="1497">
        <f>IF(E403&lt;&gt;"",D402+1,D402)</f>
        <v/>
      </c>
      <c r="E403" s="1497" t="inlineStr">
        <is>
          <t>Piacenza</t>
        </is>
      </c>
      <c r="F403" s="1535" t="inlineStr">
        <is>
          <t>.</t>
        </is>
      </c>
      <c r="G403" s="1498">
        <f>IF(H403="AIR",0,IF(H402="AIR",G401+1,IF(H403&lt;&gt;"",G402+1,G402)))</f>
        <v/>
      </c>
      <c r="H403" s="1498" t="inlineStr">
        <is>
          <t>Robbio</t>
        </is>
      </c>
      <c r="I403" s="1427" t="inlineStr">
        <is>
          <t>.</t>
        </is>
      </c>
      <c r="J403" s="1499" t="n">
        <v>398</v>
      </c>
      <c r="K403" s="1500">
        <f>_xlfn.XLOOKUP(cities[[#This Row],[id]],$D$5:$D$1500,E$5:E$1500,"-")</f>
        <v/>
      </c>
      <c r="L403" s="1500">
        <f>_xlfn.XLOOKUP(cities[[#This Row],[city]],ccc[city],ccc[ctry],"-")</f>
        <v/>
      </c>
      <c r="M403" s="1500">
        <f>SUMIFS(stayCity[stay],stayCity[city],cities[[#This Row],[city]])</f>
        <v/>
      </c>
      <c r="N403" s="1427">
        <f>N402+1</f>
        <v/>
      </c>
      <c r="O403" s="1500" t="n"/>
      <c r="P403" s="1500" t="n"/>
      <c r="Q403" s="1427" t="inlineStr">
        <is>
          <t>.</t>
        </is>
      </c>
      <c r="R403" s="1491" t="n"/>
      <c r="S403" s="1491" t="n"/>
      <c r="T403" s="1491" t="n"/>
      <c r="U403" s="1491" t="n"/>
      <c r="V403" s="1491" t="n"/>
      <c r="W403" s="1491" t="n"/>
      <c r="X403" s="1491" t="n"/>
      <c r="Y403" s="1491" t="n"/>
      <c r="Z403" s="1491" t="n"/>
      <c r="AA403" s="1491" t="n"/>
      <c r="AB403" s="1491" t="n"/>
      <c r="AC403" s="1491" t="n"/>
      <c r="AD403" s="1491" t="n"/>
      <c r="AE403" s="1491" t="n"/>
      <c r="AF403" s="1491" t="n"/>
      <c r="AG403" s="1491" t="n"/>
      <c r="AH403" s="1491" t="n"/>
      <c r="AI403" s="1491" t="n"/>
      <c r="AJ403" s="1491" t="n"/>
      <c r="AK403" s="1491" t="n"/>
      <c r="AL403" s="1491" t="n"/>
      <c r="AM403" s="1491" t="n"/>
      <c r="AN403" s="1491" t="n"/>
      <c r="AO403" s="1491" t="n"/>
      <c r="AP403" s="1491" t="n"/>
      <c r="AQ403" s="1491" t="n"/>
      <c r="AR403" s="1491" t="n"/>
      <c r="AS403" s="1491" t="n"/>
      <c r="AT403" s="1491" t="n"/>
      <c r="AU403" s="1491" t="n"/>
      <c r="AV403" s="1491" t="n"/>
      <c r="AW403" s="1491" t="n"/>
      <c r="AX403" s="1491" t="n"/>
      <c r="AY403" s="1491" t="n"/>
      <c r="AZ403" s="1491" t="n"/>
      <c r="BA403" s="1491" t="n"/>
      <c r="BB403" s="1491" t="n"/>
      <c r="BC403" s="1491" t="n"/>
      <c r="BD403" s="1491" t="n"/>
      <c r="BE403" s="1491" t="n"/>
      <c r="BF403" s="1491" t="n"/>
      <c r="BG403" s="1491" t="n"/>
      <c r="BH403" s="1491" t="n"/>
      <c r="BI403" s="1491" t="n"/>
      <c r="BJ403" s="1491" t="n"/>
      <c r="BK403" s="1491" t="n"/>
      <c r="BL403" s="1491" t="n"/>
      <c r="BM403" s="1491" t="n"/>
      <c r="BN403" s="1491" t="n"/>
      <c r="BO403" s="1467" t="n"/>
      <c r="BP403" s="1514" t="n">
        <v>399</v>
      </c>
      <c r="BQ403" s="1513">
        <f>[1]Sheet1!C404</f>
        <v/>
      </c>
      <c r="BR403" s="1515">
        <f>[1]Sheet1!D404</f>
        <v/>
      </c>
      <c r="BS403" s="1513">
        <f>[1]Sheet1!E404</f>
        <v/>
      </c>
      <c r="BT403" s="1515">
        <f>[1]Sheet1!F404</f>
        <v/>
      </c>
      <c r="BU403" s="1516">
        <f>[1]Sheet1!G404</f>
        <v/>
      </c>
      <c r="BV403" s="1513">
        <f>[1]Sheet1!H404</f>
        <v/>
      </c>
      <c r="BW403" s="1467" t="n"/>
      <c r="BX403" s="1491" t="n"/>
      <c r="BY403" s="1491" t="n"/>
      <c r="BZ403" s="1491" t="n"/>
      <c r="CA403" s="1491" t="n"/>
      <c r="CB403" s="1467" t="n"/>
      <c r="CC403" s="1467" t="n"/>
      <c r="CD403" s="1491" t="n"/>
      <c r="CE403" s="1491" t="n"/>
      <c r="CF403" s="1491" t="n"/>
      <c r="CG403" s="1491" t="n"/>
      <c r="CH403" s="1491" t="n"/>
      <c r="CI403" s="1491" t="n"/>
      <c r="CJ403" s="1491" t="n"/>
      <c r="CK403" s="1491" t="n"/>
      <c r="CL403" s="1491" t="n"/>
      <c r="CM403" s="1491" t="n"/>
      <c r="CN403" s="1491" t="n"/>
      <c r="CO403" s="1491" t="n"/>
      <c r="CP403" s="1491" t="n"/>
      <c r="CQ403" s="1491" t="n"/>
      <c r="CR403" s="1491" t="n"/>
      <c r="CS403" s="1491" t="n"/>
      <c r="CT403" s="1491" t="n"/>
      <c r="CU403" s="1491" t="n"/>
      <c r="CV403" s="1491" t="n"/>
      <c r="CW403" s="1491" t="n"/>
      <c r="CX403" s="1491" t="n"/>
    </row>
    <row r="404">
      <c r="A404" s="1491" t="n"/>
      <c r="B404" s="1491" t="n"/>
      <c r="C404" s="1491" t="n"/>
      <c r="D404" s="1497">
        <f>IF(E404&lt;&gt;"",D403+1,D403)</f>
        <v/>
      </c>
      <c r="E404" s="1497" t="inlineStr">
        <is>
          <t>Pontenure</t>
        </is>
      </c>
      <c r="F404" s="1535" t="inlineStr">
        <is>
          <t>.</t>
        </is>
      </c>
      <c r="G404" s="1498">
        <f>IF(H404="AIR",0,IF(H403="AIR",G402+1,IF(H404&lt;&gt;"",G403+1,G403)))</f>
        <v/>
      </c>
      <c r="H404" s="1498" t="inlineStr">
        <is>
          <t>Mortara</t>
        </is>
      </c>
      <c r="I404" s="1427" t="inlineStr">
        <is>
          <t>.</t>
        </is>
      </c>
      <c r="J404" s="1499" t="n">
        <v>399</v>
      </c>
      <c r="K404" s="1500">
        <f>_xlfn.XLOOKUP(cities[[#This Row],[id]],$D$5:$D$1500,E$5:E$1500,"-")</f>
        <v/>
      </c>
      <c r="L404" s="1500">
        <f>_xlfn.XLOOKUP(cities[[#This Row],[city]],ccc[city],ccc[ctry],"-")</f>
        <v/>
      </c>
      <c r="M404" s="1500">
        <f>SUMIFS(stayCity[stay],stayCity[city],cities[[#This Row],[city]])</f>
        <v/>
      </c>
      <c r="N404" s="1427">
        <f>N403+1</f>
        <v/>
      </c>
      <c r="O404" s="1500" t="n"/>
      <c r="P404" s="1500" t="n"/>
      <c r="Q404" s="1427" t="inlineStr">
        <is>
          <t>.</t>
        </is>
      </c>
      <c r="R404" s="1491" t="n"/>
      <c r="S404" s="1491" t="n"/>
      <c r="T404" s="1491" t="n"/>
      <c r="U404" s="1491" t="n"/>
      <c r="V404" s="1491" t="n"/>
      <c r="W404" s="1491" t="n"/>
      <c r="X404" s="1491" t="n"/>
      <c r="Y404" s="1491" t="n"/>
      <c r="Z404" s="1491" t="n"/>
      <c r="AA404" s="1491" t="n"/>
      <c r="AB404" s="1491" t="n"/>
      <c r="AC404" s="1491" t="n"/>
      <c r="AD404" s="1491" t="n"/>
      <c r="AE404" s="1491" t="n"/>
      <c r="AF404" s="1491" t="n"/>
      <c r="AG404" s="1491" t="n"/>
      <c r="AH404" s="1491" t="n"/>
      <c r="AI404" s="1491" t="n"/>
      <c r="AJ404" s="1491" t="n"/>
      <c r="AK404" s="1491" t="n"/>
      <c r="AL404" s="1491" t="n"/>
      <c r="AM404" s="1491" t="n"/>
      <c r="AN404" s="1491" t="n"/>
      <c r="AO404" s="1491" t="n"/>
      <c r="AP404" s="1491" t="n"/>
      <c r="AQ404" s="1491" t="n"/>
      <c r="AR404" s="1491" t="n"/>
      <c r="AS404" s="1491" t="n"/>
      <c r="AT404" s="1491" t="n"/>
      <c r="AU404" s="1491" t="n"/>
      <c r="AV404" s="1491" t="n"/>
      <c r="AW404" s="1491" t="n"/>
      <c r="AX404" s="1491" t="n"/>
      <c r="AY404" s="1491" t="n"/>
      <c r="AZ404" s="1491" t="n"/>
      <c r="BA404" s="1491" t="n"/>
      <c r="BB404" s="1491" t="n"/>
      <c r="BC404" s="1491" t="n"/>
      <c r="BD404" s="1491" t="n"/>
      <c r="BE404" s="1491" t="n"/>
      <c r="BF404" s="1491" t="n"/>
      <c r="BG404" s="1491" t="n"/>
      <c r="BH404" s="1491" t="n"/>
      <c r="BI404" s="1491" t="n"/>
      <c r="BJ404" s="1491" t="n"/>
      <c r="BK404" s="1491" t="n"/>
      <c r="BL404" s="1491" t="n"/>
      <c r="BM404" s="1491" t="n"/>
      <c r="BN404" s="1491" t="n"/>
      <c r="BO404" s="1467" t="n"/>
      <c r="BP404" s="1514" t="n">
        <v>400</v>
      </c>
      <c r="BQ404" s="1513">
        <f>[1]Sheet1!C405</f>
        <v/>
      </c>
      <c r="BR404" s="1515">
        <f>[1]Sheet1!D405</f>
        <v/>
      </c>
      <c r="BS404" s="1513">
        <f>[1]Sheet1!E405</f>
        <v/>
      </c>
      <c r="BT404" s="1515">
        <f>[1]Sheet1!F405</f>
        <v/>
      </c>
      <c r="BU404" s="1516">
        <f>[1]Sheet1!G405</f>
        <v/>
      </c>
      <c r="BV404" s="1513">
        <f>[1]Sheet1!H405</f>
        <v/>
      </c>
      <c r="BW404" s="1467" t="n"/>
      <c r="BX404" s="1491" t="n"/>
      <c r="BY404" s="1491" t="n"/>
      <c r="BZ404" s="1491" t="n"/>
      <c r="CA404" s="1491" t="n"/>
      <c r="CB404" s="1467" t="n"/>
      <c r="CC404" s="1467" t="n"/>
      <c r="CD404" s="1491" t="n"/>
      <c r="CE404" s="1491" t="n"/>
      <c r="CF404" s="1491" t="n"/>
      <c r="CG404" s="1491" t="n"/>
      <c r="CH404" s="1491" t="n"/>
      <c r="CI404" s="1491" t="n"/>
      <c r="CJ404" s="1491" t="n"/>
      <c r="CK404" s="1491" t="n"/>
      <c r="CL404" s="1491" t="n"/>
      <c r="CM404" s="1491" t="n"/>
      <c r="CN404" s="1491" t="n"/>
      <c r="CO404" s="1491" t="n"/>
      <c r="CP404" s="1491" t="n"/>
      <c r="CQ404" s="1491" t="n"/>
      <c r="CR404" s="1491" t="n"/>
      <c r="CS404" s="1491" t="n"/>
      <c r="CT404" s="1491" t="n"/>
      <c r="CU404" s="1491" t="n"/>
      <c r="CV404" s="1491" t="n"/>
      <c r="CW404" s="1491" t="n"/>
      <c r="CX404" s="1491" t="n"/>
    </row>
    <row r="405">
      <c r="A405" s="1491" t="n"/>
      <c r="B405" s="1491" t="n"/>
      <c r="C405" s="1491" t="n"/>
      <c r="D405" s="1497">
        <f>IF(E405&lt;&gt;"",D404+1,D404)</f>
        <v/>
      </c>
      <c r="E405" s="1497" t="inlineStr">
        <is>
          <t>Fiorenzuola</t>
        </is>
      </c>
      <c r="F405" s="1535" t="inlineStr">
        <is>
          <t>.</t>
        </is>
      </c>
      <c r="G405" s="1498">
        <f>IF(H405="AIR",0,IF(H404="AIR",G403+1,IF(H405&lt;&gt;"",G404+1,G404)))</f>
        <v/>
      </c>
      <c r="H405" s="1498" t="inlineStr">
        <is>
          <t>Garlasco</t>
        </is>
      </c>
      <c r="I405" s="1427" t="inlineStr">
        <is>
          <t>.</t>
        </is>
      </c>
      <c r="J405" s="1499" t="n">
        <v>400</v>
      </c>
      <c r="K405" s="1500">
        <f>_xlfn.XLOOKUP(cities[[#This Row],[id]],$D$5:$D$1500,E$5:E$1500,"-")</f>
        <v/>
      </c>
      <c r="L405" s="1500">
        <f>_xlfn.XLOOKUP(cities[[#This Row],[city]],ccc[city],ccc[ctry],"-")</f>
        <v/>
      </c>
      <c r="M405" s="1500">
        <f>SUMIFS(stayCity[stay],stayCity[city],cities[[#This Row],[city]])</f>
        <v/>
      </c>
      <c r="N405" s="1427">
        <f>N404+1</f>
        <v/>
      </c>
      <c r="O405" s="1500" t="n"/>
      <c r="P405" s="1500" t="n"/>
      <c r="Q405" s="1427" t="inlineStr">
        <is>
          <t>.</t>
        </is>
      </c>
      <c r="R405" s="1491" t="n"/>
      <c r="S405" s="1491" t="n"/>
      <c r="T405" s="1491" t="n"/>
      <c r="U405" s="1491" t="n"/>
      <c r="V405" s="1491" t="n"/>
      <c r="W405" s="1491" t="n"/>
      <c r="X405" s="1491" t="n"/>
      <c r="Y405" s="1491" t="n"/>
      <c r="Z405" s="1491" t="n"/>
      <c r="AA405" s="1491" t="n"/>
      <c r="AB405" s="1491" t="n"/>
      <c r="AC405" s="1491" t="n"/>
      <c r="AD405" s="1491" t="n"/>
      <c r="AE405" s="1491" t="n"/>
      <c r="AF405" s="1491" t="n"/>
      <c r="AG405" s="1491" t="n"/>
      <c r="AH405" s="1491" t="n"/>
      <c r="AI405" s="1491" t="n"/>
      <c r="AJ405" s="1491" t="n"/>
      <c r="AK405" s="1491" t="n"/>
      <c r="AL405" s="1491" t="n"/>
      <c r="AM405" s="1491" t="n"/>
      <c r="AN405" s="1491" t="n"/>
      <c r="AO405" s="1491" t="n"/>
      <c r="AP405" s="1491" t="n"/>
      <c r="AQ405" s="1491" t="n"/>
      <c r="AR405" s="1491" t="n"/>
      <c r="AS405" s="1491" t="n"/>
      <c r="AT405" s="1491" t="n"/>
      <c r="AU405" s="1491" t="n"/>
      <c r="AV405" s="1491" t="n"/>
      <c r="AW405" s="1491" t="n"/>
      <c r="AX405" s="1491" t="n"/>
      <c r="AY405" s="1491" t="n"/>
      <c r="AZ405" s="1491" t="n"/>
      <c r="BA405" s="1491" t="n"/>
      <c r="BB405" s="1491" t="n"/>
      <c r="BC405" s="1491" t="n"/>
      <c r="BD405" s="1491" t="n"/>
      <c r="BE405" s="1491" t="n"/>
      <c r="BF405" s="1491" t="n"/>
      <c r="BG405" s="1491" t="n"/>
      <c r="BH405" s="1491" t="n"/>
      <c r="BI405" s="1491" t="n"/>
      <c r="BJ405" s="1491" t="n"/>
      <c r="BK405" s="1491" t="n"/>
      <c r="BL405" s="1491" t="n"/>
      <c r="BM405" s="1491" t="n"/>
      <c r="BN405" s="1491" t="n"/>
      <c r="BO405" s="1467" t="n"/>
      <c r="BP405" s="1514" t="n">
        <v>401</v>
      </c>
      <c r="BQ405" s="1513">
        <f>[1]Sheet1!C406</f>
        <v/>
      </c>
      <c r="BR405" s="1515">
        <f>[1]Sheet1!D406</f>
        <v/>
      </c>
      <c r="BS405" s="1513">
        <f>[1]Sheet1!E406</f>
        <v/>
      </c>
      <c r="BT405" s="1515">
        <f>[1]Sheet1!F406</f>
        <v/>
      </c>
      <c r="BU405" s="1516">
        <f>[1]Sheet1!G406</f>
        <v/>
      </c>
      <c r="BV405" s="1513">
        <f>[1]Sheet1!H406</f>
        <v/>
      </c>
      <c r="BW405" s="1467" t="n"/>
      <c r="BX405" s="1491" t="n"/>
      <c r="BY405" s="1491" t="n"/>
      <c r="BZ405" s="1491" t="n"/>
      <c r="CA405" s="1491" t="n"/>
      <c r="CB405" s="1467" t="n"/>
      <c r="CC405" s="1467" t="n"/>
      <c r="CD405" s="1491" t="n"/>
      <c r="CE405" s="1491" t="n"/>
      <c r="CF405" s="1491" t="n"/>
      <c r="CG405" s="1491" t="n"/>
      <c r="CH405" s="1491" t="n"/>
      <c r="CI405" s="1491" t="n"/>
      <c r="CJ405" s="1491" t="n"/>
      <c r="CK405" s="1491" t="n"/>
      <c r="CL405" s="1491" t="n"/>
      <c r="CM405" s="1491" t="n"/>
      <c r="CN405" s="1491" t="n"/>
      <c r="CO405" s="1491" t="n"/>
      <c r="CP405" s="1491" t="n"/>
      <c r="CQ405" s="1491" t="n"/>
      <c r="CR405" s="1491" t="n"/>
      <c r="CS405" s="1491" t="n"/>
      <c r="CT405" s="1491" t="n"/>
      <c r="CU405" s="1491" t="n"/>
      <c r="CV405" s="1491" t="n"/>
      <c r="CW405" s="1491" t="n"/>
      <c r="CX405" s="1491" t="n"/>
    </row>
    <row r="406">
      <c r="A406" s="1491" t="n"/>
      <c r="B406" s="1491" t="n"/>
      <c r="C406" s="1491" t="n"/>
      <c r="D406" s="1497">
        <f>IF(E406&lt;&gt;"",D405+1,D405)</f>
        <v/>
      </c>
      <c r="E406" s="1497" t="inlineStr">
        <is>
          <t>Fidenza</t>
        </is>
      </c>
      <c r="F406" s="1535" t="inlineStr">
        <is>
          <t>.</t>
        </is>
      </c>
      <c r="G406" s="1498">
        <f>IF(H406="AIR",0,IF(H405="AIR",G404+1,IF(H406&lt;&gt;"",G405+1,G405)))</f>
        <v/>
      </c>
      <c r="H406" s="1498" t="inlineStr">
        <is>
          <t>Pavia</t>
        </is>
      </c>
      <c r="I406" s="1427" t="inlineStr">
        <is>
          <t>.</t>
        </is>
      </c>
      <c r="J406" s="1499" t="n">
        <v>401</v>
      </c>
      <c r="K406" s="1500">
        <f>_xlfn.XLOOKUP(cities[[#This Row],[id]],$D$5:$D$1500,E$5:E$1500,"-")</f>
        <v/>
      </c>
      <c r="L406" s="1500">
        <f>_xlfn.XLOOKUP(cities[[#This Row],[city]],ccc[city],ccc[ctry],"-")</f>
        <v/>
      </c>
      <c r="M406" s="1500">
        <f>SUMIFS(stayCity[stay],stayCity[city],cities[[#This Row],[city]])</f>
        <v/>
      </c>
      <c r="N406" s="1427">
        <f>N405+1</f>
        <v/>
      </c>
      <c r="O406" s="1500" t="n"/>
      <c r="P406" s="1500" t="n"/>
      <c r="Q406" s="1427" t="inlineStr">
        <is>
          <t>.</t>
        </is>
      </c>
      <c r="R406" s="1491" t="n"/>
      <c r="S406" s="1491" t="n"/>
      <c r="T406" s="1491" t="n"/>
      <c r="U406" s="1491" t="n"/>
      <c r="V406" s="1491" t="n"/>
      <c r="W406" s="1491" t="n"/>
      <c r="X406" s="1491" t="n"/>
      <c r="Y406" s="1491" t="n"/>
      <c r="Z406" s="1491" t="n"/>
      <c r="AA406" s="1491" t="n"/>
      <c r="AB406" s="1491" t="n"/>
      <c r="AC406" s="1491" t="n"/>
      <c r="AD406" s="1491" t="n"/>
      <c r="AE406" s="1491" t="n"/>
      <c r="AF406" s="1491" t="n"/>
      <c r="AG406" s="1491" t="n"/>
      <c r="AH406" s="1491" t="n"/>
      <c r="AI406" s="1491" t="n"/>
      <c r="AJ406" s="1491" t="n"/>
      <c r="AK406" s="1491" t="n"/>
      <c r="AL406" s="1491" t="n"/>
      <c r="AM406" s="1491" t="n"/>
      <c r="AN406" s="1491" t="n"/>
      <c r="AO406" s="1491" t="n"/>
      <c r="AP406" s="1491" t="n"/>
      <c r="AQ406" s="1491" t="n"/>
      <c r="AR406" s="1491" t="n"/>
      <c r="AS406" s="1491" t="n"/>
      <c r="AT406" s="1491" t="n"/>
      <c r="AU406" s="1491" t="n"/>
      <c r="AV406" s="1491" t="n"/>
      <c r="AW406" s="1491" t="n"/>
      <c r="AX406" s="1491" t="n"/>
      <c r="AY406" s="1491" t="n"/>
      <c r="AZ406" s="1491" t="n"/>
      <c r="BA406" s="1491" t="n"/>
      <c r="BB406" s="1491" t="n"/>
      <c r="BC406" s="1491" t="n"/>
      <c r="BD406" s="1491" t="n"/>
      <c r="BE406" s="1491" t="n"/>
      <c r="BF406" s="1491" t="n"/>
      <c r="BG406" s="1491" t="n"/>
      <c r="BH406" s="1491" t="n"/>
      <c r="BI406" s="1491" t="n"/>
      <c r="BJ406" s="1491" t="n"/>
      <c r="BK406" s="1491" t="n"/>
      <c r="BL406" s="1491" t="n"/>
      <c r="BM406" s="1491" t="n"/>
      <c r="BN406" s="1491" t="n"/>
      <c r="BO406" s="1467" t="n"/>
      <c r="BP406" s="1514" t="n">
        <v>402</v>
      </c>
      <c r="BQ406" s="1513">
        <f>[1]Sheet1!C407</f>
        <v/>
      </c>
      <c r="BR406" s="1515">
        <f>[1]Sheet1!D407</f>
        <v/>
      </c>
      <c r="BS406" s="1513">
        <f>[1]Sheet1!E407</f>
        <v/>
      </c>
      <c r="BT406" s="1515">
        <f>[1]Sheet1!F407</f>
        <v/>
      </c>
      <c r="BU406" s="1516">
        <f>[1]Sheet1!G407</f>
        <v/>
      </c>
      <c r="BV406" s="1513">
        <f>[1]Sheet1!H407</f>
        <v/>
      </c>
      <c r="BW406" s="1467" t="n"/>
      <c r="BX406" s="1491" t="n"/>
      <c r="BY406" s="1491" t="n"/>
      <c r="BZ406" s="1491" t="n"/>
      <c r="CA406" s="1491" t="n"/>
      <c r="CB406" s="1467" t="n"/>
      <c r="CC406" s="1467" t="n"/>
      <c r="CD406" s="1491" t="n"/>
      <c r="CE406" s="1491" t="n"/>
      <c r="CF406" s="1491" t="n"/>
      <c r="CG406" s="1491" t="n"/>
      <c r="CH406" s="1491" t="n"/>
      <c r="CI406" s="1491" t="n"/>
      <c r="CJ406" s="1491" t="n"/>
      <c r="CK406" s="1491" t="n"/>
      <c r="CL406" s="1491" t="n"/>
      <c r="CM406" s="1491" t="n"/>
      <c r="CN406" s="1491" t="n"/>
      <c r="CO406" s="1491" t="n"/>
      <c r="CP406" s="1491" t="n"/>
      <c r="CQ406" s="1491" t="n"/>
      <c r="CR406" s="1491" t="n"/>
      <c r="CS406" s="1491" t="n"/>
      <c r="CT406" s="1491" t="n"/>
      <c r="CU406" s="1491" t="n"/>
      <c r="CV406" s="1491" t="n"/>
      <c r="CW406" s="1491" t="n"/>
      <c r="CX406" s="1491" t="n"/>
    </row>
    <row r="407">
      <c r="A407" s="1491" t="n"/>
      <c r="B407" s="1491" t="n"/>
      <c r="C407" s="1491" t="n"/>
      <c r="D407" s="1497">
        <f>IF(E407&lt;&gt;"",D406+1,D406)</f>
        <v/>
      </c>
      <c r="E407" s="1497" t="inlineStr">
        <is>
          <t>Costamezzana</t>
        </is>
      </c>
      <c r="F407" s="1535" t="inlineStr">
        <is>
          <t>.</t>
        </is>
      </c>
      <c r="G407" s="1498">
        <f>IF(H407="AIR",0,IF(H406="AIR",G405+1,IF(H407&lt;&gt;"",G406+1,G406)))</f>
        <v/>
      </c>
      <c r="H407" s="1498" t="inlineStr">
        <is>
          <t>Santa Cristina</t>
        </is>
      </c>
      <c r="I407" s="1427" t="inlineStr">
        <is>
          <t>.</t>
        </is>
      </c>
      <c r="J407" s="1499" t="n">
        <v>402</v>
      </c>
      <c r="K407" s="1500">
        <f>_xlfn.XLOOKUP(cities[[#This Row],[id]],$D$5:$D$1500,E$5:E$1500,"-")</f>
        <v/>
      </c>
      <c r="L407" s="1500">
        <f>_xlfn.XLOOKUP(cities[[#This Row],[city]],ccc[city],ccc[ctry],"-")</f>
        <v/>
      </c>
      <c r="M407" s="1500">
        <f>SUMIFS(stayCity[stay],stayCity[city],cities[[#This Row],[city]])</f>
        <v/>
      </c>
      <c r="N407" s="1427">
        <f>N406+1</f>
        <v/>
      </c>
      <c r="O407" s="1500" t="n"/>
      <c r="P407" s="1500" t="n"/>
      <c r="Q407" s="1427" t="inlineStr">
        <is>
          <t>.</t>
        </is>
      </c>
      <c r="R407" s="1491" t="n"/>
      <c r="S407" s="1491" t="n"/>
      <c r="T407" s="1491" t="n"/>
      <c r="U407" s="1491" t="n"/>
      <c r="V407" s="1491" t="n"/>
      <c r="W407" s="1491" t="n"/>
      <c r="X407" s="1491" t="n"/>
      <c r="Y407" s="1491" t="n"/>
      <c r="Z407" s="1491" t="n"/>
      <c r="AA407" s="1491" t="n"/>
      <c r="AB407" s="1491" t="n"/>
      <c r="AC407" s="1491" t="n"/>
      <c r="AD407" s="1491" t="n"/>
      <c r="AE407" s="1491" t="n"/>
      <c r="AF407" s="1491" t="n"/>
      <c r="AG407" s="1491" t="n"/>
      <c r="AH407" s="1491" t="n"/>
      <c r="AI407" s="1491" t="n"/>
      <c r="AJ407" s="1491" t="n"/>
      <c r="AK407" s="1491" t="n"/>
      <c r="AL407" s="1491" t="n"/>
      <c r="AM407" s="1491" t="n"/>
      <c r="AN407" s="1491" t="n"/>
      <c r="AO407" s="1491" t="n"/>
      <c r="AP407" s="1491" t="n"/>
      <c r="AQ407" s="1491" t="n"/>
      <c r="AR407" s="1491" t="n"/>
      <c r="AS407" s="1491" t="n"/>
      <c r="AT407" s="1491" t="n"/>
      <c r="AU407" s="1491" t="n"/>
      <c r="AV407" s="1491" t="n"/>
      <c r="AW407" s="1491" t="n"/>
      <c r="AX407" s="1491" t="n"/>
      <c r="AY407" s="1491" t="n"/>
      <c r="AZ407" s="1491" t="n"/>
      <c r="BA407" s="1491" t="n"/>
      <c r="BB407" s="1491" t="n"/>
      <c r="BC407" s="1491" t="n"/>
      <c r="BD407" s="1491" t="n"/>
      <c r="BE407" s="1491" t="n"/>
      <c r="BF407" s="1491" t="n"/>
      <c r="BG407" s="1491" t="n"/>
      <c r="BH407" s="1491" t="n"/>
      <c r="BI407" s="1491" t="n"/>
      <c r="BJ407" s="1491" t="n"/>
      <c r="BK407" s="1491" t="n"/>
      <c r="BL407" s="1491" t="n"/>
      <c r="BM407" s="1491" t="n"/>
      <c r="BN407" s="1491" t="n"/>
      <c r="BO407" s="1467" t="n"/>
      <c r="BP407" s="1514" t="n">
        <v>403</v>
      </c>
      <c r="BQ407" s="1513">
        <f>[1]Sheet1!C408</f>
        <v/>
      </c>
      <c r="BR407" s="1515">
        <f>[1]Sheet1!D408</f>
        <v/>
      </c>
      <c r="BS407" s="1513">
        <f>[1]Sheet1!E408</f>
        <v/>
      </c>
      <c r="BT407" s="1515">
        <f>[1]Sheet1!F408</f>
        <v/>
      </c>
      <c r="BU407" s="1516">
        <f>[1]Sheet1!G408</f>
        <v/>
      </c>
      <c r="BV407" s="1513">
        <f>[1]Sheet1!H408</f>
        <v/>
      </c>
      <c r="BW407" s="1467" t="n"/>
      <c r="BX407" s="1491" t="n"/>
      <c r="BY407" s="1491" t="n"/>
      <c r="BZ407" s="1491" t="n"/>
      <c r="CA407" s="1491" t="n"/>
      <c r="CB407" s="1467" t="n"/>
      <c r="CC407" s="1467" t="n"/>
      <c r="CD407" s="1491" t="n"/>
      <c r="CE407" s="1491" t="n"/>
      <c r="CF407" s="1491" t="n"/>
      <c r="CG407" s="1491" t="n"/>
      <c r="CH407" s="1491" t="n"/>
      <c r="CI407" s="1491" t="n"/>
      <c r="CJ407" s="1491" t="n"/>
      <c r="CK407" s="1491" t="n"/>
      <c r="CL407" s="1491" t="n"/>
      <c r="CM407" s="1491" t="n"/>
      <c r="CN407" s="1491" t="n"/>
      <c r="CO407" s="1491" t="n"/>
      <c r="CP407" s="1491" t="n"/>
      <c r="CQ407" s="1491" t="n"/>
      <c r="CR407" s="1491" t="n"/>
      <c r="CS407" s="1491" t="n"/>
      <c r="CT407" s="1491" t="n"/>
      <c r="CU407" s="1491" t="n"/>
      <c r="CV407" s="1491" t="n"/>
      <c r="CW407" s="1491" t="n"/>
      <c r="CX407" s="1491" t="n"/>
    </row>
    <row r="408">
      <c r="A408" s="1491" t="n"/>
      <c r="B408" s="1491" t="n"/>
      <c r="C408" s="1491" t="n"/>
      <c r="D408" s="1497">
        <f>IF(E408&lt;&gt;"",D407+1,D407)</f>
        <v/>
      </c>
      <c r="E408" s="1497" t="inlineStr">
        <is>
          <t>Medesano</t>
        </is>
      </c>
      <c r="F408" s="1535" t="inlineStr">
        <is>
          <t>.</t>
        </is>
      </c>
      <c r="G408" s="1498">
        <f>IF(H408="AIR",0,IF(H407="AIR",G406+1,IF(H408&lt;&gt;"",G407+1,G407)))</f>
        <v/>
      </c>
      <c r="H408" s="1498" t="inlineStr">
        <is>
          <t>Orio Litta</t>
        </is>
      </c>
      <c r="I408" s="1427" t="inlineStr">
        <is>
          <t>.</t>
        </is>
      </c>
      <c r="J408" s="1499" t="n">
        <v>403</v>
      </c>
      <c r="K408" s="1500">
        <f>_xlfn.XLOOKUP(cities[[#This Row],[id]],$D$5:$D$1500,E$5:E$1500,"-")</f>
        <v/>
      </c>
      <c r="L408" s="1500">
        <f>_xlfn.XLOOKUP(cities[[#This Row],[city]],ccc[city],ccc[ctry],"-")</f>
        <v/>
      </c>
      <c r="M408" s="1500">
        <f>SUMIFS(stayCity[stay],stayCity[city],cities[[#This Row],[city]])</f>
        <v/>
      </c>
      <c r="N408" s="1427">
        <f>N407+1</f>
        <v/>
      </c>
      <c r="O408" s="1500" t="n"/>
      <c r="P408" s="1500" t="n"/>
      <c r="Q408" s="1427" t="inlineStr">
        <is>
          <t>.</t>
        </is>
      </c>
      <c r="R408" s="1491" t="n"/>
      <c r="S408" s="1491" t="n"/>
      <c r="T408" s="1491" t="n"/>
      <c r="U408" s="1491" t="n"/>
      <c r="V408" s="1491" t="n"/>
      <c r="W408" s="1491" t="n"/>
      <c r="X408" s="1491" t="n"/>
      <c r="Y408" s="1491" t="n"/>
      <c r="Z408" s="1491" t="n"/>
      <c r="AA408" s="1491" t="n"/>
      <c r="AB408" s="1491" t="n"/>
      <c r="AC408" s="1491" t="n"/>
      <c r="AD408" s="1491" t="n"/>
      <c r="AE408" s="1491" t="n"/>
      <c r="AF408" s="1491" t="n"/>
      <c r="AG408" s="1491" t="n"/>
      <c r="AH408" s="1491" t="n"/>
      <c r="AI408" s="1491" t="n"/>
      <c r="AJ408" s="1491" t="n"/>
      <c r="AK408" s="1491" t="n"/>
      <c r="AL408" s="1491" t="n"/>
      <c r="AM408" s="1491" t="n"/>
      <c r="AN408" s="1491" t="n"/>
      <c r="AO408" s="1491" t="n"/>
      <c r="AP408" s="1491" t="n"/>
      <c r="AQ408" s="1491" t="n"/>
      <c r="AR408" s="1491" t="n"/>
      <c r="AS408" s="1491" t="n"/>
      <c r="AT408" s="1491" t="n"/>
      <c r="AU408" s="1491" t="n"/>
      <c r="AV408" s="1491" t="n"/>
      <c r="AW408" s="1491" t="n"/>
      <c r="AX408" s="1491" t="n"/>
      <c r="AY408" s="1491" t="n"/>
      <c r="AZ408" s="1491" t="n"/>
      <c r="BA408" s="1491" t="n"/>
      <c r="BB408" s="1491" t="n"/>
      <c r="BC408" s="1491" t="n"/>
      <c r="BD408" s="1491" t="n"/>
      <c r="BE408" s="1491" t="n"/>
      <c r="BF408" s="1491" t="n"/>
      <c r="BG408" s="1491" t="n"/>
      <c r="BH408" s="1491" t="n"/>
      <c r="BI408" s="1491" t="n"/>
      <c r="BJ408" s="1491" t="n"/>
      <c r="BK408" s="1491" t="n"/>
      <c r="BL408" s="1491" t="n"/>
      <c r="BM408" s="1491" t="n"/>
      <c r="BN408" s="1491" t="n"/>
      <c r="BO408" s="1467" t="n"/>
      <c r="BP408" s="1514" t="n">
        <v>404</v>
      </c>
      <c r="BQ408" s="1513">
        <f>[1]Sheet1!C409</f>
        <v/>
      </c>
      <c r="BR408" s="1515">
        <f>[1]Sheet1!D409</f>
        <v/>
      </c>
      <c r="BS408" s="1513">
        <f>[1]Sheet1!E409</f>
        <v/>
      </c>
      <c r="BT408" s="1515">
        <f>[1]Sheet1!F409</f>
        <v/>
      </c>
      <c r="BU408" s="1516">
        <f>[1]Sheet1!G409</f>
        <v/>
      </c>
      <c r="BV408" s="1513">
        <f>[1]Sheet1!H409</f>
        <v/>
      </c>
      <c r="BW408" s="1467" t="n"/>
      <c r="BX408" s="1491" t="n"/>
      <c r="BY408" s="1491" t="n"/>
      <c r="BZ408" s="1491" t="n"/>
      <c r="CA408" s="1491" t="n"/>
      <c r="CB408" s="1467" t="n"/>
      <c r="CC408" s="1467" t="n"/>
      <c r="CD408" s="1491" t="n"/>
      <c r="CE408" s="1491" t="n"/>
      <c r="CF408" s="1491" t="n"/>
      <c r="CG408" s="1491" t="n"/>
      <c r="CH408" s="1491" t="n"/>
      <c r="CI408" s="1491" t="n"/>
      <c r="CJ408" s="1491" t="n"/>
      <c r="CK408" s="1491" t="n"/>
      <c r="CL408" s="1491" t="n"/>
      <c r="CM408" s="1491" t="n"/>
      <c r="CN408" s="1491" t="n"/>
      <c r="CO408" s="1491" t="n"/>
      <c r="CP408" s="1491" t="n"/>
      <c r="CQ408" s="1491" t="n"/>
      <c r="CR408" s="1491" t="n"/>
      <c r="CS408" s="1491" t="n"/>
      <c r="CT408" s="1491" t="n"/>
      <c r="CU408" s="1491" t="n"/>
      <c r="CV408" s="1491" t="n"/>
      <c r="CW408" s="1491" t="n"/>
      <c r="CX408" s="1491" t="n"/>
    </row>
    <row r="409">
      <c r="A409" s="1491" t="n"/>
      <c r="B409" s="1491" t="n"/>
      <c r="C409" s="1491" t="n"/>
      <c r="D409" s="1497">
        <f>IF(E409&lt;&gt;"",D408+1,D408)</f>
        <v/>
      </c>
      <c r="E409" s="1497" t="inlineStr">
        <is>
          <t>Fornovo di Taro</t>
        </is>
      </c>
      <c r="F409" s="1535" t="inlineStr">
        <is>
          <t>.</t>
        </is>
      </c>
      <c r="G409" s="1498">
        <f>IF(H409="AIR",0,IF(H408="AIR",G407+1,IF(H409&lt;&gt;"",G408+1,G408)))</f>
        <v/>
      </c>
      <c r="H409" s="1498" t="inlineStr">
        <is>
          <t>Vilarejo vizinho</t>
        </is>
      </c>
      <c r="I409" s="1427" t="inlineStr">
        <is>
          <t>.</t>
        </is>
      </c>
      <c r="J409" s="1499" t="n">
        <v>404</v>
      </c>
      <c r="K409" s="1500">
        <f>_xlfn.XLOOKUP(cities[[#This Row],[id]],$D$5:$D$1500,E$5:E$1500,"-")</f>
        <v/>
      </c>
      <c r="L409" s="1500">
        <f>_xlfn.XLOOKUP(cities[[#This Row],[city]],ccc[city],ccc[ctry],"-")</f>
        <v/>
      </c>
      <c r="M409" s="1500">
        <f>SUMIFS(stayCity[stay],stayCity[city],cities[[#This Row],[city]])</f>
        <v/>
      </c>
      <c r="N409" s="1427">
        <f>N408+1</f>
        <v/>
      </c>
      <c r="O409" s="1500" t="n"/>
      <c r="P409" s="1500" t="n"/>
      <c r="Q409" s="1427" t="inlineStr">
        <is>
          <t>.</t>
        </is>
      </c>
      <c r="R409" s="1491" t="n"/>
      <c r="S409" s="1491" t="n"/>
      <c r="T409" s="1491" t="n"/>
      <c r="U409" s="1491" t="n"/>
      <c r="V409" s="1491" t="n"/>
      <c r="W409" s="1491" t="n"/>
      <c r="X409" s="1491" t="n"/>
      <c r="Y409" s="1491" t="n"/>
      <c r="Z409" s="1491" t="n"/>
      <c r="AA409" s="1491" t="n"/>
      <c r="AB409" s="1491" t="n"/>
      <c r="AC409" s="1491" t="n"/>
      <c r="AD409" s="1491" t="n"/>
      <c r="AE409" s="1491" t="n"/>
      <c r="AF409" s="1491" t="n"/>
      <c r="AG409" s="1491" t="n"/>
      <c r="AH409" s="1491" t="n"/>
      <c r="AI409" s="1491" t="n"/>
      <c r="AJ409" s="1491" t="n"/>
      <c r="AK409" s="1491" t="n"/>
      <c r="AL409" s="1491" t="n"/>
      <c r="AM409" s="1491" t="n"/>
      <c r="AN409" s="1491" t="n"/>
      <c r="AO409" s="1491" t="n"/>
      <c r="AP409" s="1491" t="n"/>
      <c r="AQ409" s="1491" t="n"/>
      <c r="AR409" s="1491" t="n"/>
      <c r="AS409" s="1491" t="n"/>
      <c r="AT409" s="1491" t="n"/>
      <c r="AU409" s="1491" t="n"/>
      <c r="AV409" s="1491" t="n"/>
      <c r="AW409" s="1491" t="n"/>
      <c r="AX409" s="1491" t="n"/>
      <c r="AY409" s="1491" t="n"/>
      <c r="AZ409" s="1491" t="n"/>
      <c r="BA409" s="1491" t="n"/>
      <c r="BB409" s="1491" t="n"/>
      <c r="BC409" s="1491" t="n"/>
      <c r="BD409" s="1491" t="n"/>
      <c r="BE409" s="1491" t="n"/>
      <c r="BF409" s="1491" t="n"/>
      <c r="BG409" s="1491" t="n"/>
      <c r="BH409" s="1491" t="n"/>
      <c r="BI409" s="1491" t="n"/>
      <c r="BJ409" s="1491" t="n"/>
      <c r="BK409" s="1491" t="n"/>
      <c r="BL409" s="1491" t="n"/>
      <c r="BM409" s="1491" t="n"/>
      <c r="BN409" s="1491" t="n"/>
      <c r="BO409" s="1467" t="n"/>
      <c r="BP409" s="1514" t="n">
        <v>405</v>
      </c>
      <c r="BQ409" s="1513">
        <f>[1]Sheet1!C410</f>
        <v/>
      </c>
      <c r="BR409" s="1515">
        <f>[1]Sheet1!D410</f>
        <v/>
      </c>
      <c r="BS409" s="1513">
        <f>[1]Sheet1!E410</f>
        <v/>
      </c>
      <c r="BT409" s="1515">
        <f>[1]Sheet1!F410</f>
        <v/>
      </c>
      <c r="BU409" s="1516">
        <f>[1]Sheet1!G410</f>
        <v/>
      </c>
      <c r="BV409" s="1513">
        <f>[1]Sheet1!H410</f>
        <v/>
      </c>
      <c r="BW409" s="1467" t="n"/>
      <c r="BX409" s="1491" t="n"/>
      <c r="BY409" s="1491" t="n"/>
      <c r="BZ409" s="1491" t="n"/>
      <c r="CA409" s="1491" t="n"/>
      <c r="CB409" s="1467" t="n"/>
      <c r="CC409" s="1467" t="n"/>
      <c r="CD409" s="1491" t="n"/>
      <c r="CE409" s="1491" t="n"/>
      <c r="CF409" s="1491" t="n"/>
      <c r="CG409" s="1491" t="n"/>
      <c r="CH409" s="1491" t="n"/>
      <c r="CI409" s="1491" t="n"/>
      <c r="CJ409" s="1491" t="n"/>
      <c r="CK409" s="1491" t="n"/>
      <c r="CL409" s="1491" t="n"/>
      <c r="CM409" s="1491" t="n"/>
      <c r="CN409" s="1491" t="n"/>
      <c r="CO409" s="1491" t="n"/>
      <c r="CP409" s="1491" t="n"/>
      <c r="CQ409" s="1491" t="n"/>
      <c r="CR409" s="1491" t="n"/>
      <c r="CS409" s="1491" t="n"/>
      <c r="CT409" s="1491" t="n"/>
      <c r="CU409" s="1491" t="n"/>
      <c r="CV409" s="1491" t="n"/>
      <c r="CW409" s="1491" t="n"/>
      <c r="CX409" s="1491" t="n"/>
    </row>
    <row r="410">
      <c r="A410" s="1491" t="n"/>
      <c r="B410" s="1491" t="n"/>
      <c r="C410" s="1491" t="n"/>
      <c r="D410" s="1497">
        <f>IF(E410&lt;&gt;"",D409+1,D409)</f>
        <v/>
      </c>
      <c r="E410" s="1497" t="inlineStr">
        <is>
          <t>Cassio</t>
        </is>
      </c>
      <c r="F410" s="1535" t="inlineStr">
        <is>
          <t>.</t>
        </is>
      </c>
      <c r="G410" s="1498">
        <f>IF(H410="AIR",0,IF(H409="AIR",G408+1,IF(H410&lt;&gt;"",G409+1,G409)))</f>
        <v/>
      </c>
      <c r="H410" s="1498" t="inlineStr">
        <is>
          <t>Senna Lodigiana</t>
        </is>
      </c>
      <c r="I410" s="1427" t="inlineStr">
        <is>
          <t>.</t>
        </is>
      </c>
      <c r="J410" s="1499" t="n">
        <v>405</v>
      </c>
      <c r="K410" s="1500">
        <f>_xlfn.XLOOKUP(cities[[#This Row],[id]],$D$5:$D$1500,E$5:E$1500,"-")</f>
        <v/>
      </c>
      <c r="L410" s="1500">
        <f>_xlfn.XLOOKUP(cities[[#This Row],[city]],ccc[city],ccc[ctry],"-")</f>
        <v/>
      </c>
      <c r="M410" s="1500">
        <f>SUMIFS(stayCity[stay],stayCity[city],cities[[#This Row],[city]])</f>
        <v/>
      </c>
      <c r="N410" s="1427">
        <f>N409+1</f>
        <v/>
      </c>
      <c r="O410" s="1500" t="n"/>
      <c r="P410" s="1500" t="n"/>
      <c r="Q410" s="1427" t="inlineStr">
        <is>
          <t>.</t>
        </is>
      </c>
      <c r="R410" s="1491" t="n"/>
      <c r="S410" s="1491" t="n"/>
      <c r="T410" s="1491" t="n"/>
      <c r="U410" s="1491" t="n"/>
      <c r="V410" s="1491" t="n"/>
      <c r="W410" s="1491" t="n"/>
      <c r="X410" s="1491" t="n"/>
      <c r="Y410" s="1491" t="n"/>
      <c r="Z410" s="1491" t="n"/>
      <c r="AA410" s="1491" t="n"/>
      <c r="AB410" s="1491" t="n"/>
      <c r="AC410" s="1491" t="n"/>
      <c r="AD410" s="1491" t="n"/>
      <c r="AE410" s="1491" t="n"/>
      <c r="AF410" s="1491" t="n"/>
      <c r="AG410" s="1491" t="n"/>
      <c r="AH410" s="1491" t="n"/>
      <c r="AI410" s="1491" t="n"/>
      <c r="AJ410" s="1491" t="n"/>
      <c r="AK410" s="1491" t="n"/>
      <c r="AL410" s="1491" t="n"/>
      <c r="AM410" s="1491" t="n"/>
      <c r="AN410" s="1491" t="n"/>
      <c r="AO410" s="1491" t="n"/>
      <c r="AP410" s="1491" t="n"/>
      <c r="AQ410" s="1491" t="n"/>
      <c r="AR410" s="1491" t="n"/>
      <c r="AS410" s="1491" t="n"/>
      <c r="AT410" s="1491" t="n"/>
      <c r="AU410" s="1491" t="n"/>
      <c r="AV410" s="1491" t="n"/>
      <c r="AW410" s="1491" t="n"/>
      <c r="AX410" s="1491" t="n"/>
      <c r="AY410" s="1491" t="n"/>
      <c r="AZ410" s="1491" t="n"/>
      <c r="BA410" s="1491" t="n"/>
      <c r="BB410" s="1491" t="n"/>
      <c r="BC410" s="1491" t="n"/>
      <c r="BD410" s="1491" t="n"/>
      <c r="BE410" s="1491" t="n"/>
      <c r="BF410" s="1491" t="n"/>
      <c r="BG410" s="1491" t="n"/>
      <c r="BH410" s="1491" t="n"/>
      <c r="BI410" s="1491" t="n"/>
      <c r="BJ410" s="1491" t="n"/>
      <c r="BK410" s="1491" t="n"/>
      <c r="BL410" s="1491" t="n"/>
      <c r="BM410" s="1491" t="n"/>
      <c r="BN410" s="1491" t="n"/>
      <c r="BO410" s="1467" t="n"/>
      <c r="BP410" s="1514" t="n">
        <v>406</v>
      </c>
      <c r="BQ410" s="1513">
        <f>[1]Sheet1!C411</f>
        <v/>
      </c>
      <c r="BR410" s="1515">
        <f>[1]Sheet1!D411</f>
        <v/>
      </c>
      <c r="BS410" s="1513">
        <f>[1]Sheet1!E411</f>
        <v/>
      </c>
      <c r="BT410" s="1515">
        <f>[1]Sheet1!F411</f>
        <v/>
      </c>
      <c r="BU410" s="1516">
        <f>[1]Sheet1!G411</f>
        <v/>
      </c>
      <c r="BV410" s="1513">
        <f>[1]Sheet1!H411</f>
        <v/>
      </c>
      <c r="BW410" s="1467" t="n"/>
      <c r="BX410" s="1491" t="n"/>
      <c r="BY410" s="1491" t="n"/>
      <c r="BZ410" s="1491" t="n"/>
      <c r="CA410" s="1491" t="n"/>
      <c r="CB410" s="1467" t="n"/>
      <c r="CC410" s="1467" t="n"/>
      <c r="CD410" s="1491" t="n"/>
      <c r="CE410" s="1491" t="n"/>
      <c r="CF410" s="1491" t="n"/>
      <c r="CG410" s="1491" t="n"/>
      <c r="CH410" s="1491" t="n"/>
      <c r="CI410" s="1491" t="n"/>
      <c r="CJ410" s="1491" t="n"/>
      <c r="CK410" s="1491" t="n"/>
      <c r="CL410" s="1491" t="n"/>
      <c r="CM410" s="1491" t="n"/>
      <c r="CN410" s="1491" t="n"/>
      <c r="CO410" s="1491" t="n"/>
      <c r="CP410" s="1491" t="n"/>
      <c r="CQ410" s="1491" t="n"/>
      <c r="CR410" s="1491" t="n"/>
      <c r="CS410" s="1491" t="n"/>
      <c r="CT410" s="1491" t="n"/>
      <c r="CU410" s="1491" t="n"/>
      <c r="CV410" s="1491" t="n"/>
      <c r="CW410" s="1491" t="n"/>
      <c r="CX410" s="1491" t="n"/>
    </row>
    <row r="411">
      <c r="A411" s="1491" t="n"/>
      <c r="B411" s="1491" t="n"/>
      <c r="C411" s="1491" t="n"/>
      <c r="D411" s="1497">
        <f>IF(E411&lt;&gt;"",D410+1,D410)</f>
        <v/>
      </c>
      <c r="E411" s="1497" t="inlineStr">
        <is>
          <t>Bercetto</t>
        </is>
      </c>
      <c r="F411" s="1535" t="inlineStr">
        <is>
          <t>.</t>
        </is>
      </c>
      <c r="G411" s="1498">
        <f>IF(H411="AIR",0,IF(H410="AIR",G409+1,IF(H411&lt;&gt;"",G410+1,G410)))</f>
        <v/>
      </c>
      <c r="H411" s="1498" t="inlineStr">
        <is>
          <t>Piacenza</t>
        </is>
      </c>
      <c r="I411" s="1427" t="inlineStr">
        <is>
          <t>.</t>
        </is>
      </c>
      <c r="J411" s="1499" t="n">
        <v>406</v>
      </c>
      <c r="K411" s="1500">
        <f>_xlfn.XLOOKUP(cities[[#This Row],[id]],$D$5:$D$1500,E$5:E$1500,"-")</f>
        <v/>
      </c>
      <c r="L411" s="1500">
        <f>_xlfn.XLOOKUP(cities[[#This Row],[city]],ccc[city],ccc[ctry],"-")</f>
        <v/>
      </c>
      <c r="M411" s="1500">
        <f>SUMIFS(stayCity[stay],stayCity[city],cities[[#This Row],[city]])</f>
        <v/>
      </c>
      <c r="N411" s="1427">
        <f>N410+1</f>
        <v/>
      </c>
      <c r="O411" s="1500" t="n"/>
      <c r="P411" s="1500" t="n"/>
      <c r="Q411" s="1427" t="inlineStr">
        <is>
          <t>.</t>
        </is>
      </c>
      <c r="R411" s="1491" t="n"/>
      <c r="S411" s="1491" t="n"/>
      <c r="T411" s="1491" t="n"/>
      <c r="U411" s="1491" t="n"/>
      <c r="V411" s="1491" t="n"/>
      <c r="W411" s="1491" t="n"/>
      <c r="X411" s="1491" t="n"/>
      <c r="Y411" s="1491" t="n"/>
      <c r="Z411" s="1491" t="n"/>
      <c r="AA411" s="1491" t="n"/>
      <c r="AB411" s="1491" t="n"/>
      <c r="AC411" s="1491" t="n"/>
      <c r="AD411" s="1491" t="n"/>
      <c r="AE411" s="1491" t="n"/>
      <c r="AF411" s="1491" t="n"/>
      <c r="AG411" s="1491" t="n"/>
      <c r="AH411" s="1491" t="n"/>
      <c r="AI411" s="1491" t="n"/>
      <c r="AJ411" s="1491" t="n"/>
      <c r="AK411" s="1491" t="n"/>
      <c r="AL411" s="1491" t="n"/>
      <c r="AM411" s="1491" t="n"/>
      <c r="AN411" s="1491" t="n"/>
      <c r="AO411" s="1491" t="n"/>
      <c r="AP411" s="1491" t="n"/>
      <c r="AQ411" s="1491" t="n"/>
      <c r="AR411" s="1491" t="n"/>
      <c r="AS411" s="1491" t="n"/>
      <c r="AT411" s="1491" t="n"/>
      <c r="AU411" s="1491" t="n"/>
      <c r="AV411" s="1491" t="n"/>
      <c r="AW411" s="1491" t="n"/>
      <c r="AX411" s="1491" t="n"/>
      <c r="AY411" s="1491" t="n"/>
      <c r="AZ411" s="1491" t="n"/>
      <c r="BA411" s="1491" t="n"/>
      <c r="BB411" s="1491" t="n"/>
      <c r="BC411" s="1491" t="n"/>
      <c r="BD411" s="1491" t="n"/>
      <c r="BE411" s="1491" t="n"/>
      <c r="BF411" s="1491" t="n"/>
      <c r="BG411" s="1491" t="n"/>
      <c r="BH411" s="1491" t="n"/>
      <c r="BI411" s="1491" t="n"/>
      <c r="BJ411" s="1491" t="n"/>
      <c r="BK411" s="1491" t="n"/>
      <c r="BL411" s="1491" t="n"/>
      <c r="BM411" s="1491" t="n"/>
      <c r="BN411" s="1491" t="n"/>
      <c r="BO411" s="1467" t="n"/>
      <c r="BP411" s="1514" t="n">
        <v>407</v>
      </c>
      <c r="BQ411" s="1513">
        <f>[1]Sheet1!C412</f>
        <v/>
      </c>
      <c r="BR411" s="1515">
        <f>[1]Sheet1!D412</f>
        <v/>
      </c>
      <c r="BS411" s="1513">
        <f>[1]Sheet1!E412</f>
        <v/>
      </c>
      <c r="BT411" s="1515">
        <f>[1]Sheet1!F412</f>
        <v/>
      </c>
      <c r="BU411" s="1516">
        <f>[1]Sheet1!G412</f>
        <v/>
      </c>
      <c r="BV411" s="1513">
        <f>[1]Sheet1!H412</f>
        <v/>
      </c>
      <c r="BW411" s="1467" t="n"/>
      <c r="BX411" s="1491" t="n"/>
      <c r="BY411" s="1491" t="n"/>
      <c r="BZ411" s="1491" t="n"/>
      <c r="CA411" s="1491" t="n"/>
      <c r="CB411" s="1467" t="n"/>
      <c r="CC411" s="1467" t="n"/>
      <c r="CD411" s="1491" t="n"/>
      <c r="CE411" s="1491" t="n"/>
      <c r="CF411" s="1491" t="n"/>
      <c r="CG411" s="1491" t="n"/>
      <c r="CH411" s="1491" t="n"/>
      <c r="CI411" s="1491" t="n"/>
      <c r="CJ411" s="1491" t="n"/>
      <c r="CK411" s="1491" t="n"/>
      <c r="CL411" s="1491" t="n"/>
      <c r="CM411" s="1491" t="n"/>
      <c r="CN411" s="1491" t="n"/>
      <c r="CO411" s="1491" t="n"/>
      <c r="CP411" s="1491" t="n"/>
      <c r="CQ411" s="1491" t="n"/>
      <c r="CR411" s="1491" t="n"/>
      <c r="CS411" s="1491" t="n"/>
      <c r="CT411" s="1491" t="n"/>
      <c r="CU411" s="1491" t="n"/>
      <c r="CV411" s="1491" t="n"/>
      <c r="CW411" s="1491" t="n"/>
      <c r="CX411" s="1491" t="n"/>
    </row>
    <row r="412">
      <c r="A412" s="1491" t="n"/>
      <c r="B412" s="1491" t="n"/>
      <c r="C412" s="1491" t="n"/>
      <c r="D412" s="1497">
        <f>IF(E412&lt;&gt;"",D411+1,D411)</f>
        <v/>
      </c>
      <c r="E412" s="1497" t="inlineStr">
        <is>
          <t>Passo della Cisa</t>
        </is>
      </c>
      <c r="F412" s="1535" t="inlineStr">
        <is>
          <t>.</t>
        </is>
      </c>
      <c r="G412" s="1498">
        <f>IF(H412="AIR",0,IF(H411="AIR",G410+1,IF(H412&lt;&gt;"",G411+1,G411)))</f>
        <v/>
      </c>
      <c r="H412" s="1498" t="inlineStr">
        <is>
          <t>Pontenure</t>
        </is>
      </c>
      <c r="I412" s="1427" t="inlineStr">
        <is>
          <t>.</t>
        </is>
      </c>
      <c r="J412" s="1499" t="n">
        <v>407</v>
      </c>
      <c r="K412" s="1500">
        <f>_xlfn.XLOOKUP(cities[[#This Row],[id]],$D$5:$D$1500,E$5:E$1500,"-")</f>
        <v/>
      </c>
      <c r="L412" s="1500">
        <f>_xlfn.XLOOKUP(cities[[#This Row],[city]],ccc[city],ccc[ctry],"-")</f>
        <v/>
      </c>
      <c r="M412" s="1500">
        <f>SUMIFS(stayCity[stay],stayCity[city],cities[[#This Row],[city]])</f>
        <v/>
      </c>
      <c r="N412" s="1427">
        <f>N411+1</f>
        <v/>
      </c>
      <c r="O412" s="1500" t="n"/>
      <c r="P412" s="1500" t="n"/>
      <c r="Q412" s="1427" t="inlineStr">
        <is>
          <t>.</t>
        </is>
      </c>
      <c r="R412" s="1491" t="n"/>
      <c r="S412" s="1491" t="n"/>
      <c r="T412" s="1491" t="n"/>
      <c r="U412" s="1491" t="n"/>
      <c r="V412" s="1491" t="n"/>
      <c r="W412" s="1491" t="n"/>
      <c r="X412" s="1491" t="n"/>
      <c r="Y412" s="1491" t="n"/>
      <c r="Z412" s="1491" t="n"/>
      <c r="AA412" s="1491" t="n"/>
      <c r="AB412" s="1491" t="n"/>
      <c r="AC412" s="1491" t="n"/>
      <c r="AD412" s="1491" t="n"/>
      <c r="AE412" s="1491" t="n"/>
      <c r="AF412" s="1491" t="n"/>
      <c r="AG412" s="1491" t="n"/>
      <c r="AH412" s="1491" t="n"/>
      <c r="AI412" s="1491" t="n"/>
      <c r="AJ412" s="1491" t="n"/>
      <c r="AK412" s="1491" t="n"/>
      <c r="AL412" s="1491" t="n"/>
      <c r="AM412" s="1491" t="n"/>
      <c r="AN412" s="1491" t="n"/>
      <c r="AO412" s="1491" t="n"/>
      <c r="AP412" s="1491" t="n"/>
      <c r="AQ412" s="1491" t="n"/>
      <c r="AR412" s="1491" t="n"/>
      <c r="AS412" s="1491" t="n"/>
      <c r="AT412" s="1491" t="n"/>
      <c r="AU412" s="1491" t="n"/>
      <c r="AV412" s="1491" t="n"/>
      <c r="AW412" s="1491" t="n"/>
      <c r="AX412" s="1491" t="n"/>
      <c r="AY412" s="1491" t="n"/>
      <c r="AZ412" s="1491" t="n"/>
      <c r="BA412" s="1491" t="n"/>
      <c r="BB412" s="1491" t="n"/>
      <c r="BC412" s="1491" t="n"/>
      <c r="BD412" s="1491" t="n"/>
      <c r="BE412" s="1491" t="n"/>
      <c r="BF412" s="1491" t="n"/>
      <c r="BG412" s="1491" t="n"/>
      <c r="BH412" s="1491" t="n"/>
      <c r="BI412" s="1491" t="n"/>
      <c r="BJ412" s="1491" t="n"/>
      <c r="BK412" s="1491" t="n"/>
      <c r="BL412" s="1491" t="n"/>
      <c r="BM412" s="1491" t="n"/>
      <c r="BN412" s="1491" t="n"/>
      <c r="BO412" s="1467" t="n"/>
      <c r="BP412" s="1514" t="n">
        <v>408</v>
      </c>
      <c r="BQ412" s="1513">
        <f>[1]Sheet1!C413</f>
        <v/>
      </c>
      <c r="BR412" s="1515">
        <f>[1]Sheet1!D413</f>
        <v/>
      </c>
      <c r="BS412" s="1513">
        <f>[1]Sheet1!E413</f>
        <v/>
      </c>
      <c r="BT412" s="1515">
        <f>[1]Sheet1!F413</f>
        <v/>
      </c>
      <c r="BU412" s="1516">
        <f>[1]Sheet1!G413</f>
        <v/>
      </c>
      <c r="BV412" s="1513">
        <f>[1]Sheet1!H413</f>
        <v/>
      </c>
      <c r="BW412" s="1467" t="n"/>
      <c r="BX412" s="1491" t="n"/>
      <c r="BY412" s="1491" t="n"/>
      <c r="BZ412" s="1491" t="n"/>
      <c r="CA412" s="1491" t="n"/>
      <c r="CB412" s="1467" t="n"/>
      <c r="CC412" s="1467" t="n"/>
      <c r="CD412" s="1491" t="n"/>
      <c r="CE412" s="1491" t="n"/>
      <c r="CF412" s="1491" t="n"/>
      <c r="CG412" s="1491" t="n"/>
      <c r="CH412" s="1491" t="n"/>
      <c r="CI412" s="1491" t="n"/>
      <c r="CJ412" s="1491" t="n"/>
      <c r="CK412" s="1491" t="n"/>
      <c r="CL412" s="1491" t="n"/>
      <c r="CM412" s="1491" t="n"/>
      <c r="CN412" s="1491" t="n"/>
      <c r="CO412" s="1491" t="n"/>
      <c r="CP412" s="1491" t="n"/>
      <c r="CQ412" s="1491" t="n"/>
      <c r="CR412" s="1491" t="n"/>
      <c r="CS412" s="1491" t="n"/>
      <c r="CT412" s="1491" t="n"/>
      <c r="CU412" s="1491" t="n"/>
      <c r="CV412" s="1491" t="n"/>
      <c r="CW412" s="1491" t="n"/>
      <c r="CX412" s="1491" t="n"/>
    </row>
    <row r="413">
      <c r="A413" s="1491" t="n"/>
      <c r="B413" s="1491" t="n"/>
      <c r="C413" s="1491" t="n"/>
      <c r="D413" s="1497">
        <f>IF(E413&lt;&gt;"",D412+1,D412)</f>
        <v/>
      </c>
      <c r="E413" s="1497" t="inlineStr">
        <is>
          <t>Montelungo</t>
        </is>
      </c>
      <c r="F413" s="1535" t="inlineStr">
        <is>
          <t>.</t>
        </is>
      </c>
      <c r="G413" s="1498">
        <f>IF(H413="AIR",0,IF(H412="AIR",G411+1,IF(H413&lt;&gt;"",G412+1,G412)))</f>
        <v/>
      </c>
      <c r="H413" s="1498" t="inlineStr">
        <is>
          <t>Fiorenzuola</t>
        </is>
      </c>
      <c r="I413" s="1427" t="inlineStr">
        <is>
          <t>.</t>
        </is>
      </c>
      <c r="J413" s="1499" t="n">
        <v>408</v>
      </c>
      <c r="K413" s="1500">
        <f>_xlfn.XLOOKUP(cities[[#This Row],[id]],$D$5:$D$1500,E$5:E$1500,"-")</f>
        <v/>
      </c>
      <c r="L413" s="1500">
        <f>_xlfn.XLOOKUP(cities[[#This Row],[city]],ccc[city],ccc[ctry],"-")</f>
        <v/>
      </c>
      <c r="M413" s="1500">
        <f>SUMIFS(stayCity[stay],stayCity[city],cities[[#This Row],[city]])</f>
        <v/>
      </c>
      <c r="N413" s="1427">
        <f>N412+1</f>
        <v/>
      </c>
      <c r="O413" s="1500" t="n"/>
      <c r="P413" s="1500" t="n"/>
      <c r="Q413" s="1427" t="inlineStr">
        <is>
          <t>.</t>
        </is>
      </c>
      <c r="R413" s="1491" t="n"/>
      <c r="S413" s="1491" t="n"/>
      <c r="T413" s="1491" t="n"/>
      <c r="U413" s="1491" t="n"/>
      <c r="V413" s="1491" t="n"/>
      <c r="W413" s="1491" t="n"/>
      <c r="X413" s="1491" t="n"/>
      <c r="Y413" s="1491" t="n"/>
      <c r="Z413" s="1491" t="n"/>
      <c r="AA413" s="1491" t="n"/>
      <c r="AB413" s="1491" t="n"/>
      <c r="AC413" s="1491" t="n"/>
      <c r="AD413" s="1491" t="n"/>
      <c r="AE413" s="1491" t="n"/>
      <c r="AF413" s="1491" t="n"/>
      <c r="AG413" s="1491" t="n"/>
      <c r="AH413" s="1491" t="n"/>
      <c r="AI413" s="1491" t="n"/>
      <c r="AJ413" s="1491" t="n"/>
      <c r="AK413" s="1491" t="n"/>
      <c r="AL413" s="1491" t="n"/>
      <c r="AM413" s="1491" t="n"/>
      <c r="AN413" s="1491" t="n"/>
      <c r="AO413" s="1491" t="n"/>
      <c r="AP413" s="1491" t="n"/>
      <c r="AQ413" s="1491" t="n"/>
      <c r="AR413" s="1491" t="n"/>
      <c r="AS413" s="1491" t="n"/>
      <c r="AT413" s="1491" t="n"/>
      <c r="AU413" s="1491" t="n"/>
      <c r="AV413" s="1491" t="n"/>
      <c r="AW413" s="1491" t="n"/>
      <c r="AX413" s="1491" t="n"/>
      <c r="AY413" s="1491" t="n"/>
      <c r="AZ413" s="1491" t="n"/>
      <c r="BA413" s="1491" t="n"/>
      <c r="BB413" s="1491" t="n"/>
      <c r="BC413" s="1491" t="n"/>
      <c r="BD413" s="1491" t="n"/>
      <c r="BE413" s="1491" t="n"/>
      <c r="BF413" s="1491" t="n"/>
      <c r="BG413" s="1491" t="n"/>
      <c r="BH413" s="1491" t="n"/>
      <c r="BI413" s="1491" t="n"/>
      <c r="BJ413" s="1491" t="n"/>
      <c r="BK413" s="1491" t="n"/>
      <c r="BL413" s="1491" t="n"/>
      <c r="BM413" s="1491" t="n"/>
      <c r="BN413" s="1491" t="n"/>
      <c r="BO413" s="1467" t="n"/>
      <c r="BP413" s="1514" t="n">
        <v>409</v>
      </c>
      <c r="BQ413" s="1513">
        <f>[1]Sheet1!C414</f>
        <v/>
      </c>
      <c r="BR413" s="1515">
        <f>[1]Sheet1!D414</f>
        <v/>
      </c>
      <c r="BS413" s="1513">
        <f>[1]Sheet1!E414</f>
        <v/>
      </c>
      <c r="BT413" s="1515">
        <f>[1]Sheet1!F414</f>
        <v/>
      </c>
      <c r="BU413" s="1516">
        <f>[1]Sheet1!G414</f>
        <v/>
      </c>
      <c r="BV413" s="1513">
        <f>[1]Sheet1!H414</f>
        <v/>
      </c>
      <c r="BW413" s="1467" t="n"/>
      <c r="BX413" s="1491" t="n"/>
      <c r="BY413" s="1491" t="n"/>
      <c r="BZ413" s="1491" t="n"/>
      <c r="CA413" s="1491" t="n"/>
      <c r="CB413" s="1467" t="n"/>
      <c r="CC413" s="1467" t="n"/>
      <c r="CD413" s="1491" t="n"/>
      <c r="CE413" s="1491" t="n"/>
      <c r="CF413" s="1491" t="n"/>
      <c r="CG413" s="1491" t="n"/>
      <c r="CH413" s="1491" t="n"/>
      <c r="CI413" s="1491" t="n"/>
      <c r="CJ413" s="1491" t="n"/>
      <c r="CK413" s="1491" t="n"/>
      <c r="CL413" s="1491" t="n"/>
      <c r="CM413" s="1491" t="n"/>
      <c r="CN413" s="1491" t="n"/>
      <c r="CO413" s="1491" t="n"/>
      <c r="CP413" s="1491" t="n"/>
      <c r="CQ413" s="1491" t="n"/>
      <c r="CR413" s="1491" t="n"/>
      <c r="CS413" s="1491" t="n"/>
      <c r="CT413" s="1491" t="n"/>
      <c r="CU413" s="1491" t="n"/>
      <c r="CV413" s="1491" t="n"/>
      <c r="CW413" s="1491" t="n"/>
      <c r="CX413" s="1491" t="n"/>
    </row>
    <row r="414">
      <c r="A414" s="1491" t="n"/>
      <c r="B414" s="1491" t="n"/>
      <c r="C414" s="1491" t="n"/>
      <c r="D414" s="1497">
        <f>IF(E414&lt;&gt;"",D413+1,D413)</f>
        <v/>
      </c>
      <c r="E414" s="1497" t="inlineStr">
        <is>
          <t>Pontremoli</t>
        </is>
      </c>
      <c r="F414" s="1535" t="inlineStr">
        <is>
          <t>.</t>
        </is>
      </c>
      <c r="G414" s="1498">
        <f>IF(H414="AIR",0,IF(H413="AIR",G412+1,IF(H414&lt;&gt;"",G413+1,G413)))</f>
        <v/>
      </c>
      <c r="H414" s="1498" t="inlineStr">
        <is>
          <t>Fidenza</t>
        </is>
      </c>
      <c r="I414" s="1427" t="inlineStr">
        <is>
          <t>.</t>
        </is>
      </c>
      <c r="J414" s="1499" t="n">
        <v>409</v>
      </c>
      <c r="K414" s="1500">
        <f>_xlfn.XLOOKUP(cities[[#This Row],[id]],$D$5:$D$1500,E$5:E$1500,"-")</f>
        <v/>
      </c>
      <c r="L414" s="1500">
        <f>_xlfn.XLOOKUP(cities[[#This Row],[city]],ccc[city],ccc[ctry],"-")</f>
        <v/>
      </c>
      <c r="M414" s="1500">
        <f>SUMIFS(stayCity[stay],stayCity[city],cities[[#This Row],[city]])</f>
        <v/>
      </c>
      <c r="N414" s="1427">
        <f>N413+1</f>
        <v/>
      </c>
      <c r="O414" s="1500" t="n"/>
      <c r="P414" s="1500" t="n"/>
      <c r="Q414" s="1427" t="inlineStr">
        <is>
          <t>.</t>
        </is>
      </c>
      <c r="R414" s="1491" t="n"/>
      <c r="S414" s="1491" t="n"/>
      <c r="T414" s="1491" t="n"/>
      <c r="U414" s="1491" t="n"/>
      <c r="V414" s="1491" t="n"/>
      <c r="W414" s="1491" t="n"/>
      <c r="X414" s="1491" t="n"/>
      <c r="Y414" s="1491" t="n"/>
      <c r="Z414" s="1491" t="n"/>
      <c r="AA414" s="1491" t="n"/>
      <c r="AB414" s="1491" t="n"/>
      <c r="AC414" s="1491" t="n"/>
      <c r="AD414" s="1491" t="n"/>
      <c r="AE414" s="1491" t="n"/>
      <c r="AF414" s="1491" t="n"/>
      <c r="AG414" s="1491" t="n"/>
      <c r="AH414" s="1491" t="n"/>
      <c r="AI414" s="1491" t="n"/>
      <c r="AJ414" s="1491" t="n"/>
      <c r="AK414" s="1491" t="n"/>
      <c r="AL414" s="1491" t="n"/>
      <c r="AM414" s="1491" t="n"/>
      <c r="AN414" s="1491" t="n"/>
      <c r="AO414" s="1491" t="n"/>
      <c r="AP414" s="1491" t="n"/>
      <c r="AQ414" s="1491" t="n"/>
      <c r="AR414" s="1491" t="n"/>
      <c r="AS414" s="1491" t="n"/>
      <c r="AT414" s="1491" t="n"/>
      <c r="AU414" s="1491" t="n"/>
      <c r="AV414" s="1491" t="n"/>
      <c r="AW414" s="1491" t="n"/>
      <c r="AX414" s="1491" t="n"/>
      <c r="AY414" s="1491" t="n"/>
      <c r="AZ414" s="1491" t="n"/>
      <c r="BA414" s="1491" t="n"/>
      <c r="BB414" s="1491" t="n"/>
      <c r="BC414" s="1491" t="n"/>
      <c r="BD414" s="1491" t="n"/>
      <c r="BE414" s="1491" t="n"/>
      <c r="BF414" s="1491" t="n"/>
      <c r="BG414" s="1491" t="n"/>
      <c r="BH414" s="1491" t="n"/>
      <c r="BI414" s="1491" t="n"/>
      <c r="BJ414" s="1491" t="n"/>
      <c r="BK414" s="1491" t="n"/>
      <c r="BL414" s="1491" t="n"/>
      <c r="BM414" s="1491" t="n"/>
      <c r="BN414" s="1491" t="n"/>
      <c r="BO414" s="1467" t="n"/>
      <c r="BP414" s="1514" t="n">
        <v>410</v>
      </c>
      <c r="BQ414" s="1513">
        <f>[1]Sheet1!C415</f>
        <v/>
      </c>
      <c r="BR414" s="1515">
        <f>[1]Sheet1!D415</f>
        <v/>
      </c>
      <c r="BS414" s="1513">
        <f>[1]Sheet1!E415</f>
        <v/>
      </c>
      <c r="BT414" s="1515">
        <f>[1]Sheet1!F415</f>
        <v/>
      </c>
      <c r="BU414" s="1516">
        <f>[1]Sheet1!G415</f>
        <v/>
      </c>
      <c r="BV414" s="1513">
        <f>[1]Sheet1!H415</f>
        <v/>
      </c>
      <c r="BW414" s="1467" t="n"/>
      <c r="BX414" s="1491" t="n"/>
      <c r="BY414" s="1491" t="n"/>
      <c r="BZ414" s="1491" t="n"/>
      <c r="CA414" s="1491" t="n"/>
      <c r="CB414" s="1467" t="n"/>
      <c r="CC414" s="1467" t="n"/>
      <c r="CD414" s="1491" t="n"/>
      <c r="CE414" s="1491" t="n"/>
      <c r="CF414" s="1491" t="n"/>
      <c r="CG414" s="1491" t="n"/>
      <c r="CH414" s="1491" t="n"/>
      <c r="CI414" s="1491" t="n"/>
      <c r="CJ414" s="1491" t="n"/>
      <c r="CK414" s="1491" t="n"/>
      <c r="CL414" s="1491" t="n"/>
      <c r="CM414" s="1491" t="n"/>
      <c r="CN414" s="1491" t="n"/>
      <c r="CO414" s="1491" t="n"/>
      <c r="CP414" s="1491" t="n"/>
      <c r="CQ414" s="1491" t="n"/>
      <c r="CR414" s="1491" t="n"/>
      <c r="CS414" s="1491" t="n"/>
      <c r="CT414" s="1491" t="n"/>
      <c r="CU414" s="1491" t="n"/>
      <c r="CV414" s="1491" t="n"/>
      <c r="CW414" s="1491" t="n"/>
      <c r="CX414" s="1491" t="n"/>
    </row>
    <row r="415">
      <c r="A415" s="1491" t="n"/>
      <c r="B415" s="1491" t="n"/>
      <c r="C415" s="1491" t="n"/>
      <c r="D415" s="1497">
        <f>IF(E415&lt;&gt;"",D414+1,D414)</f>
        <v/>
      </c>
      <c r="E415" s="1497" t="inlineStr">
        <is>
          <t>Villafranca Lunigiana</t>
        </is>
      </c>
      <c r="F415" s="1535" t="inlineStr">
        <is>
          <t>.</t>
        </is>
      </c>
      <c r="G415" s="1498">
        <f>IF(H415="AIR",0,IF(H414="AIR",G413+1,IF(H415&lt;&gt;"",G414+1,G414)))</f>
        <v/>
      </c>
      <c r="H415" s="1498" t="inlineStr">
        <is>
          <t>Costamezzana</t>
        </is>
      </c>
      <c r="I415" s="1427" t="inlineStr">
        <is>
          <t>.</t>
        </is>
      </c>
      <c r="J415" s="1499" t="n">
        <v>410</v>
      </c>
      <c r="K415" s="1500">
        <f>_xlfn.XLOOKUP(cities[[#This Row],[id]],$D$5:$D$1500,E$5:E$1500,"-")</f>
        <v/>
      </c>
      <c r="L415" s="1500">
        <f>_xlfn.XLOOKUP(cities[[#This Row],[city]],ccc[city],ccc[ctry],"-")</f>
        <v/>
      </c>
      <c r="M415" s="1500">
        <f>SUMIFS(stayCity[stay],stayCity[city],cities[[#This Row],[city]])</f>
        <v/>
      </c>
      <c r="N415" s="1427">
        <f>N414+1</f>
        <v/>
      </c>
      <c r="O415" s="1500" t="n"/>
      <c r="P415" s="1500" t="n"/>
      <c r="Q415" s="1427" t="inlineStr">
        <is>
          <t>.</t>
        </is>
      </c>
      <c r="R415" s="1491" t="n"/>
      <c r="S415" s="1491" t="n"/>
      <c r="T415" s="1491" t="n"/>
      <c r="U415" s="1491" t="n"/>
      <c r="V415" s="1491" t="n"/>
      <c r="W415" s="1491" t="n"/>
      <c r="X415" s="1491" t="n"/>
      <c r="Y415" s="1491" t="n"/>
      <c r="Z415" s="1491" t="n"/>
      <c r="AA415" s="1491" t="n"/>
      <c r="AB415" s="1491" t="n"/>
      <c r="AC415" s="1491" t="n"/>
      <c r="AD415" s="1491" t="n"/>
      <c r="AE415" s="1491" t="n"/>
      <c r="AF415" s="1491" t="n"/>
      <c r="AG415" s="1491" t="n"/>
      <c r="AH415" s="1491" t="n"/>
      <c r="AI415" s="1491" t="n"/>
      <c r="AJ415" s="1491" t="n"/>
      <c r="AK415" s="1491" t="n"/>
      <c r="AL415" s="1491" t="n"/>
      <c r="AM415" s="1491" t="n"/>
      <c r="AN415" s="1491" t="n"/>
      <c r="AO415" s="1491" t="n"/>
      <c r="AP415" s="1491" t="n"/>
      <c r="AQ415" s="1491" t="n"/>
      <c r="AR415" s="1491" t="n"/>
      <c r="AS415" s="1491" t="n"/>
      <c r="AT415" s="1491" t="n"/>
      <c r="AU415" s="1491" t="n"/>
      <c r="AV415" s="1491" t="n"/>
      <c r="AW415" s="1491" t="n"/>
      <c r="AX415" s="1491" t="n"/>
      <c r="AY415" s="1491" t="n"/>
      <c r="AZ415" s="1491" t="n"/>
      <c r="BA415" s="1491" t="n"/>
      <c r="BB415" s="1491" t="n"/>
      <c r="BC415" s="1491" t="n"/>
      <c r="BD415" s="1491" t="n"/>
      <c r="BE415" s="1491" t="n"/>
      <c r="BF415" s="1491" t="n"/>
      <c r="BG415" s="1491" t="n"/>
      <c r="BH415" s="1491" t="n"/>
      <c r="BI415" s="1491" t="n"/>
      <c r="BJ415" s="1491" t="n"/>
      <c r="BK415" s="1491" t="n"/>
      <c r="BL415" s="1491" t="n"/>
      <c r="BM415" s="1491" t="n"/>
      <c r="BN415" s="1491" t="n"/>
      <c r="BO415" s="1467" t="n"/>
      <c r="BP415" s="1514" t="n">
        <v>411</v>
      </c>
      <c r="BQ415" s="1513">
        <f>[1]Sheet1!C416</f>
        <v/>
      </c>
      <c r="BR415" s="1515">
        <f>[1]Sheet1!D416</f>
        <v/>
      </c>
      <c r="BS415" s="1513">
        <f>[1]Sheet1!E416</f>
        <v/>
      </c>
      <c r="BT415" s="1515">
        <f>[1]Sheet1!F416</f>
        <v/>
      </c>
      <c r="BU415" s="1516">
        <f>[1]Sheet1!G416</f>
        <v/>
      </c>
      <c r="BV415" s="1513">
        <f>[1]Sheet1!H416</f>
        <v/>
      </c>
      <c r="BW415" s="1467" t="n"/>
      <c r="BX415" s="1491" t="n"/>
      <c r="BY415" s="1491" t="n"/>
      <c r="BZ415" s="1491" t="n"/>
      <c r="CA415" s="1491" t="n"/>
      <c r="CB415" s="1467" t="n"/>
      <c r="CC415" s="1467" t="n"/>
      <c r="CD415" s="1491" t="n"/>
      <c r="CE415" s="1491" t="n"/>
      <c r="CF415" s="1491" t="n"/>
      <c r="CG415" s="1491" t="n"/>
      <c r="CH415" s="1491" t="n"/>
      <c r="CI415" s="1491" t="n"/>
      <c r="CJ415" s="1491" t="n"/>
      <c r="CK415" s="1491" t="n"/>
      <c r="CL415" s="1491" t="n"/>
      <c r="CM415" s="1491" t="n"/>
      <c r="CN415" s="1491" t="n"/>
      <c r="CO415" s="1491" t="n"/>
      <c r="CP415" s="1491" t="n"/>
      <c r="CQ415" s="1491" t="n"/>
      <c r="CR415" s="1491" t="n"/>
      <c r="CS415" s="1491" t="n"/>
      <c r="CT415" s="1491" t="n"/>
      <c r="CU415" s="1491" t="n"/>
      <c r="CV415" s="1491" t="n"/>
      <c r="CW415" s="1491" t="n"/>
      <c r="CX415" s="1491" t="n"/>
    </row>
    <row r="416">
      <c r="A416" s="1491" t="n"/>
      <c r="B416" s="1491" t="n"/>
      <c r="C416" s="1491" t="n"/>
      <c r="D416" s="1497">
        <f>IF(E416&lt;&gt;"",D415+1,D415)</f>
        <v/>
      </c>
      <c r="E416" s="1497" t="inlineStr">
        <is>
          <t>Aulla</t>
        </is>
      </c>
      <c r="F416" s="1535" t="inlineStr">
        <is>
          <t>.</t>
        </is>
      </c>
      <c r="G416" s="1498">
        <f>IF(H416="AIR",0,IF(H415="AIR",G414+1,IF(H416&lt;&gt;"",G415+1,G415)))</f>
        <v/>
      </c>
      <c r="H416" s="1498" t="inlineStr">
        <is>
          <t>Medesano</t>
        </is>
      </c>
      <c r="I416" s="1427" t="inlineStr">
        <is>
          <t>.</t>
        </is>
      </c>
      <c r="J416" s="1499" t="n">
        <v>411</v>
      </c>
      <c r="K416" s="1500">
        <f>_xlfn.XLOOKUP(cities[[#This Row],[id]],$D$5:$D$1500,E$5:E$1500,"-")</f>
        <v/>
      </c>
      <c r="L416" s="1500">
        <f>_xlfn.XLOOKUP(cities[[#This Row],[city]],ccc[city],ccc[ctry],"-")</f>
        <v/>
      </c>
      <c r="M416" s="1500">
        <f>SUMIFS(stayCity[stay],stayCity[city],cities[[#This Row],[city]])</f>
        <v/>
      </c>
      <c r="N416" s="1427">
        <f>N415+1</f>
        <v/>
      </c>
      <c r="O416" s="1500" t="n"/>
      <c r="P416" s="1500" t="n"/>
      <c r="Q416" s="1427" t="inlineStr">
        <is>
          <t>.</t>
        </is>
      </c>
      <c r="R416" s="1491" t="n"/>
      <c r="S416" s="1491" t="n"/>
      <c r="T416" s="1491" t="n"/>
      <c r="U416" s="1491" t="n"/>
      <c r="V416" s="1491" t="n"/>
      <c r="W416" s="1491" t="n"/>
      <c r="X416" s="1491" t="n"/>
      <c r="Y416" s="1491" t="n"/>
      <c r="Z416" s="1491" t="n"/>
      <c r="AA416" s="1491" t="n"/>
      <c r="AB416" s="1491" t="n"/>
      <c r="AC416" s="1491" t="n"/>
      <c r="AD416" s="1491" t="n"/>
      <c r="AE416" s="1491" t="n"/>
      <c r="AF416" s="1491" t="n"/>
      <c r="AG416" s="1491" t="n"/>
      <c r="AH416" s="1491" t="n"/>
      <c r="AI416" s="1491" t="n"/>
      <c r="AJ416" s="1491" t="n"/>
      <c r="AK416" s="1491" t="n"/>
      <c r="AL416" s="1491" t="n"/>
      <c r="AM416" s="1491" t="n"/>
      <c r="AN416" s="1491" t="n"/>
      <c r="AO416" s="1491" t="n"/>
      <c r="AP416" s="1491" t="n"/>
      <c r="AQ416" s="1491" t="n"/>
      <c r="AR416" s="1491" t="n"/>
      <c r="AS416" s="1491" t="n"/>
      <c r="AT416" s="1491" t="n"/>
      <c r="AU416" s="1491" t="n"/>
      <c r="AV416" s="1491" t="n"/>
      <c r="AW416" s="1491" t="n"/>
      <c r="AX416" s="1491" t="n"/>
      <c r="AY416" s="1491" t="n"/>
      <c r="AZ416" s="1491" t="n"/>
      <c r="BA416" s="1491" t="n"/>
      <c r="BB416" s="1491" t="n"/>
      <c r="BC416" s="1491" t="n"/>
      <c r="BD416" s="1491" t="n"/>
      <c r="BE416" s="1491" t="n"/>
      <c r="BF416" s="1491" t="n"/>
      <c r="BG416" s="1491" t="n"/>
      <c r="BH416" s="1491" t="n"/>
      <c r="BI416" s="1491" t="n"/>
      <c r="BJ416" s="1491" t="n"/>
      <c r="BK416" s="1491" t="n"/>
      <c r="BL416" s="1491" t="n"/>
      <c r="BM416" s="1491" t="n"/>
      <c r="BN416" s="1491" t="n"/>
      <c r="BO416" s="1467" t="n"/>
      <c r="BP416" s="1514" t="n">
        <v>412</v>
      </c>
      <c r="BQ416" s="1513">
        <f>[1]Sheet1!C417</f>
        <v/>
      </c>
      <c r="BR416" s="1515">
        <f>[1]Sheet1!D417</f>
        <v/>
      </c>
      <c r="BS416" s="1513">
        <f>[1]Sheet1!E417</f>
        <v/>
      </c>
      <c r="BT416" s="1515">
        <f>[1]Sheet1!F417</f>
        <v/>
      </c>
      <c r="BU416" s="1516">
        <f>[1]Sheet1!G417</f>
        <v/>
      </c>
      <c r="BV416" s="1513">
        <f>[1]Sheet1!H417</f>
        <v/>
      </c>
      <c r="BW416" s="1467" t="n"/>
      <c r="BX416" s="1491" t="n"/>
      <c r="BY416" s="1491" t="n"/>
      <c r="BZ416" s="1491" t="n"/>
      <c r="CA416" s="1491" t="n"/>
      <c r="CB416" s="1467" t="n"/>
      <c r="CC416" s="1467" t="n"/>
      <c r="CD416" s="1491" t="n"/>
      <c r="CE416" s="1491" t="n"/>
      <c r="CF416" s="1491" t="n"/>
      <c r="CG416" s="1491" t="n"/>
      <c r="CH416" s="1491" t="n"/>
      <c r="CI416" s="1491" t="n"/>
      <c r="CJ416" s="1491" t="n"/>
      <c r="CK416" s="1491" t="n"/>
      <c r="CL416" s="1491" t="n"/>
      <c r="CM416" s="1491" t="n"/>
      <c r="CN416" s="1491" t="n"/>
      <c r="CO416" s="1491" t="n"/>
      <c r="CP416" s="1491" t="n"/>
      <c r="CQ416" s="1491" t="n"/>
      <c r="CR416" s="1491" t="n"/>
      <c r="CS416" s="1491" t="n"/>
      <c r="CT416" s="1491" t="n"/>
      <c r="CU416" s="1491" t="n"/>
      <c r="CV416" s="1491" t="n"/>
      <c r="CW416" s="1491" t="n"/>
      <c r="CX416" s="1491" t="n"/>
    </row>
    <row r="417">
      <c r="A417" s="1491" t="n"/>
      <c r="B417" s="1491" t="n"/>
      <c r="C417" s="1491" t="n"/>
      <c r="D417" s="1497">
        <f>IF(E417&lt;&gt;"",D416+1,D416)</f>
        <v/>
      </c>
      <c r="E417" s="1497" t="inlineStr">
        <is>
          <t>Sarzana</t>
        </is>
      </c>
      <c r="F417" s="1535" t="inlineStr">
        <is>
          <t>.</t>
        </is>
      </c>
      <c r="G417" s="1498">
        <f>IF(H417="AIR",0,IF(H416="AIR",G415+1,IF(H417&lt;&gt;"",G416+1,G416)))</f>
        <v/>
      </c>
      <c r="H417" s="1498" t="inlineStr">
        <is>
          <t>Fornovo di Taro</t>
        </is>
      </c>
      <c r="I417" s="1427" t="inlineStr">
        <is>
          <t>.</t>
        </is>
      </c>
      <c r="J417" s="1499" t="n">
        <v>412</v>
      </c>
      <c r="K417" s="1500">
        <f>_xlfn.XLOOKUP(cities[[#This Row],[id]],$D$5:$D$1500,E$5:E$1500,"-")</f>
        <v/>
      </c>
      <c r="L417" s="1500">
        <f>_xlfn.XLOOKUP(cities[[#This Row],[city]],ccc[city],ccc[ctry],"-")</f>
        <v/>
      </c>
      <c r="M417" s="1500">
        <f>SUMIFS(stayCity[stay],stayCity[city],cities[[#This Row],[city]])</f>
        <v/>
      </c>
      <c r="N417" s="1427">
        <f>N416+1</f>
        <v/>
      </c>
      <c r="O417" s="1500" t="n"/>
      <c r="P417" s="1500" t="n"/>
      <c r="Q417" s="1427" t="inlineStr">
        <is>
          <t>.</t>
        </is>
      </c>
      <c r="R417" s="1491" t="n"/>
      <c r="S417" s="1491" t="n"/>
      <c r="T417" s="1491" t="n"/>
      <c r="U417" s="1491" t="n"/>
      <c r="V417" s="1491" t="n"/>
      <c r="W417" s="1491" t="n"/>
      <c r="X417" s="1491" t="n"/>
      <c r="Y417" s="1491" t="n"/>
      <c r="Z417" s="1491" t="n"/>
      <c r="AA417" s="1491" t="n"/>
      <c r="AB417" s="1491" t="n"/>
      <c r="AC417" s="1491" t="n"/>
      <c r="AD417" s="1491" t="n"/>
      <c r="AE417" s="1491" t="n"/>
      <c r="AF417" s="1491" t="n"/>
      <c r="AG417" s="1491" t="n"/>
      <c r="AH417" s="1491" t="n"/>
      <c r="AI417" s="1491" t="n"/>
      <c r="AJ417" s="1491" t="n"/>
      <c r="AK417" s="1491" t="n"/>
      <c r="AL417" s="1491" t="n"/>
      <c r="AM417" s="1491" t="n"/>
      <c r="AN417" s="1491" t="n"/>
      <c r="AO417" s="1491" t="n"/>
      <c r="AP417" s="1491" t="n"/>
      <c r="AQ417" s="1491" t="n"/>
      <c r="AR417" s="1491" t="n"/>
      <c r="AS417" s="1491" t="n"/>
      <c r="AT417" s="1491" t="n"/>
      <c r="AU417" s="1491" t="n"/>
      <c r="AV417" s="1491" t="n"/>
      <c r="AW417" s="1491" t="n"/>
      <c r="AX417" s="1491" t="n"/>
      <c r="AY417" s="1491" t="n"/>
      <c r="AZ417" s="1491" t="n"/>
      <c r="BA417" s="1491" t="n"/>
      <c r="BB417" s="1491" t="n"/>
      <c r="BC417" s="1491" t="n"/>
      <c r="BD417" s="1491" t="n"/>
      <c r="BE417" s="1491" t="n"/>
      <c r="BF417" s="1491" t="n"/>
      <c r="BG417" s="1491" t="n"/>
      <c r="BH417" s="1491" t="n"/>
      <c r="BI417" s="1491" t="n"/>
      <c r="BJ417" s="1491" t="n"/>
      <c r="BK417" s="1491" t="n"/>
      <c r="BL417" s="1491" t="n"/>
      <c r="BM417" s="1491" t="n"/>
      <c r="BN417" s="1491" t="n"/>
      <c r="BO417" s="1467" t="n"/>
      <c r="BP417" s="1514" t="n">
        <v>413</v>
      </c>
      <c r="BQ417" s="1513">
        <f>[1]Sheet1!C418</f>
        <v/>
      </c>
      <c r="BR417" s="1515">
        <f>[1]Sheet1!D418</f>
        <v/>
      </c>
      <c r="BS417" s="1513">
        <f>[1]Sheet1!E418</f>
        <v/>
      </c>
      <c r="BT417" s="1515">
        <f>[1]Sheet1!F418</f>
        <v/>
      </c>
      <c r="BU417" s="1516">
        <f>[1]Sheet1!G418</f>
        <v/>
      </c>
      <c r="BV417" s="1513">
        <f>[1]Sheet1!H418</f>
        <v/>
      </c>
      <c r="BW417" s="1467" t="n"/>
      <c r="BX417" s="1491" t="n"/>
      <c r="BY417" s="1491" t="n"/>
      <c r="BZ417" s="1491" t="n"/>
      <c r="CA417" s="1491" t="n"/>
      <c r="CB417" s="1467" t="n"/>
      <c r="CC417" s="1467" t="n"/>
      <c r="CD417" s="1491" t="n"/>
      <c r="CE417" s="1491" t="n"/>
      <c r="CF417" s="1491" t="n"/>
      <c r="CG417" s="1491" t="n"/>
      <c r="CH417" s="1491" t="n"/>
      <c r="CI417" s="1491" t="n"/>
      <c r="CJ417" s="1491" t="n"/>
      <c r="CK417" s="1491" t="n"/>
      <c r="CL417" s="1491" t="n"/>
      <c r="CM417" s="1491" t="n"/>
      <c r="CN417" s="1491" t="n"/>
      <c r="CO417" s="1491" t="n"/>
      <c r="CP417" s="1491" t="n"/>
      <c r="CQ417" s="1491" t="n"/>
      <c r="CR417" s="1491" t="n"/>
      <c r="CS417" s="1491" t="n"/>
      <c r="CT417" s="1491" t="n"/>
      <c r="CU417" s="1491" t="n"/>
      <c r="CV417" s="1491" t="n"/>
      <c r="CW417" s="1491" t="n"/>
      <c r="CX417" s="1491" t="n"/>
    </row>
    <row r="418">
      <c r="A418" s="1491" t="n"/>
      <c r="B418" s="1491" t="n"/>
      <c r="C418" s="1491" t="n"/>
      <c r="D418" s="1497">
        <f>IF(E418&lt;&gt;"",D417+1,D417)</f>
        <v/>
      </c>
      <c r="E418" s="1497" t="inlineStr">
        <is>
          <t>Luni</t>
        </is>
      </c>
      <c r="F418" s="1535" t="inlineStr">
        <is>
          <t>.</t>
        </is>
      </c>
      <c r="G418" s="1498">
        <f>IF(H418="AIR",0,IF(H417="AIR",G416+1,IF(H418&lt;&gt;"",G417+1,G417)))</f>
        <v/>
      </c>
      <c r="H418" s="1498" t="inlineStr">
        <is>
          <t>Cassio</t>
        </is>
      </c>
      <c r="I418" s="1427" t="inlineStr">
        <is>
          <t>.</t>
        </is>
      </c>
      <c r="J418" s="1499" t="n">
        <v>413</v>
      </c>
      <c r="K418" s="1500">
        <f>_xlfn.XLOOKUP(cities[[#This Row],[id]],$D$5:$D$1500,E$5:E$1500,"-")</f>
        <v/>
      </c>
      <c r="L418" s="1500">
        <f>_xlfn.XLOOKUP(cities[[#This Row],[city]],ccc[city],ccc[ctry],"-")</f>
        <v/>
      </c>
      <c r="M418" s="1500">
        <f>SUMIFS(stayCity[stay],stayCity[city],cities[[#This Row],[city]])</f>
        <v/>
      </c>
      <c r="N418" s="1427">
        <f>N417+1</f>
        <v/>
      </c>
      <c r="O418" s="1500" t="n"/>
      <c r="P418" s="1500" t="n"/>
      <c r="Q418" s="1427" t="inlineStr">
        <is>
          <t>.</t>
        </is>
      </c>
      <c r="R418" s="1491" t="n"/>
      <c r="S418" s="1491" t="n"/>
      <c r="T418" s="1491" t="n"/>
      <c r="U418" s="1491" t="n"/>
      <c r="V418" s="1491" t="n"/>
      <c r="W418" s="1491" t="n"/>
      <c r="X418" s="1491" t="n"/>
      <c r="Y418" s="1491" t="n"/>
      <c r="Z418" s="1491" t="n"/>
      <c r="AA418" s="1491" t="n"/>
      <c r="AB418" s="1491" t="n"/>
      <c r="AC418" s="1491" t="n"/>
      <c r="AD418" s="1491" t="n"/>
      <c r="AE418" s="1491" t="n"/>
      <c r="AF418" s="1491" t="n"/>
      <c r="AG418" s="1491" t="n"/>
      <c r="AH418" s="1491" t="n"/>
      <c r="AI418" s="1491" t="n"/>
      <c r="AJ418" s="1491" t="n"/>
      <c r="AK418" s="1491" t="n"/>
      <c r="AL418" s="1491" t="n"/>
      <c r="AM418" s="1491" t="n"/>
      <c r="AN418" s="1491" t="n"/>
      <c r="AO418" s="1491" t="n"/>
      <c r="AP418" s="1491" t="n"/>
      <c r="AQ418" s="1491" t="n"/>
      <c r="AR418" s="1491" t="n"/>
      <c r="AS418" s="1491" t="n"/>
      <c r="AT418" s="1491" t="n"/>
      <c r="AU418" s="1491" t="n"/>
      <c r="AV418" s="1491" t="n"/>
      <c r="AW418" s="1491" t="n"/>
      <c r="AX418" s="1491" t="n"/>
      <c r="AY418" s="1491" t="n"/>
      <c r="AZ418" s="1491" t="n"/>
      <c r="BA418" s="1491" t="n"/>
      <c r="BB418" s="1491" t="n"/>
      <c r="BC418" s="1491" t="n"/>
      <c r="BD418" s="1491" t="n"/>
      <c r="BE418" s="1491" t="n"/>
      <c r="BF418" s="1491" t="n"/>
      <c r="BG418" s="1491" t="n"/>
      <c r="BH418" s="1491" t="n"/>
      <c r="BI418" s="1491" t="n"/>
      <c r="BJ418" s="1491" t="n"/>
      <c r="BK418" s="1491" t="n"/>
      <c r="BL418" s="1491" t="n"/>
      <c r="BM418" s="1491" t="n"/>
      <c r="BN418" s="1491" t="n"/>
      <c r="BO418" s="1467" t="n"/>
      <c r="BP418" s="1514" t="n">
        <v>414</v>
      </c>
      <c r="BQ418" s="1513">
        <f>[1]Sheet1!C419</f>
        <v/>
      </c>
      <c r="BR418" s="1515">
        <f>[1]Sheet1!D419</f>
        <v/>
      </c>
      <c r="BS418" s="1513">
        <f>[1]Sheet1!E419</f>
        <v/>
      </c>
      <c r="BT418" s="1515">
        <f>[1]Sheet1!F419</f>
        <v/>
      </c>
      <c r="BU418" s="1516">
        <f>[1]Sheet1!G419</f>
        <v/>
      </c>
      <c r="BV418" s="1513">
        <f>[1]Sheet1!H419</f>
        <v/>
      </c>
      <c r="BW418" s="1467" t="n"/>
      <c r="BX418" s="1491" t="n"/>
      <c r="BY418" s="1491" t="n"/>
      <c r="BZ418" s="1491" t="n"/>
      <c r="CA418" s="1491" t="n"/>
      <c r="CB418" s="1467" t="n"/>
      <c r="CC418" s="1467" t="n"/>
      <c r="CD418" s="1491" t="n"/>
      <c r="CE418" s="1491" t="n"/>
      <c r="CF418" s="1491" t="n"/>
      <c r="CG418" s="1491" t="n"/>
      <c r="CH418" s="1491" t="n"/>
      <c r="CI418" s="1491" t="n"/>
      <c r="CJ418" s="1491" t="n"/>
      <c r="CK418" s="1491" t="n"/>
      <c r="CL418" s="1491" t="n"/>
      <c r="CM418" s="1491" t="n"/>
      <c r="CN418" s="1491" t="n"/>
      <c r="CO418" s="1491" t="n"/>
      <c r="CP418" s="1491" t="n"/>
      <c r="CQ418" s="1491" t="n"/>
      <c r="CR418" s="1491" t="n"/>
      <c r="CS418" s="1491" t="n"/>
      <c r="CT418" s="1491" t="n"/>
      <c r="CU418" s="1491" t="n"/>
      <c r="CV418" s="1491" t="n"/>
      <c r="CW418" s="1491" t="n"/>
      <c r="CX418" s="1491" t="n"/>
    </row>
    <row r="419">
      <c r="A419" s="1491" t="n"/>
      <c r="B419" s="1491" t="n"/>
      <c r="C419" s="1491" t="n"/>
      <c r="D419" s="1497">
        <f>IF(E419&lt;&gt;"",D418+1,D418)</f>
        <v/>
      </c>
      <c r="E419" s="1497" t="inlineStr">
        <is>
          <t>Carrara</t>
        </is>
      </c>
      <c r="F419" s="1535" t="inlineStr">
        <is>
          <t>.</t>
        </is>
      </c>
      <c r="G419" s="1498">
        <f>IF(H419="AIR",0,IF(H418="AIR",G417+1,IF(H419&lt;&gt;"",G418+1,G418)))</f>
        <v/>
      </c>
      <c r="H419" s="1498" t="inlineStr">
        <is>
          <t>Bercetto</t>
        </is>
      </c>
      <c r="I419" s="1427" t="inlineStr">
        <is>
          <t>.</t>
        </is>
      </c>
      <c r="J419" s="1499" t="n">
        <v>414</v>
      </c>
      <c r="K419" s="1500">
        <f>_xlfn.XLOOKUP(cities[[#This Row],[id]],$D$5:$D$1500,E$5:E$1500,"-")</f>
        <v/>
      </c>
      <c r="L419" s="1500">
        <f>_xlfn.XLOOKUP(cities[[#This Row],[city]],ccc[city],ccc[ctry],"-")</f>
        <v/>
      </c>
      <c r="M419" s="1500">
        <f>SUMIFS(stayCity[stay],stayCity[city],cities[[#This Row],[city]])</f>
        <v/>
      </c>
      <c r="N419" s="1427">
        <f>N418+1</f>
        <v/>
      </c>
      <c r="O419" s="1500" t="n"/>
      <c r="P419" s="1500" t="n"/>
      <c r="Q419" s="1427" t="inlineStr">
        <is>
          <t>.</t>
        </is>
      </c>
      <c r="R419" s="1491" t="n"/>
      <c r="S419" s="1491" t="n"/>
      <c r="T419" s="1491" t="n"/>
      <c r="U419" s="1491" t="n"/>
      <c r="V419" s="1491" t="n"/>
      <c r="W419" s="1491" t="n"/>
      <c r="X419" s="1491" t="n"/>
      <c r="Y419" s="1491" t="n"/>
      <c r="Z419" s="1491" t="n"/>
      <c r="AA419" s="1491" t="n"/>
      <c r="AB419" s="1491" t="n"/>
      <c r="AC419" s="1491" t="n"/>
      <c r="AD419" s="1491" t="n"/>
      <c r="AE419" s="1491" t="n"/>
      <c r="AF419" s="1491" t="n"/>
      <c r="AG419" s="1491" t="n"/>
      <c r="AH419" s="1491" t="n"/>
      <c r="AI419" s="1491" t="n"/>
      <c r="AJ419" s="1491" t="n"/>
      <c r="AK419" s="1491" t="n"/>
      <c r="AL419" s="1491" t="n"/>
      <c r="AM419" s="1491" t="n"/>
      <c r="AN419" s="1491" t="n"/>
      <c r="AO419" s="1491" t="n"/>
      <c r="AP419" s="1491" t="n"/>
      <c r="AQ419" s="1491" t="n"/>
      <c r="AR419" s="1491" t="n"/>
      <c r="AS419" s="1491" t="n"/>
      <c r="AT419" s="1491" t="n"/>
      <c r="AU419" s="1491" t="n"/>
      <c r="AV419" s="1491" t="n"/>
      <c r="AW419" s="1491" t="n"/>
      <c r="AX419" s="1491" t="n"/>
      <c r="AY419" s="1491" t="n"/>
      <c r="AZ419" s="1491" t="n"/>
      <c r="BA419" s="1491" t="n"/>
      <c r="BB419" s="1491" t="n"/>
      <c r="BC419" s="1491" t="n"/>
      <c r="BD419" s="1491" t="n"/>
      <c r="BE419" s="1491" t="n"/>
      <c r="BF419" s="1491" t="n"/>
      <c r="BG419" s="1491" t="n"/>
      <c r="BH419" s="1491" t="n"/>
      <c r="BI419" s="1491" t="n"/>
      <c r="BJ419" s="1491" t="n"/>
      <c r="BK419" s="1491" t="n"/>
      <c r="BL419" s="1491" t="n"/>
      <c r="BM419" s="1491" t="n"/>
      <c r="BN419" s="1491" t="n"/>
      <c r="BO419" s="1467" t="n"/>
      <c r="BP419" s="1514" t="n">
        <v>415</v>
      </c>
      <c r="BQ419" s="1513">
        <f>[1]Sheet1!C420</f>
        <v/>
      </c>
      <c r="BR419" s="1515">
        <f>[1]Sheet1!D420</f>
        <v/>
      </c>
      <c r="BS419" s="1513">
        <f>[1]Sheet1!E420</f>
        <v/>
      </c>
      <c r="BT419" s="1515">
        <f>[1]Sheet1!F420</f>
        <v/>
      </c>
      <c r="BU419" s="1516">
        <f>[1]Sheet1!G420</f>
        <v/>
      </c>
      <c r="BV419" s="1513">
        <f>[1]Sheet1!H420</f>
        <v/>
      </c>
      <c r="BW419" s="1467" t="n"/>
      <c r="BX419" s="1491" t="n"/>
      <c r="BY419" s="1491" t="n"/>
      <c r="BZ419" s="1491" t="n"/>
      <c r="CA419" s="1491" t="n"/>
      <c r="CB419" s="1467" t="n"/>
      <c r="CC419" s="1467" t="n"/>
      <c r="CD419" s="1491" t="n"/>
      <c r="CE419" s="1491" t="n"/>
      <c r="CF419" s="1491" t="n"/>
      <c r="CG419" s="1491" t="n"/>
      <c r="CH419" s="1491" t="n"/>
      <c r="CI419" s="1491" t="n"/>
      <c r="CJ419" s="1491" t="n"/>
      <c r="CK419" s="1491" t="n"/>
      <c r="CL419" s="1491" t="n"/>
      <c r="CM419" s="1491" t="n"/>
      <c r="CN419" s="1491" t="n"/>
      <c r="CO419" s="1491" t="n"/>
      <c r="CP419" s="1491" t="n"/>
      <c r="CQ419" s="1491" t="n"/>
      <c r="CR419" s="1491" t="n"/>
      <c r="CS419" s="1491" t="n"/>
      <c r="CT419" s="1491" t="n"/>
      <c r="CU419" s="1491" t="n"/>
      <c r="CV419" s="1491" t="n"/>
      <c r="CW419" s="1491" t="n"/>
      <c r="CX419" s="1491" t="n"/>
    </row>
    <row r="420">
      <c r="A420" s="1491" t="n"/>
      <c r="B420" s="1491" t="n"/>
      <c r="C420" s="1491" t="n"/>
      <c r="D420" s="1497">
        <f>IF(E420&lt;&gt;"",D419+1,D419)</f>
        <v/>
      </c>
      <c r="E420" s="1497" t="inlineStr">
        <is>
          <t>litoral Marina de Massa</t>
        </is>
      </c>
      <c r="F420" s="1535" t="inlineStr">
        <is>
          <t>.</t>
        </is>
      </c>
      <c r="G420" s="1498">
        <f>IF(H420="AIR",0,IF(H419="AIR",G418+1,IF(H420&lt;&gt;"",G419+1,G419)))</f>
        <v/>
      </c>
      <c r="H420" s="1498" t="inlineStr">
        <is>
          <t>Passo della Cisa</t>
        </is>
      </c>
      <c r="I420" s="1427" t="inlineStr">
        <is>
          <t>.</t>
        </is>
      </c>
      <c r="J420" s="1499" t="n">
        <v>415</v>
      </c>
      <c r="K420" s="1500">
        <f>_xlfn.XLOOKUP(cities[[#This Row],[id]],$D$5:$D$1500,E$5:E$1500,"-")</f>
        <v/>
      </c>
      <c r="L420" s="1500">
        <f>_xlfn.XLOOKUP(cities[[#This Row],[city]],ccc[city],ccc[ctry],"-")</f>
        <v/>
      </c>
      <c r="M420" s="1500">
        <f>SUMIFS(stayCity[stay],stayCity[city],cities[[#This Row],[city]])</f>
        <v/>
      </c>
      <c r="N420" s="1427">
        <f>N419+1</f>
        <v/>
      </c>
      <c r="O420" s="1500" t="n"/>
      <c r="P420" s="1500" t="n"/>
      <c r="Q420" s="1427" t="inlineStr">
        <is>
          <t>.</t>
        </is>
      </c>
      <c r="R420" s="1491" t="n"/>
      <c r="S420" s="1491" t="n"/>
      <c r="T420" s="1491" t="n"/>
      <c r="U420" s="1491" t="n"/>
      <c r="V420" s="1491" t="n"/>
      <c r="W420" s="1491" t="n"/>
      <c r="X420" s="1491" t="n"/>
      <c r="Y420" s="1491" t="n"/>
      <c r="Z420" s="1491" t="n"/>
      <c r="AA420" s="1491" t="n"/>
      <c r="AB420" s="1491" t="n"/>
      <c r="AC420" s="1491" t="n"/>
      <c r="AD420" s="1491" t="n"/>
      <c r="AE420" s="1491" t="n"/>
      <c r="AF420" s="1491" t="n"/>
      <c r="AG420" s="1491" t="n"/>
      <c r="AH420" s="1491" t="n"/>
      <c r="AI420" s="1491" t="n"/>
      <c r="AJ420" s="1491" t="n"/>
      <c r="AK420" s="1491" t="n"/>
      <c r="AL420" s="1491" t="n"/>
      <c r="AM420" s="1491" t="n"/>
      <c r="AN420" s="1491" t="n"/>
      <c r="AO420" s="1491" t="n"/>
      <c r="AP420" s="1491" t="n"/>
      <c r="AQ420" s="1491" t="n"/>
      <c r="AR420" s="1491" t="n"/>
      <c r="AS420" s="1491" t="n"/>
      <c r="AT420" s="1491" t="n"/>
      <c r="AU420" s="1491" t="n"/>
      <c r="AV420" s="1491" t="n"/>
      <c r="AW420" s="1491" t="n"/>
      <c r="AX420" s="1491" t="n"/>
      <c r="AY420" s="1491" t="n"/>
      <c r="AZ420" s="1491" t="n"/>
      <c r="BA420" s="1491" t="n"/>
      <c r="BB420" s="1491" t="n"/>
      <c r="BC420" s="1491" t="n"/>
      <c r="BD420" s="1491" t="n"/>
      <c r="BE420" s="1491" t="n"/>
      <c r="BF420" s="1491" t="n"/>
      <c r="BG420" s="1491" t="n"/>
      <c r="BH420" s="1491" t="n"/>
      <c r="BI420" s="1491" t="n"/>
      <c r="BJ420" s="1491" t="n"/>
      <c r="BK420" s="1491" t="n"/>
      <c r="BL420" s="1491" t="n"/>
      <c r="BM420" s="1491" t="n"/>
      <c r="BN420" s="1491" t="n"/>
      <c r="BO420" s="1467" t="n"/>
      <c r="BP420" s="1514" t="n">
        <v>416</v>
      </c>
      <c r="BQ420" s="1513">
        <f>[1]Sheet1!C421</f>
        <v/>
      </c>
      <c r="BR420" s="1515">
        <f>[1]Sheet1!D421</f>
        <v/>
      </c>
      <c r="BS420" s="1513">
        <f>[1]Sheet1!E421</f>
        <v/>
      </c>
      <c r="BT420" s="1515">
        <f>[1]Sheet1!F421</f>
        <v/>
      </c>
      <c r="BU420" s="1516">
        <f>[1]Sheet1!G421</f>
        <v/>
      </c>
      <c r="BV420" s="1513">
        <f>[1]Sheet1!H421</f>
        <v/>
      </c>
      <c r="BW420" s="1467" t="n"/>
      <c r="BX420" s="1491" t="n"/>
      <c r="BY420" s="1491" t="n"/>
      <c r="BZ420" s="1491" t="n"/>
      <c r="CA420" s="1491" t="n"/>
      <c r="CB420" s="1467" t="n"/>
      <c r="CC420" s="1467" t="n"/>
      <c r="CD420" s="1491" t="n"/>
      <c r="CE420" s="1491" t="n"/>
      <c r="CF420" s="1491" t="n"/>
      <c r="CG420" s="1491" t="n"/>
      <c r="CH420" s="1491" t="n"/>
      <c r="CI420" s="1491" t="n"/>
      <c r="CJ420" s="1491" t="n"/>
      <c r="CK420" s="1491" t="n"/>
      <c r="CL420" s="1491" t="n"/>
      <c r="CM420" s="1491" t="n"/>
      <c r="CN420" s="1491" t="n"/>
      <c r="CO420" s="1491" t="n"/>
      <c r="CP420" s="1491" t="n"/>
      <c r="CQ420" s="1491" t="n"/>
      <c r="CR420" s="1491" t="n"/>
      <c r="CS420" s="1491" t="n"/>
      <c r="CT420" s="1491" t="n"/>
      <c r="CU420" s="1491" t="n"/>
      <c r="CV420" s="1491" t="n"/>
      <c r="CW420" s="1491" t="n"/>
      <c r="CX420" s="1491" t="n"/>
    </row>
    <row r="421">
      <c r="A421" s="1491" t="n"/>
      <c r="B421" s="1491" t="n"/>
      <c r="C421" s="1491" t="n"/>
      <c r="D421" s="1497">
        <f>IF(E421&lt;&gt;"",D420+1,D420)</f>
        <v/>
      </c>
      <c r="E421" s="1497" t="inlineStr">
        <is>
          <t>Pietrasanta</t>
        </is>
      </c>
      <c r="F421" s="1535" t="inlineStr">
        <is>
          <t>.</t>
        </is>
      </c>
      <c r="G421" s="1498">
        <f>IF(H421="AIR",0,IF(H420="AIR",G419+1,IF(H421&lt;&gt;"",G420+1,G420)))</f>
        <v/>
      </c>
      <c r="H421" s="1498" t="inlineStr">
        <is>
          <t>Montelungo</t>
        </is>
      </c>
      <c r="I421" s="1427" t="inlineStr">
        <is>
          <t>.</t>
        </is>
      </c>
      <c r="J421" s="1499" t="n">
        <v>416</v>
      </c>
      <c r="K421" s="1500">
        <f>_xlfn.XLOOKUP(cities[[#This Row],[id]],$D$5:$D$1500,E$5:E$1500,"-")</f>
        <v/>
      </c>
      <c r="L421" s="1500">
        <f>_xlfn.XLOOKUP(cities[[#This Row],[city]],ccc[city],ccc[ctry],"-")</f>
        <v/>
      </c>
      <c r="M421" s="1500">
        <f>SUMIFS(stayCity[stay],stayCity[city],cities[[#This Row],[city]])</f>
        <v/>
      </c>
      <c r="N421" s="1427">
        <f>N420+1</f>
        <v/>
      </c>
      <c r="O421" s="1500" t="n"/>
      <c r="P421" s="1500" t="n"/>
      <c r="Q421" s="1427" t="inlineStr">
        <is>
          <t>.</t>
        </is>
      </c>
      <c r="R421" s="1491" t="n"/>
      <c r="S421" s="1491" t="n"/>
      <c r="T421" s="1491" t="n"/>
      <c r="U421" s="1491" t="n"/>
      <c r="V421" s="1491" t="n"/>
      <c r="W421" s="1491" t="n"/>
      <c r="X421" s="1491" t="n"/>
      <c r="Y421" s="1491" t="n"/>
      <c r="Z421" s="1491" t="n"/>
      <c r="AA421" s="1491" t="n"/>
      <c r="AB421" s="1491" t="n"/>
      <c r="AC421" s="1491" t="n"/>
      <c r="AD421" s="1491" t="n"/>
      <c r="AE421" s="1491" t="n"/>
      <c r="AF421" s="1491" t="n"/>
      <c r="AG421" s="1491" t="n"/>
      <c r="AH421" s="1491" t="n"/>
      <c r="AI421" s="1491" t="n"/>
      <c r="AJ421" s="1491" t="n"/>
      <c r="AK421" s="1491" t="n"/>
      <c r="AL421" s="1491" t="n"/>
      <c r="AM421" s="1491" t="n"/>
      <c r="AN421" s="1491" t="n"/>
      <c r="AO421" s="1491" t="n"/>
      <c r="AP421" s="1491" t="n"/>
      <c r="AQ421" s="1491" t="n"/>
      <c r="AR421" s="1491" t="n"/>
      <c r="AS421" s="1491" t="n"/>
      <c r="AT421" s="1491" t="n"/>
      <c r="AU421" s="1491" t="n"/>
      <c r="AV421" s="1491" t="n"/>
      <c r="AW421" s="1491" t="n"/>
      <c r="AX421" s="1491" t="n"/>
      <c r="AY421" s="1491" t="n"/>
      <c r="AZ421" s="1491" t="n"/>
      <c r="BA421" s="1491" t="n"/>
      <c r="BB421" s="1491" t="n"/>
      <c r="BC421" s="1491" t="n"/>
      <c r="BD421" s="1491" t="n"/>
      <c r="BE421" s="1491" t="n"/>
      <c r="BF421" s="1491" t="n"/>
      <c r="BG421" s="1491" t="n"/>
      <c r="BH421" s="1491" t="n"/>
      <c r="BI421" s="1491" t="n"/>
      <c r="BJ421" s="1491" t="n"/>
      <c r="BK421" s="1491" t="n"/>
      <c r="BL421" s="1491" t="n"/>
      <c r="BM421" s="1491" t="n"/>
      <c r="BN421" s="1491" t="n"/>
      <c r="BO421" s="1467" t="n"/>
      <c r="BP421" s="1514" t="n">
        <v>417</v>
      </c>
      <c r="BQ421" s="1513">
        <f>[1]Sheet1!C422</f>
        <v/>
      </c>
      <c r="BR421" s="1515">
        <f>[1]Sheet1!D422</f>
        <v/>
      </c>
      <c r="BS421" s="1513">
        <f>[1]Sheet1!E422</f>
        <v/>
      </c>
      <c r="BT421" s="1515">
        <f>[1]Sheet1!F422</f>
        <v/>
      </c>
      <c r="BU421" s="1516">
        <f>[1]Sheet1!G422</f>
        <v/>
      </c>
      <c r="BV421" s="1513">
        <f>[1]Sheet1!H422</f>
        <v/>
      </c>
      <c r="BW421" s="1467" t="n"/>
      <c r="BX421" s="1491" t="n"/>
      <c r="BY421" s="1491" t="n"/>
      <c r="BZ421" s="1491" t="n"/>
      <c r="CA421" s="1491" t="n"/>
      <c r="CB421" s="1467" t="n"/>
      <c r="CC421" s="1467" t="n"/>
      <c r="CD421" s="1491" t="n"/>
      <c r="CE421" s="1491" t="n"/>
      <c r="CF421" s="1491" t="n"/>
      <c r="CG421" s="1491" t="n"/>
      <c r="CH421" s="1491" t="n"/>
      <c r="CI421" s="1491" t="n"/>
      <c r="CJ421" s="1491" t="n"/>
      <c r="CK421" s="1491" t="n"/>
      <c r="CL421" s="1491" t="n"/>
      <c r="CM421" s="1491" t="n"/>
      <c r="CN421" s="1491" t="n"/>
      <c r="CO421" s="1491" t="n"/>
      <c r="CP421" s="1491" t="n"/>
      <c r="CQ421" s="1491" t="n"/>
      <c r="CR421" s="1491" t="n"/>
      <c r="CS421" s="1491" t="n"/>
      <c r="CT421" s="1491" t="n"/>
      <c r="CU421" s="1491" t="n"/>
      <c r="CV421" s="1491" t="n"/>
      <c r="CW421" s="1491" t="n"/>
      <c r="CX421" s="1491" t="n"/>
    </row>
    <row r="422">
      <c r="A422" s="1491" t="n"/>
      <c r="B422" s="1491" t="n"/>
      <c r="C422" s="1491" t="n"/>
      <c r="D422" s="1497">
        <f>IF(E422&lt;&gt;"",D421+1,D421)</f>
        <v/>
      </c>
      <c r="E422" s="1497" t="inlineStr">
        <is>
          <t>Lucca</t>
        </is>
      </c>
      <c r="F422" s="1535" t="inlineStr">
        <is>
          <t>.</t>
        </is>
      </c>
      <c r="G422" s="1498">
        <f>IF(H422="AIR",0,IF(H421="AIR",G420+1,IF(H422&lt;&gt;"",G421+1,G421)))</f>
        <v/>
      </c>
      <c r="H422" s="1498" t="inlineStr">
        <is>
          <t>Pontremoli</t>
        </is>
      </c>
      <c r="I422" s="1427" t="inlineStr">
        <is>
          <t>.</t>
        </is>
      </c>
      <c r="J422" s="1499" t="n">
        <v>417</v>
      </c>
      <c r="K422" s="1500">
        <f>_xlfn.XLOOKUP(cities[[#This Row],[id]],$D$5:$D$1500,E$5:E$1500,"-")</f>
        <v/>
      </c>
      <c r="L422" s="1500">
        <f>_xlfn.XLOOKUP(cities[[#This Row],[city]],ccc[city],ccc[ctry],"-")</f>
        <v/>
      </c>
      <c r="M422" s="1500">
        <f>SUMIFS(stayCity[stay],stayCity[city],cities[[#This Row],[city]])</f>
        <v/>
      </c>
      <c r="N422" s="1427">
        <f>N421+1</f>
        <v/>
      </c>
      <c r="O422" s="1500" t="n"/>
      <c r="P422" s="1500" t="n"/>
      <c r="Q422" s="1427" t="inlineStr">
        <is>
          <t>.</t>
        </is>
      </c>
      <c r="R422" s="1491" t="n"/>
      <c r="S422" s="1491" t="n"/>
      <c r="T422" s="1491" t="n"/>
      <c r="U422" s="1491" t="n"/>
      <c r="V422" s="1491" t="n"/>
      <c r="W422" s="1491" t="n"/>
      <c r="X422" s="1491" t="n"/>
      <c r="Y422" s="1491" t="n"/>
      <c r="Z422" s="1491" t="n"/>
      <c r="AA422" s="1491" t="n"/>
      <c r="AB422" s="1491" t="n"/>
      <c r="AC422" s="1491" t="n"/>
      <c r="AD422" s="1491" t="n"/>
      <c r="AE422" s="1491" t="n"/>
      <c r="AF422" s="1491" t="n"/>
      <c r="AG422" s="1491" t="n"/>
      <c r="AH422" s="1491" t="n"/>
      <c r="AI422" s="1491" t="n"/>
      <c r="AJ422" s="1491" t="n"/>
      <c r="AK422" s="1491" t="n"/>
      <c r="AL422" s="1491" t="n"/>
      <c r="AM422" s="1491" t="n"/>
      <c r="AN422" s="1491" t="n"/>
      <c r="AO422" s="1491" t="n"/>
      <c r="AP422" s="1491" t="n"/>
      <c r="AQ422" s="1491" t="n"/>
      <c r="AR422" s="1491" t="n"/>
      <c r="AS422" s="1491" t="n"/>
      <c r="AT422" s="1491" t="n"/>
      <c r="AU422" s="1491" t="n"/>
      <c r="AV422" s="1491" t="n"/>
      <c r="AW422" s="1491" t="n"/>
      <c r="AX422" s="1491" t="n"/>
      <c r="AY422" s="1491" t="n"/>
      <c r="AZ422" s="1491" t="n"/>
      <c r="BA422" s="1491" t="n"/>
      <c r="BB422" s="1491" t="n"/>
      <c r="BC422" s="1491" t="n"/>
      <c r="BD422" s="1491" t="n"/>
      <c r="BE422" s="1491" t="n"/>
      <c r="BF422" s="1491" t="n"/>
      <c r="BG422" s="1491" t="n"/>
      <c r="BH422" s="1491" t="n"/>
      <c r="BI422" s="1491" t="n"/>
      <c r="BJ422" s="1491" t="n"/>
      <c r="BK422" s="1491" t="n"/>
      <c r="BL422" s="1491" t="n"/>
      <c r="BM422" s="1491" t="n"/>
      <c r="BN422" s="1491" t="n"/>
      <c r="BO422" s="1467" t="n"/>
      <c r="BP422" s="1514" t="n">
        <v>418</v>
      </c>
      <c r="BQ422" s="1513">
        <f>[1]Sheet1!C423</f>
        <v/>
      </c>
      <c r="BR422" s="1515">
        <f>[1]Sheet1!D423</f>
        <v/>
      </c>
      <c r="BS422" s="1513">
        <f>[1]Sheet1!E423</f>
        <v/>
      </c>
      <c r="BT422" s="1515">
        <f>[1]Sheet1!F423</f>
        <v/>
      </c>
      <c r="BU422" s="1516">
        <f>[1]Sheet1!G423</f>
        <v/>
      </c>
      <c r="BV422" s="1513">
        <f>[1]Sheet1!H423</f>
        <v/>
      </c>
      <c r="BW422" s="1467" t="n"/>
      <c r="BX422" s="1491" t="n"/>
      <c r="BY422" s="1491" t="n"/>
      <c r="BZ422" s="1491" t="n"/>
      <c r="CA422" s="1491" t="n"/>
      <c r="CB422" s="1467" t="n"/>
      <c r="CC422" s="1467" t="n"/>
      <c r="CD422" s="1491" t="n"/>
      <c r="CE422" s="1491" t="n"/>
      <c r="CF422" s="1491" t="n"/>
      <c r="CG422" s="1491" t="n"/>
      <c r="CH422" s="1491" t="n"/>
      <c r="CI422" s="1491" t="n"/>
      <c r="CJ422" s="1491" t="n"/>
      <c r="CK422" s="1491" t="n"/>
      <c r="CL422" s="1491" t="n"/>
      <c r="CM422" s="1491" t="n"/>
      <c r="CN422" s="1491" t="n"/>
      <c r="CO422" s="1491" t="n"/>
      <c r="CP422" s="1491" t="n"/>
      <c r="CQ422" s="1491" t="n"/>
      <c r="CR422" s="1491" t="n"/>
      <c r="CS422" s="1491" t="n"/>
      <c r="CT422" s="1491" t="n"/>
      <c r="CU422" s="1491" t="n"/>
      <c r="CV422" s="1491" t="n"/>
      <c r="CW422" s="1491" t="n"/>
      <c r="CX422" s="1491" t="n"/>
    </row>
    <row r="423">
      <c r="A423" s="1491" t="n"/>
      <c r="B423" s="1491" t="n"/>
      <c r="C423" s="1491" t="n"/>
      <c r="D423" s="1497">
        <f>IF(E423&lt;&gt;"",D422+1,D422)</f>
        <v/>
      </c>
      <c r="E423" s="1497" t="inlineStr">
        <is>
          <t>San Miniato Basso</t>
        </is>
      </c>
      <c r="F423" s="1535" t="inlineStr">
        <is>
          <t>.</t>
        </is>
      </c>
      <c r="G423" s="1498">
        <f>IF(H423="AIR",0,IF(H422="AIR",G421+1,IF(H423&lt;&gt;"",G422+1,G422)))</f>
        <v/>
      </c>
      <c r="H423" s="1498" t="inlineStr">
        <is>
          <t>Villafranca Lunigiana</t>
        </is>
      </c>
      <c r="I423" s="1427" t="inlineStr">
        <is>
          <t>.</t>
        </is>
      </c>
      <c r="J423" s="1499" t="n">
        <v>418</v>
      </c>
      <c r="K423" s="1500">
        <f>_xlfn.XLOOKUP(cities[[#This Row],[id]],$D$5:$D$1500,E$5:E$1500,"-")</f>
        <v/>
      </c>
      <c r="L423" s="1500">
        <f>_xlfn.XLOOKUP(cities[[#This Row],[city]],ccc[city],ccc[ctry],"-")</f>
        <v/>
      </c>
      <c r="M423" s="1500">
        <f>SUMIFS(stayCity[stay],stayCity[city],cities[[#This Row],[city]])</f>
        <v/>
      </c>
      <c r="N423" s="1427">
        <f>N422+1</f>
        <v/>
      </c>
      <c r="O423" s="1500" t="n"/>
      <c r="P423" s="1500" t="n"/>
      <c r="Q423" s="1427" t="inlineStr">
        <is>
          <t>.</t>
        </is>
      </c>
      <c r="R423" s="1491" t="n"/>
      <c r="S423" s="1491" t="n"/>
      <c r="T423" s="1491" t="n"/>
      <c r="U423" s="1491" t="n"/>
      <c r="V423" s="1491" t="n"/>
      <c r="W423" s="1491" t="n"/>
      <c r="X423" s="1491" t="n"/>
      <c r="Y423" s="1491" t="n"/>
      <c r="Z423" s="1491" t="n"/>
      <c r="AA423" s="1491" t="n"/>
      <c r="AB423" s="1491" t="n"/>
      <c r="AC423" s="1491" t="n"/>
      <c r="AD423" s="1491" t="n"/>
      <c r="AE423" s="1491" t="n"/>
      <c r="AF423" s="1491" t="n"/>
      <c r="AG423" s="1491" t="n"/>
      <c r="AH423" s="1491" t="n"/>
      <c r="AI423" s="1491" t="n"/>
      <c r="AJ423" s="1491" t="n"/>
      <c r="AK423" s="1491" t="n"/>
      <c r="AL423" s="1491" t="n"/>
      <c r="AM423" s="1491" t="n"/>
      <c r="AN423" s="1491" t="n"/>
      <c r="AO423" s="1491" t="n"/>
      <c r="AP423" s="1491" t="n"/>
      <c r="AQ423" s="1491" t="n"/>
      <c r="AR423" s="1491" t="n"/>
      <c r="AS423" s="1491" t="n"/>
      <c r="AT423" s="1491" t="n"/>
      <c r="AU423" s="1491" t="n"/>
      <c r="AV423" s="1491" t="n"/>
      <c r="AW423" s="1491" t="n"/>
      <c r="AX423" s="1491" t="n"/>
      <c r="AY423" s="1491" t="n"/>
      <c r="AZ423" s="1491" t="n"/>
      <c r="BA423" s="1491" t="n"/>
      <c r="BB423" s="1491" t="n"/>
      <c r="BC423" s="1491" t="n"/>
      <c r="BD423" s="1491" t="n"/>
      <c r="BE423" s="1491" t="n"/>
      <c r="BF423" s="1491" t="n"/>
      <c r="BG423" s="1491" t="n"/>
      <c r="BH423" s="1491" t="n"/>
      <c r="BI423" s="1491" t="n"/>
      <c r="BJ423" s="1491" t="n"/>
      <c r="BK423" s="1491" t="n"/>
      <c r="BL423" s="1491" t="n"/>
      <c r="BM423" s="1491" t="n"/>
      <c r="BN423" s="1491" t="n"/>
      <c r="BO423" s="1467" t="n"/>
      <c r="BP423" s="1514" t="n">
        <v>419</v>
      </c>
      <c r="BQ423" s="1513">
        <f>[1]Sheet1!C424</f>
        <v/>
      </c>
      <c r="BR423" s="1515">
        <f>[1]Sheet1!D424</f>
        <v/>
      </c>
      <c r="BS423" s="1513">
        <f>[1]Sheet1!E424</f>
        <v/>
      </c>
      <c r="BT423" s="1515">
        <f>[1]Sheet1!F424</f>
        <v/>
      </c>
      <c r="BU423" s="1516">
        <f>[1]Sheet1!G424</f>
        <v/>
      </c>
      <c r="BV423" s="1513">
        <f>[1]Sheet1!H424</f>
        <v/>
      </c>
      <c r="BW423" s="1467" t="n"/>
      <c r="BX423" s="1491" t="n"/>
      <c r="BY423" s="1491" t="n"/>
      <c r="BZ423" s="1491" t="n"/>
      <c r="CA423" s="1491" t="n"/>
      <c r="CB423" s="1467" t="n"/>
      <c r="CC423" s="1467" t="n"/>
      <c r="CD423" s="1491" t="n"/>
      <c r="CE423" s="1491" t="n"/>
      <c r="CF423" s="1491" t="n"/>
      <c r="CG423" s="1491" t="n"/>
      <c r="CH423" s="1491" t="n"/>
      <c r="CI423" s="1491" t="n"/>
      <c r="CJ423" s="1491" t="n"/>
      <c r="CK423" s="1491" t="n"/>
      <c r="CL423" s="1491" t="n"/>
      <c r="CM423" s="1491" t="n"/>
      <c r="CN423" s="1491" t="n"/>
      <c r="CO423" s="1491" t="n"/>
      <c r="CP423" s="1491" t="n"/>
      <c r="CQ423" s="1491" t="n"/>
      <c r="CR423" s="1491" t="n"/>
      <c r="CS423" s="1491" t="n"/>
      <c r="CT423" s="1491" t="n"/>
      <c r="CU423" s="1491" t="n"/>
      <c r="CV423" s="1491" t="n"/>
      <c r="CW423" s="1491" t="n"/>
      <c r="CX423" s="1491" t="n"/>
    </row>
    <row r="424">
      <c r="A424" s="1491" t="n"/>
      <c r="B424" s="1491" t="n"/>
      <c r="C424" s="1491" t="n"/>
      <c r="D424" s="1497">
        <f>IF(E424&lt;&gt;"",D423+1,D423)</f>
        <v/>
      </c>
      <c r="E424" s="1497" t="inlineStr">
        <is>
          <t>San Miniato Alto</t>
        </is>
      </c>
      <c r="F424" s="1535" t="inlineStr">
        <is>
          <t>.</t>
        </is>
      </c>
      <c r="G424" s="1498">
        <f>IF(H424="AIR",0,IF(H423="AIR",G422+1,IF(H424&lt;&gt;"",G423+1,G423)))</f>
        <v/>
      </c>
      <c r="H424" s="1498" t="inlineStr">
        <is>
          <t>Aulla</t>
        </is>
      </c>
      <c r="I424" s="1427" t="inlineStr">
        <is>
          <t>.</t>
        </is>
      </c>
      <c r="J424" s="1499" t="n">
        <v>419</v>
      </c>
      <c r="K424" s="1500">
        <f>_xlfn.XLOOKUP(cities[[#This Row],[id]],$D$5:$D$1500,E$5:E$1500,"-")</f>
        <v/>
      </c>
      <c r="L424" s="1500">
        <f>_xlfn.XLOOKUP(cities[[#This Row],[city]],ccc[city],ccc[ctry],"-")</f>
        <v/>
      </c>
      <c r="M424" s="1500">
        <f>SUMIFS(stayCity[stay],stayCity[city],cities[[#This Row],[city]])</f>
        <v/>
      </c>
      <c r="N424" s="1427">
        <f>N423+1</f>
        <v/>
      </c>
      <c r="O424" s="1500" t="n"/>
      <c r="P424" s="1500" t="n"/>
      <c r="Q424" s="1427" t="inlineStr">
        <is>
          <t>.</t>
        </is>
      </c>
      <c r="R424" s="1491" t="n"/>
      <c r="S424" s="1491" t="n"/>
      <c r="T424" s="1491" t="n"/>
      <c r="U424" s="1491" t="n"/>
      <c r="V424" s="1491" t="n"/>
      <c r="W424" s="1491" t="n"/>
      <c r="X424" s="1491" t="n"/>
      <c r="Y424" s="1491" t="n"/>
      <c r="Z424" s="1491" t="n"/>
      <c r="AA424" s="1491" t="n"/>
      <c r="AB424" s="1491" t="n"/>
      <c r="AC424" s="1491" t="n"/>
      <c r="AD424" s="1491" t="n"/>
      <c r="AE424" s="1491" t="n"/>
      <c r="AF424" s="1491" t="n"/>
      <c r="AG424" s="1491" t="n"/>
      <c r="AH424" s="1491" t="n"/>
      <c r="AI424" s="1491" t="n"/>
      <c r="AJ424" s="1491" t="n"/>
      <c r="AK424" s="1491" t="n"/>
      <c r="AL424" s="1491" t="n"/>
      <c r="AM424" s="1491" t="n"/>
      <c r="AN424" s="1491" t="n"/>
      <c r="AO424" s="1491" t="n"/>
      <c r="AP424" s="1491" t="n"/>
      <c r="AQ424" s="1491" t="n"/>
      <c r="AR424" s="1491" t="n"/>
      <c r="AS424" s="1491" t="n"/>
      <c r="AT424" s="1491" t="n"/>
      <c r="AU424" s="1491" t="n"/>
      <c r="AV424" s="1491" t="n"/>
      <c r="AW424" s="1491" t="n"/>
      <c r="AX424" s="1491" t="n"/>
      <c r="AY424" s="1491" t="n"/>
      <c r="AZ424" s="1491" t="n"/>
      <c r="BA424" s="1491" t="n"/>
      <c r="BB424" s="1491" t="n"/>
      <c r="BC424" s="1491" t="n"/>
      <c r="BD424" s="1491" t="n"/>
      <c r="BE424" s="1491" t="n"/>
      <c r="BF424" s="1491" t="n"/>
      <c r="BG424" s="1491" t="n"/>
      <c r="BH424" s="1491" t="n"/>
      <c r="BI424" s="1491" t="n"/>
      <c r="BJ424" s="1491" t="n"/>
      <c r="BK424" s="1491" t="n"/>
      <c r="BL424" s="1491" t="n"/>
      <c r="BM424" s="1491" t="n"/>
      <c r="BN424" s="1491" t="n"/>
      <c r="BO424" s="1467" t="n"/>
      <c r="BP424" s="1514" t="n">
        <v>420</v>
      </c>
      <c r="BQ424" s="1513">
        <f>[1]Sheet1!C425</f>
        <v/>
      </c>
      <c r="BR424" s="1515">
        <f>[1]Sheet1!D425</f>
        <v/>
      </c>
      <c r="BS424" s="1513">
        <f>[1]Sheet1!E425</f>
        <v/>
      </c>
      <c r="BT424" s="1515">
        <f>[1]Sheet1!F425</f>
        <v/>
      </c>
      <c r="BU424" s="1516">
        <f>[1]Sheet1!G425</f>
        <v/>
      </c>
      <c r="BV424" s="1513">
        <f>[1]Sheet1!H425</f>
        <v/>
      </c>
      <c r="BW424" s="1467" t="n"/>
      <c r="BX424" s="1491" t="n"/>
      <c r="BY424" s="1491" t="n"/>
      <c r="BZ424" s="1491" t="n"/>
      <c r="CA424" s="1491" t="n"/>
      <c r="CB424" s="1467" t="n"/>
      <c r="CC424" s="1467" t="n"/>
      <c r="CD424" s="1491" t="n"/>
      <c r="CE424" s="1491" t="n"/>
      <c r="CF424" s="1491" t="n"/>
      <c r="CG424" s="1491" t="n"/>
      <c r="CH424" s="1491" t="n"/>
      <c r="CI424" s="1491" t="n"/>
      <c r="CJ424" s="1491" t="n"/>
      <c r="CK424" s="1491" t="n"/>
      <c r="CL424" s="1491" t="n"/>
      <c r="CM424" s="1491" t="n"/>
      <c r="CN424" s="1491" t="n"/>
      <c r="CO424" s="1491" t="n"/>
      <c r="CP424" s="1491" t="n"/>
      <c r="CQ424" s="1491" t="n"/>
      <c r="CR424" s="1491" t="n"/>
      <c r="CS424" s="1491" t="n"/>
      <c r="CT424" s="1491" t="n"/>
      <c r="CU424" s="1491" t="n"/>
      <c r="CV424" s="1491" t="n"/>
      <c r="CW424" s="1491" t="n"/>
      <c r="CX424" s="1491" t="n"/>
    </row>
    <row r="425">
      <c r="A425" s="1491" t="n"/>
      <c r="B425" s="1491" t="n"/>
      <c r="C425" s="1491" t="n"/>
      <c r="D425" s="1497">
        <f>IF(E425&lt;&gt;"",D424+1,D424)</f>
        <v/>
      </c>
      <c r="E425" s="1497" t="inlineStr">
        <is>
          <t>San Gimignano</t>
        </is>
      </c>
      <c r="F425" s="1535" t="inlineStr">
        <is>
          <t>.</t>
        </is>
      </c>
      <c r="G425" s="1498">
        <f>IF(H425="AIR",0,IF(H424="AIR",G423+1,IF(H425&lt;&gt;"",G424+1,G424)))</f>
        <v/>
      </c>
      <c r="H425" s="1498" t="inlineStr">
        <is>
          <t>Sarzana</t>
        </is>
      </c>
      <c r="I425" s="1427" t="inlineStr">
        <is>
          <t>.</t>
        </is>
      </c>
      <c r="J425" s="1499" t="n">
        <v>420</v>
      </c>
      <c r="K425" s="1500">
        <f>_xlfn.XLOOKUP(cities[[#This Row],[id]],$D$5:$D$1500,E$5:E$1500,"-")</f>
        <v/>
      </c>
      <c r="L425" s="1500">
        <f>_xlfn.XLOOKUP(cities[[#This Row],[city]],ccc[city],ccc[ctry],"-")</f>
        <v/>
      </c>
      <c r="M425" s="1500">
        <f>SUMIFS(stayCity[stay],stayCity[city],cities[[#This Row],[city]])</f>
        <v/>
      </c>
      <c r="N425" s="1427">
        <f>N424+1</f>
        <v/>
      </c>
      <c r="O425" s="1500" t="n"/>
      <c r="P425" s="1500" t="n"/>
      <c r="Q425" s="1427" t="inlineStr">
        <is>
          <t>.</t>
        </is>
      </c>
      <c r="R425" s="1491" t="n"/>
      <c r="S425" s="1491" t="n"/>
      <c r="T425" s="1491" t="n"/>
      <c r="U425" s="1491" t="n"/>
      <c r="V425" s="1491" t="n"/>
      <c r="W425" s="1491" t="n"/>
      <c r="X425" s="1491" t="n"/>
      <c r="Y425" s="1491" t="n"/>
      <c r="Z425" s="1491" t="n"/>
      <c r="AA425" s="1491" t="n"/>
      <c r="AB425" s="1491" t="n"/>
      <c r="AC425" s="1491" t="n"/>
      <c r="AD425" s="1491" t="n"/>
      <c r="AE425" s="1491" t="n"/>
      <c r="AF425" s="1491" t="n"/>
      <c r="AG425" s="1491" t="n"/>
      <c r="AH425" s="1491" t="n"/>
      <c r="AI425" s="1491" t="n"/>
      <c r="AJ425" s="1491" t="n"/>
      <c r="AK425" s="1491" t="n"/>
      <c r="AL425" s="1491" t="n"/>
      <c r="AM425" s="1491" t="n"/>
      <c r="AN425" s="1491" t="n"/>
      <c r="AO425" s="1491" t="n"/>
      <c r="AP425" s="1491" t="n"/>
      <c r="AQ425" s="1491" t="n"/>
      <c r="AR425" s="1491" t="n"/>
      <c r="AS425" s="1491" t="n"/>
      <c r="AT425" s="1491" t="n"/>
      <c r="AU425" s="1491" t="n"/>
      <c r="AV425" s="1491" t="n"/>
      <c r="AW425" s="1491" t="n"/>
      <c r="AX425" s="1491" t="n"/>
      <c r="AY425" s="1491" t="n"/>
      <c r="AZ425" s="1491" t="n"/>
      <c r="BA425" s="1491" t="n"/>
      <c r="BB425" s="1491" t="n"/>
      <c r="BC425" s="1491" t="n"/>
      <c r="BD425" s="1491" t="n"/>
      <c r="BE425" s="1491" t="n"/>
      <c r="BF425" s="1491" t="n"/>
      <c r="BG425" s="1491" t="n"/>
      <c r="BH425" s="1491" t="n"/>
      <c r="BI425" s="1491" t="n"/>
      <c r="BJ425" s="1491" t="n"/>
      <c r="BK425" s="1491" t="n"/>
      <c r="BL425" s="1491" t="n"/>
      <c r="BM425" s="1491" t="n"/>
      <c r="BN425" s="1491" t="n"/>
      <c r="BO425" s="1467" t="n"/>
      <c r="BP425" s="1514" t="n">
        <v>421</v>
      </c>
      <c r="BQ425" s="1513">
        <f>[1]Sheet1!C426</f>
        <v/>
      </c>
      <c r="BR425" s="1515">
        <f>[1]Sheet1!D426</f>
        <v/>
      </c>
      <c r="BS425" s="1513">
        <f>[1]Sheet1!E426</f>
        <v/>
      </c>
      <c r="BT425" s="1515">
        <f>[1]Sheet1!F426</f>
        <v/>
      </c>
      <c r="BU425" s="1516">
        <f>[1]Sheet1!G426</f>
        <v/>
      </c>
      <c r="BV425" s="1513">
        <f>[1]Sheet1!H426</f>
        <v/>
      </c>
      <c r="BW425" s="1467" t="n"/>
      <c r="BX425" s="1491" t="n"/>
      <c r="BY425" s="1491" t="n"/>
      <c r="BZ425" s="1491" t="n"/>
      <c r="CA425" s="1491" t="n"/>
      <c r="CB425" s="1467" t="n"/>
      <c r="CC425" s="1467" t="n"/>
      <c r="CD425" s="1491" t="n"/>
      <c r="CE425" s="1491" t="n"/>
      <c r="CF425" s="1491" t="n"/>
      <c r="CG425" s="1491" t="n"/>
      <c r="CH425" s="1491" t="n"/>
      <c r="CI425" s="1491" t="n"/>
      <c r="CJ425" s="1491" t="n"/>
      <c r="CK425" s="1491" t="n"/>
      <c r="CL425" s="1491" t="n"/>
      <c r="CM425" s="1491" t="n"/>
      <c r="CN425" s="1491" t="n"/>
      <c r="CO425" s="1491" t="n"/>
      <c r="CP425" s="1491" t="n"/>
      <c r="CQ425" s="1491" t="n"/>
      <c r="CR425" s="1491" t="n"/>
      <c r="CS425" s="1491" t="n"/>
      <c r="CT425" s="1491" t="n"/>
      <c r="CU425" s="1491" t="n"/>
      <c r="CV425" s="1491" t="n"/>
      <c r="CW425" s="1491" t="n"/>
      <c r="CX425" s="1491" t="n"/>
    </row>
    <row r="426">
      <c r="A426" s="1491" t="n"/>
      <c r="B426" s="1491" t="n"/>
      <c r="C426" s="1491" t="n"/>
      <c r="D426" s="1497">
        <f>IF(E426&lt;&gt;"",D425+1,D425)</f>
        <v/>
      </c>
      <c r="E426" s="1497" t="inlineStr">
        <is>
          <t>Buonconvento</t>
        </is>
      </c>
      <c r="F426" s="1535" t="inlineStr">
        <is>
          <t>.</t>
        </is>
      </c>
      <c r="G426" s="1498">
        <f>IF(H426="AIR",0,IF(H425="AIR",G424+1,IF(H426&lt;&gt;"",G425+1,G425)))</f>
        <v/>
      </c>
      <c r="H426" s="1498" t="inlineStr">
        <is>
          <t>Luni</t>
        </is>
      </c>
      <c r="I426" s="1427" t="inlineStr">
        <is>
          <t>.</t>
        </is>
      </c>
      <c r="J426" s="1499" t="n">
        <v>421</v>
      </c>
      <c r="K426" s="1500">
        <f>_xlfn.XLOOKUP(cities[[#This Row],[id]],$D$5:$D$1500,E$5:E$1500,"-")</f>
        <v/>
      </c>
      <c r="L426" s="1500">
        <f>_xlfn.XLOOKUP(cities[[#This Row],[city]],ccc[city],ccc[ctry],"-")</f>
        <v/>
      </c>
      <c r="M426" s="1500">
        <f>SUMIFS(stayCity[stay],stayCity[city],cities[[#This Row],[city]])</f>
        <v/>
      </c>
      <c r="N426" s="1427">
        <f>N425+1</f>
        <v/>
      </c>
      <c r="O426" s="1500" t="n"/>
      <c r="P426" s="1500" t="n"/>
      <c r="Q426" s="1427" t="inlineStr">
        <is>
          <t>.</t>
        </is>
      </c>
      <c r="R426" s="1491" t="n"/>
      <c r="S426" s="1491" t="n"/>
      <c r="T426" s="1491" t="n"/>
      <c r="U426" s="1491" t="n"/>
      <c r="V426" s="1491" t="n"/>
      <c r="W426" s="1491" t="n"/>
      <c r="X426" s="1491" t="n"/>
      <c r="Y426" s="1491" t="n"/>
      <c r="Z426" s="1491" t="n"/>
      <c r="AA426" s="1491" t="n"/>
      <c r="AB426" s="1491" t="n"/>
      <c r="AC426" s="1491" t="n"/>
      <c r="AD426" s="1491" t="n"/>
      <c r="AE426" s="1491" t="n"/>
      <c r="AF426" s="1491" t="n"/>
      <c r="AG426" s="1491" t="n"/>
      <c r="AH426" s="1491" t="n"/>
      <c r="AI426" s="1491" t="n"/>
      <c r="AJ426" s="1491" t="n"/>
      <c r="AK426" s="1491" t="n"/>
      <c r="AL426" s="1491" t="n"/>
      <c r="AM426" s="1491" t="n"/>
      <c r="AN426" s="1491" t="n"/>
      <c r="AO426" s="1491" t="n"/>
      <c r="AP426" s="1491" t="n"/>
      <c r="AQ426" s="1491" t="n"/>
      <c r="AR426" s="1491" t="n"/>
      <c r="AS426" s="1491" t="n"/>
      <c r="AT426" s="1491" t="n"/>
      <c r="AU426" s="1491" t="n"/>
      <c r="AV426" s="1491" t="n"/>
      <c r="AW426" s="1491" t="n"/>
      <c r="AX426" s="1491" t="n"/>
      <c r="AY426" s="1491" t="n"/>
      <c r="AZ426" s="1491" t="n"/>
      <c r="BA426" s="1491" t="n"/>
      <c r="BB426" s="1491" t="n"/>
      <c r="BC426" s="1491" t="n"/>
      <c r="BD426" s="1491" t="n"/>
      <c r="BE426" s="1491" t="n"/>
      <c r="BF426" s="1491" t="n"/>
      <c r="BG426" s="1491" t="n"/>
      <c r="BH426" s="1491" t="n"/>
      <c r="BI426" s="1491" t="n"/>
      <c r="BJ426" s="1491" t="n"/>
      <c r="BK426" s="1491" t="n"/>
      <c r="BL426" s="1491" t="n"/>
      <c r="BM426" s="1491" t="n"/>
      <c r="BN426" s="1491" t="n"/>
      <c r="BO426" s="1467" t="n"/>
      <c r="BP426" s="1514" t="n">
        <v>422</v>
      </c>
      <c r="BQ426" s="1513">
        <f>[1]Sheet1!C427</f>
        <v/>
      </c>
      <c r="BR426" s="1515">
        <f>[1]Sheet1!D427</f>
        <v/>
      </c>
      <c r="BS426" s="1513">
        <f>[1]Sheet1!E427</f>
        <v/>
      </c>
      <c r="BT426" s="1515">
        <f>[1]Sheet1!F427</f>
        <v/>
      </c>
      <c r="BU426" s="1516">
        <f>[1]Sheet1!G427</f>
        <v/>
      </c>
      <c r="BV426" s="1513">
        <f>[1]Sheet1!H427</f>
        <v/>
      </c>
      <c r="BW426" s="1467" t="n"/>
      <c r="BX426" s="1491" t="n"/>
      <c r="BY426" s="1491" t="n"/>
      <c r="BZ426" s="1491" t="n"/>
      <c r="CA426" s="1491" t="n"/>
      <c r="CB426" s="1467" t="n"/>
      <c r="CC426" s="1467" t="n"/>
      <c r="CD426" s="1491" t="n"/>
      <c r="CE426" s="1491" t="n"/>
      <c r="CF426" s="1491" t="n"/>
      <c r="CG426" s="1491" t="n"/>
      <c r="CH426" s="1491" t="n"/>
      <c r="CI426" s="1491" t="n"/>
      <c r="CJ426" s="1491" t="n"/>
      <c r="CK426" s="1491" t="n"/>
      <c r="CL426" s="1491" t="n"/>
      <c r="CM426" s="1491" t="n"/>
      <c r="CN426" s="1491" t="n"/>
      <c r="CO426" s="1491" t="n"/>
      <c r="CP426" s="1491" t="n"/>
      <c r="CQ426" s="1491" t="n"/>
      <c r="CR426" s="1491" t="n"/>
      <c r="CS426" s="1491" t="n"/>
      <c r="CT426" s="1491" t="n"/>
      <c r="CU426" s="1491" t="n"/>
      <c r="CV426" s="1491" t="n"/>
      <c r="CW426" s="1491" t="n"/>
      <c r="CX426" s="1491" t="n"/>
    </row>
    <row r="427">
      <c r="A427" s="1491" t="n"/>
      <c r="B427" s="1491" t="n"/>
      <c r="C427" s="1491" t="n"/>
      <c r="D427" s="1497">
        <f>IF(E427&lt;&gt;"",D426+1,D426)</f>
        <v/>
      </c>
      <c r="E427" s="1497" t="inlineStr">
        <is>
          <t>Montalcino</t>
        </is>
      </c>
      <c r="F427" s="1535" t="inlineStr">
        <is>
          <t>.</t>
        </is>
      </c>
      <c r="G427" s="1498">
        <f>IF(H427="AIR",0,IF(H426="AIR",G425+1,IF(H427&lt;&gt;"",G426+1,G426)))</f>
        <v/>
      </c>
      <c r="H427" s="1498" t="inlineStr">
        <is>
          <t>Carrara</t>
        </is>
      </c>
      <c r="I427" s="1427" t="inlineStr">
        <is>
          <t>.</t>
        </is>
      </c>
      <c r="J427" s="1499" t="n">
        <v>422</v>
      </c>
      <c r="K427" s="1500">
        <f>_xlfn.XLOOKUP(cities[[#This Row],[id]],$D$5:$D$1500,E$5:E$1500,"-")</f>
        <v/>
      </c>
      <c r="L427" s="1500">
        <f>_xlfn.XLOOKUP(cities[[#This Row],[city]],ccc[city],ccc[ctry],"-")</f>
        <v/>
      </c>
      <c r="M427" s="1500">
        <f>SUMIFS(stayCity[stay],stayCity[city],cities[[#This Row],[city]])</f>
        <v/>
      </c>
      <c r="N427" s="1427">
        <f>N426+1</f>
        <v/>
      </c>
      <c r="O427" s="1500" t="n"/>
      <c r="P427" s="1500" t="n"/>
      <c r="Q427" s="1427" t="inlineStr">
        <is>
          <t>.</t>
        </is>
      </c>
      <c r="R427" s="1491" t="n"/>
      <c r="S427" s="1491" t="n"/>
      <c r="T427" s="1491" t="n"/>
      <c r="U427" s="1491" t="n"/>
      <c r="V427" s="1491" t="n"/>
      <c r="W427" s="1491" t="n"/>
      <c r="X427" s="1491" t="n"/>
      <c r="Y427" s="1491" t="n"/>
      <c r="Z427" s="1491" t="n"/>
      <c r="AA427" s="1491" t="n"/>
      <c r="AB427" s="1491" t="n"/>
      <c r="AC427" s="1491" t="n"/>
      <c r="AD427" s="1491" t="n"/>
      <c r="AE427" s="1491" t="n"/>
      <c r="AF427" s="1491" t="n"/>
      <c r="AG427" s="1491" t="n"/>
      <c r="AH427" s="1491" t="n"/>
      <c r="AI427" s="1491" t="n"/>
      <c r="AJ427" s="1491" t="n"/>
      <c r="AK427" s="1491" t="n"/>
      <c r="AL427" s="1491" t="n"/>
      <c r="AM427" s="1491" t="n"/>
      <c r="AN427" s="1491" t="n"/>
      <c r="AO427" s="1491" t="n"/>
      <c r="AP427" s="1491" t="n"/>
      <c r="AQ427" s="1491" t="n"/>
      <c r="AR427" s="1491" t="n"/>
      <c r="AS427" s="1491" t="n"/>
      <c r="AT427" s="1491" t="n"/>
      <c r="AU427" s="1491" t="n"/>
      <c r="AV427" s="1491" t="n"/>
      <c r="AW427" s="1491" t="n"/>
      <c r="AX427" s="1491" t="n"/>
      <c r="AY427" s="1491" t="n"/>
      <c r="AZ427" s="1491" t="n"/>
      <c r="BA427" s="1491" t="n"/>
      <c r="BB427" s="1491" t="n"/>
      <c r="BC427" s="1491" t="n"/>
      <c r="BD427" s="1491" t="n"/>
      <c r="BE427" s="1491" t="n"/>
      <c r="BF427" s="1491" t="n"/>
      <c r="BG427" s="1491" t="n"/>
      <c r="BH427" s="1491" t="n"/>
      <c r="BI427" s="1491" t="n"/>
      <c r="BJ427" s="1491" t="n"/>
      <c r="BK427" s="1491" t="n"/>
      <c r="BL427" s="1491" t="n"/>
      <c r="BM427" s="1491" t="n"/>
      <c r="BN427" s="1491" t="n"/>
      <c r="BO427" s="1467" t="n"/>
      <c r="BP427" s="1514" t="n">
        <v>423</v>
      </c>
      <c r="BQ427" s="1513">
        <f>[1]Sheet1!C428</f>
        <v/>
      </c>
      <c r="BR427" s="1515">
        <f>[1]Sheet1!D428</f>
        <v/>
      </c>
      <c r="BS427" s="1513">
        <f>[1]Sheet1!E428</f>
        <v/>
      </c>
      <c r="BT427" s="1515">
        <f>[1]Sheet1!F428</f>
        <v/>
      </c>
      <c r="BU427" s="1516">
        <f>[1]Sheet1!G428</f>
        <v/>
      </c>
      <c r="BV427" s="1513">
        <f>[1]Sheet1!H428</f>
        <v/>
      </c>
      <c r="BW427" s="1467" t="n"/>
      <c r="BX427" s="1491" t="n"/>
      <c r="BY427" s="1491" t="n"/>
      <c r="BZ427" s="1491" t="n"/>
      <c r="CA427" s="1491" t="n"/>
      <c r="CB427" s="1467" t="n"/>
      <c r="CC427" s="1467" t="n"/>
      <c r="CD427" s="1491" t="n"/>
      <c r="CE427" s="1491" t="n"/>
      <c r="CF427" s="1491" t="n"/>
      <c r="CG427" s="1491" t="n"/>
      <c r="CH427" s="1491" t="n"/>
      <c r="CI427" s="1491" t="n"/>
      <c r="CJ427" s="1491" t="n"/>
      <c r="CK427" s="1491" t="n"/>
      <c r="CL427" s="1491" t="n"/>
      <c r="CM427" s="1491" t="n"/>
      <c r="CN427" s="1491" t="n"/>
      <c r="CO427" s="1491" t="n"/>
      <c r="CP427" s="1491" t="n"/>
      <c r="CQ427" s="1491" t="n"/>
      <c r="CR427" s="1491" t="n"/>
      <c r="CS427" s="1491" t="n"/>
      <c r="CT427" s="1491" t="n"/>
      <c r="CU427" s="1491" t="n"/>
      <c r="CV427" s="1491" t="n"/>
      <c r="CW427" s="1491" t="n"/>
      <c r="CX427" s="1491" t="n"/>
    </row>
    <row r="428">
      <c r="A428" s="1491" t="n"/>
      <c r="B428" s="1491" t="n"/>
      <c r="C428" s="1491" t="n"/>
      <c r="D428" s="1497">
        <f>IF(E428&lt;&gt;"",D427+1,D427)</f>
        <v/>
      </c>
      <c r="E428" s="1497" t="inlineStr">
        <is>
          <t>Sant'Antimo</t>
        </is>
      </c>
      <c r="F428" s="1535" t="inlineStr">
        <is>
          <t>.</t>
        </is>
      </c>
      <c r="G428" s="1498">
        <f>IF(H428="AIR",0,IF(H427="AIR",G426+1,IF(H428&lt;&gt;"",G427+1,G427)))</f>
        <v/>
      </c>
      <c r="H428" s="1498" t="inlineStr">
        <is>
          <t>litoral Marina de Massa</t>
        </is>
      </c>
      <c r="I428" s="1427" t="inlineStr">
        <is>
          <t>.</t>
        </is>
      </c>
      <c r="J428" s="1499" t="n">
        <v>423</v>
      </c>
      <c r="K428" s="1500">
        <f>_xlfn.XLOOKUP(cities[[#This Row],[id]],$D$5:$D$1500,E$5:E$1500,"-")</f>
        <v/>
      </c>
      <c r="L428" s="1500">
        <f>_xlfn.XLOOKUP(cities[[#This Row],[city]],ccc[city],ccc[ctry],"-")</f>
        <v/>
      </c>
      <c r="M428" s="1500">
        <f>SUMIFS(stayCity[stay],stayCity[city],cities[[#This Row],[city]])</f>
        <v/>
      </c>
      <c r="N428" s="1427">
        <f>N427+1</f>
        <v/>
      </c>
      <c r="O428" s="1500" t="n"/>
      <c r="P428" s="1500" t="n"/>
      <c r="Q428" s="1427" t="inlineStr">
        <is>
          <t>.</t>
        </is>
      </c>
      <c r="R428" s="1491" t="n"/>
      <c r="S428" s="1491" t="n"/>
      <c r="T428" s="1491" t="n"/>
      <c r="U428" s="1491" t="n"/>
      <c r="V428" s="1491" t="n"/>
      <c r="W428" s="1491" t="n"/>
      <c r="X428" s="1491" t="n"/>
      <c r="Y428" s="1491" t="n"/>
      <c r="Z428" s="1491" t="n"/>
      <c r="AA428" s="1491" t="n"/>
      <c r="AB428" s="1491" t="n"/>
      <c r="AC428" s="1491" t="n"/>
      <c r="AD428" s="1491" t="n"/>
      <c r="AE428" s="1491" t="n"/>
      <c r="AF428" s="1491" t="n"/>
      <c r="AG428" s="1491" t="n"/>
      <c r="AH428" s="1491" t="n"/>
      <c r="AI428" s="1491" t="n"/>
      <c r="AJ428" s="1491" t="n"/>
      <c r="AK428" s="1491" t="n"/>
      <c r="AL428" s="1491" t="n"/>
      <c r="AM428" s="1491" t="n"/>
      <c r="AN428" s="1491" t="n"/>
      <c r="AO428" s="1491" t="n"/>
      <c r="AP428" s="1491" t="n"/>
      <c r="AQ428" s="1491" t="n"/>
      <c r="AR428" s="1491" t="n"/>
      <c r="AS428" s="1491" t="n"/>
      <c r="AT428" s="1491" t="n"/>
      <c r="AU428" s="1491" t="n"/>
      <c r="AV428" s="1491" t="n"/>
      <c r="AW428" s="1491" t="n"/>
      <c r="AX428" s="1491" t="n"/>
      <c r="AY428" s="1491" t="n"/>
      <c r="AZ428" s="1491" t="n"/>
      <c r="BA428" s="1491" t="n"/>
      <c r="BB428" s="1491" t="n"/>
      <c r="BC428" s="1491" t="n"/>
      <c r="BD428" s="1491" t="n"/>
      <c r="BE428" s="1491" t="n"/>
      <c r="BF428" s="1491" t="n"/>
      <c r="BG428" s="1491" t="n"/>
      <c r="BH428" s="1491" t="n"/>
      <c r="BI428" s="1491" t="n"/>
      <c r="BJ428" s="1491" t="n"/>
      <c r="BK428" s="1491" t="n"/>
      <c r="BL428" s="1491" t="n"/>
      <c r="BM428" s="1491" t="n"/>
      <c r="BN428" s="1491" t="n"/>
      <c r="BO428" s="1467" t="n"/>
      <c r="BP428" s="1514" t="n">
        <v>424</v>
      </c>
      <c r="BQ428" s="1513">
        <f>[1]Sheet1!C429</f>
        <v/>
      </c>
      <c r="BR428" s="1515">
        <f>[1]Sheet1!D429</f>
        <v/>
      </c>
      <c r="BS428" s="1513">
        <f>[1]Sheet1!E429</f>
        <v/>
      </c>
      <c r="BT428" s="1515">
        <f>[1]Sheet1!F429</f>
        <v/>
      </c>
      <c r="BU428" s="1516">
        <f>[1]Sheet1!G429</f>
        <v/>
      </c>
      <c r="BV428" s="1513">
        <f>[1]Sheet1!H429</f>
        <v/>
      </c>
      <c r="BW428" s="1467" t="n"/>
      <c r="BX428" s="1491" t="n"/>
      <c r="BY428" s="1491" t="n"/>
      <c r="BZ428" s="1491" t="n"/>
      <c r="CA428" s="1491" t="n"/>
      <c r="CB428" s="1467" t="n"/>
      <c r="CC428" s="1467" t="n"/>
      <c r="CD428" s="1491" t="n"/>
      <c r="CE428" s="1491" t="n"/>
      <c r="CF428" s="1491" t="n"/>
      <c r="CG428" s="1491" t="n"/>
      <c r="CH428" s="1491" t="n"/>
      <c r="CI428" s="1491" t="n"/>
      <c r="CJ428" s="1491" t="n"/>
      <c r="CK428" s="1491" t="n"/>
      <c r="CL428" s="1491" t="n"/>
      <c r="CM428" s="1491" t="n"/>
      <c r="CN428" s="1491" t="n"/>
      <c r="CO428" s="1491" t="n"/>
      <c r="CP428" s="1491" t="n"/>
      <c r="CQ428" s="1491" t="n"/>
      <c r="CR428" s="1491" t="n"/>
      <c r="CS428" s="1491" t="n"/>
      <c r="CT428" s="1491" t="n"/>
      <c r="CU428" s="1491" t="n"/>
      <c r="CV428" s="1491" t="n"/>
      <c r="CW428" s="1491" t="n"/>
      <c r="CX428" s="1491" t="n"/>
    </row>
    <row r="429">
      <c r="A429" s="1491" t="n"/>
      <c r="B429" s="1491" t="n"/>
      <c r="C429" s="1491" t="n"/>
      <c r="D429" s="1497">
        <f>IF(E429&lt;&gt;"",D428+1,D428)</f>
        <v/>
      </c>
      <c r="E429" s="1497" t="inlineStr">
        <is>
          <t>Abbadia San Salvatore</t>
        </is>
      </c>
      <c r="F429" s="1535" t="inlineStr">
        <is>
          <t>.</t>
        </is>
      </c>
      <c r="G429" s="1498">
        <f>IF(H429="AIR",0,IF(H428="AIR",G427+1,IF(H429&lt;&gt;"",G428+1,G428)))</f>
        <v/>
      </c>
      <c r="H429" s="1498" t="inlineStr">
        <is>
          <t>Pietrasanta</t>
        </is>
      </c>
      <c r="I429" s="1427" t="inlineStr">
        <is>
          <t>.</t>
        </is>
      </c>
      <c r="J429" s="1499" t="n">
        <v>424</v>
      </c>
      <c r="K429" s="1500">
        <f>_xlfn.XLOOKUP(cities[[#This Row],[id]],$D$5:$D$1500,E$5:E$1500,"-")</f>
        <v/>
      </c>
      <c r="L429" s="1500">
        <f>_xlfn.XLOOKUP(cities[[#This Row],[city]],ccc[city],ccc[ctry],"-")</f>
        <v/>
      </c>
      <c r="M429" s="1500">
        <f>SUMIFS(stayCity[stay],stayCity[city],cities[[#This Row],[city]])</f>
        <v/>
      </c>
      <c r="N429" s="1427">
        <f>N428+1</f>
        <v/>
      </c>
      <c r="O429" s="1500" t="n"/>
      <c r="P429" s="1500" t="n"/>
      <c r="Q429" s="1427" t="inlineStr">
        <is>
          <t>.</t>
        </is>
      </c>
      <c r="R429" s="1491" t="n"/>
      <c r="S429" s="1491" t="n"/>
      <c r="T429" s="1491" t="n"/>
      <c r="U429" s="1491" t="n"/>
      <c r="V429" s="1491" t="n"/>
      <c r="W429" s="1491" t="n"/>
      <c r="X429" s="1491" t="n"/>
      <c r="Y429" s="1491" t="n"/>
      <c r="Z429" s="1491" t="n"/>
      <c r="AA429" s="1491" t="n"/>
      <c r="AB429" s="1491" t="n"/>
      <c r="AC429" s="1491" t="n"/>
      <c r="AD429" s="1491" t="n"/>
      <c r="AE429" s="1491" t="n"/>
      <c r="AF429" s="1491" t="n"/>
      <c r="AG429" s="1491" t="n"/>
      <c r="AH429" s="1491" t="n"/>
      <c r="AI429" s="1491" t="n"/>
      <c r="AJ429" s="1491" t="n"/>
      <c r="AK429" s="1491" t="n"/>
      <c r="AL429" s="1491" t="n"/>
      <c r="AM429" s="1491" t="n"/>
      <c r="AN429" s="1491" t="n"/>
      <c r="AO429" s="1491" t="n"/>
      <c r="AP429" s="1491" t="n"/>
      <c r="AQ429" s="1491" t="n"/>
      <c r="AR429" s="1491" t="n"/>
      <c r="AS429" s="1491" t="n"/>
      <c r="AT429" s="1491" t="n"/>
      <c r="AU429" s="1491" t="n"/>
      <c r="AV429" s="1491" t="n"/>
      <c r="AW429" s="1491" t="n"/>
      <c r="AX429" s="1491" t="n"/>
      <c r="AY429" s="1491" t="n"/>
      <c r="AZ429" s="1491" t="n"/>
      <c r="BA429" s="1491" t="n"/>
      <c r="BB429" s="1491" t="n"/>
      <c r="BC429" s="1491" t="n"/>
      <c r="BD429" s="1491" t="n"/>
      <c r="BE429" s="1491" t="n"/>
      <c r="BF429" s="1491" t="n"/>
      <c r="BG429" s="1491" t="n"/>
      <c r="BH429" s="1491" t="n"/>
      <c r="BI429" s="1491" t="n"/>
      <c r="BJ429" s="1491" t="n"/>
      <c r="BK429" s="1491" t="n"/>
      <c r="BL429" s="1491" t="n"/>
      <c r="BM429" s="1491" t="n"/>
      <c r="BN429" s="1491" t="n"/>
      <c r="BO429" s="1467" t="n"/>
      <c r="BP429" s="1514" t="n">
        <v>425</v>
      </c>
      <c r="BQ429" s="1513">
        <f>[1]Sheet1!C430</f>
        <v/>
      </c>
      <c r="BR429" s="1515">
        <f>[1]Sheet1!D430</f>
        <v/>
      </c>
      <c r="BS429" s="1513">
        <f>[1]Sheet1!E430</f>
        <v/>
      </c>
      <c r="BT429" s="1515">
        <f>[1]Sheet1!F430</f>
        <v/>
      </c>
      <c r="BU429" s="1516">
        <f>[1]Sheet1!G430</f>
        <v/>
      </c>
      <c r="BV429" s="1513">
        <f>[1]Sheet1!H430</f>
        <v/>
      </c>
      <c r="BW429" s="1467" t="n"/>
      <c r="BX429" s="1491" t="n"/>
      <c r="BY429" s="1491" t="n"/>
      <c r="BZ429" s="1491" t="n"/>
      <c r="CA429" s="1491" t="n"/>
      <c r="CB429" s="1467" t="n"/>
      <c r="CC429" s="1467" t="n"/>
      <c r="CD429" s="1491" t="n"/>
      <c r="CE429" s="1491" t="n"/>
      <c r="CF429" s="1491" t="n"/>
      <c r="CG429" s="1491" t="n"/>
      <c r="CH429" s="1491" t="n"/>
      <c r="CI429" s="1491" t="n"/>
      <c r="CJ429" s="1491" t="n"/>
      <c r="CK429" s="1491" t="n"/>
      <c r="CL429" s="1491" t="n"/>
      <c r="CM429" s="1491" t="n"/>
      <c r="CN429" s="1491" t="n"/>
      <c r="CO429" s="1491" t="n"/>
      <c r="CP429" s="1491" t="n"/>
      <c r="CQ429" s="1491" t="n"/>
      <c r="CR429" s="1491" t="n"/>
      <c r="CS429" s="1491" t="n"/>
      <c r="CT429" s="1491" t="n"/>
      <c r="CU429" s="1491" t="n"/>
      <c r="CV429" s="1491" t="n"/>
      <c r="CW429" s="1491" t="n"/>
      <c r="CX429" s="1491" t="n"/>
    </row>
    <row r="430">
      <c r="A430" s="1491" t="n"/>
      <c r="B430" s="1491" t="n"/>
      <c r="C430" s="1491" t="n"/>
      <c r="D430" s="1497">
        <f>IF(E430&lt;&gt;"",D429+1,D429)</f>
        <v/>
      </c>
      <c r="E430" s="1497" t="inlineStr">
        <is>
          <t>Acquapendente</t>
        </is>
      </c>
      <c r="F430" s="1535" t="inlineStr">
        <is>
          <t>.</t>
        </is>
      </c>
      <c r="G430" s="1498">
        <f>IF(H430="AIR",0,IF(H429="AIR",G428+1,IF(H430&lt;&gt;"",G429+1,G429)))</f>
        <v/>
      </c>
      <c r="H430" s="1498" t="inlineStr">
        <is>
          <t>Lucca</t>
        </is>
      </c>
      <c r="I430" s="1427" t="inlineStr">
        <is>
          <t>.</t>
        </is>
      </c>
      <c r="J430" s="1499" t="n">
        <v>425</v>
      </c>
      <c r="K430" s="1500">
        <f>_xlfn.XLOOKUP(cities[[#This Row],[id]],$D$5:$D$1500,E$5:E$1500,"-")</f>
        <v/>
      </c>
      <c r="L430" s="1500">
        <f>_xlfn.XLOOKUP(cities[[#This Row],[city]],ccc[city],ccc[ctry],"-")</f>
        <v/>
      </c>
      <c r="M430" s="1500">
        <f>SUMIFS(stayCity[stay],stayCity[city],cities[[#This Row],[city]])</f>
        <v/>
      </c>
      <c r="N430" s="1427">
        <f>N429+1</f>
        <v/>
      </c>
      <c r="O430" s="1500" t="n"/>
      <c r="P430" s="1500" t="n"/>
      <c r="Q430" s="1427" t="inlineStr">
        <is>
          <t>.</t>
        </is>
      </c>
      <c r="R430" s="1491" t="n"/>
      <c r="S430" s="1491" t="n"/>
      <c r="T430" s="1491" t="n"/>
      <c r="U430" s="1491" t="n"/>
      <c r="V430" s="1491" t="n"/>
      <c r="W430" s="1491" t="n"/>
      <c r="X430" s="1491" t="n"/>
      <c r="Y430" s="1491" t="n"/>
      <c r="Z430" s="1491" t="n"/>
      <c r="AA430" s="1491" t="n"/>
      <c r="AB430" s="1491" t="n"/>
      <c r="AC430" s="1491" t="n"/>
      <c r="AD430" s="1491" t="n"/>
      <c r="AE430" s="1491" t="n"/>
      <c r="AF430" s="1491" t="n"/>
      <c r="AG430" s="1491" t="n"/>
      <c r="AH430" s="1491" t="n"/>
      <c r="AI430" s="1491" t="n"/>
      <c r="AJ430" s="1491" t="n"/>
      <c r="AK430" s="1491" t="n"/>
      <c r="AL430" s="1491" t="n"/>
      <c r="AM430" s="1491" t="n"/>
      <c r="AN430" s="1491" t="n"/>
      <c r="AO430" s="1491" t="n"/>
      <c r="AP430" s="1491" t="n"/>
      <c r="AQ430" s="1491" t="n"/>
      <c r="AR430" s="1491" t="n"/>
      <c r="AS430" s="1491" t="n"/>
      <c r="AT430" s="1491" t="n"/>
      <c r="AU430" s="1491" t="n"/>
      <c r="AV430" s="1491" t="n"/>
      <c r="AW430" s="1491" t="n"/>
      <c r="AX430" s="1491" t="n"/>
      <c r="AY430" s="1491" t="n"/>
      <c r="AZ430" s="1491" t="n"/>
      <c r="BA430" s="1491" t="n"/>
      <c r="BB430" s="1491" t="n"/>
      <c r="BC430" s="1491" t="n"/>
      <c r="BD430" s="1491" t="n"/>
      <c r="BE430" s="1491" t="n"/>
      <c r="BF430" s="1491" t="n"/>
      <c r="BG430" s="1491" t="n"/>
      <c r="BH430" s="1491" t="n"/>
      <c r="BI430" s="1491" t="n"/>
      <c r="BJ430" s="1491" t="n"/>
      <c r="BK430" s="1491" t="n"/>
      <c r="BL430" s="1491" t="n"/>
      <c r="BM430" s="1491" t="n"/>
      <c r="BN430" s="1491" t="n"/>
      <c r="BO430" s="1467" t="n"/>
      <c r="BP430" s="1514" t="n">
        <v>426</v>
      </c>
      <c r="BQ430" s="1513">
        <f>[1]Sheet1!C431</f>
        <v/>
      </c>
      <c r="BR430" s="1515">
        <f>[1]Sheet1!D431</f>
        <v/>
      </c>
      <c r="BS430" s="1513">
        <f>[1]Sheet1!E431</f>
        <v/>
      </c>
      <c r="BT430" s="1515">
        <f>[1]Sheet1!F431</f>
        <v/>
      </c>
      <c r="BU430" s="1516">
        <f>[1]Sheet1!G431</f>
        <v/>
      </c>
      <c r="BV430" s="1513">
        <f>[1]Sheet1!H431</f>
        <v/>
      </c>
      <c r="BW430" s="1467" t="n"/>
      <c r="BX430" s="1491" t="n"/>
      <c r="BY430" s="1491" t="n"/>
      <c r="BZ430" s="1491" t="n"/>
      <c r="CA430" s="1491" t="n"/>
      <c r="CB430" s="1467" t="n"/>
      <c r="CC430" s="1467" t="n"/>
      <c r="CD430" s="1491" t="n"/>
      <c r="CE430" s="1491" t="n"/>
      <c r="CF430" s="1491" t="n"/>
      <c r="CG430" s="1491" t="n"/>
      <c r="CH430" s="1491" t="n"/>
      <c r="CI430" s="1491" t="n"/>
      <c r="CJ430" s="1491" t="n"/>
      <c r="CK430" s="1491" t="n"/>
      <c r="CL430" s="1491" t="n"/>
      <c r="CM430" s="1491" t="n"/>
      <c r="CN430" s="1491" t="n"/>
      <c r="CO430" s="1491" t="n"/>
      <c r="CP430" s="1491" t="n"/>
      <c r="CQ430" s="1491" t="n"/>
      <c r="CR430" s="1491" t="n"/>
      <c r="CS430" s="1491" t="n"/>
      <c r="CT430" s="1491" t="n"/>
      <c r="CU430" s="1491" t="n"/>
      <c r="CV430" s="1491" t="n"/>
      <c r="CW430" s="1491" t="n"/>
      <c r="CX430" s="1491" t="n"/>
    </row>
    <row r="431">
      <c r="A431" s="1491" t="n"/>
      <c r="B431" s="1491" t="n"/>
      <c r="C431" s="1491" t="n"/>
      <c r="D431" s="1497">
        <f>IF(E431&lt;&gt;"",D430+1,D430)</f>
        <v/>
      </c>
      <c r="E431" s="1497" t="inlineStr">
        <is>
          <t>San Lorenzo Nuovo</t>
        </is>
      </c>
      <c r="F431" s="1535" t="inlineStr">
        <is>
          <t>.</t>
        </is>
      </c>
      <c r="G431" s="1498">
        <f>IF(H431="AIR",0,IF(H430="AIR",G429+1,IF(H431&lt;&gt;"",G430+1,G430)))</f>
        <v/>
      </c>
      <c r="H431" s="1498" t="inlineStr">
        <is>
          <t>San Miniato Basso</t>
        </is>
      </c>
      <c r="I431" s="1427" t="inlineStr">
        <is>
          <t>.</t>
        </is>
      </c>
      <c r="J431" s="1499" t="n">
        <v>426</v>
      </c>
      <c r="K431" s="1500">
        <f>_xlfn.XLOOKUP(cities[[#This Row],[id]],$D$5:$D$1500,E$5:E$1500,"-")</f>
        <v/>
      </c>
      <c r="L431" s="1500">
        <f>_xlfn.XLOOKUP(cities[[#This Row],[city]],ccc[city],ccc[ctry],"-")</f>
        <v/>
      </c>
      <c r="M431" s="1500">
        <f>SUMIFS(stayCity[stay],stayCity[city],cities[[#This Row],[city]])</f>
        <v/>
      </c>
      <c r="N431" s="1427">
        <f>N430+1</f>
        <v/>
      </c>
      <c r="O431" s="1500" t="n"/>
      <c r="P431" s="1500" t="n"/>
      <c r="Q431" s="1427" t="inlineStr">
        <is>
          <t>.</t>
        </is>
      </c>
      <c r="R431" s="1491" t="n"/>
      <c r="S431" s="1491" t="n"/>
      <c r="T431" s="1491" t="n"/>
      <c r="U431" s="1491" t="n"/>
      <c r="V431" s="1491" t="n"/>
      <c r="W431" s="1491" t="n"/>
      <c r="X431" s="1491" t="n"/>
      <c r="Y431" s="1491" t="n"/>
      <c r="Z431" s="1491" t="n"/>
      <c r="AA431" s="1491" t="n"/>
      <c r="AB431" s="1491" t="n"/>
      <c r="AC431" s="1491" t="n"/>
      <c r="AD431" s="1491" t="n"/>
      <c r="AE431" s="1491" t="n"/>
      <c r="AF431" s="1491" t="n"/>
      <c r="AG431" s="1491" t="n"/>
      <c r="AH431" s="1491" t="n"/>
      <c r="AI431" s="1491" t="n"/>
      <c r="AJ431" s="1491" t="n"/>
      <c r="AK431" s="1491" t="n"/>
      <c r="AL431" s="1491" t="n"/>
      <c r="AM431" s="1491" t="n"/>
      <c r="AN431" s="1491" t="n"/>
      <c r="AO431" s="1491" t="n"/>
      <c r="AP431" s="1491" t="n"/>
      <c r="AQ431" s="1491" t="n"/>
      <c r="AR431" s="1491" t="n"/>
      <c r="AS431" s="1491" t="n"/>
      <c r="AT431" s="1491" t="n"/>
      <c r="AU431" s="1491" t="n"/>
      <c r="AV431" s="1491" t="n"/>
      <c r="AW431" s="1491" t="n"/>
      <c r="AX431" s="1491" t="n"/>
      <c r="AY431" s="1491" t="n"/>
      <c r="AZ431" s="1491" t="n"/>
      <c r="BA431" s="1491" t="n"/>
      <c r="BB431" s="1491" t="n"/>
      <c r="BC431" s="1491" t="n"/>
      <c r="BD431" s="1491" t="n"/>
      <c r="BE431" s="1491" t="n"/>
      <c r="BF431" s="1491" t="n"/>
      <c r="BG431" s="1491" t="n"/>
      <c r="BH431" s="1491" t="n"/>
      <c r="BI431" s="1491" t="n"/>
      <c r="BJ431" s="1491" t="n"/>
      <c r="BK431" s="1491" t="n"/>
      <c r="BL431" s="1491" t="n"/>
      <c r="BM431" s="1491" t="n"/>
      <c r="BN431" s="1491" t="n"/>
      <c r="BO431" s="1467" t="n"/>
      <c r="BP431" s="1514" t="n">
        <v>427</v>
      </c>
      <c r="BQ431" s="1513">
        <f>[1]Sheet1!C432</f>
        <v/>
      </c>
      <c r="BR431" s="1515">
        <f>[1]Sheet1!D432</f>
        <v/>
      </c>
      <c r="BS431" s="1513">
        <f>[1]Sheet1!E432</f>
        <v/>
      </c>
      <c r="BT431" s="1515">
        <f>[1]Sheet1!F432</f>
        <v/>
      </c>
      <c r="BU431" s="1516">
        <f>[1]Sheet1!G432</f>
        <v/>
      </c>
      <c r="BV431" s="1513">
        <f>[1]Sheet1!H432</f>
        <v/>
      </c>
      <c r="BW431" s="1467" t="n"/>
      <c r="BX431" s="1491" t="n"/>
      <c r="BY431" s="1491" t="n"/>
      <c r="BZ431" s="1491" t="n"/>
      <c r="CA431" s="1491" t="n"/>
      <c r="CB431" s="1467" t="n"/>
      <c r="CC431" s="1467" t="n"/>
      <c r="CD431" s="1491" t="n"/>
      <c r="CE431" s="1491" t="n"/>
      <c r="CF431" s="1491" t="n"/>
      <c r="CG431" s="1491" t="n"/>
      <c r="CH431" s="1491" t="n"/>
      <c r="CI431" s="1491" t="n"/>
      <c r="CJ431" s="1491" t="n"/>
      <c r="CK431" s="1491" t="n"/>
      <c r="CL431" s="1491" t="n"/>
      <c r="CM431" s="1491" t="n"/>
      <c r="CN431" s="1491" t="n"/>
      <c r="CO431" s="1491" t="n"/>
      <c r="CP431" s="1491" t="n"/>
      <c r="CQ431" s="1491" t="n"/>
      <c r="CR431" s="1491" t="n"/>
      <c r="CS431" s="1491" t="n"/>
      <c r="CT431" s="1491" t="n"/>
      <c r="CU431" s="1491" t="n"/>
      <c r="CV431" s="1491" t="n"/>
      <c r="CW431" s="1491" t="n"/>
      <c r="CX431" s="1491" t="n"/>
    </row>
    <row r="432">
      <c r="A432" s="1491" t="n"/>
      <c r="B432" s="1491" t="n"/>
      <c r="C432" s="1491" t="n"/>
      <c r="D432" s="1497">
        <f>IF(E432&lt;&gt;"",D431+1,D431)</f>
        <v/>
      </c>
      <c r="E432" s="1497" t="inlineStr">
        <is>
          <t>Montefiascone</t>
        </is>
      </c>
      <c r="F432" s="1535" t="inlineStr">
        <is>
          <t>.</t>
        </is>
      </c>
      <c r="G432" s="1498">
        <f>IF(H432="AIR",0,IF(H431="AIR",G430+1,IF(H432&lt;&gt;"",G431+1,G431)))</f>
        <v/>
      </c>
      <c r="H432" s="1498" t="inlineStr">
        <is>
          <t>San Miniato Alto</t>
        </is>
      </c>
      <c r="I432" s="1427" t="inlineStr">
        <is>
          <t>.</t>
        </is>
      </c>
      <c r="J432" s="1499" t="n">
        <v>427</v>
      </c>
      <c r="K432" s="1500">
        <f>_xlfn.XLOOKUP(cities[[#This Row],[id]],$D$5:$D$1500,E$5:E$1500,"-")</f>
        <v/>
      </c>
      <c r="L432" s="1500">
        <f>_xlfn.XLOOKUP(cities[[#This Row],[city]],ccc[city],ccc[ctry],"-")</f>
        <v/>
      </c>
      <c r="M432" s="1500">
        <f>SUMIFS(stayCity[stay],stayCity[city],cities[[#This Row],[city]])</f>
        <v/>
      </c>
      <c r="N432" s="1427">
        <f>N431+1</f>
        <v/>
      </c>
      <c r="O432" s="1500" t="n"/>
      <c r="P432" s="1500" t="n"/>
      <c r="Q432" s="1427" t="inlineStr">
        <is>
          <t>.</t>
        </is>
      </c>
      <c r="R432" s="1491" t="n"/>
      <c r="S432" s="1491" t="n"/>
      <c r="T432" s="1491" t="n"/>
      <c r="U432" s="1491" t="n"/>
      <c r="V432" s="1491" t="n"/>
      <c r="W432" s="1491" t="n"/>
      <c r="X432" s="1491" t="n"/>
      <c r="Y432" s="1491" t="n"/>
      <c r="Z432" s="1491" t="n"/>
      <c r="AA432" s="1491" t="n"/>
      <c r="AB432" s="1491" t="n"/>
      <c r="AC432" s="1491" t="n"/>
      <c r="AD432" s="1491" t="n"/>
      <c r="AE432" s="1491" t="n"/>
      <c r="AF432" s="1491" t="n"/>
      <c r="AG432" s="1491" t="n"/>
      <c r="AH432" s="1491" t="n"/>
      <c r="AI432" s="1491" t="n"/>
      <c r="AJ432" s="1491" t="n"/>
      <c r="AK432" s="1491" t="n"/>
      <c r="AL432" s="1491" t="n"/>
      <c r="AM432" s="1491" t="n"/>
      <c r="AN432" s="1491" t="n"/>
      <c r="AO432" s="1491" t="n"/>
      <c r="AP432" s="1491" t="n"/>
      <c r="AQ432" s="1491" t="n"/>
      <c r="AR432" s="1491" t="n"/>
      <c r="AS432" s="1491" t="n"/>
      <c r="AT432" s="1491" t="n"/>
      <c r="AU432" s="1491" t="n"/>
      <c r="AV432" s="1491" t="n"/>
      <c r="AW432" s="1491" t="n"/>
      <c r="AX432" s="1491" t="n"/>
      <c r="AY432" s="1491" t="n"/>
      <c r="AZ432" s="1491" t="n"/>
      <c r="BA432" s="1491" t="n"/>
      <c r="BB432" s="1491" t="n"/>
      <c r="BC432" s="1491" t="n"/>
      <c r="BD432" s="1491" t="n"/>
      <c r="BE432" s="1491" t="n"/>
      <c r="BF432" s="1491" t="n"/>
      <c r="BG432" s="1491" t="n"/>
      <c r="BH432" s="1491" t="n"/>
      <c r="BI432" s="1491" t="n"/>
      <c r="BJ432" s="1491" t="n"/>
      <c r="BK432" s="1491" t="n"/>
      <c r="BL432" s="1491" t="n"/>
      <c r="BM432" s="1491" t="n"/>
      <c r="BN432" s="1491" t="n"/>
      <c r="BO432" s="1467" t="n"/>
      <c r="BP432" s="1514" t="n">
        <v>428</v>
      </c>
      <c r="BQ432" s="1513">
        <f>[1]Sheet1!C433</f>
        <v/>
      </c>
      <c r="BR432" s="1515">
        <f>[1]Sheet1!D433</f>
        <v/>
      </c>
      <c r="BS432" s="1513">
        <f>[1]Sheet1!E433</f>
        <v/>
      </c>
      <c r="BT432" s="1515">
        <f>[1]Sheet1!F433</f>
        <v/>
      </c>
      <c r="BU432" s="1516">
        <f>[1]Sheet1!G433</f>
        <v/>
      </c>
      <c r="BV432" s="1513">
        <f>[1]Sheet1!H433</f>
        <v/>
      </c>
      <c r="BW432" s="1467" t="n"/>
      <c r="BX432" s="1491" t="n"/>
      <c r="BY432" s="1491" t="n"/>
      <c r="BZ432" s="1536" t="n"/>
      <c r="CA432" s="1491" t="n"/>
      <c r="CB432" s="1467" t="n"/>
      <c r="CC432" s="1467" t="n"/>
      <c r="CD432" s="1491" t="n"/>
      <c r="CE432" s="1491" t="n"/>
      <c r="CF432" s="1491" t="n"/>
      <c r="CG432" s="1491" t="n"/>
      <c r="CH432" s="1491" t="n"/>
      <c r="CI432" s="1491" t="n"/>
      <c r="CJ432" s="1491" t="n"/>
      <c r="CK432" s="1491" t="n"/>
      <c r="CL432" s="1491" t="n"/>
      <c r="CM432" s="1491" t="n"/>
      <c r="CN432" s="1491" t="n"/>
      <c r="CO432" s="1491" t="n"/>
      <c r="CP432" s="1491" t="n"/>
      <c r="CQ432" s="1491" t="n"/>
      <c r="CR432" s="1491" t="n"/>
      <c r="CS432" s="1491" t="n"/>
      <c r="CT432" s="1491" t="n"/>
      <c r="CU432" s="1491" t="n"/>
      <c r="CV432" s="1491" t="n"/>
      <c r="CW432" s="1491" t="n"/>
      <c r="CX432" s="1491" t="n"/>
    </row>
    <row r="433">
      <c r="A433" s="1491" t="n"/>
      <c r="B433" s="1491" t="n"/>
      <c r="C433" s="1491" t="n"/>
      <c r="D433" s="1497">
        <f>IF(E433&lt;&gt;"",D432+1,D432)</f>
        <v/>
      </c>
      <c r="E433" s="1497" t="inlineStr">
        <is>
          <t>Viterbo</t>
        </is>
      </c>
      <c r="F433" s="1535" t="inlineStr">
        <is>
          <t>.</t>
        </is>
      </c>
      <c r="G433" s="1498">
        <f>IF(H433="AIR",0,IF(H432="AIR",G431+1,IF(H433&lt;&gt;"",G432+1,G432)))</f>
        <v/>
      </c>
      <c r="H433" s="1498" t="inlineStr">
        <is>
          <t>San Gimignano</t>
        </is>
      </c>
      <c r="I433" s="1427" t="inlineStr">
        <is>
          <t>.</t>
        </is>
      </c>
      <c r="J433" s="1499" t="n">
        <v>428</v>
      </c>
      <c r="K433" s="1500">
        <f>_xlfn.XLOOKUP(cities[[#This Row],[id]],$D$5:$D$1500,E$5:E$1500,"-")</f>
        <v/>
      </c>
      <c r="L433" s="1500">
        <f>_xlfn.XLOOKUP(cities[[#This Row],[city]],ccc[city],ccc[ctry],"-")</f>
        <v/>
      </c>
      <c r="M433" s="1500">
        <f>SUMIFS(stayCity[stay],stayCity[city],cities[[#This Row],[city]])</f>
        <v/>
      </c>
      <c r="N433" s="1427">
        <f>N432+1</f>
        <v/>
      </c>
      <c r="O433" s="1500" t="n"/>
      <c r="P433" s="1500" t="n"/>
      <c r="Q433" s="1427" t="inlineStr">
        <is>
          <t>.</t>
        </is>
      </c>
      <c r="R433" s="1491" t="n"/>
      <c r="S433" s="1491" t="n"/>
      <c r="T433" s="1491" t="n"/>
      <c r="U433" s="1491" t="n"/>
      <c r="V433" s="1491" t="n"/>
      <c r="W433" s="1491" t="n"/>
      <c r="X433" s="1491" t="n"/>
      <c r="Y433" s="1491" t="n"/>
      <c r="Z433" s="1491" t="n"/>
      <c r="AA433" s="1491" t="n"/>
      <c r="AB433" s="1491" t="n"/>
      <c r="AC433" s="1491" t="n"/>
      <c r="AD433" s="1491" t="n"/>
      <c r="AE433" s="1491" t="n"/>
      <c r="AF433" s="1491" t="n"/>
      <c r="AG433" s="1491" t="n"/>
      <c r="AH433" s="1491" t="n"/>
      <c r="AI433" s="1491" t="n"/>
      <c r="AJ433" s="1491" t="n"/>
      <c r="AK433" s="1491" t="n"/>
      <c r="AL433" s="1491" t="n"/>
      <c r="AM433" s="1491" t="n"/>
      <c r="AN433" s="1491" t="n"/>
      <c r="AO433" s="1491" t="n"/>
      <c r="AP433" s="1491" t="n"/>
      <c r="AQ433" s="1491" t="n"/>
      <c r="AR433" s="1491" t="n"/>
      <c r="AS433" s="1491" t="n"/>
      <c r="AT433" s="1491" t="n"/>
      <c r="AU433" s="1491" t="n"/>
      <c r="AV433" s="1491" t="n"/>
      <c r="AW433" s="1491" t="n"/>
      <c r="AX433" s="1491" t="n"/>
      <c r="AY433" s="1491" t="n"/>
      <c r="AZ433" s="1491" t="n"/>
      <c r="BA433" s="1491" t="n"/>
      <c r="BB433" s="1491" t="n"/>
      <c r="BC433" s="1491" t="n"/>
      <c r="BD433" s="1491" t="n"/>
      <c r="BE433" s="1491" t="n"/>
      <c r="BF433" s="1491" t="n"/>
      <c r="BG433" s="1491" t="n"/>
      <c r="BH433" s="1491" t="n"/>
      <c r="BI433" s="1491" t="n"/>
      <c r="BJ433" s="1491" t="n"/>
      <c r="BK433" s="1491" t="n"/>
      <c r="BL433" s="1491" t="n"/>
      <c r="BM433" s="1491" t="n"/>
      <c r="BN433" s="1491" t="n"/>
      <c r="BO433" s="1467" t="n"/>
      <c r="BP433" s="1514" t="n">
        <v>429</v>
      </c>
      <c r="BQ433" s="1513">
        <f>[1]Sheet1!C434</f>
        <v/>
      </c>
      <c r="BR433" s="1515">
        <f>[1]Sheet1!D434</f>
        <v/>
      </c>
      <c r="BS433" s="1513">
        <f>[1]Sheet1!E434</f>
        <v/>
      </c>
      <c r="BT433" s="1515">
        <f>[1]Sheet1!F434</f>
        <v/>
      </c>
      <c r="BU433" s="1516">
        <f>[1]Sheet1!G434</f>
        <v/>
      </c>
      <c r="BV433" s="1513">
        <f>[1]Sheet1!H434</f>
        <v/>
      </c>
      <c r="BW433" s="1467" t="n"/>
      <c r="BX433" s="1491" t="n"/>
      <c r="BY433" s="1491" t="n"/>
      <c r="BZ433" s="1491" t="n"/>
      <c r="CA433" s="1491" t="n"/>
      <c r="CB433" s="1467" t="n"/>
      <c r="CC433" s="1467" t="n"/>
      <c r="CD433" s="1491" t="n"/>
      <c r="CE433" s="1491" t="n"/>
      <c r="CF433" s="1491" t="n"/>
      <c r="CG433" s="1491" t="n"/>
      <c r="CH433" s="1491" t="n"/>
      <c r="CI433" s="1491" t="n"/>
      <c r="CJ433" s="1491" t="n"/>
      <c r="CK433" s="1491" t="n"/>
      <c r="CL433" s="1491" t="n"/>
      <c r="CM433" s="1491" t="n"/>
      <c r="CN433" s="1491" t="n"/>
      <c r="CO433" s="1491" t="n"/>
      <c r="CP433" s="1491" t="n"/>
      <c r="CQ433" s="1491" t="n"/>
      <c r="CR433" s="1491" t="n"/>
      <c r="CS433" s="1491" t="n"/>
      <c r="CT433" s="1491" t="n"/>
      <c r="CU433" s="1491" t="n"/>
      <c r="CV433" s="1491" t="n"/>
      <c r="CW433" s="1491" t="n"/>
      <c r="CX433" s="1491" t="n"/>
    </row>
    <row r="434">
      <c r="A434" s="1491" t="n"/>
      <c r="B434" s="1491" t="n"/>
      <c r="C434" s="1491" t="n"/>
      <c r="D434" s="1497">
        <f>IF(E434&lt;&gt;"",D433+1,D433)</f>
        <v/>
      </c>
      <c r="E434" s="1497" t="inlineStr">
        <is>
          <t>Ronciglione</t>
        </is>
      </c>
      <c r="F434" s="1535" t="inlineStr">
        <is>
          <t>.</t>
        </is>
      </c>
      <c r="G434" s="1498">
        <f>IF(H434="AIR",0,IF(H433="AIR",G432+1,IF(H434&lt;&gt;"",G433+1,G433)))</f>
        <v/>
      </c>
      <c r="H434" s="1498" t="inlineStr">
        <is>
          <t>Buonconvento</t>
        </is>
      </c>
      <c r="I434" s="1427" t="inlineStr">
        <is>
          <t>.</t>
        </is>
      </c>
      <c r="J434" s="1499" t="n">
        <v>429</v>
      </c>
      <c r="K434" s="1500">
        <f>_xlfn.XLOOKUP(cities[[#This Row],[id]],$D$5:$D$1500,E$5:E$1500,"-")</f>
        <v/>
      </c>
      <c r="L434" s="1500">
        <f>_xlfn.XLOOKUP(cities[[#This Row],[city]],ccc[city],ccc[ctry],"-")</f>
        <v/>
      </c>
      <c r="M434" s="1500">
        <f>SUMIFS(stayCity[stay],stayCity[city],cities[[#This Row],[city]])</f>
        <v/>
      </c>
      <c r="N434" s="1427">
        <f>N433+1</f>
        <v/>
      </c>
      <c r="O434" s="1500" t="n"/>
      <c r="P434" s="1500" t="n"/>
      <c r="Q434" s="1427" t="inlineStr">
        <is>
          <t>.</t>
        </is>
      </c>
      <c r="R434" s="1491" t="n"/>
      <c r="S434" s="1491" t="n"/>
      <c r="T434" s="1491" t="n"/>
      <c r="U434" s="1491" t="n"/>
      <c r="V434" s="1491" t="n"/>
      <c r="W434" s="1491" t="n"/>
      <c r="X434" s="1491" t="n"/>
      <c r="Y434" s="1491" t="n"/>
      <c r="Z434" s="1491" t="n"/>
      <c r="AA434" s="1491" t="n"/>
      <c r="AB434" s="1491" t="n"/>
      <c r="AC434" s="1491" t="n"/>
      <c r="AD434" s="1491" t="n"/>
      <c r="AE434" s="1491" t="n"/>
      <c r="AF434" s="1491" t="n"/>
      <c r="AG434" s="1491" t="n"/>
      <c r="AH434" s="1491" t="n"/>
      <c r="AI434" s="1491" t="n"/>
      <c r="AJ434" s="1491" t="n"/>
      <c r="AK434" s="1491" t="n"/>
      <c r="AL434" s="1491" t="n"/>
      <c r="AM434" s="1491" t="n"/>
      <c r="AN434" s="1491" t="n"/>
      <c r="AO434" s="1491" t="n"/>
      <c r="AP434" s="1491" t="n"/>
      <c r="AQ434" s="1491" t="n"/>
      <c r="AR434" s="1491" t="n"/>
      <c r="AS434" s="1491" t="n"/>
      <c r="AT434" s="1491" t="n"/>
      <c r="AU434" s="1491" t="n"/>
      <c r="AV434" s="1491" t="n"/>
      <c r="AW434" s="1491" t="n"/>
      <c r="AX434" s="1491" t="n"/>
      <c r="AY434" s="1491" t="n"/>
      <c r="AZ434" s="1491" t="n"/>
      <c r="BA434" s="1491" t="n"/>
      <c r="BB434" s="1491" t="n"/>
      <c r="BC434" s="1491" t="n"/>
      <c r="BD434" s="1491" t="n"/>
      <c r="BE434" s="1491" t="n"/>
      <c r="BF434" s="1491" t="n"/>
      <c r="BG434" s="1491" t="n"/>
      <c r="BH434" s="1491" t="n"/>
      <c r="BI434" s="1491" t="n"/>
      <c r="BJ434" s="1491" t="n"/>
      <c r="BK434" s="1491" t="n"/>
      <c r="BL434" s="1491" t="n"/>
      <c r="BM434" s="1491" t="n"/>
      <c r="BN434" s="1491" t="n"/>
      <c r="BO434" s="1467" t="n"/>
      <c r="BP434" s="1514" t="n">
        <v>430</v>
      </c>
      <c r="BQ434" s="1513">
        <f>[1]Sheet1!C435</f>
        <v/>
      </c>
      <c r="BR434" s="1515">
        <f>[1]Sheet1!D435</f>
        <v/>
      </c>
      <c r="BS434" s="1513">
        <f>[1]Sheet1!E435</f>
        <v/>
      </c>
      <c r="BT434" s="1515">
        <f>[1]Sheet1!F435</f>
        <v/>
      </c>
      <c r="BU434" s="1516">
        <f>[1]Sheet1!G435</f>
        <v/>
      </c>
      <c r="BV434" s="1513">
        <f>[1]Sheet1!H435</f>
        <v/>
      </c>
      <c r="BW434" s="1467" t="n"/>
      <c r="BX434" s="1491" t="n"/>
      <c r="BY434" s="1491" t="n"/>
      <c r="BZ434" s="1536" t="n"/>
      <c r="CA434" s="1491" t="n"/>
      <c r="CB434" s="1467" t="n"/>
      <c r="CC434" s="1467" t="n"/>
      <c r="CD434" s="1491" t="n"/>
      <c r="CE434" s="1491" t="n"/>
      <c r="CF434" s="1491" t="n"/>
      <c r="CG434" s="1491" t="n"/>
      <c r="CH434" s="1491" t="n"/>
      <c r="CI434" s="1491" t="n"/>
      <c r="CJ434" s="1491" t="n"/>
      <c r="CK434" s="1491" t="n"/>
      <c r="CL434" s="1491" t="n"/>
      <c r="CM434" s="1491" t="n"/>
      <c r="CN434" s="1491" t="n"/>
      <c r="CO434" s="1491" t="n"/>
      <c r="CP434" s="1491" t="n"/>
      <c r="CQ434" s="1491" t="n"/>
      <c r="CR434" s="1491" t="n"/>
      <c r="CS434" s="1491" t="n"/>
      <c r="CT434" s="1491" t="n"/>
      <c r="CU434" s="1491" t="n"/>
      <c r="CV434" s="1491" t="n"/>
      <c r="CW434" s="1491" t="n"/>
      <c r="CX434" s="1491" t="n"/>
    </row>
    <row r="435">
      <c r="A435" s="1491" t="n"/>
      <c r="B435" s="1491" t="n"/>
      <c r="C435" s="1491" t="n"/>
      <c r="D435" s="1497">
        <f>IF(E435&lt;&gt;"",D434+1,D434)</f>
        <v/>
      </c>
      <c r="E435" s="1497" t="inlineStr">
        <is>
          <t>Sutri</t>
        </is>
      </c>
      <c r="F435" s="1535" t="inlineStr">
        <is>
          <t>.</t>
        </is>
      </c>
      <c r="G435" s="1498">
        <f>IF(H435="AIR",0,IF(H434="AIR",G433+1,IF(H435&lt;&gt;"",G434+1,G434)))</f>
        <v/>
      </c>
      <c r="H435" s="1498" t="inlineStr">
        <is>
          <t>Montalcino</t>
        </is>
      </c>
      <c r="I435" s="1427" t="inlineStr">
        <is>
          <t>.</t>
        </is>
      </c>
      <c r="J435" s="1499" t="n">
        <v>430</v>
      </c>
      <c r="K435" s="1500">
        <f>_xlfn.XLOOKUP(cities[[#This Row],[id]],$D$5:$D$1500,E$5:E$1500,"-")</f>
        <v/>
      </c>
      <c r="L435" s="1500">
        <f>_xlfn.XLOOKUP(cities[[#This Row],[city]],ccc[city],ccc[ctry],"-")</f>
        <v/>
      </c>
      <c r="M435" s="1500">
        <f>SUMIFS(stayCity[stay],stayCity[city],cities[[#This Row],[city]])</f>
        <v/>
      </c>
      <c r="N435" s="1427">
        <f>N434+1</f>
        <v/>
      </c>
      <c r="O435" s="1500" t="n"/>
      <c r="P435" s="1500" t="n"/>
      <c r="Q435" s="1427" t="inlineStr">
        <is>
          <t>.</t>
        </is>
      </c>
      <c r="R435" s="1491" t="n"/>
      <c r="S435" s="1491" t="n"/>
      <c r="T435" s="1491" t="n"/>
      <c r="U435" s="1491" t="n"/>
      <c r="V435" s="1491" t="n"/>
      <c r="W435" s="1491" t="n"/>
      <c r="X435" s="1491" t="n"/>
      <c r="Y435" s="1491" t="n"/>
      <c r="Z435" s="1491" t="n"/>
      <c r="AA435" s="1491" t="n"/>
      <c r="AB435" s="1491" t="n"/>
      <c r="AC435" s="1491" t="n"/>
      <c r="AD435" s="1491" t="n"/>
      <c r="AE435" s="1491" t="n"/>
      <c r="AF435" s="1491" t="n"/>
      <c r="AG435" s="1491" t="n"/>
      <c r="AH435" s="1491" t="n"/>
      <c r="AI435" s="1491" t="n"/>
      <c r="AJ435" s="1491" t="n"/>
      <c r="AK435" s="1491" t="n"/>
      <c r="AL435" s="1491" t="n"/>
      <c r="AM435" s="1491" t="n"/>
      <c r="AN435" s="1491" t="n"/>
      <c r="AO435" s="1491" t="n"/>
      <c r="AP435" s="1491" t="n"/>
      <c r="AQ435" s="1491" t="n"/>
      <c r="AR435" s="1491" t="n"/>
      <c r="AS435" s="1491" t="n"/>
      <c r="AT435" s="1491" t="n"/>
      <c r="AU435" s="1491" t="n"/>
      <c r="AV435" s="1491" t="n"/>
      <c r="AW435" s="1491" t="n"/>
      <c r="AX435" s="1491" t="n"/>
      <c r="AY435" s="1491" t="n"/>
      <c r="AZ435" s="1491" t="n"/>
      <c r="BA435" s="1491" t="n"/>
      <c r="BB435" s="1491" t="n"/>
      <c r="BC435" s="1491" t="n"/>
      <c r="BD435" s="1491" t="n"/>
      <c r="BE435" s="1491" t="n"/>
      <c r="BF435" s="1491" t="n"/>
      <c r="BG435" s="1491" t="n"/>
      <c r="BH435" s="1491" t="n"/>
      <c r="BI435" s="1491" t="n"/>
      <c r="BJ435" s="1491" t="n"/>
      <c r="BK435" s="1491" t="n"/>
      <c r="BL435" s="1491" t="n"/>
      <c r="BM435" s="1491" t="n"/>
      <c r="BN435" s="1491" t="n"/>
      <c r="BO435" s="1467" t="n"/>
      <c r="BP435" s="1514" t="n">
        <v>431</v>
      </c>
      <c r="BQ435" s="1513">
        <f>[1]Sheet1!C436</f>
        <v/>
      </c>
      <c r="BR435" s="1515">
        <f>[1]Sheet1!D436</f>
        <v/>
      </c>
      <c r="BS435" s="1513">
        <f>[1]Sheet1!E436</f>
        <v/>
      </c>
      <c r="BT435" s="1515">
        <f>[1]Sheet1!F436</f>
        <v/>
      </c>
      <c r="BU435" s="1516">
        <f>[1]Sheet1!G436</f>
        <v/>
      </c>
      <c r="BV435" s="1513">
        <f>[1]Sheet1!H436</f>
        <v/>
      </c>
      <c r="BW435" s="1467" t="n"/>
      <c r="BX435" s="1491" t="n"/>
      <c r="BY435" s="1491" t="n"/>
      <c r="BZ435" s="1491" t="n"/>
      <c r="CA435" s="1491" t="n"/>
      <c r="CB435" s="1467" t="n"/>
      <c r="CC435" s="1467" t="n"/>
      <c r="CD435" s="1491" t="n"/>
      <c r="CE435" s="1491" t="n"/>
      <c r="CF435" s="1491" t="n"/>
      <c r="CG435" s="1491" t="n"/>
      <c r="CH435" s="1491" t="n"/>
      <c r="CI435" s="1491" t="n"/>
      <c r="CJ435" s="1491" t="n"/>
      <c r="CK435" s="1491" t="n"/>
      <c r="CL435" s="1491" t="n"/>
      <c r="CM435" s="1491" t="n"/>
      <c r="CN435" s="1491" t="n"/>
      <c r="CO435" s="1491" t="n"/>
      <c r="CP435" s="1491" t="n"/>
      <c r="CQ435" s="1491" t="n"/>
      <c r="CR435" s="1491" t="n"/>
      <c r="CS435" s="1491" t="n"/>
      <c r="CT435" s="1491" t="n"/>
      <c r="CU435" s="1491" t="n"/>
      <c r="CV435" s="1491" t="n"/>
      <c r="CW435" s="1491" t="n"/>
      <c r="CX435" s="1491" t="n"/>
    </row>
    <row r="436">
      <c r="A436" s="1491" t="n"/>
      <c r="B436" s="1491" t="n"/>
      <c r="C436" s="1491" t="n"/>
      <c r="D436" s="1497">
        <f>IF(E436&lt;&gt;"",D435+1,D435)</f>
        <v/>
      </c>
      <c r="E436" s="1497" t="inlineStr">
        <is>
          <t>La Storta</t>
        </is>
      </c>
      <c r="F436" s="1535" t="inlineStr">
        <is>
          <t>.</t>
        </is>
      </c>
      <c r="G436" s="1498">
        <f>IF(H436="AIR",0,IF(H435="AIR",G434+1,IF(H436&lt;&gt;"",G435+1,G435)))</f>
        <v/>
      </c>
      <c r="H436" s="1498" t="inlineStr">
        <is>
          <t>Sant'Antimo</t>
        </is>
      </c>
      <c r="I436" s="1427" t="inlineStr">
        <is>
          <t>.</t>
        </is>
      </c>
      <c r="J436" s="1499" t="n">
        <v>431</v>
      </c>
      <c r="K436" s="1500">
        <f>_xlfn.XLOOKUP(cities[[#This Row],[id]],$D$5:$D$1500,E$5:E$1500,"-")</f>
        <v/>
      </c>
      <c r="L436" s="1500">
        <f>_xlfn.XLOOKUP(cities[[#This Row],[city]],ccc[city],ccc[ctry],"-")</f>
        <v/>
      </c>
      <c r="M436" s="1500">
        <f>SUMIFS(stayCity[stay],stayCity[city],cities[[#This Row],[city]])</f>
        <v/>
      </c>
      <c r="N436" s="1427">
        <f>N435+1</f>
        <v/>
      </c>
      <c r="O436" s="1500" t="n"/>
      <c r="P436" s="1500" t="n"/>
      <c r="Q436" s="1427" t="inlineStr">
        <is>
          <t>.</t>
        </is>
      </c>
      <c r="R436" s="1491" t="n"/>
      <c r="S436" s="1491" t="n"/>
      <c r="T436" s="1491" t="n"/>
      <c r="U436" s="1491" t="n"/>
      <c r="V436" s="1491" t="n"/>
      <c r="W436" s="1491" t="n"/>
      <c r="X436" s="1491" t="n"/>
      <c r="Y436" s="1491" t="n"/>
      <c r="Z436" s="1491" t="n"/>
      <c r="AA436" s="1491" t="n"/>
      <c r="AB436" s="1491" t="n"/>
      <c r="AC436" s="1491" t="n"/>
      <c r="AD436" s="1491" t="n"/>
      <c r="AE436" s="1491" t="n"/>
      <c r="AF436" s="1491" t="n"/>
      <c r="AG436" s="1491" t="n"/>
      <c r="AH436" s="1491" t="n"/>
      <c r="AI436" s="1491" t="n"/>
      <c r="AJ436" s="1491" t="n"/>
      <c r="AK436" s="1491" t="n"/>
      <c r="AL436" s="1491" t="n"/>
      <c r="AM436" s="1491" t="n"/>
      <c r="AN436" s="1491" t="n"/>
      <c r="AO436" s="1491" t="n"/>
      <c r="AP436" s="1491" t="n"/>
      <c r="AQ436" s="1491" t="n"/>
      <c r="AR436" s="1491" t="n"/>
      <c r="AS436" s="1491" t="n"/>
      <c r="AT436" s="1491" t="n"/>
      <c r="AU436" s="1491" t="n"/>
      <c r="AV436" s="1491" t="n"/>
      <c r="AW436" s="1491" t="n"/>
      <c r="AX436" s="1491" t="n"/>
      <c r="AY436" s="1491" t="n"/>
      <c r="AZ436" s="1491" t="n"/>
      <c r="BA436" s="1491" t="n"/>
      <c r="BB436" s="1491" t="n"/>
      <c r="BC436" s="1491" t="n"/>
      <c r="BD436" s="1491" t="n"/>
      <c r="BE436" s="1491" t="n"/>
      <c r="BF436" s="1491" t="n"/>
      <c r="BG436" s="1491" t="n"/>
      <c r="BH436" s="1491" t="n"/>
      <c r="BI436" s="1491" t="n"/>
      <c r="BJ436" s="1491" t="n"/>
      <c r="BK436" s="1491" t="n"/>
      <c r="BL436" s="1491" t="n"/>
      <c r="BM436" s="1491" t="n"/>
      <c r="BN436" s="1491" t="n"/>
      <c r="BO436" s="1467" t="n"/>
      <c r="BP436" s="1514" t="n">
        <v>432</v>
      </c>
      <c r="BQ436" s="1513">
        <f>[1]Sheet1!C437</f>
        <v/>
      </c>
      <c r="BR436" s="1515">
        <f>[1]Sheet1!D437</f>
        <v/>
      </c>
      <c r="BS436" s="1513">
        <f>[1]Sheet1!E437</f>
        <v/>
      </c>
      <c r="BT436" s="1515">
        <f>[1]Sheet1!F437</f>
        <v/>
      </c>
      <c r="BU436" s="1516">
        <f>[1]Sheet1!G437</f>
        <v/>
      </c>
      <c r="BV436" s="1513">
        <f>[1]Sheet1!H437</f>
        <v/>
      </c>
      <c r="BW436" s="1467" t="n"/>
      <c r="BX436" s="1491" t="n"/>
      <c r="BY436" s="1491" t="n"/>
      <c r="BZ436" s="1491" t="n"/>
      <c r="CA436" s="1491" t="n"/>
      <c r="CB436" s="1467" t="n"/>
      <c r="CC436" s="1467" t="n"/>
      <c r="CD436" s="1491" t="n"/>
      <c r="CE436" s="1491" t="n"/>
      <c r="CF436" s="1491" t="n"/>
      <c r="CG436" s="1491" t="n"/>
      <c r="CH436" s="1491" t="n"/>
      <c r="CI436" s="1491" t="n"/>
      <c r="CJ436" s="1491" t="n"/>
      <c r="CK436" s="1491" t="n"/>
      <c r="CL436" s="1491" t="n"/>
      <c r="CM436" s="1491" t="n"/>
      <c r="CN436" s="1491" t="n"/>
      <c r="CO436" s="1491" t="n"/>
      <c r="CP436" s="1491" t="n"/>
      <c r="CQ436" s="1491" t="n"/>
      <c r="CR436" s="1491" t="n"/>
      <c r="CS436" s="1491" t="n"/>
      <c r="CT436" s="1491" t="n"/>
      <c r="CU436" s="1491" t="n"/>
      <c r="CV436" s="1491" t="n"/>
      <c r="CW436" s="1491" t="n"/>
      <c r="CX436" s="1491" t="n"/>
    </row>
    <row r="437">
      <c r="A437" s="1491" t="n"/>
      <c r="B437" s="1491" t="n"/>
      <c r="C437" s="1491" t="n"/>
      <c r="D437" s="1497">
        <f>IF(E437&lt;&gt;"",D436+1,D436)</f>
        <v/>
      </c>
      <c r="E437" s="1497" t="inlineStr">
        <is>
          <t>Andarai</t>
        </is>
      </c>
      <c r="F437" s="1535" t="inlineStr">
        <is>
          <t>.</t>
        </is>
      </c>
      <c r="G437" s="1498">
        <f>IF(H437="AIR",0,IF(H436="AIR",G435+1,IF(H437&lt;&gt;"",G436+1,G436)))</f>
        <v/>
      </c>
      <c r="H437" s="1498" t="inlineStr">
        <is>
          <t>Abbadia San Salvatore</t>
        </is>
      </c>
      <c r="I437" s="1427" t="inlineStr">
        <is>
          <t>.</t>
        </is>
      </c>
      <c r="J437" s="1499" t="n">
        <v>432</v>
      </c>
      <c r="K437" s="1500">
        <f>_xlfn.XLOOKUP(cities[[#This Row],[id]],$D$5:$D$1500,E$5:E$1500,"-")</f>
        <v/>
      </c>
      <c r="L437" s="1500">
        <f>_xlfn.XLOOKUP(cities[[#This Row],[city]],ccc[city],ccc[ctry],"-")</f>
        <v/>
      </c>
      <c r="M437" s="1500">
        <f>SUMIFS(stayCity[stay],stayCity[city],cities[[#This Row],[city]])</f>
        <v/>
      </c>
      <c r="N437" s="1427">
        <f>N436+1</f>
        <v/>
      </c>
      <c r="O437" s="1500" t="n"/>
      <c r="P437" s="1500" t="n"/>
      <c r="Q437" s="1427" t="inlineStr">
        <is>
          <t>.</t>
        </is>
      </c>
      <c r="R437" s="1491" t="n"/>
      <c r="S437" s="1491" t="n"/>
      <c r="T437" s="1491" t="n"/>
      <c r="U437" s="1491" t="n"/>
      <c r="V437" s="1491" t="n"/>
      <c r="W437" s="1491" t="n"/>
      <c r="X437" s="1491" t="n"/>
      <c r="Y437" s="1491" t="n"/>
      <c r="Z437" s="1491" t="n"/>
      <c r="AA437" s="1491" t="n"/>
      <c r="AB437" s="1491" t="n"/>
      <c r="AC437" s="1491" t="n"/>
      <c r="AD437" s="1491" t="n"/>
      <c r="AE437" s="1491" t="n"/>
      <c r="AF437" s="1491" t="n"/>
      <c r="AG437" s="1491" t="n"/>
      <c r="AH437" s="1491" t="n"/>
      <c r="AI437" s="1491" t="n"/>
      <c r="AJ437" s="1491" t="n"/>
      <c r="AK437" s="1491" t="n"/>
      <c r="AL437" s="1491" t="n"/>
      <c r="AM437" s="1491" t="n"/>
      <c r="AN437" s="1491" t="n"/>
      <c r="AO437" s="1491" t="n"/>
      <c r="AP437" s="1491" t="n"/>
      <c r="AQ437" s="1491" t="n"/>
      <c r="AR437" s="1491" t="n"/>
      <c r="AS437" s="1491" t="n"/>
      <c r="AT437" s="1491" t="n"/>
      <c r="AU437" s="1491" t="n"/>
      <c r="AV437" s="1491" t="n"/>
      <c r="AW437" s="1491" t="n"/>
      <c r="AX437" s="1491" t="n"/>
      <c r="AY437" s="1491" t="n"/>
      <c r="AZ437" s="1491" t="n"/>
      <c r="BA437" s="1491" t="n"/>
      <c r="BB437" s="1491" t="n"/>
      <c r="BC437" s="1491" t="n"/>
      <c r="BD437" s="1491" t="n"/>
      <c r="BE437" s="1491" t="n"/>
      <c r="BF437" s="1491" t="n"/>
      <c r="BG437" s="1491" t="n"/>
      <c r="BH437" s="1491" t="n"/>
      <c r="BI437" s="1491" t="n"/>
      <c r="BJ437" s="1491" t="n"/>
      <c r="BK437" s="1491" t="n"/>
      <c r="BL437" s="1491" t="n"/>
      <c r="BM437" s="1491" t="n"/>
      <c r="BN437" s="1491" t="n"/>
      <c r="BO437" s="1467" t="n"/>
      <c r="BP437" s="1514" t="n">
        <v>433</v>
      </c>
      <c r="BQ437" s="1513">
        <f>[1]Sheet1!C438</f>
        <v/>
      </c>
      <c r="BR437" s="1515">
        <f>[1]Sheet1!D438</f>
        <v/>
      </c>
      <c r="BS437" s="1513">
        <f>[1]Sheet1!E438</f>
        <v/>
      </c>
      <c r="BT437" s="1515">
        <f>[1]Sheet1!F438</f>
        <v/>
      </c>
      <c r="BU437" s="1516">
        <f>[1]Sheet1!G438</f>
        <v/>
      </c>
      <c r="BV437" s="1513">
        <f>[1]Sheet1!H438</f>
        <v/>
      </c>
      <c r="BW437" s="1467" t="n"/>
      <c r="BX437" s="1491" t="n"/>
      <c r="BY437" s="1491" t="n"/>
      <c r="BZ437" s="1491" t="n"/>
      <c r="CA437" s="1491" t="n"/>
      <c r="CB437" s="1467" t="n"/>
      <c r="CC437" s="1467" t="n"/>
      <c r="CD437" s="1491" t="n"/>
      <c r="CE437" s="1491" t="n"/>
      <c r="CF437" s="1491" t="n"/>
      <c r="CG437" s="1491" t="n"/>
      <c r="CH437" s="1491" t="n"/>
      <c r="CI437" s="1491" t="n"/>
      <c r="CJ437" s="1491" t="n"/>
      <c r="CK437" s="1491" t="n"/>
      <c r="CL437" s="1491" t="n"/>
      <c r="CM437" s="1491" t="n"/>
      <c r="CN437" s="1491" t="n"/>
      <c r="CO437" s="1491" t="n"/>
      <c r="CP437" s="1491" t="n"/>
      <c r="CQ437" s="1491" t="n"/>
      <c r="CR437" s="1491" t="n"/>
      <c r="CS437" s="1491" t="n"/>
      <c r="CT437" s="1491" t="n"/>
      <c r="CU437" s="1491" t="n"/>
      <c r="CV437" s="1491" t="n"/>
      <c r="CW437" s="1491" t="n"/>
      <c r="CX437" s="1491" t="n"/>
    </row>
    <row r="438">
      <c r="A438" s="1491" t="n"/>
      <c r="B438" s="1491" t="n"/>
      <c r="C438" s="1491" t="n"/>
      <c r="D438" s="1497">
        <f>IF(E438&lt;&gt;"",D437+1,D437)</f>
        <v/>
      </c>
      <c r="E438" s="1497" t="inlineStr">
        <is>
          <t>Fortaleza</t>
        </is>
      </c>
      <c r="F438" s="1535" t="inlineStr">
        <is>
          <t>.</t>
        </is>
      </c>
      <c r="G438" s="1498">
        <f>IF(H438="AIR",0,IF(H437="AIR",G436+1,IF(H438&lt;&gt;"",G437+1,G437)))</f>
        <v/>
      </c>
      <c r="H438" s="1498" t="inlineStr">
        <is>
          <t>Acquapendente</t>
        </is>
      </c>
      <c r="I438" s="1427" t="inlineStr">
        <is>
          <t>.</t>
        </is>
      </c>
      <c r="J438" s="1499" t="n">
        <v>433</v>
      </c>
      <c r="K438" s="1500">
        <f>_xlfn.XLOOKUP(cities[[#This Row],[id]],$D$5:$D$1500,E$5:E$1500,"-")</f>
        <v/>
      </c>
      <c r="L438" s="1500">
        <f>_xlfn.XLOOKUP(cities[[#This Row],[city]],ccc[city],ccc[ctry],"-")</f>
        <v/>
      </c>
      <c r="M438" s="1500">
        <f>SUMIFS(stayCity[stay],stayCity[city],cities[[#This Row],[city]])</f>
        <v/>
      </c>
      <c r="N438" s="1427">
        <f>N437+1</f>
        <v/>
      </c>
      <c r="O438" s="1500" t="n"/>
      <c r="P438" s="1500" t="n"/>
      <c r="Q438" s="1427" t="inlineStr">
        <is>
          <t>.</t>
        </is>
      </c>
      <c r="R438" s="1491" t="n"/>
      <c r="S438" s="1491" t="n"/>
      <c r="T438" s="1491" t="n"/>
      <c r="U438" s="1491" t="n"/>
      <c r="V438" s="1491" t="n"/>
      <c r="W438" s="1491" t="n"/>
      <c r="X438" s="1491" t="n"/>
      <c r="Y438" s="1491" t="n"/>
      <c r="Z438" s="1491" t="n"/>
      <c r="AA438" s="1491" t="n"/>
      <c r="AB438" s="1491" t="n"/>
      <c r="AC438" s="1491" t="n"/>
      <c r="AD438" s="1491" t="n"/>
      <c r="AE438" s="1491" t="n"/>
      <c r="AF438" s="1491" t="n"/>
      <c r="AG438" s="1491" t="n"/>
      <c r="AH438" s="1491" t="n"/>
      <c r="AI438" s="1491" t="n"/>
      <c r="AJ438" s="1491" t="n"/>
      <c r="AK438" s="1491" t="n"/>
      <c r="AL438" s="1491" t="n"/>
      <c r="AM438" s="1491" t="n"/>
      <c r="AN438" s="1491" t="n"/>
      <c r="AO438" s="1491" t="n"/>
      <c r="AP438" s="1491" t="n"/>
      <c r="AQ438" s="1491" t="n"/>
      <c r="AR438" s="1491" t="n"/>
      <c r="AS438" s="1491" t="n"/>
      <c r="AT438" s="1491" t="n"/>
      <c r="AU438" s="1491" t="n"/>
      <c r="AV438" s="1491" t="n"/>
      <c r="AW438" s="1491" t="n"/>
      <c r="AX438" s="1491" t="n"/>
      <c r="AY438" s="1491" t="n"/>
      <c r="AZ438" s="1491" t="n"/>
      <c r="BA438" s="1491" t="n"/>
      <c r="BB438" s="1491" t="n"/>
      <c r="BC438" s="1491" t="n"/>
      <c r="BD438" s="1491" t="n"/>
      <c r="BE438" s="1491" t="n"/>
      <c r="BF438" s="1491" t="n"/>
      <c r="BG438" s="1491" t="n"/>
      <c r="BH438" s="1491" t="n"/>
      <c r="BI438" s="1491" t="n"/>
      <c r="BJ438" s="1491" t="n"/>
      <c r="BK438" s="1491" t="n"/>
      <c r="BL438" s="1491" t="n"/>
      <c r="BM438" s="1491" t="n"/>
      <c r="BN438" s="1491" t="n"/>
      <c r="BO438" s="1467" t="n"/>
      <c r="BP438" s="1514" t="n">
        <v>434</v>
      </c>
      <c r="BQ438" s="1513">
        <f>[1]Sheet1!C439</f>
        <v/>
      </c>
      <c r="BR438" s="1515">
        <f>[1]Sheet1!D439</f>
        <v/>
      </c>
      <c r="BS438" s="1513">
        <f>[1]Sheet1!E439</f>
        <v/>
      </c>
      <c r="BT438" s="1515">
        <f>[1]Sheet1!F439</f>
        <v/>
      </c>
      <c r="BU438" s="1516">
        <f>[1]Sheet1!G439</f>
        <v/>
      </c>
      <c r="BV438" s="1513">
        <f>[1]Sheet1!H439</f>
        <v/>
      </c>
      <c r="BW438" s="1467" t="n"/>
      <c r="BX438" s="1491" t="n"/>
      <c r="BY438" s="1491" t="n"/>
      <c r="BZ438" s="1491" t="n"/>
      <c r="CA438" s="1491" t="n"/>
      <c r="CB438" s="1467" t="n"/>
      <c r="CC438" s="1467" t="n"/>
      <c r="CD438" s="1491" t="n"/>
      <c r="CE438" s="1491" t="n"/>
      <c r="CF438" s="1491" t="n"/>
      <c r="CG438" s="1491" t="n"/>
      <c r="CH438" s="1491" t="n"/>
      <c r="CI438" s="1491" t="n"/>
      <c r="CJ438" s="1491" t="n"/>
      <c r="CK438" s="1491" t="n"/>
      <c r="CL438" s="1491" t="n"/>
      <c r="CM438" s="1491" t="n"/>
      <c r="CN438" s="1491" t="n"/>
      <c r="CO438" s="1491" t="n"/>
      <c r="CP438" s="1491" t="n"/>
      <c r="CQ438" s="1491" t="n"/>
      <c r="CR438" s="1491" t="n"/>
      <c r="CS438" s="1491" t="n"/>
      <c r="CT438" s="1491" t="n"/>
      <c r="CU438" s="1491" t="n"/>
      <c r="CV438" s="1491" t="n"/>
      <c r="CW438" s="1491" t="n"/>
      <c r="CX438" s="1491" t="n"/>
    </row>
    <row r="439">
      <c r="A439" s="1491" t="n"/>
      <c r="B439" s="1491" t="n"/>
      <c r="C439" s="1491" t="n"/>
      <c r="D439" s="1497">
        <f>IF(E439&lt;&gt;"",D438+1,D438)</f>
        <v/>
      </c>
      <c r="E439" s="1497" t="inlineStr">
        <is>
          <t>Joao Pessoa</t>
        </is>
      </c>
      <c r="F439" s="1535" t="inlineStr">
        <is>
          <t>.</t>
        </is>
      </c>
      <c r="G439" s="1498">
        <f>IF(H439="AIR",0,IF(H438="AIR",G437+1,IF(H439&lt;&gt;"",G438+1,G438)))</f>
        <v/>
      </c>
      <c r="H439" s="1498" t="inlineStr">
        <is>
          <t>San Lorenzo Nuovo</t>
        </is>
      </c>
      <c r="I439" s="1427" t="inlineStr">
        <is>
          <t>.</t>
        </is>
      </c>
      <c r="J439" s="1499" t="n">
        <v>434</v>
      </c>
      <c r="K439" s="1500">
        <f>_xlfn.XLOOKUP(cities[[#This Row],[id]],$D$5:$D$1500,E$5:E$1500,"-")</f>
        <v/>
      </c>
      <c r="L439" s="1500">
        <f>_xlfn.XLOOKUP(cities[[#This Row],[city]],ccc[city],ccc[ctry],"-")</f>
        <v/>
      </c>
      <c r="M439" s="1500">
        <f>SUMIFS(stayCity[stay],stayCity[city],cities[[#This Row],[city]])</f>
        <v/>
      </c>
      <c r="N439" s="1427">
        <f>N438+1</f>
        <v/>
      </c>
      <c r="O439" s="1500" t="n"/>
      <c r="P439" s="1500" t="n"/>
      <c r="Q439" s="1427" t="inlineStr">
        <is>
          <t>.</t>
        </is>
      </c>
      <c r="R439" s="1491" t="n"/>
      <c r="S439" s="1491" t="n"/>
      <c r="T439" s="1491" t="n"/>
      <c r="U439" s="1491" t="n"/>
      <c r="V439" s="1491" t="n"/>
      <c r="W439" s="1491" t="n"/>
      <c r="X439" s="1491" t="n"/>
      <c r="Y439" s="1491" t="n"/>
      <c r="Z439" s="1491" t="n"/>
      <c r="AA439" s="1491" t="n"/>
      <c r="AB439" s="1491" t="n"/>
      <c r="AC439" s="1491" t="n"/>
      <c r="AD439" s="1491" t="n"/>
      <c r="AE439" s="1491" t="n"/>
      <c r="AF439" s="1491" t="n"/>
      <c r="AG439" s="1491" t="n"/>
      <c r="AH439" s="1491" t="n"/>
      <c r="AI439" s="1491" t="n"/>
      <c r="AJ439" s="1491" t="n"/>
      <c r="AK439" s="1491" t="n"/>
      <c r="AL439" s="1491" t="n"/>
      <c r="AM439" s="1491" t="n"/>
      <c r="AN439" s="1491" t="n"/>
      <c r="AO439" s="1491" t="n"/>
      <c r="AP439" s="1491" t="n"/>
      <c r="AQ439" s="1491" t="n"/>
      <c r="AR439" s="1491" t="n"/>
      <c r="AS439" s="1491" t="n"/>
      <c r="AT439" s="1491" t="n"/>
      <c r="AU439" s="1491" t="n"/>
      <c r="AV439" s="1491" t="n"/>
      <c r="AW439" s="1491" t="n"/>
      <c r="AX439" s="1491" t="n"/>
      <c r="AY439" s="1491" t="n"/>
      <c r="AZ439" s="1491" t="n"/>
      <c r="BA439" s="1491" t="n"/>
      <c r="BB439" s="1491" t="n"/>
      <c r="BC439" s="1491" t="n"/>
      <c r="BD439" s="1491" t="n"/>
      <c r="BE439" s="1491" t="n"/>
      <c r="BF439" s="1491" t="n"/>
      <c r="BG439" s="1491" t="n"/>
      <c r="BH439" s="1491" t="n"/>
      <c r="BI439" s="1491" t="n"/>
      <c r="BJ439" s="1491" t="n"/>
      <c r="BK439" s="1491" t="n"/>
      <c r="BL439" s="1491" t="n"/>
      <c r="BM439" s="1491" t="n"/>
      <c r="BN439" s="1491" t="n"/>
      <c r="BO439" s="1467" t="n"/>
      <c r="BP439" s="1514" t="n">
        <v>435</v>
      </c>
      <c r="BQ439" s="1513">
        <f>[1]Sheet1!C440</f>
        <v/>
      </c>
      <c r="BR439" s="1515">
        <f>[1]Sheet1!D440</f>
        <v/>
      </c>
      <c r="BS439" s="1513">
        <f>[1]Sheet1!E440</f>
        <v/>
      </c>
      <c r="BT439" s="1515">
        <f>[1]Sheet1!F440</f>
        <v/>
      </c>
      <c r="BU439" s="1516">
        <f>[1]Sheet1!G440</f>
        <v/>
      </c>
      <c r="BV439" s="1513">
        <f>[1]Sheet1!H440</f>
        <v/>
      </c>
      <c r="BW439" s="1467" t="n"/>
      <c r="BX439" s="1491" t="n"/>
      <c r="BY439" s="1491" t="n"/>
      <c r="BZ439" s="1491" t="n"/>
      <c r="CA439" s="1491" t="n"/>
      <c r="CB439" s="1467" t="n"/>
      <c r="CC439" s="1467" t="n"/>
      <c r="CD439" s="1491" t="n"/>
      <c r="CE439" s="1491" t="n"/>
      <c r="CF439" s="1491" t="n"/>
      <c r="CG439" s="1491" t="n"/>
      <c r="CH439" s="1491" t="n"/>
      <c r="CI439" s="1491" t="n"/>
      <c r="CJ439" s="1491" t="n"/>
      <c r="CK439" s="1491" t="n"/>
      <c r="CL439" s="1491" t="n"/>
      <c r="CM439" s="1491" t="n"/>
      <c r="CN439" s="1491" t="n"/>
      <c r="CO439" s="1491" t="n"/>
      <c r="CP439" s="1491" t="n"/>
      <c r="CQ439" s="1491" t="n"/>
      <c r="CR439" s="1491" t="n"/>
      <c r="CS439" s="1491" t="n"/>
      <c r="CT439" s="1491" t="n"/>
      <c r="CU439" s="1491" t="n"/>
      <c r="CV439" s="1491" t="n"/>
      <c r="CW439" s="1491" t="n"/>
      <c r="CX439" s="1491" t="n"/>
    </row>
    <row r="440">
      <c r="A440" s="1491" t="n"/>
      <c r="B440" s="1491" t="n"/>
      <c r="C440" s="1491" t="n"/>
      <c r="D440" s="1497">
        <f>IF(E440&lt;&gt;"",D439+1,D439)</f>
        <v/>
      </c>
      <c r="E440" s="1497" t="inlineStr">
        <is>
          <t>St. Juste</t>
        </is>
      </c>
      <c r="F440" s="1535" t="inlineStr">
        <is>
          <t>.</t>
        </is>
      </c>
      <c r="G440" s="1498">
        <f>IF(H440="AIR",0,IF(H439="AIR",G438+1,IF(H440&lt;&gt;"",G439+1,G439)))</f>
        <v/>
      </c>
      <c r="H440" s="1498" t="inlineStr">
        <is>
          <t>Montefiascone</t>
        </is>
      </c>
      <c r="I440" s="1427" t="inlineStr">
        <is>
          <t>.</t>
        </is>
      </c>
      <c r="J440" s="1499" t="n">
        <v>435</v>
      </c>
      <c r="K440" s="1500">
        <f>_xlfn.XLOOKUP(cities[[#This Row],[id]],$D$5:$D$1500,E$5:E$1500,"-")</f>
        <v/>
      </c>
      <c r="L440" s="1500">
        <f>_xlfn.XLOOKUP(cities[[#This Row],[city]],ccc[city],ccc[ctry],"-")</f>
        <v/>
      </c>
      <c r="M440" s="1500">
        <f>SUMIFS(stayCity[stay],stayCity[city],cities[[#This Row],[city]])</f>
        <v/>
      </c>
      <c r="N440" s="1427">
        <f>N439+1</f>
        <v/>
      </c>
      <c r="O440" s="1500" t="n"/>
      <c r="P440" s="1500" t="n"/>
      <c r="Q440" s="1427" t="inlineStr">
        <is>
          <t>.</t>
        </is>
      </c>
      <c r="R440" s="1491" t="n"/>
      <c r="S440" s="1491" t="n"/>
      <c r="T440" s="1491" t="n"/>
      <c r="U440" s="1491" t="n"/>
      <c r="V440" s="1491" t="n"/>
      <c r="W440" s="1491" t="n"/>
      <c r="X440" s="1491" t="n"/>
      <c r="Y440" s="1491" t="n"/>
      <c r="Z440" s="1491" t="n"/>
      <c r="AA440" s="1491" t="n"/>
      <c r="AB440" s="1491" t="n"/>
      <c r="AC440" s="1491" t="n"/>
      <c r="AD440" s="1491" t="n"/>
      <c r="AE440" s="1491" t="n"/>
      <c r="AF440" s="1491" t="n"/>
      <c r="AG440" s="1491" t="n"/>
      <c r="AH440" s="1491" t="n"/>
      <c r="AI440" s="1491" t="n"/>
      <c r="AJ440" s="1491" t="n"/>
      <c r="AK440" s="1491" t="n"/>
      <c r="AL440" s="1491" t="n"/>
      <c r="AM440" s="1491" t="n"/>
      <c r="AN440" s="1491" t="n"/>
      <c r="AO440" s="1491" t="n"/>
      <c r="AP440" s="1491" t="n"/>
      <c r="AQ440" s="1491" t="n"/>
      <c r="AR440" s="1491" t="n"/>
      <c r="AS440" s="1491" t="n"/>
      <c r="AT440" s="1491" t="n"/>
      <c r="AU440" s="1491" t="n"/>
      <c r="AV440" s="1491" t="n"/>
      <c r="AW440" s="1491" t="n"/>
      <c r="AX440" s="1491" t="n"/>
      <c r="AY440" s="1491" t="n"/>
      <c r="AZ440" s="1491" t="n"/>
      <c r="BA440" s="1491" t="n"/>
      <c r="BB440" s="1491" t="n"/>
      <c r="BC440" s="1491" t="n"/>
      <c r="BD440" s="1491" t="n"/>
      <c r="BE440" s="1491" t="n"/>
      <c r="BF440" s="1491" t="n"/>
      <c r="BG440" s="1491" t="n"/>
      <c r="BH440" s="1491" t="n"/>
      <c r="BI440" s="1491" t="n"/>
      <c r="BJ440" s="1491" t="n"/>
      <c r="BK440" s="1491" t="n"/>
      <c r="BL440" s="1491" t="n"/>
      <c r="BM440" s="1491" t="n"/>
      <c r="BN440" s="1491" t="n"/>
      <c r="BO440" s="1467" t="n"/>
      <c r="BP440" s="1514" t="n">
        <v>436</v>
      </c>
      <c r="BQ440" s="1513">
        <f>[1]Sheet1!C441</f>
        <v/>
      </c>
      <c r="BR440" s="1515">
        <f>[1]Sheet1!D441</f>
        <v/>
      </c>
      <c r="BS440" s="1513">
        <f>[1]Sheet1!E441</f>
        <v/>
      </c>
      <c r="BT440" s="1515">
        <f>[1]Sheet1!F441</f>
        <v/>
      </c>
      <c r="BU440" s="1516">
        <f>[1]Sheet1!G441</f>
        <v/>
      </c>
      <c r="BV440" s="1513">
        <f>[1]Sheet1!H441</f>
        <v/>
      </c>
      <c r="BW440" s="1467" t="n"/>
      <c r="BX440" s="1491" t="n"/>
      <c r="BY440" s="1491" t="n"/>
      <c r="BZ440" s="1491" t="n"/>
      <c r="CA440" s="1491" t="n"/>
      <c r="CB440" s="1467" t="n"/>
      <c r="CC440" s="1467" t="n"/>
      <c r="CD440" s="1491" t="n"/>
      <c r="CE440" s="1491" t="n"/>
      <c r="CF440" s="1491" t="n"/>
      <c r="CG440" s="1491" t="n"/>
      <c r="CH440" s="1491" t="n"/>
      <c r="CI440" s="1491" t="n"/>
      <c r="CJ440" s="1491" t="n"/>
      <c r="CK440" s="1491" t="n"/>
      <c r="CL440" s="1491" t="n"/>
      <c r="CM440" s="1491" t="n"/>
      <c r="CN440" s="1491" t="n"/>
      <c r="CO440" s="1491" t="n"/>
      <c r="CP440" s="1491" t="n"/>
      <c r="CQ440" s="1491" t="n"/>
      <c r="CR440" s="1491" t="n"/>
      <c r="CS440" s="1491" t="n"/>
      <c r="CT440" s="1491" t="n"/>
      <c r="CU440" s="1491" t="n"/>
      <c r="CV440" s="1491" t="n"/>
      <c r="CW440" s="1491" t="n"/>
      <c r="CX440" s="1491" t="n"/>
    </row>
    <row r="441">
      <c r="A441" s="1491" t="n"/>
      <c r="B441" s="1491" t="n"/>
      <c r="C441" s="1491" t="n"/>
      <c r="D441" s="1497">
        <f>IF(E441&lt;&gt;"",D440+1,D440)</f>
        <v/>
      </c>
      <c r="E441" s="1497" t="inlineStr">
        <is>
          <t>Trerice National Trust</t>
        </is>
      </c>
      <c r="F441" s="1535" t="inlineStr">
        <is>
          <t>.</t>
        </is>
      </c>
      <c r="G441" s="1498">
        <f>IF(H441="AIR",0,IF(H440="AIR",G439+1,IF(H441&lt;&gt;"",G440+1,G440)))</f>
        <v/>
      </c>
      <c r="H441" s="1498" t="inlineStr">
        <is>
          <t>Viterbo</t>
        </is>
      </c>
      <c r="I441" s="1427" t="inlineStr">
        <is>
          <t>.</t>
        </is>
      </c>
      <c r="J441" s="1499" t="n">
        <v>436</v>
      </c>
      <c r="K441" s="1500">
        <f>_xlfn.XLOOKUP(cities[[#This Row],[id]],$D$5:$D$1500,E$5:E$1500,"-")</f>
        <v/>
      </c>
      <c r="L441" s="1500">
        <f>_xlfn.XLOOKUP(cities[[#This Row],[city]],ccc[city],ccc[ctry],"-")</f>
        <v/>
      </c>
      <c r="M441" s="1500">
        <f>SUMIFS(stayCity[stay],stayCity[city],cities[[#This Row],[city]])</f>
        <v/>
      </c>
      <c r="N441" s="1427">
        <f>N440+1</f>
        <v/>
      </c>
      <c r="O441" s="1500" t="n"/>
      <c r="P441" s="1500" t="n"/>
      <c r="Q441" s="1427" t="inlineStr">
        <is>
          <t>.</t>
        </is>
      </c>
      <c r="R441" s="1491" t="n"/>
      <c r="S441" s="1491" t="n"/>
      <c r="T441" s="1491" t="n"/>
      <c r="U441" s="1491" t="n"/>
      <c r="V441" s="1491" t="n"/>
      <c r="W441" s="1491" t="n"/>
      <c r="X441" s="1491" t="n"/>
      <c r="Y441" s="1491" t="n"/>
      <c r="Z441" s="1491" t="n"/>
      <c r="AA441" s="1491" t="n"/>
      <c r="AB441" s="1491" t="n"/>
      <c r="AC441" s="1491" t="n"/>
      <c r="AD441" s="1491" t="n"/>
      <c r="AE441" s="1491" t="n"/>
      <c r="AF441" s="1491" t="n"/>
      <c r="AG441" s="1491" t="n"/>
      <c r="AH441" s="1491" t="n"/>
      <c r="AI441" s="1491" t="n"/>
      <c r="AJ441" s="1491" t="n"/>
      <c r="AK441" s="1491" t="n"/>
      <c r="AL441" s="1491" t="n"/>
      <c r="AM441" s="1491" t="n"/>
      <c r="AN441" s="1491" t="n"/>
      <c r="AO441" s="1491" t="n"/>
      <c r="AP441" s="1491" t="n"/>
      <c r="AQ441" s="1491" t="n"/>
      <c r="AR441" s="1491" t="n"/>
      <c r="AS441" s="1491" t="n"/>
      <c r="AT441" s="1491" t="n"/>
      <c r="AU441" s="1491" t="n"/>
      <c r="AV441" s="1491" t="n"/>
      <c r="AW441" s="1491" t="n"/>
      <c r="AX441" s="1491" t="n"/>
      <c r="AY441" s="1491" t="n"/>
      <c r="AZ441" s="1491" t="n"/>
      <c r="BA441" s="1491" t="n"/>
      <c r="BB441" s="1491" t="n"/>
      <c r="BC441" s="1491" t="n"/>
      <c r="BD441" s="1491" t="n"/>
      <c r="BE441" s="1491" t="n"/>
      <c r="BF441" s="1491" t="n"/>
      <c r="BG441" s="1491" t="n"/>
      <c r="BH441" s="1491" t="n"/>
      <c r="BI441" s="1491" t="n"/>
      <c r="BJ441" s="1491" t="n"/>
      <c r="BK441" s="1491" t="n"/>
      <c r="BL441" s="1491" t="n"/>
      <c r="BM441" s="1491" t="n"/>
      <c r="BN441" s="1491" t="n"/>
      <c r="BO441" s="1467" t="n"/>
      <c r="BP441" s="1514" t="n">
        <v>437</v>
      </c>
      <c r="BQ441" s="1513">
        <f>[1]Sheet1!C442</f>
        <v/>
      </c>
      <c r="BR441" s="1515">
        <f>[1]Sheet1!D442</f>
        <v/>
      </c>
      <c r="BS441" s="1513">
        <f>[1]Sheet1!E442</f>
        <v/>
      </c>
      <c r="BT441" s="1515">
        <f>[1]Sheet1!F442</f>
        <v/>
      </c>
      <c r="BU441" s="1516">
        <f>[1]Sheet1!G442</f>
        <v/>
      </c>
      <c r="BV441" s="1513">
        <f>[1]Sheet1!H442</f>
        <v/>
      </c>
      <c r="BW441" s="1467" t="n"/>
      <c r="BX441" s="1491" t="n"/>
      <c r="BY441" s="1491" t="n"/>
      <c r="BZ441" s="1491" t="n"/>
      <c r="CA441" s="1491" t="n"/>
      <c r="CB441" s="1467" t="n"/>
      <c r="CC441" s="1467" t="n"/>
      <c r="CD441" s="1491" t="n"/>
      <c r="CE441" s="1491" t="n"/>
      <c r="CF441" s="1491" t="n"/>
      <c r="CG441" s="1491" t="n"/>
      <c r="CH441" s="1491" t="n"/>
      <c r="CI441" s="1491" t="n"/>
      <c r="CJ441" s="1491" t="n"/>
      <c r="CK441" s="1491" t="n"/>
      <c r="CL441" s="1491" t="n"/>
      <c r="CM441" s="1491" t="n"/>
      <c r="CN441" s="1491" t="n"/>
      <c r="CO441" s="1491" t="n"/>
      <c r="CP441" s="1491" t="n"/>
      <c r="CQ441" s="1491" t="n"/>
      <c r="CR441" s="1491" t="n"/>
      <c r="CS441" s="1491" t="n"/>
      <c r="CT441" s="1491" t="n"/>
      <c r="CU441" s="1491" t="n"/>
      <c r="CV441" s="1491" t="n"/>
      <c r="CW441" s="1491" t="n"/>
      <c r="CX441" s="1491" t="n"/>
    </row>
    <row r="442">
      <c r="A442" s="1491" t="n"/>
      <c r="B442" s="1491" t="n"/>
      <c r="C442" s="1491" t="n"/>
      <c r="D442" s="1497">
        <f>IF(E442&lt;&gt;"",D441+1,D441)</f>
        <v/>
      </c>
      <c r="E442" s="1497" t="inlineStr">
        <is>
          <t>Portreath</t>
        </is>
      </c>
      <c r="F442" s="1535" t="inlineStr">
        <is>
          <t>.</t>
        </is>
      </c>
      <c r="G442" s="1498">
        <f>IF(H442="AIR",0,IF(H441="AIR",G440+1,IF(H442&lt;&gt;"",G441+1,G441)))</f>
        <v/>
      </c>
      <c r="H442" s="1498" t="inlineStr">
        <is>
          <t>Ronciglione</t>
        </is>
      </c>
      <c r="I442" s="1427" t="inlineStr">
        <is>
          <t>.</t>
        </is>
      </c>
      <c r="J442" s="1499" t="n">
        <v>437</v>
      </c>
      <c r="K442" s="1500">
        <f>_xlfn.XLOOKUP(cities[[#This Row],[id]],$D$5:$D$1500,E$5:E$1500,"-")</f>
        <v/>
      </c>
      <c r="L442" s="1500">
        <f>_xlfn.XLOOKUP(cities[[#This Row],[city]],ccc[city],ccc[ctry],"-")</f>
        <v/>
      </c>
      <c r="M442" s="1500">
        <f>SUMIFS(stayCity[stay],stayCity[city],cities[[#This Row],[city]])</f>
        <v/>
      </c>
      <c r="N442" s="1427">
        <f>N441+1</f>
        <v/>
      </c>
      <c r="O442" s="1500" t="n"/>
      <c r="P442" s="1500" t="n"/>
      <c r="Q442" s="1427" t="inlineStr">
        <is>
          <t>.</t>
        </is>
      </c>
      <c r="R442" s="1491" t="n"/>
      <c r="S442" s="1491" t="n"/>
      <c r="T442" s="1491" t="n"/>
      <c r="U442" s="1491" t="n"/>
      <c r="V442" s="1491" t="n"/>
      <c r="W442" s="1491" t="n"/>
      <c r="X442" s="1491" t="n"/>
      <c r="Y442" s="1491" t="n"/>
      <c r="Z442" s="1491" t="n"/>
      <c r="AA442" s="1491" t="n"/>
      <c r="AB442" s="1491" t="n"/>
      <c r="AC442" s="1491" t="n"/>
      <c r="AD442" s="1491" t="n"/>
      <c r="AE442" s="1491" t="n"/>
      <c r="AF442" s="1491" t="n"/>
      <c r="AG442" s="1491" t="n"/>
      <c r="AH442" s="1491" t="n"/>
      <c r="AI442" s="1491" t="n"/>
      <c r="AJ442" s="1491" t="n"/>
      <c r="AK442" s="1491" t="n"/>
      <c r="AL442" s="1491" t="n"/>
      <c r="AM442" s="1491" t="n"/>
      <c r="AN442" s="1491" t="n"/>
      <c r="AO442" s="1491" t="n"/>
      <c r="AP442" s="1491" t="n"/>
      <c r="AQ442" s="1491" t="n"/>
      <c r="AR442" s="1491" t="n"/>
      <c r="AS442" s="1491" t="n"/>
      <c r="AT442" s="1491" t="n"/>
      <c r="AU442" s="1491" t="n"/>
      <c r="AV442" s="1491" t="n"/>
      <c r="AW442" s="1491" t="n"/>
      <c r="AX442" s="1491" t="n"/>
      <c r="AY442" s="1491" t="n"/>
      <c r="AZ442" s="1491" t="n"/>
      <c r="BA442" s="1491" t="n"/>
      <c r="BB442" s="1491" t="n"/>
      <c r="BC442" s="1491" t="n"/>
      <c r="BD442" s="1491" t="n"/>
      <c r="BE442" s="1491" t="n"/>
      <c r="BF442" s="1491" t="n"/>
      <c r="BG442" s="1491" t="n"/>
      <c r="BH442" s="1491" t="n"/>
      <c r="BI442" s="1491" t="n"/>
      <c r="BJ442" s="1491" t="n"/>
      <c r="BK442" s="1491" t="n"/>
      <c r="BL442" s="1491" t="n"/>
      <c r="BM442" s="1491" t="n"/>
      <c r="BN442" s="1491" t="n"/>
      <c r="BO442" s="1467" t="n"/>
      <c r="BP442" s="1514" t="n">
        <v>438</v>
      </c>
      <c r="BQ442" s="1513">
        <f>[1]Sheet1!C443</f>
        <v/>
      </c>
      <c r="BR442" s="1515">
        <f>[1]Sheet1!D443</f>
        <v/>
      </c>
      <c r="BS442" s="1513">
        <f>[1]Sheet1!E443</f>
        <v/>
      </c>
      <c r="BT442" s="1515">
        <f>[1]Sheet1!F443</f>
        <v/>
      </c>
      <c r="BU442" s="1516">
        <f>[1]Sheet1!G443</f>
        <v/>
      </c>
      <c r="BV442" s="1513">
        <f>[1]Sheet1!H443</f>
        <v/>
      </c>
      <c r="BW442" s="1467" t="n"/>
      <c r="BX442" s="1491" t="n"/>
      <c r="BY442" s="1491" t="n"/>
      <c r="BZ442" s="1491" t="n"/>
      <c r="CA442" s="1491" t="n"/>
      <c r="CB442" s="1467" t="n"/>
      <c r="CC442" s="1467" t="n"/>
      <c r="CD442" s="1491" t="n"/>
      <c r="CE442" s="1491" t="n"/>
      <c r="CF442" s="1491" t="n"/>
      <c r="CG442" s="1491" t="n"/>
      <c r="CH442" s="1491" t="n"/>
      <c r="CI442" s="1491" t="n"/>
      <c r="CJ442" s="1491" t="n"/>
      <c r="CK442" s="1491" t="n"/>
      <c r="CL442" s="1491" t="n"/>
      <c r="CM442" s="1491" t="n"/>
      <c r="CN442" s="1491" t="n"/>
      <c r="CO442" s="1491" t="n"/>
      <c r="CP442" s="1491" t="n"/>
      <c r="CQ442" s="1491" t="n"/>
      <c r="CR442" s="1491" t="n"/>
      <c r="CS442" s="1491" t="n"/>
      <c r="CT442" s="1491" t="n"/>
      <c r="CU442" s="1491" t="n"/>
      <c r="CV442" s="1491" t="n"/>
      <c r="CW442" s="1491" t="n"/>
      <c r="CX442" s="1491" t="n"/>
    </row>
    <row r="443">
      <c r="A443" s="1491" t="n"/>
      <c r="B443" s="1491" t="n"/>
      <c r="C443" s="1491" t="n"/>
      <c r="D443" s="1497">
        <f>IF(E443&lt;&gt;"",D442+1,D442)</f>
        <v/>
      </c>
      <c r="E443" s="1497" t="inlineStr">
        <is>
          <t>Lanhydrock</t>
        </is>
      </c>
      <c r="F443" s="1535" t="inlineStr">
        <is>
          <t>.</t>
        </is>
      </c>
      <c r="G443" s="1498">
        <f>IF(H443="AIR",0,IF(H442="AIR",G441+1,IF(H443&lt;&gt;"",G442+1,G442)))</f>
        <v/>
      </c>
      <c r="H443" s="1498" t="inlineStr">
        <is>
          <t>Sutri</t>
        </is>
      </c>
      <c r="I443" s="1427" t="inlineStr">
        <is>
          <t>.</t>
        </is>
      </c>
      <c r="J443" s="1499" t="n">
        <v>438</v>
      </c>
      <c r="K443" s="1500">
        <f>_xlfn.XLOOKUP(cities[[#This Row],[id]],$D$5:$D$1500,E$5:E$1500,"-")</f>
        <v/>
      </c>
      <c r="L443" s="1500">
        <f>_xlfn.XLOOKUP(cities[[#This Row],[city]],ccc[city],ccc[ctry],"-")</f>
        <v/>
      </c>
      <c r="M443" s="1500">
        <f>SUMIFS(stayCity[stay],stayCity[city],cities[[#This Row],[city]])</f>
        <v/>
      </c>
      <c r="N443" s="1427">
        <f>N442+1</f>
        <v/>
      </c>
      <c r="O443" s="1500" t="n"/>
      <c r="P443" s="1500" t="n"/>
      <c r="Q443" s="1427" t="inlineStr">
        <is>
          <t>.</t>
        </is>
      </c>
      <c r="R443" s="1491" t="n"/>
      <c r="S443" s="1491" t="n"/>
      <c r="T443" s="1491" t="n"/>
      <c r="U443" s="1491" t="n"/>
      <c r="V443" s="1491" t="n"/>
      <c r="W443" s="1491" t="n"/>
      <c r="X443" s="1491" t="n"/>
      <c r="Y443" s="1491" t="n"/>
      <c r="Z443" s="1491" t="n"/>
      <c r="AA443" s="1491" t="n"/>
      <c r="AB443" s="1491" t="n"/>
      <c r="AC443" s="1491" t="n"/>
      <c r="AD443" s="1491" t="n"/>
      <c r="AE443" s="1491" t="n"/>
      <c r="AF443" s="1491" t="n"/>
      <c r="AG443" s="1491" t="n"/>
      <c r="AH443" s="1491" t="n"/>
      <c r="AI443" s="1491" t="n"/>
      <c r="AJ443" s="1491" t="n"/>
      <c r="AK443" s="1491" t="n"/>
      <c r="AL443" s="1491" t="n"/>
      <c r="AM443" s="1491" t="n"/>
      <c r="AN443" s="1491" t="n"/>
      <c r="AO443" s="1491" t="n"/>
      <c r="AP443" s="1491" t="n"/>
      <c r="AQ443" s="1491" t="n"/>
      <c r="AR443" s="1491" t="n"/>
      <c r="AS443" s="1491" t="n"/>
      <c r="AT443" s="1491" t="n"/>
      <c r="AU443" s="1491" t="n"/>
      <c r="AV443" s="1491" t="n"/>
      <c r="AW443" s="1491" t="n"/>
      <c r="AX443" s="1491" t="n"/>
      <c r="AY443" s="1491" t="n"/>
      <c r="AZ443" s="1491" t="n"/>
      <c r="BA443" s="1491" t="n"/>
      <c r="BB443" s="1491" t="n"/>
      <c r="BC443" s="1491" t="n"/>
      <c r="BD443" s="1491" t="n"/>
      <c r="BE443" s="1491" t="n"/>
      <c r="BF443" s="1491" t="n"/>
      <c r="BG443" s="1491" t="n"/>
      <c r="BH443" s="1491" t="n"/>
      <c r="BI443" s="1491" t="n"/>
      <c r="BJ443" s="1491" t="n"/>
      <c r="BK443" s="1491" t="n"/>
      <c r="BL443" s="1491" t="n"/>
      <c r="BM443" s="1491" t="n"/>
      <c r="BN443" s="1491" t="n"/>
      <c r="BO443" s="1467" t="n"/>
      <c r="BP443" s="1514" t="n">
        <v>439</v>
      </c>
      <c r="BQ443" s="1513">
        <f>[1]Sheet1!C444</f>
        <v/>
      </c>
      <c r="BR443" s="1515">
        <f>[1]Sheet1!D444</f>
        <v/>
      </c>
      <c r="BS443" s="1513">
        <f>[1]Sheet1!E444</f>
        <v/>
      </c>
      <c r="BT443" s="1515">
        <f>[1]Sheet1!F444</f>
        <v/>
      </c>
      <c r="BU443" s="1516">
        <f>[1]Sheet1!G444</f>
        <v/>
      </c>
      <c r="BV443" s="1513">
        <f>[1]Sheet1!H444</f>
        <v/>
      </c>
      <c r="BW443" s="1467" t="n"/>
      <c r="BX443" s="1491" t="n"/>
      <c r="BY443" s="1491" t="n"/>
      <c r="BZ443" s="1491" t="n"/>
      <c r="CA443" s="1491" t="n"/>
      <c r="CB443" s="1467" t="n"/>
      <c r="CC443" s="1467" t="n"/>
      <c r="CD443" s="1491" t="n"/>
      <c r="CE443" s="1491" t="n"/>
      <c r="CF443" s="1491" t="n"/>
      <c r="CG443" s="1491" t="n"/>
      <c r="CH443" s="1491" t="n"/>
      <c r="CI443" s="1491" t="n"/>
      <c r="CJ443" s="1491" t="n"/>
      <c r="CK443" s="1491" t="n"/>
      <c r="CL443" s="1491" t="n"/>
      <c r="CM443" s="1491" t="n"/>
      <c r="CN443" s="1491" t="n"/>
      <c r="CO443" s="1491" t="n"/>
      <c r="CP443" s="1491" t="n"/>
      <c r="CQ443" s="1491" t="n"/>
      <c r="CR443" s="1491" t="n"/>
      <c r="CS443" s="1491" t="n"/>
      <c r="CT443" s="1491" t="n"/>
      <c r="CU443" s="1491" t="n"/>
      <c r="CV443" s="1491" t="n"/>
      <c r="CW443" s="1491" t="n"/>
      <c r="CX443" s="1491" t="n"/>
    </row>
    <row r="444">
      <c r="A444" s="1491" t="n"/>
      <c r="B444" s="1491" t="n"/>
      <c r="C444" s="1491" t="n"/>
      <c r="D444" s="1497">
        <f>IF(E444&lt;&gt;"",D443+1,D443)</f>
        <v/>
      </c>
      <c r="E444" s="1497" t="inlineStr">
        <is>
          <t>Toulouse</t>
        </is>
      </c>
      <c r="F444" s="1535" t="inlineStr">
        <is>
          <t>.</t>
        </is>
      </c>
      <c r="G444" s="1498">
        <f>IF(H444="AIR",0,IF(H443="AIR",G442+1,IF(H444&lt;&gt;"",G443+1,G443)))</f>
        <v/>
      </c>
      <c r="H444" s="1498" t="inlineStr">
        <is>
          <t>La Storta</t>
        </is>
      </c>
      <c r="I444" s="1427" t="inlineStr">
        <is>
          <t>.</t>
        </is>
      </c>
      <c r="J444" s="1499" t="n">
        <v>439</v>
      </c>
      <c r="K444" s="1500">
        <f>_xlfn.XLOOKUP(cities[[#This Row],[id]],$D$5:$D$1500,E$5:E$1500,"-")</f>
        <v/>
      </c>
      <c r="L444" s="1500">
        <f>_xlfn.XLOOKUP(cities[[#This Row],[city]],ccc[city],ccc[ctry],"-")</f>
        <v/>
      </c>
      <c r="M444" s="1500">
        <f>SUMIFS(stayCity[stay],stayCity[city],cities[[#This Row],[city]])</f>
        <v/>
      </c>
      <c r="N444" s="1427">
        <f>N443+1</f>
        <v/>
      </c>
      <c r="O444" s="1500" t="n"/>
      <c r="P444" s="1500" t="n"/>
      <c r="Q444" s="1427" t="inlineStr">
        <is>
          <t>.</t>
        </is>
      </c>
      <c r="R444" s="1491" t="n"/>
      <c r="S444" s="1491" t="n"/>
      <c r="T444" s="1491" t="n"/>
      <c r="U444" s="1491" t="n"/>
      <c r="V444" s="1491" t="n"/>
      <c r="W444" s="1491" t="n"/>
      <c r="X444" s="1491" t="n"/>
      <c r="Y444" s="1491" t="n"/>
      <c r="Z444" s="1491" t="n"/>
      <c r="AA444" s="1491" t="n"/>
      <c r="AB444" s="1491" t="n"/>
      <c r="AC444" s="1491" t="n"/>
      <c r="AD444" s="1491" t="n"/>
      <c r="AE444" s="1491" t="n"/>
      <c r="AF444" s="1491" t="n"/>
      <c r="AG444" s="1491" t="n"/>
      <c r="AH444" s="1491" t="n"/>
      <c r="AI444" s="1491" t="n"/>
      <c r="AJ444" s="1491" t="n"/>
      <c r="AK444" s="1491" t="n"/>
      <c r="AL444" s="1491" t="n"/>
      <c r="AM444" s="1491" t="n"/>
      <c r="AN444" s="1491" t="n"/>
      <c r="AO444" s="1491" t="n"/>
      <c r="AP444" s="1491" t="n"/>
      <c r="AQ444" s="1491" t="n"/>
      <c r="AR444" s="1491" t="n"/>
      <c r="AS444" s="1491" t="n"/>
      <c r="AT444" s="1491" t="n"/>
      <c r="AU444" s="1491" t="n"/>
      <c r="AV444" s="1491" t="n"/>
      <c r="AW444" s="1491" t="n"/>
      <c r="AX444" s="1491" t="n"/>
      <c r="AY444" s="1491" t="n"/>
      <c r="AZ444" s="1491" t="n"/>
      <c r="BA444" s="1491" t="n"/>
      <c r="BB444" s="1491" t="n"/>
      <c r="BC444" s="1491" t="n"/>
      <c r="BD444" s="1491" t="n"/>
      <c r="BE444" s="1491" t="n"/>
      <c r="BF444" s="1491" t="n"/>
      <c r="BG444" s="1491" t="n"/>
      <c r="BH444" s="1491" t="n"/>
      <c r="BI444" s="1491" t="n"/>
      <c r="BJ444" s="1491" t="n"/>
      <c r="BK444" s="1491" t="n"/>
      <c r="BL444" s="1491" t="n"/>
      <c r="BM444" s="1491" t="n"/>
      <c r="BN444" s="1491" t="n"/>
      <c r="BO444" s="1467" t="n"/>
      <c r="BP444" s="1514" t="n">
        <v>440</v>
      </c>
      <c r="BQ444" s="1513">
        <f>[1]Sheet1!C445</f>
        <v/>
      </c>
      <c r="BR444" s="1515">
        <f>[1]Sheet1!D445</f>
        <v/>
      </c>
      <c r="BS444" s="1513">
        <f>[1]Sheet1!E445</f>
        <v/>
      </c>
      <c r="BT444" s="1515">
        <f>[1]Sheet1!F445</f>
        <v/>
      </c>
      <c r="BU444" s="1516">
        <f>[1]Sheet1!G445</f>
        <v/>
      </c>
      <c r="BV444" s="1513">
        <f>[1]Sheet1!H445</f>
        <v/>
      </c>
      <c r="BW444" s="1467" t="n"/>
      <c r="BX444" s="1491" t="n"/>
      <c r="BY444" s="1491" t="n"/>
      <c r="BZ444" s="1491" t="n"/>
      <c r="CA444" s="1491" t="n"/>
      <c r="CB444" s="1467" t="n"/>
      <c r="CC444" s="1467" t="n"/>
      <c r="CD444" s="1491" t="n"/>
      <c r="CE444" s="1491" t="n"/>
      <c r="CF444" s="1491" t="n"/>
      <c r="CG444" s="1491" t="n"/>
      <c r="CH444" s="1491" t="n"/>
      <c r="CI444" s="1491" t="n"/>
      <c r="CJ444" s="1491" t="n"/>
      <c r="CK444" s="1491" t="n"/>
      <c r="CL444" s="1491" t="n"/>
      <c r="CM444" s="1491" t="n"/>
      <c r="CN444" s="1491" t="n"/>
      <c r="CO444" s="1491" t="n"/>
      <c r="CP444" s="1491" t="n"/>
      <c r="CQ444" s="1491" t="n"/>
      <c r="CR444" s="1491" t="n"/>
      <c r="CS444" s="1491" t="n"/>
      <c r="CT444" s="1491" t="n"/>
      <c r="CU444" s="1491" t="n"/>
      <c r="CV444" s="1491" t="n"/>
      <c r="CW444" s="1491" t="n"/>
      <c r="CX444" s="1491" t="n"/>
    </row>
    <row r="445">
      <c r="A445" s="1491" t="n"/>
      <c r="B445" s="1491" t="n"/>
      <c r="C445" s="1491" t="n"/>
      <c r="D445" s="1497">
        <f>IF(E445&lt;&gt;"",D444+1,D444)</f>
        <v/>
      </c>
      <c r="E445" s="1497" t="inlineStr">
        <is>
          <t>Saint Feliu de Guixoi</t>
        </is>
      </c>
      <c r="F445" s="1535" t="inlineStr">
        <is>
          <t>.</t>
        </is>
      </c>
      <c r="G445" s="1498">
        <f>IF(H445="AIR",0,IF(H444="AIR",G443+1,IF(H445&lt;&gt;"",G444+1,G444)))</f>
        <v/>
      </c>
      <c r="H445" s="1498" t="inlineStr">
        <is>
          <t>Andarai</t>
        </is>
      </c>
      <c r="I445" s="1427" t="inlineStr">
        <is>
          <t>.</t>
        </is>
      </c>
      <c r="J445" s="1499" t="n">
        <v>440</v>
      </c>
      <c r="K445" s="1500">
        <f>_xlfn.XLOOKUP(cities[[#This Row],[id]],$D$5:$D$1500,E$5:E$1500,"-")</f>
        <v/>
      </c>
      <c r="L445" s="1500">
        <f>_xlfn.XLOOKUP(cities[[#This Row],[city]],ccc[city],ccc[ctry],"-")</f>
        <v/>
      </c>
      <c r="M445" s="1500">
        <f>SUMIFS(stayCity[stay],stayCity[city],cities[[#This Row],[city]])</f>
        <v/>
      </c>
      <c r="N445" s="1427">
        <f>N444+1</f>
        <v/>
      </c>
      <c r="O445" s="1500" t="n"/>
      <c r="P445" s="1500" t="n"/>
      <c r="Q445" s="1427" t="inlineStr">
        <is>
          <t>.</t>
        </is>
      </c>
      <c r="R445" s="1491" t="n"/>
      <c r="S445" s="1491" t="n"/>
      <c r="T445" s="1491" t="n"/>
      <c r="U445" s="1491" t="n"/>
      <c r="V445" s="1491" t="n"/>
      <c r="W445" s="1491" t="n"/>
      <c r="X445" s="1491" t="n"/>
      <c r="Y445" s="1491" t="n"/>
      <c r="Z445" s="1491" t="n"/>
      <c r="AA445" s="1491" t="n"/>
      <c r="AB445" s="1491" t="n"/>
      <c r="AC445" s="1491" t="n"/>
      <c r="AD445" s="1491" t="n"/>
      <c r="AE445" s="1491" t="n"/>
      <c r="AF445" s="1491" t="n"/>
      <c r="AG445" s="1491" t="n"/>
      <c r="AH445" s="1491" t="n"/>
      <c r="AI445" s="1491" t="n"/>
      <c r="AJ445" s="1491" t="n"/>
      <c r="AK445" s="1491" t="n"/>
      <c r="AL445" s="1491" t="n"/>
      <c r="AM445" s="1491" t="n"/>
      <c r="AN445" s="1491" t="n"/>
      <c r="AO445" s="1491" t="n"/>
      <c r="AP445" s="1491" t="n"/>
      <c r="AQ445" s="1491" t="n"/>
      <c r="AR445" s="1491" t="n"/>
      <c r="AS445" s="1491" t="n"/>
      <c r="AT445" s="1491" t="n"/>
      <c r="AU445" s="1491" t="n"/>
      <c r="AV445" s="1491" t="n"/>
      <c r="AW445" s="1491" t="n"/>
      <c r="AX445" s="1491" t="n"/>
      <c r="AY445" s="1491" t="n"/>
      <c r="AZ445" s="1491" t="n"/>
      <c r="BA445" s="1491" t="n"/>
      <c r="BB445" s="1491" t="n"/>
      <c r="BC445" s="1491" t="n"/>
      <c r="BD445" s="1491" t="n"/>
      <c r="BE445" s="1491" t="n"/>
      <c r="BF445" s="1491" t="n"/>
      <c r="BG445" s="1491" t="n"/>
      <c r="BH445" s="1491" t="n"/>
      <c r="BI445" s="1491" t="n"/>
      <c r="BJ445" s="1491" t="n"/>
      <c r="BK445" s="1491" t="n"/>
      <c r="BL445" s="1491" t="n"/>
      <c r="BM445" s="1491" t="n"/>
      <c r="BN445" s="1491" t="n"/>
      <c r="BO445" s="1467" t="n"/>
      <c r="BP445" s="1514" t="n">
        <v>441</v>
      </c>
      <c r="BQ445" s="1513">
        <f>[1]Sheet1!C446</f>
        <v/>
      </c>
      <c r="BR445" s="1515">
        <f>[1]Sheet1!D446</f>
        <v/>
      </c>
      <c r="BS445" s="1513">
        <f>[1]Sheet1!E446</f>
        <v/>
      </c>
      <c r="BT445" s="1515">
        <f>[1]Sheet1!F446</f>
        <v/>
      </c>
      <c r="BU445" s="1516">
        <f>[1]Sheet1!G446</f>
        <v/>
      </c>
      <c r="BV445" s="1513">
        <f>[1]Sheet1!H446</f>
        <v/>
      </c>
      <c r="BW445" s="1467" t="n"/>
      <c r="BX445" s="1491" t="n"/>
      <c r="BY445" s="1491" t="n"/>
      <c r="BZ445" s="1491" t="n"/>
      <c r="CA445" s="1491" t="n"/>
      <c r="CB445" s="1467" t="n"/>
      <c r="CC445" s="1467" t="n"/>
      <c r="CD445" s="1491" t="n"/>
      <c r="CE445" s="1491" t="n"/>
      <c r="CF445" s="1491" t="n"/>
      <c r="CG445" s="1491" t="n"/>
      <c r="CH445" s="1491" t="n"/>
      <c r="CI445" s="1491" t="n"/>
      <c r="CJ445" s="1491" t="n"/>
      <c r="CK445" s="1491" t="n"/>
      <c r="CL445" s="1491" t="n"/>
      <c r="CM445" s="1491" t="n"/>
      <c r="CN445" s="1491" t="n"/>
      <c r="CO445" s="1491" t="n"/>
      <c r="CP445" s="1491" t="n"/>
      <c r="CQ445" s="1491" t="n"/>
      <c r="CR445" s="1491" t="n"/>
      <c r="CS445" s="1491" t="n"/>
      <c r="CT445" s="1491" t="n"/>
      <c r="CU445" s="1491" t="n"/>
      <c r="CV445" s="1491" t="n"/>
      <c r="CW445" s="1491" t="n"/>
      <c r="CX445" s="1491" t="n"/>
    </row>
    <row r="446">
      <c r="A446" s="1491" t="n"/>
      <c r="B446" s="1491" t="n"/>
      <c r="C446" s="1491" t="n"/>
      <c r="D446" s="1497">
        <f>IF(E446&lt;&gt;"",D445+1,D445)</f>
        <v/>
      </c>
      <c r="E446" s="1497" t="inlineStr">
        <is>
          <t>Berlin</t>
        </is>
      </c>
      <c r="F446" s="1535" t="inlineStr">
        <is>
          <t>.</t>
        </is>
      </c>
      <c r="G446" s="1498">
        <f>IF(H446="AIR",0,IF(H445="AIR",G444+1,IF(H446&lt;&gt;"",G445+1,G445)))</f>
        <v/>
      </c>
      <c r="H446" s="1498" t="inlineStr">
        <is>
          <t>Fortaleza</t>
        </is>
      </c>
      <c r="I446" s="1427" t="inlineStr">
        <is>
          <t>.</t>
        </is>
      </c>
      <c r="J446" s="1499" t="n">
        <v>441</v>
      </c>
      <c r="K446" s="1500">
        <f>_xlfn.XLOOKUP(cities[[#This Row],[id]],$D$5:$D$1500,E$5:E$1500,"-")</f>
        <v/>
      </c>
      <c r="L446" s="1500">
        <f>_xlfn.XLOOKUP(cities[[#This Row],[city]],ccc[city],ccc[ctry],"-")</f>
        <v/>
      </c>
      <c r="M446" s="1500">
        <f>SUMIFS(stayCity[stay],stayCity[city],cities[[#This Row],[city]])</f>
        <v/>
      </c>
      <c r="N446" s="1427">
        <f>N445+1</f>
        <v/>
      </c>
      <c r="O446" s="1500" t="n"/>
      <c r="P446" s="1500" t="n"/>
      <c r="Q446" s="1427" t="inlineStr">
        <is>
          <t>.</t>
        </is>
      </c>
      <c r="R446" s="1491" t="n"/>
      <c r="S446" s="1491" t="n"/>
      <c r="T446" s="1491" t="n"/>
      <c r="U446" s="1491" t="n"/>
      <c r="V446" s="1491" t="n"/>
      <c r="W446" s="1491" t="n"/>
      <c r="X446" s="1491" t="n"/>
      <c r="Y446" s="1491" t="n"/>
      <c r="Z446" s="1491" t="n"/>
      <c r="AA446" s="1491" t="n"/>
      <c r="AB446" s="1491" t="n"/>
      <c r="AC446" s="1491" t="n"/>
      <c r="AD446" s="1491" t="n"/>
      <c r="AE446" s="1491" t="n"/>
      <c r="AF446" s="1491" t="n"/>
      <c r="AG446" s="1491" t="n"/>
      <c r="AH446" s="1491" t="n"/>
      <c r="AI446" s="1491" t="n"/>
      <c r="AJ446" s="1491" t="n"/>
      <c r="AK446" s="1491" t="n"/>
      <c r="AL446" s="1491" t="n"/>
      <c r="AM446" s="1491" t="n"/>
      <c r="AN446" s="1491" t="n"/>
      <c r="AO446" s="1491" t="n"/>
      <c r="AP446" s="1491" t="n"/>
      <c r="AQ446" s="1491" t="n"/>
      <c r="AR446" s="1491" t="n"/>
      <c r="AS446" s="1491" t="n"/>
      <c r="AT446" s="1491" t="n"/>
      <c r="AU446" s="1491" t="n"/>
      <c r="AV446" s="1491" t="n"/>
      <c r="AW446" s="1491" t="n"/>
      <c r="AX446" s="1491" t="n"/>
      <c r="AY446" s="1491" t="n"/>
      <c r="AZ446" s="1491" t="n"/>
      <c r="BA446" s="1491" t="n"/>
      <c r="BB446" s="1491" t="n"/>
      <c r="BC446" s="1491" t="n"/>
      <c r="BD446" s="1491" t="n"/>
      <c r="BE446" s="1491" t="n"/>
      <c r="BF446" s="1491" t="n"/>
      <c r="BG446" s="1491" t="n"/>
      <c r="BH446" s="1491" t="n"/>
      <c r="BI446" s="1491" t="n"/>
      <c r="BJ446" s="1491" t="n"/>
      <c r="BK446" s="1491" t="n"/>
      <c r="BL446" s="1491" t="n"/>
      <c r="BM446" s="1491" t="n"/>
      <c r="BN446" s="1491" t="n"/>
      <c r="BO446" s="1467" t="n"/>
      <c r="BP446" s="1514" t="n">
        <v>442</v>
      </c>
      <c r="BQ446" s="1513">
        <f>[1]Sheet1!C447</f>
        <v/>
      </c>
      <c r="BR446" s="1515">
        <f>[1]Sheet1!D447</f>
        <v/>
      </c>
      <c r="BS446" s="1513">
        <f>[1]Sheet1!E447</f>
        <v/>
      </c>
      <c r="BT446" s="1515">
        <f>[1]Sheet1!F447</f>
        <v/>
      </c>
      <c r="BU446" s="1516">
        <f>[1]Sheet1!G447</f>
        <v/>
      </c>
      <c r="BV446" s="1513">
        <f>[1]Sheet1!H447</f>
        <v/>
      </c>
      <c r="BW446" s="1467" t="n"/>
      <c r="BX446" s="1491" t="n"/>
      <c r="BY446" s="1491" t="n"/>
      <c r="BZ446" s="1491" t="n"/>
      <c r="CA446" s="1491" t="n"/>
      <c r="CB446" s="1467" t="n"/>
      <c r="CC446" s="1467" t="n"/>
      <c r="CD446" s="1491" t="n"/>
      <c r="CE446" s="1491" t="n"/>
      <c r="CF446" s="1491" t="n"/>
      <c r="CG446" s="1491" t="n"/>
      <c r="CH446" s="1491" t="n"/>
      <c r="CI446" s="1491" t="n"/>
      <c r="CJ446" s="1491" t="n"/>
      <c r="CK446" s="1491" t="n"/>
      <c r="CL446" s="1491" t="n"/>
      <c r="CM446" s="1491" t="n"/>
      <c r="CN446" s="1491" t="n"/>
      <c r="CO446" s="1491" t="n"/>
      <c r="CP446" s="1491" t="n"/>
      <c r="CQ446" s="1491" t="n"/>
      <c r="CR446" s="1491" t="n"/>
      <c r="CS446" s="1491" t="n"/>
      <c r="CT446" s="1491" t="n"/>
      <c r="CU446" s="1491" t="n"/>
      <c r="CV446" s="1491" t="n"/>
      <c r="CW446" s="1491" t="n"/>
      <c r="CX446" s="1491" t="n"/>
    </row>
    <row r="447">
      <c r="A447" s="1491" t="n"/>
      <c r="B447" s="1491" t="n"/>
      <c r="C447" s="1491" t="n"/>
      <c r="D447" s="1497">
        <f>IF(E447&lt;&gt;"",D446+1,D446)</f>
        <v/>
      </c>
      <c r="E447" s="1497" t="inlineStr">
        <is>
          <t>Natal</t>
        </is>
      </c>
      <c r="F447" s="1535" t="inlineStr">
        <is>
          <t>.</t>
        </is>
      </c>
      <c r="G447" s="1498">
        <f>IF(H447="AIR",0,IF(H446="AIR",G445+1,IF(H447&lt;&gt;"",G446+1,G446)))</f>
        <v/>
      </c>
      <c r="H447" s="1498" t="inlineStr">
        <is>
          <t>Joao Pessoa</t>
        </is>
      </c>
      <c r="I447" s="1427" t="inlineStr">
        <is>
          <t>.</t>
        </is>
      </c>
      <c r="J447" s="1499" t="n">
        <v>442</v>
      </c>
      <c r="K447" s="1500">
        <f>_xlfn.XLOOKUP(cities[[#This Row],[id]],$D$5:$D$1500,E$5:E$1500,"-")</f>
        <v/>
      </c>
      <c r="L447" s="1500">
        <f>_xlfn.XLOOKUP(cities[[#This Row],[city]],ccc[city],ccc[ctry],"-")</f>
        <v/>
      </c>
      <c r="M447" s="1500">
        <f>SUMIFS(stayCity[stay],stayCity[city],cities[[#This Row],[city]])</f>
        <v/>
      </c>
      <c r="N447" s="1427">
        <f>N446+1</f>
        <v/>
      </c>
      <c r="O447" s="1500" t="n"/>
      <c r="P447" s="1500" t="n"/>
      <c r="Q447" s="1427" t="inlineStr">
        <is>
          <t>.</t>
        </is>
      </c>
      <c r="R447" s="1491" t="n"/>
      <c r="S447" s="1491" t="n"/>
      <c r="T447" s="1491" t="n"/>
      <c r="U447" s="1491" t="n"/>
      <c r="V447" s="1491" t="n"/>
      <c r="W447" s="1491" t="n"/>
      <c r="X447" s="1491" t="n"/>
      <c r="Y447" s="1491" t="n"/>
      <c r="Z447" s="1491" t="n"/>
      <c r="AA447" s="1491" t="n"/>
      <c r="AB447" s="1491" t="n"/>
      <c r="AC447" s="1491" t="n"/>
      <c r="AD447" s="1491" t="n"/>
      <c r="AE447" s="1491" t="n"/>
      <c r="AF447" s="1491" t="n"/>
      <c r="AG447" s="1491" t="n"/>
      <c r="AH447" s="1491" t="n"/>
      <c r="AI447" s="1491" t="n"/>
      <c r="AJ447" s="1491" t="n"/>
      <c r="AK447" s="1491" t="n"/>
      <c r="AL447" s="1491" t="n"/>
      <c r="AM447" s="1491" t="n"/>
      <c r="AN447" s="1491" t="n"/>
      <c r="AO447" s="1491" t="n"/>
      <c r="AP447" s="1491" t="n"/>
      <c r="AQ447" s="1491" t="n"/>
      <c r="AR447" s="1491" t="n"/>
      <c r="AS447" s="1491" t="n"/>
      <c r="AT447" s="1491" t="n"/>
      <c r="AU447" s="1491" t="n"/>
      <c r="AV447" s="1491" t="n"/>
      <c r="AW447" s="1491" t="n"/>
      <c r="AX447" s="1491" t="n"/>
      <c r="AY447" s="1491" t="n"/>
      <c r="AZ447" s="1491" t="n"/>
      <c r="BA447" s="1491" t="n"/>
      <c r="BB447" s="1491" t="n"/>
      <c r="BC447" s="1491" t="n"/>
      <c r="BD447" s="1491" t="n"/>
      <c r="BE447" s="1491" t="n"/>
      <c r="BF447" s="1491" t="n"/>
      <c r="BG447" s="1491" t="n"/>
      <c r="BH447" s="1491" t="n"/>
      <c r="BI447" s="1491" t="n"/>
      <c r="BJ447" s="1491" t="n"/>
      <c r="BK447" s="1491" t="n"/>
      <c r="BL447" s="1491" t="n"/>
      <c r="BM447" s="1491" t="n"/>
      <c r="BN447" s="1491" t="n"/>
      <c r="BO447" s="1467" t="n"/>
      <c r="BP447" s="1514" t="n">
        <v>443</v>
      </c>
      <c r="BQ447" s="1513">
        <f>[1]Sheet1!C448</f>
        <v/>
      </c>
      <c r="BR447" s="1515">
        <f>[1]Sheet1!D448</f>
        <v/>
      </c>
      <c r="BS447" s="1513">
        <f>[1]Sheet1!E448</f>
        <v/>
      </c>
      <c r="BT447" s="1515">
        <f>[1]Sheet1!F448</f>
        <v/>
      </c>
      <c r="BU447" s="1516">
        <f>[1]Sheet1!G448</f>
        <v/>
      </c>
      <c r="BV447" s="1513">
        <f>[1]Sheet1!H448</f>
        <v/>
      </c>
      <c r="BW447" s="1467" t="n"/>
      <c r="BX447" s="1491" t="n"/>
      <c r="BY447" s="1491" t="n"/>
      <c r="BZ447" s="1491" t="n"/>
      <c r="CA447" s="1491" t="n"/>
      <c r="CB447" s="1467" t="n"/>
      <c r="CC447" s="1467" t="n"/>
      <c r="CD447" s="1491" t="n"/>
      <c r="CE447" s="1491" t="n"/>
      <c r="CF447" s="1491" t="n"/>
      <c r="CG447" s="1491" t="n"/>
      <c r="CH447" s="1491" t="n"/>
      <c r="CI447" s="1491" t="n"/>
      <c r="CJ447" s="1491" t="n"/>
      <c r="CK447" s="1491" t="n"/>
      <c r="CL447" s="1491" t="n"/>
      <c r="CM447" s="1491" t="n"/>
      <c r="CN447" s="1491" t="n"/>
      <c r="CO447" s="1491" t="n"/>
      <c r="CP447" s="1491" t="n"/>
      <c r="CQ447" s="1491" t="n"/>
      <c r="CR447" s="1491" t="n"/>
      <c r="CS447" s="1491" t="n"/>
      <c r="CT447" s="1491" t="n"/>
      <c r="CU447" s="1491" t="n"/>
      <c r="CV447" s="1491" t="n"/>
      <c r="CW447" s="1491" t="n"/>
      <c r="CX447" s="1491" t="n"/>
    </row>
    <row r="448">
      <c r="A448" s="1491" t="n"/>
      <c r="B448" s="1491" t="n"/>
      <c r="C448" s="1491" t="n"/>
      <c r="D448" s="1497">
        <f>IF(E448&lt;&gt;"",D447+1,D447)</f>
        <v/>
      </c>
      <c r="E448" s="1497" t="inlineStr">
        <is>
          <t>Praia do Forte</t>
        </is>
      </c>
      <c r="F448" s="1535" t="inlineStr">
        <is>
          <t>.</t>
        </is>
      </c>
      <c r="G448" s="1498">
        <f>IF(H448="AIR",0,IF(H447="AIR",G446+1,IF(H448&lt;&gt;"",G447+1,G447)))</f>
        <v/>
      </c>
      <c r="H448" s="1498" t="inlineStr">
        <is>
          <t>St. Juste</t>
        </is>
      </c>
      <c r="I448" s="1427" t="inlineStr">
        <is>
          <t>.</t>
        </is>
      </c>
      <c r="J448" s="1499" t="n">
        <v>443</v>
      </c>
      <c r="K448" s="1500">
        <f>_xlfn.XLOOKUP(cities[[#This Row],[id]],$D$5:$D$1500,E$5:E$1500,"-")</f>
        <v/>
      </c>
      <c r="L448" s="1500">
        <f>_xlfn.XLOOKUP(cities[[#This Row],[city]],ccc[city],ccc[ctry],"-")</f>
        <v/>
      </c>
      <c r="M448" s="1500">
        <f>SUMIFS(stayCity[stay],stayCity[city],cities[[#This Row],[city]])</f>
        <v/>
      </c>
      <c r="N448" s="1427">
        <f>N447+1</f>
        <v/>
      </c>
      <c r="O448" s="1500" t="n"/>
      <c r="P448" s="1500" t="n"/>
      <c r="Q448" s="1427" t="inlineStr">
        <is>
          <t>.</t>
        </is>
      </c>
      <c r="R448" s="1491" t="n"/>
      <c r="S448" s="1491" t="n"/>
      <c r="T448" s="1491" t="n"/>
      <c r="U448" s="1491" t="n"/>
      <c r="V448" s="1491" t="n"/>
      <c r="W448" s="1491" t="n"/>
      <c r="X448" s="1491" t="n"/>
      <c r="Y448" s="1491" t="n"/>
      <c r="Z448" s="1491" t="n"/>
      <c r="AA448" s="1491" t="n"/>
      <c r="AB448" s="1491" t="n"/>
      <c r="AC448" s="1491" t="n"/>
      <c r="AD448" s="1491" t="n"/>
      <c r="AE448" s="1491" t="n"/>
      <c r="AF448" s="1491" t="n"/>
      <c r="AG448" s="1491" t="n"/>
      <c r="AH448" s="1491" t="n"/>
      <c r="AI448" s="1491" t="n"/>
      <c r="AJ448" s="1491" t="n"/>
      <c r="AK448" s="1491" t="n"/>
      <c r="AL448" s="1491" t="n"/>
      <c r="AM448" s="1491" t="n"/>
      <c r="AN448" s="1491" t="n"/>
      <c r="AO448" s="1491" t="n"/>
      <c r="AP448" s="1491" t="n"/>
      <c r="AQ448" s="1491" t="n"/>
      <c r="AR448" s="1491" t="n"/>
      <c r="AS448" s="1491" t="n"/>
      <c r="AT448" s="1491" t="n"/>
      <c r="AU448" s="1491" t="n"/>
      <c r="AV448" s="1491" t="n"/>
      <c r="AW448" s="1491" t="n"/>
      <c r="AX448" s="1491" t="n"/>
      <c r="AY448" s="1491" t="n"/>
      <c r="AZ448" s="1491" t="n"/>
      <c r="BA448" s="1491" t="n"/>
      <c r="BB448" s="1491" t="n"/>
      <c r="BC448" s="1491" t="n"/>
      <c r="BD448" s="1491" t="n"/>
      <c r="BE448" s="1491" t="n"/>
      <c r="BF448" s="1491" t="n"/>
      <c r="BG448" s="1491" t="n"/>
      <c r="BH448" s="1491" t="n"/>
      <c r="BI448" s="1491" t="n"/>
      <c r="BJ448" s="1491" t="n"/>
      <c r="BK448" s="1491" t="n"/>
      <c r="BL448" s="1491" t="n"/>
      <c r="BM448" s="1491" t="n"/>
      <c r="BN448" s="1491" t="n"/>
      <c r="BO448" s="1467" t="n"/>
      <c r="BP448" s="1514" t="n">
        <v>444</v>
      </c>
      <c r="BQ448" s="1513">
        <f>[1]Sheet1!C449</f>
        <v/>
      </c>
      <c r="BR448" s="1515">
        <f>[1]Sheet1!D449</f>
        <v/>
      </c>
      <c r="BS448" s="1513">
        <f>[1]Sheet1!E449</f>
        <v/>
      </c>
      <c r="BT448" s="1515">
        <f>[1]Sheet1!F449</f>
        <v/>
      </c>
      <c r="BU448" s="1516">
        <f>[1]Sheet1!G449</f>
        <v/>
      </c>
      <c r="BV448" s="1513">
        <f>[1]Sheet1!H449</f>
        <v/>
      </c>
      <c r="BW448" s="1467" t="n"/>
      <c r="BX448" s="1491" t="n"/>
      <c r="BY448" s="1491" t="n"/>
      <c r="BZ448" s="1491" t="n"/>
      <c r="CA448" s="1491" t="n"/>
      <c r="CB448" s="1467" t="n"/>
      <c r="CC448" s="1467" t="n"/>
      <c r="CD448" s="1491" t="n"/>
      <c r="CE448" s="1491" t="n"/>
      <c r="CF448" s="1491" t="n"/>
      <c r="CG448" s="1491" t="n"/>
      <c r="CH448" s="1491" t="n"/>
      <c r="CI448" s="1491" t="n"/>
      <c r="CJ448" s="1491" t="n"/>
      <c r="CK448" s="1491" t="n"/>
      <c r="CL448" s="1491" t="n"/>
      <c r="CM448" s="1491" t="n"/>
      <c r="CN448" s="1491" t="n"/>
      <c r="CO448" s="1491" t="n"/>
      <c r="CP448" s="1491" t="n"/>
      <c r="CQ448" s="1491" t="n"/>
      <c r="CR448" s="1491" t="n"/>
      <c r="CS448" s="1491" t="n"/>
      <c r="CT448" s="1491" t="n"/>
      <c r="CU448" s="1491" t="n"/>
      <c r="CV448" s="1491" t="n"/>
      <c r="CW448" s="1491" t="n"/>
      <c r="CX448" s="1491" t="n"/>
    </row>
    <row r="449">
      <c r="A449" s="1491" t="n"/>
      <c r="B449" s="1491" t="n"/>
      <c r="C449" s="1491" t="n"/>
      <c r="D449" s="1497">
        <f>IF(E449&lt;&gt;"",D448+1,D448)</f>
        <v/>
      </c>
      <c r="E449" s="1497" t="inlineStr">
        <is>
          <t>Buenos Aires</t>
        </is>
      </c>
      <c r="F449" s="1535" t="inlineStr">
        <is>
          <t>.</t>
        </is>
      </c>
      <c r="G449" s="1498">
        <f>IF(H449="AIR",0,IF(H448="AIR",G447+1,IF(H449&lt;&gt;"",G448+1,G448)))</f>
        <v/>
      </c>
      <c r="H449" s="1498" t="inlineStr">
        <is>
          <t>Trerice National Trust</t>
        </is>
      </c>
      <c r="I449" s="1427" t="inlineStr">
        <is>
          <t>.</t>
        </is>
      </c>
      <c r="J449" s="1499" t="n">
        <v>444</v>
      </c>
      <c r="K449" s="1500">
        <f>_xlfn.XLOOKUP(cities[[#This Row],[id]],$D$5:$D$1500,E$5:E$1500,"-")</f>
        <v/>
      </c>
      <c r="L449" s="1500">
        <f>_xlfn.XLOOKUP(cities[[#This Row],[city]],ccc[city],ccc[ctry],"-")</f>
        <v/>
      </c>
      <c r="M449" s="1500">
        <f>SUMIFS(stayCity[stay],stayCity[city],cities[[#This Row],[city]])</f>
        <v/>
      </c>
      <c r="N449" s="1427">
        <f>N448+1</f>
        <v/>
      </c>
      <c r="O449" s="1500" t="n"/>
      <c r="P449" s="1500" t="n"/>
      <c r="Q449" s="1427" t="inlineStr">
        <is>
          <t>.</t>
        </is>
      </c>
      <c r="R449" s="1491" t="n"/>
      <c r="S449" s="1491" t="n"/>
      <c r="T449" s="1491" t="n"/>
      <c r="U449" s="1491" t="n"/>
      <c r="V449" s="1491" t="n"/>
      <c r="W449" s="1491" t="n"/>
      <c r="X449" s="1491" t="n"/>
      <c r="Y449" s="1491" t="n"/>
      <c r="Z449" s="1491" t="n"/>
      <c r="AA449" s="1491" t="n"/>
      <c r="AB449" s="1491" t="n"/>
      <c r="AC449" s="1491" t="n"/>
      <c r="AD449" s="1491" t="n"/>
      <c r="AE449" s="1491" t="n"/>
      <c r="AF449" s="1491" t="n"/>
      <c r="AG449" s="1491" t="n"/>
      <c r="AH449" s="1491" t="n"/>
      <c r="AI449" s="1491" t="n"/>
      <c r="AJ449" s="1491" t="n"/>
      <c r="AK449" s="1491" t="n"/>
      <c r="AL449" s="1491" t="n"/>
      <c r="AM449" s="1491" t="n"/>
      <c r="AN449" s="1491" t="n"/>
      <c r="AO449" s="1491" t="n"/>
      <c r="AP449" s="1491" t="n"/>
      <c r="AQ449" s="1491" t="n"/>
      <c r="AR449" s="1491" t="n"/>
      <c r="AS449" s="1491" t="n"/>
      <c r="AT449" s="1491" t="n"/>
      <c r="AU449" s="1491" t="n"/>
      <c r="AV449" s="1491" t="n"/>
      <c r="AW449" s="1491" t="n"/>
      <c r="AX449" s="1491" t="n"/>
      <c r="AY449" s="1491" t="n"/>
      <c r="AZ449" s="1491" t="n"/>
      <c r="BA449" s="1491" t="n"/>
      <c r="BB449" s="1491" t="n"/>
      <c r="BC449" s="1491" t="n"/>
      <c r="BD449" s="1491" t="n"/>
      <c r="BE449" s="1491" t="n"/>
      <c r="BF449" s="1491" t="n"/>
      <c r="BG449" s="1491" t="n"/>
      <c r="BH449" s="1491" t="n"/>
      <c r="BI449" s="1491" t="n"/>
      <c r="BJ449" s="1491" t="n"/>
      <c r="BK449" s="1491" t="n"/>
      <c r="BL449" s="1491" t="n"/>
      <c r="BM449" s="1491" t="n"/>
      <c r="BN449" s="1491" t="n"/>
      <c r="BO449" s="1467" t="n"/>
      <c r="BP449" s="1514" t="n">
        <v>445</v>
      </c>
      <c r="BQ449" s="1513">
        <f>[1]Sheet1!C450</f>
        <v/>
      </c>
      <c r="BR449" s="1515">
        <f>[1]Sheet1!D450</f>
        <v/>
      </c>
      <c r="BS449" s="1513">
        <f>[1]Sheet1!E450</f>
        <v/>
      </c>
      <c r="BT449" s="1515">
        <f>[1]Sheet1!F450</f>
        <v/>
      </c>
      <c r="BU449" s="1516">
        <f>[1]Sheet1!G450</f>
        <v/>
      </c>
      <c r="BV449" s="1513">
        <f>[1]Sheet1!H450</f>
        <v/>
      </c>
      <c r="BW449" s="1467" t="n"/>
      <c r="BX449" s="1491" t="n"/>
      <c r="BY449" s="1491" t="n"/>
      <c r="BZ449" s="1491" t="n"/>
      <c r="CA449" s="1491" t="n"/>
      <c r="CB449" s="1467" t="n"/>
      <c r="CC449" s="1467" t="n"/>
      <c r="CD449" s="1491" t="n"/>
      <c r="CE449" s="1491" t="n"/>
      <c r="CF449" s="1491" t="n"/>
      <c r="CG449" s="1491" t="n"/>
      <c r="CH449" s="1491" t="n"/>
      <c r="CI449" s="1491" t="n"/>
      <c r="CJ449" s="1491" t="n"/>
      <c r="CK449" s="1491" t="n"/>
      <c r="CL449" s="1491" t="n"/>
      <c r="CM449" s="1491" t="n"/>
      <c r="CN449" s="1491" t="n"/>
      <c r="CO449" s="1491" t="n"/>
      <c r="CP449" s="1491" t="n"/>
      <c r="CQ449" s="1491" t="n"/>
      <c r="CR449" s="1491" t="n"/>
      <c r="CS449" s="1491" t="n"/>
      <c r="CT449" s="1491" t="n"/>
      <c r="CU449" s="1491" t="n"/>
      <c r="CV449" s="1491" t="n"/>
      <c r="CW449" s="1491" t="n"/>
      <c r="CX449" s="1491" t="n"/>
    </row>
    <row r="450">
      <c r="A450" s="1491" t="n"/>
      <c r="B450" s="1491" t="n"/>
      <c r="C450" s="1491" t="n"/>
      <c r="D450" s="1497">
        <f>IF(E450&lt;&gt;"",D449+1,D449)</f>
        <v/>
      </c>
      <c r="E450" s="1497" t="inlineStr">
        <is>
          <t>Montevideo</t>
        </is>
      </c>
      <c r="F450" s="1535" t="inlineStr">
        <is>
          <t>.</t>
        </is>
      </c>
      <c r="G450" s="1498">
        <f>IF(H450="AIR",0,IF(H449="AIR",G448+1,IF(H450&lt;&gt;"",G449+1,G449)))</f>
        <v/>
      </c>
      <c r="H450" s="1498" t="inlineStr">
        <is>
          <t>Portreath</t>
        </is>
      </c>
      <c r="I450" s="1427" t="inlineStr">
        <is>
          <t>.</t>
        </is>
      </c>
      <c r="J450" s="1499" t="n">
        <v>445</v>
      </c>
      <c r="K450" s="1500">
        <f>_xlfn.XLOOKUP(cities[[#This Row],[id]],$D$5:$D$1500,E$5:E$1500,"-")</f>
        <v/>
      </c>
      <c r="L450" s="1500">
        <f>_xlfn.XLOOKUP(cities[[#This Row],[city]],ccc[city],ccc[ctry],"-")</f>
        <v/>
      </c>
      <c r="M450" s="1500">
        <f>SUMIFS(stayCity[stay],stayCity[city],cities[[#This Row],[city]])</f>
        <v/>
      </c>
      <c r="N450" s="1427">
        <f>N449+1</f>
        <v/>
      </c>
      <c r="O450" s="1500" t="n"/>
      <c r="P450" s="1500" t="n"/>
      <c r="Q450" s="1427" t="inlineStr">
        <is>
          <t>.</t>
        </is>
      </c>
      <c r="R450" s="1491" t="n"/>
      <c r="S450" s="1491" t="n"/>
      <c r="T450" s="1491" t="n"/>
      <c r="U450" s="1491" t="n"/>
      <c r="V450" s="1491" t="n"/>
      <c r="W450" s="1491" t="n"/>
      <c r="X450" s="1491" t="n"/>
      <c r="Y450" s="1491" t="n"/>
      <c r="Z450" s="1491" t="n"/>
      <c r="AA450" s="1491" t="n"/>
      <c r="AB450" s="1491" t="n"/>
      <c r="AC450" s="1491" t="n"/>
      <c r="AD450" s="1491" t="n"/>
      <c r="AE450" s="1491" t="n"/>
      <c r="AF450" s="1491" t="n"/>
      <c r="AG450" s="1491" t="n"/>
      <c r="AH450" s="1491" t="n"/>
      <c r="AI450" s="1491" t="n"/>
      <c r="AJ450" s="1491" t="n"/>
      <c r="AK450" s="1491" t="n"/>
      <c r="AL450" s="1491" t="n"/>
      <c r="AM450" s="1491" t="n"/>
      <c r="AN450" s="1491" t="n"/>
      <c r="AO450" s="1491" t="n"/>
      <c r="AP450" s="1491" t="n"/>
      <c r="AQ450" s="1491" t="n"/>
      <c r="AR450" s="1491" t="n"/>
      <c r="AS450" s="1491" t="n"/>
      <c r="AT450" s="1491" t="n"/>
      <c r="AU450" s="1491" t="n"/>
      <c r="AV450" s="1491" t="n"/>
      <c r="AW450" s="1491" t="n"/>
      <c r="AX450" s="1491" t="n"/>
      <c r="AY450" s="1491" t="n"/>
      <c r="AZ450" s="1491" t="n"/>
      <c r="BA450" s="1491" t="n"/>
      <c r="BB450" s="1491" t="n"/>
      <c r="BC450" s="1491" t="n"/>
      <c r="BD450" s="1491" t="n"/>
      <c r="BE450" s="1491" t="n"/>
      <c r="BF450" s="1491" t="n"/>
      <c r="BG450" s="1491" t="n"/>
      <c r="BH450" s="1491" t="n"/>
      <c r="BI450" s="1491" t="n"/>
      <c r="BJ450" s="1491" t="n"/>
      <c r="BK450" s="1491" t="n"/>
      <c r="BL450" s="1491" t="n"/>
      <c r="BM450" s="1491" t="n"/>
      <c r="BN450" s="1491" t="n"/>
      <c r="BO450" s="1467" t="n"/>
      <c r="BP450" s="1514" t="n">
        <v>446</v>
      </c>
      <c r="BQ450" s="1513">
        <f>[1]Sheet1!C451</f>
        <v/>
      </c>
      <c r="BR450" s="1515">
        <f>[1]Sheet1!D451</f>
        <v/>
      </c>
      <c r="BS450" s="1513">
        <f>[1]Sheet1!E451</f>
        <v/>
      </c>
      <c r="BT450" s="1515">
        <f>[1]Sheet1!F451</f>
        <v/>
      </c>
      <c r="BU450" s="1516">
        <f>[1]Sheet1!G451</f>
        <v/>
      </c>
      <c r="BV450" s="1513">
        <f>[1]Sheet1!H451</f>
        <v/>
      </c>
      <c r="BW450" s="1467" t="n"/>
      <c r="BX450" s="1491" t="n"/>
      <c r="BY450" s="1491" t="n"/>
      <c r="BZ450" s="1491" t="n"/>
      <c r="CA450" s="1491" t="n"/>
      <c r="CB450" s="1467" t="n"/>
      <c r="CC450" s="1467" t="n"/>
      <c r="CD450" s="1491" t="n"/>
      <c r="CE450" s="1491" t="n"/>
      <c r="CF450" s="1491" t="n"/>
      <c r="CG450" s="1491" t="n"/>
      <c r="CH450" s="1491" t="n"/>
      <c r="CI450" s="1491" t="n"/>
      <c r="CJ450" s="1491" t="n"/>
      <c r="CK450" s="1491" t="n"/>
      <c r="CL450" s="1491" t="n"/>
      <c r="CM450" s="1491" t="n"/>
      <c r="CN450" s="1491" t="n"/>
      <c r="CO450" s="1491" t="n"/>
      <c r="CP450" s="1491" t="n"/>
      <c r="CQ450" s="1491" t="n"/>
      <c r="CR450" s="1491" t="n"/>
      <c r="CS450" s="1491" t="n"/>
      <c r="CT450" s="1491" t="n"/>
      <c r="CU450" s="1491" t="n"/>
      <c r="CV450" s="1491" t="n"/>
      <c r="CW450" s="1491" t="n"/>
      <c r="CX450" s="1491" t="n"/>
    </row>
    <row r="451">
      <c r="A451" s="1491" t="n"/>
      <c r="B451" s="1491" t="n"/>
      <c r="C451" s="1491" t="n"/>
      <c r="D451" s="1497">
        <f>IF(E451&lt;&gt;"",D450+1,D450)</f>
        <v/>
      </c>
      <c r="E451" s="1497" t="inlineStr">
        <is>
          <t>Bariloche</t>
        </is>
      </c>
      <c r="F451" s="1535" t="inlineStr">
        <is>
          <t>.</t>
        </is>
      </c>
      <c r="G451" s="1498">
        <f>IF(H451="AIR",0,IF(H450="AIR",G449+1,IF(H451&lt;&gt;"",G450+1,G450)))</f>
        <v/>
      </c>
      <c r="H451" s="1498" t="inlineStr">
        <is>
          <t>Lanhydrock</t>
        </is>
      </c>
      <c r="I451" s="1427" t="inlineStr">
        <is>
          <t>.</t>
        </is>
      </c>
      <c r="J451" s="1499" t="n">
        <v>446</v>
      </c>
      <c r="K451" s="1500">
        <f>_xlfn.XLOOKUP(cities[[#This Row],[id]],$D$5:$D$1500,E$5:E$1500,"-")</f>
        <v/>
      </c>
      <c r="L451" s="1500">
        <f>_xlfn.XLOOKUP(cities[[#This Row],[city]],ccc[city],ccc[ctry],"-")</f>
        <v/>
      </c>
      <c r="M451" s="1500">
        <f>SUMIFS(stayCity[stay],stayCity[city],cities[[#This Row],[city]])</f>
        <v/>
      </c>
      <c r="N451" s="1427">
        <f>N450+1</f>
        <v/>
      </c>
      <c r="O451" s="1500" t="n"/>
      <c r="P451" s="1500" t="n"/>
      <c r="Q451" s="1427" t="inlineStr">
        <is>
          <t>.</t>
        </is>
      </c>
      <c r="R451" s="1491" t="n"/>
      <c r="S451" s="1491" t="n"/>
      <c r="T451" s="1491" t="n"/>
      <c r="U451" s="1491" t="n"/>
      <c r="V451" s="1491" t="n"/>
      <c r="W451" s="1491" t="n"/>
      <c r="X451" s="1491" t="n"/>
      <c r="Y451" s="1491" t="n"/>
      <c r="Z451" s="1491" t="n"/>
      <c r="AA451" s="1491" t="n"/>
      <c r="AB451" s="1491" t="n"/>
      <c r="AC451" s="1491" t="n"/>
      <c r="AD451" s="1491" t="n"/>
      <c r="AE451" s="1491" t="n"/>
      <c r="AF451" s="1491" t="n"/>
      <c r="AG451" s="1491" t="n"/>
      <c r="AH451" s="1491" t="n"/>
      <c r="AI451" s="1491" t="n"/>
      <c r="AJ451" s="1491" t="n"/>
      <c r="AK451" s="1491" t="n"/>
      <c r="AL451" s="1491" t="n"/>
      <c r="AM451" s="1491" t="n"/>
      <c r="AN451" s="1491" t="n"/>
      <c r="AO451" s="1491" t="n"/>
      <c r="AP451" s="1491" t="n"/>
      <c r="AQ451" s="1491" t="n"/>
      <c r="AR451" s="1491" t="n"/>
      <c r="AS451" s="1491" t="n"/>
      <c r="AT451" s="1491" t="n"/>
      <c r="AU451" s="1491" t="n"/>
      <c r="AV451" s="1491" t="n"/>
      <c r="AW451" s="1491" t="n"/>
      <c r="AX451" s="1491" t="n"/>
      <c r="AY451" s="1491" t="n"/>
      <c r="AZ451" s="1491" t="n"/>
      <c r="BA451" s="1491" t="n"/>
      <c r="BB451" s="1491" t="n"/>
      <c r="BC451" s="1491" t="n"/>
      <c r="BD451" s="1491" t="n"/>
      <c r="BE451" s="1491" t="n"/>
      <c r="BF451" s="1491" t="n"/>
      <c r="BG451" s="1491" t="n"/>
      <c r="BH451" s="1491" t="n"/>
      <c r="BI451" s="1491" t="n"/>
      <c r="BJ451" s="1491" t="n"/>
      <c r="BK451" s="1491" t="n"/>
      <c r="BL451" s="1491" t="n"/>
      <c r="BM451" s="1491" t="n"/>
      <c r="BN451" s="1491" t="n"/>
      <c r="BO451" s="1467" t="n"/>
      <c r="BP451" s="1514" t="n">
        <v>447</v>
      </c>
      <c r="BQ451" s="1513">
        <f>[1]Sheet1!C452</f>
        <v/>
      </c>
      <c r="BR451" s="1515">
        <f>[1]Sheet1!D452</f>
        <v/>
      </c>
      <c r="BS451" s="1513">
        <f>[1]Sheet1!E452</f>
        <v/>
      </c>
      <c r="BT451" s="1515">
        <f>[1]Sheet1!F452</f>
        <v/>
      </c>
      <c r="BU451" s="1516">
        <f>[1]Sheet1!G452</f>
        <v/>
      </c>
      <c r="BV451" s="1513">
        <f>[1]Sheet1!H452</f>
        <v/>
      </c>
      <c r="BW451" s="1467" t="n"/>
      <c r="BX451" s="1491" t="n"/>
      <c r="BY451" s="1491" t="n"/>
      <c r="BZ451" s="1491" t="n"/>
      <c r="CA451" s="1491" t="n"/>
      <c r="CB451" s="1467" t="n"/>
      <c r="CC451" s="1467" t="n"/>
      <c r="CD451" s="1491" t="n"/>
      <c r="CE451" s="1491" t="n"/>
      <c r="CF451" s="1491" t="n"/>
      <c r="CG451" s="1491" t="n"/>
      <c r="CH451" s="1491" t="n"/>
      <c r="CI451" s="1491" t="n"/>
      <c r="CJ451" s="1491" t="n"/>
      <c r="CK451" s="1491" t="n"/>
      <c r="CL451" s="1491" t="n"/>
      <c r="CM451" s="1491" t="n"/>
      <c r="CN451" s="1491" t="n"/>
      <c r="CO451" s="1491" t="n"/>
      <c r="CP451" s="1491" t="n"/>
      <c r="CQ451" s="1491" t="n"/>
      <c r="CR451" s="1491" t="n"/>
      <c r="CS451" s="1491" t="n"/>
      <c r="CT451" s="1491" t="n"/>
      <c r="CU451" s="1491" t="n"/>
      <c r="CV451" s="1491" t="n"/>
      <c r="CW451" s="1491" t="n"/>
      <c r="CX451" s="1491" t="n"/>
    </row>
    <row r="452">
      <c r="A452" s="1491" t="n"/>
      <c r="B452" s="1491" t="n"/>
      <c r="C452" s="1491" t="n"/>
      <c r="D452" s="1497">
        <f>IF(E452&lt;&gt;"",D451+1,D451)</f>
        <v/>
      </c>
      <c r="E452" s="1497" t="inlineStr">
        <is>
          <t>Pipa</t>
        </is>
      </c>
      <c r="F452" s="1535" t="inlineStr">
        <is>
          <t>.</t>
        </is>
      </c>
      <c r="G452" s="1498">
        <f>IF(H452="AIR",0,IF(H451="AIR",G450+1,IF(H452&lt;&gt;"",G451+1,G451)))</f>
        <v/>
      </c>
      <c r="H452" s="1498" t="inlineStr">
        <is>
          <t>Toulouse</t>
        </is>
      </c>
      <c r="I452" s="1427" t="inlineStr">
        <is>
          <t>.</t>
        </is>
      </c>
      <c r="J452" s="1499" t="n">
        <v>447</v>
      </c>
      <c r="K452" s="1500">
        <f>_xlfn.XLOOKUP(cities[[#This Row],[id]],$D$5:$D$1500,E$5:E$1500,"-")</f>
        <v/>
      </c>
      <c r="L452" s="1500">
        <f>_xlfn.XLOOKUP(cities[[#This Row],[city]],ccc[city],ccc[ctry],"-")</f>
        <v/>
      </c>
      <c r="M452" s="1500">
        <f>SUMIFS(stayCity[stay],stayCity[city],cities[[#This Row],[city]])</f>
        <v/>
      </c>
      <c r="N452" s="1427">
        <f>N451+1</f>
        <v/>
      </c>
      <c r="O452" s="1500" t="n"/>
      <c r="P452" s="1500" t="n"/>
      <c r="Q452" s="1427" t="inlineStr">
        <is>
          <t>.</t>
        </is>
      </c>
      <c r="R452" s="1491" t="n"/>
      <c r="S452" s="1491" t="n"/>
      <c r="T452" s="1491" t="n"/>
      <c r="U452" s="1491" t="n"/>
      <c r="V452" s="1491" t="n"/>
      <c r="W452" s="1491" t="n"/>
      <c r="X452" s="1491" t="n"/>
      <c r="Y452" s="1491" t="n"/>
      <c r="Z452" s="1491" t="n"/>
      <c r="AA452" s="1491" t="n"/>
      <c r="AB452" s="1491" t="n"/>
      <c r="AC452" s="1491" t="n"/>
      <c r="AD452" s="1491" t="n"/>
      <c r="AE452" s="1491" t="n"/>
      <c r="AF452" s="1491" t="n"/>
      <c r="AG452" s="1491" t="n"/>
      <c r="AH452" s="1491" t="n"/>
      <c r="AI452" s="1491" t="n"/>
      <c r="AJ452" s="1491" t="n"/>
      <c r="AK452" s="1491" t="n"/>
      <c r="AL452" s="1491" t="n"/>
      <c r="AM452" s="1491" t="n"/>
      <c r="AN452" s="1491" t="n"/>
      <c r="AO452" s="1491" t="n"/>
      <c r="AP452" s="1491" t="n"/>
      <c r="AQ452" s="1491" t="n"/>
      <c r="AR452" s="1491" t="n"/>
      <c r="AS452" s="1491" t="n"/>
      <c r="AT452" s="1491" t="n"/>
      <c r="AU452" s="1491" t="n"/>
      <c r="AV452" s="1491" t="n"/>
      <c r="AW452" s="1491" t="n"/>
      <c r="AX452" s="1491" t="n"/>
      <c r="AY452" s="1491" t="n"/>
      <c r="AZ452" s="1491" t="n"/>
      <c r="BA452" s="1491" t="n"/>
      <c r="BB452" s="1491" t="n"/>
      <c r="BC452" s="1491" t="n"/>
      <c r="BD452" s="1491" t="n"/>
      <c r="BE452" s="1491" t="n"/>
      <c r="BF452" s="1491" t="n"/>
      <c r="BG452" s="1491" t="n"/>
      <c r="BH452" s="1491" t="n"/>
      <c r="BI452" s="1491" t="n"/>
      <c r="BJ452" s="1491" t="n"/>
      <c r="BK452" s="1491" t="n"/>
      <c r="BL452" s="1491" t="n"/>
      <c r="BM452" s="1491" t="n"/>
      <c r="BN452" s="1491" t="n"/>
      <c r="BO452" s="1467" t="n"/>
      <c r="BP452" s="1514" t="n">
        <v>448</v>
      </c>
      <c r="BQ452" s="1513">
        <f>[1]Sheet1!C453</f>
        <v/>
      </c>
      <c r="BR452" s="1515">
        <f>[1]Sheet1!D453</f>
        <v/>
      </c>
      <c r="BS452" s="1513">
        <f>[1]Sheet1!E453</f>
        <v/>
      </c>
      <c r="BT452" s="1515">
        <f>[1]Sheet1!F453</f>
        <v/>
      </c>
      <c r="BU452" s="1516">
        <f>[1]Sheet1!G453</f>
        <v/>
      </c>
      <c r="BV452" s="1513">
        <f>[1]Sheet1!H453</f>
        <v/>
      </c>
      <c r="BW452" s="1467" t="n"/>
      <c r="BX452" s="1491" t="n"/>
      <c r="BY452" s="1491" t="n"/>
      <c r="BZ452" s="1491" t="n"/>
      <c r="CA452" s="1491" t="n"/>
      <c r="CB452" s="1467" t="n"/>
      <c r="CC452" s="1467" t="n"/>
      <c r="CD452" s="1491" t="n"/>
      <c r="CE452" s="1491" t="n"/>
      <c r="CF452" s="1491" t="n"/>
      <c r="CG452" s="1491" t="n"/>
      <c r="CH452" s="1491" t="n"/>
      <c r="CI452" s="1491" t="n"/>
      <c r="CJ452" s="1491" t="n"/>
      <c r="CK452" s="1491" t="n"/>
      <c r="CL452" s="1491" t="n"/>
      <c r="CM452" s="1491" t="n"/>
      <c r="CN452" s="1491" t="n"/>
      <c r="CO452" s="1491" t="n"/>
      <c r="CP452" s="1491" t="n"/>
      <c r="CQ452" s="1491" t="n"/>
      <c r="CR452" s="1491" t="n"/>
      <c r="CS452" s="1491" t="n"/>
      <c r="CT452" s="1491" t="n"/>
      <c r="CU452" s="1491" t="n"/>
      <c r="CV452" s="1491" t="n"/>
      <c r="CW452" s="1491" t="n"/>
      <c r="CX452" s="1491" t="n"/>
    </row>
    <row r="453">
      <c r="A453" s="1491" t="n"/>
      <c r="B453" s="1491" t="n"/>
      <c r="C453" s="1491" t="n"/>
      <c r="D453" s="1497">
        <f>IF(E453&lt;&gt;"",D452+1,D452)</f>
        <v/>
      </c>
      <c r="E453" s="1497" t="inlineStr">
        <is>
          <t>Timbau do Sul</t>
        </is>
      </c>
      <c r="F453" s="1535" t="inlineStr">
        <is>
          <t>.</t>
        </is>
      </c>
      <c r="G453" s="1498">
        <f>IF(H453="AIR",0,IF(H452="AIR",G451+1,IF(H453&lt;&gt;"",G452+1,G452)))</f>
        <v/>
      </c>
      <c r="H453" s="1498" t="inlineStr">
        <is>
          <t>Saint Feliu de Guixoi</t>
        </is>
      </c>
      <c r="I453" s="1427" t="inlineStr">
        <is>
          <t>.</t>
        </is>
      </c>
      <c r="J453" s="1499" t="n">
        <v>448</v>
      </c>
      <c r="K453" s="1500">
        <f>_xlfn.XLOOKUP(cities[[#This Row],[id]],$D$5:$D$1500,E$5:E$1500,"-")</f>
        <v/>
      </c>
      <c r="L453" s="1500">
        <f>_xlfn.XLOOKUP(cities[[#This Row],[city]],ccc[city],ccc[ctry],"-")</f>
        <v/>
      </c>
      <c r="M453" s="1500">
        <f>SUMIFS(stayCity[stay],stayCity[city],cities[[#This Row],[city]])</f>
        <v/>
      </c>
      <c r="N453" s="1427">
        <f>N452+1</f>
        <v/>
      </c>
      <c r="O453" s="1500" t="n"/>
      <c r="P453" s="1500" t="n"/>
      <c r="Q453" s="1427" t="inlineStr">
        <is>
          <t>.</t>
        </is>
      </c>
      <c r="R453" s="1491" t="n"/>
      <c r="S453" s="1491" t="n"/>
      <c r="T453" s="1491" t="n"/>
      <c r="U453" s="1491" t="n"/>
      <c r="V453" s="1491" t="n"/>
      <c r="W453" s="1491" t="n"/>
      <c r="X453" s="1491" t="n"/>
      <c r="Y453" s="1491" t="n"/>
      <c r="Z453" s="1491" t="n"/>
      <c r="AA453" s="1491" t="n"/>
      <c r="AB453" s="1491" t="n"/>
      <c r="AC453" s="1491" t="n"/>
      <c r="AD453" s="1491" t="n"/>
      <c r="AE453" s="1491" t="n"/>
      <c r="AF453" s="1491" t="n"/>
      <c r="AG453" s="1491" t="n"/>
      <c r="AH453" s="1491" t="n"/>
      <c r="AI453" s="1491" t="n"/>
      <c r="AJ453" s="1491" t="n"/>
      <c r="AK453" s="1491" t="n"/>
      <c r="AL453" s="1491" t="n"/>
      <c r="AM453" s="1491" t="n"/>
      <c r="AN453" s="1491" t="n"/>
      <c r="AO453" s="1491" t="n"/>
      <c r="AP453" s="1491" t="n"/>
      <c r="AQ453" s="1491" t="n"/>
      <c r="AR453" s="1491" t="n"/>
      <c r="AS453" s="1491" t="n"/>
      <c r="AT453" s="1491" t="n"/>
      <c r="AU453" s="1491" t="n"/>
      <c r="AV453" s="1491" t="n"/>
      <c r="AW453" s="1491" t="n"/>
      <c r="AX453" s="1491" t="n"/>
      <c r="AY453" s="1491" t="n"/>
      <c r="AZ453" s="1491" t="n"/>
      <c r="BA453" s="1491" t="n"/>
      <c r="BB453" s="1491" t="n"/>
      <c r="BC453" s="1491" t="n"/>
      <c r="BD453" s="1491" t="n"/>
      <c r="BE453" s="1491" t="n"/>
      <c r="BF453" s="1491" t="n"/>
      <c r="BG453" s="1491" t="n"/>
      <c r="BH453" s="1491" t="n"/>
      <c r="BI453" s="1491" t="n"/>
      <c r="BJ453" s="1491" t="n"/>
      <c r="BK453" s="1491" t="n"/>
      <c r="BL453" s="1491" t="n"/>
      <c r="BM453" s="1491" t="n"/>
      <c r="BN453" s="1491" t="n"/>
      <c r="BO453" s="1467" t="n"/>
      <c r="BP453" s="1514" t="n">
        <v>449</v>
      </c>
      <c r="BQ453" s="1513">
        <f>[1]Sheet1!C454</f>
        <v/>
      </c>
      <c r="BR453" s="1515">
        <f>[1]Sheet1!D454</f>
        <v/>
      </c>
      <c r="BS453" s="1513">
        <f>[1]Sheet1!E454</f>
        <v/>
      </c>
      <c r="BT453" s="1515">
        <f>[1]Sheet1!F454</f>
        <v/>
      </c>
      <c r="BU453" s="1516">
        <f>[1]Sheet1!G454</f>
        <v/>
      </c>
      <c r="BV453" s="1513">
        <f>[1]Sheet1!H454</f>
        <v/>
      </c>
      <c r="BW453" s="1467" t="n"/>
      <c r="BX453" s="1491" t="n"/>
      <c r="BY453" s="1491" t="n"/>
      <c r="BZ453" s="1491" t="n"/>
      <c r="CA453" s="1491" t="n"/>
      <c r="CB453" s="1467" t="n"/>
      <c r="CC453" s="1467" t="n"/>
      <c r="CD453" s="1491" t="n"/>
      <c r="CE453" s="1491" t="n"/>
      <c r="CF453" s="1491" t="n"/>
      <c r="CG453" s="1491" t="n"/>
      <c r="CH453" s="1491" t="n"/>
      <c r="CI453" s="1491" t="n"/>
      <c r="CJ453" s="1491" t="n"/>
      <c r="CK453" s="1491" t="n"/>
      <c r="CL453" s="1491" t="n"/>
      <c r="CM453" s="1491" t="n"/>
      <c r="CN453" s="1491" t="n"/>
      <c r="CO453" s="1491" t="n"/>
      <c r="CP453" s="1491" t="n"/>
      <c r="CQ453" s="1491" t="n"/>
      <c r="CR453" s="1491" t="n"/>
      <c r="CS453" s="1491" t="n"/>
      <c r="CT453" s="1491" t="n"/>
      <c r="CU453" s="1491" t="n"/>
      <c r="CV453" s="1491" t="n"/>
      <c r="CW453" s="1491" t="n"/>
      <c r="CX453" s="1491" t="n"/>
    </row>
    <row r="454">
      <c r="A454" s="1491" t="n"/>
      <c r="B454" s="1491" t="n"/>
      <c r="C454" s="1491" t="n"/>
      <c r="D454" s="1497">
        <f>IF(E454&lt;&gt;"",D453+1,D453)</f>
        <v/>
      </c>
      <c r="E454" s="1497" t="inlineStr">
        <is>
          <t>Zurich</t>
        </is>
      </c>
      <c r="F454" s="1535" t="inlineStr">
        <is>
          <t>.</t>
        </is>
      </c>
      <c r="G454" s="1498">
        <f>IF(H454="AIR",0,IF(H453="AIR",G452+1,IF(H454&lt;&gt;"",G453+1,G453)))</f>
        <v/>
      </c>
      <c r="H454" s="1498" t="inlineStr">
        <is>
          <t>Berlin</t>
        </is>
      </c>
      <c r="I454" s="1427" t="inlineStr">
        <is>
          <t>.</t>
        </is>
      </c>
      <c r="J454" s="1499" t="n">
        <v>449</v>
      </c>
      <c r="K454" s="1500">
        <f>_xlfn.XLOOKUP(cities[[#This Row],[id]],$D$5:$D$1500,E$5:E$1500,"-")</f>
        <v/>
      </c>
      <c r="L454" s="1500">
        <f>_xlfn.XLOOKUP(cities[[#This Row],[city]],ccc[city],ccc[ctry],"-")</f>
        <v/>
      </c>
      <c r="M454" s="1500">
        <f>SUMIFS(stayCity[stay],stayCity[city],cities[[#This Row],[city]])</f>
        <v/>
      </c>
      <c r="N454" s="1427">
        <f>N453+1</f>
        <v/>
      </c>
      <c r="O454" s="1500" t="n"/>
      <c r="P454" s="1500" t="n"/>
      <c r="Q454" s="1427" t="inlineStr">
        <is>
          <t>.</t>
        </is>
      </c>
      <c r="R454" s="1491" t="n"/>
      <c r="S454" s="1491" t="n"/>
      <c r="T454" s="1491" t="n"/>
      <c r="U454" s="1491" t="n"/>
      <c r="V454" s="1491" t="n"/>
      <c r="W454" s="1491" t="n"/>
      <c r="X454" s="1491" t="n"/>
      <c r="Y454" s="1491" t="n"/>
      <c r="Z454" s="1491" t="n"/>
      <c r="AA454" s="1491" t="n"/>
      <c r="AB454" s="1491" t="n"/>
      <c r="AC454" s="1491" t="n"/>
      <c r="AD454" s="1491" t="n"/>
      <c r="AE454" s="1491" t="n"/>
      <c r="AF454" s="1491" t="n"/>
      <c r="AG454" s="1491" t="n"/>
      <c r="AH454" s="1491" t="n"/>
      <c r="AI454" s="1491" t="n"/>
      <c r="AJ454" s="1491" t="n"/>
      <c r="AK454" s="1491" t="n"/>
      <c r="AL454" s="1491" t="n"/>
      <c r="AM454" s="1491" t="n"/>
      <c r="AN454" s="1491" t="n"/>
      <c r="AO454" s="1491" t="n"/>
      <c r="AP454" s="1491" t="n"/>
      <c r="AQ454" s="1491" t="n"/>
      <c r="AR454" s="1491" t="n"/>
      <c r="AS454" s="1491" t="n"/>
      <c r="AT454" s="1491" t="n"/>
      <c r="AU454" s="1491" t="n"/>
      <c r="AV454" s="1491" t="n"/>
      <c r="AW454" s="1491" t="n"/>
      <c r="AX454" s="1491" t="n"/>
      <c r="AY454" s="1491" t="n"/>
      <c r="AZ454" s="1491" t="n"/>
      <c r="BA454" s="1491" t="n"/>
      <c r="BB454" s="1491" t="n"/>
      <c r="BC454" s="1491" t="n"/>
      <c r="BD454" s="1491" t="n"/>
      <c r="BE454" s="1491" t="n"/>
      <c r="BF454" s="1491" t="n"/>
      <c r="BG454" s="1491" t="n"/>
      <c r="BH454" s="1491" t="n"/>
      <c r="BI454" s="1491" t="n"/>
      <c r="BJ454" s="1491" t="n"/>
      <c r="BK454" s="1491" t="n"/>
      <c r="BL454" s="1491" t="n"/>
      <c r="BM454" s="1491" t="n"/>
      <c r="BN454" s="1491" t="n"/>
      <c r="BO454" s="1467" t="n"/>
      <c r="BP454" s="1514" t="n">
        <v>450</v>
      </c>
      <c r="BQ454" s="1513">
        <f>[1]Sheet1!C455</f>
        <v/>
      </c>
      <c r="BR454" s="1515">
        <f>[1]Sheet1!D455</f>
        <v/>
      </c>
      <c r="BS454" s="1513">
        <f>[1]Sheet1!E455</f>
        <v/>
      </c>
      <c r="BT454" s="1515">
        <f>[1]Sheet1!F455</f>
        <v/>
      </c>
      <c r="BU454" s="1516">
        <f>[1]Sheet1!G455</f>
        <v/>
      </c>
      <c r="BV454" s="1513">
        <f>[1]Sheet1!H455</f>
        <v/>
      </c>
      <c r="BW454" s="1467" t="n"/>
      <c r="BX454" s="1491" t="n"/>
      <c r="BY454" s="1491" t="n"/>
      <c r="BZ454" s="1491" t="n"/>
      <c r="CA454" s="1491" t="n"/>
      <c r="CB454" s="1467" t="n"/>
      <c r="CC454" s="1467" t="n"/>
      <c r="CD454" s="1491" t="n"/>
      <c r="CE454" s="1491" t="n"/>
      <c r="CF454" s="1491" t="n"/>
      <c r="CG454" s="1491" t="n"/>
      <c r="CH454" s="1491" t="n"/>
      <c r="CI454" s="1491" t="n"/>
      <c r="CJ454" s="1491" t="n"/>
      <c r="CK454" s="1491" t="n"/>
      <c r="CL454" s="1491" t="n"/>
      <c r="CM454" s="1491" t="n"/>
      <c r="CN454" s="1491" t="n"/>
      <c r="CO454" s="1491" t="n"/>
      <c r="CP454" s="1491" t="n"/>
      <c r="CQ454" s="1491" t="n"/>
      <c r="CR454" s="1491" t="n"/>
      <c r="CS454" s="1491" t="n"/>
      <c r="CT454" s="1491" t="n"/>
      <c r="CU454" s="1491" t="n"/>
      <c r="CV454" s="1491" t="n"/>
      <c r="CW454" s="1491" t="n"/>
      <c r="CX454" s="1491" t="n"/>
    </row>
    <row r="455">
      <c r="A455" s="1491" t="n"/>
      <c r="B455" s="1491" t="n"/>
      <c r="C455" s="1491" t="n"/>
      <c r="D455" s="1497">
        <f>IF(E455&lt;&gt;"",D454+1,D454)</f>
        <v/>
      </c>
      <c r="E455" s="1497" t="inlineStr">
        <is>
          <t>Norwich</t>
        </is>
      </c>
      <c r="F455" s="1535" t="inlineStr">
        <is>
          <t>.</t>
        </is>
      </c>
      <c r="G455" s="1498">
        <f>IF(H455="AIR",0,IF(H454="AIR",G453+1,IF(H455&lt;&gt;"",G454+1,G454)))</f>
        <v/>
      </c>
      <c r="H455" s="1498" t="inlineStr">
        <is>
          <t>Natal</t>
        </is>
      </c>
      <c r="I455" s="1427" t="inlineStr">
        <is>
          <t>.</t>
        </is>
      </c>
      <c r="J455" s="1499" t="n">
        <v>450</v>
      </c>
      <c r="K455" s="1500">
        <f>_xlfn.XLOOKUP(cities[[#This Row],[id]],$D$5:$D$1500,E$5:E$1500,"-")</f>
        <v/>
      </c>
      <c r="L455" s="1500">
        <f>_xlfn.XLOOKUP(cities[[#This Row],[city]],ccc[city],ccc[ctry],"-")</f>
        <v/>
      </c>
      <c r="M455" s="1500">
        <f>SUMIFS(stayCity[stay],stayCity[city],cities[[#This Row],[city]])</f>
        <v/>
      </c>
      <c r="N455" s="1427">
        <f>N454+1</f>
        <v/>
      </c>
      <c r="O455" s="1500" t="n"/>
      <c r="P455" s="1500" t="n"/>
      <c r="Q455" s="1427" t="inlineStr">
        <is>
          <t>.</t>
        </is>
      </c>
      <c r="R455" s="1491" t="n"/>
      <c r="S455" s="1491" t="n"/>
      <c r="T455" s="1491" t="n"/>
      <c r="U455" s="1491" t="n"/>
      <c r="V455" s="1491" t="n"/>
      <c r="W455" s="1491" t="n"/>
      <c r="X455" s="1491" t="n"/>
      <c r="Y455" s="1491" t="n"/>
      <c r="Z455" s="1491" t="n"/>
      <c r="AA455" s="1491" t="n"/>
      <c r="AB455" s="1491" t="n"/>
      <c r="AC455" s="1491" t="n"/>
      <c r="AD455" s="1491" t="n"/>
      <c r="AE455" s="1491" t="n"/>
      <c r="AF455" s="1491" t="n"/>
      <c r="AG455" s="1491" t="n"/>
      <c r="AH455" s="1491" t="n"/>
      <c r="AI455" s="1491" t="n"/>
      <c r="AJ455" s="1491" t="n"/>
      <c r="AK455" s="1491" t="n"/>
      <c r="AL455" s="1491" t="n"/>
      <c r="AM455" s="1491" t="n"/>
      <c r="AN455" s="1491" t="n"/>
      <c r="AO455" s="1491" t="n"/>
      <c r="AP455" s="1491" t="n"/>
      <c r="AQ455" s="1491" t="n"/>
      <c r="AR455" s="1491" t="n"/>
      <c r="AS455" s="1491" t="n"/>
      <c r="AT455" s="1491" t="n"/>
      <c r="AU455" s="1491" t="n"/>
      <c r="AV455" s="1491" t="n"/>
      <c r="AW455" s="1491" t="n"/>
      <c r="AX455" s="1491" t="n"/>
      <c r="AY455" s="1491" t="n"/>
      <c r="AZ455" s="1491" t="n"/>
      <c r="BA455" s="1491" t="n"/>
      <c r="BB455" s="1491" t="n"/>
      <c r="BC455" s="1491" t="n"/>
      <c r="BD455" s="1491" t="n"/>
      <c r="BE455" s="1491" t="n"/>
      <c r="BF455" s="1491" t="n"/>
      <c r="BG455" s="1491" t="n"/>
      <c r="BH455" s="1491" t="n"/>
      <c r="BI455" s="1491" t="n"/>
      <c r="BJ455" s="1491" t="n"/>
      <c r="BK455" s="1491" t="n"/>
      <c r="BL455" s="1491" t="n"/>
      <c r="BM455" s="1491" t="n"/>
      <c r="BN455" s="1491" t="n"/>
      <c r="BO455" s="1467" t="n"/>
      <c r="BP455" s="1514" t="n">
        <v>451</v>
      </c>
      <c r="BQ455" s="1513">
        <f>[1]Sheet1!C456</f>
        <v/>
      </c>
      <c r="BR455" s="1515">
        <f>[1]Sheet1!D456</f>
        <v/>
      </c>
      <c r="BS455" s="1513">
        <f>[1]Sheet1!E456</f>
        <v/>
      </c>
      <c r="BT455" s="1515">
        <f>[1]Sheet1!F456</f>
        <v/>
      </c>
      <c r="BU455" s="1516">
        <f>[1]Sheet1!G456</f>
        <v/>
      </c>
      <c r="BV455" s="1513">
        <f>[1]Sheet1!H456</f>
        <v/>
      </c>
      <c r="BW455" s="1467" t="n"/>
      <c r="BX455" s="1491" t="n"/>
      <c r="BY455" s="1491" t="n"/>
      <c r="BZ455" s="1491" t="n"/>
      <c r="CA455" s="1491" t="n"/>
      <c r="CB455" s="1467" t="n"/>
      <c r="CC455" s="1467" t="n"/>
      <c r="CD455" s="1491" t="n"/>
      <c r="CE455" s="1491" t="n"/>
      <c r="CF455" s="1491" t="n"/>
      <c r="CG455" s="1491" t="n"/>
      <c r="CH455" s="1491" t="n"/>
      <c r="CI455" s="1491" t="n"/>
      <c r="CJ455" s="1491" t="n"/>
      <c r="CK455" s="1491" t="n"/>
      <c r="CL455" s="1491" t="n"/>
      <c r="CM455" s="1491" t="n"/>
      <c r="CN455" s="1491" t="n"/>
      <c r="CO455" s="1491" t="n"/>
      <c r="CP455" s="1491" t="n"/>
      <c r="CQ455" s="1491" t="n"/>
      <c r="CR455" s="1491" t="n"/>
      <c r="CS455" s="1491" t="n"/>
      <c r="CT455" s="1491" t="n"/>
      <c r="CU455" s="1491" t="n"/>
      <c r="CV455" s="1491" t="n"/>
      <c r="CW455" s="1491" t="n"/>
      <c r="CX455" s="1491" t="n"/>
    </row>
    <row r="456">
      <c r="A456" s="1491" t="n"/>
      <c r="B456" s="1491" t="n"/>
      <c r="C456" s="1491" t="n"/>
      <c r="D456" s="1497">
        <f>IF(E456&lt;&gt;"",D455+1,D455)</f>
        <v/>
      </c>
      <c r="E456" s="1497" t="inlineStr">
        <is>
          <t>Cromer</t>
        </is>
      </c>
      <c r="F456" s="1535" t="inlineStr">
        <is>
          <t>.</t>
        </is>
      </c>
      <c r="G456" s="1498">
        <f>IF(H456="AIR",0,IF(H455="AIR",G454+1,IF(H456&lt;&gt;"",G455+1,G455)))</f>
        <v/>
      </c>
      <c r="H456" s="1498" t="inlineStr">
        <is>
          <t>Praia do Forte</t>
        </is>
      </c>
      <c r="I456" s="1427" t="inlineStr">
        <is>
          <t>.</t>
        </is>
      </c>
      <c r="J456" s="1499" t="n">
        <v>451</v>
      </c>
      <c r="K456" s="1500">
        <f>_xlfn.XLOOKUP(cities[[#This Row],[id]],$D$5:$D$1500,E$5:E$1500,"-")</f>
        <v/>
      </c>
      <c r="L456" s="1500">
        <f>_xlfn.XLOOKUP(cities[[#This Row],[city]],ccc[city],ccc[ctry],"-")</f>
        <v/>
      </c>
      <c r="M456" s="1500">
        <f>SUMIFS(stayCity[stay],stayCity[city],cities[[#This Row],[city]])</f>
        <v/>
      </c>
      <c r="N456" s="1427">
        <f>N455+1</f>
        <v/>
      </c>
      <c r="O456" s="1500" t="n"/>
      <c r="P456" s="1500" t="n"/>
      <c r="Q456" s="1427" t="inlineStr">
        <is>
          <t>.</t>
        </is>
      </c>
      <c r="R456" s="1491" t="n"/>
      <c r="S456" s="1491" t="n"/>
      <c r="T456" s="1491" t="n"/>
      <c r="U456" s="1491" t="n"/>
      <c r="V456" s="1491" t="n"/>
      <c r="W456" s="1491" t="n"/>
      <c r="X456" s="1491" t="n"/>
      <c r="Y456" s="1491" t="n"/>
      <c r="Z456" s="1491" t="n"/>
      <c r="AA456" s="1491" t="n"/>
      <c r="AB456" s="1491" t="n"/>
      <c r="AC456" s="1491" t="n"/>
      <c r="AD456" s="1491" t="n"/>
      <c r="AE456" s="1491" t="n"/>
      <c r="AF456" s="1491" t="n"/>
      <c r="AG456" s="1491" t="n"/>
      <c r="AH456" s="1491" t="n"/>
      <c r="AI456" s="1491" t="n"/>
      <c r="AJ456" s="1491" t="n"/>
      <c r="AK456" s="1491" t="n"/>
      <c r="AL456" s="1491" t="n"/>
      <c r="AM456" s="1491" t="n"/>
      <c r="AN456" s="1491" t="n"/>
      <c r="AO456" s="1491" t="n"/>
      <c r="AP456" s="1491" t="n"/>
      <c r="AQ456" s="1491" t="n"/>
      <c r="AR456" s="1491" t="n"/>
      <c r="AS456" s="1491" t="n"/>
      <c r="AT456" s="1491" t="n"/>
      <c r="AU456" s="1491" t="n"/>
      <c r="AV456" s="1491" t="n"/>
      <c r="AW456" s="1491" t="n"/>
      <c r="AX456" s="1491" t="n"/>
      <c r="AY456" s="1491" t="n"/>
      <c r="AZ456" s="1491" t="n"/>
      <c r="BA456" s="1491" t="n"/>
      <c r="BB456" s="1491" t="n"/>
      <c r="BC456" s="1491" t="n"/>
      <c r="BD456" s="1491" t="n"/>
      <c r="BE456" s="1491" t="n"/>
      <c r="BF456" s="1491" t="n"/>
      <c r="BG456" s="1491" t="n"/>
      <c r="BH456" s="1491" t="n"/>
      <c r="BI456" s="1491" t="n"/>
      <c r="BJ456" s="1491" t="n"/>
      <c r="BK456" s="1491" t="n"/>
      <c r="BL456" s="1491" t="n"/>
      <c r="BM456" s="1491" t="n"/>
      <c r="BN456" s="1491" t="n"/>
      <c r="BO456" s="1467" t="n"/>
      <c r="BP456" s="1514" t="n">
        <v>452</v>
      </c>
      <c r="BQ456" s="1513">
        <f>[1]Sheet1!C457</f>
        <v/>
      </c>
      <c r="BR456" s="1515">
        <f>[1]Sheet1!D457</f>
        <v/>
      </c>
      <c r="BS456" s="1513">
        <f>[1]Sheet1!E457</f>
        <v/>
      </c>
      <c r="BT456" s="1515">
        <f>[1]Sheet1!F457</f>
        <v/>
      </c>
      <c r="BU456" s="1516">
        <f>[1]Sheet1!G457</f>
        <v/>
      </c>
      <c r="BV456" s="1513">
        <f>[1]Sheet1!H457</f>
        <v/>
      </c>
      <c r="BW456" s="1467" t="n"/>
      <c r="BX456" s="1491" t="n"/>
      <c r="BY456" s="1491" t="n"/>
      <c r="BZ456" s="1491" t="n"/>
      <c r="CA456" s="1491" t="n"/>
      <c r="CB456" s="1467" t="n"/>
      <c r="CC456" s="1467" t="n"/>
      <c r="CD456" s="1491" t="n"/>
      <c r="CE456" s="1491" t="n"/>
      <c r="CF456" s="1491" t="n"/>
      <c r="CG456" s="1491" t="n"/>
      <c r="CH456" s="1491" t="n"/>
      <c r="CI456" s="1491" t="n"/>
      <c r="CJ456" s="1491" t="n"/>
      <c r="CK456" s="1491" t="n"/>
      <c r="CL456" s="1491" t="n"/>
      <c r="CM456" s="1491" t="n"/>
      <c r="CN456" s="1491" t="n"/>
      <c r="CO456" s="1491" t="n"/>
      <c r="CP456" s="1491" t="n"/>
      <c r="CQ456" s="1491" t="n"/>
      <c r="CR456" s="1491" t="n"/>
      <c r="CS456" s="1491" t="n"/>
      <c r="CT456" s="1491" t="n"/>
      <c r="CU456" s="1491" t="n"/>
      <c r="CV456" s="1491" t="n"/>
      <c r="CW456" s="1491" t="n"/>
      <c r="CX456" s="1491" t="n"/>
    </row>
    <row r="457">
      <c r="A457" s="1491" t="n"/>
      <c r="B457" s="1491" t="n"/>
      <c r="C457" s="1491" t="n"/>
      <c r="D457" s="1497">
        <f>IF(E457&lt;&gt;"",D456+1,D456)</f>
        <v/>
      </c>
      <c r="E457" s="1497" t="inlineStr">
        <is>
          <t>Sheringham</t>
        </is>
      </c>
      <c r="F457" s="1535" t="inlineStr">
        <is>
          <t>.</t>
        </is>
      </c>
      <c r="G457" s="1498">
        <f>IF(H457="AIR",0,IF(H456="AIR",G455+1,IF(H457&lt;&gt;"",G456+1,G456)))</f>
        <v/>
      </c>
      <c r="H457" s="1498" t="inlineStr">
        <is>
          <t>Buenos Aires</t>
        </is>
      </c>
      <c r="I457" s="1427" t="inlineStr">
        <is>
          <t>.</t>
        </is>
      </c>
      <c r="J457" s="1499" t="n">
        <v>452</v>
      </c>
      <c r="K457" s="1500">
        <f>_xlfn.XLOOKUP(cities[[#This Row],[id]],$D$5:$D$1500,E$5:E$1500,"-")</f>
        <v/>
      </c>
      <c r="L457" s="1500">
        <f>_xlfn.XLOOKUP(cities[[#This Row],[city]],ccc[city],ccc[ctry],"-")</f>
        <v/>
      </c>
      <c r="M457" s="1500">
        <f>SUMIFS(stayCity[stay],stayCity[city],cities[[#This Row],[city]])</f>
        <v/>
      </c>
      <c r="N457" s="1427">
        <f>N456+1</f>
        <v/>
      </c>
      <c r="O457" s="1500" t="n"/>
      <c r="P457" s="1500" t="n"/>
      <c r="Q457" s="1427" t="inlineStr">
        <is>
          <t>.</t>
        </is>
      </c>
      <c r="R457" s="1491" t="n"/>
      <c r="S457" s="1491" t="n"/>
      <c r="T457" s="1491" t="n"/>
      <c r="U457" s="1491" t="n"/>
      <c r="V457" s="1491" t="n"/>
      <c r="W457" s="1491" t="n"/>
      <c r="X457" s="1491" t="n"/>
      <c r="Y457" s="1491" t="n"/>
      <c r="Z457" s="1491" t="n"/>
      <c r="AA457" s="1491" t="n"/>
      <c r="AB457" s="1491" t="n"/>
      <c r="AC457" s="1491" t="n"/>
      <c r="AD457" s="1491" t="n"/>
      <c r="AE457" s="1491" t="n"/>
      <c r="AF457" s="1491" t="n"/>
      <c r="AG457" s="1491" t="n"/>
      <c r="AH457" s="1491" t="n"/>
      <c r="AI457" s="1491" t="n"/>
      <c r="AJ457" s="1491" t="n"/>
      <c r="AK457" s="1491" t="n"/>
      <c r="AL457" s="1491" t="n"/>
      <c r="AM457" s="1491" t="n"/>
      <c r="AN457" s="1491" t="n"/>
      <c r="AO457" s="1491" t="n"/>
      <c r="AP457" s="1491" t="n"/>
      <c r="AQ457" s="1491" t="n"/>
      <c r="AR457" s="1491" t="n"/>
      <c r="AS457" s="1491" t="n"/>
      <c r="AT457" s="1491" t="n"/>
      <c r="AU457" s="1491" t="n"/>
      <c r="AV457" s="1491" t="n"/>
      <c r="AW457" s="1491" t="n"/>
      <c r="AX457" s="1491" t="n"/>
      <c r="AY457" s="1491" t="n"/>
      <c r="AZ457" s="1491" t="n"/>
      <c r="BA457" s="1491" t="n"/>
      <c r="BB457" s="1491" t="n"/>
      <c r="BC457" s="1491" t="n"/>
      <c r="BD457" s="1491" t="n"/>
      <c r="BE457" s="1491" t="n"/>
      <c r="BF457" s="1491" t="n"/>
      <c r="BG457" s="1491" t="n"/>
      <c r="BH457" s="1491" t="n"/>
      <c r="BI457" s="1491" t="n"/>
      <c r="BJ457" s="1491" t="n"/>
      <c r="BK457" s="1491" t="n"/>
      <c r="BL457" s="1491" t="n"/>
      <c r="BM457" s="1491" t="n"/>
      <c r="BN457" s="1491" t="n"/>
      <c r="BO457" s="1467" t="n"/>
      <c r="BP457" s="1514" t="n">
        <v>453</v>
      </c>
      <c r="BQ457" s="1513">
        <f>[1]Sheet1!C458</f>
        <v/>
      </c>
      <c r="BR457" s="1515">
        <f>[1]Sheet1!D458</f>
        <v/>
      </c>
      <c r="BS457" s="1513">
        <f>[1]Sheet1!E458</f>
        <v/>
      </c>
      <c r="BT457" s="1515">
        <f>[1]Sheet1!F458</f>
        <v/>
      </c>
      <c r="BU457" s="1516">
        <f>[1]Sheet1!G458</f>
        <v/>
      </c>
      <c r="BV457" s="1513">
        <f>[1]Sheet1!H458</f>
        <v/>
      </c>
      <c r="BW457" s="1467" t="n"/>
      <c r="BX457" s="1491" t="n"/>
      <c r="BY457" s="1491" t="n"/>
      <c r="BZ457" s="1491" t="n"/>
      <c r="CA457" s="1491" t="n"/>
      <c r="CB457" s="1467" t="n"/>
      <c r="CC457" s="1467" t="n"/>
      <c r="CD457" s="1491" t="n"/>
      <c r="CE457" s="1491" t="n"/>
      <c r="CF457" s="1491" t="n"/>
      <c r="CG457" s="1491" t="n"/>
      <c r="CH457" s="1491" t="n"/>
      <c r="CI457" s="1491" t="n"/>
      <c r="CJ457" s="1491" t="n"/>
      <c r="CK457" s="1491" t="n"/>
      <c r="CL457" s="1491" t="n"/>
      <c r="CM457" s="1491" t="n"/>
      <c r="CN457" s="1491" t="n"/>
      <c r="CO457" s="1491" t="n"/>
      <c r="CP457" s="1491" t="n"/>
      <c r="CQ457" s="1491" t="n"/>
      <c r="CR457" s="1491" t="n"/>
      <c r="CS457" s="1491" t="n"/>
      <c r="CT457" s="1491" t="n"/>
      <c r="CU457" s="1491" t="n"/>
      <c r="CV457" s="1491" t="n"/>
      <c r="CW457" s="1491" t="n"/>
      <c r="CX457" s="1491" t="n"/>
    </row>
    <row r="458">
      <c r="A458" s="1491" t="n"/>
      <c r="B458" s="1491" t="n"/>
      <c r="C458" s="1491" t="n"/>
      <c r="D458" s="1497">
        <f>IF(E458&lt;&gt;"",D457+1,D457)</f>
        <v/>
      </c>
      <c r="E458" s="1497" t="inlineStr">
        <is>
          <t>Blickling</t>
        </is>
      </c>
      <c r="F458" s="1535" t="inlineStr">
        <is>
          <t>.</t>
        </is>
      </c>
      <c r="G458" s="1498">
        <f>IF(H458="AIR",0,IF(H457="AIR",G456+1,IF(H458&lt;&gt;"",G457+1,G457)))</f>
        <v/>
      </c>
      <c r="H458" s="1498" t="inlineStr">
        <is>
          <t>Montevideo</t>
        </is>
      </c>
      <c r="I458" s="1427" t="inlineStr">
        <is>
          <t>.</t>
        </is>
      </c>
      <c r="J458" s="1499" t="n">
        <v>453</v>
      </c>
      <c r="K458" s="1500">
        <f>_xlfn.XLOOKUP(cities[[#This Row],[id]],$D$5:$D$1500,E$5:E$1500,"-")</f>
        <v/>
      </c>
      <c r="L458" s="1500">
        <f>_xlfn.XLOOKUP(cities[[#This Row],[city]],ccc[city],ccc[ctry],"-")</f>
        <v/>
      </c>
      <c r="M458" s="1500">
        <f>SUMIFS(stayCity[stay],stayCity[city],cities[[#This Row],[city]])</f>
        <v/>
      </c>
      <c r="N458" s="1427">
        <f>N457+1</f>
        <v/>
      </c>
      <c r="O458" s="1500" t="n"/>
      <c r="P458" s="1500" t="n"/>
      <c r="Q458" s="1427" t="inlineStr">
        <is>
          <t>.</t>
        </is>
      </c>
      <c r="R458" s="1491" t="n"/>
      <c r="S458" s="1491" t="n"/>
      <c r="T458" s="1491" t="n"/>
      <c r="U458" s="1491" t="n"/>
      <c r="V458" s="1491" t="n"/>
      <c r="W458" s="1491" t="n"/>
      <c r="X458" s="1491" t="n"/>
      <c r="Y458" s="1491" t="n"/>
      <c r="Z458" s="1491" t="n"/>
      <c r="AA458" s="1491" t="n"/>
      <c r="AB458" s="1491" t="n"/>
      <c r="AC458" s="1491" t="n"/>
      <c r="AD458" s="1491" t="n"/>
      <c r="AE458" s="1491" t="n"/>
      <c r="AF458" s="1491" t="n"/>
      <c r="AG458" s="1491" t="n"/>
      <c r="AH458" s="1491" t="n"/>
      <c r="AI458" s="1491" t="n"/>
      <c r="AJ458" s="1491" t="n"/>
      <c r="AK458" s="1491" t="n"/>
      <c r="AL458" s="1491" t="n"/>
      <c r="AM458" s="1491" t="n"/>
      <c r="AN458" s="1491" t="n"/>
      <c r="AO458" s="1491" t="n"/>
      <c r="AP458" s="1491" t="n"/>
      <c r="AQ458" s="1491" t="n"/>
      <c r="AR458" s="1491" t="n"/>
      <c r="AS458" s="1491" t="n"/>
      <c r="AT458" s="1491" t="n"/>
      <c r="AU458" s="1491" t="n"/>
      <c r="AV458" s="1491" t="n"/>
      <c r="AW458" s="1491" t="n"/>
      <c r="AX458" s="1491" t="n"/>
      <c r="AY458" s="1491" t="n"/>
      <c r="AZ458" s="1491" t="n"/>
      <c r="BA458" s="1491" t="n"/>
      <c r="BB458" s="1491" t="n"/>
      <c r="BC458" s="1491" t="n"/>
      <c r="BD458" s="1491" t="n"/>
      <c r="BE458" s="1491" t="n"/>
      <c r="BF458" s="1491" t="n"/>
      <c r="BG458" s="1491" t="n"/>
      <c r="BH458" s="1491" t="n"/>
      <c r="BI458" s="1491" t="n"/>
      <c r="BJ458" s="1491" t="n"/>
      <c r="BK458" s="1491" t="n"/>
      <c r="BL458" s="1491" t="n"/>
      <c r="BM458" s="1491" t="n"/>
      <c r="BN458" s="1491" t="n"/>
      <c r="BO458" s="1467" t="n"/>
      <c r="BP458" s="1514" t="n">
        <v>454</v>
      </c>
      <c r="BQ458" s="1513">
        <f>[1]Sheet1!C459</f>
        <v/>
      </c>
      <c r="BR458" s="1515">
        <f>[1]Sheet1!D459</f>
        <v/>
      </c>
      <c r="BS458" s="1513">
        <f>[1]Sheet1!E459</f>
        <v/>
      </c>
      <c r="BT458" s="1515">
        <f>[1]Sheet1!F459</f>
        <v/>
      </c>
      <c r="BU458" s="1516">
        <f>[1]Sheet1!G459</f>
        <v/>
      </c>
      <c r="BV458" s="1513">
        <f>[1]Sheet1!H459</f>
        <v/>
      </c>
      <c r="BW458" s="1467" t="n"/>
      <c r="BX458" s="1491" t="n"/>
      <c r="BY458" s="1491" t="n"/>
      <c r="BZ458" s="1491" t="n"/>
      <c r="CA458" s="1491" t="n"/>
      <c r="CB458" s="1467" t="n"/>
      <c r="CC458" s="1467" t="n"/>
      <c r="CD458" s="1491" t="n"/>
      <c r="CE458" s="1491" t="n"/>
      <c r="CF458" s="1491" t="n"/>
      <c r="CG458" s="1491" t="n"/>
      <c r="CH458" s="1491" t="n"/>
      <c r="CI458" s="1491" t="n"/>
      <c r="CJ458" s="1491" t="n"/>
      <c r="CK458" s="1491" t="n"/>
      <c r="CL458" s="1491" t="n"/>
      <c r="CM458" s="1491" t="n"/>
      <c r="CN458" s="1491" t="n"/>
      <c r="CO458" s="1491" t="n"/>
      <c r="CP458" s="1491" t="n"/>
      <c r="CQ458" s="1491" t="n"/>
      <c r="CR458" s="1491" t="n"/>
      <c r="CS458" s="1491" t="n"/>
      <c r="CT458" s="1491" t="n"/>
      <c r="CU458" s="1491" t="n"/>
      <c r="CV458" s="1491" t="n"/>
      <c r="CW458" s="1491" t="n"/>
      <c r="CX458" s="1491" t="n"/>
    </row>
    <row r="459">
      <c r="A459" s="1491" t="n"/>
      <c r="B459" s="1491" t="n"/>
      <c r="C459" s="1491" t="n"/>
      <c r="D459" s="1497">
        <f>IF(E459&lt;&gt;"",D458+1,D458)</f>
        <v/>
      </c>
      <c r="E459" s="1497" t="inlineStr">
        <is>
          <t>Dublin</t>
        </is>
      </c>
      <c r="F459" s="1535" t="inlineStr">
        <is>
          <t>.</t>
        </is>
      </c>
      <c r="G459" s="1498">
        <f>IF(H459="AIR",0,IF(H458="AIR",G457+1,IF(H459&lt;&gt;"",G458+1,G458)))</f>
        <v/>
      </c>
      <c r="H459" s="1498" t="inlineStr">
        <is>
          <t>Bariloche</t>
        </is>
      </c>
      <c r="I459" s="1427" t="inlineStr">
        <is>
          <t>.</t>
        </is>
      </c>
      <c r="J459" s="1499" t="n">
        <v>454</v>
      </c>
      <c r="K459" s="1500">
        <f>_xlfn.XLOOKUP(cities[[#This Row],[id]],$D$5:$D$1500,E$5:E$1500,"-")</f>
        <v/>
      </c>
      <c r="L459" s="1500">
        <f>_xlfn.XLOOKUP(cities[[#This Row],[city]],ccc[city],ccc[ctry],"-")</f>
        <v/>
      </c>
      <c r="M459" s="1500">
        <f>SUMIFS(stayCity[stay],stayCity[city],cities[[#This Row],[city]])</f>
        <v/>
      </c>
      <c r="N459" s="1427">
        <f>N458+1</f>
        <v/>
      </c>
      <c r="O459" s="1500" t="n"/>
      <c r="P459" s="1500" t="n"/>
      <c r="Q459" s="1427" t="inlineStr">
        <is>
          <t>.</t>
        </is>
      </c>
      <c r="R459" s="1491" t="n"/>
      <c r="S459" s="1491" t="n"/>
      <c r="T459" s="1491" t="n"/>
      <c r="U459" s="1491" t="n"/>
      <c r="V459" s="1491" t="n"/>
      <c r="W459" s="1491" t="n"/>
      <c r="X459" s="1491" t="n"/>
      <c r="Y459" s="1491" t="n"/>
      <c r="Z459" s="1491" t="n"/>
      <c r="AA459" s="1491" t="n"/>
      <c r="AB459" s="1491" t="n"/>
      <c r="AC459" s="1491" t="n"/>
      <c r="AD459" s="1491" t="n"/>
      <c r="AE459" s="1491" t="n"/>
      <c r="AF459" s="1491" t="n"/>
      <c r="AG459" s="1491" t="n"/>
      <c r="AH459" s="1491" t="n"/>
      <c r="AI459" s="1491" t="n"/>
      <c r="AJ459" s="1491" t="n"/>
      <c r="AK459" s="1491" t="n"/>
      <c r="AL459" s="1491" t="n"/>
      <c r="AM459" s="1491" t="n"/>
      <c r="AN459" s="1491" t="n"/>
      <c r="AO459" s="1491" t="n"/>
      <c r="AP459" s="1491" t="n"/>
      <c r="AQ459" s="1491" t="n"/>
      <c r="AR459" s="1491" t="n"/>
      <c r="AS459" s="1491" t="n"/>
      <c r="AT459" s="1491" t="n"/>
      <c r="AU459" s="1491" t="n"/>
      <c r="AV459" s="1491" t="n"/>
      <c r="AW459" s="1491" t="n"/>
      <c r="AX459" s="1491" t="n"/>
      <c r="AY459" s="1491" t="n"/>
      <c r="AZ459" s="1491" t="n"/>
      <c r="BA459" s="1491" t="n"/>
      <c r="BB459" s="1491" t="n"/>
      <c r="BC459" s="1491" t="n"/>
      <c r="BD459" s="1491" t="n"/>
      <c r="BE459" s="1491" t="n"/>
      <c r="BF459" s="1491" t="n"/>
      <c r="BG459" s="1491" t="n"/>
      <c r="BH459" s="1491" t="n"/>
      <c r="BI459" s="1491" t="n"/>
      <c r="BJ459" s="1491" t="n"/>
      <c r="BK459" s="1491" t="n"/>
      <c r="BL459" s="1491" t="n"/>
      <c r="BM459" s="1491" t="n"/>
      <c r="BN459" s="1491" t="n"/>
      <c r="BO459" s="1467" t="n"/>
      <c r="BP459" s="1514" t="n">
        <v>455</v>
      </c>
      <c r="BQ459" s="1513">
        <f>[1]Sheet1!C460</f>
        <v/>
      </c>
      <c r="BR459" s="1515">
        <f>[1]Sheet1!D460</f>
        <v/>
      </c>
      <c r="BS459" s="1513">
        <f>[1]Sheet1!E460</f>
        <v/>
      </c>
      <c r="BT459" s="1515">
        <f>[1]Sheet1!F460</f>
        <v/>
      </c>
      <c r="BU459" s="1516">
        <f>[1]Sheet1!G460</f>
        <v/>
      </c>
      <c r="BV459" s="1513">
        <f>[1]Sheet1!H460</f>
        <v/>
      </c>
      <c r="BW459" s="1467" t="n"/>
      <c r="BX459" s="1491" t="n"/>
      <c r="BY459" s="1491" t="n"/>
      <c r="BZ459" s="1491" t="n"/>
      <c r="CA459" s="1491" t="n"/>
      <c r="CB459" s="1467" t="n"/>
      <c r="CC459" s="1467" t="n"/>
      <c r="CD459" s="1491" t="n"/>
      <c r="CE459" s="1491" t="n"/>
      <c r="CF459" s="1491" t="n"/>
      <c r="CG459" s="1491" t="n"/>
      <c r="CH459" s="1491" t="n"/>
      <c r="CI459" s="1491" t="n"/>
      <c r="CJ459" s="1491" t="n"/>
      <c r="CK459" s="1491" t="n"/>
      <c r="CL459" s="1491" t="n"/>
      <c r="CM459" s="1491" t="n"/>
      <c r="CN459" s="1491" t="n"/>
      <c r="CO459" s="1491" t="n"/>
      <c r="CP459" s="1491" t="n"/>
      <c r="CQ459" s="1491" t="n"/>
      <c r="CR459" s="1491" t="n"/>
      <c r="CS459" s="1491" t="n"/>
      <c r="CT459" s="1491" t="n"/>
      <c r="CU459" s="1491" t="n"/>
      <c r="CV459" s="1491" t="n"/>
      <c r="CW459" s="1491" t="n"/>
      <c r="CX459" s="1491" t="n"/>
    </row>
    <row r="460">
      <c r="A460" s="1491" t="n"/>
      <c r="B460" s="1491" t="n"/>
      <c r="C460" s="1491" t="n"/>
      <c r="D460" s="1497">
        <f>IF(E460&lt;&gt;"",D459+1,D459)</f>
        <v/>
      </c>
      <c r="E460" s="1497" t="inlineStr">
        <is>
          <t>Bari</t>
        </is>
      </c>
      <c r="F460" s="1535" t="inlineStr">
        <is>
          <t>.</t>
        </is>
      </c>
      <c r="G460" s="1498">
        <f>IF(H460="AIR",0,IF(H459="AIR",G458+1,IF(H460&lt;&gt;"",G459+1,G459)))</f>
        <v/>
      </c>
      <c r="H460" s="1498" t="inlineStr">
        <is>
          <t>Pipa</t>
        </is>
      </c>
      <c r="I460" s="1427" t="inlineStr">
        <is>
          <t>.</t>
        </is>
      </c>
      <c r="J460" s="1499" t="n">
        <v>455</v>
      </c>
      <c r="K460" s="1500">
        <f>_xlfn.XLOOKUP(cities[[#This Row],[id]],$D$5:$D$1500,E$5:E$1500,"-")</f>
        <v/>
      </c>
      <c r="L460" s="1500">
        <f>_xlfn.XLOOKUP(cities[[#This Row],[city]],ccc[city],ccc[ctry],"-")</f>
        <v/>
      </c>
      <c r="M460" s="1500">
        <f>SUMIFS(stayCity[stay],stayCity[city],cities[[#This Row],[city]])</f>
        <v/>
      </c>
      <c r="N460" s="1427">
        <f>N459+1</f>
        <v/>
      </c>
      <c r="O460" s="1500" t="n"/>
      <c r="P460" s="1500" t="n"/>
      <c r="Q460" s="1427" t="inlineStr">
        <is>
          <t>.</t>
        </is>
      </c>
      <c r="R460" s="1491" t="n"/>
      <c r="S460" s="1491" t="n"/>
      <c r="T460" s="1491" t="n"/>
      <c r="U460" s="1491" t="n"/>
      <c r="V460" s="1491" t="n"/>
      <c r="W460" s="1491" t="n"/>
      <c r="X460" s="1491" t="n"/>
      <c r="Y460" s="1491" t="n"/>
      <c r="Z460" s="1491" t="n"/>
      <c r="AA460" s="1491" t="n"/>
      <c r="AB460" s="1491" t="n"/>
      <c r="AC460" s="1491" t="n"/>
      <c r="AD460" s="1491" t="n"/>
      <c r="AE460" s="1491" t="n"/>
      <c r="AF460" s="1491" t="n"/>
      <c r="AG460" s="1491" t="n"/>
      <c r="AH460" s="1491" t="n"/>
      <c r="AI460" s="1491" t="n"/>
      <c r="AJ460" s="1491" t="n"/>
      <c r="AK460" s="1491" t="n"/>
      <c r="AL460" s="1491" t="n"/>
      <c r="AM460" s="1491" t="n"/>
      <c r="AN460" s="1491" t="n"/>
      <c r="AO460" s="1491" t="n"/>
      <c r="AP460" s="1491" t="n"/>
      <c r="AQ460" s="1491" t="n"/>
      <c r="AR460" s="1491" t="n"/>
      <c r="AS460" s="1491" t="n"/>
      <c r="AT460" s="1491" t="n"/>
      <c r="AU460" s="1491" t="n"/>
      <c r="AV460" s="1491" t="n"/>
      <c r="AW460" s="1491" t="n"/>
      <c r="AX460" s="1491" t="n"/>
      <c r="AY460" s="1491" t="n"/>
      <c r="AZ460" s="1491" t="n"/>
      <c r="BA460" s="1491" t="n"/>
      <c r="BB460" s="1491" t="n"/>
      <c r="BC460" s="1491" t="n"/>
      <c r="BD460" s="1491" t="n"/>
      <c r="BE460" s="1491" t="n"/>
      <c r="BF460" s="1491" t="n"/>
      <c r="BG460" s="1491" t="n"/>
      <c r="BH460" s="1491" t="n"/>
      <c r="BI460" s="1491" t="n"/>
      <c r="BJ460" s="1491" t="n"/>
      <c r="BK460" s="1491" t="n"/>
      <c r="BL460" s="1491" t="n"/>
      <c r="BM460" s="1491" t="n"/>
      <c r="BN460" s="1491" t="n"/>
      <c r="BO460" s="1467" t="n"/>
      <c r="BP460" s="1514" t="n">
        <v>456</v>
      </c>
      <c r="BQ460" s="1513">
        <f>[1]Sheet1!C461</f>
        <v/>
      </c>
      <c r="BR460" s="1515">
        <f>[1]Sheet1!D461</f>
        <v/>
      </c>
      <c r="BS460" s="1513">
        <f>[1]Sheet1!E461</f>
        <v/>
      </c>
      <c r="BT460" s="1515">
        <f>[1]Sheet1!F461</f>
        <v/>
      </c>
      <c r="BU460" s="1516">
        <f>[1]Sheet1!G461</f>
        <v/>
      </c>
      <c r="BV460" s="1513">
        <f>[1]Sheet1!H461</f>
        <v/>
      </c>
      <c r="BW460" s="1467" t="n"/>
      <c r="BX460" s="1491" t="n"/>
      <c r="BY460" s="1491" t="n"/>
      <c r="BZ460" s="1491" t="n"/>
      <c r="CA460" s="1491" t="n"/>
      <c r="CB460" s="1467" t="n"/>
      <c r="CC460" s="1467" t="n"/>
      <c r="CD460" s="1491" t="n"/>
      <c r="CE460" s="1491" t="n"/>
      <c r="CF460" s="1491" t="n"/>
      <c r="CG460" s="1491" t="n"/>
      <c r="CH460" s="1491" t="n"/>
      <c r="CI460" s="1491" t="n"/>
      <c r="CJ460" s="1491" t="n"/>
      <c r="CK460" s="1491" t="n"/>
      <c r="CL460" s="1491" t="n"/>
      <c r="CM460" s="1491" t="n"/>
      <c r="CN460" s="1491" t="n"/>
      <c r="CO460" s="1491" t="n"/>
      <c r="CP460" s="1491" t="n"/>
      <c r="CQ460" s="1491" t="n"/>
      <c r="CR460" s="1491" t="n"/>
      <c r="CS460" s="1491" t="n"/>
      <c r="CT460" s="1491" t="n"/>
      <c r="CU460" s="1491" t="n"/>
      <c r="CV460" s="1491" t="n"/>
      <c r="CW460" s="1491" t="n"/>
      <c r="CX460" s="1491" t="n"/>
    </row>
    <row r="461">
      <c r="A461" s="1491" t="n"/>
      <c r="B461" s="1491" t="n"/>
      <c r="C461" s="1491" t="n"/>
      <c r="D461" s="1497">
        <f>IF(E461&lt;&gt;"",D460+1,D460)</f>
        <v/>
      </c>
      <c r="E461" s="1497" t="inlineStr">
        <is>
          <t>Corfu</t>
        </is>
      </c>
      <c r="F461" s="1535" t="inlineStr">
        <is>
          <t>.</t>
        </is>
      </c>
      <c r="G461" s="1498">
        <f>IF(H461="AIR",0,IF(H460="AIR",G459+1,IF(H461&lt;&gt;"",G460+1,G460)))</f>
        <v/>
      </c>
      <c r="H461" s="1498" t="inlineStr">
        <is>
          <t>Timbau do Sul</t>
        </is>
      </c>
      <c r="I461" s="1427" t="inlineStr">
        <is>
          <t>.</t>
        </is>
      </c>
      <c r="J461" s="1499" t="n">
        <v>456</v>
      </c>
      <c r="K461" s="1500">
        <f>_xlfn.XLOOKUP(cities[[#This Row],[id]],$D$5:$D$1500,E$5:E$1500,"-")</f>
        <v/>
      </c>
      <c r="L461" s="1500">
        <f>_xlfn.XLOOKUP(cities[[#This Row],[city]],ccc[city],ccc[ctry],"-")</f>
        <v/>
      </c>
      <c r="M461" s="1500">
        <f>SUMIFS(stayCity[stay],stayCity[city],cities[[#This Row],[city]])</f>
        <v/>
      </c>
      <c r="N461" s="1427">
        <f>N460+1</f>
        <v/>
      </c>
      <c r="O461" s="1500" t="n"/>
      <c r="P461" s="1500" t="n"/>
      <c r="Q461" s="1427" t="inlineStr">
        <is>
          <t>.</t>
        </is>
      </c>
      <c r="R461" s="1491" t="n"/>
      <c r="S461" s="1491" t="n"/>
      <c r="T461" s="1491" t="n"/>
      <c r="U461" s="1491" t="n"/>
      <c r="V461" s="1491" t="n"/>
      <c r="W461" s="1491" t="n"/>
      <c r="X461" s="1491" t="n"/>
      <c r="Y461" s="1491" t="n"/>
      <c r="Z461" s="1491" t="n"/>
      <c r="AA461" s="1491" t="n"/>
      <c r="AB461" s="1491" t="n"/>
      <c r="AC461" s="1491" t="n"/>
      <c r="AD461" s="1491" t="n"/>
      <c r="AE461" s="1491" t="n"/>
      <c r="AF461" s="1491" t="n"/>
      <c r="AG461" s="1491" t="n"/>
      <c r="AH461" s="1491" t="n"/>
      <c r="AI461" s="1491" t="n"/>
      <c r="AJ461" s="1491" t="n"/>
      <c r="AK461" s="1491" t="n"/>
      <c r="AL461" s="1491" t="n"/>
      <c r="AM461" s="1491" t="n"/>
      <c r="AN461" s="1491" t="n"/>
      <c r="AO461" s="1491" t="n"/>
      <c r="AP461" s="1491" t="n"/>
      <c r="AQ461" s="1491" t="n"/>
      <c r="AR461" s="1491" t="n"/>
      <c r="AS461" s="1491" t="n"/>
      <c r="AT461" s="1491" t="n"/>
      <c r="AU461" s="1491" t="n"/>
      <c r="AV461" s="1491" t="n"/>
      <c r="AW461" s="1491" t="n"/>
      <c r="AX461" s="1491" t="n"/>
      <c r="AY461" s="1491" t="n"/>
      <c r="AZ461" s="1491" t="n"/>
      <c r="BA461" s="1491" t="n"/>
      <c r="BB461" s="1491" t="n"/>
      <c r="BC461" s="1491" t="n"/>
      <c r="BD461" s="1491" t="n"/>
      <c r="BE461" s="1491" t="n"/>
      <c r="BF461" s="1491" t="n"/>
      <c r="BG461" s="1491" t="n"/>
      <c r="BH461" s="1491" t="n"/>
      <c r="BI461" s="1491" t="n"/>
      <c r="BJ461" s="1491" t="n"/>
      <c r="BK461" s="1491" t="n"/>
      <c r="BL461" s="1491" t="n"/>
      <c r="BM461" s="1491" t="n"/>
      <c r="BN461" s="1491" t="n"/>
      <c r="BO461" s="1467" t="n"/>
      <c r="BP461" s="1514" t="n">
        <v>457</v>
      </c>
      <c r="BQ461" s="1513">
        <f>[1]Sheet1!C462</f>
        <v/>
      </c>
      <c r="BR461" s="1515">
        <f>[1]Sheet1!D462</f>
        <v/>
      </c>
      <c r="BS461" s="1513">
        <f>[1]Sheet1!E462</f>
        <v/>
      </c>
      <c r="BT461" s="1515">
        <f>[1]Sheet1!F462</f>
        <v/>
      </c>
      <c r="BU461" s="1516">
        <f>[1]Sheet1!G462</f>
        <v/>
      </c>
      <c r="BV461" s="1513">
        <f>[1]Sheet1!H462</f>
        <v/>
      </c>
      <c r="BW461" s="1467" t="n"/>
      <c r="BX461" s="1491" t="n"/>
      <c r="BY461" s="1491" t="n"/>
      <c r="BZ461" s="1491" t="n"/>
      <c r="CA461" s="1491" t="n"/>
      <c r="CB461" s="1467" t="n"/>
      <c r="CC461" s="1467" t="n"/>
      <c r="CD461" s="1491" t="n"/>
      <c r="CE461" s="1491" t="n"/>
      <c r="CF461" s="1491" t="n"/>
      <c r="CG461" s="1491" t="n"/>
      <c r="CH461" s="1491" t="n"/>
      <c r="CI461" s="1491" t="n"/>
      <c r="CJ461" s="1491" t="n"/>
      <c r="CK461" s="1491" t="n"/>
      <c r="CL461" s="1491" t="n"/>
      <c r="CM461" s="1491" t="n"/>
      <c r="CN461" s="1491" t="n"/>
      <c r="CO461" s="1491" t="n"/>
      <c r="CP461" s="1491" t="n"/>
      <c r="CQ461" s="1491" t="n"/>
      <c r="CR461" s="1491" t="n"/>
      <c r="CS461" s="1491" t="n"/>
      <c r="CT461" s="1491" t="n"/>
      <c r="CU461" s="1491" t="n"/>
      <c r="CV461" s="1491" t="n"/>
      <c r="CW461" s="1491" t="n"/>
      <c r="CX461" s="1491" t="n"/>
    </row>
    <row r="462">
      <c r="A462" s="1491" t="n"/>
      <c r="B462" s="1491" t="n"/>
      <c r="C462" s="1491" t="n"/>
      <c r="D462" s="1497">
        <f>IF(E462&lt;&gt;"",D461+1,D461)</f>
        <v/>
      </c>
      <c r="E462" s="1497" t="inlineStr">
        <is>
          <t>Katakolon</t>
        </is>
      </c>
      <c r="F462" s="1535" t="inlineStr">
        <is>
          <t>.</t>
        </is>
      </c>
      <c r="G462" s="1498">
        <f>IF(H462="AIR",0,IF(H461="AIR",G460+1,IF(H462&lt;&gt;"",G461+1,G461)))</f>
        <v/>
      </c>
      <c r="H462" s="1498" t="inlineStr">
        <is>
          <t>Zurich</t>
        </is>
      </c>
      <c r="I462" s="1427" t="inlineStr">
        <is>
          <t>.</t>
        </is>
      </c>
      <c r="J462" s="1499" t="n">
        <v>457</v>
      </c>
      <c r="K462" s="1500">
        <f>_xlfn.XLOOKUP(cities[[#This Row],[id]],$D$5:$D$1500,E$5:E$1500,"-")</f>
        <v/>
      </c>
      <c r="L462" s="1500">
        <f>_xlfn.XLOOKUP(cities[[#This Row],[city]],ccc[city],ccc[ctry],"-")</f>
        <v/>
      </c>
      <c r="M462" s="1500">
        <f>SUMIFS(stayCity[stay],stayCity[city],cities[[#This Row],[city]])</f>
        <v/>
      </c>
      <c r="N462" s="1427">
        <f>N461+1</f>
        <v/>
      </c>
      <c r="O462" s="1500" t="n"/>
      <c r="P462" s="1500" t="n"/>
      <c r="Q462" s="1427" t="inlineStr">
        <is>
          <t>.</t>
        </is>
      </c>
      <c r="R462" s="1491" t="n"/>
      <c r="S462" s="1491" t="n"/>
      <c r="T462" s="1491" t="n"/>
      <c r="U462" s="1491" t="n"/>
      <c r="V462" s="1491" t="n"/>
      <c r="W462" s="1491" t="n"/>
      <c r="X462" s="1491" t="n"/>
      <c r="Y462" s="1491" t="n"/>
      <c r="Z462" s="1491" t="n"/>
      <c r="AA462" s="1491" t="n"/>
      <c r="AB462" s="1491" t="n"/>
      <c r="AC462" s="1491" t="n"/>
      <c r="AD462" s="1491" t="n"/>
      <c r="AE462" s="1491" t="n"/>
      <c r="AF462" s="1491" t="n"/>
      <c r="AG462" s="1491" t="n"/>
      <c r="AH462" s="1491" t="n"/>
      <c r="AI462" s="1491" t="n"/>
      <c r="AJ462" s="1491" t="n"/>
      <c r="AK462" s="1491" t="n"/>
      <c r="AL462" s="1491" t="n"/>
      <c r="AM462" s="1491" t="n"/>
      <c r="AN462" s="1491" t="n"/>
      <c r="AO462" s="1491" t="n"/>
      <c r="AP462" s="1491" t="n"/>
      <c r="AQ462" s="1491" t="n"/>
      <c r="AR462" s="1491" t="n"/>
      <c r="AS462" s="1491" t="n"/>
      <c r="AT462" s="1491" t="n"/>
      <c r="AU462" s="1491" t="n"/>
      <c r="AV462" s="1491" t="n"/>
      <c r="AW462" s="1491" t="n"/>
      <c r="AX462" s="1491" t="n"/>
      <c r="AY462" s="1491" t="n"/>
      <c r="AZ462" s="1491" t="n"/>
      <c r="BA462" s="1491" t="n"/>
      <c r="BB462" s="1491" t="n"/>
      <c r="BC462" s="1491" t="n"/>
      <c r="BD462" s="1491" t="n"/>
      <c r="BE462" s="1491" t="n"/>
      <c r="BF462" s="1491" t="n"/>
      <c r="BG462" s="1491" t="n"/>
      <c r="BH462" s="1491" t="n"/>
      <c r="BI462" s="1491" t="n"/>
      <c r="BJ462" s="1491" t="n"/>
      <c r="BK462" s="1491" t="n"/>
      <c r="BL462" s="1491" t="n"/>
      <c r="BM462" s="1491" t="n"/>
      <c r="BN462" s="1491" t="n"/>
      <c r="BO462" s="1467" t="n"/>
      <c r="BP462" s="1514" t="n">
        <v>458</v>
      </c>
      <c r="BQ462" s="1513">
        <f>[1]Sheet1!C463</f>
        <v/>
      </c>
      <c r="BR462" s="1515">
        <f>[1]Sheet1!D463</f>
        <v/>
      </c>
      <c r="BS462" s="1513">
        <f>[1]Sheet1!E463</f>
        <v/>
      </c>
      <c r="BT462" s="1515">
        <f>[1]Sheet1!F463</f>
        <v/>
      </c>
      <c r="BU462" s="1516">
        <f>[1]Sheet1!G463</f>
        <v/>
      </c>
      <c r="BV462" s="1513">
        <f>[1]Sheet1!H463</f>
        <v/>
      </c>
      <c r="BW462" s="1467" t="n"/>
      <c r="BX462" s="1491" t="n"/>
      <c r="BY462" s="1491" t="n"/>
      <c r="BZ462" s="1491" t="n"/>
      <c r="CA462" s="1491" t="n"/>
      <c r="CB462" s="1467" t="n"/>
      <c r="CC462" s="1467" t="n"/>
      <c r="CD462" s="1491" t="n"/>
      <c r="CE462" s="1491" t="n"/>
      <c r="CF462" s="1491" t="n"/>
      <c r="CG462" s="1491" t="n"/>
      <c r="CH462" s="1491" t="n"/>
      <c r="CI462" s="1491" t="n"/>
      <c r="CJ462" s="1491" t="n"/>
      <c r="CK462" s="1491" t="n"/>
      <c r="CL462" s="1491" t="n"/>
      <c r="CM462" s="1491" t="n"/>
      <c r="CN462" s="1491" t="n"/>
      <c r="CO462" s="1491" t="n"/>
      <c r="CP462" s="1491" t="n"/>
      <c r="CQ462" s="1491" t="n"/>
      <c r="CR462" s="1491" t="n"/>
      <c r="CS462" s="1491" t="n"/>
      <c r="CT462" s="1491" t="n"/>
      <c r="CU462" s="1491" t="n"/>
      <c r="CV462" s="1491" t="n"/>
      <c r="CW462" s="1491" t="n"/>
      <c r="CX462" s="1491" t="n"/>
    </row>
    <row r="463">
      <c r="A463" s="1491" t="n"/>
      <c r="B463" s="1491" t="n"/>
      <c r="C463" s="1491" t="n"/>
      <c r="D463" s="1497">
        <f>IF(E463&lt;&gt;"",D462+1,D462)</f>
        <v/>
      </c>
      <c r="E463" s="1497" t="inlineStr">
        <is>
          <t>Olympia</t>
        </is>
      </c>
      <c r="F463" s="1535" t="inlineStr">
        <is>
          <t>.</t>
        </is>
      </c>
      <c r="G463" s="1498">
        <f>IF(H463="AIR",0,IF(H462="AIR",G461+1,IF(H463&lt;&gt;"",G462+1,G462)))</f>
        <v/>
      </c>
      <c r="H463" s="1498" t="inlineStr">
        <is>
          <t>Norwich</t>
        </is>
      </c>
      <c r="I463" s="1427" t="inlineStr">
        <is>
          <t>.</t>
        </is>
      </c>
      <c r="J463" s="1499" t="n">
        <v>458</v>
      </c>
      <c r="K463" s="1500">
        <f>_xlfn.XLOOKUP(cities[[#This Row],[id]],$D$5:$D$1500,E$5:E$1500,"-")</f>
        <v/>
      </c>
      <c r="L463" s="1500">
        <f>_xlfn.XLOOKUP(cities[[#This Row],[city]],ccc[city],ccc[ctry],"-")</f>
        <v/>
      </c>
      <c r="M463" s="1500">
        <f>SUMIFS(stayCity[stay],stayCity[city],cities[[#This Row],[city]])</f>
        <v/>
      </c>
      <c r="N463" s="1427">
        <f>N462+1</f>
        <v/>
      </c>
      <c r="O463" s="1500" t="n"/>
      <c r="P463" s="1500" t="n"/>
      <c r="Q463" s="1427" t="inlineStr">
        <is>
          <t>.</t>
        </is>
      </c>
      <c r="R463" s="1491" t="n"/>
      <c r="S463" s="1491" t="n"/>
      <c r="T463" s="1491" t="n"/>
      <c r="U463" s="1491" t="n"/>
      <c r="V463" s="1491" t="n"/>
      <c r="W463" s="1491" t="n"/>
      <c r="X463" s="1491" t="n"/>
      <c r="Y463" s="1491" t="n"/>
      <c r="Z463" s="1491" t="n"/>
      <c r="AA463" s="1491" t="n"/>
      <c r="AB463" s="1491" t="n"/>
      <c r="AC463" s="1491" t="n"/>
      <c r="AD463" s="1491" t="n"/>
      <c r="AE463" s="1491" t="n"/>
      <c r="AF463" s="1491" t="n"/>
      <c r="AG463" s="1491" t="n"/>
      <c r="AH463" s="1491" t="n"/>
      <c r="AI463" s="1491" t="n"/>
      <c r="AJ463" s="1491" t="n"/>
      <c r="AK463" s="1491" t="n"/>
      <c r="AL463" s="1491" t="n"/>
      <c r="AM463" s="1491" t="n"/>
      <c r="AN463" s="1491" t="n"/>
      <c r="AO463" s="1491" t="n"/>
      <c r="AP463" s="1491" t="n"/>
      <c r="AQ463" s="1491" t="n"/>
      <c r="AR463" s="1491" t="n"/>
      <c r="AS463" s="1491" t="n"/>
      <c r="AT463" s="1491" t="n"/>
      <c r="AU463" s="1491" t="n"/>
      <c r="AV463" s="1491" t="n"/>
      <c r="AW463" s="1491" t="n"/>
      <c r="AX463" s="1491" t="n"/>
      <c r="AY463" s="1491" t="n"/>
      <c r="AZ463" s="1491" t="n"/>
      <c r="BA463" s="1491" t="n"/>
      <c r="BB463" s="1491" t="n"/>
      <c r="BC463" s="1491" t="n"/>
      <c r="BD463" s="1491" t="n"/>
      <c r="BE463" s="1491" t="n"/>
      <c r="BF463" s="1491" t="n"/>
      <c r="BG463" s="1491" t="n"/>
      <c r="BH463" s="1491" t="n"/>
      <c r="BI463" s="1491" t="n"/>
      <c r="BJ463" s="1491" t="n"/>
      <c r="BK463" s="1491" t="n"/>
      <c r="BL463" s="1491" t="n"/>
      <c r="BM463" s="1491" t="n"/>
      <c r="BN463" s="1491" t="n"/>
      <c r="BO463" s="1467" t="n"/>
      <c r="BP463" s="1514" t="n">
        <v>459</v>
      </c>
      <c r="BQ463" s="1513">
        <f>[1]Sheet1!C464</f>
        <v/>
      </c>
      <c r="BR463" s="1515">
        <f>[1]Sheet1!D464</f>
        <v/>
      </c>
      <c r="BS463" s="1513">
        <f>[1]Sheet1!E464</f>
        <v/>
      </c>
      <c r="BT463" s="1515">
        <f>[1]Sheet1!F464</f>
        <v/>
      </c>
      <c r="BU463" s="1516">
        <f>[1]Sheet1!G464</f>
        <v/>
      </c>
      <c r="BV463" s="1513">
        <f>[1]Sheet1!H464</f>
        <v/>
      </c>
      <c r="BW463" s="1467" t="n"/>
      <c r="BX463" s="1491" t="n"/>
      <c r="BY463" s="1491" t="n"/>
      <c r="BZ463" s="1491" t="n"/>
      <c r="CA463" s="1491" t="n"/>
      <c r="CB463" s="1467" t="n"/>
      <c r="CC463" s="1467" t="n"/>
      <c r="CD463" s="1491" t="n"/>
      <c r="CE463" s="1491" t="n"/>
      <c r="CF463" s="1491" t="n"/>
      <c r="CG463" s="1491" t="n"/>
      <c r="CH463" s="1491" t="n"/>
      <c r="CI463" s="1491" t="n"/>
      <c r="CJ463" s="1491" t="n"/>
      <c r="CK463" s="1491" t="n"/>
      <c r="CL463" s="1491" t="n"/>
      <c r="CM463" s="1491" t="n"/>
      <c r="CN463" s="1491" t="n"/>
      <c r="CO463" s="1491" t="n"/>
      <c r="CP463" s="1491" t="n"/>
      <c r="CQ463" s="1491" t="n"/>
      <c r="CR463" s="1491" t="n"/>
      <c r="CS463" s="1491" t="n"/>
      <c r="CT463" s="1491" t="n"/>
      <c r="CU463" s="1491" t="n"/>
      <c r="CV463" s="1491" t="n"/>
      <c r="CW463" s="1491" t="n"/>
      <c r="CX463" s="1491" t="n"/>
    </row>
    <row r="464">
      <c r="A464" s="1491" t="n"/>
      <c r="B464" s="1491" t="n"/>
      <c r="C464" s="1491" t="n"/>
      <c r="D464" s="1497">
        <f>IF(E464&lt;&gt;"",D463+1,D463)</f>
        <v/>
      </c>
      <c r="E464" s="1497" t="inlineStr">
        <is>
          <t>Dubrovnik</t>
        </is>
      </c>
      <c r="F464" s="1535" t="inlineStr">
        <is>
          <t>.</t>
        </is>
      </c>
      <c r="G464" s="1498">
        <f>IF(H464="AIR",0,IF(H463="AIR",G462+1,IF(H464&lt;&gt;"",G463+1,G463)))</f>
        <v/>
      </c>
      <c r="H464" s="1498" t="inlineStr">
        <is>
          <t>Cromer</t>
        </is>
      </c>
      <c r="I464" s="1427" t="inlineStr">
        <is>
          <t>.</t>
        </is>
      </c>
      <c r="J464" s="1499" t="n">
        <v>459</v>
      </c>
      <c r="K464" s="1500">
        <f>_xlfn.XLOOKUP(cities[[#This Row],[id]],$D$5:$D$1500,E$5:E$1500,"-")</f>
        <v/>
      </c>
      <c r="L464" s="1500">
        <f>_xlfn.XLOOKUP(cities[[#This Row],[city]],ccc[city],ccc[ctry],"-")</f>
        <v/>
      </c>
      <c r="M464" s="1500">
        <f>SUMIFS(stayCity[stay],stayCity[city],cities[[#This Row],[city]])</f>
        <v/>
      </c>
      <c r="N464" s="1427">
        <f>N463+1</f>
        <v/>
      </c>
      <c r="O464" s="1500" t="n"/>
      <c r="P464" s="1500" t="n"/>
      <c r="Q464" s="1427" t="inlineStr">
        <is>
          <t>.</t>
        </is>
      </c>
      <c r="R464" s="1491" t="n"/>
      <c r="S464" s="1491" t="n"/>
      <c r="T464" s="1491" t="n"/>
      <c r="U464" s="1491" t="n"/>
      <c r="V464" s="1491" t="n"/>
      <c r="W464" s="1491" t="n"/>
      <c r="X464" s="1491" t="n"/>
      <c r="Y464" s="1491" t="n"/>
      <c r="Z464" s="1491" t="n"/>
      <c r="AA464" s="1491" t="n"/>
      <c r="AB464" s="1491" t="n"/>
      <c r="AC464" s="1491" t="n"/>
      <c r="AD464" s="1491" t="n"/>
      <c r="AE464" s="1491" t="n"/>
      <c r="AF464" s="1491" t="n"/>
      <c r="AG464" s="1491" t="n"/>
      <c r="AH464" s="1491" t="n"/>
      <c r="AI464" s="1491" t="n"/>
      <c r="AJ464" s="1491" t="n"/>
      <c r="AK464" s="1491" t="n"/>
      <c r="AL464" s="1491" t="n"/>
      <c r="AM464" s="1491" t="n"/>
      <c r="AN464" s="1491" t="n"/>
      <c r="AO464" s="1491" t="n"/>
      <c r="AP464" s="1491" t="n"/>
      <c r="AQ464" s="1491" t="n"/>
      <c r="AR464" s="1491" t="n"/>
      <c r="AS464" s="1491" t="n"/>
      <c r="AT464" s="1491" t="n"/>
      <c r="AU464" s="1491" t="n"/>
      <c r="AV464" s="1491" t="n"/>
      <c r="AW464" s="1491" t="n"/>
      <c r="AX464" s="1491" t="n"/>
      <c r="AY464" s="1491" t="n"/>
      <c r="AZ464" s="1491" t="n"/>
      <c r="BA464" s="1491" t="n"/>
      <c r="BB464" s="1491" t="n"/>
      <c r="BC464" s="1491" t="n"/>
      <c r="BD464" s="1491" t="n"/>
      <c r="BE464" s="1491" t="n"/>
      <c r="BF464" s="1491" t="n"/>
      <c r="BG464" s="1491" t="n"/>
      <c r="BH464" s="1491" t="n"/>
      <c r="BI464" s="1491" t="n"/>
      <c r="BJ464" s="1491" t="n"/>
      <c r="BK464" s="1491" t="n"/>
      <c r="BL464" s="1491" t="n"/>
      <c r="BM464" s="1491" t="n"/>
      <c r="BN464" s="1491" t="n"/>
      <c r="BO464" s="1467" t="n"/>
      <c r="BP464" s="1514" t="n">
        <v>460</v>
      </c>
      <c r="BQ464" s="1513">
        <f>[1]Sheet1!C465</f>
        <v/>
      </c>
      <c r="BR464" s="1515">
        <f>[1]Sheet1!D465</f>
        <v/>
      </c>
      <c r="BS464" s="1513">
        <f>[1]Sheet1!E465</f>
        <v/>
      </c>
      <c r="BT464" s="1515">
        <f>[1]Sheet1!F465</f>
        <v/>
      </c>
      <c r="BU464" s="1516">
        <f>[1]Sheet1!G465</f>
        <v/>
      </c>
      <c r="BV464" s="1513">
        <f>[1]Sheet1!H465</f>
        <v/>
      </c>
      <c r="BW464" s="1467" t="n"/>
      <c r="BX464" s="1491" t="n"/>
      <c r="BY464" s="1491" t="n"/>
      <c r="BZ464" s="1491" t="n"/>
      <c r="CA464" s="1491" t="n"/>
      <c r="CB464" s="1467" t="n"/>
      <c r="CC464" s="1467" t="n"/>
      <c r="CD464" s="1491" t="n"/>
      <c r="CE464" s="1491" t="n"/>
      <c r="CF464" s="1491" t="n"/>
      <c r="CG464" s="1491" t="n"/>
      <c r="CH464" s="1491" t="n"/>
      <c r="CI464" s="1491" t="n"/>
      <c r="CJ464" s="1491" t="n"/>
      <c r="CK464" s="1491" t="n"/>
      <c r="CL464" s="1491" t="n"/>
      <c r="CM464" s="1491" t="n"/>
      <c r="CN464" s="1491" t="n"/>
      <c r="CO464" s="1491" t="n"/>
      <c r="CP464" s="1491" t="n"/>
      <c r="CQ464" s="1491" t="n"/>
      <c r="CR464" s="1491" t="n"/>
      <c r="CS464" s="1491" t="n"/>
      <c r="CT464" s="1491" t="n"/>
      <c r="CU464" s="1491" t="n"/>
      <c r="CV464" s="1491" t="n"/>
      <c r="CW464" s="1491" t="n"/>
      <c r="CX464" s="1491" t="n"/>
    </row>
    <row r="465">
      <c r="A465" s="1491" t="n"/>
      <c r="B465" s="1491" t="n"/>
      <c r="C465" s="1491" t="n"/>
      <c r="D465" s="1497">
        <f>IF(E465&lt;&gt;"",D464+1,D464)</f>
        <v/>
      </c>
      <c r="E465" s="1497" t="inlineStr">
        <is>
          <t>Praga</t>
        </is>
      </c>
      <c r="F465" s="1535" t="inlineStr">
        <is>
          <t>.</t>
        </is>
      </c>
      <c r="G465" s="1498">
        <f>IF(H465="AIR",0,IF(H464="AIR",G463+1,IF(H465&lt;&gt;"",G464+1,G464)))</f>
        <v/>
      </c>
      <c r="H465" s="1498" t="inlineStr">
        <is>
          <t>Sheringham</t>
        </is>
      </c>
      <c r="I465" s="1427" t="inlineStr">
        <is>
          <t>.</t>
        </is>
      </c>
      <c r="J465" s="1499" t="n">
        <v>460</v>
      </c>
      <c r="K465" s="1500">
        <f>_xlfn.XLOOKUP(cities[[#This Row],[id]],$D$5:$D$1500,E$5:E$1500,"-")</f>
        <v/>
      </c>
      <c r="L465" s="1500">
        <f>_xlfn.XLOOKUP(cities[[#This Row],[city]],ccc[city],ccc[ctry],"-")</f>
        <v/>
      </c>
      <c r="M465" s="1500">
        <f>SUMIFS(stayCity[stay],stayCity[city],cities[[#This Row],[city]])</f>
        <v/>
      </c>
      <c r="N465" s="1427">
        <f>N464+1</f>
        <v/>
      </c>
      <c r="O465" s="1500" t="n"/>
      <c r="P465" s="1500" t="n"/>
      <c r="Q465" s="1427" t="inlineStr">
        <is>
          <t>.</t>
        </is>
      </c>
      <c r="R465" s="1491" t="n"/>
      <c r="S465" s="1491" t="n"/>
      <c r="T465" s="1491" t="n"/>
      <c r="U465" s="1491" t="n"/>
      <c r="V465" s="1491" t="n"/>
      <c r="W465" s="1491" t="n"/>
      <c r="X465" s="1491" t="n"/>
      <c r="Y465" s="1491" t="n"/>
      <c r="Z465" s="1491" t="n"/>
      <c r="AA465" s="1491" t="n"/>
      <c r="AB465" s="1491" t="n"/>
      <c r="AC465" s="1491" t="n"/>
      <c r="AD465" s="1491" t="n"/>
      <c r="AE465" s="1491" t="n"/>
      <c r="AF465" s="1491" t="n"/>
      <c r="AG465" s="1491" t="n"/>
      <c r="AH465" s="1491" t="n"/>
      <c r="AI465" s="1491" t="n"/>
      <c r="AJ465" s="1491" t="n"/>
      <c r="AK465" s="1491" t="n"/>
      <c r="AL465" s="1491" t="n"/>
      <c r="AM465" s="1491" t="n"/>
      <c r="AN465" s="1491" t="n"/>
      <c r="AO465" s="1491" t="n"/>
      <c r="AP465" s="1491" t="n"/>
      <c r="AQ465" s="1491" t="n"/>
      <c r="AR465" s="1491" t="n"/>
      <c r="AS465" s="1491" t="n"/>
      <c r="AT465" s="1491" t="n"/>
      <c r="AU465" s="1491" t="n"/>
      <c r="AV465" s="1491" t="n"/>
      <c r="AW465" s="1491" t="n"/>
      <c r="AX465" s="1491" t="n"/>
      <c r="AY465" s="1491" t="n"/>
      <c r="AZ465" s="1491" t="n"/>
      <c r="BA465" s="1491" t="n"/>
      <c r="BB465" s="1491" t="n"/>
      <c r="BC465" s="1491" t="n"/>
      <c r="BD465" s="1491" t="n"/>
      <c r="BE465" s="1491" t="n"/>
      <c r="BF465" s="1491" t="n"/>
      <c r="BG465" s="1491" t="n"/>
      <c r="BH465" s="1491" t="n"/>
      <c r="BI465" s="1491" t="n"/>
      <c r="BJ465" s="1491" t="n"/>
      <c r="BK465" s="1491" t="n"/>
      <c r="BL465" s="1491" t="n"/>
      <c r="BM465" s="1491" t="n"/>
      <c r="BN465" s="1491" t="n"/>
      <c r="BO465" s="1467" t="n"/>
      <c r="BP465" s="1514" t="n">
        <v>461</v>
      </c>
      <c r="BQ465" s="1513">
        <f>[1]Sheet1!C466</f>
        <v/>
      </c>
      <c r="BR465" s="1515">
        <f>[1]Sheet1!D466</f>
        <v/>
      </c>
      <c r="BS465" s="1513">
        <f>[1]Sheet1!E466</f>
        <v/>
      </c>
      <c r="BT465" s="1515">
        <f>[1]Sheet1!F466</f>
        <v/>
      </c>
      <c r="BU465" s="1516">
        <f>[1]Sheet1!G466</f>
        <v/>
      </c>
      <c r="BV465" s="1513">
        <f>[1]Sheet1!H466</f>
        <v/>
      </c>
      <c r="BW465" s="1467" t="n"/>
      <c r="BX465" s="1491" t="n"/>
      <c r="BY465" s="1491" t="n"/>
      <c r="BZ465" s="1491" t="n"/>
      <c r="CA465" s="1491" t="n"/>
      <c r="CB465" s="1467" t="n"/>
      <c r="CC465" s="1467" t="n"/>
      <c r="CD465" s="1491" t="n"/>
      <c r="CE465" s="1491" t="n"/>
      <c r="CF465" s="1491" t="n"/>
      <c r="CG465" s="1491" t="n"/>
      <c r="CH465" s="1491" t="n"/>
      <c r="CI465" s="1491" t="n"/>
      <c r="CJ465" s="1491" t="n"/>
      <c r="CK465" s="1491" t="n"/>
      <c r="CL465" s="1491" t="n"/>
      <c r="CM465" s="1491" t="n"/>
      <c r="CN465" s="1491" t="n"/>
      <c r="CO465" s="1491" t="n"/>
      <c r="CP465" s="1491" t="n"/>
      <c r="CQ465" s="1491" t="n"/>
      <c r="CR465" s="1491" t="n"/>
      <c r="CS465" s="1491" t="n"/>
      <c r="CT465" s="1491" t="n"/>
      <c r="CU465" s="1491" t="n"/>
      <c r="CV465" s="1491" t="n"/>
      <c r="CW465" s="1491" t="n"/>
      <c r="CX465" s="1491" t="n"/>
    </row>
    <row r="466">
      <c r="A466" s="1491" t="n"/>
      <c r="B466" s="1491" t="n"/>
      <c r="C466" s="1491" t="n"/>
      <c r="D466" s="1497">
        <f>IF(E466&lt;&gt;"",D465+1,D465)</f>
        <v/>
      </c>
      <c r="E466" s="1497" t="inlineStr">
        <is>
          <t>Beauvais</t>
        </is>
      </c>
      <c r="F466" s="1535" t="inlineStr">
        <is>
          <t>.</t>
        </is>
      </c>
      <c r="G466" s="1498">
        <f>IF(H466="AIR",0,IF(H465="AIR",G464+1,IF(H466&lt;&gt;"",G465+1,G465)))</f>
        <v/>
      </c>
      <c r="H466" s="1498" t="inlineStr">
        <is>
          <t>Blickling</t>
        </is>
      </c>
      <c r="I466" s="1427" t="inlineStr">
        <is>
          <t>.</t>
        </is>
      </c>
      <c r="J466" s="1499" t="n">
        <v>461</v>
      </c>
      <c r="K466" s="1500">
        <f>_xlfn.XLOOKUP(cities[[#This Row],[id]],$D$5:$D$1500,E$5:E$1500,"-")</f>
        <v/>
      </c>
      <c r="L466" s="1500">
        <f>_xlfn.XLOOKUP(cities[[#This Row],[city]],ccc[city],ccc[ctry],"-")</f>
        <v/>
      </c>
      <c r="M466" s="1500">
        <f>SUMIFS(stayCity[stay],stayCity[city],cities[[#This Row],[city]])</f>
        <v/>
      </c>
      <c r="N466" s="1427">
        <f>N465+1</f>
        <v/>
      </c>
      <c r="O466" s="1500" t="n"/>
      <c r="P466" s="1500" t="n"/>
      <c r="Q466" s="1427" t="inlineStr">
        <is>
          <t>.</t>
        </is>
      </c>
      <c r="R466" s="1491" t="n"/>
      <c r="S466" s="1491" t="n"/>
      <c r="T466" s="1491" t="n"/>
      <c r="U466" s="1491" t="n"/>
      <c r="V466" s="1491" t="n"/>
      <c r="W466" s="1491" t="n"/>
      <c r="X466" s="1491" t="n"/>
      <c r="Y466" s="1491" t="n"/>
      <c r="Z466" s="1491" t="n"/>
      <c r="AA466" s="1491" t="n"/>
      <c r="AB466" s="1491" t="n"/>
      <c r="AC466" s="1491" t="n"/>
      <c r="AD466" s="1491" t="n"/>
      <c r="AE466" s="1491" t="n"/>
      <c r="AF466" s="1491" t="n"/>
      <c r="AG466" s="1491" t="n"/>
      <c r="AH466" s="1491" t="n"/>
      <c r="AI466" s="1491" t="n"/>
      <c r="AJ466" s="1491" t="n"/>
      <c r="AK466" s="1491" t="n"/>
      <c r="AL466" s="1491" t="n"/>
      <c r="AM466" s="1491" t="n"/>
      <c r="AN466" s="1491" t="n"/>
      <c r="AO466" s="1491" t="n"/>
      <c r="AP466" s="1491" t="n"/>
      <c r="AQ466" s="1491" t="n"/>
      <c r="AR466" s="1491" t="n"/>
      <c r="AS466" s="1491" t="n"/>
      <c r="AT466" s="1491" t="n"/>
      <c r="AU466" s="1491" t="n"/>
      <c r="AV466" s="1491" t="n"/>
      <c r="AW466" s="1491" t="n"/>
      <c r="AX466" s="1491" t="n"/>
      <c r="AY466" s="1491" t="n"/>
      <c r="AZ466" s="1491" t="n"/>
      <c r="BA466" s="1491" t="n"/>
      <c r="BB466" s="1491" t="n"/>
      <c r="BC466" s="1491" t="n"/>
      <c r="BD466" s="1491" t="n"/>
      <c r="BE466" s="1491" t="n"/>
      <c r="BF466" s="1491" t="n"/>
      <c r="BG466" s="1491" t="n"/>
      <c r="BH466" s="1491" t="n"/>
      <c r="BI466" s="1491" t="n"/>
      <c r="BJ466" s="1491" t="n"/>
      <c r="BK466" s="1491" t="n"/>
      <c r="BL466" s="1491" t="n"/>
      <c r="BM466" s="1491" t="n"/>
      <c r="BN466" s="1491" t="n"/>
      <c r="BO466" s="1467" t="n"/>
      <c r="BP466" s="1514" t="n">
        <v>462</v>
      </c>
      <c r="BQ466" s="1513">
        <f>[1]Sheet1!C467</f>
        <v/>
      </c>
      <c r="BR466" s="1515">
        <f>[1]Sheet1!D467</f>
        <v/>
      </c>
      <c r="BS466" s="1513">
        <f>[1]Sheet1!E467</f>
        <v/>
      </c>
      <c r="BT466" s="1515">
        <f>[1]Sheet1!F467</f>
        <v/>
      </c>
      <c r="BU466" s="1516">
        <f>[1]Sheet1!G467</f>
        <v/>
      </c>
      <c r="BV466" s="1513">
        <f>[1]Sheet1!H467</f>
        <v/>
      </c>
      <c r="BW466" s="1467" t="n"/>
      <c r="BX466" s="1491" t="n"/>
      <c r="BY466" s="1491" t="n"/>
      <c r="BZ466" s="1491" t="n"/>
      <c r="CA466" s="1491" t="n"/>
      <c r="CB466" s="1467" t="n"/>
      <c r="CC466" s="1467" t="n"/>
      <c r="CD466" s="1491" t="n"/>
      <c r="CE466" s="1491" t="n"/>
      <c r="CF466" s="1491" t="n"/>
      <c r="CG466" s="1491" t="n"/>
      <c r="CH466" s="1491" t="n"/>
      <c r="CI466" s="1491" t="n"/>
      <c r="CJ466" s="1491" t="n"/>
      <c r="CK466" s="1491" t="n"/>
      <c r="CL466" s="1491" t="n"/>
      <c r="CM466" s="1491" t="n"/>
      <c r="CN466" s="1491" t="n"/>
      <c r="CO466" s="1491" t="n"/>
      <c r="CP466" s="1491" t="n"/>
      <c r="CQ466" s="1491" t="n"/>
      <c r="CR466" s="1491" t="n"/>
      <c r="CS466" s="1491" t="n"/>
      <c r="CT466" s="1491" t="n"/>
      <c r="CU466" s="1491" t="n"/>
      <c r="CV466" s="1491" t="n"/>
      <c r="CW466" s="1491" t="n"/>
      <c r="CX466" s="1491" t="n"/>
    </row>
    <row r="467">
      <c r="A467" s="1491" t="n"/>
      <c r="B467" s="1491" t="n"/>
      <c r="C467" s="1491" t="n"/>
      <c r="D467" s="1497">
        <f>IF(E467&lt;&gt;"",D466+1,D466)</f>
        <v/>
      </c>
      <c r="E467" s="1497" t="inlineStr">
        <is>
          <t>Marrakech</t>
        </is>
      </c>
      <c r="F467" s="1535" t="inlineStr">
        <is>
          <t>.</t>
        </is>
      </c>
      <c r="G467" s="1498">
        <f>IF(H467="AIR",0,IF(H466="AIR",G465+1,IF(H467&lt;&gt;"",G466+1,G466)))</f>
        <v/>
      </c>
      <c r="H467" s="1498" t="inlineStr">
        <is>
          <t>Dublin</t>
        </is>
      </c>
      <c r="I467" s="1427" t="inlineStr">
        <is>
          <t>.</t>
        </is>
      </c>
      <c r="J467" s="1499" t="n">
        <v>462</v>
      </c>
      <c r="K467" s="1500">
        <f>_xlfn.XLOOKUP(cities[[#This Row],[id]],$D$5:$D$1500,E$5:E$1500,"-")</f>
        <v/>
      </c>
      <c r="L467" s="1500">
        <f>_xlfn.XLOOKUP(cities[[#This Row],[city]],ccc[city],ccc[ctry],"-")</f>
        <v/>
      </c>
      <c r="M467" s="1500">
        <f>SUMIFS(stayCity[stay],stayCity[city],cities[[#This Row],[city]])</f>
        <v/>
      </c>
      <c r="N467" s="1427">
        <f>N466+1</f>
        <v/>
      </c>
      <c r="O467" s="1500" t="n"/>
      <c r="P467" s="1500" t="n"/>
      <c r="Q467" s="1427" t="inlineStr">
        <is>
          <t>.</t>
        </is>
      </c>
      <c r="R467" s="1491" t="n"/>
      <c r="S467" s="1491" t="n"/>
      <c r="T467" s="1491" t="n"/>
      <c r="U467" s="1491" t="n"/>
      <c r="V467" s="1491" t="n"/>
      <c r="W467" s="1491" t="n"/>
      <c r="X467" s="1491" t="n"/>
      <c r="Y467" s="1491" t="n"/>
      <c r="Z467" s="1491" t="n"/>
      <c r="AA467" s="1491" t="n"/>
      <c r="AB467" s="1491" t="n"/>
      <c r="AC467" s="1491" t="n"/>
      <c r="AD467" s="1491" t="n"/>
      <c r="AE467" s="1491" t="n"/>
      <c r="AF467" s="1491" t="n"/>
      <c r="AG467" s="1491" t="n"/>
      <c r="AH467" s="1491" t="n"/>
      <c r="AI467" s="1491" t="n"/>
      <c r="AJ467" s="1491" t="n"/>
      <c r="AK467" s="1491" t="n"/>
      <c r="AL467" s="1491" t="n"/>
      <c r="AM467" s="1491" t="n"/>
      <c r="AN467" s="1491" t="n"/>
      <c r="AO467" s="1491" t="n"/>
      <c r="AP467" s="1491" t="n"/>
      <c r="AQ467" s="1491" t="n"/>
      <c r="AR467" s="1491" t="n"/>
      <c r="AS467" s="1491" t="n"/>
      <c r="AT467" s="1491" t="n"/>
      <c r="AU467" s="1491" t="n"/>
      <c r="AV467" s="1491" t="n"/>
      <c r="AW467" s="1491" t="n"/>
      <c r="AX467" s="1491" t="n"/>
      <c r="AY467" s="1491" t="n"/>
      <c r="AZ467" s="1491" t="n"/>
      <c r="BA467" s="1491" t="n"/>
      <c r="BB467" s="1491" t="n"/>
      <c r="BC467" s="1491" t="n"/>
      <c r="BD467" s="1491" t="n"/>
      <c r="BE467" s="1491" t="n"/>
      <c r="BF467" s="1491" t="n"/>
      <c r="BG467" s="1491" t="n"/>
      <c r="BH467" s="1491" t="n"/>
      <c r="BI467" s="1491" t="n"/>
      <c r="BJ467" s="1491" t="n"/>
      <c r="BK467" s="1491" t="n"/>
      <c r="BL467" s="1491" t="n"/>
      <c r="BM467" s="1491" t="n"/>
      <c r="BN467" s="1491" t="n"/>
      <c r="BO467" s="1467" t="n"/>
      <c r="BP467" s="1514" t="n">
        <v>463</v>
      </c>
      <c r="BQ467" s="1513">
        <f>[1]Sheet1!C468</f>
        <v/>
      </c>
      <c r="BR467" s="1515">
        <f>[1]Sheet1!D468</f>
        <v/>
      </c>
      <c r="BS467" s="1513">
        <f>[1]Sheet1!E468</f>
        <v/>
      </c>
      <c r="BT467" s="1515">
        <f>[1]Sheet1!F468</f>
        <v/>
      </c>
      <c r="BU467" s="1516">
        <f>[1]Sheet1!G468</f>
        <v/>
      </c>
      <c r="BV467" s="1513">
        <f>[1]Sheet1!H468</f>
        <v/>
      </c>
      <c r="BW467" s="1467" t="n"/>
      <c r="BX467" s="1491" t="n"/>
      <c r="BY467" s="1491" t="n"/>
      <c r="BZ467" s="1491" t="n"/>
      <c r="CA467" s="1491" t="n"/>
      <c r="CB467" s="1467" t="n"/>
      <c r="CC467" s="1467" t="n"/>
      <c r="CD467" s="1491" t="n"/>
      <c r="CE467" s="1491" t="n"/>
      <c r="CF467" s="1491" t="n"/>
      <c r="CG467" s="1491" t="n"/>
      <c r="CH467" s="1491" t="n"/>
      <c r="CI467" s="1491" t="n"/>
      <c r="CJ467" s="1491" t="n"/>
      <c r="CK467" s="1491" t="n"/>
      <c r="CL467" s="1491" t="n"/>
      <c r="CM467" s="1491" t="n"/>
      <c r="CN467" s="1491" t="n"/>
      <c r="CO467" s="1491" t="n"/>
      <c r="CP467" s="1491" t="n"/>
      <c r="CQ467" s="1491" t="n"/>
      <c r="CR467" s="1491" t="n"/>
      <c r="CS467" s="1491" t="n"/>
      <c r="CT467" s="1491" t="n"/>
      <c r="CU467" s="1491" t="n"/>
      <c r="CV467" s="1491" t="n"/>
      <c r="CW467" s="1491" t="n"/>
      <c r="CX467" s="1491" t="n"/>
    </row>
    <row r="468">
      <c r="A468" s="1491" t="n"/>
      <c r="B468" s="1491" t="n"/>
      <c r="C468" s="1491" t="n"/>
      <c r="D468" s="1497">
        <f>IF(E468&lt;&gt;"",D467+1,D467)</f>
        <v/>
      </c>
      <c r="E468" s="1497" t="inlineStr">
        <is>
          <t>Montreal</t>
        </is>
      </c>
      <c r="F468" s="1535" t="inlineStr">
        <is>
          <t>.</t>
        </is>
      </c>
      <c r="G468" s="1498">
        <f>IF(H468="AIR",0,IF(H467="AIR",G466+1,IF(H468&lt;&gt;"",G467+1,G467)))</f>
        <v/>
      </c>
      <c r="H468" s="1498" t="inlineStr">
        <is>
          <t>SEA ITA</t>
        </is>
      </c>
      <c r="I468" s="1427" t="inlineStr">
        <is>
          <t>.</t>
        </is>
      </c>
      <c r="J468" s="1499" t="n">
        <v>463</v>
      </c>
      <c r="K468" s="1500">
        <f>_xlfn.XLOOKUP(cities[[#This Row],[id]],$D$5:$D$1500,E$5:E$1500,"-")</f>
        <v/>
      </c>
      <c r="L468" s="1500">
        <f>_xlfn.XLOOKUP(cities[[#This Row],[city]],ccc[city],ccc[ctry],"-")</f>
        <v/>
      </c>
      <c r="M468" s="1500">
        <f>SUMIFS(stayCity[stay],stayCity[city],cities[[#This Row],[city]])</f>
        <v/>
      </c>
      <c r="N468" s="1427">
        <f>N467+1</f>
        <v/>
      </c>
      <c r="O468" s="1500" t="n"/>
      <c r="P468" s="1500" t="n"/>
      <c r="Q468" s="1427" t="inlineStr">
        <is>
          <t>.</t>
        </is>
      </c>
      <c r="R468" s="1491" t="n"/>
      <c r="S468" s="1491" t="n"/>
      <c r="T468" s="1491" t="n"/>
      <c r="U468" s="1491" t="n"/>
      <c r="V468" s="1491" t="n"/>
      <c r="W468" s="1491" t="n"/>
      <c r="X468" s="1491" t="n"/>
      <c r="Y468" s="1491" t="n"/>
      <c r="Z468" s="1491" t="n"/>
      <c r="AA468" s="1491" t="n"/>
      <c r="AB468" s="1491" t="n"/>
      <c r="AC468" s="1491" t="n"/>
      <c r="AD468" s="1491" t="n"/>
      <c r="AE468" s="1491" t="n"/>
      <c r="AF468" s="1491" t="n"/>
      <c r="AG468" s="1491" t="n"/>
      <c r="AH468" s="1491" t="n"/>
      <c r="AI468" s="1491" t="n"/>
      <c r="AJ468" s="1491" t="n"/>
      <c r="AK468" s="1491" t="n"/>
      <c r="AL468" s="1491" t="n"/>
      <c r="AM468" s="1491" t="n"/>
      <c r="AN468" s="1491" t="n"/>
      <c r="AO468" s="1491" t="n"/>
      <c r="AP468" s="1491" t="n"/>
      <c r="AQ468" s="1491" t="n"/>
      <c r="AR468" s="1491" t="n"/>
      <c r="AS468" s="1491" t="n"/>
      <c r="AT468" s="1491" t="n"/>
      <c r="AU468" s="1491" t="n"/>
      <c r="AV468" s="1491" t="n"/>
      <c r="AW468" s="1491" t="n"/>
      <c r="AX468" s="1491" t="n"/>
      <c r="AY468" s="1491" t="n"/>
      <c r="AZ468" s="1491" t="n"/>
      <c r="BA468" s="1491" t="n"/>
      <c r="BB468" s="1491" t="n"/>
      <c r="BC468" s="1491" t="n"/>
      <c r="BD468" s="1491" t="n"/>
      <c r="BE468" s="1491" t="n"/>
      <c r="BF468" s="1491" t="n"/>
      <c r="BG468" s="1491" t="n"/>
      <c r="BH468" s="1491" t="n"/>
      <c r="BI468" s="1491" t="n"/>
      <c r="BJ468" s="1491" t="n"/>
      <c r="BK468" s="1491" t="n"/>
      <c r="BL468" s="1491" t="n"/>
      <c r="BM468" s="1491" t="n"/>
      <c r="BN468" s="1491" t="n"/>
      <c r="BO468" s="1467" t="n"/>
      <c r="BP468" s="1514" t="n">
        <v>464</v>
      </c>
      <c r="BQ468" s="1513">
        <f>[1]Sheet1!C469</f>
        <v/>
      </c>
      <c r="BR468" s="1515">
        <f>[1]Sheet1!D469</f>
        <v/>
      </c>
      <c r="BS468" s="1513">
        <f>[1]Sheet1!E469</f>
        <v/>
      </c>
      <c r="BT468" s="1515">
        <f>[1]Sheet1!F469</f>
        <v/>
      </c>
      <c r="BU468" s="1516">
        <f>[1]Sheet1!G469</f>
        <v/>
      </c>
      <c r="BV468" s="1513">
        <f>[1]Sheet1!H469</f>
        <v/>
      </c>
      <c r="BW468" s="1467" t="n"/>
      <c r="BX468" s="1491" t="n"/>
      <c r="BY468" s="1491" t="n"/>
      <c r="BZ468" s="1491" t="n"/>
      <c r="CA468" s="1491" t="n"/>
      <c r="CB468" s="1467" t="n"/>
      <c r="CC468" s="1467" t="n"/>
      <c r="CD468" s="1491" t="n"/>
      <c r="CE468" s="1491" t="n"/>
      <c r="CF468" s="1491" t="n"/>
      <c r="CG468" s="1491" t="n"/>
      <c r="CH468" s="1491" t="n"/>
      <c r="CI468" s="1491" t="n"/>
      <c r="CJ468" s="1491" t="n"/>
      <c r="CK468" s="1491" t="n"/>
      <c r="CL468" s="1491" t="n"/>
      <c r="CM468" s="1491" t="n"/>
      <c r="CN468" s="1491" t="n"/>
      <c r="CO468" s="1491" t="n"/>
      <c r="CP468" s="1491" t="n"/>
      <c r="CQ468" s="1491" t="n"/>
      <c r="CR468" s="1491" t="n"/>
      <c r="CS468" s="1491" t="n"/>
      <c r="CT468" s="1491" t="n"/>
      <c r="CU468" s="1491" t="n"/>
      <c r="CV468" s="1491" t="n"/>
      <c r="CW468" s="1491" t="n"/>
      <c r="CX468" s="1491" t="n"/>
    </row>
    <row r="469">
      <c r="A469" s="1491" t="n"/>
      <c r="B469" s="1491" t="n"/>
      <c r="C469" s="1491" t="n"/>
      <c r="D469" s="1497">
        <f>IF(E469&lt;&gt;"",D468+1,D468)</f>
        <v/>
      </c>
      <c r="E469" s="1497" t="inlineStr">
        <is>
          <t>Ottawa</t>
        </is>
      </c>
      <c r="F469" s="1535" t="inlineStr">
        <is>
          <t>.</t>
        </is>
      </c>
      <c r="G469" s="1498">
        <f>IF(H469="AIR",0,IF(H468="AIR",G467+1,IF(H469&lt;&gt;"",G468+1,G468)))</f>
        <v/>
      </c>
      <c r="H469" s="1498" t="inlineStr">
        <is>
          <t>Bari</t>
        </is>
      </c>
      <c r="I469" s="1427" t="inlineStr">
        <is>
          <t>.</t>
        </is>
      </c>
      <c r="J469" s="1499" t="n">
        <v>464</v>
      </c>
      <c r="K469" s="1500">
        <f>_xlfn.XLOOKUP(cities[[#This Row],[id]],$D$5:$D$1500,E$5:E$1500,"-")</f>
        <v/>
      </c>
      <c r="L469" s="1500">
        <f>_xlfn.XLOOKUP(cities[[#This Row],[city]],ccc[city],ccc[ctry],"-")</f>
        <v/>
      </c>
      <c r="M469" s="1500">
        <f>SUMIFS(stayCity[stay],stayCity[city],cities[[#This Row],[city]])</f>
        <v/>
      </c>
      <c r="N469" s="1427">
        <f>N468+1</f>
        <v/>
      </c>
      <c r="O469" s="1500" t="n"/>
      <c r="P469" s="1500" t="n"/>
      <c r="Q469" s="1427" t="inlineStr">
        <is>
          <t>.</t>
        </is>
      </c>
      <c r="R469" s="1491" t="n"/>
      <c r="S469" s="1491" t="n"/>
      <c r="T469" s="1491" t="n"/>
      <c r="U469" s="1491" t="n"/>
      <c r="V469" s="1491" t="n"/>
      <c r="W469" s="1491" t="n"/>
      <c r="X469" s="1491" t="n"/>
      <c r="Y469" s="1491" t="n"/>
      <c r="Z469" s="1491" t="n"/>
      <c r="AA469" s="1491" t="n"/>
      <c r="AB469" s="1491" t="n"/>
      <c r="AC469" s="1491" t="n"/>
      <c r="AD469" s="1491" t="n"/>
      <c r="AE469" s="1491" t="n"/>
      <c r="AF469" s="1491" t="n"/>
      <c r="AG469" s="1491" t="n"/>
      <c r="AH469" s="1491" t="n"/>
      <c r="AI469" s="1491" t="n"/>
      <c r="AJ469" s="1491" t="n"/>
      <c r="AK469" s="1491" t="n"/>
      <c r="AL469" s="1491" t="n"/>
      <c r="AM469" s="1491" t="n"/>
      <c r="AN469" s="1491" t="n"/>
      <c r="AO469" s="1491" t="n"/>
      <c r="AP469" s="1491" t="n"/>
      <c r="AQ469" s="1491" t="n"/>
      <c r="AR469" s="1491" t="n"/>
      <c r="AS469" s="1491" t="n"/>
      <c r="AT469" s="1491" t="n"/>
      <c r="AU469" s="1491" t="n"/>
      <c r="AV469" s="1491" t="n"/>
      <c r="AW469" s="1491" t="n"/>
      <c r="AX469" s="1491" t="n"/>
      <c r="AY469" s="1491" t="n"/>
      <c r="AZ469" s="1491" t="n"/>
      <c r="BA469" s="1491" t="n"/>
      <c r="BB469" s="1491" t="n"/>
      <c r="BC469" s="1491" t="n"/>
      <c r="BD469" s="1491" t="n"/>
      <c r="BE469" s="1491" t="n"/>
      <c r="BF469" s="1491" t="n"/>
      <c r="BG469" s="1491" t="n"/>
      <c r="BH469" s="1491" t="n"/>
      <c r="BI469" s="1491" t="n"/>
      <c r="BJ469" s="1491" t="n"/>
      <c r="BK469" s="1491" t="n"/>
      <c r="BL469" s="1491" t="n"/>
      <c r="BM469" s="1491" t="n"/>
      <c r="BN469" s="1491" t="n"/>
      <c r="BO469" s="1467" t="n"/>
      <c r="BP469" s="1514" t="n">
        <v>465</v>
      </c>
      <c r="BQ469" s="1513">
        <f>[1]Sheet1!C470</f>
        <v/>
      </c>
      <c r="BR469" s="1515">
        <f>[1]Sheet1!D470</f>
        <v/>
      </c>
      <c r="BS469" s="1513">
        <f>[1]Sheet1!E470</f>
        <v/>
      </c>
      <c r="BT469" s="1515">
        <f>[1]Sheet1!F470</f>
        <v/>
      </c>
      <c r="BU469" s="1516">
        <f>[1]Sheet1!G470</f>
        <v/>
      </c>
      <c r="BV469" s="1513">
        <f>[1]Sheet1!H470</f>
        <v/>
      </c>
      <c r="BW469" s="1467" t="n"/>
      <c r="BX469" s="1491" t="n"/>
      <c r="BY469" s="1491" t="n"/>
      <c r="BZ469" s="1491" t="n"/>
      <c r="CA469" s="1491" t="n"/>
      <c r="CB469" s="1467" t="n"/>
      <c r="CC469" s="1467" t="n"/>
      <c r="CD469" s="1491" t="n"/>
      <c r="CE469" s="1491" t="n"/>
      <c r="CF469" s="1491" t="n"/>
      <c r="CG469" s="1491" t="n"/>
      <c r="CH469" s="1491" t="n"/>
      <c r="CI469" s="1491" t="n"/>
      <c r="CJ469" s="1491" t="n"/>
      <c r="CK469" s="1491" t="n"/>
      <c r="CL469" s="1491" t="n"/>
      <c r="CM469" s="1491" t="n"/>
      <c r="CN469" s="1491" t="n"/>
      <c r="CO469" s="1491" t="n"/>
      <c r="CP469" s="1491" t="n"/>
      <c r="CQ469" s="1491" t="n"/>
      <c r="CR469" s="1491" t="n"/>
      <c r="CS469" s="1491" t="n"/>
      <c r="CT469" s="1491" t="n"/>
      <c r="CU469" s="1491" t="n"/>
      <c r="CV469" s="1491" t="n"/>
      <c r="CW469" s="1491" t="n"/>
      <c r="CX469" s="1491" t="n"/>
    </row>
    <row r="470">
      <c r="A470" s="1491" t="n"/>
      <c r="B470" s="1491" t="n"/>
      <c r="C470" s="1491" t="n"/>
      <c r="D470" s="1497">
        <f>IF(E470&lt;&gt;"",D469+1,D469)</f>
        <v/>
      </c>
      <c r="E470" s="1497" t="inlineStr">
        <is>
          <t>Gatineau</t>
        </is>
      </c>
      <c r="F470" s="1535" t="inlineStr">
        <is>
          <t>.</t>
        </is>
      </c>
      <c r="G470" s="1498">
        <f>IF(H470="AIR",0,IF(H469="AIR",G468+1,IF(H470&lt;&gt;"",G469+1,G469)))</f>
        <v/>
      </c>
      <c r="H470" s="1498" t="inlineStr">
        <is>
          <t>Corfu</t>
        </is>
      </c>
      <c r="I470" s="1427" t="inlineStr">
        <is>
          <t>.</t>
        </is>
      </c>
      <c r="J470" s="1499" t="n">
        <v>465</v>
      </c>
      <c r="K470" s="1500">
        <f>_xlfn.XLOOKUP(cities[[#This Row],[id]],$D$5:$D$1500,E$5:E$1500,"-")</f>
        <v/>
      </c>
      <c r="L470" s="1500">
        <f>_xlfn.XLOOKUP(cities[[#This Row],[city]],ccc[city],ccc[ctry],"-")</f>
        <v/>
      </c>
      <c r="M470" s="1500">
        <f>SUMIFS(stayCity[stay],stayCity[city],cities[[#This Row],[city]])</f>
        <v/>
      </c>
      <c r="N470" s="1427">
        <f>N469+1</f>
        <v/>
      </c>
      <c r="O470" s="1500" t="n"/>
      <c r="P470" s="1500" t="n"/>
      <c r="Q470" s="1427" t="inlineStr">
        <is>
          <t>.</t>
        </is>
      </c>
      <c r="R470" s="1491" t="n"/>
      <c r="S470" s="1491" t="n"/>
      <c r="T470" s="1491" t="n"/>
      <c r="U470" s="1491" t="n"/>
      <c r="V470" s="1491" t="n"/>
      <c r="W470" s="1491" t="n"/>
      <c r="X470" s="1491" t="n"/>
      <c r="Y470" s="1491" t="n"/>
      <c r="Z470" s="1491" t="n"/>
      <c r="AA470" s="1491" t="n"/>
      <c r="AB470" s="1491" t="n"/>
      <c r="AC470" s="1491" t="n"/>
      <c r="AD470" s="1491" t="n"/>
      <c r="AE470" s="1491" t="n"/>
      <c r="AF470" s="1491" t="n"/>
      <c r="AG470" s="1491" t="n"/>
      <c r="AH470" s="1491" t="n"/>
      <c r="AI470" s="1491" t="n"/>
      <c r="AJ470" s="1491" t="n"/>
      <c r="AK470" s="1491" t="n"/>
      <c r="AL470" s="1491" t="n"/>
      <c r="AM470" s="1491" t="n"/>
      <c r="AN470" s="1491" t="n"/>
      <c r="AO470" s="1491" t="n"/>
      <c r="AP470" s="1491" t="n"/>
      <c r="AQ470" s="1491" t="n"/>
      <c r="AR470" s="1491" t="n"/>
      <c r="AS470" s="1491" t="n"/>
      <c r="AT470" s="1491" t="n"/>
      <c r="AU470" s="1491" t="n"/>
      <c r="AV470" s="1491" t="n"/>
      <c r="AW470" s="1491" t="n"/>
      <c r="AX470" s="1491" t="n"/>
      <c r="AY470" s="1491" t="n"/>
      <c r="AZ470" s="1491" t="n"/>
      <c r="BA470" s="1491" t="n"/>
      <c r="BB470" s="1491" t="n"/>
      <c r="BC470" s="1491" t="n"/>
      <c r="BD470" s="1491" t="n"/>
      <c r="BE470" s="1491" t="n"/>
      <c r="BF470" s="1491" t="n"/>
      <c r="BG470" s="1491" t="n"/>
      <c r="BH470" s="1491" t="n"/>
      <c r="BI470" s="1491" t="n"/>
      <c r="BJ470" s="1491" t="n"/>
      <c r="BK470" s="1491" t="n"/>
      <c r="BL470" s="1491" t="n"/>
      <c r="BM470" s="1491" t="n"/>
      <c r="BN470" s="1491" t="n"/>
      <c r="BO470" s="1467" t="n"/>
      <c r="BP470" s="1514" t="n">
        <v>466</v>
      </c>
      <c r="BQ470" s="1513">
        <f>[1]Sheet1!C471</f>
        <v/>
      </c>
      <c r="BR470" s="1515">
        <f>[1]Sheet1!D471</f>
        <v/>
      </c>
      <c r="BS470" s="1513">
        <f>[1]Sheet1!E471</f>
        <v/>
      </c>
      <c r="BT470" s="1515">
        <f>[1]Sheet1!F471</f>
        <v/>
      </c>
      <c r="BU470" s="1516">
        <f>[1]Sheet1!G471</f>
        <v/>
      </c>
      <c r="BV470" s="1513">
        <f>[1]Sheet1!H471</f>
        <v/>
      </c>
      <c r="BW470" s="1467" t="n"/>
      <c r="BX470" s="1491" t="n"/>
      <c r="BY470" s="1491" t="n"/>
      <c r="BZ470" s="1491" t="n"/>
      <c r="CA470" s="1491" t="n"/>
      <c r="CB470" s="1467" t="n"/>
      <c r="CC470" s="1467" t="n"/>
      <c r="CD470" s="1491" t="n"/>
      <c r="CE470" s="1491" t="n"/>
      <c r="CF470" s="1491" t="n"/>
      <c r="CG470" s="1491" t="n"/>
      <c r="CH470" s="1491" t="n"/>
      <c r="CI470" s="1491" t="n"/>
      <c r="CJ470" s="1491" t="n"/>
      <c r="CK470" s="1491" t="n"/>
      <c r="CL470" s="1491" t="n"/>
      <c r="CM470" s="1491" t="n"/>
      <c r="CN470" s="1491" t="n"/>
      <c r="CO470" s="1491" t="n"/>
      <c r="CP470" s="1491" t="n"/>
      <c r="CQ470" s="1491" t="n"/>
      <c r="CR470" s="1491" t="n"/>
      <c r="CS470" s="1491" t="n"/>
      <c r="CT470" s="1491" t="n"/>
      <c r="CU470" s="1491" t="n"/>
      <c r="CV470" s="1491" t="n"/>
      <c r="CW470" s="1491" t="n"/>
      <c r="CX470" s="1491" t="n"/>
    </row>
    <row r="471">
      <c r="A471" s="1491" t="n"/>
      <c r="B471" s="1491" t="n"/>
      <c r="C471" s="1491" t="n"/>
      <c r="D471" s="1497">
        <f>IF(E471&lt;&gt;"",D470+1,D470)</f>
        <v/>
      </c>
      <c r="E471" s="1497" t="inlineStr">
        <is>
          <t>Sherbrooke</t>
        </is>
      </c>
      <c r="F471" s="1535" t="inlineStr">
        <is>
          <t>.</t>
        </is>
      </c>
      <c r="G471" s="1498">
        <f>IF(H471="AIR",0,IF(H470="AIR",G469+1,IF(H471&lt;&gt;"",G470+1,G470)))</f>
        <v/>
      </c>
      <c r="H471" s="1498" t="inlineStr">
        <is>
          <t>Katakolon</t>
        </is>
      </c>
      <c r="I471" s="1427" t="inlineStr">
        <is>
          <t>.</t>
        </is>
      </c>
      <c r="J471" s="1499" t="n">
        <v>466</v>
      </c>
      <c r="K471" s="1500">
        <f>_xlfn.XLOOKUP(cities[[#This Row],[id]],$D$5:$D$1500,E$5:E$1500,"-")</f>
        <v/>
      </c>
      <c r="L471" s="1500">
        <f>_xlfn.XLOOKUP(cities[[#This Row],[city]],ccc[city],ccc[ctry],"-")</f>
        <v/>
      </c>
      <c r="M471" s="1500">
        <f>SUMIFS(stayCity[stay],stayCity[city],cities[[#This Row],[city]])</f>
        <v/>
      </c>
      <c r="N471" s="1427">
        <f>N470+1</f>
        <v/>
      </c>
      <c r="O471" s="1500" t="n"/>
      <c r="P471" s="1500" t="n"/>
      <c r="Q471" s="1427" t="inlineStr">
        <is>
          <t>.</t>
        </is>
      </c>
      <c r="R471" s="1491" t="n"/>
      <c r="S471" s="1491" t="n"/>
      <c r="T471" s="1491" t="n"/>
      <c r="U471" s="1491" t="n"/>
      <c r="V471" s="1491" t="n"/>
      <c r="W471" s="1491" t="n"/>
      <c r="X471" s="1491" t="n"/>
      <c r="Y471" s="1491" t="n"/>
      <c r="Z471" s="1491" t="n"/>
      <c r="AA471" s="1491" t="n"/>
      <c r="AB471" s="1491" t="n"/>
      <c r="AC471" s="1491" t="n"/>
      <c r="AD471" s="1491" t="n"/>
      <c r="AE471" s="1491" t="n"/>
      <c r="AF471" s="1491" t="n"/>
      <c r="AG471" s="1491" t="n"/>
      <c r="AH471" s="1491" t="n"/>
      <c r="AI471" s="1491" t="n"/>
      <c r="AJ471" s="1491" t="n"/>
      <c r="AK471" s="1491" t="n"/>
      <c r="AL471" s="1491" t="n"/>
      <c r="AM471" s="1491" t="n"/>
      <c r="AN471" s="1491" t="n"/>
      <c r="AO471" s="1491" t="n"/>
      <c r="AP471" s="1491" t="n"/>
      <c r="AQ471" s="1491" t="n"/>
      <c r="AR471" s="1491" t="n"/>
      <c r="AS471" s="1491" t="n"/>
      <c r="AT471" s="1491" t="n"/>
      <c r="AU471" s="1491" t="n"/>
      <c r="AV471" s="1491" t="n"/>
      <c r="AW471" s="1491" t="n"/>
      <c r="AX471" s="1491" t="n"/>
      <c r="AY471" s="1491" t="n"/>
      <c r="AZ471" s="1491" t="n"/>
      <c r="BA471" s="1491" t="n"/>
      <c r="BB471" s="1491" t="n"/>
      <c r="BC471" s="1491" t="n"/>
      <c r="BD471" s="1491" t="n"/>
      <c r="BE471" s="1491" t="n"/>
      <c r="BF471" s="1491" t="n"/>
      <c r="BG471" s="1491" t="n"/>
      <c r="BH471" s="1491" t="n"/>
      <c r="BI471" s="1491" t="n"/>
      <c r="BJ471" s="1491" t="n"/>
      <c r="BK471" s="1491" t="n"/>
      <c r="BL471" s="1491" t="n"/>
      <c r="BM471" s="1491" t="n"/>
      <c r="BN471" s="1491" t="n"/>
      <c r="BO471" s="1467" t="n"/>
      <c r="BP471" s="1514" t="n">
        <v>467</v>
      </c>
      <c r="BQ471" s="1513">
        <f>[1]Sheet1!C472</f>
        <v/>
      </c>
      <c r="BR471" s="1515">
        <f>[1]Sheet1!D472</f>
        <v/>
      </c>
      <c r="BS471" s="1513">
        <f>[1]Sheet1!E472</f>
        <v/>
      </c>
      <c r="BT471" s="1515">
        <f>[1]Sheet1!F472</f>
        <v/>
      </c>
      <c r="BU471" s="1516">
        <f>[1]Sheet1!G472</f>
        <v/>
      </c>
      <c r="BV471" s="1513">
        <f>[1]Sheet1!H472</f>
        <v/>
      </c>
      <c r="BW471" s="1467" t="n"/>
      <c r="BX471" s="1491" t="n"/>
      <c r="BY471" s="1491" t="n"/>
      <c r="BZ471" s="1491" t="n"/>
      <c r="CA471" s="1491" t="n"/>
      <c r="CB471" s="1467" t="n"/>
      <c r="CC471" s="1467" t="n"/>
      <c r="CD471" s="1491" t="n"/>
      <c r="CE471" s="1491" t="n"/>
      <c r="CF471" s="1491" t="n"/>
      <c r="CG471" s="1491" t="n"/>
      <c r="CH471" s="1491" t="n"/>
      <c r="CI471" s="1491" t="n"/>
      <c r="CJ471" s="1491" t="n"/>
      <c r="CK471" s="1491" t="n"/>
      <c r="CL471" s="1491" t="n"/>
      <c r="CM471" s="1491" t="n"/>
      <c r="CN471" s="1491" t="n"/>
      <c r="CO471" s="1491" t="n"/>
      <c r="CP471" s="1491" t="n"/>
      <c r="CQ471" s="1491" t="n"/>
      <c r="CR471" s="1491" t="n"/>
      <c r="CS471" s="1491" t="n"/>
      <c r="CT471" s="1491" t="n"/>
      <c r="CU471" s="1491" t="n"/>
      <c r="CV471" s="1491" t="n"/>
      <c r="CW471" s="1491" t="n"/>
      <c r="CX471" s="1491" t="n"/>
    </row>
    <row r="472">
      <c r="A472" s="1491" t="n"/>
      <c r="B472" s="1491" t="n"/>
      <c r="C472" s="1491" t="n"/>
      <c r="D472" s="1497">
        <f>IF(E472&lt;&gt;"",D471+1,D471)</f>
        <v/>
      </c>
      <c r="E472" s="1497" t="inlineStr">
        <is>
          <t>San Isidro</t>
        </is>
      </c>
      <c r="F472" s="1535" t="inlineStr">
        <is>
          <t>.</t>
        </is>
      </c>
      <c r="G472" s="1498">
        <f>IF(H472="AIR",0,IF(H471="AIR",G470+1,IF(H472&lt;&gt;"",G471+1,G471)))</f>
        <v/>
      </c>
      <c r="H472" s="1498" t="inlineStr">
        <is>
          <t>Olympia</t>
        </is>
      </c>
      <c r="I472" s="1427" t="inlineStr">
        <is>
          <t>.</t>
        </is>
      </c>
      <c r="J472" s="1499" t="n">
        <v>467</v>
      </c>
      <c r="K472" s="1500">
        <f>_xlfn.XLOOKUP(cities[[#This Row],[id]],$D$5:$D$1500,E$5:E$1500,"-")</f>
        <v/>
      </c>
      <c r="L472" s="1500">
        <f>_xlfn.XLOOKUP(cities[[#This Row],[city]],ccc[city],ccc[ctry],"-")</f>
        <v/>
      </c>
      <c r="M472" s="1500">
        <f>SUMIFS(stayCity[stay],stayCity[city],cities[[#This Row],[city]])</f>
        <v/>
      </c>
      <c r="N472" s="1427">
        <f>N471+1</f>
        <v/>
      </c>
      <c r="O472" s="1500" t="n"/>
      <c r="P472" s="1500" t="n"/>
      <c r="Q472" s="1427" t="inlineStr">
        <is>
          <t>.</t>
        </is>
      </c>
      <c r="R472" s="1491" t="n"/>
      <c r="S472" s="1491" t="n"/>
      <c r="T472" s="1491" t="n"/>
      <c r="U472" s="1491" t="n"/>
      <c r="V472" s="1491" t="n"/>
      <c r="W472" s="1491" t="n"/>
      <c r="X472" s="1491" t="n"/>
      <c r="Y472" s="1491" t="n"/>
      <c r="Z472" s="1491" t="n"/>
      <c r="AA472" s="1491" t="n"/>
      <c r="AB472" s="1491" t="n"/>
      <c r="AC472" s="1491" t="n"/>
      <c r="AD472" s="1491" t="n"/>
      <c r="AE472" s="1491" t="n"/>
      <c r="AF472" s="1491" t="n"/>
      <c r="AG472" s="1491" t="n"/>
      <c r="AH472" s="1491" t="n"/>
      <c r="AI472" s="1491" t="n"/>
      <c r="AJ472" s="1491" t="n"/>
      <c r="AK472" s="1491" t="n"/>
      <c r="AL472" s="1491" t="n"/>
      <c r="AM472" s="1491" t="n"/>
      <c r="AN472" s="1491" t="n"/>
      <c r="AO472" s="1491" t="n"/>
      <c r="AP472" s="1491" t="n"/>
      <c r="AQ472" s="1491" t="n"/>
      <c r="AR472" s="1491" t="n"/>
      <c r="AS472" s="1491" t="n"/>
      <c r="AT472" s="1491" t="n"/>
      <c r="AU472" s="1491" t="n"/>
      <c r="AV472" s="1491" t="n"/>
      <c r="AW472" s="1491" t="n"/>
      <c r="AX472" s="1491" t="n"/>
      <c r="AY472" s="1491" t="n"/>
      <c r="AZ472" s="1491" t="n"/>
      <c r="BA472" s="1491" t="n"/>
      <c r="BB472" s="1491" t="n"/>
      <c r="BC472" s="1491" t="n"/>
      <c r="BD472" s="1491" t="n"/>
      <c r="BE472" s="1491" t="n"/>
      <c r="BF472" s="1491" t="n"/>
      <c r="BG472" s="1491" t="n"/>
      <c r="BH472" s="1491" t="n"/>
      <c r="BI472" s="1491" t="n"/>
      <c r="BJ472" s="1491" t="n"/>
      <c r="BK472" s="1491" t="n"/>
      <c r="BL472" s="1491" t="n"/>
      <c r="BM472" s="1491" t="n"/>
      <c r="BN472" s="1491" t="n"/>
      <c r="BO472" s="1467" t="n"/>
      <c r="BP472" s="1514" t="n">
        <v>468</v>
      </c>
      <c r="BQ472" s="1513">
        <f>[1]Sheet1!C473</f>
        <v/>
      </c>
      <c r="BR472" s="1515">
        <f>[1]Sheet1!D473</f>
        <v/>
      </c>
      <c r="BS472" s="1513">
        <f>[1]Sheet1!E473</f>
        <v/>
      </c>
      <c r="BT472" s="1515">
        <f>[1]Sheet1!F473</f>
        <v/>
      </c>
      <c r="BU472" s="1516">
        <f>[1]Sheet1!G473</f>
        <v/>
      </c>
      <c r="BV472" s="1513">
        <f>[1]Sheet1!H473</f>
        <v/>
      </c>
      <c r="BW472" s="1467" t="n"/>
      <c r="BX472" s="1491" t="n"/>
      <c r="BY472" s="1491" t="n"/>
      <c r="BZ472" s="1491" t="n"/>
      <c r="CA472" s="1491" t="n"/>
      <c r="CB472" s="1467" t="n"/>
      <c r="CC472" s="1467" t="n"/>
      <c r="CD472" s="1491" t="n"/>
      <c r="CE472" s="1491" t="n"/>
      <c r="CF472" s="1491" t="n"/>
      <c r="CG472" s="1491" t="n"/>
      <c r="CH472" s="1491" t="n"/>
      <c r="CI472" s="1491" t="n"/>
      <c r="CJ472" s="1491" t="n"/>
      <c r="CK472" s="1491" t="n"/>
      <c r="CL472" s="1491" t="n"/>
      <c r="CM472" s="1491" t="n"/>
      <c r="CN472" s="1491" t="n"/>
      <c r="CO472" s="1491" t="n"/>
      <c r="CP472" s="1491" t="n"/>
      <c r="CQ472" s="1491" t="n"/>
      <c r="CR472" s="1491" t="n"/>
      <c r="CS472" s="1491" t="n"/>
      <c r="CT472" s="1491" t="n"/>
      <c r="CU472" s="1491" t="n"/>
      <c r="CV472" s="1491" t="n"/>
      <c r="CW472" s="1491" t="n"/>
      <c r="CX472" s="1491" t="n"/>
    </row>
    <row r="473">
      <c r="A473" s="1491" t="n"/>
      <c r="B473" s="1491" t="n"/>
      <c r="C473" s="1491" t="n"/>
      <c r="D473" s="1497">
        <f>IF(E473&lt;&gt;"",D472+1,D472)</f>
        <v/>
      </c>
      <c r="E473" s="1497" t="inlineStr">
        <is>
          <t>Tigre</t>
        </is>
      </c>
      <c r="F473" s="1535" t="inlineStr">
        <is>
          <t>.</t>
        </is>
      </c>
      <c r="G473" s="1498">
        <f>IF(H473="AIR",0,IF(H472="AIR",G471+1,IF(H473&lt;&gt;"",G472+1,G472)))</f>
        <v/>
      </c>
      <c r="H473" s="1498" t="inlineStr">
        <is>
          <t>Dubrovnik</t>
        </is>
      </c>
      <c r="I473" s="1427" t="inlineStr">
        <is>
          <t>.</t>
        </is>
      </c>
      <c r="J473" s="1499" t="n">
        <v>468</v>
      </c>
      <c r="K473" s="1500">
        <f>_xlfn.XLOOKUP(cities[[#This Row],[id]],$D$5:$D$1500,E$5:E$1500,"-")</f>
        <v/>
      </c>
      <c r="L473" s="1500">
        <f>_xlfn.XLOOKUP(cities[[#This Row],[city]],ccc[city],ccc[ctry],"-")</f>
        <v/>
      </c>
      <c r="M473" s="1500">
        <f>SUMIFS(stayCity[stay],stayCity[city],cities[[#This Row],[city]])</f>
        <v/>
      </c>
      <c r="N473" s="1427">
        <f>N472+1</f>
        <v/>
      </c>
      <c r="O473" s="1500" t="n"/>
      <c r="P473" s="1500" t="n"/>
      <c r="Q473" s="1427" t="inlineStr">
        <is>
          <t>.</t>
        </is>
      </c>
      <c r="R473" s="1491" t="n"/>
      <c r="S473" s="1491" t="n"/>
      <c r="T473" s="1491" t="n"/>
      <c r="U473" s="1491" t="n"/>
      <c r="V473" s="1491" t="n"/>
      <c r="W473" s="1491" t="n"/>
      <c r="X473" s="1491" t="n"/>
      <c r="Y473" s="1491" t="n"/>
      <c r="Z473" s="1491" t="n"/>
      <c r="AA473" s="1491" t="n"/>
      <c r="AB473" s="1491" t="n"/>
      <c r="AC473" s="1491" t="n"/>
      <c r="AD473" s="1491" t="n"/>
      <c r="AE473" s="1491" t="n"/>
      <c r="AF473" s="1491" t="n"/>
      <c r="AG473" s="1491" t="n"/>
      <c r="AH473" s="1491" t="n"/>
      <c r="AI473" s="1491" t="n"/>
      <c r="AJ473" s="1491" t="n"/>
      <c r="AK473" s="1491" t="n"/>
      <c r="AL473" s="1491" t="n"/>
      <c r="AM473" s="1491" t="n"/>
      <c r="AN473" s="1491" t="n"/>
      <c r="AO473" s="1491" t="n"/>
      <c r="AP473" s="1491" t="n"/>
      <c r="AQ473" s="1491" t="n"/>
      <c r="AR473" s="1491" t="n"/>
      <c r="AS473" s="1491" t="n"/>
      <c r="AT473" s="1491" t="n"/>
      <c r="AU473" s="1491" t="n"/>
      <c r="AV473" s="1491" t="n"/>
      <c r="AW473" s="1491" t="n"/>
      <c r="AX473" s="1491" t="n"/>
      <c r="AY473" s="1491" t="n"/>
      <c r="AZ473" s="1491" t="n"/>
      <c r="BA473" s="1491" t="n"/>
      <c r="BB473" s="1491" t="n"/>
      <c r="BC473" s="1491" t="n"/>
      <c r="BD473" s="1491" t="n"/>
      <c r="BE473" s="1491" t="n"/>
      <c r="BF473" s="1491" t="n"/>
      <c r="BG473" s="1491" t="n"/>
      <c r="BH473" s="1491" t="n"/>
      <c r="BI473" s="1491" t="n"/>
      <c r="BJ473" s="1491" t="n"/>
      <c r="BK473" s="1491" t="n"/>
      <c r="BL473" s="1491" t="n"/>
      <c r="BM473" s="1491" t="n"/>
      <c r="BN473" s="1491" t="n"/>
      <c r="BO473" s="1467" t="n"/>
      <c r="BP473" s="1514" t="n">
        <v>469</v>
      </c>
      <c r="BQ473" s="1513">
        <f>[1]Sheet1!C474</f>
        <v/>
      </c>
      <c r="BR473" s="1515">
        <f>[1]Sheet1!D474</f>
        <v/>
      </c>
      <c r="BS473" s="1513">
        <f>[1]Sheet1!E474</f>
        <v/>
      </c>
      <c r="BT473" s="1515">
        <f>[1]Sheet1!F474</f>
        <v/>
      </c>
      <c r="BU473" s="1516">
        <f>[1]Sheet1!G474</f>
        <v/>
      </c>
      <c r="BV473" s="1513">
        <f>[1]Sheet1!H474</f>
        <v/>
      </c>
      <c r="BW473" s="1467" t="n"/>
      <c r="BX473" s="1491" t="n"/>
      <c r="BY473" s="1491" t="n"/>
      <c r="BZ473" s="1491" t="n"/>
      <c r="CA473" s="1491" t="n"/>
      <c r="CB473" s="1467" t="n"/>
      <c r="CC473" s="1467" t="n"/>
      <c r="CD473" s="1491" t="n"/>
      <c r="CE473" s="1491" t="n"/>
      <c r="CF473" s="1491" t="n"/>
      <c r="CG473" s="1491" t="n"/>
      <c r="CH473" s="1491" t="n"/>
      <c r="CI473" s="1491" t="n"/>
      <c r="CJ473" s="1491" t="n"/>
      <c r="CK473" s="1491" t="n"/>
      <c r="CL473" s="1491" t="n"/>
      <c r="CM473" s="1491" t="n"/>
      <c r="CN473" s="1491" t="n"/>
      <c r="CO473" s="1491" t="n"/>
      <c r="CP473" s="1491" t="n"/>
      <c r="CQ473" s="1491" t="n"/>
      <c r="CR473" s="1491" t="n"/>
      <c r="CS473" s="1491" t="n"/>
      <c r="CT473" s="1491" t="n"/>
      <c r="CU473" s="1491" t="n"/>
      <c r="CV473" s="1491" t="n"/>
      <c r="CW473" s="1491" t="n"/>
      <c r="CX473" s="1491" t="n"/>
    </row>
    <row r="474">
      <c r="A474" s="1491" t="n"/>
      <c r="B474" s="1491" t="n"/>
      <c r="C474" s="1491" t="n"/>
      <c r="D474" s="1497">
        <f>IF(E474&lt;&gt;"",D473+1,D473)</f>
        <v/>
      </c>
      <c r="E474" s="1497" t="inlineStr">
        <is>
          <t>Vaudreuil</t>
        </is>
      </c>
      <c r="F474" s="1535" t="inlineStr">
        <is>
          <t>.</t>
        </is>
      </c>
      <c r="G474" s="1498">
        <f>IF(H474="AIR",0,IF(H473="AIR",G472+1,IF(H474&lt;&gt;"",G473+1,G473)))</f>
        <v/>
      </c>
      <c r="H474" s="1498" t="inlineStr">
        <is>
          <t>Praga</t>
        </is>
      </c>
      <c r="I474" s="1427" t="inlineStr">
        <is>
          <t>.</t>
        </is>
      </c>
      <c r="J474" s="1499" t="n">
        <v>469</v>
      </c>
      <c r="K474" s="1500">
        <f>_xlfn.XLOOKUP(cities[[#This Row],[id]],$D$5:$D$1500,E$5:E$1500,"-")</f>
        <v/>
      </c>
      <c r="L474" s="1500">
        <f>_xlfn.XLOOKUP(cities[[#This Row],[city]],ccc[city],ccc[ctry],"-")</f>
        <v/>
      </c>
      <c r="M474" s="1500">
        <f>SUMIFS(stayCity[stay],stayCity[city],cities[[#This Row],[city]])</f>
        <v/>
      </c>
      <c r="N474" s="1427">
        <f>N473+1</f>
        <v/>
      </c>
      <c r="O474" s="1500" t="n"/>
      <c r="P474" s="1500" t="n"/>
      <c r="Q474" s="1427" t="inlineStr">
        <is>
          <t>.</t>
        </is>
      </c>
      <c r="R474" s="1491" t="n"/>
      <c r="S474" s="1491" t="n"/>
      <c r="T474" s="1491" t="n"/>
      <c r="U474" s="1491" t="n"/>
      <c r="V474" s="1491" t="n"/>
      <c r="W474" s="1491" t="n"/>
      <c r="X474" s="1491" t="n"/>
      <c r="Y474" s="1491" t="n"/>
      <c r="Z474" s="1491" t="n"/>
      <c r="AA474" s="1491" t="n"/>
      <c r="AB474" s="1491" t="n"/>
      <c r="AC474" s="1491" t="n"/>
      <c r="AD474" s="1491" t="n"/>
      <c r="AE474" s="1491" t="n"/>
      <c r="AF474" s="1491" t="n"/>
      <c r="AG474" s="1491" t="n"/>
      <c r="AH474" s="1491" t="n"/>
      <c r="AI474" s="1491" t="n"/>
      <c r="AJ474" s="1491" t="n"/>
      <c r="AK474" s="1491" t="n"/>
      <c r="AL474" s="1491" t="n"/>
      <c r="AM474" s="1491" t="n"/>
      <c r="AN474" s="1491" t="n"/>
      <c r="AO474" s="1491" t="n"/>
      <c r="AP474" s="1491" t="n"/>
      <c r="AQ474" s="1491" t="n"/>
      <c r="AR474" s="1491" t="n"/>
      <c r="AS474" s="1491" t="n"/>
      <c r="AT474" s="1491" t="n"/>
      <c r="AU474" s="1491" t="n"/>
      <c r="AV474" s="1491" t="n"/>
      <c r="AW474" s="1491" t="n"/>
      <c r="AX474" s="1491" t="n"/>
      <c r="AY474" s="1491" t="n"/>
      <c r="AZ474" s="1491" t="n"/>
      <c r="BA474" s="1491" t="n"/>
      <c r="BB474" s="1491" t="n"/>
      <c r="BC474" s="1491" t="n"/>
      <c r="BD474" s="1491" t="n"/>
      <c r="BE474" s="1491" t="n"/>
      <c r="BF474" s="1491" t="n"/>
      <c r="BG474" s="1491" t="n"/>
      <c r="BH474" s="1491" t="n"/>
      <c r="BI474" s="1491" t="n"/>
      <c r="BJ474" s="1491" t="n"/>
      <c r="BK474" s="1491" t="n"/>
      <c r="BL474" s="1491" t="n"/>
      <c r="BM474" s="1491" t="n"/>
      <c r="BN474" s="1491" t="n"/>
      <c r="BO474" s="1467" t="n"/>
      <c r="BP474" s="1514" t="n">
        <v>470</v>
      </c>
      <c r="BQ474" s="1513">
        <f>[1]Sheet1!C475</f>
        <v/>
      </c>
      <c r="BR474" s="1515">
        <f>[1]Sheet1!D475</f>
        <v/>
      </c>
      <c r="BS474" s="1513">
        <f>[1]Sheet1!E475</f>
        <v/>
      </c>
      <c r="BT474" s="1515">
        <f>[1]Sheet1!F475</f>
        <v/>
      </c>
      <c r="BU474" s="1516">
        <f>[1]Sheet1!G475</f>
        <v/>
      </c>
      <c r="BV474" s="1513">
        <f>[1]Sheet1!H475</f>
        <v/>
      </c>
      <c r="BW474" s="1467" t="n"/>
      <c r="BX474" s="1491" t="n"/>
      <c r="BY474" s="1491" t="n"/>
      <c r="BZ474" s="1491" t="n"/>
      <c r="CA474" s="1491" t="n"/>
      <c r="CB474" s="1467" t="n"/>
      <c r="CC474" s="1467" t="n"/>
      <c r="CD474" s="1491" t="n"/>
      <c r="CE474" s="1491" t="n"/>
      <c r="CF474" s="1491" t="n"/>
      <c r="CG474" s="1491" t="n"/>
      <c r="CH474" s="1491" t="n"/>
      <c r="CI474" s="1491" t="n"/>
      <c r="CJ474" s="1491" t="n"/>
      <c r="CK474" s="1491" t="n"/>
      <c r="CL474" s="1491" t="n"/>
      <c r="CM474" s="1491" t="n"/>
      <c r="CN474" s="1491" t="n"/>
      <c r="CO474" s="1491" t="n"/>
      <c r="CP474" s="1491" t="n"/>
      <c r="CQ474" s="1491" t="n"/>
      <c r="CR474" s="1491" t="n"/>
      <c r="CS474" s="1491" t="n"/>
      <c r="CT474" s="1491" t="n"/>
      <c r="CU474" s="1491" t="n"/>
      <c r="CV474" s="1491" t="n"/>
      <c r="CW474" s="1491" t="n"/>
      <c r="CX474" s="1491" t="n"/>
    </row>
    <row r="475">
      <c r="A475" s="1491" t="n"/>
      <c r="B475" s="1491" t="n"/>
      <c r="C475" s="1491" t="n"/>
      <c r="D475" s="1497">
        <f>IF(E475&lt;&gt;"",D474+1,D474)</f>
        <v/>
      </c>
      <c r="E475" s="1497" t="inlineStr">
        <is>
          <t>Montebello</t>
        </is>
      </c>
      <c r="F475" s="1535" t="inlineStr">
        <is>
          <t>.</t>
        </is>
      </c>
      <c r="G475" s="1498">
        <f>IF(H475="AIR",0,IF(H474="AIR",G473+1,IF(H475&lt;&gt;"",G474+1,G474)))</f>
        <v/>
      </c>
      <c r="H475" s="1498" t="inlineStr">
        <is>
          <t>Beauvais</t>
        </is>
      </c>
      <c r="I475" s="1427" t="inlineStr">
        <is>
          <t>.</t>
        </is>
      </c>
      <c r="J475" s="1499" t="n">
        <v>470</v>
      </c>
      <c r="K475" s="1500">
        <f>_xlfn.XLOOKUP(cities[[#This Row],[id]],$D$5:$D$1500,E$5:E$1500,"-")</f>
        <v/>
      </c>
      <c r="L475" s="1500">
        <f>_xlfn.XLOOKUP(cities[[#This Row],[city]],ccc[city],ccc[ctry],"-")</f>
        <v/>
      </c>
      <c r="M475" s="1500">
        <f>SUMIFS(stayCity[stay],stayCity[city],cities[[#This Row],[city]])</f>
        <v/>
      </c>
      <c r="N475" s="1427">
        <f>N474+1</f>
        <v/>
      </c>
      <c r="O475" s="1500" t="n"/>
      <c r="P475" s="1500" t="n"/>
      <c r="Q475" s="1427" t="inlineStr">
        <is>
          <t>.</t>
        </is>
      </c>
      <c r="R475" s="1491" t="n"/>
      <c r="S475" s="1491" t="n"/>
      <c r="T475" s="1491" t="n"/>
      <c r="U475" s="1491" t="n"/>
      <c r="V475" s="1491" t="n"/>
      <c r="W475" s="1491" t="n"/>
      <c r="X475" s="1491" t="n"/>
      <c r="Y475" s="1491" t="n"/>
      <c r="Z475" s="1491" t="n"/>
      <c r="AA475" s="1491" t="n"/>
      <c r="AB475" s="1491" t="n"/>
      <c r="AC475" s="1491" t="n"/>
      <c r="AD475" s="1491" t="n"/>
      <c r="AE475" s="1491" t="n"/>
      <c r="AF475" s="1491" t="n"/>
      <c r="AG475" s="1491" t="n"/>
      <c r="AH475" s="1491" t="n"/>
      <c r="AI475" s="1491" t="n"/>
      <c r="AJ475" s="1491" t="n"/>
      <c r="AK475" s="1491" t="n"/>
      <c r="AL475" s="1491" t="n"/>
      <c r="AM475" s="1491" t="n"/>
      <c r="AN475" s="1491" t="n"/>
      <c r="AO475" s="1491" t="n"/>
      <c r="AP475" s="1491" t="n"/>
      <c r="AQ475" s="1491" t="n"/>
      <c r="AR475" s="1491" t="n"/>
      <c r="AS475" s="1491" t="n"/>
      <c r="AT475" s="1491" t="n"/>
      <c r="AU475" s="1491" t="n"/>
      <c r="AV475" s="1491" t="n"/>
      <c r="AW475" s="1491" t="n"/>
      <c r="AX475" s="1491" t="n"/>
      <c r="AY475" s="1491" t="n"/>
      <c r="AZ475" s="1491" t="n"/>
      <c r="BA475" s="1491" t="n"/>
      <c r="BB475" s="1491" t="n"/>
      <c r="BC475" s="1491" t="n"/>
      <c r="BD475" s="1491" t="n"/>
      <c r="BE475" s="1491" t="n"/>
      <c r="BF475" s="1491" t="n"/>
      <c r="BG475" s="1491" t="n"/>
      <c r="BH475" s="1491" t="n"/>
      <c r="BI475" s="1491" t="n"/>
      <c r="BJ475" s="1491" t="n"/>
      <c r="BK475" s="1491" t="n"/>
      <c r="BL475" s="1491" t="n"/>
      <c r="BM475" s="1491" t="n"/>
      <c r="BN475" s="1491" t="n"/>
      <c r="BO475" s="1467" t="n"/>
      <c r="BP475" s="1514" t="n">
        <v>471</v>
      </c>
      <c r="BQ475" s="1513">
        <f>[1]Sheet1!C476</f>
        <v/>
      </c>
      <c r="BR475" s="1515">
        <f>[1]Sheet1!D476</f>
        <v/>
      </c>
      <c r="BS475" s="1513">
        <f>[1]Sheet1!E476</f>
        <v/>
      </c>
      <c r="BT475" s="1515">
        <f>[1]Sheet1!F476</f>
        <v/>
      </c>
      <c r="BU475" s="1516">
        <f>[1]Sheet1!G476</f>
        <v/>
      </c>
      <c r="BV475" s="1513">
        <f>[1]Sheet1!H476</f>
        <v/>
      </c>
      <c r="BW475" s="1467" t="n"/>
      <c r="BX475" s="1491" t="n"/>
      <c r="BY475" s="1491" t="n"/>
      <c r="BZ475" s="1491" t="n"/>
      <c r="CA475" s="1491" t="n"/>
      <c r="CB475" s="1467" t="n"/>
      <c r="CC475" s="1467" t="n"/>
      <c r="CD475" s="1491" t="n"/>
      <c r="CE475" s="1491" t="n"/>
      <c r="CF475" s="1491" t="n"/>
      <c r="CG475" s="1491" t="n"/>
      <c r="CH475" s="1491" t="n"/>
      <c r="CI475" s="1491" t="n"/>
      <c r="CJ475" s="1491" t="n"/>
      <c r="CK475" s="1491" t="n"/>
      <c r="CL475" s="1491" t="n"/>
      <c r="CM475" s="1491" t="n"/>
      <c r="CN475" s="1491" t="n"/>
      <c r="CO475" s="1491" t="n"/>
      <c r="CP475" s="1491" t="n"/>
      <c r="CQ475" s="1491" t="n"/>
      <c r="CR475" s="1491" t="n"/>
      <c r="CS475" s="1491" t="n"/>
      <c r="CT475" s="1491" t="n"/>
      <c r="CU475" s="1491" t="n"/>
      <c r="CV475" s="1491" t="n"/>
      <c r="CW475" s="1491" t="n"/>
      <c r="CX475" s="1491" t="n"/>
    </row>
    <row r="476">
      <c r="A476" s="1491" t="n"/>
      <c r="B476" s="1491" t="n"/>
      <c r="C476" s="1491" t="n"/>
      <c r="D476" s="1497">
        <f>IF(E476&lt;&gt;"",D475+1,D475)</f>
        <v/>
      </c>
      <c r="E476" s="1497" t="inlineStr">
        <is>
          <t>Saint Sauveur</t>
        </is>
      </c>
      <c r="F476" s="1535" t="inlineStr">
        <is>
          <t>.</t>
        </is>
      </c>
      <c r="G476" s="1498">
        <f>IF(H476="AIR",0,IF(H475="AIR",G474+1,IF(H476&lt;&gt;"",G475+1,G475)))</f>
        <v/>
      </c>
      <c r="H476" s="1498" t="inlineStr">
        <is>
          <t>Marrakech</t>
        </is>
      </c>
      <c r="I476" s="1427" t="inlineStr">
        <is>
          <t>.</t>
        </is>
      </c>
      <c r="J476" s="1499" t="n">
        <v>471</v>
      </c>
      <c r="K476" s="1500">
        <f>_xlfn.XLOOKUP(cities[[#This Row],[id]],$D$5:$D$1500,E$5:E$1500,"-")</f>
        <v/>
      </c>
      <c r="L476" s="1500">
        <f>_xlfn.XLOOKUP(cities[[#This Row],[city]],ccc[city],ccc[ctry],"-")</f>
        <v/>
      </c>
      <c r="M476" s="1500">
        <f>SUMIFS(stayCity[stay],stayCity[city],cities[[#This Row],[city]])</f>
        <v/>
      </c>
      <c r="N476" s="1427">
        <f>N475+1</f>
        <v/>
      </c>
      <c r="O476" s="1500" t="n"/>
      <c r="P476" s="1500" t="n"/>
      <c r="Q476" s="1427" t="inlineStr">
        <is>
          <t>.</t>
        </is>
      </c>
      <c r="R476" s="1491" t="n"/>
      <c r="S476" s="1491" t="n"/>
      <c r="T476" s="1491" t="n"/>
      <c r="U476" s="1491" t="n"/>
      <c r="V476" s="1491" t="n"/>
      <c r="W476" s="1491" t="n"/>
      <c r="X476" s="1491" t="n"/>
      <c r="Y476" s="1491" t="n"/>
      <c r="Z476" s="1491" t="n"/>
      <c r="AA476" s="1491" t="n"/>
      <c r="AB476" s="1491" t="n"/>
      <c r="AC476" s="1491" t="n"/>
      <c r="AD476" s="1491" t="n"/>
      <c r="AE476" s="1491" t="n"/>
      <c r="AF476" s="1491" t="n"/>
      <c r="AG476" s="1491" t="n"/>
      <c r="AH476" s="1491" t="n"/>
      <c r="AI476" s="1491" t="n"/>
      <c r="AJ476" s="1491" t="n"/>
      <c r="AK476" s="1491" t="n"/>
      <c r="AL476" s="1491" t="n"/>
      <c r="AM476" s="1491" t="n"/>
      <c r="AN476" s="1491" t="n"/>
      <c r="AO476" s="1491" t="n"/>
      <c r="AP476" s="1491" t="n"/>
      <c r="AQ476" s="1491" t="n"/>
      <c r="AR476" s="1491" t="n"/>
      <c r="AS476" s="1491" t="n"/>
      <c r="AT476" s="1491" t="n"/>
      <c r="AU476" s="1491" t="n"/>
      <c r="AV476" s="1491" t="n"/>
      <c r="AW476" s="1491" t="n"/>
      <c r="AX476" s="1491" t="n"/>
      <c r="AY476" s="1491" t="n"/>
      <c r="AZ476" s="1491" t="n"/>
      <c r="BA476" s="1491" t="n"/>
      <c r="BB476" s="1491" t="n"/>
      <c r="BC476" s="1491" t="n"/>
      <c r="BD476" s="1491" t="n"/>
      <c r="BE476" s="1491" t="n"/>
      <c r="BF476" s="1491" t="n"/>
      <c r="BG476" s="1491" t="n"/>
      <c r="BH476" s="1491" t="n"/>
      <c r="BI476" s="1491" t="n"/>
      <c r="BJ476" s="1491" t="n"/>
      <c r="BK476" s="1491" t="n"/>
      <c r="BL476" s="1491" t="n"/>
      <c r="BM476" s="1491" t="n"/>
      <c r="BN476" s="1491" t="n"/>
      <c r="BO476" s="1467" t="n"/>
      <c r="BP476" s="1514" t="n">
        <v>472</v>
      </c>
      <c r="BQ476" s="1513">
        <f>[1]Sheet1!C477</f>
        <v/>
      </c>
      <c r="BR476" s="1515">
        <f>[1]Sheet1!D477</f>
        <v/>
      </c>
      <c r="BS476" s="1513">
        <f>[1]Sheet1!E477</f>
        <v/>
      </c>
      <c r="BT476" s="1515">
        <f>[1]Sheet1!F477</f>
        <v/>
      </c>
      <c r="BU476" s="1516">
        <f>[1]Sheet1!G477</f>
        <v/>
      </c>
      <c r="BV476" s="1513">
        <f>[1]Sheet1!H477</f>
        <v/>
      </c>
      <c r="BW476" s="1467" t="n"/>
      <c r="BX476" s="1491" t="n"/>
      <c r="BY476" s="1491" t="n"/>
      <c r="BZ476" s="1491" t="n"/>
      <c r="CA476" s="1491" t="n"/>
      <c r="CB476" s="1467" t="n"/>
      <c r="CC476" s="1467" t="n"/>
      <c r="CD476" s="1491" t="n"/>
      <c r="CE476" s="1491" t="n"/>
      <c r="CF476" s="1491" t="n"/>
      <c r="CG476" s="1491" t="n"/>
      <c r="CH476" s="1491" t="n"/>
      <c r="CI476" s="1491" t="n"/>
      <c r="CJ476" s="1491" t="n"/>
      <c r="CK476" s="1491" t="n"/>
      <c r="CL476" s="1491" t="n"/>
      <c r="CM476" s="1491" t="n"/>
      <c r="CN476" s="1491" t="n"/>
      <c r="CO476" s="1491" t="n"/>
      <c r="CP476" s="1491" t="n"/>
      <c r="CQ476" s="1491" t="n"/>
      <c r="CR476" s="1491" t="n"/>
      <c r="CS476" s="1491" t="n"/>
      <c r="CT476" s="1491" t="n"/>
      <c r="CU476" s="1491" t="n"/>
      <c r="CV476" s="1491" t="n"/>
      <c r="CW476" s="1491" t="n"/>
      <c r="CX476" s="1491" t="n"/>
    </row>
    <row r="477">
      <c r="A477" s="1491" t="n"/>
      <c r="B477" s="1491" t="n"/>
      <c r="C477" s="1491" t="n"/>
      <c r="D477" s="1497">
        <f>IF(E477&lt;&gt;"",D476+1,D476)</f>
        <v/>
      </c>
      <c r="E477" s="1497" t="inlineStr">
        <is>
          <t>Bromont</t>
        </is>
      </c>
      <c r="F477" s="1535" t="inlineStr">
        <is>
          <t>.</t>
        </is>
      </c>
      <c r="G477" s="1498">
        <f>IF(H477="AIR",0,IF(H476="AIR",G475+1,IF(H477&lt;&gt;"",G476+1,G476)))</f>
        <v/>
      </c>
      <c r="H477" s="1498" t="inlineStr">
        <is>
          <t>Montreal</t>
        </is>
      </c>
      <c r="I477" s="1427" t="inlineStr">
        <is>
          <t>.</t>
        </is>
      </c>
      <c r="J477" s="1499" t="n">
        <v>472</v>
      </c>
      <c r="K477" s="1500">
        <f>_xlfn.XLOOKUP(cities[[#This Row],[id]],$D$5:$D$1500,E$5:E$1500,"-")</f>
        <v/>
      </c>
      <c r="L477" s="1500">
        <f>_xlfn.XLOOKUP(cities[[#This Row],[city]],ccc[city],ccc[ctry],"-")</f>
        <v/>
      </c>
      <c r="M477" s="1500">
        <f>SUMIFS(stayCity[stay],stayCity[city],cities[[#This Row],[city]])</f>
        <v/>
      </c>
      <c r="N477" s="1427">
        <f>N476+1</f>
        <v/>
      </c>
      <c r="O477" s="1500" t="n"/>
      <c r="P477" s="1500" t="n"/>
      <c r="Q477" s="1427" t="inlineStr">
        <is>
          <t>.</t>
        </is>
      </c>
      <c r="R477" s="1491" t="n"/>
      <c r="S477" s="1491" t="n"/>
      <c r="T477" s="1491" t="n"/>
      <c r="U477" s="1491" t="n"/>
      <c r="V477" s="1491" t="n"/>
      <c r="W477" s="1491" t="n"/>
      <c r="X477" s="1491" t="n"/>
      <c r="Y477" s="1491" t="n"/>
      <c r="Z477" s="1491" t="n"/>
      <c r="AA477" s="1491" t="n"/>
      <c r="AB477" s="1491" t="n"/>
      <c r="AC477" s="1491" t="n"/>
      <c r="AD477" s="1491" t="n"/>
      <c r="AE477" s="1491" t="n"/>
      <c r="AF477" s="1491" t="n"/>
      <c r="AG477" s="1491" t="n"/>
      <c r="AH477" s="1491" t="n"/>
      <c r="AI477" s="1491" t="n"/>
      <c r="AJ477" s="1491" t="n"/>
      <c r="AK477" s="1491" t="n"/>
      <c r="AL477" s="1491" t="n"/>
      <c r="AM477" s="1491" t="n"/>
      <c r="AN477" s="1491" t="n"/>
      <c r="AO477" s="1491" t="n"/>
      <c r="AP477" s="1491" t="n"/>
      <c r="AQ477" s="1491" t="n"/>
      <c r="AR477" s="1491" t="n"/>
      <c r="AS477" s="1491" t="n"/>
      <c r="AT477" s="1491" t="n"/>
      <c r="AU477" s="1491" t="n"/>
      <c r="AV477" s="1491" t="n"/>
      <c r="AW477" s="1491" t="n"/>
      <c r="AX477" s="1491" t="n"/>
      <c r="AY477" s="1491" t="n"/>
      <c r="AZ477" s="1491" t="n"/>
      <c r="BA477" s="1491" t="n"/>
      <c r="BB477" s="1491" t="n"/>
      <c r="BC477" s="1491" t="n"/>
      <c r="BD477" s="1491" t="n"/>
      <c r="BE477" s="1491" t="n"/>
      <c r="BF477" s="1491" t="n"/>
      <c r="BG477" s="1491" t="n"/>
      <c r="BH477" s="1491" t="n"/>
      <c r="BI477" s="1491" t="n"/>
      <c r="BJ477" s="1491" t="n"/>
      <c r="BK477" s="1491" t="n"/>
      <c r="BL477" s="1491" t="n"/>
      <c r="BM477" s="1491" t="n"/>
      <c r="BN477" s="1491" t="n"/>
      <c r="BO477" s="1467" t="n"/>
      <c r="BP477" s="1514" t="n">
        <v>473</v>
      </c>
      <c r="BQ477" s="1513">
        <f>[1]Sheet1!C478</f>
        <v/>
      </c>
      <c r="BR477" s="1515">
        <f>[1]Sheet1!D478</f>
        <v/>
      </c>
      <c r="BS477" s="1513">
        <f>[1]Sheet1!E478</f>
        <v/>
      </c>
      <c r="BT477" s="1515">
        <f>[1]Sheet1!F478</f>
        <v/>
      </c>
      <c r="BU477" s="1516">
        <f>[1]Sheet1!G478</f>
        <v/>
      </c>
      <c r="BV477" s="1513">
        <f>[1]Sheet1!H478</f>
        <v/>
      </c>
      <c r="BW477" s="1467" t="n"/>
      <c r="BX477" s="1491" t="n"/>
      <c r="BY477" s="1491" t="n"/>
      <c r="BZ477" s="1491" t="n"/>
      <c r="CA477" s="1491" t="n"/>
      <c r="CB477" s="1467" t="n"/>
      <c r="CC477" s="1467" t="n"/>
      <c r="CD477" s="1491" t="n"/>
      <c r="CE477" s="1491" t="n"/>
      <c r="CF477" s="1491" t="n"/>
      <c r="CG477" s="1491" t="n"/>
      <c r="CH477" s="1491" t="n"/>
      <c r="CI477" s="1491" t="n"/>
      <c r="CJ477" s="1491" t="n"/>
      <c r="CK477" s="1491" t="n"/>
      <c r="CL477" s="1491" t="n"/>
      <c r="CM477" s="1491" t="n"/>
      <c r="CN477" s="1491" t="n"/>
      <c r="CO477" s="1491" t="n"/>
      <c r="CP477" s="1491" t="n"/>
      <c r="CQ477" s="1491" t="n"/>
      <c r="CR477" s="1491" t="n"/>
      <c r="CS477" s="1491" t="n"/>
      <c r="CT477" s="1491" t="n"/>
      <c r="CU477" s="1491" t="n"/>
      <c r="CV477" s="1491" t="n"/>
      <c r="CW477" s="1491" t="n"/>
      <c r="CX477" s="1491" t="n"/>
    </row>
    <row r="478">
      <c r="A478" s="1491" t="n"/>
      <c r="B478" s="1491" t="n"/>
      <c r="C478" s="1491" t="n"/>
      <c r="D478" s="1497">
        <f>IF(E478&lt;&gt;"",D477+1,D477)</f>
        <v/>
      </c>
      <c r="E478" s="1497" t="inlineStr">
        <is>
          <t>Detroit</t>
        </is>
      </c>
      <c r="F478" s="1535" t="inlineStr">
        <is>
          <t>.</t>
        </is>
      </c>
      <c r="G478" s="1498">
        <f>IF(H478="AIR",0,IF(H477="AIR",G476+1,IF(H478&lt;&gt;"",G477+1,G477)))</f>
        <v/>
      </c>
      <c r="H478" s="1498" t="inlineStr">
        <is>
          <t>Ottawa</t>
        </is>
      </c>
      <c r="I478" s="1427" t="inlineStr">
        <is>
          <t>.</t>
        </is>
      </c>
      <c r="J478" s="1499" t="n">
        <v>473</v>
      </c>
      <c r="K478" s="1500">
        <f>_xlfn.XLOOKUP(cities[[#This Row],[id]],$D$5:$D$1500,E$5:E$1500,"-")</f>
        <v/>
      </c>
      <c r="L478" s="1500">
        <f>_xlfn.XLOOKUP(cities[[#This Row],[city]],ccc[city],ccc[ctry],"-")</f>
        <v/>
      </c>
      <c r="M478" s="1500">
        <f>SUMIFS(stayCity[stay],stayCity[city],cities[[#This Row],[city]])</f>
        <v/>
      </c>
      <c r="N478" s="1427">
        <f>N477+1</f>
        <v/>
      </c>
      <c r="O478" s="1500" t="n"/>
      <c r="P478" s="1500" t="n"/>
      <c r="Q478" s="1427" t="inlineStr">
        <is>
          <t>.</t>
        </is>
      </c>
      <c r="R478" s="1491" t="n"/>
      <c r="S478" s="1491" t="n"/>
      <c r="T478" s="1491" t="n"/>
      <c r="U478" s="1491" t="n"/>
      <c r="V478" s="1491" t="n"/>
      <c r="W478" s="1491" t="n"/>
      <c r="X478" s="1491" t="n"/>
      <c r="Y478" s="1491" t="n"/>
      <c r="Z478" s="1491" t="n"/>
      <c r="AA478" s="1491" t="n"/>
      <c r="AB478" s="1491" t="n"/>
      <c r="AC478" s="1491" t="n"/>
      <c r="AD478" s="1491" t="n"/>
      <c r="AE478" s="1491" t="n"/>
      <c r="AF478" s="1491" t="n"/>
      <c r="AG478" s="1491" t="n"/>
      <c r="AH478" s="1491" t="n"/>
      <c r="AI478" s="1491" t="n"/>
      <c r="AJ478" s="1491" t="n"/>
      <c r="AK478" s="1491" t="n"/>
      <c r="AL478" s="1491" t="n"/>
      <c r="AM478" s="1491" t="n"/>
      <c r="AN478" s="1491" t="n"/>
      <c r="AO478" s="1491" t="n"/>
      <c r="AP478" s="1491" t="n"/>
      <c r="AQ478" s="1491" t="n"/>
      <c r="AR478" s="1491" t="n"/>
      <c r="AS478" s="1491" t="n"/>
      <c r="AT478" s="1491" t="n"/>
      <c r="AU478" s="1491" t="n"/>
      <c r="AV478" s="1491" t="n"/>
      <c r="AW478" s="1491" t="n"/>
      <c r="AX478" s="1491" t="n"/>
      <c r="AY478" s="1491" t="n"/>
      <c r="AZ478" s="1491" t="n"/>
      <c r="BA478" s="1491" t="n"/>
      <c r="BB478" s="1491" t="n"/>
      <c r="BC478" s="1491" t="n"/>
      <c r="BD478" s="1491" t="n"/>
      <c r="BE478" s="1491" t="n"/>
      <c r="BF478" s="1491" t="n"/>
      <c r="BG478" s="1491" t="n"/>
      <c r="BH478" s="1491" t="n"/>
      <c r="BI478" s="1491" t="n"/>
      <c r="BJ478" s="1491" t="n"/>
      <c r="BK478" s="1491" t="n"/>
      <c r="BL478" s="1491" t="n"/>
      <c r="BM478" s="1491" t="n"/>
      <c r="BN478" s="1491" t="n"/>
      <c r="BO478" s="1467" t="n"/>
      <c r="BP478" s="1514" t="n">
        <v>474</v>
      </c>
      <c r="BQ478" s="1513">
        <f>[1]Sheet1!C479</f>
        <v/>
      </c>
      <c r="BR478" s="1515">
        <f>[1]Sheet1!D479</f>
        <v/>
      </c>
      <c r="BS478" s="1513">
        <f>[1]Sheet1!E479</f>
        <v/>
      </c>
      <c r="BT478" s="1515">
        <f>[1]Sheet1!F479</f>
        <v/>
      </c>
      <c r="BU478" s="1516">
        <f>[1]Sheet1!G479</f>
        <v/>
      </c>
      <c r="BV478" s="1513">
        <f>[1]Sheet1!H479</f>
        <v/>
      </c>
      <c r="BW478" s="1467" t="n"/>
      <c r="BX478" s="1491" t="n"/>
      <c r="BY478" s="1491" t="n"/>
      <c r="BZ478" s="1491" t="n"/>
      <c r="CA478" s="1491" t="n"/>
      <c r="CB478" s="1467" t="n"/>
      <c r="CC478" s="1467" t="n"/>
      <c r="CD478" s="1491" t="n"/>
      <c r="CE478" s="1491" t="n"/>
      <c r="CF478" s="1491" t="n"/>
      <c r="CG478" s="1491" t="n"/>
      <c r="CH478" s="1491" t="n"/>
      <c r="CI478" s="1491" t="n"/>
      <c r="CJ478" s="1491" t="n"/>
      <c r="CK478" s="1491" t="n"/>
      <c r="CL478" s="1491" t="n"/>
      <c r="CM478" s="1491" t="n"/>
      <c r="CN478" s="1491" t="n"/>
      <c r="CO478" s="1491" t="n"/>
      <c r="CP478" s="1491" t="n"/>
      <c r="CQ478" s="1491" t="n"/>
      <c r="CR478" s="1491" t="n"/>
      <c r="CS478" s="1491" t="n"/>
      <c r="CT478" s="1491" t="n"/>
      <c r="CU478" s="1491" t="n"/>
      <c r="CV478" s="1491" t="n"/>
      <c r="CW478" s="1491" t="n"/>
      <c r="CX478" s="1491" t="n"/>
    </row>
    <row r="479">
      <c r="A479" s="1491" t="n"/>
      <c r="B479" s="1491" t="n"/>
      <c r="C479" s="1491" t="n"/>
      <c r="D479" s="1497">
        <f>IF(E479&lt;&gt;"",D478+1,D478)</f>
        <v/>
      </c>
      <c r="E479" s="1497" t="inlineStr">
        <is>
          <t>Quebec City</t>
        </is>
      </c>
      <c r="F479" s="1535" t="inlineStr">
        <is>
          <t>.</t>
        </is>
      </c>
      <c r="G479" s="1498">
        <f>IF(H479="AIR",0,IF(H478="AIR",G477+1,IF(H479&lt;&gt;"",G478+1,G478)))</f>
        <v/>
      </c>
      <c r="H479" s="1498" t="inlineStr">
        <is>
          <t>Gatineau</t>
        </is>
      </c>
      <c r="I479" s="1427" t="inlineStr">
        <is>
          <t>.</t>
        </is>
      </c>
      <c r="J479" s="1499" t="n">
        <v>474</v>
      </c>
      <c r="K479" s="1500">
        <f>_xlfn.XLOOKUP(cities[[#This Row],[id]],$D$5:$D$1500,E$5:E$1500,"-")</f>
        <v/>
      </c>
      <c r="L479" s="1500">
        <f>_xlfn.XLOOKUP(cities[[#This Row],[city]],ccc[city],ccc[ctry],"-")</f>
        <v/>
      </c>
      <c r="M479" s="1500">
        <f>SUMIFS(stayCity[stay],stayCity[city],cities[[#This Row],[city]])</f>
        <v/>
      </c>
      <c r="N479" s="1427">
        <f>N478+1</f>
        <v/>
      </c>
      <c r="O479" s="1500" t="n"/>
      <c r="P479" s="1500" t="n"/>
      <c r="Q479" s="1427" t="inlineStr">
        <is>
          <t>.</t>
        </is>
      </c>
      <c r="R479" s="1491" t="n"/>
      <c r="S479" s="1491" t="n"/>
      <c r="T479" s="1491" t="n"/>
      <c r="U479" s="1491" t="n"/>
      <c r="V479" s="1491" t="n"/>
      <c r="W479" s="1491" t="n"/>
      <c r="X479" s="1491" t="n"/>
      <c r="Y479" s="1491" t="n"/>
      <c r="Z479" s="1491" t="n"/>
      <c r="AA479" s="1491" t="n"/>
      <c r="AB479" s="1491" t="n"/>
      <c r="AC479" s="1491" t="n"/>
      <c r="AD479" s="1491" t="n"/>
      <c r="AE479" s="1491" t="n"/>
      <c r="AF479" s="1491" t="n"/>
      <c r="AG479" s="1491" t="n"/>
      <c r="AH479" s="1491" t="n"/>
      <c r="AI479" s="1491" t="n"/>
      <c r="AJ479" s="1491" t="n"/>
      <c r="AK479" s="1491" t="n"/>
      <c r="AL479" s="1491" t="n"/>
      <c r="AM479" s="1491" t="n"/>
      <c r="AN479" s="1491" t="n"/>
      <c r="AO479" s="1491" t="n"/>
      <c r="AP479" s="1491" t="n"/>
      <c r="AQ479" s="1491" t="n"/>
      <c r="AR479" s="1491" t="n"/>
      <c r="AS479" s="1491" t="n"/>
      <c r="AT479" s="1491" t="n"/>
      <c r="AU479" s="1491" t="n"/>
      <c r="AV479" s="1491" t="n"/>
      <c r="AW479" s="1491" t="n"/>
      <c r="AX479" s="1491" t="n"/>
      <c r="AY479" s="1491" t="n"/>
      <c r="AZ479" s="1491" t="n"/>
      <c r="BA479" s="1491" t="n"/>
      <c r="BB479" s="1491" t="n"/>
      <c r="BC479" s="1491" t="n"/>
      <c r="BD479" s="1491" t="n"/>
      <c r="BE479" s="1491" t="n"/>
      <c r="BF479" s="1491" t="n"/>
      <c r="BG479" s="1491" t="n"/>
      <c r="BH479" s="1491" t="n"/>
      <c r="BI479" s="1491" t="n"/>
      <c r="BJ479" s="1491" t="n"/>
      <c r="BK479" s="1491" t="n"/>
      <c r="BL479" s="1491" t="n"/>
      <c r="BM479" s="1491" t="n"/>
      <c r="BN479" s="1491" t="n"/>
      <c r="BO479" s="1467" t="n"/>
      <c r="BP479" s="1514" t="n">
        <v>475</v>
      </c>
      <c r="BQ479" s="1513">
        <f>[1]Sheet1!C480</f>
        <v/>
      </c>
      <c r="BR479" s="1515">
        <f>[1]Sheet1!D480</f>
        <v/>
      </c>
      <c r="BS479" s="1513">
        <f>[1]Sheet1!E480</f>
        <v/>
      </c>
      <c r="BT479" s="1515">
        <f>[1]Sheet1!F480</f>
        <v/>
      </c>
      <c r="BU479" s="1516">
        <f>[1]Sheet1!G480</f>
        <v/>
      </c>
      <c r="BV479" s="1513">
        <f>[1]Sheet1!H480</f>
        <v/>
      </c>
      <c r="BW479" s="1467" t="n"/>
      <c r="BX479" s="1491" t="n"/>
      <c r="BY479" s="1491" t="n"/>
      <c r="BZ479" s="1491" t="n"/>
      <c r="CA479" s="1491" t="n"/>
      <c r="CB479" s="1467" t="n"/>
      <c r="CC479" s="1467" t="n"/>
      <c r="CD479" s="1491" t="n"/>
      <c r="CE479" s="1491" t="n"/>
      <c r="CF479" s="1491" t="n"/>
      <c r="CG479" s="1491" t="n"/>
      <c r="CH479" s="1491" t="n"/>
      <c r="CI479" s="1491" t="n"/>
      <c r="CJ479" s="1491" t="n"/>
      <c r="CK479" s="1491" t="n"/>
      <c r="CL479" s="1491" t="n"/>
      <c r="CM479" s="1491" t="n"/>
      <c r="CN479" s="1491" t="n"/>
      <c r="CO479" s="1491" t="n"/>
      <c r="CP479" s="1491" t="n"/>
      <c r="CQ479" s="1491" t="n"/>
      <c r="CR479" s="1491" t="n"/>
      <c r="CS479" s="1491" t="n"/>
      <c r="CT479" s="1491" t="n"/>
      <c r="CU479" s="1491" t="n"/>
      <c r="CV479" s="1491" t="n"/>
      <c r="CW479" s="1491" t="n"/>
      <c r="CX479" s="1491" t="n"/>
    </row>
    <row r="480">
      <c r="A480" s="1491" t="n"/>
      <c r="B480" s="1491" t="n"/>
      <c r="C480" s="1491" t="n"/>
      <c r="D480" s="1497">
        <f>IF(E480&lt;&gt;"",D479+1,D479)</f>
        <v/>
      </c>
      <c r="E480" s="1497" t="inlineStr">
        <is>
          <t>Portneuf</t>
        </is>
      </c>
      <c r="F480" s="1535" t="inlineStr">
        <is>
          <t>.</t>
        </is>
      </c>
      <c r="G480" s="1498">
        <f>IF(H480="AIR",0,IF(H479="AIR",G478+1,IF(H480&lt;&gt;"",G479+1,G479)))</f>
        <v/>
      </c>
      <c r="H480" s="1498" t="inlineStr">
        <is>
          <t>Sherbrooke</t>
        </is>
      </c>
      <c r="I480" s="1427" t="inlineStr">
        <is>
          <t>.</t>
        </is>
      </c>
      <c r="J480" s="1499" t="n">
        <v>475</v>
      </c>
      <c r="K480" s="1500">
        <f>_xlfn.XLOOKUP(cities[[#This Row],[id]],$D$5:$D$1500,E$5:E$1500,"-")</f>
        <v/>
      </c>
      <c r="L480" s="1500">
        <f>_xlfn.XLOOKUP(cities[[#This Row],[city]],ccc[city],ccc[ctry],"-")</f>
        <v/>
      </c>
      <c r="M480" s="1500">
        <f>SUMIFS(stayCity[stay],stayCity[city],cities[[#This Row],[city]])</f>
        <v/>
      </c>
      <c r="N480" s="1427">
        <f>N479+1</f>
        <v/>
      </c>
      <c r="O480" s="1500" t="n"/>
      <c r="P480" s="1500" t="n"/>
      <c r="Q480" s="1427" t="inlineStr">
        <is>
          <t>.</t>
        </is>
      </c>
      <c r="R480" s="1491" t="n"/>
      <c r="S480" s="1491" t="n"/>
      <c r="T480" s="1491" t="n"/>
      <c r="U480" s="1491" t="n"/>
      <c r="V480" s="1491" t="n"/>
      <c r="W480" s="1491" t="n"/>
      <c r="X480" s="1491" t="n"/>
      <c r="Y480" s="1491" t="n"/>
      <c r="Z480" s="1491" t="n"/>
      <c r="AA480" s="1491" t="n"/>
      <c r="AB480" s="1491" t="n"/>
      <c r="AC480" s="1491" t="n"/>
      <c r="AD480" s="1491" t="n"/>
      <c r="AE480" s="1491" t="n"/>
      <c r="AF480" s="1491" t="n"/>
      <c r="AG480" s="1491" t="n"/>
      <c r="AH480" s="1491" t="n"/>
      <c r="AI480" s="1491" t="n"/>
      <c r="AJ480" s="1491" t="n"/>
      <c r="AK480" s="1491" t="n"/>
      <c r="AL480" s="1491" t="n"/>
      <c r="AM480" s="1491" t="n"/>
      <c r="AN480" s="1491" t="n"/>
      <c r="AO480" s="1491" t="n"/>
      <c r="AP480" s="1491" t="n"/>
      <c r="AQ480" s="1491" t="n"/>
      <c r="AR480" s="1491" t="n"/>
      <c r="AS480" s="1491" t="n"/>
      <c r="AT480" s="1491" t="n"/>
      <c r="AU480" s="1491" t="n"/>
      <c r="AV480" s="1491" t="n"/>
      <c r="AW480" s="1491" t="n"/>
      <c r="AX480" s="1491" t="n"/>
      <c r="AY480" s="1491" t="n"/>
      <c r="AZ480" s="1491" t="n"/>
      <c r="BA480" s="1491" t="n"/>
      <c r="BB480" s="1491" t="n"/>
      <c r="BC480" s="1491" t="n"/>
      <c r="BD480" s="1491" t="n"/>
      <c r="BE480" s="1491" t="n"/>
      <c r="BF480" s="1491" t="n"/>
      <c r="BG480" s="1491" t="n"/>
      <c r="BH480" s="1491" t="n"/>
      <c r="BI480" s="1491" t="n"/>
      <c r="BJ480" s="1491" t="n"/>
      <c r="BK480" s="1491" t="n"/>
      <c r="BL480" s="1491" t="n"/>
      <c r="BM480" s="1491" t="n"/>
      <c r="BN480" s="1491" t="n"/>
      <c r="BO480" s="1467" t="n"/>
      <c r="BP480" s="1514" t="n">
        <v>476</v>
      </c>
      <c r="BQ480" s="1513">
        <f>[1]Sheet1!C481</f>
        <v/>
      </c>
      <c r="BR480" s="1515">
        <f>[1]Sheet1!D481</f>
        <v/>
      </c>
      <c r="BS480" s="1513">
        <f>[1]Sheet1!E481</f>
        <v/>
      </c>
      <c r="BT480" s="1515">
        <f>[1]Sheet1!F481</f>
        <v/>
      </c>
      <c r="BU480" s="1516">
        <f>[1]Sheet1!G481</f>
        <v/>
      </c>
      <c r="BV480" s="1513">
        <f>[1]Sheet1!H481</f>
        <v/>
      </c>
      <c r="BW480" s="1467" t="n"/>
      <c r="BX480" s="1491" t="n"/>
      <c r="BY480" s="1491" t="n"/>
      <c r="BZ480" s="1491" t="n"/>
      <c r="CA480" s="1491" t="n"/>
      <c r="CB480" s="1467" t="n"/>
      <c r="CC480" s="1467" t="n"/>
      <c r="CD480" s="1491" t="n"/>
      <c r="CE480" s="1491" t="n"/>
      <c r="CF480" s="1491" t="n"/>
      <c r="CG480" s="1491" t="n"/>
      <c r="CH480" s="1491" t="n"/>
      <c r="CI480" s="1491" t="n"/>
      <c r="CJ480" s="1491" t="n"/>
      <c r="CK480" s="1491" t="n"/>
      <c r="CL480" s="1491" t="n"/>
      <c r="CM480" s="1491" t="n"/>
      <c r="CN480" s="1491" t="n"/>
      <c r="CO480" s="1491" t="n"/>
      <c r="CP480" s="1491" t="n"/>
      <c r="CQ480" s="1491" t="n"/>
      <c r="CR480" s="1491" t="n"/>
      <c r="CS480" s="1491" t="n"/>
      <c r="CT480" s="1491" t="n"/>
      <c r="CU480" s="1491" t="n"/>
      <c r="CV480" s="1491" t="n"/>
      <c r="CW480" s="1491" t="n"/>
      <c r="CX480" s="1491" t="n"/>
    </row>
    <row r="481">
      <c r="A481" s="1491" t="n"/>
      <c r="B481" s="1491" t="n"/>
      <c r="C481" s="1491" t="n"/>
      <c r="D481" s="1497">
        <f>IF(E481&lt;&gt;"",D480+1,D480)</f>
        <v/>
      </c>
      <c r="E481" s="1497" t="inlineStr">
        <is>
          <t>Plattsburgh</t>
        </is>
      </c>
      <c r="F481" s="1535" t="inlineStr">
        <is>
          <t>.</t>
        </is>
      </c>
      <c r="G481" s="1498">
        <f>IF(H481="AIR",0,IF(H480="AIR",G479+1,IF(H481&lt;&gt;"",G480+1,G480)))</f>
        <v/>
      </c>
      <c r="H481" s="1498" t="inlineStr">
        <is>
          <t>San Isidro</t>
        </is>
      </c>
      <c r="I481" s="1427" t="inlineStr">
        <is>
          <t>.</t>
        </is>
      </c>
      <c r="J481" s="1499" t="n">
        <v>476</v>
      </c>
      <c r="K481" s="1500">
        <f>_xlfn.XLOOKUP(cities[[#This Row],[id]],$D$5:$D$1500,E$5:E$1500,"-")</f>
        <v/>
      </c>
      <c r="L481" s="1500">
        <f>_xlfn.XLOOKUP(cities[[#This Row],[city]],ccc[city],ccc[ctry],"-")</f>
        <v/>
      </c>
      <c r="M481" s="1500">
        <f>SUMIFS(stayCity[stay],stayCity[city],cities[[#This Row],[city]])</f>
        <v/>
      </c>
      <c r="N481" s="1427">
        <f>N480+1</f>
        <v/>
      </c>
      <c r="O481" s="1500" t="n"/>
      <c r="P481" s="1500" t="n"/>
      <c r="Q481" s="1427" t="inlineStr">
        <is>
          <t>.</t>
        </is>
      </c>
      <c r="R481" s="1491" t="n"/>
      <c r="S481" s="1491" t="n"/>
      <c r="T481" s="1491" t="n"/>
      <c r="U481" s="1491" t="n"/>
      <c r="V481" s="1491" t="n"/>
      <c r="W481" s="1491" t="n"/>
      <c r="X481" s="1491" t="n"/>
      <c r="Y481" s="1491" t="n"/>
      <c r="Z481" s="1491" t="n"/>
      <c r="AA481" s="1491" t="n"/>
      <c r="AB481" s="1491" t="n"/>
      <c r="AC481" s="1491" t="n"/>
      <c r="AD481" s="1491" t="n"/>
      <c r="AE481" s="1491" t="n"/>
      <c r="AF481" s="1491" t="n"/>
      <c r="AG481" s="1491" t="n"/>
      <c r="AH481" s="1491" t="n"/>
      <c r="AI481" s="1491" t="n"/>
      <c r="AJ481" s="1491" t="n"/>
      <c r="AK481" s="1491" t="n"/>
      <c r="AL481" s="1491" t="n"/>
      <c r="AM481" s="1491" t="n"/>
      <c r="AN481" s="1491" t="n"/>
      <c r="AO481" s="1491" t="n"/>
      <c r="AP481" s="1491" t="n"/>
      <c r="AQ481" s="1491" t="n"/>
      <c r="AR481" s="1491" t="n"/>
      <c r="AS481" s="1491" t="n"/>
      <c r="AT481" s="1491" t="n"/>
      <c r="AU481" s="1491" t="n"/>
      <c r="AV481" s="1491" t="n"/>
      <c r="AW481" s="1491" t="n"/>
      <c r="AX481" s="1491" t="n"/>
      <c r="AY481" s="1491" t="n"/>
      <c r="AZ481" s="1491" t="n"/>
      <c r="BA481" s="1491" t="n"/>
      <c r="BB481" s="1491" t="n"/>
      <c r="BC481" s="1491" t="n"/>
      <c r="BD481" s="1491" t="n"/>
      <c r="BE481" s="1491" t="n"/>
      <c r="BF481" s="1491" t="n"/>
      <c r="BG481" s="1491" t="n"/>
      <c r="BH481" s="1491" t="n"/>
      <c r="BI481" s="1491" t="n"/>
      <c r="BJ481" s="1491" t="n"/>
      <c r="BK481" s="1491" t="n"/>
      <c r="BL481" s="1491" t="n"/>
      <c r="BM481" s="1491" t="n"/>
      <c r="BN481" s="1491" t="n"/>
      <c r="BO481" s="1467" t="n"/>
      <c r="BP481" s="1514" t="n">
        <v>477</v>
      </c>
      <c r="BQ481" s="1513">
        <f>[1]Sheet1!C482</f>
        <v/>
      </c>
      <c r="BR481" s="1515">
        <f>[1]Sheet1!D482</f>
        <v/>
      </c>
      <c r="BS481" s="1513">
        <f>[1]Sheet1!E482</f>
        <v/>
      </c>
      <c r="BT481" s="1515">
        <f>[1]Sheet1!F482</f>
        <v/>
      </c>
      <c r="BU481" s="1516">
        <f>[1]Sheet1!G482</f>
        <v/>
      </c>
      <c r="BV481" s="1513">
        <f>[1]Sheet1!H482</f>
        <v/>
      </c>
      <c r="BW481" s="1467" t="n"/>
      <c r="BX481" s="1491" t="n"/>
      <c r="BY481" s="1491" t="n"/>
      <c r="BZ481" s="1491" t="n"/>
      <c r="CA481" s="1491" t="n"/>
      <c r="CB481" s="1467" t="n"/>
      <c r="CC481" s="1467" t="n"/>
      <c r="CD481" s="1491" t="n"/>
      <c r="CE481" s="1491" t="n"/>
      <c r="CF481" s="1491" t="n"/>
      <c r="CG481" s="1491" t="n"/>
      <c r="CH481" s="1491" t="n"/>
      <c r="CI481" s="1491" t="n"/>
      <c r="CJ481" s="1491" t="n"/>
      <c r="CK481" s="1491" t="n"/>
      <c r="CL481" s="1491" t="n"/>
      <c r="CM481" s="1491" t="n"/>
      <c r="CN481" s="1491" t="n"/>
      <c r="CO481" s="1491" t="n"/>
      <c r="CP481" s="1491" t="n"/>
      <c r="CQ481" s="1491" t="n"/>
      <c r="CR481" s="1491" t="n"/>
      <c r="CS481" s="1491" t="n"/>
      <c r="CT481" s="1491" t="n"/>
      <c r="CU481" s="1491" t="n"/>
      <c r="CV481" s="1491" t="n"/>
      <c r="CW481" s="1491" t="n"/>
      <c r="CX481" s="1491" t="n"/>
    </row>
    <row r="482">
      <c r="A482" s="1491" t="n"/>
      <c r="B482" s="1491" t="n"/>
      <c r="C482" s="1491" t="n"/>
      <c r="D482" s="1497">
        <f>IF(E482&lt;&gt;"",D481+1,D481)</f>
        <v/>
      </c>
      <c r="E482" s="1497" t="inlineStr">
        <is>
          <t>Burlington</t>
        </is>
      </c>
      <c r="F482" s="1535" t="inlineStr">
        <is>
          <t>.</t>
        </is>
      </c>
      <c r="G482" s="1498">
        <f>IF(H482="AIR",0,IF(H481="AIR",G480+1,IF(H482&lt;&gt;"",G481+1,G481)))</f>
        <v/>
      </c>
      <c r="H482" s="1498" t="inlineStr">
        <is>
          <t>Tigre</t>
        </is>
      </c>
      <c r="I482" s="1427" t="inlineStr">
        <is>
          <t>.</t>
        </is>
      </c>
      <c r="J482" s="1499" t="n">
        <v>477</v>
      </c>
      <c r="K482" s="1500">
        <f>_xlfn.XLOOKUP(cities[[#This Row],[id]],$D$5:$D$1500,E$5:E$1500,"-")</f>
        <v/>
      </c>
      <c r="L482" s="1500">
        <f>_xlfn.XLOOKUP(cities[[#This Row],[city]],ccc[city],ccc[ctry],"-")</f>
        <v/>
      </c>
      <c r="M482" s="1500">
        <f>SUMIFS(stayCity[stay],stayCity[city],cities[[#This Row],[city]])</f>
        <v/>
      </c>
      <c r="N482" s="1427">
        <f>N481+1</f>
        <v/>
      </c>
      <c r="O482" s="1500" t="n"/>
      <c r="P482" s="1500" t="n"/>
      <c r="Q482" s="1427" t="inlineStr">
        <is>
          <t>.</t>
        </is>
      </c>
      <c r="R482" s="1491" t="n"/>
      <c r="S482" s="1491" t="n"/>
      <c r="T482" s="1491" t="n"/>
      <c r="U482" s="1491" t="n"/>
      <c r="V482" s="1491" t="n"/>
      <c r="W482" s="1491" t="n"/>
      <c r="X482" s="1491" t="n"/>
      <c r="Y482" s="1491" t="n"/>
      <c r="Z482" s="1491" t="n"/>
      <c r="AA482" s="1491" t="n"/>
      <c r="AB482" s="1491" t="n"/>
      <c r="AC482" s="1491" t="n"/>
      <c r="AD482" s="1491" t="n"/>
      <c r="AE482" s="1491" t="n"/>
      <c r="AF482" s="1491" t="n"/>
      <c r="AG482" s="1491" t="n"/>
      <c r="AH482" s="1491" t="n"/>
      <c r="AI482" s="1491" t="n"/>
      <c r="AJ482" s="1491" t="n"/>
      <c r="AK482" s="1491" t="n"/>
      <c r="AL482" s="1491" t="n"/>
      <c r="AM482" s="1491" t="n"/>
      <c r="AN482" s="1491" t="n"/>
      <c r="AO482" s="1491" t="n"/>
      <c r="AP482" s="1491" t="n"/>
      <c r="AQ482" s="1491" t="n"/>
      <c r="AR482" s="1491" t="n"/>
      <c r="AS482" s="1491" t="n"/>
      <c r="AT482" s="1491" t="n"/>
      <c r="AU482" s="1491" t="n"/>
      <c r="AV482" s="1491" t="n"/>
      <c r="AW482" s="1491" t="n"/>
      <c r="AX482" s="1491" t="n"/>
      <c r="AY482" s="1491" t="n"/>
      <c r="AZ482" s="1491" t="n"/>
      <c r="BA482" s="1491" t="n"/>
      <c r="BB482" s="1491" t="n"/>
      <c r="BC482" s="1491" t="n"/>
      <c r="BD482" s="1491" t="n"/>
      <c r="BE482" s="1491" t="n"/>
      <c r="BF482" s="1491" t="n"/>
      <c r="BG482" s="1491" t="n"/>
      <c r="BH482" s="1491" t="n"/>
      <c r="BI482" s="1491" t="n"/>
      <c r="BJ482" s="1491" t="n"/>
      <c r="BK482" s="1491" t="n"/>
      <c r="BL482" s="1491" t="n"/>
      <c r="BM482" s="1491" t="n"/>
      <c r="BN482" s="1491" t="n"/>
      <c r="BO482" s="1467" t="n"/>
      <c r="BP482" s="1514" t="n">
        <v>478</v>
      </c>
      <c r="BQ482" s="1513">
        <f>[1]Sheet1!C483</f>
        <v/>
      </c>
      <c r="BR482" s="1515">
        <f>[1]Sheet1!D483</f>
        <v/>
      </c>
      <c r="BS482" s="1513">
        <f>[1]Sheet1!E483</f>
        <v/>
      </c>
      <c r="BT482" s="1515">
        <f>[1]Sheet1!F483</f>
        <v/>
      </c>
      <c r="BU482" s="1516">
        <f>[1]Sheet1!G483</f>
        <v/>
      </c>
      <c r="BV482" s="1513">
        <f>[1]Sheet1!H483</f>
        <v/>
      </c>
      <c r="BW482" s="1467" t="n"/>
      <c r="BX482" s="1491" t="n"/>
      <c r="BY482" s="1491" t="n"/>
      <c r="BZ482" s="1491" t="n"/>
      <c r="CA482" s="1491" t="n"/>
      <c r="CB482" s="1467" t="n"/>
      <c r="CC482" s="1467" t="n"/>
      <c r="CD482" s="1491" t="n"/>
      <c r="CE482" s="1491" t="n"/>
      <c r="CF482" s="1491" t="n"/>
      <c r="CG482" s="1491" t="n"/>
      <c r="CH482" s="1491" t="n"/>
      <c r="CI482" s="1491" t="n"/>
      <c r="CJ482" s="1491" t="n"/>
      <c r="CK482" s="1491" t="n"/>
      <c r="CL482" s="1491" t="n"/>
      <c r="CM482" s="1491" t="n"/>
      <c r="CN482" s="1491" t="n"/>
      <c r="CO482" s="1491" t="n"/>
      <c r="CP482" s="1491" t="n"/>
      <c r="CQ482" s="1491" t="n"/>
      <c r="CR482" s="1491" t="n"/>
      <c r="CS482" s="1491" t="n"/>
      <c r="CT482" s="1491" t="n"/>
      <c r="CU482" s="1491" t="n"/>
      <c r="CV482" s="1491" t="n"/>
      <c r="CW482" s="1491" t="n"/>
      <c r="CX482" s="1491" t="n"/>
    </row>
    <row r="483">
      <c r="A483" s="1491" t="n"/>
      <c r="B483" s="1491" t="n"/>
      <c r="C483" s="1491" t="n"/>
      <c r="D483" s="1497">
        <f>IF(E483&lt;&gt;"",D482+1,D482)</f>
        <v/>
      </c>
      <c r="E483" s="1497" t="inlineStr">
        <is>
          <t>Mont-Tremblant</t>
        </is>
      </c>
      <c r="F483" s="1535" t="inlineStr">
        <is>
          <t>.</t>
        </is>
      </c>
      <c r="G483" s="1498">
        <f>IF(H483="AIR",0,IF(H482="AIR",G481+1,IF(H483&lt;&gt;"",G482+1,G482)))</f>
        <v/>
      </c>
      <c r="H483" s="1498" t="inlineStr">
        <is>
          <t>Vaudreuil</t>
        </is>
      </c>
      <c r="I483" s="1427" t="inlineStr">
        <is>
          <t>.</t>
        </is>
      </c>
      <c r="J483" s="1499" t="n">
        <v>478</v>
      </c>
      <c r="K483" s="1500">
        <f>_xlfn.XLOOKUP(cities[[#This Row],[id]],$D$5:$D$1500,E$5:E$1500,"-")</f>
        <v/>
      </c>
      <c r="L483" s="1500">
        <f>_xlfn.XLOOKUP(cities[[#This Row],[city]],ccc[city],ccc[ctry],"-")</f>
        <v/>
      </c>
      <c r="M483" s="1500">
        <f>SUMIFS(stayCity[stay],stayCity[city],cities[[#This Row],[city]])</f>
        <v/>
      </c>
      <c r="N483" s="1427">
        <f>N482+1</f>
        <v/>
      </c>
      <c r="O483" s="1500" t="n"/>
      <c r="P483" s="1500" t="n"/>
      <c r="Q483" s="1427" t="inlineStr">
        <is>
          <t>.</t>
        </is>
      </c>
      <c r="R483" s="1491" t="n"/>
      <c r="S483" s="1491" t="n"/>
      <c r="T483" s="1491" t="n"/>
      <c r="U483" s="1491" t="n"/>
      <c r="V483" s="1491" t="n"/>
      <c r="W483" s="1491" t="n"/>
      <c r="X483" s="1491" t="n"/>
      <c r="Y483" s="1491" t="n"/>
      <c r="Z483" s="1491" t="n"/>
      <c r="AA483" s="1491" t="n"/>
      <c r="AB483" s="1491" t="n"/>
      <c r="AC483" s="1491" t="n"/>
      <c r="AD483" s="1491" t="n"/>
      <c r="AE483" s="1491" t="n"/>
      <c r="AF483" s="1491" t="n"/>
      <c r="AG483" s="1491" t="n"/>
      <c r="AH483" s="1491" t="n"/>
      <c r="AI483" s="1491" t="n"/>
      <c r="AJ483" s="1491" t="n"/>
      <c r="AK483" s="1491" t="n"/>
      <c r="AL483" s="1491" t="n"/>
      <c r="AM483" s="1491" t="n"/>
      <c r="AN483" s="1491" t="n"/>
      <c r="AO483" s="1491" t="n"/>
      <c r="AP483" s="1491" t="n"/>
      <c r="AQ483" s="1491" t="n"/>
      <c r="AR483" s="1491" t="n"/>
      <c r="AS483" s="1491" t="n"/>
      <c r="AT483" s="1491" t="n"/>
      <c r="AU483" s="1491" t="n"/>
      <c r="AV483" s="1491" t="n"/>
      <c r="AW483" s="1491" t="n"/>
      <c r="AX483" s="1491" t="n"/>
      <c r="AY483" s="1491" t="n"/>
      <c r="AZ483" s="1491" t="n"/>
      <c r="BA483" s="1491" t="n"/>
      <c r="BB483" s="1491" t="n"/>
      <c r="BC483" s="1491" t="n"/>
      <c r="BD483" s="1491" t="n"/>
      <c r="BE483" s="1491" t="n"/>
      <c r="BF483" s="1491" t="n"/>
      <c r="BG483" s="1491" t="n"/>
      <c r="BH483" s="1491" t="n"/>
      <c r="BI483" s="1491" t="n"/>
      <c r="BJ483" s="1491" t="n"/>
      <c r="BK483" s="1491" t="n"/>
      <c r="BL483" s="1491" t="n"/>
      <c r="BM483" s="1491" t="n"/>
      <c r="BN483" s="1491" t="n"/>
      <c r="BO483" s="1467" t="n"/>
      <c r="BP483" s="1514" t="n">
        <v>479</v>
      </c>
      <c r="BQ483" s="1513">
        <f>[1]Sheet1!C484</f>
        <v/>
      </c>
      <c r="BR483" s="1515">
        <f>[1]Sheet1!D484</f>
        <v/>
      </c>
      <c r="BS483" s="1513">
        <f>[1]Sheet1!E484</f>
        <v/>
      </c>
      <c r="BT483" s="1515">
        <f>[1]Sheet1!F484</f>
        <v/>
      </c>
      <c r="BU483" s="1516">
        <f>[1]Sheet1!G484</f>
        <v/>
      </c>
      <c r="BV483" s="1513">
        <f>[1]Sheet1!H484</f>
        <v/>
      </c>
      <c r="BW483" s="1467" t="n"/>
      <c r="BX483" s="1491" t="n"/>
      <c r="BY483" s="1491" t="n"/>
      <c r="BZ483" s="1491" t="n"/>
      <c r="CA483" s="1491" t="n"/>
      <c r="CB483" s="1467" t="n"/>
      <c r="CC483" s="1467" t="n"/>
      <c r="CD483" s="1491" t="n"/>
      <c r="CE483" s="1491" t="n"/>
      <c r="CF483" s="1491" t="n"/>
      <c r="CG483" s="1491" t="n"/>
      <c r="CH483" s="1491" t="n"/>
      <c r="CI483" s="1491" t="n"/>
      <c r="CJ483" s="1491" t="n"/>
      <c r="CK483" s="1491" t="n"/>
      <c r="CL483" s="1491" t="n"/>
      <c r="CM483" s="1491" t="n"/>
      <c r="CN483" s="1491" t="n"/>
      <c r="CO483" s="1491" t="n"/>
      <c r="CP483" s="1491" t="n"/>
      <c r="CQ483" s="1491" t="n"/>
      <c r="CR483" s="1491" t="n"/>
      <c r="CS483" s="1491" t="n"/>
      <c r="CT483" s="1491" t="n"/>
      <c r="CU483" s="1491" t="n"/>
      <c r="CV483" s="1491" t="n"/>
      <c r="CW483" s="1491" t="n"/>
      <c r="CX483" s="1491" t="n"/>
    </row>
    <row r="484">
      <c r="A484" s="1491" t="n"/>
      <c r="B484" s="1491" t="n"/>
      <c r="C484" s="1491" t="n"/>
      <c r="D484" s="1497">
        <f>IF(E484&lt;&gt;"",D483+1,D483)</f>
        <v/>
      </c>
      <c r="E484" s="1497" t="inlineStr">
        <is>
          <t>La Belle</t>
        </is>
      </c>
      <c r="F484" s="1535" t="inlineStr">
        <is>
          <t>.</t>
        </is>
      </c>
      <c r="G484" s="1498">
        <f>IF(H484="AIR",0,IF(H483="AIR",G482+1,IF(H484&lt;&gt;"",G483+1,G483)))</f>
        <v/>
      </c>
      <c r="H484" s="1498" t="inlineStr">
        <is>
          <t>Montebello</t>
        </is>
      </c>
      <c r="I484" s="1427" t="inlineStr">
        <is>
          <t>.</t>
        </is>
      </c>
      <c r="J484" s="1499" t="n">
        <v>479</v>
      </c>
      <c r="K484" s="1500">
        <f>_xlfn.XLOOKUP(cities[[#This Row],[id]],$D$5:$D$1500,E$5:E$1500,"-")</f>
        <v/>
      </c>
      <c r="L484" s="1500">
        <f>_xlfn.XLOOKUP(cities[[#This Row],[city]],ccc[city],ccc[ctry],"-")</f>
        <v/>
      </c>
      <c r="M484" s="1500">
        <f>SUMIFS(stayCity[stay],stayCity[city],cities[[#This Row],[city]])</f>
        <v/>
      </c>
      <c r="N484" s="1427">
        <f>N483+1</f>
        <v/>
      </c>
      <c r="O484" s="1500" t="n"/>
      <c r="P484" s="1500" t="n"/>
      <c r="Q484" s="1427" t="inlineStr">
        <is>
          <t>.</t>
        </is>
      </c>
      <c r="R484" s="1491" t="n"/>
      <c r="S484" s="1491" t="n"/>
      <c r="T484" s="1491" t="n"/>
      <c r="U484" s="1491" t="n"/>
      <c r="V484" s="1491" t="n"/>
      <c r="W484" s="1491" t="n"/>
      <c r="X484" s="1491" t="n"/>
      <c r="Y484" s="1491" t="n"/>
      <c r="Z484" s="1491" t="n"/>
      <c r="AA484" s="1491" t="n"/>
      <c r="AB484" s="1491" t="n"/>
      <c r="AC484" s="1491" t="n"/>
      <c r="AD484" s="1491" t="n"/>
      <c r="AE484" s="1491" t="n"/>
      <c r="AF484" s="1491" t="n"/>
      <c r="AG484" s="1491" t="n"/>
      <c r="AH484" s="1491" t="n"/>
      <c r="AI484" s="1491" t="n"/>
      <c r="AJ484" s="1491" t="n"/>
      <c r="AK484" s="1491" t="n"/>
      <c r="AL484" s="1491" t="n"/>
      <c r="AM484" s="1491" t="n"/>
      <c r="AN484" s="1491" t="n"/>
      <c r="AO484" s="1491" t="n"/>
      <c r="AP484" s="1491" t="n"/>
      <c r="AQ484" s="1491" t="n"/>
      <c r="AR484" s="1491" t="n"/>
      <c r="AS484" s="1491" t="n"/>
      <c r="AT484" s="1491" t="n"/>
      <c r="AU484" s="1491" t="n"/>
      <c r="AV484" s="1491" t="n"/>
      <c r="AW484" s="1491" t="n"/>
      <c r="AX484" s="1491" t="n"/>
      <c r="AY484" s="1491" t="n"/>
      <c r="AZ484" s="1491" t="n"/>
      <c r="BA484" s="1491" t="n"/>
      <c r="BB484" s="1491" t="n"/>
      <c r="BC484" s="1491" t="n"/>
      <c r="BD484" s="1491" t="n"/>
      <c r="BE484" s="1491" t="n"/>
      <c r="BF484" s="1491" t="n"/>
      <c r="BG484" s="1491" t="n"/>
      <c r="BH484" s="1491" t="n"/>
      <c r="BI484" s="1491" t="n"/>
      <c r="BJ484" s="1491" t="n"/>
      <c r="BK484" s="1491" t="n"/>
      <c r="BL484" s="1491" t="n"/>
      <c r="BM484" s="1491" t="n"/>
      <c r="BN484" s="1491" t="n"/>
      <c r="BO484" s="1467" t="n"/>
      <c r="BP484" s="1514" t="n">
        <v>480</v>
      </c>
      <c r="BQ484" s="1513">
        <f>[1]Sheet1!C485</f>
        <v/>
      </c>
      <c r="BR484" s="1515">
        <f>[1]Sheet1!D485</f>
        <v/>
      </c>
      <c r="BS484" s="1513">
        <f>[1]Sheet1!E485</f>
        <v/>
      </c>
      <c r="BT484" s="1515">
        <f>[1]Sheet1!F485</f>
        <v/>
      </c>
      <c r="BU484" s="1516">
        <f>[1]Sheet1!G485</f>
        <v/>
      </c>
      <c r="BV484" s="1513">
        <f>[1]Sheet1!H485</f>
        <v/>
      </c>
      <c r="BW484" s="1467" t="n"/>
      <c r="BX484" s="1491" t="n"/>
      <c r="BY484" s="1491" t="n"/>
      <c r="BZ484" s="1491" t="n"/>
      <c r="CA484" s="1491" t="n"/>
      <c r="CB484" s="1467" t="n"/>
      <c r="CC484" s="1467" t="n"/>
      <c r="CD484" s="1491" t="n"/>
      <c r="CE484" s="1491" t="n"/>
      <c r="CF484" s="1491" t="n"/>
      <c r="CG484" s="1491" t="n"/>
      <c r="CH484" s="1491" t="n"/>
      <c r="CI484" s="1491" t="n"/>
      <c r="CJ484" s="1491" t="n"/>
      <c r="CK484" s="1491" t="n"/>
      <c r="CL484" s="1491" t="n"/>
      <c r="CM484" s="1491" t="n"/>
      <c r="CN484" s="1491" t="n"/>
      <c r="CO484" s="1491" t="n"/>
      <c r="CP484" s="1491" t="n"/>
      <c r="CQ484" s="1491" t="n"/>
      <c r="CR484" s="1491" t="n"/>
      <c r="CS484" s="1491" t="n"/>
      <c r="CT484" s="1491" t="n"/>
      <c r="CU484" s="1491" t="n"/>
      <c r="CV484" s="1491" t="n"/>
      <c r="CW484" s="1491" t="n"/>
      <c r="CX484" s="1491" t="n"/>
    </row>
    <row r="485">
      <c r="A485" s="1491" t="n"/>
      <c r="B485" s="1491" t="n"/>
      <c r="C485" s="1491" t="n"/>
      <c r="D485" s="1497">
        <f>IF(E485&lt;&gt;"",D484+1,D484)</f>
        <v/>
      </c>
      <c r="E485" s="1497" t="inlineStr">
        <is>
          <t>Toronto</t>
        </is>
      </c>
      <c r="F485" s="1535" t="inlineStr">
        <is>
          <t>.</t>
        </is>
      </c>
      <c r="G485" s="1498">
        <f>IF(H485="AIR",0,IF(H484="AIR",G483+1,IF(H485&lt;&gt;"",G484+1,G484)))</f>
        <v/>
      </c>
      <c r="H485" s="1498" t="inlineStr">
        <is>
          <t>Saint Sauveur</t>
        </is>
      </c>
      <c r="I485" s="1427" t="inlineStr">
        <is>
          <t>.</t>
        </is>
      </c>
      <c r="J485" s="1499" t="n">
        <v>480</v>
      </c>
      <c r="K485" s="1500">
        <f>_xlfn.XLOOKUP(cities[[#This Row],[id]],$D$5:$D$1500,E$5:E$1500,"-")</f>
        <v/>
      </c>
      <c r="L485" s="1500">
        <f>_xlfn.XLOOKUP(cities[[#This Row],[city]],ccc[city],ccc[ctry],"-")</f>
        <v/>
      </c>
      <c r="M485" s="1500">
        <f>SUMIFS(stayCity[stay],stayCity[city],cities[[#This Row],[city]])</f>
        <v/>
      </c>
      <c r="N485" s="1427">
        <f>N484+1</f>
        <v/>
      </c>
      <c r="O485" s="1500" t="n"/>
      <c r="P485" s="1500" t="n"/>
      <c r="Q485" s="1427" t="inlineStr">
        <is>
          <t>.</t>
        </is>
      </c>
      <c r="R485" s="1491" t="n"/>
      <c r="S485" s="1491" t="n"/>
      <c r="T485" s="1491" t="n"/>
      <c r="U485" s="1491" t="n"/>
      <c r="V485" s="1491" t="n"/>
      <c r="W485" s="1491" t="n"/>
      <c r="X485" s="1491" t="n"/>
      <c r="Y485" s="1491" t="n"/>
      <c r="Z485" s="1491" t="n"/>
      <c r="AA485" s="1491" t="n"/>
      <c r="AB485" s="1491" t="n"/>
      <c r="AC485" s="1491" t="n"/>
      <c r="AD485" s="1491" t="n"/>
      <c r="AE485" s="1491" t="n"/>
      <c r="AF485" s="1491" t="n"/>
      <c r="AG485" s="1491" t="n"/>
      <c r="AH485" s="1491" t="n"/>
      <c r="AI485" s="1491" t="n"/>
      <c r="AJ485" s="1491" t="n"/>
      <c r="AK485" s="1491" t="n"/>
      <c r="AL485" s="1491" t="n"/>
      <c r="AM485" s="1491" t="n"/>
      <c r="AN485" s="1491" t="n"/>
      <c r="AO485" s="1491" t="n"/>
      <c r="AP485" s="1491" t="n"/>
      <c r="AQ485" s="1491" t="n"/>
      <c r="AR485" s="1491" t="n"/>
      <c r="AS485" s="1491" t="n"/>
      <c r="AT485" s="1491" t="n"/>
      <c r="AU485" s="1491" t="n"/>
      <c r="AV485" s="1491" t="n"/>
      <c r="AW485" s="1491" t="n"/>
      <c r="AX485" s="1491" t="n"/>
      <c r="AY485" s="1491" t="n"/>
      <c r="AZ485" s="1491" t="n"/>
      <c r="BA485" s="1491" t="n"/>
      <c r="BB485" s="1491" t="n"/>
      <c r="BC485" s="1491" t="n"/>
      <c r="BD485" s="1491" t="n"/>
      <c r="BE485" s="1491" t="n"/>
      <c r="BF485" s="1491" t="n"/>
      <c r="BG485" s="1491" t="n"/>
      <c r="BH485" s="1491" t="n"/>
      <c r="BI485" s="1491" t="n"/>
      <c r="BJ485" s="1491" t="n"/>
      <c r="BK485" s="1491" t="n"/>
      <c r="BL485" s="1491" t="n"/>
      <c r="BM485" s="1491" t="n"/>
      <c r="BN485" s="1491" t="n"/>
      <c r="BO485" s="1467" t="n"/>
      <c r="BP485" s="1514" t="n">
        <v>481</v>
      </c>
      <c r="BQ485" s="1513">
        <f>[1]Sheet1!C486</f>
        <v/>
      </c>
      <c r="BR485" s="1515">
        <f>[1]Sheet1!D486</f>
        <v/>
      </c>
      <c r="BS485" s="1513">
        <f>[1]Sheet1!E486</f>
        <v/>
      </c>
      <c r="BT485" s="1515">
        <f>[1]Sheet1!F486</f>
        <v/>
      </c>
      <c r="BU485" s="1516">
        <f>[1]Sheet1!G486</f>
        <v/>
      </c>
      <c r="BV485" s="1513">
        <f>[1]Sheet1!H486</f>
        <v/>
      </c>
      <c r="BW485" s="1467" t="n"/>
      <c r="BX485" s="1491" t="n"/>
      <c r="BY485" s="1491" t="n"/>
      <c r="BZ485" s="1491" t="n"/>
      <c r="CA485" s="1491" t="n"/>
      <c r="CB485" s="1467" t="n"/>
      <c r="CC485" s="1467" t="n"/>
      <c r="CD485" s="1491" t="n"/>
      <c r="CE485" s="1491" t="n"/>
      <c r="CF485" s="1491" t="n"/>
      <c r="CG485" s="1491" t="n"/>
      <c r="CH485" s="1491" t="n"/>
      <c r="CI485" s="1491" t="n"/>
      <c r="CJ485" s="1491" t="n"/>
      <c r="CK485" s="1491" t="n"/>
      <c r="CL485" s="1491" t="n"/>
      <c r="CM485" s="1491" t="n"/>
      <c r="CN485" s="1491" t="n"/>
      <c r="CO485" s="1491" t="n"/>
      <c r="CP485" s="1491" t="n"/>
      <c r="CQ485" s="1491" t="n"/>
      <c r="CR485" s="1491" t="n"/>
      <c r="CS485" s="1491" t="n"/>
      <c r="CT485" s="1491" t="n"/>
      <c r="CU485" s="1491" t="n"/>
      <c r="CV485" s="1491" t="n"/>
      <c r="CW485" s="1491" t="n"/>
      <c r="CX485" s="1491" t="n"/>
    </row>
    <row r="486">
      <c r="A486" s="1491" t="n"/>
      <c r="B486" s="1491" t="n"/>
      <c r="C486" s="1491" t="n"/>
      <c r="D486" s="1497">
        <f>IF(E486&lt;&gt;"",D485+1,D485)</f>
        <v/>
      </c>
      <c r="E486" s="1497" t="inlineStr">
        <is>
          <t>Trois-Rivieres</t>
        </is>
      </c>
      <c r="F486" s="1535" t="inlineStr">
        <is>
          <t>.</t>
        </is>
      </c>
      <c r="G486" s="1498">
        <f>IF(H486="AIR",0,IF(H485="AIR",G484+1,IF(H486&lt;&gt;"",G485+1,G485)))</f>
        <v/>
      </c>
      <c r="H486" s="1498" t="inlineStr">
        <is>
          <t>Bromont</t>
        </is>
      </c>
      <c r="I486" s="1427" t="inlineStr">
        <is>
          <t>.</t>
        </is>
      </c>
      <c r="J486" s="1499" t="n">
        <v>481</v>
      </c>
      <c r="K486" s="1500">
        <f>_xlfn.XLOOKUP(cities[[#This Row],[id]],$D$5:$D$1500,E$5:E$1500,"-")</f>
        <v/>
      </c>
      <c r="L486" s="1500">
        <f>_xlfn.XLOOKUP(cities[[#This Row],[city]],ccc[city],ccc[ctry],"-")</f>
        <v/>
      </c>
      <c r="M486" s="1500">
        <f>SUMIFS(stayCity[stay],stayCity[city],cities[[#This Row],[city]])</f>
        <v/>
      </c>
      <c r="N486" s="1427">
        <f>N485+1</f>
        <v/>
      </c>
      <c r="O486" s="1500" t="n"/>
      <c r="P486" s="1500" t="n"/>
      <c r="Q486" s="1427" t="inlineStr">
        <is>
          <t>.</t>
        </is>
      </c>
      <c r="R486" s="1491" t="n"/>
      <c r="S486" s="1491" t="n"/>
      <c r="T486" s="1491" t="n"/>
      <c r="U486" s="1491" t="n"/>
      <c r="V486" s="1491" t="n"/>
      <c r="W486" s="1491" t="n"/>
      <c r="X486" s="1491" t="n"/>
      <c r="Y486" s="1491" t="n"/>
      <c r="Z486" s="1491" t="n"/>
      <c r="AA486" s="1491" t="n"/>
      <c r="AB486" s="1491" t="n"/>
      <c r="AC486" s="1491" t="n"/>
      <c r="AD486" s="1491" t="n"/>
      <c r="AE486" s="1491" t="n"/>
      <c r="AF486" s="1491" t="n"/>
      <c r="AG486" s="1491" t="n"/>
      <c r="AH486" s="1491" t="n"/>
      <c r="AI486" s="1491" t="n"/>
      <c r="AJ486" s="1491" t="n"/>
      <c r="AK486" s="1491" t="n"/>
      <c r="AL486" s="1491" t="n"/>
      <c r="AM486" s="1491" t="n"/>
      <c r="AN486" s="1491" t="n"/>
      <c r="AO486" s="1491" t="n"/>
      <c r="AP486" s="1491" t="n"/>
      <c r="AQ486" s="1491" t="n"/>
      <c r="AR486" s="1491" t="n"/>
      <c r="AS486" s="1491" t="n"/>
      <c r="AT486" s="1491" t="n"/>
      <c r="AU486" s="1491" t="n"/>
      <c r="AV486" s="1491" t="n"/>
      <c r="AW486" s="1491" t="n"/>
      <c r="AX486" s="1491" t="n"/>
      <c r="AY486" s="1491" t="n"/>
      <c r="AZ486" s="1491" t="n"/>
      <c r="BA486" s="1491" t="n"/>
      <c r="BB486" s="1491" t="n"/>
      <c r="BC486" s="1491" t="n"/>
      <c r="BD486" s="1491" t="n"/>
      <c r="BE486" s="1491" t="n"/>
      <c r="BF486" s="1491" t="n"/>
      <c r="BG486" s="1491" t="n"/>
      <c r="BH486" s="1491" t="n"/>
      <c r="BI486" s="1491" t="n"/>
      <c r="BJ486" s="1491" t="n"/>
      <c r="BK486" s="1491" t="n"/>
      <c r="BL486" s="1491" t="n"/>
      <c r="BM486" s="1491" t="n"/>
      <c r="BN486" s="1491" t="n"/>
      <c r="BO486" s="1467" t="n"/>
      <c r="BP486" s="1514" t="n">
        <v>482</v>
      </c>
      <c r="BQ486" s="1513">
        <f>[1]Sheet1!C487</f>
        <v/>
      </c>
      <c r="BR486" s="1515">
        <f>[1]Sheet1!D487</f>
        <v/>
      </c>
      <c r="BS486" s="1513">
        <f>[1]Sheet1!E487</f>
        <v/>
      </c>
      <c r="BT486" s="1515">
        <f>[1]Sheet1!F487</f>
        <v/>
      </c>
      <c r="BU486" s="1516">
        <f>[1]Sheet1!G487</f>
        <v/>
      </c>
      <c r="BV486" s="1513">
        <f>[1]Sheet1!H487</f>
        <v/>
      </c>
      <c r="BW486" s="1467" t="n"/>
      <c r="BX486" s="1491" t="n"/>
      <c r="BY486" s="1491" t="n"/>
      <c r="BZ486" s="1491" t="n"/>
      <c r="CA486" s="1491" t="n"/>
      <c r="CB486" s="1467" t="n"/>
      <c r="CC486" s="1467" t="n"/>
      <c r="CD486" s="1491" t="n"/>
      <c r="CE486" s="1491" t="n"/>
      <c r="CF486" s="1491" t="n"/>
      <c r="CG486" s="1491" t="n"/>
      <c r="CH486" s="1491" t="n"/>
      <c r="CI486" s="1491" t="n"/>
      <c r="CJ486" s="1491" t="n"/>
      <c r="CK486" s="1491" t="n"/>
      <c r="CL486" s="1491" t="n"/>
      <c r="CM486" s="1491" t="n"/>
      <c r="CN486" s="1491" t="n"/>
      <c r="CO486" s="1491" t="n"/>
      <c r="CP486" s="1491" t="n"/>
      <c r="CQ486" s="1491" t="n"/>
      <c r="CR486" s="1491" t="n"/>
      <c r="CS486" s="1491" t="n"/>
      <c r="CT486" s="1491" t="n"/>
      <c r="CU486" s="1491" t="n"/>
      <c r="CV486" s="1491" t="n"/>
      <c r="CW486" s="1491" t="n"/>
      <c r="CX486" s="1491" t="n"/>
    </row>
    <row r="487">
      <c r="A487" s="1491" t="n"/>
      <c r="B487" s="1491" t="n"/>
      <c r="C487" s="1491" t="n"/>
      <c r="D487" s="1497">
        <f>IF(E487&lt;&gt;"",D486+1,D486)</f>
        <v/>
      </c>
      <c r="E487" s="1497" t="inlineStr">
        <is>
          <t>Kissimee</t>
        </is>
      </c>
      <c r="F487" s="1535" t="inlineStr">
        <is>
          <t>.</t>
        </is>
      </c>
      <c r="G487" s="1498">
        <f>IF(H487="AIR",0,IF(H486="AIR",G485+1,IF(H487&lt;&gt;"",G486+1,G486)))</f>
        <v/>
      </c>
      <c r="H487" s="1498" t="inlineStr">
        <is>
          <t>Detroit</t>
        </is>
      </c>
      <c r="I487" s="1427" t="inlineStr">
        <is>
          <t>.</t>
        </is>
      </c>
      <c r="J487" s="1499" t="n">
        <v>482</v>
      </c>
      <c r="K487" s="1500">
        <f>_xlfn.XLOOKUP(cities[[#This Row],[id]],$D$5:$D$1500,E$5:E$1500,"-")</f>
        <v/>
      </c>
      <c r="L487" s="1500">
        <f>_xlfn.XLOOKUP(cities[[#This Row],[city]],ccc[city],ccc[ctry],"-")</f>
        <v/>
      </c>
      <c r="M487" s="1500">
        <f>SUMIFS(stayCity[stay],stayCity[city],cities[[#This Row],[city]])</f>
        <v/>
      </c>
      <c r="N487" s="1427">
        <f>N486+1</f>
        <v/>
      </c>
      <c r="O487" s="1500" t="n"/>
      <c r="P487" s="1500" t="n"/>
      <c r="Q487" s="1427" t="inlineStr">
        <is>
          <t>.</t>
        </is>
      </c>
      <c r="R487" s="1491" t="n"/>
      <c r="S487" s="1491" t="n"/>
      <c r="T487" s="1491" t="n"/>
      <c r="U487" s="1491" t="n"/>
      <c r="V487" s="1491" t="n"/>
      <c r="W487" s="1491" t="n"/>
      <c r="X487" s="1491" t="n"/>
      <c r="Y487" s="1491" t="n"/>
      <c r="Z487" s="1491" t="n"/>
      <c r="AA487" s="1491" t="n"/>
      <c r="AB487" s="1491" t="n"/>
      <c r="AC487" s="1491" t="n"/>
      <c r="AD487" s="1491" t="n"/>
      <c r="AE487" s="1491" t="n"/>
      <c r="AF487" s="1491" t="n"/>
      <c r="AG487" s="1491" t="n"/>
      <c r="AH487" s="1491" t="n"/>
      <c r="AI487" s="1491" t="n"/>
      <c r="AJ487" s="1491" t="n"/>
      <c r="AK487" s="1491" t="n"/>
      <c r="AL487" s="1491" t="n"/>
      <c r="AM487" s="1491" t="n"/>
      <c r="AN487" s="1491" t="n"/>
      <c r="AO487" s="1491" t="n"/>
      <c r="AP487" s="1491" t="n"/>
      <c r="AQ487" s="1491" t="n"/>
      <c r="AR487" s="1491" t="n"/>
      <c r="AS487" s="1491" t="n"/>
      <c r="AT487" s="1491" t="n"/>
      <c r="AU487" s="1491" t="n"/>
      <c r="AV487" s="1491" t="n"/>
      <c r="AW487" s="1491" t="n"/>
      <c r="AX487" s="1491" t="n"/>
      <c r="AY487" s="1491" t="n"/>
      <c r="AZ487" s="1491" t="n"/>
      <c r="BA487" s="1491" t="n"/>
      <c r="BB487" s="1491" t="n"/>
      <c r="BC487" s="1491" t="n"/>
      <c r="BD487" s="1491" t="n"/>
      <c r="BE487" s="1491" t="n"/>
      <c r="BF487" s="1491" t="n"/>
      <c r="BG487" s="1491" t="n"/>
      <c r="BH487" s="1491" t="n"/>
      <c r="BI487" s="1491" t="n"/>
      <c r="BJ487" s="1491" t="n"/>
      <c r="BK487" s="1491" t="n"/>
      <c r="BL487" s="1491" t="n"/>
      <c r="BM487" s="1491" t="n"/>
      <c r="BN487" s="1491" t="n"/>
      <c r="BO487" s="1467" t="n"/>
      <c r="BP487" s="1514" t="n">
        <v>483</v>
      </c>
      <c r="BQ487" s="1513">
        <f>[1]Sheet1!C488</f>
        <v/>
      </c>
      <c r="BR487" s="1515">
        <f>[1]Sheet1!D488</f>
        <v/>
      </c>
      <c r="BS487" s="1513">
        <f>[1]Sheet1!E488</f>
        <v/>
      </c>
      <c r="BT487" s="1515">
        <f>[1]Sheet1!F488</f>
        <v/>
      </c>
      <c r="BU487" s="1516">
        <f>[1]Sheet1!G488</f>
        <v/>
      </c>
      <c r="BV487" s="1513">
        <f>[1]Sheet1!H488</f>
        <v/>
      </c>
      <c r="BW487" s="1467" t="n"/>
      <c r="BX487" s="1491" t="n"/>
      <c r="BY487" s="1491" t="n"/>
      <c r="BZ487" s="1491" t="n"/>
      <c r="CA487" s="1491" t="n"/>
      <c r="CB487" s="1467" t="n"/>
      <c r="CC487" s="1467" t="n"/>
      <c r="CD487" s="1491" t="n"/>
      <c r="CE487" s="1491" t="n"/>
      <c r="CF487" s="1491" t="n"/>
      <c r="CG487" s="1491" t="n"/>
      <c r="CH487" s="1491" t="n"/>
      <c r="CI487" s="1491" t="n"/>
      <c r="CJ487" s="1491" t="n"/>
      <c r="CK487" s="1491" t="n"/>
      <c r="CL487" s="1491" t="n"/>
      <c r="CM487" s="1491" t="n"/>
      <c r="CN487" s="1491" t="n"/>
      <c r="CO487" s="1491" t="n"/>
      <c r="CP487" s="1491" t="n"/>
      <c r="CQ487" s="1491" t="n"/>
      <c r="CR487" s="1491" t="n"/>
      <c r="CS487" s="1491" t="n"/>
      <c r="CT487" s="1491" t="n"/>
      <c r="CU487" s="1491" t="n"/>
      <c r="CV487" s="1491" t="n"/>
      <c r="CW487" s="1491" t="n"/>
      <c r="CX487" s="1491" t="n"/>
    </row>
    <row r="488">
      <c r="A488" s="1491" t="n"/>
      <c r="B488" s="1491" t="n"/>
      <c r="C488" s="1491" t="n"/>
      <c r="D488" s="1497">
        <f>IF(E488&lt;&gt;"",D487+1,D487)</f>
        <v/>
      </c>
      <c r="E488" s="1497" t="inlineStr">
        <is>
          <t>Guarajuba</t>
        </is>
      </c>
      <c r="F488" s="1535" t="inlineStr">
        <is>
          <t>.</t>
        </is>
      </c>
      <c r="G488" s="1498">
        <f>IF(H488="AIR",0,IF(H487="AIR",G486+1,IF(H488&lt;&gt;"",G487+1,G487)))</f>
        <v/>
      </c>
      <c r="H488" s="1498" t="inlineStr">
        <is>
          <t>BORDER USA</t>
        </is>
      </c>
      <c r="I488" s="1427" t="inlineStr">
        <is>
          <t>.</t>
        </is>
      </c>
      <c r="J488" s="1499" t="n">
        <v>483</v>
      </c>
      <c r="K488" s="1500">
        <f>_xlfn.XLOOKUP(cities[[#This Row],[id]],$D$5:$D$1500,E$5:E$1500,"-")</f>
        <v/>
      </c>
      <c r="L488" s="1500">
        <f>_xlfn.XLOOKUP(cities[[#This Row],[city]],ccc[city],ccc[ctry],"-")</f>
        <v/>
      </c>
      <c r="M488" s="1500">
        <f>SUMIFS(stayCity[stay],stayCity[city],cities[[#This Row],[city]])</f>
        <v/>
      </c>
      <c r="N488" s="1427">
        <f>N487+1</f>
        <v/>
      </c>
      <c r="O488" s="1500" t="n"/>
      <c r="P488" s="1500" t="n"/>
      <c r="Q488" s="1427" t="inlineStr">
        <is>
          <t>.</t>
        </is>
      </c>
      <c r="R488" s="1491" t="n"/>
      <c r="S488" s="1491" t="n"/>
      <c r="T488" s="1491" t="n"/>
      <c r="U488" s="1491" t="n"/>
      <c r="V488" s="1491" t="n"/>
      <c r="W488" s="1491" t="n"/>
      <c r="X488" s="1491" t="n"/>
      <c r="Y488" s="1491" t="n"/>
      <c r="Z488" s="1491" t="n"/>
      <c r="AA488" s="1491" t="n"/>
      <c r="AB488" s="1491" t="n"/>
      <c r="AC488" s="1491" t="n"/>
      <c r="AD488" s="1491" t="n"/>
      <c r="AE488" s="1491" t="n"/>
      <c r="AF488" s="1491" t="n"/>
      <c r="AG488" s="1491" t="n"/>
      <c r="AH488" s="1491" t="n"/>
      <c r="AI488" s="1491" t="n"/>
      <c r="AJ488" s="1491" t="n"/>
      <c r="AK488" s="1491" t="n"/>
      <c r="AL488" s="1491" t="n"/>
      <c r="AM488" s="1491" t="n"/>
      <c r="AN488" s="1491" t="n"/>
      <c r="AO488" s="1491" t="n"/>
      <c r="AP488" s="1491" t="n"/>
      <c r="AQ488" s="1491" t="n"/>
      <c r="AR488" s="1491" t="n"/>
      <c r="AS488" s="1491" t="n"/>
      <c r="AT488" s="1491" t="n"/>
      <c r="AU488" s="1491" t="n"/>
      <c r="AV488" s="1491" t="n"/>
      <c r="AW488" s="1491" t="n"/>
      <c r="AX488" s="1491" t="n"/>
      <c r="AY488" s="1491" t="n"/>
      <c r="AZ488" s="1491" t="n"/>
      <c r="BA488" s="1491" t="n"/>
      <c r="BB488" s="1491" t="n"/>
      <c r="BC488" s="1491" t="n"/>
      <c r="BD488" s="1491" t="n"/>
      <c r="BE488" s="1491" t="n"/>
      <c r="BF488" s="1491" t="n"/>
      <c r="BG488" s="1491" t="n"/>
      <c r="BH488" s="1491" t="n"/>
      <c r="BI488" s="1491" t="n"/>
      <c r="BJ488" s="1491" t="n"/>
      <c r="BK488" s="1491" t="n"/>
      <c r="BL488" s="1491" t="n"/>
      <c r="BM488" s="1491" t="n"/>
      <c r="BN488" s="1491" t="n"/>
      <c r="BO488" s="1467" t="n"/>
      <c r="BP488" s="1514" t="n">
        <v>484</v>
      </c>
      <c r="BQ488" s="1513">
        <f>[1]Sheet1!C489</f>
        <v/>
      </c>
      <c r="BR488" s="1515">
        <f>[1]Sheet1!D489</f>
        <v/>
      </c>
      <c r="BS488" s="1513">
        <f>[1]Sheet1!E489</f>
        <v/>
      </c>
      <c r="BT488" s="1515">
        <f>[1]Sheet1!F489</f>
        <v/>
      </c>
      <c r="BU488" s="1516">
        <f>[1]Sheet1!G489</f>
        <v/>
      </c>
      <c r="BV488" s="1513">
        <f>[1]Sheet1!H489</f>
        <v/>
      </c>
      <c r="BW488" s="1467" t="n"/>
      <c r="BX488" s="1491" t="n"/>
      <c r="BY488" s="1491" t="n"/>
      <c r="BZ488" s="1491" t="n"/>
      <c r="CA488" s="1491" t="n"/>
      <c r="CB488" s="1467" t="n"/>
      <c r="CC488" s="1467" t="n"/>
      <c r="CD488" s="1491" t="n"/>
      <c r="CE488" s="1491" t="n"/>
      <c r="CF488" s="1491" t="n"/>
      <c r="CG488" s="1491" t="n"/>
      <c r="CH488" s="1491" t="n"/>
      <c r="CI488" s="1491" t="n"/>
      <c r="CJ488" s="1491" t="n"/>
      <c r="CK488" s="1491" t="n"/>
      <c r="CL488" s="1491" t="n"/>
      <c r="CM488" s="1491" t="n"/>
      <c r="CN488" s="1491" t="n"/>
      <c r="CO488" s="1491" t="n"/>
      <c r="CP488" s="1491" t="n"/>
      <c r="CQ488" s="1491" t="n"/>
      <c r="CR488" s="1491" t="n"/>
      <c r="CS488" s="1491" t="n"/>
      <c r="CT488" s="1491" t="n"/>
      <c r="CU488" s="1491" t="n"/>
      <c r="CV488" s="1491" t="n"/>
      <c r="CW488" s="1491" t="n"/>
      <c r="CX488" s="1491" t="n"/>
    </row>
    <row r="489">
      <c r="A489" s="1491" t="n"/>
      <c r="B489" s="1491" t="n"/>
      <c r="C489" s="1491" t="n"/>
      <c r="D489" s="1497">
        <f>IF(E489&lt;&gt;"",D488+1,D488)</f>
        <v/>
      </c>
      <c r="E489" s="1497" t="inlineStr">
        <is>
          <t>Queensbury</t>
        </is>
      </c>
      <c r="F489" s="1535" t="inlineStr">
        <is>
          <t>.</t>
        </is>
      </c>
      <c r="G489" s="1498">
        <f>IF(H489="AIR",0,IF(H488="AIR",G487+1,IF(H489&lt;&gt;"",G488+1,G488)))</f>
        <v/>
      </c>
      <c r="H489" s="1498" t="inlineStr">
        <is>
          <t>BORDER CAN</t>
        </is>
      </c>
      <c r="I489" s="1427" t="inlineStr">
        <is>
          <t>.</t>
        </is>
      </c>
      <c r="J489" s="1499" t="n">
        <v>484</v>
      </c>
      <c r="K489" s="1500">
        <f>_xlfn.XLOOKUP(cities[[#This Row],[id]],$D$5:$D$1500,E$5:E$1500,"-")</f>
        <v/>
      </c>
      <c r="L489" s="1500">
        <f>_xlfn.XLOOKUP(cities[[#This Row],[city]],ccc[city],ccc[ctry],"-")</f>
        <v/>
      </c>
      <c r="M489" s="1500">
        <f>SUMIFS(stayCity[stay],stayCity[city],cities[[#This Row],[city]])</f>
        <v/>
      </c>
      <c r="N489" s="1427">
        <f>N488+1</f>
        <v/>
      </c>
      <c r="O489" s="1500" t="n"/>
      <c r="P489" s="1500" t="n"/>
      <c r="Q489" s="1427" t="inlineStr">
        <is>
          <t>.</t>
        </is>
      </c>
      <c r="R489" s="1491" t="n"/>
      <c r="S489" s="1491" t="n"/>
      <c r="T489" s="1491" t="n"/>
      <c r="U489" s="1491" t="n"/>
      <c r="V489" s="1491" t="n"/>
      <c r="W489" s="1491" t="n"/>
      <c r="X489" s="1491" t="n"/>
      <c r="Y489" s="1491" t="n"/>
      <c r="Z489" s="1491" t="n"/>
      <c r="AA489" s="1491" t="n"/>
      <c r="AB489" s="1491" t="n"/>
      <c r="AC489" s="1491" t="n"/>
      <c r="AD489" s="1491" t="n"/>
      <c r="AE489" s="1491" t="n"/>
      <c r="AF489" s="1491" t="n"/>
      <c r="AG489" s="1491" t="n"/>
      <c r="AH489" s="1491" t="n"/>
      <c r="AI489" s="1491" t="n"/>
      <c r="AJ489" s="1491" t="n"/>
      <c r="AK489" s="1491" t="n"/>
      <c r="AL489" s="1491" t="n"/>
      <c r="AM489" s="1491" t="n"/>
      <c r="AN489" s="1491" t="n"/>
      <c r="AO489" s="1491" t="n"/>
      <c r="AP489" s="1491" t="n"/>
      <c r="AQ489" s="1491" t="n"/>
      <c r="AR489" s="1491" t="n"/>
      <c r="AS489" s="1491" t="n"/>
      <c r="AT489" s="1491" t="n"/>
      <c r="AU489" s="1491" t="n"/>
      <c r="AV489" s="1491" t="n"/>
      <c r="AW489" s="1491" t="n"/>
      <c r="AX489" s="1491" t="n"/>
      <c r="AY489" s="1491" t="n"/>
      <c r="AZ489" s="1491" t="n"/>
      <c r="BA489" s="1491" t="n"/>
      <c r="BB489" s="1491" t="n"/>
      <c r="BC489" s="1491" t="n"/>
      <c r="BD489" s="1491" t="n"/>
      <c r="BE489" s="1491" t="n"/>
      <c r="BF489" s="1491" t="n"/>
      <c r="BG489" s="1491" t="n"/>
      <c r="BH489" s="1491" t="n"/>
      <c r="BI489" s="1491" t="n"/>
      <c r="BJ489" s="1491" t="n"/>
      <c r="BK489" s="1491" t="n"/>
      <c r="BL489" s="1491" t="n"/>
      <c r="BM489" s="1491" t="n"/>
      <c r="BN489" s="1491" t="n"/>
      <c r="BO489" s="1467" t="n"/>
      <c r="BP489" s="1514" t="n">
        <v>485</v>
      </c>
      <c r="BQ489" s="1513">
        <f>[1]Sheet1!C490</f>
        <v/>
      </c>
      <c r="BR489" s="1515">
        <f>[1]Sheet1!D490</f>
        <v/>
      </c>
      <c r="BS489" s="1513">
        <f>[1]Sheet1!E490</f>
        <v/>
      </c>
      <c r="BT489" s="1515">
        <f>[1]Sheet1!F490</f>
        <v/>
      </c>
      <c r="BU489" s="1516">
        <f>[1]Sheet1!G490</f>
        <v/>
      </c>
      <c r="BV489" s="1513">
        <f>[1]Sheet1!H490</f>
        <v/>
      </c>
      <c r="BW489" s="1467" t="n"/>
      <c r="BX489" s="1491" t="n"/>
      <c r="BY489" s="1491" t="n"/>
      <c r="BZ489" s="1491" t="n"/>
      <c r="CA489" s="1491" t="n"/>
      <c r="CB489" s="1467" t="n"/>
      <c r="CC489" s="1467" t="n"/>
      <c r="CD489" s="1491" t="n"/>
      <c r="CE489" s="1491" t="n"/>
      <c r="CF489" s="1491" t="n"/>
      <c r="CG489" s="1491" t="n"/>
      <c r="CH489" s="1491" t="n"/>
      <c r="CI489" s="1491" t="n"/>
      <c r="CJ489" s="1491" t="n"/>
      <c r="CK489" s="1491" t="n"/>
      <c r="CL489" s="1491" t="n"/>
      <c r="CM489" s="1491" t="n"/>
      <c r="CN489" s="1491" t="n"/>
      <c r="CO489" s="1491" t="n"/>
      <c r="CP489" s="1491" t="n"/>
      <c r="CQ489" s="1491" t="n"/>
      <c r="CR489" s="1491" t="n"/>
      <c r="CS489" s="1491" t="n"/>
      <c r="CT489" s="1491" t="n"/>
      <c r="CU489" s="1491" t="n"/>
      <c r="CV489" s="1491" t="n"/>
      <c r="CW489" s="1491" t="n"/>
      <c r="CX489" s="1491" t="n"/>
    </row>
    <row r="490">
      <c r="A490" s="1491" t="n"/>
      <c r="B490" s="1491" t="n"/>
      <c r="C490" s="1491" t="n"/>
      <c r="D490" s="1497">
        <f>IF(E490&lt;&gt;"",D489+1,D489)</f>
        <v/>
      </c>
      <c r="E490" s="1497" t="inlineStr">
        <is>
          <t>Halifax</t>
        </is>
      </c>
      <c r="F490" s="1535" t="inlineStr">
        <is>
          <t>.</t>
        </is>
      </c>
      <c r="G490" s="1498">
        <f>IF(H490="AIR",0,IF(H489="AIR",G488+1,IF(H490&lt;&gt;"",G489+1,G489)))</f>
        <v/>
      </c>
      <c r="H490" s="1498" t="inlineStr">
        <is>
          <t>Quebec City</t>
        </is>
      </c>
      <c r="I490" s="1427" t="inlineStr">
        <is>
          <t>.</t>
        </is>
      </c>
      <c r="J490" s="1499" t="n">
        <v>485</v>
      </c>
      <c r="K490" s="1500">
        <f>_xlfn.XLOOKUP(cities[[#This Row],[id]],$D$5:$D$1500,E$5:E$1500,"-")</f>
        <v/>
      </c>
      <c r="L490" s="1500">
        <f>_xlfn.XLOOKUP(cities[[#This Row],[city]],ccc[city],ccc[ctry],"-")</f>
        <v/>
      </c>
      <c r="M490" s="1500">
        <f>SUMIFS(stayCity[stay],stayCity[city],cities[[#This Row],[city]])</f>
        <v/>
      </c>
      <c r="N490" s="1427">
        <f>N489+1</f>
        <v/>
      </c>
      <c r="O490" s="1500" t="n"/>
      <c r="P490" s="1500" t="n"/>
      <c r="Q490" s="1427" t="inlineStr">
        <is>
          <t>.</t>
        </is>
      </c>
      <c r="R490" s="1491" t="n"/>
      <c r="S490" s="1491" t="n"/>
      <c r="T490" s="1491" t="n"/>
      <c r="U490" s="1491" t="n"/>
      <c r="V490" s="1491" t="n"/>
      <c r="W490" s="1491" t="n"/>
      <c r="X490" s="1491" t="n"/>
      <c r="Y490" s="1491" t="n"/>
      <c r="Z490" s="1491" t="n"/>
      <c r="AA490" s="1491" t="n"/>
      <c r="AB490" s="1491" t="n"/>
      <c r="AC490" s="1491" t="n"/>
      <c r="AD490" s="1491" t="n"/>
      <c r="AE490" s="1491" t="n"/>
      <c r="AF490" s="1491" t="n"/>
      <c r="AG490" s="1491" t="n"/>
      <c r="AH490" s="1491" t="n"/>
      <c r="AI490" s="1491" t="n"/>
      <c r="AJ490" s="1491" t="n"/>
      <c r="AK490" s="1491" t="n"/>
      <c r="AL490" s="1491" t="n"/>
      <c r="AM490" s="1491" t="n"/>
      <c r="AN490" s="1491" t="n"/>
      <c r="AO490" s="1491" t="n"/>
      <c r="AP490" s="1491" t="n"/>
      <c r="AQ490" s="1491" t="n"/>
      <c r="AR490" s="1491" t="n"/>
      <c r="AS490" s="1491" t="n"/>
      <c r="AT490" s="1491" t="n"/>
      <c r="AU490" s="1491" t="n"/>
      <c r="AV490" s="1491" t="n"/>
      <c r="AW490" s="1491" t="n"/>
      <c r="AX490" s="1491" t="n"/>
      <c r="AY490" s="1491" t="n"/>
      <c r="AZ490" s="1491" t="n"/>
      <c r="BA490" s="1491" t="n"/>
      <c r="BB490" s="1491" t="n"/>
      <c r="BC490" s="1491" t="n"/>
      <c r="BD490" s="1491" t="n"/>
      <c r="BE490" s="1491" t="n"/>
      <c r="BF490" s="1491" t="n"/>
      <c r="BG490" s="1491" t="n"/>
      <c r="BH490" s="1491" t="n"/>
      <c r="BI490" s="1491" t="n"/>
      <c r="BJ490" s="1491" t="n"/>
      <c r="BK490" s="1491" t="n"/>
      <c r="BL490" s="1491" t="n"/>
      <c r="BM490" s="1491" t="n"/>
      <c r="BN490" s="1491" t="n"/>
      <c r="BO490" s="1467" t="n"/>
      <c r="BP490" s="1514" t="n">
        <v>486</v>
      </c>
      <c r="BQ490" s="1513">
        <f>[1]Sheet1!C491</f>
        <v/>
      </c>
      <c r="BR490" s="1515">
        <f>[1]Sheet1!D491</f>
        <v/>
      </c>
      <c r="BS490" s="1513">
        <f>[1]Sheet1!E491</f>
        <v/>
      </c>
      <c r="BT490" s="1515">
        <f>[1]Sheet1!F491</f>
        <v/>
      </c>
      <c r="BU490" s="1516">
        <f>[1]Sheet1!G491</f>
        <v/>
      </c>
      <c r="BV490" s="1513">
        <f>[1]Sheet1!H491</f>
        <v/>
      </c>
      <c r="BW490" s="1467" t="n"/>
      <c r="BX490" s="1491" t="n"/>
      <c r="BY490" s="1491" t="n"/>
      <c r="BZ490" s="1491" t="n"/>
      <c r="CA490" s="1491" t="n"/>
      <c r="CB490" s="1467" t="n"/>
      <c r="CC490" s="1467" t="n"/>
      <c r="CD490" s="1491" t="n"/>
      <c r="CE490" s="1491" t="n"/>
      <c r="CF490" s="1491" t="n"/>
      <c r="CG490" s="1491" t="n"/>
      <c r="CH490" s="1491" t="n"/>
      <c r="CI490" s="1491" t="n"/>
      <c r="CJ490" s="1491" t="n"/>
      <c r="CK490" s="1491" t="n"/>
      <c r="CL490" s="1491" t="n"/>
      <c r="CM490" s="1491" t="n"/>
      <c r="CN490" s="1491" t="n"/>
      <c r="CO490" s="1491" t="n"/>
      <c r="CP490" s="1491" t="n"/>
      <c r="CQ490" s="1491" t="n"/>
      <c r="CR490" s="1491" t="n"/>
      <c r="CS490" s="1491" t="n"/>
      <c r="CT490" s="1491" t="n"/>
      <c r="CU490" s="1491" t="n"/>
      <c r="CV490" s="1491" t="n"/>
      <c r="CW490" s="1491" t="n"/>
      <c r="CX490" s="1491" t="n"/>
    </row>
    <row r="491">
      <c r="A491" s="1491" t="n"/>
      <c r="B491" s="1491" t="n"/>
      <c r="C491" s="1491" t="n"/>
      <c r="D491" s="1497">
        <f>IF(E491&lt;&gt;"",D490+1,D490)</f>
        <v/>
      </c>
      <c r="E491" s="1497" t="inlineStr">
        <is>
          <t>Vancouver</t>
        </is>
      </c>
      <c r="F491" s="1535" t="inlineStr">
        <is>
          <t>.</t>
        </is>
      </c>
      <c r="G491" s="1498">
        <f>IF(H491="AIR",0,IF(H490="AIR",G489+1,IF(H491&lt;&gt;"",G490+1,G490)))</f>
        <v/>
      </c>
      <c r="H491" s="1498" t="inlineStr">
        <is>
          <t>Portneuf</t>
        </is>
      </c>
      <c r="I491" s="1427" t="inlineStr">
        <is>
          <t>.</t>
        </is>
      </c>
      <c r="J491" s="1499" t="n">
        <v>486</v>
      </c>
      <c r="K491" s="1500">
        <f>_xlfn.XLOOKUP(cities[[#This Row],[id]],$D$5:$D$1500,E$5:E$1500,"-")</f>
        <v/>
      </c>
      <c r="L491" s="1500">
        <f>_xlfn.XLOOKUP(cities[[#This Row],[city]],ccc[city],ccc[ctry],"-")</f>
        <v/>
      </c>
      <c r="M491" s="1500">
        <f>SUMIFS(stayCity[stay],stayCity[city],cities[[#This Row],[city]])</f>
        <v/>
      </c>
      <c r="N491" s="1427">
        <f>N490+1</f>
        <v/>
      </c>
      <c r="O491" s="1500" t="n"/>
      <c r="P491" s="1500" t="n"/>
      <c r="Q491" s="1427" t="inlineStr">
        <is>
          <t>.</t>
        </is>
      </c>
      <c r="R491" s="1491" t="n"/>
      <c r="S491" s="1491" t="n"/>
      <c r="T491" s="1491" t="n"/>
      <c r="U491" s="1491" t="n"/>
      <c r="V491" s="1491" t="n"/>
      <c r="W491" s="1491" t="n"/>
      <c r="X491" s="1491" t="n"/>
      <c r="Y491" s="1491" t="n"/>
      <c r="Z491" s="1491" t="n"/>
      <c r="AA491" s="1491" t="n"/>
      <c r="AB491" s="1491" t="n"/>
      <c r="AC491" s="1491" t="n"/>
      <c r="AD491" s="1491" t="n"/>
      <c r="AE491" s="1491" t="n"/>
      <c r="AF491" s="1491" t="n"/>
      <c r="AG491" s="1491" t="n"/>
      <c r="AH491" s="1491" t="n"/>
      <c r="AI491" s="1491" t="n"/>
      <c r="AJ491" s="1491" t="n"/>
      <c r="AK491" s="1491" t="n"/>
      <c r="AL491" s="1491" t="n"/>
      <c r="AM491" s="1491" t="n"/>
      <c r="AN491" s="1491" t="n"/>
      <c r="AO491" s="1491" t="n"/>
      <c r="AP491" s="1491" t="n"/>
      <c r="AQ491" s="1491" t="n"/>
      <c r="AR491" s="1491" t="n"/>
      <c r="AS491" s="1491" t="n"/>
      <c r="AT491" s="1491" t="n"/>
      <c r="AU491" s="1491" t="n"/>
      <c r="AV491" s="1491" t="n"/>
      <c r="AW491" s="1491" t="n"/>
      <c r="AX491" s="1491" t="n"/>
      <c r="AY491" s="1491" t="n"/>
      <c r="AZ491" s="1491" t="n"/>
      <c r="BA491" s="1491" t="n"/>
      <c r="BB491" s="1491" t="n"/>
      <c r="BC491" s="1491" t="n"/>
      <c r="BD491" s="1491" t="n"/>
      <c r="BE491" s="1491" t="n"/>
      <c r="BF491" s="1491" t="n"/>
      <c r="BG491" s="1491" t="n"/>
      <c r="BH491" s="1491" t="n"/>
      <c r="BI491" s="1491" t="n"/>
      <c r="BJ491" s="1491" t="n"/>
      <c r="BK491" s="1491" t="n"/>
      <c r="BL491" s="1491" t="n"/>
      <c r="BM491" s="1491" t="n"/>
      <c r="BN491" s="1491" t="n"/>
      <c r="BO491" s="1467" t="n"/>
      <c r="BP491" s="1514" t="n">
        <v>487</v>
      </c>
      <c r="BQ491" s="1513">
        <f>[1]Sheet1!C492</f>
        <v/>
      </c>
      <c r="BR491" s="1515">
        <f>[1]Sheet1!D492</f>
        <v/>
      </c>
      <c r="BS491" s="1513">
        <f>[1]Sheet1!E492</f>
        <v/>
      </c>
      <c r="BT491" s="1515">
        <f>[1]Sheet1!F492</f>
        <v/>
      </c>
      <c r="BU491" s="1516">
        <f>[1]Sheet1!G492</f>
        <v/>
      </c>
      <c r="BV491" s="1513">
        <f>[1]Sheet1!H492</f>
        <v/>
      </c>
      <c r="BW491" s="1467" t="n"/>
      <c r="BX491" s="1491" t="n"/>
      <c r="BY491" s="1491" t="n"/>
      <c r="BZ491" s="1491" t="n"/>
      <c r="CA491" s="1491" t="n"/>
      <c r="CB491" s="1467" t="n"/>
      <c r="CC491" s="1467" t="n"/>
      <c r="CD491" s="1491" t="n"/>
      <c r="CE491" s="1491" t="n"/>
      <c r="CF491" s="1491" t="n"/>
      <c r="CG491" s="1491" t="n"/>
      <c r="CH491" s="1491" t="n"/>
      <c r="CI491" s="1491" t="n"/>
      <c r="CJ491" s="1491" t="n"/>
      <c r="CK491" s="1491" t="n"/>
      <c r="CL491" s="1491" t="n"/>
      <c r="CM491" s="1491" t="n"/>
      <c r="CN491" s="1491" t="n"/>
      <c r="CO491" s="1491" t="n"/>
      <c r="CP491" s="1491" t="n"/>
      <c r="CQ491" s="1491" t="n"/>
      <c r="CR491" s="1491" t="n"/>
      <c r="CS491" s="1491" t="n"/>
      <c r="CT491" s="1491" t="n"/>
      <c r="CU491" s="1491" t="n"/>
      <c r="CV491" s="1491" t="n"/>
      <c r="CW491" s="1491" t="n"/>
      <c r="CX491" s="1491" t="n"/>
    </row>
    <row r="492">
      <c r="A492" s="1491" t="n"/>
      <c r="B492" s="1491" t="n"/>
      <c r="C492" s="1491" t="n"/>
      <c r="D492" s="1497">
        <f>IF(E492&lt;&gt;"",D491+1,D491)</f>
        <v/>
      </c>
      <c r="E492" s="1497" t="inlineStr">
        <is>
          <t>Beijing</t>
        </is>
      </c>
      <c r="F492" s="1535" t="inlineStr">
        <is>
          <t>.</t>
        </is>
      </c>
      <c r="G492" s="1498">
        <f>IF(H492="AIR",0,IF(H491="AIR",G490+1,IF(H492&lt;&gt;"",G491+1,G491)))</f>
        <v/>
      </c>
      <c r="H492" s="1498" t="inlineStr">
        <is>
          <t>Plattsburgh</t>
        </is>
      </c>
      <c r="I492" s="1427" t="inlineStr">
        <is>
          <t>.</t>
        </is>
      </c>
      <c r="J492" s="1499" t="n">
        <v>487</v>
      </c>
      <c r="K492" s="1500">
        <f>_xlfn.XLOOKUP(cities[[#This Row],[id]],$D$5:$D$1500,E$5:E$1500,"-")</f>
        <v/>
      </c>
      <c r="L492" s="1500">
        <f>_xlfn.XLOOKUP(cities[[#This Row],[city]],ccc[city],ccc[ctry],"-")</f>
        <v/>
      </c>
      <c r="M492" s="1500">
        <f>SUMIFS(stayCity[stay],stayCity[city],cities[[#This Row],[city]])</f>
        <v/>
      </c>
      <c r="N492" s="1427">
        <f>N491+1</f>
        <v/>
      </c>
      <c r="O492" s="1500" t="n"/>
      <c r="P492" s="1500" t="n"/>
      <c r="Q492" s="1427" t="inlineStr">
        <is>
          <t>.</t>
        </is>
      </c>
      <c r="R492" s="1491" t="n"/>
      <c r="S492" s="1491" t="n"/>
      <c r="T492" s="1491" t="n"/>
      <c r="U492" s="1491" t="n"/>
      <c r="V492" s="1491" t="n"/>
      <c r="W492" s="1491" t="n"/>
      <c r="X492" s="1491" t="n"/>
      <c r="Y492" s="1491" t="n"/>
      <c r="Z492" s="1491" t="n"/>
      <c r="AA492" s="1491" t="n"/>
      <c r="AB492" s="1491" t="n"/>
      <c r="AC492" s="1491" t="n"/>
      <c r="AD492" s="1491" t="n"/>
      <c r="AE492" s="1491" t="n"/>
      <c r="AF492" s="1491" t="n"/>
      <c r="AG492" s="1491" t="n"/>
      <c r="AH492" s="1491" t="n"/>
      <c r="AI492" s="1491" t="n"/>
      <c r="AJ492" s="1491" t="n"/>
      <c r="AK492" s="1491" t="n"/>
      <c r="AL492" s="1491" t="n"/>
      <c r="AM492" s="1491" t="n"/>
      <c r="AN492" s="1491" t="n"/>
      <c r="AO492" s="1491" t="n"/>
      <c r="AP492" s="1491" t="n"/>
      <c r="AQ492" s="1491" t="n"/>
      <c r="AR492" s="1491" t="n"/>
      <c r="AS492" s="1491" t="n"/>
      <c r="AT492" s="1491" t="n"/>
      <c r="AU492" s="1491" t="n"/>
      <c r="AV492" s="1491" t="n"/>
      <c r="AW492" s="1491" t="n"/>
      <c r="AX492" s="1491" t="n"/>
      <c r="AY492" s="1491" t="n"/>
      <c r="AZ492" s="1491" t="n"/>
      <c r="BA492" s="1491" t="n"/>
      <c r="BB492" s="1491" t="n"/>
      <c r="BC492" s="1491" t="n"/>
      <c r="BD492" s="1491" t="n"/>
      <c r="BE492" s="1491" t="n"/>
      <c r="BF492" s="1491" t="n"/>
      <c r="BG492" s="1491" t="n"/>
      <c r="BH492" s="1491" t="n"/>
      <c r="BI492" s="1491" t="n"/>
      <c r="BJ492" s="1491" t="n"/>
      <c r="BK492" s="1491" t="n"/>
      <c r="BL492" s="1491" t="n"/>
      <c r="BM492" s="1491" t="n"/>
      <c r="BN492" s="1491" t="n"/>
      <c r="BO492" s="1467" t="n"/>
      <c r="BP492" s="1514" t="n">
        <v>488</v>
      </c>
      <c r="BQ492" s="1513">
        <f>[1]Sheet1!C493</f>
        <v/>
      </c>
      <c r="BR492" s="1515">
        <f>[1]Sheet1!D493</f>
        <v/>
      </c>
      <c r="BS492" s="1513">
        <f>[1]Sheet1!E493</f>
        <v/>
      </c>
      <c r="BT492" s="1515">
        <f>[1]Sheet1!F493</f>
        <v/>
      </c>
      <c r="BU492" s="1516">
        <f>[1]Sheet1!G493</f>
        <v/>
      </c>
      <c r="BV492" s="1513">
        <f>[1]Sheet1!H493</f>
        <v/>
      </c>
      <c r="BW492" s="1467" t="n"/>
      <c r="BX492" s="1491" t="n"/>
      <c r="BY492" s="1491" t="n"/>
      <c r="BZ492" s="1491" t="n"/>
      <c r="CA492" s="1491" t="n"/>
      <c r="CB492" s="1467" t="n"/>
      <c r="CC492" s="1467" t="n"/>
      <c r="CD492" s="1491" t="n"/>
      <c r="CE492" s="1491" t="n"/>
      <c r="CF492" s="1491" t="n"/>
      <c r="CG492" s="1491" t="n"/>
      <c r="CH492" s="1491" t="n"/>
      <c r="CI492" s="1491" t="n"/>
      <c r="CJ492" s="1491" t="n"/>
      <c r="CK492" s="1491" t="n"/>
      <c r="CL492" s="1491" t="n"/>
      <c r="CM492" s="1491" t="n"/>
      <c r="CN492" s="1491" t="n"/>
      <c r="CO492" s="1491" t="n"/>
      <c r="CP492" s="1491" t="n"/>
      <c r="CQ492" s="1491" t="n"/>
      <c r="CR492" s="1491" t="n"/>
      <c r="CS492" s="1491" t="n"/>
      <c r="CT492" s="1491" t="n"/>
      <c r="CU492" s="1491" t="n"/>
      <c r="CV492" s="1491" t="n"/>
      <c r="CW492" s="1491" t="n"/>
      <c r="CX492" s="1491" t="n"/>
    </row>
    <row r="493">
      <c r="A493" s="1491" t="n"/>
      <c r="B493" s="1491" t="n"/>
      <c r="C493" s="1491" t="n"/>
      <c r="D493" s="1497">
        <f>IF(E493&lt;&gt;"",D492+1,D492)</f>
        <v/>
      </c>
      <c r="E493" s="1497" t="inlineStr">
        <is>
          <t>Xi'An</t>
        </is>
      </c>
      <c r="F493" s="1535" t="inlineStr">
        <is>
          <t>.</t>
        </is>
      </c>
      <c r="G493" s="1498">
        <f>IF(H493="AIR",0,IF(H492="AIR",G491+1,IF(H493&lt;&gt;"",G492+1,G492)))</f>
        <v/>
      </c>
      <c r="H493" s="1498" t="inlineStr">
        <is>
          <t>Burlington</t>
        </is>
      </c>
      <c r="I493" s="1427" t="inlineStr">
        <is>
          <t>.</t>
        </is>
      </c>
      <c r="J493" s="1499" t="n">
        <v>488</v>
      </c>
      <c r="K493" s="1500">
        <f>_xlfn.XLOOKUP(cities[[#This Row],[id]],$D$5:$D$1500,E$5:E$1500,"-")</f>
        <v/>
      </c>
      <c r="L493" s="1500">
        <f>_xlfn.XLOOKUP(cities[[#This Row],[city]],ccc[city],ccc[ctry],"-")</f>
        <v/>
      </c>
      <c r="M493" s="1500">
        <f>SUMIFS(stayCity[stay],stayCity[city],cities[[#This Row],[city]])</f>
        <v/>
      </c>
      <c r="N493" s="1427">
        <f>N492+1</f>
        <v/>
      </c>
      <c r="O493" s="1500" t="n"/>
      <c r="P493" s="1500" t="n"/>
      <c r="Q493" s="1427" t="inlineStr">
        <is>
          <t>.</t>
        </is>
      </c>
      <c r="R493" s="1491" t="n"/>
      <c r="S493" s="1491" t="n"/>
      <c r="T493" s="1491" t="n"/>
      <c r="U493" s="1491" t="n"/>
      <c r="V493" s="1491" t="n"/>
      <c r="W493" s="1491" t="n"/>
      <c r="X493" s="1491" t="n"/>
      <c r="Y493" s="1491" t="n"/>
      <c r="Z493" s="1491" t="n"/>
      <c r="AA493" s="1491" t="n"/>
      <c r="AB493" s="1491" t="n"/>
      <c r="AC493" s="1491" t="n"/>
      <c r="AD493" s="1491" t="n"/>
      <c r="AE493" s="1491" t="n"/>
      <c r="AF493" s="1491" t="n"/>
      <c r="AG493" s="1491" t="n"/>
      <c r="AH493" s="1491" t="n"/>
      <c r="AI493" s="1491" t="n"/>
      <c r="AJ493" s="1491" t="n"/>
      <c r="AK493" s="1491" t="n"/>
      <c r="AL493" s="1491" t="n"/>
      <c r="AM493" s="1491" t="n"/>
      <c r="AN493" s="1491" t="n"/>
      <c r="AO493" s="1491" t="n"/>
      <c r="AP493" s="1491" t="n"/>
      <c r="AQ493" s="1491" t="n"/>
      <c r="AR493" s="1491" t="n"/>
      <c r="AS493" s="1491" t="n"/>
      <c r="AT493" s="1491" t="n"/>
      <c r="AU493" s="1491" t="n"/>
      <c r="AV493" s="1491" t="n"/>
      <c r="AW493" s="1491" t="n"/>
      <c r="AX493" s="1491" t="n"/>
      <c r="AY493" s="1491" t="n"/>
      <c r="AZ493" s="1491" t="n"/>
      <c r="BA493" s="1491" t="n"/>
      <c r="BB493" s="1491" t="n"/>
      <c r="BC493" s="1491" t="n"/>
      <c r="BD493" s="1491" t="n"/>
      <c r="BE493" s="1491" t="n"/>
      <c r="BF493" s="1491" t="n"/>
      <c r="BG493" s="1491" t="n"/>
      <c r="BH493" s="1491" t="n"/>
      <c r="BI493" s="1491" t="n"/>
      <c r="BJ493" s="1491" t="n"/>
      <c r="BK493" s="1491" t="n"/>
      <c r="BL493" s="1491" t="n"/>
      <c r="BM493" s="1491" t="n"/>
      <c r="BN493" s="1491" t="n"/>
      <c r="BO493" s="1467" t="n"/>
      <c r="BP493" s="1514" t="n">
        <v>489</v>
      </c>
      <c r="BQ493" s="1513">
        <f>[1]Sheet1!C494</f>
        <v/>
      </c>
      <c r="BR493" s="1515">
        <f>[1]Sheet1!D494</f>
        <v/>
      </c>
      <c r="BS493" s="1513">
        <f>[1]Sheet1!E494</f>
        <v/>
      </c>
      <c r="BT493" s="1515">
        <f>[1]Sheet1!F494</f>
        <v/>
      </c>
      <c r="BU493" s="1516">
        <f>[1]Sheet1!G494</f>
        <v/>
      </c>
      <c r="BV493" s="1513">
        <f>[1]Sheet1!H494</f>
        <v/>
      </c>
      <c r="BW493" s="1467" t="n"/>
      <c r="BX493" s="1491" t="n"/>
      <c r="BY493" s="1491" t="n"/>
      <c r="BZ493" s="1491" t="n"/>
      <c r="CA493" s="1491" t="n"/>
      <c r="CB493" s="1467" t="n"/>
      <c r="CC493" s="1467" t="n"/>
      <c r="CD493" s="1491" t="n"/>
      <c r="CE493" s="1491" t="n"/>
      <c r="CF493" s="1491" t="n"/>
      <c r="CG493" s="1491" t="n"/>
      <c r="CH493" s="1491" t="n"/>
      <c r="CI493" s="1491" t="n"/>
      <c r="CJ493" s="1491" t="n"/>
      <c r="CK493" s="1491" t="n"/>
      <c r="CL493" s="1491" t="n"/>
      <c r="CM493" s="1491" t="n"/>
      <c r="CN493" s="1491" t="n"/>
      <c r="CO493" s="1491" t="n"/>
      <c r="CP493" s="1491" t="n"/>
      <c r="CQ493" s="1491" t="n"/>
      <c r="CR493" s="1491" t="n"/>
      <c r="CS493" s="1491" t="n"/>
      <c r="CT493" s="1491" t="n"/>
      <c r="CU493" s="1491" t="n"/>
      <c r="CV493" s="1491" t="n"/>
      <c r="CW493" s="1491" t="n"/>
      <c r="CX493" s="1491" t="n"/>
    </row>
    <row r="494">
      <c r="A494" s="1491" t="n"/>
      <c r="B494" s="1491" t="n"/>
      <c r="C494" s="1491" t="n"/>
      <c r="D494" s="1497">
        <f>IF(E494&lt;&gt;"",D493+1,D493)</f>
        <v/>
      </c>
      <c r="E494" s="1497" t="inlineStr">
        <is>
          <t>Granby</t>
        </is>
      </c>
      <c r="F494" s="1535" t="inlineStr">
        <is>
          <t>.</t>
        </is>
      </c>
      <c r="G494" s="1498">
        <f>IF(H494="AIR",0,IF(H493="AIR",G492+1,IF(H494&lt;&gt;"",G493+1,G493)))</f>
        <v/>
      </c>
      <c r="H494" s="1498" t="inlineStr">
        <is>
          <t>Mont-Tremblant</t>
        </is>
      </c>
      <c r="I494" s="1427" t="inlineStr">
        <is>
          <t>.</t>
        </is>
      </c>
      <c r="J494" s="1499" t="n">
        <v>489</v>
      </c>
      <c r="K494" s="1500">
        <f>_xlfn.XLOOKUP(cities[[#This Row],[id]],$D$5:$D$1500,E$5:E$1500,"-")</f>
        <v/>
      </c>
      <c r="L494" s="1500">
        <f>_xlfn.XLOOKUP(cities[[#This Row],[city]],ccc[city],ccc[ctry],"-")</f>
        <v/>
      </c>
      <c r="M494" s="1500">
        <f>SUMIFS(stayCity[stay],stayCity[city],cities[[#This Row],[city]])</f>
        <v/>
      </c>
      <c r="N494" s="1427">
        <f>N493+1</f>
        <v/>
      </c>
      <c r="O494" s="1500" t="n"/>
      <c r="P494" s="1500" t="n"/>
      <c r="Q494" s="1427" t="inlineStr">
        <is>
          <t>.</t>
        </is>
      </c>
      <c r="R494" s="1491" t="n"/>
      <c r="S494" s="1491" t="n"/>
      <c r="T494" s="1491" t="n"/>
      <c r="U494" s="1491" t="n"/>
      <c r="V494" s="1491" t="n"/>
      <c r="W494" s="1491" t="n"/>
      <c r="X494" s="1491" t="n"/>
      <c r="Y494" s="1491" t="n"/>
      <c r="Z494" s="1491" t="n"/>
      <c r="AA494" s="1491" t="n"/>
      <c r="AB494" s="1491" t="n"/>
      <c r="AC494" s="1491" t="n"/>
      <c r="AD494" s="1491" t="n"/>
      <c r="AE494" s="1491" t="n"/>
      <c r="AF494" s="1491" t="n"/>
      <c r="AG494" s="1491" t="n"/>
      <c r="AH494" s="1491" t="n"/>
      <c r="AI494" s="1491" t="n"/>
      <c r="AJ494" s="1491" t="n"/>
      <c r="AK494" s="1491" t="n"/>
      <c r="AL494" s="1491" t="n"/>
      <c r="AM494" s="1491" t="n"/>
      <c r="AN494" s="1491" t="n"/>
      <c r="AO494" s="1491" t="n"/>
      <c r="AP494" s="1491" t="n"/>
      <c r="AQ494" s="1491" t="n"/>
      <c r="AR494" s="1491" t="n"/>
      <c r="AS494" s="1491" t="n"/>
      <c r="AT494" s="1491" t="n"/>
      <c r="AU494" s="1491" t="n"/>
      <c r="AV494" s="1491" t="n"/>
      <c r="AW494" s="1491" t="n"/>
      <c r="AX494" s="1491" t="n"/>
      <c r="AY494" s="1491" t="n"/>
      <c r="AZ494" s="1491" t="n"/>
      <c r="BA494" s="1491" t="n"/>
      <c r="BB494" s="1491" t="n"/>
      <c r="BC494" s="1491" t="n"/>
      <c r="BD494" s="1491" t="n"/>
      <c r="BE494" s="1491" t="n"/>
      <c r="BF494" s="1491" t="n"/>
      <c r="BG494" s="1491" t="n"/>
      <c r="BH494" s="1491" t="n"/>
      <c r="BI494" s="1491" t="n"/>
      <c r="BJ494" s="1491" t="n"/>
      <c r="BK494" s="1491" t="n"/>
      <c r="BL494" s="1491" t="n"/>
      <c r="BM494" s="1491" t="n"/>
      <c r="BN494" s="1491" t="n"/>
      <c r="BO494" s="1467" t="n"/>
      <c r="BP494" s="1514" t="n">
        <v>490</v>
      </c>
      <c r="BQ494" s="1513">
        <f>[1]Sheet1!C495</f>
        <v/>
      </c>
      <c r="BR494" s="1515">
        <f>[1]Sheet1!D495</f>
        <v/>
      </c>
      <c r="BS494" s="1513">
        <f>[1]Sheet1!E495</f>
        <v/>
      </c>
      <c r="BT494" s="1515">
        <f>[1]Sheet1!F495</f>
        <v/>
      </c>
      <c r="BU494" s="1516">
        <f>[1]Sheet1!G495</f>
        <v/>
      </c>
      <c r="BV494" s="1513">
        <f>[1]Sheet1!H495</f>
        <v/>
      </c>
      <c r="BW494" s="1467" t="n"/>
      <c r="BX494" s="1491" t="n"/>
      <c r="BY494" s="1491" t="n"/>
      <c r="BZ494" s="1491" t="n"/>
      <c r="CA494" s="1491" t="n"/>
      <c r="CB494" s="1467" t="n"/>
      <c r="CC494" s="1467" t="n"/>
      <c r="CD494" s="1491" t="n"/>
      <c r="CE494" s="1491" t="n"/>
      <c r="CF494" s="1491" t="n"/>
      <c r="CG494" s="1491" t="n"/>
      <c r="CH494" s="1491" t="n"/>
      <c r="CI494" s="1491" t="n"/>
      <c r="CJ494" s="1491" t="n"/>
      <c r="CK494" s="1491" t="n"/>
      <c r="CL494" s="1491" t="n"/>
      <c r="CM494" s="1491" t="n"/>
      <c r="CN494" s="1491" t="n"/>
      <c r="CO494" s="1491" t="n"/>
      <c r="CP494" s="1491" t="n"/>
      <c r="CQ494" s="1491" t="n"/>
      <c r="CR494" s="1491" t="n"/>
      <c r="CS494" s="1491" t="n"/>
      <c r="CT494" s="1491" t="n"/>
      <c r="CU494" s="1491" t="n"/>
      <c r="CV494" s="1491" t="n"/>
      <c r="CW494" s="1491" t="n"/>
      <c r="CX494" s="1491" t="n"/>
    </row>
    <row r="495">
      <c r="A495" s="1491" t="n"/>
      <c r="B495" s="1491" t="n"/>
      <c r="C495" s="1491" t="n"/>
      <c r="D495" s="1497">
        <f>IF(E495&lt;&gt;"",D494+1,D494)</f>
        <v/>
      </c>
      <c r="E495" s="1497" t="inlineStr">
        <is>
          <t>Porto</t>
        </is>
      </c>
      <c r="F495" s="1535" t="inlineStr">
        <is>
          <t>.</t>
        </is>
      </c>
      <c r="G495" s="1498">
        <f>IF(H495="AIR",0,IF(H494="AIR",G493+1,IF(H495&lt;&gt;"",G494+1,G494)))</f>
        <v/>
      </c>
      <c r="H495" s="1498" t="inlineStr">
        <is>
          <t>La Belle</t>
        </is>
      </c>
      <c r="I495" s="1427" t="inlineStr">
        <is>
          <t>.</t>
        </is>
      </c>
      <c r="J495" s="1499" t="n">
        <v>490</v>
      </c>
      <c r="K495" s="1500">
        <f>_xlfn.XLOOKUP(cities[[#This Row],[id]],$D$5:$D$1500,E$5:E$1500,"-")</f>
        <v/>
      </c>
      <c r="L495" s="1500">
        <f>_xlfn.XLOOKUP(cities[[#This Row],[city]],ccc[city],ccc[ctry],"-")</f>
        <v/>
      </c>
      <c r="M495" s="1500">
        <f>SUMIFS(stayCity[stay],stayCity[city],cities[[#This Row],[city]])</f>
        <v/>
      </c>
      <c r="N495" s="1427">
        <f>N494+1</f>
        <v/>
      </c>
      <c r="O495" s="1500" t="n"/>
      <c r="P495" s="1500" t="n"/>
      <c r="Q495" s="1427" t="inlineStr">
        <is>
          <t>.</t>
        </is>
      </c>
      <c r="R495" s="1491" t="n"/>
      <c r="S495" s="1491" t="n"/>
      <c r="T495" s="1491" t="n"/>
      <c r="U495" s="1491" t="n"/>
      <c r="V495" s="1491" t="n"/>
      <c r="W495" s="1491" t="n"/>
      <c r="X495" s="1491" t="n"/>
      <c r="Y495" s="1491" t="n"/>
      <c r="Z495" s="1491" t="n"/>
      <c r="AA495" s="1491" t="n"/>
      <c r="AB495" s="1491" t="n"/>
      <c r="AC495" s="1491" t="n"/>
      <c r="AD495" s="1491" t="n"/>
      <c r="AE495" s="1491" t="n"/>
      <c r="AF495" s="1491" t="n"/>
      <c r="AG495" s="1491" t="n"/>
      <c r="AH495" s="1491" t="n"/>
      <c r="AI495" s="1491" t="n"/>
      <c r="AJ495" s="1491" t="n"/>
      <c r="AK495" s="1491" t="n"/>
      <c r="AL495" s="1491" t="n"/>
      <c r="AM495" s="1491" t="n"/>
      <c r="AN495" s="1491" t="n"/>
      <c r="AO495" s="1491" t="n"/>
      <c r="AP495" s="1491" t="n"/>
      <c r="AQ495" s="1491" t="n"/>
      <c r="AR495" s="1491" t="n"/>
      <c r="AS495" s="1491" t="n"/>
      <c r="AT495" s="1491" t="n"/>
      <c r="AU495" s="1491" t="n"/>
      <c r="AV495" s="1491" t="n"/>
      <c r="AW495" s="1491" t="n"/>
      <c r="AX495" s="1491" t="n"/>
      <c r="AY495" s="1491" t="n"/>
      <c r="AZ495" s="1491" t="n"/>
      <c r="BA495" s="1491" t="n"/>
      <c r="BB495" s="1491" t="n"/>
      <c r="BC495" s="1491" t="n"/>
      <c r="BD495" s="1491" t="n"/>
      <c r="BE495" s="1491" t="n"/>
      <c r="BF495" s="1491" t="n"/>
      <c r="BG495" s="1491" t="n"/>
      <c r="BH495" s="1491" t="n"/>
      <c r="BI495" s="1491" t="n"/>
      <c r="BJ495" s="1491" t="n"/>
      <c r="BK495" s="1491" t="n"/>
      <c r="BL495" s="1491" t="n"/>
      <c r="BM495" s="1491" t="n"/>
      <c r="BN495" s="1491" t="n"/>
      <c r="BO495" s="1467" t="n"/>
      <c r="BP495" s="1514" t="n">
        <v>491</v>
      </c>
      <c r="BQ495" s="1513">
        <f>[1]Sheet1!C496</f>
        <v/>
      </c>
      <c r="BR495" s="1515">
        <f>[1]Sheet1!D496</f>
        <v/>
      </c>
      <c r="BS495" s="1513">
        <f>[1]Sheet1!E496</f>
        <v/>
      </c>
      <c r="BT495" s="1515">
        <f>[1]Sheet1!F496</f>
        <v/>
      </c>
      <c r="BU495" s="1516">
        <f>[1]Sheet1!G496</f>
        <v/>
      </c>
      <c r="BV495" s="1513">
        <f>[1]Sheet1!H496</f>
        <v/>
      </c>
      <c r="BW495" s="1467" t="n"/>
      <c r="BX495" s="1491" t="n"/>
      <c r="BY495" s="1491" t="n"/>
      <c r="BZ495" s="1491" t="n"/>
      <c r="CA495" s="1491" t="n"/>
      <c r="CB495" s="1467" t="n"/>
      <c r="CC495" s="1467" t="n"/>
      <c r="CD495" s="1491" t="n"/>
      <c r="CE495" s="1491" t="n"/>
      <c r="CF495" s="1491" t="n"/>
      <c r="CG495" s="1491" t="n"/>
      <c r="CH495" s="1491" t="n"/>
      <c r="CI495" s="1491" t="n"/>
      <c r="CJ495" s="1491" t="n"/>
      <c r="CK495" s="1491" t="n"/>
      <c r="CL495" s="1491" t="n"/>
      <c r="CM495" s="1491" t="n"/>
      <c r="CN495" s="1491" t="n"/>
      <c r="CO495" s="1491" t="n"/>
      <c r="CP495" s="1491" t="n"/>
      <c r="CQ495" s="1491" t="n"/>
      <c r="CR495" s="1491" t="n"/>
      <c r="CS495" s="1491" t="n"/>
      <c r="CT495" s="1491" t="n"/>
      <c r="CU495" s="1491" t="n"/>
      <c r="CV495" s="1491" t="n"/>
      <c r="CW495" s="1491" t="n"/>
      <c r="CX495" s="1491" t="n"/>
    </row>
    <row r="496">
      <c r="A496" s="1491" t="n"/>
      <c r="B496" s="1491" t="n"/>
      <c r="C496" s="1491" t="n"/>
      <c r="D496" s="1497">
        <f>IF(E496&lt;&gt;"",D495+1,D495)</f>
        <v/>
      </c>
      <c r="E496" s="1497" t="inlineStr">
        <is>
          <t>Vairao</t>
        </is>
      </c>
      <c r="F496" s="1535" t="inlineStr">
        <is>
          <t>.</t>
        </is>
      </c>
      <c r="G496" s="1498">
        <f>IF(H496="AIR",0,IF(H495="AIR",G494+1,IF(H496&lt;&gt;"",G495+1,G495)))</f>
        <v/>
      </c>
      <c r="H496" s="1498" t="inlineStr">
        <is>
          <t>Toronto</t>
        </is>
      </c>
      <c r="I496" s="1427" t="inlineStr">
        <is>
          <t>.</t>
        </is>
      </c>
      <c r="J496" s="1499" t="n">
        <v>491</v>
      </c>
      <c r="K496" s="1500">
        <f>_xlfn.XLOOKUP(cities[[#This Row],[id]],$D$5:$D$1500,E$5:E$1500,"-")</f>
        <v/>
      </c>
      <c r="L496" s="1500">
        <f>_xlfn.XLOOKUP(cities[[#This Row],[city]],ccc[city],ccc[ctry],"-")</f>
        <v/>
      </c>
      <c r="M496" s="1500">
        <f>SUMIFS(stayCity[stay],stayCity[city],cities[[#This Row],[city]])</f>
        <v/>
      </c>
      <c r="N496" s="1427">
        <f>N495+1</f>
        <v/>
      </c>
      <c r="O496" s="1500" t="n"/>
      <c r="P496" s="1500" t="n"/>
      <c r="Q496" s="1427" t="inlineStr">
        <is>
          <t>.</t>
        </is>
      </c>
      <c r="R496" s="1491" t="n"/>
      <c r="S496" s="1491" t="n"/>
      <c r="T496" s="1491" t="n"/>
      <c r="U496" s="1491" t="n"/>
      <c r="V496" s="1491" t="n"/>
      <c r="W496" s="1491" t="n"/>
      <c r="X496" s="1491" t="n"/>
      <c r="Y496" s="1491" t="n"/>
      <c r="Z496" s="1491" t="n"/>
      <c r="AA496" s="1491" t="n"/>
      <c r="AB496" s="1491" t="n"/>
      <c r="AC496" s="1491" t="n"/>
      <c r="AD496" s="1491" t="n"/>
      <c r="AE496" s="1491" t="n"/>
      <c r="AF496" s="1491" t="n"/>
      <c r="AG496" s="1491" t="n"/>
      <c r="AH496" s="1491" t="n"/>
      <c r="AI496" s="1491" t="n"/>
      <c r="AJ496" s="1491" t="n"/>
      <c r="AK496" s="1491" t="n"/>
      <c r="AL496" s="1491" t="n"/>
      <c r="AM496" s="1491" t="n"/>
      <c r="AN496" s="1491" t="n"/>
      <c r="AO496" s="1491" t="n"/>
      <c r="AP496" s="1491" t="n"/>
      <c r="AQ496" s="1491" t="n"/>
      <c r="AR496" s="1491" t="n"/>
      <c r="AS496" s="1491" t="n"/>
      <c r="AT496" s="1491" t="n"/>
      <c r="AU496" s="1491" t="n"/>
      <c r="AV496" s="1491" t="n"/>
      <c r="AW496" s="1491" t="n"/>
      <c r="AX496" s="1491" t="n"/>
      <c r="AY496" s="1491" t="n"/>
      <c r="AZ496" s="1491" t="n"/>
      <c r="BA496" s="1491" t="n"/>
      <c r="BB496" s="1491" t="n"/>
      <c r="BC496" s="1491" t="n"/>
      <c r="BD496" s="1491" t="n"/>
      <c r="BE496" s="1491" t="n"/>
      <c r="BF496" s="1491" t="n"/>
      <c r="BG496" s="1491" t="n"/>
      <c r="BH496" s="1491" t="n"/>
      <c r="BI496" s="1491" t="n"/>
      <c r="BJ496" s="1491" t="n"/>
      <c r="BK496" s="1491" t="n"/>
      <c r="BL496" s="1491" t="n"/>
      <c r="BM496" s="1491" t="n"/>
      <c r="BN496" s="1491" t="n"/>
      <c r="BO496" s="1467" t="n"/>
      <c r="BP496" s="1514" t="n">
        <v>492</v>
      </c>
      <c r="BQ496" s="1513">
        <f>[1]Sheet1!C497</f>
        <v/>
      </c>
      <c r="BR496" s="1515">
        <f>[1]Sheet1!D497</f>
        <v/>
      </c>
      <c r="BS496" s="1513">
        <f>[1]Sheet1!E497</f>
        <v/>
      </c>
      <c r="BT496" s="1515">
        <f>[1]Sheet1!F497</f>
        <v/>
      </c>
      <c r="BU496" s="1516">
        <f>[1]Sheet1!G497</f>
        <v/>
      </c>
      <c r="BV496" s="1513">
        <f>[1]Sheet1!H497</f>
        <v/>
      </c>
      <c r="BW496" s="1467" t="n"/>
      <c r="BX496" s="1491" t="n"/>
      <c r="BY496" s="1491" t="n"/>
      <c r="BZ496" s="1491" t="n"/>
      <c r="CA496" s="1491" t="n"/>
      <c r="CB496" s="1467" t="n"/>
      <c r="CC496" s="1467" t="n"/>
      <c r="CD496" s="1491" t="n"/>
      <c r="CE496" s="1491" t="n"/>
      <c r="CF496" s="1491" t="n"/>
      <c r="CG496" s="1491" t="n"/>
      <c r="CH496" s="1491" t="n"/>
      <c r="CI496" s="1491" t="n"/>
      <c r="CJ496" s="1491" t="n"/>
      <c r="CK496" s="1491" t="n"/>
      <c r="CL496" s="1491" t="n"/>
      <c r="CM496" s="1491" t="n"/>
      <c r="CN496" s="1491" t="n"/>
      <c r="CO496" s="1491" t="n"/>
      <c r="CP496" s="1491" t="n"/>
      <c r="CQ496" s="1491" t="n"/>
      <c r="CR496" s="1491" t="n"/>
      <c r="CS496" s="1491" t="n"/>
      <c r="CT496" s="1491" t="n"/>
      <c r="CU496" s="1491" t="n"/>
      <c r="CV496" s="1491" t="n"/>
      <c r="CW496" s="1491" t="n"/>
      <c r="CX496" s="1491" t="n"/>
    </row>
    <row r="497">
      <c r="A497" s="1491" t="n"/>
      <c r="B497" s="1491" t="n"/>
      <c r="C497" s="1491" t="n"/>
      <c r="D497" s="1497">
        <f>IF(E497&lt;&gt;"",D496+1,D496)</f>
        <v/>
      </c>
      <c r="E497" s="1497" t="inlineStr">
        <is>
          <t>Arcos</t>
        </is>
      </c>
      <c r="F497" s="1535" t="inlineStr">
        <is>
          <t>.</t>
        </is>
      </c>
      <c r="G497" s="1498">
        <f>IF(H497="AIR",0,IF(H496="AIR",G495+1,IF(H497&lt;&gt;"",G496+1,G496)))</f>
        <v/>
      </c>
      <c r="H497" s="1498" t="inlineStr">
        <is>
          <t>Trois-Rivieres</t>
        </is>
      </c>
      <c r="I497" s="1427" t="inlineStr">
        <is>
          <t>.</t>
        </is>
      </c>
      <c r="J497" s="1499" t="n">
        <v>492</v>
      </c>
      <c r="K497" s="1500">
        <f>_xlfn.XLOOKUP(cities[[#This Row],[id]],$D$5:$D$1500,E$5:E$1500,"-")</f>
        <v/>
      </c>
      <c r="L497" s="1500">
        <f>_xlfn.XLOOKUP(cities[[#This Row],[city]],ccc[city],ccc[ctry],"-")</f>
        <v/>
      </c>
      <c r="M497" s="1500">
        <f>SUMIFS(stayCity[stay],stayCity[city],cities[[#This Row],[city]])</f>
        <v/>
      </c>
      <c r="N497" s="1427">
        <f>N496+1</f>
        <v/>
      </c>
      <c r="O497" s="1500" t="n"/>
      <c r="P497" s="1500" t="n"/>
      <c r="Q497" s="1427" t="inlineStr">
        <is>
          <t>.</t>
        </is>
      </c>
      <c r="R497" s="1491" t="n"/>
      <c r="S497" s="1491" t="n"/>
      <c r="T497" s="1491" t="n"/>
      <c r="U497" s="1491" t="n"/>
      <c r="V497" s="1491" t="n"/>
      <c r="W497" s="1491" t="n"/>
      <c r="X497" s="1491" t="n"/>
      <c r="Y497" s="1491" t="n"/>
      <c r="Z497" s="1491" t="n"/>
      <c r="AA497" s="1491" t="n"/>
      <c r="AB497" s="1491" t="n"/>
      <c r="AC497" s="1491" t="n"/>
      <c r="AD497" s="1491" t="n"/>
      <c r="AE497" s="1491" t="n"/>
      <c r="AF497" s="1491" t="n"/>
      <c r="AG497" s="1491" t="n"/>
      <c r="AH497" s="1491" t="n"/>
      <c r="AI497" s="1491" t="n"/>
      <c r="AJ497" s="1491" t="n"/>
      <c r="AK497" s="1491" t="n"/>
      <c r="AL497" s="1491" t="n"/>
      <c r="AM497" s="1491" t="n"/>
      <c r="AN497" s="1491" t="n"/>
      <c r="AO497" s="1491" t="n"/>
      <c r="AP497" s="1491" t="n"/>
      <c r="AQ497" s="1491" t="n"/>
      <c r="AR497" s="1491" t="n"/>
      <c r="AS497" s="1491" t="n"/>
      <c r="AT497" s="1491" t="n"/>
      <c r="AU497" s="1491" t="n"/>
      <c r="AV497" s="1491" t="n"/>
      <c r="AW497" s="1491" t="n"/>
      <c r="AX497" s="1491" t="n"/>
      <c r="AY497" s="1491" t="n"/>
      <c r="AZ497" s="1491" t="n"/>
      <c r="BA497" s="1491" t="n"/>
      <c r="BB497" s="1491" t="n"/>
      <c r="BC497" s="1491" t="n"/>
      <c r="BD497" s="1491" t="n"/>
      <c r="BE497" s="1491" t="n"/>
      <c r="BF497" s="1491" t="n"/>
      <c r="BG497" s="1491" t="n"/>
      <c r="BH497" s="1491" t="n"/>
      <c r="BI497" s="1491" t="n"/>
      <c r="BJ497" s="1491" t="n"/>
      <c r="BK497" s="1491" t="n"/>
      <c r="BL497" s="1491" t="n"/>
      <c r="BM497" s="1491" t="n"/>
      <c r="BN497" s="1491" t="n"/>
      <c r="BO497" s="1467" t="n"/>
      <c r="BP497" s="1514" t="n">
        <v>493</v>
      </c>
      <c r="BQ497" s="1513">
        <f>[1]Sheet1!C498</f>
        <v/>
      </c>
      <c r="BR497" s="1515">
        <f>[1]Sheet1!D498</f>
        <v/>
      </c>
      <c r="BS497" s="1513">
        <f>[1]Sheet1!E498</f>
        <v/>
      </c>
      <c r="BT497" s="1515">
        <f>[1]Sheet1!F498</f>
        <v/>
      </c>
      <c r="BU497" s="1516">
        <f>[1]Sheet1!G498</f>
        <v/>
      </c>
      <c r="BV497" s="1513">
        <f>[1]Sheet1!H498</f>
        <v/>
      </c>
      <c r="BW497" s="1467" t="n"/>
      <c r="BX497" s="1491" t="n"/>
      <c r="BY497" s="1491" t="n"/>
      <c r="BZ497" s="1491" t="n"/>
      <c r="CA497" s="1491" t="n"/>
      <c r="CB497" s="1467" t="n"/>
      <c r="CC497" s="1467" t="n"/>
      <c r="CD497" s="1491" t="n"/>
      <c r="CE497" s="1491" t="n"/>
      <c r="CF497" s="1491" t="n"/>
      <c r="CG497" s="1491" t="n"/>
      <c r="CH497" s="1491" t="n"/>
      <c r="CI497" s="1491" t="n"/>
      <c r="CJ497" s="1491" t="n"/>
      <c r="CK497" s="1491" t="n"/>
      <c r="CL497" s="1491" t="n"/>
      <c r="CM497" s="1491" t="n"/>
      <c r="CN497" s="1491" t="n"/>
      <c r="CO497" s="1491" t="n"/>
      <c r="CP497" s="1491" t="n"/>
      <c r="CQ497" s="1491" t="n"/>
      <c r="CR497" s="1491" t="n"/>
      <c r="CS497" s="1491" t="n"/>
      <c r="CT497" s="1491" t="n"/>
      <c r="CU497" s="1491" t="n"/>
      <c r="CV497" s="1491" t="n"/>
      <c r="CW497" s="1491" t="n"/>
      <c r="CX497" s="1491" t="n"/>
    </row>
    <row r="498">
      <c r="A498" s="1491" t="n"/>
      <c r="B498" s="1491" t="n"/>
      <c r="C498" s="1491" t="n"/>
      <c r="D498" s="1497">
        <f>IF(E498&lt;&gt;"",D497+1,D497)</f>
        <v/>
      </c>
      <c r="E498" s="1497" t="inlineStr">
        <is>
          <t>Barcelinhos</t>
        </is>
      </c>
      <c r="F498" s="1535" t="inlineStr">
        <is>
          <t>.</t>
        </is>
      </c>
      <c r="G498" s="1498">
        <f>IF(H498="AIR",0,IF(H497="AIR",G496+1,IF(H498&lt;&gt;"",G497+1,G497)))</f>
        <v/>
      </c>
      <c r="H498" s="1498" t="inlineStr">
        <is>
          <t>Kissimee</t>
        </is>
      </c>
      <c r="I498" s="1427" t="inlineStr">
        <is>
          <t>.</t>
        </is>
      </c>
      <c r="J498" s="1499" t="n">
        <v>493</v>
      </c>
      <c r="K498" s="1500">
        <f>_xlfn.XLOOKUP(cities[[#This Row],[id]],$D$5:$D$1500,E$5:E$1500,"-")</f>
        <v/>
      </c>
      <c r="L498" s="1500">
        <f>_xlfn.XLOOKUP(cities[[#This Row],[city]],ccc[city],ccc[ctry],"-")</f>
        <v/>
      </c>
      <c r="M498" s="1500">
        <f>SUMIFS(stayCity[stay],stayCity[city],cities[[#This Row],[city]])</f>
        <v/>
      </c>
      <c r="N498" s="1427">
        <f>N497+1</f>
        <v/>
      </c>
      <c r="O498" s="1500" t="n"/>
      <c r="P498" s="1500" t="n"/>
      <c r="Q498" s="1427" t="inlineStr">
        <is>
          <t>.</t>
        </is>
      </c>
      <c r="R498" s="1491" t="n"/>
      <c r="S498" s="1491" t="n"/>
      <c r="T498" s="1491" t="n"/>
      <c r="U498" s="1491" t="n"/>
      <c r="V498" s="1491" t="n"/>
      <c r="W498" s="1491" t="n"/>
      <c r="X498" s="1491" t="n"/>
      <c r="Y498" s="1491" t="n"/>
      <c r="Z498" s="1491" t="n"/>
      <c r="AA498" s="1491" t="n"/>
      <c r="AB498" s="1491" t="n"/>
      <c r="AC498" s="1491" t="n"/>
      <c r="AD498" s="1491" t="n"/>
      <c r="AE498" s="1491" t="n"/>
      <c r="AF498" s="1491" t="n"/>
      <c r="AG498" s="1491" t="n"/>
      <c r="AH498" s="1491" t="n"/>
      <c r="AI498" s="1491" t="n"/>
      <c r="AJ498" s="1491" t="n"/>
      <c r="AK498" s="1491" t="n"/>
      <c r="AL498" s="1491" t="n"/>
      <c r="AM498" s="1491" t="n"/>
      <c r="AN498" s="1491" t="n"/>
      <c r="AO498" s="1491" t="n"/>
      <c r="AP498" s="1491" t="n"/>
      <c r="AQ498" s="1491" t="n"/>
      <c r="AR498" s="1491" t="n"/>
      <c r="AS498" s="1491" t="n"/>
      <c r="AT498" s="1491" t="n"/>
      <c r="AU498" s="1491" t="n"/>
      <c r="AV498" s="1491" t="n"/>
      <c r="AW498" s="1491" t="n"/>
      <c r="AX498" s="1491" t="n"/>
      <c r="AY498" s="1491" t="n"/>
      <c r="AZ498" s="1491" t="n"/>
      <c r="BA498" s="1491" t="n"/>
      <c r="BB498" s="1491" t="n"/>
      <c r="BC498" s="1491" t="n"/>
      <c r="BD498" s="1491" t="n"/>
      <c r="BE498" s="1491" t="n"/>
      <c r="BF498" s="1491" t="n"/>
      <c r="BG498" s="1491" t="n"/>
      <c r="BH498" s="1491" t="n"/>
      <c r="BI498" s="1491" t="n"/>
      <c r="BJ498" s="1491" t="n"/>
      <c r="BK498" s="1491" t="n"/>
      <c r="BL498" s="1491" t="n"/>
      <c r="BM498" s="1491" t="n"/>
      <c r="BN498" s="1491" t="n"/>
      <c r="BO498" s="1467" t="n"/>
      <c r="BP498" s="1514" t="n">
        <v>494</v>
      </c>
      <c r="BQ498" s="1513">
        <f>[1]Sheet1!C499</f>
        <v/>
      </c>
      <c r="BR498" s="1515">
        <f>[1]Sheet1!D499</f>
        <v/>
      </c>
      <c r="BS498" s="1513">
        <f>[1]Sheet1!E499</f>
        <v/>
      </c>
      <c r="BT498" s="1515">
        <f>[1]Sheet1!F499</f>
        <v/>
      </c>
      <c r="BU498" s="1516">
        <f>[1]Sheet1!G499</f>
        <v/>
      </c>
      <c r="BV498" s="1513">
        <f>[1]Sheet1!H499</f>
        <v/>
      </c>
      <c r="BW498" s="1467" t="n"/>
      <c r="BX498" s="1491" t="n"/>
      <c r="BY498" s="1491" t="n"/>
      <c r="BZ498" s="1491" t="n"/>
      <c r="CA498" s="1491" t="n"/>
      <c r="CB498" s="1467" t="n"/>
      <c r="CC498" s="1467" t="n"/>
      <c r="CD498" s="1491" t="n"/>
      <c r="CE498" s="1491" t="n"/>
      <c r="CF498" s="1491" t="n"/>
      <c r="CG498" s="1491" t="n"/>
      <c r="CH498" s="1491" t="n"/>
      <c r="CI498" s="1491" t="n"/>
      <c r="CJ498" s="1491" t="n"/>
      <c r="CK498" s="1491" t="n"/>
      <c r="CL498" s="1491" t="n"/>
      <c r="CM498" s="1491" t="n"/>
      <c r="CN498" s="1491" t="n"/>
      <c r="CO498" s="1491" t="n"/>
      <c r="CP498" s="1491" t="n"/>
      <c r="CQ498" s="1491" t="n"/>
      <c r="CR498" s="1491" t="n"/>
      <c r="CS498" s="1491" t="n"/>
      <c r="CT498" s="1491" t="n"/>
      <c r="CU498" s="1491" t="n"/>
      <c r="CV498" s="1491" t="n"/>
      <c r="CW498" s="1491" t="n"/>
      <c r="CX498" s="1491" t="n"/>
    </row>
    <row r="499">
      <c r="A499" s="1491" t="n"/>
      <c r="B499" s="1491" t="n"/>
      <c r="C499" s="1491" t="n"/>
      <c r="D499" s="1497">
        <f>IF(E499&lt;&gt;"",D498+1,D498)</f>
        <v/>
      </c>
      <c r="E499" s="1497" t="inlineStr">
        <is>
          <t>Barcelos</t>
        </is>
      </c>
      <c r="F499" s="1535" t="inlineStr">
        <is>
          <t>.</t>
        </is>
      </c>
      <c r="G499" s="1498">
        <f>IF(H499="AIR",0,IF(H498="AIR",G497+1,IF(H499&lt;&gt;"",G498+1,G498)))</f>
        <v/>
      </c>
      <c r="H499" s="1498" t="inlineStr">
        <is>
          <t>Guarajuba</t>
        </is>
      </c>
      <c r="I499" s="1427" t="inlineStr">
        <is>
          <t>.</t>
        </is>
      </c>
      <c r="J499" s="1499" t="n">
        <v>494</v>
      </c>
      <c r="K499" s="1500">
        <f>_xlfn.XLOOKUP(cities[[#This Row],[id]],$D$5:$D$1500,E$5:E$1500,"-")</f>
        <v/>
      </c>
      <c r="L499" s="1500">
        <f>_xlfn.XLOOKUP(cities[[#This Row],[city]],ccc[city],ccc[ctry],"-")</f>
        <v/>
      </c>
      <c r="M499" s="1500">
        <f>SUMIFS(stayCity[stay],stayCity[city],cities[[#This Row],[city]])</f>
        <v/>
      </c>
      <c r="N499" s="1427">
        <f>N498+1</f>
        <v/>
      </c>
      <c r="O499" s="1500" t="n"/>
      <c r="P499" s="1500" t="n"/>
      <c r="Q499" s="1427" t="inlineStr">
        <is>
          <t>.</t>
        </is>
      </c>
      <c r="R499" s="1491" t="n"/>
      <c r="S499" s="1491" t="n"/>
      <c r="T499" s="1491" t="n"/>
      <c r="U499" s="1491" t="n"/>
      <c r="V499" s="1491" t="n"/>
      <c r="W499" s="1491" t="n"/>
      <c r="X499" s="1491" t="n"/>
      <c r="Y499" s="1491" t="n"/>
      <c r="Z499" s="1491" t="n"/>
      <c r="AA499" s="1491" t="n"/>
      <c r="AB499" s="1491" t="n"/>
      <c r="AC499" s="1491" t="n"/>
      <c r="AD499" s="1491" t="n"/>
      <c r="AE499" s="1491" t="n"/>
      <c r="AF499" s="1491" t="n"/>
      <c r="AG499" s="1491" t="n"/>
      <c r="AH499" s="1491" t="n"/>
      <c r="AI499" s="1491" t="n"/>
      <c r="AJ499" s="1491" t="n"/>
      <c r="AK499" s="1491" t="n"/>
      <c r="AL499" s="1491" t="n"/>
      <c r="AM499" s="1491" t="n"/>
      <c r="AN499" s="1491" t="n"/>
      <c r="AO499" s="1491" t="n"/>
      <c r="AP499" s="1491" t="n"/>
      <c r="AQ499" s="1491" t="n"/>
      <c r="AR499" s="1491" t="n"/>
      <c r="AS499" s="1491" t="n"/>
      <c r="AT499" s="1491" t="n"/>
      <c r="AU499" s="1491" t="n"/>
      <c r="AV499" s="1491" t="n"/>
      <c r="AW499" s="1491" t="n"/>
      <c r="AX499" s="1491" t="n"/>
      <c r="AY499" s="1491" t="n"/>
      <c r="AZ499" s="1491" t="n"/>
      <c r="BA499" s="1491" t="n"/>
      <c r="BB499" s="1491" t="n"/>
      <c r="BC499" s="1491" t="n"/>
      <c r="BD499" s="1491" t="n"/>
      <c r="BE499" s="1491" t="n"/>
      <c r="BF499" s="1491" t="n"/>
      <c r="BG499" s="1491" t="n"/>
      <c r="BH499" s="1491" t="n"/>
      <c r="BI499" s="1491" t="n"/>
      <c r="BJ499" s="1491" t="n"/>
      <c r="BK499" s="1491" t="n"/>
      <c r="BL499" s="1491" t="n"/>
      <c r="BM499" s="1491" t="n"/>
      <c r="BN499" s="1491" t="n"/>
      <c r="BO499" s="1467" t="n"/>
      <c r="BP499" s="1514" t="n">
        <v>495</v>
      </c>
      <c r="BQ499" s="1513">
        <f>[1]Sheet1!C500</f>
        <v/>
      </c>
      <c r="BR499" s="1515">
        <f>[1]Sheet1!D500</f>
        <v/>
      </c>
      <c r="BS499" s="1513">
        <f>[1]Sheet1!E500</f>
        <v/>
      </c>
      <c r="BT499" s="1515">
        <f>[1]Sheet1!F500</f>
        <v/>
      </c>
      <c r="BU499" s="1516">
        <f>[1]Sheet1!G500</f>
        <v/>
      </c>
      <c r="BV499" s="1513">
        <f>[1]Sheet1!H500</f>
        <v/>
      </c>
      <c r="BW499" s="1467" t="n"/>
      <c r="BX499" s="1491" t="n"/>
      <c r="BY499" s="1491" t="n"/>
      <c r="BZ499" s="1491" t="n"/>
      <c r="CA499" s="1491" t="n"/>
      <c r="CB499" s="1467" t="n"/>
      <c r="CC499" s="1467" t="n"/>
      <c r="CD499" s="1491" t="n"/>
      <c r="CE499" s="1491" t="n"/>
      <c r="CF499" s="1491" t="n"/>
      <c r="CG499" s="1491" t="n"/>
      <c r="CH499" s="1491" t="n"/>
      <c r="CI499" s="1491" t="n"/>
      <c r="CJ499" s="1491" t="n"/>
      <c r="CK499" s="1491" t="n"/>
      <c r="CL499" s="1491" t="n"/>
      <c r="CM499" s="1491" t="n"/>
      <c r="CN499" s="1491" t="n"/>
      <c r="CO499" s="1491" t="n"/>
      <c r="CP499" s="1491" t="n"/>
      <c r="CQ499" s="1491" t="n"/>
      <c r="CR499" s="1491" t="n"/>
      <c r="CS499" s="1491" t="n"/>
      <c r="CT499" s="1491" t="n"/>
      <c r="CU499" s="1491" t="n"/>
      <c r="CV499" s="1491" t="n"/>
      <c r="CW499" s="1491" t="n"/>
      <c r="CX499" s="1491" t="n"/>
    </row>
    <row r="500">
      <c r="A500" s="1491" t="n"/>
      <c r="B500" s="1491" t="n"/>
      <c r="C500" s="1491" t="n"/>
      <c r="D500" s="1497">
        <f>IF(E500&lt;&gt;"",D499+1,D499)</f>
        <v/>
      </c>
      <c r="E500" s="1497" t="inlineStr">
        <is>
          <t>Balugães</t>
        </is>
      </c>
      <c r="F500" s="1535" t="inlineStr">
        <is>
          <t>.</t>
        </is>
      </c>
      <c r="G500" s="1498">
        <f>IF(H500="AIR",0,IF(H499="AIR",G498+1,IF(H500&lt;&gt;"",G499+1,G499)))</f>
        <v/>
      </c>
      <c r="H500" s="1498" t="inlineStr">
        <is>
          <t>Queensbury</t>
        </is>
      </c>
      <c r="I500" s="1427" t="inlineStr">
        <is>
          <t>.</t>
        </is>
      </c>
      <c r="J500" s="1499" t="n">
        <v>495</v>
      </c>
      <c r="K500" s="1500">
        <f>_xlfn.XLOOKUP(cities[[#This Row],[id]],$D$5:$D$1500,E$5:E$1500,"-")</f>
        <v/>
      </c>
      <c r="L500" s="1500">
        <f>_xlfn.XLOOKUP(cities[[#This Row],[city]],ccc[city],ccc[ctry],"-")</f>
        <v/>
      </c>
      <c r="M500" s="1500">
        <f>SUMIFS(stayCity[stay],stayCity[city],cities[[#This Row],[city]])</f>
        <v/>
      </c>
      <c r="N500" s="1427">
        <f>N499+1</f>
        <v/>
      </c>
      <c r="O500" s="1500" t="n"/>
      <c r="P500" s="1500" t="n"/>
      <c r="Q500" s="1427" t="inlineStr">
        <is>
          <t>.</t>
        </is>
      </c>
      <c r="R500" s="1491" t="n"/>
      <c r="S500" s="1491" t="n"/>
      <c r="T500" s="1491" t="n"/>
      <c r="U500" s="1491" t="n"/>
      <c r="V500" s="1491" t="n"/>
      <c r="W500" s="1491" t="n"/>
      <c r="X500" s="1491" t="n"/>
      <c r="Y500" s="1491" t="n"/>
      <c r="Z500" s="1491" t="n"/>
      <c r="AA500" s="1491" t="n"/>
      <c r="AB500" s="1491" t="n"/>
      <c r="AC500" s="1491" t="n"/>
      <c r="AD500" s="1491" t="n"/>
      <c r="AE500" s="1491" t="n"/>
      <c r="AF500" s="1491" t="n"/>
      <c r="AG500" s="1491" t="n"/>
      <c r="AH500" s="1491" t="n"/>
      <c r="AI500" s="1491" t="n"/>
      <c r="AJ500" s="1491" t="n"/>
      <c r="AK500" s="1491" t="n"/>
      <c r="AL500" s="1491" t="n"/>
      <c r="AM500" s="1491" t="n"/>
      <c r="AN500" s="1491" t="n"/>
      <c r="AO500" s="1491" t="n"/>
      <c r="AP500" s="1491" t="n"/>
      <c r="AQ500" s="1491" t="n"/>
      <c r="AR500" s="1491" t="n"/>
      <c r="AS500" s="1491" t="n"/>
      <c r="AT500" s="1491" t="n"/>
      <c r="AU500" s="1491" t="n"/>
      <c r="AV500" s="1491" t="n"/>
      <c r="AW500" s="1491" t="n"/>
      <c r="AX500" s="1491" t="n"/>
      <c r="AY500" s="1491" t="n"/>
      <c r="AZ500" s="1491" t="n"/>
      <c r="BA500" s="1491" t="n"/>
      <c r="BB500" s="1491" t="n"/>
      <c r="BC500" s="1491" t="n"/>
      <c r="BD500" s="1491" t="n"/>
      <c r="BE500" s="1491" t="n"/>
      <c r="BF500" s="1491" t="n"/>
      <c r="BG500" s="1491" t="n"/>
      <c r="BH500" s="1491" t="n"/>
      <c r="BI500" s="1491" t="n"/>
      <c r="BJ500" s="1491" t="n"/>
      <c r="BK500" s="1491" t="n"/>
      <c r="BL500" s="1491" t="n"/>
      <c r="BM500" s="1491" t="n"/>
      <c r="BN500" s="1491" t="n"/>
      <c r="BO500" s="1467" t="n"/>
      <c r="BP500" s="1514" t="n">
        <v>496</v>
      </c>
      <c r="BQ500" s="1513">
        <f>[1]Sheet1!C501</f>
        <v/>
      </c>
      <c r="BR500" s="1515">
        <f>[1]Sheet1!D501</f>
        <v/>
      </c>
      <c r="BS500" s="1513">
        <f>[1]Sheet1!E501</f>
        <v/>
      </c>
      <c r="BT500" s="1515">
        <f>[1]Sheet1!F501</f>
        <v/>
      </c>
      <c r="BU500" s="1516">
        <f>[1]Sheet1!G501</f>
        <v/>
      </c>
      <c r="BV500" s="1513">
        <f>[1]Sheet1!H501</f>
        <v/>
      </c>
      <c r="BW500" s="1467" t="n"/>
      <c r="BX500" s="1491" t="n"/>
      <c r="BY500" s="1491" t="n"/>
      <c r="BZ500" s="1491" t="n"/>
      <c r="CA500" s="1491" t="n"/>
      <c r="CB500" s="1467" t="n"/>
      <c r="CC500" s="1467" t="n"/>
      <c r="CD500" s="1491" t="n"/>
      <c r="CE500" s="1491" t="n"/>
      <c r="CF500" s="1491" t="n"/>
      <c r="CG500" s="1491" t="n"/>
      <c r="CH500" s="1491" t="n"/>
      <c r="CI500" s="1491" t="n"/>
      <c r="CJ500" s="1491" t="n"/>
      <c r="CK500" s="1491" t="n"/>
      <c r="CL500" s="1491" t="n"/>
      <c r="CM500" s="1491" t="n"/>
      <c r="CN500" s="1491" t="n"/>
      <c r="CO500" s="1491" t="n"/>
      <c r="CP500" s="1491" t="n"/>
      <c r="CQ500" s="1491" t="n"/>
      <c r="CR500" s="1491" t="n"/>
      <c r="CS500" s="1491" t="n"/>
      <c r="CT500" s="1491" t="n"/>
      <c r="CU500" s="1491" t="n"/>
      <c r="CV500" s="1491" t="n"/>
      <c r="CW500" s="1491" t="n"/>
      <c r="CX500" s="1491" t="n"/>
    </row>
    <row r="501">
      <c r="A501" s="1491" t="n"/>
      <c r="B501" s="1491" t="n"/>
      <c r="C501" s="1491" t="n"/>
      <c r="D501" s="1497">
        <f>IF(E501&lt;&gt;"",D500+1,D500)</f>
        <v/>
      </c>
      <c r="E501" s="1497" t="inlineStr">
        <is>
          <t>Vitorino dos Piães</t>
        </is>
      </c>
      <c r="F501" s="1535" t="inlineStr">
        <is>
          <t>.</t>
        </is>
      </c>
      <c r="G501" s="1498">
        <f>IF(H501="AIR",0,IF(H500="AIR",G499+1,IF(H501&lt;&gt;"",G500+1,G500)))</f>
        <v/>
      </c>
      <c r="H501" s="1498" t="inlineStr">
        <is>
          <t>Halifax</t>
        </is>
      </c>
      <c r="I501" s="1427" t="inlineStr">
        <is>
          <t>.</t>
        </is>
      </c>
      <c r="J501" s="1499" t="n">
        <v>496</v>
      </c>
      <c r="K501" s="1500">
        <f>_xlfn.XLOOKUP(cities[[#This Row],[id]],$D$5:$D$1500,E$5:E$1500,"-")</f>
        <v/>
      </c>
      <c r="L501" s="1500">
        <f>_xlfn.XLOOKUP(cities[[#This Row],[city]],ccc[city],ccc[ctry],"-")</f>
        <v/>
      </c>
      <c r="M501" s="1500">
        <f>SUMIFS(stayCity[stay],stayCity[city],cities[[#This Row],[city]])</f>
        <v/>
      </c>
      <c r="N501" s="1427">
        <f>N500+1</f>
        <v/>
      </c>
      <c r="O501" s="1500" t="n"/>
      <c r="P501" s="1500" t="n"/>
      <c r="Q501" s="1427" t="inlineStr">
        <is>
          <t>.</t>
        </is>
      </c>
      <c r="R501" s="1491" t="n"/>
      <c r="S501" s="1491" t="n"/>
      <c r="T501" s="1491" t="n"/>
      <c r="U501" s="1491" t="n"/>
      <c r="V501" s="1491" t="n"/>
      <c r="W501" s="1491" t="n"/>
      <c r="X501" s="1491" t="n"/>
      <c r="Y501" s="1491" t="n"/>
      <c r="Z501" s="1491" t="n"/>
      <c r="AA501" s="1491" t="n"/>
      <c r="AB501" s="1491" t="n"/>
      <c r="AC501" s="1491" t="n"/>
      <c r="AD501" s="1491" t="n"/>
      <c r="AE501" s="1491" t="n"/>
      <c r="AF501" s="1491" t="n"/>
      <c r="AG501" s="1491" t="n"/>
      <c r="AH501" s="1491" t="n"/>
      <c r="AI501" s="1491" t="n"/>
      <c r="AJ501" s="1491" t="n"/>
      <c r="AK501" s="1491" t="n"/>
      <c r="AL501" s="1491" t="n"/>
      <c r="AM501" s="1491" t="n"/>
      <c r="AN501" s="1491" t="n"/>
      <c r="AO501" s="1491" t="n"/>
      <c r="AP501" s="1491" t="n"/>
      <c r="AQ501" s="1491" t="n"/>
      <c r="AR501" s="1491" t="n"/>
      <c r="AS501" s="1491" t="n"/>
      <c r="AT501" s="1491" t="n"/>
      <c r="AU501" s="1491" t="n"/>
      <c r="AV501" s="1491" t="n"/>
      <c r="AW501" s="1491" t="n"/>
      <c r="AX501" s="1491" t="n"/>
      <c r="AY501" s="1491" t="n"/>
      <c r="AZ501" s="1491" t="n"/>
      <c r="BA501" s="1491" t="n"/>
      <c r="BB501" s="1491" t="n"/>
      <c r="BC501" s="1491" t="n"/>
      <c r="BD501" s="1491" t="n"/>
      <c r="BE501" s="1491" t="n"/>
      <c r="BF501" s="1491" t="n"/>
      <c r="BG501" s="1491" t="n"/>
      <c r="BH501" s="1491" t="n"/>
      <c r="BI501" s="1491" t="n"/>
      <c r="BJ501" s="1491" t="n"/>
      <c r="BK501" s="1491" t="n"/>
      <c r="BL501" s="1491" t="n"/>
      <c r="BM501" s="1491" t="n"/>
      <c r="BN501" s="1491" t="n"/>
      <c r="BO501" s="1467" t="n"/>
      <c r="BP501" s="1514" t="n">
        <v>497</v>
      </c>
      <c r="BQ501" s="1513">
        <f>[1]Sheet1!C502</f>
        <v/>
      </c>
      <c r="BR501" s="1515">
        <f>[1]Sheet1!D502</f>
        <v/>
      </c>
      <c r="BS501" s="1513">
        <f>[1]Sheet1!E502</f>
        <v/>
      </c>
      <c r="BT501" s="1515">
        <f>[1]Sheet1!F502</f>
        <v/>
      </c>
      <c r="BU501" s="1516">
        <f>[1]Sheet1!G502</f>
        <v/>
      </c>
      <c r="BV501" s="1513">
        <f>[1]Sheet1!H502</f>
        <v/>
      </c>
      <c r="BW501" s="1467" t="n"/>
      <c r="BX501" s="1491" t="n"/>
      <c r="BY501" s="1491" t="n"/>
      <c r="BZ501" s="1491" t="n"/>
      <c r="CA501" s="1491" t="n"/>
      <c r="CB501" s="1467" t="n"/>
      <c r="CC501" s="1467" t="n"/>
      <c r="CD501" s="1491" t="n"/>
      <c r="CE501" s="1491" t="n"/>
      <c r="CF501" s="1491" t="n"/>
      <c r="CG501" s="1491" t="n"/>
      <c r="CH501" s="1491" t="n"/>
      <c r="CI501" s="1491" t="n"/>
      <c r="CJ501" s="1491" t="n"/>
      <c r="CK501" s="1491" t="n"/>
      <c r="CL501" s="1491" t="n"/>
      <c r="CM501" s="1491" t="n"/>
      <c r="CN501" s="1491" t="n"/>
      <c r="CO501" s="1491" t="n"/>
      <c r="CP501" s="1491" t="n"/>
      <c r="CQ501" s="1491" t="n"/>
      <c r="CR501" s="1491" t="n"/>
      <c r="CS501" s="1491" t="n"/>
      <c r="CT501" s="1491" t="n"/>
      <c r="CU501" s="1491" t="n"/>
      <c r="CV501" s="1491" t="n"/>
      <c r="CW501" s="1491" t="n"/>
      <c r="CX501" s="1491" t="n"/>
    </row>
    <row r="502">
      <c r="A502" s="1491" t="n"/>
      <c r="B502" s="1491" t="n"/>
      <c r="C502" s="1491" t="n"/>
      <c r="D502" s="1497">
        <f>IF(E502&lt;&gt;"",D501+1,D501)</f>
        <v/>
      </c>
      <c r="E502" s="1497" t="inlineStr">
        <is>
          <t>Ponte de Lima</t>
        </is>
      </c>
      <c r="F502" s="1535" t="inlineStr">
        <is>
          <t>.</t>
        </is>
      </c>
      <c r="G502" s="1498">
        <f>IF(H502="AIR",0,IF(H501="AIR",G500+1,IF(H502&lt;&gt;"",G501+1,G501)))</f>
        <v/>
      </c>
      <c r="H502" s="1498" t="inlineStr">
        <is>
          <t>Vancouver</t>
        </is>
      </c>
      <c r="I502" s="1427" t="inlineStr">
        <is>
          <t>.</t>
        </is>
      </c>
      <c r="J502" s="1499" t="n">
        <v>497</v>
      </c>
      <c r="K502" s="1500">
        <f>_xlfn.XLOOKUP(cities[[#This Row],[id]],$D$5:$D$1500,E$5:E$1500,"-")</f>
        <v/>
      </c>
      <c r="L502" s="1500">
        <f>_xlfn.XLOOKUP(cities[[#This Row],[city]],ccc[city],ccc[ctry],"-")</f>
        <v/>
      </c>
      <c r="M502" s="1500">
        <f>SUMIFS(stayCity[stay],stayCity[city],cities[[#This Row],[city]])</f>
        <v/>
      </c>
      <c r="N502" s="1427">
        <f>N501+1</f>
        <v/>
      </c>
      <c r="O502" s="1500" t="n"/>
      <c r="P502" s="1500" t="n"/>
      <c r="Q502" s="1427" t="inlineStr">
        <is>
          <t>.</t>
        </is>
      </c>
      <c r="R502" s="1491" t="n"/>
      <c r="S502" s="1491" t="n"/>
      <c r="T502" s="1491" t="n"/>
      <c r="U502" s="1491" t="n"/>
      <c r="V502" s="1491" t="n"/>
      <c r="W502" s="1491" t="n"/>
      <c r="X502" s="1491" t="n"/>
      <c r="Y502" s="1491" t="n"/>
      <c r="Z502" s="1491" t="n"/>
      <c r="AA502" s="1491" t="n"/>
      <c r="AB502" s="1491" t="n"/>
      <c r="AC502" s="1491" t="n"/>
      <c r="AD502" s="1491" t="n"/>
      <c r="AE502" s="1491" t="n"/>
      <c r="AF502" s="1491" t="n"/>
      <c r="AG502" s="1491" t="n"/>
      <c r="AH502" s="1491" t="n"/>
      <c r="AI502" s="1491" t="n"/>
      <c r="AJ502" s="1491" t="n"/>
      <c r="AK502" s="1491" t="n"/>
      <c r="AL502" s="1491" t="n"/>
      <c r="AM502" s="1491" t="n"/>
      <c r="AN502" s="1491" t="n"/>
      <c r="AO502" s="1491" t="n"/>
      <c r="AP502" s="1491" t="n"/>
      <c r="AQ502" s="1491" t="n"/>
      <c r="AR502" s="1491" t="n"/>
      <c r="AS502" s="1491" t="n"/>
      <c r="AT502" s="1491" t="n"/>
      <c r="AU502" s="1491" t="n"/>
      <c r="AV502" s="1491" t="n"/>
      <c r="AW502" s="1491" t="n"/>
      <c r="AX502" s="1491" t="n"/>
      <c r="AY502" s="1491" t="n"/>
      <c r="AZ502" s="1491" t="n"/>
      <c r="BA502" s="1491" t="n"/>
      <c r="BB502" s="1491" t="n"/>
      <c r="BC502" s="1491" t="n"/>
      <c r="BD502" s="1491" t="n"/>
      <c r="BE502" s="1491" t="n"/>
      <c r="BF502" s="1491" t="n"/>
      <c r="BG502" s="1491" t="n"/>
      <c r="BH502" s="1491" t="n"/>
      <c r="BI502" s="1491" t="n"/>
      <c r="BJ502" s="1491" t="n"/>
      <c r="BK502" s="1491" t="n"/>
      <c r="BL502" s="1491" t="n"/>
      <c r="BM502" s="1491" t="n"/>
      <c r="BN502" s="1491" t="n"/>
      <c r="BO502" s="1467" t="n"/>
      <c r="BP502" s="1514" t="n">
        <v>498</v>
      </c>
      <c r="BQ502" s="1513">
        <f>[1]Sheet1!C503</f>
        <v/>
      </c>
      <c r="BR502" s="1515">
        <f>[1]Sheet1!D503</f>
        <v/>
      </c>
      <c r="BS502" s="1513">
        <f>[1]Sheet1!E503</f>
        <v/>
      </c>
      <c r="BT502" s="1515">
        <f>[1]Sheet1!F503</f>
        <v/>
      </c>
      <c r="BU502" s="1516">
        <f>[1]Sheet1!G503</f>
        <v/>
      </c>
      <c r="BV502" s="1513">
        <f>[1]Sheet1!H503</f>
        <v/>
      </c>
      <c r="BW502" s="1467" t="n"/>
      <c r="BX502" s="1491" t="n"/>
      <c r="BY502" s="1491" t="n"/>
      <c r="BZ502" s="1491" t="n"/>
      <c r="CA502" s="1491" t="n"/>
      <c r="CB502" s="1467" t="n"/>
      <c r="CC502" s="1467" t="n"/>
      <c r="CD502" s="1491" t="n"/>
      <c r="CE502" s="1491" t="n"/>
      <c r="CF502" s="1491" t="n"/>
      <c r="CG502" s="1491" t="n"/>
      <c r="CH502" s="1491" t="n"/>
      <c r="CI502" s="1491" t="n"/>
      <c r="CJ502" s="1491" t="n"/>
      <c r="CK502" s="1491" t="n"/>
      <c r="CL502" s="1491" t="n"/>
      <c r="CM502" s="1491" t="n"/>
      <c r="CN502" s="1491" t="n"/>
      <c r="CO502" s="1491" t="n"/>
      <c r="CP502" s="1491" t="n"/>
      <c r="CQ502" s="1491" t="n"/>
      <c r="CR502" s="1491" t="n"/>
      <c r="CS502" s="1491" t="n"/>
      <c r="CT502" s="1491" t="n"/>
      <c r="CU502" s="1491" t="n"/>
      <c r="CV502" s="1491" t="n"/>
      <c r="CW502" s="1491" t="n"/>
      <c r="CX502" s="1491" t="n"/>
    </row>
    <row r="503">
      <c r="A503" s="1491" t="n"/>
      <c r="B503" s="1491" t="n"/>
      <c r="C503" s="1491" t="n"/>
      <c r="D503" s="1497">
        <f>IF(E503&lt;&gt;"",D502+1,D502)</f>
        <v/>
      </c>
      <c r="E503" s="1497" t="inlineStr">
        <is>
          <t>Rubiaes</t>
        </is>
      </c>
      <c r="F503" s="1535" t="inlineStr">
        <is>
          <t>.</t>
        </is>
      </c>
      <c r="G503" s="1498">
        <f>IF(H503="AIR",0,IF(H502="AIR",G501+1,IF(H503&lt;&gt;"",G502+1,G502)))</f>
        <v/>
      </c>
      <c r="H503" s="1498" t="inlineStr">
        <is>
          <t>Beijing</t>
        </is>
      </c>
      <c r="I503" s="1427" t="inlineStr">
        <is>
          <t>.</t>
        </is>
      </c>
      <c r="J503" s="1499" t="n">
        <v>498</v>
      </c>
      <c r="K503" s="1500">
        <f>_xlfn.XLOOKUP(cities[[#This Row],[id]],$D$5:$D$1500,E$5:E$1500,"-")</f>
        <v/>
      </c>
      <c r="L503" s="1500">
        <f>_xlfn.XLOOKUP(cities[[#This Row],[city]],ccc[city],ccc[ctry],"-")</f>
        <v/>
      </c>
      <c r="M503" s="1500">
        <f>SUMIFS(stayCity[stay],stayCity[city],cities[[#This Row],[city]])</f>
        <v/>
      </c>
      <c r="N503" s="1427">
        <f>N502+1</f>
        <v/>
      </c>
      <c r="O503" s="1500" t="n"/>
      <c r="P503" s="1500" t="n"/>
      <c r="Q503" s="1427" t="inlineStr">
        <is>
          <t>.</t>
        </is>
      </c>
      <c r="R503" s="1491" t="n"/>
      <c r="S503" s="1491" t="n"/>
      <c r="T503" s="1491" t="n"/>
      <c r="U503" s="1491" t="n"/>
      <c r="V503" s="1491" t="n"/>
      <c r="W503" s="1491" t="n"/>
      <c r="X503" s="1491" t="n"/>
      <c r="Y503" s="1491" t="n"/>
      <c r="Z503" s="1491" t="n"/>
      <c r="AA503" s="1491" t="n"/>
      <c r="AB503" s="1491" t="n"/>
      <c r="AC503" s="1491" t="n"/>
      <c r="AD503" s="1491" t="n"/>
      <c r="AE503" s="1491" t="n"/>
      <c r="AF503" s="1491" t="n"/>
      <c r="AG503" s="1491" t="n"/>
      <c r="AH503" s="1491" t="n"/>
      <c r="AI503" s="1491" t="n"/>
      <c r="AJ503" s="1491" t="n"/>
      <c r="AK503" s="1491" t="n"/>
      <c r="AL503" s="1491" t="n"/>
      <c r="AM503" s="1491" t="n"/>
      <c r="AN503" s="1491" t="n"/>
      <c r="AO503" s="1491" t="n"/>
      <c r="AP503" s="1491" t="n"/>
      <c r="AQ503" s="1491" t="n"/>
      <c r="AR503" s="1491" t="n"/>
      <c r="AS503" s="1491" t="n"/>
      <c r="AT503" s="1491" t="n"/>
      <c r="AU503" s="1491" t="n"/>
      <c r="AV503" s="1491" t="n"/>
      <c r="AW503" s="1491" t="n"/>
      <c r="AX503" s="1491" t="n"/>
      <c r="AY503" s="1491" t="n"/>
      <c r="AZ503" s="1491" t="n"/>
      <c r="BA503" s="1491" t="n"/>
      <c r="BB503" s="1491" t="n"/>
      <c r="BC503" s="1491" t="n"/>
      <c r="BD503" s="1491" t="n"/>
      <c r="BE503" s="1491" t="n"/>
      <c r="BF503" s="1491" t="n"/>
      <c r="BG503" s="1491" t="n"/>
      <c r="BH503" s="1491" t="n"/>
      <c r="BI503" s="1491" t="n"/>
      <c r="BJ503" s="1491" t="n"/>
      <c r="BK503" s="1491" t="n"/>
      <c r="BL503" s="1491" t="n"/>
      <c r="BM503" s="1491" t="n"/>
      <c r="BN503" s="1491" t="n"/>
      <c r="BO503" s="1467" t="n"/>
      <c r="BP503" s="1514" t="n">
        <v>499</v>
      </c>
      <c r="BQ503" s="1513">
        <f>[1]Sheet1!C504</f>
        <v/>
      </c>
      <c r="BR503" s="1515">
        <f>[1]Sheet1!D504</f>
        <v/>
      </c>
      <c r="BS503" s="1513">
        <f>[1]Sheet1!E504</f>
        <v/>
      </c>
      <c r="BT503" s="1515">
        <f>[1]Sheet1!F504</f>
        <v/>
      </c>
      <c r="BU503" s="1516">
        <f>[1]Sheet1!G504</f>
        <v/>
      </c>
      <c r="BV503" s="1513">
        <f>[1]Sheet1!H504</f>
        <v/>
      </c>
      <c r="BW503" s="1467" t="n"/>
      <c r="BX503" s="1491" t="n"/>
      <c r="BY503" s="1491" t="n"/>
      <c r="BZ503" s="1491" t="n"/>
      <c r="CA503" s="1491" t="n"/>
      <c r="CB503" s="1467" t="n"/>
      <c r="CC503" s="1467" t="n"/>
      <c r="CD503" s="1491" t="n"/>
      <c r="CE503" s="1491" t="n"/>
      <c r="CF503" s="1491" t="n"/>
      <c r="CG503" s="1491" t="n"/>
      <c r="CH503" s="1491" t="n"/>
      <c r="CI503" s="1491" t="n"/>
      <c r="CJ503" s="1491" t="n"/>
      <c r="CK503" s="1491" t="n"/>
      <c r="CL503" s="1491" t="n"/>
      <c r="CM503" s="1491" t="n"/>
      <c r="CN503" s="1491" t="n"/>
      <c r="CO503" s="1491" t="n"/>
      <c r="CP503" s="1491" t="n"/>
      <c r="CQ503" s="1491" t="n"/>
      <c r="CR503" s="1491" t="n"/>
      <c r="CS503" s="1491" t="n"/>
      <c r="CT503" s="1491" t="n"/>
      <c r="CU503" s="1491" t="n"/>
      <c r="CV503" s="1491" t="n"/>
      <c r="CW503" s="1491" t="n"/>
      <c r="CX503" s="1491" t="n"/>
    </row>
    <row r="504">
      <c r="A504" s="1491" t="n"/>
      <c r="B504" s="1491" t="n"/>
      <c r="C504" s="1491" t="n"/>
      <c r="D504" s="1497">
        <f>IF(E504&lt;&gt;"",D503+1,D503)</f>
        <v/>
      </c>
      <c r="E504" s="1497" t="inlineStr">
        <is>
          <t>Valença</t>
        </is>
      </c>
      <c r="F504" s="1535" t="inlineStr">
        <is>
          <t>.</t>
        </is>
      </c>
      <c r="G504" s="1498">
        <f>IF(H504="AIR",0,IF(H503="AIR",G502+1,IF(H504&lt;&gt;"",G503+1,G503)))</f>
        <v/>
      </c>
      <c r="H504" s="1498" t="inlineStr">
        <is>
          <t>Xi'An</t>
        </is>
      </c>
      <c r="I504" s="1427" t="inlineStr">
        <is>
          <t>.</t>
        </is>
      </c>
      <c r="J504" s="1499" t="n">
        <v>499</v>
      </c>
      <c r="K504" s="1500">
        <f>_xlfn.XLOOKUP(cities[[#This Row],[id]],$D$5:$D$1500,E$5:E$1500,"-")</f>
        <v/>
      </c>
      <c r="L504" s="1500">
        <f>_xlfn.XLOOKUP(cities[[#This Row],[city]],ccc[city],ccc[ctry],"-")</f>
        <v/>
      </c>
      <c r="M504" s="1500">
        <f>SUMIFS(stayCity[stay],stayCity[city],cities[[#This Row],[city]])</f>
        <v/>
      </c>
      <c r="N504" s="1427">
        <f>N503+1</f>
        <v/>
      </c>
      <c r="O504" s="1500" t="n"/>
      <c r="P504" s="1500" t="n"/>
      <c r="Q504" s="1427" t="inlineStr">
        <is>
          <t>.</t>
        </is>
      </c>
      <c r="R504" s="1491" t="n"/>
      <c r="S504" s="1491" t="n"/>
      <c r="T504" s="1491" t="n"/>
      <c r="U504" s="1491" t="n"/>
      <c r="V504" s="1491" t="n"/>
      <c r="W504" s="1491" t="n"/>
      <c r="X504" s="1491" t="n"/>
      <c r="Y504" s="1491" t="n"/>
      <c r="Z504" s="1491" t="n"/>
      <c r="AA504" s="1491" t="n"/>
      <c r="AB504" s="1491" t="n"/>
      <c r="AC504" s="1491" t="n"/>
      <c r="AD504" s="1491" t="n"/>
      <c r="AE504" s="1491" t="n"/>
      <c r="AF504" s="1491" t="n"/>
      <c r="AG504" s="1491" t="n"/>
      <c r="AH504" s="1491" t="n"/>
      <c r="AI504" s="1491" t="n"/>
      <c r="AJ504" s="1491" t="n"/>
      <c r="AK504" s="1491" t="n"/>
      <c r="AL504" s="1491" t="n"/>
      <c r="AM504" s="1491" t="n"/>
      <c r="AN504" s="1491" t="n"/>
      <c r="AO504" s="1491" t="n"/>
      <c r="AP504" s="1491" t="n"/>
      <c r="AQ504" s="1491" t="n"/>
      <c r="AR504" s="1491" t="n"/>
      <c r="AS504" s="1491" t="n"/>
      <c r="AT504" s="1491" t="n"/>
      <c r="AU504" s="1491" t="n"/>
      <c r="AV504" s="1491" t="n"/>
      <c r="AW504" s="1491" t="n"/>
      <c r="AX504" s="1491" t="n"/>
      <c r="AY504" s="1491" t="n"/>
      <c r="AZ504" s="1491" t="n"/>
      <c r="BA504" s="1491" t="n"/>
      <c r="BB504" s="1491" t="n"/>
      <c r="BC504" s="1491" t="n"/>
      <c r="BD504" s="1491" t="n"/>
      <c r="BE504" s="1491" t="n"/>
      <c r="BF504" s="1491" t="n"/>
      <c r="BG504" s="1491" t="n"/>
      <c r="BH504" s="1491" t="n"/>
      <c r="BI504" s="1491" t="n"/>
      <c r="BJ504" s="1491" t="n"/>
      <c r="BK504" s="1491" t="n"/>
      <c r="BL504" s="1491" t="n"/>
      <c r="BM504" s="1491" t="n"/>
      <c r="BN504" s="1491" t="n"/>
      <c r="BO504" s="1467" t="n"/>
      <c r="BP504" s="1514" t="n">
        <v>500</v>
      </c>
      <c r="BQ504" s="1513">
        <f>[1]Sheet1!C505</f>
        <v/>
      </c>
      <c r="BR504" s="1515">
        <f>[1]Sheet1!D505</f>
        <v/>
      </c>
      <c r="BS504" s="1513">
        <f>[1]Sheet1!E505</f>
        <v/>
      </c>
      <c r="BT504" s="1515">
        <f>[1]Sheet1!F505</f>
        <v/>
      </c>
      <c r="BU504" s="1516">
        <f>[1]Sheet1!G505</f>
        <v/>
      </c>
      <c r="BV504" s="1513">
        <f>[1]Sheet1!H505</f>
        <v/>
      </c>
      <c r="BW504" s="1467" t="n"/>
      <c r="BX504" s="1491" t="n"/>
      <c r="BY504" s="1491" t="n"/>
      <c r="BZ504" s="1491" t="n"/>
      <c r="CA504" s="1491" t="n"/>
      <c r="CB504" s="1467" t="n"/>
      <c r="CC504" s="1467" t="n"/>
      <c r="CD504" s="1491" t="n"/>
      <c r="CE504" s="1491" t="n"/>
      <c r="CF504" s="1491" t="n"/>
      <c r="CG504" s="1491" t="n"/>
      <c r="CH504" s="1491" t="n"/>
      <c r="CI504" s="1491" t="n"/>
      <c r="CJ504" s="1491" t="n"/>
      <c r="CK504" s="1491" t="n"/>
      <c r="CL504" s="1491" t="n"/>
      <c r="CM504" s="1491" t="n"/>
      <c r="CN504" s="1491" t="n"/>
      <c r="CO504" s="1491" t="n"/>
      <c r="CP504" s="1491" t="n"/>
      <c r="CQ504" s="1491" t="n"/>
      <c r="CR504" s="1491" t="n"/>
      <c r="CS504" s="1491" t="n"/>
      <c r="CT504" s="1491" t="n"/>
      <c r="CU504" s="1491" t="n"/>
      <c r="CV504" s="1491" t="n"/>
      <c r="CW504" s="1491" t="n"/>
      <c r="CX504" s="1491" t="n"/>
    </row>
    <row r="505">
      <c r="A505" s="1491" t="n"/>
      <c r="B505" s="1491" t="n"/>
      <c r="C505" s="1491" t="n"/>
      <c r="D505" s="1497">
        <f>IF(E505&lt;&gt;"",D504+1,D504)</f>
        <v/>
      </c>
      <c r="E505" s="1497" t="inlineStr">
        <is>
          <t>Tuí</t>
        </is>
      </c>
      <c r="F505" s="1535" t="inlineStr">
        <is>
          <t>.</t>
        </is>
      </c>
      <c r="G505" s="1498">
        <f>IF(H505="AIR",0,IF(H504="AIR",G503+1,IF(H505&lt;&gt;"",G504+1,G504)))</f>
        <v/>
      </c>
      <c r="H505" s="1498" t="inlineStr">
        <is>
          <t>Granby</t>
        </is>
      </c>
      <c r="I505" s="1427" t="inlineStr">
        <is>
          <t>.</t>
        </is>
      </c>
      <c r="J505" s="1499" t="n">
        <v>500</v>
      </c>
      <c r="K505" s="1500">
        <f>_xlfn.XLOOKUP(cities[[#This Row],[id]],$D$5:$D$1500,E$5:E$1500,"-")</f>
        <v/>
      </c>
      <c r="L505" s="1500">
        <f>_xlfn.XLOOKUP(cities[[#This Row],[city]],ccc[city],ccc[ctry],"-")</f>
        <v/>
      </c>
      <c r="M505" s="1500">
        <f>SUMIFS(stayCity[stay],stayCity[city],cities[[#This Row],[city]])</f>
        <v/>
      </c>
      <c r="N505" s="1427">
        <f>N504+1</f>
        <v/>
      </c>
      <c r="O505" s="1500" t="n"/>
      <c r="P505" s="1500" t="n"/>
      <c r="Q505" s="1427" t="inlineStr">
        <is>
          <t>.</t>
        </is>
      </c>
      <c r="R505" s="1491" t="n"/>
      <c r="S505" s="1491" t="n"/>
      <c r="T505" s="1491" t="n"/>
      <c r="U505" s="1491" t="n"/>
      <c r="V505" s="1491" t="n"/>
      <c r="W505" s="1491" t="n"/>
      <c r="X505" s="1491" t="n"/>
      <c r="Y505" s="1491" t="n"/>
      <c r="Z505" s="1491" t="n"/>
      <c r="AA505" s="1491" t="n"/>
      <c r="AB505" s="1491" t="n"/>
      <c r="AC505" s="1491" t="n"/>
      <c r="AD505" s="1491" t="n"/>
      <c r="AE505" s="1491" t="n"/>
      <c r="AF505" s="1491" t="n"/>
      <c r="AG505" s="1491" t="n"/>
      <c r="AH505" s="1491" t="n"/>
      <c r="AI505" s="1491" t="n"/>
      <c r="AJ505" s="1491" t="n"/>
      <c r="AK505" s="1491" t="n"/>
      <c r="AL505" s="1491" t="n"/>
      <c r="AM505" s="1491" t="n"/>
      <c r="AN505" s="1491" t="n"/>
      <c r="AO505" s="1491" t="n"/>
      <c r="AP505" s="1491" t="n"/>
      <c r="AQ505" s="1491" t="n"/>
      <c r="AR505" s="1491" t="n"/>
      <c r="AS505" s="1491" t="n"/>
      <c r="AT505" s="1491" t="n"/>
      <c r="AU505" s="1491" t="n"/>
      <c r="AV505" s="1491" t="n"/>
      <c r="AW505" s="1491" t="n"/>
      <c r="AX505" s="1491" t="n"/>
      <c r="AY505" s="1491" t="n"/>
      <c r="AZ505" s="1491" t="n"/>
      <c r="BA505" s="1491" t="n"/>
      <c r="BB505" s="1491" t="n"/>
      <c r="BC505" s="1491" t="n"/>
      <c r="BD505" s="1491" t="n"/>
      <c r="BE505" s="1491" t="n"/>
      <c r="BF505" s="1491" t="n"/>
      <c r="BG505" s="1491" t="n"/>
      <c r="BH505" s="1491" t="n"/>
      <c r="BI505" s="1491" t="n"/>
      <c r="BJ505" s="1491" t="n"/>
      <c r="BK505" s="1491" t="n"/>
      <c r="BL505" s="1491" t="n"/>
      <c r="BM505" s="1491" t="n"/>
      <c r="BN505" s="1491" t="n"/>
      <c r="BO505" s="1467" t="n"/>
      <c r="BP505" s="1514" t="n">
        <v>501</v>
      </c>
      <c r="BQ505" s="1513">
        <f>[1]Sheet1!C506</f>
        <v/>
      </c>
      <c r="BR505" s="1515">
        <f>[1]Sheet1!D506</f>
        <v/>
      </c>
      <c r="BS505" s="1513">
        <f>[1]Sheet1!E506</f>
        <v/>
      </c>
      <c r="BT505" s="1515">
        <f>[1]Sheet1!F506</f>
        <v/>
      </c>
      <c r="BU505" s="1516">
        <f>[1]Sheet1!G506</f>
        <v/>
      </c>
      <c r="BV505" s="1513">
        <f>[1]Sheet1!H506</f>
        <v/>
      </c>
      <c r="BW505" s="1467" t="n"/>
      <c r="BX505" s="1491" t="n"/>
      <c r="BY505" s="1491" t="n"/>
      <c r="BZ505" s="1491" t="n"/>
      <c r="CA505" s="1491" t="n"/>
      <c r="CB505" s="1467" t="n"/>
      <c r="CC505" s="1467" t="n"/>
      <c r="CD505" s="1491" t="n"/>
      <c r="CE505" s="1491" t="n"/>
      <c r="CF505" s="1491" t="n"/>
      <c r="CG505" s="1491" t="n"/>
      <c r="CH505" s="1491" t="n"/>
      <c r="CI505" s="1491" t="n"/>
      <c r="CJ505" s="1491" t="n"/>
      <c r="CK505" s="1491" t="n"/>
      <c r="CL505" s="1491" t="n"/>
      <c r="CM505" s="1491" t="n"/>
      <c r="CN505" s="1491" t="n"/>
      <c r="CO505" s="1491" t="n"/>
      <c r="CP505" s="1491" t="n"/>
      <c r="CQ505" s="1491" t="n"/>
      <c r="CR505" s="1491" t="n"/>
      <c r="CS505" s="1491" t="n"/>
      <c r="CT505" s="1491" t="n"/>
      <c r="CU505" s="1491" t="n"/>
      <c r="CV505" s="1491" t="n"/>
      <c r="CW505" s="1491" t="n"/>
      <c r="CX505" s="1491" t="n"/>
    </row>
    <row r="506">
      <c r="A506" s="1491" t="n"/>
      <c r="B506" s="1491" t="n"/>
      <c r="C506" s="1491" t="n"/>
      <c r="D506" s="1497">
        <f>IF(E506&lt;&gt;"",D505+1,D505)</f>
        <v/>
      </c>
      <c r="E506" s="1497" t="inlineStr">
        <is>
          <t>Oporrino</t>
        </is>
      </c>
      <c r="F506" s="1535" t="inlineStr">
        <is>
          <t>.</t>
        </is>
      </c>
      <c r="G506" s="1498">
        <f>IF(H506="AIR",0,IF(H505="AIR",G504+1,IF(H506&lt;&gt;"",G505+1,G505)))</f>
        <v/>
      </c>
      <c r="H506" s="1498" t="inlineStr">
        <is>
          <t>Porto</t>
        </is>
      </c>
      <c r="I506" s="1427" t="inlineStr">
        <is>
          <t>.</t>
        </is>
      </c>
      <c r="J506" s="1499" t="n">
        <v>501</v>
      </c>
      <c r="K506" s="1500">
        <f>_xlfn.XLOOKUP(cities[[#This Row],[id]],$D$5:$D$1500,E$5:E$1500,"-")</f>
        <v/>
      </c>
      <c r="L506" s="1500">
        <f>_xlfn.XLOOKUP(cities[[#This Row],[city]],ccc[city],ccc[ctry],"-")</f>
        <v/>
      </c>
      <c r="M506" s="1500">
        <f>SUMIFS(stayCity[stay],stayCity[city],cities[[#This Row],[city]])</f>
        <v/>
      </c>
      <c r="N506" s="1427">
        <f>N505+1</f>
        <v/>
      </c>
      <c r="O506" s="1500" t="n"/>
      <c r="P506" s="1500" t="n"/>
      <c r="Q506" s="1427" t="inlineStr">
        <is>
          <t>.</t>
        </is>
      </c>
      <c r="R506" s="1491" t="n"/>
      <c r="S506" s="1491" t="n"/>
      <c r="T506" s="1491" t="n"/>
      <c r="U506" s="1491" t="n"/>
      <c r="V506" s="1491" t="n"/>
      <c r="W506" s="1491" t="n"/>
      <c r="X506" s="1491" t="n"/>
      <c r="Y506" s="1491" t="n"/>
      <c r="Z506" s="1491" t="n"/>
      <c r="AA506" s="1491" t="n"/>
      <c r="AB506" s="1491" t="n"/>
      <c r="AC506" s="1491" t="n"/>
      <c r="AD506" s="1491" t="n"/>
      <c r="AE506" s="1491" t="n"/>
      <c r="AF506" s="1491" t="n"/>
      <c r="AG506" s="1491" t="n"/>
      <c r="AH506" s="1491" t="n"/>
      <c r="AI506" s="1491" t="n"/>
      <c r="AJ506" s="1491" t="n"/>
      <c r="AK506" s="1491" t="n"/>
      <c r="AL506" s="1491" t="n"/>
      <c r="AM506" s="1491" t="n"/>
      <c r="AN506" s="1491" t="n"/>
      <c r="AO506" s="1491" t="n"/>
      <c r="AP506" s="1491" t="n"/>
      <c r="AQ506" s="1491" t="n"/>
      <c r="AR506" s="1491" t="n"/>
      <c r="AS506" s="1491" t="n"/>
      <c r="AT506" s="1491" t="n"/>
      <c r="AU506" s="1491" t="n"/>
      <c r="AV506" s="1491" t="n"/>
      <c r="AW506" s="1491" t="n"/>
      <c r="AX506" s="1491" t="n"/>
      <c r="AY506" s="1491" t="n"/>
      <c r="AZ506" s="1491" t="n"/>
      <c r="BA506" s="1491" t="n"/>
      <c r="BB506" s="1491" t="n"/>
      <c r="BC506" s="1491" t="n"/>
      <c r="BD506" s="1491" t="n"/>
      <c r="BE506" s="1491" t="n"/>
      <c r="BF506" s="1491" t="n"/>
      <c r="BG506" s="1491" t="n"/>
      <c r="BH506" s="1491" t="n"/>
      <c r="BI506" s="1491" t="n"/>
      <c r="BJ506" s="1491" t="n"/>
      <c r="BK506" s="1491" t="n"/>
      <c r="BL506" s="1491" t="n"/>
      <c r="BM506" s="1491" t="n"/>
      <c r="BN506" s="1491" t="n"/>
      <c r="BO506" s="1467" t="n"/>
      <c r="BP506" s="1514" t="n">
        <v>502</v>
      </c>
      <c r="BQ506" s="1513">
        <f>[1]Sheet1!C507</f>
        <v/>
      </c>
      <c r="BR506" s="1515">
        <f>[1]Sheet1!D507</f>
        <v/>
      </c>
      <c r="BS506" s="1513">
        <f>[1]Sheet1!E507</f>
        <v/>
      </c>
      <c r="BT506" s="1515">
        <f>[1]Sheet1!F507</f>
        <v/>
      </c>
      <c r="BU506" s="1516">
        <f>[1]Sheet1!G507</f>
        <v/>
      </c>
      <c r="BV506" s="1513">
        <f>[1]Sheet1!H507</f>
        <v/>
      </c>
      <c r="BW506" s="1467" t="n"/>
      <c r="BX506" s="1491" t="n"/>
      <c r="BY506" s="1491" t="n"/>
      <c r="BZ506" s="1491" t="n"/>
      <c r="CA506" s="1491" t="n"/>
      <c r="CB506" s="1467" t="n"/>
      <c r="CC506" s="1467" t="n"/>
      <c r="CD506" s="1491" t="n"/>
      <c r="CE506" s="1491" t="n"/>
      <c r="CF506" s="1491" t="n"/>
      <c r="CG506" s="1491" t="n"/>
      <c r="CH506" s="1491" t="n"/>
      <c r="CI506" s="1491" t="n"/>
      <c r="CJ506" s="1491" t="n"/>
      <c r="CK506" s="1491" t="n"/>
      <c r="CL506" s="1491" t="n"/>
      <c r="CM506" s="1491" t="n"/>
      <c r="CN506" s="1491" t="n"/>
      <c r="CO506" s="1491" t="n"/>
      <c r="CP506" s="1491" t="n"/>
      <c r="CQ506" s="1491" t="n"/>
      <c r="CR506" s="1491" t="n"/>
      <c r="CS506" s="1491" t="n"/>
      <c r="CT506" s="1491" t="n"/>
      <c r="CU506" s="1491" t="n"/>
      <c r="CV506" s="1491" t="n"/>
      <c r="CW506" s="1491" t="n"/>
      <c r="CX506" s="1491" t="n"/>
    </row>
    <row r="507">
      <c r="A507" s="1491" t="n"/>
      <c r="B507" s="1491" t="n"/>
      <c r="C507" s="1491" t="n"/>
      <c r="D507" s="1497">
        <f>IF(E507&lt;&gt;"",D506+1,D506)</f>
        <v/>
      </c>
      <c r="E507" s="1497" t="inlineStr">
        <is>
          <t>Redondela</t>
        </is>
      </c>
      <c r="F507" s="1535" t="inlineStr">
        <is>
          <t>.</t>
        </is>
      </c>
      <c r="G507" s="1498">
        <f>IF(H507="AIR",0,IF(H506="AIR",G505+1,IF(H507&lt;&gt;"",G506+1,G506)))</f>
        <v/>
      </c>
      <c r="H507" s="1498" t="inlineStr">
        <is>
          <t>Vairao</t>
        </is>
      </c>
      <c r="I507" s="1427" t="inlineStr">
        <is>
          <t>.</t>
        </is>
      </c>
      <c r="J507" s="1499" t="n">
        <v>502</v>
      </c>
      <c r="K507" s="1500">
        <f>_xlfn.XLOOKUP(cities[[#This Row],[id]],$D$5:$D$1500,E$5:E$1500,"-")</f>
        <v/>
      </c>
      <c r="L507" s="1500">
        <f>_xlfn.XLOOKUP(cities[[#This Row],[city]],ccc[city],ccc[ctry],"-")</f>
        <v/>
      </c>
      <c r="M507" s="1500">
        <f>SUMIFS(stayCity[stay],stayCity[city],cities[[#This Row],[city]])</f>
        <v/>
      </c>
      <c r="N507" s="1427">
        <f>N506+1</f>
        <v/>
      </c>
      <c r="O507" s="1500" t="n"/>
      <c r="P507" s="1500" t="n"/>
      <c r="Q507" s="1427" t="inlineStr">
        <is>
          <t>.</t>
        </is>
      </c>
      <c r="R507" s="1491" t="n"/>
      <c r="S507" s="1491" t="n"/>
      <c r="T507" s="1491" t="n"/>
      <c r="U507" s="1491" t="n"/>
      <c r="V507" s="1491" t="n"/>
      <c r="W507" s="1491" t="n"/>
      <c r="X507" s="1491" t="n"/>
      <c r="Y507" s="1491" t="n"/>
      <c r="Z507" s="1491" t="n"/>
      <c r="AA507" s="1491" t="n"/>
      <c r="AB507" s="1491" t="n"/>
      <c r="AC507" s="1491" t="n"/>
      <c r="AD507" s="1491" t="n"/>
      <c r="AE507" s="1491" t="n"/>
      <c r="AF507" s="1491" t="n"/>
      <c r="AG507" s="1491" t="n"/>
      <c r="AH507" s="1491" t="n"/>
      <c r="AI507" s="1491" t="n"/>
      <c r="AJ507" s="1491" t="n"/>
      <c r="AK507" s="1491" t="n"/>
      <c r="AL507" s="1491" t="n"/>
      <c r="AM507" s="1491" t="n"/>
      <c r="AN507" s="1491" t="n"/>
      <c r="AO507" s="1491" t="n"/>
      <c r="AP507" s="1491" t="n"/>
      <c r="AQ507" s="1491" t="n"/>
      <c r="AR507" s="1491" t="n"/>
      <c r="AS507" s="1491" t="n"/>
      <c r="AT507" s="1491" t="n"/>
      <c r="AU507" s="1491" t="n"/>
      <c r="AV507" s="1491" t="n"/>
      <c r="AW507" s="1491" t="n"/>
      <c r="AX507" s="1491" t="n"/>
      <c r="AY507" s="1491" t="n"/>
      <c r="AZ507" s="1491" t="n"/>
      <c r="BA507" s="1491" t="n"/>
      <c r="BB507" s="1491" t="n"/>
      <c r="BC507" s="1491" t="n"/>
      <c r="BD507" s="1491" t="n"/>
      <c r="BE507" s="1491" t="n"/>
      <c r="BF507" s="1491" t="n"/>
      <c r="BG507" s="1491" t="n"/>
      <c r="BH507" s="1491" t="n"/>
      <c r="BI507" s="1491" t="n"/>
      <c r="BJ507" s="1491" t="n"/>
      <c r="BK507" s="1491" t="n"/>
      <c r="BL507" s="1491" t="n"/>
      <c r="BM507" s="1491" t="n"/>
      <c r="BN507" s="1491" t="n"/>
      <c r="BO507" s="1467" t="n"/>
      <c r="BP507" s="1514" t="n">
        <v>503</v>
      </c>
      <c r="BQ507" s="1513">
        <f>[1]Sheet1!C508</f>
        <v/>
      </c>
      <c r="BR507" s="1515">
        <f>[1]Sheet1!D508</f>
        <v/>
      </c>
      <c r="BS507" s="1513">
        <f>[1]Sheet1!E508</f>
        <v/>
      </c>
      <c r="BT507" s="1515">
        <f>[1]Sheet1!F508</f>
        <v/>
      </c>
      <c r="BU507" s="1516">
        <f>[1]Sheet1!G508</f>
        <v/>
      </c>
      <c r="BV507" s="1513">
        <f>[1]Sheet1!H508</f>
        <v/>
      </c>
      <c r="BW507" s="1467" t="n"/>
      <c r="BX507" s="1491" t="n"/>
      <c r="BY507" s="1491" t="n"/>
      <c r="BZ507" s="1491" t="n"/>
      <c r="CA507" s="1491" t="n"/>
      <c r="CB507" s="1467" t="n"/>
      <c r="CC507" s="1467" t="n"/>
      <c r="CD507" s="1491" t="n"/>
      <c r="CE507" s="1491" t="n"/>
      <c r="CF507" s="1491" t="n"/>
      <c r="CG507" s="1491" t="n"/>
      <c r="CH507" s="1491" t="n"/>
      <c r="CI507" s="1491" t="n"/>
      <c r="CJ507" s="1491" t="n"/>
      <c r="CK507" s="1491" t="n"/>
      <c r="CL507" s="1491" t="n"/>
      <c r="CM507" s="1491" t="n"/>
      <c r="CN507" s="1491" t="n"/>
      <c r="CO507" s="1491" t="n"/>
      <c r="CP507" s="1491" t="n"/>
      <c r="CQ507" s="1491" t="n"/>
      <c r="CR507" s="1491" t="n"/>
      <c r="CS507" s="1491" t="n"/>
      <c r="CT507" s="1491" t="n"/>
      <c r="CU507" s="1491" t="n"/>
      <c r="CV507" s="1491" t="n"/>
      <c r="CW507" s="1491" t="n"/>
      <c r="CX507" s="1491" t="n"/>
    </row>
    <row r="508">
      <c r="A508" s="1491" t="n"/>
      <c r="B508" s="1491" t="n"/>
      <c r="C508" s="1491" t="n"/>
      <c r="D508" s="1497">
        <f>IF(E508&lt;&gt;"",D507+1,D507)</f>
        <v/>
      </c>
      <c r="E508" s="1497" t="inlineStr">
        <is>
          <t>Pontevedra</t>
        </is>
      </c>
      <c r="F508" s="1535" t="inlineStr">
        <is>
          <t>.</t>
        </is>
      </c>
      <c r="G508" s="1498">
        <f>IF(H508="AIR",0,IF(H507="AIR",G506+1,IF(H508&lt;&gt;"",G507+1,G507)))</f>
        <v/>
      </c>
      <c r="H508" s="1498" t="inlineStr">
        <is>
          <t>Arcos</t>
        </is>
      </c>
      <c r="I508" s="1427" t="inlineStr">
        <is>
          <t>.</t>
        </is>
      </c>
      <c r="J508" s="1499" t="n">
        <v>503</v>
      </c>
      <c r="K508" s="1500">
        <f>_xlfn.XLOOKUP(cities[[#This Row],[id]],$D$5:$D$1500,E$5:E$1500,"-")</f>
        <v/>
      </c>
      <c r="L508" s="1500">
        <f>_xlfn.XLOOKUP(cities[[#This Row],[city]],ccc[city],ccc[ctry],"-")</f>
        <v/>
      </c>
      <c r="M508" s="1500">
        <f>SUMIFS(stayCity[stay],stayCity[city],cities[[#This Row],[city]])</f>
        <v/>
      </c>
      <c r="N508" s="1427">
        <f>N507+1</f>
        <v/>
      </c>
      <c r="O508" s="1500" t="n"/>
      <c r="P508" s="1500" t="n"/>
      <c r="Q508" s="1427" t="inlineStr">
        <is>
          <t>.</t>
        </is>
      </c>
      <c r="R508" s="1491" t="n"/>
      <c r="S508" s="1491" t="n"/>
      <c r="T508" s="1491" t="n"/>
      <c r="U508" s="1491" t="n"/>
      <c r="V508" s="1491" t="n"/>
      <c r="W508" s="1491" t="n"/>
      <c r="X508" s="1491" t="n"/>
      <c r="Y508" s="1491" t="n"/>
      <c r="Z508" s="1491" t="n"/>
      <c r="AA508" s="1491" t="n"/>
      <c r="AB508" s="1491" t="n"/>
      <c r="AC508" s="1491" t="n"/>
      <c r="AD508" s="1491" t="n"/>
      <c r="AE508" s="1491" t="n"/>
      <c r="AF508" s="1491" t="n"/>
      <c r="AG508" s="1491" t="n"/>
      <c r="AH508" s="1491" t="n"/>
      <c r="AI508" s="1491" t="n"/>
      <c r="AJ508" s="1491" t="n"/>
      <c r="AK508" s="1491" t="n"/>
      <c r="AL508" s="1491" t="n"/>
      <c r="AM508" s="1491" t="n"/>
      <c r="AN508" s="1491" t="n"/>
      <c r="AO508" s="1491" t="n"/>
      <c r="AP508" s="1491" t="n"/>
      <c r="AQ508" s="1491" t="n"/>
      <c r="AR508" s="1491" t="n"/>
      <c r="AS508" s="1491" t="n"/>
      <c r="AT508" s="1491" t="n"/>
      <c r="AU508" s="1491" t="n"/>
      <c r="AV508" s="1491" t="n"/>
      <c r="AW508" s="1491" t="n"/>
      <c r="AX508" s="1491" t="n"/>
      <c r="AY508" s="1491" t="n"/>
      <c r="AZ508" s="1491" t="n"/>
      <c r="BA508" s="1491" t="n"/>
      <c r="BB508" s="1491" t="n"/>
      <c r="BC508" s="1491" t="n"/>
      <c r="BD508" s="1491" t="n"/>
      <c r="BE508" s="1491" t="n"/>
      <c r="BF508" s="1491" t="n"/>
      <c r="BG508" s="1491" t="n"/>
      <c r="BH508" s="1491" t="n"/>
      <c r="BI508" s="1491" t="n"/>
      <c r="BJ508" s="1491" t="n"/>
      <c r="BK508" s="1491" t="n"/>
      <c r="BL508" s="1491" t="n"/>
      <c r="BM508" s="1491" t="n"/>
      <c r="BN508" s="1491" t="n"/>
      <c r="BO508" s="1467" t="n"/>
      <c r="BP508" s="1514" t="n">
        <v>504</v>
      </c>
      <c r="BQ508" s="1513">
        <f>[1]Sheet1!C509</f>
        <v/>
      </c>
      <c r="BR508" s="1515">
        <f>[1]Sheet1!D509</f>
        <v/>
      </c>
      <c r="BS508" s="1513">
        <f>[1]Sheet1!E509</f>
        <v/>
      </c>
      <c r="BT508" s="1515">
        <f>[1]Sheet1!F509</f>
        <v/>
      </c>
      <c r="BU508" s="1516">
        <f>[1]Sheet1!G509</f>
        <v/>
      </c>
      <c r="BV508" s="1513">
        <f>[1]Sheet1!H509</f>
        <v/>
      </c>
      <c r="BW508" s="1467" t="n"/>
      <c r="BX508" s="1491" t="n"/>
      <c r="BY508" s="1491" t="n"/>
      <c r="BZ508" s="1491" t="n"/>
      <c r="CA508" s="1491" t="n"/>
      <c r="CB508" s="1467" t="n"/>
      <c r="CC508" s="1467" t="n"/>
      <c r="CD508" s="1491" t="n"/>
      <c r="CE508" s="1491" t="n"/>
      <c r="CF508" s="1491" t="n"/>
      <c r="CG508" s="1491" t="n"/>
      <c r="CH508" s="1491" t="n"/>
      <c r="CI508" s="1491" t="n"/>
      <c r="CJ508" s="1491" t="n"/>
      <c r="CK508" s="1491" t="n"/>
      <c r="CL508" s="1491" t="n"/>
      <c r="CM508" s="1491" t="n"/>
      <c r="CN508" s="1491" t="n"/>
      <c r="CO508" s="1491" t="n"/>
      <c r="CP508" s="1491" t="n"/>
      <c r="CQ508" s="1491" t="n"/>
      <c r="CR508" s="1491" t="n"/>
      <c r="CS508" s="1491" t="n"/>
      <c r="CT508" s="1491" t="n"/>
      <c r="CU508" s="1491" t="n"/>
      <c r="CV508" s="1491" t="n"/>
      <c r="CW508" s="1491" t="n"/>
      <c r="CX508" s="1491" t="n"/>
    </row>
    <row r="509">
      <c r="A509" s="1491" t="n"/>
      <c r="B509" s="1491" t="n"/>
      <c r="C509" s="1491" t="n"/>
      <c r="D509" s="1497">
        <f>IF(E509&lt;&gt;"",D508+1,D508)</f>
        <v/>
      </c>
      <c r="E509" s="1497" t="inlineStr">
        <is>
          <t>A Cancela</t>
        </is>
      </c>
      <c r="F509" s="1535" t="inlineStr">
        <is>
          <t>.</t>
        </is>
      </c>
      <c r="G509" s="1498">
        <f>IF(H509="AIR",0,IF(H508="AIR",G507+1,IF(H509&lt;&gt;"",G508+1,G508)))</f>
        <v/>
      </c>
      <c r="H509" s="1498" t="inlineStr">
        <is>
          <t>Barcelinhos</t>
        </is>
      </c>
      <c r="I509" s="1427" t="inlineStr">
        <is>
          <t>.</t>
        </is>
      </c>
      <c r="J509" s="1499" t="n">
        <v>504</v>
      </c>
      <c r="K509" s="1500">
        <f>_xlfn.XLOOKUP(cities[[#This Row],[id]],$D$5:$D$1500,E$5:E$1500,"-")</f>
        <v/>
      </c>
      <c r="L509" s="1500">
        <f>_xlfn.XLOOKUP(cities[[#This Row],[city]],ccc[city],ccc[ctry],"-")</f>
        <v/>
      </c>
      <c r="M509" s="1500">
        <f>SUMIFS(stayCity[stay],stayCity[city],cities[[#This Row],[city]])</f>
        <v/>
      </c>
      <c r="N509" s="1427">
        <f>N508+1</f>
        <v/>
      </c>
      <c r="O509" s="1500" t="n"/>
      <c r="P509" s="1500" t="n"/>
      <c r="Q509" s="1427" t="inlineStr">
        <is>
          <t>.</t>
        </is>
      </c>
      <c r="R509" s="1491" t="n"/>
      <c r="S509" s="1491" t="n"/>
      <c r="T509" s="1491" t="n"/>
      <c r="U509" s="1491" t="n"/>
      <c r="V509" s="1491" t="n"/>
      <c r="W509" s="1491" t="n"/>
      <c r="X509" s="1491" t="n"/>
      <c r="Y509" s="1491" t="n"/>
      <c r="Z509" s="1491" t="n"/>
      <c r="AA509" s="1491" t="n"/>
      <c r="AB509" s="1491" t="n"/>
      <c r="AC509" s="1491" t="n"/>
      <c r="AD509" s="1491" t="n"/>
      <c r="AE509" s="1491" t="n"/>
      <c r="AF509" s="1491" t="n"/>
      <c r="AG509" s="1491" t="n"/>
      <c r="AH509" s="1491" t="n"/>
      <c r="AI509" s="1491" t="n"/>
      <c r="AJ509" s="1491" t="n"/>
      <c r="AK509" s="1491" t="n"/>
      <c r="AL509" s="1491" t="n"/>
      <c r="AM509" s="1491" t="n"/>
      <c r="AN509" s="1491" t="n"/>
      <c r="AO509" s="1491" t="n"/>
      <c r="AP509" s="1491" t="n"/>
      <c r="AQ509" s="1491" t="n"/>
      <c r="AR509" s="1491" t="n"/>
      <c r="AS509" s="1491" t="n"/>
      <c r="AT509" s="1491" t="n"/>
      <c r="AU509" s="1491" t="n"/>
      <c r="AV509" s="1491" t="n"/>
      <c r="AW509" s="1491" t="n"/>
      <c r="AX509" s="1491" t="n"/>
      <c r="AY509" s="1491" t="n"/>
      <c r="AZ509" s="1491" t="n"/>
      <c r="BA509" s="1491" t="n"/>
      <c r="BB509" s="1491" t="n"/>
      <c r="BC509" s="1491" t="n"/>
      <c r="BD509" s="1491" t="n"/>
      <c r="BE509" s="1491" t="n"/>
      <c r="BF509" s="1491" t="n"/>
      <c r="BG509" s="1491" t="n"/>
      <c r="BH509" s="1491" t="n"/>
      <c r="BI509" s="1491" t="n"/>
      <c r="BJ509" s="1491" t="n"/>
      <c r="BK509" s="1491" t="n"/>
      <c r="BL509" s="1491" t="n"/>
      <c r="BM509" s="1491" t="n"/>
      <c r="BN509" s="1491" t="n"/>
      <c r="BO509" s="1467" t="n"/>
      <c r="BP509" s="1514" t="n">
        <v>505</v>
      </c>
      <c r="BQ509" s="1513">
        <f>[1]Sheet1!C510</f>
        <v/>
      </c>
      <c r="BR509" s="1515">
        <f>[1]Sheet1!D510</f>
        <v/>
      </c>
      <c r="BS509" s="1513">
        <f>[1]Sheet1!E510</f>
        <v/>
      </c>
      <c r="BT509" s="1515">
        <f>[1]Sheet1!F510</f>
        <v/>
      </c>
      <c r="BU509" s="1516">
        <f>[1]Sheet1!G510</f>
        <v/>
      </c>
      <c r="BV509" s="1513">
        <f>[1]Sheet1!H510</f>
        <v/>
      </c>
      <c r="BW509" s="1467" t="n"/>
      <c r="BX509" s="1491" t="n"/>
      <c r="BY509" s="1491" t="n"/>
      <c r="BZ509" s="1491" t="n"/>
      <c r="CA509" s="1491" t="n"/>
      <c r="CB509" s="1467" t="n"/>
      <c r="CC509" s="1467" t="n"/>
      <c r="CD509" s="1491" t="n"/>
      <c r="CE509" s="1491" t="n"/>
      <c r="CF509" s="1491" t="n"/>
      <c r="CG509" s="1491" t="n"/>
      <c r="CH509" s="1491" t="n"/>
      <c r="CI509" s="1491" t="n"/>
      <c r="CJ509" s="1491" t="n"/>
      <c r="CK509" s="1491" t="n"/>
      <c r="CL509" s="1491" t="n"/>
      <c r="CM509" s="1491" t="n"/>
      <c r="CN509" s="1491" t="n"/>
      <c r="CO509" s="1491" t="n"/>
      <c r="CP509" s="1491" t="n"/>
      <c r="CQ509" s="1491" t="n"/>
      <c r="CR509" s="1491" t="n"/>
      <c r="CS509" s="1491" t="n"/>
      <c r="CT509" s="1491" t="n"/>
      <c r="CU509" s="1491" t="n"/>
      <c r="CV509" s="1491" t="n"/>
      <c r="CW509" s="1491" t="n"/>
      <c r="CX509" s="1491" t="n"/>
    </row>
    <row r="510">
      <c r="A510" s="1491" t="n"/>
      <c r="B510" s="1491" t="n"/>
      <c r="C510" s="1491" t="n"/>
      <c r="D510" s="1497">
        <f>IF(E510&lt;&gt;"",D509+1,D509)</f>
        <v/>
      </c>
      <c r="E510" s="1497" t="inlineStr">
        <is>
          <t>Calda de Reis</t>
        </is>
      </c>
      <c r="F510" s="1535" t="inlineStr">
        <is>
          <t>.</t>
        </is>
      </c>
      <c r="G510" s="1498">
        <f>IF(H510="AIR",0,IF(H509="AIR",G508+1,IF(H510&lt;&gt;"",G509+1,G509)))</f>
        <v/>
      </c>
      <c r="H510" s="1498" t="inlineStr">
        <is>
          <t>Barcelos</t>
        </is>
      </c>
      <c r="I510" s="1427" t="inlineStr">
        <is>
          <t>.</t>
        </is>
      </c>
      <c r="J510" s="1499" t="n">
        <v>505</v>
      </c>
      <c r="K510" s="1500">
        <f>_xlfn.XLOOKUP(cities[[#This Row],[id]],$D$5:$D$1500,E$5:E$1500,"-")</f>
        <v/>
      </c>
      <c r="L510" s="1500">
        <f>_xlfn.XLOOKUP(cities[[#This Row],[city]],ccc[city],ccc[ctry],"-")</f>
        <v/>
      </c>
      <c r="M510" s="1500">
        <f>SUMIFS(stayCity[stay],stayCity[city],cities[[#This Row],[city]])</f>
        <v/>
      </c>
      <c r="N510" s="1427">
        <f>N509+1</f>
        <v/>
      </c>
      <c r="O510" s="1500" t="n"/>
      <c r="P510" s="1500" t="n"/>
      <c r="Q510" s="1427" t="inlineStr">
        <is>
          <t>.</t>
        </is>
      </c>
      <c r="R510" s="1491" t="n"/>
      <c r="S510" s="1491" t="n"/>
      <c r="T510" s="1491" t="n"/>
      <c r="U510" s="1491" t="n"/>
      <c r="V510" s="1491" t="n"/>
      <c r="W510" s="1491" t="n"/>
      <c r="X510" s="1491" t="n"/>
      <c r="Y510" s="1491" t="n"/>
      <c r="Z510" s="1491" t="n"/>
      <c r="AA510" s="1491" t="n"/>
      <c r="AB510" s="1491" t="n"/>
      <c r="AC510" s="1491" t="n"/>
      <c r="AD510" s="1491" t="n"/>
      <c r="AE510" s="1491" t="n"/>
      <c r="AF510" s="1491" t="n"/>
      <c r="AG510" s="1491" t="n"/>
      <c r="AH510" s="1491" t="n"/>
      <c r="AI510" s="1491" t="n"/>
      <c r="AJ510" s="1491" t="n"/>
      <c r="AK510" s="1491" t="n"/>
      <c r="AL510" s="1491" t="n"/>
      <c r="AM510" s="1491" t="n"/>
      <c r="AN510" s="1491" t="n"/>
      <c r="AO510" s="1491" t="n"/>
      <c r="AP510" s="1491" t="n"/>
      <c r="AQ510" s="1491" t="n"/>
      <c r="AR510" s="1491" t="n"/>
      <c r="AS510" s="1491" t="n"/>
      <c r="AT510" s="1491" t="n"/>
      <c r="AU510" s="1491" t="n"/>
      <c r="AV510" s="1491" t="n"/>
      <c r="AW510" s="1491" t="n"/>
      <c r="AX510" s="1491" t="n"/>
      <c r="AY510" s="1491" t="n"/>
      <c r="AZ510" s="1491" t="n"/>
      <c r="BA510" s="1491" t="n"/>
      <c r="BB510" s="1491" t="n"/>
      <c r="BC510" s="1491" t="n"/>
      <c r="BD510" s="1491" t="n"/>
      <c r="BE510" s="1491" t="n"/>
      <c r="BF510" s="1491" t="n"/>
      <c r="BG510" s="1491" t="n"/>
      <c r="BH510" s="1491" t="n"/>
      <c r="BI510" s="1491" t="n"/>
      <c r="BJ510" s="1491" t="n"/>
      <c r="BK510" s="1491" t="n"/>
      <c r="BL510" s="1491" t="n"/>
      <c r="BM510" s="1491" t="n"/>
      <c r="BN510" s="1491" t="n"/>
      <c r="BO510" s="1467" t="n"/>
      <c r="BP510" s="1514" t="n">
        <v>506</v>
      </c>
      <c r="BQ510" s="1513">
        <f>[1]Sheet1!C511</f>
        <v/>
      </c>
      <c r="BR510" s="1515">
        <f>[1]Sheet1!D511</f>
        <v/>
      </c>
      <c r="BS510" s="1513">
        <f>[1]Sheet1!E511</f>
        <v/>
      </c>
      <c r="BT510" s="1515">
        <f>[1]Sheet1!F511</f>
        <v/>
      </c>
      <c r="BU510" s="1516">
        <f>[1]Sheet1!G511</f>
        <v/>
      </c>
      <c r="BV510" s="1513">
        <f>[1]Sheet1!H511</f>
        <v/>
      </c>
      <c r="BW510" s="1467" t="n"/>
      <c r="BX510" s="1491" t="n"/>
      <c r="BY510" s="1491" t="n"/>
      <c r="BZ510" s="1491" t="n"/>
      <c r="CA510" s="1491" t="n"/>
      <c r="CB510" s="1467" t="n"/>
      <c r="CC510" s="1467" t="n"/>
      <c r="CD510" s="1491" t="n"/>
      <c r="CE510" s="1491" t="n"/>
      <c r="CF510" s="1491" t="n"/>
      <c r="CG510" s="1491" t="n"/>
      <c r="CH510" s="1491" t="n"/>
      <c r="CI510" s="1491" t="n"/>
      <c r="CJ510" s="1491" t="n"/>
      <c r="CK510" s="1491" t="n"/>
      <c r="CL510" s="1491" t="n"/>
      <c r="CM510" s="1491" t="n"/>
      <c r="CN510" s="1491" t="n"/>
      <c r="CO510" s="1491" t="n"/>
      <c r="CP510" s="1491" t="n"/>
      <c r="CQ510" s="1491" t="n"/>
      <c r="CR510" s="1491" t="n"/>
      <c r="CS510" s="1491" t="n"/>
      <c r="CT510" s="1491" t="n"/>
      <c r="CU510" s="1491" t="n"/>
      <c r="CV510" s="1491" t="n"/>
      <c r="CW510" s="1491" t="n"/>
      <c r="CX510" s="1491" t="n"/>
    </row>
    <row r="511">
      <c r="A511" s="1491" t="n"/>
      <c r="B511" s="1491" t="n"/>
      <c r="C511" s="1491" t="n"/>
      <c r="D511" s="1497">
        <f>IF(E511&lt;&gt;"",D510+1,D510)</f>
        <v/>
      </c>
      <c r="E511" s="1497" t="inlineStr">
        <is>
          <t>Panama</t>
        </is>
      </c>
      <c r="F511" s="1535" t="inlineStr">
        <is>
          <t>.</t>
        </is>
      </c>
      <c r="G511" s="1498">
        <f>IF(H511="AIR",0,IF(H510="AIR",G509+1,IF(H511&lt;&gt;"",G510+1,G510)))</f>
        <v/>
      </c>
      <c r="H511" s="1498" t="inlineStr">
        <is>
          <t>Balugães</t>
        </is>
      </c>
      <c r="I511" s="1427" t="inlineStr">
        <is>
          <t>.</t>
        </is>
      </c>
      <c r="J511" s="1499" t="n">
        <v>506</v>
      </c>
      <c r="K511" s="1500">
        <f>_xlfn.XLOOKUP(cities[[#This Row],[id]],$D$5:$D$1500,E$5:E$1500,"-")</f>
        <v/>
      </c>
      <c r="L511" s="1500">
        <f>_xlfn.XLOOKUP(cities[[#This Row],[city]],ccc[city],ccc[ctry],"-")</f>
        <v/>
      </c>
      <c r="M511" s="1500">
        <f>SUMIFS(stayCity[stay],stayCity[city],cities[[#This Row],[city]])</f>
        <v/>
      </c>
      <c r="N511" s="1427">
        <f>N510+1</f>
        <v/>
      </c>
      <c r="O511" s="1500" t="n"/>
      <c r="P511" s="1500" t="n"/>
      <c r="Q511" s="1427" t="inlineStr">
        <is>
          <t>.</t>
        </is>
      </c>
      <c r="R511" s="1491" t="n"/>
      <c r="S511" s="1491" t="n"/>
      <c r="T511" s="1491" t="n"/>
      <c r="U511" s="1491" t="n"/>
      <c r="V511" s="1491" t="n"/>
      <c r="W511" s="1491" t="n"/>
      <c r="X511" s="1491" t="n"/>
      <c r="Y511" s="1491" t="n"/>
      <c r="Z511" s="1491" t="n"/>
      <c r="AA511" s="1491" t="n"/>
      <c r="AB511" s="1491" t="n"/>
      <c r="AC511" s="1491" t="n"/>
      <c r="AD511" s="1491" t="n"/>
      <c r="AE511" s="1491" t="n"/>
      <c r="AF511" s="1491" t="n"/>
      <c r="AG511" s="1491" t="n"/>
      <c r="AH511" s="1491" t="n"/>
      <c r="AI511" s="1491" t="n"/>
      <c r="AJ511" s="1491" t="n"/>
      <c r="AK511" s="1491" t="n"/>
      <c r="AL511" s="1491" t="n"/>
      <c r="AM511" s="1491" t="n"/>
      <c r="AN511" s="1491" t="n"/>
      <c r="AO511" s="1491" t="n"/>
      <c r="AP511" s="1491" t="n"/>
      <c r="AQ511" s="1491" t="n"/>
      <c r="AR511" s="1491" t="n"/>
      <c r="AS511" s="1491" t="n"/>
      <c r="AT511" s="1491" t="n"/>
      <c r="AU511" s="1491" t="n"/>
      <c r="AV511" s="1491" t="n"/>
      <c r="AW511" s="1491" t="n"/>
      <c r="AX511" s="1491" t="n"/>
      <c r="AY511" s="1491" t="n"/>
      <c r="AZ511" s="1491" t="n"/>
      <c r="BA511" s="1491" t="n"/>
      <c r="BB511" s="1491" t="n"/>
      <c r="BC511" s="1491" t="n"/>
      <c r="BD511" s="1491" t="n"/>
      <c r="BE511" s="1491" t="n"/>
      <c r="BF511" s="1491" t="n"/>
      <c r="BG511" s="1491" t="n"/>
      <c r="BH511" s="1491" t="n"/>
      <c r="BI511" s="1491" t="n"/>
      <c r="BJ511" s="1491" t="n"/>
      <c r="BK511" s="1491" t="n"/>
      <c r="BL511" s="1491" t="n"/>
      <c r="BM511" s="1491" t="n"/>
      <c r="BN511" s="1491" t="n"/>
      <c r="BO511" s="1467" t="n"/>
      <c r="BP511" s="1514" t="n">
        <v>507</v>
      </c>
      <c r="BQ511" s="1513">
        <f>[1]Sheet1!C512</f>
        <v/>
      </c>
      <c r="BR511" s="1515">
        <f>[1]Sheet1!D512</f>
        <v/>
      </c>
      <c r="BS511" s="1513">
        <f>[1]Sheet1!E512</f>
        <v/>
      </c>
      <c r="BT511" s="1515">
        <f>[1]Sheet1!F512</f>
        <v/>
      </c>
      <c r="BU511" s="1516">
        <f>[1]Sheet1!G512</f>
        <v/>
      </c>
      <c r="BV511" s="1513">
        <f>[1]Sheet1!H512</f>
        <v/>
      </c>
      <c r="BW511" s="1467" t="n"/>
      <c r="BX511" s="1491" t="n"/>
      <c r="BY511" s="1491" t="n"/>
      <c r="BZ511" s="1491" t="n"/>
      <c r="CA511" s="1491" t="n"/>
      <c r="CB511" s="1467" t="n"/>
      <c r="CC511" s="1467" t="n"/>
      <c r="CD511" s="1491" t="n"/>
      <c r="CE511" s="1491" t="n"/>
      <c r="CF511" s="1491" t="n"/>
      <c r="CG511" s="1491" t="n"/>
      <c r="CH511" s="1491" t="n"/>
      <c r="CI511" s="1491" t="n"/>
      <c r="CJ511" s="1491" t="n"/>
      <c r="CK511" s="1491" t="n"/>
      <c r="CL511" s="1491" t="n"/>
      <c r="CM511" s="1491" t="n"/>
      <c r="CN511" s="1491" t="n"/>
      <c r="CO511" s="1491" t="n"/>
      <c r="CP511" s="1491" t="n"/>
      <c r="CQ511" s="1491" t="n"/>
      <c r="CR511" s="1491" t="n"/>
      <c r="CS511" s="1491" t="n"/>
      <c r="CT511" s="1491" t="n"/>
      <c r="CU511" s="1491" t="n"/>
      <c r="CV511" s="1491" t="n"/>
      <c r="CW511" s="1491" t="n"/>
      <c r="CX511" s="1491" t="n"/>
    </row>
    <row r="512">
      <c r="A512" s="1491" t="n"/>
      <c r="B512" s="1491" t="n"/>
      <c r="C512" s="1491" t="n"/>
      <c r="D512" s="1497">
        <f>IF(E512&lt;&gt;"",D511+1,D511)</f>
        <v/>
      </c>
      <c r="E512" s="1497" t="inlineStr">
        <is>
          <t>Atlanta</t>
        </is>
      </c>
      <c r="F512" s="1535" t="inlineStr">
        <is>
          <t>.</t>
        </is>
      </c>
      <c r="G512" s="1498">
        <f>IF(H512="AIR",0,IF(H511="AIR",G510+1,IF(H512&lt;&gt;"",G511+1,G511)))</f>
        <v/>
      </c>
      <c r="H512" s="1498" t="inlineStr">
        <is>
          <t>Vitorino dos Piães</t>
        </is>
      </c>
      <c r="I512" s="1427" t="inlineStr">
        <is>
          <t>.</t>
        </is>
      </c>
      <c r="J512" s="1499" t="n">
        <v>507</v>
      </c>
      <c r="K512" s="1500">
        <f>_xlfn.XLOOKUP(cities[[#This Row],[id]],$D$5:$D$1500,E$5:E$1500,"-")</f>
        <v/>
      </c>
      <c r="L512" s="1500">
        <f>_xlfn.XLOOKUP(cities[[#This Row],[city]],ccc[city],ccc[ctry],"-")</f>
        <v/>
      </c>
      <c r="M512" s="1500">
        <f>SUMIFS(stayCity[stay],stayCity[city],cities[[#This Row],[city]])</f>
        <v/>
      </c>
      <c r="N512" s="1427">
        <f>N511+1</f>
        <v/>
      </c>
      <c r="O512" s="1500" t="n"/>
      <c r="P512" s="1500" t="n"/>
      <c r="Q512" s="1427" t="inlineStr">
        <is>
          <t>.</t>
        </is>
      </c>
      <c r="R512" s="1491" t="n"/>
      <c r="S512" s="1491" t="n"/>
      <c r="T512" s="1491" t="n"/>
      <c r="U512" s="1491" t="n"/>
      <c r="V512" s="1491" t="n"/>
      <c r="W512" s="1491" t="n"/>
      <c r="X512" s="1491" t="n"/>
      <c r="Y512" s="1491" t="n"/>
      <c r="Z512" s="1491" t="n"/>
      <c r="AA512" s="1491" t="n"/>
      <c r="AB512" s="1491" t="n"/>
      <c r="AC512" s="1491" t="n"/>
      <c r="AD512" s="1491" t="n"/>
      <c r="AE512" s="1491" t="n"/>
      <c r="AF512" s="1491" t="n"/>
      <c r="AG512" s="1491" t="n"/>
      <c r="AH512" s="1491" t="n"/>
      <c r="AI512" s="1491" t="n"/>
      <c r="AJ512" s="1491" t="n"/>
      <c r="AK512" s="1491" t="n"/>
      <c r="AL512" s="1491" t="n"/>
      <c r="AM512" s="1491" t="n"/>
      <c r="AN512" s="1491" t="n"/>
      <c r="AO512" s="1491" t="n"/>
      <c r="AP512" s="1491" t="n"/>
      <c r="AQ512" s="1491" t="n"/>
      <c r="AR512" s="1491" t="n"/>
      <c r="AS512" s="1491" t="n"/>
      <c r="AT512" s="1491" t="n"/>
      <c r="AU512" s="1491" t="n"/>
      <c r="AV512" s="1491" t="n"/>
      <c r="AW512" s="1491" t="n"/>
      <c r="AX512" s="1491" t="n"/>
      <c r="AY512" s="1491" t="n"/>
      <c r="AZ512" s="1491" t="n"/>
      <c r="BA512" s="1491" t="n"/>
      <c r="BB512" s="1491" t="n"/>
      <c r="BC512" s="1491" t="n"/>
      <c r="BD512" s="1491" t="n"/>
      <c r="BE512" s="1491" t="n"/>
      <c r="BF512" s="1491" t="n"/>
      <c r="BG512" s="1491" t="n"/>
      <c r="BH512" s="1491" t="n"/>
      <c r="BI512" s="1491" t="n"/>
      <c r="BJ512" s="1491" t="n"/>
      <c r="BK512" s="1491" t="n"/>
      <c r="BL512" s="1491" t="n"/>
      <c r="BM512" s="1491" t="n"/>
      <c r="BN512" s="1491" t="n"/>
      <c r="BO512" s="1467" t="n"/>
      <c r="BP512" s="1514" t="n">
        <v>508</v>
      </c>
      <c r="BQ512" s="1513">
        <f>[1]Sheet1!C513</f>
        <v/>
      </c>
      <c r="BR512" s="1515">
        <f>[1]Sheet1!D513</f>
        <v/>
      </c>
      <c r="BS512" s="1513">
        <f>[1]Sheet1!E513</f>
        <v/>
      </c>
      <c r="BT512" s="1515">
        <f>[1]Sheet1!F513</f>
        <v/>
      </c>
      <c r="BU512" s="1516">
        <f>[1]Sheet1!G513</f>
        <v/>
      </c>
      <c r="BV512" s="1513">
        <f>[1]Sheet1!H513</f>
        <v/>
      </c>
      <c r="BW512" s="1467" t="n"/>
      <c r="BX512" s="1491" t="n"/>
      <c r="BY512" s="1491" t="n"/>
      <c r="BZ512" s="1491" t="n"/>
      <c r="CA512" s="1491" t="n"/>
      <c r="CB512" s="1467" t="n"/>
      <c r="CC512" s="1467" t="n"/>
      <c r="CD512" s="1491" t="n"/>
      <c r="CE512" s="1491" t="n"/>
      <c r="CF512" s="1491" t="n"/>
      <c r="CG512" s="1491" t="n"/>
      <c r="CH512" s="1491" t="n"/>
      <c r="CI512" s="1491" t="n"/>
      <c r="CJ512" s="1491" t="n"/>
      <c r="CK512" s="1491" t="n"/>
      <c r="CL512" s="1491" t="n"/>
      <c r="CM512" s="1491" t="n"/>
      <c r="CN512" s="1491" t="n"/>
      <c r="CO512" s="1491" t="n"/>
      <c r="CP512" s="1491" t="n"/>
      <c r="CQ512" s="1491" t="n"/>
      <c r="CR512" s="1491" t="n"/>
      <c r="CS512" s="1491" t="n"/>
      <c r="CT512" s="1491" t="n"/>
      <c r="CU512" s="1491" t="n"/>
      <c r="CV512" s="1491" t="n"/>
      <c r="CW512" s="1491" t="n"/>
      <c r="CX512" s="1491" t="n"/>
    </row>
    <row r="513">
      <c r="A513" s="1491" t="n"/>
      <c r="B513" s="1491" t="n"/>
      <c r="C513" s="1491" t="n"/>
      <c r="D513" s="1497">
        <f>IF(E513&lt;&gt;"",D512+1,D512)</f>
        <v/>
      </c>
      <c r="E513" s="1497" t="inlineStr">
        <is>
          <t>Sao Felipe</t>
        </is>
      </c>
      <c r="F513" s="1535" t="inlineStr">
        <is>
          <t>.</t>
        </is>
      </c>
      <c r="G513" s="1498">
        <f>IF(H513="AIR",0,IF(H512="AIR",G511+1,IF(H513&lt;&gt;"",G512+1,G512)))</f>
        <v/>
      </c>
      <c r="H513" s="1498" t="inlineStr">
        <is>
          <t>Ponte de Lima</t>
        </is>
      </c>
      <c r="I513" s="1427" t="inlineStr">
        <is>
          <t>.</t>
        </is>
      </c>
      <c r="J513" s="1499" t="n">
        <v>508</v>
      </c>
      <c r="K513" s="1500">
        <f>_xlfn.XLOOKUP(cities[[#This Row],[id]],$D$5:$D$1500,E$5:E$1500,"-")</f>
        <v/>
      </c>
      <c r="L513" s="1500">
        <f>_xlfn.XLOOKUP(cities[[#This Row],[city]],ccc[city],ccc[ctry],"-")</f>
        <v/>
      </c>
      <c r="M513" s="1500">
        <f>SUMIFS(stayCity[stay],stayCity[city],cities[[#This Row],[city]])</f>
        <v/>
      </c>
      <c r="N513" s="1427">
        <f>N512+1</f>
        <v/>
      </c>
      <c r="O513" s="1500" t="n"/>
      <c r="P513" s="1500" t="n"/>
      <c r="Q513" s="1427" t="inlineStr">
        <is>
          <t>.</t>
        </is>
      </c>
      <c r="R513" s="1491" t="n"/>
      <c r="S513" s="1491" t="n"/>
      <c r="T513" s="1491" t="n"/>
      <c r="U513" s="1491" t="n"/>
      <c r="V513" s="1491" t="n"/>
      <c r="W513" s="1491" t="n"/>
      <c r="X513" s="1491" t="n"/>
      <c r="Y513" s="1491" t="n"/>
      <c r="Z513" s="1491" t="n"/>
      <c r="AA513" s="1491" t="n"/>
      <c r="AB513" s="1491" t="n"/>
      <c r="AC513" s="1491" t="n"/>
      <c r="AD513" s="1491" t="n"/>
      <c r="AE513" s="1491" t="n"/>
      <c r="AF513" s="1491" t="n"/>
      <c r="AG513" s="1491" t="n"/>
      <c r="AH513" s="1491" t="n"/>
      <c r="AI513" s="1491" t="n"/>
      <c r="AJ513" s="1491" t="n"/>
      <c r="AK513" s="1491" t="n"/>
      <c r="AL513" s="1491" t="n"/>
      <c r="AM513" s="1491" t="n"/>
      <c r="AN513" s="1491" t="n"/>
      <c r="AO513" s="1491" t="n"/>
      <c r="AP513" s="1491" t="n"/>
      <c r="AQ513" s="1491" t="n"/>
      <c r="AR513" s="1491" t="n"/>
      <c r="AS513" s="1491" t="n"/>
      <c r="AT513" s="1491" t="n"/>
      <c r="AU513" s="1491" t="n"/>
      <c r="AV513" s="1491" t="n"/>
      <c r="AW513" s="1491" t="n"/>
      <c r="AX513" s="1491" t="n"/>
      <c r="AY513" s="1491" t="n"/>
      <c r="AZ513" s="1491" t="n"/>
      <c r="BA513" s="1491" t="n"/>
      <c r="BB513" s="1491" t="n"/>
      <c r="BC513" s="1491" t="n"/>
      <c r="BD513" s="1491" t="n"/>
      <c r="BE513" s="1491" t="n"/>
      <c r="BF513" s="1491" t="n"/>
      <c r="BG513" s="1491" t="n"/>
      <c r="BH513" s="1491" t="n"/>
      <c r="BI513" s="1491" t="n"/>
      <c r="BJ513" s="1491" t="n"/>
      <c r="BK513" s="1491" t="n"/>
      <c r="BL513" s="1491" t="n"/>
      <c r="BM513" s="1491" t="n"/>
      <c r="BN513" s="1491" t="n"/>
      <c r="BO513" s="1467" t="n"/>
      <c r="BP513" s="1514" t="n">
        <v>509</v>
      </c>
      <c r="BQ513" s="1513">
        <f>[1]Sheet1!C514</f>
        <v/>
      </c>
      <c r="BR513" s="1515">
        <f>[1]Sheet1!D514</f>
        <v/>
      </c>
      <c r="BS513" s="1513">
        <f>[1]Sheet1!E514</f>
        <v/>
      </c>
      <c r="BT513" s="1515">
        <f>[1]Sheet1!F514</f>
        <v/>
      </c>
      <c r="BU513" s="1516">
        <f>[1]Sheet1!G514</f>
        <v/>
      </c>
      <c r="BV513" s="1513">
        <f>[1]Sheet1!H514</f>
        <v/>
      </c>
      <c r="BW513" s="1467" t="n"/>
      <c r="BX513" s="1491" t="n"/>
      <c r="BY513" s="1491" t="n"/>
      <c r="BZ513" s="1491" t="n"/>
      <c r="CA513" s="1491" t="n"/>
      <c r="CB513" s="1467" t="n"/>
      <c r="CC513" s="1467" t="n"/>
      <c r="CD513" s="1491" t="n"/>
      <c r="CE513" s="1491" t="n"/>
      <c r="CF513" s="1491" t="n"/>
      <c r="CG513" s="1491" t="n"/>
      <c r="CH513" s="1491" t="n"/>
      <c r="CI513" s="1491" t="n"/>
      <c r="CJ513" s="1491" t="n"/>
      <c r="CK513" s="1491" t="n"/>
      <c r="CL513" s="1491" t="n"/>
      <c r="CM513" s="1491" t="n"/>
      <c r="CN513" s="1491" t="n"/>
      <c r="CO513" s="1491" t="n"/>
      <c r="CP513" s="1491" t="n"/>
      <c r="CQ513" s="1491" t="n"/>
      <c r="CR513" s="1491" t="n"/>
      <c r="CS513" s="1491" t="n"/>
      <c r="CT513" s="1491" t="n"/>
      <c r="CU513" s="1491" t="n"/>
      <c r="CV513" s="1491" t="n"/>
      <c r="CW513" s="1491" t="n"/>
      <c r="CX513" s="1491" t="n"/>
    </row>
    <row r="514">
      <c r="A514" s="1491" t="n"/>
      <c r="B514" s="1491" t="n"/>
      <c r="C514" s="1491" t="n"/>
      <c r="D514" s="1497">
        <f>IF(E514&lt;&gt;"",D513+1,D513)</f>
        <v/>
      </c>
      <c r="E514" s="1497" t="inlineStr">
        <is>
          <t>Mombaça</t>
        </is>
      </c>
      <c r="F514" s="1535" t="inlineStr">
        <is>
          <t>.</t>
        </is>
      </c>
      <c r="G514" s="1498">
        <f>IF(H514="AIR",0,IF(H513="AIR",G512+1,IF(H514&lt;&gt;"",G513+1,G513)))</f>
        <v/>
      </c>
      <c r="H514" s="1498" t="inlineStr">
        <is>
          <t>Rubiaes</t>
        </is>
      </c>
      <c r="I514" s="1427" t="inlineStr">
        <is>
          <t>.</t>
        </is>
      </c>
      <c r="J514" s="1499" t="n">
        <v>509</v>
      </c>
      <c r="K514" s="1500">
        <f>_xlfn.XLOOKUP(cities[[#This Row],[id]],$D$5:$D$1500,E$5:E$1500,"-")</f>
        <v/>
      </c>
      <c r="L514" s="1500">
        <f>_xlfn.XLOOKUP(cities[[#This Row],[city]],ccc[city],ccc[ctry],"-")</f>
        <v/>
      </c>
      <c r="M514" s="1500">
        <f>SUMIFS(stayCity[stay],stayCity[city],cities[[#This Row],[city]])</f>
        <v/>
      </c>
      <c r="N514" s="1427">
        <f>N513+1</f>
        <v/>
      </c>
      <c r="O514" s="1500" t="n"/>
      <c r="P514" s="1500" t="n"/>
      <c r="Q514" s="1427" t="inlineStr">
        <is>
          <t>.</t>
        </is>
      </c>
      <c r="R514" s="1491" t="n"/>
      <c r="S514" s="1491" t="n"/>
      <c r="T514" s="1491" t="n"/>
      <c r="U514" s="1491" t="n"/>
      <c r="V514" s="1491" t="n"/>
      <c r="W514" s="1491" t="n"/>
      <c r="X514" s="1491" t="n"/>
      <c r="Y514" s="1491" t="n"/>
      <c r="Z514" s="1491" t="n"/>
      <c r="AA514" s="1491" t="n"/>
      <c r="AB514" s="1491" t="n"/>
      <c r="AC514" s="1491" t="n"/>
      <c r="AD514" s="1491" t="n"/>
      <c r="AE514" s="1491" t="n"/>
      <c r="AF514" s="1491" t="n"/>
      <c r="AG514" s="1491" t="n"/>
      <c r="AH514" s="1491" t="n"/>
      <c r="AI514" s="1491" t="n"/>
      <c r="AJ514" s="1491" t="n"/>
      <c r="AK514" s="1491" t="n"/>
      <c r="AL514" s="1491" t="n"/>
      <c r="AM514" s="1491" t="n"/>
      <c r="AN514" s="1491" t="n"/>
      <c r="AO514" s="1491" t="n"/>
      <c r="AP514" s="1491" t="n"/>
      <c r="AQ514" s="1491" t="n"/>
      <c r="AR514" s="1491" t="n"/>
      <c r="AS514" s="1491" t="n"/>
      <c r="AT514" s="1491" t="n"/>
      <c r="AU514" s="1491" t="n"/>
      <c r="AV514" s="1491" t="n"/>
      <c r="AW514" s="1491" t="n"/>
      <c r="AX514" s="1491" t="n"/>
      <c r="AY514" s="1491" t="n"/>
      <c r="AZ514" s="1491" t="n"/>
      <c r="BA514" s="1491" t="n"/>
      <c r="BB514" s="1491" t="n"/>
      <c r="BC514" s="1491" t="n"/>
      <c r="BD514" s="1491" t="n"/>
      <c r="BE514" s="1491" t="n"/>
      <c r="BF514" s="1491" t="n"/>
      <c r="BG514" s="1491" t="n"/>
      <c r="BH514" s="1491" t="n"/>
      <c r="BI514" s="1491" t="n"/>
      <c r="BJ514" s="1491" t="n"/>
      <c r="BK514" s="1491" t="n"/>
      <c r="BL514" s="1491" t="n"/>
      <c r="BM514" s="1491" t="n"/>
      <c r="BN514" s="1491" t="n"/>
      <c r="BO514" s="1467" t="n"/>
      <c r="BP514" s="1514" t="n">
        <v>510</v>
      </c>
      <c r="BQ514" s="1513">
        <f>[1]Sheet1!C515</f>
        <v/>
      </c>
      <c r="BR514" s="1515">
        <f>[1]Sheet1!D515</f>
        <v/>
      </c>
      <c r="BS514" s="1513">
        <f>[1]Sheet1!E515</f>
        <v/>
      </c>
      <c r="BT514" s="1515">
        <f>[1]Sheet1!F515</f>
        <v/>
      </c>
      <c r="BU514" s="1516">
        <f>[1]Sheet1!G515</f>
        <v/>
      </c>
      <c r="BV514" s="1513">
        <f>[1]Sheet1!H515</f>
        <v/>
      </c>
      <c r="BW514" s="1467" t="n"/>
      <c r="BX514" s="1491" t="n"/>
      <c r="BY514" s="1491" t="n"/>
      <c r="BZ514" s="1491" t="n"/>
      <c r="CA514" s="1491" t="n"/>
      <c r="CB514" s="1467" t="n"/>
      <c r="CC514" s="1467" t="n"/>
      <c r="CD514" s="1491" t="n"/>
      <c r="CE514" s="1491" t="n"/>
      <c r="CF514" s="1491" t="n"/>
      <c r="CG514" s="1491" t="n"/>
      <c r="CH514" s="1491" t="n"/>
      <c r="CI514" s="1491" t="n"/>
      <c r="CJ514" s="1491" t="n"/>
      <c r="CK514" s="1491" t="n"/>
      <c r="CL514" s="1491" t="n"/>
      <c r="CM514" s="1491" t="n"/>
      <c r="CN514" s="1491" t="n"/>
      <c r="CO514" s="1491" t="n"/>
      <c r="CP514" s="1491" t="n"/>
      <c r="CQ514" s="1491" t="n"/>
      <c r="CR514" s="1491" t="n"/>
      <c r="CS514" s="1491" t="n"/>
      <c r="CT514" s="1491" t="n"/>
      <c r="CU514" s="1491" t="n"/>
      <c r="CV514" s="1491" t="n"/>
      <c r="CW514" s="1491" t="n"/>
      <c r="CX514" s="1491" t="n"/>
    </row>
    <row r="515">
      <c r="A515" s="1491" t="n"/>
      <c r="B515" s="1491" t="n"/>
      <c r="C515" s="1491" t="n"/>
      <c r="D515" s="1497">
        <f>IF(E515&lt;&gt;"",D514+1,D514)</f>
        <v/>
      </c>
      <c r="E515" s="1497" t="inlineStr">
        <is>
          <t>Cruz das Almas</t>
        </is>
      </c>
      <c r="F515" s="1535" t="inlineStr">
        <is>
          <t>.</t>
        </is>
      </c>
      <c r="G515" s="1498">
        <f>IF(H515="AIR",0,IF(H514="AIR",G513+1,IF(H515&lt;&gt;"",G514+1,G514)))</f>
        <v/>
      </c>
      <c r="H515" s="1498" t="inlineStr">
        <is>
          <t>Valença</t>
        </is>
      </c>
      <c r="I515" s="1427" t="inlineStr">
        <is>
          <t>.</t>
        </is>
      </c>
      <c r="J515" s="1499" t="n">
        <v>510</v>
      </c>
      <c r="K515" s="1500">
        <f>_xlfn.XLOOKUP(cities[[#This Row],[id]],$D$5:$D$1500,E$5:E$1500,"-")</f>
        <v/>
      </c>
      <c r="L515" s="1500">
        <f>_xlfn.XLOOKUP(cities[[#This Row],[city]],ccc[city],ccc[ctry],"-")</f>
        <v/>
      </c>
      <c r="M515" s="1500">
        <f>SUMIFS(stayCity[stay],stayCity[city],cities[[#This Row],[city]])</f>
        <v/>
      </c>
      <c r="N515" s="1427">
        <f>N514+1</f>
        <v/>
      </c>
      <c r="O515" s="1500" t="n"/>
      <c r="P515" s="1500" t="n"/>
      <c r="Q515" s="1427" t="inlineStr">
        <is>
          <t>.</t>
        </is>
      </c>
      <c r="R515" s="1491" t="n"/>
      <c r="S515" s="1491" t="n"/>
      <c r="T515" s="1491" t="n"/>
      <c r="U515" s="1491" t="n"/>
      <c r="V515" s="1491" t="n"/>
      <c r="W515" s="1491" t="n"/>
      <c r="X515" s="1491" t="n"/>
      <c r="Y515" s="1491" t="n"/>
      <c r="Z515" s="1491" t="n"/>
      <c r="AA515" s="1491" t="n"/>
      <c r="AB515" s="1491" t="n"/>
      <c r="AC515" s="1491" t="n"/>
      <c r="AD515" s="1491" t="n"/>
      <c r="AE515" s="1491" t="n"/>
      <c r="AF515" s="1491" t="n"/>
      <c r="AG515" s="1491" t="n"/>
      <c r="AH515" s="1491" t="n"/>
      <c r="AI515" s="1491" t="n"/>
      <c r="AJ515" s="1491" t="n"/>
      <c r="AK515" s="1491" t="n"/>
      <c r="AL515" s="1491" t="n"/>
      <c r="AM515" s="1491" t="n"/>
      <c r="AN515" s="1491" t="n"/>
      <c r="AO515" s="1491" t="n"/>
      <c r="AP515" s="1491" t="n"/>
      <c r="AQ515" s="1491" t="n"/>
      <c r="AR515" s="1491" t="n"/>
      <c r="AS515" s="1491" t="n"/>
      <c r="AT515" s="1491" t="n"/>
      <c r="AU515" s="1491" t="n"/>
      <c r="AV515" s="1491" t="n"/>
      <c r="AW515" s="1491" t="n"/>
      <c r="AX515" s="1491" t="n"/>
      <c r="AY515" s="1491" t="n"/>
      <c r="AZ515" s="1491" t="n"/>
      <c r="BA515" s="1491" t="n"/>
      <c r="BB515" s="1491" t="n"/>
      <c r="BC515" s="1491" t="n"/>
      <c r="BD515" s="1491" t="n"/>
      <c r="BE515" s="1491" t="n"/>
      <c r="BF515" s="1491" t="n"/>
      <c r="BG515" s="1491" t="n"/>
      <c r="BH515" s="1491" t="n"/>
      <c r="BI515" s="1491" t="n"/>
      <c r="BJ515" s="1491" t="n"/>
      <c r="BK515" s="1491" t="n"/>
      <c r="BL515" s="1491" t="n"/>
      <c r="BM515" s="1491" t="n"/>
      <c r="BN515" s="1491" t="n"/>
      <c r="BO515" s="1467" t="n"/>
      <c r="BP515" s="1514" t="n">
        <v>511</v>
      </c>
      <c r="BQ515" s="1513">
        <f>[1]Sheet1!C516</f>
        <v/>
      </c>
      <c r="BR515" s="1515">
        <f>[1]Sheet1!D516</f>
        <v/>
      </c>
      <c r="BS515" s="1513">
        <f>[1]Sheet1!E516</f>
        <v/>
      </c>
      <c r="BT515" s="1515">
        <f>[1]Sheet1!F516</f>
        <v/>
      </c>
      <c r="BU515" s="1516">
        <f>[1]Sheet1!G516</f>
        <v/>
      </c>
      <c r="BV515" s="1513">
        <f>[1]Sheet1!H516</f>
        <v/>
      </c>
      <c r="BW515" s="1467" t="n"/>
      <c r="BX515" s="1491" t="n"/>
      <c r="BY515" s="1491" t="n"/>
      <c r="BZ515" s="1491" t="n"/>
      <c r="CA515" s="1491" t="n"/>
      <c r="CB515" s="1467" t="n"/>
      <c r="CC515" s="1467" t="n"/>
      <c r="CD515" s="1491" t="n"/>
      <c r="CE515" s="1491" t="n"/>
      <c r="CF515" s="1491" t="n"/>
      <c r="CG515" s="1491" t="n"/>
      <c r="CH515" s="1491" t="n"/>
      <c r="CI515" s="1491" t="n"/>
      <c r="CJ515" s="1491" t="n"/>
      <c r="CK515" s="1491" t="n"/>
      <c r="CL515" s="1491" t="n"/>
      <c r="CM515" s="1491" t="n"/>
      <c r="CN515" s="1491" t="n"/>
      <c r="CO515" s="1491" t="n"/>
      <c r="CP515" s="1491" t="n"/>
      <c r="CQ515" s="1491" t="n"/>
      <c r="CR515" s="1491" t="n"/>
      <c r="CS515" s="1491" t="n"/>
      <c r="CT515" s="1491" t="n"/>
      <c r="CU515" s="1491" t="n"/>
      <c r="CV515" s="1491" t="n"/>
      <c r="CW515" s="1491" t="n"/>
      <c r="CX515" s="1491" t="n"/>
    </row>
    <row r="516">
      <c r="A516" s="1491" t="n"/>
      <c r="B516" s="1491" t="n"/>
      <c r="C516" s="1491" t="n"/>
      <c r="D516" s="1497">
        <f>IF(E516&lt;&gt;"",D515+1,D515)</f>
        <v/>
      </c>
      <c r="E516" s="1497" t="inlineStr">
        <is>
          <t>Newark</t>
        </is>
      </c>
      <c r="F516" s="1535" t="inlineStr">
        <is>
          <t>.</t>
        </is>
      </c>
      <c r="G516" s="1498">
        <f>IF(H516="AIR",0,IF(H515="AIR",G514+1,IF(H516&lt;&gt;"",G515+1,G515)))</f>
        <v/>
      </c>
      <c r="H516" s="1498" t="inlineStr">
        <is>
          <t>Tuí</t>
        </is>
      </c>
      <c r="I516" s="1427" t="inlineStr">
        <is>
          <t>.</t>
        </is>
      </c>
      <c r="J516" s="1499" t="n">
        <v>511</v>
      </c>
      <c r="K516" s="1500">
        <f>_xlfn.XLOOKUP(cities[[#This Row],[id]],$D$5:$D$1500,E$5:E$1500,"-")</f>
        <v/>
      </c>
      <c r="L516" s="1500">
        <f>_xlfn.XLOOKUP(cities[[#This Row],[city]],ccc[city],ccc[ctry],"-")</f>
        <v/>
      </c>
      <c r="M516" s="1500">
        <f>SUMIFS(stayCity[stay],stayCity[city],cities[[#This Row],[city]])</f>
        <v/>
      </c>
      <c r="N516" s="1427">
        <f>N515+1</f>
        <v/>
      </c>
      <c r="O516" s="1500" t="n"/>
      <c r="P516" s="1500" t="n"/>
      <c r="Q516" s="1427" t="inlineStr">
        <is>
          <t>.</t>
        </is>
      </c>
      <c r="R516" s="1491" t="n"/>
      <c r="S516" s="1491" t="n"/>
      <c r="T516" s="1491" t="n"/>
      <c r="U516" s="1491" t="n"/>
      <c r="V516" s="1491" t="n"/>
      <c r="W516" s="1491" t="n"/>
      <c r="X516" s="1491" t="n"/>
      <c r="Y516" s="1491" t="n"/>
      <c r="Z516" s="1491" t="n"/>
      <c r="AA516" s="1491" t="n"/>
      <c r="AB516" s="1491" t="n"/>
      <c r="AC516" s="1491" t="n"/>
      <c r="AD516" s="1491" t="n"/>
      <c r="AE516" s="1491" t="n"/>
      <c r="AF516" s="1491" t="n"/>
      <c r="AG516" s="1491" t="n"/>
      <c r="AH516" s="1491" t="n"/>
      <c r="AI516" s="1491" t="n"/>
      <c r="AJ516" s="1491" t="n"/>
      <c r="AK516" s="1491" t="n"/>
      <c r="AL516" s="1491" t="n"/>
      <c r="AM516" s="1491" t="n"/>
      <c r="AN516" s="1491" t="n"/>
      <c r="AO516" s="1491" t="n"/>
      <c r="AP516" s="1491" t="n"/>
      <c r="AQ516" s="1491" t="n"/>
      <c r="AR516" s="1491" t="n"/>
      <c r="AS516" s="1491" t="n"/>
      <c r="AT516" s="1491" t="n"/>
      <c r="AU516" s="1491" t="n"/>
      <c r="AV516" s="1491" t="n"/>
      <c r="AW516" s="1491" t="n"/>
      <c r="AX516" s="1491" t="n"/>
      <c r="AY516" s="1491" t="n"/>
      <c r="AZ516" s="1491" t="n"/>
      <c r="BA516" s="1491" t="n"/>
      <c r="BB516" s="1491" t="n"/>
      <c r="BC516" s="1491" t="n"/>
      <c r="BD516" s="1491" t="n"/>
      <c r="BE516" s="1491" t="n"/>
      <c r="BF516" s="1491" t="n"/>
      <c r="BG516" s="1491" t="n"/>
      <c r="BH516" s="1491" t="n"/>
      <c r="BI516" s="1491" t="n"/>
      <c r="BJ516" s="1491" t="n"/>
      <c r="BK516" s="1491" t="n"/>
      <c r="BL516" s="1491" t="n"/>
      <c r="BM516" s="1491" t="n"/>
      <c r="BN516" s="1491" t="n"/>
      <c r="BO516" s="1467" t="n"/>
      <c r="BP516" s="1514" t="n">
        <v>512</v>
      </c>
      <c r="BQ516" s="1513">
        <f>[1]Sheet1!C517</f>
        <v/>
      </c>
      <c r="BR516" s="1515">
        <f>[1]Sheet1!D517</f>
        <v/>
      </c>
      <c r="BS516" s="1513">
        <f>[1]Sheet1!E517</f>
        <v/>
      </c>
      <c r="BT516" s="1515">
        <f>[1]Sheet1!F517</f>
        <v/>
      </c>
      <c r="BU516" s="1516">
        <f>[1]Sheet1!G517</f>
        <v/>
      </c>
      <c r="BV516" s="1513">
        <f>[1]Sheet1!H517</f>
        <v/>
      </c>
      <c r="BW516" s="1467" t="n"/>
      <c r="BX516" s="1491" t="n"/>
      <c r="BY516" s="1491" t="n"/>
      <c r="BZ516" s="1491" t="n"/>
      <c r="CA516" s="1491" t="n"/>
      <c r="CB516" s="1467" t="n"/>
      <c r="CC516" s="1467" t="n"/>
      <c r="CD516" s="1491" t="n"/>
      <c r="CE516" s="1491" t="n"/>
      <c r="CF516" s="1491" t="n"/>
      <c r="CG516" s="1491" t="n"/>
      <c r="CH516" s="1491" t="n"/>
      <c r="CI516" s="1491" t="n"/>
      <c r="CJ516" s="1491" t="n"/>
      <c r="CK516" s="1491" t="n"/>
      <c r="CL516" s="1491" t="n"/>
      <c r="CM516" s="1491" t="n"/>
      <c r="CN516" s="1491" t="n"/>
      <c r="CO516" s="1491" t="n"/>
      <c r="CP516" s="1491" t="n"/>
      <c r="CQ516" s="1491" t="n"/>
      <c r="CR516" s="1491" t="n"/>
      <c r="CS516" s="1491" t="n"/>
      <c r="CT516" s="1491" t="n"/>
      <c r="CU516" s="1491" t="n"/>
      <c r="CV516" s="1491" t="n"/>
      <c r="CW516" s="1491" t="n"/>
      <c r="CX516" s="1491" t="n"/>
    </row>
    <row r="517">
      <c r="A517" s="1491" t="n"/>
      <c r="B517" s="1491" t="n"/>
      <c r="C517" s="1491" t="n"/>
      <c r="D517" s="1497">
        <f>IF(E517&lt;&gt;"",D516+1,D516)</f>
        <v/>
      </c>
      <c r="E517" s="1497" t="inlineStr">
        <is>
          <t>Gananoque</t>
        </is>
      </c>
      <c r="F517" s="1535" t="inlineStr">
        <is>
          <t>.</t>
        </is>
      </c>
      <c r="G517" s="1498">
        <f>IF(H517="AIR",0,IF(H516="AIR",G515+1,IF(H517&lt;&gt;"",G516+1,G516)))</f>
        <v/>
      </c>
      <c r="H517" s="1498" t="inlineStr">
        <is>
          <t>Oporrino</t>
        </is>
      </c>
      <c r="I517" s="1427" t="inlineStr">
        <is>
          <t>.</t>
        </is>
      </c>
      <c r="J517" s="1499" t="n">
        <v>512</v>
      </c>
      <c r="K517" s="1500">
        <f>_xlfn.XLOOKUP(cities[[#This Row],[id]],$D$5:$D$1500,E$5:E$1500,"-")</f>
        <v/>
      </c>
      <c r="L517" s="1500">
        <f>_xlfn.XLOOKUP(cities[[#This Row],[city]],ccc[city],ccc[ctry],"-")</f>
        <v/>
      </c>
      <c r="M517" s="1500">
        <f>SUMIFS(stayCity[stay],stayCity[city],cities[[#This Row],[city]])</f>
        <v/>
      </c>
      <c r="N517" s="1427">
        <f>N516+1</f>
        <v/>
      </c>
      <c r="O517" s="1500" t="n"/>
      <c r="P517" s="1500" t="n"/>
      <c r="Q517" s="1427" t="inlineStr">
        <is>
          <t>.</t>
        </is>
      </c>
      <c r="R517" s="1491" t="n"/>
      <c r="S517" s="1491" t="n"/>
      <c r="T517" s="1491" t="n"/>
      <c r="U517" s="1491" t="n"/>
      <c r="V517" s="1491" t="n"/>
      <c r="W517" s="1491" t="n"/>
      <c r="X517" s="1491" t="n"/>
      <c r="Y517" s="1491" t="n"/>
      <c r="Z517" s="1491" t="n"/>
      <c r="AA517" s="1491" t="n"/>
      <c r="AB517" s="1491" t="n"/>
      <c r="AC517" s="1491" t="n"/>
      <c r="AD517" s="1491" t="n"/>
      <c r="AE517" s="1491" t="n"/>
      <c r="AF517" s="1491" t="n"/>
      <c r="AG517" s="1491" t="n"/>
      <c r="AH517" s="1491" t="n"/>
      <c r="AI517" s="1491" t="n"/>
      <c r="AJ517" s="1491" t="n"/>
      <c r="AK517" s="1491" t="n"/>
      <c r="AL517" s="1491" t="n"/>
      <c r="AM517" s="1491" t="n"/>
      <c r="AN517" s="1491" t="n"/>
      <c r="AO517" s="1491" t="n"/>
      <c r="AP517" s="1491" t="n"/>
      <c r="AQ517" s="1491" t="n"/>
      <c r="AR517" s="1491" t="n"/>
      <c r="AS517" s="1491" t="n"/>
      <c r="AT517" s="1491" t="n"/>
      <c r="AU517" s="1491" t="n"/>
      <c r="AV517" s="1491" t="n"/>
      <c r="AW517" s="1491" t="n"/>
      <c r="AX517" s="1491" t="n"/>
      <c r="AY517" s="1491" t="n"/>
      <c r="AZ517" s="1491" t="n"/>
      <c r="BA517" s="1491" t="n"/>
      <c r="BB517" s="1491" t="n"/>
      <c r="BC517" s="1491" t="n"/>
      <c r="BD517" s="1491" t="n"/>
      <c r="BE517" s="1491" t="n"/>
      <c r="BF517" s="1491" t="n"/>
      <c r="BG517" s="1491" t="n"/>
      <c r="BH517" s="1491" t="n"/>
      <c r="BI517" s="1491" t="n"/>
      <c r="BJ517" s="1491" t="n"/>
      <c r="BK517" s="1491" t="n"/>
      <c r="BL517" s="1491" t="n"/>
      <c r="BM517" s="1491" t="n"/>
      <c r="BN517" s="1491" t="n"/>
      <c r="BO517" s="1467" t="n"/>
      <c r="BP517" s="1514" t="n">
        <v>513</v>
      </c>
      <c r="BQ517" s="1513">
        <f>[1]Sheet1!C518</f>
        <v/>
      </c>
      <c r="BR517" s="1515">
        <f>[1]Sheet1!D518</f>
        <v/>
      </c>
      <c r="BS517" s="1513">
        <f>[1]Sheet1!E518</f>
        <v/>
      </c>
      <c r="BT517" s="1515">
        <f>[1]Sheet1!F518</f>
        <v/>
      </c>
      <c r="BU517" s="1516">
        <f>[1]Sheet1!G518</f>
        <v/>
      </c>
      <c r="BV517" s="1513">
        <f>[1]Sheet1!H518</f>
        <v/>
      </c>
      <c r="BW517" s="1467" t="n"/>
      <c r="BX517" s="1491" t="n"/>
      <c r="BY517" s="1491" t="n"/>
      <c r="BZ517" s="1491" t="n"/>
      <c r="CA517" s="1491" t="n"/>
      <c r="CB517" s="1467" t="n"/>
      <c r="CC517" s="1467" t="n"/>
      <c r="CD517" s="1491" t="n"/>
      <c r="CE517" s="1491" t="n"/>
      <c r="CF517" s="1491" t="n"/>
      <c r="CG517" s="1491" t="n"/>
      <c r="CH517" s="1491" t="n"/>
      <c r="CI517" s="1491" t="n"/>
      <c r="CJ517" s="1491" t="n"/>
      <c r="CK517" s="1491" t="n"/>
      <c r="CL517" s="1491" t="n"/>
      <c r="CM517" s="1491" t="n"/>
      <c r="CN517" s="1491" t="n"/>
      <c r="CO517" s="1491" t="n"/>
      <c r="CP517" s="1491" t="n"/>
      <c r="CQ517" s="1491" t="n"/>
      <c r="CR517" s="1491" t="n"/>
      <c r="CS517" s="1491" t="n"/>
      <c r="CT517" s="1491" t="n"/>
      <c r="CU517" s="1491" t="n"/>
      <c r="CV517" s="1491" t="n"/>
      <c r="CW517" s="1491" t="n"/>
      <c r="CX517" s="1491" t="n"/>
    </row>
    <row r="518">
      <c r="A518" s="1491" t="n"/>
      <c r="B518" s="1491" t="n"/>
      <c r="C518" s="1491" t="n"/>
      <c r="D518" s="1497">
        <f>IF(E518&lt;&gt;"",D517+1,D517)</f>
        <v/>
      </c>
      <c r="E518" s="1497" t="inlineStr">
        <is>
          <t>Niagara Falls</t>
        </is>
      </c>
      <c r="F518" s="1535" t="inlineStr">
        <is>
          <t>.</t>
        </is>
      </c>
      <c r="G518" s="1498">
        <f>IF(H518="AIR",0,IF(H517="AIR",G516+1,IF(H518&lt;&gt;"",G517+1,G517)))</f>
        <v/>
      </c>
      <c r="H518" s="1498" t="inlineStr">
        <is>
          <t>Redondela</t>
        </is>
      </c>
      <c r="I518" s="1427" t="inlineStr">
        <is>
          <t>.</t>
        </is>
      </c>
      <c r="J518" s="1499" t="n">
        <v>513</v>
      </c>
      <c r="K518" s="1500">
        <f>_xlfn.XLOOKUP(cities[[#This Row],[id]],$D$5:$D$1500,E$5:E$1500,"-")</f>
        <v/>
      </c>
      <c r="L518" s="1500">
        <f>_xlfn.XLOOKUP(cities[[#This Row],[city]],ccc[city],ccc[ctry],"-")</f>
        <v/>
      </c>
      <c r="M518" s="1500">
        <f>SUMIFS(stayCity[stay],stayCity[city],cities[[#This Row],[city]])</f>
        <v/>
      </c>
      <c r="N518" s="1427">
        <f>N517+1</f>
        <v/>
      </c>
      <c r="O518" s="1500" t="n"/>
      <c r="P518" s="1500" t="n"/>
      <c r="Q518" s="1427" t="inlineStr">
        <is>
          <t>.</t>
        </is>
      </c>
      <c r="R518" s="1491" t="n"/>
      <c r="S518" s="1491" t="n"/>
      <c r="T518" s="1491" t="n"/>
      <c r="U518" s="1491" t="n"/>
      <c r="V518" s="1491" t="n"/>
      <c r="W518" s="1491" t="n"/>
      <c r="X518" s="1491" t="n"/>
      <c r="Y518" s="1491" t="n"/>
      <c r="Z518" s="1491" t="n"/>
      <c r="AA518" s="1491" t="n"/>
      <c r="AB518" s="1491" t="n"/>
      <c r="AC518" s="1491" t="n"/>
      <c r="AD518" s="1491" t="n"/>
      <c r="AE518" s="1491" t="n"/>
      <c r="AF518" s="1491" t="n"/>
      <c r="AG518" s="1491" t="n"/>
      <c r="AH518" s="1491" t="n"/>
      <c r="AI518" s="1491" t="n"/>
      <c r="AJ518" s="1491" t="n"/>
      <c r="AK518" s="1491" t="n"/>
      <c r="AL518" s="1491" t="n"/>
      <c r="AM518" s="1491" t="n"/>
      <c r="AN518" s="1491" t="n"/>
      <c r="AO518" s="1491" t="n"/>
      <c r="AP518" s="1491" t="n"/>
      <c r="AQ518" s="1491" t="n"/>
      <c r="AR518" s="1491" t="n"/>
      <c r="AS518" s="1491" t="n"/>
      <c r="AT518" s="1491" t="n"/>
      <c r="AU518" s="1491" t="n"/>
      <c r="AV518" s="1491" t="n"/>
      <c r="AW518" s="1491" t="n"/>
      <c r="AX518" s="1491" t="n"/>
      <c r="AY518" s="1491" t="n"/>
      <c r="AZ518" s="1491" t="n"/>
      <c r="BA518" s="1491" t="n"/>
      <c r="BB518" s="1491" t="n"/>
      <c r="BC518" s="1491" t="n"/>
      <c r="BD518" s="1491" t="n"/>
      <c r="BE518" s="1491" t="n"/>
      <c r="BF518" s="1491" t="n"/>
      <c r="BG518" s="1491" t="n"/>
      <c r="BH518" s="1491" t="n"/>
      <c r="BI518" s="1491" t="n"/>
      <c r="BJ518" s="1491" t="n"/>
      <c r="BK518" s="1491" t="n"/>
      <c r="BL518" s="1491" t="n"/>
      <c r="BM518" s="1491" t="n"/>
      <c r="BN518" s="1491" t="n"/>
      <c r="BO518" s="1467" t="n"/>
      <c r="BP518" s="1514" t="n">
        <v>514</v>
      </c>
      <c r="BQ518" s="1513">
        <f>[1]Sheet1!C519</f>
        <v/>
      </c>
      <c r="BR518" s="1515">
        <f>[1]Sheet1!D519</f>
        <v/>
      </c>
      <c r="BS518" s="1513">
        <f>[1]Sheet1!E519</f>
        <v/>
      </c>
      <c r="BT518" s="1515">
        <f>[1]Sheet1!F519</f>
        <v/>
      </c>
      <c r="BU518" s="1516">
        <f>[1]Sheet1!G519</f>
        <v/>
      </c>
      <c r="BV518" s="1513">
        <f>[1]Sheet1!H519</f>
        <v/>
      </c>
      <c r="BW518" s="1467" t="n"/>
      <c r="BX518" s="1491" t="n"/>
      <c r="BY518" s="1491" t="n"/>
      <c r="BZ518" s="1491" t="n"/>
      <c r="CA518" s="1491" t="n"/>
      <c r="CB518" s="1467" t="n"/>
      <c r="CC518" s="1467" t="n"/>
      <c r="CD518" s="1491" t="n"/>
      <c r="CE518" s="1491" t="n"/>
      <c r="CF518" s="1491" t="n"/>
      <c r="CG518" s="1491" t="n"/>
      <c r="CH518" s="1491" t="n"/>
      <c r="CI518" s="1491" t="n"/>
      <c r="CJ518" s="1491" t="n"/>
      <c r="CK518" s="1491" t="n"/>
      <c r="CL518" s="1491" t="n"/>
      <c r="CM518" s="1491" t="n"/>
      <c r="CN518" s="1491" t="n"/>
      <c r="CO518" s="1491" t="n"/>
      <c r="CP518" s="1491" t="n"/>
      <c r="CQ518" s="1491" t="n"/>
      <c r="CR518" s="1491" t="n"/>
      <c r="CS518" s="1491" t="n"/>
      <c r="CT518" s="1491" t="n"/>
      <c r="CU518" s="1491" t="n"/>
      <c r="CV518" s="1491" t="n"/>
      <c r="CW518" s="1491" t="n"/>
      <c r="CX518" s="1491" t="n"/>
    </row>
    <row r="519">
      <c r="A519" s="1491" t="n"/>
      <c r="B519" s="1491" t="n"/>
      <c r="C519" s="1491" t="n"/>
      <c r="D519" s="1497">
        <f>IF(E519&lt;&gt;"",D518+1,D518)</f>
        <v/>
      </c>
      <c r="E519" s="1497" t="inlineStr">
        <is>
          <t>Carignan</t>
        </is>
      </c>
      <c r="F519" s="1535" t="inlineStr">
        <is>
          <t>.</t>
        </is>
      </c>
      <c r="G519" s="1498">
        <f>IF(H519="AIR",0,IF(H518="AIR",G517+1,IF(H519&lt;&gt;"",G518+1,G518)))</f>
        <v/>
      </c>
      <c r="H519" s="1498" t="inlineStr">
        <is>
          <t>Pontevedra</t>
        </is>
      </c>
      <c r="I519" s="1427" t="inlineStr">
        <is>
          <t>.</t>
        </is>
      </c>
      <c r="J519" s="1499" t="n">
        <v>514</v>
      </c>
      <c r="K519" s="1500">
        <f>_xlfn.XLOOKUP(cities[[#This Row],[id]],$D$5:$D$1500,E$5:E$1500,"-")</f>
        <v/>
      </c>
      <c r="L519" s="1500">
        <f>_xlfn.XLOOKUP(cities[[#This Row],[city]],ccc[city],ccc[ctry],"-")</f>
        <v/>
      </c>
      <c r="M519" s="1500">
        <f>SUMIFS(stayCity[stay],stayCity[city],cities[[#This Row],[city]])</f>
        <v/>
      </c>
      <c r="N519" s="1427">
        <f>N518+1</f>
        <v/>
      </c>
      <c r="O519" s="1500" t="n"/>
      <c r="P519" s="1500" t="n"/>
      <c r="Q519" s="1427" t="inlineStr">
        <is>
          <t>.</t>
        </is>
      </c>
      <c r="R519" s="1491" t="n"/>
      <c r="S519" s="1491" t="n"/>
      <c r="T519" s="1491" t="n"/>
      <c r="U519" s="1491" t="n"/>
      <c r="V519" s="1491" t="n"/>
      <c r="W519" s="1491" t="n"/>
      <c r="X519" s="1491" t="n"/>
      <c r="Y519" s="1491" t="n"/>
      <c r="Z519" s="1491" t="n"/>
      <c r="AA519" s="1491" t="n"/>
      <c r="AB519" s="1491" t="n"/>
      <c r="AC519" s="1491" t="n"/>
      <c r="AD519" s="1491" t="n"/>
      <c r="AE519" s="1491" t="n"/>
      <c r="AF519" s="1491" t="n"/>
      <c r="AG519" s="1491" t="n"/>
      <c r="AH519" s="1491" t="n"/>
      <c r="AI519" s="1491" t="n"/>
      <c r="AJ519" s="1491" t="n"/>
      <c r="AK519" s="1491" t="n"/>
      <c r="AL519" s="1491" t="n"/>
      <c r="AM519" s="1491" t="n"/>
      <c r="AN519" s="1491" t="n"/>
      <c r="AO519" s="1491" t="n"/>
      <c r="AP519" s="1491" t="n"/>
      <c r="AQ519" s="1491" t="n"/>
      <c r="AR519" s="1491" t="n"/>
      <c r="AS519" s="1491" t="n"/>
      <c r="AT519" s="1491" t="n"/>
      <c r="AU519" s="1491" t="n"/>
      <c r="AV519" s="1491" t="n"/>
      <c r="AW519" s="1491" t="n"/>
      <c r="AX519" s="1491" t="n"/>
      <c r="AY519" s="1491" t="n"/>
      <c r="AZ519" s="1491" t="n"/>
      <c r="BA519" s="1491" t="n"/>
      <c r="BB519" s="1491" t="n"/>
      <c r="BC519" s="1491" t="n"/>
      <c r="BD519" s="1491" t="n"/>
      <c r="BE519" s="1491" t="n"/>
      <c r="BF519" s="1491" t="n"/>
      <c r="BG519" s="1491" t="n"/>
      <c r="BH519" s="1491" t="n"/>
      <c r="BI519" s="1491" t="n"/>
      <c r="BJ519" s="1491" t="n"/>
      <c r="BK519" s="1491" t="n"/>
      <c r="BL519" s="1491" t="n"/>
      <c r="BM519" s="1491" t="n"/>
      <c r="BN519" s="1491" t="n"/>
      <c r="BO519" s="1467" t="n"/>
      <c r="BP519" s="1514" t="n">
        <v>515</v>
      </c>
      <c r="BQ519" s="1513">
        <f>[1]Sheet1!C520</f>
        <v/>
      </c>
      <c r="BR519" s="1515">
        <f>[1]Sheet1!D520</f>
        <v/>
      </c>
      <c r="BS519" s="1513">
        <f>[1]Sheet1!E520</f>
        <v/>
      </c>
      <c r="BT519" s="1515">
        <f>[1]Sheet1!F520</f>
        <v/>
      </c>
      <c r="BU519" s="1516">
        <f>[1]Sheet1!G520</f>
        <v/>
      </c>
      <c r="BV519" s="1513">
        <f>[1]Sheet1!H520</f>
        <v/>
      </c>
      <c r="BW519" s="1467" t="n"/>
      <c r="BX519" s="1491" t="n"/>
      <c r="BY519" s="1491" t="n"/>
      <c r="BZ519" s="1491" t="n"/>
      <c r="CA519" s="1491" t="n"/>
      <c r="CB519" s="1467" t="n"/>
      <c r="CC519" s="1467" t="n"/>
      <c r="CD519" s="1491" t="n"/>
      <c r="CE519" s="1491" t="n"/>
      <c r="CF519" s="1491" t="n"/>
      <c r="CG519" s="1491" t="n"/>
      <c r="CH519" s="1491" t="n"/>
      <c r="CI519" s="1491" t="n"/>
      <c r="CJ519" s="1491" t="n"/>
      <c r="CK519" s="1491" t="n"/>
      <c r="CL519" s="1491" t="n"/>
      <c r="CM519" s="1491" t="n"/>
      <c r="CN519" s="1491" t="n"/>
      <c r="CO519" s="1491" t="n"/>
      <c r="CP519" s="1491" t="n"/>
      <c r="CQ519" s="1491" t="n"/>
      <c r="CR519" s="1491" t="n"/>
      <c r="CS519" s="1491" t="n"/>
      <c r="CT519" s="1491" t="n"/>
      <c r="CU519" s="1491" t="n"/>
      <c r="CV519" s="1491" t="n"/>
      <c r="CW519" s="1491" t="n"/>
      <c r="CX519" s="1491" t="n"/>
    </row>
    <row r="520">
      <c r="A520" s="1491" t="n"/>
      <c r="B520" s="1491" t="n"/>
      <c r="C520" s="1491" t="n"/>
      <c r="D520" s="1497">
        <f>IF(E520&lt;&gt;"",D519+1,D519)</f>
        <v/>
      </c>
      <c r="E520" s="1497" t="inlineStr">
        <is>
          <t>Chicago</t>
        </is>
      </c>
      <c r="F520" s="1535" t="inlineStr">
        <is>
          <t>.</t>
        </is>
      </c>
      <c r="G520" s="1498">
        <f>IF(H520="AIR",0,IF(H519="AIR",G518+1,IF(H520&lt;&gt;"",G519+1,G519)))</f>
        <v/>
      </c>
      <c r="H520" s="1498" t="inlineStr">
        <is>
          <t>A Cancela</t>
        </is>
      </c>
      <c r="I520" s="1427" t="inlineStr">
        <is>
          <t>.</t>
        </is>
      </c>
      <c r="J520" s="1499" t="n">
        <v>515</v>
      </c>
      <c r="K520" s="1500">
        <f>_xlfn.XLOOKUP(cities[[#This Row],[id]],$D$5:$D$1500,E$5:E$1500,"-")</f>
        <v/>
      </c>
      <c r="L520" s="1500">
        <f>_xlfn.XLOOKUP(cities[[#This Row],[city]],ccc[city],ccc[ctry],"-")</f>
        <v/>
      </c>
      <c r="M520" s="1500">
        <f>SUMIFS(stayCity[stay],stayCity[city],cities[[#This Row],[city]])</f>
        <v/>
      </c>
      <c r="N520" s="1427">
        <f>N519+1</f>
        <v/>
      </c>
      <c r="O520" s="1500" t="n"/>
      <c r="P520" s="1500" t="n"/>
      <c r="Q520" s="1427" t="inlineStr">
        <is>
          <t>.</t>
        </is>
      </c>
      <c r="R520" s="1491" t="n"/>
      <c r="S520" s="1491" t="n"/>
      <c r="T520" s="1491" t="n"/>
      <c r="U520" s="1491" t="n"/>
      <c r="V520" s="1491" t="n"/>
      <c r="W520" s="1491" t="n"/>
      <c r="X520" s="1491" t="n"/>
      <c r="Y520" s="1491" t="n"/>
      <c r="Z520" s="1491" t="n"/>
      <c r="AA520" s="1491" t="n"/>
      <c r="AB520" s="1491" t="n"/>
      <c r="AC520" s="1491" t="n"/>
      <c r="AD520" s="1491" t="n"/>
      <c r="AE520" s="1491" t="n"/>
      <c r="AF520" s="1491" t="n"/>
      <c r="AG520" s="1491" t="n"/>
      <c r="AH520" s="1491" t="n"/>
      <c r="AI520" s="1491" t="n"/>
      <c r="AJ520" s="1491" t="n"/>
      <c r="AK520" s="1491" t="n"/>
      <c r="AL520" s="1491" t="n"/>
      <c r="AM520" s="1491" t="n"/>
      <c r="AN520" s="1491" t="n"/>
      <c r="AO520" s="1491" t="n"/>
      <c r="AP520" s="1491" t="n"/>
      <c r="AQ520" s="1491" t="n"/>
      <c r="AR520" s="1491" t="n"/>
      <c r="AS520" s="1491" t="n"/>
      <c r="AT520" s="1491" t="n"/>
      <c r="AU520" s="1491" t="n"/>
      <c r="AV520" s="1491" t="n"/>
      <c r="AW520" s="1491" t="n"/>
      <c r="AX520" s="1491" t="n"/>
      <c r="AY520" s="1491" t="n"/>
      <c r="AZ520" s="1491" t="n"/>
      <c r="BA520" s="1491" t="n"/>
      <c r="BB520" s="1491" t="n"/>
      <c r="BC520" s="1491" t="n"/>
      <c r="BD520" s="1491" t="n"/>
      <c r="BE520" s="1491" t="n"/>
      <c r="BF520" s="1491" t="n"/>
      <c r="BG520" s="1491" t="n"/>
      <c r="BH520" s="1491" t="n"/>
      <c r="BI520" s="1491" t="n"/>
      <c r="BJ520" s="1491" t="n"/>
      <c r="BK520" s="1491" t="n"/>
      <c r="BL520" s="1491" t="n"/>
      <c r="BM520" s="1491" t="n"/>
      <c r="BN520" s="1491" t="n"/>
      <c r="BO520" s="1467" t="n"/>
      <c r="BP520" s="1514" t="n">
        <v>516</v>
      </c>
      <c r="BQ520" s="1513">
        <f>[1]Sheet1!C521</f>
        <v/>
      </c>
      <c r="BR520" s="1515">
        <f>[1]Sheet1!D521</f>
        <v/>
      </c>
      <c r="BS520" s="1513">
        <f>[1]Sheet1!E521</f>
        <v/>
      </c>
      <c r="BT520" s="1515">
        <f>[1]Sheet1!F521</f>
        <v/>
      </c>
      <c r="BU520" s="1516">
        <f>[1]Sheet1!G521</f>
        <v/>
      </c>
      <c r="BV520" s="1513">
        <f>[1]Sheet1!H521</f>
        <v/>
      </c>
      <c r="BW520" s="1467" t="n"/>
      <c r="BX520" s="1491" t="n"/>
      <c r="BY520" s="1491" t="n"/>
      <c r="BZ520" s="1491" t="n"/>
      <c r="CA520" s="1491" t="n"/>
      <c r="CB520" s="1467" t="n"/>
      <c r="CC520" s="1467" t="n"/>
      <c r="CD520" s="1491" t="n"/>
      <c r="CE520" s="1491" t="n"/>
      <c r="CF520" s="1491" t="n"/>
      <c r="CG520" s="1491" t="n"/>
      <c r="CH520" s="1491" t="n"/>
      <c r="CI520" s="1491" t="n"/>
      <c r="CJ520" s="1491" t="n"/>
      <c r="CK520" s="1491" t="n"/>
      <c r="CL520" s="1491" t="n"/>
      <c r="CM520" s="1491" t="n"/>
      <c r="CN520" s="1491" t="n"/>
      <c r="CO520" s="1491" t="n"/>
      <c r="CP520" s="1491" t="n"/>
      <c r="CQ520" s="1491" t="n"/>
      <c r="CR520" s="1491" t="n"/>
      <c r="CS520" s="1491" t="n"/>
      <c r="CT520" s="1491" t="n"/>
      <c r="CU520" s="1491" t="n"/>
      <c r="CV520" s="1491" t="n"/>
      <c r="CW520" s="1491" t="n"/>
      <c r="CX520" s="1491" t="n"/>
    </row>
    <row r="521">
      <c r="A521" s="1491" t="n"/>
      <c r="B521" s="1491" t="n"/>
      <c r="C521" s="1491" t="n"/>
      <c r="D521" s="1497">
        <f>IF(E521&lt;&gt;"",D520+1,D520)</f>
        <v/>
      </c>
      <c r="E521" s="1497" t="inlineStr">
        <is>
          <t>Chambly</t>
        </is>
      </c>
      <c r="F521" s="1535" t="inlineStr">
        <is>
          <t>.</t>
        </is>
      </c>
      <c r="G521" s="1498">
        <f>IF(H521="AIR",0,IF(H520="AIR",G519+1,IF(H521&lt;&gt;"",G520+1,G520)))</f>
        <v/>
      </c>
      <c r="H521" s="1498" t="inlineStr">
        <is>
          <t>Calda de Reis</t>
        </is>
      </c>
      <c r="I521" s="1427" t="inlineStr">
        <is>
          <t>.</t>
        </is>
      </c>
      <c r="J521" s="1499" t="n">
        <v>516</v>
      </c>
      <c r="K521" s="1500">
        <f>_xlfn.XLOOKUP(cities[[#This Row],[id]],$D$5:$D$1500,E$5:E$1500,"-")</f>
        <v/>
      </c>
      <c r="L521" s="1500">
        <f>_xlfn.XLOOKUP(cities[[#This Row],[city]],ccc[city],ccc[ctry],"-")</f>
        <v/>
      </c>
      <c r="M521" s="1500">
        <f>SUMIFS(stayCity[stay],stayCity[city],cities[[#This Row],[city]])</f>
        <v/>
      </c>
      <c r="N521" s="1427">
        <f>N520+1</f>
        <v/>
      </c>
      <c r="O521" s="1500" t="n"/>
      <c r="P521" s="1500" t="n"/>
      <c r="Q521" s="1427" t="inlineStr">
        <is>
          <t>.</t>
        </is>
      </c>
      <c r="R521" s="1491" t="n"/>
      <c r="S521" s="1491" t="n"/>
      <c r="T521" s="1491" t="n"/>
      <c r="U521" s="1491" t="n"/>
      <c r="V521" s="1491" t="n"/>
      <c r="W521" s="1491" t="n"/>
      <c r="X521" s="1491" t="n"/>
      <c r="Y521" s="1491" t="n"/>
      <c r="Z521" s="1491" t="n"/>
      <c r="AA521" s="1491" t="n"/>
      <c r="AB521" s="1491" t="n"/>
      <c r="AC521" s="1491" t="n"/>
      <c r="AD521" s="1491" t="n"/>
      <c r="AE521" s="1491" t="n"/>
      <c r="AF521" s="1491" t="n"/>
      <c r="AG521" s="1491" t="n"/>
      <c r="AH521" s="1491" t="n"/>
      <c r="AI521" s="1491" t="n"/>
      <c r="AJ521" s="1491" t="n"/>
      <c r="AK521" s="1491" t="n"/>
      <c r="AL521" s="1491" t="n"/>
      <c r="AM521" s="1491" t="n"/>
      <c r="AN521" s="1491" t="n"/>
      <c r="AO521" s="1491" t="n"/>
      <c r="AP521" s="1491" t="n"/>
      <c r="AQ521" s="1491" t="n"/>
      <c r="AR521" s="1491" t="n"/>
      <c r="AS521" s="1491" t="n"/>
      <c r="AT521" s="1491" t="n"/>
      <c r="AU521" s="1491" t="n"/>
      <c r="AV521" s="1491" t="n"/>
      <c r="AW521" s="1491" t="n"/>
      <c r="AX521" s="1491" t="n"/>
      <c r="AY521" s="1491" t="n"/>
      <c r="AZ521" s="1491" t="n"/>
      <c r="BA521" s="1491" t="n"/>
      <c r="BB521" s="1491" t="n"/>
      <c r="BC521" s="1491" t="n"/>
      <c r="BD521" s="1491" t="n"/>
      <c r="BE521" s="1491" t="n"/>
      <c r="BF521" s="1491" t="n"/>
      <c r="BG521" s="1491" t="n"/>
      <c r="BH521" s="1491" t="n"/>
      <c r="BI521" s="1491" t="n"/>
      <c r="BJ521" s="1491" t="n"/>
      <c r="BK521" s="1491" t="n"/>
      <c r="BL521" s="1491" t="n"/>
      <c r="BM521" s="1491" t="n"/>
      <c r="BN521" s="1491" t="n"/>
      <c r="BO521" s="1467" t="n"/>
      <c r="BP521" s="1514" t="n">
        <v>517</v>
      </c>
      <c r="BQ521" s="1513">
        <f>[1]Sheet1!C522</f>
        <v/>
      </c>
      <c r="BR521" s="1515">
        <f>[1]Sheet1!D522</f>
        <v/>
      </c>
      <c r="BS521" s="1513">
        <f>[1]Sheet1!E522</f>
        <v/>
      </c>
      <c r="BT521" s="1515">
        <f>[1]Sheet1!F522</f>
        <v/>
      </c>
      <c r="BU521" s="1516">
        <f>[1]Sheet1!G522</f>
        <v/>
      </c>
      <c r="BV521" s="1513">
        <f>[1]Sheet1!H522</f>
        <v/>
      </c>
      <c r="BW521" s="1467" t="n"/>
      <c r="BX521" s="1491" t="n"/>
      <c r="BY521" s="1491" t="n"/>
      <c r="BZ521" s="1491" t="n"/>
      <c r="CA521" s="1491" t="n"/>
      <c r="CB521" s="1467" t="n"/>
      <c r="CC521" s="1467" t="n"/>
      <c r="CD521" s="1491" t="n"/>
      <c r="CE521" s="1491" t="n"/>
      <c r="CF521" s="1491" t="n"/>
      <c r="CG521" s="1491" t="n"/>
      <c r="CH521" s="1491" t="n"/>
      <c r="CI521" s="1491" t="n"/>
      <c r="CJ521" s="1491" t="n"/>
      <c r="CK521" s="1491" t="n"/>
      <c r="CL521" s="1491" t="n"/>
      <c r="CM521" s="1491" t="n"/>
      <c r="CN521" s="1491" t="n"/>
      <c r="CO521" s="1491" t="n"/>
      <c r="CP521" s="1491" t="n"/>
      <c r="CQ521" s="1491" t="n"/>
      <c r="CR521" s="1491" t="n"/>
      <c r="CS521" s="1491" t="n"/>
      <c r="CT521" s="1491" t="n"/>
      <c r="CU521" s="1491" t="n"/>
      <c r="CV521" s="1491" t="n"/>
      <c r="CW521" s="1491" t="n"/>
      <c r="CX521" s="1491" t="n"/>
    </row>
    <row r="522">
      <c r="A522" s="1491" t="n"/>
      <c r="B522" s="1491" t="n"/>
      <c r="C522" s="1491" t="n"/>
      <c r="D522" s="1497">
        <f>IF(E522&lt;&gt;"",D521+1,D521)</f>
        <v/>
      </c>
      <c r="E522" s="1497" t="inlineStr">
        <is>
          <t>Roxton Falls</t>
        </is>
      </c>
      <c r="F522" s="1535" t="inlineStr">
        <is>
          <t>.</t>
        </is>
      </c>
      <c r="G522" s="1498">
        <f>IF(H522="AIR",0,IF(H521="AIR",G520+1,IF(H522&lt;&gt;"",G521+1,G521)))</f>
        <v/>
      </c>
      <c r="H522" s="1498" t="inlineStr">
        <is>
          <t>Panama</t>
        </is>
      </c>
      <c r="I522" s="1427" t="inlineStr">
        <is>
          <t>.</t>
        </is>
      </c>
      <c r="J522" s="1499" t="n">
        <v>517</v>
      </c>
      <c r="K522" s="1500">
        <f>_xlfn.XLOOKUP(cities[[#This Row],[id]],$D$5:$D$1500,E$5:E$1500,"-")</f>
        <v/>
      </c>
      <c r="L522" s="1500">
        <f>_xlfn.XLOOKUP(cities[[#This Row],[city]],ccc[city],ccc[ctry],"-")</f>
        <v/>
      </c>
      <c r="M522" s="1500">
        <f>SUMIFS(stayCity[stay],stayCity[city],cities[[#This Row],[city]])</f>
        <v/>
      </c>
      <c r="N522" s="1427">
        <f>N521+1</f>
        <v/>
      </c>
      <c r="O522" s="1500" t="n"/>
      <c r="P522" s="1500" t="n"/>
      <c r="Q522" s="1427" t="inlineStr">
        <is>
          <t>.</t>
        </is>
      </c>
      <c r="R522" s="1491" t="n"/>
      <c r="S522" s="1491" t="n"/>
      <c r="T522" s="1491" t="n"/>
      <c r="U522" s="1491" t="n"/>
      <c r="V522" s="1491" t="n"/>
      <c r="W522" s="1491" t="n"/>
      <c r="X522" s="1491" t="n"/>
      <c r="Y522" s="1491" t="n"/>
      <c r="Z522" s="1491" t="n"/>
      <c r="AA522" s="1491" t="n"/>
      <c r="AB522" s="1491" t="n"/>
      <c r="AC522" s="1491" t="n"/>
      <c r="AD522" s="1491" t="n"/>
      <c r="AE522" s="1491" t="n"/>
      <c r="AF522" s="1491" t="n"/>
      <c r="AG522" s="1491" t="n"/>
      <c r="AH522" s="1491" t="n"/>
      <c r="AI522" s="1491" t="n"/>
      <c r="AJ522" s="1491" t="n"/>
      <c r="AK522" s="1491" t="n"/>
      <c r="AL522" s="1491" t="n"/>
      <c r="AM522" s="1491" t="n"/>
      <c r="AN522" s="1491" t="n"/>
      <c r="AO522" s="1491" t="n"/>
      <c r="AP522" s="1491" t="n"/>
      <c r="AQ522" s="1491" t="n"/>
      <c r="AR522" s="1491" t="n"/>
      <c r="AS522" s="1491" t="n"/>
      <c r="AT522" s="1491" t="n"/>
      <c r="AU522" s="1491" t="n"/>
      <c r="AV522" s="1491" t="n"/>
      <c r="AW522" s="1491" t="n"/>
      <c r="AX522" s="1491" t="n"/>
      <c r="AY522" s="1491" t="n"/>
      <c r="AZ522" s="1491" t="n"/>
      <c r="BA522" s="1491" t="n"/>
      <c r="BB522" s="1491" t="n"/>
      <c r="BC522" s="1491" t="n"/>
      <c r="BD522" s="1491" t="n"/>
      <c r="BE522" s="1491" t="n"/>
      <c r="BF522" s="1491" t="n"/>
      <c r="BG522" s="1491" t="n"/>
      <c r="BH522" s="1491" t="n"/>
      <c r="BI522" s="1491" t="n"/>
      <c r="BJ522" s="1491" t="n"/>
      <c r="BK522" s="1491" t="n"/>
      <c r="BL522" s="1491" t="n"/>
      <c r="BM522" s="1491" t="n"/>
      <c r="BN522" s="1491" t="n"/>
      <c r="BO522" s="1467" t="n"/>
      <c r="BP522" s="1514" t="n">
        <v>518</v>
      </c>
      <c r="BQ522" s="1513">
        <f>[1]Sheet1!C523</f>
        <v/>
      </c>
      <c r="BR522" s="1515">
        <f>[1]Sheet1!D523</f>
        <v/>
      </c>
      <c r="BS522" s="1513">
        <f>[1]Sheet1!E523</f>
        <v/>
      </c>
      <c r="BT522" s="1515">
        <f>[1]Sheet1!F523</f>
        <v/>
      </c>
      <c r="BU522" s="1516">
        <f>[1]Sheet1!G523</f>
        <v/>
      </c>
      <c r="BV522" s="1513">
        <f>[1]Sheet1!H523</f>
        <v/>
      </c>
      <c r="BW522" s="1467" t="n"/>
      <c r="BX522" s="1491" t="n"/>
      <c r="BY522" s="1491" t="n"/>
      <c r="BZ522" s="1491" t="n"/>
      <c r="CA522" s="1491" t="n"/>
      <c r="CB522" s="1467" t="n"/>
      <c r="CC522" s="1467" t="n"/>
      <c r="CD522" s="1491" t="n"/>
      <c r="CE522" s="1491" t="n"/>
      <c r="CF522" s="1491" t="n"/>
      <c r="CG522" s="1491" t="n"/>
      <c r="CH522" s="1491" t="n"/>
      <c r="CI522" s="1491" t="n"/>
      <c r="CJ522" s="1491" t="n"/>
      <c r="CK522" s="1491" t="n"/>
      <c r="CL522" s="1491" t="n"/>
      <c r="CM522" s="1491" t="n"/>
      <c r="CN522" s="1491" t="n"/>
      <c r="CO522" s="1491" t="n"/>
      <c r="CP522" s="1491" t="n"/>
      <c r="CQ522" s="1491" t="n"/>
      <c r="CR522" s="1491" t="n"/>
      <c r="CS522" s="1491" t="n"/>
      <c r="CT522" s="1491" t="n"/>
      <c r="CU522" s="1491" t="n"/>
      <c r="CV522" s="1491" t="n"/>
      <c r="CW522" s="1491" t="n"/>
      <c r="CX522" s="1491" t="n"/>
    </row>
    <row r="523">
      <c r="A523" s="1491" t="n"/>
      <c r="B523" s="1491" t="n"/>
      <c r="C523" s="1491" t="n"/>
      <c r="D523" s="1497">
        <f>IF(E523&lt;&gt;"",D522+1,D522)</f>
        <v/>
      </c>
      <c r="E523" s="1497" t="inlineStr">
        <is>
          <t>Acton Vale</t>
        </is>
      </c>
      <c r="F523" s="1535" t="inlineStr">
        <is>
          <t>.</t>
        </is>
      </c>
      <c r="G523" s="1498">
        <f>IF(H523="AIR",0,IF(H522="AIR",G521+1,IF(H523&lt;&gt;"",G522+1,G522)))</f>
        <v/>
      </c>
      <c r="H523" s="1498" t="inlineStr">
        <is>
          <t>Atlanta</t>
        </is>
      </c>
      <c r="I523" s="1427" t="inlineStr">
        <is>
          <t>.</t>
        </is>
      </c>
      <c r="J523" s="1499" t="n">
        <v>518</v>
      </c>
      <c r="K523" s="1500">
        <f>_xlfn.XLOOKUP(cities[[#This Row],[id]],$D$5:$D$1500,E$5:E$1500,"-")</f>
        <v/>
      </c>
      <c r="L523" s="1500">
        <f>_xlfn.XLOOKUP(cities[[#This Row],[city]],ccc[city],ccc[ctry],"-")</f>
        <v/>
      </c>
      <c r="M523" s="1500">
        <f>SUMIFS(stayCity[stay],stayCity[city],cities[[#This Row],[city]])</f>
        <v/>
      </c>
      <c r="N523" s="1427">
        <f>N522+1</f>
        <v/>
      </c>
      <c r="O523" s="1500" t="n"/>
      <c r="P523" s="1500" t="n"/>
      <c r="Q523" s="1427" t="inlineStr">
        <is>
          <t>.</t>
        </is>
      </c>
      <c r="R523" s="1491" t="n"/>
      <c r="S523" s="1491" t="n"/>
      <c r="T523" s="1491" t="n"/>
      <c r="U523" s="1491" t="n"/>
      <c r="V523" s="1491" t="n"/>
      <c r="W523" s="1491" t="n"/>
      <c r="X523" s="1491" t="n"/>
      <c r="Y523" s="1491" t="n"/>
      <c r="Z523" s="1491" t="n"/>
      <c r="AA523" s="1491" t="n"/>
      <c r="AB523" s="1491" t="n"/>
      <c r="AC523" s="1491" t="n"/>
      <c r="AD523" s="1491" t="n"/>
      <c r="AE523" s="1491" t="n"/>
      <c r="AF523" s="1491" t="n"/>
      <c r="AG523" s="1491" t="n"/>
      <c r="AH523" s="1491" t="n"/>
      <c r="AI523" s="1491" t="n"/>
      <c r="AJ523" s="1491" t="n"/>
      <c r="AK523" s="1491" t="n"/>
      <c r="AL523" s="1491" t="n"/>
      <c r="AM523" s="1491" t="n"/>
      <c r="AN523" s="1491" t="n"/>
      <c r="AO523" s="1491" t="n"/>
      <c r="AP523" s="1491" t="n"/>
      <c r="AQ523" s="1491" t="n"/>
      <c r="AR523" s="1491" t="n"/>
      <c r="AS523" s="1491" t="n"/>
      <c r="AT523" s="1491" t="n"/>
      <c r="AU523" s="1491" t="n"/>
      <c r="AV523" s="1491" t="n"/>
      <c r="AW523" s="1491" t="n"/>
      <c r="AX523" s="1491" t="n"/>
      <c r="AY523" s="1491" t="n"/>
      <c r="AZ523" s="1491" t="n"/>
      <c r="BA523" s="1491" t="n"/>
      <c r="BB523" s="1491" t="n"/>
      <c r="BC523" s="1491" t="n"/>
      <c r="BD523" s="1491" t="n"/>
      <c r="BE523" s="1491" t="n"/>
      <c r="BF523" s="1491" t="n"/>
      <c r="BG523" s="1491" t="n"/>
      <c r="BH523" s="1491" t="n"/>
      <c r="BI523" s="1491" t="n"/>
      <c r="BJ523" s="1491" t="n"/>
      <c r="BK523" s="1491" t="n"/>
      <c r="BL523" s="1491" t="n"/>
      <c r="BM523" s="1491" t="n"/>
      <c r="BN523" s="1491" t="n"/>
      <c r="BO523" s="1467" t="n"/>
      <c r="BP523" s="1514" t="n">
        <v>519</v>
      </c>
      <c r="BQ523" s="1513">
        <f>[1]Sheet1!C524</f>
        <v/>
      </c>
      <c r="BR523" s="1515">
        <f>[1]Sheet1!D524</f>
        <v/>
      </c>
      <c r="BS523" s="1513">
        <f>[1]Sheet1!E524</f>
        <v/>
      </c>
      <c r="BT523" s="1515">
        <f>[1]Sheet1!F524</f>
        <v/>
      </c>
      <c r="BU523" s="1516">
        <f>[1]Sheet1!G524</f>
        <v/>
      </c>
      <c r="BV523" s="1513">
        <f>[1]Sheet1!H524</f>
        <v/>
      </c>
      <c r="BW523" s="1467" t="n"/>
      <c r="BX523" s="1491" t="n"/>
      <c r="BY523" s="1491" t="n"/>
      <c r="BZ523" s="1491" t="n"/>
      <c r="CA523" s="1491" t="n"/>
      <c r="CB523" s="1467" t="n"/>
      <c r="CC523" s="1467" t="n"/>
      <c r="CD523" s="1491" t="n"/>
      <c r="CE523" s="1491" t="n"/>
      <c r="CF523" s="1491" t="n"/>
      <c r="CG523" s="1491" t="n"/>
      <c r="CH523" s="1491" t="n"/>
      <c r="CI523" s="1491" t="n"/>
      <c r="CJ523" s="1491" t="n"/>
      <c r="CK523" s="1491" t="n"/>
      <c r="CL523" s="1491" t="n"/>
      <c r="CM523" s="1491" t="n"/>
      <c r="CN523" s="1491" t="n"/>
      <c r="CO523" s="1491" t="n"/>
      <c r="CP523" s="1491" t="n"/>
      <c r="CQ523" s="1491" t="n"/>
      <c r="CR523" s="1491" t="n"/>
      <c r="CS523" s="1491" t="n"/>
      <c r="CT523" s="1491" t="n"/>
      <c r="CU523" s="1491" t="n"/>
      <c r="CV523" s="1491" t="n"/>
      <c r="CW523" s="1491" t="n"/>
      <c r="CX523" s="1491" t="n"/>
    </row>
    <row r="524">
      <c r="A524" s="1491" t="n"/>
      <c r="B524" s="1491" t="n"/>
      <c r="C524" s="1491" t="n"/>
      <c r="D524" s="1497">
        <f>IF(E524&lt;&gt;"",D523+1,D523)</f>
        <v/>
      </c>
      <c r="E524" s="1497" t="inlineStr">
        <is>
          <t>Drummondville</t>
        </is>
      </c>
      <c r="F524" s="1535" t="inlineStr">
        <is>
          <t>.</t>
        </is>
      </c>
      <c r="G524" s="1498">
        <f>IF(H524="AIR",0,IF(H523="AIR",G522+1,IF(H524&lt;&gt;"",G523+1,G523)))</f>
        <v/>
      </c>
      <c r="H524" s="1498" t="inlineStr">
        <is>
          <t>Sao Felipe</t>
        </is>
      </c>
      <c r="I524" s="1427" t="inlineStr">
        <is>
          <t>.</t>
        </is>
      </c>
      <c r="J524" s="1499" t="n">
        <v>519</v>
      </c>
      <c r="K524" s="1500">
        <f>_xlfn.XLOOKUP(cities[[#This Row],[id]],$D$5:$D$1500,E$5:E$1500,"-")</f>
        <v/>
      </c>
      <c r="L524" s="1500">
        <f>_xlfn.XLOOKUP(cities[[#This Row],[city]],ccc[city],ccc[ctry],"-")</f>
        <v/>
      </c>
      <c r="M524" s="1500">
        <f>SUMIFS(stayCity[stay],stayCity[city],cities[[#This Row],[city]])</f>
        <v/>
      </c>
      <c r="N524" s="1427">
        <f>N523+1</f>
        <v/>
      </c>
      <c r="O524" s="1500" t="n"/>
      <c r="P524" s="1500" t="n"/>
      <c r="Q524" s="1427" t="inlineStr">
        <is>
          <t>.</t>
        </is>
      </c>
      <c r="R524" s="1491" t="n"/>
      <c r="S524" s="1491" t="n"/>
      <c r="T524" s="1491" t="n"/>
      <c r="U524" s="1491" t="n"/>
      <c r="V524" s="1491" t="n"/>
      <c r="W524" s="1491" t="n"/>
      <c r="X524" s="1491" t="n"/>
      <c r="Y524" s="1491" t="n"/>
      <c r="Z524" s="1491" t="n"/>
      <c r="AA524" s="1491" t="n"/>
      <c r="AB524" s="1491" t="n"/>
      <c r="AC524" s="1491" t="n"/>
      <c r="AD524" s="1491" t="n"/>
      <c r="AE524" s="1491" t="n"/>
      <c r="AF524" s="1491" t="n"/>
      <c r="AG524" s="1491" t="n"/>
      <c r="AH524" s="1491" t="n"/>
      <c r="AI524" s="1491" t="n"/>
      <c r="AJ524" s="1491" t="n"/>
      <c r="AK524" s="1491" t="n"/>
      <c r="AL524" s="1491" t="n"/>
      <c r="AM524" s="1491" t="n"/>
      <c r="AN524" s="1491" t="n"/>
      <c r="AO524" s="1491" t="n"/>
      <c r="AP524" s="1491" t="n"/>
      <c r="AQ524" s="1491" t="n"/>
      <c r="AR524" s="1491" t="n"/>
      <c r="AS524" s="1491" t="n"/>
      <c r="AT524" s="1491" t="n"/>
      <c r="AU524" s="1491" t="n"/>
      <c r="AV524" s="1491" t="n"/>
      <c r="AW524" s="1491" t="n"/>
      <c r="AX524" s="1491" t="n"/>
      <c r="AY524" s="1491" t="n"/>
      <c r="AZ524" s="1491" t="n"/>
      <c r="BA524" s="1491" t="n"/>
      <c r="BB524" s="1491" t="n"/>
      <c r="BC524" s="1491" t="n"/>
      <c r="BD524" s="1491" t="n"/>
      <c r="BE524" s="1491" t="n"/>
      <c r="BF524" s="1491" t="n"/>
      <c r="BG524" s="1491" t="n"/>
      <c r="BH524" s="1491" t="n"/>
      <c r="BI524" s="1491" t="n"/>
      <c r="BJ524" s="1491" t="n"/>
      <c r="BK524" s="1491" t="n"/>
      <c r="BL524" s="1491" t="n"/>
      <c r="BM524" s="1491" t="n"/>
      <c r="BN524" s="1491" t="n"/>
      <c r="BO524" s="1467" t="n"/>
      <c r="BP524" s="1514" t="n">
        <v>520</v>
      </c>
      <c r="BQ524" s="1513">
        <f>[1]Sheet1!C525</f>
        <v/>
      </c>
      <c r="BR524" s="1515">
        <f>[1]Sheet1!D525</f>
        <v/>
      </c>
      <c r="BS524" s="1513">
        <f>[1]Sheet1!E525</f>
        <v/>
      </c>
      <c r="BT524" s="1515">
        <f>[1]Sheet1!F525</f>
        <v/>
      </c>
      <c r="BU524" s="1516">
        <f>[1]Sheet1!G525</f>
        <v/>
      </c>
      <c r="BV524" s="1513">
        <f>[1]Sheet1!H525</f>
        <v/>
      </c>
      <c r="BW524" s="1467" t="n"/>
      <c r="BX524" s="1491" t="n"/>
      <c r="BY524" s="1491" t="n"/>
      <c r="BZ524" s="1491" t="n"/>
      <c r="CA524" s="1491" t="n"/>
      <c r="CB524" s="1467" t="n"/>
      <c r="CC524" s="1467" t="n"/>
      <c r="CD524" s="1491" t="n"/>
      <c r="CE524" s="1491" t="n"/>
      <c r="CF524" s="1491" t="n"/>
      <c r="CG524" s="1491" t="n"/>
      <c r="CH524" s="1491" t="n"/>
      <c r="CI524" s="1491" t="n"/>
      <c r="CJ524" s="1491" t="n"/>
      <c r="CK524" s="1491" t="n"/>
      <c r="CL524" s="1491" t="n"/>
      <c r="CM524" s="1491" t="n"/>
      <c r="CN524" s="1491" t="n"/>
      <c r="CO524" s="1491" t="n"/>
      <c r="CP524" s="1491" t="n"/>
      <c r="CQ524" s="1491" t="n"/>
      <c r="CR524" s="1491" t="n"/>
      <c r="CS524" s="1491" t="n"/>
      <c r="CT524" s="1491" t="n"/>
      <c r="CU524" s="1491" t="n"/>
      <c r="CV524" s="1491" t="n"/>
      <c r="CW524" s="1491" t="n"/>
      <c r="CX524" s="1491" t="n"/>
    </row>
    <row r="525">
      <c r="A525" s="1491" t="n"/>
      <c r="B525" s="1491" t="n"/>
      <c r="C525" s="1491" t="n"/>
      <c r="D525" s="1497">
        <f>IF(E525&lt;&gt;"",D524+1,D524)</f>
        <v/>
      </c>
      <c r="E525" s="1497" t="inlineStr">
        <is>
          <t>Richmond</t>
        </is>
      </c>
      <c r="F525" s="1535" t="inlineStr">
        <is>
          <t>.</t>
        </is>
      </c>
      <c r="G525" s="1498">
        <f>IF(H525="AIR",0,IF(H524="AIR",G523+1,IF(H525&lt;&gt;"",G524+1,G524)))</f>
        <v/>
      </c>
      <c r="H525" s="1498" t="inlineStr">
        <is>
          <t>Mombaça</t>
        </is>
      </c>
      <c r="I525" s="1427" t="inlineStr">
        <is>
          <t>.</t>
        </is>
      </c>
      <c r="J525" s="1499" t="n">
        <v>520</v>
      </c>
      <c r="K525" s="1500">
        <f>_xlfn.XLOOKUP(cities[[#This Row],[id]],$D$5:$D$1500,E$5:E$1500,"-")</f>
        <v/>
      </c>
      <c r="L525" s="1500">
        <f>_xlfn.XLOOKUP(cities[[#This Row],[city]],ccc[city],ccc[ctry],"-")</f>
        <v/>
      </c>
      <c r="M525" s="1500">
        <f>SUMIFS(stayCity[stay],stayCity[city],cities[[#This Row],[city]])</f>
        <v/>
      </c>
      <c r="N525" s="1427">
        <f>N524+1</f>
        <v/>
      </c>
      <c r="O525" s="1500" t="n"/>
      <c r="P525" s="1500" t="n"/>
      <c r="Q525" s="1427" t="inlineStr">
        <is>
          <t>.</t>
        </is>
      </c>
      <c r="R525" s="1491" t="n"/>
      <c r="S525" s="1491" t="n"/>
      <c r="T525" s="1491" t="n"/>
      <c r="U525" s="1491" t="n"/>
      <c r="V525" s="1491" t="n"/>
      <c r="W525" s="1491" t="n"/>
      <c r="X525" s="1491" t="n"/>
      <c r="Y525" s="1491" t="n"/>
      <c r="Z525" s="1491" t="n"/>
      <c r="AA525" s="1491" t="n"/>
      <c r="AB525" s="1491" t="n"/>
      <c r="AC525" s="1491" t="n"/>
      <c r="AD525" s="1491" t="n"/>
      <c r="AE525" s="1491" t="n"/>
      <c r="AF525" s="1491" t="n"/>
      <c r="AG525" s="1491" t="n"/>
      <c r="AH525" s="1491" t="n"/>
      <c r="AI525" s="1491" t="n"/>
      <c r="AJ525" s="1491" t="n"/>
      <c r="AK525" s="1491" t="n"/>
      <c r="AL525" s="1491" t="n"/>
      <c r="AM525" s="1491" t="n"/>
      <c r="AN525" s="1491" t="n"/>
      <c r="AO525" s="1491" t="n"/>
      <c r="AP525" s="1491" t="n"/>
      <c r="AQ525" s="1491" t="n"/>
      <c r="AR525" s="1491" t="n"/>
      <c r="AS525" s="1491" t="n"/>
      <c r="AT525" s="1491" t="n"/>
      <c r="AU525" s="1491" t="n"/>
      <c r="AV525" s="1491" t="n"/>
      <c r="AW525" s="1491" t="n"/>
      <c r="AX525" s="1491" t="n"/>
      <c r="AY525" s="1491" t="n"/>
      <c r="AZ525" s="1491" t="n"/>
      <c r="BA525" s="1491" t="n"/>
      <c r="BB525" s="1491" t="n"/>
      <c r="BC525" s="1491" t="n"/>
      <c r="BD525" s="1491" t="n"/>
      <c r="BE525" s="1491" t="n"/>
      <c r="BF525" s="1491" t="n"/>
      <c r="BG525" s="1491" t="n"/>
      <c r="BH525" s="1491" t="n"/>
      <c r="BI525" s="1491" t="n"/>
      <c r="BJ525" s="1491" t="n"/>
      <c r="BK525" s="1491" t="n"/>
      <c r="BL525" s="1491" t="n"/>
      <c r="BM525" s="1491" t="n"/>
      <c r="BN525" s="1491" t="n"/>
      <c r="BO525" s="1467" t="n"/>
      <c r="BP525" s="1514" t="n">
        <v>521</v>
      </c>
      <c r="BQ525" s="1513">
        <f>[1]Sheet1!C526</f>
        <v/>
      </c>
      <c r="BR525" s="1515">
        <f>[1]Sheet1!D526</f>
        <v/>
      </c>
      <c r="BS525" s="1513">
        <f>[1]Sheet1!E526</f>
        <v/>
      </c>
      <c r="BT525" s="1515">
        <f>[1]Sheet1!F526</f>
        <v/>
      </c>
      <c r="BU525" s="1516">
        <f>[1]Sheet1!G526</f>
        <v/>
      </c>
      <c r="BV525" s="1513">
        <f>[1]Sheet1!H526</f>
        <v/>
      </c>
      <c r="BW525" s="1467" t="n"/>
      <c r="BX525" s="1491" t="n"/>
      <c r="BY525" s="1491" t="n"/>
      <c r="BZ525" s="1491" t="n"/>
      <c r="CA525" s="1491" t="n"/>
      <c r="CB525" s="1467" t="n"/>
      <c r="CC525" s="1467" t="n"/>
      <c r="CD525" s="1491" t="n"/>
      <c r="CE525" s="1491" t="n"/>
      <c r="CF525" s="1491" t="n"/>
      <c r="CG525" s="1491" t="n"/>
      <c r="CH525" s="1491" t="n"/>
      <c r="CI525" s="1491" t="n"/>
      <c r="CJ525" s="1491" t="n"/>
      <c r="CK525" s="1491" t="n"/>
      <c r="CL525" s="1491" t="n"/>
      <c r="CM525" s="1491" t="n"/>
      <c r="CN525" s="1491" t="n"/>
      <c r="CO525" s="1491" t="n"/>
      <c r="CP525" s="1491" t="n"/>
      <c r="CQ525" s="1491" t="n"/>
      <c r="CR525" s="1491" t="n"/>
      <c r="CS525" s="1491" t="n"/>
      <c r="CT525" s="1491" t="n"/>
      <c r="CU525" s="1491" t="n"/>
      <c r="CV525" s="1491" t="n"/>
      <c r="CW525" s="1491" t="n"/>
      <c r="CX525" s="1491" t="n"/>
    </row>
    <row r="526">
      <c r="A526" s="1491" t="n"/>
      <c r="B526" s="1491" t="n"/>
      <c r="C526" s="1491" t="n"/>
      <c r="D526" s="1497">
        <f>IF(E526&lt;&gt;"",D525+1,D525)</f>
        <v/>
      </c>
      <c r="E526" s="1497" t="inlineStr">
        <is>
          <t>Warwick</t>
        </is>
      </c>
      <c r="F526" s="1535" t="inlineStr">
        <is>
          <t>.</t>
        </is>
      </c>
      <c r="G526" s="1498">
        <f>IF(H526="AIR",0,IF(H525="AIR",G524+1,IF(H526&lt;&gt;"",G525+1,G525)))</f>
        <v/>
      </c>
      <c r="H526" s="1498" t="inlineStr">
        <is>
          <t>Cruz das Almas</t>
        </is>
      </c>
      <c r="I526" s="1427" t="inlineStr">
        <is>
          <t>.</t>
        </is>
      </c>
      <c r="J526" s="1499" t="n">
        <v>521</v>
      </c>
      <c r="K526" s="1500">
        <f>_xlfn.XLOOKUP(cities[[#This Row],[id]],$D$5:$D$1500,E$5:E$1500,"-")</f>
        <v/>
      </c>
      <c r="L526" s="1500">
        <f>_xlfn.XLOOKUP(cities[[#This Row],[city]],ccc[city],ccc[ctry],"-")</f>
        <v/>
      </c>
      <c r="M526" s="1500">
        <f>SUMIFS(stayCity[stay],stayCity[city],cities[[#This Row],[city]])</f>
        <v/>
      </c>
      <c r="N526" s="1427">
        <f>N525+1</f>
        <v/>
      </c>
      <c r="O526" s="1500" t="n"/>
      <c r="P526" s="1500" t="n"/>
      <c r="Q526" s="1427" t="inlineStr">
        <is>
          <t>.</t>
        </is>
      </c>
      <c r="R526" s="1491" t="n"/>
      <c r="S526" s="1491" t="n"/>
      <c r="T526" s="1491" t="n"/>
      <c r="U526" s="1491" t="n"/>
      <c r="V526" s="1491" t="n"/>
      <c r="W526" s="1491" t="n"/>
      <c r="X526" s="1491" t="n"/>
      <c r="Y526" s="1491" t="n"/>
      <c r="Z526" s="1491" t="n"/>
      <c r="AA526" s="1491" t="n"/>
      <c r="AB526" s="1491" t="n"/>
      <c r="AC526" s="1491" t="n"/>
      <c r="AD526" s="1491" t="n"/>
      <c r="AE526" s="1491" t="n"/>
      <c r="AF526" s="1491" t="n"/>
      <c r="AG526" s="1491" t="n"/>
      <c r="AH526" s="1491" t="n"/>
      <c r="AI526" s="1491" t="n"/>
      <c r="AJ526" s="1491" t="n"/>
      <c r="AK526" s="1491" t="n"/>
      <c r="AL526" s="1491" t="n"/>
      <c r="AM526" s="1491" t="n"/>
      <c r="AN526" s="1491" t="n"/>
      <c r="AO526" s="1491" t="n"/>
      <c r="AP526" s="1491" t="n"/>
      <c r="AQ526" s="1491" t="n"/>
      <c r="AR526" s="1491" t="n"/>
      <c r="AS526" s="1491" t="n"/>
      <c r="AT526" s="1491" t="n"/>
      <c r="AU526" s="1491" t="n"/>
      <c r="AV526" s="1491" t="n"/>
      <c r="AW526" s="1491" t="n"/>
      <c r="AX526" s="1491" t="n"/>
      <c r="AY526" s="1491" t="n"/>
      <c r="AZ526" s="1491" t="n"/>
      <c r="BA526" s="1491" t="n"/>
      <c r="BB526" s="1491" t="n"/>
      <c r="BC526" s="1491" t="n"/>
      <c r="BD526" s="1491" t="n"/>
      <c r="BE526" s="1491" t="n"/>
      <c r="BF526" s="1491" t="n"/>
      <c r="BG526" s="1491" t="n"/>
      <c r="BH526" s="1491" t="n"/>
      <c r="BI526" s="1491" t="n"/>
      <c r="BJ526" s="1491" t="n"/>
      <c r="BK526" s="1491" t="n"/>
      <c r="BL526" s="1491" t="n"/>
      <c r="BM526" s="1491" t="n"/>
      <c r="BN526" s="1491" t="n"/>
      <c r="BO526" s="1467" t="n"/>
      <c r="BP526" s="1514" t="n">
        <v>522</v>
      </c>
      <c r="BQ526" s="1513">
        <f>[1]Sheet1!C527</f>
        <v/>
      </c>
      <c r="BR526" s="1515">
        <f>[1]Sheet1!D527</f>
        <v/>
      </c>
      <c r="BS526" s="1513">
        <f>[1]Sheet1!E527</f>
        <v/>
      </c>
      <c r="BT526" s="1515">
        <f>[1]Sheet1!F527</f>
        <v/>
      </c>
      <c r="BU526" s="1516">
        <f>[1]Sheet1!G527</f>
        <v/>
      </c>
      <c r="BV526" s="1513">
        <f>[1]Sheet1!H527</f>
        <v/>
      </c>
      <c r="BW526" s="1467" t="n"/>
      <c r="BX526" s="1491" t="n"/>
      <c r="BY526" s="1491" t="n"/>
      <c r="BZ526" s="1491" t="n"/>
      <c r="CA526" s="1491" t="n"/>
      <c r="CB526" s="1467" t="n"/>
      <c r="CC526" s="1467" t="n"/>
      <c r="CD526" s="1491" t="n"/>
      <c r="CE526" s="1491" t="n"/>
      <c r="CF526" s="1491" t="n"/>
      <c r="CG526" s="1491" t="n"/>
      <c r="CH526" s="1491" t="n"/>
      <c r="CI526" s="1491" t="n"/>
      <c r="CJ526" s="1491" t="n"/>
      <c r="CK526" s="1491" t="n"/>
      <c r="CL526" s="1491" t="n"/>
      <c r="CM526" s="1491" t="n"/>
      <c r="CN526" s="1491" t="n"/>
      <c r="CO526" s="1491" t="n"/>
      <c r="CP526" s="1491" t="n"/>
      <c r="CQ526" s="1491" t="n"/>
      <c r="CR526" s="1491" t="n"/>
      <c r="CS526" s="1491" t="n"/>
      <c r="CT526" s="1491" t="n"/>
      <c r="CU526" s="1491" t="n"/>
      <c r="CV526" s="1491" t="n"/>
      <c r="CW526" s="1491" t="n"/>
      <c r="CX526" s="1491" t="n"/>
    </row>
    <row r="527">
      <c r="A527" s="1491" t="n"/>
      <c r="B527" s="1491" t="n"/>
      <c r="C527" s="1491" t="n"/>
      <c r="D527" s="1497">
        <f>IF(E527&lt;&gt;"",D526+1,D526)</f>
        <v/>
      </c>
      <c r="E527" s="1497" t="inlineStr">
        <is>
          <t>Victoriaville</t>
        </is>
      </c>
      <c r="F527" s="1535" t="inlineStr">
        <is>
          <t>.</t>
        </is>
      </c>
      <c r="G527" s="1498">
        <f>IF(H527="AIR",0,IF(H526="AIR",G525+1,IF(H527&lt;&gt;"",G526+1,G526)))</f>
        <v/>
      </c>
      <c r="H527" s="1498" t="inlineStr">
        <is>
          <t>Newark</t>
        </is>
      </c>
      <c r="I527" s="1427" t="inlineStr">
        <is>
          <t>.</t>
        </is>
      </c>
      <c r="J527" s="1499" t="n">
        <v>522</v>
      </c>
      <c r="K527" s="1500">
        <f>_xlfn.XLOOKUP(cities[[#This Row],[id]],$D$5:$D$1500,E$5:E$1500,"-")</f>
        <v/>
      </c>
      <c r="L527" s="1500">
        <f>_xlfn.XLOOKUP(cities[[#This Row],[city]],ccc[city],ccc[ctry],"-")</f>
        <v/>
      </c>
      <c r="M527" s="1500">
        <f>SUMIFS(stayCity[stay],stayCity[city],cities[[#This Row],[city]])</f>
        <v/>
      </c>
      <c r="N527" s="1427">
        <f>N526+1</f>
        <v/>
      </c>
      <c r="O527" s="1500" t="n"/>
      <c r="P527" s="1500" t="n"/>
      <c r="Q527" s="1427" t="inlineStr">
        <is>
          <t>.</t>
        </is>
      </c>
      <c r="R527" s="1491" t="n"/>
      <c r="S527" s="1491" t="n"/>
      <c r="T527" s="1491" t="n"/>
      <c r="U527" s="1491" t="n"/>
      <c r="V527" s="1491" t="n"/>
      <c r="W527" s="1491" t="n"/>
      <c r="X527" s="1491" t="n"/>
      <c r="Y527" s="1491" t="n"/>
      <c r="Z527" s="1491" t="n"/>
      <c r="AA527" s="1491" t="n"/>
      <c r="AB527" s="1491" t="n"/>
      <c r="AC527" s="1491" t="n"/>
      <c r="AD527" s="1491" t="n"/>
      <c r="AE527" s="1491" t="n"/>
      <c r="AF527" s="1491" t="n"/>
      <c r="AG527" s="1491" t="n"/>
      <c r="AH527" s="1491" t="n"/>
      <c r="AI527" s="1491" t="n"/>
      <c r="AJ527" s="1491" t="n"/>
      <c r="AK527" s="1491" t="n"/>
      <c r="AL527" s="1491" t="n"/>
      <c r="AM527" s="1491" t="n"/>
      <c r="AN527" s="1491" t="n"/>
      <c r="AO527" s="1491" t="n"/>
      <c r="AP527" s="1491" t="n"/>
      <c r="AQ527" s="1491" t="n"/>
      <c r="AR527" s="1491" t="n"/>
      <c r="AS527" s="1491" t="n"/>
      <c r="AT527" s="1491" t="n"/>
      <c r="AU527" s="1491" t="n"/>
      <c r="AV527" s="1491" t="n"/>
      <c r="AW527" s="1491" t="n"/>
      <c r="AX527" s="1491" t="n"/>
      <c r="AY527" s="1491" t="n"/>
      <c r="AZ527" s="1491" t="n"/>
      <c r="BA527" s="1491" t="n"/>
      <c r="BB527" s="1491" t="n"/>
      <c r="BC527" s="1491" t="n"/>
      <c r="BD527" s="1491" t="n"/>
      <c r="BE527" s="1491" t="n"/>
      <c r="BF527" s="1491" t="n"/>
      <c r="BG527" s="1491" t="n"/>
      <c r="BH527" s="1491" t="n"/>
      <c r="BI527" s="1491" t="n"/>
      <c r="BJ527" s="1491" t="n"/>
      <c r="BK527" s="1491" t="n"/>
      <c r="BL527" s="1491" t="n"/>
      <c r="BM527" s="1491" t="n"/>
      <c r="BN527" s="1491" t="n"/>
      <c r="BO527" s="1467" t="n"/>
      <c r="BP527" s="1514" t="n">
        <v>523</v>
      </c>
      <c r="BQ527" s="1513">
        <f>[1]Sheet1!C528</f>
        <v/>
      </c>
      <c r="BR527" s="1515">
        <f>[1]Sheet1!D528</f>
        <v/>
      </c>
      <c r="BS527" s="1513">
        <f>[1]Sheet1!E528</f>
        <v/>
      </c>
      <c r="BT527" s="1515">
        <f>[1]Sheet1!F528</f>
        <v/>
      </c>
      <c r="BU527" s="1516">
        <f>[1]Sheet1!G528</f>
        <v/>
      </c>
      <c r="BV527" s="1513">
        <f>[1]Sheet1!H528</f>
        <v/>
      </c>
      <c r="BW527" s="1467" t="n"/>
      <c r="BX527" s="1491" t="n"/>
      <c r="BY527" s="1491" t="n"/>
      <c r="BZ527" s="1491" t="n"/>
      <c r="CA527" s="1491" t="n"/>
      <c r="CB527" s="1467" t="n"/>
      <c r="CC527" s="1467" t="n"/>
      <c r="CD527" s="1491" t="n"/>
      <c r="CE527" s="1491" t="n"/>
      <c r="CF527" s="1491" t="n"/>
      <c r="CG527" s="1491" t="n"/>
      <c r="CH527" s="1491" t="n"/>
      <c r="CI527" s="1491" t="n"/>
      <c r="CJ527" s="1491" t="n"/>
      <c r="CK527" s="1491" t="n"/>
      <c r="CL527" s="1491" t="n"/>
      <c r="CM527" s="1491" t="n"/>
      <c r="CN527" s="1491" t="n"/>
      <c r="CO527" s="1491" t="n"/>
      <c r="CP527" s="1491" t="n"/>
      <c r="CQ527" s="1491" t="n"/>
      <c r="CR527" s="1491" t="n"/>
      <c r="CS527" s="1491" t="n"/>
      <c r="CT527" s="1491" t="n"/>
      <c r="CU527" s="1491" t="n"/>
      <c r="CV527" s="1491" t="n"/>
      <c r="CW527" s="1491" t="n"/>
      <c r="CX527" s="1491" t="n"/>
    </row>
    <row r="528">
      <c r="A528" s="1491" t="n"/>
      <c r="B528" s="1491" t="n"/>
      <c r="C528" s="1491" t="n"/>
      <c r="D528" s="1497">
        <f>IF(E528&lt;&gt;"",D527+1,D527)</f>
        <v/>
      </c>
      <c r="E528" s="1497" t="inlineStr">
        <is>
          <t>Princeville</t>
        </is>
      </c>
      <c r="F528" s="1535" t="inlineStr">
        <is>
          <t>.</t>
        </is>
      </c>
      <c r="G528" s="1498">
        <f>IF(H528="AIR",0,IF(H527="AIR",G526+1,IF(H528&lt;&gt;"",G527+1,G527)))</f>
        <v/>
      </c>
      <c r="H528" s="1498" t="inlineStr">
        <is>
          <t>Gananoque</t>
        </is>
      </c>
      <c r="I528" s="1427" t="inlineStr">
        <is>
          <t>.</t>
        </is>
      </c>
      <c r="J528" s="1499" t="n">
        <v>523</v>
      </c>
      <c r="K528" s="1500">
        <f>_xlfn.XLOOKUP(cities[[#This Row],[id]],$D$5:$D$1500,E$5:E$1500,"-")</f>
        <v/>
      </c>
      <c r="L528" s="1500">
        <f>_xlfn.XLOOKUP(cities[[#This Row],[city]],ccc[city],ccc[ctry],"-")</f>
        <v/>
      </c>
      <c r="M528" s="1500">
        <f>SUMIFS(stayCity[stay],stayCity[city],cities[[#This Row],[city]])</f>
        <v/>
      </c>
      <c r="N528" s="1427">
        <f>N527+1</f>
        <v/>
      </c>
      <c r="O528" s="1500" t="n"/>
      <c r="P528" s="1500" t="n"/>
      <c r="Q528" s="1427" t="inlineStr">
        <is>
          <t>.</t>
        </is>
      </c>
      <c r="R528" s="1491" t="n"/>
      <c r="S528" s="1491" t="n"/>
      <c r="T528" s="1491" t="n"/>
      <c r="U528" s="1491" t="n"/>
      <c r="V528" s="1491" t="n"/>
      <c r="W528" s="1491" t="n"/>
      <c r="X528" s="1491" t="n"/>
      <c r="Y528" s="1491" t="n"/>
      <c r="Z528" s="1491" t="n"/>
      <c r="AA528" s="1491" t="n"/>
      <c r="AB528" s="1491" t="n"/>
      <c r="AC528" s="1491" t="n"/>
      <c r="AD528" s="1491" t="n"/>
      <c r="AE528" s="1491" t="n"/>
      <c r="AF528" s="1491" t="n"/>
      <c r="AG528" s="1491" t="n"/>
      <c r="AH528" s="1491" t="n"/>
      <c r="AI528" s="1491" t="n"/>
      <c r="AJ528" s="1491" t="n"/>
      <c r="AK528" s="1491" t="n"/>
      <c r="AL528" s="1491" t="n"/>
      <c r="AM528" s="1491" t="n"/>
      <c r="AN528" s="1491" t="n"/>
      <c r="AO528" s="1491" t="n"/>
      <c r="AP528" s="1491" t="n"/>
      <c r="AQ528" s="1491" t="n"/>
      <c r="AR528" s="1491" t="n"/>
      <c r="AS528" s="1491" t="n"/>
      <c r="AT528" s="1491" t="n"/>
      <c r="AU528" s="1491" t="n"/>
      <c r="AV528" s="1491" t="n"/>
      <c r="AW528" s="1491" t="n"/>
      <c r="AX528" s="1491" t="n"/>
      <c r="AY528" s="1491" t="n"/>
      <c r="AZ528" s="1491" t="n"/>
      <c r="BA528" s="1491" t="n"/>
      <c r="BB528" s="1491" t="n"/>
      <c r="BC528" s="1491" t="n"/>
      <c r="BD528" s="1491" t="n"/>
      <c r="BE528" s="1491" t="n"/>
      <c r="BF528" s="1491" t="n"/>
      <c r="BG528" s="1491" t="n"/>
      <c r="BH528" s="1491" t="n"/>
      <c r="BI528" s="1491" t="n"/>
      <c r="BJ528" s="1491" t="n"/>
      <c r="BK528" s="1491" t="n"/>
      <c r="BL528" s="1491" t="n"/>
      <c r="BM528" s="1491" t="n"/>
      <c r="BN528" s="1491" t="n"/>
      <c r="BO528" s="1467" t="n"/>
      <c r="BP528" s="1514" t="n">
        <v>524</v>
      </c>
      <c r="BQ528" s="1513">
        <f>[1]Sheet1!C529</f>
        <v/>
      </c>
      <c r="BR528" s="1515">
        <f>[1]Sheet1!D529</f>
        <v/>
      </c>
      <c r="BS528" s="1513">
        <f>[1]Sheet1!E529</f>
        <v/>
      </c>
      <c r="BT528" s="1515">
        <f>[1]Sheet1!F529</f>
        <v/>
      </c>
      <c r="BU528" s="1516">
        <f>[1]Sheet1!G529</f>
        <v/>
      </c>
      <c r="BV528" s="1513">
        <f>[1]Sheet1!H529</f>
        <v/>
      </c>
      <c r="BW528" s="1467" t="n"/>
      <c r="BX528" s="1491" t="n"/>
      <c r="BY528" s="1491" t="n"/>
      <c r="BZ528" s="1491" t="n"/>
      <c r="CA528" s="1491" t="n"/>
      <c r="CB528" s="1467" t="n"/>
      <c r="CC528" s="1467" t="n"/>
      <c r="CD528" s="1491" t="n"/>
      <c r="CE528" s="1491" t="n"/>
      <c r="CF528" s="1491" t="n"/>
      <c r="CG528" s="1491" t="n"/>
      <c r="CH528" s="1491" t="n"/>
      <c r="CI528" s="1491" t="n"/>
      <c r="CJ528" s="1491" t="n"/>
      <c r="CK528" s="1491" t="n"/>
      <c r="CL528" s="1491" t="n"/>
      <c r="CM528" s="1491" t="n"/>
      <c r="CN528" s="1491" t="n"/>
      <c r="CO528" s="1491" t="n"/>
      <c r="CP528" s="1491" t="n"/>
      <c r="CQ528" s="1491" t="n"/>
      <c r="CR528" s="1491" t="n"/>
      <c r="CS528" s="1491" t="n"/>
      <c r="CT528" s="1491" t="n"/>
      <c r="CU528" s="1491" t="n"/>
      <c r="CV528" s="1491" t="n"/>
      <c r="CW528" s="1491" t="n"/>
      <c r="CX528" s="1491" t="n"/>
    </row>
    <row r="529">
      <c r="A529" s="1491" t="n"/>
      <c r="B529" s="1491" t="n"/>
      <c r="C529" s="1491" t="n"/>
      <c r="D529" s="1497">
        <f>IF(E529&lt;&gt;"",D528+1,D528)</f>
        <v/>
      </c>
      <c r="E529" s="1497" t="inlineStr">
        <is>
          <t>Lyster</t>
        </is>
      </c>
      <c r="F529" s="1535" t="inlineStr">
        <is>
          <t>.</t>
        </is>
      </c>
      <c r="G529" s="1498">
        <f>IF(H529="AIR",0,IF(H528="AIR",G527+1,IF(H529&lt;&gt;"",G528+1,G528)))</f>
        <v/>
      </c>
      <c r="H529" s="1498" t="inlineStr">
        <is>
          <t>Niagara Falls</t>
        </is>
      </c>
      <c r="I529" s="1427" t="inlineStr">
        <is>
          <t>.</t>
        </is>
      </c>
      <c r="J529" s="1499" t="n">
        <v>524</v>
      </c>
      <c r="K529" s="1500">
        <f>_xlfn.XLOOKUP(cities[[#This Row],[id]],$D$5:$D$1500,E$5:E$1500,"-")</f>
        <v/>
      </c>
      <c r="L529" s="1500">
        <f>_xlfn.XLOOKUP(cities[[#This Row],[city]],ccc[city],ccc[ctry],"-")</f>
        <v/>
      </c>
      <c r="M529" s="1500">
        <f>SUMIFS(stayCity[stay],stayCity[city],cities[[#This Row],[city]])</f>
        <v/>
      </c>
      <c r="N529" s="1427">
        <f>N528+1</f>
        <v/>
      </c>
      <c r="O529" s="1500" t="n"/>
      <c r="P529" s="1500" t="n"/>
      <c r="Q529" s="1427" t="inlineStr">
        <is>
          <t>.</t>
        </is>
      </c>
      <c r="R529" s="1491" t="n"/>
      <c r="S529" s="1491" t="n"/>
      <c r="T529" s="1491" t="n"/>
      <c r="U529" s="1491" t="n"/>
      <c r="V529" s="1491" t="n"/>
      <c r="W529" s="1491" t="n"/>
      <c r="X529" s="1491" t="n"/>
      <c r="Y529" s="1491" t="n"/>
      <c r="Z529" s="1491" t="n"/>
      <c r="AA529" s="1491" t="n"/>
      <c r="AB529" s="1491" t="n"/>
      <c r="AC529" s="1491" t="n"/>
      <c r="AD529" s="1491" t="n"/>
      <c r="AE529" s="1491" t="n"/>
      <c r="AF529" s="1491" t="n"/>
      <c r="AG529" s="1491" t="n"/>
      <c r="AH529" s="1491" t="n"/>
      <c r="AI529" s="1491" t="n"/>
      <c r="AJ529" s="1491" t="n"/>
      <c r="AK529" s="1491" t="n"/>
      <c r="AL529" s="1491" t="n"/>
      <c r="AM529" s="1491" t="n"/>
      <c r="AN529" s="1491" t="n"/>
      <c r="AO529" s="1491" t="n"/>
      <c r="AP529" s="1491" t="n"/>
      <c r="AQ529" s="1491" t="n"/>
      <c r="AR529" s="1491" t="n"/>
      <c r="AS529" s="1491" t="n"/>
      <c r="AT529" s="1491" t="n"/>
      <c r="AU529" s="1491" t="n"/>
      <c r="AV529" s="1491" t="n"/>
      <c r="AW529" s="1491" t="n"/>
      <c r="AX529" s="1491" t="n"/>
      <c r="AY529" s="1491" t="n"/>
      <c r="AZ529" s="1491" t="n"/>
      <c r="BA529" s="1491" t="n"/>
      <c r="BB529" s="1491" t="n"/>
      <c r="BC529" s="1491" t="n"/>
      <c r="BD529" s="1491" t="n"/>
      <c r="BE529" s="1491" t="n"/>
      <c r="BF529" s="1491" t="n"/>
      <c r="BG529" s="1491" t="n"/>
      <c r="BH529" s="1491" t="n"/>
      <c r="BI529" s="1491" t="n"/>
      <c r="BJ529" s="1491" t="n"/>
      <c r="BK529" s="1491" t="n"/>
      <c r="BL529" s="1491" t="n"/>
      <c r="BM529" s="1491" t="n"/>
      <c r="BN529" s="1491" t="n"/>
      <c r="BO529" s="1467" t="n"/>
      <c r="BP529" s="1514" t="n">
        <v>525</v>
      </c>
      <c r="BQ529" s="1513">
        <f>[1]Sheet1!C530</f>
        <v/>
      </c>
      <c r="BR529" s="1515">
        <f>[1]Sheet1!D530</f>
        <v/>
      </c>
      <c r="BS529" s="1513">
        <f>[1]Sheet1!E530</f>
        <v/>
      </c>
      <c r="BT529" s="1515">
        <f>[1]Sheet1!F530</f>
        <v/>
      </c>
      <c r="BU529" s="1516">
        <f>[1]Sheet1!G530</f>
        <v/>
      </c>
      <c r="BV529" s="1513">
        <f>[1]Sheet1!H530</f>
        <v/>
      </c>
      <c r="BW529" s="1467" t="n"/>
      <c r="BX529" s="1491" t="n"/>
      <c r="BY529" s="1491" t="n"/>
      <c r="BZ529" s="1491" t="n"/>
      <c r="CA529" s="1491" t="n"/>
      <c r="CB529" s="1467" t="n"/>
      <c r="CC529" s="1467" t="n"/>
      <c r="CD529" s="1491" t="n"/>
      <c r="CE529" s="1491" t="n"/>
      <c r="CF529" s="1491" t="n"/>
      <c r="CG529" s="1491" t="n"/>
      <c r="CH529" s="1491" t="n"/>
      <c r="CI529" s="1491" t="n"/>
      <c r="CJ529" s="1491" t="n"/>
      <c r="CK529" s="1491" t="n"/>
      <c r="CL529" s="1491" t="n"/>
      <c r="CM529" s="1491" t="n"/>
      <c r="CN529" s="1491" t="n"/>
      <c r="CO529" s="1491" t="n"/>
      <c r="CP529" s="1491" t="n"/>
      <c r="CQ529" s="1491" t="n"/>
      <c r="CR529" s="1491" t="n"/>
      <c r="CS529" s="1491" t="n"/>
      <c r="CT529" s="1491" t="n"/>
      <c r="CU529" s="1491" t="n"/>
      <c r="CV529" s="1491" t="n"/>
      <c r="CW529" s="1491" t="n"/>
      <c r="CX529" s="1491" t="n"/>
    </row>
    <row r="530">
      <c r="A530" s="1491" t="n"/>
      <c r="B530" s="1491" t="n"/>
      <c r="C530" s="1491" t="n"/>
      <c r="D530" s="1497">
        <f>IF(E530&lt;&gt;"",D529+1,D529)</f>
        <v/>
      </c>
      <c r="E530" s="1497" t="inlineStr">
        <is>
          <t>Bois des Filion</t>
        </is>
      </c>
      <c r="F530" s="1535" t="inlineStr">
        <is>
          <t>.</t>
        </is>
      </c>
      <c r="G530" s="1498">
        <f>IF(H530="AIR",0,IF(H529="AIR",G528+1,IF(H530&lt;&gt;"",G529+1,G529)))</f>
        <v/>
      </c>
      <c r="H530" s="1498" t="inlineStr">
        <is>
          <t>Carignan</t>
        </is>
      </c>
      <c r="I530" s="1427" t="inlineStr">
        <is>
          <t>.</t>
        </is>
      </c>
      <c r="J530" s="1499" t="n">
        <v>525</v>
      </c>
      <c r="K530" s="1500">
        <f>_xlfn.XLOOKUP(cities[[#This Row],[id]],$D$5:$D$1500,E$5:E$1500,"-")</f>
        <v/>
      </c>
      <c r="L530" s="1500">
        <f>_xlfn.XLOOKUP(cities[[#This Row],[city]],ccc[city],ccc[ctry],"-")</f>
        <v/>
      </c>
      <c r="M530" s="1500">
        <f>SUMIFS(stayCity[stay],stayCity[city],cities[[#This Row],[city]])</f>
        <v/>
      </c>
      <c r="N530" s="1427">
        <f>N529+1</f>
        <v/>
      </c>
      <c r="O530" s="1500" t="n"/>
      <c r="P530" s="1500" t="n"/>
      <c r="Q530" s="1427" t="inlineStr">
        <is>
          <t>.</t>
        </is>
      </c>
      <c r="R530" s="1491" t="n"/>
      <c r="S530" s="1491" t="n"/>
      <c r="T530" s="1491" t="n"/>
      <c r="U530" s="1491" t="n"/>
      <c r="V530" s="1491" t="n"/>
      <c r="W530" s="1491" t="n"/>
      <c r="X530" s="1491" t="n"/>
      <c r="Y530" s="1491" t="n"/>
      <c r="Z530" s="1491" t="n"/>
      <c r="AA530" s="1491" t="n"/>
      <c r="AB530" s="1491" t="n"/>
      <c r="AC530" s="1491" t="n"/>
      <c r="AD530" s="1491" t="n"/>
      <c r="AE530" s="1491" t="n"/>
      <c r="AF530" s="1491" t="n"/>
      <c r="AG530" s="1491" t="n"/>
      <c r="AH530" s="1491" t="n"/>
      <c r="AI530" s="1491" t="n"/>
      <c r="AJ530" s="1491" t="n"/>
      <c r="AK530" s="1491" t="n"/>
      <c r="AL530" s="1491" t="n"/>
      <c r="AM530" s="1491" t="n"/>
      <c r="AN530" s="1491" t="n"/>
      <c r="AO530" s="1491" t="n"/>
      <c r="AP530" s="1491" t="n"/>
      <c r="AQ530" s="1491" t="n"/>
      <c r="AR530" s="1491" t="n"/>
      <c r="AS530" s="1491" t="n"/>
      <c r="AT530" s="1491" t="n"/>
      <c r="AU530" s="1491" t="n"/>
      <c r="AV530" s="1491" t="n"/>
      <c r="AW530" s="1491" t="n"/>
      <c r="AX530" s="1491" t="n"/>
      <c r="AY530" s="1491" t="n"/>
      <c r="AZ530" s="1491" t="n"/>
      <c r="BA530" s="1491" t="n"/>
      <c r="BB530" s="1491" t="n"/>
      <c r="BC530" s="1491" t="n"/>
      <c r="BD530" s="1491" t="n"/>
      <c r="BE530" s="1491" t="n"/>
      <c r="BF530" s="1491" t="n"/>
      <c r="BG530" s="1491" t="n"/>
      <c r="BH530" s="1491" t="n"/>
      <c r="BI530" s="1491" t="n"/>
      <c r="BJ530" s="1491" t="n"/>
      <c r="BK530" s="1491" t="n"/>
      <c r="BL530" s="1491" t="n"/>
      <c r="BM530" s="1491" t="n"/>
      <c r="BN530" s="1491" t="n"/>
      <c r="BO530" s="1467" t="n"/>
      <c r="BP530" s="1514" t="n">
        <v>526</v>
      </c>
      <c r="BQ530" s="1513">
        <f>[1]Sheet1!C531</f>
        <v/>
      </c>
      <c r="BR530" s="1515">
        <f>[1]Sheet1!D531</f>
        <v/>
      </c>
      <c r="BS530" s="1513">
        <f>[1]Sheet1!E531</f>
        <v/>
      </c>
      <c r="BT530" s="1515">
        <f>[1]Sheet1!F531</f>
        <v/>
      </c>
      <c r="BU530" s="1516">
        <f>[1]Sheet1!G531</f>
        <v/>
      </c>
      <c r="BV530" s="1513">
        <f>[1]Sheet1!H531</f>
        <v/>
      </c>
      <c r="BW530" s="1467" t="n"/>
      <c r="BX530" s="1491" t="n"/>
      <c r="BY530" s="1491" t="n"/>
      <c r="BZ530" s="1491" t="n"/>
      <c r="CA530" s="1491" t="n"/>
      <c r="CB530" s="1467" t="n"/>
      <c r="CC530" s="1467" t="n"/>
      <c r="CD530" s="1491" t="n"/>
      <c r="CE530" s="1491" t="n"/>
      <c r="CF530" s="1491" t="n"/>
      <c r="CG530" s="1491" t="n"/>
      <c r="CH530" s="1491" t="n"/>
      <c r="CI530" s="1491" t="n"/>
      <c r="CJ530" s="1491" t="n"/>
      <c r="CK530" s="1491" t="n"/>
      <c r="CL530" s="1491" t="n"/>
      <c r="CM530" s="1491" t="n"/>
      <c r="CN530" s="1491" t="n"/>
      <c r="CO530" s="1491" t="n"/>
      <c r="CP530" s="1491" t="n"/>
      <c r="CQ530" s="1491" t="n"/>
      <c r="CR530" s="1491" t="n"/>
      <c r="CS530" s="1491" t="n"/>
      <c r="CT530" s="1491" t="n"/>
      <c r="CU530" s="1491" t="n"/>
      <c r="CV530" s="1491" t="n"/>
      <c r="CW530" s="1491" t="n"/>
      <c r="CX530" s="1491" t="n"/>
    </row>
    <row r="531">
      <c r="A531" s="1491" t="n"/>
      <c r="B531" s="1491" t="n"/>
      <c r="C531" s="1491" t="n"/>
      <c r="D531" s="1497">
        <f>IF(E531&lt;&gt;"",D530+1,D530)</f>
        <v/>
      </c>
      <c r="E531" s="1497" t="inlineStr">
        <is>
          <t>Saint Jerome</t>
        </is>
      </c>
      <c r="F531" s="1535" t="inlineStr">
        <is>
          <t>.</t>
        </is>
      </c>
      <c r="G531" s="1498">
        <f>IF(H531="AIR",0,IF(H530="AIR",G529+1,IF(H531&lt;&gt;"",G530+1,G530)))</f>
        <v/>
      </c>
      <c r="H531" s="1498" t="inlineStr">
        <is>
          <t>Chicago</t>
        </is>
      </c>
      <c r="I531" s="1427" t="inlineStr">
        <is>
          <t>.</t>
        </is>
      </c>
      <c r="J531" s="1499" t="n">
        <v>526</v>
      </c>
      <c r="K531" s="1500">
        <f>_xlfn.XLOOKUP(cities[[#This Row],[id]],$D$5:$D$1500,E$5:E$1500,"-")</f>
        <v/>
      </c>
      <c r="L531" s="1500">
        <f>_xlfn.XLOOKUP(cities[[#This Row],[city]],ccc[city],ccc[ctry],"-")</f>
        <v/>
      </c>
      <c r="M531" s="1500">
        <f>SUMIFS(stayCity[stay],stayCity[city],cities[[#This Row],[city]])</f>
        <v/>
      </c>
      <c r="N531" s="1427">
        <f>N530+1</f>
        <v/>
      </c>
      <c r="O531" s="1500" t="n"/>
      <c r="P531" s="1500" t="n"/>
      <c r="Q531" s="1427" t="inlineStr">
        <is>
          <t>.</t>
        </is>
      </c>
      <c r="R531" s="1491" t="n"/>
      <c r="S531" s="1491" t="n"/>
      <c r="T531" s="1491" t="n"/>
      <c r="U531" s="1491" t="n"/>
      <c r="V531" s="1491" t="n"/>
      <c r="W531" s="1491" t="n"/>
      <c r="X531" s="1491" t="n"/>
      <c r="Y531" s="1491" t="n"/>
      <c r="Z531" s="1491" t="n"/>
      <c r="AA531" s="1491" t="n"/>
      <c r="AB531" s="1491" t="n"/>
      <c r="AC531" s="1491" t="n"/>
      <c r="AD531" s="1491" t="n"/>
      <c r="AE531" s="1491" t="n"/>
      <c r="AF531" s="1491" t="n"/>
      <c r="AG531" s="1491" t="n"/>
      <c r="AH531" s="1491" t="n"/>
      <c r="AI531" s="1491" t="n"/>
      <c r="AJ531" s="1491" t="n"/>
      <c r="AK531" s="1491" t="n"/>
      <c r="AL531" s="1491" t="n"/>
      <c r="AM531" s="1491" t="n"/>
      <c r="AN531" s="1491" t="n"/>
      <c r="AO531" s="1491" t="n"/>
      <c r="AP531" s="1491" t="n"/>
      <c r="AQ531" s="1491" t="n"/>
      <c r="AR531" s="1491" t="n"/>
      <c r="AS531" s="1491" t="n"/>
      <c r="AT531" s="1491" t="n"/>
      <c r="AU531" s="1491" t="n"/>
      <c r="AV531" s="1491" t="n"/>
      <c r="AW531" s="1491" t="n"/>
      <c r="AX531" s="1491" t="n"/>
      <c r="AY531" s="1491" t="n"/>
      <c r="AZ531" s="1491" t="n"/>
      <c r="BA531" s="1491" t="n"/>
      <c r="BB531" s="1491" t="n"/>
      <c r="BC531" s="1491" t="n"/>
      <c r="BD531" s="1491" t="n"/>
      <c r="BE531" s="1491" t="n"/>
      <c r="BF531" s="1491" t="n"/>
      <c r="BG531" s="1491" t="n"/>
      <c r="BH531" s="1491" t="n"/>
      <c r="BI531" s="1491" t="n"/>
      <c r="BJ531" s="1491" t="n"/>
      <c r="BK531" s="1491" t="n"/>
      <c r="BL531" s="1491" t="n"/>
      <c r="BM531" s="1491" t="n"/>
      <c r="BN531" s="1491" t="n"/>
      <c r="BO531" s="1467" t="n"/>
      <c r="BP531" s="1514" t="n">
        <v>527</v>
      </c>
      <c r="BQ531" s="1513">
        <f>[1]Sheet1!C532</f>
        <v/>
      </c>
      <c r="BR531" s="1515">
        <f>[1]Sheet1!D532</f>
        <v/>
      </c>
      <c r="BS531" s="1513">
        <f>[1]Sheet1!E532</f>
        <v/>
      </c>
      <c r="BT531" s="1515">
        <f>[1]Sheet1!F532</f>
        <v/>
      </c>
      <c r="BU531" s="1516">
        <f>[1]Sheet1!G532</f>
        <v/>
      </c>
      <c r="BV531" s="1513">
        <f>[1]Sheet1!H532</f>
        <v/>
      </c>
      <c r="BW531" s="1467" t="n"/>
      <c r="BX531" s="1491" t="n"/>
      <c r="BY531" s="1491" t="n"/>
      <c r="BZ531" s="1491" t="n"/>
      <c r="CA531" s="1491" t="n"/>
      <c r="CB531" s="1467" t="n"/>
      <c r="CC531" s="1467" t="n"/>
      <c r="CD531" s="1491" t="n"/>
      <c r="CE531" s="1491" t="n"/>
      <c r="CF531" s="1491" t="n"/>
      <c r="CG531" s="1491" t="n"/>
      <c r="CH531" s="1491" t="n"/>
      <c r="CI531" s="1491" t="n"/>
      <c r="CJ531" s="1491" t="n"/>
      <c r="CK531" s="1491" t="n"/>
      <c r="CL531" s="1491" t="n"/>
      <c r="CM531" s="1491" t="n"/>
      <c r="CN531" s="1491" t="n"/>
      <c r="CO531" s="1491" t="n"/>
      <c r="CP531" s="1491" t="n"/>
      <c r="CQ531" s="1491" t="n"/>
      <c r="CR531" s="1491" t="n"/>
      <c r="CS531" s="1491" t="n"/>
      <c r="CT531" s="1491" t="n"/>
      <c r="CU531" s="1491" t="n"/>
      <c r="CV531" s="1491" t="n"/>
      <c r="CW531" s="1491" t="n"/>
      <c r="CX531" s="1491" t="n"/>
    </row>
    <row r="532">
      <c r="A532" s="1491" t="n"/>
      <c r="B532" s="1491" t="n"/>
      <c r="C532" s="1491" t="n"/>
      <c r="D532" s="1497">
        <f>IF(E532&lt;&gt;"",D531+1,D531)</f>
        <v/>
      </c>
      <c r="E532" s="1497" t="inlineStr">
        <is>
          <t>Saint Anne des Plaines</t>
        </is>
      </c>
      <c r="F532" s="1535" t="inlineStr">
        <is>
          <t>.</t>
        </is>
      </c>
      <c r="G532" s="1498">
        <f>IF(H532="AIR",0,IF(H531="AIR",G530+1,IF(H532&lt;&gt;"",G531+1,G531)))</f>
        <v/>
      </c>
      <c r="H532" s="1498" t="inlineStr">
        <is>
          <t>Chambly</t>
        </is>
      </c>
      <c r="I532" s="1427" t="inlineStr">
        <is>
          <t>.</t>
        </is>
      </c>
      <c r="J532" s="1499" t="n">
        <v>527</v>
      </c>
      <c r="K532" s="1500">
        <f>_xlfn.XLOOKUP(cities[[#This Row],[id]],$D$5:$D$1500,E$5:E$1500,"-")</f>
        <v/>
      </c>
      <c r="L532" s="1500">
        <f>_xlfn.XLOOKUP(cities[[#This Row],[city]],ccc[city],ccc[ctry],"-")</f>
        <v/>
      </c>
      <c r="M532" s="1500">
        <f>SUMIFS(stayCity[stay],stayCity[city],cities[[#This Row],[city]])</f>
        <v/>
      </c>
      <c r="N532" s="1427">
        <f>N531+1</f>
        <v/>
      </c>
      <c r="O532" s="1500" t="n"/>
      <c r="P532" s="1500" t="n"/>
      <c r="Q532" s="1427" t="inlineStr">
        <is>
          <t>.</t>
        </is>
      </c>
      <c r="R532" s="1491" t="n"/>
      <c r="S532" s="1491" t="n"/>
      <c r="T532" s="1491" t="n"/>
      <c r="U532" s="1491" t="n"/>
      <c r="V532" s="1491" t="n"/>
      <c r="W532" s="1491" t="n"/>
      <c r="X532" s="1491" t="n"/>
      <c r="Y532" s="1491" t="n"/>
      <c r="Z532" s="1491" t="n"/>
      <c r="AA532" s="1491" t="n"/>
      <c r="AB532" s="1491" t="n"/>
      <c r="AC532" s="1491" t="n"/>
      <c r="AD532" s="1491" t="n"/>
      <c r="AE532" s="1491" t="n"/>
      <c r="AF532" s="1491" t="n"/>
      <c r="AG532" s="1491" t="n"/>
      <c r="AH532" s="1491" t="n"/>
      <c r="AI532" s="1491" t="n"/>
      <c r="AJ532" s="1491" t="n"/>
      <c r="AK532" s="1491" t="n"/>
      <c r="AL532" s="1491" t="n"/>
      <c r="AM532" s="1491" t="n"/>
      <c r="AN532" s="1491" t="n"/>
      <c r="AO532" s="1491" t="n"/>
      <c r="AP532" s="1491" t="n"/>
      <c r="AQ532" s="1491" t="n"/>
      <c r="AR532" s="1491" t="n"/>
      <c r="AS532" s="1491" t="n"/>
      <c r="AT532" s="1491" t="n"/>
      <c r="AU532" s="1491" t="n"/>
      <c r="AV532" s="1491" t="n"/>
      <c r="AW532" s="1491" t="n"/>
      <c r="AX532" s="1491" t="n"/>
      <c r="AY532" s="1491" t="n"/>
      <c r="AZ532" s="1491" t="n"/>
      <c r="BA532" s="1491" t="n"/>
      <c r="BB532" s="1491" t="n"/>
      <c r="BC532" s="1491" t="n"/>
      <c r="BD532" s="1491" t="n"/>
      <c r="BE532" s="1491" t="n"/>
      <c r="BF532" s="1491" t="n"/>
      <c r="BG532" s="1491" t="n"/>
      <c r="BH532" s="1491" t="n"/>
      <c r="BI532" s="1491" t="n"/>
      <c r="BJ532" s="1491" t="n"/>
      <c r="BK532" s="1491" t="n"/>
      <c r="BL532" s="1491" t="n"/>
      <c r="BM532" s="1491" t="n"/>
      <c r="BN532" s="1491" t="n"/>
      <c r="BO532" s="1467" t="n"/>
      <c r="BP532" s="1514" t="n">
        <v>528</v>
      </c>
      <c r="BQ532" s="1513">
        <f>[1]Sheet1!C533</f>
        <v/>
      </c>
      <c r="BR532" s="1515">
        <f>[1]Sheet1!D533</f>
        <v/>
      </c>
      <c r="BS532" s="1513">
        <f>[1]Sheet1!E533</f>
        <v/>
      </c>
      <c r="BT532" s="1515">
        <f>[1]Sheet1!F533</f>
        <v/>
      </c>
      <c r="BU532" s="1516">
        <f>[1]Sheet1!G533</f>
        <v/>
      </c>
      <c r="BV532" s="1513">
        <f>[1]Sheet1!H533</f>
        <v/>
      </c>
      <c r="BW532" s="1467" t="n"/>
      <c r="BX532" s="1491" t="n"/>
      <c r="BY532" s="1491" t="n"/>
      <c r="BZ532" s="1491" t="n"/>
      <c r="CA532" s="1491" t="n"/>
      <c r="CB532" s="1467" t="n"/>
      <c r="CC532" s="1467" t="n"/>
      <c r="CD532" s="1491" t="n"/>
      <c r="CE532" s="1491" t="n"/>
      <c r="CF532" s="1491" t="n"/>
      <c r="CG532" s="1491" t="n"/>
      <c r="CH532" s="1491" t="n"/>
      <c r="CI532" s="1491" t="n"/>
      <c r="CJ532" s="1491" t="n"/>
      <c r="CK532" s="1491" t="n"/>
      <c r="CL532" s="1491" t="n"/>
      <c r="CM532" s="1491" t="n"/>
      <c r="CN532" s="1491" t="n"/>
      <c r="CO532" s="1491" t="n"/>
      <c r="CP532" s="1491" t="n"/>
      <c r="CQ532" s="1491" t="n"/>
      <c r="CR532" s="1491" t="n"/>
      <c r="CS532" s="1491" t="n"/>
      <c r="CT532" s="1491" t="n"/>
      <c r="CU532" s="1491" t="n"/>
      <c r="CV532" s="1491" t="n"/>
      <c r="CW532" s="1491" t="n"/>
      <c r="CX532" s="1491" t="n"/>
    </row>
    <row r="533">
      <c r="A533" s="1491" t="n"/>
      <c r="B533" s="1491" t="n"/>
      <c r="C533" s="1491" t="n"/>
      <c r="D533" s="1497">
        <f>IF(E533&lt;&gt;"",D532+1,D532)</f>
        <v/>
      </c>
      <c r="E533" s="1497" t="inlineStr">
        <is>
          <t>Terrebonne</t>
        </is>
      </c>
      <c r="F533" s="1535" t="inlineStr">
        <is>
          <t>.</t>
        </is>
      </c>
      <c r="G533" s="1498">
        <f>IF(H533="AIR",0,IF(H532="AIR",G531+1,IF(H533&lt;&gt;"",G532+1,G532)))</f>
        <v/>
      </c>
      <c r="H533" s="1498" t="inlineStr">
        <is>
          <t>Roxton Falls</t>
        </is>
      </c>
      <c r="I533" s="1427" t="inlineStr">
        <is>
          <t>.</t>
        </is>
      </c>
      <c r="J533" s="1499" t="n">
        <v>528</v>
      </c>
      <c r="K533" s="1500">
        <f>_xlfn.XLOOKUP(cities[[#This Row],[id]],$D$5:$D$1500,E$5:E$1500,"-")</f>
        <v/>
      </c>
      <c r="L533" s="1500">
        <f>_xlfn.XLOOKUP(cities[[#This Row],[city]],ccc[city],ccc[ctry],"-")</f>
        <v/>
      </c>
      <c r="M533" s="1500">
        <f>SUMIFS(stayCity[stay],stayCity[city],cities[[#This Row],[city]])</f>
        <v/>
      </c>
      <c r="N533" s="1427">
        <f>N532+1</f>
        <v/>
      </c>
      <c r="O533" s="1500" t="n"/>
      <c r="P533" s="1500" t="n"/>
      <c r="Q533" s="1427" t="inlineStr">
        <is>
          <t>.</t>
        </is>
      </c>
      <c r="R533" s="1491" t="n"/>
      <c r="S533" s="1491" t="n"/>
      <c r="T533" s="1491" t="n"/>
      <c r="U533" s="1491" t="n"/>
      <c r="V533" s="1491" t="n"/>
      <c r="W533" s="1491" t="n"/>
      <c r="X533" s="1491" t="n"/>
      <c r="Y533" s="1491" t="n"/>
      <c r="Z533" s="1491" t="n"/>
      <c r="AA533" s="1491" t="n"/>
      <c r="AB533" s="1491" t="n"/>
      <c r="AC533" s="1491" t="n"/>
      <c r="AD533" s="1491" t="n"/>
      <c r="AE533" s="1491" t="n"/>
      <c r="AF533" s="1491" t="n"/>
      <c r="AG533" s="1491" t="n"/>
      <c r="AH533" s="1491" t="n"/>
      <c r="AI533" s="1491" t="n"/>
      <c r="AJ533" s="1491" t="n"/>
      <c r="AK533" s="1491" t="n"/>
      <c r="AL533" s="1491" t="n"/>
      <c r="AM533" s="1491" t="n"/>
      <c r="AN533" s="1491" t="n"/>
      <c r="AO533" s="1491" t="n"/>
      <c r="AP533" s="1491" t="n"/>
      <c r="AQ533" s="1491" t="n"/>
      <c r="AR533" s="1491" t="n"/>
      <c r="AS533" s="1491" t="n"/>
      <c r="AT533" s="1491" t="n"/>
      <c r="AU533" s="1491" t="n"/>
      <c r="AV533" s="1491" t="n"/>
      <c r="AW533" s="1491" t="n"/>
      <c r="AX533" s="1491" t="n"/>
      <c r="AY533" s="1491" t="n"/>
      <c r="AZ533" s="1491" t="n"/>
      <c r="BA533" s="1491" t="n"/>
      <c r="BB533" s="1491" t="n"/>
      <c r="BC533" s="1491" t="n"/>
      <c r="BD533" s="1491" t="n"/>
      <c r="BE533" s="1491" t="n"/>
      <c r="BF533" s="1491" t="n"/>
      <c r="BG533" s="1491" t="n"/>
      <c r="BH533" s="1491" t="n"/>
      <c r="BI533" s="1491" t="n"/>
      <c r="BJ533" s="1491" t="n"/>
      <c r="BK533" s="1491" t="n"/>
      <c r="BL533" s="1491" t="n"/>
      <c r="BM533" s="1491" t="n"/>
      <c r="BN533" s="1491" t="n"/>
      <c r="BO533" s="1467" t="n"/>
      <c r="BP533" s="1514" t="n">
        <v>529</v>
      </c>
      <c r="BQ533" s="1513">
        <f>[1]Sheet1!C534</f>
        <v/>
      </c>
      <c r="BR533" s="1515">
        <f>[1]Sheet1!D534</f>
        <v/>
      </c>
      <c r="BS533" s="1513">
        <f>[1]Sheet1!E534</f>
        <v/>
      </c>
      <c r="BT533" s="1515">
        <f>[1]Sheet1!F534</f>
        <v/>
      </c>
      <c r="BU533" s="1516">
        <f>[1]Sheet1!G534</f>
        <v/>
      </c>
      <c r="BV533" s="1513">
        <f>[1]Sheet1!H534</f>
        <v/>
      </c>
      <c r="BW533" s="1467" t="n"/>
      <c r="BX533" s="1491" t="n"/>
      <c r="BY533" s="1491" t="n"/>
      <c r="BZ533" s="1491" t="n"/>
      <c r="CA533" s="1491" t="n"/>
      <c r="CB533" s="1467" t="n"/>
      <c r="CC533" s="1467" t="n"/>
      <c r="CD533" s="1491" t="n"/>
      <c r="CE533" s="1491" t="n"/>
      <c r="CF533" s="1491" t="n"/>
      <c r="CG533" s="1491" t="n"/>
      <c r="CH533" s="1491" t="n"/>
      <c r="CI533" s="1491" t="n"/>
      <c r="CJ533" s="1491" t="n"/>
      <c r="CK533" s="1491" t="n"/>
      <c r="CL533" s="1491" t="n"/>
      <c r="CM533" s="1491" t="n"/>
      <c r="CN533" s="1491" t="n"/>
      <c r="CO533" s="1491" t="n"/>
      <c r="CP533" s="1491" t="n"/>
      <c r="CQ533" s="1491" t="n"/>
      <c r="CR533" s="1491" t="n"/>
      <c r="CS533" s="1491" t="n"/>
      <c r="CT533" s="1491" t="n"/>
      <c r="CU533" s="1491" t="n"/>
      <c r="CV533" s="1491" t="n"/>
      <c r="CW533" s="1491" t="n"/>
      <c r="CX533" s="1491" t="n"/>
    </row>
    <row r="534">
      <c r="A534" s="1491" t="n"/>
      <c r="B534" s="1491" t="n"/>
      <c r="C534" s="1491" t="n"/>
      <c r="D534" s="1497">
        <f>IF(E534&lt;&gt;"",D533+1,D533)</f>
        <v/>
      </c>
      <c r="E534" s="1497" t="inlineStr">
        <is>
          <t>Lorraine</t>
        </is>
      </c>
      <c r="F534" s="1535" t="inlineStr">
        <is>
          <t>.</t>
        </is>
      </c>
      <c r="G534" s="1498">
        <f>IF(H534="AIR",0,IF(H533="AIR",G532+1,IF(H534&lt;&gt;"",G533+1,G533)))</f>
        <v/>
      </c>
      <c r="H534" s="1498" t="inlineStr">
        <is>
          <t>Acton Vale</t>
        </is>
      </c>
      <c r="I534" s="1427" t="inlineStr">
        <is>
          <t>.</t>
        </is>
      </c>
      <c r="J534" s="1499" t="n">
        <v>529</v>
      </c>
      <c r="K534" s="1500">
        <f>_xlfn.XLOOKUP(cities[[#This Row],[id]],$D$5:$D$1500,E$5:E$1500,"-")</f>
        <v/>
      </c>
      <c r="L534" s="1500">
        <f>_xlfn.XLOOKUP(cities[[#This Row],[city]],ccc[city],ccc[ctry],"-")</f>
        <v/>
      </c>
      <c r="M534" s="1500">
        <f>SUMIFS(stayCity[stay],stayCity[city],cities[[#This Row],[city]])</f>
        <v/>
      </c>
      <c r="N534" s="1427">
        <f>N533+1</f>
        <v/>
      </c>
      <c r="O534" s="1500" t="n"/>
      <c r="P534" s="1500" t="n"/>
      <c r="Q534" s="1427" t="inlineStr">
        <is>
          <t>.</t>
        </is>
      </c>
      <c r="R534" s="1491" t="n"/>
      <c r="S534" s="1491" t="n"/>
      <c r="T534" s="1491" t="n"/>
      <c r="U534" s="1491" t="n"/>
      <c r="V534" s="1491" t="n"/>
      <c r="W534" s="1491" t="n"/>
      <c r="X534" s="1491" t="n"/>
      <c r="Y534" s="1491" t="n"/>
      <c r="Z534" s="1491" t="n"/>
      <c r="AA534" s="1491" t="n"/>
      <c r="AB534" s="1491" t="n"/>
      <c r="AC534" s="1491" t="n"/>
      <c r="AD534" s="1491" t="n"/>
      <c r="AE534" s="1491" t="n"/>
      <c r="AF534" s="1491" t="n"/>
      <c r="AG534" s="1491" t="n"/>
      <c r="AH534" s="1491" t="n"/>
      <c r="AI534" s="1491" t="n"/>
      <c r="AJ534" s="1491" t="n"/>
      <c r="AK534" s="1491" t="n"/>
      <c r="AL534" s="1491" t="n"/>
      <c r="AM534" s="1491" t="n"/>
      <c r="AN534" s="1491" t="n"/>
      <c r="AO534" s="1491" t="n"/>
      <c r="AP534" s="1491" t="n"/>
      <c r="AQ534" s="1491" t="n"/>
      <c r="AR534" s="1491" t="n"/>
      <c r="AS534" s="1491" t="n"/>
      <c r="AT534" s="1491" t="n"/>
      <c r="AU534" s="1491" t="n"/>
      <c r="AV534" s="1491" t="n"/>
      <c r="AW534" s="1491" t="n"/>
      <c r="AX534" s="1491" t="n"/>
      <c r="AY534" s="1491" t="n"/>
      <c r="AZ534" s="1491" t="n"/>
      <c r="BA534" s="1491" t="n"/>
      <c r="BB534" s="1491" t="n"/>
      <c r="BC534" s="1491" t="n"/>
      <c r="BD534" s="1491" t="n"/>
      <c r="BE534" s="1491" t="n"/>
      <c r="BF534" s="1491" t="n"/>
      <c r="BG534" s="1491" t="n"/>
      <c r="BH534" s="1491" t="n"/>
      <c r="BI534" s="1491" t="n"/>
      <c r="BJ534" s="1491" t="n"/>
      <c r="BK534" s="1491" t="n"/>
      <c r="BL534" s="1491" t="n"/>
      <c r="BM534" s="1491" t="n"/>
      <c r="BN534" s="1491" t="n"/>
      <c r="BO534" s="1467" t="n"/>
      <c r="BP534" s="1514" t="n">
        <v>530</v>
      </c>
      <c r="BQ534" s="1513">
        <f>[1]Sheet1!C535</f>
        <v/>
      </c>
      <c r="BR534" s="1515">
        <f>[1]Sheet1!D535</f>
        <v/>
      </c>
      <c r="BS534" s="1513">
        <f>[1]Sheet1!E535</f>
        <v/>
      </c>
      <c r="BT534" s="1515">
        <f>[1]Sheet1!F535</f>
        <v/>
      </c>
      <c r="BU534" s="1516">
        <f>[1]Sheet1!G535</f>
        <v/>
      </c>
      <c r="BV534" s="1513">
        <f>[1]Sheet1!H535</f>
        <v/>
      </c>
      <c r="BW534" s="1467" t="n"/>
      <c r="BX534" s="1491" t="n"/>
      <c r="BY534" s="1491" t="n"/>
      <c r="BZ534" s="1491" t="n"/>
      <c r="CA534" s="1491" t="n"/>
      <c r="CB534" s="1467" t="n"/>
      <c r="CC534" s="1467" t="n"/>
      <c r="CD534" s="1491" t="n"/>
      <c r="CE534" s="1491" t="n"/>
      <c r="CF534" s="1491" t="n"/>
      <c r="CG534" s="1491" t="n"/>
      <c r="CH534" s="1491" t="n"/>
      <c r="CI534" s="1491" t="n"/>
      <c r="CJ534" s="1491" t="n"/>
      <c r="CK534" s="1491" t="n"/>
      <c r="CL534" s="1491" t="n"/>
      <c r="CM534" s="1491" t="n"/>
      <c r="CN534" s="1491" t="n"/>
      <c r="CO534" s="1491" t="n"/>
      <c r="CP534" s="1491" t="n"/>
      <c r="CQ534" s="1491" t="n"/>
      <c r="CR534" s="1491" t="n"/>
      <c r="CS534" s="1491" t="n"/>
      <c r="CT534" s="1491" t="n"/>
      <c r="CU534" s="1491" t="n"/>
      <c r="CV534" s="1491" t="n"/>
      <c r="CW534" s="1491" t="n"/>
      <c r="CX534" s="1491" t="n"/>
    </row>
    <row r="535">
      <c r="A535" s="1491" t="n"/>
      <c r="B535" s="1491" t="n"/>
      <c r="C535" s="1491" t="n"/>
      <c r="D535" s="1497">
        <f>IF(E535&lt;&gt;"",D534+1,D534)</f>
        <v/>
      </c>
      <c r="E535" s="1497" t="inlineStr">
        <is>
          <t>The Hague</t>
        </is>
      </c>
      <c r="F535" s="1535" t="inlineStr">
        <is>
          <t>.</t>
        </is>
      </c>
      <c r="G535" s="1498">
        <f>IF(H535="AIR",0,IF(H534="AIR",G533+1,IF(H535&lt;&gt;"",G534+1,G534)))</f>
        <v/>
      </c>
      <c r="H535" s="1498" t="inlineStr">
        <is>
          <t>Drummondville</t>
        </is>
      </c>
      <c r="I535" s="1427" t="inlineStr">
        <is>
          <t>.</t>
        </is>
      </c>
      <c r="J535" s="1499" t="n">
        <v>530</v>
      </c>
      <c r="K535" s="1500">
        <f>_xlfn.XLOOKUP(cities[[#This Row],[id]],$D$5:$D$1500,E$5:E$1500,"-")</f>
        <v/>
      </c>
      <c r="L535" s="1500">
        <f>_xlfn.XLOOKUP(cities[[#This Row],[city]],ccc[city],ccc[ctry],"-")</f>
        <v/>
      </c>
      <c r="M535" s="1500">
        <f>SUMIFS(stayCity[stay],stayCity[city],cities[[#This Row],[city]])</f>
        <v/>
      </c>
      <c r="N535" s="1427">
        <f>N534+1</f>
        <v/>
      </c>
      <c r="O535" s="1500" t="n"/>
      <c r="P535" s="1500" t="n"/>
      <c r="Q535" s="1427" t="inlineStr">
        <is>
          <t>.</t>
        </is>
      </c>
      <c r="R535" s="1491" t="n"/>
      <c r="S535" s="1491" t="n"/>
      <c r="T535" s="1491" t="n"/>
      <c r="U535" s="1491" t="n"/>
      <c r="V535" s="1491" t="n"/>
      <c r="W535" s="1491" t="n"/>
      <c r="X535" s="1491" t="n"/>
      <c r="Y535" s="1491" t="n"/>
      <c r="Z535" s="1491" t="n"/>
      <c r="AA535" s="1491" t="n"/>
      <c r="AB535" s="1491" t="n"/>
      <c r="AC535" s="1491" t="n"/>
      <c r="AD535" s="1491" t="n"/>
      <c r="AE535" s="1491" t="n"/>
      <c r="AF535" s="1491" t="n"/>
      <c r="AG535" s="1491" t="n"/>
      <c r="AH535" s="1491" t="n"/>
      <c r="AI535" s="1491" t="n"/>
      <c r="AJ535" s="1491" t="n"/>
      <c r="AK535" s="1491" t="n"/>
      <c r="AL535" s="1491" t="n"/>
      <c r="AM535" s="1491" t="n"/>
      <c r="AN535" s="1491" t="n"/>
      <c r="AO535" s="1491" t="n"/>
      <c r="AP535" s="1491" t="n"/>
      <c r="AQ535" s="1491" t="n"/>
      <c r="AR535" s="1491" t="n"/>
      <c r="AS535" s="1491" t="n"/>
      <c r="AT535" s="1491" t="n"/>
      <c r="AU535" s="1491" t="n"/>
      <c r="AV535" s="1491" t="n"/>
      <c r="AW535" s="1491" t="n"/>
      <c r="AX535" s="1491" t="n"/>
      <c r="AY535" s="1491" t="n"/>
      <c r="AZ535" s="1491" t="n"/>
      <c r="BA535" s="1491" t="n"/>
      <c r="BB535" s="1491" t="n"/>
      <c r="BC535" s="1491" t="n"/>
      <c r="BD535" s="1491" t="n"/>
      <c r="BE535" s="1491" t="n"/>
      <c r="BF535" s="1491" t="n"/>
      <c r="BG535" s="1491" t="n"/>
      <c r="BH535" s="1491" t="n"/>
      <c r="BI535" s="1491" t="n"/>
      <c r="BJ535" s="1491" t="n"/>
      <c r="BK535" s="1491" t="n"/>
      <c r="BL535" s="1491" t="n"/>
      <c r="BM535" s="1491" t="n"/>
      <c r="BN535" s="1491" t="n"/>
      <c r="BO535" s="1467" t="n"/>
      <c r="BP535" s="1514" t="n">
        <v>531</v>
      </c>
      <c r="BQ535" s="1513">
        <f>[1]Sheet1!C536</f>
        <v/>
      </c>
      <c r="BR535" s="1515">
        <f>[1]Sheet1!D536</f>
        <v/>
      </c>
      <c r="BS535" s="1513">
        <f>[1]Sheet1!E536</f>
        <v/>
      </c>
      <c r="BT535" s="1515">
        <f>[1]Sheet1!F536</f>
        <v/>
      </c>
      <c r="BU535" s="1516">
        <f>[1]Sheet1!G536</f>
        <v/>
      </c>
      <c r="BV535" s="1513">
        <f>[1]Sheet1!H536</f>
        <v/>
      </c>
      <c r="BW535" s="1467" t="n"/>
      <c r="BX535" s="1491" t="n"/>
      <c r="BY535" s="1491" t="n"/>
      <c r="BZ535" s="1491" t="n"/>
      <c r="CA535" s="1491" t="n"/>
      <c r="CB535" s="1467" t="n"/>
      <c r="CC535" s="1467" t="n"/>
      <c r="CD535" s="1491" t="n"/>
      <c r="CE535" s="1491" t="n"/>
      <c r="CF535" s="1491" t="n"/>
      <c r="CG535" s="1491" t="n"/>
      <c r="CH535" s="1491" t="n"/>
      <c r="CI535" s="1491" t="n"/>
      <c r="CJ535" s="1491" t="n"/>
      <c r="CK535" s="1491" t="n"/>
      <c r="CL535" s="1491" t="n"/>
      <c r="CM535" s="1491" t="n"/>
      <c r="CN535" s="1491" t="n"/>
      <c r="CO535" s="1491" t="n"/>
      <c r="CP535" s="1491" t="n"/>
      <c r="CQ535" s="1491" t="n"/>
      <c r="CR535" s="1491" t="n"/>
      <c r="CS535" s="1491" t="n"/>
      <c r="CT535" s="1491" t="n"/>
      <c r="CU535" s="1491" t="n"/>
      <c r="CV535" s="1491" t="n"/>
      <c r="CW535" s="1491" t="n"/>
      <c r="CX535" s="1491" t="n"/>
    </row>
    <row r="536">
      <c r="A536" s="1491" t="n"/>
      <c r="B536" s="1491" t="n"/>
      <c r="C536" s="1491" t="n"/>
      <c r="D536" s="1497">
        <f>IF(E536&lt;&gt;"",D535+1,D535)</f>
        <v/>
      </c>
      <c r="E536" s="1497" t="inlineStr">
        <is>
          <t>Delft</t>
        </is>
      </c>
      <c r="F536" s="1535" t="inlineStr">
        <is>
          <t>.</t>
        </is>
      </c>
      <c r="G536" s="1498">
        <f>IF(H536="AIR",0,IF(H535="AIR",G534+1,IF(H536&lt;&gt;"",G535+1,G535)))</f>
        <v/>
      </c>
      <c r="H536" s="1498" t="inlineStr">
        <is>
          <t>Richmond</t>
        </is>
      </c>
      <c r="I536" s="1427" t="inlineStr">
        <is>
          <t>.</t>
        </is>
      </c>
      <c r="J536" s="1499" t="n">
        <v>531</v>
      </c>
      <c r="K536" s="1500">
        <f>_xlfn.XLOOKUP(cities[[#This Row],[id]],$D$5:$D$1500,E$5:E$1500,"-")</f>
        <v/>
      </c>
      <c r="L536" s="1500">
        <f>_xlfn.XLOOKUP(cities[[#This Row],[city]],ccc[city],ccc[ctry],"-")</f>
        <v/>
      </c>
      <c r="M536" s="1500">
        <f>SUMIFS(stayCity[stay],stayCity[city],cities[[#This Row],[city]])</f>
        <v/>
      </c>
      <c r="N536" s="1427">
        <f>N535+1</f>
        <v/>
      </c>
      <c r="O536" s="1500" t="n"/>
      <c r="P536" s="1500" t="n"/>
      <c r="Q536" s="1427" t="inlineStr">
        <is>
          <t>.</t>
        </is>
      </c>
      <c r="R536" s="1491" t="n"/>
      <c r="S536" s="1491" t="n"/>
      <c r="T536" s="1491" t="n"/>
      <c r="U536" s="1491" t="n"/>
      <c r="V536" s="1491" t="n"/>
      <c r="W536" s="1491" t="n"/>
      <c r="X536" s="1491" t="n"/>
      <c r="Y536" s="1491" t="n"/>
      <c r="Z536" s="1491" t="n"/>
      <c r="AA536" s="1491" t="n"/>
      <c r="AB536" s="1491" t="n"/>
      <c r="AC536" s="1491" t="n"/>
      <c r="AD536" s="1491" t="n"/>
      <c r="AE536" s="1491" t="n"/>
      <c r="AF536" s="1491" t="n"/>
      <c r="AG536" s="1491" t="n"/>
      <c r="AH536" s="1491" t="n"/>
      <c r="AI536" s="1491" t="n"/>
      <c r="AJ536" s="1491" t="n"/>
      <c r="AK536" s="1491" t="n"/>
      <c r="AL536" s="1491" t="n"/>
      <c r="AM536" s="1491" t="n"/>
      <c r="AN536" s="1491" t="n"/>
      <c r="AO536" s="1491" t="n"/>
      <c r="AP536" s="1491" t="n"/>
      <c r="AQ536" s="1491" t="n"/>
      <c r="AR536" s="1491" t="n"/>
      <c r="AS536" s="1491" t="n"/>
      <c r="AT536" s="1491" t="n"/>
      <c r="AU536" s="1491" t="n"/>
      <c r="AV536" s="1491" t="n"/>
      <c r="AW536" s="1491" t="n"/>
      <c r="AX536" s="1491" t="n"/>
      <c r="AY536" s="1491" t="n"/>
      <c r="AZ536" s="1491" t="n"/>
      <c r="BA536" s="1491" t="n"/>
      <c r="BB536" s="1491" t="n"/>
      <c r="BC536" s="1491" t="n"/>
      <c r="BD536" s="1491" t="n"/>
      <c r="BE536" s="1491" t="n"/>
      <c r="BF536" s="1491" t="n"/>
      <c r="BG536" s="1491" t="n"/>
      <c r="BH536" s="1491" t="n"/>
      <c r="BI536" s="1491" t="n"/>
      <c r="BJ536" s="1491" t="n"/>
      <c r="BK536" s="1491" t="n"/>
      <c r="BL536" s="1491" t="n"/>
      <c r="BM536" s="1491" t="n"/>
      <c r="BN536" s="1491" t="n"/>
      <c r="BO536" s="1467" t="n"/>
      <c r="BP536" s="1514" t="n">
        <v>532</v>
      </c>
      <c r="BQ536" s="1513">
        <f>[1]Sheet1!C537</f>
        <v/>
      </c>
      <c r="BR536" s="1515">
        <f>[1]Sheet1!D537</f>
        <v/>
      </c>
      <c r="BS536" s="1513">
        <f>[1]Sheet1!E537</f>
        <v/>
      </c>
      <c r="BT536" s="1515">
        <f>[1]Sheet1!F537</f>
        <v/>
      </c>
      <c r="BU536" s="1516">
        <f>[1]Sheet1!G537</f>
        <v/>
      </c>
      <c r="BV536" s="1513">
        <f>[1]Sheet1!H537</f>
        <v/>
      </c>
      <c r="BW536" s="1467" t="n"/>
      <c r="BX536" s="1491" t="n"/>
      <c r="BY536" s="1491" t="n"/>
      <c r="BZ536" s="1491" t="n"/>
      <c r="CA536" s="1491" t="n"/>
      <c r="CB536" s="1467" t="n"/>
      <c r="CC536" s="1467" t="n"/>
      <c r="CD536" s="1491" t="n"/>
      <c r="CE536" s="1491" t="n"/>
      <c r="CF536" s="1491" t="n"/>
      <c r="CG536" s="1491" t="n"/>
      <c r="CH536" s="1491" t="n"/>
      <c r="CI536" s="1491" t="n"/>
      <c r="CJ536" s="1491" t="n"/>
      <c r="CK536" s="1491" t="n"/>
      <c r="CL536" s="1491" t="n"/>
      <c r="CM536" s="1491" t="n"/>
      <c r="CN536" s="1491" t="n"/>
      <c r="CO536" s="1491" t="n"/>
      <c r="CP536" s="1491" t="n"/>
      <c r="CQ536" s="1491" t="n"/>
      <c r="CR536" s="1491" t="n"/>
      <c r="CS536" s="1491" t="n"/>
      <c r="CT536" s="1491" t="n"/>
      <c r="CU536" s="1491" t="n"/>
      <c r="CV536" s="1491" t="n"/>
      <c r="CW536" s="1491" t="n"/>
      <c r="CX536" s="1491" t="n"/>
    </row>
    <row r="537">
      <c r="A537" s="1491" t="n"/>
      <c r="B537" s="1491" t="n"/>
      <c r="C537" s="1491" t="n"/>
      <c r="D537" s="1497">
        <f>IF(E537&lt;&gt;"",D536+1,D536)</f>
        <v/>
      </c>
      <c r="E537" s="1497" t="inlineStr">
        <is>
          <t>Zevenhuis</t>
        </is>
      </c>
      <c r="F537" s="1535" t="inlineStr">
        <is>
          <t>.</t>
        </is>
      </c>
      <c r="G537" s="1498">
        <f>IF(H537="AIR",0,IF(H536="AIR",G535+1,IF(H537&lt;&gt;"",G536+1,G536)))</f>
        <v/>
      </c>
      <c r="H537" s="1498" t="inlineStr">
        <is>
          <t>Warwick</t>
        </is>
      </c>
      <c r="I537" s="1427" t="inlineStr">
        <is>
          <t>.</t>
        </is>
      </c>
      <c r="J537" s="1499" t="n">
        <v>532</v>
      </c>
      <c r="K537" s="1500">
        <f>_xlfn.XLOOKUP(cities[[#This Row],[id]],$D$5:$D$1500,E$5:E$1500,"-")</f>
        <v/>
      </c>
      <c r="L537" s="1500">
        <f>_xlfn.XLOOKUP(cities[[#This Row],[city]],ccc[city],ccc[ctry],"-")</f>
        <v/>
      </c>
      <c r="M537" s="1500">
        <f>SUMIFS(stayCity[stay],stayCity[city],cities[[#This Row],[city]])</f>
        <v/>
      </c>
      <c r="N537" s="1427">
        <f>N536+1</f>
        <v/>
      </c>
      <c r="O537" s="1500" t="n"/>
      <c r="P537" s="1500" t="n"/>
      <c r="Q537" s="1427" t="inlineStr">
        <is>
          <t>.</t>
        </is>
      </c>
      <c r="R537" s="1491" t="n"/>
      <c r="S537" s="1491" t="n"/>
      <c r="T537" s="1491" t="n"/>
      <c r="U537" s="1491" t="n"/>
      <c r="V537" s="1491" t="n"/>
      <c r="W537" s="1491" t="n"/>
      <c r="X537" s="1491" t="n"/>
      <c r="Y537" s="1491" t="n"/>
      <c r="Z537" s="1491" t="n"/>
      <c r="AA537" s="1491" t="n"/>
      <c r="AB537" s="1491" t="n"/>
      <c r="AC537" s="1491" t="n"/>
      <c r="AD537" s="1491" t="n"/>
      <c r="AE537" s="1491" t="n"/>
      <c r="AF537" s="1491" t="n"/>
      <c r="AG537" s="1491" t="n"/>
      <c r="AH537" s="1491" t="n"/>
      <c r="AI537" s="1491" t="n"/>
      <c r="AJ537" s="1491" t="n"/>
      <c r="AK537" s="1491" t="n"/>
      <c r="AL537" s="1491" t="n"/>
      <c r="AM537" s="1491" t="n"/>
      <c r="AN537" s="1491" t="n"/>
      <c r="AO537" s="1491" t="n"/>
      <c r="AP537" s="1491" t="n"/>
      <c r="AQ537" s="1491" t="n"/>
      <c r="AR537" s="1491" t="n"/>
      <c r="AS537" s="1491" t="n"/>
      <c r="AT537" s="1491" t="n"/>
      <c r="AU537" s="1491" t="n"/>
      <c r="AV537" s="1491" t="n"/>
      <c r="AW537" s="1491" t="n"/>
      <c r="AX537" s="1491" t="n"/>
      <c r="AY537" s="1491" t="n"/>
      <c r="AZ537" s="1491" t="n"/>
      <c r="BA537" s="1491" t="n"/>
      <c r="BB537" s="1491" t="n"/>
      <c r="BC537" s="1491" t="n"/>
      <c r="BD537" s="1491" t="n"/>
      <c r="BE537" s="1491" t="n"/>
      <c r="BF537" s="1491" t="n"/>
      <c r="BG537" s="1491" t="n"/>
      <c r="BH537" s="1491" t="n"/>
      <c r="BI537" s="1491" t="n"/>
      <c r="BJ537" s="1491" t="n"/>
      <c r="BK537" s="1491" t="n"/>
      <c r="BL537" s="1491" t="n"/>
      <c r="BM537" s="1491" t="n"/>
      <c r="BN537" s="1491" t="n"/>
      <c r="BO537" s="1467" t="n"/>
      <c r="BP537" s="1514" t="n">
        <v>533</v>
      </c>
      <c r="BQ537" s="1513">
        <f>[1]Sheet1!C538</f>
        <v/>
      </c>
      <c r="BR537" s="1515">
        <f>[1]Sheet1!D538</f>
        <v/>
      </c>
      <c r="BS537" s="1513">
        <f>[1]Sheet1!E538</f>
        <v/>
      </c>
      <c r="BT537" s="1515">
        <f>[1]Sheet1!F538</f>
        <v/>
      </c>
      <c r="BU537" s="1516">
        <f>[1]Sheet1!G538</f>
        <v/>
      </c>
      <c r="BV537" s="1513">
        <f>[1]Sheet1!H538</f>
        <v/>
      </c>
      <c r="BW537" s="1467" t="n"/>
      <c r="BX537" s="1491" t="n"/>
      <c r="BY537" s="1491" t="n"/>
      <c r="BZ537" s="1491" t="n"/>
      <c r="CA537" s="1491" t="n"/>
      <c r="CB537" s="1467" t="n"/>
      <c r="CC537" s="1467" t="n"/>
      <c r="CD537" s="1491" t="n"/>
      <c r="CE537" s="1491" t="n"/>
      <c r="CF537" s="1491" t="n"/>
      <c r="CG537" s="1491" t="n"/>
      <c r="CH537" s="1491" t="n"/>
      <c r="CI537" s="1491" t="n"/>
      <c r="CJ537" s="1491" t="n"/>
      <c r="CK537" s="1491" t="n"/>
      <c r="CL537" s="1491" t="n"/>
      <c r="CM537" s="1491" t="n"/>
      <c r="CN537" s="1491" t="n"/>
      <c r="CO537" s="1491" t="n"/>
      <c r="CP537" s="1491" t="n"/>
      <c r="CQ537" s="1491" t="n"/>
      <c r="CR537" s="1491" t="n"/>
      <c r="CS537" s="1491" t="n"/>
      <c r="CT537" s="1491" t="n"/>
      <c r="CU537" s="1491" t="n"/>
      <c r="CV537" s="1491" t="n"/>
      <c r="CW537" s="1491" t="n"/>
      <c r="CX537" s="1491" t="n"/>
    </row>
    <row r="538">
      <c r="A538" s="1491" t="n"/>
      <c r="B538" s="1491" t="n"/>
      <c r="C538" s="1491" t="n"/>
      <c r="D538" s="1497">
        <f>IF(E538&lt;&gt;"",D537+1,D537)</f>
        <v/>
      </c>
      <c r="E538" s="1497" t="inlineStr">
        <is>
          <t>Gouda</t>
        </is>
      </c>
      <c r="F538" s="1535" t="inlineStr">
        <is>
          <t>.</t>
        </is>
      </c>
      <c r="G538" s="1498">
        <f>IF(H538="AIR",0,IF(H537="AIR",G536+1,IF(H538&lt;&gt;"",G537+1,G537)))</f>
        <v/>
      </c>
      <c r="H538" s="1498" t="inlineStr">
        <is>
          <t>Victoriaville</t>
        </is>
      </c>
      <c r="I538" s="1427" t="inlineStr">
        <is>
          <t>.</t>
        </is>
      </c>
      <c r="J538" s="1499" t="n">
        <v>533</v>
      </c>
      <c r="K538" s="1500">
        <f>_xlfn.XLOOKUP(cities[[#This Row],[id]],$D$5:$D$1500,E$5:E$1500,"-")</f>
        <v/>
      </c>
      <c r="L538" s="1500">
        <f>_xlfn.XLOOKUP(cities[[#This Row],[city]],ccc[city],ccc[ctry],"-")</f>
        <v/>
      </c>
      <c r="M538" s="1500">
        <f>SUMIFS(stayCity[stay],stayCity[city],cities[[#This Row],[city]])</f>
        <v/>
      </c>
      <c r="N538" s="1427">
        <f>N537+1</f>
        <v/>
      </c>
      <c r="O538" s="1500" t="n"/>
      <c r="P538" s="1500" t="n"/>
      <c r="Q538" s="1427" t="inlineStr">
        <is>
          <t>.</t>
        </is>
      </c>
      <c r="R538" s="1491" t="n"/>
      <c r="S538" s="1491" t="n"/>
      <c r="T538" s="1491" t="n"/>
      <c r="U538" s="1491" t="n"/>
      <c r="V538" s="1491" t="n"/>
      <c r="W538" s="1491" t="n"/>
      <c r="X538" s="1491" t="n"/>
      <c r="Y538" s="1491" t="n"/>
      <c r="Z538" s="1491" t="n"/>
      <c r="AA538" s="1491" t="n"/>
      <c r="AB538" s="1491" t="n"/>
      <c r="AC538" s="1491" t="n"/>
      <c r="AD538" s="1491" t="n"/>
      <c r="AE538" s="1491" t="n"/>
      <c r="AF538" s="1491" t="n"/>
      <c r="AG538" s="1491" t="n"/>
      <c r="AH538" s="1491" t="n"/>
      <c r="AI538" s="1491" t="n"/>
      <c r="AJ538" s="1491" t="n"/>
      <c r="AK538" s="1491" t="n"/>
      <c r="AL538" s="1491" t="n"/>
      <c r="AM538" s="1491" t="n"/>
      <c r="AN538" s="1491" t="n"/>
      <c r="AO538" s="1491" t="n"/>
      <c r="AP538" s="1491" t="n"/>
      <c r="AQ538" s="1491" t="n"/>
      <c r="AR538" s="1491" t="n"/>
      <c r="AS538" s="1491" t="n"/>
      <c r="AT538" s="1491" t="n"/>
      <c r="AU538" s="1491" t="n"/>
      <c r="AV538" s="1491" t="n"/>
      <c r="AW538" s="1491" t="n"/>
      <c r="AX538" s="1491" t="n"/>
      <c r="AY538" s="1491" t="n"/>
      <c r="AZ538" s="1491" t="n"/>
      <c r="BA538" s="1491" t="n"/>
      <c r="BB538" s="1491" t="n"/>
      <c r="BC538" s="1491" t="n"/>
      <c r="BD538" s="1491" t="n"/>
      <c r="BE538" s="1491" t="n"/>
      <c r="BF538" s="1491" t="n"/>
      <c r="BG538" s="1491" t="n"/>
      <c r="BH538" s="1491" t="n"/>
      <c r="BI538" s="1491" t="n"/>
      <c r="BJ538" s="1491" t="n"/>
      <c r="BK538" s="1491" t="n"/>
      <c r="BL538" s="1491" t="n"/>
      <c r="BM538" s="1491" t="n"/>
      <c r="BN538" s="1491" t="n"/>
      <c r="BO538" s="1467" t="n"/>
      <c r="BP538" s="1514" t="n">
        <v>534</v>
      </c>
      <c r="BQ538" s="1513">
        <f>[1]Sheet1!C539</f>
        <v/>
      </c>
      <c r="BR538" s="1515">
        <f>[1]Sheet1!D539</f>
        <v/>
      </c>
      <c r="BS538" s="1513">
        <f>[1]Sheet1!E539</f>
        <v/>
      </c>
      <c r="BT538" s="1515">
        <f>[1]Sheet1!F539</f>
        <v/>
      </c>
      <c r="BU538" s="1516">
        <f>[1]Sheet1!G539</f>
        <v/>
      </c>
      <c r="BV538" s="1513">
        <f>[1]Sheet1!H539</f>
        <v/>
      </c>
      <c r="BW538" s="1467" t="n"/>
      <c r="BX538" s="1491" t="n"/>
      <c r="BY538" s="1491" t="n"/>
      <c r="BZ538" s="1491" t="n"/>
      <c r="CA538" s="1491" t="n"/>
      <c r="CB538" s="1467" t="n"/>
      <c r="CC538" s="1467" t="n"/>
      <c r="CD538" s="1491" t="n"/>
      <c r="CE538" s="1491" t="n"/>
      <c r="CF538" s="1491" t="n"/>
      <c r="CG538" s="1491" t="n"/>
      <c r="CH538" s="1491" t="n"/>
      <c r="CI538" s="1491" t="n"/>
      <c r="CJ538" s="1491" t="n"/>
      <c r="CK538" s="1491" t="n"/>
      <c r="CL538" s="1491" t="n"/>
      <c r="CM538" s="1491" t="n"/>
      <c r="CN538" s="1491" t="n"/>
      <c r="CO538" s="1491" t="n"/>
      <c r="CP538" s="1491" t="n"/>
      <c r="CQ538" s="1491" t="n"/>
      <c r="CR538" s="1491" t="n"/>
      <c r="CS538" s="1491" t="n"/>
      <c r="CT538" s="1491" t="n"/>
      <c r="CU538" s="1491" t="n"/>
      <c r="CV538" s="1491" t="n"/>
      <c r="CW538" s="1491" t="n"/>
      <c r="CX538" s="1491" t="n"/>
    </row>
    <row r="539">
      <c r="A539" s="1491" t="n"/>
      <c r="B539" s="1491" t="n"/>
      <c r="C539" s="1491" t="n"/>
      <c r="D539" s="1497">
        <f>IF(E539&lt;&gt;"",D538+1,D538)</f>
        <v/>
      </c>
      <c r="E539" s="1497" t="inlineStr">
        <is>
          <t>Schonhoven</t>
        </is>
      </c>
      <c r="F539" s="1535" t="inlineStr">
        <is>
          <t>.</t>
        </is>
      </c>
      <c r="G539" s="1498">
        <f>IF(H539="AIR",0,IF(H538="AIR",G537+1,IF(H539&lt;&gt;"",G538+1,G538)))</f>
        <v/>
      </c>
      <c r="H539" s="1498" t="inlineStr">
        <is>
          <t>Princeville</t>
        </is>
      </c>
      <c r="I539" s="1427" t="inlineStr">
        <is>
          <t>.</t>
        </is>
      </c>
      <c r="J539" s="1499" t="n">
        <v>534</v>
      </c>
      <c r="K539" s="1500">
        <f>_xlfn.XLOOKUP(cities[[#This Row],[id]],$D$5:$D$1500,E$5:E$1500,"-")</f>
        <v/>
      </c>
      <c r="L539" s="1500">
        <f>_xlfn.XLOOKUP(cities[[#This Row],[city]],ccc[city],ccc[ctry],"-")</f>
        <v/>
      </c>
      <c r="M539" s="1500">
        <f>SUMIFS(stayCity[stay],stayCity[city],cities[[#This Row],[city]])</f>
        <v/>
      </c>
      <c r="N539" s="1427">
        <f>N538+1</f>
        <v/>
      </c>
      <c r="O539" s="1500" t="n"/>
      <c r="P539" s="1500" t="n"/>
      <c r="Q539" s="1427" t="inlineStr">
        <is>
          <t>.</t>
        </is>
      </c>
      <c r="R539" s="1491" t="n"/>
      <c r="S539" s="1491" t="n"/>
      <c r="T539" s="1491" t="n"/>
      <c r="U539" s="1491" t="n"/>
      <c r="V539" s="1491" t="n"/>
      <c r="W539" s="1491" t="n"/>
      <c r="X539" s="1491" t="n"/>
      <c r="Y539" s="1491" t="n"/>
      <c r="Z539" s="1491" t="n"/>
      <c r="AA539" s="1491" t="n"/>
      <c r="AB539" s="1491" t="n"/>
      <c r="AC539" s="1491" t="n"/>
      <c r="AD539" s="1491" t="n"/>
      <c r="AE539" s="1491" t="n"/>
      <c r="AF539" s="1491" t="n"/>
      <c r="AG539" s="1491" t="n"/>
      <c r="AH539" s="1491" t="n"/>
      <c r="AI539" s="1491" t="n"/>
      <c r="AJ539" s="1491" t="n"/>
      <c r="AK539" s="1491" t="n"/>
      <c r="AL539" s="1491" t="n"/>
      <c r="AM539" s="1491" t="n"/>
      <c r="AN539" s="1491" t="n"/>
      <c r="AO539" s="1491" t="n"/>
      <c r="AP539" s="1491" t="n"/>
      <c r="AQ539" s="1491" t="n"/>
      <c r="AR539" s="1491" t="n"/>
      <c r="AS539" s="1491" t="n"/>
      <c r="AT539" s="1491" t="n"/>
      <c r="AU539" s="1491" t="n"/>
      <c r="AV539" s="1491" t="n"/>
      <c r="AW539" s="1491" t="n"/>
      <c r="AX539" s="1491" t="n"/>
      <c r="AY539" s="1491" t="n"/>
      <c r="AZ539" s="1491" t="n"/>
      <c r="BA539" s="1491" t="n"/>
      <c r="BB539" s="1491" t="n"/>
      <c r="BC539" s="1491" t="n"/>
      <c r="BD539" s="1491" t="n"/>
      <c r="BE539" s="1491" t="n"/>
      <c r="BF539" s="1491" t="n"/>
      <c r="BG539" s="1491" t="n"/>
      <c r="BH539" s="1491" t="n"/>
      <c r="BI539" s="1491" t="n"/>
      <c r="BJ539" s="1491" t="n"/>
      <c r="BK539" s="1491" t="n"/>
      <c r="BL539" s="1491" t="n"/>
      <c r="BM539" s="1491" t="n"/>
      <c r="BN539" s="1491" t="n"/>
      <c r="BO539" s="1467" t="n"/>
      <c r="BP539" s="1514" t="n">
        <v>535</v>
      </c>
      <c r="BQ539" s="1513">
        <f>[1]Sheet1!C540</f>
        <v/>
      </c>
      <c r="BR539" s="1515">
        <f>[1]Sheet1!D540</f>
        <v/>
      </c>
      <c r="BS539" s="1513">
        <f>[1]Sheet1!E540</f>
        <v/>
      </c>
      <c r="BT539" s="1515">
        <f>[1]Sheet1!F540</f>
        <v/>
      </c>
      <c r="BU539" s="1516">
        <f>[1]Sheet1!G540</f>
        <v/>
      </c>
      <c r="BV539" s="1513">
        <f>[1]Sheet1!H540</f>
        <v/>
      </c>
      <c r="BW539" s="1467" t="n"/>
      <c r="BX539" s="1491" t="n"/>
      <c r="BY539" s="1491" t="n"/>
      <c r="BZ539" s="1491" t="n"/>
      <c r="CA539" s="1491" t="n"/>
      <c r="CB539" s="1467" t="n"/>
      <c r="CC539" s="1467" t="n"/>
      <c r="CD539" s="1491" t="n"/>
      <c r="CE539" s="1491" t="n"/>
      <c r="CF539" s="1491" t="n"/>
      <c r="CG539" s="1491" t="n"/>
      <c r="CH539" s="1491" t="n"/>
      <c r="CI539" s="1491" t="n"/>
      <c r="CJ539" s="1491" t="n"/>
      <c r="CK539" s="1491" t="n"/>
      <c r="CL539" s="1491" t="n"/>
      <c r="CM539" s="1491" t="n"/>
      <c r="CN539" s="1491" t="n"/>
      <c r="CO539" s="1491" t="n"/>
      <c r="CP539" s="1491" t="n"/>
      <c r="CQ539" s="1491" t="n"/>
      <c r="CR539" s="1491" t="n"/>
      <c r="CS539" s="1491" t="n"/>
      <c r="CT539" s="1491" t="n"/>
      <c r="CU539" s="1491" t="n"/>
      <c r="CV539" s="1491" t="n"/>
      <c r="CW539" s="1491" t="n"/>
      <c r="CX539" s="1491" t="n"/>
    </row>
    <row r="540">
      <c r="A540" s="1491" t="n"/>
      <c r="B540" s="1491" t="n"/>
      <c r="C540" s="1491" t="n"/>
      <c r="D540" s="1497">
        <f>IF(E540&lt;&gt;"",D539+1,D539)</f>
        <v/>
      </c>
      <c r="E540" s="1497" t="inlineStr">
        <is>
          <t>Grocheim</t>
        </is>
      </c>
      <c r="F540" s="1535" t="inlineStr">
        <is>
          <t>.</t>
        </is>
      </c>
      <c r="G540" s="1498">
        <f>IF(H540="AIR",0,IF(H539="AIR",G538+1,IF(H540&lt;&gt;"",G539+1,G539)))</f>
        <v/>
      </c>
      <c r="H540" s="1498" t="inlineStr">
        <is>
          <t>Lyster</t>
        </is>
      </c>
      <c r="I540" s="1427" t="inlineStr">
        <is>
          <t>.</t>
        </is>
      </c>
      <c r="J540" s="1499" t="n">
        <v>535</v>
      </c>
      <c r="K540" s="1500">
        <f>_xlfn.XLOOKUP(cities[[#This Row],[id]],$D$5:$D$1500,E$5:E$1500,"-")</f>
        <v/>
      </c>
      <c r="L540" s="1500">
        <f>_xlfn.XLOOKUP(cities[[#This Row],[city]],ccc[city],ccc[ctry],"-")</f>
        <v/>
      </c>
      <c r="M540" s="1500">
        <f>SUMIFS(stayCity[stay],stayCity[city],cities[[#This Row],[city]])</f>
        <v/>
      </c>
      <c r="N540" s="1427">
        <f>N539+1</f>
        <v/>
      </c>
      <c r="O540" s="1500" t="n"/>
      <c r="P540" s="1500" t="n"/>
      <c r="Q540" s="1427" t="inlineStr">
        <is>
          <t>.</t>
        </is>
      </c>
      <c r="R540" s="1491" t="n"/>
      <c r="S540" s="1491" t="n"/>
      <c r="T540" s="1491" t="n"/>
      <c r="U540" s="1491" t="n"/>
      <c r="V540" s="1491" t="n"/>
      <c r="W540" s="1491" t="n"/>
      <c r="X540" s="1491" t="n"/>
      <c r="Y540" s="1491" t="n"/>
      <c r="Z540" s="1491" t="n"/>
      <c r="AA540" s="1491" t="n"/>
      <c r="AB540" s="1491" t="n"/>
      <c r="AC540" s="1491" t="n"/>
      <c r="AD540" s="1491" t="n"/>
      <c r="AE540" s="1491" t="n"/>
      <c r="AF540" s="1491" t="n"/>
      <c r="AG540" s="1491" t="n"/>
      <c r="AH540" s="1491" t="n"/>
      <c r="AI540" s="1491" t="n"/>
      <c r="AJ540" s="1491" t="n"/>
      <c r="AK540" s="1491" t="n"/>
      <c r="AL540" s="1491" t="n"/>
      <c r="AM540" s="1491" t="n"/>
      <c r="AN540" s="1491" t="n"/>
      <c r="AO540" s="1491" t="n"/>
      <c r="AP540" s="1491" t="n"/>
      <c r="AQ540" s="1491" t="n"/>
      <c r="AR540" s="1491" t="n"/>
      <c r="AS540" s="1491" t="n"/>
      <c r="AT540" s="1491" t="n"/>
      <c r="AU540" s="1491" t="n"/>
      <c r="AV540" s="1491" t="n"/>
      <c r="AW540" s="1491" t="n"/>
      <c r="AX540" s="1491" t="n"/>
      <c r="AY540" s="1491" t="n"/>
      <c r="AZ540" s="1491" t="n"/>
      <c r="BA540" s="1491" t="n"/>
      <c r="BB540" s="1491" t="n"/>
      <c r="BC540" s="1491" t="n"/>
      <c r="BD540" s="1491" t="n"/>
      <c r="BE540" s="1491" t="n"/>
      <c r="BF540" s="1491" t="n"/>
      <c r="BG540" s="1491" t="n"/>
      <c r="BH540" s="1491" t="n"/>
      <c r="BI540" s="1491" t="n"/>
      <c r="BJ540" s="1491" t="n"/>
      <c r="BK540" s="1491" t="n"/>
      <c r="BL540" s="1491" t="n"/>
      <c r="BM540" s="1491" t="n"/>
      <c r="BN540" s="1491" t="n"/>
      <c r="BO540" s="1467" t="n"/>
      <c r="BP540" s="1514" t="n">
        <v>536</v>
      </c>
      <c r="BQ540" s="1513">
        <f>[1]Sheet1!C541</f>
        <v/>
      </c>
      <c r="BR540" s="1515">
        <f>[1]Sheet1!D541</f>
        <v/>
      </c>
      <c r="BS540" s="1513">
        <f>[1]Sheet1!E541</f>
        <v/>
      </c>
      <c r="BT540" s="1515">
        <f>[1]Sheet1!F541</f>
        <v/>
      </c>
      <c r="BU540" s="1516">
        <f>[1]Sheet1!G541</f>
        <v/>
      </c>
      <c r="BV540" s="1513">
        <f>[1]Sheet1!H541</f>
        <v/>
      </c>
      <c r="BW540" s="1467" t="n"/>
      <c r="BX540" s="1491" t="n"/>
      <c r="BY540" s="1491" t="n"/>
      <c r="BZ540" s="1491" t="n"/>
      <c r="CA540" s="1491" t="n"/>
      <c r="CB540" s="1467" t="n"/>
      <c r="CC540" s="1467" t="n"/>
      <c r="CD540" s="1491" t="n"/>
      <c r="CE540" s="1491" t="n"/>
      <c r="CF540" s="1491" t="n"/>
      <c r="CG540" s="1491" t="n"/>
      <c r="CH540" s="1491" t="n"/>
      <c r="CI540" s="1491" t="n"/>
      <c r="CJ540" s="1491" t="n"/>
      <c r="CK540" s="1491" t="n"/>
      <c r="CL540" s="1491" t="n"/>
      <c r="CM540" s="1491" t="n"/>
      <c r="CN540" s="1491" t="n"/>
      <c r="CO540" s="1491" t="n"/>
      <c r="CP540" s="1491" t="n"/>
      <c r="CQ540" s="1491" t="n"/>
      <c r="CR540" s="1491" t="n"/>
      <c r="CS540" s="1491" t="n"/>
      <c r="CT540" s="1491" t="n"/>
      <c r="CU540" s="1491" t="n"/>
      <c r="CV540" s="1491" t="n"/>
      <c r="CW540" s="1491" t="n"/>
      <c r="CX540" s="1491" t="n"/>
    </row>
    <row r="541">
      <c r="A541" s="1491" t="n"/>
      <c r="B541" s="1491" t="n"/>
      <c r="C541" s="1491" t="n"/>
      <c r="D541" s="1497">
        <f>IF(E541&lt;&gt;"",D540+1,D540)</f>
        <v/>
      </c>
      <c r="E541" s="1497" t="inlineStr">
        <is>
          <t>Camping De Reekens</t>
        </is>
      </c>
      <c r="F541" s="1535" t="inlineStr">
        <is>
          <t>.</t>
        </is>
      </c>
      <c r="G541" s="1498">
        <f>IF(H541="AIR",0,IF(H540="AIR",G539+1,IF(H541&lt;&gt;"",G540+1,G540)))</f>
        <v/>
      </c>
      <c r="H541" s="1498" t="inlineStr">
        <is>
          <t>Bois des Filion</t>
        </is>
      </c>
      <c r="I541" s="1427" t="inlineStr">
        <is>
          <t>.</t>
        </is>
      </c>
      <c r="J541" s="1499" t="n">
        <v>536</v>
      </c>
      <c r="K541" s="1500">
        <f>_xlfn.XLOOKUP(cities[[#This Row],[id]],$D$5:$D$1500,E$5:E$1500,"-")</f>
        <v/>
      </c>
      <c r="L541" s="1500">
        <f>_xlfn.XLOOKUP(cities[[#This Row],[city]],ccc[city],ccc[ctry],"-")</f>
        <v/>
      </c>
      <c r="M541" s="1500">
        <f>SUMIFS(stayCity[stay],stayCity[city],cities[[#This Row],[city]])</f>
        <v/>
      </c>
      <c r="N541" s="1427">
        <f>N540+1</f>
        <v/>
      </c>
      <c r="O541" s="1500" t="n"/>
      <c r="P541" s="1500" t="n"/>
      <c r="Q541" s="1427" t="inlineStr">
        <is>
          <t>.</t>
        </is>
      </c>
      <c r="R541" s="1491" t="n"/>
      <c r="S541" s="1491" t="n"/>
      <c r="T541" s="1491" t="n"/>
      <c r="U541" s="1491" t="n"/>
      <c r="V541" s="1491" t="n"/>
      <c r="W541" s="1491" t="n"/>
      <c r="X541" s="1491" t="n"/>
      <c r="Y541" s="1491" t="n"/>
      <c r="Z541" s="1491" t="n"/>
      <c r="AA541" s="1491" t="n"/>
      <c r="AB541" s="1491" t="n"/>
      <c r="AC541" s="1491" t="n"/>
      <c r="AD541" s="1491" t="n"/>
      <c r="AE541" s="1491" t="n"/>
      <c r="AF541" s="1491" t="n"/>
      <c r="AG541" s="1491" t="n"/>
      <c r="AH541" s="1491" t="n"/>
      <c r="AI541" s="1491" t="n"/>
      <c r="AJ541" s="1491" t="n"/>
      <c r="AK541" s="1491" t="n"/>
      <c r="AL541" s="1491" t="n"/>
      <c r="AM541" s="1491" t="n"/>
      <c r="AN541" s="1491" t="n"/>
      <c r="AO541" s="1491" t="n"/>
      <c r="AP541" s="1491" t="n"/>
      <c r="AQ541" s="1491" t="n"/>
      <c r="AR541" s="1491" t="n"/>
      <c r="AS541" s="1491" t="n"/>
      <c r="AT541" s="1491" t="n"/>
      <c r="AU541" s="1491" t="n"/>
      <c r="AV541" s="1491" t="n"/>
      <c r="AW541" s="1491" t="n"/>
      <c r="AX541" s="1491" t="n"/>
      <c r="AY541" s="1491" t="n"/>
      <c r="AZ541" s="1491" t="n"/>
      <c r="BA541" s="1491" t="n"/>
      <c r="BB541" s="1491" t="n"/>
      <c r="BC541" s="1491" t="n"/>
      <c r="BD541" s="1491" t="n"/>
      <c r="BE541" s="1491" t="n"/>
      <c r="BF541" s="1491" t="n"/>
      <c r="BG541" s="1491" t="n"/>
      <c r="BH541" s="1491" t="n"/>
      <c r="BI541" s="1491" t="n"/>
      <c r="BJ541" s="1491" t="n"/>
      <c r="BK541" s="1491" t="n"/>
      <c r="BL541" s="1491" t="n"/>
      <c r="BM541" s="1491" t="n"/>
      <c r="BN541" s="1491" t="n"/>
      <c r="BO541" s="1467" t="n"/>
      <c r="BP541" s="1514" t="n">
        <v>537</v>
      </c>
      <c r="BQ541" s="1513">
        <f>[1]Sheet1!C542</f>
        <v/>
      </c>
      <c r="BR541" s="1515">
        <f>[1]Sheet1!D542</f>
        <v/>
      </c>
      <c r="BS541" s="1513">
        <f>[1]Sheet1!E542</f>
        <v/>
      </c>
      <c r="BT541" s="1515">
        <f>[1]Sheet1!F542</f>
        <v/>
      </c>
      <c r="BU541" s="1516">
        <f>[1]Sheet1!G542</f>
        <v/>
      </c>
      <c r="BV541" s="1513">
        <f>[1]Sheet1!H542</f>
        <v/>
      </c>
      <c r="BW541" s="1467" t="n"/>
      <c r="BX541" s="1491" t="n"/>
      <c r="BY541" s="1491" t="n"/>
      <c r="BZ541" s="1491" t="n"/>
      <c r="CA541" s="1491" t="n"/>
      <c r="CB541" s="1467" t="n"/>
      <c r="CC541" s="1467" t="n"/>
      <c r="CD541" s="1491" t="n"/>
      <c r="CE541" s="1491" t="n"/>
      <c r="CF541" s="1491" t="n"/>
      <c r="CG541" s="1491" t="n"/>
      <c r="CH541" s="1491" t="n"/>
      <c r="CI541" s="1491" t="n"/>
      <c r="CJ541" s="1491" t="n"/>
      <c r="CK541" s="1491" t="n"/>
      <c r="CL541" s="1491" t="n"/>
      <c r="CM541" s="1491" t="n"/>
      <c r="CN541" s="1491" t="n"/>
      <c r="CO541" s="1491" t="n"/>
      <c r="CP541" s="1491" t="n"/>
      <c r="CQ541" s="1491" t="n"/>
      <c r="CR541" s="1491" t="n"/>
      <c r="CS541" s="1491" t="n"/>
      <c r="CT541" s="1491" t="n"/>
      <c r="CU541" s="1491" t="n"/>
      <c r="CV541" s="1491" t="n"/>
      <c r="CW541" s="1491" t="n"/>
      <c r="CX541" s="1491" t="n"/>
    </row>
    <row r="542">
      <c r="A542" s="1491" t="n"/>
      <c r="B542" s="1491" t="n"/>
      <c r="C542" s="1491" t="n"/>
      <c r="D542" s="1497">
        <f>IF(E542&lt;&gt;"",D541+1,D541)</f>
        <v/>
      </c>
      <c r="E542" s="1497" t="inlineStr">
        <is>
          <t>s'Hertogenbosch</t>
        </is>
      </c>
      <c r="F542" s="1535" t="inlineStr">
        <is>
          <t>.</t>
        </is>
      </c>
      <c r="G542" s="1498">
        <f>IF(H542="AIR",0,IF(H541="AIR",G540+1,IF(H542&lt;&gt;"",G541+1,G541)))</f>
        <v/>
      </c>
      <c r="H542" s="1498" t="inlineStr">
        <is>
          <t>Saint Jerome</t>
        </is>
      </c>
      <c r="I542" s="1427" t="inlineStr">
        <is>
          <t>.</t>
        </is>
      </c>
      <c r="J542" s="1499" t="n">
        <v>537</v>
      </c>
      <c r="K542" s="1500">
        <f>_xlfn.XLOOKUP(cities[[#This Row],[id]],$D$5:$D$1500,E$5:E$1500,"-")</f>
        <v/>
      </c>
      <c r="L542" s="1500">
        <f>_xlfn.XLOOKUP(cities[[#This Row],[city]],ccc[city],ccc[ctry],"-")</f>
        <v/>
      </c>
      <c r="M542" s="1500">
        <f>SUMIFS(stayCity[stay],stayCity[city],cities[[#This Row],[city]])</f>
        <v/>
      </c>
      <c r="N542" s="1427">
        <f>N541+1</f>
        <v/>
      </c>
      <c r="O542" s="1500" t="n"/>
      <c r="P542" s="1500" t="n"/>
      <c r="Q542" s="1427" t="inlineStr">
        <is>
          <t>.</t>
        </is>
      </c>
      <c r="R542" s="1491" t="n"/>
      <c r="S542" s="1491" t="n"/>
      <c r="T542" s="1491" t="n"/>
      <c r="U542" s="1491" t="n"/>
      <c r="V542" s="1491" t="n"/>
      <c r="W542" s="1491" t="n"/>
      <c r="X542" s="1491" t="n"/>
      <c r="Y542" s="1491" t="n"/>
      <c r="Z542" s="1491" t="n"/>
      <c r="AA542" s="1491" t="n"/>
      <c r="AB542" s="1491" t="n"/>
      <c r="AC542" s="1491" t="n"/>
      <c r="AD542" s="1491" t="n"/>
      <c r="AE542" s="1491" t="n"/>
      <c r="AF542" s="1491" t="n"/>
      <c r="AG542" s="1491" t="n"/>
      <c r="AH542" s="1491" t="n"/>
      <c r="AI542" s="1491" t="n"/>
      <c r="AJ542" s="1491" t="n"/>
      <c r="AK542" s="1491" t="n"/>
      <c r="AL542" s="1491" t="n"/>
      <c r="AM542" s="1491" t="n"/>
      <c r="AN542" s="1491" t="n"/>
      <c r="AO542" s="1491" t="n"/>
      <c r="AP542" s="1491" t="n"/>
      <c r="AQ542" s="1491" t="n"/>
      <c r="AR542" s="1491" t="n"/>
      <c r="AS542" s="1491" t="n"/>
      <c r="AT542" s="1491" t="n"/>
      <c r="AU542" s="1491" t="n"/>
      <c r="AV542" s="1491" t="n"/>
      <c r="AW542" s="1491" t="n"/>
      <c r="AX542" s="1491" t="n"/>
      <c r="AY542" s="1491" t="n"/>
      <c r="AZ542" s="1491" t="n"/>
      <c r="BA542" s="1491" t="n"/>
      <c r="BB542" s="1491" t="n"/>
      <c r="BC542" s="1491" t="n"/>
      <c r="BD542" s="1491" t="n"/>
      <c r="BE542" s="1491" t="n"/>
      <c r="BF542" s="1491" t="n"/>
      <c r="BG542" s="1491" t="n"/>
      <c r="BH542" s="1491" t="n"/>
      <c r="BI542" s="1491" t="n"/>
      <c r="BJ542" s="1491" t="n"/>
      <c r="BK542" s="1491" t="n"/>
      <c r="BL542" s="1491" t="n"/>
      <c r="BM542" s="1491" t="n"/>
      <c r="BN542" s="1491" t="n"/>
      <c r="BO542" s="1467" t="n"/>
      <c r="BP542" s="1514" t="n">
        <v>538</v>
      </c>
      <c r="BQ542" s="1513">
        <f>[1]Sheet1!C543</f>
        <v/>
      </c>
      <c r="BR542" s="1515">
        <f>[1]Sheet1!D543</f>
        <v/>
      </c>
      <c r="BS542" s="1513">
        <f>[1]Sheet1!E543</f>
        <v/>
      </c>
      <c r="BT542" s="1515">
        <f>[1]Sheet1!F543</f>
        <v/>
      </c>
      <c r="BU542" s="1516">
        <f>[1]Sheet1!G543</f>
        <v/>
      </c>
      <c r="BV542" s="1513">
        <f>[1]Sheet1!H543</f>
        <v/>
      </c>
      <c r="BW542" s="1467" t="n"/>
      <c r="BX542" s="1491" t="n"/>
      <c r="BY542" s="1491" t="n"/>
      <c r="BZ542" s="1491" t="n"/>
      <c r="CA542" s="1491" t="n"/>
      <c r="CB542" s="1467" t="n"/>
      <c r="CC542" s="1467" t="n"/>
      <c r="CD542" s="1491" t="n"/>
      <c r="CE542" s="1491" t="n"/>
      <c r="CF542" s="1491" t="n"/>
      <c r="CG542" s="1491" t="n"/>
      <c r="CH542" s="1491" t="n"/>
      <c r="CI542" s="1491" t="n"/>
      <c r="CJ542" s="1491" t="n"/>
      <c r="CK542" s="1491" t="n"/>
      <c r="CL542" s="1491" t="n"/>
      <c r="CM542" s="1491" t="n"/>
      <c r="CN542" s="1491" t="n"/>
      <c r="CO542" s="1491" t="n"/>
      <c r="CP542" s="1491" t="n"/>
      <c r="CQ542" s="1491" t="n"/>
      <c r="CR542" s="1491" t="n"/>
      <c r="CS542" s="1491" t="n"/>
      <c r="CT542" s="1491" t="n"/>
      <c r="CU542" s="1491" t="n"/>
      <c r="CV542" s="1491" t="n"/>
      <c r="CW542" s="1491" t="n"/>
      <c r="CX542" s="1491" t="n"/>
    </row>
    <row r="543">
      <c r="A543" s="1491" t="n"/>
      <c r="B543" s="1491" t="n"/>
      <c r="C543" s="1491" t="n"/>
      <c r="D543" s="1497">
        <f>IF(E543&lt;&gt;"",D542+1,D542)</f>
        <v/>
      </c>
      <c r="E543" s="1497" t="inlineStr">
        <is>
          <t>Camping</t>
        </is>
      </c>
      <c r="F543" s="1535" t="inlineStr">
        <is>
          <t>.</t>
        </is>
      </c>
      <c r="G543" s="1498">
        <f>IF(H543="AIR",0,IF(H542="AIR",G541+1,IF(H543&lt;&gt;"",G542+1,G542)))</f>
        <v/>
      </c>
      <c r="H543" s="1498" t="inlineStr">
        <is>
          <t>Saint Anne des Plaines</t>
        </is>
      </c>
      <c r="I543" s="1427" t="inlineStr">
        <is>
          <t>.</t>
        </is>
      </c>
      <c r="J543" s="1499" t="n">
        <v>538</v>
      </c>
      <c r="K543" s="1500">
        <f>_xlfn.XLOOKUP(cities[[#This Row],[id]],$D$5:$D$1500,E$5:E$1500,"-")</f>
        <v/>
      </c>
      <c r="L543" s="1500">
        <f>_xlfn.XLOOKUP(cities[[#This Row],[city]],ccc[city],ccc[ctry],"-")</f>
        <v/>
      </c>
      <c r="M543" s="1500">
        <f>SUMIFS(stayCity[stay],stayCity[city],cities[[#This Row],[city]])</f>
        <v/>
      </c>
      <c r="N543" s="1427">
        <f>N542+1</f>
        <v/>
      </c>
      <c r="O543" s="1500" t="n"/>
      <c r="P543" s="1500" t="n"/>
      <c r="Q543" s="1427" t="inlineStr">
        <is>
          <t>.</t>
        </is>
      </c>
      <c r="R543" s="1491" t="n"/>
      <c r="S543" s="1491" t="n"/>
      <c r="T543" s="1491" t="n"/>
      <c r="U543" s="1491" t="n"/>
      <c r="V543" s="1491" t="n"/>
      <c r="W543" s="1491" t="n"/>
      <c r="X543" s="1491" t="n"/>
      <c r="Y543" s="1491" t="n"/>
      <c r="Z543" s="1491" t="n"/>
      <c r="AA543" s="1491" t="n"/>
      <c r="AB543" s="1491" t="n"/>
      <c r="AC543" s="1491" t="n"/>
      <c r="AD543" s="1491" t="n"/>
      <c r="AE543" s="1491" t="n"/>
      <c r="AF543" s="1491" t="n"/>
      <c r="AG543" s="1491" t="n"/>
      <c r="AH543" s="1491" t="n"/>
      <c r="AI543" s="1491" t="n"/>
      <c r="AJ543" s="1491" t="n"/>
      <c r="AK543" s="1491" t="n"/>
      <c r="AL543" s="1491" t="n"/>
      <c r="AM543" s="1491" t="n"/>
      <c r="AN543" s="1491" t="n"/>
      <c r="AO543" s="1491" t="n"/>
      <c r="AP543" s="1491" t="n"/>
      <c r="AQ543" s="1491" t="n"/>
      <c r="AR543" s="1491" t="n"/>
      <c r="AS543" s="1491" t="n"/>
      <c r="AT543" s="1491" t="n"/>
      <c r="AU543" s="1491" t="n"/>
      <c r="AV543" s="1491" t="n"/>
      <c r="AW543" s="1491" t="n"/>
      <c r="AX543" s="1491" t="n"/>
      <c r="AY543" s="1491" t="n"/>
      <c r="AZ543" s="1491" t="n"/>
      <c r="BA543" s="1491" t="n"/>
      <c r="BB543" s="1491" t="n"/>
      <c r="BC543" s="1491" t="n"/>
      <c r="BD543" s="1491" t="n"/>
      <c r="BE543" s="1491" t="n"/>
      <c r="BF543" s="1491" t="n"/>
      <c r="BG543" s="1491" t="n"/>
      <c r="BH543" s="1491" t="n"/>
      <c r="BI543" s="1491" t="n"/>
      <c r="BJ543" s="1491" t="n"/>
      <c r="BK543" s="1491" t="n"/>
      <c r="BL543" s="1491" t="n"/>
      <c r="BM543" s="1491" t="n"/>
      <c r="BN543" s="1491" t="n"/>
      <c r="BO543" s="1467" t="n"/>
      <c r="BP543" s="1514" t="n">
        <v>539</v>
      </c>
      <c r="BQ543" s="1513">
        <f>[1]Sheet1!C544</f>
        <v/>
      </c>
      <c r="BR543" s="1515">
        <f>[1]Sheet1!D544</f>
        <v/>
      </c>
      <c r="BS543" s="1513">
        <f>[1]Sheet1!E544</f>
        <v/>
      </c>
      <c r="BT543" s="1515">
        <f>[1]Sheet1!F544</f>
        <v/>
      </c>
      <c r="BU543" s="1516">
        <f>[1]Sheet1!G544</f>
        <v/>
      </c>
      <c r="BV543" s="1513">
        <f>[1]Sheet1!H544</f>
        <v/>
      </c>
      <c r="BW543" s="1467" t="n"/>
      <c r="BX543" s="1491" t="n"/>
      <c r="BY543" s="1491" t="n"/>
      <c r="BZ543" s="1491" t="n"/>
      <c r="CA543" s="1491" t="n"/>
      <c r="CB543" s="1467" t="n"/>
      <c r="CC543" s="1467" t="n"/>
      <c r="CD543" s="1491" t="n"/>
      <c r="CE543" s="1491" t="n"/>
      <c r="CF543" s="1491" t="n"/>
      <c r="CG543" s="1491" t="n"/>
      <c r="CH543" s="1491" t="n"/>
      <c r="CI543" s="1491" t="n"/>
      <c r="CJ543" s="1491" t="n"/>
      <c r="CK543" s="1491" t="n"/>
      <c r="CL543" s="1491" t="n"/>
      <c r="CM543" s="1491" t="n"/>
      <c r="CN543" s="1491" t="n"/>
      <c r="CO543" s="1491" t="n"/>
      <c r="CP543" s="1491" t="n"/>
      <c r="CQ543" s="1491" t="n"/>
      <c r="CR543" s="1491" t="n"/>
      <c r="CS543" s="1491" t="n"/>
      <c r="CT543" s="1491" t="n"/>
      <c r="CU543" s="1491" t="n"/>
      <c r="CV543" s="1491" t="n"/>
      <c r="CW543" s="1491" t="n"/>
      <c r="CX543" s="1491" t="n"/>
    </row>
    <row r="544">
      <c r="A544" s="1491" t="n"/>
      <c r="B544" s="1491" t="n"/>
      <c r="C544" s="1491" t="n"/>
      <c r="D544" s="1497">
        <f>IF(E544&lt;&gt;"",D543+1,D543)</f>
        <v/>
      </c>
      <c r="E544" s="1497" t="inlineStr">
        <is>
          <t>Eindhoven</t>
        </is>
      </c>
      <c r="F544" s="1535" t="inlineStr">
        <is>
          <t>.</t>
        </is>
      </c>
      <c r="G544" s="1498">
        <f>IF(H544="AIR",0,IF(H543="AIR",G542+1,IF(H544&lt;&gt;"",G543+1,G543)))</f>
        <v/>
      </c>
      <c r="H544" s="1498" t="inlineStr">
        <is>
          <t>Terrebonne</t>
        </is>
      </c>
      <c r="I544" s="1427" t="inlineStr">
        <is>
          <t>.</t>
        </is>
      </c>
      <c r="J544" s="1499" t="n">
        <v>539</v>
      </c>
      <c r="K544" s="1500">
        <f>_xlfn.XLOOKUP(cities[[#This Row],[id]],$D$5:$D$1500,E$5:E$1500,"-")</f>
        <v/>
      </c>
      <c r="L544" s="1500">
        <f>_xlfn.XLOOKUP(cities[[#This Row],[city]],ccc[city],ccc[ctry],"-")</f>
        <v/>
      </c>
      <c r="M544" s="1500">
        <f>SUMIFS(stayCity[stay],stayCity[city],cities[[#This Row],[city]])</f>
        <v/>
      </c>
      <c r="N544" s="1427">
        <f>N543+1</f>
        <v/>
      </c>
      <c r="O544" s="1500" t="n"/>
      <c r="P544" s="1500" t="n"/>
      <c r="Q544" s="1427" t="inlineStr">
        <is>
          <t>.</t>
        </is>
      </c>
      <c r="R544" s="1491" t="n"/>
      <c r="S544" s="1491" t="n"/>
      <c r="T544" s="1491" t="n"/>
      <c r="U544" s="1491" t="n"/>
      <c r="V544" s="1491" t="n"/>
      <c r="W544" s="1491" t="n"/>
      <c r="X544" s="1491" t="n"/>
      <c r="Y544" s="1491" t="n"/>
      <c r="Z544" s="1491" t="n"/>
      <c r="AA544" s="1491" t="n"/>
      <c r="AB544" s="1491" t="n"/>
      <c r="AC544" s="1491" t="n"/>
      <c r="AD544" s="1491" t="n"/>
      <c r="AE544" s="1491" t="n"/>
      <c r="AF544" s="1491" t="n"/>
      <c r="AG544" s="1491" t="n"/>
      <c r="AH544" s="1491" t="n"/>
      <c r="AI544" s="1491" t="n"/>
      <c r="AJ544" s="1491" t="n"/>
      <c r="AK544" s="1491" t="n"/>
      <c r="AL544" s="1491" t="n"/>
      <c r="AM544" s="1491" t="n"/>
      <c r="AN544" s="1491" t="n"/>
      <c r="AO544" s="1491" t="n"/>
      <c r="AP544" s="1491" t="n"/>
      <c r="AQ544" s="1491" t="n"/>
      <c r="AR544" s="1491" t="n"/>
      <c r="AS544" s="1491" t="n"/>
      <c r="AT544" s="1491" t="n"/>
      <c r="AU544" s="1491" t="n"/>
      <c r="AV544" s="1491" t="n"/>
      <c r="AW544" s="1491" t="n"/>
      <c r="AX544" s="1491" t="n"/>
      <c r="AY544" s="1491" t="n"/>
      <c r="AZ544" s="1491" t="n"/>
      <c r="BA544" s="1491" t="n"/>
      <c r="BB544" s="1491" t="n"/>
      <c r="BC544" s="1491" t="n"/>
      <c r="BD544" s="1491" t="n"/>
      <c r="BE544" s="1491" t="n"/>
      <c r="BF544" s="1491" t="n"/>
      <c r="BG544" s="1491" t="n"/>
      <c r="BH544" s="1491" t="n"/>
      <c r="BI544" s="1491" t="n"/>
      <c r="BJ544" s="1491" t="n"/>
      <c r="BK544" s="1491" t="n"/>
      <c r="BL544" s="1491" t="n"/>
      <c r="BM544" s="1491" t="n"/>
      <c r="BN544" s="1491" t="n"/>
      <c r="BO544" s="1467" t="n"/>
      <c r="BP544" s="1514" t="n">
        <v>540</v>
      </c>
      <c r="BQ544" s="1513">
        <f>[1]Sheet1!C545</f>
        <v/>
      </c>
      <c r="BR544" s="1515">
        <f>[1]Sheet1!D545</f>
        <v/>
      </c>
      <c r="BS544" s="1513">
        <f>[1]Sheet1!E545</f>
        <v/>
      </c>
      <c r="BT544" s="1515">
        <f>[1]Sheet1!F545</f>
        <v/>
      </c>
      <c r="BU544" s="1516">
        <f>[1]Sheet1!G545</f>
        <v/>
      </c>
      <c r="BV544" s="1513">
        <f>[1]Sheet1!H545</f>
        <v/>
      </c>
      <c r="BW544" s="1467" t="n"/>
      <c r="BX544" s="1491" t="n"/>
      <c r="BY544" s="1491" t="n"/>
      <c r="BZ544" s="1491" t="n"/>
      <c r="CA544" s="1491" t="n"/>
      <c r="CB544" s="1467" t="n"/>
      <c r="CC544" s="1467" t="n"/>
      <c r="CD544" s="1491" t="n"/>
      <c r="CE544" s="1491" t="n"/>
      <c r="CF544" s="1491" t="n"/>
      <c r="CG544" s="1491" t="n"/>
      <c r="CH544" s="1491" t="n"/>
      <c r="CI544" s="1491" t="n"/>
      <c r="CJ544" s="1491" t="n"/>
      <c r="CK544" s="1491" t="n"/>
      <c r="CL544" s="1491" t="n"/>
      <c r="CM544" s="1491" t="n"/>
      <c r="CN544" s="1491" t="n"/>
      <c r="CO544" s="1491" t="n"/>
      <c r="CP544" s="1491" t="n"/>
      <c r="CQ544" s="1491" t="n"/>
      <c r="CR544" s="1491" t="n"/>
      <c r="CS544" s="1491" t="n"/>
      <c r="CT544" s="1491" t="n"/>
      <c r="CU544" s="1491" t="n"/>
      <c r="CV544" s="1491" t="n"/>
      <c r="CW544" s="1491" t="n"/>
      <c r="CX544" s="1491" t="n"/>
    </row>
    <row r="545">
      <c r="A545" s="1491" t="n"/>
      <c r="B545" s="1491" t="n"/>
      <c r="C545" s="1491" t="n"/>
      <c r="D545" s="1497">
        <f>IF(E545&lt;&gt;"",D544+1,D544)</f>
        <v/>
      </c>
      <c r="E545" s="1497" t="inlineStr">
        <is>
          <t>Valkenswaard</t>
        </is>
      </c>
      <c r="F545" s="1535" t="inlineStr">
        <is>
          <t>.</t>
        </is>
      </c>
      <c r="G545" s="1498">
        <f>IF(H545="AIR",0,IF(H544="AIR",G543+1,IF(H545&lt;&gt;"",G544+1,G544)))</f>
        <v/>
      </c>
      <c r="H545" s="1498" t="inlineStr">
        <is>
          <t>Lorraine</t>
        </is>
      </c>
      <c r="I545" s="1427" t="inlineStr">
        <is>
          <t>.</t>
        </is>
      </c>
      <c r="J545" s="1499" t="n">
        <v>540</v>
      </c>
      <c r="K545" s="1500">
        <f>_xlfn.XLOOKUP(cities[[#This Row],[id]],$D$5:$D$1500,E$5:E$1500,"-")</f>
        <v/>
      </c>
      <c r="L545" s="1500">
        <f>_xlfn.XLOOKUP(cities[[#This Row],[city]],ccc[city],ccc[ctry],"-")</f>
        <v/>
      </c>
      <c r="M545" s="1500">
        <f>SUMIFS(stayCity[stay],stayCity[city],cities[[#This Row],[city]])</f>
        <v/>
      </c>
      <c r="N545" s="1427">
        <f>N544+1</f>
        <v/>
      </c>
      <c r="O545" s="1500" t="n"/>
      <c r="P545" s="1500" t="n"/>
      <c r="Q545" s="1427" t="inlineStr">
        <is>
          <t>.</t>
        </is>
      </c>
      <c r="R545" s="1491" t="n"/>
      <c r="S545" s="1491" t="n"/>
      <c r="T545" s="1491" t="n"/>
      <c r="U545" s="1491" t="n"/>
      <c r="V545" s="1491" t="n"/>
      <c r="W545" s="1491" t="n"/>
      <c r="X545" s="1491" t="n"/>
      <c r="Y545" s="1491" t="n"/>
      <c r="Z545" s="1491" t="n"/>
      <c r="AA545" s="1491" t="n"/>
      <c r="AB545" s="1491" t="n"/>
      <c r="AC545" s="1491" t="n"/>
      <c r="AD545" s="1491" t="n"/>
      <c r="AE545" s="1491" t="n"/>
      <c r="AF545" s="1491" t="n"/>
      <c r="AG545" s="1491" t="n"/>
      <c r="AH545" s="1491" t="n"/>
      <c r="AI545" s="1491" t="n"/>
      <c r="AJ545" s="1491" t="n"/>
      <c r="AK545" s="1491" t="n"/>
      <c r="AL545" s="1491" t="n"/>
      <c r="AM545" s="1491" t="n"/>
      <c r="AN545" s="1491" t="n"/>
      <c r="AO545" s="1491" t="n"/>
      <c r="AP545" s="1491" t="n"/>
      <c r="AQ545" s="1491" t="n"/>
      <c r="AR545" s="1491" t="n"/>
      <c r="AS545" s="1491" t="n"/>
      <c r="AT545" s="1491" t="n"/>
      <c r="AU545" s="1491" t="n"/>
      <c r="AV545" s="1491" t="n"/>
      <c r="AW545" s="1491" t="n"/>
      <c r="AX545" s="1491" t="n"/>
      <c r="AY545" s="1491" t="n"/>
      <c r="AZ545" s="1491" t="n"/>
      <c r="BA545" s="1491" t="n"/>
      <c r="BB545" s="1491" t="n"/>
      <c r="BC545" s="1491" t="n"/>
      <c r="BD545" s="1491" t="n"/>
      <c r="BE545" s="1491" t="n"/>
      <c r="BF545" s="1491" t="n"/>
      <c r="BG545" s="1491" t="n"/>
      <c r="BH545" s="1491" t="n"/>
      <c r="BI545" s="1491" t="n"/>
      <c r="BJ545" s="1491" t="n"/>
      <c r="BK545" s="1491" t="n"/>
      <c r="BL545" s="1491" t="n"/>
      <c r="BM545" s="1491" t="n"/>
      <c r="BN545" s="1491" t="n"/>
      <c r="BO545" s="1467" t="n"/>
      <c r="BP545" s="1514" t="n">
        <v>541</v>
      </c>
      <c r="BQ545" s="1513">
        <f>[1]Sheet1!C546</f>
        <v/>
      </c>
      <c r="BR545" s="1515">
        <f>[1]Sheet1!D546</f>
        <v/>
      </c>
      <c r="BS545" s="1513">
        <f>[1]Sheet1!E546</f>
        <v/>
      </c>
      <c r="BT545" s="1515">
        <f>[1]Sheet1!F546</f>
        <v/>
      </c>
      <c r="BU545" s="1516">
        <f>[1]Sheet1!G546</f>
        <v/>
      </c>
      <c r="BV545" s="1513">
        <f>[1]Sheet1!H546</f>
        <v/>
      </c>
      <c r="BW545" s="1467" t="n"/>
      <c r="BX545" s="1491" t="n"/>
      <c r="BY545" s="1491" t="n"/>
      <c r="BZ545" s="1491" t="n"/>
      <c r="CA545" s="1491" t="n"/>
      <c r="CB545" s="1467" t="n"/>
      <c r="CC545" s="1467" t="n"/>
      <c r="CD545" s="1491" t="n"/>
      <c r="CE545" s="1491" t="n"/>
      <c r="CF545" s="1491" t="n"/>
      <c r="CG545" s="1491" t="n"/>
      <c r="CH545" s="1491" t="n"/>
      <c r="CI545" s="1491" t="n"/>
      <c r="CJ545" s="1491" t="n"/>
      <c r="CK545" s="1491" t="n"/>
      <c r="CL545" s="1491" t="n"/>
      <c r="CM545" s="1491" t="n"/>
      <c r="CN545" s="1491" t="n"/>
      <c r="CO545" s="1491" t="n"/>
      <c r="CP545" s="1491" t="n"/>
      <c r="CQ545" s="1491" t="n"/>
      <c r="CR545" s="1491" t="n"/>
      <c r="CS545" s="1491" t="n"/>
      <c r="CT545" s="1491" t="n"/>
      <c r="CU545" s="1491" t="n"/>
      <c r="CV545" s="1491" t="n"/>
      <c r="CW545" s="1491" t="n"/>
      <c r="CX545" s="1491" t="n"/>
    </row>
    <row r="546">
      <c r="A546" s="1491" t="n"/>
      <c r="B546" s="1491" t="n"/>
      <c r="C546" s="1491" t="n"/>
      <c r="D546" s="1497">
        <f>IF(E546&lt;&gt;"",D545+1,D545)</f>
        <v/>
      </c>
      <c r="E546" s="1497" t="inlineStr">
        <is>
          <t>Achel</t>
        </is>
      </c>
      <c r="F546" s="1535" t="inlineStr">
        <is>
          <t>.</t>
        </is>
      </c>
      <c r="G546" s="1498">
        <f>IF(H546="AIR",0,IF(H545="AIR",G544+1,IF(H546&lt;&gt;"",G545+1,G545)))</f>
        <v/>
      </c>
      <c r="H546" s="1498" t="inlineStr">
        <is>
          <t>The Hague</t>
        </is>
      </c>
      <c r="I546" s="1427" t="inlineStr">
        <is>
          <t>.</t>
        </is>
      </c>
      <c r="J546" s="1499" t="n">
        <v>541</v>
      </c>
      <c r="K546" s="1500">
        <f>_xlfn.XLOOKUP(cities[[#This Row],[id]],$D$5:$D$1500,E$5:E$1500,"-")</f>
        <v/>
      </c>
      <c r="L546" s="1500">
        <f>_xlfn.XLOOKUP(cities[[#This Row],[city]],ccc[city],ccc[ctry],"-")</f>
        <v/>
      </c>
      <c r="M546" s="1500">
        <f>SUMIFS(stayCity[stay],stayCity[city],cities[[#This Row],[city]])</f>
        <v/>
      </c>
      <c r="N546" s="1427">
        <f>N545+1</f>
        <v/>
      </c>
      <c r="O546" s="1500" t="n"/>
      <c r="P546" s="1500" t="n"/>
      <c r="Q546" s="1427" t="inlineStr">
        <is>
          <t>.</t>
        </is>
      </c>
      <c r="R546" s="1491" t="n"/>
      <c r="S546" s="1491" t="n"/>
      <c r="T546" s="1491" t="n"/>
      <c r="U546" s="1491" t="n"/>
      <c r="V546" s="1491" t="n"/>
      <c r="W546" s="1491" t="n"/>
      <c r="X546" s="1491" t="n"/>
      <c r="Y546" s="1491" t="n"/>
      <c r="Z546" s="1491" t="n"/>
      <c r="AA546" s="1491" t="n"/>
      <c r="AB546" s="1491" t="n"/>
      <c r="AC546" s="1491" t="n"/>
      <c r="AD546" s="1491" t="n"/>
      <c r="AE546" s="1491" t="n"/>
      <c r="AF546" s="1491" t="n"/>
      <c r="AG546" s="1491" t="n"/>
      <c r="AH546" s="1491" t="n"/>
      <c r="AI546" s="1491" t="n"/>
      <c r="AJ546" s="1491" t="n"/>
      <c r="AK546" s="1491" t="n"/>
      <c r="AL546" s="1491" t="n"/>
      <c r="AM546" s="1491" t="n"/>
      <c r="AN546" s="1491" t="n"/>
      <c r="AO546" s="1491" t="n"/>
      <c r="AP546" s="1491" t="n"/>
      <c r="AQ546" s="1491" t="n"/>
      <c r="AR546" s="1491" t="n"/>
      <c r="AS546" s="1491" t="n"/>
      <c r="AT546" s="1491" t="n"/>
      <c r="AU546" s="1491" t="n"/>
      <c r="AV546" s="1491" t="n"/>
      <c r="AW546" s="1491" t="n"/>
      <c r="AX546" s="1491" t="n"/>
      <c r="AY546" s="1491" t="n"/>
      <c r="AZ546" s="1491" t="n"/>
      <c r="BA546" s="1491" t="n"/>
      <c r="BB546" s="1491" t="n"/>
      <c r="BC546" s="1491" t="n"/>
      <c r="BD546" s="1491" t="n"/>
      <c r="BE546" s="1491" t="n"/>
      <c r="BF546" s="1491" t="n"/>
      <c r="BG546" s="1491" t="n"/>
      <c r="BH546" s="1491" t="n"/>
      <c r="BI546" s="1491" t="n"/>
      <c r="BJ546" s="1491" t="n"/>
      <c r="BK546" s="1491" t="n"/>
      <c r="BL546" s="1491" t="n"/>
      <c r="BM546" s="1491" t="n"/>
      <c r="BN546" s="1491" t="n"/>
      <c r="BO546" s="1467" t="n"/>
      <c r="BP546" s="1514" t="n">
        <v>542</v>
      </c>
      <c r="BQ546" s="1513">
        <f>[1]Sheet1!C547</f>
        <v/>
      </c>
      <c r="BR546" s="1515">
        <f>[1]Sheet1!D547</f>
        <v/>
      </c>
      <c r="BS546" s="1513">
        <f>[1]Sheet1!E547</f>
        <v/>
      </c>
      <c r="BT546" s="1515">
        <f>[1]Sheet1!F547</f>
        <v/>
      </c>
      <c r="BU546" s="1516">
        <f>[1]Sheet1!G547</f>
        <v/>
      </c>
      <c r="BV546" s="1513">
        <f>[1]Sheet1!H547</f>
        <v/>
      </c>
      <c r="BW546" s="1467" t="n"/>
      <c r="BX546" s="1491" t="n"/>
      <c r="BY546" s="1491" t="n"/>
      <c r="BZ546" s="1491" t="n"/>
      <c r="CA546" s="1491" t="n"/>
      <c r="CB546" s="1467" t="n"/>
      <c r="CC546" s="1467" t="n"/>
      <c r="CD546" s="1491" t="n"/>
      <c r="CE546" s="1491" t="n"/>
      <c r="CF546" s="1491" t="n"/>
      <c r="CG546" s="1491" t="n"/>
      <c r="CH546" s="1491" t="n"/>
      <c r="CI546" s="1491" t="n"/>
      <c r="CJ546" s="1491" t="n"/>
      <c r="CK546" s="1491" t="n"/>
      <c r="CL546" s="1491" t="n"/>
      <c r="CM546" s="1491" t="n"/>
      <c r="CN546" s="1491" t="n"/>
      <c r="CO546" s="1491" t="n"/>
      <c r="CP546" s="1491" t="n"/>
      <c r="CQ546" s="1491" t="n"/>
      <c r="CR546" s="1491" t="n"/>
      <c r="CS546" s="1491" t="n"/>
      <c r="CT546" s="1491" t="n"/>
      <c r="CU546" s="1491" t="n"/>
      <c r="CV546" s="1491" t="n"/>
      <c r="CW546" s="1491" t="n"/>
      <c r="CX546" s="1491" t="n"/>
    </row>
    <row r="547">
      <c r="A547" s="1491" t="n"/>
      <c r="B547" s="1491" t="n"/>
      <c r="C547" s="1491" t="n"/>
      <c r="D547" s="1497">
        <f>IF(E547&lt;&gt;"",D546+1,D546)</f>
        <v/>
      </c>
      <c r="E547" s="1497" t="inlineStr">
        <is>
          <t>Maastricht</t>
        </is>
      </c>
      <c r="F547" s="1535" t="inlineStr">
        <is>
          <t>.</t>
        </is>
      </c>
      <c r="G547" s="1498">
        <f>IF(H547="AIR",0,IF(H546="AIR",G545+1,IF(H547&lt;&gt;"",G546+1,G546)))</f>
        <v/>
      </c>
      <c r="H547" s="1498" t="inlineStr">
        <is>
          <t>Delft</t>
        </is>
      </c>
      <c r="I547" s="1427" t="inlineStr">
        <is>
          <t>.</t>
        </is>
      </c>
      <c r="J547" s="1499" t="n">
        <v>542</v>
      </c>
      <c r="K547" s="1500">
        <f>_xlfn.XLOOKUP(cities[[#This Row],[id]],$D$5:$D$1500,E$5:E$1500,"-")</f>
        <v/>
      </c>
      <c r="L547" s="1500">
        <f>_xlfn.XLOOKUP(cities[[#This Row],[city]],ccc[city],ccc[ctry],"-")</f>
        <v/>
      </c>
      <c r="M547" s="1500">
        <f>SUMIFS(stayCity[stay],stayCity[city],cities[[#This Row],[city]])</f>
        <v/>
      </c>
      <c r="N547" s="1427">
        <f>N546+1</f>
        <v/>
      </c>
      <c r="O547" s="1500" t="n"/>
      <c r="P547" s="1500" t="n"/>
      <c r="Q547" s="1427" t="inlineStr">
        <is>
          <t>.</t>
        </is>
      </c>
      <c r="R547" s="1491" t="n"/>
      <c r="S547" s="1491" t="n"/>
      <c r="T547" s="1491" t="n"/>
      <c r="U547" s="1491" t="n"/>
      <c r="V547" s="1491" t="n"/>
      <c r="W547" s="1491" t="n"/>
      <c r="X547" s="1491" t="n"/>
      <c r="Y547" s="1491" t="n"/>
      <c r="Z547" s="1491" t="n"/>
      <c r="AA547" s="1491" t="n"/>
      <c r="AB547" s="1491" t="n"/>
      <c r="AC547" s="1491" t="n"/>
      <c r="AD547" s="1491" t="n"/>
      <c r="AE547" s="1491" t="n"/>
      <c r="AF547" s="1491" t="n"/>
      <c r="AG547" s="1491" t="n"/>
      <c r="AH547" s="1491" t="n"/>
      <c r="AI547" s="1491" t="n"/>
      <c r="AJ547" s="1491" t="n"/>
      <c r="AK547" s="1491" t="n"/>
      <c r="AL547" s="1491" t="n"/>
      <c r="AM547" s="1491" t="n"/>
      <c r="AN547" s="1491" t="n"/>
      <c r="AO547" s="1491" t="n"/>
      <c r="AP547" s="1491" t="n"/>
      <c r="AQ547" s="1491" t="n"/>
      <c r="AR547" s="1491" t="n"/>
      <c r="AS547" s="1491" t="n"/>
      <c r="AT547" s="1491" t="n"/>
      <c r="AU547" s="1491" t="n"/>
      <c r="AV547" s="1491" t="n"/>
      <c r="AW547" s="1491" t="n"/>
      <c r="AX547" s="1491" t="n"/>
      <c r="AY547" s="1491" t="n"/>
      <c r="AZ547" s="1491" t="n"/>
      <c r="BA547" s="1491" t="n"/>
      <c r="BB547" s="1491" t="n"/>
      <c r="BC547" s="1491" t="n"/>
      <c r="BD547" s="1491" t="n"/>
      <c r="BE547" s="1491" t="n"/>
      <c r="BF547" s="1491" t="n"/>
      <c r="BG547" s="1491" t="n"/>
      <c r="BH547" s="1491" t="n"/>
      <c r="BI547" s="1491" t="n"/>
      <c r="BJ547" s="1491" t="n"/>
      <c r="BK547" s="1491" t="n"/>
      <c r="BL547" s="1491" t="n"/>
      <c r="BM547" s="1491" t="n"/>
      <c r="BN547" s="1491" t="n"/>
      <c r="BO547" s="1467" t="n"/>
      <c r="BP547" s="1514" t="n">
        <v>543</v>
      </c>
      <c r="BQ547" s="1513">
        <f>[1]Sheet1!C548</f>
        <v/>
      </c>
      <c r="BR547" s="1515">
        <f>[1]Sheet1!D548</f>
        <v/>
      </c>
      <c r="BS547" s="1513">
        <f>[1]Sheet1!E548</f>
        <v/>
      </c>
      <c r="BT547" s="1515">
        <f>[1]Sheet1!F548</f>
        <v/>
      </c>
      <c r="BU547" s="1516">
        <f>[1]Sheet1!G548</f>
        <v/>
      </c>
      <c r="BV547" s="1513">
        <f>[1]Sheet1!H548</f>
        <v/>
      </c>
      <c r="BW547" s="1467" t="n"/>
      <c r="BX547" s="1491" t="n"/>
      <c r="BY547" s="1491" t="n"/>
      <c r="BZ547" s="1491" t="n"/>
      <c r="CA547" s="1491" t="n"/>
      <c r="CB547" s="1467" t="n"/>
      <c r="CC547" s="1467" t="n"/>
      <c r="CD547" s="1491" t="n"/>
      <c r="CE547" s="1491" t="n"/>
      <c r="CF547" s="1491" t="n"/>
      <c r="CG547" s="1491" t="n"/>
      <c r="CH547" s="1491" t="n"/>
      <c r="CI547" s="1491" t="n"/>
      <c r="CJ547" s="1491" t="n"/>
      <c r="CK547" s="1491" t="n"/>
      <c r="CL547" s="1491" t="n"/>
      <c r="CM547" s="1491" t="n"/>
      <c r="CN547" s="1491" t="n"/>
      <c r="CO547" s="1491" t="n"/>
      <c r="CP547" s="1491" t="n"/>
      <c r="CQ547" s="1491" t="n"/>
      <c r="CR547" s="1491" t="n"/>
      <c r="CS547" s="1491" t="n"/>
      <c r="CT547" s="1491" t="n"/>
      <c r="CU547" s="1491" t="n"/>
      <c r="CV547" s="1491" t="n"/>
      <c r="CW547" s="1491" t="n"/>
      <c r="CX547" s="1491" t="n"/>
    </row>
    <row r="548">
      <c r="A548" s="1491" t="n"/>
      <c r="B548" s="1491" t="n"/>
      <c r="C548" s="1491" t="n"/>
      <c r="D548" s="1497">
        <f>IF(E548&lt;&gt;"",D547+1,D547)</f>
        <v/>
      </c>
      <c r="E548" s="1497" t="inlineStr">
        <is>
          <t>Gulpen</t>
        </is>
      </c>
      <c r="F548" s="1535" t="inlineStr">
        <is>
          <t>.</t>
        </is>
      </c>
      <c r="G548" s="1498">
        <f>IF(H548="AIR",0,IF(H547="AIR",G546+1,IF(H548&lt;&gt;"",G547+1,G547)))</f>
        <v/>
      </c>
      <c r="H548" s="1498" t="inlineStr">
        <is>
          <t>Zevenhuis</t>
        </is>
      </c>
      <c r="I548" s="1427" t="inlineStr">
        <is>
          <t>.</t>
        </is>
      </c>
      <c r="J548" s="1499" t="n">
        <v>543</v>
      </c>
      <c r="K548" s="1500">
        <f>_xlfn.XLOOKUP(cities[[#This Row],[id]],$D$5:$D$1500,E$5:E$1500,"-")</f>
        <v/>
      </c>
      <c r="L548" s="1500">
        <f>_xlfn.XLOOKUP(cities[[#This Row],[city]],ccc[city],ccc[ctry],"-")</f>
        <v/>
      </c>
      <c r="M548" s="1500">
        <f>SUMIFS(stayCity[stay],stayCity[city],cities[[#This Row],[city]])</f>
        <v/>
      </c>
      <c r="N548" s="1427">
        <f>N547+1</f>
        <v/>
      </c>
      <c r="O548" s="1500" t="n"/>
      <c r="P548" s="1500" t="n"/>
      <c r="Q548" s="1427" t="inlineStr">
        <is>
          <t>.</t>
        </is>
      </c>
      <c r="R548" s="1491" t="n"/>
      <c r="S548" s="1491" t="n"/>
      <c r="T548" s="1491" t="n"/>
      <c r="U548" s="1491" t="n"/>
      <c r="V548" s="1491" t="n"/>
      <c r="W548" s="1491" t="n"/>
      <c r="X548" s="1491" t="n"/>
      <c r="Y548" s="1491" t="n"/>
      <c r="Z548" s="1491" t="n"/>
      <c r="AA548" s="1491" t="n"/>
      <c r="AB548" s="1491" t="n"/>
      <c r="AC548" s="1491" t="n"/>
      <c r="AD548" s="1491" t="n"/>
      <c r="AE548" s="1491" t="n"/>
      <c r="AF548" s="1491" t="n"/>
      <c r="AG548" s="1491" t="n"/>
      <c r="AH548" s="1491" t="n"/>
      <c r="AI548" s="1491" t="n"/>
      <c r="AJ548" s="1491" t="n"/>
      <c r="AK548" s="1491" t="n"/>
      <c r="AL548" s="1491" t="n"/>
      <c r="AM548" s="1491" t="n"/>
      <c r="AN548" s="1491" t="n"/>
      <c r="AO548" s="1491" t="n"/>
      <c r="AP548" s="1491" t="n"/>
      <c r="AQ548" s="1491" t="n"/>
      <c r="AR548" s="1491" t="n"/>
      <c r="AS548" s="1491" t="n"/>
      <c r="AT548" s="1491" t="n"/>
      <c r="AU548" s="1491" t="n"/>
      <c r="AV548" s="1491" t="n"/>
      <c r="AW548" s="1491" t="n"/>
      <c r="AX548" s="1491" t="n"/>
      <c r="AY548" s="1491" t="n"/>
      <c r="AZ548" s="1491" t="n"/>
      <c r="BA548" s="1491" t="n"/>
      <c r="BB548" s="1491" t="n"/>
      <c r="BC548" s="1491" t="n"/>
      <c r="BD548" s="1491" t="n"/>
      <c r="BE548" s="1491" t="n"/>
      <c r="BF548" s="1491" t="n"/>
      <c r="BG548" s="1491" t="n"/>
      <c r="BH548" s="1491" t="n"/>
      <c r="BI548" s="1491" t="n"/>
      <c r="BJ548" s="1491" t="n"/>
      <c r="BK548" s="1491" t="n"/>
      <c r="BL548" s="1491" t="n"/>
      <c r="BM548" s="1491" t="n"/>
      <c r="BN548" s="1491" t="n"/>
      <c r="BO548" s="1467" t="n"/>
      <c r="BP548" s="1514" t="n">
        <v>544</v>
      </c>
      <c r="BQ548" s="1513">
        <f>[1]Sheet1!C549</f>
        <v/>
      </c>
      <c r="BR548" s="1515">
        <f>[1]Sheet1!D549</f>
        <v/>
      </c>
      <c r="BS548" s="1513">
        <f>[1]Sheet1!E549</f>
        <v/>
      </c>
      <c r="BT548" s="1515">
        <f>[1]Sheet1!F549</f>
        <v/>
      </c>
      <c r="BU548" s="1516">
        <f>[1]Sheet1!G549</f>
        <v/>
      </c>
      <c r="BV548" s="1513">
        <f>[1]Sheet1!H549</f>
        <v/>
      </c>
      <c r="BW548" s="1467" t="n"/>
      <c r="BX548" s="1491" t="n"/>
      <c r="BY548" s="1491" t="n"/>
      <c r="BZ548" s="1491" t="n"/>
      <c r="CA548" s="1491" t="n"/>
      <c r="CB548" s="1467" t="n"/>
      <c r="CC548" s="1467" t="n"/>
      <c r="CD548" s="1491" t="n"/>
      <c r="CE548" s="1491" t="n"/>
      <c r="CF548" s="1491" t="n"/>
      <c r="CG548" s="1491" t="n"/>
      <c r="CH548" s="1491" t="n"/>
      <c r="CI548" s="1491" t="n"/>
      <c r="CJ548" s="1491" t="n"/>
      <c r="CK548" s="1491" t="n"/>
      <c r="CL548" s="1491" t="n"/>
      <c r="CM548" s="1491" t="n"/>
      <c r="CN548" s="1491" t="n"/>
      <c r="CO548" s="1491" t="n"/>
      <c r="CP548" s="1491" t="n"/>
      <c r="CQ548" s="1491" t="n"/>
      <c r="CR548" s="1491" t="n"/>
      <c r="CS548" s="1491" t="n"/>
      <c r="CT548" s="1491" t="n"/>
      <c r="CU548" s="1491" t="n"/>
      <c r="CV548" s="1491" t="n"/>
      <c r="CW548" s="1491" t="n"/>
      <c r="CX548" s="1491" t="n"/>
    </row>
    <row r="549">
      <c r="A549" s="1491" t="n"/>
      <c r="B549" s="1491" t="n"/>
      <c r="C549" s="1491" t="n"/>
      <c r="D549" s="1497">
        <f>IF(E549&lt;&gt;"",D548+1,D548)</f>
        <v/>
      </c>
      <c r="E549" s="1497" t="inlineStr">
        <is>
          <t>Aachen</t>
        </is>
      </c>
      <c r="F549" s="1535" t="inlineStr">
        <is>
          <t>.</t>
        </is>
      </c>
      <c r="G549" s="1498">
        <f>IF(H549="AIR",0,IF(H548="AIR",G547+1,IF(H549&lt;&gt;"",G548+1,G548)))</f>
        <v/>
      </c>
      <c r="H549" s="1498" t="inlineStr">
        <is>
          <t>Gouda</t>
        </is>
      </c>
      <c r="I549" s="1427" t="inlineStr">
        <is>
          <t>.</t>
        </is>
      </c>
      <c r="J549" s="1499" t="n">
        <v>544</v>
      </c>
      <c r="K549" s="1500">
        <f>_xlfn.XLOOKUP(cities[[#This Row],[id]],$D$5:$D$1500,E$5:E$1500,"-")</f>
        <v/>
      </c>
      <c r="L549" s="1500">
        <f>_xlfn.XLOOKUP(cities[[#This Row],[city]],ccc[city],ccc[ctry],"-")</f>
        <v/>
      </c>
      <c r="M549" s="1500">
        <f>SUMIFS(stayCity[stay],stayCity[city],cities[[#This Row],[city]])</f>
        <v/>
      </c>
      <c r="N549" s="1427">
        <f>N548+1</f>
        <v/>
      </c>
      <c r="O549" s="1500" t="n"/>
      <c r="P549" s="1500" t="n"/>
      <c r="Q549" s="1427" t="inlineStr">
        <is>
          <t>.</t>
        </is>
      </c>
      <c r="R549" s="1491" t="n"/>
      <c r="S549" s="1491" t="n"/>
      <c r="T549" s="1491" t="n"/>
      <c r="U549" s="1491" t="n"/>
      <c r="V549" s="1491" t="n"/>
      <c r="W549" s="1491" t="n"/>
      <c r="X549" s="1491" t="n"/>
      <c r="Y549" s="1491" t="n"/>
      <c r="Z549" s="1491" t="n"/>
      <c r="AA549" s="1491" t="n"/>
      <c r="AB549" s="1491" t="n"/>
      <c r="AC549" s="1491" t="n"/>
      <c r="AD549" s="1491" t="n"/>
      <c r="AE549" s="1491" t="n"/>
      <c r="AF549" s="1491" t="n"/>
      <c r="AG549" s="1491" t="n"/>
      <c r="AH549" s="1491" t="n"/>
      <c r="AI549" s="1491" t="n"/>
      <c r="AJ549" s="1491" t="n"/>
      <c r="AK549" s="1491" t="n"/>
      <c r="AL549" s="1491" t="n"/>
      <c r="AM549" s="1491" t="n"/>
      <c r="AN549" s="1491" t="n"/>
      <c r="AO549" s="1491" t="n"/>
      <c r="AP549" s="1491" t="n"/>
      <c r="AQ549" s="1491" t="n"/>
      <c r="AR549" s="1491" t="n"/>
      <c r="AS549" s="1491" t="n"/>
      <c r="AT549" s="1491" t="n"/>
      <c r="AU549" s="1491" t="n"/>
      <c r="AV549" s="1491" t="n"/>
      <c r="AW549" s="1491" t="n"/>
      <c r="AX549" s="1491" t="n"/>
      <c r="AY549" s="1491" t="n"/>
      <c r="AZ549" s="1491" t="n"/>
      <c r="BA549" s="1491" t="n"/>
      <c r="BB549" s="1491" t="n"/>
      <c r="BC549" s="1491" t="n"/>
      <c r="BD549" s="1491" t="n"/>
      <c r="BE549" s="1491" t="n"/>
      <c r="BF549" s="1491" t="n"/>
      <c r="BG549" s="1491" t="n"/>
      <c r="BH549" s="1491" t="n"/>
      <c r="BI549" s="1491" t="n"/>
      <c r="BJ549" s="1491" t="n"/>
      <c r="BK549" s="1491" t="n"/>
      <c r="BL549" s="1491" t="n"/>
      <c r="BM549" s="1491" t="n"/>
      <c r="BN549" s="1491" t="n"/>
      <c r="BO549" s="1467" t="n"/>
      <c r="BP549" s="1514" t="n">
        <v>545</v>
      </c>
      <c r="BQ549" s="1513">
        <f>[1]Sheet1!C550</f>
        <v/>
      </c>
      <c r="BR549" s="1515">
        <f>[1]Sheet1!D550</f>
        <v/>
      </c>
      <c r="BS549" s="1513">
        <f>[1]Sheet1!E550</f>
        <v/>
      </c>
      <c r="BT549" s="1515">
        <f>[1]Sheet1!F550</f>
        <v/>
      </c>
      <c r="BU549" s="1516">
        <f>[1]Sheet1!G550</f>
        <v/>
      </c>
      <c r="BV549" s="1513">
        <f>[1]Sheet1!H550</f>
        <v/>
      </c>
      <c r="BW549" s="1467" t="n"/>
      <c r="BX549" s="1491" t="n"/>
      <c r="BY549" s="1491" t="n"/>
      <c r="BZ549" s="1491" t="n"/>
      <c r="CA549" s="1491" t="n"/>
      <c r="CB549" s="1467" t="n"/>
      <c r="CC549" s="1467" t="n"/>
      <c r="CD549" s="1491" t="n"/>
      <c r="CE549" s="1491" t="n"/>
      <c r="CF549" s="1491" t="n"/>
      <c r="CG549" s="1491" t="n"/>
      <c r="CH549" s="1491" t="n"/>
      <c r="CI549" s="1491" t="n"/>
      <c r="CJ549" s="1491" t="n"/>
      <c r="CK549" s="1491" t="n"/>
      <c r="CL549" s="1491" t="n"/>
      <c r="CM549" s="1491" t="n"/>
      <c r="CN549" s="1491" t="n"/>
      <c r="CO549" s="1491" t="n"/>
      <c r="CP549" s="1491" t="n"/>
      <c r="CQ549" s="1491" t="n"/>
      <c r="CR549" s="1491" t="n"/>
      <c r="CS549" s="1491" t="n"/>
      <c r="CT549" s="1491" t="n"/>
      <c r="CU549" s="1491" t="n"/>
      <c r="CV549" s="1491" t="n"/>
      <c r="CW549" s="1491" t="n"/>
      <c r="CX549" s="1491" t="n"/>
    </row>
    <row r="550">
      <c r="A550" s="1491" t="n"/>
      <c r="B550" s="1491" t="n"/>
      <c r="C550" s="1491" t="n"/>
      <c r="D550" s="1497">
        <f>IF(E550&lt;&gt;"",D549+1,D549)</f>
        <v/>
      </c>
      <c r="E550" s="1497" t="inlineStr">
        <is>
          <t>Dusseldorf</t>
        </is>
      </c>
      <c r="F550" s="1535" t="inlineStr">
        <is>
          <t>.</t>
        </is>
      </c>
      <c r="G550" s="1498">
        <f>IF(H550="AIR",0,IF(H549="AIR",G548+1,IF(H550&lt;&gt;"",G549+1,G549)))</f>
        <v/>
      </c>
      <c r="H550" s="1498" t="inlineStr">
        <is>
          <t>Schonhoven</t>
        </is>
      </c>
      <c r="I550" s="1427" t="inlineStr">
        <is>
          <t>.</t>
        </is>
      </c>
      <c r="J550" s="1499" t="n">
        <v>545</v>
      </c>
      <c r="K550" s="1500">
        <f>_xlfn.XLOOKUP(cities[[#This Row],[id]],$D$5:$D$1500,E$5:E$1500,"-")</f>
        <v/>
      </c>
      <c r="L550" s="1500">
        <f>_xlfn.XLOOKUP(cities[[#This Row],[city]],ccc[city],ccc[ctry],"-")</f>
        <v/>
      </c>
      <c r="M550" s="1500">
        <f>SUMIFS(stayCity[stay],stayCity[city],cities[[#This Row],[city]])</f>
        <v/>
      </c>
      <c r="N550" s="1427">
        <f>N549+1</f>
        <v/>
      </c>
      <c r="O550" s="1500" t="n"/>
      <c r="P550" s="1500" t="n"/>
      <c r="Q550" s="1427" t="inlineStr">
        <is>
          <t>.</t>
        </is>
      </c>
      <c r="R550" s="1491" t="n"/>
      <c r="S550" s="1491" t="n"/>
      <c r="T550" s="1491" t="n"/>
      <c r="U550" s="1491" t="n"/>
      <c r="V550" s="1491" t="n"/>
      <c r="W550" s="1491" t="n"/>
      <c r="X550" s="1491" t="n"/>
      <c r="Y550" s="1491" t="n"/>
      <c r="Z550" s="1491" t="n"/>
      <c r="AA550" s="1491" t="n"/>
      <c r="AB550" s="1491" t="n"/>
      <c r="AC550" s="1491" t="n"/>
      <c r="AD550" s="1491" t="n"/>
      <c r="AE550" s="1491" t="n"/>
      <c r="AF550" s="1491" t="n"/>
      <c r="AG550" s="1491" t="n"/>
      <c r="AH550" s="1491" t="n"/>
      <c r="AI550" s="1491" t="n"/>
      <c r="AJ550" s="1491" t="n"/>
      <c r="AK550" s="1491" t="n"/>
      <c r="AL550" s="1491" t="n"/>
      <c r="AM550" s="1491" t="n"/>
      <c r="AN550" s="1491" t="n"/>
      <c r="AO550" s="1491" t="n"/>
      <c r="AP550" s="1491" t="n"/>
      <c r="AQ550" s="1491" t="n"/>
      <c r="AR550" s="1491" t="n"/>
      <c r="AS550" s="1491" t="n"/>
      <c r="AT550" s="1491" t="n"/>
      <c r="AU550" s="1491" t="n"/>
      <c r="AV550" s="1491" t="n"/>
      <c r="AW550" s="1491" t="n"/>
      <c r="AX550" s="1491" t="n"/>
      <c r="AY550" s="1491" t="n"/>
      <c r="AZ550" s="1491" t="n"/>
      <c r="BA550" s="1491" t="n"/>
      <c r="BB550" s="1491" t="n"/>
      <c r="BC550" s="1491" t="n"/>
      <c r="BD550" s="1491" t="n"/>
      <c r="BE550" s="1491" t="n"/>
      <c r="BF550" s="1491" t="n"/>
      <c r="BG550" s="1491" t="n"/>
      <c r="BH550" s="1491" t="n"/>
      <c r="BI550" s="1491" t="n"/>
      <c r="BJ550" s="1491" t="n"/>
      <c r="BK550" s="1491" t="n"/>
      <c r="BL550" s="1491" t="n"/>
      <c r="BM550" s="1491" t="n"/>
      <c r="BN550" s="1491" t="n"/>
      <c r="BO550" s="1467" t="n"/>
      <c r="BP550" s="1514" t="n">
        <v>546</v>
      </c>
      <c r="BQ550" s="1513">
        <f>[1]Sheet1!C551</f>
        <v/>
      </c>
      <c r="BR550" s="1515">
        <f>[1]Sheet1!D551</f>
        <v/>
      </c>
      <c r="BS550" s="1513">
        <f>[1]Sheet1!E551</f>
        <v/>
      </c>
      <c r="BT550" s="1515">
        <f>[1]Sheet1!F551</f>
        <v/>
      </c>
      <c r="BU550" s="1516">
        <f>[1]Sheet1!G551</f>
        <v/>
      </c>
      <c r="BV550" s="1513">
        <f>[1]Sheet1!H551</f>
        <v/>
      </c>
      <c r="BW550" s="1467" t="n"/>
      <c r="BX550" s="1491" t="n"/>
      <c r="BY550" s="1491" t="n"/>
      <c r="BZ550" s="1491" t="n"/>
      <c r="CA550" s="1491" t="n"/>
      <c r="CB550" s="1467" t="n"/>
      <c r="CC550" s="1467" t="n"/>
      <c r="CD550" s="1491" t="n"/>
      <c r="CE550" s="1491" t="n"/>
      <c r="CF550" s="1491" t="n"/>
      <c r="CG550" s="1491" t="n"/>
      <c r="CH550" s="1491" t="n"/>
      <c r="CI550" s="1491" t="n"/>
      <c r="CJ550" s="1491" t="n"/>
      <c r="CK550" s="1491" t="n"/>
      <c r="CL550" s="1491" t="n"/>
      <c r="CM550" s="1491" t="n"/>
      <c r="CN550" s="1491" t="n"/>
      <c r="CO550" s="1491" t="n"/>
      <c r="CP550" s="1491" t="n"/>
      <c r="CQ550" s="1491" t="n"/>
      <c r="CR550" s="1491" t="n"/>
      <c r="CS550" s="1491" t="n"/>
      <c r="CT550" s="1491" t="n"/>
      <c r="CU550" s="1491" t="n"/>
      <c r="CV550" s="1491" t="n"/>
      <c r="CW550" s="1491" t="n"/>
      <c r="CX550" s="1491" t="n"/>
    </row>
    <row r="551">
      <c r="A551" s="1491" t="n"/>
      <c r="B551" s="1491" t="n"/>
      <c r="C551" s="1491" t="n"/>
      <c r="D551" s="1497">
        <f>IF(E551&lt;&gt;"",D550+1,D550)</f>
        <v/>
      </c>
      <c r="E551" s="1497" t="inlineStr">
        <is>
          <t>Koblenz</t>
        </is>
      </c>
      <c r="F551" s="1535" t="inlineStr">
        <is>
          <t>.</t>
        </is>
      </c>
      <c r="G551" s="1498">
        <f>IF(H551="AIR",0,IF(H550="AIR",G549+1,IF(H551&lt;&gt;"",G550+1,G550)))</f>
        <v/>
      </c>
      <c r="H551" s="1498" t="inlineStr">
        <is>
          <t>Grocheim</t>
        </is>
      </c>
      <c r="I551" s="1427" t="inlineStr">
        <is>
          <t>.</t>
        </is>
      </c>
      <c r="J551" s="1499" t="n">
        <v>546</v>
      </c>
      <c r="K551" s="1500">
        <f>_xlfn.XLOOKUP(cities[[#This Row],[id]],$D$5:$D$1500,E$5:E$1500,"-")</f>
        <v/>
      </c>
      <c r="L551" s="1500">
        <f>_xlfn.XLOOKUP(cities[[#This Row],[city]],ccc[city],ccc[ctry],"-")</f>
        <v/>
      </c>
      <c r="M551" s="1500">
        <f>SUMIFS(stayCity[stay],stayCity[city],cities[[#This Row],[city]])</f>
        <v/>
      </c>
      <c r="N551" s="1427">
        <f>N550+1</f>
        <v/>
      </c>
      <c r="O551" s="1500" t="n"/>
      <c r="P551" s="1500" t="n"/>
      <c r="Q551" s="1427" t="inlineStr">
        <is>
          <t>.</t>
        </is>
      </c>
      <c r="R551" s="1491" t="n"/>
      <c r="S551" s="1491" t="n"/>
      <c r="T551" s="1491" t="n"/>
      <c r="U551" s="1491" t="n"/>
      <c r="V551" s="1491" t="n"/>
      <c r="W551" s="1491" t="n"/>
      <c r="X551" s="1491" t="n"/>
      <c r="Y551" s="1491" t="n"/>
      <c r="Z551" s="1491" t="n"/>
      <c r="AA551" s="1491" t="n"/>
      <c r="AB551" s="1491" t="n"/>
      <c r="AC551" s="1491" t="n"/>
      <c r="AD551" s="1491" t="n"/>
      <c r="AE551" s="1491" t="n"/>
      <c r="AF551" s="1491" t="n"/>
      <c r="AG551" s="1491" t="n"/>
      <c r="AH551" s="1491" t="n"/>
      <c r="AI551" s="1491" t="n"/>
      <c r="AJ551" s="1491" t="n"/>
      <c r="AK551" s="1491" t="n"/>
      <c r="AL551" s="1491" t="n"/>
      <c r="AM551" s="1491" t="n"/>
      <c r="AN551" s="1491" t="n"/>
      <c r="AO551" s="1491" t="n"/>
      <c r="AP551" s="1491" t="n"/>
      <c r="AQ551" s="1491" t="n"/>
      <c r="AR551" s="1491" t="n"/>
      <c r="AS551" s="1491" t="n"/>
      <c r="AT551" s="1491" t="n"/>
      <c r="AU551" s="1491" t="n"/>
      <c r="AV551" s="1491" t="n"/>
      <c r="AW551" s="1491" t="n"/>
      <c r="AX551" s="1491" t="n"/>
      <c r="AY551" s="1491" t="n"/>
      <c r="AZ551" s="1491" t="n"/>
      <c r="BA551" s="1491" t="n"/>
      <c r="BB551" s="1491" t="n"/>
      <c r="BC551" s="1491" t="n"/>
      <c r="BD551" s="1491" t="n"/>
      <c r="BE551" s="1491" t="n"/>
      <c r="BF551" s="1491" t="n"/>
      <c r="BG551" s="1491" t="n"/>
      <c r="BH551" s="1491" t="n"/>
      <c r="BI551" s="1491" t="n"/>
      <c r="BJ551" s="1491" t="n"/>
      <c r="BK551" s="1491" t="n"/>
      <c r="BL551" s="1491" t="n"/>
      <c r="BM551" s="1491" t="n"/>
      <c r="BN551" s="1491" t="n"/>
      <c r="BO551" s="1467" t="n"/>
      <c r="BP551" s="1514" t="n">
        <v>547</v>
      </c>
      <c r="BQ551" s="1513">
        <f>[1]Sheet1!C552</f>
        <v/>
      </c>
      <c r="BR551" s="1515">
        <f>[1]Sheet1!D552</f>
        <v/>
      </c>
      <c r="BS551" s="1513">
        <f>[1]Sheet1!E552</f>
        <v/>
      </c>
      <c r="BT551" s="1515">
        <f>[1]Sheet1!F552</f>
        <v/>
      </c>
      <c r="BU551" s="1516">
        <f>[1]Sheet1!G552</f>
        <v/>
      </c>
      <c r="BV551" s="1513">
        <f>[1]Sheet1!H552</f>
        <v/>
      </c>
      <c r="BW551" s="1467" t="n"/>
      <c r="BX551" s="1491" t="n"/>
      <c r="BY551" s="1491" t="n"/>
      <c r="BZ551" s="1491" t="n"/>
      <c r="CA551" s="1491" t="n"/>
      <c r="CB551" s="1467" t="n"/>
      <c r="CC551" s="1467" t="n"/>
      <c r="CD551" s="1491" t="n"/>
      <c r="CE551" s="1491" t="n"/>
      <c r="CF551" s="1491" t="n"/>
      <c r="CG551" s="1491" t="n"/>
      <c r="CH551" s="1491" t="n"/>
      <c r="CI551" s="1491" t="n"/>
      <c r="CJ551" s="1491" t="n"/>
      <c r="CK551" s="1491" t="n"/>
      <c r="CL551" s="1491" t="n"/>
      <c r="CM551" s="1491" t="n"/>
      <c r="CN551" s="1491" t="n"/>
      <c r="CO551" s="1491" t="n"/>
      <c r="CP551" s="1491" t="n"/>
      <c r="CQ551" s="1491" t="n"/>
      <c r="CR551" s="1491" t="n"/>
      <c r="CS551" s="1491" t="n"/>
      <c r="CT551" s="1491" t="n"/>
      <c r="CU551" s="1491" t="n"/>
      <c r="CV551" s="1491" t="n"/>
      <c r="CW551" s="1491" t="n"/>
      <c r="CX551" s="1491" t="n"/>
    </row>
    <row r="552">
      <c r="A552" s="1491" t="n"/>
      <c r="B552" s="1491" t="n"/>
      <c r="C552" s="1491" t="n"/>
      <c r="D552" s="1497">
        <f>IF(E552&lt;&gt;"",D551+1,D551)</f>
        <v/>
      </c>
      <c r="E552" s="1497" t="inlineStr">
        <is>
          <t>Remagen</t>
        </is>
      </c>
      <c r="F552" s="1535" t="inlineStr">
        <is>
          <t>.</t>
        </is>
      </c>
      <c r="G552" s="1498">
        <f>IF(H552="AIR",0,IF(H551="AIR",G550+1,IF(H552&lt;&gt;"",G551+1,G551)))</f>
        <v/>
      </c>
      <c r="H552" s="1498" t="inlineStr">
        <is>
          <t>Camping De Reekens</t>
        </is>
      </c>
      <c r="I552" s="1427" t="inlineStr">
        <is>
          <t>.</t>
        </is>
      </c>
      <c r="J552" s="1499" t="n">
        <v>547</v>
      </c>
      <c r="K552" s="1500">
        <f>_xlfn.XLOOKUP(cities[[#This Row],[id]],$D$5:$D$1500,E$5:E$1500,"-")</f>
        <v/>
      </c>
      <c r="L552" s="1500">
        <f>_xlfn.XLOOKUP(cities[[#This Row],[city]],ccc[city],ccc[ctry],"-")</f>
        <v/>
      </c>
      <c r="M552" s="1500">
        <f>SUMIFS(stayCity[stay],stayCity[city],cities[[#This Row],[city]])</f>
        <v/>
      </c>
      <c r="N552" s="1427">
        <f>N551+1</f>
        <v/>
      </c>
      <c r="O552" s="1500" t="n"/>
      <c r="P552" s="1500" t="n"/>
      <c r="Q552" s="1427" t="inlineStr">
        <is>
          <t>.</t>
        </is>
      </c>
      <c r="R552" s="1491" t="n"/>
      <c r="S552" s="1491" t="n"/>
      <c r="T552" s="1491" t="n"/>
      <c r="U552" s="1491" t="n"/>
      <c r="V552" s="1491" t="n"/>
      <c r="W552" s="1491" t="n"/>
      <c r="X552" s="1491" t="n"/>
      <c r="Y552" s="1491" t="n"/>
      <c r="Z552" s="1491" t="n"/>
      <c r="AA552" s="1491" t="n"/>
      <c r="AB552" s="1491" t="n"/>
      <c r="AC552" s="1491" t="n"/>
      <c r="AD552" s="1491" t="n"/>
      <c r="AE552" s="1491" t="n"/>
      <c r="AF552" s="1491" t="n"/>
      <c r="AG552" s="1491" t="n"/>
      <c r="AH552" s="1491" t="n"/>
      <c r="AI552" s="1491" t="n"/>
      <c r="AJ552" s="1491" t="n"/>
      <c r="AK552" s="1491" t="n"/>
      <c r="AL552" s="1491" t="n"/>
      <c r="AM552" s="1491" t="n"/>
      <c r="AN552" s="1491" t="n"/>
      <c r="AO552" s="1491" t="n"/>
      <c r="AP552" s="1491" t="n"/>
      <c r="AQ552" s="1491" t="n"/>
      <c r="AR552" s="1491" t="n"/>
      <c r="AS552" s="1491" t="n"/>
      <c r="AT552" s="1491" t="n"/>
      <c r="AU552" s="1491" t="n"/>
      <c r="AV552" s="1491" t="n"/>
      <c r="AW552" s="1491" t="n"/>
      <c r="AX552" s="1491" t="n"/>
      <c r="AY552" s="1491" t="n"/>
      <c r="AZ552" s="1491" t="n"/>
      <c r="BA552" s="1491" t="n"/>
      <c r="BB552" s="1491" t="n"/>
      <c r="BC552" s="1491" t="n"/>
      <c r="BD552" s="1491" t="n"/>
      <c r="BE552" s="1491" t="n"/>
      <c r="BF552" s="1491" t="n"/>
      <c r="BG552" s="1491" t="n"/>
      <c r="BH552" s="1491" t="n"/>
      <c r="BI552" s="1491" t="n"/>
      <c r="BJ552" s="1491" t="n"/>
      <c r="BK552" s="1491" t="n"/>
      <c r="BL552" s="1491" t="n"/>
      <c r="BM552" s="1491" t="n"/>
      <c r="BN552" s="1491" t="n"/>
      <c r="BO552" s="1467" t="n"/>
      <c r="BP552" s="1514" t="n">
        <v>548</v>
      </c>
      <c r="BQ552" s="1513">
        <f>[1]Sheet1!C553</f>
        <v/>
      </c>
      <c r="BR552" s="1515">
        <f>[1]Sheet1!D553</f>
        <v/>
      </c>
      <c r="BS552" s="1513">
        <f>[1]Sheet1!E553</f>
        <v/>
      </c>
      <c r="BT552" s="1515">
        <f>[1]Sheet1!F553</f>
        <v/>
      </c>
      <c r="BU552" s="1516">
        <f>[1]Sheet1!G553</f>
        <v/>
      </c>
      <c r="BV552" s="1513">
        <f>[1]Sheet1!H553</f>
        <v/>
      </c>
      <c r="BW552" s="1467" t="n"/>
      <c r="BX552" s="1491" t="n"/>
      <c r="BY552" s="1491" t="n"/>
      <c r="BZ552" s="1491" t="n"/>
      <c r="CA552" s="1491" t="n"/>
      <c r="CB552" s="1467" t="n"/>
      <c r="CC552" s="1467" t="n"/>
      <c r="CD552" s="1491" t="n"/>
      <c r="CE552" s="1491" t="n"/>
      <c r="CF552" s="1491" t="n"/>
      <c r="CG552" s="1491" t="n"/>
      <c r="CH552" s="1491" t="n"/>
      <c r="CI552" s="1491" t="n"/>
      <c r="CJ552" s="1491" t="n"/>
      <c r="CK552" s="1491" t="n"/>
      <c r="CL552" s="1491" t="n"/>
      <c r="CM552" s="1491" t="n"/>
      <c r="CN552" s="1491" t="n"/>
      <c r="CO552" s="1491" t="n"/>
      <c r="CP552" s="1491" t="n"/>
      <c r="CQ552" s="1491" t="n"/>
      <c r="CR552" s="1491" t="n"/>
      <c r="CS552" s="1491" t="n"/>
      <c r="CT552" s="1491" t="n"/>
      <c r="CU552" s="1491" t="n"/>
      <c r="CV552" s="1491" t="n"/>
      <c r="CW552" s="1491" t="n"/>
      <c r="CX552" s="1491" t="n"/>
    </row>
    <row r="553">
      <c r="A553" s="1491" t="n"/>
      <c r="B553" s="1491" t="n"/>
      <c r="C553" s="1491" t="n"/>
      <c r="D553" s="1497">
        <f>IF(E553&lt;&gt;"",D552+1,D552)</f>
        <v/>
      </c>
      <c r="E553" s="1497" t="inlineStr">
        <is>
          <t>Mainz</t>
        </is>
      </c>
      <c r="F553" s="1535" t="inlineStr">
        <is>
          <t>.</t>
        </is>
      </c>
      <c r="G553" s="1498">
        <f>IF(H553="AIR",0,IF(H552="AIR",G551+1,IF(H553&lt;&gt;"",G552+1,G552)))</f>
        <v/>
      </c>
      <c r="H553" s="1498" t="inlineStr">
        <is>
          <t>s'Hertogenbosch</t>
        </is>
      </c>
      <c r="I553" s="1427" t="inlineStr">
        <is>
          <t>.</t>
        </is>
      </c>
      <c r="J553" s="1499" t="n">
        <v>548</v>
      </c>
      <c r="K553" s="1500">
        <f>_xlfn.XLOOKUP(cities[[#This Row],[id]],$D$5:$D$1500,E$5:E$1500,"-")</f>
        <v/>
      </c>
      <c r="L553" s="1500">
        <f>_xlfn.XLOOKUP(cities[[#This Row],[city]],ccc[city],ccc[ctry],"-")</f>
        <v/>
      </c>
      <c r="M553" s="1500">
        <f>SUMIFS(stayCity[stay],stayCity[city],cities[[#This Row],[city]])</f>
        <v/>
      </c>
      <c r="N553" s="1427">
        <f>N552+1</f>
        <v/>
      </c>
      <c r="O553" s="1500" t="n"/>
      <c r="P553" s="1500" t="n"/>
      <c r="Q553" s="1427" t="inlineStr">
        <is>
          <t>.</t>
        </is>
      </c>
      <c r="R553" s="1491" t="n"/>
      <c r="S553" s="1491" t="n"/>
      <c r="T553" s="1491" t="n"/>
      <c r="U553" s="1491" t="n"/>
      <c r="V553" s="1491" t="n"/>
      <c r="W553" s="1491" t="n"/>
      <c r="X553" s="1491" t="n"/>
      <c r="Y553" s="1491" t="n"/>
      <c r="Z553" s="1491" t="n"/>
      <c r="AA553" s="1491" t="n"/>
      <c r="AB553" s="1491" t="n"/>
      <c r="AC553" s="1491" t="n"/>
      <c r="AD553" s="1491" t="n"/>
      <c r="AE553" s="1491" t="n"/>
      <c r="AF553" s="1491" t="n"/>
      <c r="AG553" s="1491" t="n"/>
      <c r="AH553" s="1491" t="n"/>
      <c r="AI553" s="1491" t="n"/>
      <c r="AJ553" s="1491" t="n"/>
      <c r="AK553" s="1491" t="n"/>
      <c r="AL553" s="1491" t="n"/>
      <c r="AM553" s="1491" t="n"/>
      <c r="AN553" s="1491" t="n"/>
      <c r="AO553" s="1491" t="n"/>
      <c r="AP553" s="1491" t="n"/>
      <c r="AQ553" s="1491" t="n"/>
      <c r="AR553" s="1491" t="n"/>
      <c r="AS553" s="1491" t="n"/>
      <c r="AT553" s="1491" t="n"/>
      <c r="AU553" s="1491" t="n"/>
      <c r="AV553" s="1491" t="n"/>
      <c r="AW553" s="1491" t="n"/>
      <c r="AX553" s="1491" t="n"/>
      <c r="AY553" s="1491" t="n"/>
      <c r="AZ553" s="1491" t="n"/>
      <c r="BA553" s="1491" t="n"/>
      <c r="BB553" s="1491" t="n"/>
      <c r="BC553" s="1491" t="n"/>
      <c r="BD553" s="1491" t="n"/>
      <c r="BE553" s="1491" t="n"/>
      <c r="BF553" s="1491" t="n"/>
      <c r="BG553" s="1491" t="n"/>
      <c r="BH553" s="1491" t="n"/>
      <c r="BI553" s="1491" t="n"/>
      <c r="BJ553" s="1491" t="n"/>
      <c r="BK553" s="1491" t="n"/>
      <c r="BL553" s="1491" t="n"/>
      <c r="BM553" s="1491" t="n"/>
      <c r="BN553" s="1491" t="n"/>
      <c r="BO553" s="1467" t="n"/>
      <c r="BP553" s="1514" t="n">
        <v>549</v>
      </c>
      <c r="BQ553" s="1513">
        <f>[1]Sheet1!C554</f>
        <v/>
      </c>
      <c r="BR553" s="1515">
        <f>[1]Sheet1!D554</f>
        <v/>
      </c>
      <c r="BS553" s="1513">
        <f>[1]Sheet1!E554</f>
        <v/>
      </c>
      <c r="BT553" s="1515">
        <f>[1]Sheet1!F554</f>
        <v/>
      </c>
      <c r="BU553" s="1516">
        <f>[1]Sheet1!G554</f>
        <v/>
      </c>
      <c r="BV553" s="1513">
        <f>[1]Sheet1!H554</f>
        <v/>
      </c>
      <c r="BW553" s="1467" t="n"/>
      <c r="BX553" s="1491" t="n"/>
      <c r="BY553" s="1491" t="n"/>
      <c r="BZ553" s="1491" t="n"/>
      <c r="CA553" s="1491" t="n"/>
      <c r="CB553" s="1467" t="n"/>
      <c r="CC553" s="1467" t="n"/>
      <c r="CD553" s="1491" t="n"/>
      <c r="CE553" s="1491" t="n"/>
      <c r="CF553" s="1491" t="n"/>
      <c r="CG553" s="1491" t="n"/>
      <c r="CH553" s="1491" t="n"/>
      <c r="CI553" s="1491" t="n"/>
      <c r="CJ553" s="1491" t="n"/>
      <c r="CK553" s="1491" t="n"/>
      <c r="CL553" s="1491" t="n"/>
      <c r="CM553" s="1491" t="n"/>
      <c r="CN553" s="1491" t="n"/>
      <c r="CO553" s="1491" t="n"/>
      <c r="CP553" s="1491" t="n"/>
      <c r="CQ553" s="1491" t="n"/>
      <c r="CR553" s="1491" t="n"/>
      <c r="CS553" s="1491" t="n"/>
      <c r="CT553" s="1491" t="n"/>
      <c r="CU553" s="1491" t="n"/>
      <c r="CV553" s="1491" t="n"/>
      <c r="CW553" s="1491" t="n"/>
      <c r="CX553" s="1491" t="n"/>
    </row>
    <row r="554">
      <c r="A554" s="1491" t="n"/>
      <c r="B554" s="1491" t="n"/>
      <c r="C554" s="1491" t="n"/>
      <c r="D554" s="1497">
        <f>IF(E554&lt;&gt;"",D553+1,D553)</f>
        <v/>
      </c>
      <c r="E554" s="1497" t="inlineStr">
        <is>
          <t>Karlsruhe</t>
        </is>
      </c>
      <c r="F554" s="1535" t="inlineStr">
        <is>
          <t>.</t>
        </is>
      </c>
      <c r="G554" s="1498">
        <f>IF(H554="AIR",0,IF(H553="AIR",G552+1,IF(H554&lt;&gt;"",G553+1,G553)))</f>
        <v/>
      </c>
      <c r="H554" s="1498" t="inlineStr">
        <is>
          <t>Camping</t>
        </is>
      </c>
      <c r="I554" s="1427" t="inlineStr">
        <is>
          <t>.</t>
        </is>
      </c>
      <c r="J554" s="1499" t="n">
        <v>549</v>
      </c>
      <c r="K554" s="1500">
        <f>_xlfn.XLOOKUP(cities[[#This Row],[id]],$D$5:$D$1500,E$5:E$1500,"-")</f>
        <v/>
      </c>
      <c r="L554" s="1500">
        <f>_xlfn.XLOOKUP(cities[[#This Row],[city]],ccc[city],ccc[ctry],"-")</f>
        <v/>
      </c>
      <c r="M554" s="1500">
        <f>SUMIFS(stayCity[stay],stayCity[city],cities[[#This Row],[city]])</f>
        <v/>
      </c>
      <c r="N554" s="1427">
        <f>N553+1</f>
        <v/>
      </c>
      <c r="O554" s="1500" t="n"/>
      <c r="P554" s="1500" t="n"/>
      <c r="Q554" s="1427" t="inlineStr">
        <is>
          <t>.</t>
        </is>
      </c>
      <c r="R554" s="1491" t="n"/>
      <c r="S554" s="1491" t="n"/>
      <c r="T554" s="1491" t="n"/>
      <c r="U554" s="1491" t="n"/>
      <c r="V554" s="1491" t="n"/>
      <c r="W554" s="1491" t="n"/>
      <c r="X554" s="1491" t="n"/>
      <c r="Y554" s="1491" t="n"/>
      <c r="Z554" s="1491" t="n"/>
      <c r="AA554" s="1491" t="n"/>
      <c r="AB554" s="1491" t="n"/>
      <c r="AC554" s="1491" t="n"/>
      <c r="AD554" s="1491" t="n"/>
      <c r="AE554" s="1491" t="n"/>
      <c r="AF554" s="1491" t="n"/>
      <c r="AG554" s="1491" t="n"/>
      <c r="AH554" s="1491" t="n"/>
      <c r="AI554" s="1491" t="n"/>
      <c r="AJ554" s="1491" t="n"/>
      <c r="AK554" s="1491" t="n"/>
      <c r="AL554" s="1491" t="n"/>
      <c r="AM554" s="1491" t="n"/>
      <c r="AN554" s="1491" t="n"/>
      <c r="AO554" s="1491" t="n"/>
      <c r="AP554" s="1491" t="n"/>
      <c r="AQ554" s="1491" t="n"/>
      <c r="AR554" s="1491" t="n"/>
      <c r="AS554" s="1491" t="n"/>
      <c r="AT554" s="1491" t="n"/>
      <c r="AU554" s="1491" t="n"/>
      <c r="AV554" s="1491" t="n"/>
      <c r="AW554" s="1491" t="n"/>
      <c r="AX554" s="1491" t="n"/>
      <c r="AY554" s="1491" t="n"/>
      <c r="AZ554" s="1491" t="n"/>
      <c r="BA554" s="1491" t="n"/>
      <c r="BB554" s="1491" t="n"/>
      <c r="BC554" s="1491" t="n"/>
      <c r="BD554" s="1491" t="n"/>
      <c r="BE554" s="1491" t="n"/>
      <c r="BF554" s="1491" t="n"/>
      <c r="BG554" s="1491" t="n"/>
      <c r="BH554" s="1491" t="n"/>
      <c r="BI554" s="1491" t="n"/>
      <c r="BJ554" s="1491" t="n"/>
      <c r="BK554" s="1491" t="n"/>
      <c r="BL554" s="1491" t="n"/>
      <c r="BM554" s="1491" t="n"/>
      <c r="BN554" s="1491" t="n"/>
      <c r="BO554" s="1467" t="n"/>
      <c r="BP554" s="1514" t="n">
        <v>550</v>
      </c>
      <c r="BQ554" s="1513">
        <f>[1]Sheet1!C555</f>
        <v/>
      </c>
      <c r="BR554" s="1515">
        <f>[1]Sheet1!D555</f>
        <v/>
      </c>
      <c r="BS554" s="1513">
        <f>[1]Sheet1!E555</f>
        <v/>
      </c>
      <c r="BT554" s="1515">
        <f>[1]Sheet1!F555</f>
        <v/>
      </c>
      <c r="BU554" s="1516">
        <f>[1]Sheet1!G555</f>
        <v/>
      </c>
      <c r="BV554" s="1513">
        <f>[1]Sheet1!H555</f>
        <v/>
      </c>
      <c r="BW554" s="1467" t="n"/>
      <c r="BX554" s="1491" t="n"/>
      <c r="BY554" s="1491" t="n"/>
      <c r="BZ554" s="1491" t="n"/>
      <c r="CA554" s="1491" t="n"/>
      <c r="CB554" s="1467" t="n"/>
      <c r="CC554" s="1467" t="n"/>
      <c r="CD554" s="1491" t="n"/>
      <c r="CE554" s="1491" t="n"/>
      <c r="CF554" s="1491" t="n"/>
      <c r="CG554" s="1491" t="n"/>
      <c r="CH554" s="1491" t="n"/>
      <c r="CI554" s="1491" t="n"/>
      <c r="CJ554" s="1491" t="n"/>
      <c r="CK554" s="1491" t="n"/>
      <c r="CL554" s="1491" t="n"/>
      <c r="CM554" s="1491" t="n"/>
      <c r="CN554" s="1491" t="n"/>
      <c r="CO554" s="1491" t="n"/>
      <c r="CP554" s="1491" t="n"/>
      <c r="CQ554" s="1491" t="n"/>
      <c r="CR554" s="1491" t="n"/>
      <c r="CS554" s="1491" t="n"/>
      <c r="CT554" s="1491" t="n"/>
      <c r="CU554" s="1491" t="n"/>
      <c r="CV554" s="1491" t="n"/>
      <c r="CW554" s="1491" t="n"/>
      <c r="CX554" s="1491" t="n"/>
    </row>
    <row r="555">
      <c r="A555" s="1491" t="n"/>
      <c r="B555" s="1491" t="n"/>
      <c r="C555" s="1491" t="n"/>
      <c r="D555" s="1497">
        <f>IF(E555&lt;&gt;"",D554+1,D554)</f>
        <v/>
      </c>
      <c r="E555" s="1497" t="inlineStr">
        <is>
          <t>Isola d'Arbia</t>
        </is>
      </c>
      <c r="F555" s="1535" t="inlineStr">
        <is>
          <t>.</t>
        </is>
      </c>
      <c r="G555" s="1498">
        <f>IF(H555="AIR",0,IF(H554="AIR",G553+1,IF(H555&lt;&gt;"",G554+1,G554)))</f>
        <v/>
      </c>
      <c r="H555" s="1498" t="inlineStr">
        <is>
          <t>Eindhoven</t>
        </is>
      </c>
      <c r="I555" s="1427" t="inlineStr">
        <is>
          <t>.</t>
        </is>
      </c>
      <c r="J555" s="1499" t="n">
        <v>550</v>
      </c>
      <c r="K555" s="1500">
        <f>_xlfn.XLOOKUP(cities[[#This Row],[id]],$D$5:$D$1500,E$5:E$1500,"-")</f>
        <v/>
      </c>
      <c r="L555" s="1500">
        <f>_xlfn.XLOOKUP(cities[[#This Row],[city]],ccc[city],ccc[ctry],"-")</f>
        <v/>
      </c>
      <c r="M555" s="1500">
        <f>SUMIFS(stayCity[stay],stayCity[city],cities[[#This Row],[city]])</f>
        <v/>
      </c>
      <c r="N555" s="1427">
        <f>N554+1</f>
        <v/>
      </c>
      <c r="O555" s="1500" t="n"/>
      <c r="P555" s="1500" t="n"/>
      <c r="Q555" s="1427" t="inlineStr">
        <is>
          <t>.</t>
        </is>
      </c>
      <c r="R555" s="1491" t="n"/>
      <c r="S555" s="1491" t="n"/>
      <c r="T555" s="1491" t="n"/>
      <c r="U555" s="1491" t="n"/>
      <c r="V555" s="1491" t="n"/>
      <c r="W555" s="1491" t="n"/>
      <c r="X555" s="1491" t="n"/>
      <c r="Y555" s="1491" t="n"/>
      <c r="Z555" s="1491" t="n"/>
      <c r="AA555" s="1491" t="n"/>
      <c r="AB555" s="1491" t="n"/>
      <c r="AC555" s="1491" t="n"/>
      <c r="AD555" s="1491" t="n"/>
      <c r="AE555" s="1491" t="n"/>
      <c r="AF555" s="1491" t="n"/>
      <c r="AG555" s="1491" t="n"/>
      <c r="AH555" s="1491" t="n"/>
      <c r="AI555" s="1491" t="n"/>
      <c r="AJ555" s="1491" t="n"/>
      <c r="AK555" s="1491" t="n"/>
      <c r="AL555" s="1491" t="n"/>
      <c r="AM555" s="1491" t="n"/>
      <c r="AN555" s="1491" t="n"/>
      <c r="AO555" s="1491" t="n"/>
      <c r="AP555" s="1491" t="n"/>
      <c r="AQ555" s="1491" t="n"/>
      <c r="AR555" s="1491" t="n"/>
      <c r="AS555" s="1491" t="n"/>
      <c r="AT555" s="1491" t="n"/>
      <c r="AU555" s="1491" t="n"/>
      <c r="AV555" s="1491" t="n"/>
      <c r="AW555" s="1491" t="n"/>
      <c r="AX555" s="1491" t="n"/>
      <c r="AY555" s="1491" t="n"/>
      <c r="AZ555" s="1491" t="n"/>
      <c r="BA555" s="1491" t="n"/>
      <c r="BB555" s="1491" t="n"/>
      <c r="BC555" s="1491" t="n"/>
      <c r="BD555" s="1491" t="n"/>
      <c r="BE555" s="1491" t="n"/>
      <c r="BF555" s="1491" t="n"/>
      <c r="BG555" s="1491" t="n"/>
      <c r="BH555" s="1491" t="n"/>
      <c r="BI555" s="1491" t="n"/>
      <c r="BJ555" s="1491" t="n"/>
      <c r="BK555" s="1491" t="n"/>
      <c r="BL555" s="1491" t="n"/>
      <c r="BM555" s="1491" t="n"/>
      <c r="BN555" s="1491" t="n"/>
      <c r="BO555" s="1467" t="n"/>
      <c r="BP555" s="1514" t="n">
        <v>551</v>
      </c>
      <c r="BQ555" s="1513">
        <f>[1]Sheet1!C556</f>
        <v/>
      </c>
      <c r="BR555" s="1515">
        <f>[1]Sheet1!D556</f>
        <v/>
      </c>
      <c r="BS555" s="1513">
        <f>[1]Sheet1!E556</f>
        <v/>
      </c>
      <c r="BT555" s="1515">
        <f>[1]Sheet1!F556</f>
        <v/>
      </c>
      <c r="BU555" s="1516">
        <f>[1]Sheet1!G556</f>
        <v/>
      </c>
      <c r="BV555" s="1513">
        <f>[1]Sheet1!H556</f>
        <v/>
      </c>
      <c r="BW555" s="1467" t="n"/>
      <c r="BX555" s="1491" t="n"/>
      <c r="BY555" s="1491" t="n"/>
      <c r="BZ555" s="1491" t="n"/>
      <c r="CA555" s="1491" t="n"/>
      <c r="CB555" s="1467" t="n"/>
      <c r="CC555" s="1467" t="n"/>
      <c r="CD555" s="1491" t="n"/>
      <c r="CE555" s="1491" t="n"/>
      <c r="CF555" s="1491" t="n"/>
      <c r="CG555" s="1491" t="n"/>
      <c r="CH555" s="1491" t="n"/>
      <c r="CI555" s="1491" t="n"/>
      <c r="CJ555" s="1491" t="n"/>
      <c r="CK555" s="1491" t="n"/>
      <c r="CL555" s="1491" t="n"/>
      <c r="CM555" s="1491" t="n"/>
      <c r="CN555" s="1491" t="n"/>
      <c r="CO555" s="1491" t="n"/>
      <c r="CP555" s="1491" t="n"/>
      <c r="CQ555" s="1491" t="n"/>
      <c r="CR555" s="1491" t="n"/>
      <c r="CS555" s="1491" t="n"/>
      <c r="CT555" s="1491" t="n"/>
      <c r="CU555" s="1491" t="n"/>
      <c r="CV555" s="1491" t="n"/>
      <c r="CW555" s="1491" t="n"/>
      <c r="CX555" s="1491" t="n"/>
    </row>
    <row r="556">
      <c r="A556" s="1491" t="n"/>
      <c r="B556" s="1491" t="n"/>
      <c r="C556" s="1491" t="n"/>
      <c r="D556" s="1497">
        <f>IF(E556&lt;&gt;"",D555+1,D555)</f>
        <v/>
      </c>
      <c r="E556" s="1497" t="inlineStr">
        <is>
          <t>Monteroni d'Arbia</t>
        </is>
      </c>
      <c r="F556" s="1535" t="inlineStr">
        <is>
          <t>.</t>
        </is>
      </c>
      <c r="G556" s="1498">
        <f>IF(H556="AIR",0,IF(H555="AIR",G554+1,IF(H556&lt;&gt;"",G555+1,G555)))</f>
        <v/>
      </c>
      <c r="H556" s="1498" t="inlineStr">
        <is>
          <t>Valkenswaard</t>
        </is>
      </c>
      <c r="I556" s="1427" t="inlineStr">
        <is>
          <t>.</t>
        </is>
      </c>
      <c r="J556" s="1499" t="n">
        <v>551</v>
      </c>
      <c r="K556" s="1500">
        <f>_xlfn.XLOOKUP(cities[[#This Row],[id]],$D$5:$D$1500,E$5:E$1500,"-")</f>
        <v/>
      </c>
      <c r="L556" s="1500">
        <f>_xlfn.XLOOKUP(cities[[#This Row],[city]],ccc[city],ccc[ctry],"-")</f>
        <v/>
      </c>
      <c r="M556" s="1500">
        <f>SUMIFS(stayCity[stay],stayCity[city],cities[[#This Row],[city]])</f>
        <v/>
      </c>
      <c r="N556" s="1427">
        <f>N555+1</f>
        <v/>
      </c>
      <c r="O556" s="1500" t="n"/>
      <c r="P556" s="1500" t="n"/>
      <c r="Q556" s="1427" t="inlineStr">
        <is>
          <t>.</t>
        </is>
      </c>
      <c r="R556" s="1491" t="n"/>
      <c r="S556" s="1491" t="n"/>
      <c r="T556" s="1491" t="n"/>
      <c r="U556" s="1491" t="n"/>
      <c r="V556" s="1491" t="n"/>
      <c r="W556" s="1491" t="n"/>
      <c r="X556" s="1491" t="n"/>
      <c r="Y556" s="1491" t="n"/>
      <c r="Z556" s="1491" t="n"/>
      <c r="AA556" s="1491" t="n"/>
      <c r="AB556" s="1491" t="n"/>
      <c r="AC556" s="1491" t="n"/>
      <c r="AD556" s="1491" t="n"/>
      <c r="AE556" s="1491" t="n"/>
      <c r="AF556" s="1491" t="n"/>
      <c r="AG556" s="1491" t="n"/>
      <c r="AH556" s="1491" t="n"/>
      <c r="AI556" s="1491" t="n"/>
      <c r="AJ556" s="1491" t="n"/>
      <c r="AK556" s="1491" t="n"/>
      <c r="AL556" s="1491" t="n"/>
      <c r="AM556" s="1491" t="n"/>
      <c r="AN556" s="1491" t="n"/>
      <c r="AO556" s="1491" t="n"/>
      <c r="AP556" s="1491" t="n"/>
      <c r="AQ556" s="1491" t="n"/>
      <c r="AR556" s="1491" t="n"/>
      <c r="AS556" s="1491" t="n"/>
      <c r="AT556" s="1491" t="n"/>
      <c r="AU556" s="1491" t="n"/>
      <c r="AV556" s="1491" t="n"/>
      <c r="AW556" s="1491" t="n"/>
      <c r="AX556" s="1491" t="n"/>
      <c r="AY556" s="1491" t="n"/>
      <c r="AZ556" s="1491" t="n"/>
      <c r="BA556" s="1491" t="n"/>
      <c r="BB556" s="1491" t="n"/>
      <c r="BC556" s="1491" t="n"/>
      <c r="BD556" s="1491" t="n"/>
      <c r="BE556" s="1491" t="n"/>
      <c r="BF556" s="1491" t="n"/>
      <c r="BG556" s="1491" t="n"/>
      <c r="BH556" s="1491" t="n"/>
      <c r="BI556" s="1491" t="n"/>
      <c r="BJ556" s="1491" t="n"/>
      <c r="BK556" s="1491" t="n"/>
      <c r="BL556" s="1491" t="n"/>
      <c r="BM556" s="1491" t="n"/>
      <c r="BN556" s="1491" t="n"/>
      <c r="BO556" s="1467" t="n"/>
      <c r="BP556" s="1514" t="n">
        <v>552</v>
      </c>
      <c r="BQ556" s="1513">
        <f>[1]Sheet1!C557</f>
        <v/>
      </c>
      <c r="BR556" s="1515">
        <f>[1]Sheet1!D557</f>
        <v/>
      </c>
      <c r="BS556" s="1513">
        <f>[1]Sheet1!E557</f>
        <v/>
      </c>
      <c r="BT556" s="1515">
        <f>[1]Sheet1!F557</f>
        <v/>
      </c>
      <c r="BU556" s="1516">
        <f>[1]Sheet1!G557</f>
        <v/>
      </c>
      <c r="BV556" s="1513">
        <f>[1]Sheet1!H557</f>
        <v/>
      </c>
      <c r="BW556" s="1467" t="n"/>
      <c r="BX556" s="1491" t="n"/>
      <c r="BY556" s="1491" t="n"/>
      <c r="BZ556" s="1491" t="n"/>
      <c r="CA556" s="1491" t="n"/>
      <c r="CB556" s="1467" t="n"/>
      <c r="CC556" s="1467" t="n"/>
      <c r="CD556" s="1491" t="n"/>
      <c r="CE556" s="1491" t="n"/>
      <c r="CF556" s="1491" t="n"/>
      <c r="CG556" s="1491" t="n"/>
      <c r="CH556" s="1491" t="n"/>
      <c r="CI556" s="1491" t="n"/>
      <c r="CJ556" s="1491" t="n"/>
      <c r="CK556" s="1491" t="n"/>
      <c r="CL556" s="1491" t="n"/>
      <c r="CM556" s="1491" t="n"/>
      <c r="CN556" s="1491" t="n"/>
      <c r="CO556" s="1491" t="n"/>
      <c r="CP556" s="1491" t="n"/>
      <c r="CQ556" s="1491" t="n"/>
      <c r="CR556" s="1491" t="n"/>
      <c r="CS556" s="1491" t="n"/>
      <c r="CT556" s="1491" t="n"/>
      <c r="CU556" s="1491" t="n"/>
      <c r="CV556" s="1491" t="n"/>
      <c r="CW556" s="1491" t="n"/>
      <c r="CX556" s="1491" t="n"/>
    </row>
    <row r="557">
      <c r="A557" s="1491" t="n"/>
      <c r="B557" s="1491" t="n"/>
      <c r="C557" s="1491" t="n"/>
      <c r="D557" s="1497">
        <f>IF(E557&lt;&gt;"",D556+1,D556)</f>
        <v/>
      </c>
      <c r="E557" s="1497" t="inlineStr">
        <is>
          <t>Grosseto</t>
        </is>
      </c>
      <c r="F557" s="1535" t="inlineStr">
        <is>
          <t>.</t>
        </is>
      </c>
      <c r="G557" s="1498">
        <f>IF(H557="AIR",0,IF(H556="AIR",G555+1,IF(H557&lt;&gt;"",G556+1,G556)))</f>
        <v/>
      </c>
      <c r="H557" s="1498" t="inlineStr">
        <is>
          <t>Achel</t>
        </is>
      </c>
      <c r="I557" s="1427" t="inlineStr">
        <is>
          <t>.</t>
        </is>
      </c>
      <c r="J557" s="1499" t="n">
        <v>552</v>
      </c>
      <c r="K557" s="1500">
        <f>_xlfn.XLOOKUP(cities[[#This Row],[id]],$D$5:$D$1500,E$5:E$1500,"-")</f>
        <v/>
      </c>
      <c r="L557" s="1500">
        <f>_xlfn.XLOOKUP(cities[[#This Row],[city]],ccc[city],ccc[ctry],"-")</f>
        <v/>
      </c>
      <c r="M557" s="1500">
        <f>SUMIFS(stayCity[stay],stayCity[city],cities[[#This Row],[city]])</f>
        <v/>
      </c>
      <c r="N557" s="1427">
        <f>N556+1</f>
        <v/>
      </c>
      <c r="O557" s="1500" t="n"/>
      <c r="P557" s="1500" t="n"/>
      <c r="Q557" s="1427" t="inlineStr">
        <is>
          <t>.</t>
        </is>
      </c>
      <c r="R557" s="1491" t="n"/>
      <c r="S557" s="1491" t="n"/>
      <c r="T557" s="1491" t="n"/>
      <c r="U557" s="1491" t="n"/>
      <c r="V557" s="1491" t="n"/>
      <c r="W557" s="1491" t="n"/>
      <c r="X557" s="1491" t="n"/>
      <c r="Y557" s="1491" t="n"/>
      <c r="Z557" s="1491" t="n"/>
      <c r="AA557" s="1491" t="n"/>
      <c r="AB557" s="1491" t="n"/>
      <c r="AC557" s="1491" t="n"/>
      <c r="AD557" s="1491" t="n"/>
      <c r="AE557" s="1491" t="n"/>
      <c r="AF557" s="1491" t="n"/>
      <c r="AG557" s="1491" t="n"/>
      <c r="AH557" s="1491" t="n"/>
      <c r="AI557" s="1491" t="n"/>
      <c r="AJ557" s="1491" t="n"/>
      <c r="AK557" s="1491" t="n"/>
      <c r="AL557" s="1491" t="n"/>
      <c r="AM557" s="1491" t="n"/>
      <c r="AN557" s="1491" t="n"/>
      <c r="AO557" s="1491" t="n"/>
      <c r="AP557" s="1491" t="n"/>
      <c r="AQ557" s="1491" t="n"/>
      <c r="AR557" s="1491" t="n"/>
      <c r="AS557" s="1491" t="n"/>
      <c r="AT557" s="1491" t="n"/>
      <c r="AU557" s="1491" t="n"/>
      <c r="AV557" s="1491" t="n"/>
      <c r="AW557" s="1491" t="n"/>
      <c r="AX557" s="1491" t="n"/>
      <c r="AY557" s="1491" t="n"/>
      <c r="AZ557" s="1491" t="n"/>
      <c r="BA557" s="1491" t="n"/>
      <c r="BB557" s="1491" t="n"/>
      <c r="BC557" s="1491" t="n"/>
      <c r="BD557" s="1491" t="n"/>
      <c r="BE557" s="1491" t="n"/>
      <c r="BF557" s="1491" t="n"/>
      <c r="BG557" s="1491" t="n"/>
      <c r="BH557" s="1491" t="n"/>
      <c r="BI557" s="1491" t="n"/>
      <c r="BJ557" s="1491" t="n"/>
      <c r="BK557" s="1491" t="n"/>
      <c r="BL557" s="1491" t="n"/>
      <c r="BM557" s="1491" t="n"/>
      <c r="BN557" s="1491" t="n"/>
      <c r="BO557" s="1467" t="n"/>
      <c r="BP557" s="1514" t="n">
        <v>553</v>
      </c>
      <c r="BQ557" s="1513">
        <f>[1]Sheet1!C558</f>
        <v/>
      </c>
      <c r="BR557" s="1515">
        <f>[1]Sheet1!D558</f>
        <v/>
      </c>
      <c r="BS557" s="1513">
        <f>[1]Sheet1!E558</f>
        <v/>
      </c>
      <c r="BT557" s="1515">
        <f>[1]Sheet1!F558</f>
        <v/>
      </c>
      <c r="BU557" s="1516">
        <f>[1]Sheet1!G558</f>
        <v/>
      </c>
      <c r="BV557" s="1513">
        <f>[1]Sheet1!H558</f>
        <v/>
      </c>
      <c r="BW557" s="1467" t="n"/>
      <c r="BX557" s="1491" t="n"/>
      <c r="BY557" s="1491" t="n"/>
      <c r="BZ557" s="1491" t="n"/>
      <c r="CA557" s="1491" t="n"/>
      <c r="CB557" s="1467" t="n"/>
      <c r="CC557" s="1467" t="n"/>
      <c r="CD557" s="1491" t="n"/>
      <c r="CE557" s="1491" t="n"/>
      <c r="CF557" s="1491" t="n"/>
      <c r="CG557" s="1491" t="n"/>
      <c r="CH557" s="1491" t="n"/>
      <c r="CI557" s="1491" t="n"/>
      <c r="CJ557" s="1491" t="n"/>
      <c r="CK557" s="1491" t="n"/>
      <c r="CL557" s="1491" t="n"/>
      <c r="CM557" s="1491" t="n"/>
      <c r="CN557" s="1491" t="n"/>
      <c r="CO557" s="1491" t="n"/>
      <c r="CP557" s="1491" t="n"/>
      <c r="CQ557" s="1491" t="n"/>
      <c r="CR557" s="1491" t="n"/>
      <c r="CS557" s="1491" t="n"/>
      <c r="CT557" s="1491" t="n"/>
      <c r="CU557" s="1491" t="n"/>
      <c r="CV557" s="1491" t="n"/>
      <c r="CW557" s="1491" t="n"/>
      <c r="CX557" s="1491" t="n"/>
    </row>
    <row r="558">
      <c r="A558" s="1491" t="n"/>
      <c r="B558" s="1491" t="n"/>
      <c r="C558" s="1491" t="n"/>
      <c r="D558" s="1497">
        <f>IF(E558&lt;&gt;"",D557+1,D557)</f>
        <v/>
      </c>
      <c r="E558" s="1497" t="inlineStr">
        <is>
          <t>Hoodddorp</t>
        </is>
      </c>
      <c r="F558" s="1535" t="inlineStr">
        <is>
          <t>.</t>
        </is>
      </c>
      <c r="G558" s="1498">
        <f>IF(H558="AIR",0,IF(H557="AIR",G556+1,IF(H558&lt;&gt;"",G557+1,G557)))</f>
        <v/>
      </c>
      <c r="H558" s="1498" t="inlineStr">
        <is>
          <t>Maastricht</t>
        </is>
      </c>
      <c r="I558" s="1427" t="inlineStr">
        <is>
          <t>.</t>
        </is>
      </c>
      <c r="J558" s="1499" t="n">
        <v>553</v>
      </c>
      <c r="K558" s="1500">
        <f>_xlfn.XLOOKUP(cities[[#This Row],[id]],$D$5:$D$1500,E$5:E$1500,"-")</f>
        <v/>
      </c>
      <c r="L558" s="1500">
        <f>_xlfn.XLOOKUP(cities[[#This Row],[city]],ccc[city],ccc[ctry],"-")</f>
        <v/>
      </c>
      <c r="M558" s="1500">
        <f>SUMIFS(stayCity[stay],stayCity[city],cities[[#This Row],[city]])</f>
        <v/>
      </c>
      <c r="N558" s="1427">
        <f>N557+1</f>
        <v/>
      </c>
      <c r="O558" s="1500" t="n"/>
      <c r="P558" s="1500" t="n"/>
      <c r="Q558" s="1427" t="inlineStr">
        <is>
          <t>.</t>
        </is>
      </c>
      <c r="R558" s="1491" t="n"/>
      <c r="S558" s="1491" t="n"/>
      <c r="T558" s="1491" t="n"/>
      <c r="U558" s="1491" t="n"/>
      <c r="V558" s="1491" t="n"/>
      <c r="W558" s="1491" t="n"/>
      <c r="X558" s="1491" t="n"/>
      <c r="Y558" s="1491" t="n"/>
      <c r="Z558" s="1491" t="n"/>
      <c r="AA558" s="1491" t="n"/>
      <c r="AB558" s="1491" t="n"/>
      <c r="AC558" s="1491" t="n"/>
      <c r="AD558" s="1491" t="n"/>
      <c r="AE558" s="1491" t="n"/>
      <c r="AF558" s="1491" t="n"/>
      <c r="AG558" s="1491" t="n"/>
      <c r="AH558" s="1491" t="n"/>
      <c r="AI558" s="1491" t="n"/>
      <c r="AJ558" s="1491" t="n"/>
      <c r="AK558" s="1491" t="n"/>
      <c r="AL558" s="1491" t="n"/>
      <c r="AM558" s="1491" t="n"/>
      <c r="AN558" s="1491" t="n"/>
      <c r="AO558" s="1491" t="n"/>
      <c r="AP558" s="1491" t="n"/>
      <c r="AQ558" s="1491" t="n"/>
      <c r="AR558" s="1491" t="n"/>
      <c r="AS558" s="1491" t="n"/>
      <c r="AT558" s="1491" t="n"/>
      <c r="AU558" s="1491" t="n"/>
      <c r="AV558" s="1491" t="n"/>
      <c r="AW558" s="1491" t="n"/>
      <c r="AX558" s="1491" t="n"/>
      <c r="AY558" s="1491" t="n"/>
      <c r="AZ558" s="1491" t="n"/>
      <c r="BA558" s="1491" t="n"/>
      <c r="BB558" s="1491" t="n"/>
      <c r="BC558" s="1491" t="n"/>
      <c r="BD558" s="1491" t="n"/>
      <c r="BE558" s="1491" t="n"/>
      <c r="BF558" s="1491" t="n"/>
      <c r="BG558" s="1491" t="n"/>
      <c r="BH558" s="1491" t="n"/>
      <c r="BI558" s="1491" t="n"/>
      <c r="BJ558" s="1491" t="n"/>
      <c r="BK558" s="1491" t="n"/>
      <c r="BL558" s="1491" t="n"/>
      <c r="BM558" s="1491" t="n"/>
      <c r="BN558" s="1491" t="n"/>
      <c r="BO558" s="1467" t="n"/>
      <c r="BP558" s="1514" t="n">
        <v>554</v>
      </c>
      <c r="BQ558" s="1513">
        <f>[1]Sheet1!C559</f>
        <v/>
      </c>
      <c r="BR558" s="1515">
        <f>[1]Sheet1!D559</f>
        <v/>
      </c>
      <c r="BS558" s="1513">
        <f>[1]Sheet1!E559</f>
        <v/>
      </c>
      <c r="BT558" s="1515">
        <f>[1]Sheet1!F559</f>
        <v/>
      </c>
      <c r="BU558" s="1516">
        <f>[1]Sheet1!G559</f>
        <v/>
      </c>
      <c r="BV558" s="1513">
        <f>[1]Sheet1!H559</f>
        <v/>
      </c>
      <c r="BW558" s="1467" t="n"/>
      <c r="BX558" s="1491" t="n"/>
      <c r="BY558" s="1491" t="n"/>
      <c r="BZ558" s="1491" t="n"/>
      <c r="CA558" s="1491" t="n"/>
      <c r="CB558" s="1467" t="n"/>
      <c r="CC558" s="1467" t="n"/>
      <c r="CD558" s="1491" t="n"/>
      <c r="CE558" s="1491" t="n"/>
      <c r="CF558" s="1491" t="n"/>
      <c r="CG558" s="1491" t="n"/>
      <c r="CH558" s="1491" t="n"/>
      <c r="CI558" s="1491" t="n"/>
      <c r="CJ558" s="1491" t="n"/>
      <c r="CK558" s="1491" t="n"/>
      <c r="CL558" s="1491" t="n"/>
      <c r="CM558" s="1491" t="n"/>
      <c r="CN558" s="1491" t="n"/>
      <c r="CO558" s="1491" t="n"/>
      <c r="CP558" s="1491" t="n"/>
      <c r="CQ558" s="1491" t="n"/>
      <c r="CR558" s="1491" t="n"/>
      <c r="CS558" s="1491" t="n"/>
      <c r="CT558" s="1491" t="n"/>
      <c r="CU558" s="1491" t="n"/>
      <c r="CV558" s="1491" t="n"/>
      <c r="CW558" s="1491" t="n"/>
      <c r="CX558" s="1491" t="n"/>
    </row>
    <row r="559">
      <c r="A559" s="1491" t="n"/>
      <c r="B559" s="1491" t="n"/>
      <c r="C559" s="1491" t="n"/>
      <c r="D559" s="1497">
        <f>IF(E559&lt;&gt;"",D558+1,D558)</f>
        <v/>
      </c>
      <c r="E559" s="1497" t="inlineStr">
        <is>
          <t>Philadelphia</t>
        </is>
      </c>
      <c r="F559" s="1535" t="inlineStr">
        <is>
          <t>.</t>
        </is>
      </c>
      <c r="G559" s="1498">
        <f>IF(H559="AIR",0,IF(H558="AIR",G557+1,IF(H559&lt;&gt;"",G558+1,G558)))</f>
        <v/>
      </c>
      <c r="H559" s="1498" t="inlineStr">
        <is>
          <t>Gulpen</t>
        </is>
      </c>
      <c r="I559" s="1427" t="inlineStr">
        <is>
          <t>.</t>
        </is>
      </c>
      <c r="J559" s="1499" t="n">
        <v>554</v>
      </c>
      <c r="K559" s="1500">
        <f>_xlfn.XLOOKUP(cities[[#This Row],[id]],$D$5:$D$1500,E$5:E$1500,"-")</f>
        <v/>
      </c>
      <c r="L559" s="1500">
        <f>_xlfn.XLOOKUP(cities[[#This Row],[city]],ccc[city],ccc[ctry],"-")</f>
        <v/>
      </c>
      <c r="M559" s="1500">
        <f>SUMIFS(stayCity[stay],stayCity[city],cities[[#This Row],[city]])</f>
        <v/>
      </c>
      <c r="N559" s="1427">
        <f>N558+1</f>
        <v/>
      </c>
      <c r="O559" s="1500" t="n"/>
      <c r="P559" s="1500" t="n"/>
      <c r="Q559" s="1427" t="inlineStr">
        <is>
          <t>.</t>
        </is>
      </c>
      <c r="R559" s="1491" t="n"/>
      <c r="S559" s="1491" t="n"/>
      <c r="T559" s="1491" t="n"/>
      <c r="U559" s="1491" t="n"/>
      <c r="V559" s="1491" t="n"/>
      <c r="W559" s="1491" t="n"/>
      <c r="X559" s="1491" t="n"/>
      <c r="Y559" s="1491" t="n"/>
      <c r="Z559" s="1491" t="n"/>
      <c r="AA559" s="1491" t="n"/>
      <c r="AB559" s="1491" t="n"/>
      <c r="AC559" s="1491" t="n"/>
      <c r="AD559" s="1491" t="n"/>
      <c r="AE559" s="1491" t="n"/>
      <c r="AF559" s="1491" t="n"/>
      <c r="AG559" s="1491" t="n"/>
      <c r="AH559" s="1491" t="n"/>
      <c r="AI559" s="1491" t="n"/>
      <c r="AJ559" s="1491" t="n"/>
      <c r="AK559" s="1491" t="n"/>
      <c r="AL559" s="1491" t="n"/>
      <c r="AM559" s="1491" t="n"/>
      <c r="AN559" s="1491" t="n"/>
      <c r="AO559" s="1491" t="n"/>
      <c r="AP559" s="1491" t="n"/>
      <c r="AQ559" s="1491" t="n"/>
      <c r="AR559" s="1491" t="n"/>
      <c r="AS559" s="1491" t="n"/>
      <c r="AT559" s="1491" t="n"/>
      <c r="AU559" s="1491" t="n"/>
      <c r="AV559" s="1491" t="n"/>
      <c r="AW559" s="1491" t="n"/>
      <c r="AX559" s="1491" t="n"/>
      <c r="AY559" s="1491" t="n"/>
      <c r="AZ559" s="1491" t="n"/>
      <c r="BA559" s="1491" t="n"/>
      <c r="BB559" s="1491" t="n"/>
      <c r="BC559" s="1491" t="n"/>
      <c r="BD559" s="1491" t="n"/>
      <c r="BE559" s="1491" t="n"/>
      <c r="BF559" s="1491" t="n"/>
      <c r="BG559" s="1491" t="n"/>
      <c r="BH559" s="1491" t="n"/>
      <c r="BI559" s="1491" t="n"/>
      <c r="BJ559" s="1491" t="n"/>
      <c r="BK559" s="1491" t="n"/>
      <c r="BL559" s="1491" t="n"/>
      <c r="BM559" s="1491" t="n"/>
      <c r="BN559" s="1491" t="n"/>
      <c r="BO559" s="1467" t="n"/>
      <c r="BP559" s="1514" t="n">
        <v>555</v>
      </c>
      <c r="BQ559" s="1513">
        <f>[1]Sheet1!C560</f>
        <v/>
      </c>
      <c r="BR559" s="1515">
        <f>[1]Sheet1!D560</f>
        <v/>
      </c>
      <c r="BS559" s="1513">
        <f>[1]Sheet1!E560</f>
        <v/>
      </c>
      <c r="BT559" s="1515">
        <f>[1]Sheet1!F560</f>
        <v/>
      </c>
      <c r="BU559" s="1516">
        <f>[1]Sheet1!G560</f>
        <v/>
      </c>
      <c r="BV559" s="1513">
        <f>[1]Sheet1!H560</f>
        <v/>
      </c>
      <c r="BW559" s="1467" t="n"/>
      <c r="BX559" s="1491" t="n"/>
      <c r="BY559" s="1491" t="n"/>
      <c r="BZ559" s="1491" t="n"/>
      <c r="CA559" s="1491" t="n"/>
      <c r="CB559" s="1467" t="n"/>
      <c r="CC559" s="1467" t="n"/>
      <c r="CD559" s="1491" t="n"/>
      <c r="CE559" s="1491" t="n"/>
      <c r="CF559" s="1491" t="n"/>
      <c r="CG559" s="1491" t="n"/>
      <c r="CH559" s="1491" t="n"/>
      <c r="CI559" s="1491" t="n"/>
      <c r="CJ559" s="1491" t="n"/>
      <c r="CK559" s="1491" t="n"/>
      <c r="CL559" s="1491" t="n"/>
      <c r="CM559" s="1491" t="n"/>
      <c r="CN559" s="1491" t="n"/>
      <c r="CO559" s="1491" t="n"/>
      <c r="CP559" s="1491" t="n"/>
      <c r="CQ559" s="1491" t="n"/>
      <c r="CR559" s="1491" t="n"/>
      <c r="CS559" s="1491" t="n"/>
      <c r="CT559" s="1491" t="n"/>
      <c r="CU559" s="1491" t="n"/>
      <c r="CV559" s="1491" t="n"/>
      <c r="CW559" s="1491" t="n"/>
      <c r="CX559" s="1491" t="n"/>
    </row>
    <row r="560">
      <c r="A560" s="1491" t="n"/>
      <c r="B560" s="1491" t="n"/>
      <c r="C560" s="1491" t="n"/>
      <c r="D560" s="1497">
        <f>IF(E560&lt;&gt;"",D559+1,D559)</f>
        <v/>
      </c>
      <c r="E560" s="1497" t="inlineStr">
        <is>
          <t>Sainte-Julienne</t>
        </is>
      </c>
      <c r="F560" s="1535" t="inlineStr">
        <is>
          <t>.</t>
        </is>
      </c>
      <c r="G560" s="1498">
        <f>IF(H560="AIR",0,IF(H559="AIR",G558+1,IF(H560&lt;&gt;"",G559+1,G559)))</f>
        <v/>
      </c>
      <c r="H560" s="1498" t="inlineStr">
        <is>
          <t>BORDER DEU</t>
        </is>
      </c>
      <c r="I560" s="1427" t="inlineStr">
        <is>
          <t>.</t>
        </is>
      </c>
      <c r="J560" s="1499" t="n">
        <v>555</v>
      </c>
      <c r="K560" s="1500">
        <f>_xlfn.XLOOKUP(cities[[#This Row],[id]],$D$5:$D$1500,E$5:E$1500,"-")</f>
        <v/>
      </c>
      <c r="L560" s="1500">
        <f>_xlfn.XLOOKUP(cities[[#This Row],[city]],ccc[city],ccc[ctry],"-")</f>
        <v/>
      </c>
      <c r="M560" s="1500">
        <f>SUMIFS(stayCity[stay],stayCity[city],cities[[#This Row],[city]])</f>
        <v/>
      </c>
      <c r="N560" s="1427">
        <f>N559+1</f>
        <v/>
      </c>
      <c r="O560" s="1500" t="n"/>
      <c r="P560" s="1500" t="n"/>
      <c r="Q560" s="1427" t="inlineStr">
        <is>
          <t>.</t>
        </is>
      </c>
      <c r="R560" s="1491" t="n"/>
      <c r="S560" s="1491" t="n"/>
      <c r="T560" s="1491" t="n"/>
      <c r="U560" s="1491" t="n"/>
      <c r="V560" s="1491" t="n"/>
      <c r="W560" s="1491" t="n"/>
      <c r="X560" s="1491" t="n"/>
      <c r="Y560" s="1491" t="n"/>
      <c r="Z560" s="1491" t="n"/>
      <c r="AA560" s="1491" t="n"/>
      <c r="AB560" s="1491" t="n"/>
      <c r="AC560" s="1491" t="n"/>
      <c r="AD560" s="1491" t="n"/>
      <c r="AE560" s="1491" t="n"/>
      <c r="AF560" s="1491" t="n"/>
      <c r="AG560" s="1491" t="n"/>
      <c r="AH560" s="1491" t="n"/>
      <c r="AI560" s="1491" t="n"/>
      <c r="AJ560" s="1491" t="n"/>
      <c r="AK560" s="1491" t="n"/>
      <c r="AL560" s="1491" t="n"/>
      <c r="AM560" s="1491" t="n"/>
      <c r="AN560" s="1491" t="n"/>
      <c r="AO560" s="1491" t="n"/>
      <c r="AP560" s="1491" t="n"/>
      <c r="AQ560" s="1491" t="n"/>
      <c r="AR560" s="1491" t="n"/>
      <c r="AS560" s="1491" t="n"/>
      <c r="AT560" s="1491" t="n"/>
      <c r="AU560" s="1491" t="n"/>
      <c r="AV560" s="1491" t="n"/>
      <c r="AW560" s="1491" t="n"/>
      <c r="AX560" s="1491" t="n"/>
      <c r="AY560" s="1491" t="n"/>
      <c r="AZ560" s="1491" t="n"/>
      <c r="BA560" s="1491" t="n"/>
      <c r="BB560" s="1491" t="n"/>
      <c r="BC560" s="1491" t="n"/>
      <c r="BD560" s="1491" t="n"/>
      <c r="BE560" s="1491" t="n"/>
      <c r="BF560" s="1491" t="n"/>
      <c r="BG560" s="1491" t="n"/>
      <c r="BH560" s="1491" t="n"/>
      <c r="BI560" s="1491" t="n"/>
      <c r="BJ560" s="1491" t="n"/>
      <c r="BK560" s="1491" t="n"/>
      <c r="BL560" s="1491" t="n"/>
      <c r="BM560" s="1491" t="n"/>
      <c r="BN560" s="1491" t="n"/>
      <c r="BO560" s="1467" t="n"/>
      <c r="BP560" s="1514" t="n">
        <v>556</v>
      </c>
      <c r="BQ560" s="1513">
        <f>[1]Sheet1!C561</f>
        <v/>
      </c>
      <c r="BR560" s="1515">
        <f>[1]Sheet1!D561</f>
        <v/>
      </c>
      <c r="BS560" s="1513">
        <f>[1]Sheet1!E561</f>
        <v/>
      </c>
      <c r="BT560" s="1515">
        <f>[1]Sheet1!F561</f>
        <v/>
      </c>
      <c r="BU560" s="1516">
        <f>[1]Sheet1!G561</f>
        <v/>
      </c>
      <c r="BV560" s="1513">
        <f>[1]Sheet1!H561</f>
        <v/>
      </c>
      <c r="BW560" s="1467" t="n"/>
      <c r="BX560" s="1491" t="n"/>
      <c r="BY560" s="1491" t="n"/>
      <c r="BZ560" s="1491" t="n"/>
      <c r="CA560" s="1491" t="n"/>
      <c r="CB560" s="1467" t="n"/>
      <c r="CC560" s="1467" t="n"/>
      <c r="CD560" s="1491" t="n"/>
      <c r="CE560" s="1491" t="n"/>
      <c r="CF560" s="1491" t="n"/>
      <c r="CG560" s="1491" t="n"/>
      <c r="CH560" s="1491" t="n"/>
      <c r="CI560" s="1491" t="n"/>
      <c r="CJ560" s="1491" t="n"/>
      <c r="CK560" s="1491" t="n"/>
      <c r="CL560" s="1491" t="n"/>
      <c r="CM560" s="1491" t="n"/>
      <c r="CN560" s="1491" t="n"/>
      <c r="CO560" s="1491" t="n"/>
      <c r="CP560" s="1491" t="n"/>
      <c r="CQ560" s="1491" t="n"/>
      <c r="CR560" s="1491" t="n"/>
      <c r="CS560" s="1491" t="n"/>
      <c r="CT560" s="1491" t="n"/>
      <c r="CU560" s="1491" t="n"/>
      <c r="CV560" s="1491" t="n"/>
      <c r="CW560" s="1491" t="n"/>
      <c r="CX560" s="1491" t="n"/>
    </row>
    <row r="561">
      <c r="A561" s="1491" t="n"/>
      <c r="B561" s="1491" t="n"/>
      <c r="C561" s="1491" t="n"/>
      <c r="D561" s="1497">
        <f>IF(E561&lt;&gt;"",D560+1,D560)</f>
        <v/>
      </c>
      <c r="E561" s="1497" t="inlineStr">
        <is>
          <t>Segovia</t>
        </is>
      </c>
      <c r="F561" s="1535" t="inlineStr">
        <is>
          <t>.</t>
        </is>
      </c>
      <c r="G561" s="1498">
        <f>IF(H561="AIR",0,IF(H560="AIR",G559+1,IF(H561&lt;&gt;"",G560+1,G560)))</f>
        <v/>
      </c>
      <c r="H561" s="1498" t="inlineStr">
        <is>
          <t>BORDER BEL</t>
        </is>
      </c>
      <c r="I561" s="1427" t="inlineStr">
        <is>
          <t>.</t>
        </is>
      </c>
      <c r="J561" s="1499" t="n">
        <v>556</v>
      </c>
      <c r="K561" s="1500">
        <f>_xlfn.XLOOKUP(cities[[#This Row],[id]],$D$5:$D$1500,E$5:E$1500,"-")</f>
        <v/>
      </c>
      <c r="L561" s="1500">
        <f>_xlfn.XLOOKUP(cities[[#This Row],[city]],ccc[city],ccc[ctry],"-")</f>
        <v/>
      </c>
      <c r="M561" s="1500">
        <f>SUMIFS(stayCity[stay],stayCity[city],cities[[#This Row],[city]])</f>
        <v/>
      </c>
      <c r="N561" s="1427">
        <f>N560+1</f>
        <v/>
      </c>
      <c r="O561" s="1500" t="n"/>
      <c r="P561" s="1500" t="n"/>
      <c r="Q561" s="1427" t="inlineStr">
        <is>
          <t>.</t>
        </is>
      </c>
      <c r="R561" s="1491" t="n"/>
      <c r="S561" s="1491" t="n"/>
      <c r="T561" s="1491" t="n"/>
      <c r="U561" s="1491" t="n"/>
      <c r="V561" s="1491" t="n"/>
      <c r="W561" s="1491" t="n"/>
      <c r="X561" s="1491" t="n"/>
      <c r="Y561" s="1491" t="n"/>
      <c r="Z561" s="1491" t="n"/>
      <c r="AA561" s="1491" t="n"/>
      <c r="AB561" s="1491" t="n"/>
      <c r="AC561" s="1491" t="n"/>
      <c r="AD561" s="1491" t="n"/>
      <c r="AE561" s="1491" t="n"/>
      <c r="AF561" s="1491" t="n"/>
      <c r="AG561" s="1491" t="n"/>
      <c r="AH561" s="1491" t="n"/>
      <c r="AI561" s="1491" t="n"/>
      <c r="AJ561" s="1491" t="n"/>
      <c r="AK561" s="1491" t="n"/>
      <c r="AL561" s="1491" t="n"/>
      <c r="AM561" s="1491" t="n"/>
      <c r="AN561" s="1491" t="n"/>
      <c r="AO561" s="1491" t="n"/>
      <c r="AP561" s="1491" t="n"/>
      <c r="AQ561" s="1491" t="n"/>
      <c r="AR561" s="1491" t="n"/>
      <c r="AS561" s="1491" t="n"/>
      <c r="AT561" s="1491" t="n"/>
      <c r="AU561" s="1491" t="n"/>
      <c r="AV561" s="1491" t="n"/>
      <c r="AW561" s="1491" t="n"/>
      <c r="AX561" s="1491" t="n"/>
      <c r="AY561" s="1491" t="n"/>
      <c r="AZ561" s="1491" t="n"/>
      <c r="BA561" s="1491" t="n"/>
      <c r="BB561" s="1491" t="n"/>
      <c r="BC561" s="1491" t="n"/>
      <c r="BD561" s="1491" t="n"/>
      <c r="BE561" s="1491" t="n"/>
      <c r="BF561" s="1491" t="n"/>
      <c r="BG561" s="1491" t="n"/>
      <c r="BH561" s="1491" t="n"/>
      <c r="BI561" s="1491" t="n"/>
      <c r="BJ561" s="1491" t="n"/>
      <c r="BK561" s="1491" t="n"/>
      <c r="BL561" s="1491" t="n"/>
      <c r="BM561" s="1491" t="n"/>
      <c r="BN561" s="1491" t="n"/>
      <c r="BO561" s="1467" t="n"/>
      <c r="BP561" s="1514" t="n">
        <v>557</v>
      </c>
      <c r="BQ561" s="1513">
        <f>[1]Sheet1!C562</f>
        <v/>
      </c>
      <c r="BR561" s="1515">
        <f>[1]Sheet1!D562</f>
        <v/>
      </c>
      <c r="BS561" s="1513">
        <f>[1]Sheet1!E562</f>
        <v/>
      </c>
      <c r="BT561" s="1515">
        <f>[1]Sheet1!F562</f>
        <v/>
      </c>
      <c r="BU561" s="1516">
        <f>[1]Sheet1!G562</f>
        <v/>
      </c>
      <c r="BV561" s="1513">
        <f>[1]Sheet1!H562</f>
        <v/>
      </c>
      <c r="BW561" s="1467" t="n"/>
      <c r="BX561" s="1491" t="n"/>
      <c r="BY561" s="1491" t="n"/>
      <c r="BZ561" s="1491" t="n"/>
      <c r="CA561" s="1491" t="n"/>
      <c r="CB561" s="1467" t="n"/>
      <c r="CC561" s="1467" t="n"/>
      <c r="CD561" s="1491" t="n"/>
      <c r="CE561" s="1491" t="n"/>
      <c r="CF561" s="1491" t="n"/>
      <c r="CG561" s="1491" t="n"/>
      <c r="CH561" s="1491" t="n"/>
      <c r="CI561" s="1491" t="n"/>
      <c r="CJ561" s="1491" t="n"/>
      <c r="CK561" s="1491" t="n"/>
      <c r="CL561" s="1491" t="n"/>
      <c r="CM561" s="1491" t="n"/>
      <c r="CN561" s="1491" t="n"/>
      <c r="CO561" s="1491" t="n"/>
      <c r="CP561" s="1491" t="n"/>
      <c r="CQ561" s="1491" t="n"/>
      <c r="CR561" s="1491" t="n"/>
      <c r="CS561" s="1491" t="n"/>
      <c r="CT561" s="1491" t="n"/>
      <c r="CU561" s="1491" t="n"/>
      <c r="CV561" s="1491" t="n"/>
      <c r="CW561" s="1491" t="n"/>
      <c r="CX561" s="1491" t="n"/>
    </row>
    <row r="562">
      <c r="A562" s="1491" t="n"/>
      <c r="B562" s="1491" t="n"/>
      <c r="C562" s="1491" t="n"/>
      <c r="D562" s="1497">
        <f>IF(E562&lt;&gt;"",D561+1,D561)</f>
        <v/>
      </c>
      <c r="E562" s="1497" t="inlineStr">
        <is>
          <t>Vila Nova de Gaia</t>
        </is>
      </c>
      <c r="F562" s="1535" t="inlineStr">
        <is>
          <t>.</t>
        </is>
      </c>
      <c r="G562" s="1498">
        <f>IF(H562="AIR",0,IF(H561="AIR",G560+1,IF(H562&lt;&gt;"",G561+1,G561)))</f>
        <v/>
      </c>
      <c r="H562" s="1498" t="inlineStr">
        <is>
          <t>BORDER NED</t>
        </is>
      </c>
      <c r="I562" s="1427" t="inlineStr">
        <is>
          <t>.</t>
        </is>
      </c>
      <c r="J562" s="1499" t="n">
        <v>557</v>
      </c>
      <c r="K562" s="1500">
        <f>_xlfn.XLOOKUP(cities[[#This Row],[id]],$D$5:$D$1500,E$5:E$1500,"-")</f>
        <v/>
      </c>
      <c r="L562" s="1500">
        <f>_xlfn.XLOOKUP(cities[[#This Row],[city]],ccc[city],ccc[ctry],"-")</f>
        <v/>
      </c>
      <c r="M562" s="1500">
        <f>SUMIFS(stayCity[stay],stayCity[city],cities[[#This Row],[city]])</f>
        <v/>
      </c>
      <c r="N562" s="1427">
        <f>N561+1</f>
        <v/>
      </c>
      <c r="O562" s="1500" t="n"/>
      <c r="P562" s="1500" t="n"/>
      <c r="Q562" s="1427" t="inlineStr">
        <is>
          <t>.</t>
        </is>
      </c>
      <c r="R562" s="1491" t="n"/>
      <c r="S562" s="1491" t="n"/>
      <c r="T562" s="1491" t="n"/>
      <c r="U562" s="1491" t="n"/>
      <c r="V562" s="1491" t="n"/>
      <c r="W562" s="1491" t="n"/>
      <c r="X562" s="1491" t="n"/>
      <c r="Y562" s="1491" t="n"/>
      <c r="Z562" s="1491" t="n"/>
      <c r="AA562" s="1491" t="n"/>
      <c r="AB562" s="1491" t="n"/>
      <c r="AC562" s="1491" t="n"/>
      <c r="AD562" s="1491" t="n"/>
      <c r="AE562" s="1491" t="n"/>
      <c r="AF562" s="1491" t="n"/>
      <c r="AG562" s="1491" t="n"/>
      <c r="AH562" s="1491" t="n"/>
      <c r="AI562" s="1491" t="n"/>
      <c r="AJ562" s="1491" t="n"/>
      <c r="AK562" s="1491" t="n"/>
      <c r="AL562" s="1491" t="n"/>
      <c r="AM562" s="1491" t="n"/>
      <c r="AN562" s="1491" t="n"/>
      <c r="AO562" s="1491" t="n"/>
      <c r="AP562" s="1491" t="n"/>
      <c r="AQ562" s="1491" t="n"/>
      <c r="AR562" s="1491" t="n"/>
      <c r="AS562" s="1491" t="n"/>
      <c r="AT562" s="1491" t="n"/>
      <c r="AU562" s="1491" t="n"/>
      <c r="AV562" s="1491" t="n"/>
      <c r="AW562" s="1491" t="n"/>
      <c r="AX562" s="1491" t="n"/>
      <c r="AY562" s="1491" t="n"/>
      <c r="AZ562" s="1491" t="n"/>
      <c r="BA562" s="1491" t="n"/>
      <c r="BB562" s="1491" t="n"/>
      <c r="BC562" s="1491" t="n"/>
      <c r="BD562" s="1491" t="n"/>
      <c r="BE562" s="1491" t="n"/>
      <c r="BF562" s="1491" t="n"/>
      <c r="BG562" s="1491" t="n"/>
      <c r="BH562" s="1491" t="n"/>
      <c r="BI562" s="1491" t="n"/>
      <c r="BJ562" s="1491" t="n"/>
      <c r="BK562" s="1491" t="n"/>
      <c r="BL562" s="1491" t="n"/>
      <c r="BM562" s="1491" t="n"/>
      <c r="BN562" s="1491" t="n"/>
      <c r="BO562" s="1467" t="n"/>
      <c r="BP562" s="1514" t="n">
        <v>558</v>
      </c>
      <c r="BQ562" s="1513">
        <f>[1]Sheet1!C563</f>
        <v/>
      </c>
      <c r="BR562" s="1515">
        <f>[1]Sheet1!D563</f>
        <v/>
      </c>
      <c r="BS562" s="1513">
        <f>[1]Sheet1!E563</f>
        <v/>
      </c>
      <c r="BT562" s="1515">
        <f>[1]Sheet1!F563</f>
        <v/>
      </c>
      <c r="BU562" s="1516">
        <f>[1]Sheet1!G563</f>
        <v/>
      </c>
      <c r="BV562" s="1513">
        <f>[1]Sheet1!H563</f>
        <v/>
      </c>
      <c r="BW562" s="1467" t="n"/>
      <c r="BX562" s="1491" t="n"/>
      <c r="BY562" s="1491" t="n"/>
      <c r="BZ562" s="1491" t="n"/>
      <c r="CA562" s="1491" t="n"/>
      <c r="CB562" s="1467" t="n"/>
      <c r="CC562" s="1467" t="n"/>
      <c r="CD562" s="1491" t="n"/>
      <c r="CE562" s="1491" t="n"/>
      <c r="CF562" s="1491" t="n"/>
      <c r="CG562" s="1491" t="n"/>
      <c r="CH562" s="1491" t="n"/>
      <c r="CI562" s="1491" t="n"/>
      <c r="CJ562" s="1491" t="n"/>
      <c r="CK562" s="1491" t="n"/>
      <c r="CL562" s="1491" t="n"/>
      <c r="CM562" s="1491" t="n"/>
      <c r="CN562" s="1491" t="n"/>
      <c r="CO562" s="1491" t="n"/>
      <c r="CP562" s="1491" t="n"/>
      <c r="CQ562" s="1491" t="n"/>
      <c r="CR562" s="1491" t="n"/>
      <c r="CS562" s="1491" t="n"/>
      <c r="CT562" s="1491" t="n"/>
      <c r="CU562" s="1491" t="n"/>
      <c r="CV562" s="1491" t="n"/>
      <c r="CW562" s="1491" t="n"/>
      <c r="CX562" s="1491" t="n"/>
    </row>
    <row r="563">
      <c r="A563" s="1491" t="n"/>
      <c r="B563" s="1491" t="n"/>
      <c r="C563" s="1491" t="n"/>
      <c r="D563" s="1497">
        <f>IF(E563&lt;&gt;"",D562+1,D562)</f>
        <v/>
      </c>
      <c r="E563" s="1497" t="inlineStr">
        <is>
          <t>Leça da Palmeira</t>
        </is>
      </c>
      <c r="F563" s="1535" t="inlineStr">
        <is>
          <t>.</t>
        </is>
      </c>
      <c r="G563" s="1498">
        <f>IF(H563="AIR",0,IF(H562="AIR",G561+1,IF(H563&lt;&gt;"",G562+1,G562)))</f>
        <v/>
      </c>
      <c r="H563" s="1498" t="inlineStr">
        <is>
          <t>Aachen</t>
        </is>
      </c>
      <c r="I563" s="1427" t="inlineStr">
        <is>
          <t>.</t>
        </is>
      </c>
      <c r="J563" s="1499" t="n">
        <v>558</v>
      </c>
      <c r="K563" s="1500">
        <f>_xlfn.XLOOKUP(cities[[#This Row],[id]],$D$5:$D$1500,E$5:E$1500,"-")</f>
        <v/>
      </c>
      <c r="L563" s="1500">
        <f>_xlfn.XLOOKUP(cities[[#This Row],[city]],ccc[city],ccc[ctry],"-")</f>
        <v/>
      </c>
      <c r="M563" s="1500">
        <f>SUMIFS(stayCity[stay],stayCity[city],cities[[#This Row],[city]])</f>
        <v/>
      </c>
      <c r="N563" s="1427">
        <f>N562+1</f>
        <v/>
      </c>
      <c r="O563" s="1500" t="n"/>
      <c r="P563" s="1500" t="n"/>
      <c r="Q563" s="1427" t="inlineStr">
        <is>
          <t>.</t>
        </is>
      </c>
      <c r="R563" s="1491" t="n"/>
      <c r="S563" s="1491" t="n"/>
      <c r="T563" s="1491" t="n"/>
      <c r="U563" s="1491" t="n"/>
      <c r="V563" s="1491" t="n"/>
      <c r="W563" s="1491" t="n"/>
      <c r="X563" s="1491" t="n"/>
      <c r="Y563" s="1491" t="n"/>
      <c r="Z563" s="1491" t="n"/>
      <c r="AA563" s="1491" t="n"/>
      <c r="AB563" s="1491" t="n"/>
      <c r="AC563" s="1491" t="n"/>
      <c r="AD563" s="1491" t="n"/>
      <c r="AE563" s="1491" t="n"/>
      <c r="AF563" s="1491" t="n"/>
      <c r="AG563" s="1491" t="n"/>
      <c r="AH563" s="1491" t="n"/>
      <c r="AI563" s="1491" t="n"/>
      <c r="AJ563" s="1491" t="n"/>
      <c r="AK563" s="1491" t="n"/>
      <c r="AL563" s="1491" t="n"/>
      <c r="AM563" s="1491" t="n"/>
      <c r="AN563" s="1491" t="n"/>
      <c r="AO563" s="1491" t="n"/>
      <c r="AP563" s="1491" t="n"/>
      <c r="AQ563" s="1491" t="n"/>
      <c r="AR563" s="1491" t="n"/>
      <c r="AS563" s="1491" t="n"/>
      <c r="AT563" s="1491" t="n"/>
      <c r="AU563" s="1491" t="n"/>
      <c r="AV563" s="1491" t="n"/>
      <c r="AW563" s="1491" t="n"/>
      <c r="AX563" s="1491" t="n"/>
      <c r="AY563" s="1491" t="n"/>
      <c r="AZ563" s="1491" t="n"/>
      <c r="BA563" s="1491" t="n"/>
      <c r="BB563" s="1491" t="n"/>
      <c r="BC563" s="1491" t="n"/>
      <c r="BD563" s="1491" t="n"/>
      <c r="BE563" s="1491" t="n"/>
      <c r="BF563" s="1491" t="n"/>
      <c r="BG563" s="1491" t="n"/>
      <c r="BH563" s="1491" t="n"/>
      <c r="BI563" s="1491" t="n"/>
      <c r="BJ563" s="1491" t="n"/>
      <c r="BK563" s="1491" t="n"/>
      <c r="BL563" s="1491" t="n"/>
      <c r="BM563" s="1491" t="n"/>
      <c r="BN563" s="1491" t="n"/>
      <c r="BO563" s="1467" t="n"/>
      <c r="BP563" s="1514" t="n">
        <v>559</v>
      </c>
      <c r="BQ563" s="1513">
        <f>[1]Sheet1!C564</f>
        <v/>
      </c>
      <c r="BR563" s="1515">
        <f>[1]Sheet1!D564</f>
        <v/>
      </c>
      <c r="BS563" s="1513">
        <f>[1]Sheet1!E564</f>
        <v/>
      </c>
      <c r="BT563" s="1515">
        <f>[1]Sheet1!F564</f>
        <v/>
      </c>
      <c r="BU563" s="1516">
        <f>[1]Sheet1!G564</f>
        <v/>
      </c>
      <c r="BV563" s="1513">
        <f>[1]Sheet1!H564</f>
        <v/>
      </c>
      <c r="BW563" s="1467" t="n"/>
      <c r="BX563" s="1491" t="n"/>
      <c r="BY563" s="1491" t="n"/>
      <c r="BZ563" s="1491" t="n"/>
      <c r="CA563" s="1491" t="n"/>
      <c r="CB563" s="1467" t="n"/>
      <c r="CC563" s="1467" t="n"/>
      <c r="CD563" s="1491" t="n"/>
      <c r="CE563" s="1491" t="n"/>
      <c r="CF563" s="1491" t="n"/>
      <c r="CG563" s="1491" t="n"/>
      <c r="CH563" s="1491" t="n"/>
      <c r="CI563" s="1491" t="n"/>
      <c r="CJ563" s="1491" t="n"/>
      <c r="CK563" s="1491" t="n"/>
      <c r="CL563" s="1491" t="n"/>
      <c r="CM563" s="1491" t="n"/>
      <c r="CN563" s="1491" t="n"/>
      <c r="CO563" s="1491" t="n"/>
      <c r="CP563" s="1491" t="n"/>
      <c r="CQ563" s="1491" t="n"/>
      <c r="CR563" s="1491" t="n"/>
      <c r="CS563" s="1491" t="n"/>
      <c r="CT563" s="1491" t="n"/>
      <c r="CU563" s="1491" t="n"/>
      <c r="CV563" s="1491" t="n"/>
      <c r="CW563" s="1491" t="n"/>
      <c r="CX563" s="1491" t="n"/>
    </row>
    <row r="564">
      <c r="A564" s="1491" t="n"/>
      <c r="B564" s="1491" t="n"/>
      <c r="C564" s="1491" t="n"/>
      <c r="D564" s="1497">
        <f>IF(E564&lt;&gt;"",D563+1,D563)</f>
        <v/>
      </c>
      <c r="E564" s="1497" t="inlineStr">
        <is>
          <t>Matosinhos</t>
        </is>
      </c>
      <c r="F564" s="1535" t="inlineStr">
        <is>
          <t>.</t>
        </is>
      </c>
      <c r="G564" s="1498">
        <f>IF(H564="AIR",0,IF(H563="AIR",G562+1,IF(H564&lt;&gt;"",G563+1,G563)))</f>
        <v/>
      </c>
      <c r="H564" s="1498" t="inlineStr">
        <is>
          <t>Dusseldorf</t>
        </is>
      </c>
      <c r="I564" s="1427" t="inlineStr">
        <is>
          <t>.</t>
        </is>
      </c>
      <c r="J564" s="1499" t="n">
        <v>559</v>
      </c>
      <c r="K564" s="1500">
        <f>_xlfn.XLOOKUP(cities[[#This Row],[id]],$D$5:$D$1500,E$5:E$1500,"-")</f>
        <v/>
      </c>
      <c r="L564" s="1500">
        <f>_xlfn.XLOOKUP(cities[[#This Row],[city]],ccc[city],ccc[ctry],"-")</f>
        <v/>
      </c>
      <c r="M564" s="1500">
        <f>SUMIFS(stayCity[stay],stayCity[city],cities[[#This Row],[city]])</f>
        <v/>
      </c>
      <c r="N564" s="1427">
        <f>N563+1</f>
        <v/>
      </c>
      <c r="O564" s="1500" t="n"/>
      <c r="P564" s="1500" t="n"/>
      <c r="Q564" s="1427" t="inlineStr">
        <is>
          <t>.</t>
        </is>
      </c>
      <c r="R564" s="1491" t="n"/>
      <c r="S564" s="1491" t="n"/>
      <c r="T564" s="1491" t="n"/>
      <c r="U564" s="1491" t="n"/>
      <c r="V564" s="1491" t="n"/>
      <c r="W564" s="1491" t="n"/>
      <c r="X564" s="1491" t="n"/>
      <c r="Y564" s="1491" t="n"/>
      <c r="Z564" s="1491" t="n"/>
      <c r="AA564" s="1491" t="n"/>
      <c r="AB564" s="1491" t="n"/>
      <c r="AC564" s="1491" t="n"/>
      <c r="AD564" s="1491" t="n"/>
      <c r="AE564" s="1491" t="n"/>
      <c r="AF564" s="1491" t="n"/>
      <c r="AG564" s="1491" t="n"/>
      <c r="AH564" s="1491" t="n"/>
      <c r="AI564" s="1491" t="n"/>
      <c r="AJ564" s="1491" t="n"/>
      <c r="AK564" s="1491" t="n"/>
      <c r="AL564" s="1491" t="n"/>
      <c r="AM564" s="1491" t="n"/>
      <c r="AN564" s="1491" t="n"/>
      <c r="AO564" s="1491" t="n"/>
      <c r="AP564" s="1491" t="n"/>
      <c r="AQ564" s="1491" t="n"/>
      <c r="AR564" s="1491" t="n"/>
      <c r="AS564" s="1491" t="n"/>
      <c r="AT564" s="1491" t="n"/>
      <c r="AU564" s="1491" t="n"/>
      <c r="AV564" s="1491" t="n"/>
      <c r="AW564" s="1491" t="n"/>
      <c r="AX564" s="1491" t="n"/>
      <c r="AY564" s="1491" t="n"/>
      <c r="AZ564" s="1491" t="n"/>
      <c r="BA564" s="1491" t="n"/>
      <c r="BB564" s="1491" t="n"/>
      <c r="BC564" s="1491" t="n"/>
      <c r="BD564" s="1491" t="n"/>
      <c r="BE564" s="1491" t="n"/>
      <c r="BF564" s="1491" t="n"/>
      <c r="BG564" s="1491" t="n"/>
      <c r="BH564" s="1491" t="n"/>
      <c r="BI564" s="1491" t="n"/>
      <c r="BJ564" s="1491" t="n"/>
      <c r="BK564" s="1491" t="n"/>
      <c r="BL564" s="1491" t="n"/>
      <c r="BM564" s="1491" t="n"/>
      <c r="BN564" s="1491" t="n"/>
      <c r="BO564" s="1467" t="n"/>
      <c r="BP564" s="1514" t="n">
        <v>560</v>
      </c>
      <c r="BQ564" s="1513">
        <f>[1]Sheet1!C565</f>
        <v/>
      </c>
      <c r="BR564" s="1515">
        <f>[1]Sheet1!D565</f>
        <v/>
      </c>
      <c r="BS564" s="1513">
        <f>[1]Sheet1!E565</f>
        <v/>
      </c>
      <c r="BT564" s="1515">
        <f>[1]Sheet1!F565</f>
        <v/>
      </c>
      <c r="BU564" s="1516">
        <f>[1]Sheet1!G565</f>
        <v/>
      </c>
      <c r="BV564" s="1513">
        <f>[1]Sheet1!H565</f>
        <v/>
      </c>
      <c r="BW564" s="1467" t="n"/>
      <c r="BX564" s="1491" t="n"/>
      <c r="BY564" s="1491" t="n"/>
      <c r="BZ564" s="1491" t="n"/>
      <c r="CA564" s="1491" t="n"/>
      <c r="CB564" s="1467" t="n"/>
      <c r="CC564" s="1467" t="n"/>
      <c r="CD564" s="1491" t="n"/>
      <c r="CE564" s="1491" t="n"/>
      <c r="CF564" s="1491" t="n"/>
      <c r="CG564" s="1491" t="n"/>
      <c r="CH564" s="1491" t="n"/>
      <c r="CI564" s="1491" t="n"/>
      <c r="CJ564" s="1491" t="n"/>
      <c r="CK564" s="1491" t="n"/>
      <c r="CL564" s="1491" t="n"/>
      <c r="CM564" s="1491" t="n"/>
      <c r="CN564" s="1491" t="n"/>
      <c r="CO564" s="1491" t="n"/>
      <c r="CP564" s="1491" t="n"/>
      <c r="CQ564" s="1491" t="n"/>
      <c r="CR564" s="1491" t="n"/>
      <c r="CS564" s="1491" t="n"/>
      <c r="CT564" s="1491" t="n"/>
      <c r="CU564" s="1491" t="n"/>
      <c r="CV564" s="1491" t="n"/>
      <c r="CW564" s="1491" t="n"/>
      <c r="CX564" s="1491" t="n"/>
    </row>
    <row r="565">
      <c r="A565" s="1491" t="n"/>
      <c r="B565" s="1491" t="n"/>
      <c r="C565" s="1491" t="n"/>
      <c r="D565" s="1497">
        <f>IF(E565&lt;&gt;"",D564+1,D564)</f>
        <v/>
      </c>
      <c r="E565" s="1497" t="inlineStr">
        <is>
          <t>Felgueiras</t>
        </is>
      </c>
      <c r="F565" s="1535" t="inlineStr">
        <is>
          <t>.</t>
        </is>
      </c>
      <c r="G565" s="1498">
        <f>IF(H565="AIR",0,IF(H564="AIR",G563+1,IF(H565&lt;&gt;"",G564+1,G564)))</f>
        <v/>
      </c>
      <c r="H565" s="1498" t="inlineStr">
        <is>
          <t>Koblenz</t>
        </is>
      </c>
      <c r="I565" s="1427" t="inlineStr">
        <is>
          <t>.</t>
        </is>
      </c>
      <c r="J565" s="1499" t="n">
        <v>560</v>
      </c>
      <c r="K565" s="1500">
        <f>_xlfn.XLOOKUP(cities[[#This Row],[id]],$D$5:$D$1500,E$5:E$1500,"-")</f>
        <v/>
      </c>
      <c r="L565" s="1500">
        <f>_xlfn.XLOOKUP(cities[[#This Row],[city]],ccc[city],ccc[ctry],"-")</f>
        <v/>
      </c>
      <c r="M565" s="1500">
        <f>SUMIFS(stayCity[stay],stayCity[city],cities[[#This Row],[city]])</f>
        <v/>
      </c>
      <c r="N565" s="1427">
        <f>N564+1</f>
        <v/>
      </c>
      <c r="O565" s="1500" t="n"/>
      <c r="P565" s="1500" t="n"/>
      <c r="Q565" s="1427" t="inlineStr">
        <is>
          <t>.</t>
        </is>
      </c>
      <c r="R565" s="1491" t="n"/>
      <c r="S565" s="1491" t="n"/>
      <c r="T565" s="1491" t="n"/>
      <c r="U565" s="1491" t="n"/>
      <c r="V565" s="1491" t="n"/>
      <c r="W565" s="1491" t="n"/>
      <c r="X565" s="1491" t="n"/>
      <c r="Y565" s="1491" t="n"/>
      <c r="Z565" s="1491" t="n"/>
      <c r="AA565" s="1491" t="n"/>
      <c r="AB565" s="1491" t="n"/>
      <c r="AC565" s="1491" t="n"/>
      <c r="AD565" s="1491" t="n"/>
      <c r="AE565" s="1491" t="n"/>
      <c r="AF565" s="1491" t="n"/>
      <c r="AG565" s="1491" t="n"/>
      <c r="AH565" s="1491" t="n"/>
      <c r="AI565" s="1491" t="n"/>
      <c r="AJ565" s="1491" t="n"/>
      <c r="AK565" s="1491" t="n"/>
      <c r="AL565" s="1491" t="n"/>
      <c r="AM565" s="1491" t="n"/>
      <c r="AN565" s="1491" t="n"/>
      <c r="AO565" s="1491" t="n"/>
      <c r="AP565" s="1491" t="n"/>
      <c r="AQ565" s="1491" t="n"/>
      <c r="AR565" s="1491" t="n"/>
      <c r="AS565" s="1491" t="n"/>
      <c r="AT565" s="1491" t="n"/>
      <c r="AU565" s="1491" t="n"/>
      <c r="AV565" s="1491" t="n"/>
      <c r="AW565" s="1491" t="n"/>
      <c r="AX565" s="1491" t="n"/>
      <c r="AY565" s="1491" t="n"/>
      <c r="AZ565" s="1491" t="n"/>
      <c r="BA565" s="1491" t="n"/>
      <c r="BB565" s="1491" t="n"/>
      <c r="BC565" s="1491" t="n"/>
      <c r="BD565" s="1491" t="n"/>
      <c r="BE565" s="1491" t="n"/>
      <c r="BF565" s="1491" t="n"/>
      <c r="BG565" s="1491" t="n"/>
      <c r="BH565" s="1491" t="n"/>
      <c r="BI565" s="1491" t="n"/>
      <c r="BJ565" s="1491" t="n"/>
      <c r="BK565" s="1491" t="n"/>
      <c r="BL565" s="1491" t="n"/>
      <c r="BM565" s="1491" t="n"/>
      <c r="BN565" s="1491" t="n"/>
      <c r="BO565" s="1467" t="n"/>
      <c r="BP565" s="1514" t="n">
        <v>561</v>
      </c>
      <c r="BQ565" s="1513">
        <f>[1]Sheet1!C566</f>
        <v/>
      </c>
      <c r="BR565" s="1515">
        <f>[1]Sheet1!D566</f>
        <v/>
      </c>
      <c r="BS565" s="1513">
        <f>[1]Sheet1!E566</f>
        <v/>
      </c>
      <c r="BT565" s="1515">
        <f>[1]Sheet1!F566</f>
        <v/>
      </c>
      <c r="BU565" s="1516">
        <f>[1]Sheet1!G566</f>
        <v/>
      </c>
      <c r="BV565" s="1513">
        <f>[1]Sheet1!H566</f>
        <v/>
      </c>
      <c r="BW565" s="1467" t="n"/>
      <c r="BX565" s="1491" t="n"/>
      <c r="BY565" s="1491" t="n"/>
      <c r="BZ565" s="1491" t="n"/>
      <c r="CA565" s="1491" t="n"/>
      <c r="CB565" s="1467" t="n"/>
      <c r="CC565" s="1467" t="n"/>
      <c r="CD565" s="1491" t="n"/>
      <c r="CE565" s="1491" t="n"/>
      <c r="CF565" s="1491" t="n"/>
      <c r="CG565" s="1491" t="n"/>
      <c r="CH565" s="1491" t="n"/>
      <c r="CI565" s="1491" t="n"/>
      <c r="CJ565" s="1491" t="n"/>
      <c r="CK565" s="1491" t="n"/>
      <c r="CL565" s="1491" t="n"/>
      <c r="CM565" s="1491" t="n"/>
      <c r="CN565" s="1491" t="n"/>
      <c r="CO565" s="1491" t="n"/>
      <c r="CP565" s="1491" t="n"/>
      <c r="CQ565" s="1491" t="n"/>
      <c r="CR565" s="1491" t="n"/>
      <c r="CS565" s="1491" t="n"/>
      <c r="CT565" s="1491" t="n"/>
      <c r="CU565" s="1491" t="n"/>
      <c r="CV565" s="1491" t="n"/>
      <c r="CW565" s="1491" t="n"/>
      <c r="CX565" s="1491" t="n"/>
    </row>
    <row r="566">
      <c r="A566" s="1491" t="n"/>
      <c r="B566" s="1491" t="n"/>
      <c r="C566" s="1491" t="n"/>
      <c r="D566" s="1497">
        <f>IF(E566&lt;&gt;"",D565+1,D565)</f>
        <v/>
      </c>
      <c r="E566" s="1497" t="inlineStr">
        <is>
          <t>Ferreira</t>
        </is>
      </c>
      <c r="F566" s="1535" t="inlineStr">
        <is>
          <t>.</t>
        </is>
      </c>
      <c r="G566" s="1498">
        <f>IF(H566="AIR",0,IF(H565="AIR",G564+1,IF(H566&lt;&gt;"",G565+1,G565)))</f>
        <v/>
      </c>
      <c r="H566" s="1498" t="inlineStr">
        <is>
          <t>Remagen</t>
        </is>
      </c>
      <c r="I566" s="1427" t="inlineStr">
        <is>
          <t>.</t>
        </is>
      </c>
      <c r="J566" s="1499" t="n">
        <v>561</v>
      </c>
      <c r="K566" s="1500">
        <f>_xlfn.XLOOKUP(cities[[#This Row],[id]],$D$5:$D$1500,E$5:E$1500,"-")</f>
        <v/>
      </c>
      <c r="L566" s="1500">
        <f>_xlfn.XLOOKUP(cities[[#This Row],[city]],ccc[city],ccc[ctry],"-")</f>
        <v/>
      </c>
      <c r="M566" s="1500">
        <f>SUMIFS(stayCity[stay],stayCity[city],cities[[#This Row],[city]])</f>
        <v/>
      </c>
      <c r="N566" s="1427">
        <f>N565+1</f>
        <v/>
      </c>
      <c r="O566" s="1500" t="n"/>
      <c r="P566" s="1500" t="n"/>
      <c r="Q566" s="1427" t="inlineStr">
        <is>
          <t>.</t>
        </is>
      </c>
      <c r="R566" s="1491" t="n"/>
      <c r="S566" s="1491" t="n"/>
      <c r="T566" s="1491" t="n"/>
      <c r="U566" s="1491" t="n"/>
      <c r="V566" s="1491" t="n"/>
      <c r="W566" s="1491" t="n"/>
      <c r="X566" s="1491" t="n"/>
      <c r="Y566" s="1491" t="n"/>
      <c r="Z566" s="1491" t="n"/>
      <c r="AA566" s="1491" t="n"/>
      <c r="AB566" s="1491" t="n"/>
      <c r="AC566" s="1491" t="n"/>
      <c r="AD566" s="1491" t="n"/>
      <c r="AE566" s="1491" t="n"/>
      <c r="AF566" s="1491" t="n"/>
      <c r="AG566" s="1491" t="n"/>
      <c r="AH566" s="1491" t="n"/>
      <c r="AI566" s="1491" t="n"/>
      <c r="AJ566" s="1491" t="n"/>
      <c r="AK566" s="1491" t="n"/>
      <c r="AL566" s="1491" t="n"/>
      <c r="AM566" s="1491" t="n"/>
      <c r="AN566" s="1491" t="n"/>
      <c r="AO566" s="1491" t="n"/>
      <c r="AP566" s="1491" t="n"/>
      <c r="AQ566" s="1491" t="n"/>
      <c r="AR566" s="1491" t="n"/>
      <c r="AS566" s="1491" t="n"/>
      <c r="AT566" s="1491" t="n"/>
      <c r="AU566" s="1491" t="n"/>
      <c r="AV566" s="1491" t="n"/>
      <c r="AW566" s="1491" t="n"/>
      <c r="AX566" s="1491" t="n"/>
      <c r="AY566" s="1491" t="n"/>
      <c r="AZ566" s="1491" t="n"/>
      <c r="BA566" s="1491" t="n"/>
      <c r="BB566" s="1491" t="n"/>
      <c r="BC566" s="1491" t="n"/>
      <c r="BD566" s="1491" t="n"/>
      <c r="BE566" s="1491" t="n"/>
      <c r="BF566" s="1491" t="n"/>
      <c r="BG566" s="1491" t="n"/>
      <c r="BH566" s="1491" t="n"/>
      <c r="BI566" s="1491" t="n"/>
      <c r="BJ566" s="1491" t="n"/>
      <c r="BK566" s="1491" t="n"/>
      <c r="BL566" s="1491" t="n"/>
      <c r="BM566" s="1491" t="n"/>
      <c r="BN566" s="1491" t="n"/>
      <c r="BO566" s="1467" t="n"/>
      <c r="BP566" s="1514" t="n">
        <v>562</v>
      </c>
      <c r="BQ566" s="1513">
        <f>[1]Sheet1!C567</f>
        <v/>
      </c>
      <c r="BR566" s="1515">
        <f>[1]Sheet1!D567</f>
        <v/>
      </c>
      <c r="BS566" s="1513">
        <f>[1]Sheet1!E567</f>
        <v/>
      </c>
      <c r="BT566" s="1515">
        <f>[1]Sheet1!F567</f>
        <v/>
      </c>
      <c r="BU566" s="1516">
        <f>[1]Sheet1!G567</f>
        <v/>
      </c>
      <c r="BV566" s="1513">
        <f>[1]Sheet1!H567</f>
        <v/>
      </c>
      <c r="BW566" s="1467" t="n"/>
      <c r="BX566" s="1491" t="n"/>
      <c r="BY566" s="1491" t="n"/>
      <c r="BZ566" s="1491" t="n"/>
      <c r="CA566" s="1491" t="n"/>
      <c r="CB566" s="1467" t="n"/>
      <c r="CC566" s="1467" t="n"/>
      <c r="CD566" s="1491" t="n"/>
      <c r="CE566" s="1491" t="n"/>
      <c r="CF566" s="1491" t="n"/>
      <c r="CG566" s="1491" t="n"/>
      <c r="CH566" s="1491" t="n"/>
      <c r="CI566" s="1491" t="n"/>
      <c r="CJ566" s="1491" t="n"/>
      <c r="CK566" s="1491" t="n"/>
      <c r="CL566" s="1491" t="n"/>
      <c r="CM566" s="1491" t="n"/>
      <c r="CN566" s="1491" t="n"/>
      <c r="CO566" s="1491" t="n"/>
      <c r="CP566" s="1491" t="n"/>
      <c r="CQ566" s="1491" t="n"/>
      <c r="CR566" s="1491" t="n"/>
      <c r="CS566" s="1491" t="n"/>
      <c r="CT566" s="1491" t="n"/>
      <c r="CU566" s="1491" t="n"/>
      <c r="CV566" s="1491" t="n"/>
      <c r="CW566" s="1491" t="n"/>
      <c r="CX566" s="1491" t="n"/>
    </row>
    <row r="567">
      <c r="A567" s="1491" t="n"/>
      <c r="B567" s="1491" t="n"/>
      <c r="C567" s="1491" t="n"/>
      <c r="D567" s="1497">
        <f>IF(E567&lt;&gt;"",D566+1,D566)</f>
        <v/>
      </c>
      <c r="E567" s="1497" t="inlineStr">
        <is>
          <t>Sorrento</t>
        </is>
      </c>
      <c r="F567" s="1535" t="inlineStr">
        <is>
          <t>.</t>
        </is>
      </c>
      <c r="G567" s="1498">
        <f>IF(H567="AIR",0,IF(H566="AIR",G565+1,IF(H567&lt;&gt;"",G566+1,G566)))</f>
        <v/>
      </c>
      <c r="H567" s="1498" t="inlineStr">
        <is>
          <t>Mainz</t>
        </is>
      </c>
      <c r="I567" s="1427" t="inlineStr">
        <is>
          <t>.</t>
        </is>
      </c>
      <c r="J567" s="1499" t="n">
        <v>562</v>
      </c>
      <c r="K567" s="1500">
        <f>_xlfn.XLOOKUP(cities[[#This Row],[id]],$D$5:$D$1500,E$5:E$1500,"-")</f>
        <v/>
      </c>
      <c r="L567" s="1500">
        <f>_xlfn.XLOOKUP(cities[[#This Row],[city]],ccc[city],ccc[ctry],"-")</f>
        <v/>
      </c>
      <c r="M567" s="1500">
        <f>SUMIFS(stayCity[stay],stayCity[city],cities[[#This Row],[city]])</f>
        <v/>
      </c>
      <c r="N567" s="1427">
        <f>N566+1</f>
        <v/>
      </c>
      <c r="O567" s="1500" t="n"/>
      <c r="P567" s="1500" t="n"/>
      <c r="Q567" s="1427" t="inlineStr">
        <is>
          <t>.</t>
        </is>
      </c>
      <c r="R567" s="1491" t="n"/>
      <c r="S567" s="1491" t="n"/>
      <c r="T567" s="1491" t="n"/>
      <c r="U567" s="1491" t="n"/>
      <c r="V567" s="1491" t="n"/>
      <c r="W567" s="1491" t="n"/>
      <c r="X567" s="1491" t="n"/>
      <c r="Y567" s="1491" t="n"/>
      <c r="Z567" s="1491" t="n"/>
      <c r="AA567" s="1491" t="n"/>
      <c r="AB567" s="1491" t="n"/>
      <c r="AC567" s="1491" t="n"/>
      <c r="AD567" s="1491" t="n"/>
      <c r="AE567" s="1491" t="n"/>
      <c r="AF567" s="1491" t="n"/>
      <c r="AG567" s="1491" t="n"/>
      <c r="AH567" s="1491" t="n"/>
      <c r="AI567" s="1491" t="n"/>
      <c r="AJ567" s="1491" t="n"/>
      <c r="AK567" s="1491" t="n"/>
      <c r="AL567" s="1491" t="n"/>
      <c r="AM567" s="1491" t="n"/>
      <c r="AN567" s="1491" t="n"/>
      <c r="AO567" s="1491" t="n"/>
      <c r="AP567" s="1491" t="n"/>
      <c r="AQ567" s="1491" t="n"/>
      <c r="AR567" s="1491" t="n"/>
      <c r="AS567" s="1491" t="n"/>
      <c r="AT567" s="1491" t="n"/>
      <c r="AU567" s="1491" t="n"/>
      <c r="AV567" s="1491" t="n"/>
      <c r="AW567" s="1491" t="n"/>
      <c r="AX567" s="1491" t="n"/>
      <c r="AY567" s="1491" t="n"/>
      <c r="AZ567" s="1491" t="n"/>
      <c r="BA567" s="1491" t="n"/>
      <c r="BB567" s="1491" t="n"/>
      <c r="BC567" s="1491" t="n"/>
      <c r="BD567" s="1491" t="n"/>
      <c r="BE567" s="1491" t="n"/>
      <c r="BF567" s="1491" t="n"/>
      <c r="BG567" s="1491" t="n"/>
      <c r="BH567" s="1491" t="n"/>
      <c r="BI567" s="1491" t="n"/>
      <c r="BJ567" s="1491" t="n"/>
      <c r="BK567" s="1491" t="n"/>
      <c r="BL567" s="1491" t="n"/>
      <c r="BM567" s="1491" t="n"/>
      <c r="BN567" s="1491" t="n"/>
      <c r="BO567" s="1467" t="n"/>
      <c r="BP567" s="1514" t="n">
        <v>563</v>
      </c>
      <c r="BQ567" s="1513">
        <f>[1]Sheet1!C568</f>
        <v/>
      </c>
      <c r="BR567" s="1515">
        <f>[1]Sheet1!D568</f>
        <v/>
      </c>
      <c r="BS567" s="1513">
        <f>[1]Sheet1!E568</f>
        <v/>
      </c>
      <c r="BT567" s="1515">
        <f>[1]Sheet1!F568</f>
        <v/>
      </c>
      <c r="BU567" s="1516">
        <f>[1]Sheet1!G568</f>
        <v/>
      </c>
      <c r="BV567" s="1513">
        <f>[1]Sheet1!H568</f>
        <v/>
      </c>
      <c r="BW567" s="1467" t="n"/>
      <c r="BX567" s="1491" t="n"/>
      <c r="BY567" s="1491" t="n"/>
      <c r="BZ567" s="1491" t="n"/>
      <c r="CA567" s="1491" t="n"/>
      <c r="CB567" s="1467" t="n"/>
      <c r="CC567" s="1467" t="n"/>
      <c r="CD567" s="1491" t="n"/>
      <c r="CE567" s="1491" t="n"/>
      <c r="CF567" s="1491" t="n"/>
      <c r="CG567" s="1491" t="n"/>
      <c r="CH567" s="1491" t="n"/>
      <c r="CI567" s="1491" t="n"/>
      <c r="CJ567" s="1491" t="n"/>
      <c r="CK567" s="1491" t="n"/>
      <c r="CL567" s="1491" t="n"/>
      <c r="CM567" s="1491" t="n"/>
      <c r="CN567" s="1491" t="n"/>
      <c r="CO567" s="1491" t="n"/>
      <c r="CP567" s="1491" t="n"/>
      <c r="CQ567" s="1491" t="n"/>
      <c r="CR567" s="1491" t="n"/>
      <c r="CS567" s="1491" t="n"/>
      <c r="CT567" s="1491" t="n"/>
      <c r="CU567" s="1491" t="n"/>
      <c r="CV567" s="1491" t="n"/>
      <c r="CW567" s="1491" t="n"/>
      <c r="CX567" s="1491" t="n"/>
    </row>
    <row r="568">
      <c r="A568" s="1491" t="n"/>
      <c r="B568" s="1491" t="n"/>
      <c r="C568" s="1491" t="n"/>
      <c r="D568" s="1497">
        <f>IF(E568&lt;&gt;"",D567+1,D567)</f>
        <v/>
      </c>
      <c r="E568" s="1497" t="inlineStr">
        <is>
          <t>Pompeii</t>
        </is>
      </c>
      <c r="F568" s="1535" t="inlineStr">
        <is>
          <t>.</t>
        </is>
      </c>
      <c r="G568" s="1498">
        <f>IF(H568="AIR",0,IF(H567="AIR",G566+1,IF(H568&lt;&gt;"",G567+1,G567)))</f>
        <v/>
      </c>
      <c r="H568" s="1498" t="inlineStr">
        <is>
          <t>Karlsruhe</t>
        </is>
      </c>
      <c r="I568" s="1427" t="inlineStr">
        <is>
          <t>.</t>
        </is>
      </c>
      <c r="J568" s="1499" t="n">
        <v>563</v>
      </c>
      <c r="K568" s="1500">
        <f>_xlfn.XLOOKUP(cities[[#This Row],[id]],$D$5:$D$1500,E$5:E$1500,"-")</f>
        <v/>
      </c>
      <c r="L568" s="1500">
        <f>_xlfn.XLOOKUP(cities[[#This Row],[city]],ccc[city],ccc[ctry],"-")</f>
        <v/>
      </c>
      <c r="M568" s="1500">
        <f>SUMIFS(stayCity[stay],stayCity[city],cities[[#This Row],[city]])</f>
        <v/>
      </c>
      <c r="N568" s="1427">
        <f>N567+1</f>
        <v/>
      </c>
      <c r="O568" s="1500" t="n"/>
      <c r="P568" s="1500" t="n"/>
      <c r="Q568" s="1427" t="inlineStr">
        <is>
          <t>.</t>
        </is>
      </c>
      <c r="R568" s="1491" t="n"/>
      <c r="S568" s="1491" t="n"/>
      <c r="T568" s="1491" t="n"/>
      <c r="U568" s="1491" t="n"/>
      <c r="V568" s="1491" t="n"/>
      <c r="W568" s="1491" t="n"/>
      <c r="X568" s="1491" t="n"/>
      <c r="Y568" s="1491" t="n"/>
      <c r="Z568" s="1491" t="n"/>
      <c r="AA568" s="1491" t="n"/>
      <c r="AB568" s="1491" t="n"/>
      <c r="AC568" s="1491" t="n"/>
      <c r="AD568" s="1491" t="n"/>
      <c r="AE568" s="1491" t="n"/>
      <c r="AF568" s="1491" t="n"/>
      <c r="AG568" s="1491" t="n"/>
      <c r="AH568" s="1491" t="n"/>
      <c r="AI568" s="1491" t="n"/>
      <c r="AJ568" s="1491" t="n"/>
      <c r="AK568" s="1491" t="n"/>
      <c r="AL568" s="1491" t="n"/>
      <c r="AM568" s="1491" t="n"/>
      <c r="AN568" s="1491" t="n"/>
      <c r="AO568" s="1491" t="n"/>
      <c r="AP568" s="1491" t="n"/>
      <c r="AQ568" s="1491" t="n"/>
      <c r="AR568" s="1491" t="n"/>
      <c r="AS568" s="1491" t="n"/>
      <c r="AT568" s="1491" t="n"/>
      <c r="AU568" s="1491" t="n"/>
      <c r="AV568" s="1491" t="n"/>
      <c r="AW568" s="1491" t="n"/>
      <c r="AX568" s="1491" t="n"/>
      <c r="AY568" s="1491" t="n"/>
      <c r="AZ568" s="1491" t="n"/>
      <c r="BA568" s="1491" t="n"/>
      <c r="BB568" s="1491" t="n"/>
      <c r="BC568" s="1491" t="n"/>
      <c r="BD568" s="1491" t="n"/>
      <c r="BE568" s="1491" t="n"/>
      <c r="BF568" s="1491" t="n"/>
      <c r="BG568" s="1491" t="n"/>
      <c r="BH568" s="1491" t="n"/>
      <c r="BI568" s="1491" t="n"/>
      <c r="BJ568" s="1491" t="n"/>
      <c r="BK568" s="1491" t="n"/>
      <c r="BL568" s="1491" t="n"/>
      <c r="BM568" s="1491" t="n"/>
      <c r="BN568" s="1491" t="n"/>
      <c r="BO568" s="1467" t="n"/>
      <c r="BP568" s="1514" t="n">
        <v>564</v>
      </c>
      <c r="BQ568" s="1513">
        <f>[1]Sheet1!C569</f>
        <v/>
      </c>
      <c r="BR568" s="1515">
        <f>[1]Sheet1!D569</f>
        <v/>
      </c>
      <c r="BS568" s="1513">
        <f>[1]Sheet1!E569</f>
        <v/>
      </c>
      <c r="BT568" s="1515">
        <f>[1]Sheet1!F569</f>
        <v/>
      </c>
      <c r="BU568" s="1516">
        <f>[1]Sheet1!G569</f>
        <v/>
      </c>
      <c r="BV568" s="1513">
        <f>[1]Sheet1!H569</f>
        <v/>
      </c>
      <c r="BW568" s="1467" t="n"/>
      <c r="BX568" s="1491" t="n"/>
      <c r="BY568" s="1491" t="n"/>
      <c r="BZ568" s="1491" t="n"/>
      <c r="CA568" s="1491" t="n"/>
      <c r="CB568" s="1467" t="n"/>
      <c r="CC568" s="1467" t="n"/>
      <c r="CD568" s="1491" t="n"/>
      <c r="CE568" s="1491" t="n"/>
      <c r="CF568" s="1491" t="n"/>
      <c r="CG568" s="1491" t="n"/>
      <c r="CH568" s="1491" t="n"/>
      <c r="CI568" s="1491" t="n"/>
      <c r="CJ568" s="1491" t="n"/>
      <c r="CK568" s="1491" t="n"/>
      <c r="CL568" s="1491" t="n"/>
      <c r="CM568" s="1491" t="n"/>
      <c r="CN568" s="1491" t="n"/>
      <c r="CO568" s="1491" t="n"/>
      <c r="CP568" s="1491" t="n"/>
      <c r="CQ568" s="1491" t="n"/>
      <c r="CR568" s="1491" t="n"/>
      <c r="CS568" s="1491" t="n"/>
      <c r="CT568" s="1491" t="n"/>
      <c r="CU568" s="1491" t="n"/>
      <c r="CV568" s="1491" t="n"/>
      <c r="CW568" s="1491" t="n"/>
      <c r="CX568" s="1491" t="n"/>
    </row>
    <row r="569">
      <c r="A569" s="1491" t="n"/>
      <c r="B569" s="1491" t="n"/>
      <c r="C569" s="1491" t="n"/>
      <c r="D569" s="1497">
        <f>IF(E569&lt;&gt;"",D568+1,D568)</f>
        <v/>
      </c>
      <c r="E569" s="1497" t="inlineStr">
        <is>
          <t>Figueira da Foz</t>
        </is>
      </c>
      <c r="F569" s="1535" t="inlineStr">
        <is>
          <t>.</t>
        </is>
      </c>
      <c r="G569" s="1498">
        <f>IF(H569="AIR",0,IF(H568="AIR",G567+1,IF(H569&lt;&gt;"",G568+1,G568)))</f>
        <v/>
      </c>
      <c r="H569" s="1498" t="inlineStr">
        <is>
          <t>BUS ITA</t>
        </is>
      </c>
      <c r="I569" s="1427" t="inlineStr">
        <is>
          <t>.</t>
        </is>
      </c>
      <c r="J569" s="1499" t="n">
        <v>564</v>
      </c>
      <c r="K569" s="1500">
        <f>_xlfn.XLOOKUP(cities[[#This Row],[id]],$D$5:$D$1500,E$5:E$1500,"-")</f>
        <v/>
      </c>
      <c r="L569" s="1500">
        <f>_xlfn.XLOOKUP(cities[[#This Row],[city]],ccc[city],ccc[ctry],"-")</f>
        <v/>
      </c>
      <c r="M569" s="1500">
        <f>SUMIFS(stayCity[stay],stayCity[city],cities[[#This Row],[city]])</f>
        <v/>
      </c>
      <c r="N569" s="1427">
        <f>N568+1</f>
        <v/>
      </c>
      <c r="O569" s="1500" t="n"/>
      <c r="P569" s="1500" t="n"/>
      <c r="Q569" s="1427" t="inlineStr">
        <is>
          <t>.</t>
        </is>
      </c>
      <c r="R569" s="1491" t="n"/>
      <c r="S569" s="1491" t="n"/>
      <c r="T569" s="1491" t="n"/>
      <c r="U569" s="1491" t="n"/>
      <c r="V569" s="1491" t="n"/>
      <c r="W569" s="1491" t="n"/>
      <c r="X569" s="1491" t="n"/>
      <c r="Y569" s="1491" t="n"/>
      <c r="Z569" s="1491" t="n"/>
      <c r="AA569" s="1491" t="n"/>
      <c r="AB569" s="1491" t="n"/>
      <c r="AC569" s="1491" t="n"/>
      <c r="AD569" s="1491" t="n"/>
      <c r="AE569" s="1491" t="n"/>
      <c r="AF569" s="1491" t="n"/>
      <c r="AG569" s="1491" t="n"/>
      <c r="AH569" s="1491" t="n"/>
      <c r="AI569" s="1491" t="n"/>
      <c r="AJ569" s="1491" t="n"/>
      <c r="AK569" s="1491" t="n"/>
      <c r="AL569" s="1491" t="n"/>
      <c r="AM569" s="1491" t="n"/>
      <c r="AN569" s="1491" t="n"/>
      <c r="AO569" s="1491" t="n"/>
      <c r="AP569" s="1491" t="n"/>
      <c r="AQ569" s="1491" t="n"/>
      <c r="AR569" s="1491" t="n"/>
      <c r="AS569" s="1491" t="n"/>
      <c r="AT569" s="1491" t="n"/>
      <c r="AU569" s="1491" t="n"/>
      <c r="AV569" s="1491" t="n"/>
      <c r="AW569" s="1491" t="n"/>
      <c r="AX569" s="1491" t="n"/>
      <c r="AY569" s="1491" t="n"/>
      <c r="AZ569" s="1491" t="n"/>
      <c r="BA569" s="1491" t="n"/>
      <c r="BB569" s="1491" t="n"/>
      <c r="BC569" s="1491" t="n"/>
      <c r="BD569" s="1491" t="n"/>
      <c r="BE569" s="1491" t="n"/>
      <c r="BF569" s="1491" t="n"/>
      <c r="BG569" s="1491" t="n"/>
      <c r="BH569" s="1491" t="n"/>
      <c r="BI569" s="1491" t="n"/>
      <c r="BJ569" s="1491" t="n"/>
      <c r="BK569" s="1491" t="n"/>
      <c r="BL569" s="1491" t="n"/>
      <c r="BM569" s="1491" t="n"/>
      <c r="BN569" s="1491" t="n"/>
      <c r="BO569" s="1467" t="n"/>
      <c r="BP569" s="1514" t="n">
        <v>565</v>
      </c>
      <c r="BQ569" s="1513">
        <f>[1]Sheet1!C570</f>
        <v/>
      </c>
      <c r="BR569" s="1515">
        <f>[1]Sheet1!D570</f>
        <v/>
      </c>
      <c r="BS569" s="1513">
        <f>[1]Sheet1!E570</f>
        <v/>
      </c>
      <c r="BT569" s="1515">
        <f>[1]Sheet1!F570</f>
        <v/>
      </c>
      <c r="BU569" s="1516">
        <f>[1]Sheet1!G570</f>
        <v/>
      </c>
      <c r="BV569" s="1513">
        <f>[1]Sheet1!H570</f>
        <v/>
      </c>
      <c r="BW569" s="1467" t="n"/>
      <c r="BX569" s="1491" t="n"/>
      <c r="BY569" s="1491" t="n"/>
      <c r="BZ569" s="1491" t="n"/>
      <c r="CA569" s="1491" t="n"/>
      <c r="CB569" s="1467" t="n"/>
      <c r="CC569" s="1467" t="n"/>
      <c r="CD569" s="1491" t="n"/>
      <c r="CE569" s="1491" t="n"/>
      <c r="CF569" s="1491" t="n"/>
      <c r="CG569" s="1491" t="n"/>
      <c r="CH569" s="1491" t="n"/>
      <c r="CI569" s="1491" t="n"/>
      <c r="CJ569" s="1491" t="n"/>
      <c r="CK569" s="1491" t="n"/>
      <c r="CL569" s="1491" t="n"/>
      <c r="CM569" s="1491" t="n"/>
      <c r="CN569" s="1491" t="n"/>
      <c r="CO569" s="1491" t="n"/>
      <c r="CP569" s="1491" t="n"/>
      <c r="CQ569" s="1491" t="n"/>
      <c r="CR569" s="1491" t="n"/>
      <c r="CS569" s="1491" t="n"/>
      <c r="CT569" s="1491" t="n"/>
      <c r="CU569" s="1491" t="n"/>
      <c r="CV569" s="1491" t="n"/>
      <c r="CW569" s="1491" t="n"/>
      <c r="CX569" s="1491" t="n"/>
    </row>
    <row r="570">
      <c r="A570" s="1491" t="n"/>
      <c r="B570" s="1491" t="n"/>
      <c r="C570" s="1491" t="n"/>
      <c r="D570" s="1497">
        <f>IF(E570&lt;&gt;"",D569+1,D569)</f>
        <v/>
      </c>
      <c r="E570" s="1497" t="inlineStr">
        <is>
          <t>Roissy</t>
        </is>
      </c>
      <c r="F570" s="1535" t="inlineStr">
        <is>
          <t>.</t>
        </is>
      </c>
      <c r="G570" s="1498">
        <f>IF(H570="AIR",0,IF(H569="AIR",G568+1,IF(H570&lt;&gt;"",G569+1,G569)))</f>
        <v/>
      </c>
      <c r="H570" s="1498" t="inlineStr">
        <is>
          <t>Isola d'Arbia</t>
        </is>
      </c>
      <c r="I570" s="1427" t="inlineStr">
        <is>
          <t>.</t>
        </is>
      </c>
      <c r="J570" s="1499" t="n">
        <v>565</v>
      </c>
      <c r="K570" s="1500">
        <f>_xlfn.XLOOKUP(cities[[#This Row],[id]],$D$5:$D$1500,E$5:E$1500,"-")</f>
        <v/>
      </c>
      <c r="L570" s="1500">
        <f>_xlfn.XLOOKUP(cities[[#This Row],[city]],ccc[city],ccc[ctry],"-")</f>
        <v/>
      </c>
      <c r="M570" s="1500">
        <f>SUMIFS(stayCity[stay],stayCity[city],cities[[#This Row],[city]])</f>
        <v/>
      </c>
      <c r="N570" s="1427">
        <f>N569+1</f>
        <v/>
      </c>
      <c r="O570" s="1500" t="n"/>
      <c r="P570" s="1500" t="n"/>
      <c r="Q570" s="1427" t="inlineStr">
        <is>
          <t>.</t>
        </is>
      </c>
      <c r="R570" s="1491" t="n"/>
      <c r="S570" s="1491" t="n"/>
      <c r="T570" s="1491" t="n"/>
      <c r="U570" s="1491" t="n"/>
      <c r="V570" s="1491" t="n"/>
      <c r="W570" s="1491" t="n"/>
      <c r="X570" s="1491" t="n"/>
      <c r="Y570" s="1491" t="n"/>
      <c r="Z570" s="1491" t="n"/>
      <c r="AA570" s="1491" t="n"/>
      <c r="AB570" s="1491" t="n"/>
      <c r="AC570" s="1491" t="n"/>
      <c r="AD570" s="1491" t="n"/>
      <c r="AE570" s="1491" t="n"/>
      <c r="AF570" s="1491" t="n"/>
      <c r="AG570" s="1491" t="n"/>
      <c r="AH570" s="1491" t="n"/>
      <c r="AI570" s="1491" t="n"/>
      <c r="AJ570" s="1491" t="n"/>
      <c r="AK570" s="1491" t="n"/>
      <c r="AL570" s="1491" t="n"/>
      <c r="AM570" s="1491" t="n"/>
      <c r="AN570" s="1491" t="n"/>
      <c r="AO570" s="1491" t="n"/>
      <c r="AP570" s="1491" t="n"/>
      <c r="AQ570" s="1491" t="n"/>
      <c r="AR570" s="1491" t="n"/>
      <c r="AS570" s="1491" t="n"/>
      <c r="AT570" s="1491" t="n"/>
      <c r="AU570" s="1491" t="n"/>
      <c r="AV570" s="1491" t="n"/>
      <c r="AW570" s="1491" t="n"/>
      <c r="AX570" s="1491" t="n"/>
      <c r="AY570" s="1491" t="n"/>
      <c r="AZ570" s="1491" t="n"/>
      <c r="BA570" s="1491" t="n"/>
      <c r="BB570" s="1491" t="n"/>
      <c r="BC570" s="1491" t="n"/>
      <c r="BD570" s="1491" t="n"/>
      <c r="BE570" s="1491" t="n"/>
      <c r="BF570" s="1491" t="n"/>
      <c r="BG570" s="1491" t="n"/>
      <c r="BH570" s="1491" t="n"/>
      <c r="BI570" s="1491" t="n"/>
      <c r="BJ570" s="1491" t="n"/>
      <c r="BK570" s="1491" t="n"/>
      <c r="BL570" s="1491" t="n"/>
      <c r="BM570" s="1491" t="n"/>
      <c r="BN570" s="1491" t="n"/>
      <c r="BO570" s="1467" t="n"/>
      <c r="BP570" s="1514" t="n">
        <v>566</v>
      </c>
      <c r="BQ570" s="1513">
        <f>[1]Sheet1!C571</f>
        <v/>
      </c>
      <c r="BR570" s="1515">
        <f>[1]Sheet1!D571</f>
        <v/>
      </c>
      <c r="BS570" s="1513">
        <f>[1]Sheet1!E571</f>
        <v/>
      </c>
      <c r="BT570" s="1515">
        <f>[1]Sheet1!F571</f>
        <v/>
      </c>
      <c r="BU570" s="1516">
        <f>[1]Sheet1!G571</f>
        <v/>
      </c>
      <c r="BV570" s="1513">
        <f>[1]Sheet1!H571</f>
        <v/>
      </c>
      <c r="BW570" s="1467" t="n"/>
      <c r="BX570" s="1491" t="n"/>
      <c r="BY570" s="1491" t="n"/>
      <c r="BZ570" s="1491" t="n"/>
      <c r="CA570" s="1491" t="n"/>
      <c r="CB570" s="1467" t="n"/>
      <c r="CC570" s="1467" t="n"/>
      <c r="CD570" s="1491" t="n"/>
      <c r="CE570" s="1491" t="n"/>
      <c r="CF570" s="1491" t="n"/>
      <c r="CG570" s="1491" t="n"/>
      <c r="CH570" s="1491" t="n"/>
      <c r="CI570" s="1491" t="n"/>
      <c r="CJ570" s="1491" t="n"/>
      <c r="CK570" s="1491" t="n"/>
      <c r="CL570" s="1491" t="n"/>
      <c r="CM570" s="1491" t="n"/>
      <c r="CN570" s="1491" t="n"/>
      <c r="CO570" s="1491" t="n"/>
      <c r="CP570" s="1491" t="n"/>
      <c r="CQ570" s="1491" t="n"/>
      <c r="CR570" s="1491" t="n"/>
      <c r="CS570" s="1491" t="n"/>
      <c r="CT570" s="1491" t="n"/>
      <c r="CU570" s="1491" t="n"/>
      <c r="CV570" s="1491" t="n"/>
      <c r="CW570" s="1491" t="n"/>
      <c r="CX570" s="1491" t="n"/>
    </row>
    <row r="571">
      <c r="A571" s="1491" t="n"/>
      <c r="B571" s="1491" t="n"/>
      <c r="C571" s="1491" t="n"/>
      <c r="D571" s="1497">
        <f>IF(E571&lt;&gt;"",D570+1,D570)</f>
        <v/>
      </c>
      <c r="E571" s="1497" t="n"/>
      <c r="F571" s="1535" t="inlineStr">
        <is>
          <t>.</t>
        </is>
      </c>
      <c r="G571" s="1498">
        <f>IF(H571="AIR",0,IF(H570="AIR",G569+1,IF(H571&lt;&gt;"",G570+1,G570)))</f>
        <v/>
      </c>
      <c r="H571" s="1498" t="inlineStr">
        <is>
          <t>Monteroni d'Arbia</t>
        </is>
      </c>
      <c r="I571" s="1427" t="inlineStr">
        <is>
          <t>.</t>
        </is>
      </c>
      <c r="J571" s="1499" t="n">
        <v>566</v>
      </c>
      <c r="K571" s="1500">
        <f>_xlfn.XLOOKUP(cities[[#This Row],[id]],$D$5:$D$1500,E$5:E$1500,"-")</f>
        <v/>
      </c>
      <c r="L571" s="1500">
        <f>_xlfn.XLOOKUP(cities[[#This Row],[city]],ccc[city],ccc[ctry],"-")</f>
        <v/>
      </c>
      <c r="M571" s="1500">
        <f>SUMIFS(stayCity[stay],stayCity[city],cities[[#This Row],[city]])</f>
        <v/>
      </c>
      <c r="N571" s="1427">
        <f>N570+1</f>
        <v/>
      </c>
      <c r="O571" s="1500" t="n"/>
      <c r="P571" s="1500" t="n"/>
      <c r="Q571" s="1427" t="inlineStr">
        <is>
          <t>.</t>
        </is>
      </c>
      <c r="R571" s="1491" t="n"/>
      <c r="S571" s="1491" t="n"/>
      <c r="T571" s="1491" t="n"/>
      <c r="U571" s="1491" t="n"/>
      <c r="V571" s="1491" t="n"/>
      <c r="W571" s="1491" t="n"/>
      <c r="X571" s="1491" t="n"/>
      <c r="Y571" s="1491" t="n"/>
      <c r="Z571" s="1491" t="n"/>
      <c r="AA571" s="1491" t="n"/>
      <c r="AB571" s="1491" t="n"/>
      <c r="AC571" s="1491" t="n"/>
      <c r="AD571" s="1491" t="n"/>
      <c r="AE571" s="1491" t="n"/>
      <c r="AF571" s="1491" t="n"/>
      <c r="AG571" s="1491" t="n"/>
      <c r="AH571" s="1491" t="n"/>
      <c r="AI571" s="1491" t="n"/>
      <c r="AJ571" s="1491" t="n"/>
      <c r="AK571" s="1491" t="n"/>
      <c r="AL571" s="1491" t="n"/>
      <c r="AM571" s="1491" t="n"/>
      <c r="AN571" s="1491" t="n"/>
      <c r="AO571" s="1491" t="n"/>
      <c r="AP571" s="1491" t="n"/>
      <c r="AQ571" s="1491" t="n"/>
      <c r="AR571" s="1491" t="n"/>
      <c r="AS571" s="1491" t="n"/>
      <c r="AT571" s="1491" t="n"/>
      <c r="AU571" s="1491" t="n"/>
      <c r="AV571" s="1491" t="n"/>
      <c r="AW571" s="1491" t="n"/>
      <c r="AX571" s="1491" t="n"/>
      <c r="AY571" s="1491" t="n"/>
      <c r="AZ571" s="1491" t="n"/>
      <c r="BA571" s="1491" t="n"/>
      <c r="BB571" s="1491" t="n"/>
      <c r="BC571" s="1491" t="n"/>
      <c r="BD571" s="1491" t="n"/>
      <c r="BE571" s="1491" t="n"/>
      <c r="BF571" s="1491" t="n"/>
      <c r="BG571" s="1491" t="n"/>
      <c r="BH571" s="1491" t="n"/>
      <c r="BI571" s="1491" t="n"/>
      <c r="BJ571" s="1491" t="n"/>
      <c r="BK571" s="1491" t="n"/>
      <c r="BL571" s="1491" t="n"/>
      <c r="BM571" s="1491" t="n"/>
      <c r="BN571" s="1491" t="n"/>
      <c r="BO571" s="1467" t="n"/>
      <c r="BP571" s="1514" t="n">
        <v>567</v>
      </c>
      <c r="BQ571" s="1513">
        <f>[1]Sheet1!C572</f>
        <v/>
      </c>
      <c r="BR571" s="1515">
        <f>[1]Sheet1!D572</f>
        <v/>
      </c>
      <c r="BS571" s="1513">
        <f>[1]Sheet1!E572</f>
        <v/>
      </c>
      <c r="BT571" s="1515">
        <f>[1]Sheet1!F572</f>
        <v/>
      </c>
      <c r="BU571" s="1516">
        <f>[1]Sheet1!G572</f>
        <v/>
      </c>
      <c r="BV571" s="1513">
        <f>[1]Sheet1!H572</f>
        <v/>
      </c>
      <c r="BW571" s="1467" t="n"/>
      <c r="BX571" s="1491" t="n"/>
      <c r="BY571" s="1491" t="n"/>
      <c r="BZ571" s="1491" t="n"/>
      <c r="CA571" s="1491" t="n"/>
      <c r="CB571" s="1467" t="n"/>
      <c r="CC571" s="1467" t="n"/>
      <c r="CD571" s="1491" t="n"/>
      <c r="CE571" s="1491" t="n"/>
      <c r="CF571" s="1491" t="n"/>
      <c r="CG571" s="1491" t="n"/>
      <c r="CH571" s="1491" t="n"/>
      <c r="CI571" s="1491" t="n"/>
      <c r="CJ571" s="1491" t="n"/>
      <c r="CK571" s="1491" t="n"/>
      <c r="CL571" s="1491" t="n"/>
      <c r="CM571" s="1491" t="n"/>
      <c r="CN571" s="1491" t="n"/>
      <c r="CO571" s="1491" t="n"/>
      <c r="CP571" s="1491" t="n"/>
      <c r="CQ571" s="1491" t="n"/>
      <c r="CR571" s="1491" t="n"/>
      <c r="CS571" s="1491" t="n"/>
      <c r="CT571" s="1491" t="n"/>
      <c r="CU571" s="1491" t="n"/>
      <c r="CV571" s="1491" t="n"/>
      <c r="CW571" s="1491" t="n"/>
      <c r="CX571" s="1491" t="n"/>
    </row>
    <row r="572">
      <c r="A572" s="1491" t="n"/>
      <c r="B572" s="1491" t="n"/>
      <c r="C572" s="1491" t="n"/>
      <c r="D572" s="1497">
        <f>IF(E572&lt;&gt;"",D571+1,D571)</f>
        <v/>
      </c>
      <c r="E572" s="1497" t="n"/>
      <c r="F572" s="1535" t="inlineStr">
        <is>
          <t>.</t>
        </is>
      </c>
      <c r="G572" s="1498">
        <f>IF(H572="AIR",0,IF(H571="AIR",G570+1,IF(H572&lt;&gt;"",G571+1,G571)))</f>
        <v/>
      </c>
      <c r="H572" s="1498" t="inlineStr">
        <is>
          <t>Grosseto</t>
        </is>
      </c>
      <c r="I572" s="1427" t="inlineStr">
        <is>
          <t>.</t>
        </is>
      </c>
      <c r="J572" s="1499" t="n">
        <v>567</v>
      </c>
      <c r="K572" s="1500">
        <f>_xlfn.XLOOKUP(cities[[#This Row],[id]],$D$5:$D$1500,E$5:E$1500,"-")</f>
        <v/>
      </c>
      <c r="L572" s="1500">
        <f>_xlfn.XLOOKUP(cities[[#This Row],[city]],ccc[city],ccc[ctry],"-")</f>
        <v/>
      </c>
      <c r="M572" s="1500">
        <f>SUMIFS(stayCity[stay],stayCity[city],cities[[#This Row],[city]])</f>
        <v/>
      </c>
      <c r="N572" s="1427">
        <f>N571+1</f>
        <v/>
      </c>
      <c r="O572" s="1500" t="n"/>
      <c r="P572" s="1500" t="n"/>
      <c r="Q572" s="1427" t="inlineStr">
        <is>
          <t>.</t>
        </is>
      </c>
      <c r="R572" s="1491" t="n"/>
      <c r="S572" s="1491" t="n"/>
      <c r="T572" s="1491" t="n"/>
      <c r="U572" s="1491" t="n"/>
      <c r="V572" s="1491" t="n"/>
      <c r="W572" s="1491" t="n"/>
      <c r="X572" s="1491" t="n"/>
      <c r="Y572" s="1491" t="n"/>
      <c r="Z572" s="1491" t="n"/>
      <c r="AA572" s="1491" t="n"/>
      <c r="AB572" s="1491" t="n"/>
      <c r="AC572" s="1491" t="n"/>
      <c r="AD572" s="1491" t="n"/>
      <c r="AE572" s="1491" t="n"/>
      <c r="AF572" s="1491" t="n"/>
      <c r="AG572" s="1491" t="n"/>
      <c r="AH572" s="1491" t="n"/>
      <c r="AI572" s="1491" t="n"/>
      <c r="AJ572" s="1491" t="n"/>
      <c r="AK572" s="1491" t="n"/>
      <c r="AL572" s="1491" t="n"/>
      <c r="AM572" s="1491" t="n"/>
      <c r="AN572" s="1491" t="n"/>
      <c r="AO572" s="1491" t="n"/>
      <c r="AP572" s="1491" t="n"/>
      <c r="AQ572" s="1491" t="n"/>
      <c r="AR572" s="1491" t="n"/>
      <c r="AS572" s="1491" t="n"/>
      <c r="AT572" s="1491" t="n"/>
      <c r="AU572" s="1491" t="n"/>
      <c r="AV572" s="1491" t="n"/>
      <c r="AW572" s="1491" t="n"/>
      <c r="AX572" s="1491" t="n"/>
      <c r="AY572" s="1491" t="n"/>
      <c r="AZ572" s="1491" t="n"/>
      <c r="BA572" s="1491" t="n"/>
      <c r="BB572" s="1491" t="n"/>
      <c r="BC572" s="1491" t="n"/>
      <c r="BD572" s="1491" t="n"/>
      <c r="BE572" s="1491" t="n"/>
      <c r="BF572" s="1491" t="n"/>
      <c r="BG572" s="1491" t="n"/>
      <c r="BH572" s="1491" t="n"/>
      <c r="BI572" s="1491" t="n"/>
      <c r="BJ572" s="1491" t="n"/>
      <c r="BK572" s="1491" t="n"/>
      <c r="BL572" s="1491" t="n"/>
      <c r="BM572" s="1491" t="n"/>
      <c r="BN572" s="1491" t="n"/>
      <c r="BO572" s="1467" t="n"/>
      <c r="BP572" s="1514" t="n">
        <v>568</v>
      </c>
      <c r="BQ572" s="1513">
        <f>[1]Sheet1!C573</f>
        <v/>
      </c>
      <c r="BR572" s="1515">
        <f>[1]Sheet1!D573</f>
        <v/>
      </c>
      <c r="BS572" s="1513">
        <f>[1]Sheet1!E573</f>
        <v/>
      </c>
      <c r="BT572" s="1515">
        <f>[1]Sheet1!F573</f>
        <v/>
      </c>
      <c r="BU572" s="1516">
        <f>[1]Sheet1!G573</f>
        <v/>
      </c>
      <c r="BV572" s="1513">
        <f>[1]Sheet1!H573</f>
        <v/>
      </c>
      <c r="BW572" s="1467" t="n"/>
      <c r="BX572" s="1491" t="n"/>
      <c r="BY572" s="1491" t="n"/>
      <c r="BZ572" s="1491" t="n"/>
      <c r="CA572" s="1491" t="n"/>
      <c r="CB572" s="1467" t="n"/>
      <c r="CC572" s="1467" t="n"/>
      <c r="CD572" s="1491" t="n"/>
      <c r="CE572" s="1491" t="n"/>
      <c r="CF572" s="1491" t="n"/>
      <c r="CG572" s="1491" t="n"/>
      <c r="CH572" s="1491" t="n"/>
      <c r="CI572" s="1491" t="n"/>
      <c r="CJ572" s="1491" t="n"/>
      <c r="CK572" s="1491" t="n"/>
      <c r="CL572" s="1491" t="n"/>
      <c r="CM572" s="1491" t="n"/>
      <c r="CN572" s="1491" t="n"/>
      <c r="CO572" s="1491" t="n"/>
      <c r="CP572" s="1491" t="n"/>
      <c r="CQ572" s="1491" t="n"/>
      <c r="CR572" s="1491" t="n"/>
      <c r="CS572" s="1491" t="n"/>
      <c r="CT572" s="1491" t="n"/>
      <c r="CU572" s="1491" t="n"/>
      <c r="CV572" s="1491" t="n"/>
      <c r="CW572" s="1491" t="n"/>
      <c r="CX572" s="1491" t="n"/>
    </row>
    <row r="573">
      <c r="A573" s="1491" t="n"/>
      <c r="B573" s="1491" t="n"/>
      <c r="C573" s="1491" t="n"/>
      <c r="D573" s="1497">
        <f>IF(E573&lt;&gt;"",D572+1,D572)</f>
        <v/>
      </c>
      <c r="E573" s="1497" t="n"/>
      <c r="F573" s="1535" t="inlineStr">
        <is>
          <t>.</t>
        </is>
      </c>
      <c r="G573" s="1498">
        <f>IF(H573="AIR",0,IF(H572="AIR",G571+1,IF(H573&lt;&gt;"",G572+1,G572)))</f>
        <v/>
      </c>
      <c r="H573" s="1498" t="inlineStr">
        <is>
          <t>Hoodddorp</t>
        </is>
      </c>
      <c r="I573" s="1427" t="inlineStr">
        <is>
          <t>.</t>
        </is>
      </c>
      <c r="J573" s="1499" t="n">
        <v>568</v>
      </c>
      <c r="K573" s="1500">
        <f>_xlfn.XLOOKUP(cities[[#This Row],[id]],$D$5:$D$1500,E$5:E$1500,"-")</f>
        <v/>
      </c>
      <c r="L573" s="1500">
        <f>_xlfn.XLOOKUP(cities[[#This Row],[city]],ccc[city],ccc[ctry],"-")</f>
        <v/>
      </c>
      <c r="M573" s="1500">
        <f>SUMIFS(stayCity[stay],stayCity[city],cities[[#This Row],[city]])</f>
        <v/>
      </c>
      <c r="N573" s="1427">
        <f>N572+1</f>
        <v/>
      </c>
      <c r="O573" s="1500" t="n"/>
      <c r="P573" s="1500" t="n"/>
      <c r="Q573" s="1427" t="inlineStr">
        <is>
          <t>.</t>
        </is>
      </c>
      <c r="R573" s="1491" t="n"/>
      <c r="S573" s="1491" t="n"/>
      <c r="T573" s="1491" t="n"/>
      <c r="U573" s="1491" t="n"/>
      <c r="V573" s="1491" t="n"/>
      <c r="W573" s="1491" t="n"/>
      <c r="X573" s="1491" t="n"/>
      <c r="Y573" s="1491" t="n"/>
      <c r="Z573" s="1491" t="n"/>
      <c r="AA573" s="1491" t="n"/>
      <c r="AB573" s="1491" t="n"/>
      <c r="AC573" s="1491" t="n"/>
      <c r="AD573" s="1491" t="n"/>
      <c r="AE573" s="1491" t="n"/>
      <c r="AF573" s="1491" t="n"/>
      <c r="AG573" s="1491" t="n"/>
      <c r="AH573" s="1491" t="n"/>
      <c r="AI573" s="1491" t="n"/>
      <c r="AJ573" s="1491" t="n"/>
      <c r="AK573" s="1491" t="n"/>
      <c r="AL573" s="1491" t="n"/>
      <c r="AM573" s="1491" t="n"/>
      <c r="AN573" s="1491" t="n"/>
      <c r="AO573" s="1491" t="n"/>
      <c r="AP573" s="1491" t="n"/>
      <c r="AQ573" s="1491" t="n"/>
      <c r="AR573" s="1491" t="n"/>
      <c r="AS573" s="1491" t="n"/>
      <c r="AT573" s="1491" t="n"/>
      <c r="AU573" s="1491" t="n"/>
      <c r="AV573" s="1491" t="n"/>
      <c r="AW573" s="1491" t="n"/>
      <c r="AX573" s="1491" t="n"/>
      <c r="AY573" s="1491" t="n"/>
      <c r="AZ573" s="1491" t="n"/>
      <c r="BA573" s="1491" t="n"/>
      <c r="BB573" s="1491" t="n"/>
      <c r="BC573" s="1491" t="n"/>
      <c r="BD573" s="1491" t="n"/>
      <c r="BE573" s="1491" t="n"/>
      <c r="BF573" s="1491" t="n"/>
      <c r="BG573" s="1491" t="n"/>
      <c r="BH573" s="1491" t="n"/>
      <c r="BI573" s="1491" t="n"/>
      <c r="BJ573" s="1491" t="n"/>
      <c r="BK573" s="1491" t="n"/>
      <c r="BL573" s="1491" t="n"/>
      <c r="BM573" s="1491" t="n"/>
      <c r="BN573" s="1491" t="n"/>
      <c r="BO573" s="1467" t="n"/>
      <c r="BP573" s="1514" t="n">
        <v>569</v>
      </c>
      <c r="BQ573" s="1513">
        <f>[1]Sheet1!C574</f>
        <v/>
      </c>
      <c r="BR573" s="1515">
        <f>[1]Sheet1!D574</f>
        <v/>
      </c>
      <c r="BS573" s="1513">
        <f>[1]Sheet1!E574</f>
        <v/>
      </c>
      <c r="BT573" s="1515">
        <f>[1]Sheet1!F574</f>
        <v/>
      </c>
      <c r="BU573" s="1516">
        <f>[1]Sheet1!G574</f>
        <v/>
      </c>
      <c r="BV573" s="1513">
        <f>[1]Sheet1!H574</f>
        <v/>
      </c>
      <c r="BW573" s="1467" t="n"/>
      <c r="BX573" s="1491" t="n"/>
      <c r="BY573" s="1491" t="n"/>
      <c r="BZ573" s="1491" t="n"/>
      <c r="CA573" s="1491" t="n"/>
      <c r="CB573" s="1467" t="n"/>
      <c r="CC573" s="1467" t="n"/>
      <c r="CD573" s="1491" t="n"/>
      <c r="CE573" s="1491" t="n"/>
      <c r="CF573" s="1491" t="n"/>
      <c r="CG573" s="1491" t="n"/>
      <c r="CH573" s="1491" t="n"/>
      <c r="CI573" s="1491" t="n"/>
      <c r="CJ573" s="1491" t="n"/>
      <c r="CK573" s="1491" t="n"/>
      <c r="CL573" s="1491" t="n"/>
      <c r="CM573" s="1491" t="n"/>
      <c r="CN573" s="1491" t="n"/>
      <c r="CO573" s="1491" t="n"/>
      <c r="CP573" s="1491" t="n"/>
      <c r="CQ573" s="1491" t="n"/>
      <c r="CR573" s="1491" t="n"/>
      <c r="CS573" s="1491" t="n"/>
      <c r="CT573" s="1491" t="n"/>
      <c r="CU573" s="1491" t="n"/>
      <c r="CV573" s="1491" t="n"/>
      <c r="CW573" s="1491" t="n"/>
      <c r="CX573" s="1491" t="n"/>
    </row>
    <row r="574">
      <c r="A574" s="1491" t="n"/>
      <c r="B574" s="1491" t="n"/>
      <c r="C574" s="1491" t="n"/>
      <c r="D574" s="1497">
        <f>IF(E574&lt;&gt;"",D573+1,D573)</f>
        <v/>
      </c>
      <c r="E574" s="1497" t="n"/>
      <c r="F574" s="1535" t="inlineStr">
        <is>
          <t>.</t>
        </is>
      </c>
      <c r="G574" s="1498">
        <f>IF(H574="AIR",0,IF(H573="AIR",G572+1,IF(H574&lt;&gt;"",G573+1,G573)))</f>
        <v/>
      </c>
      <c r="H574" s="1498" t="inlineStr">
        <is>
          <t>Philadelphia</t>
        </is>
      </c>
      <c r="I574" s="1427" t="inlineStr">
        <is>
          <t>.</t>
        </is>
      </c>
      <c r="J574" s="1499" t="n">
        <v>569</v>
      </c>
      <c r="K574" s="1500">
        <f>_xlfn.XLOOKUP(cities[[#This Row],[id]],$D$5:$D$1500,E$5:E$1500,"-")</f>
        <v/>
      </c>
      <c r="L574" s="1500">
        <f>_xlfn.XLOOKUP(cities[[#This Row],[city]],ccc[city],ccc[ctry],"-")</f>
        <v/>
      </c>
      <c r="M574" s="1500">
        <f>SUMIFS(stayCity[stay],stayCity[city],cities[[#This Row],[city]])</f>
        <v/>
      </c>
      <c r="N574" s="1427">
        <f>N573+1</f>
        <v/>
      </c>
      <c r="O574" s="1500" t="n"/>
      <c r="P574" s="1500" t="n"/>
      <c r="Q574" s="1427" t="inlineStr">
        <is>
          <t>.</t>
        </is>
      </c>
      <c r="R574" s="1491" t="n"/>
      <c r="S574" s="1491" t="n"/>
      <c r="T574" s="1491" t="n"/>
      <c r="U574" s="1491" t="n"/>
      <c r="V574" s="1491" t="n"/>
      <c r="W574" s="1491" t="n"/>
      <c r="X574" s="1491" t="n"/>
      <c r="Y574" s="1491" t="n"/>
      <c r="Z574" s="1491" t="n"/>
      <c r="AA574" s="1491" t="n"/>
      <c r="AB574" s="1491" t="n"/>
      <c r="AC574" s="1491" t="n"/>
      <c r="AD574" s="1491" t="n"/>
      <c r="AE574" s="1491" t="n"/>
      <c r="AF574" s="1491" t="n"/>
      <c r="AG574" s="1491" t="n"/>
      <c r="AH574" s="1491" t="n"/>
      <c r="AI574" s="1491" t="n"/>
      <c r="AJ574" s="1491" t="n"/>
      <c r="AK574" s="1491" t="n"/>
      <c r="AL574" s="1491" t="n"/>
      <c r="AM574" s="1491" t="n"/>
      <c r="AN574" s="1491" t="n"/>
      <c r="AO574" s="1491" t="n"/>
      <c r="AP574" s="1491" t="n"/>
      <c r="AQ574" s="1491" t="n"/>
      <c r="AR574" s="1491" t="n"/>
      <c r="AS574" s="1491" t="n"/>
      <c r="AT574" s="1491" t="n"/>
      <c r="AU574" s="1491" t="n"/>
      <c r="AV574" s="1491" t="n"/>
      <c r="AW574" s="1491" t="n"/>
      <c r="AX574" s="1491" t="n"/>
      <c r="AY574" s="1491" t="n"/>
      <c r="AZ574" s="1491" t="n"/>
      <c r="BA574" s="1491" t="n"/>
      <c r="BB574" s="1491" t="n"/>
      <c r="BC574" s="1491" t="n"/>
      <c r="BD574" s="1491" t="n"/>
      <c r="BE574" s="1491" t="n"/>
      <c r="BF574" s="1491" t="n"/>
      <c r="BG574" s="1491" t="n"/>
      <c r="BH574" s="1491" t="n"/>
      <c r="BI574" s="1491" t="n"/>
      <c r="BJ574" s="1491" t="n"/>
      <c r="BK574" s="1491" t="n"/>
      <c r="BL574" s="1491" t="n"/>
      <c r="BM574" s="1491" t="n"/>
      <c r="BN574" s="1491" t="n"/>
      <c r="BO574" s="1467" t="n"/>
      <c r="BP574" s="1514" t="n">
        <v>570</v>
      </c>
      <c r="BQ574" s="1513">
        <f>[1]Sheet1!C575</f>
        <v/>
      </c>
      <c r="BR574" s="1515">
        <f>[1]Sheet1!D575</f>
        <v/>
      </c>
      <c r="BS574" s="1513">
        <f>[1]Sheet1!E575</f>
        <v/>
      </c>
      <c r="BT574" s="1515">
        <f>[1]Sheet1!F575</f>
        <v/>
      </c>
      <c r="BU574" s="1516">
        <f>[1]Sheet1!G575</f>
        <v/>
      </c>
      <c r="BV574" s="1513">
        <f>[1]Sheet1!H575</f>
        <v/>
      </c>
      <c r="BW574" s="1467" t="n"/>
      <c r="BX574" s="1491" t="n"/>
      <c r="BY574" s="1491" t="n"/>
      <c r="BZ574" s="1491" t="n"/>
      <c r="CA574" s="1491" t="n"/>
      <c r="CB574" s="1467" t="n"/>
      <c r="CC574" s="1467" t="n"/>
      <c r="CD574" s="1491" t="n"/>
      <c r="CE574" s="1491" t="n"/>
      <c r="CF574" s="1491" t="n"/>
      <c r="CG574" s="1491" t="n"/>
      <c r="CH574" s="1491" t="n"/>
      <c r="CI574" s="1491" t="n"/>
      <c r="CJ574" s="1491" t="n"/>
      <c r="CK574" s="1491" t="n"/>
      <c r="CL574" s="1491" t="n"/>
      <c r="CM574" s="1491" t="n"/>
      <c r="CN574" s="1491" t="n"/>
      <c r="CO574" s="1491" t="n"/>
      <c r="CP574" s="1491" t="n"/>
      <c r="CQ574" s="1491" t="n"/>
      <c r="CR574" s="1491" t="n"/>
      <c r="CS574" s="1491" t="n"/>
      <c r="CT574" s="1491" t="n"/>
      <c r="CU574" s="1491" t="n"/>
      <c r="CV574" s="1491" t="n"/>
      <c r="CW574" s="1491" t="n"/>
      <c r="CX574" s="1491" t="n"/>
    </row>
    <row r="575">
      <c r="A575" s="1491" t="n"/>
      <c r="B575" s="1491" t="n"/>
      <c r="C575" s="1491" t="n"/>
      <c r="D575" s="1497">
        <f>IF(E575&lt;&gt;"",D574+1,D574)</f>
        <v/>
      </c>
      <c r="E575" s="1497" t="n"/>
      <c r="F575" s="1535" t="inlineStr">
        <is>
          <t>.</t>
        </is>
      </c>
      <c r="G575" s="1498">
        <f>IF(H575="AIR",0,IF(H574="AIR",G573+1,IF(H575&lt;&gt;"",G574+1,G574)))</f>
        <v/>
      </c>
      <c r="H575" s="1498" t="inlineStr">
        <is>
          <t>Sainte-Julienne</t>
        </is>
      </c>
      <c r="I575" s="1427" t="inlineStr">
        <is>
          <t>.</t>
        </is>
      </c>
      <c r="J575" s="1499" t="n">
        <v>570</v>
      </c>
      <c r="K575" s="1500">
        <f>_xlfn.XLOOKUP(cities[[#This Row],[id]],$D$5:$D$1500,E$5:E$1500,"-")</f>
        <v/>
      </c>
      <c r="L575" s="1500">
        <f>_xlfn.XLOOKUP(cities[[#This Row],[city]],ccc[city],ccc[ctry],"-")</f>
        <v/>
      </c>
      <c r="M575" s="1500">
        <f>SUMIFS(stayCity[stay],stayCity[city],cities[[#This Row],[city]])</f>
        <v/>
      </c>
      <c r="N575" s="1427">
        <f>N574+1</f>
        <v/>
      </c>
      <c r="O575" s="1500" t="n"/>
      <c r="P575" s="1500" t="n"/>
      <c r="Q575" s="1427" t="inlineStr">
        <is>
          <t>.</t>
        </is>
      </c>
      <c r="R575" s="1491" t="n"/>
      <c r="S575" s="1491" t="n"/>
      <c r="T575" s="1491" t="n"/>
      <c r="U575" s="1491" t="n"/>
      <c r="V575" s="1491" t="n"/>
      <c r="W575" s="1491" t="n"/>
      <c r="X575" s="1491" t="n"/>
      <c r="Y575" s="1491" t="n"/>
      <c r="Z575" s="1491" t="n"/>
      <c r="AA575" s="1491" t="n"/>
      <c r="AB575" s="1491" t="n"/>
      <c r="AC575" s="1491" t="n"/>
      <c r="AD575" s="1491" t="n"/>
      <c r="AE575" s="1491" t="n"/>
      <c r="AF575" s="1491" t="n"/>
      <c r="AG575" s="1491" t="n"/>
      <c r="AH575" s="1491" t="n"/>
      <c r="AI575" s="1491" t="n"/>
      <c r="AJ575" s="1491" t="n"/>
      <c r="AK575" s="1491" t="n"/>
      <c r="AL575" s="1491" t="n"/>
      <c r="AM575" s="1491" t="n"/>
      <c r="AN575" s="1491" t="n"/>
      <c r="AO575" s="1491" t="n"/>
      <c r="AP575" s="1491" t="n"/>
      <c r="AQ575" s="1491" t="n"/>
      <c r="AR575" s="1491" t="n"/>
      <c r="AS575" s="1491" t="n"/>
      <c r="AT575" s="1491" t="n"/>
      <c r="AU575" s="1491" t="n"/>
      <c r="AV575" s="1491" t="n"/>
      <c r="AW575" s="1491" t="n"/>
      <c r="AX575" s="1491" t="n"/>
      <c r="AY575" s="1491" t="n"/>
      <c r="AZ575" s="1491" t="n"/>
      <c r="BA575" s="1491" t="n"/>
      <c r="BB575" s="1491" t="n"/>
      <c r="BC575" s="1491" t="n"/>
      <c r="BD575" s="1491" t="n"/>
      <c r="BE575" s="1491" t="n"/>
      <c r="BF575" s="1491" t="n"/>
      <c r="BG575" s="1491" t="n"/>
      <c r="BH575" s="1491" t="n"/>
      <c r="BI575" s="1491" t="n"/>
      <c r="BJ575" s="1491" t="n"/>
      <c r="BK575" s="1491" t="n"/>
      <c r="BL575" s="1491" t="n"/>
      <c r="BM575" s="1491" t="n"/>
      <c r="BN575" s="1491" t="n"/>
      <c r="BO575" s="1467" t="n"/>
      <c r="BP575" s="1514" t="n">
        <v>571</v>
      </c>
      <c r="BQ575" s="1513">
        <f>[1]Sheet1!C576</f>
        <v/>
      </c>
      <c r="BR575" s="1515">
        <f>[1]Sheet1!D576</f>
        <v/>
      </c>
      <c r="BS575" s="1513">
        <f>[1]Sheet1!E576</f>
        <v/>
      </c>
      <c r="BT575" s="1515">
        <f>[1]Sheet1!F576</f>
        <v/>
      </c>
      <c r="BU575" s="1516">
        <f>[1]Sheet1!G576</f>
        <v/>
      </c>
      <c r="BV575" s="1513">
        <f>[1]Sheet1!H576</f>
        <v/>
      </c>
      <c r="BW575" s="1467" t="n"/>
      <c r="BX575" s="1491" t="n"/>
      <c r="BY575" s="1491" t="n"/>
      <c r="BZ575" s="1491" t="n"/>
      <c r="CA575" s="1491" t="n"/>
      <c r="CB575" s="1467" t="n"/>
      <c r="CC575" s="1467" t="n"/>
      <c r="CD575" s="1491" t="n"/>
      <c r="CE575" s="1491" t="n"/>
      <c r="CF575" s="1491" t="n"/>
      <c r="CG575" s="1491" t="n"/>
      <c r="CH575" s="1491" t="n"/>
      <c r="CI575" s="1491" t="n"/>
      <c r="CJ575" s="1491" t="n"/>
      <c r="CK575" s="1491" t="n"/>
      <c r="CL575" s="1491" t="n"/>
      <c r="CM575" s="1491" t="n"/>
      <c r="CN575" s="1491" t="n"/>
      <c r="CO575" s="1491" t="n"/>
      <c r="CP575" s="1491" t="n"/>
      <c r="CQ575" s="1491" t="n"/>
      <c r="CR575" s="1491" t="n"/>
      <c r="CS575" s="1491" t="n"/>
      <c r="CT575" s="1491" t="n"/>
      <c r="CU575" s="1491" t="n"/>
      <c r="CV575" s="1491" t="n"/>
      <c r="CW575" s="1491" t="n"/>
      <c r="CX575" s="1491" t="n"/>
    </row>
    <row r="576">
      <c r="A576" s="1491" t="n"/>
      <c r="B576" s="1491" t="n"/>
      <c r="C576" s="1491" t="n"/>
      <c r="D576" s="1497">
        <f>IF(E576&lt;&gt;"",D575+1,D575)</f>
        <v/>
      </c>
      <c r="E576" s="1497" t="n"/>
      <c r="F576" s="1535" t="inlineStr">
        <is>
          <t>.</t>
        </is>
      </c>
      <c r="G576" s="1498">
        <f>IF(H576="AIR",0,IF(H575="AIR",G574+1,IF(H576&lt;&gt;"",G575+1,G575)))</f>
        <v/>
      </c>
      <c r="H576" s="1498" t="inlineStr">
        <is>
          <t>Segovia</t>
        </is>
      </c>
      <c r="I576" s="1427" t="inlineStr">
        <is>
          <t>.</t>
        </is>
      </c>
      <c r="J576" s="1499" t="n">
        <v>571</v>
      </c>
      <c r="K576" s="1500">
        <f>_xlfn.XLOOKUP(cities[[#This Row],[id]],$D$5:$D$1500,E$5:E$1500,"-")</f>
        <v/>
      </c>
      <c r="L576" s="1500">
        <f>_xlfn.XLOOKUP(cities[[#This Row],[city]],ccc[city],ccc[ctry],"-")</f>
        <v/>
      </c>
      <c r="M576" s="1500">
        <f>SUMIFS(stayCity[stay],stayCity[city],cities[[#This Row],[city]])</f>
        <v/>
      </c>
      <c r="N576" s="1427">
        <f>N575+1</f>
        <v/>
      </c>
      <c r="O576" s="1500" t="n"/>
      <c r="P576" s="1500" t="n"/>
      <c r="Q576" s="1427" t="inlineStr">
        <is>
          <t>.</t>
        </is>
      </c>
      <c r="R576" s="1491" t="n"/>
      <c r="S576" s="1491" t="n"/>
      <c r="T576" s="1491" t="n"/>
      <c r="U576" s="1491" t="n"/>
      <c r="V576" s="1491" t="n"/>
      <c r="W576" s="1491" t="n"/>
      <c r="X576" s="1491" t="n"/>
      <c r="Y576" s="1491" t="n"/>
      <c r="Z576" s="1491" t="n"/>
      <c r="AA576" s="1491" t="n"/>
      <c r="AB576" s="1491" t="n"/>
      <c r="AC576" s="1491" t="n"/>
      <c r="AD576" s="1491" t="n"/>
      <c r="AE576" s="1491" t="n"/>
      <c r="AF576" s="1491" t="n"/>
      <c r="AG576" s="1491" t="n"/>
      <c r="AH576" s="1491" t="n"/>
      <c r="AI576" s="1491" t="n"/>
      <c r="AJ576" s="1491" t="n"/>
      <c r="AK576" s="1491" t="n"/>
      <c r="AL576" s="1491" t="n"/>
      <c r="AM576" s="1491" t="n"/>
      <c r="AN576" s="1491" t="n"/>
      <c r="AO576" s="1491" t="n"/>
      <c r="AP576" s="1491" t="n"/>
      <c r="AQ576" s="1491" t="n"/>
      <c r="AR576" s="1491" t="n"/>
      <c r="AS576" s="1491" t="n"/>
      <c r="AT576" s="1491" t="n"/>
      <c r="AU576" s="1491" t="n"/>
      <c r="AV576" s="1491" t="n"/>
      <c r="AW576" s="1491" t="n"/>
      <c r="AX576" s="1491" t="n"/>
      <c r="AY576" s="1491" t="n"/>
      <c r="AZ576" s="1491" t="n"/>
      <c r="BA576" s="1491" t="n"/>
      <c r="BB576" s="1491" t="n"/>
      <c r="BC576" s="1491" t="n"/>
      <c r="BD576" s="1491" t="n"/>
      <c r="BE576" s="1491" t="n"/>
      <c r="BF576" s="1491" t="n"/>
      <c r="BG576" s="1491" t="n"/>
      <c r="BH576" s="1491" t="n"/>
      <c r="BI576" s="1491" t="n"/>
      <c r="BJ576" s="1491" t="n"/>
      <c r="BK576" s="1491" t="n"/>
      <c r="BL576" s="1491" t="n"/>
      <c r="BM576" s="1491" t="n"/>
      <c r="BN576" s="1491" t="n"/>
      <c r="BO576" s="1467" t="n"/>
      <c r="BP576" s="1514" t="n">
        <v>572</v>
      </c>
      <c r="BQ576" s="1513">
        <f>[1]Sheet1!C577</f>
        <v/>
      </c>
      <c r="BR576" s="1515">
        <f>[1]Sheet1!D577</f>
        <v/>
      </c>
      <c r="BS576" s="1513">
        <f>[1]Sheet1!E577</f>
        <v/>
      </c>
      <c r="BT576" s="1515">
        <f>[1]Sheet1!F577</f>
        <v/>
      </c>
      <c r="BU576" s="1516">
        <f>[1]Sheet1!G577</f>
        <v/>
      </c>
      <c r="BV576" s="1513">
        <f>[1]Sheet1!H577</f>
        <v/>
      </c>
      <c r="BW576" s="1467" t="n"/>
      <c r="BX576" s="1491" t="n"/>
      <c r="BY576" s="1491" t="n"/>
      <c r="BZ576" s="1491" t="n"/>
      <c r="CA576" s="1491" t="n"/>
      <c r="CB576" s="1467" t="n"/>
      <c r="CC576" s="1467" t="n"/>
      <c r="CD576" s="1491" t="n"/>
      <c r="CE576" s="1491" t="n"/>
      <c r="CF576" s="1491" t="n"/>
      <c r="CG576" s="1491" t="n"/>
      <c r="CH576" s="1491" t="n"/>
      <c r="CI576" s="1491" t="n"/>
      <c r="CJ576" s="1491" t="n"/>
      <c r="CK576" s="1491" t="n"/>
      <c r="CL576" s="1491" t="n"/>
      <c r="CM576" s="1491" t="n"/>
      <c r="CN576" s="1491" t="n"/>
      <c r="CO576" s="1491" t="n"/>
      <c r="CP576" s="1491" t="n"/>
      <c r="CQ576" s="1491" t="n"/>
      <c r="CR576" s="1491" t="n"/>
      <c r="CS576" s="1491" t="n"/>
      <c r="CT576" s="1491" t="n"/>
      <c r="CU576" s="1491" t="n"/>
      <c r="CV576" s="1491" t="n"/>
      <c r="CW576" s="1491" t="n"/>
      <c r="CX576" s="1491" t="n"/>
    </row>
    <row r="577">
      <c r="A577" s="1491" t="n"/>
      <c r="B577" s="1491" t="n"/>
      <c r="C577" s="1491" t="n"/>
      <c r="D577" s="1497">
        <f>IF(E577&lt;&gt;"",D576+1,D576)</f>
        <v/>
      </c>
      <c r="E577" s="1497" t="n"/>
      <c r="F577" s="1535" t="inlineStr">
        <is>
          <t>.</t>
        </is>
      </c>
      <c r="G577" s="1498">
        <f>IF(H577="AIR",0,IF(H576="AIR",G575+1,IF(H577&lt;&gt;"",G576+1,G576)))</f>
        <v/>
      </c>
      <c r="H577" s="1498" t="inlineStr">
        <is>
          <t>Vila Nova de Gaia</t>
        </is>
      </c>
      <c r="I577" s="1427" t="inlineStr">
        <is>
          <t>.</t>
        </is>
      </c>
      <c r="J577" s="1499" t="n">
        <v>572</v>
      </c>
      <c r="K577" s="1500">
        <f>_xlfn.XLOOKUP(cities[[#This Row],[id]],$D$5:$D$1500,E$5:E$1500,"-")</f>
        <v/>
      </c>
      <c r="L577" s="1500">
        <f>_xlfn.XLOOKUP(cities[[#This Row],[city]],ccc[city],ccc[ctry],"-")</f>
        <v/>
      </c>
      <c r="M577" s="1500">
        <f>SUMIFS(stayCity[stay],stayCity[city],cities[[#This Row],[city]])</f>
        <v/>
      </c>
      <c r="N577" s="1427">
        <f>N576+1</f>
        <v/>
      </c>
      <c r="O577" s="1500" t="n"/>
      <c r="P577" s="1500" t="n"/>
      <c r="Q577" s="1427" t="inlineStr">
        <is>
          <t>.</t>
        </is>
      </c>
      <c r="R577" s="1491" t="n"/>
      <c r="S577" s="1491" t="n"/>
      <c r="T577" s="1491" t="n"/>
      <c r="U577" s="1491" t="n"/>
      <c r="V577" s="1491" t="n"/>
      <c r="W577" s="1491" t="n"/>
      <c r="X577" s="1491" t="n"/>
      <c r="Y577" s="1491" t="n"/>
      <c r="Z577" s="1491" t="n"/>
      <c r="AA577" s="1491" t="n"/>
      <c r="AB577" s="1491" t="n"/>
      <c r="AC577" s="1491" t="n"/>
      <c r="AD577" s="1491" t="n"/>
      <c r="AE577" s="1491" t="n"/>
      <c r="AF577" s="1491" t="n"/>
      <c r="AG577" s="1491" t="n"/>
      <c r="AH577" s="1491" t="n"/>
      <c r="AI577" s="1491" t="n"/>
      <c r="AJ577" s="1491" t="n"/>
      <c r="AK577" s="1491" t="n"/>
      <c r="AL577" s="1491" t="n"/>
      <c r="AM577" s="1491" t="n"/>
      <c r="AN577" s="1491" t="n"/>
      <c r="AO577" s="1491" t="n"/>
      <c r="AP577" s="1491" t="n"/>
      <c r="AQ577" s="1491" t="n"/>
      <c r="AR577" s="1491" t="n"/>
      <c r="AS577" s="1491" t="n"/>
      <c r="AT577" s="1491" t="n"/>
      <c r="AU577" s="1491" t="n"/>
      <c r="AV577" s="1491" t="n"/>
      <c r="AW577" s="1491" t="n"/>
      <c r="AX577" s="1491" t="n"/>
      <c r="AY577" s="1491" t="n"/>
      <c r="AZ577" s="1491" t="n"/>
      <c r="BA577" s="1491" t="n"/>
      <c r="BB577" s="1491" t="n"/>
      <c r="BC577" s="1491" t="n"/>
      <c r="BD577" s="1491" t="n"/>
      <c r="BE577" s="1491" t="n"/>
      <c r="BF577" s="1491" t="n"/>
      <c r="BG577" s="1491" t="n"/>
      <c r="BH577" s="1491" t="n"/>
      <c r="BI577" s="1491" t="n"/>
      <c r="BJ577" s="1491" t="n"/>
      <c r="BK577" s="1491" t="n"/>
      <c r="BL577" s="1491" t="n"/>
      <c r="BM577" s="1491" t="n"/>
      <c r="BN577" s="1491" t="n"/>
      <c r="BO577" s="1467" t="n"/>
      <c r="BP577" s="1514" t="n">
        <v>573</v>
      </c>
      <c r="BQ577" s="1513">
        <f>[1]Sheet1!C578</f>
        <v/>
      </c>
      <c r="BR577" s="1515">
        <f>[1]Sheet1!D578</f>
        <v/>
      </c>
      <c r="BS577" s="1513">
        <f>[1]Sheet1!E578</f>
        <v/>
      </c>
      <c r="BT577" s="1515">
        <f>[1]Sheet1!F578</f>
        <v/>
      </c>
      <c r="BU577" s="1516">
        <f>[1]Sheet1!G578</f>
        <v/>
      </c>
      <c r="BV577" s="1513">
        <f>[1]Sheet1!H578</f>
        <v/>
      </c>
      <c r="BW577" s="1467" t="n"/>
      <c r="BX577" s="1491" t="n"/>
      <c r="BY577" s="1491" t="n"/>
      <c r="BZ577" s="1491" t="n"/>
      <c r="CA577" s="1491" t="n"/>
      <c r="CB577" s="1467" t="n"/>
      <c r="CC577" s="1467" t="n"/>
      <c r="CD577" s="1491" t="n"/>
      <c r="CE577" s="1491" t="n"/>
      <c r="CF577" s="1491" t="n"/>
      <c r="CG577" s="1491" t="n"/>
      <c r="CH577" s="1491" t="n"/>
      <c r="CI577" s="1491" t="n"/>
      <c r="CJ577" s="1491" t="n"/>
      <c r="CK577" s="1491" t="n"/>
      <c r="CL577" s="1491" t="n"/>
      <c r="CM577" s="1491" t="n"/>
      <c r="CN577" s="1491" t="n"/>
      <c r="CO577" s="1491" t="n"/>
      <c r="CP577" s="1491" t="n"/>
      <c r="CQ577" s="1491" t="n"/>
      <c r="CR577" s="1491" t="n"/>
      <c r="CS577" s="1491" t="n"/>
      <c r="CT577" s="1491" t="n"/>
      <c r="CU577" s="1491" t="n"/>
      <c r="CV577" s="1491" t="n"/>
      <c r="CW577" s="1491" t="n"/>
      <c r="CX577" s="1491" t="n"/>
    </row>
    <row r="578">
      <c r="A578" s="1491" t="n"/>
      <c r="B578" s="1491" t="n"/>
      <c r="C578" s="1491" t="n"/>
      <c r="D578" s="1497">
        <f>IF(E578&lt;&gt;"",D577+1,D577)</f>
        <v/>
      </c>
      <c r="E578" s="1497" t="n"/>
      <c r="F578" s="1535" t="inlineStr">
        <is>
          <t>.</t>
        </is>
      </c>
      <c r="G578" s="1498">
        <f>IF(H578="AIR",0,IF(H577="AIR",G576+1,IF(H578&lt;&gt;"",G577+1,G577)))</f>
        <v/>
      </c>
      <c r="H578" s="1498" t="inlineStr">
        <is>
          <t>Leça da Palmeira</t>
        </is>
      </c>
      <c r="I578" s="1427" t="inlineStr">
        <is>
          <t>.</t>
        </is>
      </c>
      <c r="J578" s="1499" t="n">
        <v>573</v>
      </c>
      <c r="K578" s="1500">
        <f>_xlfn.XLOOKUP(cities[[#This Row],[id]],$D$5:$D$1500,E$5:E$1500,"-")</f>
        <v/>
      </c>
      <c r="L578" s="1500">
        <f>_xlfn.XLOOKUP(cities[[#This Row],[city]],ccc[city],ccc[ctry],"-")</f>
        <v/>
      </c>
      <c r="M578" s="1500">
        <f>SUMIFS(stayCity[stay],stayCity[city],cities[[#This Row],[city]])</f>
        <v/>
      </c>
      <c r="N578" s="1427">
        <f>N577+1</f>
        <v/>
      </c>
      <c r="O578" s="1500" t="n"/>
      <c r="P578" s="1500" t="n"/>
      <c r="Q578" s="1427" t="inlineStr">
        <is>
          <t>.</t>
        </is>
      </c>
      <c r="R578" s="1491" t="n"/>
      <c r="S578" s="1491" t="n"/>
      <c r="T578" s="1491" t="n"/>
      <c r="U578" s="1491" t="n"/>
      <c r="V578" s="1491" t="n"/>
      <c r="W578" s="1491" t="n"/>
      <c r="X578" s="1491" t="n"/>
      <c r="Y578" s="1491" t="n"/>
      <c r="Z578" s="1491" t="n"/>
      <c r="AA578" s="1491" t="n"/>
      <c r="AB578" s="1491" t="n"/>
      <c r="AC578" s="1491" t="n"/>
      <c r="AD578" s="1491" t="n"/>
      <c r="AE578" s="1491" t="n"/>
      <c r="AF578" s="1491" t="n"/>
      <c r="AG578" s="1491" t="n"/>
      <c r="AH578" s="1491" t="n"/>
      <c r="AI578" s="1491" t="n"/>
      <c r="AJ578" s="1491" t="n"/>
      <c r="AK578" s="1491" t="n"/>
      <c r="AL578" s="1491" t="n"/>
      <c r="AM578" s="1491" t="n"/>
      <c r="AN578" s="1491" t="n"/>
      <c r="AO578" s="1491" t="n"/>
      <c r="AP578" s="1491" t="n"/>
      <c r="AQ578" s="1491" t="n"/>
      <c r="AR578" s="1491" t="n"/>
      <c r="AS578" s="1491" t="n"/>
      <c r="AT578" s="1491" t="n"/>
      <c r="AU578" s="1491" t="n"/>
      <c r="AV578" s="1491" t="n"/>
      <c r="AW578" s="1491" t="n"/>
      <c r="AX578" s="1491" t="n"/>
      <c r="AY578" s="1491" t="n"/>
      <c r="AZ578" s="1491" t="n"/>
      <c r="BA578" s="1491" t="n"/>
      <c r="BB578" s="1491" t="n"/>
      <c r="BC578" s="1491" t="n"/>
      <c r="BD578" s="1491" t="n"/>
      <c r="BE578" s="1491" t="n"/>
      <c r="BF578" s="1491" t="n"/>
      <c r="BG578" s="1491" t="n"/>
      <c r="BH578" s="1491" t="n"/>
      <c r="BI578" s="1491" t="n"/>
      <c r="BJ578" s="1491" t="n"/>
      <c r="BK578" s="1491" t="n"/>
      <c r="BL578" s="1491" t="n"/>
      <c r="BM578" s="1491" t="n"/>
      <c r="BN578" s="1491" t="n"/>
      <c r="BO578" s="1467" t="n"/>
      <c r="BP578" s="1514" t="n">
        <v>574</v>
      </c>
      <c r="BQ578" s="1513">
        <f>[1]Sheet1!C579</f>
        <v/>
      </c>
      <c r="BR578" s="1515">
        <f>[1]Sheet1!D579</f>
        <v/>
      </c>
      <c r="BS578" s="1513">
        <f>[1]Sheet1!E579</f>
        <v/>
      </c>
      <c r="BT578" s="1515">
        <f>[1]Sheet1!F579</f>
        <v/>
      </c>
      <c r="BU578" s="1516">
        <f>[1]Sheet1!G579</f>
        <v/>
      </c>
      <c r="BV578" s="1513">
        <f>[1]Sheet1!H579</f>
        <v/>
      </c>
      <c r="BW578" s="1467" t="n"/>
      <c r="BX578" s="1491" t="n"/>
      <c r="BY578" s="1491" t="n"/>
      <c r="BZ578" s="1491" t="n"/>
      <c r="CA578" s="1491" t="n"/>
      <c r="CB578" s="1467" t="n"/>
      <c r="CC578" s="1467" t="n"/>
      <c r="CD578" s="1491" t="n"/>
      <c r="CE578" s="1491" t="n"/>
      <c r="CF578" s="1491" t="n"/>
      <c r="CG578" s="1491" t="n"/>
      <c r="CH578" s="1491" t="n"/>
      <c r="CI578" s="1491" t="n"/>
      <c r="CJ578" s="1491" t="n"/>
      <c r="CK578" s="1491" t="n"/>
      <c r="CL578" s="1491" t="n"/>
      <c r="CM578" s="1491" t="n"/>
      <c r="CN578" s="1491" t="n"/>
      <c r="CO578" s="1491" t="n"/>
      <c r="CP578" s="1491" t="n"/>
      <c r="CQ578" s="1491" t="n"/>
      <c r="CR578" s="1491" t="n"/>
      <c r="CS578" s="1491" t="n"/>
      <c r="CT578" s="1491" t="n"/>
      <c r="CU578" s="1491" t="n"/>
      <c r="CV578" s="1491" t="n"/>
      <c r="CW578" s="1491" t="n"/>
      <c r="CX578" s="1491" t="n"/>
    </row>
    <row r="579">
      <c r="A579" s="1491" t="n"/>
      <c r="B579" s="1491" t="n"/>
      <c r="C579" s="1491" t="n"/>
      <c r="D579" s="1497">
        <f>IF(E579&lt;&gt;"",D578+1,D578)</f>
        <v/>
      </c>
      <c r="E579" s="1497" t="n"/>
      <c r="F579" s="1535" t="inlineStr">
        <is>
          <t>.</t>
        </is>
      </c>
      <c r="G579" s="1498">
        <f>IF(H579="AIR",0,IF(H578="AIR",G577+1,IF(H579&lt;&gt;"",G578+1,G578)))</f>
        <v/>
      </c>
      <c r="H579" s="1498" t="inlineStr">
        <is>
          <t>Matosinhos</t>
        </is>
      </c>
      <c r="I579" s="1427" t="inlineStr">
        <is>
          <t>.</t>
        </is>
      </c>
      <c r="J579" s="1499" t="n">
        <v>574</v>
      </c>
      <c r="K579" s="1500">
        <f>_xlfn.XLOOKUP(cities[[#This Row],[id]],$D$5:$D$1500,E$5:E$1500,"-")</f>
        <v/>
      </c>
      <c r="L579" s="1500">
        <f>_xlfn.XLOOKUP(cities[[#This Row],[city]],ccc[city],ccc[ctry],"-")</f>
        <v/>
      </c>
      <c r="M579" s="1500">
        <f>SUMIFS(stayCity[stay],stayCity[city],cities[[#This Row],[city]])</f>
        <v/>
      </c>
      <c r="N579" s="1427">
        <f>N578+1</f>
        <v/>
      </c>
      <c r="O579" s="1500" t="n"/>
      <c r="P579" s="1500" t="n"/>
      <c r="Q579" s="1427" t="inlineStr">
        <is>
          <t>.</t>
        </is>
      </c>
      <c r="R579" s="1491" t="n"/>
      <c r="S579" s="1491" t="n"/>
      <c r="T579" s="1491" t="n"/>
      <c r="U579" s="1491" t="n"/>
      <c r="V579" s="1491" t="n"/>
      <c r="W579" s="1491" t="n"/>
      <c r="X579" s="1491" t="n"/>
      <c r="Y579" s="1491" t="n"/>
      <c r="Z579" s="1491" t="n"/>
      <c r="AA579" s="1491" t="n"/>
      <c r="AB579" s="1491" t="n"/>
      <c r="AC579" s="1491" t="n"/>
      <c r="AD579" s="1491" t="n"/>
      <c r="AE579" s="1491" t="n"/>
      <c r="AF579" s="1491" t="n"/>
      <c r="AG579" s="1491" t="n"/>
      <c r="AH579" s="1491" t="n"/>
      <c r="AI579" s="1491" t="n"/>
      <c r="AJ579" s="1491" t="n"/>
      <c r="AK579" s="1491" t="n"/>
      <c r="AL579" s="1491" t="n"/>
      <c r="AM579" s="1491" t="n"/>
      <c r="AN579" s="1491" t="n"/>
      <c r="AO579" s="1491" t="n"/>
      <c r="AP579" s="1491" t="n"/>
      <c r="AQ579" s="1491" t="n"/>
      <c r="AR579" s="1491" t="n"/>
      <c r="AS579" s="1491" t="n"/>
      <c r="AT579" s="1491" t="n"/>
      <c r="AU579" s="1491" t="n"/>
      <c r="AV579" s="1491" t="n"/>
      <c r="AW579" s="1491" t="n"/>
      <c r="AX579" s="1491" t="n"/>
      <c r="AY579" s="1491" t="n"/>
      <c r="AZ579" s="1491" t="n"/>
      <c r="BA579" s="1491" t="n"/>
      <c r="BB579" s="1491" t="n"/>
      <c r="BC579" s="1491" t="n"/>
      <c r="BD579" s="1491" t="n"/>
      <c r="BE579" s="1491" t="n"/>
      <c r="BF579" s="1491" t="n"/>
      <c r="BG579" s="1491" t="n"/>
      <c r="BH579" s="1491" t="n"/>
      <c r="BI579" s="1491" t="n"/>
      <c r="BJ579" s="1491" t="n"/>
      <c r="BK579" s="1491" t="n"/>
      <c r="BL579" s="1491" t="n"/>
      <c r="BM579" s="1491" t="n"/>
      <c r="BN579" s="1491" t="n"/>
      <c r="BO579" s="1467" t="n"/>
      <c r="BP579" s="1514" t="n">
        <v>575</v>
      </c>
      <c r="BQ579" s="1513">
        <f>[1]Sheet1!C580</f>
        <v/>
      </c>
      <c r="BR579" s="1515">
        <f>[1]Sheet1!D580</f>
        <v/>
      </c>
      <c r="BS579" s="1513">
        <f>[1]Sheet1!E580</f>
        <v/>
      </c>
      <c r="BT579" s="1515">
        <f>[1]Sheet1!F580</f>
        <v/>
      </c>
      <c r="BU579" s="1516">
        <f>[1]Sheet1!G580</f>
        <v/>
      </c>
      <c r="BV579" s="1513">
        <f>[1]Sheet1!H580</f>
        <v/>
      </c>
      <c r="BW579" s="1467" t="n"/>
      <c r="BX579" s="1491" t="n"/>
      <c r="BY579" s="1491" t="n"/>
      <c r="BZ579" s="1491" t="n"/>
      <c r="CA579" s="1491" t="n"/>
      <c r="CB579" s="1467" t="n"/>
      <c r="CC579" s="1467" t="n"/>
      <c r="CD579" s="1491" t="n"/>
      <c r="CE579" s="1491" t="n"/>
      <c r="CF579" s="1491" t="n"/>
      <c r="CG579" s="1491" t="n"/>
      <c r="CH579" s="1491" t="n"/>
      <c r="CI579" s="1491" t="n"/>
      <c r="CJ579" s="1491" t="n"/>
      <c r="CK579" s="1491" t="n"/>
      <c r="CL579" s="1491" t="n"/>
      <c r="CM579" s="1491" t="n"/>
      <c r="CN579" s="1491" t="n"/>
      <c r="CO579" s="1491" t="n"/>
      <c r="CP579" s="1491" t="n"/>
      <c r="CQ579" s="1491" t="n"/>
      <c r="CR579" s="1491" t="n"/>
      <c r="CS579" s="1491" t="n"/>
      <c r="CT579" s="1491" t="n"/>
      <c r="CU579" s="1491" t="n"/>
      <c r="CV579" s="1491" t="n"/>
      <c r="CW579" s="1491" t="n"/>
      <c r="CX579" s="1491" t="n"/>
    </row>
    <row r="580">
      <c r="A580" s="1491" t="n"/>
      <c r="B580" s="1491" t="n"/>
      <c r="C580" s="1491" t="n"/>
      <c r="D580" s="1497">
        <f>IF(E580&lt;&gt;"",D579+1,D579)</f>
        <v/>
      </c>
      <c r="E580" s="1497" t="n"/>
      <c r="F580" s="1535" t="inlineStr">
        <is>
          <t>.</t>
        </is>
      </c>
      <c r="G580" s="1498">
        <f>IF(H580="AIR",0,IF(H579="AIR",G578+1,IF(H580&lt;&gt;"",G579+1,G579)))</f>
        <v/>
      </c>
      <c r="H580" s="1498" t="inlineStr">
        <is>
          <t>Felgueiras</t>
        </is>
      </c>
      <c r="I580" s="1427" t="inlineStr">
        <is>
          <t>.</t>
        </is>
      </c>
      <c r="J580" s="1499" t="n">
        <v>575</v>
      </c>
      <c r="K580" s="1500">
        <f>_xlfn.XLOOKUP(cities[[#This Row],[id]],$D$5:$D$1500,E$5:E$1500,"-")</f>
        <v/>
      </c>
      <c r="L580" s="1500">
        <f>_xlfn.XLOOKUP(cities[[#This Row],[city]],ccc[city],ccc[ctry],"-")</f>
        <v/>
      </c>
      <c r="M580" s="1500">
        <f>SUMIFS(stayCity[stay],stayCity[city],cities[[#This Row],[city]])</f>
        <v/>
      </c>
      <c r="N580" s="1427">
        <f>N579+1</f>
        <v/>
      </c>
      <c r="O580" s="1500" t="n"/>
      <c r="P580" s="1500" t="n"/>
      <c r="Q580" s="1427" t="inlineStr">
        <is>
          <t>.</t>
        </is>
      </c>
      <c r="R580" s="1491" t="n"/>
      <c r="S580" s="1491" t="n"/>
      <c r="T580" s="1491" t="n"/>
      <c r="U580" s="1491" t="n"/>
      <c r="V580" s="1491" t="n"/>
      <c r="W580" s="1491" t="n"/>
      <c r="X580" s="1491" t="n"/>
      <c r="Y580" s="1491" t="n"/>
      <c r="Z580" s="1491" t="n"/>
      <c r="AA580" s="1491" t="n"/>
      <c r="AB580" s="1491" t="n"/>
      <c r="AC580" s="1491" t="n"/>
      <c r="AD580" s="1491" t="n"/>
      <c r="AE580" s="1491" t="n"/>
      <c r="AF580" s="1491" t="n"/>
      <c r="AG580" s="1491" t="n"/>
      <c r="AH580" s="1491" t="n"/>
      <c r="AI580" s="1491" t="n"/>
      <c r="AJ580" s="1491" t="n"/>
      <c r="AK580" s="1491" t="n"/>
      <c r="AL580" s="1491" t="n"/>
      <c r="AM580" s="1491" t="n"/>
      <c r="AN580" s="1491" t="n"/>
      <c r="AO580" s="1491" t="n"/>
      <c r="AP580" s="1491" t="n"/>
      <c r="AQ580" s="1491" t="n"/>
      <c r="AR580" s="1491" t="n"/>
      <c r="AS580" s="1491" t="n"/>
      <c r="AT580" s="1491" t="n"/>
      <c r="AU580" s="1491" t="n"/>
      <c r="AV580" s="1491" t="n"/>
      <c r="AW580" s="1491" t="n"/>
      <c r="AX580" s="1491" t="n"/>
      <c r="AY580" s="1491" t="n"/>
      <c r="AZ580" s="1491" t="n"/>
      <c r="BA580" s="1491" t="n"/>
      <c r="BB580" s="1491" t="n"/>
      <c r="BC580" s="1491" t="n"/>
      <c r="BD580" s="1491" t="n"/>
      <c r="BE580" s="1491" t="n"/>
      <c r="BF580" s="1491" t="n"/>
      <c r="BG580" s="1491" t="n"/>
      <c r="BH580" s="1491" t="n"/>
      <c r="BI580" s="1491" t="n"/>
      <c r="BJ580" s="1491" t="n"/>
      <c r="BK580" s="1491" t="n"/>
      <c r="BL580" s="1491" t="n"/>
      <c r="BM580" s="1491" t="n"/>
      <c r="BN580" s="1491" t="n"/>
      <c r="BO580" s="1467" t="n"/>
      <c r="BP580" s="1514" t="n">
        <v>576</v>
      </c>
      <c r="BQ580" s="1513">
        <f>[1]Sheet1!C581</f>
        <v/>
      </c>
      <c r="BR580" s="1515">
        <f>[1]Sheet1!D581</f>
        <v/>
      </c>
      <c r="BS580" s="1513">
        <f>[1]Sheet1!E581</f>
        <v/>
      </c>
      <c r="BT580" s="1515">
        <f>[1]Sheet1!F581</f>
        <v/>
      </c>
      <c r="BU580" s="1516">
        <f>[1]Sheet1!G581</f>
        <v/>
      </c>
      <c r="BV580" s="1513">
        <f>[1]Sheet1!H581</f>
        <v/>
      </c>
      <c r="BW580" s="1467" t="n"/>
      <c r="BX580" s="1491" t="n"/>
      <c r="BY580" s="1491" t="n"/>
      <c r="BZ580" s="1491" t="n"/>
      <c r="CA580" s="1491" t="n"/>
      <c r="CB580" s="1467" t="n"/>
      <c r="CC580" s="1467" t="n"/>
      <c r="CD580" s="1491" t="n"/>
      <c r="CE580" s="1491" t="n"/>
      <c r="CF580" s="1491" t="n"/>
      <c r="CG580" s="1491" t="n"/>
      <c r="CH580" s="1491" t="n"/>
      <c r="CI580" s="1491" t="n"/>
      <c r="CJ580" s="1491" t="n"/>
      <c r="CK580" s="1491" t="n"/>
      <c r="CL580" s="1491" t="n"/>
      <c r="CM580" s="1491" t="n"/>
      <c r="CN580" s="1491" t="n"/>
      <c r="CO580" s="1491" t="n"/>
      <c r="CP580" s="1491" t="n"/>
      <c r="CQ580" s="1491" t="n"/>
      <c r="CR580" s="1491" t="n"/>
      <c r="CS580" s="1491" t="n"/>
      <c r="CT580" s="1491" t="n"/>
      <c r="CU580" s="1491" t="n"/>
      <c r="CV580" s="1491" t="n"/>
      <c r="CW580" s="1491" t="n"/>
      <c r="CX580" s="1491" t="n"/>
    </row>
    <row r="581">
      <c r="A581" s="1491" t="n"/>
      <c r="B581" s="1491" t="n"/>
      <c r="C581" s="1491" t="n"/>
      <c r="D581" s="1497">
        <f>IF(E581&lt;&gt;"",D580+1,D580)</f>
        <v/>
      </c>
      <c r="E581" s="1497" t="n"/>
      <c r="F581" s="1535" t="inlineStr">
        <is>
          <t>.</t>
        </is>
      </c>
      <c r="G581" s="1498">
        <f>IF(H581="AIR",0,IF(H580="AIR",G579+1,IF(H581&lt;&gt;"",G580+1,G580)))</f>
        <v/>
      </c>
      <c r="H581" s="1498" t="inlineStr">
        <is>
          <t>Ferreira</t>
        </is>
      </c>
      <c r="I581" s="1427" t="inlineStr">
        <is>
          <t>.</t>
        </is>
      </c>
      <c r="J581" s="1499" t="n">
        <v>576</v>
      </c>
      <c r="K581" s="1500">
        <f>_xlfn.XLOOKUP(cities[[#This Row],[id]],$D$5:$D$1500,E$5:E$1500,"-")</f>
        <v/>
      </c>
      <c r="L581" s="1500">
        <f>_xlfn.XLOOKUP(cities[[#This Row],[city]],ccc[city],ccc[ctry],"-")</f>
        <v/>
      </c>
      <c r="M581" s="1500">
        <f>SUMIFS(stayCity[stay],stayCity[city],cities[[#This Row],[city]])</f>
        <v/>
      </c>
      <c r="N581" s="1427">
        <f>N580+1</f>
        <v/>
      </c>
      <c r="O581" s="1500" t="n"/>
      <c r="P581" s="1500" t="n"/>
      <c r="Q581" s="1427" t="inlineStr">
        <is>
          <t>.</t>
        </is>
      </c>
      <c r="R581" s="1491" t="n"/>
      <c r="S581" s="1491" t="n"/>
      <c r="T581" s="1491" t="n"/>
      <c r="U581" s="1491" t="n"/>
      <c r="V581" s="1491" t="n"/>
      <c r="W581" s="1491" t="n"/>
      <c r="X581" s="1491" t="n"/>
      <c r="Y581" s="1491" t="n"/>
      <c r="Z581" s="1491" t="n"/>
      <c r="AA581" s="1491" t="n"/>
      <c r="AB581" s="1491" t="n"/>
      <c r="AC581" s="1491" t="n"/>
      <c r="AD581" s="1491" t="n"/>
      <c r="AE581" s="1491" t="n"/>
      <c r="AF581" s="1491" t="n"/>
      <c r="AG581" s="1491" t="n"/>
      <c r="AH581" s="1491" t="n"/>
      <c r="AI581" s="1491" t="n"/>
      <c r="AJ581" s="1491" t="n"/>
      <c r="AK581" s="1491" t="n"/>
      <c r="AL581" s="1491" t="n"/>
      <c r="AM581" s="1491" t="n"/>
      <c r="AN581" s="1491" t="n"/>
      <c r="AO581" s="1491" t="n"/>
      <c r="AP581" s="1491" t="n"/>
      <c r="AQ581" s="1491" t="n"/>
      <c r="AR581" s="1491" t="n"/>
      <c r="AS581" s="1491" t="n"/>
      <c r="AT581" s="1491" t="n"/>
      <c r="AU581" s="1491" t="n"/>
      <c r="AV581" s="1491" t="n"/>
      <c r="AW581" s="1491" t="n"/>
      <c r="AX581" s="1491" t="n"/>
      <c r="AY581" s="1491" t="n"/>
      <c r="AZ581" s="1491" t="n"/>
      <c r="BA581" s="1491" t="n"/>
      <c r="BB581" s="1491" t="n"/>
      <c r="BC581" s="1491" t="n"/>
      <c r="BD581" s="1491" t="n"/>
      <c r="BE581" s="1491" t="n"/>
      <c r="BF581" s="1491" t="n"/>
      <c r="BG581" s="1491" t="n"/>
      <c r="BH581" s="1491" t="n"/>
      <c r="BI581" s="1491" t="n"/>
      <c r="BJ581" s="1491" t="n"/>
      <c r="BK581" s="1491" t="n"/>
      <c r="BL581" s="1491" t="n"/>
      <c r="BM581" s="1491" t="n"/>
      <c r="BN581" s="1491" t="n"/>
      <c r="BO581" s="1467" t="n"/>
      <c r="BP581" s="1514" t="n">
        <v>577</v>
      </c>
      <c r="BQ581" s="1513">
        <f>[1]Sheet1!C582</f>
        <v/>
      </c>
      <c r="BR581" s="1515">
        <f>[1]Sheet1!D582</f>
        <v/>
      </c>
      <c r="BS581" s="1513">
        <f>[1]Sheet1!E582</f>
        <v/>
      </c>
      <c r="BT581" s="1515">
        <f>[1]Sheet1!F582</f>
        <v/>
      </c>
      <c r="BU581" s="1516">
        <f>[1]Sheet1!G582</f>
        <v/>
      </c>
      <c r="BV581" s="1513">
        <f>[1]Sheet1!H582</f>
        <v/>
      </c>
      <c r="BW581" s="1467" t="n"/>
      <c r="BX581" s="1491" t="n"/>
      <c r="BY581" s="1491" t="n"/>
      <c r="BZ581" s="1491" t="n"/>
      <c r="CA581" s="1491" t="n"/>
      <c r="CB581" s="1467" t="n"/>
      <c r="CC581" s="1467" t="n"/>
      <c r="CD581" s="1491" t="n"/>
      <c r="CE581" s="1491" t="n"/>
      <c r="CF581" s="1491" t="n"/>
      <c r="CG581" s="1491" t="n"/>
      <c r="CH581" s="1491" t="n"/>
      <c r="CI581" s="1491" t="n"/>
      <c r="CJ581" s="1491" t="n"/>
      <c r="CK581" s="1491" t="n"/>
      <c r="CL581" s="1491" t="n"/>
      <c r="CM581" s="1491" t="n"/>
      <c r="CN581" s="1491" t="n"/>
      <c r="CO581" s="1491" t="n"/>
      <c r="CP581" s="1491" t="n"/>
      <c r="CQ581" s="1491" t="n"/>
      <c r="CR581" s="1491" t="n"/>
      <c r="CS581" s="1491" t="n"/>
      <c r="CT581" s="1491" t="n"/>
      <c r="CU581" s="1491" t="n"/>
      <c r="CV581" s="1491" t="n"/>
      <c r="CW581" s="1491" t="n"/>
      <c r="CX581" s="1491" t="n"/>
    </row>
    <row r="582">
      <c r="A582" s="1491" t="n"/>
      <c r="B582" s="1491" t="n"/>
      <c r="C582" s="1491" t="n"/>
      <c r="D582" s="1497">
        <f>IF(E582&lt;&gt;"",D581+1,D581)</f>
        <v/>
      </c>
      <c r="E582" s="1497" t="n"/>
      <c r="F582" s="1535" t="inlineStr">
        <is>
          <t>.</t>
        </is>
      </c>
      <c r="G582" s="1498">
        <f>IF(H582="AIR",0,IF(H581="AIR",G580+1,IF(H582&lt;&gt;"",G581+1,G581)))</f>
        <v/>
      </c>
      <c r="H582" s="1498" t="inlineStr">
        <is>
          <t>Sorrento</t>
        </is>
      </c>
      <c r="I582" s="1427" t="inlineStr">
        <is>
          <t>.</t>
        </is>
      </c>
      <c r="J582" s="1499" t="n">
        <v>577</v>
      </c>
      <c r="K582" s="1500">
        <f>_xlfn.XLOOKUP(cities[[#This Row],[id]],$D$5:$D$1500,E$5:E$1500,"-")</f>
        <v/>
      </c>
      <c r="L582" s="1500">
        <f>_xlfn.XLOOKUP(cities[[#This Row],[city]],ccc[city],ccc[ctry],"-")</f>
        <v/>
      </c>
      <c r="M582" s="1500">
        <f>SUMIFS(stayCity[stay],stayCity[city],cities[[#This Row],[city]])</f>
        <v/>
      </c>
      <c r="N582" s="1427">
        <f>N581+1</f>
        <v/>
      </c>
      <c r="O582" s="1500" t="n"/>
      <c r="P582" s="1500" t="n"/>
      <c r="Q582" s="1427" t="inlineStr">
        <is>
          <t>.</t>
        </is>
      </c>
      <c r="R582" s="1491" t="n"/>
      <c r="S582" s="1491" t="n"/>
      <c r="T582" s="1491" t="n"/>
      <c r="U582" s="1491" t="n"/>
      <c r="V582" s="1491" t="n"/>
      <c r="W582" s="1491" t="n"/>
      <c r="X582" s="1491" t="n"/>
      <c r="Y582" s="1491" t="n"/>
      <c r="Z582" s="1491" t="n"/>
      <c r="AA582" s="1491" t="n"/>
      <c r="AB582" s="1491" t="n"/>
      <c r="AC582" s="1491" t="n"/>
      <c r="AD582" s="1491" t="n"/>
      <c r="AE582" s="1491" t="n"/>
      <c r="AF582" s="1491" t="n"/>
      <c r="AG582" s="1491" t="n"/>
      <c r="AH582" s="1491" t="n"/>
      <c r="AI582" s="1491" t="n"/>
      <c r="AJ582" s="1491" t="n"/>
      <c r="AK582" s="1491" t="n"/>
      <c r="AL582" s="1491" t="n"/>
      <c r="AM582" s="1491" t="n"/>
      <c r="AN582" s="1491" t="n"/>
      <c r="AO582" s="1491" t="n"/>
      <c r="AP582" s="1491" t="n"/>
      <c r="AQ582" s="1491" t="n"/>
      <c r="AR582" s="1491" t="n"/>
      <c r="AS582" s="1491" t="n"/>
      <c r="AT582" s="1491" t="n"/>
      <c r="AU582" s="1491" t="n"/>
      <c r="AV582" s="1491" t="n"/>
      <c r="AW582" s="1491" t="n"/>
      <c r="AX582" s="1491" t="n"/>
      <c r="AY582" s="1491" t="n"/>
      <c r="AZ582" s="1491" t="n"/>
      <c r="BA582" s="1491" t="n"/>
      <c r="BB582" s="1491" t="n"/>
      <c r="BC582" s="1491" t="n"/>
      <c r="BD582" s="1491" t="n"/>
      <c r="BE582" s="1491" t="n"/>
      <c r="BF582" s="1491" t="n"/>
      <c r="BG582" s="1491" t="n"/>
      <c r="BH582" s="1491" t="n"/>
      <c r="BI582" s="1491" t="n"/>
      <c r="BJ582" s="1491" t="n"/>
      <c r="BK582" s="1491" t="n"/>
      <c r="BL582" s="1491" t="n"/>
      <c r="BM582" s="1491" t="n"/>
      <c r="BN582" s="1491" t="n"/>
      <c r="BO582" s="1467" t="n"/>
      <c r="BP582" s="1514" t="n">
        <v>578</v>
      </c>
      <c r="BQ582" s="1513">
        <f>[1]Sheet1!C583</f>
        <v/>
      </c>
      <c r="BR582" s="1515">
        <f>[1]Sheet1!D583</f>
        <v/>
      </c>
      <c r="BS582" s="1513">
        <f>[1]Sheet1!E583</f>
        <v/>
      </c>
      <c r="BT582" s="1515">
        <f>[1]Sheet1!F583</f>
        <v/>
      </c>
      <c r="BU582" s="1516">
        <f>[1]Sheet1!G583</f>
        <v/>
      </c>
      <c r="BV582" s="1513">
        <f>[1]Sheet1!H583</f>
        <v/>
      </c>
      <c r="BW582" s="1467" t="n"/>
      <c r="BX582" s="1491" t="n"/>
      <c r="BY582" s="1491" t="n"/>
      <c r="BZ582" s="1491" t="n"/>
      <c r="CA582" s="1491" t="n"/>
      <c r="CB582" s="1467" t="n"/>
      <c r="CC582" s="1467" t="n"/>
      <c r="CD582" s="1491" t="n"/>
      <c r="CE582" s="1491" t="n"/>
      <c r="CF582" s="1491" t="n"/>
      <c r="CG582" s="1491" t="n"/>
      <c r="CH582" s="1491" t="n"/>
      <c r="CI582" s="1491" t="n"/>
      <c r="CJ582" s="1491" t="n"/>
      <c r="CK582" s="1491" t="n"/>
      <c r="CL582" s="1491" t="n"/>
      <c r="CM582" s="1491" t="n"/>
      <c r="CN582" s="1491" t="n"/>
      <c r="CO582" s="1491" t="n"/>
      <c r="CP582" s="1491" t="n"/>
      <c r="CQ582" s="1491" t="n"/>
      <c r="CR582" s="1491" t="n"/>
      <c r="CS582" s="1491" t="n"/>
      <c r="CT582" s="1491" t="n"/>
      <c r="CU582" s="1491" t="n"/>
      <c r="CV582" s="1491" t="n"/>
      <c r="CW582" s="1491" t="n"/>
      <c r="CX582" s="1491" t="n"/>
    </row>
    <row r="583">
      <c r="A583" s="1491" t="n"/>
      <c r="B583" s="1491" t="n"/>
      <c r="C583" s="1491" t="n"/>
      <c r="D583" s="1497">
        <f>IF(E583&lt;&gt;"",D582+1,D582)</f>
        <v/>
      </c>
      <c r="E583" s="1497" t="n"/>
      <c r="F583" s="1535" t="inlineStr">
        <is>
          <t>.</t>
        </is>
      </c>
      <c r="G583" s="1498">
        <f>IF(H583="AIR",0,IF(H582="AIR",G581+1,IF(H583&lt;&gt;"",G582+1,G582)))</f>
        <v/>
      </c>
      <c r="H583" s="1498" t="inlineStr">
        <is>
          <t>Pompeii</t>
        </is>
      </c>
      <c r="I583" s="1427" t="inlineStr">
        <is>
          <t>.</t>
        </is>
      </c>
      <c r="J583" s="1499" t="n">
        <v>578</v>
      </c>
      <c r="K583" s="1500">
        <f>_xlfn.XLOOKUP(cities[[#This Row],[id]],$D$5:$D$1500,E$5:E$1500,"-")</f>
        <v/>
      </c>
      <c r="L583" s="1500">
        <f>_xlfn.XLOOKUP(cities[[#This Row],[city]],ccc[city],ccc[ctry],"-")</f>
        <v/>
      </c>
      <c r="M583" s="1500">
        <f>SUMIFS(stayCity[stay],stayCity[city],cities[[#This Row],[city]])</f>
        <v/>
      </c>
      <c r="N583" s="1427">
        <f>N582+1</f>
        <v/>
      </c>
      <c r="O583" s="1500" t="n"/>
      <c r="P583" s="1500" t="n"/>
      <c r="Q583" s="1427" t="inlineStr">
        <is>
          <t>.</t>
        </is>
      </c>
      <c r="R583" s="1491" t="n"/>
      <c r="S583" s="1491" t="n"/>
      <c r="T583" s="1491" t="n"/>
      <c r="U583" s="1491" t="n"/>
      <c r="V583" s="1491" t="n"/>
      <c r="W583" s="1491" t="n"/>
      <c r="X583" s="1491" t="n"/>
      <c r="Y583" s="1491" t="n"/>
      <c r="Z583" s="1491" t="n"/>
      <c r="AA583" s="1491" t="n"/>
      <c r="AB583" s="1491" t="n"/>
      <c r="AC583" s="1491" t="n"/>
      <c r="AD583" s="1491" t="n"/>
      <c r="AE583" s="1491" t="n"/>
      <c r="AF583" s="1491" t="n"/>
      <c r="AG583" s="1491" t="n"/>
      <c r="AH583" s="1491" t="n"/>
      <c r="AI583" s="1491" t="n"/>
      <c r="AJ583" s="1491" t="n"/>
      <c r="AK583" s="1491" t="n"/>
      <c r="AL583" s="1491" t="n"/>
      <c r="AM583" s="1491" t="n"/>
      <c r="AN583" s="1491" t="n"/>
      <c r="AO583" s="1491" t="n"/>
      <c r="AP583" s="1491" t="n"/>
      <c r="AQ583" s="1491" t="n"/>
      <c r="AR583" s="1491" t="n"/>
      <c r="AS583" s="1491" t="n"/>
      <c r="AT583" s="1491" t="n"/>
      <c r="AU583" s="1491" t="n"/>
      <c r="AV583" s="1491" t="n"/>
      <c r="AW583" s="1491" t="n"/>
      <c r="AX583" s="1491" t="n"/>
      <c r="AY583" s="1491" t="n"/>
      <c r="AZ583" s="1491" t="n"/>
      <c r="BA583" s="1491" t="n"/>
      <c r="BB583" s="1491" t="n"/>
      <c r="BC583" s="1491" t="n"/>
      <c r="BD583" s="1491" t="n"/>
      <c r="BE583" s="1491" t="n"/>
      <c r="BF583" s="1491" t="n"/>
      <c r="BG583" s="1491" t="n"/>
      <c r="BH583" s="1491" t="n"/>
      <c r="BI583" s="1491" t="n"/>
      <c r="BJ583" s="1491" t="n"/>
      <c r="BK583" s="1491" t="n"/>
      <c r="BL583" s="1491" t="n"/>
      <c r="BM583" s="1491" t="n"/>
      <c r="BN583" s="1491" t="n"/>
      <c r="BO583" s="1467" t="n"/>
      <c r="BP583" s="1514" t="n">
        <v>579</v>
      </c>
      <c r="BQ583" s="1513">
        <f>[1]Sheet1!C584</f>
        <v/>
      </c>
      <c r="BR583" s="1515">
        <f>[1]Sheet1!D584</f>
        <v/>
      </c>
      <c r="BS583" s="1513">
        <f>[1]Sheet1!E584</f>
        <v/>
      </c>
      <c r="BT583" s="1515">
        <f>[1]Sheet1!F584</f>
        <v/>
      </c>
      <c r="BU583" s="1516">
        <f>[1]Sheet1!G584</f>
        <v/>
      </c>
      <c r="BV583" s="1513">
        <f>[1]Sheet1!H584</f>
        <v/>
      </c>
      <c r="BW583" s="1467" t="n"/>
      <c r="BX583" s="1491" t="n"/>
      <c r="BY583" s="1491" t="n"/>
      <c r="BZ583" s="1491" t="n"/>
      <c r="CA583" s="1491" t="n"/>
      <c r="CB583" s="1467" t="n"/>
      <c r="CC583" s="1467" t="n"/>
      <c r="CD583" s="1491" t="n"/>
      <c r="CE583" s="1491" t="n"/>
      <c r="CF583" s="1491" t="n"/>
      <c r="CG583" s="1491" t="n"/>
      <c r="CH583" s="1491" t="n"/>
      <c r="CI583" s="1491" t="n"/>
      <c r="CJ583" s="1491" t="n"/>
      <c r="CK583" s="1491" t="n"/>
      <c r="CL583" s="1491" t="n"/>
      <c r="CM583" s="1491" t="n"/>
      <c r="CN583" s="1491" t="n"/>
      <c r="CO583" s="1491" t="n"/>
      <c r="CP583" s="1491" t="n"/>
      <c r="CQ583" s="1491" t="n"/>
      <c r="CR583" s="1491" t="n"/>
      <c r="CS583" s="1491" t="n"/>
      <c r="CT583" s="1491" t="n"/>
      <c r="CU583" s="1491" t="n"/>
      <c r="CV583" s="1491" t="n"/>
      <c r="CW583" s="1491" t="n"/>
      <c r="CX583" s="1491" t="n"/>
    </row>
    <row r="584">
      <c r="A584" s="1491" t="n"/>
      <c r="B584" s="1491" t="n"/>
      <c r="C584" s="1491" t="n"/>
      <c r="D584" s="1497">
        <f>IF(E584&lt;&gt;"",D583+1,D583)</f>
        <v/>
      </c>
      <c r="E584" s="1497" t="n"/>
      <c r="F584" s="1535" t="inlineStr">
        <is>
          <t>.</t>
        </is>
      </c>
      <c r="G584" s="1498">
        <f>IF(H584="AIR",0,IF(H583="AIR",G582+1,IF(H584&lt;&gt;"",G583+1,G583)))</f>
        <v/>
      </c>
      <c r="H584" s="1498" t="inlineStr">
        <is>
          <t>Figueira da Foz</t>
        </is>
      </c>
      <c r="I584" s="1427" t="inlineStr">
        <is>
          <t>.</t>
        </is>
      </c>
      <c r="J584" s="1499" t="n">
        <v>579</v>
      </c>
      <c r="K584" s="1500">
        <f>_xlfn.XLOOKUP(cities[[#This Row],[id]],$D$5:$D$1500,E$5:E$1500,"-")</f>
        <v/>
      </c>
      <c r="L584" s="1500">
        <f>_xlfn.XLOOKUP(cities[[#This Row],[city]],ccc[city],ccc[ctry],"-")</f>
        <v/>
      </c>
      <c r="M584" s="1500">
        <f>SUMIFS(stayCity[stay],stayCity[city],cities[[#This Row],[city]])</f>
        <v/>
      </c>
      <c r="N584" s="1427">
        <f>N583+1</f>
        <v/>
      </c>
      <c r="O584" s="1500" t="n"/>
      <c r="P584" s="1500" t="n"/>
      <c r="Q584" s="1427" t="inlineStr">
        <is>
          <t>.</t>
        </is>
      </c>
      <c r="R584" s="1491" t="n"/>
      <c r="S584" s="1491" t="n"/>
      <c r="T584" s="1491" t="n"/>
      <c r="U584" s="1491" t="n"/>
      <c r="V584" s="1491" t="n"/>
      <c r="W584" s="1491" t="n"/>
      <c r="X584" s="1491" t="n"/>
      <c r="Y584" s="1491" t="n"/>
      <c r="Z584" s="1491" t="n"/>
      <c r="AA584" s="1491" t="n"/>
      <c r="AB584" s="1491" t="n"/>
      <c r="AC584" s="1491" t="n"/>
      <c r="AD584" s="1491" t="n"/>
      <c r="AE584" s="1491" t="n"/>
      <c r="AF584" s="1491" t="n"/>
      <c r="AG584" s="1491" t="n"/>
      <c r="AH584" s="1491" t="n"/>
      <c r="AI584" s="1491" t="n"/>
      <c r="AJ584" s="1491" t="n"/>
      <c r="AK584" s="1491" t="n"/>
      <c r="AL584" s="1491" t="n"/>
      <c r="AM584" s="1491" t="n"/>
      <c r="AN584" s="1491" t="n"/>
      <c r="AO584" s="1491" t="n"/>
      <c r="AP584" s="1491" t="n"/>
      <c r="AQ584" s="1491" t="n"/>
      <c r="AR584" s="1491" t="n"/>
      <c r="AS584" s="1491" t="n"/>
      <c r="AT584" s="1491" t="n"/>
      <c r="AU584" s="1491" t="n"/>
      <c r="AV584" s="1491" t="n"/>
      <c r="AW584" s="1491" t="n"/>
      <c r="AX584" s="1491" t="n"/>
      <c r="AY584" s="1491" t="n"/>
      <c r="AZ584" s="1491" t="n"/>
      <c r="BA584" s="1491" t="n"/>
      <c r="BB584" s="1491" t="n"/>
      <c r="BC584" s="1491" t="n"/>
      <c r="BD584" s="1491" t="n"/>
      <c r="BE584" s="1491" t="n"/>
      <c r="BF584" s="1491" t="n"/>
      <c r="BG584" s="1491" t="n"/>
      <c r="BH584" s="1491" t="n"/>
      <c r="BI584" s="1491" t="n"/>
      <c r="BJ584" s="1491" t="n"/>
      <c r="BK584" s="1491" t="n"/>
      <c r="BL584" s="1491" t="n"/>
      <c r="BM584" s="1491" t="n"/>
      <c r="BN584" s="1491" t="n"/>
      <c r="BO584" s="1467" t="n"/>
      <c r="BP584" s="1514" t="n">
        <v>580</v>
      </c>
      <c r="BQ584" s="1513">
        <f>[1]Sheet1!C585</f>
        <v/>
      </c>
      <c r="BR584" s="1515">
        <f>[1]Sheet1!D585</f>
        <v/>
      </c>
      <c r="BS584" s="1513">
        <f>[1]Sheet1!E585</f>
        <v/>
      </c>
      <c r="BT584" s="1515">
        <f>[1]Sheet1!F585</f>
        <v/>
      </c>
      <c r="BU584" s="1516">
        <f>[1]Sheet1!G585</f>
        <v/>
      </c>
      <c r="BV584" s="1513">
        <f>[1]Sheet1!H585</f>
        <v/>
      </c>
      <c r="BW584" s="1467" t="n"/>
      <c r="BX584" s="1491" t="n"/>
      <c r="BY584" s="1491" t="n"/>
      <c r="BZ584" s="1491" t="n"/>
      <c r="CA584" s="1491" t="n"/>
      <c r="CB584" s="1467" t="n"/>
      <c r="CC584" s="1467" t="n"/>
      <c r="CD584" s="1491" t="n"/>
      <c r="CE584" s="1491" t="n"/>
      <c r="CF584" s="1491" t="n"/>
      <c r="CG584" s="1491" t="n"/>
      <c r="CH584" s="1491" t="n"/>
      <c r="CI584" s="1491" t="n"/>
      <c r="CJ584" s="1491" t="n"/>
      <c r="CK584" s="1491" t="n"/>
      <c r="CL584" s="1491" t="n"/>
      <c r="CM584" s="1491" t="n"/>
      <c r="CN584" s="1491" t="n"/>
      <c r="CO584" s="1491" t="n"/>
      <c r="CP584" s="1491" t="n"/>
      <c r="CQ584" s="1491" t="n"/>
      <c r="CR584" s="1491" t="n"/>
      <c r="CS584" s="1491" t="n"/>
      <c r="CT584" s="1491" t="n"/>
      <c r="CU584" s="1491" t="n"/>
      <c r="CV584" s="1491" t="n"/>
      <c r="CW584" s="1491" t="n"/>
      <c r="CX584" s="1491" t="n"/>
    </row>
    <row r="585">
      <c r="A585" s="1491" t="n"/>
      <c r="B585" s="1491" t="n"/>
      <c r="C585" s="1491" t="n"/>
      <c r="D585" s="1497">
        <f>IF(E585&lt;&gt;"",D584+1,D584)</f>
        <v/>
      </c>
      <c r="E585" s="1497" t="n"/>
      <c r="F585" s="1535" t="inlineStr">
        <is>
          <t>.</t>
        </is>
      </c>
      <c r="G585" s="1498">
        <f>IF(H585="AIR",0,IF(H584="AIR",G583+1,IF(H585&lt;&gt;"",G584+1,G584)))</f>
        <v/>
      </c>
      <c r="H585" s="1498" t="inlineStr">
        <is>
          <t>Roissy</t>
        </is>
      </c>
      <c r="I585" s="1427" t="inlineStr">
        <is>
          <t>.</t>
        </is>
      </c>
      <c r="J585" s="1499" t="n">
        <v>580</v>
      </c>
      <c r="K585" s="1500">
        <f>_xlfn.XLOOKUP(cities[[#This Row],[id]],$D$5:$D$1500,E$5:E$1500,"-")</f>
        <v/>
      </c>
      <c r="L585" s="1500">
        <f>_xlfn.XLOOKUP(cities[[#This Row],[city]],ccc[city],ccc[ctry],"-")</f>
        <v/>
      </c>
      <c r="M585" s="1500">
        <f>SUMIFS(stayCity[stay],stayCity[city],cities[[#This Row],[city]])</f>
        <v/>
      </c>
      <c r="N585" s="1427">
        <f>N584+1</f>
        <v/>
      </c>
      <c r="O585" s="1500" t="n"/>
      <c r="P585" s="1500" t="n"/>
      <c r="Q585" s="1427" t="inlineStr">
        <is>
          <t>.</t>
        </is>
      </c>
      <c r="R585" s="1491" t="n"/>
      <c r="S585" s="1491" t="n"/>
      <c r="T585" s="1491" t="n"/>
      <c r="U585" s="1491" t="n"/>
      <c r="V585" s="1491" t="n"/>
      <c r="W585" s="1491" t="n"/>
      <c r="X585" s="1491" t="n"/>
      <c r="Y585" s="1491" t="n"/>
      <c r="Z585" s="1491" t="n"/>
      <c r="AA585" s="1491" t="n"/>
      <c r="AB585" s="1491" t="n"/>
      <c r="AC585" s="1491" t="n"/>
      <c r="AD585" s="1491" t="n"/>
      <c r="AE585" s="1491" t="n"/>
      <c r="AF585" s="1491" t="n"/>
      <c r="AG585" s="1491" t="n"/>
      <c r="AH585" s="1491" t="n"/>
      <c r="AI585" s="1491" t="n"/>
      <c r="AJ585" s="1491" t="n"/>
      <c r="AK585" s="1491" t="n"/>
      <c r="AL585" s="1491" t="n"/>
      <c r="AM585" s="1491" t="n"/>
      <c r="AN585" s="1491" t="n"/>
      <c r="AO585" s="1491" t="n"/>
      <c r="AP585" s="1491" t="n"/>
      <c r="AQ585" s="1491" t="n"/>
      <c r="AR585" s="1491" t="n"/>
      <c r="AS585" s="1491" t="n"/>
      <c r="AT585" s="1491" t="n"/>
      <c r="AU585" s="1491" t="n"/>
      <c r="AV585" s="1491" t="n"/>
      <c r="AW585" s="1491" t="n"/>
      <c r="AX585" s="1491" t="n"/>
      <c r="AY585" s="1491" t="n"/>
      <c r="AZ585" s="1491" t="n"/>
      <c r="BA585" s="1491" t="n"/>
      <c r="BB585" s="1491" t="n"/>
      <c r="BC585" s="1491" t="n"/>
      <c r="BD585" s="1491" t="n"/>
      <c r="BE585" s="1491" t="n"/>
      <c r="BF585" s="1491" t="n"/>
      <c r="BG585" s="1491" t="n"/>
      <c r="BH585" s="1491" t="n"/>
      <c r="BI585" s="1491" t="n"/>
      <c r="BJ585" s="1491" t="n"/>
      <c r="BK585" s="1491" t="n"/>
      <c r="BL585" s="1491" t="n"/>
      <c r="BM585" s="1491" t="n"/>
      <c r="BN585" s="1491" t="n"/>
      <c r="BO585" s="1467" t="n"/>
      <c r="BP585" s="1514" t="n">
        <v>581</v>
      </c>
      <c r="BQ585" s="1513">
        <f>[1]Sheet1!C586</f>
        <v/>
      </c>
      <c r="BR585" s="1515">
        <f>[1]Sheet1!D586</f>
        <v/>
      </c>
      <c r="BS585" s="1513">
        <f>[1]Sheet1!E586</f>
        <v/>
      </c>
      <c r="BT585" s="1515">
        <f>[1]Sheet1!F586</f>
        <v/>
      </c>
      <c r="BU585" s="1516">
        <f>[1]Sheet1!G586</f>
        <v/>
      </c>
      <c r="BV585" s="1513">
        <f>[1]Sheet1!H586</f>
        <v/>
      </c>
      <c r="BW585" s="1467" t="n"/>
      <c r="BX585" s="1491" t="n"/>
      <c r="BY585" s="1491" t="n"/>
      <c r="BZ585" s="1491" t="n"/>
      <c r="CA585" s="1491" t="n"/>
      <c r="CB585" s="1467" t="n"/>
      <c r="CC585" s="1467" t="n"/>
      <c r="CD585" s="1491" t="n"/>
      <c r="CE585" s="1491" t="n"/>
      <c r="CF585" s="1491" t="n"/>
      <c r="CG585" s="1491" t="n"/>
      <c r="CH585" s="1491" t="n"/>
      <c r="CI585" s="1491" t="n"/>
      <c r="CJ585" s="1491" t="n"/>
      <c r="CK585" s="1491" t="n"/>
      <c r="CL585" s="1491" t="n"/>
      <c r="CM585" s="1491" t="n"/>
      <c r="CN585" s="1491" t="n"/>
      <c r="CO585" s="1491" t="n"/>
      <c r="CP585" s="1491" t="n"/>
      <c r="CQ585" s="1491" t="n"/>
      <c r="CR585" s="1491" t="n"/>
      <c r="CS585" s="1491" t="n"/>
      <c r="CT585" s="1491" t="n"/>
      <c r="CU585" s="1491" t="n"/>
      <c r="CV585" s="1491" t="n"/>
      <c r="CW585" s="1491" t="n"/>
      <c r="CX585" s="1491" t="n"/>
    </row>
    <row r="586">
      <c r="A586" s="1491" t="n"/>
      <c r="B586" s="1491" t="n"/>
      <c r="C586" s="1491" t="n"/>
      <c r="D586" s="1497">
        <f>IF(E586&lt;&gt;"",D585+1,D585)</f>
        <v/>
      </c>
      <c r="E586" s="1497" t="n"/>
      <c r="F586" s="1535" t="inlineStr">
        <is>
          <t>.</t>
        </is>
      </c>
      <c r="G586" s="1498">
        <f>IF(H586="AIR",0,IF(H585="AIR",G584+1,IF(H586&lt;&gt;"",G585+1,G585)))</f>
        <v/>
      </c>
      <c r="H586" s="1498" t="n"/>
      <c r="I586" s="1427" t="inlineStr">
        <is>
          <t>.</t>
        </is>
      </c>
      <c r="J586" s="1500" t="n"/>
      <c r="K586" s="1500" t="n"/>
      <c r="L586" s="1500">
        <f>_xlfn.XLOOKUP(cities[[#This Row],[city]],ccc[city],ccc[ctry],"-")</f>
        <v/>
      </c>
      <c r="M586" s="1500">
        <f>SUMIFS(stayCity[stay],stayCity[city],cities[[#This Row],[city]])</f>
        <v/>
      </c>
      <c r="N586" s="1427">
        <f>N585+1</f>
        <v/>
      </c>
      <c r="O586" s="1500" t="n"/>
      <c r="P586" s="1500" t="n"/>
      <c r="Q586" s="1427" t="inlineStr">
        <is>
          <t>.</t>
        </is>
      </c>
      <c r="R586" s="1491" t="n"/>
      <c r="S586" s="1491" t="n"/>
      <c r="T586" s="1491" t="n"/>
      <c r="U586" s="1491" t="n"/>
      <c r="V586" s="1491" t="n"/>
      <c r="W586" s="1491" t="n"/>
      <c r="X586" s="1491" t="n"/>
      <c r="Y586" s="1491" t="n"/>
      <c r="Z586" s="1491" t="n"/>
      <c r="AA586" s="1491" t="n"/>
      <c r="AB586" s="1491" t="n"/>
      <c r="AC586" s="1491" t="n"/>
      <c r="AD586" s="1491" t="n"/>
      <c r="AE586" s="1491" t="n"/>
      <c r="AF586" s="1491" t="n"/>
      <c r="AG586" s="1491" t="n"/>
      <c r="AH586" s="1491" t="n"/>
      <c r="AI586" s="1491" t="n"/>
      <c r="AJ586" s="1491" t="n"/>
      <c r="AK586" s="1491" t="n"/>
      <c r="AL586" s="1491" t="n"/>
      <c r="AM586" s="1491" t="n"/>
      <c r="AN586" s="1491" t="n"/>
      <c r="AO586" s="1491" t="n"/>
      <c r="AP586" s="1491" t="n"/>
      <c r="AQ586" s="1491" t="n"/>
      <c r="AR586" s="1491" t="n"/>
      <c r="AS586" s="1491" t="n"/>
      <c r="AT586" s="1491" t="n"/>
      <c r="AU586" s="1491" t="n"/>
      <c r="AV586" s="1491" t="n"/>
      <c r="AW586" s="1491" t="n"/>
      <c r="AX586" s="1491" t="n"/>
      <c r="AY586" s="1491" t="n"/>
      <c r="AZ586" s="1491" t="n"/>
      <c r="BA586" s="1491" t="n"/>
      <c r="BB586" s="1491" t="n"/>
      <c r="BC586" s="1491" t="n"/>
      <c r="BD586" s="1491" t="n"/>
      <c r="BE586" s="1491" t="n"/>
      <c r="BF586" s="1491" t="n"/>
      <c r="BG586" s="1491" t="n"/>
      <c r="BH586" s="1491" t="n"/>
      <c r="BI586" s="1491" t="n"/>
      <c r="BJ586" s="1491" t="n"/>
      <c r="BK586" s="1491" t="n"/>
      <c r="BL586" s="1491" t="n"/>
      <c r="BM586" s="1491" t="n"/>
      <c r="BN586" s="1491" t="n"/>
      <c r="BO586" s="1467" t="n"/>
      <c r="BP586" s="1514" t="n">
        <v>582</v>
      </c>
      <c r="BQ586" s="1513">
        <f>[1]Sheet1!C587</f>
        <v/>
      </c>
      <c r="BR586" s="1515">
        <f>[1]Sheet1!D587</f>
        <v/>
      </c>
      <c r="BS586" s="1513">
        <f>[1]Sheet1!E587</f>
        <v/>
      </c>
      <c r="BT586" s="1515">
        <f>[1]Sheet1!F587</f>
        <v/>
      </c>
      <c r="BU586" s="1516">
        <f>[1]Sheet1!G587</f>
        <v/>
      </c>
      <c r="BV586" s="1513">
        <f>[1]Sheet1!H587</f>
        <v/>
      </c>
      <c r="BW586" s="1467" t="n"/>
      <c r="BX586" s="1491" t="n"/>
      <c r="BY586" s="1491" t="n"/>
      <c r="BZ586" s="1491" t="n"/>
      <c r="CA586" s="1491" t="n"/>
      <c r="CB586" s="1467" t="n"/>
      <c r="CC586" s="1467" t="n"/>
      <c r="CD586" s="1491" t="n"/>
      <c r="CE586" s="1491" t="n"/>
      <c r="CF586" s="1491" t="n"/>
      <c r="CG586" s="1491" t="n"/>
      <c r="CH586" s="1491" t="n"/>
      <c r="CI586" s="1491" t="n"/>
      <c r="CJ586" s="1491" t="n"/>
      <c r="CK586" s="1491" t="n"/>
      <c r="CL586" s="1491" t="n"/>
      <c r="CM586" s="1491" t="n"/>
      <c r="CN586" s="1491" t="n"/>
      <c r="CO586" s="1491" t="n"/>
      <c r="CP586" s="1491" t="n"/>
      <c r="CQ586" s="1491" t="n"/>
      <c r="CR586" s="1491" t="n"/>
      <c r="CS586" s="1491" t="n"/>
      <c r="CT586" s="1491" t="n"/>
      <c r="CU586" s="1491" t="n"/>
      <c r="CV586" s="1491" t="n"/>
      <c r="CW586" s="1491" t="n"/>
      <c r="CX586" s="1491" t="n"/>
    </row>
    <row r="587">
      <c r="A587" s="1491" t="n"/>
      <c r="B587" s="1491" t="n"/>
      <c r="C587" s="1491" t="n"/>
      <c r="D587" s="1497">
        <f>IF(E587&lt;&gt;"",D586+1,D586)</f>
        <v/>
      </c>
      <c r="E587" s="1497" t="n"/>
      <c r="F587" s="1535" t="inlineStr">
        <is>
          <t>.</t>
        </is>
      </c>
      <c r="G587" s="1498">
        <f>IF(H587="AIR",0,IF(H586="AIR",G585+1,IF(H587&lt;&gt;"",G586+1,G586)))</f>
        <v/>
      </c>
      <c r="H587" s="1498" t="n"/>
      <c r="I587" s="1427" t="inlineStr">
        <is>
          <t>.</t>
        </is>
      </c>
      <c r="J587" s="1500" t="n"/>
      <c r="K587" s="1500" t="n"/>
      <c r="L587" s="1500">
        <f>_xlfn.XLOOKUP(cities[[#This Row],[city]],ccc[city],ccc[ctry],"-")</f>
        <v/>
      </c>
      <c r="M587" s="1500">
        <f>SUMIFS(stayCity[stay],stayCity[city],cities[[#This Row],[city]])</f>
        <v/>
      </c>
      <c r="N587" s="1427">
        <f>N586+1</f>
        <v/>
      </c>
      <c r="O587" s="1500" t="n"/>
      <c r="P587" s="1500" t="n"/>
      <c r="Q587" s="1427" t="inlineStr">
        <is>
          <t>.</t>
        </is>
      </c>
      <c r="R587" s="1491" t="n"/>
      <c r="S587" s="1491" t="n"/>
      <c r="T587" s="1491" t="n"/>
      <c r="U587" s="1491" t="n"/>
      <c r="V587" s="1491" t="n"/>
      <c r="W587" s="1491" t="n"/>
      <c r="X587" s="1491" t="n"/>
      <c r="Y587" s="1491" t="n"/>
      <c r="Z587" s="1491" t="n"/>
      <c r="AA587" s="1491" t="n"/>
      <c r="AB587" s="1491" t="n"/>
      <c r="AC587" s="1491" t="n"/>
      <c r="AD587" s="1491" t="n"/>
      <c r="AE587" s="1491" t="n"/>
      <c r="AF587" s="1491" t="n"/>
      <c r="AG587" s="1491" t="n"/>
      <c r="AH587" s="1491" t="n"/>
      <c r="AI587" s="1491" t="n"/>
      <c r="AJ587" s="1491" t="n"/>
      <c r="AK587" s="1491" t="n"/>
      <c r="AL587" s="1491" t="n"/>
      <c r="AM587" s="1491" t="n"/>
      <c r="AN587" s="1491" t="n"/>
      <c r="AO587" s="1491" t="n"/>
      <c r="AP587" s="1491" t="n"/>
      <c r="AQ587" s="1491" t="n"/>
      <c r="AR587" s="1491" t="n"/>
      <c r="AS587" s="1491" t="n"/>
      <c r="AT587" s="1491" t="n"/>
      <c r="AU587" s="1491" t="n"/>
      <c r="AV587" s="1491" t="n"/>
      <c r="AW587" s="1491" t="n"/>
      <c r="AX587" s="1491" t="n"/>
      <c r="AY587" s="1491" t="n"/>
      <c r="AZ587" s="1491" t="n"/>
      <c r="BA587" s="1491" t="n"/>
      <c r="BB587" s="1491" t="n"/>
      <c r="BC587" s="1491" t="n"/>
      <c r="BD587" s="1491" t="n"/>
      <c r="BE587" s="1491" t="n"/>
      <c r="BF587" s="1491" t="n"/>
      <c r="BG587" s="1491" t="n"/>
      <c r="BH587" s="1491" t="n"/>
      <c r="BI587" s="1491" t="n"/>
      <c r="BJ587" s="1491" t="n"/>
      <c r="BK587" s="1491" t="n"/>
      <c r="BL587" s="1491" t="n"/>
      <c r="BM587" s="1491" t="n"/>
      <c r="BN587" s="1491" t="n"/>
      <c r="BO587" s="1467" t="n"/>
      <c r="BP587" s="1514" t="n">
        <v>583</v>
      </c>
      <c r="BQ587" s="1513">
        <f>[1]Sheet1!C588</f>
        <v/>
      </c>
      <c r="BR587" s="1515">
        <f>[1]Sheet1!D588</f>
        <v/>
      </c>
      <c r="BS587" s="1513">
        <f>[1]Sheet1!E588</f>
        <v/>
      </c>
      <c r="BT587" s="1515">
        <f>[1]Sheet1!F588</f>
        <v/>
      </c>
      <c r="BU587" s="1516">
        <f>[1]Sheet1!G588</f>
        <v/>
      </c>
      <c r="BV587" s="1513">
        <f>[1]Sheet1!H588</f>
        <v/>
      </c>
      <c r="BW587" s="1467" t="n"/>
      <c r="BX587" s="1491" t="n"/>
      <c r="BY587" s="1491" t="n"/>
      <c r="BZ587" s="1491" t="n"/>
      <c r="CA587" s="1491" t="n"/>
      <c r="CB587" s="1467" t="n"/>
      <c r="CC587" s="1467" t="n"/>
      <c r="CD587" s="1491" t="n"/>
      <c r="CE587" s="1491" t="n"/>
      <c r="CF587" s="1491" t="n"/>
      <c r="CG587" s="1491" t="n"/>
      <c r="CH587" s="1491" t="n"/>
      <c r="CI587" s="1491" t="n"/>
      <c r="CJ587" s="1491" t="n"/>
      <c r="CK587" s="1491" t="n"/>
      <c r="CL587" s="1491" t="n"/>
      <c r="CM587" s="1491" t="n"/>
      <c r="CN587" s="1491" t="n"/>
      <c r="CO587" s="1491" t="n"/>
      <c r="CP587" s="1491" t="n"/>
      <c r="CQ587" s="1491" t="n"/>
      <c r="CR587" s="1491" t="n"/>
      <c r="CS587" s="1491" t="n"/>
      <c r="CT587" s="1491" t="n"/>
      <c r="CU587" s="1491" t="n"/>
      <c r="CV587" s="1491" t="n"/>
      <c r="CW587" s="1491" t="n"/>
      <c r="CX587" s="1491" t="n"/>
    </row>
    <row r="588">
      <c r="A588" s="1491" t="n"/>
      <c r="B588" s="1491" t="n"/>
      <c r="C588" s="1491" t="n"/>
      <c r="D588" s="1497">
        <f>IF(E588&lt;&gt;"",D587+1,D587)</f>
        <v/>
      </c>
      <c r="E588" s="1497" t="n"/>
      <c r="F588" s="1535" t="inlineStr">
        <is>
          <t>.</t>
        </is>
      </c>
      <c r="G588" s="1498">
        <f>IF(H588="AIR",0,IF(H587="AIR",G586+1,IF(H588&lt;&gt;"",G587+1,G587)))</f>
        <v/>
      </c>
      <c r="H588" s="1498" t="n"/>
      <c r="I588" s="1427" t="inlineStr">
        <is>
          <t>.</t>
        </is>
      </c>
      <c r="J588" s="1500" t="n"/>
      <c r="K588" s="1500" t="n"/>
      <c r="L588" s="1500">
        <f>_xlfn.XLOOKUP(cities[[#This Row],[city]],ccc[city],ccc[ctry],"-")</f>
        <v/>
      </c>
      <c r="M588" s="1500">
        <f>SUMIFS(stayCity[stay],stayCity[city],cities[[#This Row],[city]])</f>
        <v/>
      </c>
      <c r="N588" s="1427">
        <f>N587+1</f>
        <v/>
      </c>
      <c r="O588" s="1500" t="n"/>
      <c r="P588" s="1500" t="n"/>
      <c r="Q588" s="1427" t="inlineStr">
        <is>
          <t>.</t>
        </is>
      </c>
      <c r="R588" s="1491" t="n"/>
      <c r="S588" s="1491" t="n"/>
      <c r="T588" s="1491" t="n"/>
      <c r="U588" s="1491" t="n"/>
      <c r="V588" s="1491" t="n"/>
      <c r="W588" s="1491" t="n"/>
      <c r="X588" s="1491" t="n"/>
      <c r="Y588" s="1491" t="n"/>
      <c r="Z588" s="1491" t="n"/>
      <c r="AA588" s="1491" t="n"/>
      <c r="AB588" s="1491" t="n"/>
      <c r="AC588" s="1491" t="n"/>
      <c r="AD588" s="1491" t="n"/>
      <c r="AE588" s="1491" t="n"/>
      <c r="AF588" s="1491" t="n"/>
      <c r="AG588" s="1491" t="n"/>
      <c r="AH588" s="1491" t="n"/>
      <c r="AI588" s="1491" t="n"/>
      <c r="AJ588" s="1491" t="n"/>
      <c r="AK588" s="1491" t="n"/>
      <c r="AL588" s="1491" t="n"/>
      <c r="AM588" s="1491" t="n"/>
      <c r="AN588" s="1491" t="n"/>
      <c r="AO588" s="1491" t="n"/>
      <c r="AP588" s="1491" t="n"/>
      <c r="AQ588" s="1491" t="n"/>
      <c r="AR588" s="1491" t="n"/>
      <c r="AS588" s="1491" t="n"/>
      <c r="AT588" s="1491" t="n"/>
      <c r="AU588" s="1491" t="n"/>
      <c r="AV588" s="1491" t="n"/>
      <c r="AW588" s="1491" t="n"/>
      <c r="AX588" s="1491" t="n"/>
      <c r="AY588" s="1491" t="n"/>
      <c r="AZ588" s="1491" t="n"/>
      <c r="BA588" s="1491" t="n"/>
      <c r="BB588" s="1491" t="n"/>
      <c r="BC588" s="1491" t="n"/>
      <c r="BD588" s="1491" t="n"/>
      <c r="BE588" s="1491" t="n"/>
      <c r="BF588" s="1491" t="n"/>
      <c r="BG588" s="1491" t="n"/>
      <c r="BH588" s="1491" t="n"/>
      <c r="BI588" s="1491" t="n"/>
      <c r="BJ588" s="1491" t="n"/>
      <c r="BK588" s="1491" t="n"/>
      <c r="BL588" s="1491" t="n"/>
      <c r="BM588" s="1491" t="n"/>
      <c r="BN588" s="1491" t="n"/>
      <c r="BO588" s="1467" t="n"/>
      <c r="BP588" s="1514" t="n">
        <v>584</v>
      </c>
      <c r="BQ588" s="1513">
        <f>[1]Sheet1!C589</f>
        <v/>
      </c>
      <c r="BR588" s="1515">
        <f>[1]Sheet1!D589</f>
        <v/>
      </c>
      <c r="BS588" s="1513">
        <f>[1]Sheet1!E589</f>
        <v/>
      </c>
      <c r="BT588" s="1515">
        <f>[1]Sheet1!F589</f>
        <v/>
      </c>
      <c r="BU588" s="1516">
        <f>[1]Sheet1!G589</f>
        <v/>
      </c>
      <c r="BV588" s="1513">
        <f>[1]Sheet1!H589</f>
        <v/>
      </c>
      <c r="BW588" s="1467" t="n"/>
      <c r="BX588" s="1491" t="n"/>
      <c r="BY588" s="1491" t="n"/>
      <c r="BZ588" s="1491" t="n"/>
      <c r="CA588" s="1491" t="n"/>
      <c r="CB588" s="1467" t="n"/>
      <c r="CC588" s="1467" t="n"/>
      <c r="CD588" s="1491" t="n"/>
      <c r="CE588" s="1491" t="n"/>
      <c r="CF588" s="1491" t="n"/>
      <c r="CG588" s="1491" t="n"/>
      <c r="CH588" s="1491" t="n"/>
      <c r="CI588" s="1491" t="n"/>
      <c r="CJ588" s="1491" t="n"/>
      <c r="CK588" s="1491" t="n"/>
      <c r="CL588" s="1491" t="n"/>
      <c r="CM588" s="1491" t="n"/>
      <c r="CN588" s="1491" t="n"/>
      <c r="CO588" s="1491" t="n"/>
      <c r="CP588" s="1491" t="n"/>
      <c r="CQ588" s="1491" t="n"/>
      <c r="CR588" s="1491" t="n"/>
      <c r="CS588" s="1491" t="n"/>
      <c r="CT588" s="1491" t="n"/>
      <c r="CU588" s="1491" t="n"/>
      <c r="CV588" s="1491" t="n"/>
      <c r="CW588" s="1491" t="n"/>
      <c r="CX588" s="1491" t="n"/>
    </row>
    <row r="589">
      <c r="A589" s="1491" t="n"/>
      <c r="B589" s="1491" t="n"/>
      <c r="C589" s="1491" t="n"/>
      <c r="D589" s="1497">
        <f>IF(E589&lt;&gt;"",D588+1,D588)</f>
        <v/>
      </c>
      <c r="E589" s="1497" t="n"/>
      <c r="F589" s="1535" t="inlineStr">
        <is>
          <t>.</t>
        </is>
      </c>
      <c r="G589" s="1498">
        <f>IF(H589="AIR",0,IF(H588="AIR",G587+1,IF(H589&lt;&gt;"",G588+1,G588)))</f>
        <v/>
      </c>
      <c r="H589" s="1498" t="n"/>
      <c r="I589" s="1427" t="inlineStr">
        <is>
          <t>.</t>
        </is>
      </c>
      <c r="J589" s="1500" t="n"/>
      <c r="K589" s="1500" t="n"/>
      <c r="L589" s="1500">
        <f>_xlfn.XLOOKUP(cities[[#This Row],[city]],ccc[city],ccc[ctry],"-")</f>
        <v/>
      </c>
      <c r="M589" s="1500">
        <f>SUMIFS(stayCity[stay],stayCity[city],cities[[#This Row],[city]])</f>
        <v/>
      </c>
      <c r="N589" s="1427">
        <f>N588+1</f>
        <v/>
      </c>
      <c r="O589" s="1500" t="n"/>
      <c r="P589" s="1500" t="n"/>
      <c r="Q589" s="1427" t="inlineStr">
        <is>
          <t>.</t>
        </is>
      </c>
      <c r="R589" s="1491" t="n"/>
      <c r="S589" s="1491" t="n"/>
      <c r="T589" s="1491" t="n"/>
      <c r="U589" s="1491" t="n"/>
      <c r="V589" s="1491" t="n"/>
      <c r="W589" s="1491" t="n"/>
      <c r="X589" s="1491" t="n"/>
      <c r="Y589" s="1491" t="n"/>
      <c r="Z589" s="1491" t="n"/>
      <c r="AA589" s="1491" t="n"/>
      <c r="AB589" s="1491" t="n"/>
      <c r="AC589" s="1491" t="n"/>
      <c r="AD589" s="1491" t="n"/>
      <c r="AE589" s="1491" t="n"/>
      <c r="AF589" s="1491" t="n"/>
      <c r="AG589" s="1491" t="n"/>
      <c r="AH589" s="1491" t="n"/>
      <c r="AI589" s="1491" t="n"/>
      <c r="AJ589" s="1491" t="n"/>
      <c r="AK589" s="1491" t="n"/>
      <c r="AL589" s="1491" t="n"/>
      <c r="AM589" s="1491" t="n"/>
      <c r="AN589" s="1491" t="n"/>
      <c r="AO589" s="1491" t="n"/>
      <c r="AP589" s="1491" t="n"/>
      <c r="AQ589" s="1491" t="n"/>
      <c r="AR589" s="1491" t="n"/>
      <c r="AS589" s="1491" t="n"/>
      <c r="AT589" s="1491" t="n"/>
      <c r="AU589" s="1491" t="n"/>
      <c r="AV589" s="1491" t="n"/>
      <c r="AW589" s="1491" t="n"/>
      <c r="AX589" s="1491" t="n"/>
      <c r="AY589" s="1491" t="n"/>
      <c r="AZ589" s="1491" t="n"/>
      <c r="BA589" s="1491" t="n"/>
      <c r="BB589" s="1491" t="n"/>
      <c r="BC589" s="1491" t="n"/>
      <c r="BD589" s="1491" t="n"/>
      <c r="BE589" s="1491" t="n"/>
      <c r="BF589" s="1491" t="n"/>
      <c r="BG589" s="1491" t="n"/>
      <c r="BH589" s="1491" t="n"/>
      <c r="BI589" s="1491" t="n"/>
      <c r="BJ589" s="1491" t="n"/>
      <c r="BK589" s="1491" t="n"/>
      <c r="BL589" s="1491" t="n"/>
      <c r="BM589" s="1491" t="n"/>
      <c r="BN589" s="1491" t="n"/>
      <c r="BO589" s="1467" t="n"/>
      <c r="BP589" s="1514" t="n">
        <v>585</v>
      </c>
      <c r="BQ589" s="1513">
        <f>[1]Sheet1!C590</f>
        <v/>
      </c>
      <c r="BR589" s="1515">
        <f>[1]Sheet1!D590</f>
        <v/>
      </c>
      <c r="BS589" s="1513">
        <f>[1]Sheet1!E590</f>
        <v/>
      </c>
      <c r="BT589" s="1515">
        <f>[1]Sheet1!F590</f>
        <v/>
      </c>
      <c r="BU589" s="1516">
        <f>[1]Sheet1!G590</f>
        <v/>
      </c>
      <c r="BV589" s="1513">
        <f>[1]Sheet1!H590</f>
        <v/>
      </c>
      <c r="BW589" s="1467" t="n"/>
      <c r="BX589" s="1491" t="n"/>
      <c r="BY589" s="1491" t="n"/>
      <c r="BZ589" s="1491" t="n"/>
      <c r="CA589" s="1491" t="n"/>
      <c r="CB589" s="1467" t="n"/>
      <c r="CC589" s="1467" t="n"/>
      <c r="CD589" s="1491" t="n"/>
      <c r="CE589" s="1491" t="n"/>
      <c r="CF589" s="1491" t="n"/>
      <c r="CG589" s="1491" t="n"/>
      <c r="CH589" s="1491" t="n"/>
      <c r="CI589" s="1491" t="n"/>
      <c r="CJ589" s="1491" t="n"/>
      <c r="CK589" s="1491" t="n"/>
      <c r="CL589" s="1491" t="n"/>
      <c r="CM589" s="1491" t="n"/>
      <c r="CN589" s="1491" t="n"/>
      <c r="CO589" s="1491" t="n"/>
      <c r="CP589" s="1491" t="n"/>
      <c r="CQ589" s="1491" t="n"/>
      <c r="CR589" s="1491" t="n"/>
      <c r="CS589" s="1491" t="n"/>
      <c r="CT589" s="1491" t="n"/>
      <c r="CU589" s="1491" t="n"/>
      <c r="CV589" s="1491" t="n"/>
      <c r="CW589" s="1491" t="n"/>
      <c r="CX589" s="1491" t="n"/>
    </row>
    <row r="590">
      <c r="A590" s="1491" t="n"/>
      <c r="B590" s="1491" t="n"/>
      <c r="C590" s="1491" t="n"/>
      <c r="D590" s="1497">
        <f>IF(E590&lt;&gt;"",D589+1,D589)</f>
        <v/>
      </c>
      <c r="E590" s="1497" t="n"/>
      <c r="F590" s="1535" t="inlineStr">
        <is>
          <t>.</t>
        </is>
      </c>
      <c r="G590" s="1498">
        <f>IF(H590="AIR",0,IF(H589="AIR",G588+1,IF(H590&lt;&gt;"",G589+1,G589)))</f>
        <v/>
      </c>
      <c r="H590" s="1498" t="n"/>
      <c r="I590" s="1427" t="inlineStr">
        <is>
          <t>.</t>
        </is>
      </c>
      <c r="J590" s="1500" t="n"/>
      <c r="K590" s="1500" t="n"/>
      <c r="L590" s="1500">
        <f>_xlfn.XLOOKUP(cities[[#This Row],[city]],ccc[city],ccc[ctry],"-")</f>
        <v/>
      </c>
      <c r="M590" s="1500">
        <f>SUMIFS(stayCity[stay],stayCity[city],cities[[#This Row],[city]])</f>
        <v/>
      </c>
      <c r="N590" s="1427">
        <f>N589+1</f>
        <v/>
      </c>
      <c r="O590" s="1500" t="n"/>
      <c r="P590" s="1500" t="n"/>
      <c r="Q590" s="1427" t="inlineStr">
        <is>
          <t>.</t>
        </is>
      </c>
      <c r="R590" s="1491" t="n"/>
      <c r="S590" s="1491" t="n"/>
      <c r="T590" s="1491" t="n"/>
      <c r="U590" s="1491" t="n"/>
      <c r="V590" s="1491" t="n"/>
      <c r="W590" s="1491" t="n"/>
      <c r="X590" s="1491" t="n"/>
      <c r="Y590" s="1491" t="n"/>
      <c r="Z590" s="1491" t="n"/>
      <c r="AA590" s="1491" t="n"/>
      <c r="AB590" s="1491" t="n"/>
      <c r="AC590" s="1491" t="n"/>
      <c r="AD590" s="1491" t="n"/>
      <c r="AE590" s="1491" t="n"/>
      <c r="AF590" s="1491" t="n"/>
      <c r="AG590" s="1491" t="n"/>
      <c r="AH590" s="1491" t="n"/>
      <c r="AI590" s="1491" t="n"/>
      <c r="AJ590" s="1491" t="n"/>
      <c r="AK590" s="1491" t="n"/>
      <c r="AL590" s="1491" t="n"/>
      <c r="AM590" s="1491" t="n"/>
      <c r="AN590" s="1491" t="n"/>
      <c r="AO590" s="1491" t="n"/>
      <c r="AP590" s="1491" t="n"/>
      <c r="AQ590" s="1491" t="n"/>
      <c r="AR590" s="1491" t="n"/>
      <c r="AS590" s="1491" t="n"/>
      <c r="AT590" s="1491" t="n"/>
      <c r="AU590" s="1491" t="n"/>
      <c r="AV590" s="1491" t="n"/>
      <c r="AW590" s="1491" t="n"/>
      <c r="AX590" s="1491" t="n"/>
      <c r="AY590" s="1491" t="n"/>
      <c r="AZ590" s="1491" t="n"/>
      <c r="BA590" s="1491" t="n"/>
      <c r="BB590" s="1491" t="n"/>
      <c r="BC590" s="1491" t="n"/>
      <c r="BD590" s="1491" t="n"/>
      <c r="BE590" s="1491" t="n"/>
      <c r="BF590" s="1491" t="n"/>
      <c r="BG590" s="1491" t="n"/>
      <c r="BH590" s="1491" t="n"/>
      <c r="BI590" s="1491" t="n"/>
      <c r="BJ590" s="1491" t="n"/>
      <c r="BK590" s="1491" t="n"/>
      <c r="BL590" s="1491" t="n"/>
      <c r="BM590" s="1491" t="n"/>
      <c r="BN590" s="1491" t="n"/>
      <c r="BO590" s="1467" t="n"/>
      <c r="BP590" s="1514" t="n">
        <v>586</v>
      </c>
      <c r="BQ590" s="1513">
        <f>[1]Sheet1!C591</f>
        <v/>
      </c>
      <c r="BR590" s="1515">
        <f>[1]Sheet1!D591</f>
        <v/>
      </c>
      <c r="BS590" s="1513">
        <f>[1]Sheet1!E591</f>
        <v/>
      </c>
      <c r="BT590" s="1515">
        <f>[1]Sheet1!F591</f>
        <v/>
      </c>
      <c r="BU590" s="1516">
        <f>[1]Sheet1!G591</f>
        <v/>
      </c>
      <c r="BV590" s="1513">
        <f>[1]Sheet1!H591</f>
        <v/>
      </c>
      <c r="BW590" s="1467" t="n"/>
      <c r="BX590" s="1491" t="n"/>
      <c r="BY590" s="1491" t="n"/>
      <c r="BZ590" s="1491" t="n"/>
      <c r="CA590" s="1491" t="n"/>
      <c r="CB590" s="1467" t="n"/>
      <c r="CC590" s="1467" t="n"/>
      <c r="CD590" s="1491" t="n"/>
      <c r="CE590" s="1491" t="n"/>
      <c r="CF590" s="1491" t="n"/>
      <c r="CG590" s="1491" t="n"/>
      <c r="CH590" s="1491" t="n"/>
      <c r="CI590" s="1491" t="n"/>
      <c r="CJ590" s="1491" t="n"/>
      <c r="CK590" s="1491" t="n"/>
      <c r="CL590" s="1491" t="n"/>
      <c r="CM590" s="1491" t="n"/>
      <c r="CN590" s="1491" t="n"/>
      <c r="CO590" s="1491" t="n"/>
      <c r="CP590" s="1491" t="n"/>
      <c r="CQ590" s="1491" t="n"/>
      <c r="CR590" s="1491" t="n"/>
      <c r="CS590" s="1491" t="n"/>
      <c r="CT590" s="1491" t="n"/>
      <c r="CU590" s="1491" t="n"/>
      <c r="CV590" s="1491" t="n"/>
      <c r="CW590" s="1491" t="n"/>
      <c r="CX590" s="1491" t="n"/>
    </row>
    <row r="591">
      <c r="A591" s="1491" t="n"/>
      <c r="B591" s="1491" t="n"/>
      <c r="C591" s="1491" t="n"/>
      <c r="D591" s="1497">
        <f>IF(E591&lt;&gt;"",D590+1,D590)</f>
        <v/>
      </c>
      <c r="E591" s="1497" t="n"/>
      <c r="F591" s="1535" t="inlineStr">
        <is>
          <t>.</t>
        </is>
      </c>
      <c r="G591" s="1498">
        <f>IF(H591="AIR",0,IF(H590="AIR",G589+1,IF(H591&lt;&gt;"",G590+1,G590)))</f>
        <v/>
      </c>
      <c r="H591" s="1498" t="n"/>
      <c r="I591" s="1427" t="inlineStr">
        <is>
          <t>.</t>
        </is>
      </c>
      <c r="J591" s="1500" t="n"/>
      <c r="K591" s="1500" t="n"/>
      <c r="L591" s="1500">
        <f>_xlfn.XLOOKUP(cities[[#This Row],[city]],ccc[city],ccc[ctry],"-")</f>
        <v/>
      </c>
      <c r="M591" s="1500">
        <f>SUMIFS(stayCity[stay],stayCity[city],cities[[#This Row],[city]])</f>
        <v/>
      </c>
      <c r="N591" s="1427">
        <f>N590+1</f>
        <v/>
      </c>
      <c r="O591" s="1500" t="n"/>
      <c r="P591" s="1500" t="n"/>
      <c r="Q591" s="1427" t="inlineStr">
        <is>
          <t>.</t>
        </is>
      </c>
      <c r="R591" s="1491" t="n"/>
      <c r="S591" s="1491" t="n"/>
      <c r="T591" s="1491" t="n"/>
      <c r="U591" s="1491" t="n"/>
      <c r="V591" s="1491" t="n"/>
      <c r="W591" s="1491" t="n"/>
      <c r="X591" s="1491" t="n"/>
      <c r="Y591" s="1491" t="n"/>
      <c r="Z591" s="1491" t="n"/>
      <c r="AA591" s="1491" t="n"/>
      <c r="AB591" s="1491" t="n"/>
      <c r="AC591" s="1491" t="n"/>
      <c r="AD591" s="1491" t="n"/>
      <c r="AE591" s="1491" t="n"/>
      <c r="AF591" s="1491" t="n"/>
      <c r="AG591" s="1491" t="n"/>
      <c r="AH591" s="1491" t="n"/>
      <c r="AI591" s="1491" t="n"/>
      <c r="AJ591" s="1491" t="n"/>
      <c r="AK591" s="1491" t="n"/>
      <c r="AL591" s="1491" t="n"/>
      <c r="AM591" s="1491" t="n"/>
      <c r="AN591" s="1491" t="n"/>
      <c r="AO591" s="1491" t="n"/>
      <c r="AP591" s="1491" t="n"/>
      <c r="AQ591" s="1491" t="n"/>
      <c r="AR591" s="1491" t="n"/>
      <c r="AS591" s="1491" t="n"/>
      <c r="AT591" s="1491" t="n"/>
      <c r="AU591" s="1491" t="n"/>
      <c r="AV591" s="1491" t="n"/>
      <c r="AW591" s="1491" t="n"/>
      <c r="AX591" s="1491" t="n"/>
      <c r="AY591" s="1491" t="n"/>
      <c r="AZ591" s="1491" t="n"/>
      <c r="BA591" s="1491" t="n"/>
      <c r="BB591" s="1491" t="n"/>
      <c r="BC591" s="1491" t="n"/>
      <c r="BD591" s="1491" t="n"/>
      <c r="BE591" s="1491" t="n"/>
      <c r="BF591" s="1491" t="n"/>
      <c r="BG591" s="1491" t="n"/>
      <c r="BH591" s="1491" t="n"/>
      <c r="BI591" s="1491" t="n"/>
      <c r="BJ591" s="1491" t="n"/>
      <c r="BK591" s="1491" t="n"/>
      <c r="BL591" s="1491" t="n"/>
      <c r="BM591" s="1491" t="n"/>
      <c r="BN591" s="1491" t="n"/>
      <c r="BO591" s="1467" t="n"/>
      <c r="BP591" s="1514" t="n">
        <v>587</v>
      </c>
      <c r="BQ591" s="1513" t="n"/>
      <c r="BR591" s="1513" t="n"/>
      <c r="BS591" s="1513" t="n"/>
      <c r="BT591" s="1513" t="n"/>
      <c r="BU591" s="1516" t="n"/>
      <c r="BV591" s="1513" t="n"/>
      <c r="BW591" s="1467" t="n"/>
      <c r="BX591" s="1491" t="n"/>
      <c r="BY591" s="1491" t="n"/>
      <c r="BZ591" s="1491" t="n"/>
      <c r="CA591" s="1491" t="n"/>
      <c r="CB591" s="1467" t="n"/>
      <c r="CC591" s="1467" t="n"/>
      <c r="CD591" s="1491" t="n"/>
      <c r="CE591" s="1491" t="n"/>
      <c r="CF591" s="1491" t="n"/>
      <c r="CG591" s="1491" t="n"/>
      <c r="CH591" s="1491" t="n"/>
      <c r="CI591" s="1491" t="n"/>
      <c r="CJ591" s="1491" t="n"/>
      <c r="CK591" s="1491" t="n"/>
      <c r="CL591" s="1491" t="n"/>
      <c r="CM591" s="1491" t="n"/>
      <c r="CN591" s="1491" t="n"/>
      <c r="CO591" s="1491" t="n"/>
      <c r="CP591" s="1491" t="n"/>
      <c r="CQ591" s="1491" t="n"/>
      <c r="CR591" s="1491" t="n"/>
      <c r="CS591" s="1491" t="n"/>
      <c r="CT591" s="1491" t="n"/>
      <c r="CU591" s="1491" t="n"/>
      <c r="CV591" s="1491" t="n"/>
      <c r="CW591" s="1491" t="n"/>
      <c r="CX591" s="1491" t="n"/>
    </row>
    <row r="592">
      <c r="A592" s="1491" t="n"/>
      <c r="B592" s="1491" t="n"/>
      <c r="C592" s="1491" t="n"/>
      <c r="D592" s="1497">
        <f>IF(E592&lt;&gt;"",D591+1,D591)</f>
        <v/>
      </c>
      <c r="E592" s="1497" t="n"/>
      <c r="F592" s="1535" t="inlineStr">
        <is>
          <t>.</t>
        </is>
      </c>
      <c r="G592" s="1498">
        <f>IF(H592="AIR",0,IF(H591="AIR",G590+1,IF(H592&lt;&gt;"",G591+1,G591)))</f>
        <v/>
      </c>
      <c r="H592" s="1498" t="n"/>
      <c r="I592" s="1427" t="inlineStr">
        <is>
          <t>.</t>
        </is>
      </c>
      <c r="J592" s="1500" t="n"/>
      <c r="K592" s="1500" t="n"/>
      <c r="L592" s="1500">
        <f>_xlfn.XLOOKUP(cities[[#This Row],[city]],ccc[city],ccc[ctry],"-")</f>
        <v/>
      </c>
      <c r="M592" s="1500">
        <f>SUMIFS(stayCity[stay],stayCity[city],cities[[#This Row],[city]])</f>
        <v/>
      </c>
      <c r="N592" s="1427">
        <f>N591+1</f>
        <v/>
      </c>
      <c r="O592" s="1500" t="n"/>
      <c r="P592" s="1500" t="n"/>
      <c r="Q592" s="1427" t="inlineStr">
        <is>
          <t>.</t>
        </is>
      </c>
      <c r="R592" s="1491" t="n"/>
      <c r="S592" s="1491" t="n"/>
      <c r="T592" s="1491" t="n"/>
      <c r="U592" s="1491" t="n"/>
      <c r="V592" s="1491" t="n"/>
      <c r="W592" s="1491" t="n"/>
      <c r="X592" s="1491" t="n"/>
      <c r="Y592" s="1491" t="n"/>
      <c r="Z592" s="1491" t="n"/>
      <c r="AA592" s="1491" t="n"/>
      <c r="AB592" s="1491" t="n"/>
      <c r="AC592" s="1491" t="n"/>
      <c r="AD592" s="1491" t="n"/>
      <c r="AE592" s="1491" t="n"/>
      <c r="AF592" s="1491" t="n"/>
      <c r="AG592" s="1491" t="n"/>
      <c r="AH592" s="1491" t="n"/>
      <c r="AI592" s="1491" t="n"/>
      <c r="AJ592" s="1491" t="n"/>
      <c r="AK592" s="1491" t="n"/>
      <c r="AL592" s="1491" t="n"/>
      <c r="AM592" s="1491" t="n"/>
      <c r="AN592" s="1491" t="n"/>
      <c r="AO592" s="1491" t="n"/>
      <c r="AP592" s="1491" t="n"/>
      <c r="AQ592" s="1491" t="n"/>
      <c r="AR592" s="1491" t="n"/>
      <c r="AS592" s="1491" t="n"/>
      <c r="AT592" s="1491" t="n"/>
      <c r="AU592" s="1491" t="n"/>
      <c r="AV592" s="1491" t="n"/>
      <c r="AW592" s="1491" t="n"/>
      <c r="AX592" s="1491" t="n"/>
      <c r="AY592" s="1491" t="n"/>
      <c r="AZ592" s="1491" t="n"/>
      <c r="BA592" s="1491" t="n"/>
      <c r="BB592" s="1491" t="n"/>
      <c r="BC592" s="1491" t="n"/>
      <c r="BD592" s="1491" t="n"/>
      <c r="BE592" s="1491" t="n"/>
      <c r="BF592" s="1491" t="n"/>
      <c r="BG592" s="1491" t="n"/>
      <c r="BH592" s="1491" t="n"/>
      <c r="BI592" s="1491" t="n"/>
      <c r="BJ592" s="1491" t="n"/>
      <c r="BK592" s="1491" t="n"/>
      <c r="BL592" s="1491" t="n"/>
      <c r="BM592" s="1491" t="n"/>
      <c r="BN592" s="1491" t="n"/>
      <c r="BO592" s="1467" t="n"/>
      <c r="BP592" s="1514" t="n">
        <v>588</v>
      </c>
      <c r="BQ592" s="1513" t="n"/>
      <c r="BR592" s="1513" t="n"/>
      <c r="BS592" s="1513" t="n"/>
      <c r="BT592" s="1513" t="n"/>
      <c r="BU592" s="1516" t="n"/>
      <c r="BV592" s="1513" t="n"/>
      <c r="BW592" s="1467" t="n"/>
      <c r="BX592" s="1491" t="n"/>
      <c r="BY592" s="1491" t="n"/>
      <c r="BZ592" s="1491" t="n"/>
      <c r="CA592" s="1491" t="n"/>
      <c r="CB592" s="1467" t="n"/>
      <c r="CC592" s="1467" t="n"/>
      <c r="CD592" s="1491" t="n"/>
      <c r="CE592" s="1491" t="n"/>
      <c r="CF592" s="1491" t="n"/>
      <c r="CG592" s="1491" t="n"/>
      <c r="CH592" s="1491" t="n"/>
      <c r="CI592" s="1491" t="n"/>
      <c r="CJ592" s="1491" t="n"/>
      <c r="CK592" s="1491" t="n"/>
      <c r="CL592" s="1491" t="n"/>
      <c r="CM592" s="1491" t="n"/>
      <c r="CN592" s="1491" t="n"/>
      <c r="CO592" s="1491" t="n"/>
      <c r="CP592" s="1491" t="n"/>
      <c r="CQ592" s="1491" t="n"/>
      <c r="CR592" s="1491" t="n"/>
      <c r="CS592" s="1491" t="n"/>
      <c r="CT592" s="1491" t="n"/>
      <c r="CU592" s="1491" t="n"/>
      <c r="CV592" s="1491" t="n"/>
      <c r="CW592" s="1491" t="n"/>
      <c r="CX592" s="1491" t="n"/>
    </row>
    <row r="593">
      <c r="A593" s="1491" t="n"/>
      <c r="B593" s="1491" t="n"/>
      <c r="C593" s="1491" t="n"/>
      <c r="D593" s="1497">
        <f>IF(E593&lt;&gt;"",D592+1,D592)</f>
        <v/>
      </c>
      <c r="E593" s="1497" t="n"/>
      <c r="F593" s="1535" t="inlineStr">
        <is>
          <t>.</t>
        </is>
      </c>
      <c r="G593" s="1498">
        <f>IF(H593="AIR",0,IF(H592="AIR",G591+1,IF(H593&lt;&gt;"",G592+1,G592)))</f>
        <v/>
      </c>
      <c r="H593" s="1498" t="n"/>
      <c r="I593" s="1427" t="inlineStr">
        <is>
          <t>.</t>
        </is>
      </c>
      <c r="J593" s="1500" t="n"/>
      <c r="K593" s="1500" t="n"/>
      <c r="L593" s="1500">
        <f>_xlfn.XLOOKUP(cities[[#This Row],[city]],ccc[city],ccc[ctry],"-")</f>
        <v/>
      </c>
      <c r="M593" s="1500">
        <f>SUMIFS(stayCity[stay],stayCity[city],cities[[#This Row],[city]])</f>
        <v/>
      </c>
      <c r="N593" s="1427">
        <f>N592+1</f>
        <v/>
      </c>
      <c r="O593" s="1500" t="n"/>
      <c r="P593" s="1500" t="n"/>
      <c r="Q593" s="1427" t="inlineStr">
        <is>
          <t>.</t>
        </is>
      </c>
      <c r="R593" s="1491" t="n"/>
      <c r="S593" s="1491" t="n"/>
      <c r="T593" s="1491" t="n"/>
      <c r="U593" s="1491" t="n"/>
      <c r="V593" s="1491" t="n"/>
      <c r="W593" s="1491" t="n"/>
      <c r="X593" s="1491" t="n"/>
      <c r="Y593" s="1491" t="n"/>
      <c r="Z593" s="1491" t="n"/>
      <c r="AA593" s="1491" t="n"/>
      <c r="AB593" s="1491" t="n"/>
      <c r="AC593" s="1491" t="n"/>
      <c r="AD593" s="1491" t="n"/>
      <c r="AE593" s="1491" t="n"/>
      <c r="AF593" s="1491" t="n"/>
      <c r="AG593" s="1491" t="n"/>
      <c r="AH593" s="1491" t="n"/>
      <c r="AI593" s="1491" t="n"/>
      <c r="AJ593" s="1491" t="n"/>
      <c r="AK593" s="1491" t="n"/>
      <c r="AL593" s="1491" t="n"/>
      <c r="AM593" s="1491" t="n"/>
      <c r="AN593" s="1491" t="n"/>
      <c r="AO593" s="1491" t="n"/>
      <c r="AP593" s="1491" t="n"/>
      <c r="AQ593" s="1491" t="n"/>
      <c r="AR593" s="1491" t="n"/>
      <c r="AS593" s="1491" t="n"/>
      <c r="AT593" s="1491" t="n"/>
      <c r="AU593" s="1491" t="n"/>
      <c r="AV593" s="1491" t="n"/>
      <c r="AW593" s="1491" t="n"/>
      <c r="AX593" s="1491" t="n"/>
      <c r="AY593" s="1491" t="n"/>
      <c r="AZ593" s="1491" t="n"/>
      <c r="BA593" s="1491" t="n"/>
      <c r="BB593" s="1491" t="n"/>
      <c r="BC593" s="1491" t="n"/>
      <c r="BD593" s="1491" t="n"/>
      <c r="BE593" s="1491" t="n"/>
      <c r="BF593" s="1491" t="n"/>
      <c r="BG593" s="1491" t="n"/>
      <c r="BH593" s="1491" t="n"/>
      <c r="BI593" s="1491" t="n"/>
      <c r="BJ593" s="1491" t="n"/>
      <c r="BK593" s="1491" t="n"/>
      <c r="BL593" s="1491" t="n"/>
      <c r="BM593" s="1491" t="n"/>
      <c r="BN593" s="1491" t="n"/>
      <c r="BO593" s="1467" t="n"/>
      <c r="BP593" s="1514" t="n">
        <v>589</v>
      </c>
      <c r="BQ593" s="1513" t="n"/>
      <c r="BR593" s="1513" t="n"/>
      <c r="BS593" s="1513" t="n"/>
      <c r="BT593" s="1513" t="n"/>
      <c r="BU593" s="1516" t="n"/>
      <c r="BV593" s="1513" t="n"/>
      <c r="BW593" s="1467" t="n"/>
      <c r="BX593" s="1491" t="n"/>
      <c r="BY593" s="1491" t="n"/>
      <c r="BZ593" s="1491" t="n"/>
      <c r="CA593" s="1491" t="n"/>
      <c r="CB593" s="1467" t="n"/>
      <c r="CC593" s="1467" t="n"/>
      <c r="CD593" s="1491" t="n"/>
      <c r="CE593" s="1491" t="n"/>
      <c r="CF593" s="1491" t="n"/>
      <c r="CG593" s="1491" t="n"/>
      <c r="CH593" s="1491" t="n"/>
      <c r="CI593" s="1491" t="n"/>
      <c r="CJ593" s="1491" t="n"/>
      <c r="CK593" s="1491" t="n"/>
      <c r="CL593" s="1491" t="n"/>
      <c r="CM593" s="1491" t="n"/>
      <c r="CN593" s="1491" t="n"/>
      <c r="CO593" s="1491" t="n"/>
      <c r="CP593" s="1491" t="n"/>
      <c r="CQ593" s="1491" t="n"/>
      <c r="CR593" s="1491" t="n"/>
      <c r="CS593" s="1491" t="n"/>
      <c r="CT593" s="1491" t="n"/>
      <c r="CU593" s="1491" t="n"/>
      <c r="CV593" s="1491" t="n"/>
      <c r="CW593" s="1491" t="n"/>
      <c r="CX593" s="1491" t="n"/>
    </row>
    <row r="594">
      <c r="A594" s="1491" t="n"/>
      <c r="B594" s="1491" t="n"/>
      <c r="C594" s="1491" t="n"/>
      <c r="D594" s="1497">
        <f>IF(E594&lt;&gt;"",D593+1,D593)</f>
        <v/>
      </c>
      <c r="E594" s="1497" t="n"/>
      <c r="F594" s="1535" t="inlineStr">
        <is>
          <t>.</t>
        </is>
      </c>
      <c r="G594" s="1498">
        <f>IF(H594="AIR",0,IF(H593="AIR",G592+1,IF(H594&lt;&gt;"",G593+1,G593)))</f>
        <v/>
      </c>
      <c r="H594" s="1498" t="n"/>
      <c r="I594" s="1427" t="inlineStr">
        <is>
          <t>.</t>
        </is>
      </c>
      <c r="J594" s="1500" t="n"/>
      <c r="K594" s="1500" t="n"/>
      <c r="L594" s="1500">
        <f>_xlfn.XLOOKUP(cities[[#This Row],[city]],ccc[city],ccc[ctry],"-")</f>
        <v/>
      </c>
      <c r="M594" s="1500">
        <f>SUMIFS(stayCity[stay],stayCity[city],cities[[#This Row],[city]])</f>
        <v/>
      </c>
      <c r="N594" s="1427">
        <f>N593+1</f>
        <v/>
      </c>
      <c r="O594" s="1500" t="n"/>
      <c r="P594" s="1500" t="n"/>
      <c r="Q594" s="1427" t="inlineStr">
        <is>
          <t>.</t>
        </is>
      </c>
      <c r="R594" s="1491" t="n"/>
      <c r="S594" s="1491" t="n"/>
      <c r="T594" s="1491" t="n"/>
      <c r="U594" s="1491" t="n"/>
      <c r="V594" s="1491" t="n"/>
      <c r="W594" s="1491" t="n"/>
      <c r="X594" s="1491" t="n"/>
      <c r="Y594" s="1491" t="n"/>
      <c r="Z594" s="1491" t="n"/>
      <c r="AA594" s="1491" t="n"/>
      <c r="AB594" s="1491" t="n"/>
      <c r="AC594" s="1491" t="n"/>
      <c r="AD594" s="1491" t="n"/>
      <c r="AE594" s="1491" t="n"/>
      <c r="AF594" s="1491" t="n"/>
      <c r="AG594" s="1491" t="n"/>
      <c r="AH594" s="1491" t="n"/>
      <c r="AI594" s="1491" t="n"/>
      <c r="AJ594" s="1491" t="n"/>
      <c r="AK594" s="1491" t="n"/>
      <c r="AL594" s="1491" t="n"/>
      <c r="AM594" s="1491" t="n"/>
      <c r="AN594" s="1491" t="n"/>
      <c r="AO594" s="1491" t="n"/>
      <c r="AP594" s="1491" t="n"/>
      <c r="AQ594" s="1491" t="n"/>
      <c r="AR594" s="1491" t="n"/>
      <c r="AS594" s="1491" t="n"/>
      <c r="AT594" s="1491" t="n"/>
      <c r="AU594" s="1491" t="n"/>
      <c r="AV594" s="1491" t="n"/>
      <c r="AW594" s="1491" t="n"/>
      <c r="AX594" s="1491" t="n"/>
      <c r="AY594" s="1491" t="n"/>
      <c r="AZ594" s="1491" t="n"/>
      <c r="BA594" s="1491" t="n"/>
      <c r="BB594" s="1491" t="n"/>
      <c r="BC594" s="1491" t="n"/>
      <c r="BD594" s="1491" t="n"/>
      <c r="BE594" s="1491" t="n"/>
      <c r="BF594" s="1491" t="n"/>
      <c r="BG594" s="1491" t="n"/>
      <c r="BH594" s="1491" t="n"/>
      <c r="BI594" s="1491" t="n"/>
      <c r="BJ594" s="1491" t="n"/>
      <c r="BK594" s="1491" t="n"/>
      <c r="BL594" s="1491" t="n"/>
      <c r="BM594" s="1491" t="n"/>
      <c r="BN594" s="1491" t="n"/>
      <c r="BO594" s="1467" t="n"/>
      <c r="BP594" s="1514" t="n">
        <v>590</v>
      </c>
      <c r="BQ594" s="1513" t="n"/>
      <c r="BR594" s="1513" t="n"/>
      <c r="BS594" s="1513" t="n"/>
      <c r="BT594" s="1513" t="n"/>
      <c r="BU594" s="1516" t="n"/>
      <c r="BV594" s="1513" t="n"/>
      <c r="BW594" s="1467" t="n"/>
      <c r="BX594" s="1491" t="n"/>
      <c r="BY594" s="1491" t="n"/>
      <c r="BZ594" s="1491" t="n"/>
      <c r="CA594" s="1491" t="n"/>
      <c r="CB594" s="1467" t="n"/>
      <c r="CC594" s="1467" t="n"/>
      <c r="CD594" s="1491" t="n"/>
      <c r="CE594" s="1491" t="n"/>
      <c r="CF594" s="1491" t="n"/>
      <c r="CG594" s="1491" t="n"/>
      <c r="CH594" s="1491" t="n"/>
      <c r="CI594" s="1491" t="n"/>
      <c r="CJ594" s="1491" t="n"/>
      <c r="CK594" s="1491" t="n"/>
      <c r="CL594" s="1491" t="n"/>
      <c r="CM594" s="1491" t="n"/>
      <c r="CN594" s="1491" t="n"/>
      <c r="CO594" s="1491" t="n"/>
      <c r="CP594" s="1491" t="n"/>
      <c r="CQ594" s="1491" t="n"/>
      <c r="CR594" s="1491" t="n"/>
      <c r="CS594" s="1491" t="n"/>
      <c r="CT594" s="1491" t="n"/>
      <c r="CU594" s="1491" t="n"/>
      <c r="CV594" s="1491" t="n"/>
      <c r="CW594" s="1491" t="n"/>
      <c r="CX594" s="1491" t="n"/>
    </row>
    <row r="595">
      <c r="A595" s="1491" t="n"/>
      <c r="B595" s="1491" t="n"/>
      <c r="C595" s="1491" t="n"/>
      <c r="D595" s="1497">
        <f>IF(E595&lt;&gt;"",D594+1,D594)</f>
        <v/>
      </c>
      <c r="E595" s="1497" t="n"/>
      <c r="F595" s="1535" t="inlineStr">
        <is>
          <t>.</t>
        </is>
      </c>
      <c r="G595" s="1498">
        <f>IF(H595="AIR",0,IF(H594="AIR",G593+1,IF(H595&lt;&gt;"",G594+1,G594)))</f>
        <v/>
      </c>
      <c r="H595" s="1498" t="n"/>
      <c r="I595" s="1427" t="inlineStr">
        <is>
          <t>.</t>
        </is>
      </c>
      <c r="J595" s="1500" t="n"/>
      <c r="K595" s="1500" t="n"/>
      <c r="L595" s="1500">
        <f>_xlfn.XLOOKUP(cities[[#This Row],[city]],ccc[city],ccc[ctry],"-")</f>
        <v/>
      </c>
      <c r="M595" s="1500">
        <f>SUMIFS(stayCity[stay],stayCity[city],cities[[#This Row],[city]])</f>
        <v/>
      </c>
      <c r="N595" s="1427">
        <f>N594+1</f>
        <v/>
      </c>
      <c r="O595" s="1500" t="n"/>
      <c r="P595" s="1500" t="n"/>
      <c r="Q595" s="1427" t="inlineStr">
        <is>
          <t>.</t>
        </is>
      </c>
      <c r="R595" s="1491" t="n"/>
      <c r="S595" s="1491" t="n"/>
      <c r="T595" s="1491" t="n"/>
      <c r="U595" s="1491" t="n"/>
      <c r="V595" s="1491" t="n"/>
      <c r="W595" s="1491" t="n"/>
      <c r="X595" s="1491" t="n"/>
      <c r="Y595" s="1491" t="n"/>
      <c r="Z595" s="1491" t="n"/>
      <c r="AA595" s="1491" t="n"/>
      <c r="AB595" s="1491" t="n"/>
      <c r="AC595" s="1491" t="n"/>
      <c r="AD595" s="1491" t="n"/>
      <c r="AE595" s="1491" t="n"/>
      <c r="AF595" s="1491" t="n"/>
      <c r="AG595" s="1491" t="n"/>
      <c r="AH595" s="1491" t="n"/>
      <c r="AI595" s="1491" t="n"/>
      <c r="AJ595" s="1491" t="n"/>
      <c r="AK595" s="1491" t="n"/>
      <c r="AL595" s="1491" t="n"/>
      <c r="AM595" s="1491" t="n"/>
      <c r="AN595" s="1491" t="n"/>
      <c r="AO595" s="1491" t="n"/>
      <c r="AP595" s="1491" t="n"/>
      <c r="AQ595" s="1491" t="n"/>
      <c r="AR595" s="1491" t="n"/>
      <c r="AS595" s="1491" t="n"/>
      <c r="AT595" s="1491" t="n"/>
      <c r="AU595" s="1491" t="n"/>
      <c r="AV595" s="1491" t="n"/>
      <c r="AW595" s="1491" t="n"/>
      <c r="AX595" s="1491" t="n"/>
      <c r="AY595" s="1491" t="n"/>
      <c r="AZ595" s="1491" t="n"/>
      <c r="BA595" s="1491" t="n"/>
      <c r="BB595" s="1491" t="n"/>
      <c r="BC595" s="1491" t="n"/>
      <c r="BD595" s="1491" t="n"/>
      <c r="BE595" s="1491" t="n"/>
      <c r="BF595" s="1491" t="n"/>
      <c r="BG595" s="1491" t="n"/>
      <c r="BH595" s="1491" t="n"/>
      <c r="BI595" s="1491" t="n"/>
      <c r="BJ595" s="1491" t="n"/>
      <c r="BK595" s="1491" t="n"/>
      <c r="BL595" s="1491" t="n"/>
      <c r="BM595" s="1491" t="n"/>
      <c r="BN595" s="1491" t="n"/>
      <c r="BO595" s="1467" t="n"/>
      <c r="BP595" s="1514" t="n">
        <v>591</v>
      </c>
      <c r="BQ595" s="1513" t="n"/>
      <c r="BR595" s="1513" t="n"/>
      <c r="BS595" s="1513" t="n"/>
      <c r="BT595" s="1513" t="n"/>
      <c r="BU595" s="1516" t="n"/>
      <c r="BV595" s="1513" t="n"/>
      <c r="BW595" s="1467" t="n"/>
      <c r="BX595" s="1491" t="n"/>
      <c r="BY595" s="1491" t="n"/>
      <c r="BZ595" s="1491" t="n"/>
      <c r="CA595" s="1491" t="n"/>
      <c r="CB595" s="1467" t="n"/>
      <c r="CC595" s="1467" t="n"/>
      <c r="CD595" s="1491" t="n"/>
      <c r="CE595" s="1491" t="n"/>
      <c r="CF595" s="1491" t="n"/>
      <c r="CG595" s="1491" t="n"/>
      <c r="CH595" s="1491" t="n"/>
      <c r="CI595" s="1491" t="n"/>
      <c r="CJ595" s="1491" t="n"/>
      <c r="CK595" s="1491" t="n"/>
      <c r="CL595" s="1491" t="n"/>
      <c r="CM595" s="1491" t="n"/>
      <c r="CN595" s="1491" t="n"/>
      <c r="CO595" s="1491" t="n"/>
      <c r="CP595" s="1491" t="n"/>
      <c r="CQ595" s="1491" t="n"/>
      <c r="CR595" s="1491" t="n"/>
      <c r="CS595" s="1491" t="n"/>
      <c r="CT595" s="1491" t="n"/>
      <c r="CU595" s="1491" t="n"/>
      <c r="CV595" s="1491" t="n"/>
      <c r="CW595" s="1491" t="n"/>
      <c r="CX595" s="1491" t="n"/>
    </row>
    <row r="596">
      <c r="A596" s="1491" t="n"/>
      <c r="B596" s="1491" t="n"/>
      <c r="C596" s="1491" t="n"/>
      <c r="D596" s="1497">
        <f>IF(E596&lt;&gt;"",D595+1,D595)</f>
        <v/>
      </c>
      <c r="E596" s="1497" t="n"/>
      <c r="F596" s="1535" t="inlineStr">
        <is>
          <t>.</t>
        </is>
      </c>
      <c r="G596" s="1498">
        <f>IF(H596="AIR",0,IF(H595="AIR",G594+1,IF(H596&lt;&gt;"",G595+1,G595)))</f>
        <v/>
      </c>
      <c r="H596" s="1498" t="n"/>
      <c r="I596" s="1427" t="inlineStr">
        <is>
          <t>.</t>
        </is>
      </c>
      <c r="J596" s="1500" t="n"/>
      <c r="K596" s="1500" t="n"/>
      <c r="L596" s="1500">
        <f>_xlfn.XLOOKUP(cities[[#This Row],[city]],ccc[city],ccc[ctry],"-")</f>
        <v/>
      </c>
      <c r="M596" s="1500">
        <f>SUMIFS(stayCity[stay],stayCity[city],cities[[#This Row],[city]])</f>
        <v/>
      </c>
      <c r="N596" s="1427">
        <f>N595+1</f>
        <v/>
      </c>
      <c r="O596" s="1500" t="n"/>
      <c r="P596" s="1500" t="n"/>
      <c r="Q596" s="1427" t="inlineStr">
        <is>
          <t>.</t>
        </is>
      </c>
      <c r="R596" s="1491" t="n"/>
      <c r="S596" s="1491" t="n"/>
      <c r="T596" s="1491" t="n"/>
      <c r="U596" s="1491" t="n"/>
      <c r="V596" s="1491" t="n"/>
      <c r="W596" s="1491" t="n"/>
      <c r="X596" s="1491" t="n"/>
      <c r="Y596" s="1491" t="n"/>
      <c r="Z596" s="1491" t="n"/>
      <c r="AA596" s="1491" t="n"/>
      <c r="AB596" s="1491" t="n"/>
      <c r="AC596" s="1491" t="n"/>
      <c r="AD596" s="1491" t="n"/>
      <c r="AE596" s="1491" t="n"/>
      <c r="AF596" s="1491" t="n"/>
      <c r="AG596" s="1491" t="n"/>
      <c r="AH596" s="1491" t="n"/>
      <c r="AI596" s="1491" t="n"/>
      <c r="AJ596" s="1491" t="n"/>
      <c r="AK596" s="1491" t="n"/>
      <c r="AL596" s="1491" t="n"/>
      <c r="AM596" s="1491" t="n"/>
      <c r="AN596" s="1491" t="n"/>
      <c r="AO596" s="1491" t="n"/>
      <c r="AP596" s="1491" t="n"/>
      <c r="AQ596" s="1491" t="n"/>
      <c r="AR596" s="1491" t="n"/>
      <c r="AS596" s="1491" t="n"/>
      <c r="AT596" s="1491" t="n"/>
      <c r="AU596" s="1491" t="n"/>
      <c r="AV596" s="1491" t="n"/>
      <c r="AW596" s="1491" t="n"/>
      <c r="AX596" s="1491" t="n"/>
      <c r="AY596" s="1491" t="n"/>
      <c r="AZ596" s="1491" t="n"/>
      <c r="BA596" s="1491" t="n"/>
      <c r="BB596" s="1491" t="n"/>
      <c r="BC596" s="1491" t="n"/>
      <c r="BD596" s="1491" t="n"/>
      <c r="BE596" s="1491" t="n"/>
      <c r="BF596" s="1491" t="n"/>
      <c r="BG596" s="1491" t="n"/>
      <c r="BH596" s="1491" t="n"/>
      <c r="BI596" s="1491" t="n"/>
      <c r="BJ596" s="1491" t="n"/>
      <c r="BK596" s="1491" t="n"/>
      <c r="BL596" s="1491" t="n"/>
      <c r="BM596" s="1491" t="n"/>
      <c r="BN596" s="1491" t="n"/>
      <c r="BO596" s="1467" t="n"/>
      <c r="BP596" s="1514" t="n">
        <v>592</v>
      </c>
      <c r="BQ596" s="1513" t="n"/>
      <c r="BR596" s="1513" t="n"/>
      <c r="BS596" s="1513" t="n"/>
      <c r="BT596" s="1513" t="n"/>
      <c r="BU596" s="1516" t="n"/>
      <c r="BV596" s="1513" t="n"/>
      <c r="BW596" s="1467" t="n"/>
      <c r="BX596" s="1491" t="n"/>
      <c r="BY596" s="1491" t="n"/>
      <c r="BZ596" s="1491" t="n"/>
      <c r="CA596" s="1491" t="n"/>
      <c r="CB596" s="1467" t="n"/>
      <c r="CC596" s="1467" t="n"/>
      <c r="CD596" s="1491" t="n"/>
      <c r="CE596" s="1491" t="n"/>
      <c r="CF596" s="1491" t="n"/>
      <c r="CG596" s="1491" t="n"/>
      <c r="CH596" s="1491" t="n"/>
      <c r="CI596" s="1491" t="n"/>
      <c r="CJ596" s="1491" t="n"/>
      <c r="CK596" s="1491" t="n"/>
      <c r="CL596" s="1491" t="n"/>
      <c r="CM596" s="1491" t="n"/>
      <c r="CN596" s="1491" t="n"/>
      <c r="CO596" s="1491" t="n"/>
      <c r="CP596" s="1491" t="n"/>
      <c r="CQ596" s="1491" t="n"/>
      <c r="CR596" s="1491" t="n"/>
      <c r="CS596" s="1491" t="n"/>
      <c r="CT596" s="1491" t="n"/>
      <c r="CU596" s="1491" t="n"/>
      <c r="CV596" s="1491" t="n"/>
      <c r="CW596" s="1491" t="n"/>
      <c r="CX596" s="1491" t="n"/>
    </row>
    <row r="597">
      <c r="A597" s="1491" t="n"/>
      <c r="B597" s="1491" t="n"/>
      <c r="C597" s="1491" t="n"/>
      <c r="D597" s="1497">
        <f>IF(E597&lt;&gt;"",D596+1,D596)</f>
        <v/>
      </c>
      <c r="E597" s="1497" t="n"/>
      <c r="F597" s="1535" t="inlineStr">
        <is>
          <t>.</t>
        </is>
      </c>
      <c r="G597" s="1498">
        <f>IF(H597="AIR",0,IF(H596="AIR",G595+1,IF(H597&lt;&gt;"",G596+1,G596)))</f>
        <v/>
      </c>
      <c r="H597" s="1498" t="n"/>
      <c r="I597" s="1427" t="inlineStr">
        <is>
          <t>.</t>
        </is>
      </c>
      <c r="J597" s="1500" t="n"/>
      <c r="K597" s="1500" t="n"/>
      <c r="L597" s="1500">
        <f>_xlfn.XLOOKUP(cities[[#This Row],[city]],ccc[city],ccc[ctry],"-")</f>
        <v/>
      </c>
      <c r="M597" s="1500">
        <f>SUMIFS(stayCity[stay],stayCity[city],cities[[#This Row],[city]])</f>
        <v/>
      </c>
      <c r="N597" s="1427">
        <f>N596+1</f>
        <v/>
      </c>
      <c r="O597" s="1500" t="n"/>
      <c r="P597" s="1500" t="n"/>
      <c r="Q597" s="1427" t="inlineStr">
        <is>
          <t>.</t>
        </is>
      </c>
      <c r="R597" s="1491" t="n"/>
      <c r="S597" s="1491" t="n"/>
      <c r="T597" s="1491" t="n"/>
      <c r="U597" s="1491" t="n"/>
      <c r="V597" s="1491" t="n"/>
      <c r="W597" s="1491" t="n"/>
      <c r="X597" s="1491" t="n"/>
      <c r="Y597" s="1491" t="n"/>
      <c r="Z597" s="1491" t="n"/>
      <c r="AA597" s="1491" t="n"/>
      <c r="AB597" s="1491" t="n"/>
      <c r="AC597" s="1491" t="n"/>
      <c r="AD597" s="1491" t="n"/>
      <c r="AE597" s="1491" t="n"/>
      <c r="AF597" s="1491" t="n"/>
      <c r="AG597" s="1491" t="n"/>
      <c r="AH597" s="1491" t="n"/>
      <c r="AI597" s="1491" t="n"/>
      <c r="AJ597" s="1491" t="n"/>
      <c r="AK597" s="1491" t="n"/>
      <c r="AL597" s="1491" t="n"/>
      <c r="AM597" s="1491" t="n"/>
      <c r="AN597" s="1491" t="n"/>
      <c r="AO597" s="1491" t="n"/>
      <c r="AP597" s="1491" t="n"/>
      <c r="AQ597" s="1491" t="n"/>
      <c r="AR597" s="1491" t="n"/>
      <c r="AS597" s="1491" t="n"/>
      <c r="AT597" s="1491" t="n"/>
      <c r="AU597" s="1491" t="n"/>
      <c r="AV597" s="1491" t="n"/>
      <c r="AW597" s="1491" t="n"/>
      <c r="AX597" s="1491" t="n"/>
      <c r="AY597" s="1491" t="n"/>
      <c r="AZ597" s="1491" t="n"/>
      <c r="BA597" s="1491" t="n"/>
      <c r="BB597" s="1491" t="n"/>
      <c r="BC597" s="1491" t="n"/>
      <c r="BD597" s="1491" t="n"/>
      <c r="BE597" s="1491" t="n"/>
      <c r="BF597" s="1491" t="n"/>
      <c r="BG597" s="1491" t="n"/>
      <c r="BH597" s="1491" t="n"/>
      <c r="BI597" s="1491" t="n"/>
      <c r="BJ597" s="1491" t="n"/>
      <c r="BK597" s="1491" t="n"/>
      <c r="BL597" s="1491" t="n"/>
      <c r="BM597" s="1491" t="n"/>
      <c r="BN597" s="1491" t="n"/>
      <c r="BO597" s="1467" t="n"/>
      <c r="BP597" s="1514" t="n">
        <v>593</v>
      </c>
      <c r="BQ597" s="1513" t="n"/>
      <c r="BR597" s="1513" t="n"/>
      <c r="BS597" s="1513" t="n"/>
      <c r="BT597" s="1513" t="n"/>
      <c r="BU597" s="1516" t="n"/>
      <c r="BV597" s="1513" t="n"/>
      <c r="BW597" s="1467" t="n"/>
      <c r="BX597" s="1491" t="n"/>
      <c r="BY597" s="1491" t="n"/>
      <c r="BZ597" s="1491" t="n"/>
      <c r="CA597" s="1491" t="n"/>
      <c r="CB597" s="1467" t="n"/>
      <c r="CC597" s="1467" t="n"/>
      <c r="CD597" s="1491" t="n"/>
      <c r="CE597" s="1491" t="n"/>
      <c r="CF597" s="1491" t="n"/>
      <c r="CG597" s="1491" t="n"/>
      <c r="CH597" s="1491" t="n"/>
      <c r="CI597" s="1491" t="n"/>
      <c r="CJ597" s="1491" t="n"/>
      <c r="CK597" s="1491" t="n"/>
      <c r="CL597" s="1491" t="n"/>
      <c r="CM597" s="1491" t="n"/>
      <c r="CN597" s="1491" t="n"/>
      <c r="CO597" s="1491" t="n"/>
      <c r="CP597" s="1491" t="n"/>
      <c r="CQ597" s="1491" t="n"/>
      <c r="CR597" s="1491" t="n"/>
      <c r="CS597" s="1491" t="n"/>
      <c r="CT597" s="1491" t="n"/>
      <c r="CU597" s="1491" t="n"/>
      <c r="CV597" s="1491" t="n"/>
      <c r="CW597" s="1491" t="n"/>
      <c r="CX597" s="1491" t="n"/>
    </row>
    <row r="598">
      <c r="A598" s="1491" t="n"/>
      <c r="B598" s="1491" t="n"/>
      <c r="C598" s="1491" t="n"/>
      <c r="D598" s="1497">
        <f>IF(E598&lt;&gt;"",D597+1,D597)</f>
        <v/>
      </c>
      <c r="E598" s="1497" t="n"/>
      <c r="F598" s="1535" t="inlineStr">
        <is>
          <t>.</t>
        </is>
      </c>
      <c r="G598" s="1498">
        <f>IF(H598="AIR",0,IF(H597="AIR",G596+1,IF(H598&lt;&gt;"",G597+1,G597)))</f>
        <v/>
      </c>
      <c r="H598" s="1498" t="n"/>
      <c r="I598" s="1427" t="inlineStr">
        <is>
          <t>.</t>
        </is>
      </c>
      <c r="J598" s="1500" t="n"/>
      <c r="K598" s="1500" t="n"/>
      <c r="L598" s="1500">
        <f>_xlfn.XLOOKUP(cities[[#This Row],[city]],ccc[city],ccc[ctry],"-")</f>
        <v/>
      </c>
      <c r="M598" s="1500">
        <f>SUMIFS(stayCity[stay],stayCity[city],cities[[#This Row],[city]])</f>
        <v/>
      </c>
      <c r="N598" s="1427">
        <f>N597+1</f>
        <v/>
      </c>
      <c r="O598" s="1500" t="n"/>
      <c r="P598" s="1500" t="n"/>
      <c r="Q598" s="1427" t="inlineStr">
        <is>
          <t>.</t>
        </is>
      </c>
      <c r="R598" s="1491" t="n"/>
      <c r="S598" s="1491" t="n"/>
      <c r="T598" s="1491" t="n"/>
      <c r="U598" s="1491" t="n"/>
      <c r="V598" s="1491" t="n"/>
      <c r="W598" s="1491" t="n"/>
      <c r="X598" s="1491" t="n"/>
      <c r="Y598" s="1491" t="n"/>
      <c r="Z598" s="1491" t="n"/>
      <c r="AA598" s="1491" t="n"/>
      <c r="AB598" s="1491" t="n"/>
      <c r="AC598" s="1491" t="n"/>
      <c r="AD598" s="1491" t="n"/>
      <c r="AE598" s="1491" t="n"/>
      <c r="AF598" s="1491" t="n"/>
      <c r="AG598" s="1491" t="n"/>
      <c r="AH598" s="1491" t="n"/>
      <c r="AI598" s="1491" t="n"/>
      <c r="AJ598" s="1491" t="n"/>
      <c r="AK598" s="1491" t="n"/>
      <c r="AL598" s="1491" t="n"/>
      <c r="AM598" s="1491" t="n"/>
      <c r="AN598" s="1491" t="n"/>
      <c r="AO598" s="1491" t="n"/>
      <c r="AP598" s="1491" t="n"/>
      <c r="AQ598" s="1491" t="n"/>
      <c r="AR598" s="1491" t="n"/>
      <c r="AS598" s="1491" t="n"/>
      <c r="AT598" s="1491" t="n"/>
      <c r="AU598" s="1491" t="n"/>
      <c r="AV598" s="1491" t="n"/>
      <c r="AW598" s="1491" t="n"/>
      <c r="AX598" s="1491" t="n"/>
      <c r="AY598" s="1491" t="n"/>
      <c r="AZ598" s="1491" t="n"/>
      <c r="BA598" s="1491" t="n"/>
      <c r="BB598" s="1491" t="n"/>
      <c r="BC598" s="1491" t="n"/>
      <c r="BD598" s="1491" t="n"/>
      <c r="BE598" s="1491" t="n"/>
      <c r="BF598" s="1491" t="n"/>
      <c r="BG598" s="1491" t="n"/>
      <c r="BH598" s="1491" t="n"/>
      <c r="BI598" s="1491" t="n"/>
      <c r="BJ598" s="1491" t="n"/>
      <c r="BK598" s="1491" t="n"/>
      <c r="BL598" s="1491" t="n"/>
      <c r="BM598" s="1491" t="n"/>
      <c r="BN598" s="1491" t="n"/>
      <c r="BO598" s="1467" t="n"/>
      <c r="BP598" s="1514" t="n">
        <v>594</v>
      </c>
      <c r="BQ598" s="1513" t="n"/>
      <c r="BR598" s="1513" t="n"/>
      <c r="BS598" s="1513" t="n"/>
      <c r="BT598" s="1513" t="n"/>
      <c r="BU598" s="1516" t="n"/>
      <c r="BV598" s="1513" t="n"/>
      <c r="BW598" s="1467" t="n"/>
      <c r="BX598" s="1491" t="n"/>
      <c r="BY598" s="1491" t="n"/>
      <c r="BZ598" s="1491" t="n"/>
      <c r="CA598" s="1491" t="n"/>
      <c r="CB598" s="1467" t="n"/>
      <c r="CC598" s="1467" t="n"/>
      <c r="CD598" s="1491" t="n"/>
      <c r="CE598" s="1491" t="n"/>
      <c r="CF598" s="1491" t="n"/>
      <c r="CG598" s="1491" t="n"/>
      <c r="CH598" s="1491" t="n"/>
      <c r="CI598" s="1491" t="n"/>
      <c r="CJ598" s="1491" t="n"/>
      <c r="CK598" s="1491" t="n"/>
      <c r="CL598" s="1491" t="n"/>
      <c r="CM598" s="1491" t="n"/>
      <c r="CN598" s="1491" t="n"/>
      <c r="CO598" s="1491" t="n"/>
      <c r="CP598" s="1491" t="n"/>
      <c r="CQ598" s="1491" t="n"/>
      <c r="CR598" s="1491" t="n"/>
      <c r="CS598" s="1491" t="n"/>
      <c r="CT598" s="1491" t="n"/>
      <c r="CU598" s="1491" t="n"/>
      <c r="CV598" s="1491" t="n"/>
      <c r="CW598" s="1491" t="n"/>
      <c r="CX598" s="1491" t="n"/>
    </row>
    <row r="599">
      <c r="A599" s="1491" t="n"/>
      <c r="B599" s="1491" t="n"/>
      <c r="C599" s="1491" t="n"/>
      <c r="D599" s="1497">
        <f>IF(E599&lt;&gt;"",D598+1,D598)</f>
        <v/>
      </c>
      <c r="E599" s="1497" t="n"/>
      <c r="F599" s="1535" t="inlineStr">
        <is>
          <t>.</t>
        </is>
      </c>
      <c r="G599" s="1498">
        <f>IF(H599="AIR",0,IF(H598="AIR",G597+1,IF(H599&lt;&gt;"",G598+1,G598)))</f>
        <v/>
      </c>
      <c r="H599" s="1498" t="n"/>
      <c r="I599" s="1427" t="inlineStr">
        <is>
          <t>.</t>
        </is>
      </c>
      <c r="J599" s="1500" t="n"/>
      <c r="K599" s="1500" t="n"/>
      <c r="L599" s="1500">
        <f>_xlfn.XLOOKUP(cities[[#This Row],[city]],ccc[city],ccc[ctry],"-")</f>
        <v/>
      </c>
      <c r="M599" s="1500">
        <f>SUMIFS(stayCity[stay],stayCity[city],cities[[#This Row],[city]])</f>
        <v/>
      </c>
      <c r="N599" s="1427">
        <f>N598+1</f>
        <v/>
      </c>
      <c r="O599" s="1500" t="n"/>
      <c r="P599" s="1500" t="n"/>
      <c r="Q599" s="1427" t="inlineStr">
        <is>
          <t>.</t>
        </is>
      </c>
      <c r="R599" s="1491" t="n"/>
      <c r="S599" s="1491" t="n"/>
      <c r="T599" s="1491" t="n"/>
      <c r="U599" s="1491" t="n"/>
      <c r="V599" s="1491" t="n"/>
      <c r="W599" s="1491" t="n"/>
      <c r="X599" s="1491" t="n"/>
      <c r="Y599" s="1491" t="n"/>
      <c r="Z599" s="1491" t="n"/>
      <c r="AA599" s="1491" t="n"/>
      <c r="AB599" s="1491" t="n"/>
      <c r="AC599" s="1491" t="n"/>
      <c r="AD599" s="1491" t="n"/>
      <c r="AE599" s="1491" t="n"/>
      <c r="AF599" s="1491" t="n"/>
      <c r="AG599" s="1491" t="n"/>
      <c r="AH599" s="1491" t="n"/>
      <c r="AI599" s="1491" t="n"/>
      <c r="AJ599" s="1491" t="n"/>
      <c r="AK599" s="1491" t="n"/>
      <c r="AL599" s="1491" t="n"/>
      <c r="AM599" s="1491" t="n"/>
      <c r="AN599" s="1491" t="n"/>
      <c r="AO599" s="1491" t="n"/>
      <c r="AP599" s="1491" t="n"/>
      <c r="AQ599" s="1491" t="n"/>
      <c r="AR599" s="1491" t="n"/>
      <c r="AS599" s="1491" t="n"/>
      <c r="AT599" s="1491" t="n"/>
      <c r="AU599" s="1491" t="n"/>
      <c r="AV599" s="1491" t="n"/>
      <c r="AW599" s="1491" t="n"/>
      <c r="AX599" s="1491" t="n"/>
      <c r="AY599" s="1491" t="n"/>
      <c r="AZ599" s="1491" t="n"/>
      <c r="BA599" s="1491" t="n"/>
      <c r="BB599" s="1491" t="n"/>
      <c r="BC599" s="1491" t="n"/>
      <c r="BD599" s="1491" t="n"/>
      <c r="BE599" s="1491" t="n"/>
      <c r="BF599" s="1491" t="n"/>
      <c r="BG599" s="1491" t="n"/>
      <c r="BH599" s="1491" t="n"/>
      <c r="BI599" s="1491" t="n"/>
      <c r="BJ599" s="1491" t="n"/>
      <c r="BK599" s="1491" t="n"/>
      <c r="BL599" s="1491" t="n"/>
      <c r="BM599" s="1491" t="n"/>
      <c r="BN599" s="1491" t="n"/>
      <c r="BO599" s="1467" t="n"/>
      <c r="BP599" s="1514" t="n">
        <v>595</v>
      </c>
      <c r="BQ599" s="1513" t="n"/>
      <c r="BR599" s="1513" t="n"/>
      <c r="BS599" s="1513" t="n"/>
      <c r="BT599" s="1513" t="n"/>
      <c r="BU599" s="1516" t="n"/>
      <c r="BV599" s="1513" t="n"/>
      <c r="BW599" s="1467" t="n"/>
      <c r="BX599" s="1491" t="n"/>
      <c r="BY599" s="1491" t="n"/>
      <c r="BZ599" s="1491" t="n"/>
      <c r="CA599" s="1491" t="n"/>
      <c r="CB599" s="1467" t="n"/>
      <c r="CC599" s="1467" t="n"/>
      <c r="CD599" s="1491" t="n"/>
      <c r="CE599" s="1491" t="n"/>
      <c r="CF599" s="1491" t="n"/>
      <c r="CG599" s="1491" t="n"/>
      <c r="CH599" s="1491" t="n"/>
      <c r="CI599" s="1491" t="n"/>
      <c r="CJ599" s="1491" t="n"/>
      <c r="CK599" s="1491" t="n"/>
      <c r="CL599" s="1491" t="n"/>
      <c r="CM599" s="1491" t="n"/>
      <c r="CN599" s="1491" t="n"/>
      <c r="CO599" s="1491" t="n"/>
      <c r="CP599" s="1491" t="n"/>
      <c r="CQ599" s="1491" t="n"/>
      <c r="CR599" s="1491" t="n"/>
      <c r="CS599" s="1491" t="n"/>
      <c r="CT599" s="1491" t="n"/>
      <c r="CU599" s="1491" t="n"/>
      <c r="CV599" s="1491" t="n"/>
      <c r="CW599" s="1491" t="n"/>
      <c r="CX599" s="1491" t="n"/>
    </row>
    <row r="600">
      <c r="A600" s="1491" t="n"/>
      <c r="B600" s="1491" t="n"/>
      <c r="C600" s="1491" t="n"/>
      <c r="D600" s="1497">
        <f>IF(E600&lt;&gt;"",D599+1,D599)</f>
        <v/>
      </c>
      <c r="E600" s="1497" t="n"/>
      <c r="F600" s="1535" t="inlineStr">
        <is>
          <t>.</t>
        </is>
      </c>
      <c r="G600" s="1498">
        <f>IF(H600="AIR",0,IF(H599="AIR",G598+1,IF(H600&lt;&gt;"",G599+1,G599)))</f>
        <v/>
      </c>
      <c r="H600" s="1498" t="n"/>
      <c r="I600" s="1427" t="inlineStr">
        <is>
          <t>.</t>
        </is>
      </c>
      <c r="J600" s="1500" t="n"/>
      <c r="K600" s="1500" t="n"/>
      <c r="L600" s="1500">
        <f>_xlfn.XLOOKUP(cities[[#This Row],[city]],ccc[city],ccc[ctry],"-")</f>
        <v/>
      </c>
      <c r="M600" s="1500">
        <f>SUMIFS(stayCity[stay],stayCity[city],cities[[#This Row],[city]])</f>
        <v/>
      </c>
      <c r="N600" s="1427">
        <f>N599+1</f>
        <v/>
      </c>
      <c r="O600" s="1500" t="n"/>
      <c r="P600" s="1500" t="n"/>
      <c r="Q600" s="1427" t="inlineStr">
        <is>
          <t>.</t>
        </is>
      </c>
      <c r="R600" s="1491" t="n"/>
      <c r="S600" s="1491" t="n"/>
      <c r="T600" s="1491" t="n"/>
      <c r="U600" s="1491" t="n"/>
      <c r="V600" s="1491" t="n"/>
      <c r="W600" s="1491" t="n"/>
      <c r="X600" s="1491" t="n"/>
      <c r="Y600" s="1491" t="n"/>
      <c r="Z600" s="1491" t="n"/>
      <c r="AA600" s="1491" t="n"/>
      <c r="AB600" s="1491" t="n"/>
      <c r="AC600" s="1491" t="n"/>
      <c r="AD600" s="1491" t="n"/>
      <c r="AE600" s="1491" t="n"/>
      <c r="AF600" s="1491" t="n"/>
      <c r="AG600" s="1491" t="n"/>
      <c r="AH600" s="1491" t="n"/>
      <c r="AI600" s="1491" t="n"/>
      <c r="AJ600" s="1491" t="n"/>
      <c r="AK600" s="1491" t="n"/>
      <c r="AL600" s="1491" t="n"/>
      <c r="AM600" s="1491" t="n"/>
      <c r="AN600" s="1491" t="n"/>
      <c r="AO600" s="1491" t="n"/>
      <c r="AP600" s="1491" t="n"/>
      <c r="AQ600" s="1491" t="n"/>
      <c r="AR600" s="1491" t="n"/>
      <c r="AS600" s="1491" t="n"/>
      <c r="AT600" s="1491" t="n"/>
      <c r="AU600" s="1491" t="n"/>
      <c r="AV600" s="1491" t="n"/>
      <c r="AW600" s="1491" t="n"/>
      <c r="AX600" s="1491" t="n"/>
      <c r="AY600" s="1491" t="n"/>
      <c r="AZ600" s="1491" t="n"/>
      <c r="BA600" s="1491" t="n"/>
      <c r="BB600" s="1491" t="n"/>
      <c r="BC600" s="1491" t="n"/>
      <c r="BD600" s="1491" t="n"/>
      <c r="BE600" s="1491" t="n"/>
      <c r="BF600" s="1491" t="n"/>
      <c r="BG600" s="1491" t="n"/>
      <c r="BH600" s="1491" t="n"/>
      <c r="BI600" s="1491" t="n"/>
      <c r="BJ600" s="1491" t="n"/>
      <c r="BK600" s="1491" t="n"/>
      <c r="BL600" s="1491" t="n"/>
      <c r="BM600" s="1491" t="n"/>
      <c r="BN600" s="1491" t="n"/>
      <c r="BO600" s="1467" t="n"/>
      <c r="BP600" s="1514" t="n">
        <v>596</v>
      </c>
      <c r="BQ600" s="1513" t="n"/>
      <c r="BR600" s="1513" t="n"/>
      <c r="BS600" s="1513" t="n"/>
      <c r="BT600" s="1513" t="n"/>
      <c r="BU600" s="1516" t="n"/>
      <c r="BV600" s="1513" t="n"/>
      <c r="BW600" s="1467" t="n"/>
      <c r="BX600" s="1491" t="n"/>
      <c r="BY600" s="1491" t="n"/>
      <c r="BZ600" s="1491" t="n"/>
      <c r="CA600" s="1491" t="n"/>
      <c r="CB600" s="1467" t="n"/>
      <c r="CC600" s="1467" t="n"/>
      <c r="CD600" s="1491" t="n"/>
      <c r="CE600" s="1491" t="n"/>
      <c r="CF600" s="1491" t="n"/>
      <c r="CG600" s="1491" t="n"/>
      <c r="CH600" s="1491" t="n"/>
      <c r="CI600" s="1491" t="n"/>
      <c r="CJ600" s="1491" t="n"/>
      <c r="CK600" s="1491" t="n"/>
      <c r="CL600" s="1491" t="n"/>
      <c r="CM600" s="1491" t="n"/>
      <c r="CN600" s="1491" t="n"/>
      <c r="CO600" s="1491" t="n"/>
      <c r="CP600" s="1491" t="n"/>
      <c r="CQ600" s="1491" t="n"/>
      <c r="CR600" s="1491" t="n"/>
      <c r="CS600" s="1491" t="n"/>
      <c r="CT600" s="1491" t="n"/>
      <c r="CU600" s="1491" t="n"/>
      <c r="CV600" s="1491" t="n"/>
      <c r="CW600" s="1491" t="n"/>
      <c r="CX600" s="1491" t="n"/>
    </row>
    <row r="601">
      <c r="A601" s="1491" t="n"/>
      <c r="B601" s="1491" t="n"/>
      <c r="C601" s="1491" t="n"/>
      <c r="D601" s="1497">
        <f>IF(E601&lt;&gt;"",D600+1,D600)</f>
        <v/>
      </c>
      <c r="E601" s="1497" t="n"/>
      <c r="F601" s="1535" t="inlineStr">
        <is>
          <t>.</t>
        </is>
      </c>
      <c r="G601" s="1498">
        <f>IF(H601="AIR",0,IF(H600="AIR",G599+1,IF(H601&lt;&gt;"",G600+1,G600)))</f>
        <v/>
      </c>
      <c r="H601" s="1498" t="n"/>
      <c r="I601" s="1427" t="inlineStr">
        <is>
          <t>.</t>
        </is>
      </c>
      <c r="J601" s="1500" t="n"/>
      <c r="K601" s="1500" t="n"/>
      <c r="L601" s="1500">
        <f>_xlfn.XLOOKUP(cities[[#This Row],[city]],ccc[city],ccc[ctry],"-")</f>
        <v/>
      </c>
      <c r="M601" s="1500">
        <f>SUMIFS(stayCity[stay],stayCity[city],cities[[#This Row],[city]])</f>
        <v/>
      </c>
      <c r="N601" s="1427">
        <f>N600+1</f>
        <v/>
      </c>
      <c r="O601" s="1500" t="n"/>
      <c r="P601" s="1500" t="n"/>
      <c r="Q601" s="1427" t="inlineStr">
        <is>
          <t>.</t>
        </is>
      </c>
      <c r="R601" s="1491" t="n"/>
      <c r="S601" s="1491" t="n"/>
      <c r="T601" s="1491" t="n"/>
      <c r="U601" s="1491" t="n"/>
      <c r="V601" s="1491" t="n"/>
      <c r="W601" s="1491" t="n"/>
      <c r="X601" s="1491" t="n"/>
      <c r="Y601" s="1491" t="n"/>
      <c r="Z601" s="1491" t="n"/>
      <c r="AA601" s="1491" t="n"/>
      <c r="AB601" s="1491" t="n"/>
      <c r="AC601" s="1491" t="n"/>
      <c r="AD601" s="1491" t="n"/>
      <c r="AE601" s="1491" t="n"/>
      <c r="AF601" s="1491" t="n"/>
      <c r="AG601" s="1491" t="n"/>
      <c r="AH601" s="1491" t="n"/>
      <c r="AI601" s="1491" t="n"/>
      <c r="AJ601" s="1491" t="n"/>
      <c r="AK601" s="1491" t="n"/>
      <c r="AL601" s="1491" t="n"/>
      <c r="AM601" s="1491" t="n"/>
      <c r="AN601" s="1491" t="n"/>
      <c r="AO601" s="1491" t="n"/>
      <c r="AP601" s="1491" t="n"/>
      <c r="AQ601" s="1491" t="n"/>
      <c r="AR601" s="1491" t="n"/>
      <c r="AS601" s="1491" t="n"/>
      <c r="AT601" s="1491" t="n"/>
      <c r="AU601" s="1491" t="n"/>
      <c r="AV601" s="1491" t="n"/>
      <c r="AW601" s="1491" t="n"/>
      <c r="AX601" s="1491" t="n"/>
      <c r="AY601" s="1491" t="n"/>
      <c r="AZ601" s="1491" t="n"/>
      <c r="BA601" s="1491" t="n"/>
      <c r="BB601" s="1491" t="n"/>
      <c r="BC601" s="1491" t="n"/>
      <c r="BD601" s="1491" t="n"/>
      <c r="BE601" s="1491" t="n"/>
      <c r="BF601" s="1491" t="n"/>
      <c r="BG601" s="1491" t="n"/>
      <c r="BH601" s="1491" t="n"/>
      <c r="BI601" s="1491" t="n"/>
      <c r="BJ601" s="1491" t="n"/>
      <c r="BK601" s="1491" t="n"/>
      <c r="BL601" s="1491" t="n"/>
      <c r="BM601" s="1491" t="n"/>
      <c r="BN601" s="1491" t="n"/>
      <c r="BO601" s="1467" t="n"/>
      <c r="BP601" s="1514" t="n">
        <v>597</v>
      </c>
      <c r="BQ601" s="1513" t="n"/>
      <c r="BR601" s="1513" t="n"/>
      <c r="BS601" s="1513" t="n"/>
      <c r="BT601" s="1513" t="n"/>
      <c r="BU601" s="1516" t="n"/>
      <c r="BV601" s="1513" t="n"/>
      <c r="BW601" s="1467" t="n"/>
      <c r="BX601" s="1491" t="n"/>
      <c r="BY601" s="1491" t="n"/>
      <c r="BZ601" s="1491" t="n"/>
      <c r="CA601" s="1491" t="n"/>
      <c r="CB601" s="1467" t="n"/>
      <c r="CC601" s="1467" t="n"/>
      <c r="CD601" s="1491" t="n"/>
      <c r="CE601" s="1491" t="n"/>
      <c r="CF601" s="1491" t="n"/>
      <c r="CG601" s="1491" t="n"/>
      <c r="CH601" s="1491" t="n"/>
      <c r="CI601" s="1491" t="n"/>
      <c r="CJ601" s="1491" t="n"/>
      <c r="CK601" s="1491" t="n"/>
      <c r="CL601" s="1491" t="n"/>
      <c r="CM601" s="1491" t="n"/>
      <c r="CN601" s="1491" t="n"/>
      <c r="CO601" s="1491" t="n"/>
      <c r="CP601" s="1491" t="n"/>
      <c r="CQ601" s="1491" t="n"/>
      <c r="CR601" s="1491" t="n"/>
      <c r="CS601" s="1491" t="n"/>
      <c r="CT601" s="1491" t="n"/>
      <c r="CU601" s="1491" t="n"/>
      <c r="CV601" s="1491" t="n"/>
      <c r="CW601" s="1491" t="n"/>
      <c r="CX601" s="1491" t="n"/>
    </row>
    <row r="602">
      <c r="A602" s="1491" t="n"/>
      <c r="B602" s="1491" t="n"/>
      <c r="C602" s="1491" t="n"/>
      <c r="D602" s="1497">
        <f>IF(E602&lt;&gt;"",D601+1,D601)</f>
        <v/>
      </c>
      <c r="E602" s="1497" t="n"/>
      <c r="F602" s="1535" t="inlineStr">
        <is>
          <t>.</t>
        </is>
      </c>
      <c r="G602" s="1498">
        <f>IF(H602="AIR",0,IF(H601="AIR",G600+1,IF(H602&lt;&gt;"",G601+1,G601)))</f>
        <v/>
      </c>
      <c r="H602" s="1498" t="n"/>
      <c r="I602" s="1427" t="inlineStr">
        <is>
          <t>.</t>
        </is>
      </c>
      <c r="J602" s="1500" t="n"/>
      <c r="K602" s="1500" t="n"/>
      <c r="L602" s="1500">
        <f>_xlfn.XLOOKUP(cities[[#This Row],[city]],ccc[city],ccc[ctry],"-")</f>
        <v/>
      </c>
      <c r="M602" s="1500">
        <f>SUMIFS(stayCity[stay],stayCity[city],cities[[#This Row],[city]])</f>
        <v/>
      </c>
      <c r="N602" s="1427">
        <f>N601+1</f>
        <v/>
      </c>
      <c r="O602" s="1500" t="n"/>
      <c r="P602" s="1500" t="n"/>
      <c r="Q602" s="1427" t="inlineStr">
        <is>
          <t>.</t>
        </is>
      </c>
      <c r="R602" s="1491" t="n"/>
      <c r="S602" s="1491" t="n"/>
      <c r="T602" s="1491" t="n"/>
      <c r="U602" s="1491" t="n"/>
      <c r="V602" s="1491" t="n"/>
      <c r="W602" s="1491" t="n"/>
      <c r="X602" s="1491" t="n"/>
      <c r="Y602" s="1491" t="n"/>
      <c r="Z602" s="1491" t="n"/>
      <c r="AA602" s="1491" t="n"/>
      <c r="AB602" s="1491" t="n"/>
      <c r="AC602" s="1491" t="n"/>
      <c r="AD602" s="1491" t="n"/>
      <c r="AE602" s="1491" t="n"/>
      <c r="AF602" s="1491" t="n"/>
      <c r="AG602" s="1491" t="n"/>
      <c r="AH602" s="1491" t="n"/>
      <c r="AI602" s="1491" t="n"/>
      <c r="AJ602" s="1491" t="n"/>
      <c r="AK602" s="1491" t="n"/>
      <c r="AL602" s="1491" t="n"/>
      <c r="AM602" s="1491" t="n"/>
      <c r="AN602" s="1491" t="n"/>
      <c r="AO602" s="1491" t="n"/>
      <c r="AP602" s="1491" t="n"/>
      <c r="AQ602" s="1491" t="n"/>
      <c r="AR602" s="1491" t="n"/>
      <c r="AS602" s="1491" t="n"/>
      <c r="AT602" s="1491" t="n"/>
      <c r="AU602" s="1491" t="n"/>
      <c r="AV602" s="1491" t="n"/>
      <c r="AW602" s="1491" t="n"/>
      <c r="AX602" s="1491" t="n"/>
      <c r="AY602" s="1491" t="n"/>
      <c r="AZ602" s="1491" t="n"/>
      <c r="BA602" s="1491" t="n"/>
      <c r="BB602" s="1491" t="n"/>
      <c r="BC602" s="1491" t="n"/>
      <c r="BD602" s="1491" t="n"/>
      <c r="BE602" s="1491" t="n"/>
      <c r="BF602" s="1491" t="n"/>
      <c r="BG602" s="1491" t="n"/>
      <c r="BH602" s="1491" t="n"/>
      <c r="BI602" s="1491" t="n"/>
      <c r="BJ602" s="1491" t="n"/>
      <c r="BK602" s="1491" t="n"/>
      <c r="BL602" s="1491" t="n"/>
      <c r="BM602" s="1491" t="n"/>
      <c r="BN602" s="1491" t="n"/>
      <c r="BO602" s="1467" t="n"/>
      <c r="BP602" s="1514" t="n">
        <v>598</v>
      </c>
      <c r="BQ602" s="1513" t="n"/>
      <c r="BR602" s="1513" t="n"/>
      <c r="BS602" s="1513" t="n"/>
      <c r="BT602" s="1513" t="n"/>
      <c r="BU602" s="1516" t="n"/>
      <c r="BV602" s="1513" t="n"/>
      <c r="BW602" s="1467" t="n"/>
      <c r="BX602" s="1491" t="n"/>
      <c r="BY602" s="1491" t="n"/>
      <c r="BZ602" s="1491" t="n"/>
      <c r="CA602" s="1491" t="n"/>
      <c r="CB602" s="1467" t="n"/>
      <c r="CC602" s="1467" t="n"/>
      <c r="CD602" s="1491" t="n"/>
      <c r="CE602" s="1491" t="n"/>
      <c r="CF602" s="1491" t="n"/>
      <c r="CG602" s="1491" t="n"/>
      <c r="CH602" s="1491" t="n"/>
      <c r="CI602" s="1491" t="n"/>
      <c r="CJ602" s="1491" t="n"/>
      <c r="CK602" s="1491" t="n"/>
      <c r="CL602" s="1491" t="n"/>
      <c r="CM602" s="1491" t="n"/>
      <c r="CN602" s="1491" t="n"/>
      <c r="CO602" s="1491" t="n"/>
      <c r="CP602" s="1491" t="n"/>
      <c r="CQ602" s="1491" t="n"/>
      <c r="CR602" s="1491" t="n"/>
      <c r="CS602" s="1491" t="n"/>
      <c r="CT602" s="1491" t="n"/>
      <c r="CU602" s="1491" t="n"/>
      <c r="CV602" s="1491" t="n"/>
      <c r="CW602" s="1491" t="n"/>
      <c r="CX602" s="1491" t="n"/>
    </row>
    <row r="603">
      <c r="A603" s="1491" t="n"/>
      <c r="B603" s="1491" t="n"/>
      <c r="C603" s="1491" t="n"/>
      <c r="D603" s="1497">
        <f>IF(E603&lt;&gt;"",D602+1,D602)</f>
        <v/>
      </c>
      <c r="E603" s="1497" t="n"/>
      <c r="F603" s="1535" t="inlineStr">
        <is>
          <t>.</t>
        </is>
      </c>
      <c r="G603" s="1498">
        <f>IF(H603="AIR",0,IF(H602="AIR",G601+1,IF(H603&lt;&gt;"",G602+1,G602)))</f>
        <v/>
      </c>
      <c r="H603" s="1498" t="n"/>
      <c r="I603" s="1427" t="inlineStr">
        <is>
          <t>.</t>
        </is>
      </c>
      <c r="J603" s="1500" t="n"/>
      <c r="K603" s="1500" t="n"/>
      <c r="L603" s="1500">
        <f>_xlfn.XLOOKUP(cities[[#This Row],[city]],ccc[city],ccc[ctry],"-")</f>
        <v/>
      </c>
      <c r="M603" s="1500">
        <f>SUMIFS(stayCity[stay],stayCity[city],cities[[#This Row],[city]])</f>
        <v/>
      </c>
      <c r="N603" s="1427">
        <f>N602+1</f>
        <v/>
      </c>
      <c r="O603" s="1500" t="n"/>
      <c r="P603" s="1500" t="n"/>
      <c r="Q603" s="1427" t="inlineStr">
        <is>
          <t>.</t>
        </is>
      </c>
      <c r="R603" s="1491" t="n"/>
      <c r="S603" s="1491" t="n"/>
      <c r="T603" s="1491" t="n"/>
      <c r="U603" s="1491" t="n"/>
      <c r="V603" s="1491" t="n"/>
      <c r="W603" s="1491" t="n"/>
      <c r="X603" s="1491" t="n"/>
      <c r="Y603" s="1491" t="n"/>
      <c r="Z603" s="1491" t="n"/>
      <c r="AA603" s="1491" t="n"/>
      <c r="AB603" s="1491" t="n"/>
      <c r="AC603" s="1491" t="n"/>
      <c r="AD603" s="1491" t="n"/>
      <c r="AE603" s="1491" t="n"/>
      <c r="AF603" s="1491" t="n"/>
      <c r="AG603" s="1491" t="n"/>
      <c r="AH603" s="1491" t="n"/>
      <c r="AI603" s="1491" t="n"/>
      <c r="AJ603" s="1491" t="n"/>
      <c r="AK603" s="1491" t="n"/>
      <c r="AL603" s="1491" t="n"/>
      <c r="AM603" s="1491" t="n"/>
      <c r="AN603" s="1491" t="n"/>
      <c r="AO603" s="1491" t="n"/>
      <c r="AP603" s="1491" t="n"/>
      <c r="AQ603" s="1491" t="n"/>
      <c r="AR603" s="1491" t="n"/>
      <c r="AS603" s="1491" t="n"/>
      <c r="AT603" s="1491" t="n"/>
      <c r="AU603" s="1491" t="n"/>
      <c r="AV603" s="1491" t="n"/>
      <c r="AW603" s="1491" t="n"/>
      <c r="AX603" s="1491" t="n"/>
      <c r="AY603" s="1491" t="n"/>
      <c r="AZ603" s="1491" t="n"/>
      <c r="BA603" s="1491" t="n"/>
      <c r="BB603" s="1491" t="n"/>
      <c r="BC603" s="1491" t="n"/>
      <c r="BD603" s="1491" t="n"/>
      <c r="BE603" s="1491" t="n"/>
      <c r="BF603" s="1491" t="n"/>
      <c r="BG603" s="1491" t="n"/>
      <c r="BH603" s="1491" t="n"/>
      <c r="BI603" s="1491" t="n"/>
      <c r="BJ603" s="1491" t="n"/>
      <c r="BK603" s="1491" t="n"/>
      <c r="BL603" s="1491" t="n"/>
      <c r="BM603" s="1491" t="n"/>
      <c r="BN603" s="1491" t="n"/>
      <c r="BO603" s="1467" t="n"/>
      <c r="BP603" s="1514" t="n">
        <v>599</v>
      </c>
      <c r="BQ603" s="1513" t="n"/>
      <c r="BR603" s="1513" t="n"/>
      <c r="BS603" s="1513" t="n"/>
      <c r="BT603" s="1513" t="n"/>
      <c r="BU603" s="1516" t="n"/>
      <c r="BV603" s="1513" t="n"/>
      <c r="BW603" s="1467" t="n"/>
      <c r="BX603" s="1491" t="n"/>
      <c r="BY603" s="1491" t="n"/>
      <c r="BZ603" s="1491" t="n"/>
      <c r="CA603" s="1491" t="n"/>
      <c r="CB603" s="1467" t="n"/>
      <c r="CC603" s="1467" t="n"/>
      <c r="CD603" s="1491" t="n"/>
      <c r="CE603" s="1491" t="n"/>
      <c r="CF603" s="1491" t="n"/>
      <c r="CG603" s="1491" t="n"/>
      <c r="CH603" s="1491" t="n"/>
      <c r="CI603" s="1491" t="n"/>
      <c r="CJ603" s="1491" t="n"/>
      <c r="CK603" s="1491" t="n"/>
      <c r="CL603" s="1491" t="n"/>
      <c r="CM603" s="1491" t="n"/>
      <c r="CN603" s="1491" t="n"/>
      <c r="CO603" s="1491" t="n"/>
      <c r="CP603" s="1491" t="n"/>
      <c r="CQ603" s="1491" t="n"/>
      <c r="CR603" s="1491" t="n"/>
      <c r="CS603" s="1491" t="n"/>
      <c r="CT603" s="1491" t="n"/>
      <c r="CU603" s="1491" t="n"/>
      <c r="CV603" s="1491" t="n"/>
      <c r="CW603" s="1491" t="n"/>
      <c r="CX603" s="1491" t="n"/>
    </row>
    <row r="604">
      <c r="A604" s="1491" t="n"/>
      <c r="B604" s="1491" t="n"/>
      <c r="C604" s="1491" t="n"/>
      <c r="D604" s="1491" t="n"/>
      <c r="E604" s="1491" t="n"/>
      <c r="F604" s="1491" t="n"/>
      <c r="G604" s="1491" t="n"/>
      <c r="H604" s="1491" t="n"/>
      <c r="I604" s="1480" t="inlineStr">
        <is>
          <t>.</t>
        </is>
      </c>
      <c r="J604" s="1483" t="n"/>
      <c r="K604" s="1491" t="n"/>
      <c r="L604" s="1544">
        <f>_xlfn.XLOOKUP(cities[[#This Row],[city]],ccc[city],ccc[ctry],"-")</f>
        <v/>
      </c>
      <c r="M604" s="1483">
        <f>SUMIFS(stayCity[stay],stayCity[city],cities[[#This Row],[city]])</f>
        <v/>
      </c>
      <c r="N604" s="1427">
        <f>N603+1</f>
        <v/>
      </c>
      <c r="O604" s="1483" t="n"/>
      <c r="P604" s="1483" t="n"/>
      <c r="Q604" s="1480" t="inlineStr">
        <is>
          <t>.</t>
        </is>
      </c>
      <c r="R604" s="1491" t="n"/>
      <c r="S604" s="1491" t="n"/>
      <c r="T604" s="1491" t="n"/>
      <c r="U604" s="1491" t="n"/>
      <c r="V604" s="1491" t="n"/>
      <c r="W604" s="1491" t="n"/>
      <c r="X604" s="1491" t="n"/>
      <c r="Y604" s="1491" t="n"/>
      <c r="Z604" s="1491" t="n"/>
      <c r="AA604" s="1491" t="n"/>
      <c r="AB604" s="1491" t="n"/>
      <c r="AC604" s="1491" t="n"/>
      <c r="AD604" s="1491" t="n"/>
      <c r="AE604" s="1491" t="n"/>
      <c r="AF604" s="1491" t="n"/>
      <c r="AG604" s="1491" t="n"/>
      <c r="AH604" s="1491" t="n"/>
      <c r="AI604" s="1491" t="n"/>
      <c r="AJ604" s="1491" t="n"/>
      <c r="AK604" s="1491" t="n"/>
      <c r="AL604" s="1491" t="n"/>
      <c r="AM604" s="1491" t="n"/>
      <c r="AN604" s="1491" t="n"/>
      <c r="AO604" s="1491" t="n"/>
      <c r="AP604" s="1491" t="n"/>
      <c r="AQ604" s="1491" t="n"/>
      <c r="AR604" s="1491" t="n"/>
      <c r="AS604" s="1491" t="n"/>
      <c r="AT604" s="1491" t="n"/>
      <c r="AU604" s="1491" t="n"/>
      <c r="AV604" s="1491" t="n"/>
      <c r="AW604" s="1491" t="n"/>
      <c r="AX604" s="1491" t="n"/>
      <c r="AY604" s="1491" t="n"/>
      <c r="AZ604" s="1491" t="n"/>
      <c r="BA604" s="1491" t="n"/>
      <c r="BB604" s="1491" t="n"/>
      <c r="BC604" s="1491" t="n"/>
      <c r="BD604" s="1491" t="n"/>
      <c r="BE604" s="1491" t="n"/>
      <c r="BF604" s="1491" t="n"/>
      <c r="BG604" s="1491" t="n"/>
      <c r="BH604" s="1491" t="n"/>
      <c r="BI604" s="1491" t="n"/>
      <c r="BJ604" s="1491" t="n"/>
      <c r="BK604" s="1491" t="n"/>
      <c r="BL604" s="1491" t="n"/>
      <c r="BM604" s="1491" t="n"/>
      <c r="BN604" s="1491" t="n"/>
      <c r="BO604" s="1467" t="n"/>
      <c r="BP604" s="1514" t="n">
        <v>600</v>
      </c>
      <c r="BQ604" s="1513" t="n"/>
      <c r="BR604" s="1513" t="n"/>
      <c r="BS604" s="1513" t="n"/>
      <c r="BT604" s="1513" t="n"/>
      <c r="BU604" s="1516" t="n"/>
      <c r="BV604" s="1513" t="n"/>
      <c r="BW604" s="1467" t="n"/>
      <c r="BX604" s="1491" t="n"/>
      <c r="BY604" s="1491" t="n"/>
      <c r="BZ604" s="1491" t="n"/>
      <c r="CA604" s="1491" t="n"/>
      <c r="CB604" s="1467" t="n"/>
      <c r="CC604" s="1467" t="n"/>
      <c r="CD604" s="1491" t="n"/>
      <c r="CE604" s="1491" t="n"/>
      <c r="CF604" s="1491" t="n"/>
      <c r="CG604" s="1491" t="n"/>
      <c r="CH604" s="1491" t="n"/>
      <c r="CI604" s="1491" t="n"/>
      <c r="CJ604" s="1491" t="n"/>
      <c r="CK604" s="1491" t="n"/>
      <c r="CL604" s="1491" t="n"/>
      <c r="CM604" s="1491" t="n"/>
      <c r="CN604" s="1491" t="n"/>
      <c r="CO604" s="1491" t="n"/>
      <c r="CP604" s="1491" t="n"/>
      <c r="CQ604" s="1491" t="n"/>
      <c r="CR604" s="1491" t="n"/>
      <c r="CS604" s="1491" t="n"/>
      <c r="CT604" s="1491" t="n"/>
      <c r="CU604" s="1491" t="n"/>
      <c r="CV604" s="1491" t="n"/>
      <c r="CW604" s="1491" t="n"/>
      <c r="CX604" s="1491" t="n"/>
    </row>
    <row r="605">
      <c r="A605" s="1491" t="n"/>
      <c r="B605" s="1491" t="n"/>
      <c r="C605" s="1491" t="n"/>
      <c r="D605" s="1491" t="n"/>
      <c r="E605" s="1491" t="n"/>
      <c r="F605" s="1491" t="n"/>
      <c r="G605" s="1491" t="n"/>
      <c r="H605" s="1491" t="n"/>
      <c r="I605" s="1427" t="inlineStr">
        <is>
          <t>.</t>
        </is>
      </c>
      <c r="J605" s="1500" t="n"/>
      <c r="K605" s="1491" t="n"/>
      <c r="L605" s="1544">
        <f>_xlfn.XLOOKUP(cities[[#This Row],[city]],ccc[city],ccc[ctry],"-")</f>
        <v/>
      </c>
      <c r="M605" s="1483">
        <f>SUMIFS(stayCity[stay],stayCity[city],cities[[#This Row],[city]])</f>
        <v/>
      </c>
      <c r="N605" s="1427">
        <f>N604+1</f>
        <v/>
      </c>
      <c r="O605" s="1483" t="n"/>
      <c r="P605" s="1483" t="n"/>
      <c r="Q605" s="1427" t="inlineStr">
        <is>
          <t>.</t>
        </is>
      </c>
      <c r="R605" s="1491" t="n"/>
      <c r="S605" s="1491" t="n"/>
      <c r="T605" s="1491" t="n"/>
      <c r="U605" s="1491" t="n"/>
      <c r="V605" s="1491" t="n"/>
      <c r="W605" s="1491" t="n"/>
      <c r="X605" s="1491" t="n"/>
      <c r="Y605" s="1491" t="n"/>
      <c r="Z605" s="1491" t="n"/>
      <c r="AA605" s="1491" t="n"/>
      <c r="AB605" s="1491" t="n"/>
      <c r="AC605" s="1491" t="n"/>
      <c r="AD605" s="1491" t="n"/>
      <c r="AE605" s="1491" t="n"/>
      <c r="AF605" s="1491" t="n"/>
      <c r="AG605" s="1491" t="n"/>
      <c r="AH605" s="1491" t="n"/>
      <c r="AI605" s="1491" t="n"/>
      <c r="AJ605" s="1491" t="n"/>
      <c r="AK605" s="1491" t="n"/>
      <c r="AL605" s="1491" t="n"/>
      <c r="AM605" s="1491" t="n"/>
      <c r="AN605" s="1491" t="n"/>
      <c r="AO605" s="1491" t="n"/>
      <c r="AP605" s="1491" t="n"/>
      <c r="AQ605" s="1491" t="n"/>
      <c r="AR605" s="1491" t="n"/>
      <c r="AS605" s="1491" t="n"/>
      <c r="AT605" s="1491" t="n"/>
      <c r="AU605" s="1491" t="n"/>
      <c r="AV605" s="1491" t="n"/>
      <c r="AW605" s="1491" t="n"/>
      <c r="AX605" s="1491" t="n"/>
      <c r="AY605" s="1491" t="n"/>
      <c r="AZ605" s="1491" t="n"/>
      <c r="BA605" s="1491" t="n"/>
      <c r="BB605" s="1491" t="n"/>
      <c r="BC605" s="1491" t="n"/>
      <c r="BD605" s="1491" t="n"/>
      <c r="BE605" s="1491" t="n"/>
      <c r="BF605" s="1491" t="n"/>
      <c r="BG605" s="1491" t="n"/>
      <c r="BH605" s="1491" t="n"/>
      <c r="BI605" s="1491" t="n"/>
      <c r="BJ605" s="1491" t="n"/>
      <c r="BK605" s="1491" t="n"/>
      <c r="BL605" s="1491" t="n"/>
      <c r="BM605" s="1491" t="n"/>
      <c r="BN605" s="1491" t="n"/>
      <c r="BO605" s="1467" t="n"/>
      <c r="BP605" s="1514" t="n">
        <v>601</v>
      </c>
      <c r="BQ605" s="1513" t="n"/>
      <c r="BR605" s="1513" t="n"/>
      <c r="BS605" s="1513" t="n"/>
      <c r="BT605" s="1513" t="n"/>
      <c r="BU605" s="1516" t="n"/>
      <c r="BV605" s="1513" t="n"/>
      <c r="BW605" s="1467" t="n"/>
      <c r="BX605" s="1491" t="n"/>
      <c r="BY605" s="1491" t="n"/>
      <c r="BZ605" s="1491" t="n"/>
      <c r="CA605" s="1491" t="n"/>
      <c r="CB605" s="1467" t="n"/>
      <c r="CC605" s="1467" t="n"/>
      <c r="CD605" s="1491" t="n"/>
      <c r="CE605" s="1491" t="n"/>
      <c r="CF605" s="1491" t="n"/>
      <c r="CG605" s="1491" t="n"/>
      <c r="CH605" s="1491" t="n"/>
      <c r="CI605" s="1491" t="n"/>
      <c r="CJ605" s="1491" t="n"/>
      <c r="CK605" s="1491" t="n"/>
      <c r="CL605" s="1491" t="n"/>
      <c r="CM605" s="1491" t="n"/>
      <c r="CN605" s="1491" t="n"/>
      <c r="CO605" s="1491" t="n"/>
      <c r="CP605" s="1491" t="n"/>
      <c r="CQ605" s="1491" t="n"/>
      <c r="CR605" s="1491" t="n"/>
      <c r="CS605" s="1491" t="n"/>
      <c r="CT605" s="1491" t="n"/>
      <c r="CU605" s="1491" t="n"/>
      <c r="CV605" s="1491" t="n"/>
      <c r="CW605" s="1491" t="n"/>
      <c r="CX605" s="1491" t="n"/>
    </row>
    <row r="606">
      <c r="A606" s="1491" t="n"/>
      <c r="B606" s="1491" t="n"/>
      <c r="C606" s="1491" t="n"/>
      <c r="D606" s="1491" t="n"/>
      <c r="E606" s="1491" t="n"/>
      <c r="F606" s="1491" t="n"/>
      <c r="G606" s="1491" t="n"/>
      <c r="H606" s="1491" t="n"/>
      <c r="I606" s="1427" t="inlineStr">
        <is>
          <t>.</t>
        </is>
      </c>
      <c r="J606" s="1491" t="n"/>
      <c r="K606" s="1491" t="n"/>
      <c r="L606" s="1544">
        <f>_xlfn.XLOOKUP(cities[[#This Row],[city]],ccc[city],ccc[ctry],"-")</f>
        <v/>
      </c>
      <c r="M606" s="1544">
        <f>SUMIFS(stayCity[stay],stayCity[city],cities[[#This Row],[city]])</f>
        <v/>
      </c>
      <c r="N606" s="1427">
        <f>N605+1</f>
        <v/>
      </c>
      <c r="O606" s="1491" t="n"/>
      <c r="P606" s="1491" t="n"/>
      <c r="Q606" s="1427" t="inlineStr">
        <is>
          <t>.</t>
        </is>
      </c>
      <c r="R606" s="1491" t="n"/>
      <c r="S606" s="1491" t="n"/>
      <c r="T606" s="1491" t="n"/>
      <c r="U606" s="1491" t="n"/>
      <c r="V606" s="1491" t="n"/>
      <c r="W606" s="1491" t="n"/>
      <c r="X606" s="1491" t="n"/>
      <c r="Y606" s="1491" t="n"/>
      <c r="Z606" s="1491" t="n"/>
      <c r="AA606" s="1491" t="n"/>
      <c r="AB606" s="1491" t="n"/>
      <c r="AC606" s="1491" t="n"/>
      <c r="AD606" s="1491" t="n"/>
      <c r="AE606" s="1491" t="n"/>
      <c r="AF606" s="1491" t="n"/>
      <c r="AG606" s="1491" t="n"/>
      <c r="AH606" s="1491" t="n"/>
      <c r="AI606" s="1491" t="n"/>
      <c r="AJ606" s="1491" t="n"/>
      <c r="AK606" s="1491" t="n"/>
      <c r="AL606" s="1491" t="n"/>
      <c r="AM606" s="1491" t="n"/>
      <c r="AN606" s="1491" t="n"/>
      <c r="AO606" s="1491" t="n"/>
      <c r="AP606" s="1491" t="n"/>
      <c r="AQ606" s="1491" t="n"/>
      <c r="AR606" s="1491" t="n"/>
      <c r="AS606" s="1491" t="n"/>
      <c r="AT606" s="1491" t="n"/>
      <c r="AU606" s="1491" t="n"/>
      <c r="AV606" s="1491" t="n"/>
      <c r="AW606" s="1491" t="n"/>
      <c r="AX606" s="1491" t="n"/>
      <c r="AY606" s="1491" t="n"/>
      <c r="AZ606" s="1491" t="n"/>
      <c r="BA606" s="1491" t="n"/>
      <c r="BB606" s="1491" t="n"/>
      <c r="BC606" s="1491" t="n"/>
      <c r="BD606" s="1491" t="n"/>
      <c r="BE606" s="1491" t="n"/>
      <c r="BF606" s="1491" t="n"/>
      <c r="BG606" s="1491" t="n"/>
      <c r="BH606" s="1491" t="n"/>
      <c r="BI606" s="1491" t="n"/>
      <c r="BJ606" s="1491" t="n"/>
      <c r="BK606" s="1491" t="n"/>
      <c r="BL606" s="1491" t="n"/>
      <c r="BM606" s="1491" t="n"/>
      <c r="BN606" s="1491" t="n"/>
      <c r="BO606" s="1467" t="n"/>
      <c r="BP606" s="1514" t="n">
        <v>602</v>
      </c>
      <c r="BQ606" s="1513" t="n"/>
      <c r="BR606" s="1513" t="n"/>
      <c r="BS606" s="1513" t="n"/>
      <c r="BT606" s="1513" t="n"/>
      <c r="BU606" s="1516" t="n"/>
      <c r="BV606" s="1513" t="n"/>
      <c r="BW606" s="1467" t="n"/>
      <c r="BX606" s="1491" t="n"/>
      <c r="BY606" s="1491" t="n"/>
      <c r="BZ606" s="1491" t="n"/>
      <c r="CA606" s="1491" t="n"/>
      <c r="CB606" s="1467" t="n"/>
      <c r="CC606" s="1467" t="n"/>
      <c r="CD606" s="1491" t="n"/>
      <c r="CE606" s="1491" t="n"/>
      <c r="CF606" s="1491" t="n"/>
      <c r="CG606" s="1491" t="n"/>
      <c r="CH606" s="1491" t="n"/>
      <c r="CI606" s="1491" t="n"/>
      <c r="CJ606" s="1491" t="n"/>
      <c r="CK606" s="1491" t="n"/>
      <c r="CL606" s="1491" t="n"/>
      <c r="CM606" s="1491" t="n"/>
      <c r="CN606" s="1491" t="n"/>
      <c r="CO606" s="1491" t="n"/>
      <c r="CP606" s="1491" t="n"/>
      <c r="CQ606" s="1491" t="n"/>
      <c r="CR606" s="1491" t="n"/>
      <c r="CS606" s="1491" t="n"/>
      <c r="CT606" s="1491" t="n"/>
      <c r="CU606" s="1491" t="n"/>
      <c r="CV606" s="1491" t="n"/>
      <c r="CW606" s="1491" t="n"/>
      <c r="CX606" s="1491" t="n"/>
    </row>
    <row r="607">
      <c r="A607" s="1491" t="n"/>
      <c r="B607" s="1491" t="n"/>
      <c r="C607" s="1491" t="n"/>
      <c r="D607" s="1491" t="n"/>
      <c r="E607" s="1491" t="n"/>
      <c r="F607" s="1491" t="n"/>
      <c r="G607" s="1491" t="n"/>
      <c r="H607" s="1491" t="n"/>
      <c r="I607" s="1427" t="inlineStr">
        <is>
          <t>.</t>
        </is>
      </c>
      <c r="J607" s="1491" t="n"/>
      <c r="K607" s="1491" t="n"/>
      <c r="L607" s="1544">
        <f>_xlfn.XLOOKUP(cities[[#This Row],[city]],ccc[city],ccc[ctry],"-")</f>
        <v/>
      </c>
      <c r="M607" s="1544">
        <f>SUMIFS(stayCity[stay],stayCity[city],cities[[#This Row],[city]])</f>
        <v/>
      </c>
      <c r="N607" s="1427">
        <f>N606+1</f>
        <v/>
      </c>
      <c r="O607" s="1491" t="n"/>
      <c r="P607" s="1491" t="n"/>
      <c r="Q607" s="1427" t="inlineStr">
        <is>
          <t>.</t>
        </is>
      </c>
      <c r="R607" s="1491" t="n"/>
      <c r="S607" s="1491" t="n"/>
      <c r="T607" s="1491" t="n"/>
      <c r="U607" s="1491" t="n"/>
      <c r="V607" s="1491" t="n"/>
      <c r="W607" s="1491" t="n"/>
      <c r="X607" s="1491" t="n"/>
      <c r="Y607" s="1491" t="n"/>
      <c r="Z607" s="1491" t="n"/>
      <c r="AA607" s="1491" t="n"/>
      <c r="AB607" s="1491" t="n"/>
      <c r="AC607" s="1491" t="n"/>
      <c r="AD607" s="1491" t="n"/>
      <c r="AE607" s="1491" t="n"/>
      <c r="AF607" s="1491" t="n"/>
      <c r="AG607" s="1491" t="n"/>
      <c r="AH607" s="1491" t="n"/>
      <c r="AI607" s="1491" t="n"/>
      <c r="AJ607" s="1491" t="n"/>
      <c r="AK607" s="1491" t="n"/>
      <c r="AL607" s="1491" t="n"/>
      <c r="AM607" s="1491" t="n"/>
      <c r="AN607" s="1491" t="n"/>
      <c r="AO607" s="1491" t="n"/>
      <c r="AP607" s="1491" t="n"/>
      <c r="AQ607" s="1491" t="n"/>
      <c r="AR607" s="1491" t="n"/>
      <c r="AS607" s="1491" t="n"/>
      <c r="AT607" s="1491" t="n"/>
      <c r="AU607" s="1491" t="n"/>
      <c r="AV607" s="1491" t="n"/>
      <c r="AW607" s="1491" t="n"/>
      <c r="AX607" s="1491" t="n"/>
      <c r="AY607" s="1491" t="n"/>
      <c r="AZ607" s="1491" t="n"/>
      <c r="BA607" s="1491" t="n"/>
      <c r="BB607" s="1491" t="n"/>
      <c r="BC607" s="1491" t="n"/>
      <c r="BD607" s="1491" t="n"/>
      <c r="BE607" s="1491" t="n"/>
      <c r="BF607" s="1491" t="n"/>
      <c r="BG607" s="1491" t="n"/>
      <c r="BH607" s="1491" t="n"/>
      <c r="BI607" s="1491" t="n"/>
      <c r="BJ607" s="1491" t="n"/>
      <c r="BK607" s="1491" t="n"/>
      <c r="BL607" s="1491" t="n"/>
      <c r="BM607" s="1491" t="n"/>
      <c r="BN607" s="1491" t="n"/>
      <c r="BO607" s="1467" t="n"/>
      <c r="BP607" s="1514" t="n">
        <v>603</v>
      </c>
      <c r="BQ607" s="1513" t="n"/>
      <c r="BR607" s="1513" t="n"/>
      <c r="BS607" s="1513" t="n"/>
      <c r="BT607" s="1513" t="n"/>
      <c r="BU607" s="1516" t="n"/>
      <c r="BV607" s="1513" t="n"/>
      <c r="BW607" s="1467" t="n"/>
      <c r="BX607" s="1491" t="n"/>
      <c r="BY607" s="1491" t="n"/>
      <c r="BZ607" s="1491" t="n"/>
      <c r="CA607" s="1491" t="n"/>
      <c r="CB607" s="1467" t="n"/>
      <c r="CC607" s="1467" t="n"/>
      <c r="CD607" s="1491" t="n"/>
      <c r="CE607" s="1491" t="n"/>
      <c r="CF607" s="1491" t="n"/>
      <c r="CG607" s="1491" t="n"/>
      <c r="CH607" s="1491" t="n"/>
      <c r="CI607" s="1491" t="n"/>
      <c r="CJ607" s="1491" t="n"/>
      <c r="CK607" s="1491" t="n"/>
      <c r="CL607" s="1491" t="n"/>
      <c r="CM607" s="1491" t="n"/>
      <c r="CN607" s="1491" t="n"/>
      <c r="CO607" s="1491" t="n"/>
      <c r="CP607" s="1491" t="n"/>
      <c r="CQ607" s="1491" t="n"/>
      <c r="CR607" s="1491" t="n"/>
      <c r="CS607" s="1491" t="n"/>
      <c r="CT607" s="1491" t="n"/>
      <c r="CU607" s="1491" t="n"/>
      <c r="CV607" s="1491" t="n"/>
      <c r="CW607" s="1491" t="n"/>
      <c r="CX607" s="1491" t="n"/>
    </row>
    <row r="608">
      <c r="A608" s="1491" t="n"/>
      <c r="B608" s="1491" t="n"/>
      <c r="C608" s="1491" t="n"/>
      <c r="D608" s="1491" t="n"/>
      <c r="E608" s="1491" t="n"/>
      <c r="F608" s="1491" t="n"/>
      <c r="G608" s="1491" t="n"/>
      <c r="H608" s="1491" t="n"/>
      <c r="I608" s="1427" t="inlineStr">
        <is>
          <t>.</t>
        </is>
      </c>
      <c r="J608" s="1491" t="n"/>
      <c r="K608" s="1491" t="n"/>
      <c r="L608" s="1544">
        <f>_xlfn.XLOOKUP(cities[[#This Row],[city]],ccc[city],ccc[ctry],"-")</f>
        <v/>
      </c>
      <c r="M608" s="1544">
        <f>SUMIFS(stayCity[stay],stayCity[city],cities[[#This Row],[city]])</f>
        <v/>
      </c>
      <c r="N608" s="1427">
        <f>N607+1</f>
        <v/>
      </c>
      <c r="O608" s="1491" t="n"/>
      <c r="P608" s="1491" t="n"/>
      <c r="Q608" s="1427" t="inlineStr">
        <is>
          <t>.</t>
        </is>
      </c>
      <c r="R608" s="1491" t="n"/>
      <c r="S608" s="1491" t="n"/>
      <c r="T608" s="1491" t="n"/>
      <c r="U608" s="1491" t="n"/>
      <c r="V608" s="1491" t="n"/>
      <c r="W608" s="1491" t="n"/>
      <c r="X608" s="1491" t="n"/>
      <c r="Y608" s="1491" t="n"/>
      <c r="Z608" s="1491" t="n"/>
      <c r="AA608" s="1491" t="n"/>
      <c r="AB608" s="1491" t="n"/>
      <c r="AC608" s="1491" t="n"/>
      <c r="AD608" s="1491" t="n"/>
      <c r="AE608" s="1491" t="n"/>
      <c r="AF608" s="1491" t="n"/>
      <c r="AG608" s="1491" t="n"/>
      <c r="AH608" s="1491" t="n"/>
      <c r="AI608" s="1491" t="n"/>
      <c r="AJ608" s="1491" t="n"/>
      <c r="AK608" s="1491" t="n"/>
      <c r="AL608" s="1491" t="n"/>
      <c r="AM608" s="1491" t="n"/>
      <c r="AN608" s="1491" t="n"/>
      <c r="AO608" s="1491" t="n"/>
      <c r="AP608" s="1491" t="n"/>
      <c r="AQ608" s="1491" t="n"/>
      <c r="AR608" s="1491" t="n"/>
      <c r="AS608" s="1491" t="n"/>
      <c r="AT608" s="1491" t="n"/>
      <c r="AU608" s="1491" t="n"/>
      <c r="AV608" s="1491" t="n"/>
      <c r="AW608" s="1491" t="n"/>
      <c r="AX608" s="1491" t="n"/>
      <c r="AY608" s="1491" t="n"/>
      <c r="AZ608" s="1491" t="n"/>
      <c r="BA608" s="1491" t="n"/>
      <c r="BB608" s="1491" t="n"/>
      <c r="BC608" s="1491" t="n"/>
      <c r="BD608" s="1491" t="n"/>
      <c r="BE608" s="1491" t="n"/>
      <c r="BF608" s="1491" t="n"/>
      <c r="BG608" s="1491" t="n"/>
      <c r="BH608" s="1491" t="n"/>
      <c r="BI608" s="1491" t="n"/>
      <c r="BJ608" s="1491" t="n"/>
      <c r="BK608" s="1491" t="n"/>
      <c r="BL608" s="1491" t="n"/>
      <c r="BM608" s="1491" t="n"/>
      <c r="BN608" s="1491" t="n"/>
      <c r="BO608" s="1467" t="n"/>
      <c r="BP608" s="1514" t="n">
        <v>604</v>
      </c>
      <c r="BQ608" s="1513" t="n"/>
      <c r="BR608" s="1513" t="n"/>
      <c r="BS608" s="1513" t="n"/>
      <c r="BT608" s="1513" t="n"/>
      <c r="BU608" s="1516" t="n"/>
      <c r="BV608" s="1513" t="n"/>
      <c r="BW608" s="1467" t="n"/>
      <c r="BX608" s="1491" t="n"/>
      <c r="BY608" s="1491" t="n"/>
      <c r="BZ608" s="1491" t="n"/>
      <c r="CA608" s="1491" t="n"/>
      <c r="CB608" s="1467" t="n"/>
      <c r="CC608" s="1467" t="n"/>
      <c r="CD608" s="1491" t="n"/>
      <c r="CE608" s="1491" t="n"/>
      <c r="CF608" s="1491" t="n"/>
      <c r="CG608" s="1491" t="n"/>
      <c r="CH608" s="1491" t="n"/>
      <c r="CI608" s="1491" t="n"/>
      <c r="CJ608" s="1491" t="n"/>
      <c r="CK608" s="1491" t="n"/>
      <c r="CL608" s="1491" t="n"/>
      <c r="CM608" s="1491" t="n"/>
      <c r="CN608" s="1491" t="n"/>
      <c r="CO608" s="1491" t="n"/>
      <c r="CP608" s="1491" t="n"/>
      <c r="CQ608" s="1491" t="n"/>
      <c r="CR608" s="1491" t="n"/>
      <c r="CS608" s="1491" t="n"/>
      <c r="CT608" s="1491" t="n"/>
      <c r="CU608" s="1491" t="n"/>
      <c r="CV608" s="1491" t="n"/>
      <c r="CW608" s="1491" t="n"/>
      <c r="CX608" s="1491" t="n"/>
    </row>
    <row r="609">
      <c r="A609" s="1491" t="n"/>
      <c r="B609" s="1491" t="n"/>
      <c r="C609" s="1491" t="n"/>
      <c r="D609" s="1491" t="n"/>
      <c r="E609" s="1491" t="n"/>
      <c r="F609" s="1491" t="n"/>
      <c r="G609" s="1491" t="n"/>
      <c r="H609" s="1491" t="n"/>
      <c r="I609" s="1427" t="inlineStr">
        <is>
          <t>.</t>
        </is>
      </c>
      <c r="J609" s="1491" t="n"/>
      <c r="K609" s="1491" t="n"/>
      <c r="L609" s="1544">
        <f>_xlfn.XLOOKUP(cities[[#This Row],[city]],ccc[city],ccc[ctry],"-")</f>
        <v/>
      </c>
      <c r="M609" s="1544">
        <f>SUMIFS(stayCity[stay],stayCity[city],cities[[#This Row],[city]])</f>
        <v/>
      </c>
      <c r="N609" s="1427">
        <f>N608+1</f>
        <v/>
      </c>
      <c r="O609" s="1491" t="n"/>
      <c r="P609" s="1491" t="n"/>
      <c r="Q609" s="1427" t="inlineStr">
        <is>
          <t>.</t>
        </is>
      </c>
      <c r="R609" s="1491" t="n"/>
      <c r="S609" s="1491" t="n"/>
      <c r="T609" s="1491" t="n"/>
      <c r="U609" s="1491" t="n"/>
      <c r="V609" s="1491" t="n"/>
      <c r="W609" s="1491" t="n"/>
      <c r="X609" s="1491" t="n"/>
      <c r="Y609" s="1491" t="n"/>
      <c r="Z609" s="1491" t="n"/>
      <c r="AA609" s="1491" t="n"/>
      <c r="AB609" s="1491" t="n"/>
      <c r="AC609" s="1491" t="n"/>
      <c r="AD609" s="1491" t="n"/>
      <c r="AE609" s="1491" t="n"/>
      <c r="AF609" s="1491" t="n"/>
      <c r="AG609" s="1491" t="n"/>
      <c r="AH609" s="1491" t="n"/>
      <c r="AI609" s="1491" t="n"/>
      <c r="AJ609" s="1491" t="n"/>
      <c r="AK609" s="1491" t="n"/>
      <c r="AL609" s="1491" t="n"/>
      <c r="AM609" s="1491" t="n"/>
      <c r="AN609" s="1491" t="n"/>
      <c r="AO609" s="1491" t="n"/>
      <c r="AP609" s="1491" t="n"/>
      <c r="AQ609" s="1491" t="n"/>
      <c r="AR609" s="1491" t="n"/>
      <c r="AS609" s="1491" t="n"/>
      <c r="AT609" s="1491" t="n"/>
      <c r="AU609" s="1491" t="n"/>
      <c r="AV609" s="1491" t="n"/>
      <c r="AW609" s="1491" t="n"/>
      <c r="AX609" s="1491" t="n"/>
      <c r="AY609" s="1491" t="n"/>
      <c r="AZ609" s="1491" t="n"/>
      <c r="BA609" s="1491" t="n"/>
      <c r="BB609" s="1491" t="n"/>
      <c r="BC609" s="1491" t="n"/>
      <c r="BD609" s="1491" t="n"/>
      <c r="BE609" s="1491" t="n"/>
      <c r="BF609" s="1491" t="n"/>
      <c r="BG609" s="1491" t="n"/>
      <c r="BH609" s="1491" t="n"/>
      <c r="BI609" s="1491" t="n"/>
      <c r="BJ609" s="1491" t="n"/>
      <c r="BK609" s="1491" t="n"/>
      <c r="BL609" s="1491" t="n"/>
      <c r="BM609" s="1491" t="n"/>
      <c r="BN609" s="1491" t="n"/>
      <c r="BO609" s="1467" t="n"/>
      <c r="BP609" s="1514" t="n">
        <v>605</v>
      </c>
      <c r="BQ609" s="1513" t="n"/>
      <c r="BR609" s="1513" t="n"/>
      <c r="BS609" s="1513" t="n"/>
      <c r="BT609" s="1513" t="n"/>
      <c r="BU609" s="1516" t="n"/>
      <c r="BV609" s="1513" t="n"/>
      <c r="BW609" s="1467" t="n"/>
      <c r="BX609" s="1491" t="n"/>
      <c r="BY609" s="1491" t="n"/>
      <c r="BZ609" s="1491" t="n"/>
      <c r="CA609" s="1491" t="n"/>
      <c r="CB609" s="1467" t="n"/>
      <c r="CC609" s="1467" t="n"/>
      <c r="CD609" s="1491" t="n"/>
      <c r="CE609" s="1491" t="n"/>
      <c r="CF609" s="1491" t="n"/>
      <c r="CG609" s="1491" t="n"/>
      <c r="CH609" s="1491" t="n"/>
      <c r="CI609" s="1491" t="n"/>
      <c r="CJ609" s="1491" t="n"/>
      <c r="CK609" s="1491" t="n"/>
      <c r="CL609" s="1491" t="n"/>
      <c r="CM609" s="1491" t="n"/>
      <c r="CN609" s="1491" t="n"/>
      <c r="CO609" s="1491" t="n"/>
      <c r="CP609" s="1491" t="n"/>
      <c r="CQ609" s="1491" t="n"/>
      <c r="CR609" s="1491" t="n"/>
      <c r="CS609" s="1491" t="n"/>
      <c r="CT609" s="1491" t="n"/>
      <c r="CU609" s="1491" t="n"/>
      <c r="CV609" s="1491" t="n"/>
      <c r="CW609" s="1491" t="n"/>
      <c r="CX609" s="1491" t="n"/>
    </row>
    <row r="610">
      <c r="A610" s="1491" t="n"/>
      <c r="B610" s="1491" t="n"/>
      <c r="C610" s="1491" t="n"/>
      <c r="D610" s="1491" t="n"/>
      <c r="E610" s="1491" t="n"/>
      <c r="F610" s="1491" t="n"/>
      <c r="G610" s="1491" t="n"/>
      <c r="H610" s="1491" t="n"/>
      <c r="I610" s="1427" t="inlineStr">
        <is>
          <t>.</t>
        </is>
      </c>
      <c r="J610" s="1491" t="n"/>
      <c r="K610" s="1491" t="n"/>
      <c r="L610" s="1544">
        <f>_xlfn.XLOOKUP(cities[[#This Row],[city]],ccc[city],ccc[ctry],"-")</f>
        <v/>
      </c>
      <c r="M610" s="1544">
        <f>SUMIFS(stayCity[stay],stayCity[city],cities[[#This Row],[city]])</f>
        <v/>
      </c>
      <c r="N610" s="1427">
        <f>N609+1</f>
        <v/>
      </c>
      <c r="O610" s="1491" t="n"/>
      <c r="P610" s="1491" t="n"/>
      <c r="Q610" s="1427" t="inlineStr">
        <is>
          <t>.</t>
        </is>
      </c>
      <c r="R610" s="1491" t="n"/>
      <c r="S610" s="1491" t="n"/>
      <c r="T610" s="1491" t="n"/>
      <c r="U610" s="1491" t="n"/>
      <c r="V610" s="1491" t="n"/>
      <c r="W610" s="1491" t="n"/>
      <c r="X610" s="1491" t="n"/>
      <c r="Y610" s="1491" t="n"/>
      <c r="Z610" s="1491" t="n"/>
      <c r="AA610" s="1491" t="n"/>
      <c r="AB610" s="1491" t="n"/>
      <c r="AC610" s="1491" t="n"/>
      <c r="AD610" s="1491" t="n"/>
      <c r="AE610" s="1491" t="n"/>
      <c r="AF610" s="1491" t="n"/>
      <c r="AG610" s="1491" t="n"/>
      <c r="AH610" s="1491" t="n"/>
      <c r="AI610" s="1491" t="n"/>
      <c r="AJ610" s="1491" t="n"/>
      <c r="AK610" s="1491" t="n"/>
      <c r="AL610" s="1491" t="n"/>
      <c r="AM610" s="1491" t="n"/>
      <c r="AN610" s="1491" t="n"/>
      <c r="AO610" s="1491" t="n"/>
      <c r="AP610" s="1491" t="n"/>
      <c r="AQ610" s="1491" t="n"/>
      <c r="AR610" s="1491" t="n"/>
      <c r="AS610" s="1491" t="n"/>
      <c r="AT610" s="1491" t="n"/>
      <c r="AU610" s="1491" t="n"/>
      <c r="AV610" s="1491" t="n"/>
      <c r="AW610" s="1491" t="n"/>
      <c r="AX610" s="1491" t="n"/>
      <c r="AY610" s="1491" t="n"/>
      <c r="AZ610" s="1491" t="n"/>
      <c r="BA610" s="1491" t="n"/>
      <c r="BB610" s="1491" t="n"/>
      <c r="BC610" s="1491" t="n"/>
      <c r="BD610" s="1491" t="n"/>
      <c r="BE610" s="1491" t="n"/>
      <c r="BF610" s="1491" t="n"/>
      <c r="BG610" s="1491" t="n"/>
      <c r="BH610" s="1491" t="n"/>
      <c r="BI610" s="1491" t="n"/>
      <c r="BJ610" s="1491" t="n"/>
      <c r="BK610" s="1491" t="n"/>
      <c r="BL610" s="1491" t="n"/>
      <c r="BM610" s="1491" t="n"/>
      <c r="BN610" s="1491" t="n"/>
      <c r="BO610" s="1467" t="n"/>
      <c r="BP610" s="1514" t="n">
        <v>606</v>
      </c>
      <c r="BQ610" s="1513" t="n"/>
      <c r="BR610" s="1513" t="n"/>
      <c r="BS610" s="1513" t="n"/>
      <c r="BT610" s="1513" t="n"/>
      <c r="BU610" s="1516" t="n"/>
      <c r="BV610" s="1513" t="n"/>
      <c r="BW610" s="1467" t="n"/>
      <c r="BX610" s="1491" t="n"/>
      <c r="BY610" s="1491" t="n"/>
      <c r="BZ610" s="1491" t="n"/>
      <c r="CA610" s="1491" t="n"/>
      <c r="CB610" s="1467" t="n"/>
      <c r="CC610" s="1467" t="n"/>
      <c r="CD610" s="1491" t="n"/>
      <c r="CE610" s="1491" t="n"/>
      <c r="CF610" s="1491" t="n"/>
      <c r="CG610" s="1491" t="n"/>
      <c r="CH610" s="1491" t="n"/>
      <c r="CI610" s="1491" t="n"/>
      <c r="CJ610" s="1491" t="n"/>
      <c r="CK610" s="1491" t="n"/>
      <c r="CL610" s="1491" t="n"/>
      <c r="CM610" s="1491" t="n"/>
      <c r="CN610" s="1491" t="n"/>
      <c r="CO610" s="1491" t="n"/>
      <c r="CP610" s="1491" t="n"/>
      <c r="CQ610" s="1491" t="n"/>
      <c r="CR610" s="1491" t="n"/>
      <c r="CS610" s="1491" t="n"/>
      <c r="CT610" s="1491" t="n"/>
      <c r="CU610" s="1491" t="n"/>
      <c r="CV610" s="1491" t="n"/>
      <c r="CW610" s="1491" t="n"/>
      <c r="CX610" s="1491" t="n"/>
    </row>
    <row r="611">
      <c r="A611" s="1491" t="n"/>
      <c r="B611" s="1491" t="n"/>
      <c r="C611" s="1491" t="n"/>
      <c r="D611" s="1491" t="n"/>
      <c r="E611" s="1491" t="n"/>
      <c r="F611" s="1491" t="n"/>
      <c r="G611" s="1491" t="n"/>
      <c r="H611" s="1491" t="n"/>
      <c r="I611" s="1427" t="inlineStr">
        <is>
          <t>.</t>
        </is>
      </c>
      <c r="J611" s="1491" t="n"/>
      <c r="K611" s="1491" t="n"/>
      <c r="L611" s="1544">
        <f>_xlfn.XLOOKUP(cities[[#This Row],[city]],ccc[city],ccc[ctry],"-")</f>
        <v/>
      </c>
      <c r="M611" s="1544">
        <f>SUMIFS(stayCity[stay],stayCity[city],cities[[#This Row],[city]])</f>
        <v/>
      </c>
      <c r="N611" s="1427">
        <f>N610+1</f>
        <v/>
      </c>
      <c r="O611" s="1491" t="n"/>
      <c r="P611" s="1491" t="n"/>
      <c r="Q611" s="1427" t="inlineStr">
        <is>
          <t>.</t>
        </is>
      </c>
      <c r="R611" s="1491" t="n"/>
      <c r="S611" s="1491" t="n"/>
      <c r="T611" s="1491" t="n"/>
      <c r="U611" s="1491" t="n"/>
      <c r="V611" s="1491" t="n"/>
      <c r="W611" s="1491" t="n"/>
      <c r="X611" s="1491" t="n"/>
      <c r="Y611" s="1491" t="n"/>
      <c r="Z611" s="1491" t="n"/>
      <c r="AA611" s="1491" t="n"/>
      <c r="AB611" s="1491" t="n"/>
      <c r="AC611" s="1491" t="n"/>
      <c r="AD611" s="1491" t="n"/>
      <c r="AE611" s="1491" t="n"/>
      <c r="AF611" s="1491" t="n"/>
      <c r="AG611" s="1491" t="n"/>
      <c r="AH611" s="1491" t="n"/>
      <c r="AI611" s="1491" t="n"/>
      <c r="AJ611" s="1491" t="n"/>
      <c r="AK611" s="1491" t="n"/>
      <c r="AL611" s="1491" t="n"/>
      <c r="AM611" s="1491" t="n"/>
      <c r="AN611" s="1491" t="n"/>
      <c r="AO611" s="1491" t="n"/>
      <c r="AP611" s="1491" t="n"/>
      <c r="AQ611" s="1491" t="n"/>
      <c r="AR611" s="1491" t="n"/>
      <c r="AS611" s="1491" t="n"/>
      <c r="AT611" s="1491" t="n"/>
      <c r="AU611" s="1491" t="n"/>
      <c r="AV611" s="1491" t="n"/>
      <c r="AW611" s="1491" t="n"/>
      <c r="AX611" s="1491" t="n"/>
      <c r="AY611" s="1491" t="n"/>
      <c r="AZ611" s="1491" t="n"/>
      <c r="BA611" s="1491" t="n"/>
      <c r="BB611" s="1491" t="n"/>
      <c r="BC611" s="1491" t="n"/>
      <c r="BD611" s="1491" t="n"/>
      <c r="BE611" s="1491" t="n"/>
      <c r="BF611" s="1491" t="n"/>
      <c r="BG611" s="1491" t="n"/>
      <c r="BH611" s="1491" t="n"/>
      <c r="BI611" s="1491" t="n"/>
      <c r="BJ611" s="1491" t="n"/>
      <c r="BK611" s="1491" t="n"/>
      <c r="BL611" s="1491" t="n"/>
      <c r="BM611" s="1491" t="n"/>
      <c r="BN611" s="1491" t="n"/>
      <c r="BO611" s="1467" t="n"/>
      <c r="BP611" s="1514" t="n">
        <v>607</v>
      </c>
      <c r="BQ611" s="1513" t="n"/>
      <c r="BR611" s="1513" t="n"/>
      <c r="BS611" s="1513" t="n"/>
      <c r="BT611" s="1513" t="n"/>
      <c r="BU611" s="1516" t="n"/>
      <c r="BV611" s="1513" t="n"/>
      <c r="BW611" s="1467" t="n"/>
      <c r="BX611" s="1491" t="n"/>
      <c r="BY611" s="1491" t="n"/>
      <c r="BZ611" s="1491" t="n"/>
      <c r="CA611" s="1491" t="n"/>
      <c r="CB611" s="1467" t="n"/>
      <c r="CC611" s="1467" t="n"/>
      <c r="CD611" s="1491" t="n"/>
      <c r="CE611" s="1491" t="n"/>
      <c r="CF611" s="1491" t="n"/>
      <c r="CG611" s="1491" t="n"/>
      <c r="CH611" s="1491" t="n"/>
      <c r="CI611" s="1491" t="n"/>
      <c r="CJ611" s="1491" t="n"/>
      <c r="CK611" s="1491" t="n"/>
      <c r="CL611" s="1491" t="n"/>
      <c r="CM611" s="1491" t="n"/>
      <c r="CN611" s="1491" t="n"/>
      <c r="CO611" s="1491" t="n"/>
      <c r="CP611" s="1491" t="n"/>
      <c r="CQ611" s="1491" t="n"/>
      <c r="CR611" s="1491" t="n"/>
      <c r="CS611" s="1491" t="n"/>
      <c r="CT611" s="1491" t="n"/>
      <c r="CU611" s="1491" t="n"/>
      <c r="CV611" s="1491" t="n"/>
      <c r="CW611" s="1491" t="n"/>
      <c r="CX611" s="1491" t="n"/>
    </row>
    <row r="612">
      <c r="A612" s="1491" t="n"/>
      <c r="B612" s="1491" t="n"/>
      <c r="C612" s="1491" t="n"/>
      <c r="D612" s="1491" t="n"/>
      <c r="E612" s="1491" t="n"/>
      <c r="F612" s="1491" t="n"/>
      <c r="G612" s="1491" t="n"/>
      <c r="H612" s="1491" t="n"/>
      <c r="I612" s="1427" t="inlineStr">
        <is>
          <t>.</t>
        </is>
      </c>
      <c r="J612" s="1491" t="n"/>
      <c r="K612" s="1491" t="n"/>
      <c r="L612" s="1544">
        <f>_xlfn.XLOOKUP(cities[[#This Row],[city]],ccc[city],ccc[ctry],"-")</f>
        <v/>
      </c>
      <c r="M612" s="1544">
        <f>SUMIFS(stayCity[stay],stayCity[city],cities[[#This Row],[city]])</f>
        <v/>
      </c>
      <c r="N612" s="1427">
        <f>N611+1</f>
        <v/>
      </c>
      <c r="O612" s="1491" t="n"/>
      <c r="P612" s="1491" t="n"/>
      <c r="Q612" s="1427" t="inlineStr">
        <is>
          <t>.</t>
        </is>
      </c>
      <c r="R612" s="1491" t="n"/>
      <c r="S612" s="1491" t="n"/>
      <c r="T612" s="1491" t="n"/>
      <c r="U612" s="1491" t="n"/>
      <c r="V612" s="1491" t="n"/>
      <c r="W612" s="1491" t="n"/>
      <c r="X612" s="1491" t="n"/>
      <c r="Y612" s="1491" t="n"/>
      <c r="Z612" s="1491" t="n"/>
      <c r="AA612" s="1491" t="n"/>
      <c r="AB612" s="1491" t="n"/>
      <c r="AC612" s="1491" t="n"/>
      <c r="AD612" s="1491" t="n"/>
      <c r="AE612" s="1491" t="n"/>
      <c r="AF612" s="1491" t="n"/>
      <c r="AG612" s="1491" t="n"/>
      <c r="AH612" s="1491" t="n"/>
      <c r="AI612" s="1491" t="n"/>
      <c r="AJ612" s="1491" t="n"/>
      <c r="AK612" s="1491" t="n"/>
      <c r="AL612" s="1491" t="n"/>
      <c r="AM612" s="1491" t="n"/>
      <c r="AN612" s="1491" t="n"/>
      <c r="AO612" s="1491" t="n"/>
      <c r="AP612" s="1491" t="n"/>
      <c r="AQ612" s="1491" t="n"/>
      <c r="AR612" s="1491" t="n"/>
      <c r="AS612" s="1491" t="n"/>
      <c r="AT612" s="1491" t="n"/>
      <c r="AU612" s="1491" t="n"/>
      <c r="AV612" s="1491" t="n"/>
      <c r="AW612" s="1491" t="n"/>
      <c r="AX612" s="1491" t="n"/>
      <c r="AY612" s="1491" t="n"/>
      <c r="AZ612" s="1491" t="n"/>
      <c r="BA612" s="1491" t="n"/>
      <c r="BB612" s="1491" t="n"/>
      <c r="BC612" s="1491" t="n"/>
      <c r="BD612" s="1491" t="n"/>
      <c r="BE612" s="1491" t="n"/>
      <c r="BF612" s="1491" t="n"/>
      <c r="BG612" s="1491" t="n"/>
      <c r="BH612" s="1491" t="n"/>
      <c r="BI612" s="1491" t="n"/>
      <c r="BJ612" s="1491" t="n"/>
      <c r="BK612" s="1491" t="n"/>
      <c r="BL612" s="1491" t="n"/>
      <c r="BM612" s="1491" t="n"/>
      <c r="BN612" s="1491" t="n"/>
      <c r="BO612" s="1467" t="n"/>
      <c r="BP612" s="1514" t="n">
        <v>608</v>
      </c>
      <c r="BQ612" s="1513" t="n"/>
      <c r="BR612" s="1513" t="n"/>
      <c r="BS612" s="1513" t="n"/>
      <c r="BT612" s="1513" t="n"/>
      <c r="BU612" s="1516" t="n"/>
      <c r="BV612" s="1513" t="n"/>
      <c r="BW612" s="1467" t="n"/>
      <c r="BX612" s="1491" t="n"/>
      <c r="BY612" s="1491" t="n"/>
      <c r="BZ612" s="1491" t="n"/>
      <c r="CA612" s="1491" t="n"/>
      <c r="CB612" s="1467" t="n"/>
      <c r="CC612" s="1467" t="n"/>
      <c r="CD612" s="1491" t="n"/>
      <c r="CE612" s="1491" t="n"/>
      <c r="CF612" s="1491" t="n"/>
      <c r="CG612" s="1491" t="n"/>
      <c r="CH612" s="1491" t="n"/>
      <c r="CI612" s="1491" t="n"/>
      <c r="CJ612" s="1491" t="n"/>
      <c r="CK612" s="1491" t="n"/>
      <c r="CL612" s="1491" t="n"/>
      <c r="CM612" s="1491" t="n"/>
      <c r="CN612" s="1491" t="n"/>
      <c r="CO612" s="1491" t="n"/>
      <c r="CP612" s="1491" t="n"/>
      <c r="CQ612" s="1491" t="n"/>
      <c r="CR612" s="1491" t="n"/>
      <c r="CS612" s="1491" t="n"/>
      <c r="CT612" s="1491" t="n"/>
      <c r="CU612" s="1491" t="n"/>
      <c r="CV612" s="1491" t="n"/>
      <c r="CW612" s="1491" t="n"/>
      <c r="CX612" s="1491" t="n"/>
    </row>
    <row r="613">
      <c r="A613" s="1491" t="n"/>
      <c r="B613" s="1491" t="n"/>
      <c r="C613" s="1491" t="n"/>
      <c r="D613" s="1491" t="n"/>
      <c r="E613" s="1491" t="n"/>
      <c r="F613" s="1491" t="n"/>
      <c r="G613" s="1491" t="n"/>
      <c r="H613" s="1491" t="n"/>
      <c r="I613" s="1427" t="inlineStr">
        <is>
          <t>.</t>
        </is>
      </c>
      <c r="J613" s="1491" t="n"/>
      <c r="K613" s="1491" t="n"/>
      <c r="L613" s="1544">
        <f>_xlfn.XLOOKUP(cities[[#This Row],[city]],ccc[city],ccc[ctry],"-")</f>
        <v/>
      </c>
      <c r="M613" s="1544">
        <f>SUMIFS(stayCity[stay],stayCity[city],cities[[#This Row],[city]])</f>
        <v/>
      </c>
      <c r="N613" s="1427">
        <f>N612+1</f>
        <v/>
      </c>
      <c r="O613" s="1491" t="n"/>
      <c r="P613" s="1491" t="n"/>
      <c r="Q613" s="1427" t="inlineStr">
        <is>
          <t>.</t>
        </is>
      </c>
      <c r="R613" s="1491" t="n"/>
      <c r="S613" s="1491" t="n"/>
      <c r="T613" s="1491" t="n"/>
      <c r="U613" s="1491" t="n"/>
      <c r="V613" s="1491" t="n"/>
      <c r="W613" s="1491" t="n"/>
      <c r="X613" s="1491" t="n"/>
      <c r="Y613" s="1491" t="n"/>
      <c r="Z613" s="1491" t="n"/>
      <c r="AA613" s="1491" t="n"/>
      <c r="AB613" s="1491" t="n"/>
      <c r="AC613" s="1491" t="n"/>
      <c r="AD613" s="1491" t="n"/>
      <c r="AE613" s="1491" t="n"/>
      <c r="AF613" s="1491" t="n"/>
      <c r="AG613" s="1491" t="n"/>
      <c r="AH613" s="1491" t="n"/>
      <c r="AI613" s="1491" t="n"/>
      <c r="AJ613" s="1491" t="n"/>
      <c r="AK613" s="1491" t="n"/>
      <c r="AL613" s="1491" t="n"/>
      <c r="AM613" s="1491" t="n"/>
      <c r="AN613" s="1491" t="n"/>
      <c r="AO613" s="1491" t="n"/>
      <c r="AP613" s="1491" t="n"/>
      <c r="AQ613" s="1491" t="n"/>
      <c r="AR613" s="1491" t="n"/>
      <c r="AS613" s="1491" t="n"/>
      <c r="AT613" s="1491" t="n"/>
      <c r="AU613" s="1491" t="n"/>
      <c r="AV613" s="1491" t="n"/>
      <c r="AW613" s="1491" t="n"/>
      <c r="AX613" s="1491" t="n"/>
      <c r="AY613" s="1491" t="n"/>
      <c r="AZ613" s="1491" t="n"/>
      <c r="BA613" s="1491" t="n"/>
      <c r="BB613" s="1491" t="n"/>
      <c r="BC613" s="1491" t="n"/>
      <c r="BD613" s="1491" t="n"/>
      <c r="BE613" s="1491" t="n"/>
      <c r="BF613" s="1491" t="n"/>
      <c r="BG613" s="1491" t="n"/>
      <c r="BH613" s="1491" t="n"/>
      <c r="BI613" s="1491" t="n"/>
      <c r="BJ613" s="1491" t="n"/>
      <c r="BK613" s="1491" t="n"/>
      <c r="BL613" s="1491" t="n"/>
      <c r="BM613" s="1491" t="n"/>
      <c r="BN613" s="1491" t="n"/>
      <c r="BO613" s="1467" t="n"/>
      <c r="BP613" s="1514" t="n">
        <v>609</v>
      </c>
      <c r="BQ613" s="1513" t="n"/>
      <c r="BR613" s="1513" t="n"/>
      <c r="BS613" s="1513" t="n"/>
      <c r="BT613" s="1513" t="n"/>
      <c r="BU613" s="1516" t="n"/>
      <c r="BV613" s="1513" t="n"/>
      <c r="BW613" s="1467" t="n"/>
      <c r="BX613" s="1491" t="n"/>
      <c r="BY613" s="1491" t="n"/>
      <c r="BZ613" s="1491" t="n"/>
      <c r="CA613" s="1491" t="n"/>
      <c r="CB613" s="1467" t="n"/>
      <c r="CC613" s="1467" t="n"/>
      <c r="CD613" s="1491" t="n"/>
      <c r="CE613" s="1491" t="n"/>
      <c r="CF613" s="1491" t="n"/>
      <c r="CG613" s="1491" t="n"/>
      <c r="CH613" s="1491" t="n"/>
      <c r="CI613" s="1491" t="n"/>
      <c r="CJ613" s="1491" t="n"/>
      <c r="CK613" s="1491" t="n"/>
      <c r="CL613" s="1491" t="n"/>
      <c r="CM613" s="1491" t="n"/>
      <c r="CN613" s="1491" t="n"/>
      <c r="CO613" s="1491" t="n"/>
      <c r="CP613" s="1491" t="n"/>
      <c r="CQ613" s="1491" t="n"/>
      <c r="CR613" s="1491" t="n"/>
      <c r="CS613" s="1491" t="n"/>
      <c r="CT613" s="1491" t="n"/>
      <c r="CU613" s="1491" t="n"/>
      <c r="CV613" s="1491" t="n"/>
      <c r="CW613" s="1491" t="n"/>
      <c r="CX613" s="1491" t="n"/>
    </row>
    <row r="614">
      <c r="A614" s="1491" t="n"/>
      <c r="B614" s="1491" t="n"/>
      <c r="C614" s="1491" t="n"/>
      <c r="D614" s="1491" t="n"/>
      <c r="E614" s="1491" t="n"/>
      <c r="F614" s="1491" t="n"/>
      <c r="G614" s="1491" t="n"/>
      <c r="H614" s="1491" t="n"/>
      <c r="I614" s="1427" t="inlineStr">
        <is>
          <t>.</t>
        </is>
      </c>
      <c r="J614" s="1491" t="n"/>
      <c r="K614" s="1491" t="n"/>
      <c r="L614" s="1544">
        <f>_xlfn.XLOOKUP(cities[[#This Row],[city]],ccc[city],ccc[ctry],"-")</f>
        <v/>
      </c>
      <c r="M614" s="1544">
        <f>SUMIFS(stayCity[stay],stayCity[city],cities[[#This Row],[city]])</f>
        <v/>
      </c>
      <c r="N614" s="1427">
        <f>N613+1</f>
        <v/>
      </c>
      <c r="O614" s="1491" t="n"/>
      <c r="P614" s="1491" t="n"/>
      <c r="Q614" s="1427" t="inlineStr">
        <is>
          <t>.</t>
        </is>
      </c>
      <c r="R614" s="1491" t="n"/>
      <c r="S614" s="1491" t="n"/>
      <c r="T614" s="1491" t="n"/>
      <c r="U614" s="1491" t="n"/>
      <c r="V614" s="1491" t="n"/>
      <c r="W614" s="1491" t="n"/>
      <c r="X614" s="1491" t="n"/>
      <c r="Y614" s="1491" t="n"/>
      <c r="Z614" s="1491" t="n"/>
      <c r="AA614" s="1491" t="n"/>
      <c r="AB614" s="1491" t="n"/>
      <c r="AC614" s="1491" t="n"/>
      <c r="AD614" s="1491" t="n"/>
      <c r="AE614" s="1491" t="n"/>
      <c r="AF614" s="1491" t="n"/>
      <c r="AG614" s="1491" t="n"/>
      <c r="AH614" s="1491" t="n"/>
      <c r="AI614" s="1491" t="n"/>
      <c r="AJ614" s="1491" t="n"/>
      <c r="AK614" s="1491" t="n"/>
      <c r="AL614" s="1491" t="n"/>
      <c r="AM614" s="1491" t="n"/>
      <c r="AN614" s="1491" t="n"/>
      <c r="AO614" s="1491" t="n"/>
      <c r="AP614" s="1491" t="n"/>
      <c r="AQ614" s="1491" t="n"/>
      <c r="AR614" s="1491" t="n"/>
      <c r="AS614" s="1491" t="n"/>
      <c r="AT614" s="1491" t="n"/>
      <c r="AU614" s="1491" t="n"/>
      <c r="AV614" s="1491" t="n"/>
      <c r="AW614" s="1491" t="n"/>
      <c r="AX614" s="1491" t="n"/>
      <c r="AY614" s="1491" t="n"/>
      <c r="AZ614" s="1491" t="n"/>
      <c r="BA614" s="1491" t="n"/>
      <c r="BB614" s="1491" t="n"/>
      <c r="BC614" s="1491" t="n"/>
      <c r="BD614" s="1491" t="n"/>
      <c r="BE614" s="1491" t="n"/>
      <c r="BF614" s="1491" t="n"/>
      <c r="BG614" s="1491" t="n"/>
      <c r="BH614" s="1491" t="n"/>
      <c r="BI614" s="1491" t="n"/>
      <c r="BJ614" s="1491" t="n"/>
      <c r="BK614" s="1491" t="n"/>
      <c r="BL614" s="1491" t="n"/>
      <c r="BM614" s="1491" t="n"/>
      <c r="BN614" s="1491" t="n"/>
      <c r="BO614" s="1467" t="n"/>
      <c r="BP614" s="1514" t="n">
        <v>610</v>
      </c>
      <c r="BQ614" s="1513" t="n"/>
      <c r="BR614" s="1513" t="n"/>
      <c r="BS614" s="1513" t="n"/>
      <c r="BT614" s="1513" t="n"/>
      <c r="BU614" s="1516" t="n"/>
      <c r="BV614" s="1513" t="n"/>
      <c r="BW614" s="1467" t="n"/>
      <c r="BX614" s="1491" t="n"/>
      <c r="BY614" s="1491" t="n"/>
      <c r="BZ614" s="1491" t="n"/>
      <c r="CA614" s="1491" t="n"/>
      <c r="CB614" s="1467" t="n"/>
      <c r="CC614" s="1467" t="n"/>
      <c r="CD614" s="1491" t="n"/>
      <c r="CE614" s="1491" t="n"/>
      <c r="CF614" s="1491" t="n"/>
      <c r="CG614" s="1491" t="n"/>
      <c r="CH614" s="1491" t="n"/>
      <c r="CI614" s="1491" t="n"/>
      <c r="CJ614" s="1491" t="n"/>
      <c r="CK614" s="1491" t="n"/>
      <c r="CL614" s="1491" t="n"/>
      <c r="CM614" s="1491" t="n"/>
      <c r="CN614" s="1491" t="n"/>
      <c r="CO614" s="1491" t="n"/>
      <c r="CP614" s="1491" t="n"/>
      <c r="CQ614" s="1491" t="n"/>
      <c r="CR614" s="1491" t="n"/>
      <c r="CS614" s="1491" t="n"/>
      <c r="CT614" s="1491" t="n"/>
      <c r="CU614" s="1491" t="n"/>
      <c r="CV614" s="1491" t="n"/>
      <c r="CW614" s="1491" t="n"/>
      <c r="CX614" s="1491" t="n"/>
    </row>
    <row r="615">
      <c r="A615" s="1491" t="n"/>
      <c r="B615" s="1491" t="n"/>
      <c r="C615" s="1491" t="n"/>
      <c r="D615" s="1491" t="n"/>
      <c r="E615" s="1491" t="n"/>
      <c r="F615" s="1491" t="n"/>
      <c r="G615" s="1491" t="n"/>
      <c r="H615" s="1491" t="n"/>
      <c r="I615" s="1427" t="inlineStr">
        <is>
          <t>.</t>
        </is>
      </c>
      <c r="J615" s="1491" t="n"/>
      <c r="K615" s="1491" t="n"/>
      <c r="L615" s="1544">
        <f>_xlfn.XLOOKUP(cities[[#This Row],[city]],ccc[city],ccc[ctry],"-")</f>
        <v/>
      </c>
      <c r="M615" s="1544">
        <f>SUMIFS(stayCity[stay],stayCity[city],cities[[#This Row],[city]])</f>
        <v/>
      </c>
      <c r="N615" s="1427">
        <f>N614+1</f>
        <v/>
      </c>
      <c r="O615" s="1491" t="n"/>
      <c r="P615" s="1491" t="n"/>
      <c r="Q615" s="1427" t="inlineStr">
        <is>
          <t>.</t>
        </is>
      </c>
      <c r="R615" s="1491" t="n"/>
      <c r="S615" s="1491" t="n"/>
      <c r="T615" s="1491" t="n"/>
      <c r="U615" s="1491" t="n"/>
      <c r="V615" s="1491" t="n"/>
      <c r="W615" s="1491" t="n"/>
      <c r="X615" s="1491" t="n"/>
      <c r="Y615" s="1491" t="n"/>
      <c r="Z615" s="1491" t="n"/>
      <c r="AA615" s="1491" t="n"/>
      <c r="AB615" s="1491" t="n"/>
      <c r="AC615" s="1491" t="n"/>
      <c r="AD615" s="1491" t="n"/>
      <c r="AE615" s="1491" t="n"/>
      <c r="AF615" s="1491" t="n"/>
      <c r="AG615" s="1491" t="n"/>
      <c r="AH615" s="1491" t="n"/>
      <c r="AI615" s="1491" t="n"/>
      <c r="AJ615" s="1491" t="n"/>
      <c r="AK615" s="1491" t="n"/>
      <c r="AL615" s="1491" t="n"/>
      <c r="AM615" s="1491" t="n"/>
      <c r="AN615" s="1491" t="n"/>
      <c r="AO615" s="1491" t="n"/>
      <c r="AP615" s="1491" t="n"/>
      <c r="AQ615" s="1491" t="n"/>
      <c r="AR615" s="1491" t="n"/>
      <c r="AS615" s="1491" t="n"/>
      <c r="AT615" s="1491" t="n"/>
      <c r="AU615" s="1491" t="n"/>
      <c r="AV615" s="1491" t="n"/>
      <c r="AW615" s="1491" t="n"/>
      <c r="AX615" s="1491" t="n"/>
      <c r="AY615" s="1491" t="n"/>
      <c r="AZ615" s="1491" t="n"/>
      <c r="BA615" s="1491" t="n"/>
      <c r="BB615" s="1491" t="n"/>
      <c r="BC615" s="1491" t="n"/>
      <c r="BD615" s="1491" t="n"/>
      <c r="BE615" s="1491" t="n"/>
      <c r="BF615" s="1491" t="n"/>
      <c r="BG615" s="1491" t="n"/>
      <c r="BH615" s="1491" t="n"/>
      <c r="BI615" s="1491" t="n"/>
      <c r="BJ615" s="1491" t="n"/>
      <c r="BK615" s="1491" t="n"/>
      <c r="BL615" s="1491" t="n"/>
      <c r="BM615" s="1491" t="n"/>
      <c r="BN615" s="1491" t="n"/>
      <c r="BO615" s="1467" t="n"/>
      <c r="BP615" s="1514" t="n">
        <v>611</v>
      </c>
      <c r="BQ615" s="1513" t="n"/>
      <c r="BR615" s="1513" t="n"/>
      <c r="BS615" s="1513" t="n"/>
      <c r="BT615" s="1513" t="n"/>
      <c r="BU615" s="1516" t="n"/>
      <c r="BV615" s="1513" t="n"/>
      <c r="BW615" s="1467" t="n"/>
      <c r="BX615" s="1491" t="n"/>
      <c r="BY615" s="1491" t="n"/>
      <c r="BZ615" s="1491" t="n"/>
      <c r="CA615" s="1491" t="n"/>
      <c r="CB615" s="1467" t="n"/>
      <c r="CC615" s="1467" t="n"/>
      <c r="CD615" s="1491" t="n"/>
      <c r="CE615" s="1491" t="n"/>
      <c r="CF615" s="1491" t="n"/>
      <c r="CG615" s="1491" t="n"/>
      <c r="CH615" s="1491" t="n"/>
      <c r="CI615" s="1491" t="n"/>
      <c r="CJ615" s="1491" t="n"/>
      <c r="CK615" s="1491" t="n"/>
      <c r="CL615" s="1491" t="n"/>
      <c r="CM615" s="1491" t="n"/>
      <c r="CN615" s="1491" t="n"/>
      <c r="CO615" s="1491" t="n"/>
      <c r="CP615" s="1491" t="n"/>
      <c r="CQ615" s="1491" t="n"/>
      <c r="CR615" s="1491" t="n"/>
      <c r="CS615" s="1491" t="n"/>
      <c r="CT615" s="1491" t="n"/>
      <c r="CU615" s="1491" t="n"/>
      <c r="CV615" s="1491" t="n"/>
      <c r="CW615" s="1491" t="n"/>
      <c r="CX615" s="1491" t="n"/>
    </row>
    <row r="616">
      <c r="A616" s="1491" t="n"/>
      <c r="B616" s="1491" t="n"/>
      <c r="C616" s="1491" t="n"/>
      <c r="D616" s="1491" t="n"/>
      <c r="E616" s="1491" t="n"/>
      <c r="F616" s="1491" t="n"/>
      <c r="G616" s="1491" t="n"/>
      <c r="H616" s="1491" t="n"/>
      <c r="I616" s="1427" t="inlineStr">
        <is>
          <t>.</t>
        </is>
      </c>
      <c r="J616" s="1491" t="n"/>
      <c r="K616" s="1491" t="n"/>
      <c r="L616" s="1544">
        <f>_xlfn.XLOOKUP(cities[[#This Row],[city]],ccc[city],ccc[ctry],"-")</f>
        <v/>
      </c>
      <c r="M616" s="1544">
        <f>SUMIFS(stayCity[stay],stayCity[city],cities[[#This Row],[city]])</f>
        <v/>
      </c>
      <c r="N616" s="1427">
        <f>N615+1</f>
        <v/>
      </c>
      <c r="O616" s="1491" t="n"/>
      <c r="P616" s="1491" t="n"/>
      <c r="Q616" s="1427" t="inlineStr">
        <is>
          <t>.</t>
        </is>
      </c>
      <c r="R616" s="1491" t="n"/>
      <c r="S616" s="1491" t="n"/>
      <c r="T616" s="1491" t="n"/>
      <c r="U616" s="1491" t="n"/>
      <c r="V616" s="1491" t="n"/>
      <c r="W616" s="1491" t="n"/>
      <c r="X616" s="1491" t="n"/>
      <c r="Y616" s="1491" t="n"/>
      <c r="Z616" s="1491" t="n"/>
      <c r="AA616" s="1491" t="n"/>
      <c r="AB616" s="1491" t="n"/>
      <c r="AC616" s="1491" t="n"/>
      <c r="AD616" s="1491" t="n"/>
      <c r="AE616" s="1491" t="n"/>
      <c r="AF616" s="1491" t="n"/>
      <c r="AG616" s="1491" t="n"/>
      <c r="AH616" s="1491" t="n"/>
      <c r="AI616" s="1491" t="n"/>
      <c r="AJ616" s="1491" t="n"/>
      <c r="AK616" s="1491" t="n"/>
      <c r="AL616" s="1491" t="n"/>
      <c r="AM616" s="1491" t="n"/>
      <c r="AN616" s="1491" t="n"/>
      <c r="AO616" s="1491" t="n"/>
      <c r="AP616" s="1491" t="n"/>
      <c r="AQ616" s="1491" t="n"/>
      <c r="AR616" s="1491" t="n"/>
      <c r="AS616" s="1491" t="n"/>
      <c r="AT616" s="1491" t="n"/>
      <c r="AU616" s="1491" t="n"/>
      <c r="AV616" s="1491" t="n"/>
      <c r="AW616" s="1491" t="n"/>
      <c r="AX616" s="1491" t="n"/>
      <c r="AY616" s="1491" t="n"/>
      <c r="AZ616" s="1491" t="n"/>
      <c r="BA616" s="1491" t="n"/>
      <c r="BB616" s="1491" t="n"/>
      <c r="BC616" s="1491" t="n"/>
      <c r="BD616" s="1491" t="n"/>
      <c r="BE616" s="1491" t="n"/>
      <c r="BF616" s="1491" t="n"/>
      <c r="BG616" s="1491" t="n"/>
      <c r="BH616" s="1491" t="n"/>
      <c r="BI616" s="1491" t="n"/>
      <c r="BJ616" s="1491" t="n"/>
      <c r="BK616" s="1491" t="n"/>
      <c r="BL616" s="1491" t="n"/>
      <c r="BM616" s="1491" t="n"/>
      <c r="BN616" s="1491" t="n"/>
      <c r="BO616" s="1467" t="n"/>
      <c r="BP616" s="1514" t="n">
        <v>612</v>
      </c>
      <c r="BQ616" s="1513" t="n"/>
      <c r="BR616" s="1513" t="n"/>
      <c r="BS616" s="1513" t="n"/>
      <c r="BT616" s="1513" t="n"/>
      <c r="BU616" s="1516" t="n"/>
      <c r="BV616" s="1513" t="n"/>
      <c r="BW616" s="1467" t="n"/>
      <c r="BX616" s="1491" t="n"/>
      <c r="BY616" s="1491" t="n"/>
      <c r="BZ616" s="1491" t="n"/>
      <c r="CA616" s="1491" t="n"/>
      <c r="CB616" s="1467" t="n"/>
      <c r="CC616" s="1467" t="n"/>
      <c r="CD616" s="1491" t="n"/>
      <c r="CE616" s="1491" t="n"/>
      <c r="CF616" s="1491" t="n"/>
      <c r="CG616" s="1491" t="n"/>
      <c r="CH616" s="1491" t="n"/>
      <c r="CI616" s="1491" t="n"/>
      <c r="CJ616" s="1491" t="n"/>
      <c r="CK616" s="1491" t="n"/>
      <c r="CL616" s="1491" t="n"/>
      <c r="CM616" s="1491" t="n"/>
      <c r="CN616" s="1491" t="n"/>
      <c r="CO616" s="1491" t="n"/>
      <c r="CP616" s="1491" t="n"/>
      <c r="CQ616" s="1491" t="n"/>
      <c r="CR616" s="1491" t="n"/>
      <c r="CS616" s="1491" t="n"/>
      <c r="CT616" s="1491" t="n"/>
      <c r="CU616" s="1491" t="n"/>
      <c r="CV616" s="1491" t="n"/>
      <c r="CW616" s="1491" t="n"/>
      <c r="CX616" s="1491" t="n"/>
    </row>
    <row r="617">
      <c r="A617" s="1491" t="n"/>
      <c r="B617" s="1491" t="n"/>
      <c r="C617" s="1491" t="n"/>
      <c r="D617" s="1491" t="n"/>
      <c r="E617" s="1491" t="n"/>
      <c r="F617" s="1491" t="n"/>
      <c r="G617" s="1491" t="n"/>
      <c r="H617" s="1491" t="n"/>
      <c r="I617" s="1427" t="inlineStr">
        <is>
          <t>.</t>
        </is>
      </c>
      <c r="J617" s="1491" t="n"/>
      <c r="K617" s="1491" t="n"/>
      <c r="L617" s="1544">
        <f>_xlfn.XLOOKUP(cities[[#This Row],[city]],ccc[city],ccc[ctry],"-")</f>
        <v/>
      </c>
      <c r="M617" s="1544">
        <f>SUMIFS(stayCity[stay],stayCity[city],cities[[#This Row],[city]])</f>
        <v/>
      </c>
      <c r="N617" s="1427">
        <f>N616+1</f>
        <v/>
      </c>
      <c r="O617" s="1491" t="n"/>
      <c r="P617" s="1491" t="n"/>
      <c r="Q617" s="1427" t="inlineStr">
        <is>
          <t>.</t>
        </is>
      </c>
      <c r="R617" s="1491" t="n"/>
      <c r="S617" s="1491" t="n"/>
      <c r="T617" s="1491" t="n"/>
      <c r="U617" s="1491" t="n"/>
      <c r="V617" s="1491" t="n"/>
      <c r="W617" s="1491" t="n"/>
      <c r="X617" s="1491" t="n"/>
      <c r="Y617" s="1491" t="n"/>
      <c r="Z617" s="1491" t="n"/>
      <c r="AA617" s="1491" t="n"/>
      <c r="AB617" s="1491" t="n"/>
      <c r="AC617" s="1491" t="n"/>
      <c r="AD617" s="1491" t="n"/>
      <c r="AE617" s="1491" t="n"/>
      <c r="AF617" s="1491" t="n"/>
      <c r="AG617" s="1491" t="n"/>
      <c r="AH617" s="1491" t="n"/>
      <c r="AI617" s="1491" t="n"/>
      <c r="AJ617" s="1491" t="n"/>
      <c r="AK617" s="1491" t="n"/>
      <c r="AL617" s="1491" t="n"/>
      <c r="AM617" s="1491" t="n"/>
      <c r="AN617" s="1491" t="n"/>
      <c r="AO617" s="1491" t="n"/>
      <c r="AP617" s="1491" t="n"/>
      <c r="AQ617" s="1491" t="n"/>
      <c r="AR617" s="1491" t="n"/>
      <c r="AS617" s="1491" t="n"/>
      <c r="AT617" s="1491" t="n"/>
      <c r="AU617" s="1491" t="n"/>
      <c r="AV617" s="1491" t="n"/>
      <c r="AW617" s="1491" t="n"/>
      <c r="AX617" s="1491" t="n"/>
      <c r="AY617" s="1491" t="n"/>
      <c r="AZ617" s="1491" t="n"/>
      <c r="BA617" s="1491" t="n"/>
      <c r="BB617" s="1491" t="n"/>
      <c r="BC617" s="1491" t="n"/>
      <c r="BD617" s="1491" t="n"/>
      <c r="BE617" s="1491" t="n"/>
      <c r="BF617" s="1491" t="n"/>
      <c r="BG617" s="1491" t="n"/>
      <c r="BH617" s="1491" t="n"/>
      <c r="BI617" s="1491" t="n"/>
      <c r="BJ617" s="1491" t="n"/>
      <c r="BK617" s="1491" t="n"/>
      <c r="BL617" s="1491" t="n"/>
      <c r="BM617" s="1491" t="n"/>
      <c r="BN617" s="1491" t="n"/>
      <c r="BO617" s="1467" t="n"/>
      <c r="BP617" s="1514" t="n">
        <v>613</v>
      </c>
      <c r="BQ617" s="1513" t="n"/>
      <c r="BR617" s="1513" t="n"/>
      <c r="BS617" s="1513" t="n"/>
      <c r="BT617" s="1513" t="n"/>
      <c r="BU617" s="1516" t="n"/>
      <c r="BV617" s="1513" t="n"/>
      <c r="BW617" s="1467" t="n"/>
      <c r="BX617" s="1491" t="n"/>
      <c r="BY617" s="1491" t="n"/>
      <c r="BZ617" s="1491" t="n"/>
      <c r="CA617" s="1491" t="n"/>
      <c r="CB617" s="1467" t="n"/>
      <c r="CC617" s="1467" t="n"/>
      <c r="CD617" s="1491" t="n"/>
      <c r="CE617" s="1491" t="n"/>
      <c r="CF617" s="1491" t="n"/>
      <c r="CG617" s="1491" t="n"/>
      <c r="CH617" s="1491" t="n"/>
      <c r="CI617" s="1491" t="n"/>
      <c r="CJ617" s="1491" t="n"/>
      <c r="CK617" s="1491" t="n"/>
      <c r="CL617" s="1491" t="n"/>
      <c r="CM617" s="1491" t="n"/>
      <c r="CN617" s="1491" t="n"/>
      <c r="CO617" s="1491" t="n"/>
      <c r="CP617" s="1491" t="n"/>
      <c r="CQ617" s="1491" t="n"/>
      <c r="CR617" s="1491" t="n"/>
      <c r="CS617" s="1491" t="n"/>
      <c r="CT617" s="1491" t="n"/>
      <c r="CU617" s="1491" t="n"/>
      <c r="CV617" s="1491" t="n"/>
      <c r="CW617" s="1491" t="n"/>
      <c r="CX617" s="1491" t="n"/>
    </row>
    <row r="618">
      <c r="A618" s="1491" t="n"/>
      <c r="B618" s="1491" t="n"/>
      <c r="C618" s="1491" t="n"/>
      <c r="D618" s="1491" t="n"/>
      <c r="E618" s="1491" t="n"/>
      <c r="F618" s="1491" t="n"/>
      <c r="G618" s="1491" t="n"/>
      <c r="H618" s="1491" t="n"/>
      <c r="I618" s="1427" t="inlineStr">
        <is>
          <t>.</t>
        </is>
      </c>
      <c r="J618" s="1491" t="n"/>
      <c r="K618" s="1491" t="n"/>
      <c r="L618" s="1544">
        <f>_xlfn.XLOOKUP(cities[[#This Row],[city]],ccc[city],ccc[ctry],"-")</f>
        <v/>
      </c>
      <c r="M618" s="1544">
        <f>SUMIFS(stayCity[stay],stayCity[city],cities[[#This Row],[city]])</f>
        <v/>
      </c>
      <c r="N618" s="1427">
        <f>N617+1</f>
        <v/>
      </c>
      <c r="O618" s="1491" t="n"/>
      <c r="P618" s="1491" t="n"/>
      <c r="Q618" s="1427" t="inlineStr">
        <is>
          <t>.</t>
        </is>
      </c>
      <c r="R618" s="1491" t="n"/>
      <c r="S618" s="1491" t="n"/>
      <c r="T618" s="1491" t="n"/>
      <c r="U618" s="1491" t="n"/>
      <c r="V618" s="1491" t="n"/>
      <c r="W618" s="1491" t="n"/>
      <c r="X618" s="1491" t="n"/>
      <c r="Y618" s="1491" t="n"/>
      <c r="Z618" s="1491" t="n"/>
      <c r="AA618" s="1491" t="n"/>
      <c r="AB618" s="1491" t="n"/>
      <c r="AC618" s="1491" t="n"/>
      <c r="AD618" s="1491" t="n"/>
      <c r="AE618" s="1491" t="n"/>
      <c r="AF618" s="1491" t="n"/>
      <c r="AG618" s="1491" t="n"/>
      <c r="AH618" s="1491" t="n"/>
      <c r="AI618" s="1491" t="n"/>
      <c r="AJ618" s="1491" t="n"/>
      <c r="AK618" s="1491" t="n"/>
      <c r="AL618" s="1491" t="n"/>
      <c r="AM618" s="1491" t="n"/>
      <c r="AN618" s="1491" t="n"/>
      <c r="AO618" s="1491" t="n"/>
      <c r="AP618" s="1491" t="n"/>
      <c r="AQ618" s="1491" t="n"/>
      <c r="AR618" s="1491" t="n"/>
      <c r="AS618" s="1491" t="n"/>
      <c r="AT618" s="1491" t="n"/>
      <c r="AU618" s="1491" t="n"/>
      <c r="AV618" s="1491" t="n"/>
      <c r="AW618" s="1491" t="n"/>
      <c r="AX618" s="1491" t="n"/>
      <c r="AY618" s="1491" t="n"/>
      <c r="AZ618" s="1491" t="n"/>
      <c r="BA618" s="1491" t="n"/>
      <c r="BB618" s="1491" t="n"/>
      <c r="BC618" s="1491" t="n"/>
      <c r="BD618" s="1491" t="n"/>
      <c r="BE618" s="1491" t="n"/>
      <c r="BF618" s="1491" t="n"/>
      <c r="BG618" s="1491" t="n"/>
      <c r="BH618" s="1491" t="n"/>
      <c r="BI618" s="1491" t="n"/>
      <c r="BJ618" s="1491" t="n"/>
      <c r="BK618" s="1491" t="n"/>
      <c r="BL618" s="1491" t="n"/>
      <c r="BM618" s="1491" t="n"/>
      <c r="BN618" s="1491" t="n"/>
      <c r="BO618" s="1467" t="n"/>
      <c r="BP618" s="1514" t="n">
        <v>614</v>
      </c>
      <c r="BQ618" s="1513" t="n"/>
      <c r="BR618" s="1513" t="n"/>
      <c r="BS618" s="1513" t="n"/>
      <c r="BT618" s="1513" t="n"/>
      <c r="BU618" s="1516" t="n"/>
      <c r="BV618" s="1513" t="n"/>
      <c r="BW618" s="1467" t="n"/>
      <c r="BX618" s="1491" t="n"/>
      <c r="BY618" s="1491" t="n"/>
      <c r="BZ618" s="1491" t="n"/>
      <c r="CA618" s="1491" t="n"/>
      <c r="CB618" s="1467" t="n"/>
      <c r="CC618" s="1467" t="n"/>
      <c r="CD618" s="1491" t="n"/>
      <c r="CE618" s="1491" t="n"/>
      <c r="CF618" s="1491" t="n"/>
      <c r="CG618" s="1491" t="n"/>
      <c r="CH618" s="1491" t="n"/>
      <c r="CI618" s="1491" t="n"/>
      <c r="CJ618" s="1491" t="n"/>
      <c r="CK618" s="1491" t="n"/>
      <c r="CL618" s="1491" t="n"/>
      <c r="CM618" s="1491" t="n"/>
      <c r="CN618" s="1491" t="n"/>
      <c r="CO618" s="1491" t="n"/>
      <c r="CP618" s="1491" t="n"/>
      <c r="CQ618" s="1491" t="n"/>
      <c r="CR618" s="1491" t="n"/>
      <c r="CS618" s="1491" t="n"/>
      <c r="CT618" s="1491" t="n"/>
      <c r="CU618" s="1491" t="n"/>
      <c r="CV618" s="1491" t="n"/>
      <c r="CW618" s="1491" t="n"/>
      <c r="CX618" s="1491" t="n"/>
    </row>
    <row r="619">
      <c r="A619" s="1491" t="n"/>
      <c r="B619" s="1491" t="n"/>
      <c r="C619" s="1491" t="n"/>
      <c r="D619" s="1491" t="n"/>
      <c r="E619" s="1491" t="n"/>
      <c r="F619" s="1491" t="n"/>
      <c r="G619" s="1491" t="n"/>
      <c r="H619" s="1491" t="n"/>
      <c r="I619" s="1427" t="inlineStr">
        <is>
          <t>.</t>
        </is>
      </c>
      <c r="J619" s="1491" t="n"/>
      <c r="K619" s="1491" t="n"/>
      <c r="L619" s="1544">
        <f>_xlfn.XLOOKUP(cities[[#This Row],[city]],ccc[city],ccc[ctry],"-")</f>
        <v/>
      </c>
      <c r="M619" s="1544">
        <f>SUMIFS(stayCity[stay],stayCity[city],cities[[#This Row],[city]])</f>
        <v/>
      </c>
      <c r="N619" s="1427">
        <f>N618+1</f>
        <v/>
      </c>
      <c r="O619" s="1491" t="n"/>
      <c r="P619" s="1491" t="n"/>
      <c r="Q619" s="1427" t="inlineStr">
        <is>
          <t>.</t>
        </is>
      </c>
      <c r="R619" s="1491" t="n"/>
      <c r="S619" s="1491" t="n"/>
      <c r="T619" s="1491" t="n"/>
      <c r="U619" s="1491" t="n"/>
      <c r="V619" s="1491" t="n"/>
      <c r="W619" s="1491" t="n"/>
      <c r="X619" s="1491" t="n"/>
      <c r="Y619" s="1491" t="n"/>
      <c r="Z619" s="1491" t="n"/>
      <c r="AA619" s="1491" t="n"/>
      <c r="AB619" s="1491" t="n"/>
      <c r="AC619" s="1491" t="n"/>
      <c r="AD619" s="1491" t="n"/>
      <c r="AE619" s="1491" t="n"/>
      <c r="AF619" s="1491" t="n"/>
      <c r="AG619" s="1491" t="n"/>
      <c r="AH619" s="1491" t="n"/>
      <c r="AI619" s="1491" t="n"/>
      <c r="AJ619" s="1491" t="n"/>
      <c r="AK619" s="1491" t="n"/>
      <c r="AL619" s="1491" t="n"/>
      <c r="AM619" s="1491" t="n"/>
      <c r="AN619" s="1491" t="n"/>
      <c r="AO619" s="1491" t="n"/>
      <c r="AP619" s="1491" t="n"/>
      <c r="AQ619" s="1491" t="n"/>
      <c r="AR619" s="1491" t="n"/>
      <c r="AS619" s="1491" t="n"/>
      <c r="AT619" s="1491" t="n"/>
      <c r="AU619" s="1491" t="n"/>
      <c r="AV619" s="1491" t="n"/>
      <c r="AW619" s="1491" t="n"/>
      <c r="AX619" s="1491" t="n"/>
      <c r="AY619" s="1491" t="n"/>
      <c r="AZ619" s="1491" t="n"/>
      <c r="BA619" s="1491" t="n"/>
      <c r="BB619" s="1491" t="n"/>
      <c r="BC619" s="1491" t="n"/>
      <c r="BD619" s="1491" t="n"/>
      <c r="BE619" s="1491" t="n"/>
      <c r="BF619" s="1491" t="n"/>
      <c r="BG619" s="1491" t="n"/>
      <c r="BH619" s="1491" t="n"/>
      <c r="BI619" s="1491" t="n"/>
      <c r="BJ619" s="1491" t="n"/>
      <c r="BK619" s="1491" t="n"/>
      <c r="BL619" s="1491" t="n"/>
      <c r="BM619" s="1491" t="n"/>
      <c r="BN619" s="1491" t="n"/>
      <c r="BO619" s="1467" t="n"/>
      <c r="BP619" s="1514" t="n">
        <v>615</v>
      </c>
      <c r="BQ619" s="1513" t="n"/>
      <c r="BR619" s="1513" t="n"/>
      <c r="BS619" s="1513" t="n"/>
      <c r="BT619" s="1513" t="n"/>
      <c r="BU619" s="1516" t="n"/>
      <c r="BV619" s="1513" t="n"/>
      <c r="BW619" s="1467" t="n"/>
      <c r="BX619" s="1491" t="n"/>
      <c r="BY619" s="1491" t="n"/>
      <c r="BZ619" s="1491" t="n"/>
      <c r="CA619" s="1491" t="n"/>
      <c r="CB619" s="1467" t="n"/>
      <c r="CC619" s="1467" t="n"/>
      <c r="CD619" s="1491" t="n"/>
      <c r="CE619" s="1491" t="n"/>
      <c r="CF619" s="1491" t="n"/>
      <c r="CG619" s="1491" t="n"/>
      <c r="CH619" s="1491" t="n"/>
      <c r="CI619" s="1491" t="n"/>
      <c r="CJ619" s="1491" t="n"/>
      <c r="CK619" s="1491" t="n"/>
      <c r="CL619" s="1491" t="n"/>
      <c r="CM619" s="1491" t="n"/>
      <c r="CN619" s="1491" t="n"/>
      <c r="CO619" s="1491" t="n"/>
      <c r="CP619" s="1491" t="n"/>
      <c r="CQ619" s="1491" t="n"/>
      <c r="CR619" s="1491" t="n"/>
      <c r="CS619" s="1491" t="n"/>
      <c r="CT619" s="1491" t="n"/>
      <c r="CU619" s="1491" t="n"/>
      <c r="CV619" s="1491" t="n"/>
      <c r="CW619" s="1491" t="n"/>
      <c r="CX619" s="1491" t="n"/>
    </row>
    <row r="620">
      <c r="A620" s="1491" t="n"/>
      <c r="B620" s="1491" t="n"/>
      <c r="C620" s="1491" t="n"/>
      <c r="D620" s="1491" t="n"/>
      <c r="E620" s="1491" t="n"/>
      <c r="F620" s="1491" t="n"/>
      <c r="G620" s="1491" t="n"/>
      <c r="H620" s="1491" t="n"/>
      <c r="I620" s="1427" t="inlineStr">
        <is>
          <t>.</t>
        </is>
      </c>
      <c r="J620" s="1491" t="n"/>
      <c r="K620" s="1491" t="n"/>
      <c r="L620" s="1544">
        <f>_xlfn.XLOOKUP(cities[[#This Row],[city]],ccc[city],ccc[ctry],"-")</f>
        <v/>
      </c>
      <c r="M620" s="1544">
        <f>SUMIFS(stayCity[stay],stayCity[city],cities[[#This Row],[city]])</f>
        <v/>
      </c>
      <c r="N620" s="1427">
        <f>N619+1</f>
        <v/>
      </c>
      <c r="O620" s="1491" t="n"/>
      <c r="P620" s="1491" t="n"/>
      <c r="Q620" s="1427" t="inlineStr">
        <is>
          <t>.</t>
        </is>
      </c>
      <c r="R620" s="1491" t="n"/>
      <c r="S620" s="1491" t="n"/>
      <c r="T620" s="1491" t="n"/>
      <c r="U620" s="1491" t="n"/>
      <c r="V620" s="1491" t="n"/>
      <c r="W620" s="1491" t="n"/>
      <c r="X620" s="1491" t="n"/>
      <c r="Y620" s="1491" t="n"/>
      <c r="Z620" s="1491" t="n"/>
      <c r="AA620" s="1491" t="n"/>
      <c r="AB620" s="1491" t="n"/>
      <c r="AC620" s="1491" t="n"/>
      <c r="AD620" s="1491" t="n"/>
      <c r="AE620" s="1491" t="n"/>
      <c r="AF620" s="1491" t="n"/>
      <c r="AG620" s="1491" t="n"/>
      <c r="AH620" s="1491" t="n"/>
      <c r="AI620" s="1491" t="n"/>
      <c r="AJ620" s="1491" t="n"/>
      <c r="AK620" s="1491" t="n"/>
      <c r="AL620" s="1491" t="n"/>
      <c r="AM620" s="1491" t="n"/>
      <c r="AN620" s="1491" t="n"/>
      <c r="AO620" s="1491" t="n"/>
      <c r="AP620" s="1491" t="n"/>
      <c r="AQ620" s="1491" t="n"/>
      <c r="AR620" s="1491" t="n"/>
      <c r="AS620" s="1491" t="n"/>
      <c r="AT620" s="1491" t="n"/>
      <c r="AU620" s="1491" t="n"/>
      <c r="AV620" s="1491" t="n"/>
      <c r="AW620" s="1491" t="n"/>
      <c r="AX620" s="1491" t="n"/>
      <c r="AY620" s="1491" t="n"/>
      <c r="AZ620" s="1491" t="n"/>
      <c r="BA620" s="1491" t="n"/>
      <c r="BB620" s="1491" t="n"/>
      <c r="BC620" s="1491" t="n"/>
      <c r="BD620" s="1491" t="n"/>
      <c r="BE620" s="1491" t="n"/>
      <c r="BF620" s="1491" t="n"/>
      <c r="BG620" s="1491" t="n"/>
      <c r="BH620" s="1491" t="n"/>
      <c r="BI620" s="1491" t="n"/>
      <c r="BJ620" s="1491" t="n"/>
      <c r="BK620" s="1491" t="n"/>
      <c r="BL620" s="1491" t="n"/>
      <c r="BM620" s="1491" t="n"/>
      <c r="BN620" s="1491" t="n"/>
      <c r="BO620" s="1467" t="n"/>
      <c r="BP620" s="1514" t="n">
        <v>616</v>
      </c>
      <c r="BQ620" s="1513" t="n"/>
      <c r="BR620" s="1513" t="n"/>
      <c r="BS620" s="1513" t="n"/>
      <c r="BT620" s="1513" t="n"/>
      <c r="BU620" s="1516" t="n"/>
      <c r="BV620" s="1513" t="n"/>
      <c r="BW620" s="1467" t="n"/>
      <c r="BX620" s="1491" t="n"/>
      <c r="BY620" s="1491" t="n"/>
      <c r="BZ620" s="1491" t="n"/>
      <c r="CA620" s="1491" t="n"/>
      <c r="CB620" s="1467" t="n"/>
      <c r="CC620" s="1467" t="n"/>
      <c r="CD620" s="1491" t="n"/>
      <c r="CE620" s="1491" t="n"/>
      <c r="CF620" s="1491" t="n"/>
      <c r="CG620" s="1491" t="n"/>
      <c r="CH620" s="1491" t="n"/>
      <c r="CI620" s="1491" t="n"/>
      <c r="CJ620" s="1491" t="n"/>
      <c r="CK620" s="1491" t="n"/>
      <c r="CL620" s="1491" t="n"/>
      <c r="CM620" s="1491" t="n"/>
      <c r="CN620" s="1491" t="n"/>
      <c r="CO620" s="1491" t="n"/>
      <c r="CP620" s="1491" t="n"/>
      <c r="CQ620" s="1491" t="n"/>
      <c r="CR620" s="1491" t="n"/>
      <c r="CS620" s="1491" t="n"/>
      <c r="CT620" s="1491" t="n"/>
      <c r="CU620" s="1491" t="n"/>
      <c r="CV620" s="1491" t="n"/>
      <c r="CW620" s="1491" t="n"/>
      <c r="CX620" s="1491" t="n"/>
    </row>
    <row r="621">
      <c r="A621" s="1491" t="n"/>
      <c r="B621" s="1491" t="n"/>
      <c r="C621" s="1491" t="n"/>
      <c r="D621" s="1491" t="n"/>
      <c r="E621" s="1491" t="n"/>
      <c r="F621" s="1491" t="n"/>
      <c r="G621" s="1491" t="n"/>
      <c r="H621" s="1491" t="n"/>
      <c r="I621" s="1427" t="inlineStr">
        <is>
          <t>.</t>
        </is>
      </c>
      <c r="J621" s="1491" t="n"/>
      <c r="K621" s="1491" t="n"/>
      <c r="L621" s="1544">
        <f>_xlfn.XLOOKUP(cities[[#This Row],[city]],ccc[city],ccc[ctry],"-")</f>
        <v/>
      </c>
      <c r="M621" s="1544">
        <f>SUMIFS(stayCity[stay],stayCity[city],cities[[#This Row],[city]])</f>
        <v/>
      </c>
      <c r="N621" s="1427">
        <f>N620+1</f>
        <v/>
      </c>
      <c r="O621" s="1491" t="n"/>
      <c r="P621" s="1491" t="n"/>
      <c r="Q621" s="1427" t="inlineStr">
        <is>
          <t>.</t>
        </is>
      </c>
      <c r="R621" s="1491" t="n"/>
      <c r="S621" s="1491" t="n"/>
      <c r="T621" s="1491" t="n"/>
      <c r="U621" s="1491" t="n"/>
      <c r="V621" s="1491" t="n"/>
      <c r="W621" s="1491" t="n"/>
      <c r="X621" s="1491" t="n"/>
      <c r="Y621" s="1491" t="n"/>
      <c r="Z621" s="1491" t="n"/>
      <c r="AA621" s="1491" t="n"/>
      <c r="AB621" s="1491" t="n"/>
      <c r="AC621" s="1491" t="n"/>
      <c r="AD621" s="1491" t="n"/>
      <c r="AE621" s="1491" t="n"/>
      <c r="AF621" s="1491" t="n"/>
      <c r="AG621" s="1491" t="n"/>
      <c r="AH621" s="1491" t="n"/>
      <c r="AI621" s="1491" t="n"/>
      <c r="AJ621" s="1491" t="n"/>
      <c r="AK621" s="1491" t="n"/>
      <c r="AL621" s="1491" t="n"/>
      <c r="AM621" s="1491" t="n"/>
      <c r="AN621" s="1491" t="n"/>
      <c r="AO621" s="1491" t="n"/>
      <c r="AP621" s="1491" t="n"/>
      <c r="AQ621" s="1491" t="n"/>
      <c r="AR621" s="1491" t="n"/>
      <c r="AS621" s="1491" t="n"/>
      <c r="AT621" s="1491" t="n"/>
      <c r="AU621" s="1491" t="n"/>
      <c r="AV621" s="1491" t="n"/>
      <c r="AW621" s="1491" t="n"/>
      <c r="AX621" s="1491" t="n"/>
      <c r="AY621" s="1491" t="n"/>
      <c r="AZ621" s="1491" t="n"/>
      <c r="BA621" s="1491" t="n"/>
      <c r="BB621" s="1491" t="n"/>
      <c r="BC621" s="1491" t="n"/>
      <c r="BD621" s="1491" t="n"/>
      <c r="BE621" s="1491" t="n"/>
      <c r="BF621" s="1491" t="n"/>
      <c r="BG621" s="1491" t="n"/>
      <c r="BH621" s="1491" t="n"/>
      <c r="BI621" s="1491" t="n"/>
      <c r="BJ621" s="1491" t="n"/>
      <c r="BK621" s="1491" t="n"/>
      <c r="BL621" s="1491" t="n"/>
      <c r="BM621" s="1491" t="n"/>
      <c r="BN621" s="1491" t="n"/>
      <c r="BO621" s="1467" t="n"/>
      <c r="BP621" s="1514" t="n">
        <v>617</v>
      </c>
      <c r="BQ621" s="1513" t="n"/>
      <c r="BR621" s="1513" t="n"/>
      <c r="BS621" s="1513" t="n"/>
      <c r="BT621" s="1513" t="n"/>
      <c r="BU621" s="1516" t="n"/>
      <c r="BV621" s="1513" t="n"/>
      <c r="BW621" s="1467" t="n"/>
      <c r="BX621" s="1491" t="n"/>
      <c r="BY621" s="1491" t="n"/>
      <c r="BZ621" s="1491" t="n"/>
      <c r="CA621" s="1491" t="n"/>
      <c r="CB621" s="1467" t="n"/>
      <c r="CC621" s="1467" t="n"/>
      <c r="CD621" s="1491" t="n"/>
      <c r="CE621" s="1491" t="n"/>
      <c r="CF621" s="1491" t="n"/>
      <c r="CG621" s="1491" t="n"/>
      <c r="CH621" s="1491" t="n"/>
      <c r="CI621" s="1491" t="n"/>
      <c r="CJ621" s="1491" t="n"/>
      <c r="CK621" s="1491" t="n"/>
      <c r="CL621" s="1491" t="n"/>
      <c r="CM621" s="1491" t="n"/>
      <c r="CN621" s="1491" t="n"/>
      <c r="CO621" s="1491" t="n"/>
      <c r="CP621" s="1491" t="n"/>
      <c r="CQ621" s="1491" t="n"/>
      <c r="CR621" s="1491" t="n"/>
      <c r="CS621" s="1491" t="n"/>
      <c r="CT621" s="1491" t="n"/>
      <c r="CU621" s="1491" t="n"/>
      <c r="CV621" s="1491" t="n"/>
      <c r="CW621" s="1491" t="n"/>
      <c r="CX621" s="1491" t="n"/>
    </row>
    <row r="622">
      <c r="A622" s="1491" t="n"/>
      <c r="B622" s="1491" t="n"/>
      <c r="C622" s="1491" t="n"/>
      <c r="D622" s="1491" t="n"/>
      <c r="E622" s="1491" t="n"/>
      <c r="F622" s="1491" t="n"/>
      <c r="G622" s="1491" t="n"/>
      <c r="H622" s="1491" t="n"/>
      <c r="I622" s="1427" t="inlineStr">
        <is>
          <t>.</t>
        </is>
      </c>
      <c r="J622" s="1491" t="n"/>
      <c r="K622" s="1491" t="n"/>
      <c r="L622" s="1544">
        <f>_xlfn.XLOOKUP(cities[[#This Row],[city]],ccc[city],ccc[ctry],"-")</f>
        <v/>
      </c>
      <c r="M622" s="1544">
        <f>SUMIFS(stayCity[stay],stayCity[city],cities[[#This Row],[city]])</f>
        <v/>
      </c>
      <c r="N622" s="1427">
        <f>N621+1</f>
        <v/>
      </c>
      <c r="O622" s="1491" t="n"/>
      <c r="P622" s="1491" t="n"/>
      <c r="Q622" s="1427" t="inlineStr">
        <is>
          <t>.</t>
        </is>
      </c>
      <c r="R622" s="1491" t="n"/>
      <c r="S622" s="1491" t="n"/>
      <c r="T622" s="1491" t="n"/>
      <c r="U622" s="1491" t="n"/>
      <c r="V622" s="1491" t="n"/>
      <c r="W622" s="1491" t="n"/>
      <c r="X622" s="1491" t="n"/>
      <c r="Y622" s="1491" t="n"/>
      <c r="Z622" s="1491" t="n"/>
      <c r="AA622" s="1491" t="n"/>
      <c r="AB622" s="1491" t="n"/>
      <c r="AC622" s="1491" t="n"/>
      <c r="AD622" s="1491" t="n"/>
      <c r="AE622" s="1491" t="n"/>
      <c r="AF622" s="1491" t="n"/>
      <c r="AG622" s="1491" t="n"/>
      <c r="AH622" s="1491" t="n"/>
      <c r="AI622" s="1491" t="n"/>
      <c r="AJ622" s="1491" t="n"/>
      <c r="AK622" s="1491" t="n"/>
      <c r="AL622" s="1491" t="n"/>
      <c r="AM622" s="1491" t="n"/>
      <c r="AN622" s="1491" t="n"/>
      <c r="AO622" s="1491" t="n"/>
      <c r="AP622" s="1491" t="n"/>
      <c r="AQ622" s="1491" t="n"/>
      <c r="AR622" s="1491" t="n"/>
      <c r="AS622" s="1491" t="n"/>
      <c r="AT622" s="1491" t="n"/>
      <c r="AU622" s="1491" t="n"/>
      <c r="AV622" s="1491" t="n"/>
      <c r="AW622" s="1491" t="n"/>
      <c r="AX622" s="1491" t="n"/>
      <c r="AY622" s="1491" t="n"/>
      <c r="AZ622" s="1491" t="n"/>
      <c r="BA622" s="1491" t="n"/>
      <c r="BB622" s="1491" t="n"/>
      <c r="BC622" s="1491" t="n"/>
      <c r="BD622" s="1491" t="n"/>
      <c r="BE622" s="1491" t="n"/>
      <c r="BF622" s="1491" t="n"/>
      <c r="BG622" s="1491" t="n"/>
      <c r="BH622" s="1491" t="n"/>
      <c r="BI622" s="1491" t="n"/>
      <c r="BJ622" s="1491" t="n"/>
      <c r="BK622" s="1491" t="n"/>
      <c r="BL622" s="1491" t="n"/>
      <c r="BM622" s="1491" t="n"/>
      <c r="BN622" s="1491" t="n"/>
      <c r="BO622" s="1467" t="n"/>
      <c r="BP622" s="1514" t="n">
        <v>618</v>
      </c>
      <c r="BQ622" s="1513" t="n"/>
      <c r="BR622" s="1513" t="n"/>
      <c r="BS622" s="1513" t="n"/>
      <c r="BT622" s="1513" t="n"/>
      <c r="BU622" s="1516" t="n"/>
      <c r="BV622" s="1513" t="n"/>
      <c r="BW622" s="1467" t="n"/>
      <c r="BX622" s="1491" t="n"/>
      <c r="BY622" s="1491" t="n"/>
      <c r="BZ622" s="1491" t="n"/>
      <c r="CA622" s="1491" t="n"/>
      <c r="CB622" s="1467" t="n"/>
      <c r="CC622" s="1467" t="n"/>
      <c r="CD622" s="1491" t="n"/>
      <c r="CE622" s="1491" t="n"/>
      <c r="CF622" s="1491" t="n"/>
      <c r="CG622" s="1491" t="n"/>
      <c r="CH622" s="1491" t="n"/>
      <c r="CI622" s="1491" t="n"/>
      <c r="CJ622" s="1491" t="n"/>
      <c r="CK622" s="1491" t="n"/>
      <c r="CL622" s="1491" t="n"/>
      <c r="CM622" s="1491" t="n"/>
      <c r="CN622" s="1491" t="n"/>
      <c r="CO622" s="1491" t="n"/>
      <c r="CP622" s="1491" t="n"/>
      <c r="CQ622" s="1491" t="n"/>
      <c r="CR622" s="1491" t="n"/>
      <c r="CS622" s="1491" t="n"/>
      <c r="CT622" s="1491" t="n"/>
      <c r="CU622" s="1491" t="n"/>
      <c r="CV622" s="1491" t="n"/>
      <c r="CW622" s="1491" t="n"/>
      <c r="CX622" s="1491" t="n"/>
    </row>
    <row r="623">
      <c r="A623" s="1491" t="n"/>
      <c r="B623" s="1491" t="n"/>
      <c r="C623" s="1491" t="n"/>
      <c r="D623" s="1491" t="n"/>
      <c r="E623" s="1491" t="n"/>
      <c r="F623" s="1491" t="n"/>
      <c r="G623" s="1491" t="n"/>
      <c r="H623" s="1491" t="n"/>
      <c r="I623" s="1427" t="inlineStr">
        <is>
          <t>.</t>
        </is>
      </c>
      <c r="J623" s="1491" t="n"/>
      <c r="K623" s="1491" t="n"/>
      <c r="L623" s="1544">
        <f>_xlfn.XLOOKUP(cities[[#This Row],[city]],ccc[city],ccc[ctry],"-")</f>
        <v/>
      </c>
      <c r="M623" s="1544">
        <f>SUMIFS(stayCity[stay],stayCity[city],cities[[#This Row],[city]])</f>
        <v/>
      </c>
      <c r="N623" s="1427">
        <f>N622+1</f>
        <v/>
      </c>
      <c r="O623" s="1491" t="n"/>
      <c r="P623" s="1491" t="n"/>
      <c r="Q623" s="1427" t="inlineStr">
        <is>
          <t>.</t>
        </is>
      </c>
      <c r="R623" s="1491" t="n"/>
      <c r="S623" s="1491" t="n"/>
      <c r="T623" s="1491" t="n"/>
      <c r="U623" s="1491" t="n"/>
      <c r="V623" s="1491" t="n"/>
      <c r="W623" s="1491" t="n"/>
      <c r="X623" s="1491" t="n"/>
      <c r="Y623" s="1491" t="n"/>
      <c r="Z623" s="1491" t="n"/>
      <c r="AA623" s="1491" t="n"/>
      <c r="AB623" s="1491" t="n"/>
      <c r="AC623" s="1491" t="n"/>
      <c r="AD623" s="1491" t="n"/>
      <c r="AE623" s="1491" t="n"/>
      <c r="AF623" s="1491" t="n"/>
      <c r="AG623" s="1491" t="n"/>
      <c r="AH623" s="1491" t="n"/>
      <c r="AI623" s="1491" t="n"/>
      <c r="AJ623" s="1491" t="n"/>
      <c r="AK623" s="1491" t="n"/>
      <c r="AL623" s="1491" t="n"/>
      <c r="AM623" s="1491" t="n"/>
      <c r="AN623" s="1491" t="n"/>
      <c r="AO623" s="1491" t="n"/>
      <c r="AP623" s="1491" t="n"/>
      <c r="AQ623" s="1491" t="n"/>
      <c r="AR623" s="1491" t="n"/>
      <c r="AS623" s="1491" t="n"/>
      <c r="AT623" s="1491" t="n"/>
      <c r="AU623" s="1491" t="n"/>
      <c r="AV623" s="1491" t="n"/>
      <c r="AW623" s="1491" t="n"/>
      <c r="AX623" s="1491" t="n"/>
      <c r="AY623" s="1491" t="n"/>
      <c r="AZ623" s="1491" t="n"/>
      <c r="BA623" s="1491" t="n"/>
      <c r="BB623" s="1491" t="n"/>
      <c r="BC623" s="1491" t="n"/>
      <c r="BD623" s="1491" t="n"/>
      <c r="BE623" s="1491" t="n"/>
      <c r="BF623" s="1491" t="n"/>
      <c r="BG623" s="1491" t="n"/>
      <c r="BH623" s="1491" t="n"/>
      <c r="BI623" s="1491" t="n"/>
      <c r="BJ623" s="1491" t="n"/>
      <c r="BK623" s="1491" t="n"/>
      <c r="BL623" s="1491" t="n"/>
      <c r="BM623" s="1491" t="n"/>
      <c r="BN623" s="1491" t="n"/>
      <c r="BO623" s="1467" t="n"/>
      <c r="BP623" s="1514" t="n">
        <v>619</v>
      </c>
      <c r="BQ623" s="1513" t="n"/>
      <c r="BR623" s="1513" t="n"/>
      <c r="BS623" s="1513" t="n"/>
      <c r="BT623" s="1513" t="n"/>
      <c r="BU623" s="1516" t="n"/>
      <c r="BV623" s="1513" t="n"/>
      <c r="BW623" s="1467" t="n"/>
      <c r="BX623" s="1491" t="n"/>
      <c r="BY623" s="1491" t="n"/>
      <c r="BZ623" s="1491" t="n"/>
      <c r="CA623" s="1491" t="n"/>
      <c r="CB623" s="1467" t="n"/>
      <c r="CC623" s="1467" t="n"/>
      <c r="CD623" s="1491" t="n"/>
      <c r="CE623" s="1491" t="n"/>
      <c r="CF623" s="1491" t="n"/>
      <c r="CG623" s="1491" t="n"/>
      <c r="CH623" s="1491" t="n"/>
      <c r="CI623" s="1491" t="n"/>
      <c r="CJ623" s="1491" t="n"/>
      <c r="CK623" s="1491" t="n"/>
      <c r="CL623" s="1491" t="n"/>
      <c r="CM623" s="1491" t="n"/>
      <c r="CN623" s="1491" t="n"/>
      <c r="CO623" s="1491" t="n"/>
      <c r="CP623" s="1491" t="n"/>
      <c r="CQ623" s="1491" t="n"/>
      <c r="CR623" s="1491" t="n"/>
      <c r="CS623" s="1491" t="n"/>
      <c r="CT623" s="1491" t="n"/>
      <c r="CU623" s="1491" t="n"/>
      <c r="CV623" s="1491" t="n"/>
      <c r="CW623" s="1491" t="n"/>
      <c r="CX623" s="1491" t="n"/>
    </row>
    <row r="624">
      <c r="A624" s="1491" t="n"/>
      <c r="B624" s="1491" t="n"/>
      <c r="C624" s="1491" t="n"/>
      <c r="D624" s="1491" t="n"/>
      <c r="E624" s="1491" t="n"/>
      <c r="F624" s="1491" t="n"/>
      <c r="G624" s="1491" t="n"/>
      <c r="H624" s="1491" t="n"/>
      <c r="I624" s="1427" t="inlineStr">
        <is>
          <t>.</t>
        </is>
      </c>
      <c r="J624" s="1491" t="n"/>
      <c r="K624" s="1491" t="n"/>
      <c r="L624" s="1544">
        <f>_xlfn.XLOOKUP(cities[[#This Row],[city]],ccc[city],ccc[ctry],"-")</f>
        <v/>
      </c>
      <c r="M624" s="1544">
        <f>SUMIFS(stayCity[stay],stayCity[city],cities[[#This Row],[city]])</f>
        <v/>
      </c>
      <c r="N624" s="1427">
        <f>N623+1</f>
        <v/>
      </c>
      <c r="O624" s="1491" t="n"/>
      <c r="P624" s="1491" t="n"/>
      <c r="Q624" s="1427" t="inlineStr">
        <is>
          <t>.</t>
        </is>
      </c>
      <c r="R624" s="1491" t="n"/>
      <c r="S624" s="1491" t="n"/>
      <c r="T624" s="1491" t="n"/>
      <c r="U624" s="1491" t="n"/>
      <c r="V624" s="1491" t="n"/>
      <c r="W624" s="1491" t="n"/>
      <c r="X624" s="1491" t="n"/>
      <c r="Y624" s="1491" t="n"/>
      <c r="Z624" s="1491" t="n"/>
      <c r="AA624" s="1491" t="n"/>
      <c r="AB624" s="1491" t="n"/>
      <c r="AC624" s="1491" t="n"/>
      <c r="AD624" s="1491" t="n"/>
      <c r="AE624" s="1491" t="n"/>
      <c r="AF624" s="1491" t="n"/>
      <c r="AG624" s="1491" t="n"/>
      <c r="AH624" s="1491" t="n"/>
      <c r="AI624" s="1491" t="n"/>
      <c r="AJ624" s="1491" t="n"/>
      <c r="AK624" s="1491" t="n"/>
      <c r="AL624" s="1491" t="n"/>
      <c r="AM624" s="1491" t="n"/>
      <c r="AN624" s="1491" t="n"/>
      <c r="AO624" s="1491" t="n"/>
      <c r="AP624" s="1491" t="n"/>
      <c r="AQ624" s="1491" t="n"/>
      <c r="AR624" s="1491" t="n"/>
      <c r="AS624" s="1491" t="n"/>
      <c r="AT624" s="1491" t="n"/>
      <c r="AU624" s="1491" t="n"/>
      <c r="AV624" s="1491" t="n"/>
      <c r="AW624" s="1491" t="n"/>
      <c r="AX624" s="1491" t="n"/>
      <c r="AY624" s="1491" t="n"/>
      <c r="AZ624" s="1491" t="n"/>
      <c r="BA624" s="1491" t="n"/>
      <c r="BB624" s="1491" t="n"/>
      <c r="BC624" s="1491" t="n"/>
      <c r="BD624" s="1491" t="n"/>
      <c r="BE624" s="1491" t="n"/>
      <c r="BF624" s="1491" t="n"/>
      <c r="BG624" s="1491" t="n"/>
      <c r="BH624" s="1491" t="n"/>
      <c r="BI624" s="1491" t="n"/>
      <c r="BJ624" s="1491" t="n"/>
      <c r="BK624" s="1491" t="n"/>
      <c r="BL624" s="1491" t="n"/>
      <c r="BM624" s="1491" t="n"/>
      <c r="BN624" s="1491" t="n"/>
      <c r="BO624" s="1467" t="n"/>
      <c r="BP624" s="1514" t="n">
        <v>620</v>
      </c>
      <c r="BQ624" s="1513" t="n"/>
      <c r="BR624" s="1513" t="n"/>
      <c r="BS624" s="1513" t="n"/>
      <c r="BT624" s="1513" t="n"/>
      <c r="BU624" s="1516" t="n"/>
      <c r="BV624" s="1513" t="n"/>
      <c r="BW624" s="1467" t="n"/>
      <c r="BX624" s="1491" t="n"/>
      <c r="BY624" s="1491" t="n"/>
      <c r="BZ624" s="1491" t="n"/>
      <c r="CA624" s="1491" t="n"/>
      <c r="CB624" s="1467" t="n"/>
      <c r="CC624" s="1467" t="n"/>
      <c r="CD624" s="1491" t="n"/>
      <c r="CE624" s="1491" t="n"/>
      <c r="CF624" s="1491" t="n"/>
      <c r="CG624" s="1491" t="n"/>
      <c r="CH624" s="1491" t="n"/>
      <c r="CI624" s="1491" t="n"/>
      <c r="CJ624" s="1491" t="n"/>
      <c r="CK624" s="1491" t="n"/>
      <c r="CL624" s="1491" t="n"/>
      <c r="CM624" s="1491" t="n"/>
      <c r="CN624" s="1491" t="n"/>
      <c r="CO624" s="1491" t="n"/>
      <c r="CP624" s="1491" t="n"/>
      <c r="CQ624" s="1491" t="n"/>
      <c r="CR624" s="1491" t="n"/>
      <c r="CS624" s="1491" t="n"/>
      <c r="CT624" s="1491" t="n"/>
      <c r="CU624" s="1491" t="n"/>
      <c r="CV624" s="1491" t="n"/>
      <c r="CW624" s="1491" t="n"/>
      <c r="CX624" s="1491" t="n"/>
    </row>
    <row r="625">
      <c r="A625" s="1491" t="n"/>
      <c r="B625" s="1491" t="n"/>
      <c r="C625" s="1491" t="n"/>
      <c r="D625" s="1491" t="n"/>
      <c r="E625" s="1491" t="n"/>
      <c r="F625" s="1491" t="n"/>
      <c r="G625" s="1491" t="n"/>
      <c r="H625" s="1491" t="n"/>
      <c r="I625" s="1427" t="inlineStr">
        <is>
          <t>.</t>
        </is>
      </c>
      <c r="J625" s="1491" t="n"/>
      <c r="K625" s="1491" t="n"/>
      <c r="L625" s="1544">
        <f>_xlfn.XLOOKUP(cities[[#This Row],[city]],ccc[city],ccc[ctry],"-")</f>
        <v/>
      </c>
      <c r="M625" s="1544">
        <f>SUMIFS(stayCity[stay],stayCity[city],cities[[#This Row],[city]])</f>
        <v/>
      </c>
      <c r="N625" s="1427">
        <f>N624+1</f>
        <v/>
      </c>
      <c r="O625" s="1491" t="n"/>
      <c r="P625" s="1491" t="n"/>
      <c r="Q625" s="1427" t="inlineStr">
        <is>
          <t>.</t>
        </is>
      </c>
      <c r="R625" s="1491" t="n"/>
      <c r="S625" s="1491" t="n"/>
      <c r="T625" s="1491" t="n"/>
      <c r="U625" s="1491" t="n"/>
      <c r="V625" s="1491" t="n"/>
      <c r="W625" s="1491" t="n"/>
      <c r="X625" s="1491" t="n"/>
      <c r="Y625" s="1491" t="n"/>
      <c r="Z625" s="1491" t="n"/>
      <c r="AA625" s="1491" t="n"/>
      <c r="AB625" s="1491" t="n"/>
      <c r="AC625" s="1491" t="n"/>
      <c r="AD625" s="1491" t="n"/>
      <c r="AE625" s="1491" t="n"/>
      <c r="AF625" s="1491" t="n"/>
      <c r="AG625" s="1491" t="n"/>
      <c r="AH625" s="1491" t="n"/>
      <c r="AI625" s="1491" t="n"/>
      <c r="AJ625" s="1491" t="n"/>
      <c r="AK625" s="1491" t="n"/>
      <c r="AL625" s="1491" t="n"/>
      <c r="AM625" s="1491" t="n"/>
      <c r="AN625" s="1491" t="n"/>
      <c r="AO625" s="1491" t="n"/>
      <c r="AP625" s="1491" t="n"/>
      <c r="AQ625" s="1491" t="n"/>
      <c r="AR625" s="1491" t="n"/>
      <c r="AS625" s="1491" t="n"/>
      <c r="AT625" s="1491" t="n"/>
      <c r="AU625" s="1491" t="n"/>
      <c r="AV625" s="1491" t="n"/>
      <c r="AW625" s="1491" t="n"/>
      <c r="AX625" s="1491" t="n"/>
      <c r="AY625" s="1491" t="n"/>
      <c r="AZ625" s="1491" t="n"/>
      <c r="BA625" s="1491" t="n"/>
      <c r="BB625" s="1491" t="n"/>
      <c r="BC625" s="1491" t="n"/>
      <c r="BD625" s="1491" t="n"/>
      <c r="BE625" s="1491" t="n"/>
      <c r="BF625" s="1491" t="n"/>
      <c r="BG625" s="1491" t="n"/>
      <c r="BH625" s="1491" t="n"/>
      <c r="BI625" s="1491" t="n"/>
      <c r="BJ625" s="1491" t="n"/>
      <c r="BK625" s="1491" t="n"/>
      <c r="BL625" s="1491" t="n"/>
      <c r="BM625" s="1491" t="n"/>
      <c r="BN625" s="1491" t="n"/>
      <c r="BO625" s="1467" t="n"/>
      <c r="BP625" s="1514" t="n">
        <v>621</v>
      </c>
      <c r="BQ625" s="1513" t="n"/>
      <c r="BR625" s="1513" t="n"/>
      <c r="BS625" s="1513" t="n"/>
      <c r="BT625" s="1513" t="n"/>
      <c r="BU625" s="1516" t="n"/>
      <c r="BV625" s="1513" t="n"/>
      <c r="BW625" s="1467" t="n"/>
      <c r="BX625" s="1491" t="n"/>
      <c r="BY625" s="1491" t="n"/>
      <c r="BZ625" s="1491" t="n"/>
      <c r="CA625" s="1491" t="n"/>
      <c r="CB625" s="1467" t="n"/>
      <c r="CC625" s="1467" t="n"/>
      <c r="CD625" s="1491" t="n"/>
      <c r="CE625" s="1491" t="n"/>
      <c r="CF625" s="1491" t="n"/>
      <c r="CG625" s="1491" t="n"/>
      <c r="CH625" s="1491" t="n"/>
      <c r="CI625" s="1491" t="n"/>
      <c r="CJ625" s="1491" t="n"/>
      <c r="CK625" s="1491" t="n"/>
      <c r="CL625" s="1491" t="n"/>
      <c r="CM625" s="1491" t="n"/>
      <c r="CN625" s="1491" t="n"/>
      <c r="CO625" s="1491" t="n"/>
      <c r="CP625" s="1491" t="n"/>
      <c r="CQ625" s="1491" t="n"/>
      <c r="CR625" s="1491" t="n"/>
      <c r="CS625" s="1491" t="n"/>
      <c r="CT625" s="1491" t="n"/>
      <c r="CU625" s="1491" t="n"/>
      <c r="CV625" s="1491" t="n"/>
      <c r="CW625" s="1491" t="n"/>
      <c r="CX625" s="1491" t="n"/>
    </row>
    <row r="626">
      <c r="A626" s="1491" t="n"/>
      <c r="B626" s="1491" t="n"/>
      <c r="C626" s="1491" t="n"/>
      <c r="D626" s="1491" t="n"/>
      <c r="E626" s="1491" t="n"/>
      <c r="F626" s="1491" t="n"/>
      <c r="G626" s="1491" t="n"/>
      <c r="H626" s="1491" t="n"/>
      <c r="I626" s="1427" t="inlineStr">
        <is>
          <t>.</t>
        </is>
      </c>
      <c r="J626" s="1491" t="n"/>
      <c r="K626" s="1491" t="n"/>
      <c r="L626" s="1544">
        <f>_xlfn.XLOOKUP(cities[[#This Row],[city]],ccc[city],ccc[ctry],"-")</f>
        <v/>
      </c>
      <c r="M626" s="1544">
        <f>SUMIFS(stayCity[stay],stayCity[city],cities[[#This Row],[city]])</f>
        <v/>
      </c>
      <c r="N626" s="1427">
        <f>N625+1</f>
        <v/>
      </c>
      <c r="O626" s="1491" t="n"/>
      <c r="P626" s="1491" t="n"/>
      <c r="Q626" s="1427" t="inlineStr">
        <is>
          <t>.</t>
        </is>
      </c>
      <c r="R626" s="1491" t="n"/>
      <c r="S626" s="1491" t="n"/>
      <c r="T626" s="1491" t="n"/>
      <c r="U626" s="1491" t="n"/>
      <c r="V626" s="1491" t="n"/>
      <c r="W626" s="1491" t="n"/>
      <c r="X626" s="1491" t="n"/>
      <c r="Y626" s="1491" t="n"/>
      <c r="Z626" s="1491" t="n"/>
      <c r="AA626" s="1491" t="n"/>
      <c r="AB626" s="1491" t="n"/>
      <c r="AC626" s="1491" t="n"/>
      <c r="AD626" s="1491" t="n"/>
      <c r="AE626" s="1491" t="n"/>
      <c r="AF626" s="1491" t="n"/>
      <c r="AG626" s="1491" t="n"/>
      <c r="AH626" s="1491" t="n"/>
      <c r="AI626" s="1491" t="n"/>
      <c r="AJ626" s="1491" t="n"/>
      <c r="AK626" s="1491" t="n"/>
      <c r="AL626" s="1491" t="n"/>
      <c r="AM626" s="1491" t="n"/>
      <c r="AN626" s="1491" t="n"/>
      <c r="AO626" s="1491" t="n"/>
      <c r="AP626" s="1491" t="n"/>
      <c r="AQ626" s="1491" t="n"/>
      <c r="AR626" s="1491" t="n"/>
      <c r="AS626" s="1491" t="n"/>
      <c r="AT626" s="1491" t="n"/>
      <c r="AU626" s="1491" t="n"/>
      <c r="AV626" s="1491" t="n"/>
      <c r="AW626" s="1491" t="n"/>
      <c r="AX626" s="1491" t="n"/>
      <c r="AY626" s="1491" t="n"/>
      <c r="AZ626" s="1491" t="n"/>
      <c r="BA626" s="1491" t="n"/>
      <c r="BB626" s="1491" t="n"/>
      <c r="BC626" s="1491" t="n"/>
      <c r="BD626" s="1491" t="n"/>
      <c r="BE626" s="1491" t="n"/>
      <c r="BF626" s="1491" t="n"/>
      <c r="BG626" s="1491" t="n"/>
      <c r="BH626" s="1491" t="n"/>
      <c r="BI626" s="1491" t="n"/>
      <c r="BJ626" s="1491" t="n"/>
      <c r="BK626" s="1491" t="n"/>
      <c r="BL626" s="1491" t="n"/>
      <c r="BM626" s="1491" t="n"/>
      <c r="BN626" s="1491" t="n"/>
      <c r="BO626" s="1467" t="n"/>
      <c r="BP626" s="1514" t="n">
        <v>622</v>
      </c>
      <c r="BQ626" s="1513" t="n"/>
      <c r="BR626" s="1513" t="n"/>
      <c r="BS626" s="1513" t="n"/>
      <c r="BT626" s="1513" t="n"/>
      <c r="BU626" s="1516" t="n"/>
      <c r="BV626" s="1513" t="n"/>
      <c r="BW626" s="1467" t="n"/>
      <c r="BX626" s="1491" t="n"/>
      <c r="BY626" s="1491" t="n"/>
      <c r="BZ626" s="1491" t="n"/>
      <c r="CA626" s="1491" t="n"/>
      <c r="CB626" s="1467" t="n"/>
      <c r="CC626" s="1467" t="n"/>
      <c r="CD626" s="1491" t="n"/>
      <c r="CE626" s="1491" t="n"/>
      <c r="CF626" s="1491" t="n"/>
      <c r="CG626" s="1491" t="n"/>
      <c r="CH626" s="1491" t="n"/>
      <c r="CI626" s="1491" t="n"/>
      <c r="CJ626" s="1491" t="n"/>
      <c r="CK626" s="1491" t="n"/>
      <c r="CL626" s="1491" t="n"/>
      <c r="CM626" s="1491" t="n"/>
      <c r="CN626" s="1491" t="n"/>
      <c r="CO626" s="1491" t="n"/>
      <c r="CP626" s="1491" t="n"/>
      <c r="CQ626" s="1491" t="n"/>
      <c r="CR626" s="1491" t="n"/>
      <c r="CS626" s="1491" t="n"/>
      <c r="CT626" s="1491" t="n"/>
      <c r="CU626" s="1491" t="n"/>
      <c r="CV626" s="1491" t="n"/>
      <c r="CW626" s="1491" t="n"/>
      <c r="CX626" s="1491" t="n"/>
    </row>
    <row r="627">
      <c r="A627" s="1491" t="n"/>
      <c r="B627" s="1491" t="n"/>
      <c r="C627" s="1491" t="n"/>
      <c r="D627" s="1491" t="n"/>
      <c r="E627" s="1491" t="n"/>
      <c r="F627" s="1491" t="n"/>
      <c r="G627" s="1491" t="n"/>
      <c r="H627" s="1491" t="n"/>
      <c r="I627" s="1427" t="inlineStr">
        <is>
          <t>.</t>
        </is>
      </c>
      <c r="J627" s="1491" t="n"/>
      <c r="K627" s="1491" t="n"/>
      <c r="L627" s="1544">
        <f>_xlfn.XLOOKUP(cities[[#This Row],[city]],ccc[city],ccc[ctry],"-")</f>
        <v/>
      </c>
      <c r="M627" s="1544">
        <f>SUMIFS(stayCity[stay],stayCity[city],cities[[#This Row],[city]])</f>
        <v/>
      </c>
      <c r="N627" s="1427">
        <f>N626+1</f>
        <v/>
      </c>
      <c r="O627" s="1491" t="n"/>
      <c r="P627" s="1491" t="n"/>
      <c r="Q627" s="1427" t="inlineStr">
        <is>
          <t>.</t>
        </is>
      </c>
      <c r="R627" s="1491" t="n"/>
      <c r="S627" s="1491" t="n"/>
      <c r="T627" s="1491" t="n"/>
      <c r="U627" s="1491" t="n"/>
      <c r="V627" s="1491" t="n"/>
      <c r="W627" s="1491" t="n"/>
      <c r="X627" s="1491" t="n"/>
      <c r="Y627" s="1491" t="n"/>
      <c r="Z627" s="1491" t="n"/>
      <c r="AA627" s="1491" t="n"/>
      <c r="AB627" s="1491" t="n"/>
      <c r="AC627" s="1491" t="n"/>
      <c r="AD627" s="1491" t="n"/>
      <c r="AE627" s="1491" t="n"/>
      <c r="AF627" s="1491" t="n"/>
      <c r="AG627" s="1491" t="n"/>
      <c r="AH627" s="1491" t="n"/>
      <c r="AI627" s="1491" t="n"/>
      <c r="AJ627" s="1491" t="n"/>
      <c r="AK627" s="1491" t="n"/>
      <c r="AL627" s="1491" t="n"/>
      <c r="AM627" s="1491" t="n"/>
      <c r="AN627" s="1491" t="n"/>
      <c r="AO627" s="1491" t="n"/>
      <c r="AP627" s="1491" t="n"/>
      <c r="AQ627" s="1491" t="n"/>
      <c r="AR627" s="1491" t="n"/>
      <c r="AS627" s="1491" t="n"/>
      <c r="AT627" s="1491" t="n"/>
      <c r="AU627" s="1491" t="n"/>
      <c r="AV627" s="1491" t="n"/>
      <c r="AW627" s="1491" t="n"/>
      <c r="AX627" s="1491" t="n"/>
      <c r="AY627" s="1491" t="n"/>
      <c r="AZ627" s="1491" t="n"/>
      <c r="BA627" s="1491" t="n"/>
      <c r="BB627" s="1491" t="n"/>
      <c r="BC627" s="1491" t="n"/>
      <c r="BD627" s="1491" t="n"/>
      <c r="BE627" s="1491" t="n"/>
      <c r="BF627" s="1491" t="n"/>
      <c r="BG627" s="1491" t="n"/>
      <c r="BH627" s="1491" t="n"/>
      <c r="BI627" s="1491" t="n"/>
      <c r="BJ627" s="1491" t="n"/>
      <c r="BK627" s="1491" t="n"/>
      <c r="BL627" s="1491" t="n"/>
      <c r="BM627" s="1491" t="n"/>
      <c r="BN627" s="1491" t="n"/>
      <c r="BO627" s="1467" t="n"/>
      <c r="BP627" s="1514" t="n">
        <v>623</v>
      </c>
      <c r="BQ627" s="1513" t="n"/>
      <c r="BR627" s="1513" t="n"/>
      <c r="BS627" s="1513" t="n"/>
      <c r="BT627" s="1513" t="n"/>
      <c r="BU627" s="1516" t="n"/>
      <c r="BV627" s="1513" t="n"/>
      <c r="BW627" s="1467" t="n"/>
      <c r="BX627" s="1491" t="n"/>
      <c r="BY627" s="1491" t="n"/>
      <c r="BZ627" s="1491" t="n"/>
      <c r="CA627" s="1491" t="n"/>
      <c r="CB627" s="1467" t="n"/>
      <c r="CC627" s="1467" t="n"/>
      <c r="CD627" s="1491" t="n"/>
      <c r="CE627" s="1491" t="n"/>
      <c r="CF627" s="1491" t="n"/>
      <c r="CG627" s="1491" t="n"/>
      <c r="CH627" s="1491" t="n"/>
      <c r="CI627" s="1491" t="n"/>
      <c r="CJ627" s="1491" t="n"/>
      <c r="CK627" s="1491" t="n"/>
      <c r="CL627" s="1491" t="n"/>
      <c r="CM627" s="1491" t="n"/>
      <c r="CN627" s="1491" t="n"/>
      <c r="CO627" s="1491" t="n"/>
      <c r="CP627" s="1491" t="n"/>
      <c r="CQ627" s="1491" t="n"/>
      <c r="CR627" s="1491" t="n"/>
      <c r="CS627" s="1491" t="n"/>
      <c r="CT627" s="1491" t="n"/>
      <c r="CU627" s="1491" t="n"/>
      <c r="CV627" s="1491" t="n"/>
      <c r="CW627" s="1491" t="n"/>
      <c r="CX627" s="1491" t="n"/>
    </row>
    <row r="628">
      <c r="A628" s="1491" t="n"/>
      <c r="B628" s="1491" t="n"/>
      <c r="C628" s="1491" t="n"/>
      <c r="D628" s="1491" t="n"/>
      <c r="E628" s="1491" t="n"/>
      <c r="F628" s="1491" t="n"/>
      <c r="G628" s="1491" t="n"/>
      <c r="H628" s="1491" t="n"/>
      <c r="I628" s="1427" t="inlineStr">
        <is>
          <t>.</t>
        </is>
      </c>
      <c r="J628" s="1491" t="n"/>
      <c r="K628" s="1491" t="n"/>
      <c r="L628" s="1544">
        <f>_xlfn.XLOOKUP(cities[[#This Row],[city]],ccc[city],ccc[ctry],"-")</f>
        <v/>
      </c>
      <c r="M628" s="1544">
        <f>SUMIFS(stayCity[stay],stayCity[city],cities[[#This Row],[city]])</f>
        <v/>
      </c>
      <c r="N628" s="1427">
        <f>N627+1</f>
        <v/>
      </c>
      <c r="O628" s="1491" t="n"/>
      <c r="P628" s="1491" t="n"/>
      <c r="Q628" s="1427" t="inlineStr">
        <is>
          <t>.</t>
        </is>
      </c>
      <c r="R628" s="1491" t="n"/>
      <c r="S628" s="1491" t="n"/>
      <c r="T628" s="1491" t="n"/>
      <c r="U628" s="1491" t="n"/>
      <c r="V628" s="1491" t="n"/>
      <c r="W628" s="1491" t="n"/>
      <c r="X628" s="1491" t="n"/>
      <c r="Y628" s="1491" t="n"/>
      <c r="Z628" s="1491" t="n"/>
      <c r="AA628" s="1491" t="n"/>
      <c r="AB628" s="1491" t="n"/>
      <c r="AC628" s="1491" t="n"/>
      <c r="AD628" s="1491" t="n"/>
      <c r="AE628" s="1491" t="n"/>
      <c r="AF628" s="1491" t="n"/>
      <c r="AG628" s="1491" t="n"/>
      <c r="AH628" s="1491" t="n"/>
      <c r="AI628" s="1491" t="n"/>
      <c r="AJ628" s="1491" t="n"/>
      <c r="AK628" s="1491" t="n"/>
      <c r="AL628" s="1491" t="n"/>
      <c r="AM628" s="1491" t="n"/>
      <c r="AN628" s="1491" t="n"/>
      <c r="AO628" s="1491" t="n"/>
      <c r="AP628" s="1491" t="n"/>
      <c r="AQ628" s="1491" t="n"/>
      <c r="AR628" s="1491" t="n"/>
      <c r="AS628" s="1491" t="n"/>
      <c r="AT628" s="1491" t="n"/>
      <c r="AU628" s="1491" t="n"/>
      <c r="AV628" s="1491" t="n"/>
      <c r="AW628" s="1491" t="n"/>
      <c r="AX628" s="1491" t="n"/>
      <c r="AY628" s="1491" t="n"/>
      <c r="AZ628" s="1491" t="n"/>
      <c r="BA628" s="1491" t="n"/>
      <c r="BB628" s="1491" t="n"/>
      <c r="BC628" s="1491" t="n"/>
      <c r="BD628" s="1491" t="n"/>
      <c r="BE628" s="1491" t="n"/>
      <c r="BF628" s="1491" t="n"/>
      <c r="BG628" s="1491" t="n"/>
      <c r="BH628" s="1491" t="n"/>
      <c r="BI628" s="1491" t="n"/>
      <c r="BJ628" s="1491" t="n"/>
      <c r="BK628" s="1491" t="n"/>
      <c r="BL628" s="1491" t="n"/>
      <c r="BM628" s="1491" t="n"/>
      <c r="BN628" s="1491" t="n"/>
      <c r="BO628" s="1467" t="n"/>
      <c r="BP628" s="1514" t="n">
        <v>624</v>
      </c>
      <c r="BQ628" s="1513" t="n"/>
      <c r="BR628" s="1513" t="n"/>
      <c r="BS628" s="1513" t="n"/>
      <c r="BT628" s="1513" t="n"/>
      <c r="BU628" s="1516" t="n"/>
      <c r="BV628" s="1513" t="n"/>
      <c r="BW628" s="1467" t="n"/>
      <c r="BX628" s="1491" t="n"/>
      <c r="BY628" s="1491" t="n"/>
      <c r="BZ628" s="1491" t="n"/>
      <c r="CA628" s="1491" t="n"/>
      <c r="CB628" s="1467" t="n"/>
      <c r="CC628" s="1467" t="n"/>
      <c r="CD628" s="1491" t="n"/>
      <c r="CE628" s="1491" t="n"/>
      <c r="CF628" s="1491" t="n"/>
      <c r="CG628" s="1491" t="n"/>
      <c r="CH628" s="1491" t="n"/>
      <c r="CI628" s="1491" t="n"/>
      <c r="CJ628" s="1491" t="n"/>
      <c r="CK628" s="1491" t="n"/>
      <c r="CL628" s="1491" t="n"/>
      <c r="CM628" s="1491" t="n"/>
      <c r="CN628" s="1491" t="n"/>
      <c r="CO628" s="1491" t="n"/>
      <c r="CP628" s="1491" t="n"/>
      <c r="CQ628" s="1491" t="n"/>
      <c r="CR628" s="1491" t="n"/>
      <c r="CS628" s="1491" t="n"/>
      <c r="CT628" s="1491" t="n"/>
      <c r="CU628" s="1491" t="n"/>
      <c r="CV628" s="1491" t="n"/>
      <c r="CW628" s="1491" t="n"/>
      <c r="CX628" s="1491" t="n"/>
    </row>
    <row r="629">
      <c r="A629" s="1491" t="n"/>
      <c r="B629" s="1491" t="n"/>
      <c r="C629" s="1491" t="n"/>
      <c r="D629" s="1491" t="n"/>
      <c r="E629" s="1491" t="n"/>
      <c r="F629" s="1491" t="n"/>
      <c r="G629" s="1491" t="n"/>
      <c r="H629" s="1491" t="n"/>
      <c r="I629" s="1427" t="inlineStr">
        <is>
          <t>.</t>
        </is>
      </c>
      <c r="J629" s="1491" t="n"/>
      <c r="K629" s="1491" t="n"/>
      <c r="L629" s="1544">
        <f>_xlfn.XLOOKUP(cities[[#This Row],[city]],ccc[city],ccc[ctry],"-")</f>
        <v/>
      </c>
      <c r="M629" s="1544">
        <f>SUMIFS(stayCity[stay],stayCity[city],cities[[#This Row],[city]])</f>
        <v/>
      </c>
      <c r="N629" s="1427">
        <f>N628+1</f>
        <v/>
      </c>
      <c r="O629" s="1491" t="n"/>
      <c r="P629" s="1491" t="n"/>
      <c r="Q629" s="1427" t="inlineStr">
        <is>
          <t>.</t>
        </is>
      </c>
      <c r="R629" s="1491" t="n"/>
      <c r="S629" s="1491" t="n"/>
      <c r="T629" s="1491" t="n"/>
      <c r="U629" s="1491" t="n"/>
      <c r="V629" s="1491" t="n"/>
      <c r="W629" s="1491" t="n"/>
      <c r="X629" s="1491" t="n"/>
      <c r="Y629" s="1491" t="n"/>
      <c r="Z629" s="1491" t="n"/>
      <c r="AA629" s="1491" t="n"/>
      <c r="AB629" s="1491" t="n"/>
      <c r="AC629" s="1491" t="n"/>
      <c r="AD629" s="1491" t="n"/>
      <c r="AE629" s="1491" t="n"/>
      <c r="AF629" s="1491" t="n"/>
      <c r="AG629" s="1491" t="n"/>
      <c r="AH629" s="1491" t="n"/>
      <c r="AI629" s="1491" t="n"/>
      <c r="AJ629" s="1491" t="n"/>
      <c r="AK629" s="1491" t="n"/>
      <c r="AL629" s="1491" t="n"/>
      <c r="AM629" s="1491" t="n"/>
      <c r="AN629" s="1491" t="n"/>
      <c r="AO629" s="1491" t="n"/>
      <c r="AP629" s="1491" t="n"/>
      <c r="AQ629" s="1491" t="n"/>
      <c r="AR629" s="1491" t="n"/>
      <c r="AS629" s="1491" t="n"/>
      <c r="AT629" s="1491" t="n"/>
      <c r="AU629" s="1491" t="n"/>
      <c r="AV629" s="1491" t="n"/>
      <c r="AW629" s="1491" t="n"/>
      <c r="AX629" s="1491" t="n"/>
      <c r="AY629" s="1491" t="n"/>
      <c r="AZ629" s="1491" t="n"/>
      <c r="BA629" s="1491" t="n"/>
      <c r="BB629" s="1491" t="n"/>
      <c r="BC629" s="1491" t="n"/>
      <c r="BD629" s="1491" t="n"/>
      <c r="BE629" s="1491" t="n"/>
      <c r="BF629" s="1491" t="n"/>
      <c r="BG629" s="1491" t="n"/>
      <c r="BH629" s="1491" t="n"/>
      <c r="BI629" s="1491" t="n"/>
      <c r="BJ629" s="1491" t="n"/>
      <c r="BK629" s="1491" t="n"/>
      <c r="BL629" s="1491" t="n"/>
      <c r="BM629" s="1491" t="n"/>
      <c r="BN629" s="1491" t="n"/>
      <c r="BO629" s="1467" t="n"/>
      <c r="BP629" s="1514" t="n">
        <v>625</v>
      </c>
      <c r="BQ629" s="1513" t="n"/>
      <c r="BR629" s="1513" t="n"/>
      <c r="BS629" s="1513" t="n"/>
      <c r="BT629" s="1513" t="n"/>
      <c r="BU629" s="1516" t="n"/>
      <c r="BV629" s="1513" t="n"/>
      <c r="BW629" s="1467" t="n"/>
      <c r="BX629" s="1491" t="n"/>
      <c r="BY629" s="1491" t="n"/>
      <c r="BZ629" s="1491" t="n"/>
      <c r="CA629" s="1491" t="n"/>
      <c r="CB629" s="1467" t="n"/>
      <c r="CC629" s="1467" t="n"/>
      <c r="CD629" s="1491" t="n"/>
      <c r="CE629" s="1491" t="n"/>
      <c r="CF629" s="1491" t="n"/>
      <c r="CG629" s="1491" t="n"/>
      <c r="CH629" s="1491" t="n"/>
      <c r="CI629" s="1491" t="n"/>
      <c r="CJ629" s="1491" t="n"/>
      <c r="CK629" s="1491" t="n"/>
      <c r="CL629" s="1491" t="n"/>
      <c r="CM629" s="1491" t="n"/>
      <c r="CN629" s="1491" t="n"/>
      <c r="CO629" s="1491" t="n"/>
      <c r="CP629" s="1491" t="n"/>
      <c r="CQ629" s="1491" t="n"/>
      <c r="CR629" s="1491" t="n"/>
      <c r="CS629" s="1491" t="n"/>
      <c r="CT629" s="1491" t="n"/>
      <c r="CU629" s="1491" t="n"/>
      <c r="CV629" s="1491" t="n"/>
      <c r="CW629" s="1491" t="n"/>
      <c r="CX629" s="1491" t="n"/>
    </row>
    <row r="630">
      <c r="A630" s="1491" t="n"/>
      <c r="B630" s="1491" t="n"/>
      <c r="C630" s="1491" t="n"/>
      <c r="D630" s="1491" t="n"/>
      <c r="E630" s="1491" t="n"/>
      <c r="F630" s="1491" t="n"/>
      <c r="G630" s="1491" t="n"/>
      <c r="H630" s="1491" t="n"/>
      <c r="I630" s="1427" t="inlineStr">
        <is>
          <t>.</t>
        </is>
      </c>
      <c r="J630" s="1491" t="n"/>
      <c r="K630" s="1491" t="n"/>
      <c r="L630" s="1544">
        <f>_xlfn.XLOOKUP(cities[[#This Row],[city]],ccc[city],ccc[ctry],"-")</f>
        <v/>
      </c>
      <c r="M630" s="1544">
        <f>SUMIFS(stayCity[stay],stayCity[city],cities[[#This Row],[city]])</f>
        <v/>
      </c>
      <c r="N630" s="1427">
        <f>N629+1</f>
        <v/>
      </c>
      <c r="O630" s="1491" t="n"/>
      <c r="P630" s="1491" t="n"/>
      <c r="Q630" s="1427" t="inlineStr">
        <is>
          <t>.</t>
        </is>
      </c>
      <c r="R630" s="1491" t="n"/>
      <c r="S630" s="1491" t="n"/>
      <c r="T630" s="1491" t="n"/>
      <c r="U630" s="1491" t="n"/>
      <c r="V630" s="1491" t="n"/>
      <c r="W630" s="1491" t="n"/>
      <c r="X630" s="1491" t="n"/>
      <c r="Y630" s="1491" t="n"/>
      <c r="Z630" s="1491" t="n"/>
      <c r="AA630" s="1491" t="n"/>
      <c r="AB630" s="1491" t="n"/>
      <c r="AC630" s="1491" t="n"/>
      <c r="AD630" s="1491" t="n"/>
      <c r="AE630" s="1491" t="n"/>
      <c r="AF630" s="1491" t="n"/>
      <c r="AG630" s="1491" t="n"/>
      <c r="AH630" s="1491" t="n"/>
      <c r="AI630" s="1491" t="n"/>
      <c r="AJ630" s="1491" t="n"/>
      <c r="AK630" s="1491" t="n"/>
      <c r="AL630" s="1491" t="n"/>
      <c r="AM630" s="1491" t="n"/>
      <c r="AN630" s="1491" t="n"/>
      <c r="AO630" s="1491" t="n"/>
      <c r="AP630" s="1491" t="n"/>
      <c r="AQ630" s="1491" t="n"/>
      <c r="AR630" s="1491" t="n"/>
      <c r="AS630" s="1491" t="n"/>
      <c r="AT630" s="1491" t="n"/>
      <c r="AU630" s="1491" t="n"/>
      <c r="AV630" s="1491" t="n"/>
      <c r="AW630" s="1491" t="n"/>
      <c r="AX630" s="1491" t="n"/>
      <c r="AY630" s="1491" t="n"/>
      <c r="AZ630" s="1491" t="n"/>
      <c r="BA630" s="1491" t="n"/>
      <c r="BB630" s="1491" t="n"/>
      <c r="BC630" s="1491" t="n"/>
      <c r="BD630" s="1491" t="n"/>
      <c r="BE630" s="1491" t="n"/>
      <c r="BF630" s="1491" t="n"/>
      <c r="BG630" s="1491" t="n"/>
      <c r="BH630" s="1491" t="n"/>
      <c r="BI630" s="1491" t="n"/>
      <c r="BJ630" s="1491" t="n"/>
      <c r="BK630" s="1491" t="n"/>
      <c r="BL630" s="1491" t="n"/>
      <c r="BM630" s="1491" t="n"/>
      <c r="BN630" s="1491" t="n"/>
      <c r="BO630" s="1467" t="n"/>
      <c r="BP630" s="1514" t="n">
        <v>626</v>
      </c>
      <c r="BQ630" s="1513" t="n"/>
      <c r="BR630" s="1513" t="n"/>
      <c r="BS630" s="1513" t="n"/>
      <c r="BT630" s="1513" t="n"/>
      <c r="BU630" s="1516" t="n"/>
      <c r="BV630" s="1513" t="n"/>
      <c r="BW630" s="1467" t="n"/>
      <c r="BX630" s="1491" t="n"/>
      <c r="BY630" s="1491" t="n"/>
      <c r="BZ630" s="1491" t="n"/>
      <c r="CA630" s="1491" t="n"/>
      <c r="CB630" s="1467" t="n"/>
      <c r="CC630" s="1467" t="n"/>
      <c r="CD630" s="1491" t="n"/>
      <c r="CE630" s="1491" t="n"/>
      <c r="CF630" s="1491" t="n"/>
      <c r="CG630" s="1491" t="n"/>
      <c r="CH630" s="1491" t="n"/>
      <c r="CI630" s="1491" t="n"/>
      <c r="CJ630" s="1491" t="n"/>
      <c r="CK630" s="1491" t="n"/>
      <c r="CL630" s="1491" t="n"/>
      <c r="CM630" s="1491" t="n"/>
      <c r="CN630" s="1491" t="n"/>
      <c r="CO630" s="1491" t="n"/>
      <c r="CP630" s="1491" t="n"/>
      <c r="CQ630" s="1491" t="n"/>
      <c r="CR630" s="1491" t="n"/>
      <c r="CS630" s="1491" t="n"/>
      <c r="CT630" s="1491" t="n"/>
      <c r="CU630" s="1491" t="n"/>
      <c r="CV630" s="1491" t="n"/>
      <c r="CW630" s="1491" t="n"/>
      <c r="CX630" s="1491" t="n"/>
    </row>
    <row r="631">
      <c r="A631" s="1491" t="n"/>
      <c r="B631" s="1491" t="n"/>
      <c r="C631" s="1491" t="n"/>
      <c r="D631" s="1491" t="n"/>
      <c r="E631" s="1491" t="n"/>
      <c r="F631" s="1491" t="n"/>
      <c r="G631" s="1491" t="n"/>
      <c r="H631" s="1491" t="n"/>
      <c r="I631" s="1427" t="inlineStr">
        <is>
          <t>.</t>
        </is>
      </c>
      <c r="J631" s="1491" t="n"/>
      <c r="K631" s="1491" t="n"/>
      <c r="L631" s="1544">
        <f>_xlfn.XLOOKUP(cities[[#This Row],[city]],ccc[city],ccc[ctry],"-")</f>
        <v/>
      </c>
      <c r="M631" s="1544">
        <f>SUMIFS(stayCity[stay],stayCity[city],cities[[#This Row],[city]])</f>
        <v/>
      </c>
      <c r="N631" s="1427">
        <f>N630+1</f>
        <v/>
      </c>
      <c r="O631" s="1491" t="n"/>
      <c r="P631" s="1491" t="n"/>
      <c r="Q631" s="1427" t="inlineStr">
        <is>
          <t>.</t>
        </is>
      </c>
      <c r="R631" s="1491" t="n"/>
      <c r="S631" s="1491" t="n"/>
      <c r="T631" s="1491" t="n"/>
      <c r="U631" s="1491" t="n"/>
      <c r="V631" s="1491" t="n"/>
      <c r="W631" s="1491" t="n"/>
      <c r="X631" s="1491" t="n"/>
      <c r="Y631" s="1491" t="n"/>
      <c r="Z631" s="1491" t="n"/>
      <c r="AA631" s="1491" t="n"/>
      <c r="AB631" s="1491" t="n"/>
      <c r="AC631" s="1491" t="n"/>
      <c r="AD631" s="1491" t="n"/>
      <c r="AE631" s="1491" t="n"/>
      <c r="AF631" s="1491" t="n"/>
      <c r="AG631" s="1491" t="n"/>
      <c r="AH631" s="1491" t="n"/>
      <c r="AI631" s="1491" t="n"/>
      <c r="AJ631" s="1491" t="n"/>
      <c r="AK631" s="1491" t="n"/>
      <c r="AL631" s="1491" t="n"/>
      <c r="AM631" s="1491" t="n"/>
      <c r="AN631" s="1491" t="n"/>
      <c r="AO631" s="1491" t="n"/>
      <c r="AP631" s="1491" t="n"/>
      <c r="AQ631" s="1491" t="n"/>
      <c r="AR631" s="1491" t="n"/>
      <c r="AS631" s="1491" t="n"/>
      <c r="AT631" s="1491" t="n"/>
      <c r="AU631" s="1491" t="n"/>
      <c r="AV631" s="1491" t="n"/>
      <c r="AW631" s="1491" t="n"/>
      <c r="AX631" s="1491" t="n"/>
      <c r="AY631" s="1491" t="n"/>
      <c r="AZ631" s="1491" t="n"/>
      <c r="BA631" s="1491" t="n"/>
      <c r="BB631" s="1491" t="n"/>
      <c r="BC631" s="1491" t="n"/>
      <c r="BD631" s="1491" t="n"/>
      <c r="BE631" s="1491" t="n"/>
      <c r="BF631" s="1491" t="n"/>
      <c r="BG631" s="1491" t="n"/>
      <c r="BH631" s="1491" t="n"/>
      <c r="BI631" s="1491" t="n"/>
      <c r="BJ631" s="1491" t="n"/>
      <c r="BK631" s="1491" t="n"/>
      <c r="BL631" s="1491" t="n"/>
      <c r="BM631" s="1491" t="n"/>
      <c r="BN631" s="1491" t="n"/>
      <c r="BO631" s="1467" t="n"/>
      <c r="BP631" s="1514" t="n">
        <v>627</v>
      </c>
      <c r="BQ631" s="1513" t="n"/>
      <c r="BR631" s="1513" t="n"/>
      <c r="BS631" s="1513" t="n"/>
      <c r="BT631" s="1513" t="n"/>
      <c r="BU631" s="1516" t="n"/>
      <c r="BV631" s="1529" t="n"/>
      <c r="BW631" s="1467" t="n"/>
      <c r="BX631" s="1491" t="n"/>
      <c r="BY631" s="1491" t="n"/>
      <c r="BZ631" s="1491" t="n"/>
      <c r="CA631" s="1491" t="n"/>
      <c r="CB631" s="1467" t="n"/>
      <c r="CC631" s="1467" t="n"/>
      <c r="CD631" s="1491" t="n"/>
      <c r="CE631" s="1491" t="n"/>
      <c r="CF631" s="1491" t="n"/>
      <c r="CG631" s="1491" t="n"/>
      <c r="CH631" s="1491" t="n"/>
      <c r="CI631" s="1491" t="n"/>
      <c r="CJ631" s="1491" t="n"/>
      <c r="CK631" s="1491" t="n"/>
      <c r="CL631" s="1491" t="n"/>
      <c r="CM631" s="1491" t="n"/>
      <c r="CN631" s="1491" t="n"/>
      <c r="CO631" s="1491" t="n"/>
      <c r="CP631" s="1491" t="n"/>
      <c r="CQ631" s="1491" t="n"/>
      <c r="CR631" s="1491" t="n"/>
      <c r="CS631" s="1491" t="n"/>
      <c r="CT631" s="1491" t="n"/>
      <c r="CU631" s="1491" t="n"/>
      <c r="CV631" s="1491" t="n"/>
      <c r="CW631" s="1491" t="n"/>
      <c r="CX631" s="1491" t="n"/>
    </row>
    <row r="632">
      <c r="A632" s="1491" t="n"/>
      <c r="B632" s="1491" t="n"/>
      <c r="C632" s="1491" t="n"/>
      <c r="D632" s="1491" t="n"/>
      <c r="E632" s="1491" t="n"/>
      <c r="F632" s="1491" t="n"/>
      <c r="G632" s="1491" t="n"/>
      <c r="H632" s="1491" t="n"/>
      <c r="I632" s="1427" t="inlineStr">
        <is>
          <t>.</t>
        </is>
      </c>
      <c r="J632" s="1491" t="n"/>
      <c r="K632" s="1491" t="n"/>
      <c r="L632" s="1544">
        <f>_xlfn.XLOOKUP(cities[[#This Row],[city]],ccc[city],ccc[ctry],"-")</f>
        <v/>
      </c>
      <c r="M632" s="1544">
        <f>SUMIFS(stayCity[stay],stayCity[city],cities[[#This Row],[city]])</f>
        <v/>
      </c>
      <c r="N632" s="1427">
        <f>N631+1</f>
        <v/>
      </c>
      <c r="O632" s="1491" t="n"/>
      <c r="P632" s="1491" t="n"/>
      <c r="Q632" s="1427" t="inlineStr">
        <is>
          <t>.</t>
        </is>
      </c>
      <c r="R632" s="1491" t="n"/>
      <c r="S632" s="1491" t="n"/>
      <c r="T632" s="1491" t="n"/>
      <c r="U632" s="1491" t="n"/>
      <c r="V632" s="1491" t="n"/>
      <c r="W632" s="1491" t="n"/>
      <c r="X632" s="1491" t="n"/>
      <c r="Y632" s="1491" t="n"/>
      <c r="Z632" s="1491" t="n"/>
      <c r="AA632" s="1491" t="n"/>
      <c r="AB632" s="1491" t="n"/>
      <c r="AC632" s="1491" t="n"/>
      <c r="AD632" s="1491" t="n"/>
      <c r="AE632" s="1491" t="n"/>
      <c r="AF632" s="1491" t="n"/>
      <c r="AG632" s="1491" t="n"/>
      <c r="AH632" s="1491" t="n"/>
      <c r="AI632" s="1491" t="n"/>
      <c r="AJ632" s="1491" t="n"/>
      <c r="AK632" s="1491" t="n"/>
      <c r="AL632" s="1491" t="n"/>
      <c r="AM632" s="1491" t="n"/>
      <c r="AN632" s="1491" t="n"/>
      <c r="AO632" s="1491" t="n"/>
      <c r="AP632" s="1491" t="n"/>
      <c r="AQ632" s="1491" t="n"/>
      <c r="AR632" s="1491" t="n"/>
      <c r="AS632" s="1491" t="n"/>
      <c r="AT632" s="1491" t="n"/>
      <c r="AU632" s="1491" t="n"/>
      <c r="AV632" s="1491" t="n"/>
      <c r="AW632" s="1491" t="n"/>
      <c r="AX632" s="1491" t="n"/>
      <c r="AY632" s="1491" t="n"/>
      <c r="AZ632" s="1491" t="n"/>
      <c r="BA632" s="1491" t="n"/>
      <c r="BB632" s="1491" t="n"/>
      <c r="BC632" s="1491" t="n"/>
      <c r="BD632" s="1491" t="n"/>
      <c r="BE632" s="1491" t="n"/>
      <c r="BF632" s="1491" t="n"/>
      <c r="BG632" s="1491" t="n"/>
      <c r="BH632" s="1491" t="n"/>
      <c r="BI632" s="1491" t="n"/>
      <c r="BJ632" s="1491" t="n"/>
      <c r="BK632" s="1491" t="n"/>
      <c r="BL632" s="1491" t="n"/>
      <c r="BM632" s="1491" t="n"/>
      <c r="BN632" s="1491" t="n"/>
      <c r="BO632" s="1491" t="n"/>
      <c r="BP632" s="1491" t="n"/>
      <c r="BQ632" s="1491" t="n"/>
      <c r="BR632" s="1491" t="n"/>
      <c r="BS632" s="1491" t="n"/>
      <c r="BT632" s="1491" t="n"/>
      <c r="BU632" s="1491" t="n"/>
      <c r="BV632" s="1491" t="n"/>
      <c r="BW632" s="1491" t="n"/>
      <c r="BX632" s="1491" t="n"/>
      <c r="BY632" s="1491" t="n"/>
      <c r="BZ632" s="1491" t="n"/>
      <c r="CA632" s="1491" t="n"/>
      <c r="CB632" s="1491" t="n"/>
      <c r="CC632" s="1491" t="n"/>
      <c r="CD632" s="1491" t="n"/>
      <c r="CE632" s="1491" t="n"/>
      <c r="CF632" s="1491" t="n"/>
      <c r="CG632" s="1491" t="n"/>
      <c r="CH632" s="1491" t="n"/>
      <c r="CI632" s="1491" t="n"/>
      <c r="CJ632" s="1491" t="n"/>
      <c r="CK632" s="1491" t="n"/>
      <c r="CL632" s="1491" t="n"/>
      <c r="CM632" s="1491" t="n"/>
      <c r="CN632" s="1491" t="n"/>
      <c r="CO632" s="1491" t="n"/>
      <c r="CP632" s="1491" t="n"/>
      <c r="CQ632" s="1491" t="n"/>
      <c r="CR632" s="1491" t="n"/>
      <c r="CS632" s="1491" t="n"/>
      <c r="CT632" s="1491" t="n"/>
      <c r="CU632" s="1491" t="n"/>
      <c r="CV632" s="1491" t="n"/>
      <c r="CW632" s="1491" t="n"/>
      <c r="CX632" s="1491" t="n"/>
    </row>
    <row r="633">
      <c r="A633" s="1491" t="n"/>
      <c r="B633" s="1491" t="n"/>
      <c r="C633" s="1491" t="n"/>
      <c r="D633" s="1491" t="n"/>
      <c r="E633" s="1491" t="n"/>
      <c r="F633" s="1491" t="n"/>
      <c r="G633" s="1491" t="n"/>
      <c r="H633" s="1491" t="n"/>
      <c r="I633" s="1427" t="inlineStr">
        <is>
          <t>.</t>
        </is>
      </c>
      <c r="J633" s="1491" t="n"/>
      <c r="K633" s="1491" t="n"/>
      <c r="L633" s="1544">
        <f>_xlfn.XLOOKUP(cities[[#This Row],[city]],ccc[city],ccc[ctry],"-")</f>
        <v/>
      </c>
      <c r="M633" s="1544">
        <f>SUMIFS(stayCity[stay],stayCity[city],cities[[#This Row],[city]])</f>
        <v/>
      </c>
      <c r="N633" s="1427">
        <f>N632+1</f>
        <v/>
      </c>
      <c r="O633" s="1491" t="n"/>
      <c r="P633" s="1491" t="n"/>
      <c r="Q633" s="1427" t="inlineStr">
        <is>
          <t>.</t>
        </is>
      </c>
      <c r="R633" s="1491" t="n"/>
      <c r="S633" s="1491" t="n"/>
      <c r="T633" s="1491" t="n"/>
      <c r="U633" s="1491" t="n"/>
      <c r="V633" s="1491" t="n"/>
      <c r="W633" s="1491" t="n"/>
      <c r="X633" s="1491" t="n"/>
      <c r="Y633" s="1491" t="n"/>
      <c r="Z633" s="1491" t="n"/>
      <c r="AA633" s="1491" t="n"/>
      <c r="AB633" s="1491" t="n"/>
      <c r="AC633" s="1491" t="n"/>
      <c r="AD633" s="1491" t="n"/>
      <c r="AE633" s="1491" t="n"/>
      <c r="AF633" s="1491" t="n"/>
      <c r="AG633" s="1491" t="n"/>
      <c r="AH633" s="1491" t="n"/>
      <c r="AI633" s="1491" t="n"/>
      <c r="AJ633" s="1491" t="n"/>
      <c r="AK633" s="1491" t="n"/>
      <c r="AL633" s="1491" t="n"/>
      <c r="AM633" s="1491" t="n"/>
      <c r="AN633" s="1491" t="n"/>
      <c r="AO633" s="1491" t="n"/>
      <c r="AP633" s="1491" t="n"/>
      <c r="AQ633" s="1491" t="n"/>
      <c r="AR633" s="1491" t="n"/>
      <c r="AS633" s="1491" t="n"/>
      <c r="AT633" s="1491" t="n"/>
      <c r="AU633" s="1491" t="n"/>
      <c r="AV633" s="1491" t="n"/>
      <c r="AW633" s="1491" t="n"/>
      <c r="AX633" s="1491" t="n"/>
      <c r="AY633" s="1491" t="n"/>
      <c r="AZ633" s="1491" t="n"/>
      <c r="BA633" s="1491" t="n"/>
      <c r="BB633" s="1491" t="n"/>
      <c r="BC633" s="1491" t="n"/>
      <c r="BD633" s="1491" t="n"/>
      <c r="BE633" s="1491" t="n"/>
      <c r="BF633" s="1491" t="n"/>
      <c r="BG633" s="1491" t="n"/>
      <c r="BH633" s="1491" t="n"/>
      <c r="BI633" s="1491" t="n"/>
      <c r="BJ633" s="1491" t="n"/>
      <c r="BK633" s="1491" t="n"/>
      <c r="BL633" s="1491" t="n"/>
      <c r="BM633" s="1491" t="n"/>
      <c r="BN633" s="1491" t="n"/>
      <c r="BO633" s="1491" t="n"/>
      <c r="BP633" s="1491" t="n"/>
      <c r="BQ633" s="1491" t="n"/>
      <c r="BR633" s="1491" t="n"/>
      <c r="BS633" s="1491" t="n"/>
      <c r="BT633" s="1491" t="n"/>
      <c r="BU633" s="1491" t="n"/>
      <c r="BV633" s="1491" t="n"/>
      <c r="BW633" s="1491" t="n"/>
      <c r="BX633" s="1491" t="n"/>
      <c r="BY633" s="1491" t="n"/>
      <c r="BZ633" s="1491" t="n"/>
      <c r="CA633" s="1491" t="n"/>
      <c r="CB633" s="1491" t="n"/>
      <c r="CC633" s="1491" t="n"/>
      <c r="CD633" s="1491" t="n"/>
      <c r="CE633" s="1491" t="n"/>
      <c r="CF633" s="1491" t="n"/>
      <c r="CG633" s="1491" t="n"/>
      <c r="CH633" s="1491" t="n"/>
      <c r="CI633" s="1491" t="n"/>
      <c r="CJ633" s="1491" t="n"/>
      <c r="CK633" s="1491" t="n"/>
      <c r="CL633" s="1491" t="n"/>
      <c r="CM633" s="1491" t="n"/>
      <c r="CN633" s="1491" t="n"/>
      <c r="CO633" s="1491" t="n"/>
      <c r="CP633" s="1491" t="n"/>
      <c r="CQ633" s="1491" t="n"/>
      <c r="CR633" s="1491" t="n"/>
      <c r="CS633" s="1491" t="n"/>
      <c r="CT633" s="1491" t="n"/>
      <c r="CU633" s="1491" t="n"/>
      <c r="CV633" s="1491" t="n"/>
      <c r="CW633" s="1491" t="n"/>
      <c r="CX633" s="1491" t="n"/>
    </row>
    <row r="634">
      <c r="A634" s="1491" t="n"/>
      <c r="B634" s="1491" t="n"/>
      <c r="C634" s="1491" t="n"/>
      <c r="D634" s="1491" t="n"/>
      <c r="E634" s="1491" t="n"/>
      <c r="F634" s="1491" t="n"/>
      <c r="G634" s="1491" t="n"/>
      <c r="H634" s="1491" t="n"/>
      <c r="I634" s="1427" t="inlineStr">
        <is>
          <t>.</t>
        </is>
      </c>
      <c r="J634" s="1491" t="n"/>
      <c r="K634" s="1491" t="n"/>
      <c r="L634" s="1544">
        <f>_xlfn.XLOOKUP(cities[[#This Row],[city]],ccc[city],ccc[ctry],"-")</f>
        <v/>
      </c>
      <c r="M634" s="1544">
        <f>SUMIFS(stayCity[stay],stayCity[city],cities[[#This Row],[city]])</f>
        <v/>
      </c>
      <c r="N634" s="1427">
        <f>N633+1</f>
        <v/>
      </c>
      <c r="O634" s="1491" t="n"/>
      <c r="P634" s="1491" t="n"/>
      <c r="Q634" s="1427" t="inlineStr">
        <is>
          <t>.</t>
        </is>
      </c>
      <c r="R634" s="1491" t="n"/>
      <c r="S634" s="1491" t="n"/>
      <c r="T634" s="1491" t="n"/>
      <c r="U634" s="1491" t="n"/>
      <c r="V634" s="1491" t="n"/>
      <c r="W634" s="1491" t="n"/>
      <c r="X634" s="1491" t="n"/>
      <c r="Y634" s="1491" t="n"/>
      <c r="Z634" s="1491" t="n"/>
      <c r="AA634" s="1491" t="n"/>
      <c r="AB634" s="1491" t="n"/>
      <c r="AC634" s="1491" t="n"/>
      <c r="AD634" s="1491" t="n"/>
      <c r="AE634" s="1491" t="n"/>
      <c r="AF634" s="1491" t="n"/>
      <c r="AG634" s="1491" t="n"/>
      <c r="AH634" s="1491" t="n"/>
      <c r="AI634" s="1491" t="n"/>
      <c r="AJ634" s="1491" t="n"/>
      <c r="AK634" s="1491" t="n"/>
      <c r="AL634" s="1491" t="n"/>
      <c r="AM634" s="1491" t="n"/>
      <c r="AN634" s="1491" t="n"/>
      <c r="AO634" s="1491" t="n"/>
      <c r="AP634" s="1491" t="n"/>
      <c r="AQ634" s="1491" t="n"/>
      <c r="AR634" s="1491" t="n"/>
      <c r="AS634" s="1491" t="n"/>
      <c r="AT634" s="1491" t="n"/>
      <c r="AU634" s="1491" t="n"/>
      <c r="AV634" s="1491" t="n"/>
      <c r="AW634" s="1491" t="n"/>
      <c r="AX634" s="1491" t="n"/>
      <c r="AY634" s="1491" t="n"/>
      <c r="AZ634" s="1491" t="n"/>
      <c r="BA634" s="1491" t="n"/>
      <c r="BB634" s="1491" t="n"/>
      <c r="BC634" s="1491" t="n"/>
      <c r="BD634" s="1491" t="n"/>
      <c r="BE634" s="1491" t="n"/>
      <c r="BF634" s="1491" t="n"/>
      <c r="BG634" s="1491" t="n"/>
      <c r="BH634" s="1491" t="n"/>
      <c r="BI634" s="1491" t="n"/>
      <c r="BJ634" s="1491" t="n"/>
      <c r="BK634" s="1491" t="n"/>
      <c r="BL634" s="1491" t="n"/>
      <c r="BM634" s="1491" t="n"/>
      <c r="BN634" s="1491" t="n"/>
      <c r="BO634" s="1491" t="n"/>
      <c r="BP634" s="1491" t="n"/>
      <c r="BQ634" s="1491" t="n"/>
      <c r="BR634" s="1491" t="n"/>
      <c r="BS634" s="1491" t="n"/>
      <c r="BT634" s="1491" t="n"/>
      <c r="BU634" s="1491" t="n"/>
      <c r="BV634" s="1491" t="n"/>
      <c r="BW634" s="1491" t="n"/>
      <c r="BX634" s="1491" t="n"/>
      <c r="BY634" s="1491" t="n"/>
      <c r="BZ634" s="1491" t="n"/>
      <c r="CA634" s="1491" t="n"/>
      <c r="CB634" s="1491" t="n"/>
      <c r="CC634" s="1491" t="n"/>
      <c r="CD634" s="1491" t="n"/>
      <c r="CE634" s="1491" t="n"/>
      <c r="CF634" s="1491" t="n"/>
      <c r="CG634" s="1491" t="n"/>
      <c r="CH634" s="1491" t="n"/>
      <c r="CI634" s="1491" t="n"/>
      <c r="CJ634" s="1491" t="n"/>
      <c r="CK634" s="1491" t="n"/>
      <c r="CL634" s="1491" t="n"/>
      <c r="CM634" s="1491" t="n"/>
      <c r="CN634" s="1491" t="n"/>
      <c r="CO634" s="1491" t="n"/>
      <c r="CP634" s="1491" t="n"/>
      <c r="CQ634" s="1491" t="n"/>
      <c r="CR634" s="1491" t="n"/>
      <c r="CS634" s="1491" t="n"/>
      <c r="CT634" s="1491" t="n"/>
      <c r="CU634" s="1491" t="n"/>
      <c r="CV634" s="1491" t="n"/>
      <c r="CW634" s="1491" t="n"/>
      <c r="CX634" s="1491" t="n"/>
    </row>
    <row r="635">
      <c r="A635" s="1491" t="n"/>
      <c r="B635" s="1491" t="n"/>
      <c r="C635" s="1491" t="n"/>
      <c r="D635" s="1491" t="n"/>
      <c r="E635" s="1491" t="n"/>
      <c r="F635" s="1491" t="n"/>
      <c r="G635" s="1491" t="n"/>
      <c r="H635" s="1491" t="n"/>
      <c r="I635" s="1427" t="inlineStr">
        <is>
          <t>.</t>
        </is>
      </c>
      <c r="J635" s="1491" t="n"/>
      <c r="K635" s="1491" t="n"/>
      <c r="L635" s="1544">
        <f>_xlfn.XLOOKUP(cities[[#This Row],[city]],ccc[city],ccc[ctry],"-")</f>
        <v/>
      </c>
      <c r="M635" s="1544">
        <f>SUMIFS(stayCity[stay],stayCity[city],cities[[#This Row],[city]])</f>
        <v/>
      </c>
      <c r="N635" s="1427">
        <f>N634+1</f>
        <v/>
      </c>
      <c r="O635" s="1491" t="n"/>
      <c r="P635" s="1491" t="n"/>
      <c r="Q635" s="1427" t="inlineStr">
        <is>
          <t>.</t>
        </is>
      </c>
      <c r="R635" s="1491" t="n"/>
      <c r="S635" s="1491" t="n"/>
      <c r="T635" s="1491" t="n"/>
      <c r="U635" s="1491" t="n"/>
      <c r="V635" s="1491" t="n"/>
      <c r="W635" s="1491" t="n"/>
      <c r="X635" s="1491" t="n"/>
      <c r="Y635" s="1491" t="n"/>
      <c r="Z635" s="1491" t="n"/>
      <c r="AA635" s="1491" t="n"/>
      <c r="AB635" s="1491" t="n"/>
      <c r="AC635" s="1491" t="n"/>
      <c r="AD635" s="1491" t="n"/>
      <c r="AE635" s="1491" t="n"/>
      <c r="AF635" s="1491" t="n"/>
      <c r="AG635" s="1491" t="n"/>
      <c r="AH635" s="1491" t="n"/>
      <c r="AI635" s="1491" t="n"/>
      <c r="AJ635" s="1491" t="n"/>
      <c r="AK635" s="1491" t="n"/>
      <c r="AL635" s="1491" t="n"/>
      <c r="AM635" s="1491" t="n"/>
      <c r="AN635" s="1491" t="n"/>
      <c r="AO635" s="1491" t="n"/>
      <c r="AP635" s="1491" t="n"/>
      <c r="AQ635" s="1491" t="n"/>
      <c r="AR635" s="1491" t="n"/>
      <c r="AS635" s="1491" t="n"/>
      <c r="AT635" s="1491" t="n"/>
      <c r="AU635" s="1491" t="n"/>
      <c r="AV635" s="1491" t="n"/>
      <c r="AW635" s="1491" t="n"/>
      <c r="AX635" s="1491" t="n"/>
      <c r="AY635" s="1491" t="n"/>
      <c r="AZ635" s="1491" t="n"/>
      <c r="BA635" s="1491" t="n"/>
      <c r="BB635" s="1491" t="n"/>
      <c r="BC635" s="1491" t="n"/>
      <c r="BD635" s="1491" t="n"/>
      <c r="BE635" s="1491" t="n"/>
      <c r="BF635" s="1491" t="n"/>
      <c r="BG635" s="1491" t="n"/>
      <c r="BH635" s="1491" t="n"/>
      <c r="BI635" s="1491" t="n"/>
      <c r="BJ635" s="1491" t="n"/>
      <c r="BK635" s="1491" t="n"/>
      <c r="BL635" s="1491" t="n"/>
      <c r="BM635" s="1491" t="n"/>
      <c r="BN635" s="1491" t="n"/>
      <c r="BO635" s="1491" t="n"/>
      <c r="BP635" s="1491" t="n"/>
      <c r="BQ635" s="1491" t="n"/>
      <c r="BR635" s="1491" t="n"/>
      <c r="BS635" s="1491" t="n"/>
      <c r="BT635" s="1491" t="n"/>
      <c r="BU635" s="1491" t="n"/>
      <c r="BV635" s="1491" t="n"/>
      <c r="BW635" s="1491" t="n"/>
      <c r="BX635" s="1491" t="n"/>
      <c r="BY635" s="1491" t="n"/>
      <c r="BZ635" s="1491" t="n"/>
      <c r="CA635" s="1491" t="n"/>
      <c r="CB635" s="1491" t="n"/>
      <c r="CC635" s="1491" t="n"/>
      <c r="CD635" s="1491" t="n"/>
      <c r="CE635" s="1491" t="n"/>
      <c r="CF635" s="1491" t="n"/>
      <c r="CG635" s="1491" t="n"/>
      <c r="CH635" s="1491" t="n"/>
      <c r="CI635" s="1491" t="n"/>
      <c r="CJ635" s="1491" t="n"/>
      <c r="CK635" s="1491" t="n"/>
      <c r="CL635" s="1491" t="n"/>
      <c r="CM635" s="1491" t="n"/>
      <c r="CN635" s="1491" t="n"/>
      <c r="CO635" s="1491" t="n"/>
      <c r="CP635" s="1491" t="n"/>
      <c r="CQ635" s="1491" t="n"/>
      <c r="CR635" s="1491" t="n"/>
      <c r="CS635" s="1491" t="n"/>
      <c r="CT635" s="1491" t="n"/>
      <c r="CU635" s="1491" t="n"/>
      <c r="CV635" s="1491" t="n"/>
      <c r="CW635" s="1491" t="n"/>
      <c r="CX635" s="1491" t="n"/>
    </row>
    <row r="636">
      <c r="A636" s="1491" t="n"/>
      <c r="B636" s="1491" t="n"/>
      <c r="C636" s="1491" t="n"/>
      <c r="D636" s="1491" t="n"/>
      <c r="E636" s="1491" t="n"/>
      <c r="F636" s="1491" t="n"/>
      <c r="G636" s="1491" t="n"/>
      <c r="H636" s="1491" t="n"/>
      <c r="I636" s="1427" t="inlineStr">
        <is>
          <t>.</t>
        </is>
      </c>
      <c r="J636" s="1491" t="n"/>
      <c r="K636" s="1491" t="n"/>
      <c r="L636" s="1544">
        <f>_xlfn.XLOOKUP(cities[[#This Row],[city]],ccc[city],ccc[ctry],"-")</f>
        <v/>
      </c>
      <c r="M636" s="1544">
        <f>SUMIFS(stayCity[stay],stayCity[city],cities[[#This Row],[city]])</f>
        <v/>
      </c>
      <c r="N636" s="1427">
        <f>N635+1</f>
        <v/>
      </c>
      <c r="O636" s="1491" t="n"/>
      <c r="P636" s="1491" t="n"/>
      <c r="Q636" s="1427" t="inlineStr">
        <is>
          <t>.</t>
        </is>
      </c>
      <c r="R636" s="1491" t="n"/>
      <c r="S636" s="1491" t="n"/>
      <c r="T636" s="1491" t="n"/>
      <c r="U636" s="1491" t="n"/>
      <c r="V636" s="1491" t="n"/>
      <c r="W636" s="1491" t="n"/>
      <c r="X636" s="1491" t="n"/>
      <c r="Y636" s="1491" t="n"/>
      <c r="Z636" s="1491" t="n"/>
      <c r="AA636" s="1491" t="n"/>
      <c r="AB636" s="1491" t="n"/>
      <c r="AC636" s="1491" t="n"/>
      <c r="AD636" s="1491" t="n"/>
      <c r="AE636" s="1491" t="n"/>
      <c r="AF636" s="1491" t="n"/>
      <c r="AG636" s="1491" t="n"/>
      <c r="AH636" s="1491" t="n"/>
      <c r="AI636" s="1491" t="n"/>
      <c r="AJ636" s="1491" t="n"/>
      <c r="AK636" s="1491" t="n"/>
      <c r="AL636" s="1491" t="n"/>
      <c r="AM636" s="1491" t="n"/>
      <c r="AN636" s="1491" t="n"/>
      <c r="AO636" s="1491" t="n"/>
      <c r="AP636" s="1491" t="n"/>
      <c r="AQ636" s="1491" t="n"/>
      <c r="AR636" s="1491" t="n"/>
      <c r="AS636" s="1491" t="n"/>
      <c r="AT636" s="1491" t="n"/>
      <c r="AU636" s="1491" t="n"/>
      <c r="AV636" s="1491" t="n"/>
      <c r="AW636" s="1491" t="n"/>
      <c r="AX636" s="1491" t="n"/>
      <c r="AY636" s="1491" t="n"/>
      <c r="AZ636" s="1491" t="n"/>
      <c r="BA636" s="1491" t="n"/>
      <c r="BB636" s="1491" t="n"/>
      <c r="BC636" s="1491" t="n"/>
      <c r="BD636" s="1491" t="n"/>
      <c r="BE636" s="1491" t="n"/>
      <c r="BF636" s="1491" t="n"/>
      <c r="BG636" s="1491" t="n"/>
      <c r="BH636" s="1491" t="n"/>
      <c r="BI636" s="1491" t="n"/>
      <c r="BJ636" s="1491" t="n"/>
      <c r="BK636" s="1491" t="n"/>
      <c r="BL636" s="1491" t="n"/>
      <c r="BM636" s="1491" t="n"/>
      <c r="BN636" s="1491" t="n"/>
      <c r="BO636" s="1491" t="n"/>
      <c r="BP636" s="1491" t="n"/>
      <c r="BQ636" s="1491" t="n"/>
      <c r="BR636" s="1491" t="n"/>
      <c r="BS636" s="1491" t="n"/>
      <c r="BT636" s="1491" t="n"/>
      <c r="BU636" s="1491" t="n"/>
      <c r="BV636" s="1491" t="n"/>
      <c r="BW636" s="1491" t="n"/>
      <c r="BX636" s="1491" t="n"/>
      <c r="BY636" s="1491" t="n"/>
      <c r="BZ636" s="1491" t="n"/>
      <c r="CA636" s="1491" t="n"/>
      <c r="CB636" s="1491" t="n"/>
      <c r="CC636" s="1491" t="n"/>
      <c r="CD636" s="1491" t="n"/>
      <c r="CE636" s="1491" t="n"/>
      <c r="CF636" s="1491" t="n"/>
      <c r="CG636" s="1491" t="n"/>
      <c r="CH636" s="1491" t="n"/>
      <c r="CI636" s="1491" t="n"/>
      <c r="CJ636" s="1491" t="n"/>
      <c r="CK636" s="1491" t="n"/>
      <c r="CL636" s="1491" t="n"/>
      <c r="CM636" s="1491" t="n"/>
      <c r="CN636" s="1491" t="n"/>
      <c r="CO636" s="1491" t="n"/>
      <c r="CP636" s="1491" t="n"/>
      <c r="CQ636" s="1491" t="n"/>
      <c r="CR636" s="1491" t="n"/>
      <c r="CS636" s="1491" t="n"/>
      <c r="CT636" s="1491" t="n"/>
      <c r="CU636" s="1491" t="n"/>
      <c r="CV636" s="1491" t="n"/>
      <c r="CW636" s="1491" t="n"/>
      <c r="CX636" s="1491" t="n"/>
    </row>
    <row r="637">
      <c r="A637" s="1491" t="n"/>
      <c r="B637" s="1491" t="n"/>
      <c r="C637" s="1491" t="n"/>
      <c r="D637" s="1491" t="n"/>
      <c r="E637" s="1491" t="n"/>
      <c r="F637" s="1491" t="n"/>
      <c r="G637" s="1491" t="n"/>
      <c r="H637" s="1491" t="n"/>
      <c r="I637" s="1427" t="inlineStr">
        <is>
          <t>.</t>
        </is>
      </c>
      <c r="J637" s="1491" t="n"/>
      <c r="K637" s="1491" t="n"/>
      <c r="L637" s="1544">
        <f>_xlfn.XLOOKUP(cities[[#This Row],[city]],ccc[city],ccc[ctry],"-")</f>
        <v/>
      </c>
      <c r="M637" s="1544">
        <f>SUMIFS(stayCity[stay],stayCity[city],cities[[#This Row],[city]])</f>
        <v/>
      </c>
      <c r="N637" s="1427">
        <f>N636+1</f>
        <v/>
      </c>
      <c r="O637" s="1491" t="n"/>
      <c r="P637" s="1491" t="n"/>
      <c r="Q637" s="1427" t="inlineStr">
        <is>
          <t>.</t>
        </is>
      </c>
      <c r="R637" s="1491" t="n"/>
      <c r="S637" s="1491" t="n"/>
      <c r="T637" s="1491" t="n"/>
      <c r="U637" s="1491" t="n"/>
      <c r="V637" s="1491" t="n"/>
      <c r="W637" s="1491" t="n"/>
      <c r="X637" s="1491" t="n"/>
      <c r="Y637" s="1491" t="n"/>
      <c r="Z637" s="1491" t="n"/>
      <c r="AA637" s="1491" t="n"/>
      <c r="AB637" s="1491" t="n"/>
      <c r="AC637" s="1491" t="n"/>
      <c r="AD637" s="1491" t="n"/>
      <c r="AE637" s="1491" t="n"/>
      <c r="AF637" s="1491" t="n"/>
      <c r="AG637" s="1491" t="n"/>
      <c r="AH637" s="1491" t="n"/>
      <c r="AI637" s="1491" t="n"/>
      <c r="AJ637" s="1491" t="n"/>
      <c r="AK637" s="1491" t="n"/>
      <c r="AL637" s="1491" t="n"/>
      <c r="AM637" s="1491" t="n"/>
      <c r="AN637" s="1491" t="n"/>
      <c r="AO637" s="1491" t="n"/>
      <c r="AP637" s="1491" t="n"/>
      <c r="AQ637" s="1491" t="n"/>
      <c r="AR637" s="1491" t="n"/>
      <c r="AS637" s="1491" t="n"/>
      <c r="AT637" s="1491" t="n"/>
      <c r="AU637" s="1491" t="n"/>
      <c r="AV637" s="1491" t="n"/>
      <c r="AW637" s="1491" t="n"/>
      <c r="AX637" s="1491" t="n"/>
      <c r="AY637" s="1491" t="n"/>
      <c r="AZ637" s="1491" t="n"/>
      <c r="BA637" s="1491" t="n"/>
      <c r="BB637" s="1491" t="n"/>
      <c r="BC637" s="1491" t="n"/>
      <c r="BD637" s="1491" t="n"/>
      <c r="BE637" s="1491" t="n"/>
      <c r="BF637" s="1491" t="n"/>
      <c r="BG637" s="1491" t="n"/>
      <c r="BH637" s="1491" t="n"/>
      <c r="BI637" s="1491" t="n"/>
      <c r="BJ637" s="1491" t="n"/>
      <c r="BK637" s="1491" t="n"/>
      <c r="BL637" s="1491" t="n"/>
      <c r="BM637" s="1491" t="n"/>
      <c r="BN637" s="1491" t="n"/>
      <c r="BO637" s="1491" t="n"/>
      <c r="BP637" s="1491" t="n"/>
      <c r="BQ637" s="1491" t="n"/>
      <c r="BR637" s="1491" t="n"/>
      <c r="BS637" s="1491" t="n"/>
      <c r="BT637" s="1491" t="n"/>
      <c r="BU637" s="1491" t="n"/>
      <c r="BV637" s="1491" t="n"/>
      <c r="BW637" s="1491" t="n"/>
      <c r="BX637" s="1491" t="n"/>
      <c r="BY637" s="1491" t="n"/>
      <c r="BZ637" s="1491" t="n"/>
      <c r="CA637" s="1491" t="n"/>
      <c r="CB637" s="1491" t="n"/>
      <c r="CC637" s="1491" t="n"/>
      <c r="CD637" s="1491" t="n"/>
      <c r="CE637" s="1491" t="n"/>
      <c r="CF637" s="1491" t="n"/>
      <c r="CG637" s="1491" t="n"/>
      <c r="CH637" s="1491" t="n"/>
      <c r="CI637" s="1491" t="n"/>
      <c r="CJ637" s="1491" t="n"/>
      <c r="CK637" s="1491" t="n"/>
      <c r="CL637" s="1491" t="n"/>
      <c r="CM637" s="1491" t="n"/>
      <c r="CN637" s="1491" t="n"/>
      <c r="CO637" s="1491" t="n"/>
      <c r="CP637" s="1491" t="n"/>
      <c r="CQ637" s="1491" t="n"/>
      <c r="CR637" s="1491" t="n"/>
      <c r="CS637" s="1491" t="n"/>
      <c r="CT637" s="1491" t="n"/>
      <c r="CU637" s="1491" t="n"/>
      <c r="CV637" s="1491" t="n"/>
      <c r="CW637" s="1491" t="n"/>
      <c r="CX637" s="1491" t="n"/>
    </row>
    <row r="638">
      <c r="A638" s="1491" t="n"/>
      <c r="B638" s="1491" t="n"/>
      <c r="C638" s="1491" t="n"/>
      <c r="D638" s="1491" t="n"/>
      <c r="E638" s="1491" t="n"/>
      <c r="F638" s="1491" t="n"/>
      <c r="G638" s="1491" t="n"/>
      <c r="H638" s="1491" t="n"/>
      <c r="I638" s="1427" t="inlineStr">
        <is>
          <t>.</t>
        </is>
      </c>
      <c r="J638" s="1491" t="n"/>
      <c r="K638" s="1491" t="n"/>
      <c r="L638" s="1544">
        <f>_xlfn.XLOOKUP(cities[[#This Row],[city]],ccc[city],ccc[ctry],"-")</f>
        <v/>
      </c>
      <c r="M638" s="1544">
        <f>SUMIFS(stayCity[stay],stayCity[city],cities[[#This Row],[city]])</f>
        <v/>
      </c>
      <c r="N638" s="1427">
        <f>N637+1</f>
        <v/>
      </c>
      <c r="O638" s="1491" t="n"/>
      <c r="P638" s="1491" t="n"/>
      <c r="Q638" s="1427" t="inlineStr">
        <is>
          <t>.</t>
        </is>
      </c>
      <c r="R638" s="1491" t="n"/>
      <c r="S638" s="1491" t="n"/>
      <c r="T638" s="1491" t="n"/>
      <c r="U638" s="1491" t="n"/>
      <c r="V638" s="1491" t="n"/>
      <c r="W638" s="1491" t="n"/>
      <c r="X638" s="1491" t="n"/>
      <c r="Y638" s="1491" t="n"/>
      <c r="Z638" s="1491" t="n"/>
      <c r="AA638" s="1491" t="n"/>
      <c r="AB638" s="1491" t="n"/>
      <c r="AC638" s="1491" t="n"/>
      <c r="AD638" s="1491" t="n"/>
      <c r="AE638" s="1491" t="n"/>
      <c r="AF638" s="1491" t="n"/>
      <c r="AG638" s="1491" t="n"/>
      <c r="AH638" s="1491" t="n"/>
      <c r="AI638" s="1491" t="n"/>
      <c r="AJ638" s="1491" t="n"/>
      <c r="AK638" s="1491" t="n"/>
      <c r="AL638" s="1491" t="n"/>
      <c r="AM638" s="1491" t="n"/>
      <c r="AN638" s="1491" t="n"/>
      <c r="AO638" s="1491" t="n"/>
      <c r="AP638" s="1491" t="n"/>
      <c r="AQ638" s="1491" t="n"/>
      <c r="AR638" s="1491" t="n"/>
      <c r="AS638" s="1491" t="n"/>
      <c r="AT638" s="1491" t="n"/>
      <c r="AU638" s="1491" t="n"/>
      <c r="AV638" s="1491" t="n"/>
      <c r="AW638" s="1491" t="n"/>
      <c r="AX638" s="1491" t="n"/>
      <c r="AY638" s="1491" t="n"/>
      <c r="AZ638" s="1491" t="n"/>
      <c r="BA638" s="1491" t="n"/>
      <c r="BB638" s="1491" t="n"/>
      <c r="BC638" s="1491" t="n"/>
      <c r="BD638" s="1491" t="n"/>
      <c r="BE638" s="1491" t="n"/>
      <c r="BF638" s="1491" t="n"/>
      <c r="BG638" s="1491" t="n"/>
      <c r="BH638" s="1491" t="n"/>
      <c r="BI638" s="1491" t="n"/>
      <c r="BJ638" s="1491" t="n"/>
      <c r="BK638" s="1491" t="n"/>
      <c r="BL638" s="1491" t="n"/>
      <c r="BM638" s="1491" t="n"/>
      <c r="BN638" s="1491" t="n"/>
      <c r="BO638" s="1491" t="n"/>
      <c r="BP638" s="1491" t="n"/>
      <c r="BQ638" s="1491" t="n"/>
      <c r="BR638" s="1491" t="n"/>
      <c r="BS638" s="1491" t="n"/>
      <c r="BT638" s="1491" t="n"/>
      <c r="BU638" s="1491" t="n"/>
      <c r="BV638" s="1491" t="n"/>
      <c r="BW638" s="1491" t="n"/>
      <c r="BX638" s="1491" t="n"/>
      <c r="BY638" s="1491" t="n"/>
      <c r="BZ638" s="1491" t="n"/>
      <c r="CA638" s="1491" t="n"/>
      <c r="CB638" s="1491" t="n"/>
      <c r="CC638" s="1491" t="n"/>
      <c r="CD638" s="1491" t="n"/>
      <c r="CE638" s="1491" t="n"/>
      <c r="CF638" s="1491" t="n"/>
      <c r="CG638" s="1491" t="n"/>
      <c r="CH638" s="1491" t="n"/>
      <c r="CI638" s="1491" t="n"/>
      <c r="CJ638" s="1491" t="n"/>
      <c r="CK638" s="1491" t="n"/>
      <c r="CL638" s="1491" t="n"/>
      <c r="CM638" s="1491" t="n"/>
      <c r="CN638" s="1491" t="n"/>
      <c r="CO638" s="1491" t="n"/>
      <c r="CP638" s="1491" t="n"/>
      <c r="CQ638" s="1491" t="n"/>
      <c r="CR638" s="1491" t="n"/>
      <c r="CS638" s="1491" t="n"/>
      <c r="CT638" s="1491" t="n"/>
      <c r="CU638" s="1491" t="n"/>
      <c r="CV638" s="1491" t="n"/>
      <c r="CW638" s="1491" t="n"/>
      <c r="CX638" s="1491" t="n"/>
    </row>
    <row r="639">
      <c r="A639" s="1491" t="n"/>
      <c r="B639" s="1491" t="n"/>
      <c r="C639" s="1491" t="n"/>
      <c r="D639" s="1491" t="n"/>
      <c r="E639" s="1491" t="n"/>
      <c r="F639" s="1491" t="n"/>
      <c r="G639" s="1491" t="n"/>
      <c r="H639" s="1491" t="n"/>
      <c r="I639" s="1427" t="inlineStr">
        <is>
          <t>.</t>
        </is>
      </c>
      <c r="J639" s="1491" t="n"/>
      <c r="K639" s="1491" t="n"/>
      <c r="L639" s="1544">
        <f>_xlfn.XLOOKUP(cities[[#This Row],[city]],ccc[city],ccc[ctry],"-")</f>
        <v/>
      </c>
      <c r="M639" s="1544">
        <f>SUMIFS(stayCity[stay],stayCity[city],cities[[#This Row],[city]])</f>
        <v/>
      </c>
      <c r="N639" s="1427">
        <f>N638+1</f>
        <v/>
      </c>
      <c r="O639" s="1491" t="n"/>
      <c r="P639" s="1491" t="n"/>
      <c r="Q639" s="1427" t="inlineStr">
        <is>
          <t>.</t>
        </is>
      </c>
      <c r="R639" s="1491" t="n"/>
      <c r="S639" s="1491" t="n"/>
      <c r="T639" s="1491" t="n"/>
      <c r="U639" s="1491" t="n"/>
      <c r="V639" s="1491" t="n"/>
      <c r="W639" s="1491" t="n"/>
      <c r="X639" s="1491" t="n"/>
      <c r="Y639" s="1491" t="n"/>
      <c r="Z639" s="1491" t="n"/>
      <c r="AA639" s="1491" t="n"/>
      <c r="AB639" s="1491" t="n"/>
      <c r="AC639" s="1491" t="n"/>
      <c r="AD639" s="1491" t="n"/>
      <c r="AE639" s="1491" t="n"/>
      <c r="AF639" s="1491" t="n"/>
      <c r="AG639" s="1491" t="n"/>
      <c r="AH639" s="1491" t="n"/>
      <c r="AI639" s="1491" t="n"/>
      <c r="AJ639" s="1491" t="n"/>
      <c r="AK639" s="1491" t="n"/>
      <c r="AL639" s="1491" t="n"/>
      <c r="AM639" s="1491" t="n"/>
      <c r="AN639" s="1491" t="n"/>
      <c r="AO639" s="1491" t="n"/>
      <c r="AP639" s="1491" t="n"/>
      <c r="AQ639" s="1491" t="n"/>
      <c r="AR639" s="1491" t="n"/>
      <c r="AS639" s="1491" t="n"/>
      <c r="AT639" s="1491" t="n"/>
      <c r="AU639" s="1491" t="n"/>
      <c r="AV639" s="1491" t="n"/>
      <c r="AW639" s="1491" t="n"/>
      <c r="AX639" s="1491" t="n"/>
      <c r="AY639" s="1491" t="n"/>
      <c r="AZ639" s="1491" t="n"/>
      <c r="BA639" s="1491" t="n"/>
      <c r="BB639" s="1491" t="n"/>
      <c r="BC639" s="1491" t="n"/>
      <c r="BD639" s="1491" t="n"/>
      <c r="BE639" s="1491" t="n"/>
      <c r="BF639" s="1491" t="n"/>
      <c r="BG639" s="1491" t="n"/>
      <c r="BH639" s="1491" t="n"/>
      <c r="BI639" s="1491" t="n"/>
      <c r="BJ639" s="1491" t="n"/>
      <c r="BK639" s="1491" t="n"/>
      <c r="BL639" s="1491" t="n"/>
      <c r="BM639" s="1491" t="n"/>
      <c r="BN639" s="1491" t="n"/>
      <c r="BO639" s="1491" t="n"/>
      <c r="BP639" s="1491" t="n"/>
      <c r="BQ639" s="1491" t="n"/>
      <c r="BR639" s="1491" t="n"/>
      <c r="BS639" s="1491" t="n"/>
      <c r="BT639" s="1491" t="n"/>
      <c r="BU639" s="1491" t="n"/>
      <c r="BV639" s="1491" t="n"/>
      <c r="BW639" s="1491" t="n"/>
      <c r="BX639" s="1491" t="n"/>
      <c r="BY639" s="1491" t="n"/>
      <c r="BZ639" s="1491" t="n"/>
      <c r="CA639" s="1491" t="n"/>
      <c r="CB639" s="1491" t="n"/>
      <c r="CC639" s="1491" t="n"/>
      <c r="CD639" s="1491" t="n"/>
      <c r="CE639" s="1491" t="n"/>
      <c r="CF639" s="1491" t="n"/>
      <c r="CG639" s="1491" t="n"/>
      <c r="CH639" s="1491" t="n"/>
      <c r="CI639" s="1491" t="n"/>
      <c r="CJ639" s="1491" t="n"/>
      <c r="CK639" s="1491" t="n"/>
      <c r="CL639" s="1491" t="n"/>
      <c r="CM639" s="1491" t="n"/>
      <c r="CN639" s="1491" t="n"/>
      <c r="CO639" s="1491" t="n"/>
      <c r="CP639" s="1491" t="n"/>
      <c r="CQ639" s="1491" t="n"/>
      <c r="CR639" s="1491" t="n"/>
      <c r="CS639" s="1491" t="n"/>
      <c r="CT639" s="1491" t="n"/>
      <c r="CU639" s="1491" t="n"/>
      <c r="CV639" s="1491" t="n"/>
      <c r="CW639" s="1491" t="n"/>
      <c r="CX639" s="1491" t="n"/>
    </row>
    <row r="640">
      <c r="A640" s="1491" t="n"/>
      <c r="B640" s="1491" t="n"/>
      <c r="C640" s="1491" t="n"/>
      <c r="D640" s="1491" t="n"/>
      <c r="E640" s="1491" t="n"/>
      <c r="F640" s="1491" t="n"/>
      <c r="G640" s="1491" t="n"/>
      <c r="H640" s="1491" t="n"/>
      <c r="I640" s="1427" t="inlineStr">
        <is>
          <t>.</t>
        </is>
      </c>
      <c r="J640" s="1491" t="n"/>
      <c r="K640" s="1491" t="n"/>
      <c r="L640" s="1544">
        <f>_xlfn.XLOOKUP(cities[[#This Row],[city]],ccc[city],ccc[ctry],"-")</f>
        <v/>
      </c>
      <c r="M640" s="1544">
        <f>SUMIFS(stayCity[stay],stayCity[city],cities[[#This Row],[city]])</f>
        <v/>
      </c>
      <c r="N640" s="1427">
        <f>N639+1</f>
        <v/>
      </c>
      <c r="O640" s="1491" t="n"/>
      <c r="P640" s="1491" t="n"/>
      <c r="Q640" s="1427" t="inlineStr">
        <is>
          <t>.</t>
        </is>
      </c>
      <c r="R640" s="1491" t="n"/>
      <c r="S640" s="1491" t="n"/>
      <c r="T640" s="1491" t="n"/>
      <c r="U640" s="1491" t="n"/>
      <c r="V640" s="1491" t="n"/>
      <c r="W640" s="1491" t="n"/>
      <c r="X640" s="1491" t="n"/>
      <c r="Y640" s="1491" t="n"/>
      <c r="Z640" s="1491" t="n"/>
      <c r="AA640" s="1491" t="n"/>
      <c r="AB640" s="1491" t="n"/>
      <c r="AC640" s="1491" t="n"/>
      <c r="AD640" s="1491" t="n"/>
      <c r="AE640" s="1491" t="n"/>
      <c r="AF640" s="1491" t="n"/>
      <c r="AG640" s="1491" t="n"/>
      <c r="AH640" s="1491" t="n"/>
      <c r="AI640" s="1491" t="n"/>
      <c r="AJ640" s="1491" t="n"/>
      <c r="AK640" s="1491" t="n"/>
      <c r="AL640" s="1491" t="n"/>
      <c r="AM640" s="1491" t="n"/>
      <c r="AN640" s="1491" t="n"/>
      <c r="AO640" s="1491" t="n"/>
      <c r="AP640" s="1491" t="n"/>
      <c r="AQ640" s="1491" t="n"/>
      <c r="AR640" s="1491" t="n"/>
      <c r="AS640" s="1491" t="n"/>
      <c r="AT640" s="1491" t="n"/>
      <c r="AU640" s="1491" t="n"/>
      <c r="AV640" s="1491" t="n"/>
      <c r="AW640" s="1491" t="n"/>
      <c r="AX640" s="1491" t="n"/>
      <c r="AY640" s="1491" t="n"/>
      <c r="AZ640" s="1491" t="n"/>
      <c r="BA640" s="1491" t="n"/>
      <c r="BB640" s="1491" t="n"/>
      <c r="BC640" s="1491" t="n"/>
      <c r="BD640" s="1491" t="n"/>
      <c r="BE640" s="1491" t="n"/>
      <c r="BF640" s="1491" t="n"/>
      <c r="BG640" s="1491" t="n"/>
      <c r="BH640" s="1491" t="n"/>
      <c r="BI640" s="1491" t="n"/>
      <c r="BJ640" s="1491" t="n"/>
      <c r="BK640" s="1491" t="n"/>
      <c r="BL640" s="1491" t="n"/>
      <c r="BM640" s="1491" t="n"/>
      <c r="BN640" s="1491" t="n"/>
      <c r="BO640" s="1491" t="n"/>
      <c r="BP640" s="1491" t="n"/>
      <c r="BQ640" s="1491" t="n"/>
      <c r="BR640" s="1491" t="n"/>
      <c r="BS640" s="1491" t="n"/>
      <c r="BT640" s="1491" t="n"/>
      <c r="BU640" s="1491" t="n"/>
      <c r="BV640" s="1491" t="n"/>
      <c r="BW640" s="1491" t="n"/>
      <c r="BX640" s="1491" t="n"/>
      <c r="BY640" s="1491" t="n"/>
      <c r="BZ640" s="1491" t="n"/>
      <c r="CA640" s="1491" t="n"/>
      <c r="CB640" s="1491" t="n"/>
      <c r="CC640" s="1491" t="n"/>
      <c r="CD640" s="1491" t="n"/>
      <c r="CE640" s="1491" t="n"/>
      <c r="CF640" s="1491" t="n"/>
      <c r="CG640" s="1491" t="n"/>
      <c r="CH640" s="1491" t="n"/>
      <c r="CI640" s="1491" t="n"/>
      <c r="CJ640" s="1491" t="n"/>
      <c r="CK640" s="1491" t="n"/>
      <c r="CL640" s="1491" t="n"/>
      <c r="CM640" s="1491" t="n"/>
      <c r="CN640" s="1491" t="n"/>
      <c r="CO640" s="1491" t="n"/>
      <c r="CP640" s="1491" t="n"/>
      <c r="CQ640" s="1491" t="n"/>
      <c r="CR640" s="1491" t="n"/>
      <c r="CS640" s="1491" t="n"/>
      <c r="CT640" s="1491" t="n"/>
      <c r="CU640" s="1491" t="n"/>
      <c r="CV640" s="1491" t="n"/>
      <c r="CW640" s="1491" t="n"/>
      <c r="CX640" s="1491" t="n"/>
    </row>
    <row r="641">
      <c r="A641" s="1491" t="n"/>
      <c r="B641" s="1491" t="n"/>
      <c r="C641" s="1491" t="n"/>
      <c r="D641" s="1491" t="n"/>
      <c r="E641" s="1491" t="n"/>
      <c r="F641" s="1491" t="n"/>
      <c r="G641" s="1491" t="n"/>
      <c r="H641" s="1491" t="n"/>
      <c r="I641" s="1427" t="inlineStr">
        <is>
          <t>.</t>
        </is>
      </c>
      <c r="J641" s="1491" t="n"/>
      <c r="K641" s="1491" t="n"/>
      <c r="L641" s="1544">
        <f>_xlfn.XLOOKUP(cities[[#This Row],[city]],ccc[city],ccc[ctry],"-")</f>
        <v/>
      </c>
      <c r="M641" s="1544">
        <f>SUMIFS(stayCity[stay],stayCity[city],cities[[#This Row],[city]])</f>
        <v/>
      </c>
      <c r="N641" s="1427">
        <f>N640+1</f>
        <v/>
      </c>
      <c r="O641" s="1491" t="n"/>
      <c r="P641" s="1491" t="n"/>
      <c r="Q641" s="1427" t="inlineStr">
        <is>
          <t>.</t>
        </is>
      </c>
      <c r="R641" s="1491" t="n"/>
      <c r="S641" s="1491" t="n"/>
      <c r="T641" s="1491" t="n"/>
      <c r="U641" s="1491" t="n"/>
      <c r="V641" s="1491" t="n"/>
      <c r="W641" s="1491" t="n"/>
      <c r="X641" s="1491" t="n"/>
      <c r="Y641" s="1491" t="n"/>
      <c r="Z641" s="1491" t="n"/>
      <c r="AA641" s="1491" t="n"/>
      <c r="AB641" s="1491" t="n"/>
      <c r="AC641" s="1491" t="n"/>
      <c r="AD641" s="1491" t="n"/>
      <c r="AE641" s="1491" t="n"/>
      <c r="AF641" s="1491" t="n"/>
      <c r="AG641" s="1491" t="n"/>
      <c r="AH641" s="1491" t="n"/>
      <c r="AI641" s="1491" t="n"/>
      <c r="AJ641" s="1491" t="n"/>
      <c r="AK641" s="1491" t="n"/>
      <c r="AL641" s="1491" t="n"/>
      <c r="AM641" s="1491" t="n"/>
      <c r="AN641" s="1491" t="n"/>
      <c r="AO641" s="1491" t="n"/>
      <c r="AP641" s="1491" t="n"/>
      <c r="AQ641" s="1491" t="n"/>
      <c r="AR641" s="1491" t="n"/>
      <c r="AS641" s="1491" t="n"/>
      <c r="AT641" s="1491" t="n"/>
      <c r="AU641" s="1491" t="n"/>
      <c r="AV641" s="1491" t="n"/>
      <c r="AW641" s="1491" t="n"/>
      <c r="AX641" s="1491" t="n"/>
      <c r="AY641" s="1491" t="n"/>
      <c r="AZ641" s="1491" t="n"/>
      <c r="BA641" s="1491" t="n"/>
      <c r="BB641" s="1491" t="n"/>
      <c r="BC641" s="1491" t="n"/>
      <c r="BD641" s="1491" t="n"/>
      <c r="BE641" s="1491" t="n"/>
      <c r="BF641" s="1491" t="n"/>
      <c r="BG641" s="1491" t="n"/>
      <c r="BH641" s="1491" t="n"/>
      <c r="BI641" s="1491" t="n"/>
      <c r="BJ641" s="1491" t="n"/>
      <c r="BK641" s="1491" t="n"/>
      <c r="BL641" s="1491" t="n"/>
      <c r="BM641" s="1491" t="n"/>
      <c r="BN641" s="1491" t="n"/>
      <c r="BO641" s="1491" t="n"/>
      <c r="BP641" s="1491" t="n"/>
      <c r="BQ641" s="1491" t="n"/>
      <c r="BR641" s="1491" t="n"/>
      <c r="BS641" s="1491" t="n"/>
      <c r="BT641" s="1491" t="n"/>
      <c r="BU641" s="1491" t="n"/>
      <c r="BV641" s="1491" t="n"/>
      <c r="BW641" s="1491" t="n"/>
      <c r="BX641" s="1491" t="n"/>
      <c r="BY641" s="1491" t="n"/>
      <c r="BZ641" s="1491" t="n"/>
      <c r="CA641" s="1491" t="n"/>
      <c r="CB641" s="1491" t="n"/>
      <c r="CC641" s="1491" t="n"/>
      <c r="CD641" s="1491" t="n"/>
      <c r="CE641" s="1491" t="n"/>
      <c r="CF641" s="1491" t="n"/>
      <c r="CG641" s="1491" t="n"/>
      <c r="CH641" s="1491" t="n"/>
      <c r="CI641" s="1491" t="n"/>
      <c r="CJ641" s="1491" t="n"/>
      <c r="CK641" s="1491" t="n"/>
      <c r="CL641" s="1491" t="n"/>
      <c r="CM641" s="1491" t="n"/>
      <c r="CN641" s="1491" t="n"/>
      <c r="CO641" s="1491" t="n"/>
      <c r="CP641" s="1491" t="n"/>
      <c r="CQ641" s="1491" t="n"/>
      <c r="CR641" s="1491" t="n"/>
      <c r="CS641" s="1491" t="n"/>
      <c r="CT641" s="1491" t="n"/>
      <c r="CU641" s="1491" t="n"/>
      <c r="CV641" s="1491" t="n"/>
      <c r="CW641" s="1491" t="n"/>
      <c r="CX641" s="1491" t="n"/>
    </row>
    <row r="642">
      <c r="A642" s="1491" t="n"/>
      <c r="B642" s="1491" t="n"/>
      <c r="C642" s="1491" t="n"/>
      <c r="D642" s="1491" t="n"/>
      <c r="E642" s="1491" t="n"/>
      <c r="F642" s="1491" t="n"/>
      <c r="G642" s="1491" t="n"/>
      <c r="H642" s="1491" t="n"/>
      <c r="I642" s="1427" t="inlineStr">
        <is>
          <t>.</t>
        </is>
      </c>
      <c r="J642" s="1491" t="n"/>
      <c r="K642" s="1491" t="n"/>
      <c r="L642" s="1544">
        <f>_xlfn.XLOOKUP(cities[[#This Row],[city]],ccc[city],ccc[ctry],"-")</f>
        <v/>
      </c>
      <c r="M642" s="1544">
        <f>SUMIFS(stayCity[stay],stayCity[city],cities[[#This Row],[city]])</f>
        <v/>
      </c>
      <c r="N642" s="1427">
        <f>N641+1</f>
        <v/>
      </c>
      <c r="O642" s="1491" t="n"/>
      <c r="P642" s="1491" t="n"/>
      <c r="Q642" s="1427" t="inlineStr">
        <is>
          <t>.</t>
        </is>
      </c>
      <c r="R642" s="1491" t="n"/>
      <c r="S642" s="1491" t="n"/>
      <c r="T642" s="1491" t="n"/>
      <c r="U642" s="1491" t="n"/>
      <c r="V642" s="1491" t="n"/>
      <c r="W642" s="1491" t="n"/>
      <c r="X642" s="1491" t="n"/>
      <c r="Y642" s="1491" t="n"/>
      <c r="Z642" s="1491" t="n"/>
      <c r="AA642" s="1491" t="n"/>
      <c r="AB642" s="1491" t="n"/>
      <c r="AC642" s="1491" t="n"/>
      <c r="AD642" s="1491" t="n"/>
      <c r="AE642" s="1491" t="n"/>
      <c r="AF642" s="1491" t="n"/>
      <c r="AG642" s="1491" t="n"/>
      <c r="AH642" s="1491" t="n"/>
      <c r="AI642" s="1491" t="n"/>
      <c r="AJ642" s="1491" t="n"/>
      <c r="AK642" s="1491" t="n"/>
      <c r="AL642" s="1491" t="n"/>
      <c r="AM642" s="1491" t="n"/>
      <c r="AN642" s="1491" t="n"/>
      <c r="AO642" s="1491" t="n"/>
      <c r="AP642" s="1491" t="n"/>
      <c r="AQ642" s="1491" t="n"/>
      <c r="AR642" s="1491" t="n"/>
      <c r="AS642" s="1491" t="n"/>
      <c r="AT642" s="1491" t="n"/>
      <c r="AU642" s="1491" t="n"/>
      <c r="AV642" s="1491" t="n"/>
      <c r="AW642" s="1491" t="n"/>
      <c r="AX642" s="1491" t="n"/>
      <c r="AY642" s="1491" t="n"/>
      <c r="AZ642" s="1491" t="n"/>
      <c r="BA642" s="1491" t="n"/>
      <c r="BB642" s="1491" t="n"/>
      <c r="BC642" s="1491" t="n"/>
      <c r="BD642" s="1491" t="n"/>
      <c r="BE642" s="1491" t="n"/>
      <c r="BF642" s="1491" t="n"/>
      <c r="BG642" s="1491" t="n"/>
      <c r="BH642" s="1491" t="n"/>
      <c r="BI642" s="1491" t="n"/>
      <c r="BJ642" s="1491" t="n"/>
      <c r="BK642" s="1491" t="n"/>
      <c r="BL642" s="1491" t="n"/>
      <c r="BM642" s="1491" t="n"/>
      <c r="BN642" s="1491" t="n"/>
      <c r="BO642" s="1491" t="n"/>
      <c r="BP642" s="1491" t="n"/>
      <c r="BQ642" s="1491" t="n"/>
      <c r="BR642" s="1491" t="n"/>
      <c r="BS642" s="1491" t="n"/>
      <c r="BT642" s="1491" t="n"/>
      <c r="BU642" s="1491" t="n"/>
      <c r="BV642" s="1491" t="n"/>
      <c r="BW642" s="1491" t="n"/>
      <c r="BX642" s="1491" t="n"/>
      <c r="BY642" s="1491" t="n"/>
      <c r="BZ642" s="1491" t="n"/>
      <c r="CA642" s="1491" t="n"/>
      <c r="CB642" s="1491" t="n"/>
      <c r="CC642" s="1491" t="n"/>
      <c r="CD642" s="1491" t="n"/>
      <c r="CE642" s="1491" t="n"/>
      <c r="CF642" s="1491" t="n"/>
      <c r="CG642" s="1491" t="n"/>
      <c r="CH642" s="1491" t="n"/>
      <c r="CI642" s="1491" t="n"/>
      <c r="CJ642" s="1491" t="n"/>
      <c r="CK642" s="1491" t="n"/>
      <c r="CL642" s="1491" t="n"/>
      <c r="CM642" s="1491" t="n"/>
      <c r="CN642" s="1491" t="n"/>
      <c r="CO642" s="1491" t="n"/>
      <c r="CP642" s="1491" t="n"/>
      <c r="CQ642" s="1491" t="n"/>
      <c r="CR642" s="1491" t="n"/>
      <c r="CS642" s="1491" t="n"/>
      <c r="CT642" s="1491" t="n"/>
      <c r="CU642" s="1491" t="n"/>
      <c r="CV642" s="1491" t="n"/>
      <c r="CW642" s="1491" t="n"/>
      <c r="CX642" s="1491" t="n"/>
    </row>
    <row r="643">
      <c r="A643" s="1491" t="n"/>
      <c r="B643" s="1491" t="n"/>
      <c r="C643" s="1491" t="n"/>
      <c r="D643" s="1491" t="n"/>
      <c r="E643" s="1491" t="n"/>
      <c r="F643" s="1491" t="n"/>
      <c r="G643" s="1491" t="n"/>
      <c r="H643" s="1491" t="n"/>
      <c r="I643" s="1427" t="inlineStr">
        <is>
          <t>.</t>
        </is>
      </c>
      <c r="J643" s="1491" t="n"/>
      <c r="K643" s="1491" t="n"/>
      <c r="L643" s="1544">
        <f>_xlfn.XLOOKUP(cities[[#This Row],[city]],ccc[city],ccc[ctry],"-")</f>
        <v/>
      </c>
      <c r="M643" s="1544">
        <f>SUMIFS(stayCity[stay],stayCity[city],cities[[#This Row],[city]])</f>
        <v/>
      </c>
      <c r="N643" s="1427">
        <f>N642+1</f>
        <v/>
      </c>
      <c r="O643" s="1491" t="n"/>
      <c r="P643" s="1491" t="n"/>
      <c r="Q643" s="1427" t="inlineStr">
        <is>
          <t>.</t>
        </is>
      </c>
      <c r="R643" s="1491" t="n"/>
      <c r="S643" s="1491" t="n"/>
      <c r="T643" s="1491" t="n"/>
      <c r="U643" s="1491" t="n"/>
      <c r="V643" s="1491" t="n"/>
      <c r="W643" s="1491" t="n"/>
      <c r="X643" s="1491" t="n"/>
      <c r="Y643" s="1491" t="n"/>
      <c r="Z643" s="1491" t="n"/>
      <c r="AA643" s="1491" t="n"/>
      <c r="AB643" s="1491" t="n"/>
      <c r="AC643" s="1491" t="n"/>
      <c r="AD643" s="1491" t="n"/>
      <c r="AE643" s="1491" t="n"/>
      <c r="AF643" s="1491" t="n"/>
      <c r="AG643" s="1491" t="n"/>
      <c r="AH643" s="1491" t="n"/>
      <c r="AI643" s="1491" t="n"/>
      <c r="AJ643" s="1491" t="n"/>
      <c r="AK643" s="1491" t="n"/>
      <c r="AL643" s="1491" t="n"/>
      <c r="AM643" s="1491" t="n"/>
      <c r="AN643" s="1491" t="n"/>
      <c r="AO643" s="1491" t="n"/>
      <c r="AP643" s="1491" t="n"/>
      <c r="AQ643" s="1491" t="n"/>
      <c r="AR643" s="1491" t="n"/>
      <c r="AS643" s="1491" t="n"/>
      <c r="AT643" s="1491" t="n"/>
      <c r="AU643" s="1491" t="n"/>
      <c r="AV643" s="1491" t="n"/>
      <c r="AW643" s="1491" t="n"/>
      <c r="AX643" s="1491" t="n"/>
      <c r="AY643" s="1491" t="n"/>
      <c r="AZ643" s="1491" t="n"/>
      <c r="BA643" s="1491" t="n"/>
      <c r="BB643" s="1491" t="n"/>
      <c r="BC643" s="1491" t="n"/>
      <c r="BD643" s="1491" t="n"/>
      <c r="BE643" s="1491" t="n"/>
      <c r="BF643" s="1491" t="n"/>
      <c r="BG643" s="1491" t="n"/>
      <c r="BH643" s="1491" t="n"/>
      <c r="BI643" s="1491" t="n"/>
      <c r="BJ643" s="1491" t="n"/>
      <c r="BK643" s="1491" t="n"/>
      <c r="BL643" s="1491" t="n"/>
      <c r="BM643" s="1491" t="n"/>
      <c r="BN643" s="1491" t="n"/>
      <c r="BO643" s="1491" t="n"/>
      <c r="BP643" s="1491" t="n"/>
      <c r="BQ643" s="1491" t="n"/>
      <c r="BR643" s="1491" t="n"/>
      <c r="BS643" s="1491" t="n"/>
      <c r="BT643" s="1491" t="n"/>
      <c r="BU643" s="1491" t="n"/>
      <c r="BV643" s="1491" t="n"/>
      <c r="BW643" s="1491" t="n"/>
      <c r="BX643" s="1491" t="n"/>
      <c r="BY643" s="1491" t="n"/>
      <c r="BZ643" s="1491" t="n"/>
      <c r="CA643" s="1491" t="n"/>
      <c r="CB643" s="1491" t="n"/>
      <c r="CC643" s="1491" t="n"/>
      <c r="CD643" s="1491" t="n"/>
      <c r="CE643" s="1491" t="n"/>
      <c r="CF643" s="1491" t="n"/>
      <c r="CG643" s="1491" t="n"/>
      <c r="CH643" s="1491" t="n"/>
      <c r="CI643" s="1491" t="n"/>
      <c r="CJ643" s="1491" t="n"/>
      <c r="CK643" s="1491" t="n"/>
      <c r="CL643" s="1491" t="n"/>
      <c r="CM643" s="1491" t="n"/>
      <c r="CN643" s="1491" t="n"/>
      <c r="CO643" s="1491" t="n"/>
      <c r="CP643" s="1491" t="n"/>
      <c r="CQ643" s="1491" t="n"/>
      <c r="CR643" s="1491" t="n"/>
      <c r="CS643" s="1491" t="n"/>
      <c r="CT643" s="1491" t="n"/>
      <c r="CU643" s="1491" t="n"/>
      <c r="CV643" s="1491" t="n"/>
      <c r="CW643" s="1491" t="n"/>
      <c r="CX643" s="1491" t="n"/>
    </row>
    <row r="644">
      <c r="A644" s="1491" t="n"/>
      <c r="B644" s="1491" t="n"/>
      <c r="C644" s="1491" t="n"/>
      <c r="D644" s="1491" t="n"/>
      <c r="E644" s="1491" t="n"/>
      <c r="F644" s="1491" t="n"/>
      <c r="G644" s="1491" t="n"/>
      <c r="H644" s="1491" t="n"/>
      <c r="I644" s="1427" t="inlineStr">
        <is>
          <t>.</t>
        </is>
      </c>
      <c r="J644" s="1491" t="n"/>
      <c r="K644" s="1491" t="n"/>
      <c r="L644" s="1544">
        <f>_xlfn.XLOOKUP(cities[[#This Row],[city]],ccc[city],ccc[ctry],"-")</f>
        <v/>
      </c>
      <c r="M644" s="1544">
        <f>SUMIFS(stayCity[stay],stayCity[city],cities[[#This Row],[city]])</f>
        <v/>
      </c>
      <c r="N644" s="1427">
        <f>N643+1</f>
        <v/>
      </c>
      <c r="O644" s="1491" t="n"/>
      <c r="P644" s="1491" t="n"/>
      <c r="Q644" s="1427" t="inlineStr">
        <is>
          <t>.</t>
        </is>
      </c>
      <c r="R644" s="1491" t="n"/>
      <c r="S644" s="1491" t="n"/>
      <c r="T644" s="1491" t="n"/>
      <c r="U644" s="1491" t="n"/>
      <c r="V644" s="1491" t="n"/>
      <c r="W644" s="1491" t="n"/>
      <c r="X644" s="1491" t="n"/>
      <c r="Y644" s="1491" t="n"/>
      <c r="Z644" s="1491" t="n"/>
      <c r="AA644" s="1491" t="n"/>
      <c r="AB644" s="1491" t="n"/>
      <c r="AC644" s="1491" t="n"/>
      <c r="AD644" s="1491" t="n"/>
      <c r="AE644" s="1491" t="n"/>
      <c r="AF644" s="1491" t="n"/>
      <c r="AG644" s="1491" t="n"/>
      <c r="AH644" s="1491" t="n"/>
      <c r="AI644" s="1491" t="n"/>
      <c r="AJ644" s="1491" t="n"/>
      <c r="AK644" s="1491" t="n"/>
      <c r="AL644" s="1491" t="n"/>
      <c r="AM644" s="1491" t="n"/>
      <c r="AN644" s="1491" t="n"/>
      <c r="AO644" s="1491" t="n"/>
      <c r="AP644" s="1491" t="n"/>
      <c r="AQ644" s="1491" t="n"/>
      <c r="AR644" s="1491" t="n"/>
      <c r="AS644" s="1491" t="n"/>
      <c r="AT644" s="1491" t="n"/>
      <c r="AU644" s="1491" t="n"/>
      <c r="AV644" s="1491" t="n"/>
      <c r="AW644" s="1491" t="n"/>
      <c r="AX644" s="1491" t="n"/>
      <c r="AY644" s="1491" t="n"/>
      <c r="AZ644" s="1491" t="n"/>
      <c r="BA644" s="1491" t="n"/>
      <c r="BB644" s="1491" t="n"/>
      <c r="BC644" s="1491" t="n"/>
      <c r="BD644" s="1491" t="n"/>
      <c r="BE644" s="1491" t="n"/>
      <c r="BF644" s="1491" t="n"/>
      <c r="BG644" s="1491" t="n"/>
      <c r="BH644" s="1491" t="n"/>
      <c r="BI644" s="1491" t="n"/>
      <c r="BJ644" s="1491" t="n"/>
      <c r="BK644" s="1491" t="n"/>
      <c r="BL644" s="1491" t="n"/>
      <c r="BM644" s="1491" t="n"/>
      <c r="BN644" s="1491" t="n"/>
      <c r="BO644" s="1491" t="n"/>
      <c r="BP644" s="1491" t="n"/>
      <c r="BQ644" s="1491" t="n"/>
      <c r="BR644" s="1491" t="n"/>
      <c r="BS644" s="1491" t="n"/>
      <c r="BT644" s="1491" t="n"/>
      <c r="BU644" s="1491" t="n"/>
      <c r="BV644" s="1491" t="n"/>
      <c r="BW644" s="1491" t="n"/>
      <c r="BX644" s="1491" t="n"/>
      <c r="BY644" s="1491" t="n"/>
      <c r="BZ644" s="1491" t="n"/>
      <c r="CA644" s="1491" t="n"/>
      <c r="CB644" s="1491" t="n"/>
      <c r="CC644" s="1491" t="n"/>
      <c r="CD644" s="1491" t="n"/>
      <c r="CE644" s="1491" t="n"/>
      <c r="CF644" s="1491" t="n"/>
      <c r="CG644" s="1491" t="n"/>
      <c r="CH644" s="1491" t="n"/>
      <c r="CI644" s="1491" t="n"/>
      <c r="CJ644" s="1491" t="n"/>
      <c r="CK644" s="1491" t="n"/>
      <c r="CL644" s="1491" t="n"/>
      <c r="CM644" s="1491" t="n"/>
      <c r="CN644" s="1491" t="n"/>
      <c r="CO644" s="1491" t="n"/>
      <c r="CP644" s="1491" t="n"/>
      <c r="CQ644" s="1491" t="n"/>
      <c r="CR644" s="1491" t="n"/>
      <c r="CS644" s="1491" t="n"/>
      <c r="CT644" s="1491" t="n"/>
      <c r="CU644" s="1491" t="n"/>
      <c r="CV644" s="1491" t="n"/>
      <c r="CW644" s="1491" t="n"/>
      <c r="CX644" s="1491" t="n"/>
    </row>
    <row r="645">
      <c r="A645" s="1491" t="n"/>
      <c r="B645" s="1491" t="n"/>
      <c r="C645" s="1491" t="n"/>
      <c r="D645" s="1491" t="n"/>
      <c r="E645" s="1491" t="n"/>
      <c r="F645" s="1491" t="n"/>
      <c r="G645" s="1491" t="n"/>
      <c r="H645" s="1491" t="n"/>
      <c r="I645" s="1427" t="inlineStr">
        <is>
          <t>.</t>
        </is>
      </c>
      <c r="J645" s="1491" t="n"/>
      <c r="K645" s="1491" t="n"/>
      <c r="L645" s="1544">
        <f>_xlfn.XLOOKUP(cities[[#This Row],[city]],ccc[city],ccc[ctry],"-")</f>
        <v/>
      </c>
      <c r="M645" s="1544">
        <f>SUMIFS(stayCity[stay],stayCity[city],cities[[#This Row],[city]])</f>
        <v/>
      </c>
      <c r="N645" s="1427">
        <f>N644+1</f>
        <v/>
      </c>
      <c r="O645" s="1491" t="n"/>
      <c r="P645" s="1491" t="n"/>
      <c r="Q645" s="1427" t="inlineStr">
        <is>
          <t>.</t>
        </is>
      </c>
      <c r="R645" s="1491" t="n"/>
      <c r="S645" s="1491" t="n"/>
      <c r="T645" s="1491" t="n"/>
      <c r="U645" s="1491" t="n"/>
      <c r="V645" s="1491" t="n"/>
      <c r="W645" s="1491" t="n"/>
      <c r="X645" s="1491" t="n"/>
      <c r="Y645" s="1491" t="n"/>
      <c r="Z645" s="1491" t="n"/>
      <c r="AA645" s="1491" t="n"/>
      <c r="AB645" s="1491" t="n"/>
      <c r="AC645" s="1491" t="n"/>
      <c r="AD645" s="1491" t="n"/>
      <c r="AE645" s="1491" t="n"/>
      <c r="AF645" s="1491" t="n"/>
      <c r="AG645" s="1491" t="n"/>
      <c r="AH645" s="1491" t="n"/>
      <c r="AI645" s="1491" t="n"/>
      <c r="AJ645" s="1491" t="n"/>
      <c r="AK645" s="1491" t="n"/>
      <c r="AL645" s="1491" t="n"/>
      <c r="AM645" s="1491" t="n"/>
      <c r="AN645" s="1491" t="n"/>
      <c r="AO645" s="1491" t="n"/>
      <c r="AP645" s="1491" t="n"/>
      <c r="AQ645" s="1491" t="n"/>
      <c r="AR645" s="1491" t="n"/>
      <c r="AS645" s="1491" t="n"/>
      <c r="AT645" s="1491" t="n"/>
      <c r="AU645" s="1491" t="n"/>
      <c r="AV645" s="1491" t="n"/>
      <c r="AW645" s="1491" t="n"/>
      <c r="AX645" s="1491" t="n"/>
      <c r="AY645" s="1491" t="n"/>
      <c r="AZ645" s="1491" t="n"/>
      <c r="BA645" s="1491" t="n"/>
      <c r="BB645" s="1491" t="n"/>
      <c r="BC645" s="1491" t="n"/>
      <c r="BD645" s="1491" t="n"/>
      <c r="BE645" s="1491" t="n"/>
      <c r="BF645" s="1491" t="n"/>
      <c r="BG645" s="1491" t="n"/>
      <c r="BH645" s="1491" t="n"/>
      <c r="BI645" s="1491" t="n"/>
      <c r="BJ645" s="1491" t="n"/>
      <c r="BK645" s="1491" t="n"/>
      <c r="BL645" s="1491" t="n"/>
      <c r="BM645" s="1491" t="n"/>
      <c r="BN645" s="1491" t="n"/>
      <c r="BO645" s="1491" t="n"/>
      <c r="BP645" s="1491" t="n"/>
      <c r="BQ645" s="1491" t="n"/>
      <c r="BR645" s="1491" t="n"/>
      <c r="BS645" s="1491" t="n"/>
      <c r="BT645" s="1491" t="n"/>
      <c r="BU645" s="1491" t="n"/>
      <c r="BV645" s="1491" t="n"/>
      <c r="BW645" s="1491" t="n"/>
      <c r="BX645" s="1491" t="n"/>
      <c r="BY645" s="1491" t="n"/>
      <c r="BZ645" s="1491" t="n"/>
      <c r="CA645" s="1491" t="n"/>
      <c r="CB645" s="1491" t="n"/>
      <c r="CC645" s="1491" t="n"/>
      <c r="CD645" s="1491" t="n"/>
      <c r="CE645" s="1491" t="n"/>
      <c r="CF645" s="1491" t="n"/>
      <c r="CG645" s="1491" t="n"/>
      <c r="CH645" s="1491" t="n"/>
      <c r="CI645" s="1491" t="n"/>
      <c r="CJ645" s="1491" t="n"/>
      <c r="CK645" s="1491" t="n"/>
      <c r="CL645" s="1491" t="n"/>
      <c r="CM645" s="1491" t="n"/>
      <c r="CN645" s="1491" t="n"/>
      <c r="CO645" s="1491" t="n"/>
      <c r="CP645" s="1491" t="n"/>
      <c r="CQ645" s="1491" t="n"/>
      <c r="CR645" s="1491" t="n"/>
      <c r="CS645" s="1491" t="n"/>
      <c r="CT645" s="1491" t="n"/>
      <c r="CU645" s="1491" t="n"/>
      <c r="CV645" s="1491" t="n"/>
      <c r="CW645" s="1491" t="n"/>
      <c r="CX645" s="1491" t="n"/>
    </row>
    <row r="646">
      <c r="A646" s="1491" t="n"/>
      <c r="B646" s="1491" t="n"/>
      <c r="C646" s="1491" t="n"/>
      <c r="D646" s="1491" t="n"/>
      <c r="E646" s="1491" t="n"/>
      <c r="F646" s="1491" t="n"/>
      <c r="G646" s="1491" t="n"/>
      <c r="H646" s="1491" t="n"/>
      <c r="I646" s="1427" t="inlineStr">
        <is>
          <t>.</t>
        </is>
      </c>
      <c r="J646" s="1491" t="n"/>
      <c r="K646" s="1491" t="n"/>
      <c r="L646" s="1544">
        <f>_xlfn.XLOOKUP(cities[[#This Row],[city]],ccc[city],ccc[ctry],"-")</f>
        <v/>
      </c>
      <c r="M646" s="1544">
        <f>SUMIFS(stayCity[stay],stayCity[city],cities[[#This Row],[city]])</f>
        <v/>
      </c>
      <c r="N646" s="1427">
        <f>N645+1</f>
        <v/>
      </c>
      <c r="O646" s="1491" t="n"/>
      <c r="P646" s="1491" t="n"/>
      <c r="Q646" s="1427" t="inlineStr">
        <is>
          <t>.</t>
        </is>
      </c>
      <c r="R646" s="1491" t="n"/>
      <c r="S646" s="1491" t="n"/>
      <c r="T646" s="1491" t="n"/>
      <c r="U646" s="1491" t="n"/>
      <c r="V646" s="1491" t="n"/>
      <c r="W646" s="1491" t="n"/>
      <c r="X646" s="1491" t="n"/>
      <c r="Y646" s="1491" t="n"/>
      <c r="Z646" s="1491" t="n"/>
      <c r="AA646" s="1491" t="n"/>
      <c r="AB646" s="1491" t="n"/>
      <c r="AC646" s="1491" t="n"/>
      <c r="AD646" s="1491" t="n"/>
      <c r="AE646" s="1491" t="n"/>
      <c r="AF646" s="1491" t="n"/>
      <c r="AG646" s="1491" t="n"/>
      <c r="AH646" s="1491" t="n"/>
      <c r="AI646" s="1491" t="n"/>
      <c r="AJ646" s="1491" t="n"/>
      <c r="AK646" s="1491" t="n"/>
      <c r="AL646" s="1491" t="n"/>
      <c r="AM646" s="1491" t="n"/>
      <c r="AN646" s="1491" t="n"/>
      <c r="AO646" s="1491" t="n"/>
      <c r="AP646" s="1491" t="n"/>
      <c r="AQ646" s="1491" t="n"/>
      <c r="AR646" s="1491" t="n"/>
      <c r="AS646" s="1491" t="n"/>
      <c r="AT646" s="1491" t="n"/>
      <c r="AU646" s="1491" t="n"/>
      <c r="AV646" s="1491" t="n"/>
      <c r="AW646" s="1491" t="n"/>
      <c r="AX646" s="1491" t="n"/>
      <c r="AY646" s="1491" t="n"/>
      <c r="AZ646" s="1491" t="n"/>
      <c r="BA646" s="1491" t="n"/>
      <c r="BB646" s="1491" t="n"/>
      <c r="BC646" s="1491" t="n"/>
      <c r="BD646" s="1491" t="n"/>
      <c r="BE646" s="1491" t="n"/>
      <c r="BF646" s="1491" t="n"/>
      <c r="BG646" s="1491" t="n"/>
      <c r="BH646" s="1491" t="n"/>
      <c r="BI646" s="1491" t="n"/>
      <c r="BJ646" s="1491" t="n"/>
      <c r="BK646" s="1491" t="n"/>
      <c r="BL646" s="1491" t="n"/>
      <c r="BM646" s="1491" t="n"/>
      <c r="BN646" s="1491" t="n"/>
      <c r="BO646" s="1491" t="n"/>
      <c r="BP646" s="1491" t="n"/>
      <c r="BQ646" s="1491" t="n"/>
      <c r="BR646" s="1491" t="n"/>
      <c r="BS646" s="1491" t="n"/>
      <c r="BT646" s="1491" t="n"/>
      <c r="BU646" s="1491" t="n"/>
      <c r="BV646" s="1491" t="n"/>
      <c r="BW646" s="1491" t="n"/>
      <c r="BX646" s="1491" t="n"/>
      <c r="BY646" s="1491" t="n"/>
      <c r="BZ646" s="1491" t="n"/>
      <c r="CA646" s="1491" t="n"/>
      <c r="CB646" s="1491" t="n"/>
      <c r="CC646" s="1491" t="n"/>
      <c r="CD646" s="1491" t="n"/>
      <c r="CE646" s="1491" t="n"/>
      <c r="CF646" s="1491" t="n"/>
      <c r="CG646" s="1491" t="n"/>
      <c r="CH646" s="1491" t="n"/>
      <c r="CI646" s="1491" t="n"/>
      <c r="CJ646" s="1491" t="n"/>
      <c r="CK646" s="1491" t="n"/>
      <c r="CL646" s="1491" t="n"/>
      <c r="CM646" s="1491" t="n"/>
      <c r="CN646" s="1491" t="n"/>
      <c r="CO646" s="1491" t="n"/>
      <c r="CP646" s="1491" t="n"/>
      <c r="CQ646" s="1491" t="n"/>
      <c r="CR646" s="1491" t="n"/>
      <c r="CS646" s="1491" t="n"/>
      <c r="CT646" s="1491" t="n"/>
      <c r="CU646" s="1491" t="n"/>
      <c r="CV646" s="1491" t="n"/>
      <c r="CW646" s="1491" t="n"/>
      <c r="CX646" s="1491" t="n"/>
    </row>
    <row r="647">
      <c r="A647" s="1491" t="n"/>
      <c r="B647" s="1491" t="n"/>
      <c r="C647" s="1491" t="n"/>
      <c r="D647" s="1491" t="n"/>
      <c r="E647" s="1491" t="n"/>
      <c r="F647" s="1491" t="n"/>
      <c r="G647" s="1491" t="n"/>
      <c r="H647" s="1491" t="n"/>
      <c r="I647" s="1427" t="inlineStr">
        <is>
          <t>.</t>
        </is>
      </c>
      <c r="J647" s="1491" t="n"/>
      <c r="K647" s="1491" t="n"/>
      <c r="L647" s="1544">
        <f>_xlfn.XLOOKUP(cities[[#This Row],[city]],ccc[city],ccc[ctry],"-")</f>
        <v/>
      </c>
      <c r="M647" s="1544">
        <f>SUMIFS(stayCity[stay],stayCity[city],cities[[#This Row],[city]])</f>
        <v/>
      </c>
      <c r="N647" s="1427">
        <f>N646+1</f>
        <v/>
      </c>
      <c r="O647" s="1491" t="n"/>
      <c r="P647" s="1491" t="n"/>
      <c r="Q647" s="1427" t="inlineStr">
        <is>
          <t>.</t>
        </is>
      </c>
      <c r="R647" s="1491" t="n"/>
      <c r="S647" s="1491" t="n"/>
      <c r="T647" s="1491" t="n"/>
      <c r="U647" s="1491" t="n"/>
      <c r="V647" s="1491" t="n"/>
      <c r="W647" s="1491" t="n"/>
      <c r="X647" s="1491" t="n"/>
      <c r="Y647" s="1491" t="n"/>
      <c r="Z647" s="1491" t="n"/>
      <c r="AA647" s="1491" t="n"/>
      <c r="AB647" s="1491" t="n"/>
      <c r="AC647" s="1491" t="n"/>
      <c r="AD647" s="1491" t="n"/>
      <c r="AE647" s="1491" t="n"/>
      <c r="AF647" s="1491" t="n"/>
      <c r="AG647" s="1491" t="n"/>
      <c r="AH647" s="1491" t="n"/>
      <c r="AI647" s="1491" t="n"/>
      <c r="AJ647" s="1491" t="n"/>
      <c r="AK647" s="1491" t="n"/>
      <c r="AL647" s="1491" t="n"/>
      <c r="AM647" s="1491" t="n"/>
      <c r="AN647" s="1491" t="n"/>
      <c r="AO647" s="1491" t="n"/>
      <c r="AP647" s="1491" t="n"/>
      <c r="AQ647" s="1491" t="n"/>
      <c r="AR647" s="1491" t="n"/>
      <c r="AS647" s="1491" t="n"/>
      <c r="AT647" s="1491" t="n"/>
      <c r="AU647" s="1491" t="n"/>
      <c r="AV647" s="1491" t="n"/>
      <c r="AW647" s="1491" t="n"/>
      <c r="AX647" s="1491" t="n"/>
      <c r="AY647" s="1491" t="n"/>
      <c r="AZ647" s="1491" t="n"/>
      <c r="BA647" s="1491" t="n"/>
      <c r="BB647" s="1491" t="n"/>
      <c r="BC647" s="1491" t="n"/>
      <c r="BD647" s="1491" t="n"/>
      <c r="BE647" s="1491" t="n"/>
      <c r="BF647" s="1491" t="n"/>
      <c r="BG647" s="1491" t="n"/>
      <c r="BH647" s="1491" t="n"/>
      <c r="BI647" s="1491" t="n"/>
      <c r="BJ647" s="1491" t="n"/>
      <c r="BK647" s="1491" t="n"/>
      <c r="BL647" s="1491" t="n"/>
      <c r="BM647" s="1491" t="n"/>
      <c r="BN647" s="1491" t="n"/>
      <c r="BO647" s="1491" t="n"/>
      <c r="BP647" s="1491" t="n"/>
      <c r="BQ647" s="1491" t="n"/>
      <c r="BR647" s="1491" t="n"/>
      <c r="BS647" s="1491" t="n"/>
      <c r="BT647" s="1491" t="n"/>
      <c r="BU647" s="1491" t="n"/>
      <c r="BV647" s="1491" t="n"/>
      <c r="BW647" s="1491" t="n"/>
      <c r="BX647" s="1491" t="n"/>
      <c r="BY647" s="1491" t="n"/>
      <c r="BZ647" s="1491" t="n"/>
      <c r="CA647" s="1491" t="n"/>
      <c r="CB647" s="1491" t="n"/>
      <c r="CC647" s="1491" t="n"/>
      <c r="CD647" s="1491" t="n"/>
      <c r="CE647" s="1491" t="n"/>
      <c r="CF647" s="1491" t="n"/>
      <c r="CG647" s="1491" t="n"/>
      <c r="CH647" s="1491" t="n"/>
      <c r="CI647" s="1491" t="n"/>
      <c r="CJ647" s="1491" t="n"/>
      <c r="CK647" s="1491" t="n"/>
      <c r="CL647" s="1491" t="n"/>
      <c r="CM647" s="1491" t="n"/>
      <c r="CN647" s="1491" t="n"/>
      <c r="CO647" s="1491" t="n"/>
      <c r="CP647" s="1491" t="n"/>
      <c r="CQ647" s="1491" t="n"/>
      <c r="CR647" s="1491" t="n"/>
      <c r="CS647" s="1491" t="n"/>
      <c r="CT647" s="1491" t="n"/>
      <c r="CU647" s="1491" t="n"/>
      <c r="CV647" s="1491" t="n"/>
      <c r="CW647" s="1491" t="n"/>
      <c r="CX647" s="1491" t="n"/>
    </row>
    <row r="648">
      <c r="A648" s="1491" t="n"/>
      <c r="B648" s="1491" t="n"/>
      <c r="C648" s="1491" t="n"/>
      <c r="D648" s="1491" t="n"/>
      <c r="E648" s="1491" t="n"/>
      <c r="F648" s="1491" t="n"/>
      <c r="G648" s="1491" t="n"/>
      <c r="H648" s="1491" t="n"/>
      <c r="I648" s="1427" t="inlineStr">
        <is>
          <t>.</t>
        </is>
      </c>
      <c r="J648" s="1491" t="n"/>
      <c r="K648" s="1491" t="n"/>
      <c r="L648" s="1544">
        <f>_xlfn.XLOOKUP(cities[[#This Row],[city]],ccc[city],ccc[ctry],"-")</f>
        <v/>
      </c>
      <c r="M648" s="1544">
        <f>SUMIFS(stayCity[stay],stayCity[city],cities[[#This Row],[city]])</f>
        <v/>
      </c>
      <c r="N648" s="1427">
        <f>N647+1</f>
        <v/>
      </c>
      <c r="O648" s="1491" t="n"/>
      <c r="P648" s="1491" t="n"/>
      <c r="Q648" s="1427" t="inlineStr">
        <is>
          <t>.</t>
        </is>
      </c>
      <c r="R648" s="1491" t="n"/>
      <c r="S648" s="1491" t="n"/>
      <c r="T648" s="1491" t="n"/>
      <c r="U648" s="1491" t="n"/>
      <c r="V648" s="1491" t="n"/>
      <c r="W648" s="1491" t="n"/>
      <c r="X648" s="1491" t="n"/>
      <c r="Y648" s="1491" t="n"/>
      <c r="Z648" s="1491" t="n"/>
      <c r="AA648" s="1491" t="n"/>
      <c r="AB648" s="1491" t="n"/>
      <c r="AC648" s="1491" t="n"/>
      <c r="AD648" s="1491" t="n"/>
      <c r="AE648" s="1491" t="n"/>
      <c r="AF648" s="1491" t="n"/>
      <c r="AG648" s="1491" t="n"/>
      <c r="AH648" s="1491" t="n"/>
      <c r="AI648" s="1491" t="n"/>
      <c r="AJ648" s="1491" t="n"/>
      <c r="AK648" s="1491" t="n"/>
      <c r="AL648" s="1491" t="n"/>
      <c r="AM648" s="1491" t="n"/>
      <c r="AN648" s="1491" t="n"/>
      <c r="AO648" s="1491" t="n"/>
      <c r="AP648" s="1491" t="n"/>
      <c r="AQ648" s="1491" t="n"/>
      <c r="AR648" s="1491" t="n"/>
      <c r="AS648" s="1491" t="n"/>
      <c r="AT648" s="1491" t="n"/>
      <c r="AU648" s="1491" t="n"/>
      <c r="AV648" s="1491" t="n"/>
      <c r="AW648" s="1491" t="n"/>
      <c r="AX648" s="1491" t="n"/>
      <c r="AY648" s="1491" t="n"/>
      <c r="AZ648" s="1491" t="n"/>
      <c r="BA648" s="1491" t="n"/>
      <c r="BB648" s="1491" t="n"/>
      <c r="BC648" s="1491" t="n"/>
      <c r="BD648" s="1491" t="n"/>
      <c r="BE648" s="1491" t="n"/>
      <c r="BF648" s="1491" t="n"/>
      <c r="BG648" s="1491" t="n"/>
      <c r="BH648" s="1491" t="n"/>
      <c r="BI648" s="1491" t="n"/>
      <c r="BJ648" s="1491" t="n"/>
      <c r="BK648" s="1491" t="n"/>
      <c r="BL648" s="1491" t="n"/>
      <c r="BM648" s="1491" t="n"/>
      <c r="BN648" s="1491" t="n"/>
      <c r="BO648" s="1491" t="n"/>
      <c r="BP648" s="1491" t="n"/>
      <c r="BQ648" s="1491" t="n"/>
      <c r="BR648" s="1491" t="n"/>
      <c r="BS648" s="1491" t="n"/>
      <c r="BT648" s="1491" t="n"/>
      <c r="BU648" s="1491" t="n"/>
      <c r="BV648" s="1491" t="n"/>
      <c r="BW648" s="1491" t="n"/>
      <c r="BX648" s="1491" t="n"/>
      <c r="BY648" s="1491" t="n"/>
      <c r="BZ648" s="1491" t="n"/>
      <c r="CA648" s="1491" t="n"/>
      <c r="CB648" s="1491" t="n"/>
      <c r="CC648" s="1491" t="n"/>
      <c r="CD648" s="1491" t="n"/>
      <c r="CE648" s="1491" t="n"/>
      <c r="CF648" s="1491" t="n"/>
      <c r="CG648" s="1491" t="n"/>
      <c r="CH648" s="1491" t="n"/>
      <c r="CI648" s="1491" t="n"/>
      <c r="CJ648" s="1491" t="n"/>
      <c r="CK648" s="1491" t="n"/>
      <c r="CL648" s="1491" t="n"/>
      <c r="CM648" s="1491" t="n"/>
      <c r="CN648" s="1491" t="n"/>
      <c r="CO648" s="1491" t="n"/>
      <c r="CP648" s="1491" t="n"/>
      <c r="CQ648" s="1491" t="n"/>
      <c r="CR648" s="1491" t="n"/>
      <c r="CS648" s="1491" t="n"/>
      <c r="CT648" s="1491" t="n"/>
      <c r="CU648" s="1491" t="n"/>
      <c r="CV648" s="1491" t="n"/>
      <c r="CW648" s="1491" t="n"/>
      <c r="CX648" s="1491" t="n"/>
    </row>
    <row r="649">
      <c r="A649" s="1491" t="n"/>
      <c r="B649" s="1491" t="n"/>
      <c r="C649" s="1491" t="n"/>
      <c r="D649" s="1491" t="n"/>
      <c r="E649" s="1491" t="n"/>
      <c r="F649" s="1491" t="n"/>
      <c r="G649" s="1491" t="n"/>
      <c r="H649" s="1491" t="n"/>
      <c r="I649" s="1427" t="inlineStr">
        <is>
          <t>.</t>
        </is>
      </c>
      <c r="J649" s="1491" t="n"/>
      <c r="K649" s="1491" t="n"/>
      <c r="L649" s="1544">
        <f>_xlfn.XLOOKUP(cities[[#This Row],[city]],ccc[city],ccc[ctry],"-")</f>
        <v/>
      </c>
      <c r="M649" s="1544">
        <f>SUMIFS(stayCity[stay],stayCity[city],cities[[#This Row],[city]])</f>
        <v/>
      </c>
      <c r="N649" s="1427">
        <f>N648+1</f>
        <v/>
      </c>
      <c r="O649" s="1491" t="n"/>
      <c r="P649" s="1491" t="n"/>
      <c r="Q649" s="1427" t="inlineStr">
        <is>
          <t>.</t>
        </is>
      </c>
      <c r="R649" s="1491" t="n"/>
      <c r="S649" s="1491" t="n"/>
      <c r="T649" s="1491" t="n"/>
      <c r="U649" s="1491" t="n"/>
      <c r="V649" s="1491" t="n"/>
      <c r="W649" s="1491" t="n"/>
      <c r="X649" s="1491" t="n"/>
      <c r="Y649" s="1491" t="n"/>
      <c r="Z649" s="1491" t="n"/>
      <c r="AA649" s="1491" t="n"/>
      <c r="AB649" s="1491" t="n"/>
      <c r="AC649" s="1491" t="n"/>
      <c r="AD649" s="1491" t="n"/>
      <c r="AE649" s="1491" t="n"/>
      <c r="AF649" s="1491" t="n"/>
      <c r="AG649" s="1491" t="n"/>
      <c r="AH649" s="1491" t="n"/>
      <c r="AI649" s="1491" t="n"/>
      <c r="AJ649" s="1491" t="n"/>
      <c r="AK649" s="1491" t="n"/>
      <c r="AL649" s="1491" t="n"/>
      <c r="AM649" s="1491" t="n"/>
      <c r="AN649" s="1491" t="n"/>
      <c r="AO649" s="1491" t="n"/>
      <c r="AP649" s="1491" t="n"/>
      <c r="AQ649" s="1491" t="n"/>
      <c r="AR649" s="1491" t="n"/>
      <c r="AS649" s="1491" t="n"/>
      <c r="AT649" s="1491" t="n"/>
      <c r="AU649" s="1491" t="n"/>
      <c r="AV649" s="1491" t="n"/>
      <c r="AW649" s="1491" t="n"/>
      <c r="AX649" s="1491" t="n"/>
      <c r="AY649" s="1491" t="n"/>
      <c r="AZ649" s="1491" t="n"/>
      <c r="BA649" s="1491" t="n"/>
      <c r="BB649" s="1491" t="n"/>
      <c r="BC649" s="1491" t="n"/>
      <c r="BD649" s="1491" t="n"/>
      <c r="BE649" s="1491" t="n"/>
      <c r="BF649" s="1491" t="n"/>
      <c r="BG649" s="1491" t="n"/>
      <c r="BH649" s="1491" t="n"/>
      <c r="BI649" s="1491" t="n"/>
      <c r="BJ649" s="1491" t="n"/>
      <c r="BK649" s="1491" t="n"/>
      <c r="BL649" s="1491" t="n"/>
      <c r="BM649" s="1491" t="n"/>
      <c r="BN649" s="1491" t="n"/>
      <c r="BO649" s="1491" t="n"/>
      <c r="BP649" s="1491" t="n"/>
      <c r="BQ649" s="1491" t="n"/>
      <c r="BR649" s="1491" t="n"/>
      <c r="BS649" s="1491" t="n"/>
      <c r="BT649" s="1491" t="n"/>
      <c r="BU649" s="1491" t="n"/>
      <c r="BV649" s="1491" t="n"/>
      <c r="BW649" s="1491" t="n"/>
      <c r="BX649" s="1491" t="n"/>
      <c r="BY649" s="1491" t="n"/>
      <c r="BZ649" s="1491" t="n"/>
      <c r="CA649" s="1491" t="n"/>
      <c r="CB649" s="1491" t="n"/>
      <c r="CC649" s="1491" t="n"/>
      <c r="CD649" s="1491" t="n"/>
      <c r="CE649" s="1491" t="n"/>
      <c r="CF649" s="1491" t="n"/>
      <c r="CG649" s="1491" t="n"/>
      <c r="CH649" s="1491" t="n"/>
      <c r="CI649" s="1491" t="n"/>
      <c r="CJ649" s="1491" t="n"/>
      <c r="CK649" s="1491" t="n"/>
      <c r="CL649" s="1491" t="n"/>
      <c r="CM649" s="1491" t="n"/>
      <c r="CN649" s="1491" t="n"/>
      <c r="CO649" s="1491" t="n"/>
      <c r="CP649" s="1491" t="n"/>
      <c r="CQ649" s="1491" t="n"/>
      <c r="CR649" s="1491" t="n"/>
      <c r="CS649" s="1491" t="n"/>
      <c r="CT649" s="1491" t="n"/>
      <c r="CU649" s="1491" t="n"/>
      <c r="CV649" s="1491" t="n"/>
      <c r="CW649" s="1491" t="n"/>
      <c r="CX649" s="1491" t="n"/>
    </row>
    <row r="650">
      <c r="A650" s="1491" t="n"/>
      <c r="B650" s="1491" t="n"/>
      <c r="C650" s="1491" t="n"/>
      <c r="D650" s="1491" t="n"/>
      <c r="E650" s="1491" t="n"/>
      <c r="F650" s="1491" t="n"/>
      <c r="G650" s="1491" t="n"/>
      <c r="H650" s="1491" t="n"/>
      <c r="I650" s="1427" t="inlineStr">
        <is>
          <t>.</t>
        </is>
      </c>
      <c r="J650" s="1491" t="n"/>
      <c r="K650" s="1491" t="n"/>
      <c r="L650" s="1544">
        <f>_xlfn.XLOOKUP(cities[[#This Row],[city]],ccc[city],ccc[ctry],"-")</f>
        <v/>
      </c>
      <c r="M650" s="1544">
        <f>SUMIFS(stayCity[stay],stayCity[city],cities[[#This Row],[city]])</f>
        <v/>
      </c>
      <c r="N650" s="1427">
        <f>N649+1</f>
        <v/>
      </c>
      <c r="O650" s="1491" t="n"/>
      <c r="P650" s="1491" t="n"/>
      <c r="Q650" s="1427" t="inlineStr">
        <is>
          <t>.</t>
        </is>
      </c>
      <c r="R650" s="1491" t="n"/>
      <c r="S650" s="1491" t="n"/>
      <c r="T650" s="1491" t="n"/>
      <c r="U650" s="1491" t="n"/>
      <c r="V650" s="1491" t="n"/>
      <c r="W650" s="1491" t="n"/>
      <c r="X650" s="1491" t="n"/>
      <c r="Y650" s="1491" t="n"/>
      <c r="Z650" s="1491" t="n"/>
      <c r="AA650" s="1491" t="n"/>
      <c r="AB650" s="1491" t="n"/>
      <c r="AC650" s="1491" t="n"/>
      <c r="AD650" s="1491" t="n"/>
      <c r="AE650" s="1491" t="n"/>
      <c r="AF650" s="1491" t="n"/>
      <c r="AG650" s="1491" t="n"/>
      <c r="AH650" s="1491" t="n"/>
      <c r="AI650" s="1491" t="n"/>
      <c r="AJ650" s="1491" t="n"/>
      <c r="AK650" s="1491" t="n"/>
      <c r="AL650" s="1491" t="n"/>
      <c r="AM650" s="1491" t="n"/>
      <c r="AN650" s="1491" t="n"/>
      <c r="AO650" s="1491" t="n"/>
      <c r="AP650" s="1491" t="n"/>
      <c r="AQ650" s="1491" t="n"/>
      <c r="AR650" s="1491" t="n"/>
      <c r="AS650" s="1491" t="n"/>
      <c r="AT650" s="1491" t="n"/>
      <c r="AU650" s="1491" t="n"/>
      <c r="AV650" s="1491" t="n"/>
      <c r="AW650" s="1491" t="n"/>
      <c r="AX650" s="1491" t="n"/>
      <c r="AY650" s="1491" t="n"/>
      <c r="AZ650" s="1491" t="n"/>
      <c r="BA650" s="1491" t="n"/>
      <c r="BB650" s="1491" t="n"/>
      <c r="BC650" s="1491" t="n"/>
      <c r="BD650" s="1491" t="n"/>
      <c r="BE650" s="1491" t="n"/>
      <c r="BF650" s="1491" t="n"/>
      <c r="BG650" s="1491" t="n"/>
      <c r="BH650" s="1491" t="n"/>
      <c r="BI650" s="1491" t="n"/>
      <c r="BJ650" s="1491" t="n"/>
      <c r="BK650" s="1491" t="n"/>
      <c r="BL650" s="1491" t="n"/>
      <c r="BM650" s="1491" t="n"/>
      <c r="BN650" s="1491" t="n"/>
      <c r="BO650" s="1491" t="n"/>
      <c r="BP650" s="1491" t="n"/>
      <c r="BQ650" s="1491" t="n"/>
      <c r="BR650" s="1491" t="n"/>
      <c r="BS650" s="1491" t="n"/>
      <c r="BT650" s="1491" t="n"/>
      <c r="BU650" s="1491" t="n"/>
      <c r="BV650" s="1491" t="n"/>
      <c r="BW650" s="1491" t="n"/>
      <c r="BX650" s="1491" t="n"/>
      <c r="BY650" s="1491" t="n"/>
      <c r="BZ650" s="1491" t="n"/>
      <c r="CA650" s="1491" t="n"/>
      <c r="CB650" s="1491" t="n"/>
      <c r="CC650" s="1491" t="n"/>
      <c r="CD650" s="1491" t="n"/>
      <c r="CE650" s="1491" t="n"/>
      <c r="CF650" s="1491" t="n"/>
      <c r="CG650" s="1491" t="n"/>
      <c r="CH650" s="1491" t="n"/>
      <c r="CI650" s="1491" t="n"/>
      <c r="CJ650" s="1491" t="n"/>
      <c r="CK650" s="1491" t="n"/>
      <c r="CL650" s="1491" t="n"/>
      <c r="CM650" s="1491" t="n"/>
      <c r="CN650" s="1491" t="n"/>
      <c r="CO650" s="1491" t="n"/>
      <c r="CP650" s="1491" t="n"/>
      <c r="CQ650" s="1491" t="n"/>
      <c r="CR650" s="1491" t="n"/>
      <c r="CS650" s="1491" t="n"/>
      <c r="CT650" s="1491" t="n"/>
      <c r="CU650" s="1491" t="n"/>
      <c r="CV650" s="1491" t="n"/>
      <c r="CW650" s="1491" t="n"/>
      <c r="CX650" s="1491" t="n"/>
    </row>
    <row r="651">
      <c r="A651" s="1491" t="n"/>
      <c r="B651" s="1491" t="n"/>
      <c r="C651" s="1491" t="n"/>
      <c r="D651" s="1491" t="n"/>
      <c r="E651" s="1491" t="n"/>
      <c r="F651" s="1491" t="n"/>
      <c r="G651" s="1491" t="n"/>
      <c r="H651" s="1491" t="n"/>
      <c r="I651" s="1427" t="inlineStr">
        <is>
          <t>.</t>
        </is>
      </c>
      <c r="J651" s="1491" t="n"/>
      <c r="K651" s="1491" t="n"/>
      <c r="L651" s="1544">
        <f>_xlfn.XLOOKUP(cities[[#This Row],[city]],ccc[city],ccc[ctry],"-")</f>
        <v/>
      </c>
      <c r="M651" s="1544">
        <f>SUMIFS(stayCity[stay],stayCity[city],cities[[#This Row],[city]])</f>
        <v/>
      </c>
      <c r="N651" s="1427">
        <f>N650+1</f>
        <v/>
      </c>
      <c r="O651" s="1491" t="n"/>
      <c r="P651" s="1491" t="n"/>
      <c r="Q651" s="1427" t="inlineStr">
        <is>
          <t>.</t>
        </is>
      </c>
      <c r="R651" s="1491" t="n"/>
      <c r="S651" s="1491" t="n"/>
      <c r="T651" s="1491" t="n"/>
      <c r="U651" s="1491" t="n"/>
      <c r="V651" s="1491" t="n"/>
      <c r="W651" s="1491" t="n"/>
      <c r="X651" s="1491" t="n"/>
      <c r="Y651" s="1491" t="n"/>
      <c r="Z651" s="1491" t="n"/>
      <c r="AA651" s="1491" t="n"/>
      <c r="AB651" s="1491" t="n"/>
      <c r="AC651" s="1491" t="n"/>
      <c r="AD651" s="1491" t="n"/>
      <c r="AE651" s="1491" t="n"/>
      <c r="AF651" s="1491" t="n"/>
      <c r="AG651" s="1491" t="n"/>
      <c r="AH651" s="1491" t="n"/>
      <c r="AI651" s="1491" t="n"/>
      <c r="AJ651" s="1491" t="n"/>
      <c r="AK651" s="1491" t="n"/>
      <c r="AL651" s="1491" t="n"/>
      <c r="AM651" s="1491" t="n"/>
      <c r="AN651" s="1491" t="n"/>
      <c r="AO651" s="1491" t="n"/>
      <c r="AP651" s="1491" t="n"/>
      <c r="AQ651" s="1491" t="n"/>
      <c r="AR651" s="1491" t="n"/>
      <c r="AS651" s="1491" t="n"/>
      <c r="AT651" s="1491" t="n"/>
      <c r="AU651" s="1491" t="n"/>
      <c r="AV651" s="1491" t="n"/>
      <c r="AW651" s="1491" t="n"/>
      <c r="AX651" s="1491" t="n"/>
      <c r="AY651" s="1491" t="n"/>
      <c r="AZ651" s="1491" t="n"/>
      <c r="BA651" s="1491" t="n"/>
      <c r="BB651" s="1491" t="n"/>
      <c r="BC651" s="1491" t="n"/>
      <c r="BD651" s="1491" t="n"/>
      <c r="BE651" s="1491" t="n"/>
      <c r="BF651" s="1491" t="n"/>
      <c r="BG651" s="1491" t="n"/>
      <c r="BH651" s="1491" t="n"/>
      <c r="BI651" s="1491" t="n"/>
      <c r="BJ651" s="1491" t="n"/>
      <c r="BK651" s="1491" t="n"/>
      <c r="BL651" s="1491" t="n"/>
      <c r="BM651" s="1491" t="n"/>
      <c r="BN651" s="1491" t="n"/>
      <c r="BO651" s="1491" t="n"/>
      <c r="BP651" s="1491" t="n"/>
      <c r="BQ651" s="1491" t="n"/>
      <c r="BR651" s="1491" t="n"/>
      <c r="BS651" s="1491" t="n"/>
      <c r="BT651" s="1491" t="n"/>
      <c r="BU651" s="1491" t="n"/>
      <c r="BV651" s="1491" t="n"/>
      <c r="BW651" s="1491" t="n"/>
      <c r="BX651" s="1491" t="n"/>
      <c r="BY651" s="1491" t="n"/>
      <c r="BZ651" s="1491" t="n"/>
      <c r="CA651" s="1491" t="n"/>
      <c r="CB651" s="1491" t="n"/>
      <c r="CC651" s="1491" t="n"/>
      <c r="CD651" s="1491" t="n"/>
      <c r="CE651" s="1491" t="n"/>
      <c r="CF651" s="1491" t="n"/>
      <c r="CG651" s="1491" t="n"/>
      <c r="CH651" s="1491" t="n"/>
      <c r="CI651" s="1491" t="n"/>
      <c r="CJ651" s="1491" t="n"/>
      <c r="CK651" s="1491" t="n"/>
      <c r="CL651" s="1491" t="n"/>
      <c r="CM651" s="1491" t="n"/>
      <c r="CN651" s="1491" t="n"/>
      <c r="CO651" s="1491" t="n"/>
      <c r="CP651" s="1491" t="n"/>
      <c r="CQ651" s="1491" t="n"/>
      <c r="CR651" s="1491" t="n"/>
      <c r="CS651" s="1491" t="n"/>
      <c r="CT651" s="1491" t="n"/>
      <c r="CU651" s="1491" t="n"/>
      <c r="CV651" s="1491" t="n"/>
      <c r="CW651" s="1491" t="n"/>
      <c r="CX651" s="1491" t="n"/>
    </row>
    <row r="652">
      <c r="A652" s="1491" t="n"/>
      <c r="B652" s="1491" t="n"/>
      <c r="C652" s="1491" t="n"/>
      <c r="D652" s="1491" t="n"/>
      <c r="E652" s="1491" t="n"/>
      <c r="F652" s="1491" t="n"/>
      <c r="G652" s="1491" t="n"/>
      <c r="H652" s="1491" t="n"/>
      <c r="I652" s="1427" t="inlineStr">
        <is>
          <t>.</t>
        </is>
      </c>
      <c r="J652" s="1491" t="n"/>
      <c r="K652" s="1491" t="n"/>
      <c r="L652" s="1544">
        <f>_xlfn.XLOOKUP(cities[[#This Row],[city]],ccc[city],ccc[ctry],"-")</f>
        <v/>
      </c>
      <c r="M652" s="1544">
        <f>SUMIFS(stayCity[stay],stayCity[city],cities[[#This Row],[city]])</f>
        <v/>
      </c>
      <c r="N652" s="1427">
        <f>N651+1</f>
        <v/>
      </c>
      <c r="O652" s="1491" t="n"/>
      <c r="P652" s="1491" t="n"/>
      <c r="Q652" s="1427" t="inlineStr">
        <is>
          <t>.</t>
        </is>
      </c>
      <c r="R652" s="1491" t="n"/>
      <c r="S652" s="1491" t="n"/>
      <c r="T652" s="1491" t="n"/>
      <c r="U652" s="1491" t="n"/>
      <c r="V652" s="1491" t="n"/>
      <c r="W652" s="1491" t="n"/>
      <c r="X652" s="1491" t="n"/>
      <c r="Y652" s="1491" t="n"/>
      <c r="Z652" s="1491" t="n"/>
      <c r="AA652" s="1491" t="n"/>
      <c r="AB652" s="1491" t="n"/>
      <c r="AC652" s="1491" t="n"/>
      <c r="AD652" s="1491" t="n"/>
      <c r="AE652" s="1491" t="n"/>
      <c r="AF652" s="1491" t="n"/>
      <c r="AG652" s="1491" t="n"/>
      <c r="AH652" s="1491" t="n"/>
      <c r="AI652" s="1491" t="n"/>
      <c r="AJ652" s="1491" t="n"/>
      <c r="AK652" s="1491" t="n"/>
      <c r="AL652" s="1491" t="n"/>
      <c r="AM652" s="1491" t="n"/>
      <c r="AN652" s="1491" t="n"/>
      <c r="AO652" s="1491" t="n"/>
      <c r="AP652" s="1491" t="n"/>
      <c r="AQ652" s="1491" t="n"/>
      <c r="AR652" s="1491" t="n"/>
      <c r="AS652" s="1491" t="n"/>
      <c r="AT652" s="1491" t="n"/>
      <c r="AU652" s="1491" t="n"/>
      <c r="AV652" s="1491" t="n"/>
      <c r="AW652" s="1491" t="n"/>
      <c r="AX652" s="1491" t="n"/>
      <c r="AY652" s="1491" t="n"/>
      <c r="AZ652" s="1491" t="n"/>
      <c r="BA652" s="1491" t="n"/>
      <c r="BB652" s="1491" t="n"/>
      <c r="BC652" s="1491" t="n"/>
      <c r="BD652" s="1491" t="n"/>
      <c r="BE652" s="1491" t="n"/>
      <c r="BF652" s="1491" t="n"/>
      <c r="BG652" s="1491" t="n"/>
      <c r="BH652" s="1491" t="n"/>
      <c r="BI652" s="1491" t="n"/>
      <c r="BJ652" s="1491" t="n"/>
      <c r="BK652" s="1491" t="n"/>
      <c r="BL652" s="1491" t="n"/>
      <c r="BM652" s="1491" t="n"/>
      <c r="BN652" s="1491" t="n"/>
      <c r="BO652" s="1491" t="n"/>
      <c r="BP652" s="1491" t="n"/>
      <c r="BQ652" s="1491" t="n"/>
      <c r="BR652" s="1491" t="n"/>
      <c r="BS652" s="1491" t="n"/>
      <c r="BT652" s="1491" t="n"/>
      <c r="BU652" s="1491" t="n"/>
      <c r="BV652" s="1491" t="n"/>
      <c r="BW652" s="1491" t="n"/>
      <c r="BX652" s="1491" t="n"/>
      <c r="BY652" s="1491" t="n"/>
      <c r="BZ652" s="1491" t="n"/>
      <c r="CA652" s="1491" t="n"/>
      <c r="CB652" s="1491" t="n"/>
      <c r="CC652" s="1491" t="n"/>
      <c r="CD652" s="1491" t="n"/>
      <c r="CE652" s="1491" t="n"/>
      <c r="CF652" s="1491" t="n"/>
      <c r="CG652" s="1491" t="n"/>
      <c r="CH652" s="1491" t="n"/>
      <c r="CI652" s="1491" t="n"/>
      <c r="CJ652" s="1491" t="n"/>
      <c r="CK652" s="1491" t="n"/>
      <c r="CL652" s="1491" t="n"/>
      <c r="CM652" s="1491" t="n"/>
      <c r="CN652" s="1491" t="n"/>
      <c r="CO652" s="1491" t="n"/>
      <c r="CP652" s="1491" t="n"/>
      <c r="CQ652" s="1491" t="n"/>
      <c r="CR652" s="1491" t="n"/>
      <c r="CS652" s="1491" t="n"/>
      <c r="CT652" s="1491" t="n"/>
      <c r="CU652" s="1491" t="n"/>
      <c r="CV652" s="1491" t="n"/>
      <c r="CW652" s="1491" t="n"/>
      <c r="CX652" s="1491" t="n"/>
    </row>
    <row r="653">
      <c r="A653" s="1491" t="n"/>
      <c r="B653" s="1491" t="n"/>
      <c r="C653" s="1491" t="n"/>
      <c r="D653" s="1491" t="n"/>
      <c r="E653" s="1491" t="n"/>
      <c r="F653" s="1491" t="n"/>
      <c r="G653" s="1491" t="n"/>
      <c r="H653" s="1491" t="n"/>
      <c r="I653" s="1427" t="inlineStr">
        <is>
          <t>.</t>
        </is>
      </c>
      <c r="J653" s="1491" t="n"/>
      <c r="K653" s="1491" t="n"/>
      <c r="L653" s="1544">
        <f>_xlfn.XLOOKUP(cities[[#This Row],[city]],ccc[city],ccc[ctry],"-")</f>
        <v/>
      </c>
      <c r="M653" s="1544">
        <f>SUMIFS(stayCity[stay],stayCity[city],cities[[#This Row],[city]])</f>
        <v/>
      </c>
      <c r="N653" s="1427">
        <f>N652+1</f>
        <v/>
      </c>
      <c r="O653" s="1491" t="n"/>
      <c r="P653" s="1491" t="n"/>
      <c r="Q653" s="1427" t="inlineStr">
        <is>
          <t>.</t>
        </is>
      </c>
      <c r="R653" s="1491" t="n"/>
      <c r="S653" s="1491" t="n"/>
      <c r="T653" s="1491" t="n"/>
      <c r="U653" s="1491" t="n"/>
      <c r="V653" s="1491" t="n"/>
      <c r="W653" s="1491" t="n"/>
      <c r="X653" s="1491" t="n"/>
      <c r="Y653" s="1491" t="n"/>
      <c r="Z653" s="1491" t="n"/>
      <c r="AA653" s="1491" t="n"/>
      <c r="AB653" s="1491" t="n"/>
      <c r="AC653" s="1491" t="n"/>
      <c r="AD653" s="1491" t="n"/>
      <c r="AE653" s="1491" t="n"/>
      <c r="AF653" s="1491" t="n"/>
      <c r="AG653" s="1491" t="n"/>
      <c r="AH653" s="1491" t="n"/>
      <c r="AI653" s="1491" t="n"/>
      <c r="AJ653" s="1491" t="n"/>
      <c r="AK653" s="1491" t="n"/>
      <c r="AL653" s="1491" t="n"/>
      <c r="AM653" s="1491" t="n"/>
      <c r="AN653" s="1491" t="n"/>
      <c r="AO653" s="1491" t="n"/>
      <c r="AP653" s="1491" t="n"/>
      <c r="AQ653" s="1491" t="n"/>
      <c r="AR653" s="1491" t="n"/>
      <c r="AS653" s="1491" t="n"/>
      <c r="AT653" s="1491" t="n"/>
      <c r="AU653" s="1491" t="n"/>
      <c r="AV653" s="1491" t="n"/>
      <c r="AW653" s="1491" t="n"/>
      <c r="AX653" s="1491" t="n"/>
      <c r="AY653" s="1491" t="n"/>
      <c r="AZ653" s="1491" t="n"/>
      <c r="BA653" s="1491" t="n"/>
      <c r="BB653" s="1491" t="n"/>
      <c r="BC653" s="1491" t="n"/>
      <c r="BD653" s="1491" t="n"/>
      <c r="BE653" s="1491" t="n"/>
      <c r="BF653" s="1491" t="n"/>
      <c r="BG653" s="1491" t="n"/>
      <c r="BH653" s="1491" t="n"/>
      <c r="BI653" s="1491" t="n"/>
      <c r="BJ653" s="1491" t="n"/>
      <c r="BK653" s="1491" t="n"/>
      <c r="BL653" s="1491" t="n"/>
      <c r="BM653" s="1491" t="n"/>
      <c r="BN653" s="1491" t="n"/>
      <c r="BO653" s="1491" t="n"/>
      <c r="BP653" s="1491" t="n"/>
      <c r="BQ653" s="1491" t="n"/>
      <c r="BR653" s="1491" t="n"/>
      <c r="BS653" s="1491" t="n"/>
      <c r="BT653" s="1491" t="n"/>
      <c r="BU653" s="1491" t="n"/>
      <c r="BV653" s="1491" t="n"/>
      <c r="BW653" s="1491" t="n"/>
      <c r="BX653" s="1491" t="n"/>
      <c r="BY653" s="1491" t="n"/>
      <c r="BZ653" s="1491" t="n"/>
      <c r="CA653" s="1491" t="n"/>
      <c r="CB653" s="1491" t="n"/>
      <c r="CC653" s="1491" t="n"/>
      <c r="CD653" s="1491" t="n"/>
      <c r="CE653" s="1491" t="n"/>
      <c r="CF653" s="1491" t="n"/>
      <c r="CG653" s="1491" t="n"/>
      <c r="CH653" s="1491" t="n"/>
      <c r="CI653" s="1491" t="n"/>
      <c r="CJ653" s="1491" t="n"/>
      <c r="CK653" s="1491" t="n"/>
      <c r="CL653" s="1491" t="n"/>
      <c r="CM653" s="1491" t="n"/>
      <c r="CN653" s="1491" t="n"/>
      <c r="CO653" s="1491" t="n"/>
      <c r="CP653" s="1491" t="n"/>
      <c r="CQ653" s="1491" t="n"/>
      <c r="CR653" s="1491" t="n"/>
      <c r="CS653" s="1491" t="n"/>
      <c r="CT653" s="1491" t="n"/>
      <c r="CU653" s="1491" t="n"/>
      <c r="CV653" s="1491" t="n"/>
      <c r="CW653" s="1491" t="n"/>
      <c r="CX653" s="1491" t="n"/>
    </row>
    <row r="654">
      <c r="A654" s="1491" t="n"/>
      <c r="B654" s="1491" t="n"/>
      <c r="C654" s="1491" t="n"/>
      <c r="D654" s="1491" t="n"/>
      <c r="E654" s="1491" t="n"/>
      <c r="F654" s="1491" t="n"/>
      <c r="G654" s="1491" t="n"/>
      <c r="H654" s="1491" t="n"/>
      <c r="I654" s="1427" t="inlineStr">
        <is>
          <t>.</t>
        </is>
      </c>
      <c r="J654" s="1491" t="n"/>
      <c r="K654" s="1491" t="n"/>
      <c r="L654" s="1544">
        <f>_xlfn.XLOOKUP(cities[[#This Row],[city]],ccc[city],ccc[ctry],"-")</f>
        <v/>
      </c>
      <c r="M654" s="1544">
        <f>SUMIFS(stayCity[stay],stayCity[city],cities[[#This Row],[city]])</f>
        <v/>
      </c>
      <c r="N654" s="1427">
        <f>N653+1</f>
        <v/>
      </c>
      <c r="O654" s="1491" t="n"/>
      <c r="P654" s="1491" t="n"/>
      <c r="Q654" s="1427" t="inlineStr">
        <is>
          <t>.</t>
        </is>
      </c>
      <c r="R654" s="1491" t="n"/>
      <c r="S654" s="1491" t="n"/>
      <c r="T654" s="1491" t="n"/>
      <c r="U654" s="1491" t="n"/>
      <c r="V654" s="1491" t="n"/>
      <c r="W654" s="1491" t="n"/>
      <c r="X654" s="1491" t="n"/>
      <c r="Y654" s="1491" t="n"/>
      <c r="Z654" s="1491" t="n"/>
      <c r="AA654" s="1491" t="n"/>
      <c r="AB654" s="1491" t="n"/>
      <c r="AC654" s="1491" t="n"/>
      <c r="AD654" s="1491" t="n"/>
      <c r="AE654" s="1491" t="n"/>
      <c r="AF654" s="1491" t="n"/>
      <c r="AG654" s="1491" t="n"/>
      <c r="AH654" s="1491" t="n"/>
      <c r="AI654" s="1491" t="n"/>
      <c r="AJ654" s="1491" t="n"/>
      <c r="AK654" s="1491" t="n"/>
      <c r="AL654" s="1491" t="n"/>
      <c r="AM654" s="1491" t="n"/>
      <c r="AN654" s="1491" t="n"/>
      <c r="AO654" s="1491" t="n"/>
      <c r="AP654" s="1491" t="n"/>
      <c r="AQ654" s="1491" t="n"/>
      <c r="AR654" s="1491" t="n"/>
      <c r="AS654" s="1491" t="n"/>
      <c r="AT654" s="1491" t="n"/>
      <c r="AU654" s="1491" t="n"/>
      <c r="AV654" s="1491" t="n"/>
      <c r="AW654" s="1491" t="n"/>
      <c r="AX654" s="1491" t="n"/>
      <c r="AY654" s="1491" t="n"/>
      <c r="AZ654" s="1491" t="n"/>
      <c r="BA654" s="1491" t="n"/>
      <c r="BB654" s="1491" t="n"/>
      <c r="BC654" s="1491" t="n"/>
      <c r="BD654" s="1491" t="n"/>
      <c r="BE654" s="1491" t="n"/>
      <c r="BF654" s="1491" t="n"/>
      <c r="BG654" s="1491" t="n"/>
      <c r="BH654" s="1491" t="n"/>
      <c r="BI654" s="1491" t="n"/>
      <c r="BJ654" s="1491" t="n"/>
      <c r="BK654" s="1491" t="n"/>
      <c r="BL654" s="1491" t="n"/>
      <c r="BM654" s="1491" t="n"/>
      <c r="BN654" s="1491" t="n"/>
      <c r="BO654" s="1491" t="n"/>
      <c r="BP654" s="1491" t="n"/>
      <c r="BQ654" s="1491" t="n"/>
      <c r="BR654" s="1491" t="n"/>
      <c r="BS654" s="1491" t="n"/>
      <c r="BT654" s="1491" t="n"/>
      <c r="BU654" s="1491" t="n"/>
      <c r="BV654" s="1491" t="n"/>
      <c r="BW654" s="1491" t="n"/>
      <c r="BX654" s="1491" t="n"/>
      <c r="BY654" s="1491" t="n"/>
      <c r="BZ654" s="1491" t="n"/>
      <c r="CA654" s="1491" t="n"/>
      <c r="CB654" s="1491" t="n"/>
      <c r="CC654" s="1491" t="n"/>
      <c r="CD654" s="1491" t="n"/>
      <c r="CE654" s="1491" t="n"/>
      <c r="CF654" s="1491" t="n"/>
      <c r="CG654" s="1491" t="n"/>
      <c r="CH654" s="1491" t="n"/>
      <c r="CI654" s="1491" t="n"/>
      <c r="CJ654" s="1491" t="n"/>
      <c r="CK654" s="1491" t="n"/>
      <c r="CL654" s="1491" t="n"/>
      <c r="CM654" s="1491" t="n"/>
      <c r="CN654" s="1491" t="n"/>
      <c r="CO654" s="1491" t="n"/>
      <c r="CP654" s="1491" t="n"/>
      <c r="CQ654" s="1491" t="n"/>
      <c r="CR654" s="1491" t="n"/>
      <c r="CS654" s="1491" t="n"/>
      <c r="CT654" s="1491" t="n"/>
      <c r="CU654" s="1491" t="n"/>
      <c r="CV654" s="1491" t="n"/>
      <c r="CW654" s="1491" t="n"/>
      <c r="CX654" s="1491" t="n"/>
    </row>
    <row r="655">
      <c r="A655" s="1491" t="n"/>
      <c r="B655" s="1491" t="n"/>
      <c r="C655" s="1491" t="n"/>
      <c r="D655" s="1491" t="n"/>
      <c r="E655" s="1491" t="n"/>
      <c r="F655" s="1491" t="n"/>
      <c r="G655" s="1491" t="n"/>
      <c r="H655" s="1491" t="n"/>
      <c r="I655" s="1491" t="n"/>
      <c r="J655" s="1491" t="n"/>
      <c r="K655" s="1491" t="n"/>
      <c r="L655" s="1491" t="n"/>
      <c r="M655" s="1491" t="n"/>
      <c r="N655" s="1491" t="n"/>
      <c r="O655" s="1491" t="n"/>
      <c r="P655" s="1491" t="n"/>
      <c r="Q655" s="1491" t="n"/>
      <c r="R655" s="1491" t="n"/>
      <c r="S655" s="1491" t="n"/>
      <c r="T655" s="1491" t="n"/>
      <c r="U655" s="1491" t="n"/>
      <c r="V655" s="1491" t="n"/>
      <c r="W655" s="1491" t="n"/>
      <c r="X655" s="1491" t="n"/>
      <c r="Y655" s="1491" t="n"/>
      <c r="Z655" s="1491" t="n"/>
      <c r="AA655" s="1491" t="n"/>
      <c r="AB655" s="1491" t="n"/>
      <c r="AC655" s="1491" t="n"/>
      <c r="AD655" s="1491" t="n"/>
      <c r="AE655" s="1491" t="n"/>
      <c r="AF655" s="1491" t="n"/>
      <c r="AG655" s="1491" t="n"/>
      <c r="AH655" s="1491" t="n"/>
      <c r="AI655" s="1491" t="n"/>
      <c r="AJ655" s="1491" t="n"/>
      <c r="AK655" s="1491" t="n"/>
      <c r="AL655" s="1491" t="n"/>
      <c r="AM655" s="1491" t="n"/>
      <c r="AN655" s="1491" t="n"/>
      <c r="AO655" s="1491" t="n"/>
      <c r="AP655" s="1491" t="n"/>
      <c r="AQ655" s="1491" t="n"/>
      <c r="AR655" s="1491" t="n"/>
      <c r="AS655" s="1491" t="n"/>
      <c r="AT655" s="1491" t="n"/>
      <c r="AU655" s="1491" t="n"/>
      <c r="AV655" s="1491" t="n"/>
      <c r="AW655" s="1491" t="n"/>
      <c r="AX655" s="1491" t="n"/>
      <c r="AY655" s="1491" t="n"/>
      <c r="AZ655" s="1491" t="n"/>
      <c r="BA655" s="1491" t="n"/>
      <c r="BB655" s="1491" t="n"/>
      <c r="BC655" s="1491" t="n"/>
      <c r="BD655" s="1491" t="n"/>
      <c r="BE655" s="1491" t="n"/>
      <c r="BF655" s="1491" t="n"/>
      <c r="BG655" s="1491" t="n"/>
      <c r="BH655" s="1491" t="n"/>
      <c r="BI655" s="1491" t="n"/>
      <c r="BJ655" s="1491" t="n"/>
      <c r="BK655" s="1491" t="n"/>
      <c r="BL655" s="1491" t="n"/>
      <c r="BM655" s="1491" t="n"/>
      <c r="BN655" s="1491" t="n"/>
      <c r="BO655" s="1491" t="n"/>
      <c r="BP655" s="1491" t="n"/>
      <c r="BQ655" s="1491" t="n"/>
      <c r="BR655" s="1491" t="n"/>
      <c r="BS655" s="1491" t="n"/>
      <c r="BT655" s="1491" t="n"/>
      <c r="BU655" s="1491" t="n"/>
      <c r="BV655" s="1491" t="n"/>
      <c r="BW655" s="1491" t="n"/>
      <c r="BX655" s="1491" t="n"/>
      <c r="BY655" s="1491" t="n"/>
      <c r="BZ655" s="1491" t="n"/>
      <c r="CA655" s="1491" t="n"/>
      <c r="CB655" s="1491" t="n"/>
      <c r="CC655" s="1491" t="n"/>
      <c r="CD655" s="1491" t="n"/>
      <c r="CE655" s="1491" t="n"/>
      <c r="CF655" s="1491" t="n"/>
      <c r="CG655" s="1491" t="n"/>
      <c r="CH655" s="1491" t="n"/>
      <c r="CI655" s="1491" t="n"/>
      <c r="CJ655" s="1491" t="n"/>
      <c r="CK655" s="1491" t="n"/>
      <c r="CL655" s="1491" t="n"/>
      <c r="CM655" s="1491" t="n"/>
      <c r="CN655" s="1491" t="n"/>
      <c r="CO655" s="1491" t="n"/>
      <c r="CP655" s="1491" t="n"/>
      <c r="CQ655" s="1491" t="n"/>
      <c r="CR655" s="1491" t="n"/>
      <c r="CS655" s="1491" t="n"/>
      <c r="CT655" s="1491" t="n"/>
      <c r="CU655" s="1491" t="n"/>
      <c r="CV655" s="1491" t="n"/>
      <c r="CW655" s="1491" t="n"/>
      <c r="CX655" s="1491" t="n"/>
    </row>
    <row r="656">
      <c r="A656" s="1491" t="n"/>
      <c r="B656" s="1491" t="n"/>
      <c r="C656" s="1491" t="n"/>
      <c r="D656" s="1491" t="n"/>
      <c r="E656" s="1491" t="n"/>
      <c r="F656" s="1491" t="n"/>
      <c r="G656" s="1491" t="n"/>
      <c r="H656" s="1491" t="n"/>
      <c r="I656" s="1491" t="n"/>
      <c r="J656" s="1491" t="n"/>
      <c r="K656" s="1491" t="n"/>
      <c r="L656" s="1491" t="n"/>
      <c r="M656" s="1491" t="n"/>
      <c r="N656" s="1491" t="n"/>
      <c r="O656" s="1491" t="n"/>
      <c r="P656" s="1491" t="n"/>
      <c r="Q656" s="1491" t="n"/>
      <c r="R656" s="1491" t="n"/>
      <c r="S656" s="1491" t="n"/>
      <c r="T656" s="1491" t="n"/>
      <c r="U656" s="1491" t="n"/>
      <c r="V656" s="1491" t="n"/>
      <c r="W656" s="1491" t="n"/>
      <c r="X656" s="1491" t="n"/>
      <c r="Y656" s="1491" t="n"/>
      <c r="Z656" s="1491" t="n"/>
      <c r="AA656" s="1491" t="n"/>
      <c r="AB656" s="1491" t="n"/>
      <c r="AC656" s="1491" t="n"/>
      <c r="AD656" s="1491" t="n"/>
      <c r="AE656" s="1491" t="n"/>
      <c r="AF656" s="1491" t="n"/>
      <c r="AG656" s="1491" t="n"/>
      <c r="AH656" s="1491" t="n"/>
      <c r="AI656" s="1491" t="n"/>
      <c r="AJ656" s="1491" t="n"/>
      <c r="AK656" s="1491" t="n"/>
      <c r="AL656" s="1491" t="n"/>
      <c r="AM656" s="1491" t="n"/>
      <c r="AN656" s="1491" t="n"/>
      <c r="AO656" s="1491" t="n"/>
      <c r="AP656" s="1491" t="n"/>
      <c r="AQ656" s="1491" t="n"/>
      <c r="AR656" s="1491" t="n"/>
      <c r="AS656" s="1491" t="n"/>
      <c r="AT656" s="1491" t="n"/>
      <c r="AU656" s="1491" t="n"/>
      <c r="AV656" s="1491" t="n"/>
      <c r="AW656" s="1491" t="n"/>
      <c r="AX656" s="1491" t="n"/>
      <c r="AY656" s="1491" t="n"/>
      <c r="AZ656" s="1491" t="n"/>
      <c r="BA656" s="1491" t="n"/>
      <c r="BB656" s="1491" t="n"/>
      <c r="BC656" s="1491" t="n"/>
      <c r="BD656" s="1491" t="n"/>
      <c r="BE656" s="1491" t="n"/>
      <c r="BF656" s="1491" t="n"/>
      <c r="BG656" s="1491" t="n"/>
      <c r="BH656" s="1491" t="n"/>
      <c r="BI656" s="1491" t="n"/>
      <c r="BJ656" s="1491" t="n"/>
      <c r="BK656" s="1491" t="n"/>
      <c r="BL656" s="1491" t="n"/>
      <c r="BM656" s="1491" t="n"/>
      <c r="BN656" s="1491" t="n"/>
      <c r="BO656" s="1491" t="n"/>
      <c r="BP656" s="1491" t="n"/>
      <c r="BQ656" s="1491" t="n"/>
      <c r="BR656" s="1491" t="n"/>
      <c r="BS656" s="1491" t="n"/>
      <c r="BT656" s="1491" t="n"/>
      <c r="BU656" s="1491" t="n"/>
      <c r="BV656" s="1491" t="n"/>
      <c r="BW656" s="1491" t="n"/>
      <c r="BX656" s="1491" t="n"/>
      <c r="BY656" s="1491" t="n"/>
      <c r="BZ656" s="1491" t="n"/>
      <c r="CA656" s="1491" t="n"/>
      <c r="CB656" s="1491" t="n"/>
      <c r="CC656" s="1491" t="n"/>
      <c r="CD656" s="1491" t="n"/>
      <c r="CE656" s="1491" t="n"/>
      <c r="CF656" s="1491" t="n"/>
      <c r="CG656" s="1491" t="n"/>
      <c r="CH656" s="1491" t="n"/>
      <c r="CI656" s="1491" t="n"/>
      <c r="CJ656" s="1491" t="n"/>
      <c r="CK656" s="1491" t="n"/>
      <c r="CL656" s="1491" t="n"/>
      <c r="CM656" s="1491" t="n"/>
      <c r="CN656" s="1491" t="n"/>
      <c r="CO656" s="1491" t="n"/>
      <c r="CP656" s="1491" t="n"/>
      <c r="CQ656" s="1491" t="n"/>
      <c r="CR656" s="1491" t="n"/>
      <c r="CS656" s="1491" t="n"/>
      <c r="CT656" s="1491" t="n"/>
      <c r="CU656" s="1491" t="n"/>
      <c r="CV656" s="1491" t="n"/>
      <c r="CW656" s="1491" t="n"/>
      <c r="CX656" s="1491" t="n"/>
    </row>
    <row r="657">
      <c r="A657" s="1491" t="n"/>
      <c r="B657" s="1491" t="n"/>
      <c r="C657" s="1491" t="n"/>
      <c r="D657" s="1491" t="n"/>
      <c r="E657" s="1491" t="n"/>
      <c r="F657" s="1491" t="n"/>
      <c r="G657" s="1491" t="n"/>
      <c r="H657" s="1491" t="n"/>
      <c r="I657" s="1491" t="n"/>
      <c r="J657" s="1491" t="n"/>
      <c r="K657" s="1491" t="n"/>
      <c r="L657" s="1491" t="n"/>
      <c r="M657" s="1491" t="n"/>
      <c r="N657" s="1491" t="n"/>
      <c r="O657" s="1491" t="n"/>
      <c r="P657" s="1491" t="n"/>
      <c r="Q657" s="1491" t="n"/>
      <c r="R657" s="1491" t="n"/>
      <c r="S657" s="1491" t="n"/>
      <c r="T657" s="1491" t="n"/>
      <c r="U657" s="1491" t="n"/>
      <c r="V657" s="1491" t="n"/>
      <c r="W657" s="1491" t="n"/>
      <c r="X657" s="1491" t="n"/>
      <c r="Y657" s="1491" t="n"/>
      <c r="Z657" s="1491" t="n"/>
      <c r="AA657" s="1491" t="n"/>
      <c r="AB657" s="1491" t="n"/>
      <c r="AC657" s="1491" t="n"/>
      <c r="AD657" s="1491" t="n"/>
      <c r="AE657" s="1491" t="n"/>
      <c r="AF657" s="1491" t="n"/>
      <c r="AG657" s="1491" t="n"/>
      <c r="AH657" s="1491" t="n"/>
      <c r="AI657" s="1491" t="n"/>
      <c r="AJ657" s="1491" t="n"/>
      <c r="AK657" s="1491" t="n"/>
      <c r="AL657" s="1491" t="n"/>
      <c r="AM657" s="1491" t="n"/>
      <c r="AN657" s="1491" t="n"/>
      <c r="AO657" s="1491" t="n"/>
      <c r="AP657" s="1491" t="n"/>
      <c r="AQ657" s="1491" t="n"/>
      <c r="AR657" s="1491" t="n"/>
      <c r="AS657" s="1491" t="n"/>
      <c r="AT657" s="1491" t="n"/>
      <c r="AU657" s="1491" t="n"/>
      <c r="AV657" s="1491" t="n"/>
      <c r="AW657" s="1491" t="n"/>
      <c r="AX657" s="1491" t="n"/>
      <c r="AY657" s="1491" t="n"/>
      <c r="AZ657" s="1491" t="n"/>
      <c r="BA657" s="1491" t="n"/>
      <c r="BB657" s="1491" t="n"/>
      <c r="BC657" s="1491" t="n"/>
      <c r="BD657" s="1491" t="n"/>
      <c r="BE657" s="1491" t="n"/>
      <c r="BF657" s="1491" t="n"/>
      <c r="BG657" s="1491" t="n"/>
      <c r="BH657" s="1491" t="n"/>
      <c r="BI657" s="1491" t="n"/>
      <c r="BJ657" s="1491" t="n"/>
      <c r="BK657" s="1491" t="n"/>
      <c r="BL657" s="1491" t="n"/>
      <c r="BM657" s="1491" t="n"/>
      <c r="BN657" s="1491" t="n"/>
      <c r="BO657" s="1491" t="n"/>
      <c r="BP657" s="1491" t="n"/>
      <c r="BQ657" s="1491" t="n"/>
      <c r="BR657" s="1491" t="n"/>
      <c r="BS657" s="1491" t="n"/>
      <c r="BT657" s="1491" t="n"/>
      <c r="BU657" s="1491" t="n"/>
      <c r="BV657" s="1491" t="n"/>
      <c r="BW657" s="1491" t="n"/>
      <c r="BX657" s="1491" t="n"/>
      <c r="BY657" s="1491" t="n"/>
      <c r="BZ657" s="1491" t="n"/>
      <c r="CA657" s="1491" t="n"/>
      <c r="CB657" s="1491" t="n"/>
      <c r="CC657" s="1491" t="n"/>
      <c r="CD657" s="1491" t="n"/>
      <c r="CE657" s="1491" t="n"/>
      <c r="CF657" s="1491" t="n"/>
      <c r="CG657" s="1491" t="n"/>
      <c r="CH657" s="1491" t="n"/>
      <c r="CI657" s="1491" t="n"/>
      <c r="CJ657" s="1491" t="n"/>
      <c r="CK657" s="1491" t="n"/>
      <c r="CL657" s="1491" t="n"/>
      <c r="CM657" s="1491" t="n"/>
      <c r="CN657" s="1491" t="n"/>
      <c r="CO657" s="1491" t="n"/>
      <c r="CP657" s="1491" t="n"/>
      <c r="CQ657" s="1491" t="n"/>
      <c r="CR657" s="1491" t="n"/>
      <c r="CS657" s="1491" t="n"/>
      <c r="CT657" s="1491" t="n"/>
      <c r="CU657" s="1491" t="n"/>
      <c r="CV657" s="1491" t="n"/>
      <c r="CW657" s="1491" t="n"/>
      <c r="CX657" s="1491" t="n"/>
    </row>
    <row r="658">
      <c r="A658" s="1491" t="n"/>
      <c r="B658" s="1491" t="n"/>
      <c r="C658" s="1491" t="n"/>
      <c r="D658" s="1491" t="n"/>
      <c r="E658" s="1491" t="n"/>
      <c r="F658" s="1491" t="n"/>
      <c r="G658" s="1491" t="n"/>
      <c r="H658" s="1491" t="n"/>
      <c r="I658" s="1491" t="n"/>
      <c r="J658" s="1491" t="n"/>
      <c r="K658" s="1491" t="n"/>
      <c r="L658" s="1491" t="n"/>
      <c r="M658" s="1491" t="n"/>
      <c r="N658" s="1491" t="n"/>
      <c r="O658" s="1491" t="n"/>
      <c r="P658" s="1491" t="n"/>
      <c r="Q658" s="1491" t="n"/>
      <c r="R658" s="1491" t="n"/>
      <c r="S658" s="1491" t="n"/>
      <c r="T658" s="1491" t="n"/>
      <c r="U658" s="1491" t="n"/>
      <c r="V658" s="1491" t="n"/>
      <c r="W658" s="1491" t="n"/>
      <c r="X658" s="1491" t="n"/>
      <c r="Y658" s="1491" t="n"/>
      <c r="Z658" s="1491" t="n"/>
      <c r="AA658" s="1491" t="n"/>
      <c r="AB658" s="1491" t="n"/>
      <c r="AC658" s="1491" t="n"/>
      <c r="AD658" s="1491" t="n"/>
      <c r="AE658" s="1491" t="n"/>
      <c r="AF658" s="1491" t="n"/>
      <c r="AG658" s="1491" t="n"/>
      <c r="AH658" s="1491" t="n"/>
      <c r="AI658" s="1491" t="n"/>
      <c r="AJ658" s="1491" t="n"/>
      <c r="AK658" s="1491" t="n"/>
      <c r="AL658" s="1491" t="n"/>
      <c r="AM658" s="1491" t="n"/>
      <c r="AN658" s="1491" t="n"/>
      <c r="AO658" s="1491" t="n"/>
      <c r="AP658" s="1491" t="n"/>
      <c r="AQ658" s="1491" t="n"/>
      <c r="AR658" s="1491" t="n"/>
      <c r="AS658" s="1491" t="n"/>
      <c r="AT658" s="1491" t="n"/>
      <c r="AU658" s="1491" t="n"/>
      <c r="AV658" s="1491" t="n"/>
      <c r="AW658" s="1491" t="n"/>
      <c r="AX658" s="1491" t="n"/>
      <c r="AY658" s="1491" t="n"/>
      <c r="AZ658" s="1491" t="n"/>
      <c r="BA658" s="1491" t="n"/>
      <c r="BB658" s="1491" t="n"/>
      <c r="BC658" s="1491" t="n"/>
      <c r="BD658" s="1491" t="n"/>
      <c r="BE658" s="1491" t="n"/>
      <c r="BF658" s="1491" t="n"/>
      <c r="BG658" s="1491" t="n"/>
      <c r="BH658" s="1491" t="n"/>
      <c r="BI658" s="1491" t="n"/>
      <c r="BJ658" s="1491" t="n"/>
      <c r="BK658" s="1491" t="n"/>
      <c r="BL658" s="1491" t="n"/>
      <c r="BM658" s="1491" t="n"/>
      <c r="BN658" s="1491" t="n"/>
      <c r="BO658" s="1491" t="n"/>
      <c r="BP658" s="1491" t="n"/>
      <c r="BQ658" s="1491" t="n"/>
      <c r="BR658" s="1491" t="n"/>
      <c r="BS658" s="1491" t="n"/>
      <c r="BT658" s="1491" t="n"/>
      <c r="BU658" s="1491" t="n"/>
      <c r="BV658" s="1491" t="n"/>
      <c r="BW658" s="1491" t="n"/>
      <c r="BX658" s="1491" t="n"/>
      <c r="BY658" s="1491" t="n"/>
      <c r="BZ658" s="1491" t="n"/>
      <c r="CA658" s="1491" t="n"/>
      <c r="CB658" s="1491" t="n"/>
      <c r="CC658" s="1491" t="n"/>
      <c r="CD658" s="1491" t="n"/>
      <c r="CE658" s="1491" t="n"/>
      <c r="CF658" s="1491" t="n"/>
      <c r="CG658" s="1491" t="n"/>
      <c r="CH658" s="1491" t="n"/>
      <c r="CI658" s="1491" t="n"/>
      <c r="CJ658" s="1491" t="n"/>
      <c r="CK658" s="1491" t="n"/>
      <c r="CL658" s="1491" t="n"/>
      <c r="CM658" s="1491" t="n"/>
      <c r="CN658" s="1491" t="n"/>
      <c r="CO658" s="1491" t="n"/>
      <c r="CP658" s="1491" t="n"/>
      <c r="CQ658" s="1491" t="n"/>
      <c r="CR658" s="1491" t="n"/>
      <c r="CS658" s="1491" t="n"/>
      <c r="CT658" s="1491" t="n"/>
      <c r="CU658" s="1491" t="n"/>
      <c r="CV658" s="1491" t="n"/>
      <c r="CW658" s="1491" t="n"/>
      <c r="CX658" s="1491" t="n"/>
    </row>
    <row r="659">
      <c r="A659" s="1491" t="n"/>
      <c r="B659" s="1491" t="n"/>
      <c r="C659" s="1491" t="n"/>
      <c r="D659" s="1491" t="n"/>
      <c r="E659" s="1491" t="n"/>
      <c r="F659" s="1491" t="n"/>
      <c r="G659" s="1491" t="n"/>
      <c r="H659" s="1491" t="n"/>
      <c r="I659" s="1491" t="n"/>
      <c r="J659" s="1491" t="n"/>
      <c r="K659" s="1491" t="n"/>
      <c r="L659" s="1491" t="n"/>
      <c r="M659" s="1491" t="n"/>
      <c r="N659" s="1491" t="n"/>
      <c r="O659" s="1491" t="n"/>
      <c r="P659" s="1491" t="n"/>
      <c r="Q659" s="1491" t="n"/>
      <c r="R659" s="1491" t="n"/>
      <c r="S659" s="1491" t="n"/>
      <c r="T659" s="1491" t="n"/>
      <c r="U659" s="1491" t="n"/>
      <c r="V659" s="1491" t="n"/>
      <c r="W659" s="1491" t="n"/>
      <c r="X659" s="1491" t="n"/>
      <c r="Y659" s="1491" t="n"/>
      <c r="Z659" s="1491" t="n"/>
      <c r="AA659" s="1491" t="n"/>
      <c r="AB659" s="1491" t="n"/>
      <c r="AC659" s="1491" t="n"/>
      <c r="AD659" s="1491" t="n"/>
      <c r="AE659" s="1491" t="n"/>
      <c r="AF659" s="1491" t="n"/>
      <c r="AG659" s="1491" t="n"/>
      <c r="AH659" s="1491" t="n"/>
      <c r="AI659" s="1491" t="n"/>
      <c r="AJ659" s="1491" t="n"/>
      <c r="AK659" s="1491" t="n"/>
      <c r="AL659" s="1491" t="n"/>
      <c r="AM659" s="1491" t="n"/>
      <c r="AN659" s="1491" t="n"/>
      <c r="AO659" s="1491" t="n"/>
      <c r="AP659" s="1491" t="n"/>
      <c r="AQ659" s="1491" t="n"/>
      <c r="AR659" s="1491" t="n"/>
      <c r="AS659" s="1491" t="n"/>
      <c r="AT659" s="1491" t="n"/>
      <c r="AU659" s="1491" t="n"/>
      <c r="AV659" s="1491" t="n"/>
      <c r="AW659" s="1491" t="n"/>
      <c r="AX659" s="1491" t="n"/>
      <c r="AY659" s="1491" t="n"/>
      <c r="AZ659" s="1491" t="n"/>
      <c r="BA659" s="1491" t="n"/>
      <c r="BB659" s="1491" t="n"/>
      <c r="BC659" s="1491" t="n"/>
      <c r="BD659" s="1491" t="n"/>
      <c r="BE659" s="1491" t="n"/>
      <c r="BF659" s="1491" t="n"/>
      <c r="BG659" s="1491" t="n"/>
      <c r="BH659" s="1491" t="n"/>
      <c r="BI659" s="1491" t="n"/>
      <c r="BJ659" s="1491" t="n"/>
      <c r="BK659" s="1491" t="n"/>
      <c r="BL659" s="1491" t="n"/>
      <c r="BM659" s="1491" t="n"/>
      <c r="BN659" s="1491" t="n"/>
      <c r="BO659" s="1491" t="n"/>
      <c r="BP659" s="1491" t="n"/>
      <c r="BQ659" s="1491" t="n"/>
      <c r="BR659" s="1491" t="n"/>
      <c r="BS659" s="1491" t="n"/>
      <c r="BT659" s="1491" t="n"/>
      <c r="BU659" s="1491" t="n"/>
      <c r="BV659" s="1491" t="n"/>
      <c r="BW659" s="1491" t="n"/>
      <c r="BX659" s="1491" t="n"/>
      <c r="BY659" s="1491" t="n"/>
      <c r="BZ659" s="1491" t="n"/>
      <c r="CA659" s="1491" t="n"/>
      <c r="CB659" s="1491" t="n"/>
      <c r="CC659" s="1491" t="n"/>
      <c r="CD659" s="1491" t="n"/>
      <c r="CE659" s="1491" t="n"/>
      <c r="CF659" s="1491" t="n"/>
      <c r="CG659" s="1491" t="n"/>
      <c r="CH659" s="1491" t="n"/>
      <c r="CI659" s="1491" t="n"/>
      <c r="CJ659" s="1491" t="n"/>
      <c r="CK659" s="1491" t="n"/>
      <c r="CL659" s="1491" t="n"/>
      <c r="CM659" s="1491" t="n"/>
      <c r="CN659" s="1491" t="n"/>
      <c r="CO659" s="1491" t="n"/>
      <c r="CP659" s="1491" t="n"/>
      <c r="CQ659" s="1491" t="n"/>
      <c r="CR659" s="1491" t="n"/>
      <c r="CS659" s="1491" t="n"/>
      <c r="CT659" s="1491" t="n"/>
      <c r="CU659" s="1491" t="n"/>
      <c r="CV659" s="1491" t="n"/>
      <c r="CW659" s="1491" t="n"/>
      <c r="CX659" s="1491" t="n"/>
    </row>
    <row r="660">
      <c r="A660" s="1491" t="n"/>
      <c r="B660" s="1491" t="n"/>
      <c r="C660" s="1491" t="n"/>
      <c r="D660" s="1491" t="n"/>
      <c r="E660" s="1491" t="n"/>
      <c r="F660" s="1491" t="n"/>
      <c r="G660" s="1491" t="n"/>
      <c r="H660" s="1491" t="n"/>
      <c r="I660" s="1491" t="n"/>
      <c r="J660" s="1491" t="n"/>
      <c r="K660" s="1491" t="n"/>
      <c r="L660" s="1491" t="n"/>
      <c r="M660" s="1491" t="n"/>
      <c r="N660" s="1491" t="n"/>
      <c r="O660" s="1491" t="n"/>
      <c r="P660" s="1491" t="n"/>
      <c r="Q660" s="1491" t="n"/>
      <c r="R660" s="1491" t="n"/>
      <c r="S660" s="1491" t="n"/>
      <c r="T660" s="1491" t="n"/>
      <c r="U660" s="1491" t="n"/>
      <c r="V660" s="1491" t="n"/>
      <c r="W660" s="1491" t="n"/>
      <c r="X660" s="1491" t="n"/>
      <c r="Y660" s="1491" t="n"/>
      <c r="Z660" s="1491" t="n"/>
      <c r="AA660" s="1491" t="n"/>
      <c r="AB660" s="1491" t="n"/>
      <c r="AC660" s="1491" t="n"/>
      <c r="AD660" s="1491" t="n"/>
      <c r="AE660" s="1491" t="n"/>
      <c r="AF660" s="1491" t="n"/>
      <c r="AG660" s="1491" t="n"/>
      <c r="AH660" s="1491" t="n"/>
      <c r="AI660" s="1491" t="n"/>
      <c r="AJ660" s="1491" t="n"/>
      <c r="AK660" s="1491" t="n"/>
      <c r="AL660" s="1491" t="n"/>
      <c r="AM660" s="1491" t="n"/>
      <c r="AN660" s="1491" t="n"/>
      <c r="AO660" s="1491" t="n"/>
      <c r="AP660" s="1491" t="n"/>
      <c r="AQ660" s="1491" t="n"/>
      <c r="AR660" s="1491" t="n"/>
      <c r="AS660" s="1491" t="n"/>
      <c r="AT660" s="1491" t="n"/>
      <c r="AU660" s="1491" t="n"/>
      <c r="AV660" s="1491" t="n"/>
      <c r="AW660" s="1491" t="n"/>
      <c r="AX660" s="1491" t="n"/>
      <c r="AY660" s="1491" t="n"/>
      <c r="AZ660" s="1491" t="n"/>
      <c r="BA660" s="1491" t="n"/>
      <c r="BB660" s="1491" t="n"/>
      <c r="BC660" s="1491" t="n"/>
      <c r="BD660" s="1491" t="n"/>
      <c r="BE660" s="1491" t="n"/>
      <c r="BF660" s="1491" t="n"/>
      <c r="BG660" s="1491" t="n"/>
      <c r="BH660" s="1491" t="n"/>
      <c r="BI660" s="1491" t="n"/>
      <c r="BJ660" s="1491" t="n"/>
      <c r="BK660" s="1491" t="n"/>
      <c r="BL660" s="1491" t="n"/>
      <c r="BM660" s="1491" t="n"/>
      <c r="BN660" s="1491" t="n"/>
      <c r="BO660" s="1491" t="n"/>
      <c r="BP660" s="1491" t="n"/>
      <c r="BQ660" s="1491" t="n"/>
      <c r="BR660" s="1491" t="n"/>
      <c r="BS660" s="1491" t="n"/>
      <c r="BT660" s="1491" t="n"/>
      <c r="BU660" s="1491" t="n"/>
      <c r="BV660" s="1491" t="n"/>
      <c r="BW660" s="1491" t="n"/>
      <c r="BX660" s="1491" t="n"/>
      <c r="BY660" s="1491" t="n"/>
      <c r="BZ660" s="1491" t="n"/>
      <c r="CA660" s="1491" t="n"/>
      <c r="CB660" s="1491" t="n"/>
      <c r="CC660" s="1491" t="n"/>
      <c r="CD660" s="1491" t="n"/>
      <c r="CE660" s="1491" t="n"/>
      <c r="CF660" s="1491" t="n"/>
      <c r="CG660" s="1491" t="n"/>
      <c r="CH660" s="1491" t="n"/>
      <c r="CI660" s="1491" t="n"/>
      <c r="CJ660" s="1491" t="n"/>
      <c r="CK660" s="1491" t="n"/>
      <c r="CL660" s="1491" t="n"/>
      <c r="CM660" s="1491" t="n"/>
      <c r="CN660" s="1491" t="n"/>
      <c r="CO660" s="1491" t="n"/>
      <c r="CP660" s="1491" t="n"/>
      <c r="CQ660" s="1491" t="n"/>
      <c r="CR660" s="1491" t="n"/>
      <c r="CS660" s="1491" t="n"/>
      <c r="CT660" s="1491" t="n"/>
      <c r="CU660" s="1491" t="n"/>
      <c r="CV660" s="1491" t="n"/>
      <c r="CW660" s="1491" t="n"/>
      <c r="CX660" s="1491" t="n"/>
    </row>
    <row r="661">
      <c r="A661" s="1491" t="n"/>
      <c r="B661" s="1491" t="n"/>
      <c r="C661" s="1491" t="n"/>
      <c r="D661" s="1491" t="n"/>
      <c r="E661" s="1491" t="n"/>
      <c r="F661" s="1491" t="n"/>
      <c r="G661" s="1491" t="n"/>
      <c r="H661" s="1491" t="n"/>
      <c r="I661" s="1491" t="n"/>
      <c r="J661" s="1491" t="n"/>
      <c r="K661" s="1491" t="n"/>
      <c r="L661" s="1491" t="n"/>
      <c r="M661" s="1491" t="n"/>
      <c r="N661" s="1491" t="n"/>
      <c r="O661" s="1491" t="n"/>
      <c r="P661" s="1491" t="n"/>
      <c r="Q661" s="1491" t="n"/>
      <c r="R661" s="1491" t="n"/>
      <c r="S661" s="1491" t="n"/>
      <c r="T661" s="1491" t="n"/>
      <c r="U661" s="1491" t="n"/>
      <c r="V661" s="1491" t="n"/>
      <c r="W661" s="1491" t="n"/>
      <c r="X661" s="1491" t="n"/>
      <c r="Y661" s="1491" t="n"/>
      <c r="Z661" s="1491" t="n"/>
      <c r="AA661" s="1491" t="n"/>
      <c r="AB661" s="1491" t="n"/>
      <c r="AC661" s="1491" t="n"/>
      <c r="AD661" s="1491" t="n"/>
      <c r="AE661" s="1491" t="n"/>
      <c r="AF661" s="1491" t="n"/>
      <c r="AG661" s="1491" t="n"/>
      <c r="AH661" s="1491" t="n"/>
      <c r="AI661" s="1491" t="n"/>
      <c r="AJ661" s="1491" t="n"/>
      <c r="AK661" s="1491" t="n"/>
      <c r="AL661" s="1491" t="n"/>
      <c r="AM661" s="1491" t="n"/>
      <c r="AN661" s="1491" t="n"/>
      <c r="AO661" s="1491" t="n"/>
      <c r="AP661" s="1491" t="n"/>
      <c r="AQ661" s="1491" t="n"/>
      <c r="AR661" s="1491" t="n"/>
      <c r="AS661" s="1491" t="n"/>
      <c r="AT661" s="1491" t="n"/>
      <c r="AU661" s="1491" t="n"/>
      <c r="AV661" s="1491" t="n"/>
      <c r="AW661" s="1491" t="n"/>
      <c r="AX661" s="1491" t="n"/>
      <c r="AY661" s="1491" t="n"/>
      <c r="AZ661" s="1491" t="n"/>
      <c r="BA661" s="1491" t="n"/>
      <c r="BB661" s="1491" t="n"/>
      <c r="BC661" s="1491" t="n"/>
      <c r="BD661" s="1491" t="n"/>
      <c r="BE661" s="1491" t="n"/>
      <c r="BF661" s="1491" t="n"/>
      <c r="BG661" s="1491" t="n"/>
      <c r="BH661" s="1491" t="n"/>
      <c r="BI661" s="1491" t="n"/>
      <c r="BJ661" s="1491" t="n"/>
      <c r="BK661" s="1491" t="n"/>
      <c r="BL661" s="1491" t="n"/>
      <c r="BM661" s="1491" t="n"/>
      <c r="BN661" s="1491" t="n"/>
      <c r="BO661" s="1491" t="n"/>
      <c r="BP661" s="1491" t="n"/>
      <c r="BQ661" s="1491" t="n"/>
      <c r="BR661" s="1491" t="n"/>
      <c r="BS661" s="1491" t="n"/>
      <c r="BT661" s="1491" t="n"/>
      <c r="BU661" s="1491" t="n"/>
      <c r="BV661" s="1491" t="n"/>
      <c r="BW661" s="1491" t="n"/>
      <c r="BX661" s="1491" t="n"/>
      <c r="BY661" s="1491" t="n"/>
      <c r="BZ661" s="1491" t="n"/>
      <c r="CA661" s="1491" t="n"/>
      <c r="CB661" s="1491" t="n"/>
      <c r="CC661" s="1491" t="n"/>
      <c r="CD661" s="1491" t="n"/>
      <c r="CE661" s="1491" t="n"/>
      <c r="CF661" s="1491" t="n"/>
      <c r="CG661" s="1491" t="n"/>
      <c r="CH661" s="1491" t="n"/>
      <c r="CI661" s="1491" t="n"/>
      <c r="CJ661" s="1491" t="n"/>
      <c r="CK661" s="1491" t="n"/>
      <c r="CL661" s="1491" t="n"/>
      <c r="CM661" s="1491" t="n"/>
      <c r="CN661" s="1491" t="n"/>
      <c r="CO661" s="1491" t="n"/>
      <c r="CP661" s="1491" t="n"/>
      <c r="CQ661" s="1491" t="n"/>
      <c r="CR661" s="1491" t="n"/>
      <c r="CS661" s="1491" t="n"/>
      <c r="CT661" s="1491" t="n"/>
      <c r="CU661" s="1491" t="n"/>
      <c r="CV661" s="1491" t="n"/>
      <c r="CW661" s="1491" t="n"/>
      <c r="CX661" s="1491" t="n"/>
    </row>
    <row r="662">
      <c r="A662" s="1491" t="n"/>
      <c r="B662" s="1491" t="n"/>
      <c r="C662" s="1491" t="n"/>
      <c r="D662" s="1491" t="n"/>
      <c r="E662" s="1491" t="n"/>
      <c r="F662" s="1491" t="n"/>
      <c r="G662" s="1491" t="n"/>
      <c r="H662" s="1491" t="n"/>
      <c r="I662" s="1491" t="n"/>
      <c r="J662" s="1491" t="n"/>
      <c r="K662" s="1491" t="n"/>
      <c r="L662" s="1491" t="n"/>
      <c r="M662" s="1491" t="n"/>
      <c r="N662" s="1491" t="n"/>
      <c r="O662" s="1491" t="n"/>
      <c r="P662" s="1491" t="n"/>
      <c r="Q662" s="1491" t="n"/>
      <c r="R662" s="1491" t="n"/>
      <c r="S662" s="1491" t="n"/>
      <c r="T662" s="1491" t="n"/>
      <c r="U662" s="1491" t="n"/>
      <c r="V662" s="1491" t="n"/>
      <c r="W662" s="1491" t="n"/>
      <c r="X662" s="1491" t="n"/>
      <c r="Y662" s="1491" t="n"/>
      <c r="Z662" s="1491" t="n"/>
      <c r="AA662" s="1491" t="n"/>
      <c r="AB662" s="1491" t="n"/>
      <c r="AC662" s="1491" t="n"/>
      <c r="AD662" s="1491" t="n"/>
      <c r="AE662" s="1491" t="n"/>
      <c r="AF662" s="1491" t="n"/>
      <c r="AG662" s="1491" t="n"/>
      <c r="AH662" s="1491" t="n"/>
      <c r="AI662" s="1491" t="n"/>
      <c r="AJ662" s="1491" t="n"/>
      <c r="AK662" s="1491" t="n"/>
      <c r="AL662" s="1491" t="n"/>
      <c r="AM662" s="1491" t="n"/>
      <c r="AN662" s="1491" t="n"/>
      <c r="AO662" s="1491" t="n"/>
      <c r="AP662" s="1491" t="n"/>
      <c r="AQ662" s="1491" t="n"/>
      <c r="AR662" s="1491" t="n"/>
      <c r="AS662" s="1491" t="n"/>
      <c r="AT662" s="1491" t="n"/>
      <c r="AU662" s="1491" t="n"/>
      <c r="AV662" s="1491" t="n"/>
      <c r="AW662" s="1491" t="n"/>
      <c r="AX662" s="1491" t="n"/>
      <c r="AY662" s="1491" t="n"/>
      <c r="AZ662" s="1491" t="n"/>
      <c r="BA662" s="1491" t="n"/>
      <c r="BB662" s="1491" t="n"/>
      <c r="BC662" s="1491" t="n"/>
      <c r="BD662" s="1491" t="n"/>
      <c r="BE662" s="1491" t="n"/>
      <c r="BF662" s="1491" t="n"/>
      <c r="BG662" s="1491" t="n"/>
      <c r="BH662" s="1491" t="n"/>
      <c r="BI662" s="1491" t="n"/>
      <c r="BJ662" s="1491" t="n"/>
      <c r="BK662" s="1491" t="n"/>
      <c r="BL662" s="1491" t="n"/>
      <c r="BM662" s="1491" t="n"/>
      <c r="BN662" s="1491" t="n"/>
      <c r="BO662" s="1491" t="n"/>
      <c r="BP662" s="1491" t="n"/>
      <c r="BQ662" s="1491" t="n"/>
      <c r="BR662" s="1491" t="n"/>
      <c r="BS662" s="1491" t="n"/>
      <c r="BT662" s="1491" t="n"/>
      <c r="BU662" s="1491" t="n"/>
      <c r="BV662" s="1491" t="n"/>
      <c r="BW662" s="1491" t="n"/>
      <c r="BX662" s="1491" t="n"/>
      <c r="BY662" s="1491" t="n"/>
      <c r="BZ662" s="1491" t="n"/>
      <c r="CA662" s="1491" t="n"/>
      <c r="CB662" s="1491" t="n"/>
      <c r="CC662" s="1491" t="n"/>
      <c r="CD662" s="1491" t="n"/>
      <c r="CE662" s="1491" t="n"/>
      <c r="CF662" s="1491" t="n"/>
      <c r="CG662" s="1491" t="n"/>
      <c r="CH662" s="1491" t="n"/>
      <c r="CI662" s="1491" t="n"/>
      <c r="CJ662" s="1491" t="n"/>
      <c r="CK662" s="1491" t="n"/>
      <c r="CL662" s="1491" t="n"/>
      <c r="CM662" s="1491" t="n"/>
      <c r="CN662" s="1491" t="n"/>
      <c r="CO662" s="1491" t="n"/>
      <c r="CP662" s="1491" t="n"/>
      <c r="CQ662" s="1491" t="n"/>
      <c r="CR662" s="1491" t="n"/>
      <c r="CS662" s="1491" t="n"/>
      <c r="CT662" s="1491" t="n"/>
      <c r="CU662" s="1491" t="n"/>
      <c r="CV662" s="1491" t="n"/>
      <c r="CW662" s="1491" t="n"/>
      <c r="CX662" s="1491" t="n"/>
    </row>
    <row r="663">
      <c r="A663" s="1491" t="n"/>
      <c r="B663" s="1491" t="n"/>
      <c r="C663" s="1491" t="n"/>
      <c r="D663" s="1491" t="n"/>
      <c r="E663" s="1491" t="n"/>
      <c r="F663" s="1491" t="n"/>
      <c r="G663" s="1491" t="n"/>
      <c r="H663" s="1491" t="n"/>
      <c r="I663" s="1491" t="n"/>
      <c r="J663" s="1491" t="n"/>
      <c r="K663" s="1491" t="n"/>
      <c r="L663" s="1491" t="n"/>
      <c r="M663" s="1491" t="n"/>
      <c r="N663" s="1491" t="n"/>
      <c r="O663" s="1491" t="n"/>
      <c r="P663" s="1491" t="n"/>
      <c r="Q663" s="1491" t="n"/>
      <c r="R663" s="1491" t="n"/>
      <c r="S663" s="1491" t="n"/>
      <c r="T663" s="1491" t="n"/>
      <c r="U663" s="1491" t="n"/>
      <c r="V663" s="1491" t="n"/>
      <c r="W663" s="1491" t="n"/>
      <c r="X663" s="1491" t="n"/>
      <c r="Y663" s="1491" t="n"/>
      <c r="Z663" s="1491" t="n"/>
      <c r="AA663" s="1491" t="n"/>
      <c r="AB663" s="1491" t="n"/>
      <c r="AC663" s="1491" t="n"/>
      <c r="AD663" s="1491" t="n"/>
      <c r="AE663" s="1491" t="n"/>
      <c r="AF663" s="1491" t="n"/>
      <c r="AG663" s="1491" t="n"/>
      <c r="AH663" s="1491" t="n"/>
      <c r="AI663" s="1491" t="n"/>
      <c r="AJ663" s="1491" t="n"/>
      <c r="AK663" s="1491" t="n"/>
      <c r="AL663" s="1491" t="n"/>
      <c r="AM663" s="1491" t="n"/>
      <c r="AN663" s="1491" t="n"/>
      <c r="AO663" s="1491" t="n"/>
      <c r="AP663" s="1491" t="n"/>
      <c r="AQ663" s="1491" t="n"/>
      <c r="AR663" s="1491" t="n"/>
      <c r="AS663" s="1491" t="n"/>
      <c r="AT663" s="1491" t="n"/>
      <c r="AU663" s="1491" t="n"/>
      <c r="AV663" s="1491" t="n"/>
      <c r="AW663" s="1491" t="n"/>
      <c r="AX663" s="1491" t="n"/>
      <c r="AY663" s="1491" t="n"/>
      <c r="AZ663" s="1491" t="n"/>
      <c r="BA663" s="1491" t="n"/>
      <c r="BB663" s="1491" t="n"/>
      <c r="BC663" s="1491" t="n"/>
      <c r="BD663" s="1491" t="n"/>
      <c r="BE663" s="1491" t="n"/>
      <c r="BF663" s="1491" t="n"/>
      <c r="BG663" s="1491" t="n"/>
      <c r="BH663" s="1491" t="n"/>
      <c r="BI663" s="1491" t="n"/>
      <c r="BJ663" s="1491" t="n"/>
      <c r="BK663" s="1491" t="n"/>
      <c r="BL663" s="1491" t="n"/>
      <c r="BM663" s="1491" t="n"/>
      <c r="BN663" s="1491" t="n"/>
      <c r="BO663" s="1491" t="n"/>
      <c r="BP663" s="1491" t="n"/>
      <c r="BQ663" s="1491" t="n"/>
      <c r="BR663" s="1491" t="n"/>
      <c r="BS663" s="1491" t="n"/>
      <c r="BT663" s="1491" t="n"/>
      <c r="BU663" s="1491" t="n"/>
      <c r="BV663" s="1491" t="n"/>
      <c r="BW663" s="1491" t="n"/>
      <c r="BX663" s="1491" t="n"/>
      <c r="BY663" s="1491" t="n"/>
      <c r="BZ663" s="1491" t="n"/>
      <c r="CA663" s="1491" t="n"/>
      <c r="CB663" s="1491" t="n"/>
      <c r="CC663" s="1491" t="n"/>
      <c r="CD663" s="1491" t="n"/>
      <c r="CE663" s="1491" t="n"/>
      <c r="CF663" s="1491" t="n"/>
      <c r="CG663" s="1491" t="n"/>
      <c r="CH663" s="1491" t="n"/>
      <c r="CI663" s="1491" t="n"/>
      <c r="CJ663" s="1491" t="n"/>
      <c r="CK663" s="1491" t="n"/>
      <c r="CL663" s="1491" t="n"/>
      <c r="CM663" s="1491" t="n"/>
      <c r="CN663" s="1491" t="n"/>
      <c r="CO663" s="1491" t="n"/>
      <c r="CP663" s="1491" t="n"/>
      <c r="CQ663" s="1491" t="n"/>
      <c r="CR663" s="1491" t="n"/>
      <c r="CS663" s="1491" t="n"/>
      <c r="CT663" s="1491" t="n"/>
      <c r="CU663" s="1491" t="n"/>
      <c r="CV663" s="1491" t="n"/>
      <c r="CW663" s="1491" t="n"/>
      <c r="CX663" s="1491" t="n"/>
    </row>
    <row r="664">
      <c r="A664" s="1491" t="n"/>
      <c r="B664" s="1491" t="n"/>
      <c r="C664" s="1491" t="n"/>
      <c r="D664" s="1491" t="n"/>
      <c r="E664" s="1491" t="n"/>
      <c r="F664" s="1491" t="n"/>
      <c r="G664" s="1491" t="n"/>
      <c r="H664" s="1491" t="n"/>
      <c r="I664" s="1491" t="n"/>
      <c r="J664" s="1491" t="n"/>
      <c r="K664" s="1491" t="n"/>
      <c r="L664" s="1491" t="n"/>
      <c r="M664" s="1491" t="n"/>
      <c r="N664" s="1491" t="n"/>
      <c r="O664" s="1491" t="n"/>
      <c r="P664" s="1491" t="n"/>
      <c r="Q664" s="1491" t="n"/>
      <c r="R664" s="1491" t="n"/>
      <c r="S664" s="1491" t="n"/>
      <c r="T664" s="1491" t="n"/>
      <c r="U664" s="1491" t="n"/>
      <c r="V664" s="1491" t="n"/>
      <c r="W664" s="1491" t="n"/>
      <c r="X664" s="1491" t="n"/>
      <c r="Y664" s="1491" t="n"/>
      <c r="Z664" s="1491" t="n"/>
      <c r="AA664" s="1491" t="n"/>
      <c r="AB664" s="1491" t="n"/>
      <c r="AC664" s="1491" t="n"/>
      <c r="AD664" s="1491" t="n"/>
      <c r="AE664" s="1491" t="n"/>
      <c r="AF664" s="1491" t="n"/>
      <c r="AG664" s="1491" t="n"/>
      <c r="AH664" s="1491" t="n"/>
      <c r="AI664" s="1491" t="n"/>
      <c r="AJ664" s="1491" t="n"/>
      <c r="AK664" s="1491" t="n"/>
      <c r="AL664" s="1491" t="n"/>
      <c r="AM664" s="1491" t="n"/>
      <c r="AN664" s="1491" t="n"/>
      <c r="AO664" s="1491" t="n"/>
      <c r="AP664" s="1491" t="n"/>
      <c r="AQ664" s="1491" t="n"/>
      <c r="AR664" s="1491" t="n"/>
      <c r="AS664" s="1491" t="n"/>
      <c r="AT664" s="1491" t="n"/>
      <c r="AU664" s="1491" t="n"/>
      <c r="AV664" s="1491" t="n"/>
      <c r="AW664" s="1491" t="n"/>
      <c r="AX664" s="1491" t="n"/>
      <c r="AY664" s="1491" t="n"/>
      <c r="AZ664" s="1491" t="n"/>
      <c r="BA664" s="1491" t="n"/>
      <c r="BB664" s="1491" t="n"/>
      <c r="BC664" s="1491" t="n"/>
      <c r="BD664" s="1491" t="n"/>
      <c r="BE664" s="1491" t="n"/>
      <c r="BF664" s="1491" t="n"/>
      <c r="BG664" s="1491" t="n"/>
      <c r="BH664" s="1491" t="n"/>
      <c r="BI664" s="1491" t="n"/>
      <c r="BJ664" s="1491" t="n"/>
      <c r="BK664" s="1491" t="n"/>
      <c r="BL664" s="1491" t="n"/>
      <c r="BM664" s="1491" t="n"/>
      <c r="BN664" s="1491" t="n"/>
      <c r="BO664" s="1491" t="n"/>
      <c r="BP664" s="1491" t="n"/>
      <c r="BQ664" s="1491" t="n"/>
      <c r="BR664" s="1491" t="n"/>
      <c r="BS664" s="1491" t="n"/>
      <c r="BT664" s="1491" t="n"/>
      <c r="BU664" s="1491" t="n"/>
      <c r="BV664" s="1491" t="n"/>
      <c r="BW664" s="1491" t="n"/>
      <c r="BX664" s="1491" t="n"/>
      <c r="BY664" s="1491" t="n"/>
      <c r="BZ664" s="1491" t="n"/>
      <c r="CA664" s="1491" t="n"/>
      <c r="CB664" s="1491" t="n"/>
      <c r="CC664" s="1491" t="n"/>
      <c r="CD664" s="1491" t="n"/>
      <c r="CE664" s="1491" t="n"/>
      <c r="CF664" s="1491" t="n"/>
      <c r="CG664" s="1491" t="n"/>
      <c r="CH664" s="1491" t="n"/>
      <c r="CI664" s="1491" t="n"/>
      <c r="CJ664" s="1491" t="n"/>
      <c r="CK664" s="1491" t="n"/>
      <c r="CL664" s="1491" t="n"/>
      <c r="CM664" s="1491" t="n"/>
      <c r="CN664" s="1491" t="n"/>
      <c r="CO664" s="1491" t="n"/>
      <c r="CP664" s="1491" t="n"/>
      <c r="CQ664" s="1491" t="n"/>
      <c r="CR664" s="1491" t="n"/>
      <c r="CS664" s="1491" t="n"/>
      <c r="CT664" s="1491" t="n"/>
      <c r="CU664" s="1491" t="n"/>
      <c r="CV664" s="1491" t="n"/>
      <c r="CW664" s="1491" t="n"/>
      <c r="CX664" s="1491" t="n"/>
    </row>
    <row r="665">
      <c r="A665" s="1491" t="n"/>
      <c r="B665" s="1491" t="n"/>
      <c r="C665" s="1491" t="n"/>
      <c r="D665" s="1491" t="n"/>
      <c r="E665" s="1491" t="n"/>
      <c r="F665" s="1491" t="n"/>
      <c r="G665" s="1491" t="n"/>
      <c r="H665" s="1491" t="n"/>
      <c r="I665" s="1491" t="n"/>
      <c r="J665" s="1491" t="n"/>
      <c r="K665" s="1491" t="n"/>
      <c r="L665" s="1491" t="n"/>
      <c r="M665" s="1491" t="n"/>
      <c r="N665" s="1491" t="n"/>
      <c r="O665" s="1491" t="n"/>
      <c r="P665" s="1491" t="n"/>
      <c r="Q665" s="1491" t="n"/>
      <c r="R665" s="1491" t="n"/>
      <c r="S665" s="1491" t="n"/>
      <c r="T665" s="1491" t="n"/>
      <c r="U665" s="1491" t="n"/>
      <c r="V665" s="1491" t="n"/>
      <c r="W665" s="1491" t="n"/>
      <c r="X665" s="1491" t="n"/>
      <c r="Y665" s="1491" t="n"/>
      <c r="Z665" s="1491" t="n"/>
      <c r="AA665" s="1491" t="n"/>
      <c r="AB665" s="1491" t="n"/>
      <c r="AC665" s="1491" t="n"/>
      <c r="AD665" s="1491" t="n"/>
      <c r="AE665" s="1491" t="n"/>
      <c r="AF665" s="1491" t="n"/>
      <c r="AG665" s="1491" t="n"/>
      <c r="AH665" s="1491" t="n"/>
      <c r="AI665" s="1491" t="n"/>
      <c r="AJ665" s="1491" t="n"/>
      <c r="AK665" s="1491" t="n"/>
      <c r="AL665" s="1491" t="n"/>
      <c r="AM665" s="1491" t="n"/>
      <c r="AN665" s="1491" t="n"/>
      <c r="AO665" s="1491" t="n"/>
      <c r="AP665" s="1491" t="n"/>
      <c r="AQ665" s="1491" t="n"/>
      <c r="AR665" s="1491" t="n"/>
      <c r="AS665" s="1491" t="n"/>
      <c r="AT665" s="1491" t="n"/>
      <c r="AU665" s="1491" t="n"/>
      <c r="AV665" s="1491" t="n"/>
      <c r="AW665" s="1491" t="n"/>
      <c r="AX665" s="1491" t="n"/>
      <c r="AY665" s="1491" t="n"/>
      <c r="AZ665" s="1491" t="n"/>
      <c r="BA665" s="1491" t="n"/>
      <c r="BB665" s="1491" t="n"/>
      <c r="BC665" s="1491" t="n"/>
      <c r="BD665" s="1491" t="n"/>
      <c r="BE665" s="1491" t="n"/>
      <c r="BF665" s="1491" t="n"/>
      <c r="BG665" s="1491" t="n"/>
      <c r="BH665" s="1491" t="n"/>
      <c r="BI665" s="1491" t="n"/>
      <c r="BJ665" s="1491" t="n"/>
      <c r="BK665" s="1491" t="n"/>
      <c r="BL665" s="1491" t="n"/>
      <c r="BM665" s="1491" t="n"/>
      <c r="BN665" s="1491" t="n"/>
      <c r="BO665" s="1491" t="n"/>
      <c r="BP665" s="1491" t="n"/>
      <c r="BQ665" s="1491" t="n"/>
      <c r="BR665" s="1491" t="n"/>
      <c r="BS665" s="1491" t="n"/>
      <c r="BT665" s="1491" t="n"/>
      <c r="BU665" s="1491" t="n"/>
      <c r="BV665" s="1491" t="n"/>
      <c r="BW665" s="1491" t="n"/>
      <c r="BX665" s="1491" t="n"/>
      <c r="BY665" s="1491" t="n"/>
      <c r="BZ665" s="1491" t="n"/>
      <c r="CA665" s="1491" t="n"/>
      <c r="CB665" s="1491" t="n"/>
      <c r="CC665" s="1491" t="n"/>
      <c r="CD665" s="1491" t="n"/>
      <c r="CE665" s="1491" t="n"/>
      <c r="CF665" s="1491" t="n"/>
      <c r="CG665" s="1491" t="n"/>
      <c r="CH665" s="1491" t="n"/>
      <c r="CI665" s="1491" t="n"/>
      <c r="CJ665" s="1491" t="n"/>
      <c r="CK665" s="1491" t="n"/>
      <c r="CL665" s="1491" t="n"/>
      <c r="CM665" s="1491" t="n"/>
      <c r="CN665" s="1491" t="n"/>
      <c r="CO665" s="1491" t="n"/>
      <c r="CP665" s="1491" t="n"/>
      <c r="CQ665" s="1491" t="n"/>
      <c r="CR665" s="1491" t="n"/>
      <c r="CS665" s="1491" t="n"/>
      <c r="CT665" s="1491" t="n"/>
      <c r="CU665" s="1491" t="n"/>
      <c r="CV665" s="1491" t="n"/>
      <c r="CW665" s="1491" t="n"/>
      <c r="CX665" s="1491" t="n"/>
    </row>
    <row r="666">
      <c r="A666" s="1491" t="n"/>
      <c r="B666" s="1491" t="n"/>
      <c r="C666" s="1491" t="n"/>
      <c r="D666" s="1491" t="n"/>
      <c r="E666" s="1491" t="n"/>
      <c r="F666" s="1491" t="n"/>
      <c r="G666" s="1491" t="n"/>
      <c r="H666" s="1491" t="n"/>
      <c r="I666" s="1491" t="n"/>
      <c r="J666" s="1491" t="n"/>
      <c r="K666" s="1491" t="n"/>
      <c r="L666" s="1491" t="n"/>
      <c r="M666" s="1491" t="n"/>
      <c r="N666" s="1491" t="n"/>
      <c r="O666" s="1491" t="n"/>
      <c r="P666" s="1491" t="n"/>
      <c r="Q666" s="1491" t="n"/>
      <c r="R666" s="1491" t="n"/>
      <c r="S666" s="1491" t="n"/>
      <c r="T666" s="1491" t="n"/>
      <c r="U666" s="1491" t="n"/>
      <c r="V666" s="1491" t="n"/>
      <c r="W666" s="1491" t="n"/>
      <c r="X666" s="1491" t="n"/>
      <c r="Y666" s="1491" t="n"/>
      <c r="Z666" s="1491" t="n"/>
      <c r="AA666" s="1491" t="n"/>
      <c r="AB666" s="1491" t="n"/>
      <c r="AC666" s="1491" t="n"/>
      <c r="AD666" s="1491" t="n"/>
      <c r="AE666" s="1491" t="n"/>
      <c r="AF666" s="1491" t="n"/>
      <c r="AG666" s="1491" t="n"/>
      <c r="AH666" s="1491" t="n"/>
      <c r="AI666" s="1491" t="n"/>
      <c r="AJ666" s="1491" t="n"/>
      <c r="AK666" s="1491" t="n"/>
      <c r="AL666" s="1491" t="n"/>
      <c r="AM666" s="1491" t="n"/>
      <c r="AN666" s="1491" t="n"/>
      <c r="AO666" s="1491" t="n"/>
      <c r="AP666" s="1491" t="n"/>
      <c r="AQ666" s="1491" t="n"/>
      <c r="AR666" s="1491" t="n"/>
      <c r="AS666" s="1491" t="n"/>
      <c r="AT666" s="1491" t="n"/>
      <c r="AU666" s="1491" t="n"/>
      <c r="AV666" s="1491" t="n"/>
      <c r="AW666" s="1491" t="n"/>
      <c r="AX666" s="1491" t="n"/>
      <c r="AY666" s="1491" t="n"/>
      <c r="AZ666" s="1491" t="n"/>
      <c r="BA666" s="1491" t="n"/>
      <c r="BB666" s="1491" t="n"/>
      <c r="BC666" s="1491" t="n"/>
      <c r="BD666" s="1491" t="n"/>
      <c r="BE666" s="1491" t="n"/>
      <c r="BF666" s="1491" t="n"/>
      <c r="BG666" s="1491" t="n"/>
      <c r="BH666" s="1491" t="n"/>
      <c r="BI666" s="1491" t="n"/>
      <c r="BJ666" s="1491" t="n"/>
      <c r="BK666" s="1491" t="n"/>
      <c r="BL666" s="1491" t="n"/>
      <c r="BM666" s="1491" t="n"/>
      <c r="BN666" s="1491" t="n"/>
      <c r="BO666" s="1491" t="n"/>
      <c r="BP666" s="1491" t="n"/>
      <c r="BQ666" s="1491" t="n"/>
      <c r="BR666" s="1491" t="n"/>
      <c r="BS666" s="1491" t="n"/>
      <c r="BT666" s="1491" t="n"/>
      <c r="BU666" s="1491" t="n"/>
      <c r="BV666" s="1491" t="n"/>
      <c r="BW666" s="1491" t="n"/>
      <c r="BX666" s="1491" t="n"/>
      <c r="BY666" s="1491" t="n"/>
      <c r="BZ666" s="1491" t="n"/>
      <c r="CA666" s="1491" t="n"/>
      <c r="CB666" s="1491" t="n"/>
      <c r="CC666" s="1491" t="n"/>
      <c r="CD666" s="1491" t="n"/>
      <c r="CE666" s="1491" t="n"/>
      <c r="CF666" s="1491" t="n"/>
      <c r="CG666" s="1491" t="n"/>
      <c r="CH666" s="1491" t="n"/>
      <c r="CI666" s="1491" t="n"/>
      <c r="CJ666" s="1491" t="n"/>
      <c r="CK666" s="1491" t="n"/>
      <c r="CL666" s="1491" t="n"/>
      <c r="CM666" s="1491" t="n"/>
      <c r="CN666" s="1491" t="n"/>
      <c r="CO666" s="1491" t="n"/>
      <c r="CP666" s="1491" t="n"/>
      <c r="CQ666" s="1491" t="n"/>
      <c r="CR666" s="1491" t="n"/>
      <c r="CS666" s="1491" t="n"/>
      <c r="CT666" s="1491" t="n"/>
      <c r="CU666" s="1491" t="n"/>
      <c r="CV666" s="1491" t="n"/>
      <c r="CW666" s="1491" t="n"/>
      <c r="CX666" s="1491" t="n"/>
    </row>
    <row r="667">
      <c r="A667" s="1491" t="n"/>
      <c r="B667" s="1491" t="n"/>
      <c r="C667" s="1491" t="n"/>
      <c r="D667" s="1491" t="n"/>
      <c r="E667" s="1491" t="n"/>
      <c r="F667" s="1491" t="n"/>
      <c r="G667" s="1491" t="n"/>
      <c r="H667" s="1491" t="n"/>
      <c r="I667" s="1491" t="n"/>
      <c r="J667" s="1491" t="n"/>
      <c r="K667" s="1491" t="n"/>
      <c r="L667" s="1491" t="n"/>
      <c r="M667" s="1491" t="n"/>
      <c r="N667" s="1491" t="n"/>
      <c r="O667" s="1491" t="n"/>
      <c r="P667" s="1491" t="n"/>
      <c r="Q667" s="1491" t="n"/>
      <c r="R667" s="1491" t="n"/>
      <c r="S667" s="1491" t="n"/>
      <c r="T667" s="1491" t="n"/>
      <c r="U667" s="1491" t="n"/>
      <c r="V667" s="1491" t="n"/>
      <c r="W667" s="1491" t="n"/>
      <c r="X667" s="1491" t="n"/>
      <c r="Y667" s="1491" t="n"/>
      <c r="Z667" s="1491" t="n"/>
      <c r="AA667" s="1491" t="n"/>
      <c r="AB667" s="1491" t="n"/>
      <c r="AC667" s="1491" t="n"/>
      <c r="AD667" s="1491" t="n"/>
      <c r="AE667" s="1491" t="n"/>
      <c r="AF667" s="1491" t="n"/>
      <c r="AG667" s="1491" t="n"/>
      <c r="AH667" s="1491" t="n"/>
      <c r="AI667" s="1491" t="n"/>
      <c r="AJ667" s="1491" t="n"/>
      <c r="AK667" s="1491" t="n"/>
      <c r="AL667" s="1491" t="n"/>
      <c r="AM667" s="1491" t="n"/>
      <c r="AN667" s="1491" t="n"/>
      <c r="AO667" s="1491" t="n"/>
      <c r="AP667" s="1491" t="n"/>
      <c r="AQ667" s="1491" t="n"/>
      <c r="AR667" s="1491" t="n"/>
      <c r="AS667" s="1491" t="n"/>
      <c r="AT667" s="1491" t="n"/>
      <c r="AU667" s="1491" t="n"/>
      <c r="AV667" s="1491" t="n"/>
      <c r="AW667" s="1491" t="n"/>
      <c r="AX667" s="1491" t="n"/>
      <c r="AY667" s="1491" t="n"/>
      <c r="AZ667" s="1491" t="n"/>
      <c r="BA667" s="1491" t="n"/>
      <c r="BB667" s="1491" t="n"/>
      <c r="BC667" s="1491" t="n"/>
      <c r="BD667" s="1491" t="n"/>
      <c r="BE667" s="1491" t="n"/>
      <c r="BF667" s="1491" t="n"/>
      <c r="BG667" s="1491" t="n"/>
      <c r="BH667" s="1491" t="n"/>
      <c r="BI667" s="1491" t="n"/>
      <c r="BJ667" s="1491" t="n"/>
      <c r="BK667" s="1491" t="n"/>
      <c r="BL667" s="1491" t="n"/>
      <c r="BM667" s="1491" t="n"/>
      <c r="BN667" s="1491" t="n"/>
      <c r="BO667" s="1491" t="n"/>
      <c r="BP667" s="1491" t="n"/>
      <c r="BQ667" s="1491" t="n"/>
      <c r="BR667" s="1491" t="n"/>
      <c r="BS667" s="1491" t="n"/>
      <c r="BT667" s="1491" t="n"/>
      <c r="BU667" s="1491" t="n"/>
      <c r="BV667" s="1491" t="n"/>
      <c r="BW667" s="1491" t="n"/>
      <c r="BX667" s="1491" t="n"/>
      <c r="BY667" s="1491" t="n"/>
      <c r="BZ667" s="1491" t="n"/>
      <c r="CA667" s="1491" t="n"/>
      <c r="CB667" s="1491" t="n"/>
      <c r="CC667" s="1491" t="n"/>
      <c r="CD667" s="1491" t="n"/>
      <c r="CE667" s="1491" t="n"/>
      <c r="CF667" s="1491" t="n"/>
      <c r="CG667" s="1491" t="n"/>
      <c r="CH667" s="1491" t="n"/>
      <c r="CI667" s="1491" t="n"/>
      <c r="CJ667" s="1491" t="n"/>
      <c r="CK667" s="1491" t="n"/>
      <c r="CL667" s="1491" t="n"/>
      <c r="CM667" s="1491" t="n"/>
      <c r="CN667" s="1491" t="n"/>
      <c r="CO667" s="1491" t="n"/>
      <c r="CP667" s="1491" t="n"/>
      <c r="CQ667" s="1491" t="n"/>
      <c r="CR667" s="1491" t="n"/>
      <c r="CS667" s="1491" t="n"/>
      <c r="CT667" s="1491" t="n"/>
      <c r="CU667" s="1491" t="n"/>
      <c r="CV667" s="1491" t="n"/>
      <c r="CW667" s="1491" t="n"/>
      <c r="CX667" s="1491" t="n"/>
    </row>
    <row r="668">
      <c r="A668" s="1491" t="n"/>
      <c r="B668" s="1491" t="n"/>
      <c r="C668" s="1491" t="n"/>
      <c r="D668" s="1491" t="n"/>
      <c r="E668" s="1491" t="n"/>
      <c r="F668" s="1491" t="n"/>
      <c r="G668" s="1491" t="n"/>
      <c r="H668" s="1491" t="n"/>
      <c r="I668" s="1491" t="n"/>
      <c r="J668" s="1491" t="n"/>
      <c r="K668" s="1491" t="n"/>
      <c r="L668" s="1491" t="n"/>
      <c r="M668" s="1491" t="n"/>
      <c r="N668" s="1491" t="n"/>
      <c r="O668" s="1491" t="n"/>
      <c r="P668" s="1491" t="n"/>
      <c r="Q668" s="1491" t="n"/>
      <c r="R668" s="1491" t="n"/>
      <c r="S668" s="1491" t="n"/>
      <c r="T668" s="1491" t="n"/>
      <c r="U668" s="1491" t="n"/>
      <c r="V668" s="1491" t="n"/>
      <c r="W668" s="1491" t="n"/>
      <c r="X668" s="1491" t="n"/>
      <c r="Y668" s="1491" t="n"/>
      <c r="Z668" s="1491" t="n"/>
      <c r="AA668" s="1491" t="n"/>
      <c r="AB668" s="1491" t="n"/>
      <c r="AC668" s="1491" t="n"/>
      <c r="AD668" s="1491" t="n"/>
      <c r="AE668" s="1491" t="n"/>
      <c r="AF668" s="1491" t="n"/>
      <c r="AG668" s="1491" t="n"/>
      <c r="AH668" s="1491" t="n"/>
      <c r="AI668" s="1491" t="n"/>
      <c r="AJ668" s="1491" t="n"/>
      <c r="AK668" s="1491" t="n"/>
      <c r="AL668" s="1491" t="n"/>
      <c r="AM668" s="1491" t="n"/>
      <c r="AN668" s="1491" t="n"/>
      <c r="AO668" s="1491" t="n"/>
      <c r="AP668" s="1491" t="n"/>
      <c r="AQ668" s="1491" t="n"/>
      <c r="AR668" s="1491" t="n"/>
      <c r="AS668" s="1491" t="n"/>
      <c r="AT668" s="1491" t="n"/>
      <c r="AU668" s="1491" t="n"/>
      <c r="AV668" s="1491" t="n"/>
      <c r="AW668" s="1491" t="n"/>
      <c r="AX668" s="1491" t="n"/>
      <c r="AY668" s="1491" t="n"/>
      <c r="AZ668" s="1491" t="n"/>
      <c r="BA668" s="1491" t="n"/>
      <c r="BB668" s="1491" t="n"/>
      <c r="BC668" s="1491" t="n"/>
      <c r="BD668" s="1491" t="n"/>
      <c r="BE668" s="1491" t="n"/>
      <c r="BF668" s="1491" t="n"/>
      <c r="BG668" s="1491" t="n"/>
      <c r="BH668" s="1491" t="n"/>
      <c r="BI668" s="1491" t="n"/>
      <c r="BJ668" s="1491" t="n"/>
      <c r="BK668" s="1491" t="n"/>
      <c r="BL668" s="1491" t="n"/>
      <c r="BM668" s="1491" t="n"/>
      <c r="BN668" s="1491" t="n"/>
      <c r="BO668" s="1491" t="n"/>
      <c r="BP668" s="1491" t="n"/>
      <c r="BQ668" s="1491" t="n"/>
      <c r="BR668" s="1491" t="n"/>
      <c r="BS668" s="1491" t="n"/>
      <c r="BT668" s="1491" t="n"/>
      <c r="BU668" s="1491" t="n"/>
      <c r="BV668" s="1491" t="n"/>
      <c r="BW668" s="1491" t="n"/>
      <c r="BX668" s="1491" t="n"/>
      <c r="BY668" s="1491" t="n"/>
      <c r="BZ668" s="1491" t="n"/>
      <c r="CA668" s="1491" t="n"/>
      <c r="CB668" s="1491" t="n"/>
      <c r="CC668" s="1491" t="n"/>
      <c r="CD668" s="1491" t="n"/>
      <c r="CE668" s="1491" t="n"/>
      <c r="CF668" s="1491" t="n"/>
      <c r="CG668" s="1491" t="n"/>
      <c r="CH668" s="1491" t="n"/>
      <c r="CI668" s="1491" t="n"/>
      <c r="CJ668" s="1491" t="n"/>
      <c r="CK668" s="1491" t="n"/>
      <c r="CL668" s="1491" t="n"/>
      <c r="CM668" s="1491" t="n"/>
      <c r="CN668" s="1491" t="n"/>
      <c r="CO668" s="1491" t="n"/>
      <c r="CP668" s="1491" t="n"/>
      <c r="CQ668" s="1491" t="n"/>
      <c r="CR668" s="1491" t="n"/>
      <c r="CS668" s="1491" t="n"/>
      <c r="CT668" s="1491" t="n"/>
      <c r="CU668" s="1491" t="n"/>
      <c r="CV668" s="1491" t="n"/>
      <c r="CW668" s="1491" t="n"/>
      <c r="CX668" s="1491" t="n"/>
    </row>
    <row r="669">
      <c r="A669" s="1491" t="n"/>
      <c r="B669" s="1491" t="n"/>
      <c r="C669" s="1491" t="n"/>
      <c r="D669" s="1491" t="n"/>
      <c r="E669" s="1491" t="n"/>
      <c r="F669" s="1491" t="n"/>
      <c r="G669" s="1491" t="n"/>
      <c r="H669" s="1491" t="n"/>
      <c r="I669" s="1491" t="n"/>
      <c r="J669" s="1491" t="n"/>
      <c r="K669" s="1491" t="n"/>
      <c r="L669" s="1491" t="n"/>
      <c r="M669" s="1491" t="n"/>
      <c r="N669" s="1491" t="n"/>
      <c r="O669" s="1491" t="n"/>
      <c r="P669" s="1491" t="n"/>
      <c r="Q669" s="1491" t="n"/>
      <c r="R669" s="1491" t="n"/>
      <c r="S669" s="1491" t="n"/>
      <c r="T669" s="1491" t="n"/>
      <c r="U669" s="1491" t="n"/>
      <c r="V669" s="1491" t="n"/>
      <c r="W669" s="1491" t="n"/>
      <c r="X669" s="1491" t="n"/>
      <c r="Y669" s="1491" t="n"/>
      <c r="Z669" s="1491" t="n"/>
      <c r="AA669" s="1491" t="n"/>
      <c r="AB669" s="1491" t="n"/>
      <c r="AC669" s="1491" t="n"/>
      <c r="AD669" s="1491" t="n"/>
      <c r="AE669" s="1491" t="n"/>
      <c r="AF669" s="1491" t="n"/>
      <c r="AG669" s="1491" t="n"/>
      <c r="AH669" s="1491" t="n"/>
      <c r="AI669" s="1491" t="n"/>
      <c r="AJ669" s="1491" t="n"/>
      <c r="AK669" s="1491" t="n"/>
      <c r="AL669" s="1491" t="n"/>
      <c r="AM669" s="1491" t="n"/>
      <c r="AN669" s="1491" t="n"/>
      <c r="AO669" s="1491" t="n"/>
      <c r="AP669" s="1491" t="n"/>
      <c r="AQ669" s="1491" t="n"/>
      <c r="AR669" s="1491" t="n"/>
      <c r="AS669" s="1491" t="n"/>
      <c r="AT669" s="1491" t="n"/>
      <c r="AU669" s="1491" t="n"/>
      <c r="AV669" s="1491" t="n"/>
      <c r="AW669" s="1491" t="n"/>
      <c r="AX669" s="1491" t="n"/>
      <c r="AY669" s="1491" t="n"/>
      <c r="AZ669" s="1491" t="n"/>
      <c r="BA669" s="1491" t="n"/>
      <c r="BB669" s="1491" t="n"/>
      <c r="BC669" s="1491" t="n"/>
      <c r="BD669" s="1491" t="n"/>
      <c r="BE669" s="1491" t="n"/>
      <c r="BF669" s="1491" t="n"/>
      <c r="BG669" s="1491" t="n"/>
      <c r="BH669" s="1491" t="n"/>
      <c r="BI669" s="1491" t="n"/>
      <c r="BJ669" s="1491" t="n"/>
      <c r="BK669" s="1491" t="n"/>
      <c r="BL669" s="1491" t="n"/>
      <c r="BM669" s="1491" t="n"/>
      <c r="BN669" s="1491" t="n"/>
      <c r="BO669" s="1491" t="n"/>
      <c r="BP669" s="1491" t="n"/>
      <c r="BQ669" s="1491" t="n"/>
      <c r="BR669" s="1491" t="n"/>
      <c r="BS669" s="1491" t="n"/>
      <c r="BT669" s="1491" t="n"/>
      <c r="BU669" s="1491" t="n"/>
      <c r="BV669" s="1491" t="n"/>
      <c r="BW669" s="1491" t="n"/>
      <c r="BX669" s="1491" t="n"/>
      <c r="BY669" s="1491" t="n"/>
      <c r="BZ669" s="1491" t="n"/>
      <c r="CA669" s="1491" t="n"/>
      <c r="CB669" s="1491" t="n"/>
      <c r="CC669" s="1491" t="n"/>
      <c r="CD669" s="1491" t="n"/>
      <c r="CE669" s="1491" t="n"/>
      <c r="CF669" s="1491" t="n"/>
      <c r="CG669" s="1491" t="n"/>
      <c r="CH669" s="1491" t="n"/>
      <c r="CI669" s="1491" t="n"/>
      <c r="CJ669" s="1491" t="n"/>
      <c r="CK669" s="1491" t="n"/>
      <c r="CL669" s="1491" t="n"/>
      <c r="CM669" s="1491" t="n"/>
      <c r="CN669" s="1491" t="n"/>
      <c r="CO669" s="1491" t="n"/>
      <c r="CP669" s="1491" t="n"/>
      <c r="CQ669" s="1491" t="n"/>
      <c r="CR669" s="1491" t="n"/>
      <c r="CS669" s="1491" t="n"/>
      <c r="CT669" s="1491" t="n"/>
      <c r="CU669" s="1491" t="n"/>
      <c r="CV669" s="1491" t="n"/>
      <c r="CW669" s="1491" t="n"/>
      <c r="CX669" s="1491" t="n"/>
    </row>
    <row r="670">
      <c r="A670" s="1491" t="n"/>
      <c r="B670" s="1491" t="n"/>
      <c r="C670" s="1491" t="n"/>
      <c r="D670" s="1491" t="n"/>
      <c r="E670" s="1491" t="n"/>
      <c r="F670" s="1491" t="n"/>
      <c r="G670" s="1491" t="n"/>
      <c r="H670" s="1491" t="n"/>
      <c r="I670" s="1491" t="n"/>
      <c r="J670" s="1491" t="n"/>
      <c r="K670" s="1491" t="n"/>
      <c r="L670" s="1491" t="n"/>
      <c r="M670" s="1491" t="n"/>
      <c r="N670" s="1491" t="n"/>
      <c r="O670" s="1491" t="n"/>
      <c r="P670" s="1491" t="n"/>
      <c r="Q670" s="1491" t="n"/>
      <c r="R670" s="1491" t="n"/>
      <c r="S670" s="1491" t="n"/>
      <c r="T670" s="1491" t="n"/>
      <c r="U670" s="1491" t="n"/>
      <c r="V670" s="1491" t="n"/>
      <c r="W670" s="1491" t="n"/>
      <c r="X670" s="1491" t="n"/>
      <c r="Y670" s="1491" t="n"/>
      <c r="Z670" s="1491" t="n"/>
      <c r="AA670" s="1491" t="n"/>
      <c r="AB670" s="1491" t="n"/>
      <c r="AC670" s="1491" t="n"/>
      <c r="AD670" s="1491" t="n"/>
      <c r="AE670" s="1491" t="n"/>
      <c r="AF670" s="1491" t="n"/>
      <c r="AG670" s="1491" t="n"/>
      <c r="AH670" s="1491" t="n"/>
      <c r="AI670" s="1491" t="n"/>
      <c r="AJ670" s="1491" t="n"/>
      <c r="AK670" s="1491" t="n"/>
      <c r="AL670" s="1491" t="n"/>
      <c r="AM670" s="1491" t="n"/>
      <c r="AN670" s="1491" t="n"/>
      <c r="AO670" s="1491" t="n"/>
      <c r="AP670" s="1491" t="n"/>
      <c r="AQ670" s="1491" t="n"/>
      <c r="AR670" s="1491" t="n"/>
      <c r="AS670" s="1491" t="n"/>
      <c r="AT670" s="1491" t="n"/>
      <c r="AU670" s="1491" t="n"/>
      <c r="AV670" s="1491" t="n"/>
      <c r="AW670" s="1491" t="n"/>
      <c r="AX670" s="1491" t="n"/>
      <c r="AY670" s="1491" t="n"/>
      <c r="AZ670" s="1491" t="n"/>
      <c r="BA670" s="1491" t="n"/>
      <c r="BB670" s="1491" t="n"/>
      <c r="BC670" s="1491" t="n"/>
      <c r="BD670" s="1491" t="n"/>
      <c r="BE670" s="1491" t="n"/>
      <c r="BF670" s="1491" t="n"/>
      <c r="BG670" s="1491" t="n"/>
      <c r="BH670" s="1491" t="n"/>
      <c r="BI670" s="1491" t="n"/>
      <c r="BJ670" s="1491" t="n"/>
      <c r="BK670" s="1491" t="n"/>
      <c r="BL670" s="1491" t="n"/>
      <c r="BM670" s="1491" t="n"/>
      <c r="BN670" s="1491" t="n"/>
      <c r="BO670" s="1491" t="n"/>
      <c r="BP670" s="1491" t="n"/>
      <c r="BQ670" s="1491" t="n"/>
      <c r="BR670" s="1491" t="n"/>
      <c r="BS670" s="1491" t="n"/>
      <c r="BT670" s="1491" t="n"/>
      <c r="BU670" s="1491" t="n"/>
      <c r="BV670" s="1491" t="n"/>
      <c r="BW670" s="1491" t="n"/>
      <c r="BX670" s="1491" t="n"/>
      <c r="BY670" s="1491" t="n"/>
      <c r="BZ670" s="1491" t="n"/>
      <c r="CA670" s="1491" t="n"/>
      <c r="CB670" s="1491" t="n"/>
      <c r="CC670" s="1491" t="n"/>
      <c r="CD670" s="1491" t="n"/>
      <c r="CE670" s="1491" t="n"/>
      <c r="CF670" s="1491" t="n"/>
      <c r="CG670" s="1491" t="n"/>
      <c r="CH670" s="1491" t="n"/>
      <c r="CI670" s="1491" t="n"/>
      <c r="CJ670" s="1491" t="n"/>
      <c r="CK670" s="1491" t="n"/>
      <c r="CL670" s="1491" t="n"/>
      <c r="CM670" s="1491" t="n"/>
      <c r="CN670" s="1491" t="n"/>
      <c r="CO670" s="1491" t="n"/>
      <c r="CP670" s="1491" t="n"/>
      <c r="CQ670" s="1491" t="n"/>
      <c r="CR670" s="1491" t="n"/>
      <c r="CS670" s="1491" t="n"/>
      <c r="CT670" s="1491" t="n"/>
      <c r="CU670" s="1491" t="n"/>
      <c r="CV670" s="1491" t="n"/>
      <c r="CW670" s="1491" t="n"/>
      <c r="CX670" s="1491" t="n"/>
    </row>
    <row r="671">
      <c r="A671" s="1491" t="n"/>
      <c r="B671" s="1491" t="n"/>
      <c r="C671" s="1491" t="n"/>
      <c r="D671" s="1491" t="n"/>
      <c r="E671" s="1491" t="n"/>
      <c r="F671" s="1491" t="n"/>
      <c r="G671" s="1491" t="n"/>
      <c r="H671" s="1491" t="n"/>
      <c r="I671" s="1491" t="n"/>
      <c r="J671" s="1491" t="n"/>
      <c r="K671" s="1491" t="n"/>
      <c r="L671" s="1491" t="n"/>
      <c r="M671" s="1491" t="n"/>
      <c r="N671" s="1491" t="n"/>
      <c r="O671" s="1491" t="n"/>
      <c r="P671" s="1491" t="n"/>
      <c r="Q671" s="1491" t="n"/>
      <c r="R671" s="1491" t="n"/>
      <c r="S671" s="1491" t="n"/>
      <c r="T671" s="1491" t="n"/>
      <c r="U671" s="1491" t="n"/>
      <c r="V671" s="1491" t="n"/>
      <c r="W671" s="1491" t="n"/>
      <c r="X671" s="1491" t="n"/>
      <c r="Y671" s="1491" t="n"/>
      <c r="Z671" s="1491" t="n"/>
      <c r="AA671" s="1491" t="n"/>
      <c r="AB671" s="1491" t="n"/>
      <c r="AC671" s="1491" t="n"/>
      <c r="AD671" s="1491" t="n"/>
      <c r="AE671" s="1491" t="n"/>
      <c r="AF671" s="1491" t="n"/>
      <c r="AG671" s="1491" t="n"/>
      <c r="AH671" s="1491" t="n"/>
      <c r="AI671" s="1491" t="n"/>
      <c r="AJ671" s="1491" t="n"/>
      <c r="AK671" s="1491" t="n"/>
      <c r="AL671" s="1491" t="n"/>
      <c r="AM671" s="1491" t="n"/>
      <c r="AN671" s="1491" t="n"/>
      <c r="AO671" s="1491" t="n"/>
      <c r="AP671" s="1491" t="n"/>
      <c r="AQ671" s="1491" t="n"/>
      <c r="AR671" s="1491" t="n"/>
      <c r="AS671" s="1491" t="n"/>
      <c r="AT671" s="1491" t="n"/>
      <c r="AU671" s="1491" t="n"/>
      <c r="AV671" s="1491" t="n"/>
      <c r="AW671" s="1491" t="n"/>
      <c r="AX671" s="1491" t="n"/>
      <c r="AY671" s="1491" t="n"/>
      <c r="AZ671" s="1491" t="n"/>
      <c r="BA671" s="1491" t="n"/>
      <c r="BB671" s="1491" t="n"/>
      <c r="BC671" s="1491" t="n"/>
      <c r="BD671" s="1491" t="n"/>
      <c r="BE671" s="1491" t="n"/>
      <c r="BF671" s="1491" t="n"/>
      <c r="BG671" s="1491" t="n"/>
      <c r="BH671" s="1491" t="n"/>
      <c r="BI671" s="1491" t="n"/>
      <c r="BJ671" s="1491" t="n"/>
      <c r="BK671" s="1491" t="n"/>
      <c r="BL671" s="1491" t="n"/>
      <c r="BM671" s="1491" t="n"/>
      <c r="BN671" s="1491" t="n"/>
      <c r="BO671" s="1491" t="n"/>
      <c r="BP671" s="1491" t="n"/>
      <c r="BQ671" s="1491" t="n"/>
      <c r="BR671" s="1491" t="n"/>
      <c r="BS671" s="1491" t="n"/>
      <c r="BT671" s="1491" t="n"/>
      <c r="BU671" s="1491" t="n"/>
      <c r="BV671" s="1491" t="n"/>
      <c r="BW671" s="1491" t="n"/>
      <c r="BX671" s="1491" t="n"/>
      <c r="BY671" s="1491" t="n"/>
      <c r="BZ671" s="1491" t="n"/>
      <c r="CA671" s="1491" t="n"/>
      <c r="CB671" s="1491" t="n"/>
      <c r="CC671" s="1491" t="n"/>
      <c r="CD671" s="1491" t="n"/>
      <c r="CE671" s="1491" t="n"/>
      <c r="CF671" s="1491" t="n"/>
      <c r="CG671" s="1491" t="n"/>
      <c r="CH671" s="1491" t="n"/>
      <c r="CI671" s="1491" t="n"/>
      <c r="CJ671" s="1491" t="n"/>
      <c r="CK671" s="1491" t="n"/>
      <c r="CL671" s="1491" t="n"/>
      <c r="CM671" s="1491" t="n"/>
      <c r="CN671" s="1491" t="n"/>
      <c r="CO671" s="1491" t="n"/>
      <c r="CP671" s="1491" t="n"/>
      <c r="CQ671" s="1491" t="n"/>
      <c r="CR671" s="1491" t="n"/>
      <c r="CS671" s="1491" t="n"/>
      <c r="CT671" s="1491" t="n"/>
      <c r="CU671" s="1491" t="n"/>
      <c r="CV671" s="1491" t="n"/>
      <c r="CW671" s="1491" t="n"/>
      <c r="CX671" s="1491" t="n"/>
    </row>
    <row r="672">
      <c r="A672" s="1491" t="n"/>
      <c r="B672" s="1491" t="n"/>
      <c r="C672" s="1491" t="n"/>
      <c r="D672" s="1491" t="n"/>
      <c r="E672" s="1491" t="n"/>
      <c r="F672" s="1491" t="n"/>
      <c r="G672" s="1491" t="n"/>
      <c r="H672" s="1491" t="n"/>
      <c r="I672" s="1491" t="n"/>
      <c r="J672" s="1491" t="n"/>
      <c r="K672" s="1491" t="n"/>
      <c r="L672" s="1491" t="n"/>
      <c r="M672" s="1491" t="n"/>
      <c r="N672" s="1491" t="n"/>
      <c r="O672" s="1491" t="n"/>
      <c r="P672" s="1491" t="n"/>
      <c r="Q672" s="1491" t="n"/>
      <c r="R672" s="1491" t="n"/>
      <c r="S672" s="1491" t="n"/>
      <c r="T672" s="1491" t="n"/>
      <c r="U672" s="1491" t="n"/>
      <c r="V672" s="1491" t="n"/>
      <c r="W672" s="1491" t="n"/>
      <c r="X672" s="1491" t="n"/>
      <c r="Y672" s="1491" t="n"/>
      <c r="Z672" s="1491" t="n"/>
      <c r="AA672" s="1491" t="n"/>
      <c r="AB672" s="1491" t="n"/>
      <c r="AC672" s="1491" t="n"/>
      <c r="AD672" s="1491" t="n"/>
      <c r="AE672" s="1491" t="n"/>
      <c r="AF672" s="1491" t="n"/>
      <c r="AG672" s="1491" t="n"/>
      <c r="AH672" s="1491" t="n"/>
      <c r="AI672" s="1491" t="n"/>
      <c r="AJ672" s="1491" t="n"/>
      <c r="AK672" s="1491" t="n"/>
      <c r="AL672" s="1491" t="n"/>
      <c r="AM672" s="1491" t="n"/>
      <c r="AN672" s="1491" t="n"/>
      <c r="AO672" s="1491" t="n"/>
      <c r="AP672" s="1491" t="n"/>
      <c r="AQ672" s="1491" t="n"/>
      <c r="AR672" s="1491" t="n"/>
      <c r="AS672" s="1491" t="n"/>
      <c r="AT672" s="1491" t="n"/>
      <c r="AU672" s="1491" t="n"/>
      <c r="AV672" s="1491" t="n"/>
      <c r="AW672" s="1491" t="n"/>
      <c r="AX672" s="1491" t="n"/>
      <c r="AY672" s="1491" t="n"/>
      <c r="AZ672" s="1491" t="n"/>
      <c r="BA672" s="1491" t="n"/>
      <c r="BB672" s="1491" t="n"/>
      <c r="BC672" s="1491" t="n"/>
      <c r="BD672" s="1491" t="n"/>
      <c r="BE672" s="1491" t="n"/>
      <c r="BF672" s="1491" t="n"/>
      <c r="BG672" s="1491" t="n"/>
      <c r="BH672" s="1491" t="n"/>
      <c r="BI672" s="1491" t="n"/>
      <c r="BJ672" s="1491" t="n"/>
      <c r="BK672" s="1491" t="n"/>
      <c r="BL672" s="1491" t="n"/>
      <c r="BM672" s="1491" t="n"/>
      <c r="BN672" s="1491" t="n"/>
      <c r="BO672" s="1491" t="n"/>
      <c r="BP672" s="1491" t="n"/>
      <c r="BQ672" s="1491" t="n"/>
      <c r="BR672" s="1491" t="n"/>
      <c r="BS672" s="1491" t="n"/>
      <c r="BT672" s="1491" t="n"/>
      <c r="BU672" s="1491" t="n"/>
      <c r="BV672" s="1491" t="n"/>
      <c r="BW672" s="1491" t="n"/>
      <c r="BX672" s="1491" t="n"/>
      <c r="BY672" s="1491" t="n"/>
      <c r="BZ672" s="1491" t="n"/>
      <c r="CA672" s="1491" t="n"/>
      <c r="CB672" s="1491" t="n"/>
      <c r="CC672" s="1491" t="n"/>
      <c r="CD672" s="1491" t="n"/>
      <c r="CE672" s="1491" t="n"/>
      <c r="CF672" s="1491" t="n"/>
      <c r="CG672" s="1491" t="n"/>
      <c r="CH672" s="1491" t="n"/>
      <c r="CI672" s="1491" t="n"/>
      <c r="CJ672" s="1491" t="n"/>
      <c r="CK672" s="1491" t="n"/>
      <c r="CL672" s="1491" t="n"/>
      <c r="CM672" s="1491" t="n"/>
      <c r="CN672" s="1491" t="n"/>
      <c r="CO672" s="1491" t="n"/>
      <c r="CP672" s="1491" t="n"/>
      <c r="CQ672" s="1491" t="n"/>
      <c r="CR672" s="1491" t="n"/>
      <c r="CS672" s="1491" t="n"/>
      <c r="CT672" s="1491" t="n"/>
      <c r="CU672" s="1491" t="n"/>
      <c r="CV672" s="1491" t="n"/>
      <c r="CW672" s="1491" t="n"/>
      <c r="CX672" s="1491" t="n"/>
    </row>
    <row r="673">
      <c r="A673" s="1491" t="n"/>
      <c r="B673" s="1491" t="n"/>
      <c r="C673" s="1491" t="n"/>
      <c r="D673" s="1491" t="n"/>
      <c r="E673" s="1491" t="n"/>
      <c r="F673" s="1491" t="n"/>
      <c r="G673" s="1491" t="n"/>
      <c r="H673" s="1491" t="n"/>
      <c r="I673" s="1491" t="n"/>
      <c r="J673" s="1491" t="n"/>
      <c r="K673" s="1491" t="n"/>
      <c r="L673" s="1491" t="n"/>
      <c r="M673" s="1491" t="n"/>
      <c r="N673" s="1491" t="n"/>
      <c r="O673" s="1491" t="n"/>
      <c r="P673" s="1491" t="n"/>
      <c r="Q673" s="1491" t="n"/>
      <c r="R673" s="1491" t="n"/>
      <c r="S673" s="1491" t="n"/>
      <c r="T673" s="1491" t="n"/>
      <c r="U673" s="1491" t="n"/>
      <c r="V673" s="1491" t="n"/>
      <c r="W673" s="1491" t="n"/>
      <c r="X673" s="1491" t="n"/>
      <c r="Y673" s="1491" t="n"/>
      <c r="Z673" s="1491" t="n"/>
      <c r="AA673" s="1491" t="n"/>
      <c r="AB673" s="1491" t="n"/>
      <c r="AC673" s="1491" t="n"/>
      <c r="AD673" s="1491" t="n"/>
      <c r="AE673" s="1491" t="n"/>
      <c r="AF673" s="1491" t="n"/>
      <c r="AG673" s="1491" t="n"/>
      <c r="AH673" s="1491" t="n"/>
      <c r="AI673" s="1491" t="n"/>
      <c r="AJ673" s="1491" t="n"/>
      <c r="AK673" s="1491" t="n"/>
      <c r="AL673" s="1491" t="n"/>
      <c r="AM673" s="1491" t="n"/>
      <c r="AN673" s="1491" t="n"/>
      <c r="AO673" s="1491" t="n"/>
      <c r="AP673" s="1491" t="n"/>
      <c r="AQ673" s="1491" t="n"/>
      <c r="AR673" s="1491" t="n"/>
      <c r="AS673" s="1491" t="n"/>
      <c r="AT673" s="1491" t="n"/>
      <c r="AU673" s="1491" t="n"/>
      <c r="AV673" s="1491" t="n"/>
      <c r="AW673" s="1491" t="n"/>
      <c r="AX673" s="1491" t="n"/>
      <c r="AY673" s="1491" t="n"/>
      <c r="AZ673" s="1491" t="n"/>
      <c r="BA673" s="1491" t="n"/>
      <c r="BB673" s="1491" t="n"/>
      <c r="BC673" s="1491" t="n"/>
      <c r="BD673" s="1491" t="n"/>
      <c r="BE673" s="1491" t="n"/>
      <c r="BF673" s="1491" t="n"/>
      <c r="BG673" s="1491" t="n"/>
      <c r="BH673" s="1491" t="n"/>
      <c r="BI673" s="1491" t="n"/>
      <c r="BJ673" s="1491" t="n"/>
      <c r="BK673" s="1491" t="n"/>
      <c r="BL673" s="1491" t="n"/>
      <c r="BM673" s="1491" t="n"/>
      <c r="BN673" s="1491" t="n"/>
      <c r="BO673" s="1491" t="n"/>
      <c r="BP673" s="1491" t="n"/>
      <c r="BQ673" s="1491" t="n"/>
      <c r="BR673" s="1491" t="n"/>
      <c r="BS673" s="1491" t="n"/>
      <c r="BT673" s="1491" t="n"/>
      <c r="BU673" s="1491" t="n"/>
      <c r="BV673" s="1491" t="n"/>
      <c r="BW673" s="1491" t="n"/>
      <c r="BX673" s="1491" t="n"/>
      <c r="BY673" s="1491" t="n"/>
      <c r="BZ673" s="1491" t="n"/>
      <c r="CA673" s="1491" t="n"/>
      <c r="CB673" s="1491" t="n"/>
      <c r="CC673" s="1491" t="n"/>
      <c r="CD673" s="1491" t="n"/>
      <c r="CE673" s="1491" t="n"/>
      <c r="CF673" s="1491" t="n"/>
      <c r="CG673" s="1491" t="n"/>
      <c r="CH673" s="1491" t="n"/>
      <c r="CI673" s="1491" t="n"/>
      <c r="CJ673" s="1491" t="n"/>
      <c r="CK673" s="1491" t="n"/>
      <c r="CL673" s="1491" t="n"/>
      <c r="CM673" s="1491" t="n"/>
      <c r="CN673" s="1491" t="n"/>
      <c r="CO673" s="1491" t="n"/>
      <c r="CP673" s="1491" t="n"/>
      <c r="CQ673" s="1491" t="n"/>
      <c r="CR673" s="1491" t="n"/>
      <c r="CS673" s="1491" t="n"/>
      <c r="CT673" s="1491" t="n"/>
      <c r="CU673" s="1491" t="n"/>
      <c r="CV673" s="1491" t="n"/>
      <c r="CW673" s="1491" t="n"/>
      <c r="CX673" s="1491" t="n"/>
    </row>
    <row r="674">
      <c r="A674" s="1491" t="n"/>
      <c r="B674" s="1491" t="n"/>
      <c r="C674" s="1491" t="n"/>
      <c r="D674" s="1491" t="n"/>
      <c r="E674" s="1491" t="n"/>
      <c r="F674" s="1491" t="n"/>
      <c r="G674" s="1491" t="n"/>
      <c r="H674" s="1491" t="n"/>
      <c r="I674" s="1491" t="n"/>
      <c r="J674" s="1491" t="n"/>
      <c r="K674" s="1491" t="n"/>
      <c r="L674" s="1491" t="n"/>
      <c r="M674" s="1491" t="n"/>
      <c r="N674" s="1491" t="n"/>
      <c r="O674" s="1491" t="n"/>
      <c r="P674" s="1491" t="n"/>
      <c r="Q674" s="1491" t="n"/>
      <c r="R674" s="1491" t="n"/>
      <c r="S674" s="1491" t="n"/>
      <c r="T674" s="1491" t="n"/>
      <c r="U674" s="1491" t="n"/>
      <c r="V674" s="1491" t="n"/>
      <c r="W674" s="1491" t="n"/>
      <c r="X674" s="1491" t="n"/>
      <c r="Y674" s="1491" t="n"/>
      <c r="Z674" s="1491" t="n"/>
      <c r="AA674" s="1491" t="n"/>
      <c r="AB674" s="1491" t="n"/>
      <c r="AC674" s="1491" t="n"/>
      <c r="AD674" s="1491" t="n"/>
      <c r="AE674" s="1491" t="n"/>
      <c r="AF674" s="1491" t="n"/>
      <c r="AG674" s="1491" t="n"/>
      <c r="AH674" s="1491" t="n"/>
      <c r="AI674" s="1491" t="n"/>
      <c r="AJ674" s="1491" t="n"/>
      <c r="AK674" s="1491" t="n"/>
      <c r="AL674" s="1491" t="n"/>
      <c r="AM674" s="1491" t="n"/>
      <c r="AN674" s="1491" t="n"/>
      <c r="AO674" s="1491" t="n"/>
      <c r="AP674" s="1491" t="n"/>
      <c r="AQ674" s="1491" t="n"/>
      <c r="AR674" s="1491" t="n"/>
      <c r="AS674" s="1491" t="n"/>
      <c r="AT674" s="1491" t="n"/>
      <c r="AU674" s="1491" t="n"/>
      <c r="AV674" s="1491" t="n"/>
      <c r="AW674" s="1491" t="n"/>
      <c r="AX674" s="1491" t="n"/>
      <c r="AY674" s="1491" t="n"/>
      <c r="AZ674" s="1491" t="n"/>
      <c r="BA674" s="1491" t="n"/>
      <c r="BB674" s="1491" t="n"/>
      <c r="BC674" s="1491" t="n"/>
      <c r="BD674" s="1491" t="n"/>
      <c r="BE674" s="1491" t="n"/>
      <c r="BF674" s="1491" t="n"/>
      <c r="BG674" s="1491" t="n"/>
      <c r="BH674" s="1491" t="n"/>
      <c r="BI674" s="1491" t="n"/>
      <c r="BJ674" s="1491" t="n"/>
      <c r="BK674" s="1491" t="n"/>
      <c r="BL674" s="1491" t="n"/>
      <c r="BM674" s="1491" t="n"/>
      <c r="BN674" s="1491" t="n"/>
      <c r="BO674" s="1491" t="n"/>
      <c r="BP674" s="1491" t="n"/>
      <c r="BQ674" s="1491" t="n"/>
      <c r="BR674" s="1491" t="n"/>
      <c r="BS674" s="1491" t="n"/>
      <c r="BT674" s="1491" t="n"/>
      <c r="BU674" s="1491" t="n"/>
      <c r="BV674" s="1491" t="n"/>
      <c r="BW674" s="1491" t="n"/>
      <c r="BX674" s="1491" t="n"/>
      <c r="BY674" s="1491" t="n"/>
      <c r="BZ674" s="1491" t="n"/>
      <c r="CA674" s="1491" t="n"/>
      <c r="CB674" s="1491" t="n"/>
      <c r="CC674" s="1491" t="n"/>
      <c r="CD674" s="1491" t="n"/>
      <c r="CE674" s="1491" t="n"/>
      <c r="CF674" s="1491" t="n"/>
      <c r="CG674" s="1491" t="n"/>
      <c r="CH674" s="1491" t="n"/>
      <c r="CI674" s="1491" t="n"/>
      <c r="CJ674" s="1491" t="n"/>
      <c r="CK674" s="1491" t="n"/>
      <c r="CL674" s="1491" t="n"/>
      <c r="CM674" s="1491" t="n"/>
      <c r="CN674" s="1491" t="n"/>
      <c r="CO674" s="1491" t="n"/>
      <c r="CP674" s="1491" t="n"/>
      <c r="CQ674" s="1491" t="n"/>
      <c r="CR674" s="1491" t="n"/>
      <c r="CS674" s="1491" t="n"/>
      <c r="CT674" s="1491" t="n"/>
      <c r="CU674" s="1491" t="n"/>
      <c r="CV674" s="1491" t="n"/>
      <c r="CW674" s="1491" t="n"/>
      <c r="CX674" s="1491" t="n"/>
    </row>
    <row r="675">
      <c r="A675" s="1491" t="n"/>
      <c r="B675" s="1491" t="n"/>
      <c r="C675" s="1491" t="n"/>
      <c r="D675" s="1491" t="n"/>
      <c r="E675" s="1491" t="n"/>
      <c r="F675" s="1491" t="n"/>
      <c r="G675" s="1491" t="n"/>
      <c r="H675" s="1491" t="n"/>
      <c r="I675" s="1491" t="n"/>
      <c r="J675" s="1491" t="n"/>
      <c r="K675" s="1491" t="n"/>
      <c r="L675" s="1491" t="n"/>
      <c r="M675" s="1491" t="n"/>
      <c r="N675" s="1491" t="n"/>
      <c r="O675" s="1491" t="n"/>
      <c r="P675" s="1491" t="n"/>
      <c r="Q675" s="1491" t="n"/>
      <c r="R675" s="1491" t="n"/>
      <c r="S675" s="1491" t="n"/>
      <c r="T675" s="1491" t="n"/>
      <c r="U675" s="1491" t="n"/>
      <c r="V675" s="1491" t="n"/>
      <c r="W675" s="1491" t="n"/>
      <c r="X675" s="1491" t="n"/>
      <c r="Y675" s="1491" t="n"/>
      <c r="Z675" s="1491" t="n"/>
      <c r="AA675" s="1491" t="n"/>
      <c r="AB675" s="1491" t="n"/>
      <c r="AC675" s="1491" t="n"/>
      <c r="AD675" s="1491" t="n"/>
      <c r="AE675" s="1491" t="n"/>
      <c r="AF675" s="1491" t="n"/>
      <c r="AG675" s="1491" t="n"/>
      <c r="AH675" s="1491" t="n"/>
      <c r="AI675" s="1491" t="n"/>
      <c r="AJ675" s="1491" t="n"/>
      <c r="AK675" s="1491" t="n"/>
      <c r="AL675" s="1491" t="n"/>
      <c r="AM675" s="1491" t="n"/>
      <c r="AN675" s="1491" t="n"/>
      <c r="AO675" s="1491" t="n"/>
      <c r="AP675" s="1491" t="n"/>
      <c r="AQ675" s="1491" t="n"/>
      <c r="AR675" s="1491" t="n"/>
      <c r="AS675" s="1491" t="n"/>
      <c r="AT675" s="1491" t="n"/>
      <c r="AU675" s="1491" t="n"/>
      <c r="AV675" s="1491" t="n"/>
      <c r="AW675" s="1491" t="n"/>
      <c r="AX675" s="1491" t="n"/>
      <c r="AY675" s="1491" t="n"/>
      <c r="AZ675" s="1491" t="n"/>
      <c r="BA675" s="1491" t="n"/>
      <c r="BB675" s="1491" t="n"/>
      <c r="BC675" s="1491" t="n"/>
      <c r="BD675" s="1491" t="n"/>
      <c r="BE675" s="1491" t="n"/>
      <c r="BF675" s="1491" t="n"/>
      <c r="BG675" s="1491" t="n"/>
      <c r="BH675" s="1491" t="n"/>
      <c r="BI675" s="1491" t="n"/>
      <c r="BJ675" s="1491" t="n"/>
      <c r="BK675" s="1491" t="n"/>
      <c r="BL675" s="1491" t="n"/>
      <c r="BM675" s="1491" t="n"/>
      <c r="BN675" s="1491" t="n"/>
      <c r="BO675" s="1491" t="n"/>
      <c r="BP675" s="1491" t="n"/>
      <c r="BQ675" s="1491" t="n"/>
      <c r="BR675" s="1491" t="n"/>
      <c r="BS675" s="1491" t="n"/>
      <c r="BT675" s="1491" t="n"/>
      <c r="BU675" s="1491" t="n"/>
      <c r="BV675" s="1491" t="n"/>
      <c r="BW675" s="1491" t="n"/>
      <c r="BX675" s="1491" t="n"/>
      <c r="BY675" s="1491" t="n"/>
      <c r="BZ675" s="1491" t="n"/>
      <c r="CA675" s="1491" t="n"/>
      <c r="CB675" s="1491" t="n"/>
      <c r="CC675" s="1491" t="n"/>
      <c r="CD675" s="1491" t="n"/>
      <c r="CE675" s="1491" t="n"/>
      <c r="CF675" s="1491" t="n"/>
      <c r="CG675" s="1491" t="n"/>
      <c r="CH675" s="1491" t="n"/>
      <c r="CI675" s="1491" t="n"/>
      <c r="CJ675" s="1491" t="n"/>
      <c r="CK675" s="1491" t="n"/>
      <c r="CL675" s="1491" t="n"/>
      <c r="CM675" s="1491" t="n"/>
      <c r="CN675" s="1491" t="n"/>
      <c r="CO675" s="1491" t="n"/>
      <c r="CP675" s="1491" t="n"/>
      <c r="CQ675" s="1491" t="n"/>
      <c r="CR675" s="1491" t="n"/>
      <c r="CS675" s="1491" t="n"/>
      <c r="CT675" s="1491" t="n"/>
      <c r="CU675" s="1491" t="n"/>
      <c r="CV675" s="1491" t="n"/>
      <c r="CW675" s="1491" t="n"/>
      <c r="CX675" s="1491" t="n"/>
    </row>
    <row r="676">
      <c r="A676" s="1491" t="n"/>
      <c r="B676" s="1491" t="n"/>
      <c r="C676" s="1491" t="n"/>
      <c r="D676" s="1491" t="n"/>
      <c r="E676" s="1491" t="n"/>
      <c r="F676" s="1491" t="n"/>
      <c r="G676" s="1491" t="n"/>
      <c r="H676" s="1491" t="n"/>
      <c r="I676" s="1491" t="n"/>
      <c r="J676" s="1491" t="n"/>
      <c r="K676" s="1491" t="n"/>
      <c r="L676" s="1491" t="n"/>
      <c r="M676" s="1491" t="n"/>
      <c r="N676" s="1491" t="n"/>
      <c r="O676" s="1491" t="n"/>
      <c r="P676" s="1491" t="n"/>
      <c r="Q676" s="1491" t="n"/>
      <c r="R676" s="1491" t="n"/>
      <c r="S676" s="1491" t="n"/>
      <c r="T676" s="1491" t="n"/>
      <c r="U676" s="1491" t="n"/>
      <c r="V676" s="1491" t="n"/>
      <c r="W676" s="1491" t="n"/>
      <c r="X676" s="1491" t="n"/>
      <c r="Y676" s="1491" t="n"/>
      <c r="Z676" s="1491" t="n"/>
      <c r="AA676" s="1491" t="n"/>
      <c r="AB676" s="1491" t="n"/>
      <c r="AC676" s="1491" t="n"/>
      <c r="AD676" s="1491" t="n"/>
      <c r="AE676" s="1491" t="n"/>
      <c r="AF676" s="1491" t="n"/>
      <c r="AG676" s="1491" t="n"/>
      <c r="AH676" s="1491" t="n"/>
      <c r="AI676" s="1491" t="n"/>
      <c r="AJ676" s="1491" t="n"/>
      <c r="AK676" s="1491" t="n"/>
      <c r="AL676" s="1491" t="n"/>
      <c r="AM676" s="1491" t="n"/>
      <c r="AN676" s="1491" t="n"/>
      <c r="AO676" s="1491" t="n"/>
      <c r="AP676" s="1491" t="n"/>
      <c r="AQ676" s="1491" t="n"/>
      <c r="AR676" s="1491" t="n"/>
      <c r="AS676" s="1491" t="n"/>
      <c r="AT676" s="1491" t="n"/>
      <c r="AU676" s="1491" t="n"/>
      <c r="AV676" s="1491" t="n"/>
      <c r="AW676" s="1491" t="n"/>
      <c r="AX676" s="1491" t="n"/>
      <c r="AY676" s="1491" t="n"/>
      <c r="AZ676" s="1491" t="n"/>
      <c r="BA676" s="1491" t="n"/>
      <c r="BB676" s="1491" t="n"/>
      <c r="BC676" s="1491" t="n"/>
      <c r="BD676" s="1491" t="n"/>
      <c r="BE676" s="1491" t="n"/>
      <c r="BF676" s="1491" t="n"/>
      <c r="BG676" s="1491" t="n"/>
      <c r="BH676" s="1491" t="n"/>
      <c r="BI676" s="1491" t="n"/>
      <c r="BJ676" s="1491" t="n"/>
      <c r="BK676" s="1491" t="n"/>
      <c r="BL676" s="1491" t="n"/>
      <c r="BM676" s="1491" t="n"/>
      <c r="BN676" s="1491" t="n"/>
      <c r="BO676" s="1491" t="n"/>
      <c r="BP676" s="1491" t="n"/>
      <c r="BQ676" s="1491" t="n"/>
      <c r="BR676" s="1491" t="n"/>
      <c r="BS676" s="1491" t="n"/>
      <c r="BT676" s="1491" t="n"/>
      <c r="BU676" s="1491" t="n"/>
      <c r="BV676" s="1491" t="n"/>
      <c r="BW676" s="1491" t="n"/>
      <c r="BX676" s="1491" t="n"/>
      <c r="BY676" s="1491" t="n"/>
      <c r="BZ676" s="1491" t="n"/>
      <c r="CA676" s="1491" t="n"/>
      <c r="CB676" s="1491" t="n"/>
      <c r="CC676" s="1491" t="n"/>
      <c r="CD676" s="1491" t="n"/>
      <c r="CE676" s="1491" t="n"/>
      <c r="CF676" s="1491" t="n"/>
      <c r="CG676" s="1491" t="n"/>
      <c r="CH676" s="1491" t="n"/>
      <c r="CI676" s="1491" t="n"/>
      <c r="CJ676" s="1491" t="n"/>
      <c r="CK676" s="1491" t="n"/>
      <c r="CL676" s="1491" t="n"/>
      <c r="CM676" s="1491" t="n"/>
      <c r="CN676" s="1491" t="n"/>
      <c r="CO676" s="1491" t="n"/>
      <c r="CP676" s="1491" t="n"/>
      <c r="CQ676" s="1491" t="n"/>
      <c r="CR676" s="1491" t="n"/>
      <c r="CS676" s="1491" t="n"/>
      <c r="CT676" s="1491" t="n"/>
      <c r="CU676" s="1491" t="n"/>
      <c r="CV676" s="1491" t="n"/>
      <c r="CW676" s="1491" t="n"/>
      <c r="CX676" s="1491" t="n"/>
    </row>
    <row r="677">
      <c r="A677" s="1491" t="n"/>
      <c r="B677" s="1491" t="n"/>
      <c r="C677" s="1491" t="n"/>
      <c r="D677" s="1491" t="n"/>
      <c r="E677" s="1491" t="n"/>
      <c r="F677" s="1491" t="n"/>
      <c r="G677" s="1491" t="n"/>
      <c r="H677" s="1491" t="n"/>
      <c r="I677" s="1491" t="n"/>
      <c r="J677" s="1491" t="n"/>
      <c r="K677" s="1491" t="n"/>
      <c r="L677" s="1491" t="n"/>
      <c r="M677" s="1491" t="n"/>
      <c r="N677" s="1491" t="n"/>
      <c r="O677" s="1491" t="n"/>
      <c r="P677" s="1491" t="n"/>
      <c r="Q677" s="1491" t="n"/>
      <c r="R677" s="1491" t="n"/>
      <c r="S677" s="1491" t="n"/>
      <c r="T677" s="1491" t="n"/>
      <c r="U677" s="1491" t="n"/>
      <c r="V677" s="1491" t="n"/>
      <c r="W677" s="1491" t="n"/>
      <c r="X677" s="1491" t="n"/>
      <c r="Y677" s="1491" t="n"/>
      <c r="Z677" s="1491" t="n"/>
      <c r="AA677" s="1491" t="n"/>
      <c r="AB677" s="1491" t="n"/>
      <c r="AC677" s="1491" t="n"/>
      <c r="AD677" s="1491" t="n"/>
      <c r="AE677" s="1491" t="n"/>
      <c r="AF677" s="1491" t="n"/>
      <c r="AG677" s="1491" t="n"/>
      <c r="AH677" s="1491" t="n"/>
      <c r="AI677" s="1491" t="n"/>
      <c r="AJ677" s="1491" t="n"/>
      <c r="AK677" s="1491" t="n"/>
      <c r="AL677" s="1491" t="n"/>
      <c r="AM677" s="1491" t="n"/>
      <c r="AN677" s="1491" t="n"/>
      <c r="AO677" s="1491" t="n"/>
      <c r="AP677" s="1491" t="n"/>
      <c r="AQ677" s="1491" t="n"/>
      <c r="AR677" s="1491" t="n"/>
      <c r="AS677" s="1491" t="n"/>
      <c r="AT677" s="1491" t="n"/>
      <c r="AU677" s="1491" t="n"/>
      <c r="AV677" s="1491" t="n"/>
      <c r="AW677" s="1491" t="n"/>
      <c r="AX677" s="1491" t="n"/>
      <c r="AY677" s="1491" t="n"/>
      <c r="AZ677" s="1491" t="n"/>
      <c r="BA677" s="1491" t="n"/>
      <c r="BB677" s="1491" t="n"/>
      <c r="BC677" s="1491" t="n"/>
      <c r="BD677" s="1491" t="n"/>
      <c r="BE677" s="1491" t="n"/>
      <c r="BF677" s="1491" t="n"/>
      <c r="BG677" s="1491" t="n"/>
      <c r="BH677" s="1491" t="n"/>
      <c r="BI677" s="1491" t="n"/>
      <c r="BJ677" s="1491" t="n"/>
      <c r="BK677" s="1491" t="n"/>
      <c r="BL677" s="1491" t="n"/>
      <c r="BM677" s="1491" t="n"/>
      <c r="BN677" s="1491" t="n"/>
      <c r="BO677" s="1491" t="n"/>
      <c r="BP677" s="1491" t="n"/>
      <c r="BQ677" s="1491" t="n"/>
      <c r="BR677" s="1491" t="n"/>
      <c r="BS677" s="1491" t="n"/>
      <c r="BT677" s="1491" t="n"/>
      <c r="BU677" s="1491" t="n"/>
      <c r="BV677" s="1491" t="n"/>
      <c r="BW677" s="1491" t="n"/>
      <c r="BX677" s="1491" t="n"/>
      <c r="BY677" s="1491" t="n"/>
      <c r="BZ677" s="1491" t="n"/>
      <c r="CA677" s="1491" t="n"/>
      <c r="CB677" s="1491" t="n"/>
      <c r="CC677" s="1491" t="n"/>
      <c r="CD677" s="1491" t="n"/>
      <c r="CE677" s="1491" t="n"/>
      <c r="CF677" s="1491" t="n"/>
      <c r="CG677" s="1491" t="n"/>
      <c r="CH677" s="1491" t="n"/>
      <c r="CI677" s="1491" t="n"/>
      <c r="CJ677" s="1491" t="n"/>
      <c r="CK677" s="1491" t="n"/>
      <c r="CL677" s="1491" t="n"/>
      <c r="CM677" s="1491" t="n"/>
      <c r="CN677" s="1491" t="n"/>
      <c r="CO677" s="1491" t="n"/>
      <c r="CP677" s="1491" t="n"/>
      <c r="CQ677" s="1491" t="n"/>
      <c r="CR677" s="1491" t="n"/>
      <c r="CS677" s="1491" t="n"/>
      <c r="CT677" s="1491" t="n"/>
      <c r="CU677" s="1491" t="n"/>
      <c r="CV677" s="1491" t="n"/>
      <c r="CW677" s="1491" t="n"/>
      <c r="CX677" s="1491" t="n"/>
    </row>
    <row r="678">
      <c r="A678" s="1491" t="n"/>
      <c r="B678" s="1491" t="n"/>
      <c r="C678" s="1491" t="n"/>
      <c r="D678" s="1491" t="n"/>
      <c r="E678" s="1491" t="n"/>
      <c r="F678" s="1491" t="n"/>
      <c r="G678" s="1491" t="n"/>
      <c r="H678" s="1491" t="n"/>
      <c r="I678" s="1491" t="n"/>
      <c r="J678" s="1491" t="n"/>
      <c r="K678" s="1491" t="n"/>
      <c r="L678" s="1491" t="n"/>
      <c r="M678" s="1491" t="n"/>
      <c r="N678" s="1491" t="n"/>
      <c r="O678" s="1491" t="n"/>
      <c r="P678" s="1491" t="n"/>
      <c r="Q678" s="1491" t="n"/>
      <c r="R678" s="1491" t="n"/>
      <c r="S678" s="1491" t="n"/>
      <c r="T678" s="1491" t="n"/>
      <c r="U678" s="1491" t="n"/>
      <c r="V678" s="1491" t="n"/>
      <c r="W678" s="1491" t="n"/>
      <c r="X678" s="1491" t="n"/>
      <c r="Y678" s="1491" t="n"/>
      <c r="Z678" s="1491" t="n"/>
      <c r="AA678" s="1491" t="n"/>
      <c r="AB678" s="1491" t="n"/>
      <c r="AC678" s="1491" t="n"/>
      <c r="AD678" s="1491" t="n"/>
      <c r="AE678" s="1491" t="n"/>
      <c r="AF678" s="1491" t="n"/>
      <c r="AG678" s="1491" t="n"/>
      <c r="AH678" s="1491" t="n"/>
      <c r="AI678" s="1491" t="n"/>
      <c r="AJ678" s="1491" t="n"/>
      <c r="AK678" s="1491" t="n"/>
      <c r="AL678" s="1491" t="n"/>
      <c r="AM678" s="1491" t="n"/>
      <c r="AN678" s="1491" t="n"/>
      <c r="AO678" s="1491" t="n"/>
      <c r="AP678" s="1491" t="n"/>
      <c r="AQ678" s="1491" t="n"/>
      <c r="AR678" s="1491" t="n"/>
      <c r="AS678" s="1491" t="n"/>
      <c r="AT678" s="1491" t="n"/>
      <c r="AU678" s="1491" t="n"/>
      <c r="AV678" s="1491" t="n"/>
      <c r="AW678" s="1491" t="n"/>
      <c r="AX678" s="1491" t="n"/>
      <c r="AY678" s="1491" t="n"/>
      <c r="AZ678" s="1491" t="n"/>
      <c r="BA678" s="1491" t="n"/>
      <c r="BB678" s="1491" t="n"/>
      <c r="BC678" s="1491" t="n"/>
      <c r="BD678" s="1491" t="n"/>
      <c r="BE678" s="1491" t="n"/>
      <c r="BF678" s="1491" t="n"/>
      <c r="BG678" s="1491" t="n"/>
      <c r="BH678" s="1491" t="n"/>
      <c r="BI678" s="1491" t="n"/>
      <c r="BJ678" s="1491" t="n"/>
      <c r="BK678" s="1491" t="n"/>
      <c r="BL678" s="1491" t="n"/>
      <c r="BM678" s="1491" t="n"/>
      <c r="BN678" s="1491" t="n"/>
      <c r="BO678" s="1491" t="n"/>
      <c r="BP678" s="1491" t="n"/>
      <c r="BQ678" s="1491" t="n"/>
      <c r="BR678" s="1491" t="n"/>
      <c r="BS678" s="1491" t="n"/>
      <c r="BT678" s="1491" t="n"/>
      <c r="BU678" s="1491" t="n"/>
      <c r="BV678" s="1491" t="n"/>
      <c r="BW678" s="1491" t="n"/>
      <c r="BX678" s="1491" t="n"/>
      <c r="BY678" s="1491" t="n"/>
      <c r="BZ678" s="1491" t="n"/>
      <c r="CA678" s="1491" t="n"/>
      <c r="CB678" s="1491" t="n"/>
      <c r="CC678" s="1491" t="n"/>
      <c r="CD678" s="1491" t="n"/>
      <c r="CE678" s="1491" t="n"/>
      <c r="CF678" s="1491" t="n"/>
      <c r="CG678" s="1491" t="n"/>
      <c r="CH678" s="1491" t="n"/>
      <c r="CI678" s="1491" t="n"/>
      <c r="CJ678" s="1491" t="n"/>
      <c r="CK678" s="1491" t="n"/>
      <c r="CL678" s="1491" t="n"/>
      <c r="CM678" s="1491" t="n"/>
      <c r="CN678" s="1491" t="n"/>
      <c r="CO678" s="1491" t="n"/>
      <c r="CP678" s="1491" t="n"/>
      <c r="CQ678" s="1491" t="n"/>
      <c r="CR678" s="1491" t="n"/>
      <c r="CS678" s="1491" t="n"/>
      <c r="CT678" s="1491" t="n"/>
      <c r="CU678" s="1491" t="n"/>
      <c r="CV678" s="1491" t="n"/>
      <c r="CW678" s="1491" t="n"/>
      <c r="CX678" s="1491" t="n"/>
    </row>
    <row r="679">
      <c r="A679" s="1491" t="n"/>
      <c r="B679" s="1491" t="n"/>
      <c r="C679" s="1491" t="n"/>
      <c r="D679" s="1491" t="n"/>
      <c r="E679" s="1491" t="n"/>
      <c r="F679" s="1491" t="n"/>
      <c r="G679" s="1491" t="n"/>
      <c r="H679" s="1491" t="n"/>
      <c r="I679" s="1491" t="n"/>
      <c r="J679" s="1491" t="n"/>
      <c r="K679" s="1491" t="n"/>
      <c r="L679" s="1491" t="n"/>
      <c r="M679" s="1491" t="n"/>
      <c r="N679" s="1491" t="n"/>
      <c r="O679" s="1491" t="n"/>
      <c r="P679" s="1491" t="n"/>
      <c r="Q679" s="1491" t="n"/>
      <c r="R679" s="1491" t="n"/>
      <c r="S679" s="1491" t="n"/>
      <c r="T679" s="1491" t="n"/>
      <c r="U679" s="1491" t="n"/>
      <c r="V679" s="1491" t="n"/>
      <c r="W679" s="1491" t="n"/>
      <c r="X679" s="1491" t="n"/>
      <c r="Y679" s="1491" t="n"/>
      <c r="Z679" s="1491" t="n"/>
      <c r="AA679" s="1491" t="n"/>
      <c r="AB679" s="1491" t="n"/>
      <c r="AC679" s="1491" t="n"/>
      <c r="AD679" s="1491" t="n"/>
      <c r="AE679" s="1491" t="n"/>
      <c r="AF679" s="1491" t="n"/>
      <c r="AG679" s="1491" t="n"/>
      <c r="AH679" s="1491" t="n"/>
      <c r="AI679" s="1491" t="n"/>
      <c r="AJ679" s="1491" t="n"/>
      <c r="AK679" s="1491" t="n"/>
      <c r="AL679" s="1491" t="n"/>
      <c r="AM679" s="1491" t="n"/>
      <c r="AN679" s="1491" t="n"/>
      <c r="AO679" s="1491" t="n"/>
      <c r="AP679" s="1491" t="n"/>
      <c r="AQ679" s="1491" t="n"/>
      <c r="AR679" s="1491" t="n"/>
      <c r="AS679" s="1491" t="n"/>
      <c r="AT679" s="1491" t="n"/>
      <c r="AU679" s="1491" t="n"/>
      <c r="AV679" s="1491" t="n"/>
      <c r="AW679" s="1491" t="n"/>
      <c r="AX679" s="1491" t="n"/>
      <c r="AY679" s="1491" t="n"/>
      <c r="AZ679" s="1491" t="n"/>
      <c r="BA679" s="1491" t="n"/>
      <c r="BB679" s="1491" t="n"/>
      <c r="BC679" s="1491" t="n"/>
      <c r="BD679" s="1491" t="n"/>
      <c r="BE679" s="1491" t="n"/>
      <c r="BF679" s="1491" t="n"/>
      <c r="BG679" s="1491" t="n"/>
      <c r="BH679" s="1491" t="n"/>
      <c r="BI679" s="1491" t="n"/>
      <c r="BJ679" s="1491" t="n"/>
      <c r="BK679" s="1491" t="n"/>
      <c r="BL679" s="1491" t="n"/>
      <c r="BM679" s="1491" t="n"/>
      <c r="BN679" s="1491" t="n"/>
      <c r="BO679" s="1491" t="n"/>
      <c r="BP679" s="1491" t="n"/>
      <c r="BQ679" s="1491" t="n"/>
      <c r="BR679" s="1491" t="n"/>
      <c r="BS679" s="1491" t="n"/>
      <c r="BT679" s="1491" t="n"/>
      <c r="BU679" s="1491" t="n"/>
      <c r="BV679" s="1491" t="n"/>
      <c r="BW679" s="1491" t="n"/>
      <c r="BX679" s="1491" t="n"/>
      <c r="BY679" s="1491" t="n"/>
      <c r="BZ679" s="1491" t="n"/>
      <c r="CA679" s="1491" t="n"/>
      <c r="CB679" s="1491" t="n"/>
      <c r="CC679" s="1491" t="n"/>
      <c r="CD679" s="1491" t="n"/>
      <c r="CE679" s="1491" t="n"/>
      <c r="CF679" s="1491" t="n"/>
      <c r="CG679" s="1491" t="n"/>
      <c r="CH679" s="1491" t="n"/>
      <c r="CI679" s="1491" t="n"/>
      <c r="CJ679" s="1491" t="n"/>
      <c r="CK679" s="1491" t="n"/>
      <c r="CL679" s="1491" t="n"/>
      <c r="CM679" s="1491" t="n"/>
      <c r="CN679" s="1491" t="n"/>
      <c r="CO679" s="1491" t="n"/>
      <c r="CP679" s="1491" t="n"/>
      <c r="CQ679" s="1491" t="n"/>
      <c r="CR679" s="1491" t="n"/>
      <c r="CS679" s="1491" t="n"/>
      <c r="CT679" s="1491" t="n"/>
      <c r="CU679" s="1491" t="n"/>
      <c r="CV679" s="1491" t="n"/>
      <c r="CW679" s="1491" t="n"/>
      <c r="CX679" s="1491" t="n"/>
    </row>
    <row r="680">
      <c r="A680" s="1491" t="n"/>
      <c r="B680" s="1491" t="n"/>
      <c r="C680" s="1491" t="n"/>
      <c r="D680" s="1491" t="n"/>
      <c r="E680" s="1491" t="n"/>
      <c r="F680" s="1491" t="n"/>
      <c r="G680" s="1491" t="n"/>
      <c r="H680" s="1491" t="n"/>
      <c r="I680" s="1491" t="n"/>
      <c r="J680" s="1491" t="n"/>
      <c r="K680" s="1491" t="n"/>
      <c r="L680" s="1491" t="n"/>
      <c r="M680" s="1491" t="n"/>
      <c r="N680" s="1491" t="n"/>
      <c r="O680" s="1491" t="n"/>
      <c r="P680" s="1491" t="n"/>
      <c r="Q680" s="1491" t="n"/>
      <c r="R680" s="1491" t="n"/>
      <c r="S680" s="1491" t="n"/>
      <c r="T680" s="1491" t="n"/>
      <c r="U680" s="1491" t="n"/>
      <c r="V680" s="1491" t="n"/>
      <c r="W680" s="1491" t="n"/>
      <c r="X680" s="1491" t="n"/>
      <c r="Y680" s="1491" t="n"/>
      <c r="Z680" s="1491" t="n"/>
      <c r="AA680" s="1491" t="n"/>
      <c r="AB680" s="1491" t="n"/>
      <c r="AC680" s="1491" t="n"/>
      <c r="AD680" s="1491" t="n"/>
      <c r="AE680" s="1491" t="n"/>
      <c r="AF680" s="1491" t="n"/>
      <c r="AG680" s="1491" t="n"/>
      <c r="AH680" s="1491" t="n"/>
      <c r="AI680" s="1491" t="n"/>
      <c r="AJ680" s="1491" t="n"/>
      <c r="AK680" s="1491" t="n"/>
      <c r="AL680" s="1491" t="n"/>
      <c r="AM680" s="1491" t="n"/>
      <c r="AN680" s="1491" t="n"/>
      <c r="AO680" s="1491" t="n"/>
      <c r="AP680" s="1491" t="n"/>
      <c r="AQ680" s="1491" t="n"/>
      <c r="AR680" s="1491" t="n"/>
      <c r="AS680" s="1491" t="n"/>
      <c r="AT680" s="1491" t="n"/>
      <c r="AU680" s="1491" t="n"/>
      <c r="AV680" s="1491" t="n"/>
      <c r="AW680" s="1491" t="n"/>
      <c r="AX680" s="1491" t="n"/>
      <c r="AY680" s="1491" t="n"/>
      <c r="AZ680" s="1491" t="n"/>
      <c r="BA680" s="1491" t="n"/>
      <c r="BB680" s="1491" t="n"/>
      <c r="BC680" s="1491" t="n"/>
      <c r="BD680" s="1491" t="n"/>
      <c r="BE680" s="1491" t="n"/>
      <c r="BF680" s="1491" t="n"/>
      <c r="BG680" s="1491" t="n"/>
      <c r="BH680" s="1491" t="n"/>
      <c r="BI680" s="1491" t="n"/>
      <c r="BJ680" s="1491" t="n"/>
      <c r="BK680" s="1491" t="n"/>
      <c r="BL680" s="1491" t="n"/>
      <c r="BM680" s="1491" t="n"/>
      <c r="BN680" s="1491" t="n"/>
      <c r="BO680" s="1491" t="n"/>
      <c r="BP680" s="1491" t="n"/>
      <c r="BQ680" s="1491" t="n"/>
      <c r="BR680" s="1491" t="n"/>
      <c r="BS680" s="1491" t="n"/>
      <c r="BT680" s="1491" t="n"/>
      <c r="BU680" s="1491" t="n"/>
      <c r="BV680" s="1491" t="n"/>
      <c r="BW680" s="1491" t="n"/>
      <c r="BX680" s="1491" t="n"/>
      <c r="BY680" s="1491" t="n"/>
      <c r="BZ680" s="1491" t="n"/>
      <c r="CA680" s="1491" t="n"/>
      <c r="CB680" s="1491" t="n"/>
      <c r="CC680" s="1491" t="n"/>
      <c r="CD680" s="1491" t="n"/>
      <c r="CE680" s="1491" t="n"/>
      <c r="CF680" s="1491" t="n"/>
      <c r="CG680" s="1491" t="n"/>
      <c r="CH680" s="1491" t="n"/>
      <c r="CI680" s="1491" t="n"/>
      <c r="CJ680" s="1491" t="n"/>
      <c r="CK680" s="1491" t="n"/>
      <c r="CL680" s="1491" t="n"/>
      <c r="CM680" s="1491" t="n"/>
      <c r="CN680" s="1491" t="n"/>
      <c r="CO680" s="1491" t="n"/>
      <c r="CP680" s="1491" t="n"/>
      <c r="CQ680" s="1491" t="n"/>
      <c r="CR680" s="1491" t="n"/>
      <c r="CS680" s="1491" t="n"/>
      <c r="CT680" s="1491" t="n"/>
      <c r="CU680" s="1491" t="n"/>
      <c r="CV680" s="1491" t="n"/>
      <c r="CW680" s="1491" t="n"/>
      <c r="CX680" s="1491" t="n"/>
    </row>
    <row r="681">
      <c r="A681" s="1491" t="n"/>
      <c r="B681" s="1491" t="n"/>
      <c r="C681" s="1491" t="n"/>
      <c r="D681" s="1491" t="n"/>
      <c r="E681" s="1491" t="n"/>
      <c r="F681" s="1491" t="n"/>
      <c r="G681" s="1491" t="n"/>
      <c r="H681" s="1491" t="n"/>
      <c r="I681" s="1491" t="n"/>
      <c r="J681" s="1491" t="n"/>
      <c r="K681" s="1491" t="n"/>
      <c r="L681" s="1491" t="n"/>
      <c r="M681" s="1491" t="n"/>
      <c r="N681" s="1491" t="n"/>
      <c r="O681" s="1491" t="n"/>
      <c r="P681" s="1491" t="n"/>
      <c r="Q681" s="1491" t="n"/>
      <c r="R681" s="1491" t="n"/>
      <c r="S681" s="1491" t="n"/>
      <c r="T681" s="1491" t="n"/>
      <c r="U681" s="1491" t="n"/>
      <c r="V681" s="1491" t="n"/>
      <c r="W681" s="1491" t="n"/>
      <c r="X681" s="1491" t="n"/>
      <c r="Y681" s="1491" t="n"/>
      <c r="Z681" s="1491" t="n"/>
      <c r="AA681" s="1491" t="n"/>
      <c r="AB681" s="1491" t="n"/>
      <c r="AC681" s="1491" t="n"/>
      <c r="AD681" s="1491" t="n"/>
      <c r="AE681" s="1491" t="n"/>
      <c r="AF681" s="1491" t="n"/>
      <c r="AG681" s="1491" t="n"/>
      <c r="AH681" s="1491" t="n"/>
      <c r="AI681" s="1491" t="n"/>
      <c r="AJ681" s="1491" t="n"/>
      <c r="AK681" s="1491" t="n"/>
      <c r="AL681" s="1491" t="n"/>
      <c r="AM681" s="1491" t="n"/>
      <c r="AN681" s="1491" t="n"/>
      <c r="AO681" s="1491" t="n"/>
      <c r="AP681" s="1491" t="n"/>
      <c r="AQ681" s="1491" t="n"/>
      <c r="AR681" s="1491" t="n"/>
      <c r="AS681" s="1491" t="n"/>
      <c r="AT681" s="1491" t="n"/>
      <c r="AU681" s="1491" t="n"/>
      <c r="AV681" s="1491" t="n"/>
      <c r="AW681" s="1491" t="n"/>
      <c r="AX681" s="1491" t="n"/>
      <c r="AY681" s="1491" t="n"/>
      <c r="AZ681" s="1491" t="n"/>
      <c r="BA681" s="1491" t="n"/>
      <c r="BB681" s="1491" t="n"/>
      <c r="BC681" s="1491" t="n"/>
      <c r="BD681" s="1491" t="n"/>
      <c r="BE681" s="1491" t="n"/>
      <c r="BF681" s="1491" t="n"/>
      <c r="BG681" s="1491" t="n"/>
      <c r="BH681" s="1491" t="n"/>
      <c r="BI681" s="1491" t="n"/>
      <c r="BJ681" s="1491" t="n"/>
      <c r="BK681" s="1491" t="n"/>
      <c r="BL681" s="1491" t="n"/>
      <c r="BM681" s="1491" t="n"/>
      <c r="BN681" s="1491" t="n"/>
      <c r="BO681" s="1491" t="n"/>
      <c r="BP681" s="1491" t="n"/>
      <c r="BQ681" s="1491" t="n"/>
      <c r="BR681" s="1491" t="n"/>
      <c r="BS681" s="1491" t="n"/>
      <c r="BT681" s="1491" t="n"/>
      <c r="BU681" s="1491" t="n"/>
      <c r="BV681" s="1491" t="n"/>
      <c r="BW681" s="1491" t="n"/>
      <c r="BX681" s="1491" t="n"/>
      <c r="BY681" s="1491" t="n"/>
      <c r="BZ681" s="1491" t="n"/>
      <c r="CA681" s="1491" t="n"/>
      <c r="CB681" s="1491" t="n"/>
      <c r="CC681" s="1491" t="n"/>
      <c r="CD681" s="1491" t="n"/>
      <c r="CE681" s="1491" t="n"/>
      <c r="CF681" s="1491" t="n"/>
      <c r="CG681" s="1491" t="n"/>
      <c r="CH681" s="1491" t="n"/>
      <c r="CI681" s="1491" t="n"/>
      <c r="CJ681" s="1491" t="n"/>
      <c r="CK681" s="1491" t="n"/>
      <c r="CL681" s="1491" t="n"/>
      <c r="CM681" s="1491" t="n"/>
      <c r="CN681" s="1491" t="n"/>
      <c r="CO681" s="1491" t="n"/>
      <c r="CP681" s="1491" t="n"/>
      <c r="CQ681" s="1491" t="n"/>
      <c r="CR681" s="1491" t="n"/>
      <c r="CS681" s="1491" t="n"/>
      <c r="CT681" s="1491" t="n"/>
      <c r="CU681" s="1491" t="n"/>
      <c r="CV681" s="1491" t="n"/>
      <c r="CW681" s="1491" t="n"/>
      <c r="CX681" s="1491" t="n"/>
    </row>
    <row r="682">
      <c r="A682" s="1491" t="n"/>
      <c r="B682" s="1491" t="n"/>
      <c r="C682" s="1491" t="n"/>
      <c r="D682" s="1491" t="n"/>
      <c r="E682" s="1491" t="n"/>
      <c r="F682" s="1491" t="n"/>
      <c r="G682" s="1491" t="n"/>
      <c r="H682" s="1491" t="n"/>
      <c r="I682" s="1491" t="n"/>
      <c r="J682" s="1491" t="n"/>
      <c r="K682" s="1491" t="n"/>
      <c r="L682" s="1491" t="n"/>
      <c r="M682" s="1491" t="n"/>
      <c r="N682" s="1491" t="n"/>
      <c r="O682" s="1491" t="n"/>
      <c r="P682" s="1491" t="n"/>
      <c r="Q682" s="1491" t="n"/>
      <c r="R682" s="1491" t="n"/>
      <c r="S682" s="1491" t="n"/>
      <c r="T682" s="1491" t="n"/>
      <c r="U682" s="1491" t="n"/>
      <c r="V682" s="1491" t="n"/>
      <c r="W682" s="1491" t="n"/>
      <c r="X682" s="1491" t="n"/>
      <c r="Y682" s="1491" t="n"/>
      <c r="Z682" s="1491" t="n"/>
      <c r="AA682" s="1491" t="n"/>
      <c r="AB682" s="1491" t="n"/>
      <c r="AC682" s="1491" t="n"/>
      <c r="AD682" s="1491" t="n"/>
      <c r="AE682" s="1491" t="n"/>
      <c r="AF682" s="1491" t="n"/>
      <c r="AG682" s="1491" t="n"/>
      <c r="AH682" s="1491" t="n"/>
      <c r="AI682" s="1491" t="n"/>
      <c r="AJ682" s="1491" t="n"/>
      <c r="AK682" s="1491" t="n"/>
      <c r="AL682" s="1491" t="n"/>
      <c r="AM682" s="1491" t="n"/>
      <c r="AN682" s="1491" t="n"/>
      <c r="AO682" s="1491" t="n"/>
      <c r="AP682" s="1491" t="n"/>
      <c r="AQ682" s="1491" t="n"/>
      <c r="AR682" s="1491" t="n"/>
      <c r="AS682" s="1491" t="n"/>
      <c r="AT682" s="1491" t="n"/>
      <c r="AU682" s="1491" t="n"/>
      <c r="AV682" s="1491" t="n"/>
      <c r="AW682" s="1491" t="n"/>
      <c r="AX682" s="1491" t="n"/>
      <c r="AY682" s="1491" t="n"/>
      <c r="AZ682" s="1491" t="n"/>
      <c r="BA682" s="1491" t="n"/>
      <c r="BB682" s="1491" t="n"/>
      <c r="BC682" s="1491" t="n"/>
      <c r="BD682" s="1491" t="n"/>
      <c r="BE682" s="1491" t="n"/>
      <c r="BF682" s="1491" t="n"/>
      <c r="BG682" s="1491" t="n"/>
      <c r="BH682" s="1491" t="n"/>
      <c r="BI682" s="1491" t="n"/>
      <c r="BJ682" s="1491" t="n"/>
      <c r="BK682" s="1491" t="n"/>
      <c r="BL682" s="1491" t="n"/>
      <c r="BM682" s="1491" t="n"/>
      <c r="BN682" s="1491" t="n"/>
      <c r="BO682" s="1491" t="n"/>
      <c r="BP682" s="1491" t="n"/>
      <c r="BQ682" s="1491" t="n"/>
      <c r="BR682" s="1491" t="n"/>
      <c r="BS682" s="1491" t="n"/>
      <c r="BT682" s="1491" t="n"/>
      <c r="BU682" s="1491" t="n"/>
      <c r="BV682" s="1491" t="n"/>
      <c r="BW682" s="1491" t="n"/>
      <c r="BX682" s="1491" t="n"/>
      <c r="BY682" s="1491" t="n"/>
      <c r="BZ682" s="1491" t="n"/>
      <c r="CA682" s="1491" t="n"/>
      <c r="CB682" s="1491" t="n"/>
      <c r="CC682" s="1491" t="n"/>
      <c r="CD682" s="1491" t="n"/>
      <c r="CE682" s="1491" t="n"/>
      <c r="CF682" s="1491" t="n"/>
      <c r="CG682" s="1491" t="n"/>
      <c r="CH682" s="1491" t="n"/>
      <c r="CI682" s="1491" t="n"/>
      <c r="CJ682" s="1491" t="n"/>
      <c r="CK682" s="1491" t="n"/>
      <c r="CL682" s="1491" t="n"/>
      <c r="CM682" s="1491" t="n"/>
      <c r="CN682" s="1491" t="n"/>
      <c r="CO682" s="1491" t="n"/>
      <c r="CP682" s="1491" t="n"/>
      <c r="CQ682" s="1491" t="n"/>
      <c r="CR682" s="1491" t="n"/>
      <c r="CS682" s="1491" t="n"/>
      <c r="CT682" s="1491" t="n"/>
      <c r="CU682" s="1491" t="n"/>
      <c r="CV682" s="1491" t="n"/>
      <c r="CW682" s="1491" t="n"/>
      <c r="CX682" s="1491" t="n"/>
    </row>
    <row r="683">
      <c r="A683" s="1491" t="n"/>
      <c r="B683" s="1491" t="n"/>
      <c r="C683" s="1491" t="n"/>
      <c r="D683" s="1491" t="n"/>
      <c r="E683" s="1491" t="n"/>
      <c r="F683" s="1491" t="n"/>
      <c r="G683" s="1491" t="n"/>
      <c r="H683" s="1491" t="n"/>
      <c r="I683" s="1491" t="n"/>
      <c r="J683" s="1491" t="n"/>
      <c r="K683" s="1491" t="n"/>
      <c r="L683" s="1491" t="n"/>
      <c r="M683" s="1491" t="n"/>
      <c r="N683" s="1491" t="n"/>
      <c r="O683" s="1491" t="n"/>
      <c r="P683" s="1491" t="n"/>
      <c r="Q683" s="1491" t="n"/>
      <c r="R683" s="1491" t="n"/>
      <c r="S683" s="1491" t="n"/>
      <c r="T683" s="1491" t="n"/>
      <c r="U683" s="1491" t="n"/>
      <c r="V683" s="1491" t="n"/>
      <c r="W683" s="1491" t="n"/>
      <c r="X683" s="1491" t="n"/>
      <c r="Y683" s="1491" t="n"/>
      <c r="Z683" s="1491" t="n"/>
      <c r="AA683" s="1491" t="n"/>
      <c r="AB683" s="1491" t="n"/>
      <c r="AC683" s="1491" t="n"/>
      <c r="AD683" s="1491" t="n"/>
      <c r="AE683" s="1491" t="n"/>
      <c r="AF683" s="1491" t="n"/>
      <c r="AG683" s="1491" t="n"/>
      <c r="AH683" s="1491" t="n"/>
      <c r="AI683" s="1491" t="n"/>
      <c r="AJ683" s="1491" t="n"/>
      <c r="AK683" s="1491" t="n"/>
      <c r="AL683" s="1491" t="n"/>
      <c r="AM683" s="1491" t="n"/>
      <c r="AN683" s="1491" t="n"/>
      <c r="AO683" s="1491" t="n"/>
      <c r="AP683" s="1491" t="n"/>
      <c r="AQ683" s="1491" t="n"/>
      <c r="AR683" s="1491" t="n"/>
      <c r="AS683" s="1491" t="n"/>
      <c r="AT683" s="1491" t="n"/>
      <c r="AU683" s="1491" t="n"/>
      <c r="AV683" s="1491" t="n"/>
      <c r="AW683" s="1491" t="n"/>
      <c r="AX683" s="1491" t="n"/>
      <c r="AY683" s="1491" t="n"/>
      <c r="AZ683" s="1491" t="n"/>
      <c r="BA683" s="1491" t="n"/>
      <c r="BB683" s="1491" t="n"/>
      <c r="BC683" s="1491" t="n"/>
      <c r="BD683" s="1491" t="n"/>
      <c r="BE683" s="1491" t="n"/>
      <c r="BF683" s="1491" t="n"/>
      <c r="BG683" s="1491" t="n"/>
      <c r="BH683" s="1491" t="n"/>
      <c r="BI683" s="1491" t="n"/>
      <c r="BJ683" s="1491" t="n"/>
      <c r="BK683" s="1491" t="n"/>
      <c r="BL683" s="1491" t="n"/>
      <c r="BM683" s="1491" t="n"/>
      <c r="BN683" s="1491" t="n"/>
      <c r="BO683" s="1491" t="n"/>
      <c r="BP683" s="1491" t="n"/>
      <c r="BQ683" s="1491" t="n"/>
      <c r="BR683" s="1491" t="n"/>
      <c r="BS683" s="1491" t="n"/>
      <c r="BT683" s="1491" t="n"/>
      <c r="BU683" s="1491" t="n"/>
      <c r="BV683" s="1491" t="n"/>
      <c r="BW683" s="1491" t="n"/>
      <c r="BX683" s="1491" t="n"/>
      <c r="BY683" s="1491" t="n"/>
      <c r="BZ683" s="1491" t="n"/>
      <c r="CA683" s="1491" t="n"/>
      <c r="CB683" s="1491" t="n"/>
      <c r="CC683" s="1491" t="n"/>
      <c r="CD683" s="1491" t="n"/>
      <c r="CE683" s="1491" t="n"/>
      <c r="CF683" s="1491" t="n"/>
      <c r="CG683" s="1491" t="n"/>
      <c r="CH683" s="1491" t="n"/>
      <c r="CI683" s="1491" t="n"/>
      <c r="CJ683" s="1491" t="n"/>
      <c r="CK683" s="1491" t="n"/>
      <c r="CL683" s="1491" t="n"/>
      <c r="CM683" s="1491" t="n"/>
      <c r="CN683" s="1491" t="n"/>
      <c r="CO683" s="1491" t="n"/>
      <c r="CP683" s="1491" t="n"/>
      <c r="CQ683" s="1491" t="n"/>
      <c r="CR683" s="1491" t="n"/>
      <c r="CS683" s="1491" t="n"/>
      <c r="CT683" s="1491" t="n"/>
      <c r="CU683" s="1491" t="n"/>
      <c r="CV683" s="1491" t="n"/>
      <c r="CW683" s="1491" t="n"/>
      <c r="CX683" s="1491" t="n"/>
    </row>
    <row r="684">
      <c r="A684" s="1491" t="n"/>
      <c r="B684" s="1491" t="n"/>
      <c r="C684" s="1491" t="n"/>
      <c r="D684" s="1491" t="n"/>
      <c r="E684" s="1491" t="n"/>
      <c r="F684" s="1491" t="n"/>
      <c r="G684" s="1491" t="n"/>
      <c r="H684" s="1491" t="n"/>
      <c r="I684" s="1491" t="n"/>
      <c r="J684" s="1491" t="n"/>
      <c r="K684" s="1491" t="n"/>
      <c r="L684" s="1491" t="n"/>
      <c r="M684" s="1491" t="n"/>
      <c r="N684" s="1491" t="n"/>
      <c r="O684" s="1491" t="n"/>
      <c r="P684" s="1491" t="n"/>
      <c r="Q684" s="1491" t="n"/>
      <c r="R684" s="1491" t="n"/>
      <c r="S684" s="1491" t="n"/>
      <c r="T684" s="1491" t="n"/>
      <c r="U684" s="1491" t="n"/>
      <c r="V684" s="1491" t="n"/>
      <c r="W684" s="1491" t="n"/>
      <c r="X684" s="1491" t="n"/>
      <c r="Y684" s="1491" t="n"/>
      <c r="Z684" s="1491" t="n"/>
      <c r="AA684" s="1491" t="n"/>
      <c r="AB684" s="1491" t="n"/>
      <c r="AC684" s="1491" t="n"/>
      <c r="AD684" s="1491" t="n"/>
      <c r="AE684" s="1491" t="n"/>
      <c r="AF684" s="1491" t="n"/>
      <c r="AG684" s="1491" t="n"/>
      <c r="AH684" s="1491" t="n"/>
      <c r="AI684" s="1491" t="n"/>
      <c r="AJ684" s="1491" t="n"/>
      <c r="AK684" s="1491" t="n"/>
      <c r="AL684" s="1491" t="n"/>
      <c r="AM684" s="1491" t="n"/>
      <c r="AN684" s="1491" t="n"/>
      <c r="AO684" s="1491" t="n"/>
      <c r="AP684" s="1491" t="n"/>
      <c r="AQ684" s="1491" t="n"/>
      <c r="AR684" s="1491" t="n"/>
      <c r="AS684" s="1491" t="n"/>
      <c r="AT684" s="1491" t="n"/>
      <c r="AU684" s="1491" t="n"/>
      <c r="AV684" s="1491" t="n"/>
      <c r="AW684" s="1491" t="n"/>
      <c r="AX684" s="1491" t="n"/>
      <c r="AY684" s="1491" t="n"/>
      <c r="AZ684" s="1491" t="n"/>
      <c r="BA684" s="1491" t="n"/>
      <c r="BB684" s="1491" t="n"/>
      <c r="BC684" s="1491" t="n"/>
      <c r="BD684" s="1491" t="n"/>
      <c r="BE684" s="1491" t="n"/>
      <c r="BF684" s="1491" t="n"/>
      <c r="BG684" s="1491" t="n"/>
      <c r="BH684" s="1491" t="n"/>
      <c r="BI684" s="1491" t="n"/>
      <c r="BJ684" s="1491" t="n"/>
      <c r="BK684" s="1491" t="n"/>
      <c r="BL684" s="1491" t="n"/>
      <c r="BM684" s="1491" t="n"/>
      <c r="BN684" s="1491" t="n"/>
      <c r="BO684" s="1491" t="n"/>
      <c r="BP684" s="1491" t="n"/>
      <c r="BQ684" s="1491" t="n"/>
      <c r="BR684" s="1491" t="n"/>
      <c r="BS684" s="1491" t="n"/>
      <c r="BT684" s="1491" t="n"/>
      <c r="BU684" s="1491" t="n"/>
      <c r="BV684" s="1491" t="n"/>
      <c r="BW684" s="1491" t="n"/>
      <c r="BX684" s="1491" t="n"/>
      <c r="BY684" s="1491" t="n"/>
      <c r="BZ684" s="1491" t="n"/>
      <c r="CA684" s="1491" t="n"/>
      <c r="CB684" s="1491" t="n"/>
      <c r="CC684" s="1491" t="n"/>
      <c r="CD684" s="1491" t="n"/>
      <c r="CE684" s="1491" t="n"/>
      <c r="CF684" s="1491" t="n"/>
      <c r="CG684" s="1491" t="n"/>
      <c r="CH684" s="1491" t="n"/>
      <c r="CI684" s="1491" t="n"/>
      <c r="CJ684" s="1491" t="n"/>
      <c r="CK684" s="1491" t="n"/>
      <c r="CL684" s="1491" t="n"/>
      <c r="CM684" s="1491" t="n"/>
      <c r="CN684" s="1491" t="n"/>
      <c r="CO684" s="1491" t="n"/>
      <c r="CP684" s="1491" t="n"/>
      <c r="CQ684" s="1491" t="n"/>
      <c r="CR684" s="1491" t="n"/>
      <c r="CS684" s="1491" t="n"/>
      <c r="CT684" s="1491" t="n"/>
      <c r="CU684" s="1491" t="n"/>
      <c r="CV684" s="1491" t="n"/>
      <c r="CW684" s="1491" t="n"/>
      <c r="CX684" s="1491" t="n"/>
    </row>
    <row r="685">
      <c r="A685" s="1491" t="n"/>
      <c r="B685" s="1491" t="n"/>
      <c r="C685" s="1491" t="n"/>
      <c r="D685" s="1491" t="n"/>
      <c r="E685" s="1491" t="n"/>
      <c r="F685" s="1491" t="n"/>
      <c r="G685" s="1491" t="n"/>
      <c r="H685" s="1491" t="n"/>
      <c r="I685" s="1491" t="n"/>
      <c r="J685" s="1491" t="n"/>
      <c r="K685" s="1491" t="n"/>
      <c r="L685" s="1491" t="n"/>
      <c r="M685" s="1491" t="n"/>
      <c r="N685" s="1491" t="n"/>
      <c r="O685" s="1491" t="n"/>
      <c r="P685" s="1491" t="n"/>
      <c r="Q685" s="1491" t="n"/>
      <c r="R685" s="1491" t="n"/>
      <c r="S685" s="1491" t="n"/>
      <c r="T685" s="1491" t="n"/>
      <c r="U685" s="1491" t="n"/>
      <c r="V685" s="1491" t="n"/>
      <c r="W685" s="1491" t="n"/>
      <c r="X685" s="1491" t="n"/>
      <c r="Y685" s="1491" t="n"/>
      <c r="Z685" s="1491" t="n"/>
      <c r="AA685" s="1491" t="n"/>
      <c r="AB685" s="1491" t="n"/>
      <c r="AC685" s="1491" t="n"/>
      <c r="AD685" s="1491" t="n"/>
      <c r="AE685" s="1491" t="n"/>
      <c r="AF685" s="1491" t="n"/>
      <c r="AG685" s="1491" t="n"/>
      <c r="AH685" s="1491" t="n"/>
      <c r="AI685" s="1491" t="n"/>
      <c r="AJ685" s="1491" t="n"/>
      <c r="AK685" s="1491" t="n"/>
      <c r="AL685" s="1491" t="n"/>
      <c r="AM685" s="1491" t="n"/>
      <c r="AN685" s="1491" t="n"/>
      <c r="AO685" s="1491" t="n"/>
      <c r="AP685" s="1491" t="n"/>
      <c r="AQ685" s="1491" t="n"/>
      <c r="AR685" s="1491" t="n"/>
      <c r="AS685" s="1491" t="n"/>
      <c r="AT685" s="1491" t="n"/>
      <c r="AU685" s="1491" t="n"/>
      <c r="AV685" s="1491" t="n"/>
      <c r="AW685" s="1491" t="n"/>
      <c r="AX685" s="1491" t="n"/>
      <c r="AY685" s="1491" t="n"/>
      <c r="AZ685" s="1491" t="n"/>
      <c r="BA685" s="1491" t="n"/>
      <c r="BB685" s="1491" t="n"/>
      <c r="BC685" s="1491" t="n"/>
      <c r="BD685" s="1491" t="n"/>
      <c r="BE685" s="1491" t="n"/>
      <c r="BF685" s="1491" t="n"/>
      <c r="BG685" s="1491" t="n"/>
      <c r="BH685" s="1491" t="n"/>
      <c r="BI685" s="1491" t="n"/>
      <c r="BJ685" s="1491" t="n"/>
      <c r="BK685" s="1491" t="n"/>
      <c r="BL685" s="1491" t="n"/>
      <c r="BM685" s="1491" t="n"/>
      <c r="BN685" s="1491" t="n"/>
      <c r="BO685" s="1491" t="n"/>
      <c r="BP685" s="1491" t="n"/>
      <c r="BQ685" s="1491" t="n"/>
      <c r="BR685" s="1491" t="n"/>
      <c r="BS685" s="1491" t="n"/>
      <c r="BT685" s="1491" t="n"/>
      <c r="BU685" s="1491" t="n"/>
      <c r="BV685" s="1491" t="n"/>
      <c r="BW685" s="1491" t="n"/>
      <c r="BX685" s="1491" t="n"/>
      <c r="BY685" s="1491" t="n"/>
      <c r="BZ685" s="1491" t="n"/>
      <c r="CA685" s="1491" t="n"/>
      <c r="CB685" s="1491" t="n"/>
      <c r="CC685" s="1491" t="n"/>
      <c r="CD685" s="1491" t="n"/>
      <c r="CE685" s="1491" t="n"/>
      <c r="CF685" s="1491" t="n"/>
      <c r="CG685" s="1491" t="n"/>
      <c r="CH685" s="1491" t="n"/>
      <c r="CI685" s="1491" t="n"/>
      <c r="CJ685" s="1491" t="n"/>
      <c r="CK685" s="1491" t="n"/>
      <c r="CL685" s="1491" t="n"/>
      <c r="CM685" s="1491" t="n"/>
      <c r="CN685" s="1491" t="n"/>
      <c r="CO685" s="1491" t="n"/>
      <c r="CP685" s="1491" t="n"/>
      <c r="CQ685" s="1491" t="n"/>
      <c r="CR685" s="1491" t="n"/>
      <c r="CS685" s="1491" t="n"/>
      <c r="CT685" s="1491" t="n"/>
      <c r="CU685" s="1491" t="n"/>
      <c r="CV685" s="1491" t="n"/>
      <c r="CW685" s="1491" t="n"/>
      <c r="CX685" s="1491" t="n"/>
    </row>
    <row r="686">
      <c r="A686" s="1491" t="n"/>
      <c r="B686" s="1491" t="n"/>
      <c r="C686" s="1491" t="n"/>
      <c r="D686" s="1491" t="n"/>
      <c r="E686" s="1491" t="n"/>
      <c r="F686" s="1491" t="n"/>
      <c r="G686" s="1491" t="n"/>
      <c r="H686" s="1491" t="n"/>
      <c r="I686" s="1491" t="n"/>
      <c r="J686" s="1491" t="n"/>
      <c r="K686" s="1491" t="n"/>
      <c r="L686" s="1491" t="n"/>
      <c r="M686" s="1491" t="n"/>
      <c r="N686" s="1491" t="n"/>
      <c r="O686" s="1491" t="n"/>
      <c r="P686" s="1491" t="n"/>
      <c r="Q686" s="1491" t="n"/>
      <c r="R686" s="1491" t="n"/>
      <c r="S686" s="1491" t="n"/>
      <c r="T686" s="1491" t="n"/>
      <c r="U686" s="1491" t="n"/>
      <c r="V686" s="1491" t="n"/>
      <c r="W686" s="1491" t="n"/>
      <c r="X686" s="1491" t="n"/>
      <c r="Y686" s="1491" t="n"/>
      <c r="Z686" s="1491" t="n"/>
      <c r="AA686" s="1491" t="n"/>
      <c r="AB686" s="1491" t="n"/>
      <c r="AC686" s="1491" t="n"/>
      <c r="AD686" s="1491" t="n"/>
      <c r="AE686" s="1491" t="n"/>
      <c r="AF686" s="1491" t="n"/>
      <c r="AG686" s="1491" t="n"/>
      <c r="AH686" s="1491" t="n"/>
      <c r="AI686" s="1491" t="n"/>
      <c r="AJ686" s="1491" t="n"/>
      <c r="AK686" s="1491" t="n"/>
      <c r="AL686" s="1491" t="n"/>
      <c r="AM686" s="1491" t="n"/>
      <c r="AN686" s="1491" t="n"/>
      <c r="AO686" s="1491" t="n"/>
      <c r="AP686" s="1491" t="n"/>
      <c r="AQ686" s="1491" t="n"/>
      <c r="AR686" s="1491" t="n"/>
      <c r="AS686" s="1491" t="n"/>
      <c r="AT686" s="1491" t="n"/>
      <c r="AU686" s="1491" t="n"/>
      <c r="AV686" s="1491" t="n"/>
      <c r="AW686" s="1491" t="n"/>
      <c r="AX686" s="1491" t="n"/>
      <c r="AY686" s="1491" t="n"/>
      <c r="AZ686" s="1491" t="n"/>
      <c r="BA686" s="1491" t="n"/>
      <c r="BB686" s="1491" t="n"/>
      <c r="BC686" s="1491" t="n"/>
      <c r="BD686" s="1491" t="n"/>
      <c r="BE686" s="1491" t="n"/>
      <c r="BF686" s="1491" t="n"/>
      <c r="BG686" s="1491" t="n"/>
      <c r="BH686" s="1491" t="n"/>
      <c r="BI686" s="1491" t="n"/>
      <c r="BJ686" s="1491" t="n"/>
      <c r="BK686" s="1491" t="n"/>
      <c r="BL686" s="1491" t="n"/>
      <c r="BM686" s="1491" t="n"/>
      <c r="BN686" s="1491" t="n"/>
      <c r="BO686" s="1491" t="n"/>
      <c r="BP686" s="1491" t="n"/>
      <c r="BQ686" s="1491" t="n"/>
      <c r="BR686" s="1491" t="n"/>
      <c r="BS686" s="1491" t="n"/>
      <c r="BT686" s="1491" t="n"/>
      <c r="BU686" s="1491" t="n"/>
      <c r="BV686" s="1491" t="n"/>
      <c r="BW686" s="1491" t="n"/>
      <c r="BX686" s="1491" t="n"/>
      <c r="BY686" s="1491" t="n"/>
      <c r="BZ686" s="1491" t="n"/>
      <c r="CA686" s="1491" t="n"/>
      <c r="CB686" s="1491" t="n"/>
      <c r="CC686" s="1491" t="n"/>
      <c r="CD686" s="1491" t="n"/>
      <c r="CE686" s="1491" t="n"/>
      <c r="CF686" s="1491" t="n"/>
      <c r="CG686" s="1491" t="n"/>
      <c r="CH686" s="1491" t="n"/>
      <c r="CI686" s="1491" t="n"/>
      <c r="CJ686" s="1491" t="n"/>
      <c r="CK686" s="1491" t="n"/>
      <c r="CL686" s="1491" t="n"/>
      <c r="CM686" s="1491" t="n"/>
      <c r="CN686" s="1491" t="n"/>
      <c r="CO686" s="1491" t="n"/>
      <c r="CP686" s="1491" t="n"/>
      <c r="CQ686" s="1491" t="n"/>
      <c r="CR686" s="1491" t="n"/>
      <c r="CS686" s="1491" t="n"/>
      <c r="CT686" s="1491" t="n"/>
      <c r="CU686" s="1491" t="n"/>
      <c r="CV686" s="1491" t="n"/>
      <c r="CW686" s="1491" t="n"/>
      <c r="CX686" s="1491" t="n"/>
    </row>
    <row r="687">
      <c r="A687" s="1491" t="n"/>
      <c r="B687" s="1491" t="n"/>
      <c r="C687" s="1491" t="n"/>
      <c r="D687" s="1491" t="n"/>
      <c r="E687" s="1491" t="n"/>
      <c r="F687" s="1491" t="n"/>
      <c r="G687" s="1491" t="n"/>
      <c r="H687" s="1491" t="n"/>
      <c r="I687" s="1491" t="n"/>
      <c r="J687" s="1491" t="n"/>
      <c r="K687" s="1491" t="n"/>
      <c r="L687" s="1491" t="n"/>
      <c r="M687" s="1491" t="n"/>
      <c r="N687" s="1491" t="n"/>
      <c r="O687" s="1491" t="n"/>
      <c r="P687" s="1491" t="n"/>
      <c r="Q687" s="1491" t="n"/>
      <c r="R687" s="1491" t="n"/>
      <c r="S687" s="1491" t="n"/>
      <c r="T687" s="1491" t="n"/>
      <c r="U687" s="1491" t="n"/>
      <c r="V687" s="1491" t="n"/>
      <c r="W687" s="1491" t="n"/>
      <c r="X687" s="1491" t="n"/>
      <c r="Y687" s="1491" t="n"/>
      <c r="Z687" s="1491" t="n"/>
      <c r="AA687" s="1491" t="n"/>
      <c r="AB687" s="1491" t="n"/>
      <c r="AC687" s="1491" t="n"/>
      <c r="AD687" s="1491" t="n"/>
      <c r="AE687" s="1491" t="n"/>
      <c r="AF687" s="1491" t="n"/>
      <c r="AG687" s="1491" t="n"/>
      <c r="AH687" s="1491" t="n"/>
      <c r="AI687" s="1491" t="n"/>
      <c r="AJ687" s="1491" t="n"/>
      <c r="AK687" s="1491" t="n"/>
      <c r="AL687" s="1491" t="n"/>
      <c r="AM687" s="1491" t="n"/>
      <c r="AN687" s="1491" t="n"/>
      <c r="AO687" s="1491" t="n"/>
      <c r="AP687" s="1491" t="n"/>
      <c r="AQ687" s="1491" t="n"/>
      <c r="AR687" s="1491" t="n"/>
      <c r="AS687" s="1491" t="n"/>
      <c r="AT687" s="1491" t="n"/>
      <c r="AU687" s="1491" t="n"/>
      <c r="AV687" s="1491" t="n"/>
      <c r="AW687" s="1491" t="n"/>
      <c r="AX687" s="1491" t="n"/>
      <c r="AY687" s="1491" t="n"/>
      <c r="AZ687" s="1491" t="n"/>
      <c r="BA687" s="1491" t="n"/>
      <c r="BB687" s="1491" t="n"/>
      <c r="BC687" s="1491" t="n"/>
      <c r="BD687" s="1491" t="n"/>
      <c r="BE687" s="1491" t="n"/>
      <c r="BF687" s="1491" t="n"/>
      <c r="BG687" s="1491" t="n"/>
      <c r="BH687" s="1491" t="n"/>
      <c r="BI687" s="1491" t="n"/>
      <c r="BJ687" s="1491" t="n"/>
      <c r="BK687" s="1491" t="n"/>
      <c r="BL687" s="1491" t="n"/>
      <c r="BM687" s="1491" t="n"/>
      <c r="BN687" s="1491" t="n"/>
      <c r="BO687" s="1491" t="n"/>
      <c r="BP687" s="1491" t="n"/>
      <c r="BQ687" s="1491" t="n"/>
      <c r="BR687" s="1491" t="n"/>
      <c r="BS687" s="1491" t="n"/>
      <c r="BT687" s="1491" t="n"/>
      <c r="BU687" s="1491" t="n"/>
      <c r="BV687" s="1491" t="n"/>
      <c r="BW687" s="1491" t="n"/>
      <c r="BX687" s="1491" t="n"/>
      <c r="BY687" s="1491" t="n"/>
      <c r="BZ687" s="1491" t="n"/>
      <c r="CA687" s="1491" t="n"/>
      <c r="CB687" s="1491" t="n"/>
      <c r="CC687" s="1491" t="n"/>
      <c r="CD687" s="1491" t="n"/>
      <c r="CE687" s="1491" t="n"/>
      <c r="CF687" s="1491" t="n"/>
      <c r="CG687" s="1491" t="n"/>
      <c r="CH687" s="1491" t="n"/>
      <c r="CI687" s="1491" t="n"/>
      <c r="CJ687" s="1491" t="n"/>
      <c r="CK687" s="1491" t="n"/>
      <c r="CL687" s="1491" t="n"/>
      <c r="CM687" s="1491" t="n"/>
      <c r="CN687" s="1491" t="n"/>
      <c r="CO687" s="1491" t="n"/>
      <c r="CP687" s="1491" t="n"/>
      <c r="CQ687" s="1491" t="n"/>
      <c r="CR687" s="1491" t="n"/>
      <c r="CS687" s="1491" t="n"/>
      <c r="CT687" s="1491" t="n"/>
      <c r="CU687" s="1491" t="n"/>
      <c r="CV687" s="1491" t="n"/>
      <c r="CW687" s="1491" t="n"/>
      <c r="CX687" s="1491" t="n"/>
    </row>
    <row r="688">
      <c r="A688" s="1491" t="n"/>
      <c r="B688" s="1491" t="n"/>
      <c r="C688" s="1491" t="n"/>
      <c r="D688" s="1491" t="n"/>
      <c r="E688" s="1491" t="n"/>
      <c r="F688" s="1491" t="n"/>
      <c r="G688" s="1491" t="n"/>
      <c r="H688" s="1491" t="n"/>
      <c r="I688" s="1491" t="n"/>
      <c r="J688" s="1491" t="n"/>
      <c r="K688" s="1491" t="n"/>
      <c r="L688" s="1491" t="n"/>
      <c r="M688" s="1491" t="n"/>
      <c r="N688" s="1491" t="n"/>
      <c r="O688" s="1491" t="n"/>
      <c r="P688" s="1491" t="n"/>
      <c r="Q688" s="1491" t="n"/>
      <c r="R688" s="1491" t="n"/>
      <c r="S688" s="1491" t="n"/>
      <c r="T688" s="1491" t="n"/>
      <c r="U688" s="1491" t="n"/>
      <c r="V688" s="1491" t="n"/>
      <c r="W688" s="1491" t="n"/>
      <c r="X688" s="1491" t="n"/>
      <c r="Y688" s="1491" t="n"/>
      <c r="Z688" s="1491" t="n"/>
      <c r="AA688" s="1491" t="n"/>
      <c r="AB688" s="1491" t="n"/>
      <c r="AC688" s="1491" t="n"/>
      <c r="AD688" s="1491" t="n"/>
      <c r="AE688" s="1491" t="n"/>
      <c r="AF688" s="1491" t="n"/>
      <c r="AG688" s="1491" t="n"/>
      <c r="AH688" s="1491" t="n"/>
      <c r="AI688" s="1491" t="n"/>
      <c r="AJ688" s="1491" t="n"/>
      <c r="AK688" s="1491" t="n"/>
      <c r="AL688" s="1491" t="n"/>
      <c r="AM688" s="1491" t="n"/>
      <c r="AN688" s="1491" t="n"/>
      <c r="AO688" s="1491" t="n"/>
      <c r="AP688" s="1491" t="n"/>
      <c r="AQ688" s="1491" t="n"/>
      <c r="AR688" s="1491" t="n"/>
      <c r="AS688" s="1491" t="n"/>
      <c r="AT688" s="1491" t="n"/>
      <c r="AU688" s="1491" t="n"/>
      <c r="AV688" s="1491" t="n"/>
      <c r="AW688" s="1491" t="n"/>
      <c r="AX688" s="1491" t="n"/>
      <c r="AY688" s="1491" t="n"/>
      <c r="AZ688" s="1491" t="n"/>
      <c r="BA688" s="1491" t="n"/>
      <c r="BB688" s="1491" t="n"/>
      <c r="BC688" s="1491" t="n"/>
      <c r="BD688" s="1491" t="n"/>
      <c r="BE688" s="1491" t="n"/>
      <c r="BF688" s="1491" t="n"/>
      <c r="BG688" s="1491" t="n"/>
      <c r="BH688" s="1491" t="n"/>
      <c r="BI688" s="1491" t="n"/>
      <c r="BJ688" s="1491" t="n"/>
      <c r="BK688" s="1491" t="n"/>
      <c r="BL688" s="1491" t="n"/>
      <c r="BM688" s="1491" t="n"/>
      <c r="BN688" s="1491" t="n"/>
      <c r="BO688" s="1491" t="n"/>
      <c r="BP688" s="1491" t="n"/>
      <c r="BQ688" s="1491" t="n"/>
      <c r="BR688" s="1491" t="n"/>
      <c r="BS688" s="1491" t="n"/>
      <c r="BT688" s="1491" t="n"/>
      <c r="BU688" s="1491" t="n"/>
      <c r="BV688" s="1491" t="n"/>
      <c r="BW688" s="1491" t="n"/>
      <c r="BX688" s="1491" t="n"/>
      <c r="BY688" s="1491" t="n"/>
      <c r="BZ688" s="1491" t="n"/>
      <c r="CA688" s="1491" t="n"/>
      <c r="CB688" s="1491" t="n"/>
      <c r="CC688" s="1491" t="n"/>
      <c r="CD688" s="1491" t="n"/>
      <c r="CE688" s="1491" t="n"/>
      <c r="CF688" s="1491" t="n"/>
      <c r="CG688" s="1491" t="n"/>
      <c r="CH688" s="1491" t="n"/>
      <c r="CI688" s="1491" t="n"/>
      <c r="CJ688" s="1491" t="n"/>
      <c r="CK688" s="1491" t="n"/>
      <c r="CL688" s="1491" t="n"/>
      <c r="CM688" s="1491" t="n"/>
      <c r="CN688" s="1491" t="n"/>
      <c r="CO688" s="1491" t="n"/>
      <c r="CP688" s="1491" t="n"/>
      <c r="CQ688" s="1491" t="n"/>
      <c r="CR688" s="1491" t="n"/>
      <c r="CS688" s="1491" t="n"/>
      <c r="CT688" s="1491" t="n"/>
      <c r="CU688" s="1491" t="n"/>
      <c r="CV688" s="1491" t="n"/>
      <c r="CW688" s="1491" t="n"/>
      <c r="CX688" s="1491" t="n"/>
    </row>
    <row r="689">
      <c r="A689" s="1491" t="n"/>
      <c r="B689" s="1491" t="n"/>
      <c r="C689" s="1491" t="n"/>
      <c r="D689" s="1491" t="n"/>
      <c r="E689" s="1491" t="n"/>
      <c r="F689" s="1491" t="n"/>
      <c r="G689" s="1491" t="n"/>
      <c r="H689" s="1491" t="n"/>
      <c r="I689" s="1491" t="n"/>
      <c r="J689" s="1491" t="n"/>
      <c r="K689" s="1491" t="n"/>
      <c r="L689" s="1491" t="n"/>
      <c r="M689" s="1491" t="n"/>
      <c r="N689" s="1491" t="n"/>
      <c r="O689" s="1491" t="n"/>
      <c r="P689" s="1491" t="n"/>
      <c r="Q689" s="1491" t="n"/>
      <c r="R689" s="1491" t="n"/>
      <c r="S689" s="1491" t="n"/>
      <c r="T689" s="1491" t="n"/>
      <c r="U689" s="1491" t="n"/>
      <c r="V689" s="1491" t="n"/>
      <c r="W689" s="1491" t="n"/>
      <c r="X689" s="1491" t="n"/>
      <c r="Y689" s="1491" t="n"/>
      <c r="Z689" s="1491" t="n"/>
      <c r="AA689" s="1491" t="n"/>
      <c r="AB689" s="1491" t="n"/>
      <c r="AC689" s="1491" t="n"/>
      <c r="AD689" s="1491" t="n"/>
      <c r="AE689" s="1491" t="n"/>
      <c r="AF689" s="1491" t="n"/>
      <c r="AG689" s="1491" t="n"/>
      <c r="AH689" s="1491" t="n"/>
      <c r="AI689" s="1491" t="n"/>
      <c r="AJ689" s="1491" t="n"/>
      <c r="AK689" s="1491" t="n"/>
      <c r="AL689" s="1491" t="n"/>
      <c r="AM689" s="1491" t="n"/>
      <c r="AN689" s="1491" t="n"/>
      <c r="AO689" s="1491" t="n"/>
      <c r="AP689" s="1491" t="n"/>
      <c r="AQ689" s="1491" t="n"/>
      <c r="AR689" s="1491" t="n"/>
      <c r="AS689" s="1491" t="n"/>
      <c r="AT689" s="1491" t="n"/>
      <c r="AU689" s="1491" t="n"/>
      <c r="AV689" s="1491" t="n"/>
      <c r="AW689" s="1491" t="n"/>
      <c r="AX689" s="1491" t="n"/>
      <c r="AY689" s="1491" t="n"/>
      <c r="AZ689" s="1491" t="n"/>
      <c r="BA689" s="1491" t="n"/>
      <c r="BB689" s="1491" t="n"/>
      <c r="BC689" s="1491" t="n"/>
      <c r="BD689" s="1491" t="n"/>
      <c r="BE689" s="1491" t="n"/>
      <c r="BF689" s="1491" t="n"/>
      <c r="BG689" s="1491" t="n"/>
      <c r="BH689" s="1491" t="n"/>
      <c r="BI689" s="1491" t="n"/>
      <c r="BJ689" s="1491" t="n"/>
      <c r="BK689" s="1491" t="n"/>
      <c r="BL689" s="1491" t="n"/>
      <c r="BM689" s="1491" t="n"/>
      <c r="BN689" s="1491" t="n"/>
      <c r="BO689" s="1491" t="n"/>
      <c r="BP689" s="1491" t="n"/>
      <c r="BQ689" s="1491" t="n"/>
      <c r="BR689" s="1491" t="n"/>
      <c r="BS689" s="1491" t="n"/>
      <c r="BT689" s="1491" t="n"/>
      <c r="BU689" s="1491" t="n"/>
      <c r="BV689" s="1491" t="n"/>
      <c r="BW689" s="1491" t="n"/>
      <c r="BX689" s="1491" t="n"/>
      <c r="BY689" s="1491" t="n"/>
      <c r="BZ689" s="1491" t="n"/>
      <c r="CA689" s="1491" t="n"/>
      <c r="CB689" s="1491" t="n"/>
      <c r="CC689" s="1491" t="n"/>
      <c r="CD689" s="1491" t="n"/>
      <c r="CE689" s="1491" t="n"/>
      <c r="CF689" s="1491" t="n"/>
      <c r="CG689" s="1491" t="n"/>
      <c r="CH689" s="1491" t="n"/>
      <c r="CI689" s="1491" t="n"/>
      <c r="CJ689" s="1491" t="n"/>
      <c r="CK689" s="1491" t="n"/>
      <c r="CL689" s="1491" t="n"/>
      <c r="CM689" s="1491" t="n"/>
      <c r="CN689" s="1491" t="n"/>
      <c r="CO689" s="1491" t="n"/>
      <c r="CP689" s="1491" t="n"/>
      <c r="CQ689" s="1491" t="n"/>
      <c r="CR689" s="1491" t="n"/>
      <c r="CS689" s="1491" t="n"/>
      <c r="CT689" s="1491" t="n"/>
      <c r="CU689" s="1491" t="n"/>
      <c r="CV689" s="1491" t="n"/>
      <c r="CW689" s="1491" t="n"/>
      <c r="CX689" s="1491" t="n"/>
    </row>
    <row r="690">
      <c r="A690" s="1491" t="n"/>
      <c r="B690" s="1491" t="n"/>
      <c r="C690" s="1491" t="n"/>
      <c r="D690" s="1491" t="n"/>
      <c r="E690" s="1491" t="n"/>
      <c r="F690" s="1491" t="n"/>
      <c r="G690" s="1491" t="n"/>
      <c r="H690" s="1491" t="n"/>
      <c r="I690" s="1491" t="n"/>
      <c r="J690" s="1491" t="n"/>
      <c r="K690" s="1491" t="n"/>
      <c r="L690" s="1491" t="n"/>
      <c r="M690" s="1491" t="n"/>
      <c r="N690" s="1491" t="n"/>
      <c r="O690" s="1491" t="n"/>
      <c r="P690" s="1491" t="n"/>
      <c r="Q690" s="1491" t="n"/>
      <c r="R690" s="1491" t="n"/>
      <c r="S690" s="1491" t="n"/>
      <c r="T690" s="1491" t="n"/>
      <c r="U690" s="1491" t="n"/>
      <c r="V690" s="1491" t="n"/>
      <c r="W690" s="1491" t="n"/>
      <c r="X690" s="1491" t="n"/>
      <c r="Y690" s="1491" t="n"/>
      <c r="Z690" s="1491" t="n"/>
      <c r="AA690" s="1491" t="n"/>
      <c r="AB690" s="1491" t="n"/>
      <c r="AC690" s="1491" t="n"/>
      <c r="AD690" s="1491" t="n"/>
      <c r="AE690" s="1491" t="n"/>
      <c r="AF690" s="1491" t="n"/>
      <c r="AG690" s="1491" t="n"/>
      <c r="AH690" s="1491" t="n"/>
      <c r="AI690" s="1491" t="n"/>
      <c r="AJ690" s="1491" t="n"/>
      <c r="AK690" s="1491" t="n"/>
      <c r="AL690" s="1491" t="n"/>
      <c r="AM690" s="1491" t="n"/>
      <c r="AN690" s="1491" t="n"/>
      <c r="AO690" s="1491" t="n"/>
      <c r="AP690" s="1491" t="n"/>
      <c r="AQ690" s="1491" t="n"/>
      <c r="AR690" s="1491" t="n"/>
      <c r="AS690" s="1491" t="n"/>
      <c r="AT690" s="1491" t="n"/>
      <c r="AU690" s="1491" t="n"/>
      <c r="AV690" s="1491" t="n"/>
      <c r="AW690" s="1491" t="n"/>
      <c r="AX690" s="1491" t="n"/>
      <c r="AY690" s="1491" t="n"/>
      <c r="AZ690" s="1491" t="n"/>
      <c r="BA690" s="1491" t="n"/>
      <c r="BB690" s="1491" t="n"/>
      <c r="BC690" s="1491" t="n"/>
      <c r="BD690" s="1491" t="n"/>
      <c r="BE690" s="1491" t="n"/>
      <c r="BF690" s="1491" t="n"/>
      <c r="BG690" s="1491" t="n"/>
      <c r="BH690" s="1491" t="n"/>
      <c r="BI690" s="1491" t="n"/>
      <c r="BJ690" s="1491" t="n"/>
      <c r="BK690" s="1491" t="n"/>
      <c r="BL690" s="1491" t="n"/>
      <c r="BM690" s="1491" t="n"/>
      <c r="BN690" s="1491" t="n"/>
      <c r="BO690" s="1491" t="n"/>
      <c r="BP690" s="1491" t="n"/>
      <c r="BQ690" s="1491" t="n"/>
      <c r="BR690" s="1491" t="n"/>
      <c r="BS690" s="1491" t="n"/>
      <c r="BT690" s="1491" t="n"/>
      <c r="BU690" s="1491" t="n"/>
      <c r="BV690" s="1491" t="n"/>
      <c r="BW690" s="1491" t="n"/>
      <c r="BX690" s="1491" t="n"/>
      <c r="BY690" s="1491" t="n"/>
      <c r="BZ690" s="1491" t="n"/>
      <c r="CA690" s="1491" t="n"/>
      <c r="CB690" s="1491" t="n"/>
      <c r="CC690" s="1491" t="n"/>
      <c r="CD690" s="1491" t="n"/>
      <c r="CE690" s="1491" t="n"/>
      <c r="CF690" s="1491" t="n"/>
      <c r="CG690" s="1491" t="n"/>
      <c r="CH690" s="1491" t="n"/>
      <c r="CI690" s="1491" t="n"/>
      <c r="CJ690" s="1491" t="n"/>
      <c r="CK690" s="1491" t="n"/>
      <c r="CL690" s="1491" t="n"/>
      <c r="CM690" s="1491" t="n"/>
      <c r="CN690" s="1491" t="n"/>
      <c r="CO690" s="1491" t="n"/>
      <c r="CP690" s="1491" t="n"/>
      <c r="CQ690" s="1491" t="n"/>
      <c r="CR690" s="1491" t="n"/>
      <c r="CS690" s="1491" t="n"/>
      <c r="CT690" s="1491" t="n"/>
      <c r="CU690" s="1491" t="n"/>
      <c r="CV690" s="1491" t="n"/>
      <c r="CW690" s="1491" t="n"/>
      <c r="CX690" s="1491" t="n"/>
    </row>
    <row r="691">
      <c r="A691" s="1491" t="n"/>
      <c r="B691" s="1491" t="n"/>
      <c r="C691" s="1491" t="n"/>
      <c r="D691" s="1491" t="n"/>
      <c r="E691" s="1491" t="n"/>
      <c r="F691" s="1491" t="n"/>
      <c r="G691" s="1491" t="n"/>
      <c r="H691" s="1491" t="n"/>
      <c r="I691" s="1491" t="n"/>
      <c r="J691" s="1491" t="n"/>
      <c r="K691" s="1491" t="n"/>
      <c r="L691" s="1491" t="n"/>
      <c r="M691" s="1491" t="n"/>
      <c r="N691" s="1491" t="n"/>
      <c r="O691" s="1491" t="n"/>
      <c r="P691" s="1491" t="n"/>
      <c r="Q691" s="1491" t="n"/>
      <c r="R691" s="1491" t="n"/>
      <c r="S691" s="1491" t="n"/>
      <c r="T691" s="1491" t="n"/>
      <c r="U691" s="1491" t="n"/>
      <c r="V691" s="1491" t="n"/>
      <c r="W691" s="1491" t="n"/>
      <c r="X691" s="1491" t="n"/>
      <c r="Y691" s="1491" t="n"/>
      <c r="Z691" s="1491" t="n"/>
      <c r="AA691" s="1491" t="n"/>
      <c r="AB691" s="1491" t="n"/>
      <c r="AC691" s="1491" t="n"/>
      <c r="AD691" s="1491" t="n"/>
      <c r="AE691" s="1491" t="n"/>
      <c r="AF691" s="1491" t="n"/>
      <c r="AG691" s="1491" t="n"/>
      <c r="AH691" s="1491" t="n"/>
      <c r="AI691" s="1491" t="n"/>
      <c r="AJ691" s="1491" t="n"/>
      <c r="AK691" s="1491" t="n"/>
      <c r="AL691" s="1491" t="n"/>
      <c r="AM691" s="1491" t="n"/>
      <c r="AN691" s="1491" t="n"/>
      <c r="AO691" s="1491" t="n"/>
      <c r="AP691" s="1491" t="n"/>
      <c r="AQ691" s="1491" t="n"/>
      <c r="AR691" s="1491" t="n"/>
      <c r="AS691" s="1491" t="n"/>
      <c r="AT691" s="1491" t="n"/>
      <c r="AU691" s="1491" t="n"/>
      <c r="AV691" s="1491" t="n"/>
      <c r="AW691" s="1491" t="n"/>
      <c r="AX691" s="1491" t="n"/>
      <c r="AY691" s="1491" t="n"/>
      <c r="AZ691" s="1491" t="n"/>
      <c r="BA691" s="1491" t="n"/>
      <c r="BB691" s="1491" t="n"/>
      <c r="BC691" s="1491" t="n"/>
      <c r="BD691" s="1491" t="n"/>
      <c r="BE691" s="1491" t="n"/>
      <c r="BF691" s="1491" t="n"/>
      <c r="BG691" s="1491" t="n"/>
      <c r="BH691" s="1491" t="n"/>
      <c r="BI691" s="1491" t="n"/>
      <c r="BJ691" s="1491" t="n"/>
      <c r="BK691" s="1491" t="n"/>
      <c r="BL691" s="1491" t="n"/>
      <c r="BM691" s="1491" t="n"/>
      <c r="BN691" s="1491" t="n"/>
      <c r="BO691" s="1491" t="n"/>
      <c r="BP691" s="1491" t="n"/>
      <c r="BQ691" s="1491" t="n"/>
      <c r="BR691" s="1491" t="n"/>
      <c r="BS691" s="1491" t="n"/>
      <c r="BT691" s="1491" t="n"/>
      <c r="BU691" s="1491" t="n"/>
      <c r="BV691" s="1491" t="n"/>
      <c r="BW691" s="1491" t="n"/>
      <c r="BX691" s="1491" t="n"/>
      <c r="BY691" s="1491" t="n"/>
      <c r="BZ691" s="1491" t="n"/>
      <c r="CA691" s="1491" t="n"/>
      <c r="CB691" s="1491" t="n"/>
      <c r="CC691" s="1491" t="n"/>
      <c r="CD691" s="1491" t="n"/>
      <c r="CE691" s="1491" t="n"/>
      <c r="CF691" s="1491" t="n"/>
      <c r="CG691" s="1491" t="n"/>
      <c r="CH691" s="1491" t="n"/>
      <c r="CI691" s="1491" t="n"/>
      <c r="CJ691" s="1491" t="n"/>
      <c r="CK691" s="1491" t="n"/>
      <c r="CL691" s="1491" t="n"/>
      <c r="CM691" s="1491" t="n"/>
      <c r="CN691" s="1491" t="n"/>
      <c r="CO691" s="1491" t="n"/>
      <c r="CP691" s="1491" t="n"/>
      <c r="CQ691" s="1491" t="n"/>
      <c r="CR691" s="1491" t="n"/>
      <c r="CS691" s="1491" t="n"/>
      <c r="CT691" s="1491" t="n"/>
      <c r="CU691" s="1491" t="n"/>
      <c r="CV691" s="1491" t="n"/>
      <c r="CW691" s="1491" t="n"/>
      <c r="CX691" s="1491" t="n"/>
    </row>
    <row r="692">
      <c r="A692" s="1491" t="n"/>
      <c r="B692" s="1491" t="n"/>
      <c r="C692" s="1491" t="n"/>
      <c r="D692" s="1491" t="n"/>
      <c r="E692" s="1491" t="n"/>
      <c r="F692" s="1491" t="n"/>
      <c r="G692" s="1491" t="n"/>
      <c r="H692" s="1491" t="n"/>
      <c r="I692" s="1491" t="n"/>
      <c r="J692" s="1491" t="n"/>
      <c r="K692" s="1491" t="n"/>
      <c r="L692" s="1491" t="n"/>
      <c r="M692" s="1491" t="n"/>
      <c r="N692" s="1491" t="n"/>
      <c r="O692" s="1491" t="n"/>
      <c r="P692" s="1491" t="n"/>
      <c r="Q692" s="1491" t="n"/>
      <c r="R692" s="1491" t="n"/>
      <c r="S692" s="1491" t="n"/>
      <c r="T692" s="1491" t="n"/>
      <c r="U692" s="1491" t="n"/>
      <c r="V692" s="1491" t="n"/>
      <c r="W692" s="1491" t="n"/>
      <c r="X692" s="1491" t="n"/>
      <c r="Y692" s="1491" t="n"/>
      <c r="Z692" s="1491" t="n"/>
      <c r="AA692" s="1491" t="n"/>
      <c r="AB692" s="1491" t="n"/>
      <c r="AC692" s="1491" t="n"/>
      <c r="AD692" s="1491" t="n"/>
      <c r="AE692" s="1491" t="n"/>
      <c r="AF692" s="1491" t="n"/>
      <c r="AG692" s="1491" t="n"/>
      <c r="AH692" s="1491" t="n"/>
      <c r="AI692" s="1491" t="n"/>
      <c r="AJ692" s="1491" t="n"/>
      <c r="AK692" s="1491" t="n"/>
      <c r="AL692" s="1491" t="n"/>
      <c r="AM692" s="1491" t="n"/>
      <c r="AN692" s="1491" t="n"/>
      <c r="AO692" s="1491" t="n"/>
      <c r="AP692" s="1491" t="n"/>
      <c r="AQ692" s="1491" t="n"/>
      <c r="AR692" s="1491" t="n"/>
      <c r="AS692" s="1491" t="n"/>
      <c r="AT692" s="1491" t="n"/>
      <c r="AU692" s="1491" t="n"/>
      <c r="AV692" s="1491" t="n"/>
      <c r="AW692" s="1491" t="n"/>
      <c r="AX692" s="1491" t="n"/>
      <c r="AY692" s="1491" t="n"/>
      <c r="AZ692" s="1491" t="n"/>
      <c r="BA692" s="1491" t="n"/>
      <c r="BB692" s="1491" t="n"/>
      <c r="BC692" s="1491" t="n"/>
      <c r="BD692" s="1491" t="n"/>
      <c r="BE692" s="1491" t="n"/>
      <c r="BF692" s="1491" t="n"/>
      <c r="BG692" s="1491" t="n"/>
      <c r="BH692" s="1491" t="n"/>
      <c r="BI692" s="1491" t="n"/>
      <c r="BJ692" s="1491" t="n"/>
      <c r="BK692" s="1491" t="n"/>
      <c r="BL692" s="1491" t="n"/>
      <c r="BM692" s="1491" t="n"/>
      <c r="BN692" s="1491" t="n"/>
      <c r="BO692" s="1491" t="n"/>
      <c r="BP692" s="1491" t="n"/>
      <c r="BQ692" s="1491" t="n"/>
      <c r="BR692" s="1491" t="n"/>
      <c r="BS692" s="1491" t="n"/>
      <c r="BT692" s="1491" t="n"/>
      <c r="BU692" s="1491" t="n"/>
      <c r="BV692" s="1491" t="n"/>
      <c r="BW692" s="1491" t="n"/>
      <c r="BX692" s="1491" t="n"/>
      <c r="BY692" s="1491" t="n"/>
      <c r="BZ692" s="1491" t="n"/>
      <c r="CA692" s="1491" t="n"/>
      <c r="CB692" s="1491" t="n"/>
      <c r="CC692" s="1491" t="n"/>
      <c r="CD692" s="1491" t="n"/>
      <c r="CE692" s="1491" t="n"/>
      <c r="CF692" s="1491" t="n"/>
      <c r="CG692" s="1491" t="n"/>
      <c r="CH692" s="1491" t="n"/>
      <c r="CI692" s="1491" t="n"/>
      <c r="CJ692" s="1491" t="n"/>
      <c r="CK692" s="1491" t="n"/>
      <c r="CL692" s="1491" t="n"/>
      <c r="CM692" s="1491" t="n"/>
      <c r="CN692" s="1491" t="n"/>
      <c r="CO692" s="1491" t="n"/>
      <c r="CP692" s="1491" t="n"/>
      <c r="CQ692" s="1491" t="n"/>
      <c r="CR692" s="1491" t="n"/>
      <c r="CS692" s="1491" t="n"/>
      <c r="CT692" s="1491" t="n"/>
      <c r="CU692" s="1491" t="n"/>
      <c r="CV692" s="1491" t="n"/>
      <c r="CW692" s="1491" t="n"/>
      <c r="CX692" s="1491" t="n"/>
    </row>
    <row r="693">
      <c r="A693" s="1491" t="n"/>
      <c r="B693" s="1491" t="n"/>
      <c r="C693" s="1491" t="n"/>
      <c r="D693" s="1491" t="n"/>
      <c r="E693" s="1491" t="n"/>
      <c r="F693" s="1491" t="n"/>
      <c r="G693" s="1491" t="n"/>
      <c r="H693" s="1491" t="n"/>
      <c r="I693" s="1491" t="n"/>
      <c r="J693" s="1491" t="n"/>
      <c r="K693" s="1491" t="n"/>
      <c r="L693" s="1491" t="n"/>
      <c r="M693" s="1491" t="n"/>
      <c r="N693" s="1491" t="n"/>
      <c r="O693" s="1491" t="n"/>
      <c r="P693" s="1491" t="n"/>
      <c r="Q693" s="1491" t="n"/>
      <c r="R693" s="1491" t="n"/>
      <c r="S693" s="1491" t="n"/>
      <c r="T693" s="1491" t="n"/>
      <c r="U693" s="1491" t="n"/>
      <c r="V693" s="1491" t="n"/>
      <c r="W693" s="1491" t="n"/>
      <c r="X693" s="1491" t="n"/>
      <c r="Y693" s="1491" t="n"/>
      <c r="Z693" s="1491" t="n"/>
      <c r="AA693" s="1491" t="n"/>
      <c r="AB693" s="1491" t="n"/>
      <c r="AC693" s="1491" t="n"/>
      <c r="AD693" s="1491" t="n"/>
      <c r="AE693" s="1491" t="n"/>
      <c r="AF693" s="1491" t="n"/>
      <c r="AG693" s="1491" t="n"/>
      <c r="AH693" s="1491" t="n"/>
      <c r="AI693" s="1491" t="n"/>
      <c r="AJ693" s="1491" t="n"/>
      <c r="AK693" s="1491" t="n"/>
      <c r="AL693" s="1491" t="n"/>
      <c r="AM693" s="1491" t="n"/>
      <c r="AN693" s="1491" t="n"/>
      <c r="AO693" s="1491" t="n"/>
      <c r="AP693" s="1491" t="n"/>
      <c r="AQ693" s="1491" t="n"/>
      <c r="AR693" s="1491" t="n"/>
      <c r="AS693" s="1491" t="n"/>
      <c r="AT693" s="1491" t="n"/>
      <c r="AU693" s="1491" t="n"/>
      <c r="AV693" s="1491" t="n"/>
      <c r="AW693" s="1491" t="n"/>
      <c r="AX693" s="1491" t="n"/>
      <c r="AY693" s="1491" t="n"/>
      <c r="AZ693" s="1491" t="n"/>
      <c r="BA693" s="1491" t="n"/>
      <c r="BB693" s="1491" t="n"/>
      <c r="BC693" s="1491" t="n"/>
      <c r="BD693" s="1491" t="n"/>
      <c r="BE693" s="1491" t="n"/>
      <c r="BF693" s="1491" t="n"/>
      <c r="BG693" s="1491" t="n"/>
      <c r="BH693" s="1491" t="n"/>
      <c r="BI693" s="1491" t="n"/>
      <c r="BJ693" s="1491" t="n"/>
      <c r="BK693" s="1491" t="n"/>
      <c r="BL693" s="1491" t="n"/>
      <c r="BM693" s="1491" t="n"/>
      <c r="BN693" s="1491" t="n"/>
      <c r="BO693" s="1491" t="n"/>
      <c r="BP693" s="1491" t="n"/>
      <c r="BQ693" s="1491" t="n"/>
      <c r="BR693" s="1491" t="n"/>
      <c r="BS693" s="1491" t="n"/>
      <c r="BT693" s="1491" t="n"/>
      <c r="BU693" s="1491" t="n"/>
      <c r="BV693" s="1491" t="n"/>
      <c r="BW693" s="1491" t="n"/>
      <c r="BX693" s="1491" t="n"/>
      <c r="BY693" s="1491" t="n"/>
      <c r="BZ693" s="1491" t="n"/>
      <c r="CA693" s="1491" t="n"/>
      <c r="CB693" s="1491" t="n"/>
      <c r="CC693" s="1491" t="n"/>
      <c r="CD693" s="1491" t="n"/>
      <c r="CE693" s="1491" t="n"/>
      <c r="CF693" s="1491" t="n"/>
      <c r="CG693" s="1491" t="n"/>
      <c r="CH693" s="1491" t="n"/>
      <c r="CI693" s="1491" t="n"/>
      <c r="CJ693" s="1491" t="n"/>
      <c r="CK693" s="1491" t="n"/>
      <c r="CL693" s="1491" t="n"/>
      <c r="CM693" s="1491" t="n"/>
      <c r="CN693" s="1491" t="n"/>
      <c r="CO693" s="1491" t="n"/>
      <c r="CP693" s="1491" t="n"/>
      <c r="CQ693" s="1491" t="n"/>
      <c r="CR693" s="1491" t="n"/>
      <c r="CS693" s="1491" t="n"/>
      <c r="CT693" s="1491" t="n"/>
      <c r="CU693" s="1491" t="n"/>
      <c r="CV693" s="1491" t="n"/>
      <c r="CW693" s="1491" t="n"/>
      <c r="CX693" s="1491" t="n"/>
    </row>
    <row r="694">
      <c r="A694" s="1491" t="n"/>
      <c r="B694" s="1491" t="n"/>
      <c r="C694" s="1491" t="n"/>
      <c r="D694" s="1491" t="n"/>
      <c r="E694" s="1491" t="n"/>
      <c r="F694" s="1491" t="n"/>
      <c r="G694" s="1491" t="n"/>
      <c r="H694" s="1491" t="n"/>
      <c r="I694" s="1491" t="n"/>
      <c r="J694" s="1491" t="n"/>
      <c r="K694" s="1491" t="n"/>
      <c r="L694" s="1491" t="n"/>
      <c r="M694" s="1491" t="n"/>
      <c r="N694" s="1491" t="n"/>
      <c r="O694" s="1491" t="n"/>
      <c r="P694" s="1491" t="n"/>
      <c r="Q694" s="1491" t="n"/>
      <c r="R694" s="1491" t="n"/>
      <c r="S694" s="1491" t="n"/>
      <c r="T694" s="1491" t="n"/>
      <c r="U694" s="1491" t="n"/>
      <c r="V694" s="1491" t="n"/>
      <c r="W694" s="1491" t="n"/>
      <c r="X694" s="1491" t="n"/>
      <c r="Y694" s="1491" t="n"/>
      <c r="Z694" s="1491" t="n"/>
      <c r="AA694" s="1491" t="n"/>
      <c r="AB694" s="1491" t="n"/>
      <c r="AC694" s="1491" t="n"/>
      <c r="AD694" s="1491" t="n"/>
      <c r="AE694" s="1491" t="n"/>
      <c r="AF694" s="1491" t="n"/>
      <c r="AG694" s="1491" t="n"/>
      <c r="AH694" s="1491" t="n"/>
      <c r="AI694" s="1491" t="n"/>
      <c r="AJ694" s="1491" t="n"/>
      <c r="AK694" s="1491" t="n"/>
      <c r="AL694" s="1491" t="n"/>
      <c r="AM694" s="1491" t="n"/>
      <c r="AN694" s="1491" t="n"/>
      <c r="AO694" s="1491" t="n"/>
      <c r="AP694" s="1491" t="n"/>
      <c r="AQ694" s="1491" t="n"/>
      <c r="AR694" s="1491" t="n"/>
      <c r="AS694" s="1491" t="n"/>
      <c r="AT694" s="1491" t="n"/>
      <c r="AU694" s="1491" t="n"/>
      <c r="AV694" s="1491" t="n"/>
      <c r="AW694" s="1491" t="n"/>
      <c r="AX694" s="1491" t="n"/>
      <c r="AY694" s="1491" t="n"/>
      <c r="AZ694" s="1491" t="n"/>
      <c r="BA694" s="1491" t="n"/>
      <c r="BB694" s="1491" t="n"/>
      <c r="BC694" s="1491" t="n"/>
      <c r="BD694" s="1491" t="n"/>
      <c r="BE694" s="1491" t="n"/>
      <c r="BF694" s="1491" t="n"/>
      <c r="BG694" s="1491" t="n"/>
      <c r="BH694" s="1491" t="n"/>
      <c r="BI694" s="1491" t="n"/>
      <c r="BJ694" s="1491" t="n"/>
      <c r="BK694" s="1491" t="n"/>
      <c r="BL694" s="1491" t="n"/>
      <c r="BM694" s="1491" t="n"/>
      <c r="BN694" s="1491" t="n"/>
      <c r="BO694" s="1491" t="n"/>
      <c r="BP694" s="1491" t="n"/>
      <c r="BQ694" s="1491" t="n"/>
      <c r="BR694" s="1491" t="n"/>
      <c r="BS694" s="1491" t="n"/>
      <c r="BT694" s="1491" t="n"/>
      <c r="BU694" s="1491" t="n"/>
      <c r="BV694" s="1491" t="n"/>
      <c r="BW694" s="1491" t="n"/>
      <c r="BX694" s="1491" t="n"/>
      <c r="BY694" s="1491" t="n"/>
      <c r="BZ694" s="1491" t="n"/>
      <c r="CA694" s="1491" t="n"/>
      <c r="CB694" s="1491" t="n"/>
      <c r="CC694" s="1491" t="n"/>
      <c r="CD694" s="1491" t="n"/>
      <c r="CE694" s="1491" t="n"/>
      <c r="CF694" s="1491" t="n"/>
      <c r="CG694" s="1491" t="n"/>
      <c r="CH694" s="1491" t="n"/>
      <c r="CI694" s="1491" t="n"/>
      <c r="CJ694" s="1491" t="n"/>
      <c r="CK694" s="1491" t="n"/>
      <c r="CL694" s="1491" t="n"/>
      <c r="CM694" s="1491" t="n"/>
      <c r="CN694" s="1491" t="n"/>
      <c r="CO694" s="1491" t="n"/>
      <c r="CP694" s="1491" t="n"/>
      <c r="CQ694" s="1491" t="n"/>
      <c r="CR694" s="1491" t="n"/>
      <c r="CS694" s="1491" t="n"/>
      <c r="CT694" s="1491" t="n"/>
      <c r="CU694" s="1491" t="n"/>
      <c r="CV694" s="1491" t="n"/>
      <c r="CW694" s="1491" t="n"/>
      <c r="CX694" s="1491" t="n"/>
    </row>
    <row r="695">
      <c r="A695" s="1491" t="n"/>
      <c r="B695" s="1491" t="n"/>
      <c r="C695" s="1491" t="n"/>
      <c r="D695" s="1491" t="n"/>
      <c r="E695" s="1491" t="n"/>
      <c r="F695" s="1491" t="n"/>
      <c r="G695" s="1491" t="n"/>
      <c r="H695" s="1491" t="n"/>
      <c r="I695" s="1491" t="n"/>
      <c r="J695" s="1491" t="n"/>
      <c r="K695" s="1491" t="n"/>
      <c r="L695" s="1491" t="n"/>
      <c r="M695" s="1491" t="n"/>
      <c r="N695" s="1491" t="n"/>
      <c r="O695" s="1491" t="n"/>
      <c r="P695" s="1491" t="n"/>
      <c r="Q695" s="1491" t="n"/>
      <c r="R695" s="1491" t="n"/>
      <c r="S695" s="1491" t="n"/>
      <c r="T695" s="1491" t="n"/>
      <c r="U695" s="1491" t="n"/>
      <c r="V695" s="1491" t="n"/>
      <c r="W695" s="1491" t="n"/>
      <c r="X695" s="1491" t="n"/>
      <c r="Y695" s="1491" t="n"/>
      <c r="Z695" s="1491" t="n"/>
      <c r="AA695" s="1491" t="n"/>
      <c r="AB695" s="1491" t="n"/>
      <c r="AC695" s="1491" t="n"/>
      <c r="AD695" s="1491" t="n"/>
      <c r="AE695" s="1491" t="n"/>
      <c r="AF695" s="1491" t="n"/>
      <c r="AG695" s="1491" t="n"/>
      <c r="AH695" s="1491" t="n"/>
      <c r="AI695" s="1491" t="n"/>
      <c r="AJ695" s="1491" t="n"/>
      <c r="AK695" s="1491" t="n"/>
      <c r="AL695" s="1491" t="n"/>
      <c r="AM695" s="1491" t="n"/>
      <c r="AN695" s="1491" t="n"/>
      <c r="AO695" s="1491" t="n"/>
      <c r="AP695" s="1491" t="n"/>
      <c r="AQ695" s="1491" t="n"/>
      <c r="AR695" s="1491" t="n"/>
      <c r="AS695" s="1491" t="n"/>
      <c r="AT695" s="1491" t="n"/>
      <c r="AU695" s="1491" t="n"/>
      <c r="AV695" s="1491" t="n"/>
      <c r="AW695" s="1491" t="n"/>
      <c r="AX695" s="1491" t="n"/>
      <c r="AY695" s="1491" t="n"/>
      <c r="AZ695" s="1491" t="n"/>
      <c r="BA695" s="1491" t="n"/>
      <c r="BB695" s="1491" t="n"/>
      <c r="BC695" s="1491" t="n"/>
      <c r="BD695" s="1491" t="n"/>
      <c r="BE695" s="1491" t="n"/>
      <c r="BF695" s="1491" t="n"/>
      <c r="BG695" s="1491" t="n"/>
      <c r="BH695" s="1491" t="n"/>
      <c r="BI695" s="1491" t="n"/>
      <c r="BJ695" s="1491" t="n"/>
      <c r="BK695" s="1491" t="n"/>
      <c r="BL695" s="1491" t="n"/>
      <c r="BM695" s="1491" t="n"/>
      <c r="BN695" s="1491" t="n"/>
      <c r="BO695" s="1491" t="n"/>
      <c r="BP695" s="1491" t="n"/>
      <c r="BQ695" s="1491" t="n"/>
      <c r="BR695" s="1491" t="n"/>
      <c r="BS695" s="1491" t="n"/>
      <c r="BT695" s="1491" t="n"/>
      <c r="BU695" s="1491" t="n"/>
      <c r="BV695" s="1491" t="n"/>
      <c r="BW695" s="1491" t="n"/>
      <c r="BX695" s="1491" t="n"/>
      <c r="BY695" s="1491" t="n"/>
      <c r="BZ695" s="1491" t="n"/>
      <c r="CA695" s="1491" t="n"/>
      <c r="CB695" s="1491" t="n"/>
      <c r="CC695" s="1491" t="n"/>
      <c r="CD695" s="1491" t="n"/>
      <c r="CE695" s="1491" t="n"/>
      <c r="CF695" s="1491" t="n"/>
      <c r="CG695" s="1491" t="n"/>
      <c r="CH695" s="1491" t="n"/>
      <c r="CI695" s="1491" t="n"/>
      <c r="CJ695" s="1491" t="n"/>
      <c r="CK695" s="1491" t="n"/>
      <c r="CL695" s="1491" t="n"/>
      <c r="CM695" s="1491" t="n"/>
      <c r="CN695" s="1491" t="n"/>
      <c r="CO695" s="1491" t="n"/>
      <c r="CP695" s="1491" t="n"/>
      <c r="CQ695" s="1491" t="n"/>
      <c r="CR695" s="1491" t="n"/>
      <c r="CS695" s="1491" t="n"/>
      <c r="CT695" s="1491" t="n"/>
      <c r="CU695" s="1491" t="n"/>
      <c r="CV695" s="1491" t="n"/>
      <c r="CW695" s="1491" t="n"/>
      <c r="CX695" s="1491" t="n"/>
    </row>
    <row r="696">
      <c r="A696" s="1491" t="n"/>
      <c r="B696" s="1491" t="n"/>
      <c r="C696" s="1491" t="n"/>
      <c r="D696" s="1491" t="n"/>
      <c r="E696" s="1491" t="n"/>
      <c r="F696" s="1491" t="n"/>
      <c r="G696" s="1491" t="n"/>
      <c r="H696" s="1491" t="n"/>
      <c r="I696" s="1491" t="n"/>
      <c r="J696" s="1491" t="n"/>
      <c r="K696" s="1491" t="n"/>
      <c r="L696" s="1491" t="n"/>
      <c r="M696" s="1491" t="n"/>
      <c r="N696" s="1491" t="n"/>
      <c r="O696" s="1491" t="n"/>
      <c r="P696" s="1491" t="n"/>
      <c r="Q696" s="1491" t="n"/>
      <c r="R696" s="1491" t="n"/>
      <c r="S696" s="1491" t="n"/>
      <c r="T696" s="1491" t="n"/>
      <c r="U696" s="1491" t="n"/>
      <c r="V696" s="1491" t="n"/>
      <c r="W696" s="1491" t="n"/>
      <c r="X696" s="1491" t="n"/>
      <c r="Y696" s="1491" t="n"/>
      <c r="Z696" s="1491" t="n"/>
      <c r="AA696" s="1491" t="n"/>
      <c r="AB696" s="1491" t="n"/>
      <c r="AC696" s="1491" t="n"/>
      <c r="AD696" s="1491" t="n"/>
      <c r="AE696" s="1491" t="n"/>
      <c r="AF696" s="1491" t="n"/>
      <c r="AG696" s="1491" t="n"/>
      <c r="AH696" s="1491" t="n"/>
      <c r="AI696" s="1491" t="n"/>
      <c r="AJ696" s="1491" t="n"/>
      <c r="AK696" s="1491" t="n"/>
      <c r="AL696" s="1491" t="n"/>
      <c r="AM696" s="1491" t="n"/>
      <c r="AN696" s="1491" t="n"/>
      <c r="AO696" s="1491" t="n"/>
      <c r="AP696" s="1491" t="n"/>
      <c r="AQ696" s="1491" t="n"/>
      <c r="AR696" s="1491" t="n"/>
      <c r="AS696" s="1491" t="n"/>
      <c r="AT696" s="1491" t="n"/>
      <c r="AU696" s="1491" t="n"/>
      <c r="AV696" s="1491" t="n"/>
      <c r="AW696" s="1491" t="n"/>
      <c r="AX696" s="1491" t="n"/>
      <c r="AY696" s="1491" t="n"/>
      <c r="AZ696" s="1491" t="n"/>
      <c r="BA696" s="1491" t="n"/>
      <c r="BB696" s="1491" t="n"/>
      <c r="BC696" s="1491" t="n"/>
      <c r="BD696" s="1491" t="n"/>
      <c r="BE696" s="1491" t="n"/>
      <c r="BF696" s="1491" t="n"/>
      <c r="BG696" s="1491" t="n"/>
      <c r="BH696" s="1491" t="n"/>
      <c r="BI696" s="1491" t="n"/>
      <c r="BJ696" s="1491" t="n"/>
      <c r="BK696" s="1491" t="n"/>
      <c r="BL696" s="1491" t="n"/>
      <c r="BM696" s="1491" t="n"/>
      <c r="BN696" s="1491" t="n"/>
      <c r="BO696" s="1491" t="n"/>
      <c r="BP696" s="1491" t="n"/>
      <c r="BQ696" s="1491" t="n"/>
      <c r="BR696" s="1491" t="n"/>
      <c r="BS696" s="1491" t="n"/>
      <c r="BT696" s="1491" t="n"/>
      <c r="BU696" s="1491" t="n"/>
      <c r="BV696" s="1491" t="n"/>
      <c r="BW696" s="1491" t="n"/>
      <c r="BX696" s="1491" t="n"/>
      <c r="BY696" s="1491" t="n"/>
      <c r="BZ696" s="1491" t="n"/>
      <c r="CA696" s="1491" t="n"/>
      <c r="CB696" s="1491" t="n"/>
      <c r="CC696" s="1491" t="n"/>
      <c r="CD696" s="1491" t="n"/>
      <c r="CE696" s="1491" t="n"/>
      <c r="CF696" s="1491" t="n"/>
      <c r="CG696" s="1491" t="n"/>
      <c r="CH696" s="1491" t="n"/>
      <c r="CI696" s="1491" t="n"/>
      <c r="CJ696" s="1491" t="n"/>
      <c r="CK696" s="1491" t="n"/>
      <c r="CL696" s="1491" t="n"/>
      <c r="CM696" s="1491" t="n"/>
      <c r="CN696" s="1491" t="n"/>
      <c r="CO696" s="1491" t="n"/>
      <c r="CP696" s="1491" t="n"/>
      <c r="CQ696" s="1491" t="n"/>
      <c r="CR696" s="1491" t="n"/>
      <c r="CS696" s="1491" t="n"/>
      <c r="CT696" s="1491" t="n"/>
      <c r="CU696" s="1491" t="n"/>
      <c r="CV696" s="1491" t="n"/>
      <c r="CW696" s="1491" t="n"/>
      <c r="CX696" s="1491" t="n"/>
    </row>
    <row r="697">
      <c r="A697" s="1491" t="n"/>
      <c r="B697" s="1491" t="n"/>
      <c r="C697" s="1491" t="n"/>
      <c r="D697" s="1491" t="n"/>
      <c r="E697" s="1491" t="n"/>
      <c r="F697" s="1491" t="n"/>
      <c r="G697" s="1491" t="n"/>
      <c r="H697" s="1491" t="n"/>
      <c r="I697" s="1491" t="n"/>
      <c r="J697" s="1491" t="n"/>
      <c r="K697" s="1491" t="n"/>
      <c r="L697" s="1491" t="n"/>
      <c r="M697" s="1491" t="n"/>
      <c r="N697" s="1491" t="n"/>
      <c r="O697" s="1491" t="n"/>
      <c r="P697" s="1491" t="n"/>
      <c r="Q697" s="1491" t="n"/>
      <c r="R697" s="1491" t="n"/>
      <c r="S697" s="1491" t="n"/>
      <c r="T697" s="1491" t="n"/>
      <c r="U697" s="1491" t="n"/>
      <c r="V697" s="1491" t="n"/>
      <c r="W697" s="1491" t="n"/>
      <c r="X697" s="1491" t="n"/>
      <c r="Y697" s="1491" t="n"/>
      <c r="Z697" s="1491" t="n"/>
      <c r="AA697" s="1491" t="n"/>
      <c r="AB697" s="1491" t="n"/>
      <c r="AC697" s="1491" t="n"/>
      <c r="AD697" s="1491" t="n"/>
      <c r="AE697" s="1491" t="n"/>
      <c r="AF697" s="1491" t="n"/>
      <c r="AG697" s="1491" t="n"/>
      <c r="AH697" s="1491" t="n"/>
      <c r="AI697" s="1491" t="n"/>
      <c r="AJ697" s="1491" t="n"/>
      <c r="AK697" s="1491" t="n"/>
      <c r="AL697" s="1491" t="n"/>
      <c r="AM697" s="1491" t="n"/>
      <c r="AN697" s="1491" t="n"/>
      <c r="AO697" s="1491" t="n"/>
      <c r="AP697" s="1491" t="n"/>
      <c r="AQ697" s="1491" t="n"/>
      <c r="AR697" s="1491" t="n"/>
      <c r="AS697" s="1491" t="n"/>
      <c r="AT697" s="1491" t="n"/>
      <c r="AU697" s="1491" t="n"/>
      <c r="AV697" s="1491" t="n"/>
      <c r="AW697" s="1491" t="n"/>
      <c r="AX697" s="1491" t="n"/>
      <c r="AY697" s="1491" t="n"/>
      <c r="AZ697" s="1491" t="n"/>
      <c r="BA697" s="1491" t="n"/>
      <c r="BB697" s="1491" t="n"/>
      <c r="BC697" s="1491" t="n"/>
      <c r="BD697" s="1491" t="n"/>
      <c r="BE697" s="1491" t="n"/>
      <c r="BF697" s="1491" t="n"/>
      <c r="BG697" s="1491" t="n"/>
      <c r="BH697" s="1491" t="n"/>
      <c r="BI697" s="1491" t="n"/>
      <c r="BJ697" s="1491" t="n"/>
      <c r="BK697" s="1491" t="n"/>
      <c r="BL697" s="1491" t="n"/>
      <c r="BM697" s="1491" t="n"/>
      <c r="BN697" s="1491" t="n"/>
      <c r="BO697" s="1491" t="n"/>
      <c r="BP697" s="1491" t="n"/>
      <c r="BQ697" s="1491" t="n"/>
      <c r="BR697" s="1491" t="n"/>
      <c r="BS697" s="1491" t="n"/>
      <c r="BT697" s="1491" t="n"/>
      <c r="BU697" s="1491" t="n"/>
      <c r="BV697" s="1491" t="n"/>
      <c r="BW697" s="1491" t="n"/>
      <c r="BX697" s="1491" t="n"/>
      <c r="BY697" s="1491" t="n"/>
      <c r="BZ697" s="1491" t="n"/>
      <c r="CA697" s="1491" t="n"/>
      <c r="CB697" s="1491" t="n"/>
      <c r="CC697" s="1491" t="n"/>
      <c r="CD697" s="1491" t="n"/>
      <c r="CE697" s="1491" t="n"/>
      <c r="CF697" s="1491" t="n"/>
      <c r="CG697" s="1491" t="n"/>
      <c r="CH697" s="1491" t="n"/>
      <c r="CI697" s="1491" t="n"/>
      <c r="CJ697" s="1491" t="n"/>
      <c r="CK697" s="1491" t="n"/>
      <c r="CL697" s="1491" t="n"/>
      <c r="CM697" s="1491" t="n"/>
      <c r="CN697" s="1491" t="n"/>
      <c r="CO697" s="1491" t="n"/>
      <c r="CP697" s="1491" t="n"/>
      <c r="CQ697" s="1491" t="n"/>
      <c r="CR697" s="1491" t="n"/>
      <c r="CS697" s="1491" t="n"/>
      <c r="CT697" s="1491" t="n"/>
      <c r="CU697" s="1491" t="n"/>
      <c r="CV697" s="1491" t="n"/>
      <c r="CW697" s="1491" t="n"/>
      <c r="CX697" s="1491" t="n"/>
    </row>
    <row r="698">
      <c r="A698" s="1491" t="n"/>
      <c r="B698" s="1491" t="n"/>
      <c r="C698" s="1491" t="n"/>
      <c r="D698" s="1491" t="n"/>
      <c r="E698" s="1491" t="n"/>
      <c r="F698" s="1491" t="n"/>
      <c r="G698" s="1491" t="n"/>
      <c r="H698" s="1491" t="n"/>
      <c r="I698" s="1491" t="n"/>
      <c r="J698" s="1491" t="n"/>
      <c r="K698" s="1491" t="n"/>
      <c r="L698" s="1491" t="n"/>
      <c r="M698" s="1491" t="n"/>
      <c r="N698" s="1491" t="n"/>
      <c r="O698" s="1491" t="n"/>
      <c r="P698" s="1491" t="n"/>
      <c r="Q698" s="1491" t="n"/>
      <c r="R698" s="1491" t="n"/>
      <c r="S698" s="1491" t="n"/>
      <c r="T698" s="1491" t="n"/>
      <c r="U698" s="1491" t="n"/>
      <c r="V698" s="1491" t="n"/>
      <c r="W698" s="1491" t="n"/>
      <c r="X698" s="1491" t="n"/>
      <c r="Y698" s="1491" t="n"/>
      <c r="Z698" s="1491" t="n"/>
      <c r="AA698" s="1491" t="n"/>
      <c r="AB698" s="1491" t="n"/>
      <c r="AC698" s="1491" t="n"/>
      <c r="AD698" s="1491" t="n"/>
      <c r="AE698" s="1491" t="n"/>
      <c r="AF698" s="1491" t="n"/>
      <c r="AG698" s="1491" t="n"/>
      <c r="AH698" s="1491" t="n"/>
      <c r="AI698" s="1491" t="n"/>
      <c r="AJ698" s="1491" t="n"/>
      <c r="AK698" s="1491" t="n"/>
      <c r="AL698" s="1491" t="n"/>
      <c r="AM698" s="1491" t="n"/>
      <c r="AN698" s="1491" t="n"/>
      <c r="AO698" s="1491" t="n"/>
      <c r="AP698" s="1491" t="n"/>
      <c r="AQ698" s="1491" t="n"/>
      <c r="AR698" s="1491" t="n"/>
      <c r="AS698" s="1491" t="n"/>
      <c r="AT698" s="1491" t="n"/>
      <c r="AU698" s="1491" t="n"/>
      <c r="AV698" s="1491" t="n"/>
      <c r="AW698" s="1491" t="n"/>
      <c r="AX698" s="1491" t="n"/>
      <c r="AY698" s="1491" t="n"/>
      <c r="AZ698" s="1491" t="n"/>
      <c r="BA698" s="1491" t="n"/>
      <c r="BB698" s="1491" t="n"/>
      <c r="BC698" s="1491" t="n"/>
      <c r="BD698" s="1491" t="n"/>
      <c r="BE698" s="1491" t="n"/>
      <c r="BF698" s="1491" t="n"/>
      <c r="BG698" s="1491" t="n"/>
      <c r="BH698" s="1491" t="n"/>
      <c r="BI698" s="1491" t="n"/>
      <c r="BJ698" s="1491" t="n"/>
      <c r="BK698" s="1491" t="n"/>
      <c r="BL698" s="1491" t="n"/>
      <c r="BM698" s="1491" t="n"/>
      <c r="BN698" s="1491" t="n"/>
      <c r="BO698" s="1491" t="n"/>
      <c r="BP698" s="1491" t="n"/>
      <c r="BQ698" s="1491" t="n"/>
      <c r="BR698" s="1491" t="n"/>
      <c r="BS698" s="1491" t="n"/>
      <c r="BT698" s="1491" t="n"/>
      <c r="BU698" s="1491" t="n"/>
      <c r="BV698" s="1491" t="n"/>
      <c r="BW698" s="1491" t="n"/>
      <c r="BX698" s="1491" t="n"/>
      <c r="BY698" s="1491" t="n"/>
      <c r="BZ698" s="1491" t="n"/>
      <c r="CA698" s="1491" t="n"/>
      <c r="CB698" s="1491" t="n"/>
      <c r="CC698" s="1491" t="n"/>
      <c r="CD698" s="1491" t="n"/>
      <c r="CE698" s="1491" t="n"/>
      <c r="CF698" s="1491" t="n"/>
      <c r="CG698" s="1491" t="n"/>
      <c r="CH698" s="1491" t="n"/>
      <c r="CI698" s="1491" t="n"/>
      <c r="CJ698" s="1491" t="n"/>
      <c r="CK698" s="1491" t="n"/>
      <c r="CL698" s="1491" t="n"/>
      <c r="CM698" s="1491" t="n"/>
      <c r="CN698" s="1491" t="n"/>
      <c r="CO698" s="1491" t="n"/>
      <c r="CP698" s="1491" t="n"/>
      <c r="CQ698" s="1491" t="n"/>
      <c r="CR698" s="1491" t="n"/>
      <c r="CS698" s="1491" t="n"/>
      <c r="CT698" s="1491" t="n"/>
      <c r="CU698" s="1491" t="n"/>
      <c r="CV698" s="1491" t="n"/>
      <c r="CW698" s="1491" t="n"/>
      <c r="CX698" s="1491" t="n"/>
    </row>
    <row r="699">
      <c r="A699" s="1491" t="n"/>
      <c r="B699" s="1491" t="n"/>
      <c r="C699" s="1491" t="n"/>
      <c r="D699" s="1491" t="n"/>
      <c r="E699" s="1491" t="n"/>
      <c r="F699" s="1491" t="n"/>
      <c r="G699" s="1491" t="n"/>
      <c r="H699" s="1491" t="n"/>
      <c r="I699" s="1491" t="n"/>
      <c r="J699" s="1491" t="n"/>
      <c r="K699" s="1491" t="n"/>
      <c r="L699" s="1491" t="n"/>
      <c r="M699" s="1491" t="n"/>
      <c r="N699" s="1491" t="n"/>
      <c r="O699" s="1491" t="n"/>
      <c r="P699" s="1491" t="n"/>
      <c r="Q699" s="1491" t="n"/>
      <c r="R699" s="1491" t="n"/>
      <c r="S699" s="1491" t="n"/>
      <c r="T699" s="1491" t="n"/>
      <c r="U699" s="1491" t="n"/>
      <c r="V699" s="1491" t="n"/>
      <c r="W699" s="1491" t="n"/>
      <c r="X699" s="1491" t="n"/>
      <c r="Y699" s="1491" t="n"/>
      <c r="Z699" s="1491" t="n"/>
      <c r="AA699" s="1491" t="n"/>
      <c r="AB699" s="1491" t="n"/>
      <c r="AC699" s="1491" t="n"/>
      <c r="AD699" s="1491" t="n"/>
      <c r="AE699" s="1491" t="n"/>
      <c r="AF699" s="1491" t="n"/>
      <c r="AG699" s="1491" t="n"/>
      <c r="AH699" s="1491" t="n"/>
      <c r="AI699" s="1491" t="n"/>
      <c r="AJ699" s="1491" t="n"/>
      <c r="AK699" s="1491" t="n"/>
      <c r="AL699" s="1491" t="n"/>
      <c r="AM699" s="1491" t="n"/>
      <c r="AN699" s="1491" t="n"/>
      <c r="AO699" s="1491" t="n"/>
      <c r="AP699" s="1491" t="n"/>
      <c r="AQ699" s="1491" t="n"/>
      <c r="AR699" s="1491" t="n"/>
      <c r="AS699" s="1491" t="n"/>
      <c r="AT699" s="1491" t="n"/>
      <c r="AU699" s="1491" t="n"/>
      <c r="AV699" s="1491" t="n"/>
      <c r="AW699" s="1491" t="n"/>
      <c r="AX699" s="1491" t="n"/>
      <c r="AY699" s="1491" t="n"/>
      <c r="AZ699" s="1491" t="n"/>
      <c r="BA699" s="1491" t="n"/>
      <c r="BB699" s="1491" t="n"/>
      <c r="BC699" s="1491" t="n"/>
      <c r="BD699" s="1491" t="n"/>
      <c r="BE699" s="1491" t="n"/>
      <c r="BF699" s="1491" t="n"/>
      <c r="BG699" s="1491" t="n"/>
      <c r="BH699" s="1491" t="n"/>
      <c r="BI699" s="1491" t="n"/>
      <c r="BJ699" s="1491" t="n"/>
      <c r="BK699" s="1491" t="n"/>
      <c r="BL699" s="1491" t="n"/>
      <c r="BM699" s="1491" t="n"/>
      <c r="BN699" s="1491" t="n"/>
      <c r="BO699" s="1491" t="n"/>
      <c r="BP699" s="1491" t="n"/>
      <c r="BQ699" s="1491" t="n"/>
      <c r="BR699" s="1491" t="n"/>
      <c r="BS699" s="1491" t="n"/>
      <c r="BT699" s="1491" t="n"/>
      <c r="BU699" s="1491" t="n"/>
      <c r="BV699" s="1491" t="n"/>
      <c r="BW699" s="1491" t="n"/>
      <c r="BX699" s="1491" t="n"/>
      <c r="BY699" s="1491" t="n"/>
      <c r="BZ699" s="1491" t="n"/>
      <c r="CA699" s="1491" t="n"/>
      <c r="CB699" s="1491" t="n"/>
      <c r="CC699" s="1491" t="n"/>
      <c r="CD699" s="1491" t="n"/>
      <c r="CE699" s="1491" t="n"/>
      <c r="CF699" s="1491" t="n"/>
      <c r="CG699" s="1491" t="n"/>
      <c r="CH699" s="1491" t="n"/>
      <c r="CI699" s="1491" t="n"/>
      <c r="CJ699" s="1491" t="n"/>
      <c r="CK699" s="1491" t="n"/>
      <c r="CL699" s="1491" t="n"/>
      <c r="CM699" s="1491" t="n"/>
      <c r="CN699" s="1491" t="n"/>
      <c r="CO699" s="1491" t="n"/>
      <c r="CP699" s="1491" t="n"/>
      <c r="CQ699" s="1491" t="n"/>
      <c r="CR699" s="1491" t="n"/>
      <c r="CS699" s="1491" t="n"/>
      <c r="CT699" s="1491" t="n"/>
      <c r="CU699" s="1491" t="n"/>
      <c r="CV699" s="1491" t="n"/>
      <c r="CW699" s="1491" t="n"/>
      <c r="CX699" s="1491" t="n"/>
    </row>
    <row r="700">
      <c r="A700" s="1491" t="n"/>
      <c r="B700" s="1491" t="n"/>
      <c r="C700" s="1491" t="n"/>
      <c r="D700" s="1491" t="n"/>
      <c r="E700" s="1491" t="n"/>
      <c r="F700" s="1491" t="n"/>
      <c r="G700" s="1491" t="n"/>
      <c r="H700" s="1491" t="n"/>
      <c r="I700" s="1491" t="n"/>
      <c r="J700" s="1491" t="n"/>
      <c r="K700" s="1491" t="n"/>
      <c r="L700" s="1491" t="n"/>
      <c r="M700" s="1491" t="n"/>
      <c r="N700" s="1491" t="n"/>
      <c r="O700" s="1491" t="n"/>
      <c r="P700" s="1491" t="n"/>
      <c r="Q700" s="1491" t="n"/>
      <c r="R700" s="1491" t="n"/>
      <c r="S700" s="1491" t="n"/>
      <c r="T700" s="1491" t="n"/>
      <c r="U700" s="1491" t="n"/>
      <c r="V700" s="1491" t="n"/>
      <c r="W700" s="1491" t="n"/>
      <c r="X700" s="1491" t="n"/>
      <c r="Y700" s="1491" t="n"/>
      <c r="Z700" s="1491" t="n"/>
      <c r="AA700" s="1491" t="n"/>
      <c r="AB700" s="1491" t="n"/>
      <c r="AC700" s="1491" t="n"/>
      <c r="AD700" s="1491" t="n"/>
      <c r="AE700" s="1491" t="n"/>
      <c r="AF700" s="1491" t="n"/>
      <c r="AG700" s="1491" t="n"/>
      <c r="AH700" s="1491" t="n"/>
      <c r="AI700" s="1491" t="n"/>
      <c r="AJ700" s="1491" t="n"/>
      <c r="AK700" s="1491" t="n"/>
      <c r="AL700" s="1491" t="n"/>
      <c r="AM700" s="1491" t="n"/>
      <c r="AN700" s="1491" t="n"/>
      <c r="AO700" s="1491" t="n"/>
      <c r="AP700" s="1491" t="n"/>
      <c r="AQ700" s="1491" t="n"/>
      <c r="AR700" s="1491" t="n"/>
      <c r="AS700" s="1491" t="n"/>
      <c r="AT700" s="1491" t="n"/>
      <c r="AU700" s="1491" t="n"/>
      <c r="AV700" s="1491" t="n"/>
      <c r="AW700" s="1491" t="n"/>
      <c r="AX700" s="1491" t="n"/>
      <c r="AY700" s="1491" t="n"/>
      <c r="AZ700" s="1491" t="n"/>
      <c r="BA700" s="1491" t="n"/>
      <c r="BB700" s="1491" t="n"/>
      <c r="BC700" s="1491" t="n"/>
      <c r="BD700" s="1491" t="n"/>
      <c r="BE700" s="1491" t="n"/>
      <c r="BF700" s="1491" t="n"/>
      <c r="BG700" s="1491" t="n"/>
      <c r="BH700" s="1491" t="n"/>
      <c r="BI700" s="1491" t="n"/>
      <c r="BJ700" s="1491" t="n"/>
      <c r="BK700" s="1491" t="n"/>
      <c r="BL700" s="1491" t="n"/>
      <c r="BM700" s="1491" t="n"/>
      <c r="BN700" s="1491" t="n"/>
      <c r="BO700" s="1491" t="n"/>
      <c r="BP700" s="1491" t="n"/>
      <c r="BQ700" s="1491" t="n"/>
      <c r="BR700" s="1491" t="n"/>
      <c r="BS700" s="1491" t="n"/>
      <c r="BT700" s="1491" t="n"/>
      <c r="BU700" s="1491" t="n"/>
      <c r="BV700" s="1491" t="n"/>
      <c r="BW700" s="1491" t="n"/>
      <c r="BX700" s="1491" t="n"/>
      <c r="BY700" s="1491" t="n"/>
      <c r="BZ700" s="1491" t="n"/>
      <c r="CA700" s="1491" t="n"/>
      <c r="CB700" s="1491" t="n"/>
      <c r="CC700" s="1491" t="n"/>
      <c r="CD700" s="1491" t="n"/>
      <c r="CE700" s="1491" t="n"/>
      <c r="CF700" s="1491" t="n"/>
      <c r="CG700" s="1491" t="n"/>
      <c r="CH700" s="1491" t="n"/>
      <c r="CI700" s="1491" t="n"/>
      <c r="CJ700" s="1491" t="n"/>
      <c r="CK700" s="1491" t="n"/>
      <c r="CL700" s="1491" t="n"/>
      <c r="CM700" s="1491" t="n"/>
      <c r="CN700" s="1491" t="n"/>
      <c r="CO700" s="1491" t="n"/>
      <c r="CP700" s="1491" t="n"/>
      <c r="CQ700" s="1491" t="n"/>
      <c r="CR700" s="1491" t="n"/>
      <c r="CS700" s="1491" t="n"/>
      <c r="CT700" s="1491" t="n"/>
      <c r="CU700" s="1491" t="n"/>
      <c r="CV700" s="1491" t="n"/>
      <c r="CW700" s="1491" t="n"/>
      <c r="CX700" s="1491" t="n"/>
    </row>
    <row r="701">
      <c r="A701" s="1491" t="n"/>
      <c r="B701" s="1491" t="n"/>
      <c r="C701" s="1491" t="n"/>
      <c r="D701" s="1491" t="n"/>
      <c r="E701" s="1491" t="n"/>
      <c r="F701" s="1491" t="n"/>
      <c r="G701" s="1491" t="n"/>
      <c r="H701" s="1491" t="n"/>
      <c r="I701" s="1491" t="n"/>
      <c r="J701" s="1491" t="n"/>
      <c r="K701" s="1491" t="n"/>
      <c r="L701" s="1491" t="n"/>
      <c r="M701" s="1491" t="n"/>
      <c r="N701" s="1491" t="n"/>
      <c r="O701" s="1491" t="n"/>
      <c r="P701" s="1491" t="n"/>
      <c r="Q701" s="1491" t="n"/>
      <c r="R701" s="1491" t="n"/>
      <c r="S701" s="1491" t="n"/>
      <c r="T701" s="1491" t="n"/>
      <c r="U701" s="1491" t="n"/>
      <c r="V701" s="1491" t="n"/>
      <c r="W701" s="1491" t="n"/>
      <c r="X701" s="1491" t="n"/>
      <c r="Y701" s="1491" t="n"/>
      <c r="Z701" s="1491" t="n"/>
      <c r="AA701" s="1491" t="n"/>
      <c r="AB701" s="1491" t="n"/>
      <c r="AC701" s="1491" t="n"/>
      <c r="AD701" s="1491" t="n"/>
      <c r="AE701" s="1491" t="n"/>
      <c r="AF701" s="1491" t="n"/>
      <c r="AG701" s="1491" t="n"/>
      <c r="AH701" s="1491" t="n"/>
      <c r="AI701" s="1491" t="n"/>
      <c r="AJ701" s="1491" t="n"/>
      <c r="AK701" s="1491" t="n"/>
      <c r="AL701" s="1491" t="n"/>
      <c r="AM701" s="1491" t="n"/>
      <c r="AN701" s="1491" t="n"/>
      <c r="AO701" s="1491" t="n"/>
      <c r="AP701" s="1491" t="n"/>
      <c r="AQ701" s="1491" t="n"/>
      <c r="AR701" s="1491" t="n"/>
      <c r="AS701" s="1491" t="n"/>
      <c r="AT701" s="1491" t="n"/>
      <c r="AU701" s="1491" t="n"/>
      <c r="AV701" s="1491" t="n"/>
      <c r="AW701" s="1491" t="n"/>
      <c r="AX701" s="1491" t="n"/>
      <c r="AY701" s="1491" t="n"/>
      <c r="AZ701" s="1491" t="n"/>
      <c r="BA701" s="1491" t="n"/>
      <c r="BB701" s="1491" t="n"/>
      <c r="BC701" s="1491" t="n"/>
      <c r="BD701" s="1491" t="n"/>
      <c r="BE701" s="1491" t="n"/>
      <c r="BF701" s="1491" t="n"/>
      <c r="BG701" s="1491" t="n"/>
      <c r="BH701" s="1491" t="n"/>
      <c r="BI701" s="1491" t="n"/>
      <c r="BJ701" s="1491" t="n"/>
      <c r="BK701" s="1491" t="n"/>
      <c r="BL701" s="1491" t="n"/>
      <c r="BM701" s="1491" t="n"/>
      <c r="BN701" s="1491" t="n"/>
      <c r="BO701" s="1491" t="n"/>
      <c r="BP701" s="1491" t="n"/>
      <c r="BQ701" s="1491" t="n"/>
      <c r="BR701" s="1491" t="n"/>
      <c r="BS701" s="1491" t="n"/>
      <c r="BT701" s="1491" t="n"/>
      <c r="BU701" s="1491" t="n"/>
      <c r="BV701" s="1491" t="n"/>
      <c r="BW701" s="1491" t="n"/>
      <c r="BX701" s="1491" t="n"/>
      <c r="BY701" s="1491" t="n"/>
      <c r="BZ701" s="1491" t="n"/>
      <c r="CA701" s="1491" t="n"/>
      <c r="CB701" s="1491" t="n"/>
      <c r="CC701" s="1491" t="n"/>
      <c r="CD701" s="1491" t="n"/>
      <c r="CE701" s="1491" t="n"/>
      <c r="CF701" s="1491" t="n"/>
      <c r="CG701" s="1491" t="n"/>
      <c r="CH701" s="1491" t="n"/>
      <c r="CI701" s="1491" t="n"/>
      <c r="CJ701" s="1491" t="n"/>
      <c r="CK701" s="1491" t="n"/>
      <c r="CL701" s="1491" t="n"/>
      <c r="CM701" s="1491" t="n"/>
      <c r="CN701" s="1491" t="n"/>
      <c r="CO701" s="1491" t="n"/>
      <c r="CP701" s="1491" t="n"/>
      <c r="CQ701" s="1491" t="n"/>
      <c r="CR701" s="1491" t="n"/>
      <c r="CS701" s="1491" t="n"/>
      <c r="CT701" s="1491" t="n"/>
      <c r="CU701" s="1491" t="n"/>
      <c r="CV701" s="1491" t="n"/>
      <c r="CW701" s="1491" t="n"/>
      <c r="CX701" s="1491" t="n"/>
    </row>
    <row r="702">
      <c r="A702" s="1491" t="n"/>
      <c r="B702" s="1491" t="n"/>
      <c r="C702" s="1491" t="n"/>
      <c r="D702" s="1491" t="n"/>
      <c r="E702" s="1491" t="n"/>
      <c r="F702" s="1491" t="n"/>
      <c r="G702" s="1491" t="n"/>
      <c r="H702" s="1491" t="n"/>
      <c r="I702" s="1491" t="n"/>
      <c r="J702" s="1491" t="n"/>
      <c r="K702" s="1491" t="n"/>
      <c r="L702" s="1491" t="n"/>
      <c r="M702" s="1491" t="n"/>
      <c r="N702" s="1491" t="n"/>
      <c r="O702" s="1491" t="n"/>
      <c r="P702" s="1491" t="n"/>
      <c r="Q702" s="1491" t="n"/>
      <c r="R702" s="1491" t="n"/>
      <c r="S702" s="1491" t="n"/>
      <c r="T702" s="1491" t="n"/>
      <c r="U702" s="1491" t="n"/>
      <c r="V702" s="1491" t="n"/>
      <c r="W702" s="1491" t="n"/>
      <c r="X702" s="1491" t="n"/>
      <c r="Y702" s="1491" t="n"/>
      <c r="Z702" s="1491" t="n"/>
      <c r="AA702" s="1491" t="n"/>
      <c r="AB702" s="1491" t="n"/>
      <c r="AC702" s="1491" t="n"/>
      <c r="AD702" s="1491" t="n"/>
      <c r="AE702" s="1491" t="n"/>
      <c r="AF702" s="1491" t="n"/>
      <c r="AG702" s="1491" t="n"/>
      <c r="AH702" s="1491" t="n"/>
      <c r="AI702" s="1491" t="n"/>
      <c r="AJ702" s="1491" t="n"/>
      <c r="AK702" s="1491" t="n"/>
      <c r="AL702" s="1491" t="n"/>
      <c r="AM702" s="1491" t="n"/>
      <c r="AN702" s="1491" t="n"/>
      <c r="AO702" s="1491" t="n"/>
      <c r="AP702" s="1491" t="n"/>
      <c r="AQ702" s="1491" t="n"/>
      <c r="AR702" s="1491" t="n"/>
      <c r="AS702" s="1491" t="n"/>
      <c r="AT702" s="1491" t="n"/>
      <c r="AU702" s="1491" t="n"/>
      <c r="AV702" s="1491" t="n"/>
      <c r="AW702" s="1491" t="n"/>
      <c r="AX702" s="1491" t="n"/>
      <c r="AY702" s="1491" t="n"/>
      <c r="AZ702" s="1491" t="n"/>
      <c r="BA702" s="1491" t="n"/>
      <c r="BB702" s="1491" t="n"/>
      <c r="BC702" s="1491" t="n"/>
      <c r="BD702" s="1491" t="n"/>
      <c r="BE702" s="1491" t="n"/>
      <c r="BF702" s="1491" t="n"/>
      <c r="BG702" s="1491" t="n"/>
      <c r="BH702" s="1491" t="n"/>
      <c r="BI702" s="1491" t="n"/>
      <c r="BJ702" s="1491" t="n"/>
      <c r="BK702" s="1491" t="n"/>
      <c r="BL702" s="1491" t="n"/>
      <c r="BM702" s="1491" t="n"/>
      <c r="BN702" s="1491" t="n"/>
      <c r="BO702" s="1491" t="n"/>
      <c r="BP702" s="1491" t="n"/>
      <c r="BQ702" s="1491" t="n"/>
      <c r="BR702" s="1491" t="n"/>
      <c r="BS702" s="1491" t="n"/>
      <c r="BT702" s="1491" t="n"/>
      <c r="BU702" s="1491" t="n"/>
      <c r="BV702" s="1491" t="n"/>
      <c r="BW702" s="1491" t="n"/>
      <c r="BX702" s="1491" t="n"/>
      <c r="BY702" s="1491" t="n"/>
      <c r="BZ702" s="1491" t="n"/>
      <c r="CA702" s="1491" t="n"/>
      <c r="CB702" s="1491" t="n"/>
      <c r="CC702" s="1491" t="n"/>
      <c r="CD702" s="1491" t="n"/>
      <c r="CE702" s="1491" t="n"/>
      <c r="CF702" s="1491" t="n"/>
      <c r="CG702" s="1491" t="n"/>
      <c r="CH702" s="1491" t="n"/>
      <c r="CI702" s="1491" t="n"/>
      <c r="CJ702" s="1491" t="n"/>
      <c r="CK702" s="1491" t="n"/>
      <c r="CL702" s="1491" t="n"/>
      <c r="CM702" s="1491" t="n"/>
      <c r="CN702" s="1491" t="n"/>
      <c r="CO702" s="1491" t="n"/>
      <c r="CP702" s="1491" t="n"/>
      <c r="CQ702" s="1491" t="n"/>
      <c r="CR702" s="1491" t="n"/>
      <c r="CS702" s="1491" t="n"/>
      <c r="CT702" s="1491" t="n"/>
      <c r="CU702" s="1491" t="n"/>
      <c r="CV702" s="1491" t="n"/>
      <c r="CW702" s="1491" t="n"/>
      <c r="CX702" s="1491" t="n"/>
    </row>
    <row r="703">
      <c r="A703" s="1491" t="n"/>
      <c r="B703" s="1491" t="n"/>
      <c r="C703" s="1491" t="n"/>
      <c r="D703" s="1491" t="n"/>
      <c r="E703" s="1491" t="n"/>
      <c r="F703" s="1491" t="n"/>
      <c r="G703" s="1491" t="n"/>
      <c r="H703" s="1491" t="n"/>
      <c r="I703" s="1491" t="n"/>
      <c r="J703" s="1491" t="n"/>
      <c r="K703" s="1491" t="n"/>
      <c r="L703" s="1491" t="n"/>
      <c r="M703" s="1491" t="n"/>
      <c r="N703" s="1491" t="n"/>
      <c r="O703" s="1491" t="n"/>
      <c r="P703" s="1491" t="n"/>
      <c r="Q703" s="1491" t="n"/>
      <c r="R703" s="1491" t="n"/>
      <c r="S703" s="1491" t="n"/>
      <c r="T703" s="1491" t="n"/>
      <c r="U703" s="1491" t="n"/>
      <c r="V703" s="1491" t="n"/>
      <c r="W703" s="1491" t="n"/>
      <c r="X703" s="1491" t="n"/>
      <c r="Y703" s="1491" t="n"/>
      <c r="Z703" s="1491" t="n"/>
      <c r="AA703" s="1491" t="n"/>
      <c r="AB703" s="1491" t="n"/>
      <c r="AC703" s="1491" t="n"/>
      <c r="AD703" s="1491" t="n"/>
      <c r="AE703" s="1491" t="n"/>
      <c r="AF703" s="1491" t="n"/>
      <c r="AG703" s="1491" t="n"/>
      <c r="AH703" s="1491" t="n"/>
      <c r="AI703" s="1491" t="n"/>
      <c r="AJ703" s="1491" t="n"/>
      <c r="AK703" s="1491" t="n"/>
      <c r="AL703" s="1491" t="n"/>
      <c r="AM703" s="1491" t="n"/>
      <c r="AN703" s="1491" t="n"/>
      <c r="AO703" s="1491" t="n"/>
      <c r="AP703" s="1491" t="n"/>
      <c r="AQ703" s="1491" t="n"/>
      <c r="AR703" s="1491" t="n"/>
      <c r="AS703" s="1491" t="n"/>
      <c r="AT703" s="1491" t="n"/>
      <c r="AU703" s="1491" t="n"/>
      <c r="AV703" s="1491" t="n"/>
      <c r="AW703" s="1491" t="n"/>
      <c r="AX703" s="1491" t="n"/>
      <c r="AY703" s="1491" t="n"/>
      <c r="AZ703" s="1491" t="n"/>
      <c r="BA703" s="1491" t="n"/>
      <c r="BB703" s="1491" t="n"/>
      <c r="BC703" s="1491" t="n"/>
      <c r="BD703" s="1491" t="n"/>
      <c r="BE703" s="1491" t="n"/>
      <c r="BF703" s="1491" t="n"/>
      <c r="BG703" s="1491" t="n"/>
      <c r="BH703" s="1491" t="n"/>
      <c r="BI703" s="1491" t="n"/>
      <c r="BJ703" s="1491" t="n"/>
      <c r="BK703" s="1491" t="n"/>
      <c r="BL703" s="1491" t="n"/>
      <c r="BM703" s="1491" t="n"/>
      <c r="BN703" s="1491" t="n"/>
      <c r="BO703" s="1491" t="n"/>
      <c r="BP703" s="1491" t="n"/>
      <c r="BQ703" s="1491" t="n"/>
      <c r="BR703" s="1491" t="n"/>
      <c r="BS703" s="1491" t="n"/>
      <c r="BT703" s="1491" t="n"/>
      <c r="BU703" s="1491" t="n"/>
      <c r="BV703" s="1491" t="n"/>
      <c r="BW703" s="1491" t="n"/>
      <c r="BX703" s="1491" t="n"/>
      <c r="BY703" s="1491" t="n"/>
      <c r="BZ703" s="1491" t="n"/>
      <c r="CA703" s="1491" t="n"/>
      <c r="CB703" s="1491" t="n"/>
      <c r="CC703" s="1491" t="n"/>
      <c r="CD703" s="1491" t="n"/>
      <c r="CE703" s="1491" t="n"/>
      <c r="CF703" s="1491" t="n"/>
      <c r="CG703" s="1491" t="n"/>
      <c r="CH703" s="1491" t="n"/>
      <c r="CI703" s="1491" t="n"/>
      <c r="CJ703" s="1491" t="n"/>
      <c r="CK703" s="1491" t="n"/>
      <c r="CL703" s="1491" t="n"/>
      <c r="CM703" s="1491" t="n"/>
      <c r="CN703" s="1491" t="n"/>
      <c r="CO703" s="1491" t="n"/>
      <c r="CP703" s="1491" t="n"/>
      <c r="CQ703" s="1491" t="n"/>
      <c r="CR703" s="1491" t="n"/>
      <c r="CS703" s="1491" t="n"/>
      <c r="CT703" s="1491" t="n"/>
      <c r="CU703" s="1491" t="n"/>
      <c r="CV703" s="1491" t="n"/>
      <c r="CW703" s="1491" t="n"/>
      <c r="CX703" s="1491" t="n"/>
    </row>
    <row r="704">
      <c r="A704" s="1491" t="n"/>
      <c r="B704" s="1491" t="n"/>
      <c r="C704" s="1491" t="n"/>
      <c r="D704" s="1491" t="n"/>
      <c r="E704" s="1491" t="n"/>
      <c r="F704" s="1491" t="n"/>
      <c r="G704" s="1491" t="n"/>
      <c r="H704" s="1491" t="n"/>
      <c r="I704" s="1491" t="n"/>
      <c r="J704" s="1491" t="n"/>
      <c r="K704" s="1491" t="n"/>
      <c r="L704" s="1491" t="n"/>
      <c r="M704" s="1491" t="n"/>
      <c r="N704" s="1491" t="n"/>
      <c r="O704" s="1491" t="n"/>
      <c r="P704" s="1491" t="n"/>
      <c r="Q704" s="1491" t="n"/>
      <c r="R704" s="1491" t="n"/>
      <c r="S704" s="1491" t="n"/>
      <c r="T704" s="1491" t="n"/>
      <c r="U704" s="1491" t="n"/>
      <c r="V704" s="1491" t="n"/>
      <c r="W704" s="1491" t="n"/>
      <c r="X704" s="1491" t="n"/>
      <c r="Y704" s="1491" t="n"/>
      <c r="Z704" s="1491" t="n"/>
      <c r="AA704" s="1491" t="n"/>
      <c r="AB704" s="1491" t="n"/>
      <c r="AC704" s="1491" t="n"/>
      <c r="AD704" s="1491" t="n"/>
      <c r="AE704" s="1491" t="n"/>
      <c r="AF704" s="1491" t="n"/>
      <c r="AG704" s="1491" t="n"/>
      <c r="AH704" s="1491" t="n"/>
      <c r="AI704" s="1491" t="n"/>
      <c r="AJ704" s="1491" t="n"/>
      <c r="AK704" s="1491" t="n"/>
      <c r="AL704" s="1491" t="n"/>
      <c r="AM704" s="1491" t="n"/>
      <c r="AN704" s="1491" t="n"/>
      <c r="AO704" s="1491" t="n"/>
      <c r="AP704" s="1491" t="n"/>
      <c r="AQ704" s="1491" t="n"/>
      <c r="AR704" s="1491" t="n"/>
      <c r="AS704" s="1491" t="n"/>
      <c r="AT704" s="1491" t="n"/>
      <c r="AU704" s="1491" t="n"/>
      <c r="AV704" s="1491" t="n"/>
      <c r="AW704" s="1491" t="n"/>
      <c r="AX704" s="1491" t="n"/>
      <c r="AY704" s="1491" t="n"/>
      <c r="AZ704" s="1491" t="n"/>
      <c r="BA704" s="1491" t="n"/>
      <c r="BB704" s="1491" t="n"/>
      <c r="BC704" s="1491" t="n"/>
      <c r="BD704" s="1491" t="n"/>
      <c r="BE704" s="1491" t="n"/>
      <c r="BF704" s="1491" t="n"/>
      <c r="BG704" s="1491" t="n"/>
      <c r="BH704" s="1491" t="n"/>
      <c r="BI704" s="1491" t="n"/>
      <c r="BJ704" s="1491" t="n"/>
      <c r="BK704" s="1491" t="n"/>
      <c r="BL704" s="1491" t="n"/>
      <c r="BM704" s="1491" t="n"/>
      <c r="BN704" s="1491" t="n"/>
      <c r="BO704" s="1491" t="n"/>
      <c r="BP704" s="1491" t="n"/>
      <c r="BQ704" s="1491" t="n"/>
      <c r="BR704" s="1491" t="n"/>
      <c r="BS704" s="1491" t="n"/>
      <c r="BT704" s="1491" t="n"/>
      <c r="BU704" s="1491" t="n"/>
      <c r="BV704" s="1491" t="n"/>
      <c r="BW704" s="1491" t="n"/>
      <c r="BX704" s="1491" t="n"/>
      <c r="BY704" s="1491" t="n"/>
      <c r="BZ704" s="1491" t="n"/>
      <c r="CA704" s="1491" t="n"/>
      <c r="CB704" s="1491" t="n"/>
      <c r="CC704" s="1491" t="n"/>
      <c r="CD704" s="1491" t="n"/>
      <c r="CE704" s="1491" t="n"/>
      <c r="CF704" s="1491" t="n"/>
      <c r="CG704" s="1491" t="n"/>
      <c r="CH704" s="1491" t="n"/>
      <c r="CI704" s="1491" t="n"/>
      <c r="CJ704" s="1491" t="n"/>
      <c r="CK704" s="1491" t="n"/>
      <c r="CL704" s="1491" t="n"/>
      <c r="CM704" s="1491" t="n"/>
      <c r="CN704" s="1491" t="n"/>
      <c r="CO704" s="1491" t="n"/>
      <c r="CP704" s="1491" t="n"/>
      <c r="CQ704" s="1491" t="n"/>
      <c r="CR704" s="1491" t="n"/>
      <c r="CS704" s="1491" t="n"/>
      <c r="CT704" s="1491" t="n"/>
      <c r="CU704" s="1491" t="n"/>
      <c r="CV704" s="1491" t="n"/>
      <c r="CW704" s="1491" t="n"/>
      <c r="CX704" s="1491" t="n"/>
    </row>
    <row r="705">
      <c r="A705" s="1491" t="n"/>
      <c r="B705" s="1491" t="n"/>
      <c r="C705" s="1491" t="n"/>
      <c r="D705" s="1491" t="n"/>
      <c r="E705" s="1491" t="n"/>
      <c r="F705" s="1491" t="n"/>
      <c r="G705" s="1491" t="n"/>
      <c r="H705" s="1491" t="n"/>
      <c r="I705" s="1491" t="n"/>
      <c r="J705" s="1491" t="n"/>
      <c r="K705" s="1491" t="n"/>
      <c r="L705" s="1491" t="n"/>
      <c r="M705" s="1491" t="n"/>
      <c r="N705" s="1491" t="n"/>
      <c r="O705" s="1491" t="n"/>
      <c r="P705" s="1491" t="n"/>
      <c r="Q705" s="1491" t="n"/>
      <c r="R705" s="1491" t="n"/>
      <c r="S705" s="1491" t="n"/>
      <c r="T705" s="1491" t="n"/>
      <c r="U705" s="1491" t="n"/>
      <c r="V705" s="1491" t="n"/>
      <c r="W705" s="1491" t="n"/>
      <c r="X705" s="1491" t="n"/>
      <c r="Y705" s="1491" t="n"/>
      <c r="Z705" s="1491" t="n"/>
      <c r="AA705" s="1491" t="n"/>
      <c r="AB705" s="1491" t="n"/>
      <c r="AC705" s="1491" t="n"/>
      <c r="AD705" s="1491" t="n"/>
      <c r="AE705" s="1491" t="n"/>
      <c r="AF705" s="1491" t="n"/>
      <c r="AG705" s="1491" t="n"/>
      <c r="AH705" s="1491" t="n"/>
      <c r="AI705" s="1491" t="n"/>
      <c r="AJ705" s="1491" t="n"/>
      <c r="AK705" s="1491" t="n"/>
      <c r="AL705" s="1491" t="n"/>
      <c r="AM705" s="1491" t="n"/>
      <c r="AN705" s="1491" t="n"/>
      <c r="AO705" s="1491" t="n"/>
      <c r="AP705" s="1491" t="n"/>
      <c r="AQ705" s="1491" t="n"/>
      <c r="AR705" s="1491" t="n"/>
      <c r="AS705" s="1491" t="n"/>
      <c r="AT705" s="1491" t="n"/>
      <c r="AU705" s="1491" t="n"/>
      <c r="AV705" s="1491" t="n"/>
      <c r="AW705" s="1491" t="n"/>
      <c r="AX705" s="1491" t="n"/>
      <c r="AY705" s="1491" t="n"/>
      <c r="AZ705" s="1491" t="n"/>
      <c r="BA705" s="1491" t="n"/>
      <c r="BB705" s="1491" t="n"/>
      <c r="BC705" s="1491" t="n"/>
      <c r="BD705" s="1491" t="n"/>
      <c r="BE705" s="1491" t="n"/>
      <c r="BF705" s="1491" t="n"/>
      <c r="BG705" s="1491" t="n"/>
      <c r="BH705" s="1491" t="n"/>
      <c r="BI705" s="1491" t="n"/>
      <c r="BJ705" s="1491" t="n"/>
      <c r="BK705" s="1491" t="n"/>
      <c r="BL705" s="1491" t="n"/>
      <c r="BM705" s="1491" t="n"/>
      <c r="BN705" s="1491" t="n"/>
      <c r="BO705" s="1491" t="n"/>
      <c r="BP705" s="1491" t="n"/>
      <c r="BQ705" s="1491" t="n"/>
      <c r="BR705" s="1491" t="n"/>
      <c r="BS705" s="1491" t="n"/>
      <c r="BT705" s="1491" t="n"/>
      <c r="BU705" s="1491" t="n"/>
      <c r="BV705" s="1491" t="n"/>
      <c r="BW705" s="1491" t="n"/>
      <c r="BX705" s="1491" t="n"/>
      <c r="BY705" s="1491" t="n"/>
      <c r="BZ705" s="1491" t="n"/>
      <c r="CA705" s="1491" t="n"/>
      <c r="CB705" s="1491" t="n"/>
      <c r="CC705" s="1491" t="n"/>
      <c r="CD705" s="1491" t="n"/>
      <c r="CE705" s="1491" t="n"/>
      <c r="CF705" s="1491" t="n"/>
      <c r="CG705" s="1491" t="n"/>
      <c r="CH705" s="1491" t="n"/>
      <c r="CI705" s="1491" t="n"/>
      <c r="CJ705" s="1491" t="n"/>
      <c r="CK705" s="1491" t="n"/>
      <c r="CL705" s="1491" t="n"/>
      <c r="CM705" s="1491" t="n"/>
      <c r="CN705" s="1491" t="n"/>
      <c r="CO705" s="1491" t="n"/>
      <c r="CP705" s="1491" t="n"/>
      <c r="CQ705" s="1491" t="n"/>
      <c r="CR705" s="1491" t="n"/>
      <c r="CS705" s="1491" t="n"/>
      <c r="CT705" s="1491" t="n"/>
      <c r="CU705" s="1491" t="n"/>
      <c r="CV705" s="1491" t="n"/>
      <c r="CW705" s="1491" t="n"/>
      <c r="CX705" s="1491" t="n"/>
    </row>
  </sheetData>
  <mergeCells count="22">
    <mergeCell ref="BX2:CA2"/>
    <mergeCell ref="O3:P3"/>
    <mergeCell ref="G2:H2"/>
    <mergeCell ref="AV2:BG2"/>
    <mergeCell ref="J2:M2"/>
    <mergeCell ref="CL2:CP2"/>
    <mergeCell ref="CD2:CF2"/>
    <mergeCell ref="U2:Y2"/>
    <mergeCell ref="CH2:CJ2"/>
    <mergeCell ref="CR1:CS1"/>
    <mergeCell ref="J1:M1"/>
    <mergeCell ref="BC3:BG3"/>
    <mergeCell ref="AN2:AR2"/>
    <mergeCell ref="BP3:BV3"/>
    <mergeCell ref="O2:P2"/>
    <mergeCell ref="BP2:BV2"/>
    <mergeCell ref="AA2:AB2"/>
    <mergeCell ref="AC2:AD2"/>
    <mergeCell ref="R2:S2"/>
    <mergeCell ref="BL2:BM2"/>
    <mergeCell ref="R1:S1"/>
    <mergeCell ref="AF2:AL2"/>
  </mergeCells>
  <conditionalFormatting sqref="X5:X37">
    <cfRule type="containsText" priority="7" operator="containsText" dxfId="86" text="F">
      <formula>NOT(ISERROR(SEARCH("F",X5)))</formula>
    </cfRule>
    <cfRule type="containsText" priority="8" operator="containsText" dxfId="23" text="A">
      <formula>NOT(ISERROR(SEARCH("A",X5)))</formula>
    </cfRule>
    <cfRule type="containsText" priority="9" operator="containsText" dxfId="20" text="N">
      <formula>NOT(ISERROR(SEARCH("N",X5)))</formula>
    </cfRule>
    <cfRule type="containsText" priority="10" operator="containsText" dxfId="83" text="E">
      <formula>NOT(ISERROR(SEARCH("E",X5)))</formula>
    </cfRule>
    <cfRule type="containsText" priority="11" operator="containsText" dxfId="19" text="S">
      <formula>NOT(ISERROR(SEARCH("S",X5)))</formula>
    </cfRule>
    <cfRule type="containsText" priority="12" operator="containsText" dxfId="81" text="B">
      <formula>NOT(ISERROR(SEARCH("B",X5)))</formula>
    </cfRule>
  </conditionalFormatting>
  <conditionalFormatting sqref="BB5:BB54">
    <cfRule type="colorScale" priority="23">
      <colorScale>
        <cfvo type="min"/>
        <cfvo type="percentile" val="50"/>
        <cfvo type="max"/>
        <color rgb="FFF8696B"/>
        <color rgb="FFFCFCFF"/>
        <color rgb="FF5A8AC6"/>
      </colorScale>
    </cfRule>
  </conditionalFormatting>
  <conditionalFormatting sqref="BE5:BE54">
    <cfRule type="colorScale" priority="22">
      <colorScale>
        <cfvo type="min"/>
        <cfvo type="percentile" val="50"/>
        <cfvo type="max"/>
        <color rgb="FFF8696B"/>
        <color rgb="FFFFEB84"/>
        <color rgb="FF63BE7B"/>
      </colorScale>
    </cfRule>
  </conditionalFormatting>
  <conditionalFormatting sqref="BG5:BG54">
    <cfRule type="expression" priority="19" dxfId="1" stopIfTrue="1">
      <formula>$BD5&gt;364</formula>
    </cfRule>
    <cfRule type="expression" priority="20" dxfId="5">
      <formula>AND(BD5&gt;0,BD5&lt;30)</formula>
    </cfRule>
    <cfRule type="expression" priority="21" dxfId="4">
      <formula>$BD5&gt;29</formula>
    </cfRule>
  </conditionalFormatting>
  <conditionalFormatting sqref="CR6:CS6">
    <cfRule type="cellIs" priority="4" operator="equal" dxfId="5">
      <formula>"No"</formula>
    </cfRule>
  </conditionalFormatting>
  <conditionalFormatting sqref="CR9:CS9">
    <cfRule type="cellIs" priority="1" operator="equal" dxfId="5">
      <formula>"No"</formula>
    </cfRule>
  </conditionalFormatting>
  <conditionalFormatting sqref="CR12:CS12">
    <cfRule type="cellIs" priority="2" operator="equal" dxfId="5">
      <formula>"No"</formula>
    </cfRule>
  </conditionalFormatting>
  <pageMargins left="0.7" right="0.7" top="0.75" bottom="0.75" header="0.3" footer="0.3"/>
  <pageSetup orientation="portrait" horizontalDpi="0" verticalDpi="0"/>
  <legacyDrawing xmlns:r="http://schemas.openxmlformats.org/officeDocument/2006/relationships" r:id="anysvml"/>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xml><?xml version="1.0" encoding="utf-8"?>
<worksheet xmlns="http://schemas.openxmlformats.org/spreadsheetml/2006/main">
  <sheetPr>
    <tabColor rgb="001B6B3F"/>
    <outlinePr summaryBelow="1" summaryRight="1"/>
    <pageSetUpPr/>
  </sheetPr>
  <dimension ref="A1:CF103"/>
  <sheetViews>
    <sheetView tabSelected="1" workbookViewId="0">
      <pane xSplit="7" ySplit="6" topLeftCell="H7" activePane="bottomRight" state="frozen"/>
      <selection pane="topRight"/>
      <selection pane="bottomLeft"/>
      <selection pane="bottomRight" activeCell="BM33" sqref="BM33"/>
    </sheetView>
  </sheetViews>
  <sheetFormatPr baseColWidth="10" defaultRowHeight="14" customHeight="1"/>
  <cols>
    <col width="3.1640625" bestFit="1" customWidth="1" style="1" min="1" max="1"/>
    <col width="6" bestFit="1" customWidth="1" style="1" min="2" max="2"/>
    <col width="6" customWidth="1" style="1" min="3" max="3"/>
    <col width="5.33203125" customWidth="1" style="1" min="4" max="4"/>
    <col width="5.1640625" customWidth="1" style="1" min="5" max="5"/>
    <col width="5.6640625" customWidth="1" style="1" min="6" max="6"/>
    <col width="6.1640625" customWidth="1" style="1" min="7" max="7"/>
    <col width="5.33203125" customWidth="1" style="1" min="8" max="8"/>
    <col width="5.83203125" customWidth="1" style="1" min="9" max="38"/>
    <col width="6" customWidth="1" style="1" min="39" max="40"/>
    <col width="4.83203125" customWidth="1" style="1" min="41" max="41"/>
    <col width="5.1640625" bestFit="1" customWidth="1" style="1" min="42" max="42"/>
    <col width="10.5" customWidth="1" style="1" min="43" max="43"/>
    <col width="5.6640625" customWidth="1" style="3" min="44" max="44"/>
    <col width="10.1640625" customWidth="1" style="3" min="45" max="45"/>
    <col width="10" customWidth="1" style="3" min="46" max="46"/>
    <col width="8.5" customWidth="1" style="3" min="47" max="47"/>
    <col width="8.33203125" customWidth="1" style="3" min="48" max="48"/>
    <col width="4.83203125" customWidth="1" style="1" min="49" max="49"/>
    <col width="4.1640625" customWidth="1" min="50" max="50"/>
    <col width="6.33203125" customWidth="1" min="51" max="51"/>
    <col width="4.6640625" bestFit="1" customWidth="1" style="1" min="52" max="52"/>
    <col width="3.1640625" customWidth="1" min="53" max="53"/>
    <col width="8.6640625" bestFit="1" customWidth="1" min="54" max="54"/>
    <col width="5.1640625" customWidth="1" min="55" max="55"/>
    <col width="5.1640625" bestFit="1" customWidth="1" min="56" max="59"/>
    <col width="1.6640625" bestFit="1" customWidth="1" min="60" max="60"/>
    <col width="5.33203125" customWidth="1" min="61" max="61"/>
    <col width="5.5" bestFit="1" customWidth="1" min="62" max="62"/>
    <col width="1.6640625" customWidth="1" min="63" max="63"/>
    <col width="7.5" bestFit="1" customWidth="1" min="64" max="64"/>
    <col width="10.5" bestFit="1" customWidth="1" min="65" max="65"/>
    <col width="7.1640625" bestFit="1" customWidth="1" min="66" max="66"/>
    <col width="1.6640625" bestFit="1" customWidth="1" min="67" max="67"/>
    <col width="12.83203125" bestFit="1" customWidth="1" min="68" max="68"/>
    <col width="13.33203125" bestFit="1" customWidth="1" style="1" min="69" max="69"/>
    <col width="13.33203125" customWidth="1" style="1" min="70" max="70"/>
    <col width="18.83203125" bestFit="1" customWidth="1" style="1" min="71" max="71"/>
    <col width="10.83203125" customWidth="1" style="1" min="72" max="72"/>
    <col width="7.1640625" bestFit="1" customWidth="1" style="1" min="73" max="73"/>
    <col width="10.83203125" customWidth="1" style="1" min="74" max="16384"/>
  </cols>
  <sheetData>
    <row r="1" ht="14" customHeight="1">
      <c r="A1" s="1545" t="n"/>
      <c r="B1" s="1546" t="inlineStr">
        <is>
          <t>BIRTHDAY</t>
        </is>
      </c>
      <c r="C1" s="1429" t="n"/>
      <c r="D1" s="1072" t="n"/>
      <c r="E1" s="1545" t="n"/>
      <c r="F1" s="1545" t="n"/>
      <c r="G1" s="1545" t="inlineStr">
        <is>
          <t>unique</t>
        </is>
      </c>
      <c r="H1" s="1545">
        <f t="array" ref="H1:AN1">TRANSPOSE(_xlfn.UNIQUE(_xlfn._xlws.FILTER(raw[yr], raw[wb]="w")))</f>
        <v/>
      </c>
      <c r="I1" s="1547">
        <f/>
        <v/>
      </c>
      <c r="J1" s="1547">
        <f/>
        <v/>
      </c>
      <c r="K1" s="1547">
        <f/>
        <v/>
      </c>
      <c r="L1" s="1547">
        <f/>
        <v/>
      </c>
      <c r="M1" s="1547">
        <f/>
        <v/>
      </c>
      <c r="N1" s="1547">
        <f/>
        <v/>
      </c>
      <c r="O1" s="1547">
        <f/>
        <v/>
      </c>
      <c r="P1" s="1547">
        <f/>
        <v/>
      </c>
      <c r="Q1" s="1547">
        <f/>
        <v/>
      </c>
      <c r="R1" s="1547">
        <f/>
        <v/>
      </c>
      <c r="S1" s="1547">
        <f/>
        <v/>
      </c>
      <c r="T1" s="1547">
        <f/>
        <v/>
      </c>
      <c r="U1" s="1547">
        <f/>
        <v/>
      </c>
      <c r="V1" s="1547">
        <f/>
        <v/>
      </c>
      <c r="W1" s="1547">
        <f/>
        <v/>
      </c>
      <c r="X1" s="1547">
        <f/>
        <v/>
      </c>
      <c r="Y1" s="1547">
        <f/>
        <v/>
      </c>
      <c r="Z1" s="1547">
        <f/>
        <v/>
      </c>
      <c r="AA1" s="1547">
        <f/>
        <v/>
      </c>
      <c r="AB1" s="1547">
        <f/>
        <v/>
      </c>
      <c r="AC1" s="1547">
        <f/>
        <v/>
      </c>
      <c r="AD1" s="1547">
        <f/>
        <v/>
      </c>
      <c r="AE1" s="1547">
        <f/>
        <v/>
      </c>
      <c r="AF1" s="1547">
        <f/>
        <v/>
      </c>
      <c r="AG1" s="1547">
        <f/>
        <v/>
      </c>
      <c r="AH1" s="1547">
        <f/>
        <v/>
      </c>
      <c r="AI1" s="1547">
        <f/>
        <v/>
      </c>
      <c r="AJ1" s="1547">
        <f/>
        <v/>
      </c>
      <c r="AK1" s="1547">
        <f/>
        <v/>
      </c>
      <c r="AL1" s="1547">
        <f/>
        <v/>
      </c>
      <c r="AM1" s="1547">
        <f/>
        <v/>
      </c>
      <c r="AN1" s="1547">
        <f/>
        <v/>
      </c>
      <c r="AO1" s="1545" t="n"/>
      <c r="AP1" s="1548" t="n"/>
      <c r="AQ1" s="1545" t="n"/>
      <c r="AR1" s="1545" t="n"/>
      <c r="AS1" s="1545" t="n"/>
      <c r="AT1" s="1545" t="n"/>
      <c r="AU1" s="1545" t="n"/>
      <c r="AV1" s="1545" t="n"/>
      <c r="AW1" s="1545" t="n"/>
      <c r="AX1" s="1548" t="inlineStr">
        <is>
          <t>.</t>
        </is>
      </c>
      <c r="AY1" s="1548" t="n"/>
      <c r="AZ1" s="1548" t="n"/>
      <c r="BA1" s="1545" t="inlineStr">
        <is>
          <t>.</t>
        </is>
      </c>
      <c r="BB1" s="1549">
        <f>DATE(MAX(BC1:BG1)-1,12,31)</f>
        <v/>
      </c>
      <c r="BC1" s="1550">
        <f>INT(YEAR(_xlfn.MINIFS(stayWB[in],stayWB[in],"&lt;&gt;0"))/10)*10</f>
        <v/>
      </c>
      <c r="BD1" s="1551">
        <f>BC1+10</f>
        <v/>
      </c>
      <c r="BE1" s="1551">
        <f>BD1+10</f>
        <v/>
      </c>
      <c r="BF1" s="1551">
        <f>BE1+10</f>
        <v/>
      </c>
      <c r="BG1" s="1551">
        <f>BF1+10</f>
        <v/>
      </c>
      <c r="BH1" s="1545" t="inlineStr">
        <is>
          <t>.</t>
        </is>
      </c>
      <c r="BI1" s="1551" t="inlineStr">
        <is>
          <t>span</t>
        </is>
      </c>
      <c r="BJ1" s="1551" t="inlineStr">
        <is>
          <t>Ncity</t>
        </is>
      </c>
      <c r="BK1" s="1548" t="n"/>
      <c r="BL1" s="1548" t="n"/>
      <c r="BM1" s="1548" t="inlineStr">
        <is>
          <t>.</t>
        </is>
      </c>
      <c r="BN1" s="1548" t="inlineStr">
        <is>
          <t>.</t>
        </is>
      </c>
      <c r="BO1" s="1548" t="inlineStr">
        <is>
          <t>.</t>
        </is>
      </c>
      <c r="BP1" s="1548" t="n"/>
      <c r="BQ1" s="1548" t="n"/>
      <c r="BR1" s="1548" t="n"/>
      <c r="BS1" s="1548" t="n"/>
      <c r="BT1" s="1548" t="n"/>
      <c r="BU1" s="1548" t="n"/>
      <c r="BV1" s="1548" t="n"/>
      <c r="BW1" s="1548" t="n"/>
      <c r="BX1" s="1548" t="n"/>
      <c r="BY1" s="1548" t="n"/>
      <c r="BZ1" s="1548" t="n"/>
      <c r="CA1" s="1548" t="n"/>
      <c r="CB1" s="1548" t="n"/>
      <c r="CC1" s="1548" t="n"/>
      <c r="CD1" s="1548" t="n"/>
      <c r="CE1" s="1548" t="n"/>
      <c r="CF1" s="1548" t="n"/>
    </row>
    <row r="2" ht="14" customHeight="1">
      <c r="A2" s="1552" t="inlineStr">
        <is>
          <t>.</t>
        </is>
      </c>
      <c r="B2" s="1553">
        <f>INPUT!$E$5</f>
        <v/>
      </c>
      <c r="C2" s="1429" t="n"/>
      <c r="D2" s="1072" t="n"/>
      <c r="E2" s="1552" t="inlineStr">
        <is>
          <t>.</t>
        </is>
      </c>
      <c r="F2" s="1552" t="inlineStr">
        <is>
          <t>.</t>
        </is>
      </c>
      <c r="G2" s="1552" t="inlineStr">
        <is>
          <t>.</t>
        </is>
      </c>
      <c r="H2" s="1552">
        <f>IF(H1&lt;2000,H1-1900,H1-2000)</f>
        <v/>
      </c>
      <c r="I2" s="1554">
        <f>IF(I1&lt;2000,I1-1900,I1-2000)</f>
        <v/>
      </c>
      <c r="J2" s="1554">
        <f>IF(J1&lt;2000,J1-1900,J1-2000)</f>
        <v/>
      </c>
      <c r="K2" s="1554">
        <f>IF(K1&lt;2000,K1-1900,K1-2000)</f>
        <v/>
      </c>
      <c r="L2" s="1554">
        <f>IF(L1&lt;2000,L1-1900,L1-2000)</f>
        <v/>
      </c>
      <c r="M2" s="1554">
        <f>IF(M1&lt;2000,M1-1900,M1-2000)</f>
        <v/>
      </c>
      <c r="N2" s="1554">
        <f>IF(N1&lt;2000,N1-1900,N1-2000)</f>
        <v/>
      </c>
      <c r="O2" s="1554">
        <f>IF(O1&lt;2000,O1-1900,O1-2000)</f>
        <v/>
      </c>
      <c r="P2" s="1554">
        <f>IF(P1&lt;2000,P1-1900,P1-2000)</f>
        <v/>
      </c>
      <c r="Q2" s="1554">
        <f>IF(Q1&lt;2000,Q1-1900,Q1-2000)</f>
        <v/>
      </c>
      <c r="R2" s="1554">
        <f>IF(R1&lt;2000,R1-1900,R1-2000)</f>
        <v/>
      </c>
      <c r="S2" s="1554">
        <f>IF(S1&lt;2000,S1-1900,S1-2000)</f>
        <v/>
      </c>
      <c r="T2" s="1554">
        <f>IF(T1&lt;2000,T1-1900,T1-2000)</f>
        <v/>
      </c>
      <c r="U2" s="1554">
        <f>IF(U1&lt;2000,U1-1900,U1-2000)</f>
        <v/>
      </c>
      <c r="V2" s="1554">
        <f>IF(V1&lt;2000,V1-1900,V1-2000)</f>
        <v/>
      </c>
      <c r="W2" s="1554">
        <f>IF(W1&lt;2000,W1-1900,W1-2000)</f>
        <v/>
      </c>
      <c r="X2" s="1554">
        <f>IF(X1&lt;2000,X1-1900,X1-2000)</f>
        <v/>
      </c>
      <c r="Y2" s="1554">
        <f>IF(Y1&lt;2000,Y1-1900,Y1-2000)</f>
        <v/>
      </c>
      <c r="Z2" s="1554">
        <f>IF(Z1&lt;2000,Z1-1900,Z1-2000)</f>
        <v/>
      </c>
      <c r="AA2" s="1554">
        <f>IF(AA1&lt;2000,AA1-1900,AA1-2000)</f>
        <v/>
      </c>
      <c r="AB2" s="1554">
        <f>IF(AB1&lt;2000,AB1-1900,AB1-2000)</f>
        <v/>
      </c>
      <c r="AC2" s="1554">
        <f>IF(AC1&lt;2000,AC1-1900,AC1-2000)</f>
        <v/>
      </c>
      <c r="AD2" s="1554">
        <f>IF(AD1&lt;2000,AD1-1900,AD1-2000)</f>
        <v/>
      </c>
      <c r="AE2" s="1554">
        <f>IF(AE1&lt;2000,AE1-1900,AE1-2000)</f>
        <v/>
      </c>
      <c r="AF2" s="1554">
        <f>IF(AF1&lt;2000,AF1-1900,AF1-2000)</f>
        <v/>
      </c>
      <c r="AG2" s="1554">
        <f>IF(AG1&lt;2000,AG1-1900,AG1-2000)</f>
        <v/>
      </c>
      <c r="AH2" s="1554">
        <f>IF(AH1&lt;2000,AH1-1900,AH1-2000)</f>
        <v/>
      </c>
      <c r="AI2" s="1554">
        <f>IF(AI1&lt;2000,AI1-1900,AI1-2000)</f>
        <v/>
      </c>
      <c r="AJ2" s="1554">
        <f>IF(AJ1&lt;2000,AJ1-1900,AJ1-2000)</f>
        <v/>
      </c>
      <c r="AK2" s="1554">
        <f>IF(AK1&lt;2000,AK1-1900,AK1-2000)</f>
        <v/>
      </c>
      <c r="AL2" s="1554">
        <f>IF(AL1&lt;2000,AL1-1900,AL1-2000)</f>
        <v/>
      </c>
      <c r="AM2" s="1554">
        <f>IF(AM1&lt;2000,AM1-1900,AM1-2000)</f>
        <v/>
      </c>
      <c r="AN2" s="1554">
        <f>IF(AN1&lt;2000,AN1-1900,AN1-2000)</f>
        <v/>
      </c>
      <c r="AO2" s="1552" t="inlineStr">
        <is>
          <t>.</t>
        </is>
      </c>
      <c r="AP2" s="1555" t="n"/>
      <c r="AQ2" s="1556" t="inlineStr">
        <is>
          <t>w/cont</t>
        </is>
      </c>
      <c r="AR2" s="1557" t="inlineStr">
        <is>
          <t>entries</t>
        </is>
      </c>
      <c r="AS2" s="1557" t="inlineStr">
        <is>
          <t>1st date</t>
        </is>
      </c>
      <c r="AT2" s="1557" t="inlineStr">
        <is>
          <t>Last date</t>
        </is>
      </c>
      <c r="AU2" s="1558" t="inlineStr">
        <is>
          <t>seq in</t>
        </is>
      </c>
      <c r="AV2" s="1558" t="inlineStr">
        <is>
          <t>seq out</t>
        </is>
      </c>
      <c r="AW2" s="1557" t="inlineStr">
        <is>
          <t>seq</t>
        </is>
      </c>
      <c r="AX2" s="1559" t="inlineStr">
        <is>
          <t>yrs</t>
        </is>
      </c>
      <c r="AY2" s="1559" t="inlineStr">
        <is>
          <t>total</t>
        </is>
      </c>
      <c r="AZ2" s="1552" t="inlineStr">
        <is>
          <t>.</t>
        </is>
      </c>
      <c r="BA2" s="1552" t="n"/>
      <c r="BB2" s="1552" t="inlineStr">
        <is>
          <t>W</t>
        </is>
      </c>
      <c r="BC2" s="1552">
        <f>INT(SUMIFS(raw[stay],raw[wb],$BB2,raw[dec],BC$1))</f>
        <v/>
      </c>
      <c r="BD2" s="1552">
        <f>INT(SUMIFS(raw[stay],raw[wb],$BB2,raw[dec],BD$1))</f>
        <v/>
      </c>
      <c r="BE2" s="1552">
        <f>INT(SUMIFS(raw[stay],raw[wb],$BB2,raw[dec],BE$1))</f>
        <v/>
      </c>
      <c r="BF2" s="1552">
        <f>INT(SUMIFS(raw[stay],raw[wb],$BB2,raw[dec],BF$1))</f>
        <v/>
      </c>
      <c r="BG2" s="1552">
        <f>INT(SUMIFS(raw[stay],raw[wb],$BB2,raw[dec],BG$1))</f>
        <v/>
      </c>
      <c r="BH2" s="1552" t="n"/>
      <c r="BI2" s="1552">
        <f>ROUND((AT3-AS3)/365.25,1)</f>
        <v/>
      </c>
      <c r="BJ2" s="1552">
        <f>'@Refr'!D3</f>
        <v/>
      </c>
      <c r="BK2" s="1560" t="n"/>
      <c r="BL2" s="1561" t="inlineStr">
        <is>
          <t>Current</t>
        </is>
      </c>
      <c r="BM2" s="1562" t="inlineStr">
        <is>
          <t>date in</t>
        </is>
      </c>
      <c r="BN2" s="1562" t="inlineStr">
        <is>
          <t>seq</t>
        </is>
      </c>
      <c r="BO2" s="1560" t="inlineStr">
        <is>
          <t>.</t>
        </is>
      </c>
      <c r="BP2" s="1560" t="n"/>
      <c r="BQ2" s="1563" t="inlineStr">
        <is>
          <t>estadas</t>
        </is>
      </c>
      <c r="BR2" s="1560" t="n"/>
      <c r="BS2" s="1560" t="n"/>
      <c r="BT2" s="1560" t="n"/>
      <c r="BU2" s="1560" t="n"/>
      <c r="BV2" s="1560" t="n"/>
      <c r="BW2" s="1560" t="n"/>
      <c r="BX2" s="1560" t="n"/>
      <c r="BY2" s="1560" t="n"/>
      <c r="BZ2" s="1560" t="n"/>
      <c r="CA2" s="1560" t="n"/>
      <c r="CB2" s="1560" t="n"/>
      <c r="CC2" s="1560" t="n"/>
      <c r="CD2" s="1560" t="n"/>
      <c r="CE2" s="1560" t="n"/>
      <c r="CF2" s="1560" t="n"/>
    </row>
    <row r="3" ht="14" customHeight="1">
      <c r="A3" s="1564" t="inlineStr">
        <is>
          <t>.</t>
        </is>
      </c>
      <c r="B3" s="1565">
        <f>TODAY()-B2</f>
        <v/>
      </c>
      <c r="C3" s="1429" t="n"/>
      <c r="D3" s="1072" t="n"/>
      <c r="E3" s="1564" t="n"/>
      <c r="F3" s="1564" t="n"/>
      <c r="G3" s="1564" t="n"/>
      <c r="H3" s="1564" t="n"/>
      <c r="I3" s="1564" t="n"/>
      <c r="J3" s="1564" t="n"/>
      <c r="K3" s="1564" t="inlineStr">
        <is>
          <t>Since Mar/96</t>
        </is>
      </c>
      <c r="L3" s="1429" t="n"/>
      <c r="M3" s="1072" t="n"/>
      <c r="N3" s="1566">
        <f>SUM($H6:N6)/(DATE(N1+1,1,1)-(DATE(1996,3,28)))</f>
        <v/>
      </c>
      <c r="O3" s="1566">
        <f>SUM($H6:O6)/(DATE(O1+1,1,1)-(DATE(1996,3,28)))</f>
        <v/>
      </c>
      <c r="P3" s="1566">
        <f>SUM($H6:P6)/(DATE(P1+1,1,1)-(DATE(1996,3,28)))</f>
        <v/>
      </c>
      <c r="Q3" s="1566">
        <f>SUM($H6:Q6)/(DATE(Q1+1,1,1)-(DATE(1996,3,28)))</f>
        <v/>
      </c>
      <c r="R3" s="1566">
        <f>SUM($H6:R6)/(DATE(R1+1,1,1)-(DATE(1996,3,28)))</f>
        <v/>
      </c>
      <c r="S3" s="1566">
        <f>SUM($H6:S6)/(DATE(S1+1,1,1)-(DATE(1996,3,28)))</f>
        <v/>
      </c>
      <c r="T3" s="1566">
        <f>SUM($H6:T6)/(DATE(T1+1,1,1)-(DATE(1996,3,28)))</f>
        <v/>
      </c>
      <c r="U3" s="1566">
        <f>SUM($H6:U6)/(DATE(U1+1,1,1)-(DATE(1996,3,28)))</f>
        <v/>
      </c>
      <c r="V3" s="1566">
        <f>SUM($H6:V6)/(DATE(V1+1,1,1)-(DATE(1996,3,28)))</f>
        <v/>
      </c>
      <c r="W3" s="1566">
        <f>SUM($H6:W6)/(DATE(W1+1,1,1)-(DATE(1996,3,28)))</f>
        <v/>
      </c>
      <c r="X3" s="1566">
        <f>SUM($H6:X6)/(DATE(X1+1,1,1)-(DATE(1996,3,28)))</f>
        <v/>
      </c>
      <c r="Y3" s="1566">
        <f>SUM($H6:Y6)/(DATE(Y1+1,1,1)-(DATE(1996,3,28)))</f>
        <v/>
      </c>
      <c r="Z3" s="1566">
        <f>SUM($H6:Z6)/(DATE(Z1+1,1,1)-(DATE(1996,3,28)))</f>
        <v/>
      </c>
      <c r="AA3" s="1566">
        <f>SUM($H6:AA6)/(DATE(AA1+1,1,1)-(DATE(1996,3,28)))</f>
        <v/>
      </c>
      <c r="AB3" s="1566">
        <f>SUM($H6:AB6)/(DATE(AB1+1,1,1)-(DATE(1996,3,28)))</f>
        <v/>
      </c>
      <c r="AC3" s="1566">
        <f>SUM($H6:AC6)/(DATE(AC1+1,1,1)-(DATE(1996,3,28)))</f>
        <v/>
      </c>
      <c r="AD3" s="1566">
        <f>SUM($H6:AD6)/(DATE(AD1+1,1,1)-(DATE(1996,3,28)))</f>
        <v/>
      </c>
      <c r="AE3" s="1566">
        <f>SUM($H6:AE6)/(DATE(AE1+1,1,1)-(DATE(1996,3,28)))</f>
        <v/>
      </c>
      <c r="AF3" s="1566">
        <f>SUM($H6:AF6)/(DATE(AF1+1,1,1)-(DATE(1996,3,28)))</f>
        <v/>
      </c>
      <c r="AG3" s="1566">
        <f>SUM($H6:AG6)/(DATE(AG1+1,1,1)-(DATE(1996,3,28)))</f>
        <v/>
      </c>
      <c r="AH3" s="1566">
        <f>SUM($H6:AH6)/(DATE(AH1+1,1,1)-(DATE(1996,3,28)))</f>
        <v/>
      </c>
      <c r="AI3" s="1566">
        <f>SUM($H6:AI6)/(DATE(AI1+1,1,1)-(DATE(1996,3,28)))</f>
        <v/>
      </c>
      <c r="AJ3" s="1566">
        <f>SUM($H6:AJ6)/(DATE(AJ1+1,1,1)-(DATE(1996,3,28)))</f>
        <v/>
      </c>
      <c r="AK3" s="1566">
        <f>SUM($H6:AK6)/(DATE(AK1+1,1,1)-(DATE(1996,3,28)))</f>
        <v/>
      </c>
      <c r="AL3" s="1566">
        <f>SUM($H6:AL6)/(DATE(AL1+1,1,1)-(DATE(1996,3,28)))</f>
        <v/>
      </c>
      <c r="AM3" s="1566">
        <f>SUM($H6:AM6)/(DATE(AM1+1,1,1)-(DATE(1996,3,28)))</f>
        <v/>
      </c>
      <c r="AN3" s="1566">
        <f>SUM($H6:AN6)/(TODAY()-(DATE(1996,3,28)))</f>
        <v/>
      </c>
      <c r="AO3" s="1564" t="inlineStr">
        <is>
          <t>.</t>
        </is>
      </c>
      <c r="AP3" s="1567" t="n"/>
      <c r="AQ3" s="1568" t="inlineStr">
        <is>
          <t>W</t>
        </is>
      </c>
      <c r="AR3" s="1564">
        <f>INPUT!BG$2</f>
        <v/>
      </c>
      <c r="AS3" s="1569">
        <f>MIN(AS4:AS9)</f>
        <v/>
      </c>
      <c r="AT3" s="1569">
        <f>MAX(AT4:AT9)</f>
        <v/>
      </c>
      <c r="AU3" s="1570">
        <f>_xlfn.XLOOKUP(wcontSeq[[#This Row],[seq]],stayWB[stay],stayWB[in],"-")</f>
        <v/>
      </c>
      <c r="AV3" s="1570">
        <f>_xlfn.XLOOKUP(wcontSeq[[#This Row],[seq]],stayWB[stay],stayWB[out],"-")</f>
        <v/>
      </c>
      <c r="AW3" s="1564">
        <f>MAX(stayWB[stay])</f>
        <v/>
      </c>
      <c r="AX3" s="1571">
        <f t="array" ref="AX3">ROWS(_xlfn.UNIQUE(_xlfn._xlws.FILTER(raw[yr], raw[wb]=wcontSeq[[#This Row],[w/cont]])))</f>
        <v/>
      </c>
      <c r="AY3" s="1571">
        <f>ROUND(SUM(stayWB[stay])/365.25,1)&amp;"y"</f>
        <v/>
      </c>
      <c r="AZ3" s="1572">
        <f>SUM(stayWB[stay])/B$3</f>
        <v/>
      </c>
      <c r="BA3" s="1564" t="n"/>
      <c r="BB3" s="1071" t="n"/>
      <c r="BC3" s="1566">
        <f>BC2/3652.5</f>
        <v/>
      </c>
      <c r="BD3" s="1566">
        <f>BD2/3652.5</f>
        <v/>
      </c>
      <c r="BE3" s="1566">
        <f>BE2/3652.5</f>
        <v/>
      </c>
      <c r="BF3" s="1566">
        <f>BF2/3652.5</f>
        <v/>
      </c>
      <c r="BG3" s="1566">
        <f>BG2/(TODAY()-BB$1)</f>
        <v/>
      </c>
      <c r="BH3" s="1564" t="n"/>
      <c r="BI3" s="1564" t="n"/>
      <c r="BJ3" s="1564" t="n"/>
      <c r="BK3" s="1573" t="n"/>
      <c r="BL3" s="1574">
        <f>_xlfn.XLOOKUP(MAX(raw[id]),raw[id],raw[city])</f>
        <v/>
      </c>
      <c r="BM3" s="1575">
        <f>IF(_xlfn.XLOOKUP(MAX(stayCity[in]),stayCity[in],stayCity[city])&lt;&gt;BL3,TODAY(),MAX(stayCity[in]))</f>
        <v/>
      </c>
      <c r="BN3" s="1576">
        <f>TODAY()-BM3</f>
        <v/>
      </c>
      <c r="BO3" s="1573" t="inlineStr">
        <is>
          <t>.</t>
        </is>
      </c>
      <c r="BP3" s="1577" t="n"/>
      <c r="BQ3" s="1578" t="inlineStr">
        <is>
          <t>Encontro…</t>
        </is>
      </c>
      <c r="BR3" s="1573" t="n"/>
      <c r="BS3" s="1573" t="n"/>
      <c r="BT3" s="1573" t="n"/>
      <c r="BU3" s="1573" t="n"/>
      <c r="BV3" s="1573" t="n"/>
      <c r="BW3" s="1573" t="n"/>
      <c r="BX3" s="1573" t="n"/>
      <c r="BY3" s="1573" t="n"/>
      <c r="BZ3" s="1573" t="n"/>
      <c r="CA3" s="1573" t="n"/>
      <c r="CB3" s="1573" t="n"/>
      <c r="CC3" s="1573" t="n"/>
      <c r="CD3" s="1573" t="n"/>
      <c r="CE3" s="1573" t="n"/>
      <c r="CF3" s="1573" t="n"/>
    </row>
    <row r="4" ht="14" customHeight="1">
      <c r="A4" s="1564" t="inlineStr">
        <is>
          <t>.</t>
        </is>
      </c>
      <c r="B4" s="1565" t="n"/>
      <c r="C4" s="1429" t="n"/>
      <c r="D4" s="1072" t="n"/>
      <c r="E4" s="1564" t="n"/>
      <c r="F4" s="1564" t="n"/>
      <c r="G4" s="1565" t="inlineStr">
        <is>
          <t>% W</t>
        </is>
      </c>
      <c r="H4" s="1579">
        <f>SUM($H6:H6)/(DATE(H1+1,1,1)-$B$2)</f>
        <v/>
      </c>
      <c r="I4" s="1579">
        <f>SUM($H6:I6)/(DATE(I1+1,1,1)-$B$2)</f>
        <v/>
      </c>
      <c r="J4" s="1579">
        <f>SUM($H6:J6)/(DATE(J1+1,1,1)-$B$2)</f>
        <v/>
      </c>
      <c r="K4" s="1579">
        <f>SUM($H6:K6)/(DATE(K1+1,1,1)-$B$2)</f>
        <v/>
      </c>
      <c r="L4" s="1579">
        <f>SUM($H6:L6)/(DATE(L1+1,1,1)-$B$2)</f>
        <v/>
      </c>
      <c r="M4" s="1579">
        <f>SUM($H6:M6)/(DATE(M1+1,1,1)-$B$2)</f>
        <v/>
      </c>
      <c r="N4" s="1579">
        <f>SUM($H6:N6)/(DATE(N1+1,1,1)-$B$2)</f>
        <v/>
      </c>
      <c r="O4" s="1579">
        <f>SUM($H6:O6)/(DATE(O1+1,1,1)-$B$2)</f>
        <v/>
      </c>
      <c r="P4" s="1579">
        <f>SUM($H6:P6)/(DATE(P1+1,1,1)-$B$2)</f>
        <v/>
      </c>
      <c r="Q4" s="1579">
        <f>SUM($H6:Q6)/(DATE(Q1+1,1,1)-$B$2)</f>
        <v/>
      </c>
      <c r="R4" s="1579">
        <f>SUM($H6:R6)/(DATE(R1+1,1,1)-$B$2)</f>
        <v/>
      </c>
      <c r="S4" s="1579">
        <f>SUM($H6:S6)/(DATE(S1+1,1,1)-$B$2)</f>
        <v/>
      </c>
      <c r="T4" s="1579">
        <f>SUM($H6:T6)/(DATE(T1+1,1,1)-$B$2)</f>
        <v/>
      </c>
      <c r="U4" s="1579">
        <f>SUM($H6:U6)/(DATE(U1+1,1,1)-$B$2)</f>
        <v/>
      </c>
      <c r="V4" s="1579">
        <f>SUM($H6:V6)/(DATE(V1+1,1,1)-$B$2)</f>
        <v/>
      </c>
      <c r="W4" s="1580">
        <f>SUM($H6:W6)/(DATE(W1+1,1,1)-$B$2)</f>
        <v/>
      </c>
      <c r="X4" s="1580">
        <f>SUM($H6:X6)/(DATE(X1+1,1,1)-$B$2)</f>
        <v/>
      </c>
      <c r="Y4" s="1580">
        <f>SUM($H6:Y6)/(DATE(Y1+1,1,1)-$B$2)</f>
        <v/>
      </c>
      <c r="Z4" s="1580">
        <f>SUM($H6:Z6)/(DATE(Z1+1,1,1)-$B$2)</f>
        <v/>
      </c>
      <c r="AA4" s="1580">
        <f>SUM($H6:AA6)/(DATE(AA1+1,1,1)-$B$2)</f>
        <v/>
      </c>
      <c r="AB4" s="1580">
        <f>SUM($H6:AB6)/(DATE(AB1+1,1,1)-$B$2)</f>
        <v/>
      </c>
      <c r="AC4" s="1579">
        <f>SUM($H6:AC6)/(DATE(AC1+1,1,1)-$B$2)</f>
        <v/>
      </c>
      <c r="AD4" s="1580">
        <f>SUM($H6:AD6)/(DATE(AD1+1,1,1)-$B$2)</f>
        <v/>
      </c>
      <c r="AE4" s="1580">
        <f>SUM($H6:AE6)/(DATE(AE1+1,1,1)-$B$2)</f>
        <v/>
      </c>
      <c r="AF4" s="1580">
        <f>SUM($H6:AF6)/(DATE(AF1+1,1,1)-$B$2)</f>
        <v/>
      </c>
      <c r="AG4" s="1580">
        <f>SUM($H6:AG6)/(DATE(AG1+1,1,1)-$B$2)</f>
        <v/>
      </c>
      <c r="AH4" s="1580">
        <f>SUM($H6:AH6)/(DATE(AH1+1,1,1)-$B$2)</f>
        <v/>
      </c>
      <c r="AI4" s="1580">
        <f>SUM($H6:AI6)/(DATE(AI1+1,1,1)-$B$2)</f>
        <v/>
      </c>
      <c r="AJ4" s="1580">
        <f>SUM($H6:AJ6)/(DATE(AJ1+1,1,1)-$B$2)</f>
        <v/>
      </c>
      <c r="AK4" s="1580">
        <f>SUM($H6:AK6)/(DATE(AK1+1,1,1)-$B$2)</f>
        <v/>
      </c>
      <c r="AL4" s="1580">
        <f>SUM($H6:AL6)/(DATE(AL1+1,1,1)-$B$2)</f>
        <v/>
      </c>
      <c r="AM4" s="1580">
        <f>SUM($H6:AM6)/(TODAY()-$B$2)</f>
        <v/>
      </c>
      <c r="AN4" s="1580">
        <f>SUM($H6:AN6)/(TODAY()-$B$2)</f>
        <v/>
      </c>
      <c r="AO4" s="1564" t="inlineStr">
        <is>
          <t>.</t>
        </is>
      </c>
      <c r="AP4" s="1567" t="n"/>
      <c r="AQ4" s="1581" t="inlineStr">
        <is>
          <t>N</t>
        </is>
      </c>
      <c r="AR4" s="1564">
        <f>COUNTIF(entryCont[cont],wcontSeq[[#This Row],[w/cont]])</f>
        <v/>
      </c>
      <c r="AS4" s="1569">
        <f>_xlfn.MINIFS(stayCont[in], stayCont[cont], wcontSeq[[#This Row],[w/cont]])</f>
        <v/>
      </c>
      <c r="AT4" s="1582">
        <f>IF(wcontSeq[[#This Row],[seq]]=0,wcontSeq[[#This Row],[1st date]],_xlfn.MAXIFS(stayCont[out], stayCont[cont], wcontSeq[[#This Row],[w/cont]]))</f>
        <v/>
      </c>
      <c r="AU4" s="1570">
        <f>_xlfn.XLOOKUP(wcontSeq[[#This Row],[seq]],stayCont[stay],stayCont[in],"-")</f>
        <v/>
      </c>
      <c r="AV4" s="1570">
        <f>_xlfn.XLOOKUP(wcontSeq[[#This Row],[seq]],stayCont[stay],stayCont[out],"-")</f>
        <v/>
      </c>
      <c r="AW4" s="1564">
        <f t="array" ref="AW4">MAX(IF(stayCont[cont]=wcontSeq[[#This Row],[w/cont]],stayCont[stay]))</f>
        <v/>
      </c>
      <c r="AX4" s="1571">
        <f t="array" ref="AX4">ROWS(_xlfn.UNIQUE(_xlfn._xlws.FILTER(raw[yr], raw[cont]=wcontSeq[[#This Row],[w/cont]])))</f>
        <v/>
      </c>
      <c r="AY4" s="1571">
        <f>ROUND(SUMIFS(stayCont[stay],stayCont[cont],wcontSeq[[#This Row],[w/cont]])/365.25,1)&amp;"y"</f>
        <v/>
      </c>
      <c r="AZ4" s="1572">
        <f>(SUMIFS(stayCont[stay],stayCont[cont],wcontSeq[[#This Row],[w/cont]]))/B$3</f>
        <v/>
      </c>
      <c r="BA4" s="1564" t="n"/>
      <c r="BB4" s="1583" t="inlineStr">
        <is>
          <t>N</t>
        </is>
      </c>
      <c r="BC4" s="1564">
        <f>INT(SUMIFS(raw[stay],raw[cont],$BB4,raw[dec],BC$1))</f>
        <v/>
      </c>
      <c r="BD4" s="1564">
        <f>INT(SUMIFS(raw[stay],raw[cont],$BB4,raw[dec],BD$1))</f>
        <v/>
      </c>
      <c r="BE4" s="1564">
        <f>INT(SUMIFS(raw[stay],raw[cont],$BB4,raw[dec],BE$1))</f>
        <v/>
      </c>
      <c r="BF4" s="1564">
        <f>INT(SUMIFS(raw[stay],raw[cont],$BB4,raw[dec],BF$1))</f>
        <v/>
      </c>
      <c r="BG4" s="1564">
        <f>INT(SUMIFS(raw[stay],raw[cont],$BB4,raw[dec],BG$1))</f>
        <v/>
      </c>
      <c r="BH4" s="1564" t="n"/>
      <c r="BI4" s="1564">
        <f>ROUND((AT4-AS4)/365.25,1)</f>
        <v/>
      </c>
      <c r="BJ4" s="1564">
        <f>SUMIFS(ctries[Ncity],ctries[cont],BB4)</f>
        <v/>
      </c>
      <c r="BK4" s="1573" t="n"/>
      <c r="BL4" s="1574">
        <f>_xlfn.XLOOKUP(MAX(raw[id]),raw[id],raw[ctry])</f>
        <v/>
      </c>
      <c r="BM4" s="1575">
        <f>IF(_xlfn.XLOOKUP(MAX(stayCtry[in]),stayCtry[in],stayCtry[ctry])&lt;&gt;BL4,TODAY(),MAX(stayCtry[in]))</f>
        <v/>
      </c>
      <c r="BN4" s="1576">
        <f>TODAY()-BM4</f>
        <v/>
      </c>
      <c r="BO4" s="1573" t="inlineStr">
        <is>
          <t>.</t>
        </is>
      </c>
      <c r="BP4" s="1577" t="n"/>
      <c r="BQ4" s="1578" t="inlineStr">
        <is>
          <t>missing</t>
        </is>
      </c>
      <c r="BR4" s="1573" t="n"/>
      <c r="BS4" s="1573" t="n"/>
      <c r="BT4" s="1573" t="n"/>
      <c r="BU4" s="1584" t="n"/>
      <c r="BV4" s="1573" t="n"/>
      <c r="BW4" s="1573" t="n"/>
      <c r="BX4" s="1573" t="n"/>
      <c r="BY4" s="1573" t="n"/>
      <c r="BZ4" s="1573" t="n"/>
      <c r="CA4" s="1573" t="n"/>
      <c r="CB4" s="1573" t="n"/>
      <c r="CC4" s="1573" t="n"/>
      <c r="CD4" s="1573" t="n"/>
      <c r="CE4" s="1573" t="n"/>
      <c r="CF4" s="1573" t="n"/>
    </row>
    <row r="5" ht="14" customHeight="1">
      <c r="A5" s="1564" t="inlineStr">
        <is>
          <t>.</t>
        </is>
      </c>
      <c r="B5" s="1564" t="n"/>
      <c r="C5" s="1564" t="n"/>
      <c r="D5" s="1564" t="n"/>
      <c r="E5" s="1564" t="n"/>
      <c r="F5" s="1571" t="n"/>
      <c r="G5" s="1565" t="inlineStr">
        <is>
          <t>ys W</t>
        </is>
      </c>
      <c r="H5" s="1585">
        <f>SUM($H6:H6)/365.25</f>
        <v/>
      </c>
      <c r="I5" s="1586">
        <f>SUM($H6:I6)/365.25</f>
        <v/>
      </c>
      <c r="J5" s="1586">
        <f>SUM($H6:J6)/365.25</f>
        <v/>
      </c>
      <c r="K5" s="1586">
        <f>SUM($H6:K6)/365.25</f>
        <v/>
      </c>
      <c r="L5" s="1586">
        <f>SUM($H6:L6)/365.25</f>
        <v/>
      </c>
      <c r="M5" s="1586">
        <f>SUM($H6:M6)/365.25</f>
        <v/>
      </c>
      <c r="N5" s="1586">
        <f>SUM($H6:N6)/365.25</f>
        <v/>
      </c>
      <c r="O5" s="1586">
        <f>SUM($H6:O6)/365.25</f>
        <v/>
      </c>
      <c r="P5" s="1586">
        <f>SUM($H6:P6)/365.25</f>
        <v/>
      </c>
      <c r="Q5" s="1586">
        <f>SUM($H6:Q6)/365.25</f>
        <v/>
      </c>
      <c r="R5" s="1586">
        <f>SUM($H6:R6)/365.25</f>
        <v/>
      </c>
      <c r="S5" s="1586">
        <f>SUM($H6:S6)/365.25</f>
        <v/>
      </c>
      <c r="T5" s="1586">
        <f>SUM($H6:T6)/365.25</f>
        <v/>
      </c>
      <c r="U5" s="1586">
        <f>SUM($H6:U6)/365.25</f>
        <v/>
      </c>
      <c r="V5" s="1586">
        <f>SUM($H6:V6)/365.25</f>
        <v/>
      </c>
      <c r="W5" s="1586">
        <f>SUM($H6:W6)/365.25</f>
        <v/>
      </c>
      <c r="X5" s="1586">
        <f>SUM($H6:X6)/365.25</f>
        <v/>
      </c>
      <c r="Y5" s="1586">
        <f>SUM($H6:Y6)/365.25</f>
        <v/>
      </c>
      <c r="Z5" s="1586">
        <f>SUM($H6:Z6)/365.25</f>
        <v/>
      </c>
      <c r="AA5" s="1586">
        <f>SUM($H6:AA6)/365.25</f>
        <v/>
      </c>
      <c r="AB5" s="1586">
        <f>SUM($H6:AB6)/365.25</f>
        <v/>
      </c>
      <c r="AC5" s="1586">
        <f>SUM($H6:AC6)/365.25</f>
        <v/>
      </c>
      <c r="AD5" s="1586">
        <f>SUM($H6:AD6)/365.25</f>
        <v/>
      </c>
      <c r="AE5" s="1586">
        <f>SUM($H6:AE6)/365.25</f>
        <v/>
      </c>
      <c r="AF5" s="1586">
        <f>SUM($H6:AF6)/365.25</f>
        <v/>
      </c>
      <c r="AG5" s="1586">
        <f>SUM($H6:AG6)/365.25</f>
        <v/>
      </c>
      <c r="AH5" s="1586">
        <f>SUM($H6:AH6)/365.25</f>
        <v/>
      </c>
      <c r="AI5" s="1586">
        <f>SUM($H6:AI6)/365.25</f>
        <v/>
      </c>
      <c r="AJ5" s="1586">
        <f>SUM($H6:AJ6)/365.25</f>
        <v/>
      </c>
      <c r="AK5" s="1586">
        <f>SUM($H6:AK6)/365.25</f>
        <v/>
      </c>
      <c r="AL5" s="1586">
        <f>SUM($H6:AL6)/365.25</f>
        <v/>
      </c>
      <c r="AM5" s="1586">
        <f>SUM($H6:AM6)/365.25</f>
        <v/>
      </c>
      <c r="AN5" s="1586">
        <f>SUM($H6:AN6)/365.25</f>
        <v/>
      </c>
      <c r="AO5" s="1564" t="inlineStr">
        <is>
          <t>.</t>
        </is>
      </c>
      <c r="AP5" s="1567" t="n"/>
      <c r="AQ5" s="1581" t="inlineStr">
        <is>
          <t>E</t>
        </is>
      </c>
      <c r="AR5" s="1564">
        <f>COUNTIF(entryCont[cont],wcontSeq[[#This Row],[w/cont]])</f>
        <v/>
      </c>
      <c r="AS5" s="1569">
        <f>_xlfn.MINIFS(stayCont[in], stayCont[cont], wcontSeq[[#This Row],[w/cont]])</f>
        <v/>
      </c>
      <c r="AT5" s="1582">
        <f>IF(wcontSeq[[#This Row],[seq]]=0,wcontSeq[[#This Row],[1st date]],_xlfn.MAXIFS(stayCont[out], stayCont[cont], wcontSeq[[#This Row],[w/cont]]))</f>
        <v/>
      </c>
      <c r="AU5" s="1570">
        <f>_xlfn.XLOOKUP(wcontSeq[[#This Row],[seq]],stayCont[stay],stayCont[in],"-")</f>
        <v/>
      </c>
      <c r="AV5" s="1570">
        <f>_xlfn.XLOOKUP(wcontSeq[[#This Row],[seq]],stayCont[stay],stayCont[out],"-")</f>
        <v/>
      </c>
      <c r="AW5" s="1564">
        <f t="array" ref="AW5">MAX(IF(stayCont[cont]=wcontSeq[[#This Row],[w/cont]],stayCont[stay]))</f>
        <v/>
      </c>
      <c r="AX5" s="1571">
        <f t="array" ref="AX5">ROWS(_xlfn.UNIQUE(_xlfn._xlws.FILTER(raw[yr], raw[cont]=wcontSeq[[#This Row],[w/cont]])))</f>
        <v/>
      </c>
      <c r="AY5" s="1571">
        <f>ROUND(SUMIFS(stayCont[stay],stayCont[cont],wcontSeq[[#This Row],[w/cont]])/365.25,1)&amp;"y"</f>
        <v/>
      </c>
      <c r="AZ5" s="1572">
        <f>(SUMIFS(stayCont[stay],stayCont[cont],wcontSeq[[#This Row],[w/cont]]))/B$3</f>
        <v/>
      </c>
      <c r="BA5" s="1564" t="n"/>
      <c r="BB5" s="1583" t="inlineStr">
        <is>
          <t>E</t>
        </is>
      </c>
      <c r="BC5" s="1564">
        <f>INT(SUMIFS(raw[stay],raw[cont],$BB5,raw[dec],BC$1))</f>
        <v/>
      </c>
      <c r="BD5" s="1564">
        <f>INT(SUMIFS(raw[stay],raw[cont],$BB5,raw[dec],BD$1))</f>
        <v/>
      </c>
      <c r="BE5" s="1564">
        <f>INT(SUMIFS(raw[stay],raw[cont],$BB5,raw[dec],BE$1))</f>
        <v/>
      </c>
      <c r="BF5" s="1564">
        <f>INT(SUMIFS(raw[stay],raw[cont],$BB5,raw[dec],BF$1))</f>
        <v/>
      </c>
      <c r="BG5" s="1564">
        <f>INT(SUMIFS(raw[stay],raw[cont],$BB5,raw[dec],BG$1))</f>
        <v/>
      </c>
      <c r="BH5" s="1564" t="n"/>
      <c r="BI5" s="1564">
        <f>ROUND((AT5-AS5)/365.25,1)</f>
        <v/>
      </c>
      <c r="BJ5" s="1564">
        <f>SUMIFS(ctries[Ncity],ctries[cont],BB5)</f>
        <v/>
      </c>
      <c r="BK5" s="1573" t="n"/>
      <c r="BL5" s="1574">
        <f>_xlfn.XLOOKUP(MAX(raw[id]),raw[id],raw[cont])</f>
        <v/>
      </c>
      <c r="BM5" s="1575">
        <f>MAX(stayCont[in])</f>
        <v/>
      </c>
      <c r="BN5" s="1576">
        <f>TODAY()-BM5</f>
        <v/>
      </c>
      <c r="BO5" s="1573" t="inlineStr">
        <is>
          <t>.</t>
        </is>
      </c>
      <c r="BP5" s="1573" t="n"/>
      <c r="BQ5" s="1573" t="n"/>
      <c r="BR5" s="1573" t="n"/>
      <c r="BS5" s="1573" t="n"/>
      <c r="BT5" s="1573" t="n"/>
      <c r="BU5" s="1584" t="n"/>
      <c r="BV5" s="1573" t="n"/>
      <c r="BW5" s="1573" t="n"/>
      <c r="BX5" s="1573" t="n"/>
      <c r="BY5" s="1573" t="n"/>
      <c r="BZ5" s="1573" t="n"/>
      <c r="CA5" s="1573" t="n"/>
      <c r="CB5" s="1573" t="n"/>
      <c r="CC5" s="1573" t="n"/>
      <c r="CD5" s="1573" t="n"/>
      <c r="CE5" s="1573" t="n"/>
      <c r="CF5" s="1573" t="n"/>
    </row>
    <row r="6" ht="14" customHeight="1">
      <c r="A6" s="1361" t="n">
        <v>1</v>
      </c>
      <c r="B6" s="1361" t="inlineStr">
        <is>
          <t>BRA</t>
        </is>
      </c>
      <c r="C6" s="1587">
        <f>B3-SUM(C8:C43)</f>
        <v/>
      </c>
      <c r="D6" s="1361">
        <f t="array" ref="D6">MAX(IF(stayCtry[ctry]=$B6,stayCtry[stay]))</f>
        <v/>
      </c>
      <c r="E6" s="1361">
        <f>COUNTIF(entryCtry[],B6)</f>
        <v/>
      </c>
      <c r="F6" s="1361" t="inlineStr">
        <is>
          <t>X</t>
        </is>
      </c>
      <c r="G6" s="1587" t="inlineStr">
        <is>
          <t>W</t>
        </is>
      </c>
      <c r="H6" s="1587">
        <f>INT(SUMIFS(H8:H45,$G8:$G45,"&lt;&gt;BRA"))</f>
        <v/>
      </c>
      <c r="I6" s="1587">
        <f>INT(SUMIFS(I8:I45,$G8:$G45,"&lt;&gt;BRA"))</f>
        <v/>
      </c>
      <c r="J6" s="1587">
        <f>INT(SUMIFS(J8:J45,$G8:$G45,"&lt;&gt;BRA"))</f>
        <v/>
      </c>
      <c r="K6" s="1587">
        <f>INT(SUMIFS(K8:K45,$G8:$G45,"&lt;&gt;BRA"))</f>
        <v/>
      </c>
      <c r="L6" s="1587">
        <f>INT(SUMIFS(L8:L45,$G8:$G45,"&lt;&gt;BRA"))</f>
        <v/>
      </c>
      <c r="M6" s="1587">
        <f>INT(SUMIFS(M8:M45,$G8:$G45,"&lt;&gt;BRA"))</f>
        <v/>
      </c>
      <c r="N6" s="1587">
        <f>INT(SUMIFS(N8:N45,$G8:$G45,"&lt;&gt;BRA"))</f>
        <v/>
      </c>
      <c r="O6" s="1587">
        <f>INT(SUMIFS(O8:O45,$G8:$G45,"&lt;&gt;BRA"))</f>
        <v/>
      </c>
      <c r="P6" s="1587">
        <f>INT(SUMIFS(P8:P45,$G8:$G45,"&lt;&gt;BRA"))</f>
        <v/>
      </c>
      <c r="Q6" s="1587">
        <f>INT(SUMIFS(Q8:Q45,$G8:$G45,"&lt;&gt;BRA"))</f>
        <v/>
      </c>
      <c r="R6" s="1587">
        <f>INT(SUMIFS(R8:R45,$G8:$G45,"&lt;&gt;BRA"))</f>
        <v/>
      </c>
      <c r="S6" s="1587">
        <f>INT(SUMIFS(S8:S45,$G8:$G45,"&lt;&gt;BRA"))</f>
        <v/>
      </c>
      <c r="T6" s="1587">
        <f>INT(SUMIFS(T8:T45,$G8:$G45,"&lt;&gt;BRA"))</f>
        <v/>
      </c>
      <c r="U6" s="1587">
        <f>INT(SUMIFS(U8:U45,$G8:$G45,"&lt;&gt;BRA"))</f>
        <v/>
      </c>
      <c r="V6" s="1587">
        <f>INT(SUMIFS(V8:V45,$G8:$G45,"&lt;&gt;BRA"))</f>
        <v/>
      </c>
      <c r="W6" s="1587">
        <f>INT(SUMIFS(W8:W45,$G8:$G45,"&lt;&gt;BRA"))</f>
        <v/>
      </c>
      <c r="X6" s="1587">
        <f>INT(SUMIFS(X8:X45,$G8:$G45,"&lt;&gt;BRA"))</f>
        <v/>
      </c>
      <c r="Y6" s="1587">
        <f>INT(SUMIFS(Y8:Y45,$G8:$G45,"&lt;&gt;BRA"))</f>
        <v/>
      </c>
      <c r="Z6" s="1587">
        <f>INT(SUMIFS(Z8:Z45,$G8:$G45,"&lt;&gt;BRA"))</f>
        <v/>
      </c>
      <c r="AA6" s="1587">
        <f>INT(SUMIFS(AA8:AA45,$G8:$G45,"&lt;&gt;BRA"))</f>
        <v/>
      </c>
      <c r="AB6" s="1587">
        <f>INT(SUMIFS(AB8:AB45,$G8:$G45,"&lt;&gt;BRA"))</f>
        <v/>
      </c>
      <c r="AC6" s="1587">
        <f>INT(SUMIFS(AC8:AC45,$G8:$G45,"&lt;&gt;BRA"))</f>
        <v/>
      </c>
      <c r="AD6" s="1587">
        <f>INT(SUMIFS(AD8:AD45,$G8:$G45,"&lt;&gt;BRA"))</f>
        <v/>
      </c>
      <c r="AE6" s="1587">
        <f>INT(SUMIFS(AE8:AE45,$G8:$G45,"&lt;&gt;BRA"))</f>
        <v/>
      </c>
      <c r="AF6" s="1587">
        <f>INT(SUMIFS(AF8:AF45,$G8:$G45,"&lt;&gt;BRA"))</f>
        <v/>
      </c>
      <c r="AG6" s="1587">
        <f>INT(SUMIFS(AG8:AG45,$G8:$G45,"&lt;&gt;BRA"))</f>
        <v/>
      </c>
      <c r="AH6" s="1587">
        <f>INT(SUMIFS(AH8:AH45,$G8:$G45,"&lt;&gt;BRA"))</f>
        <v/>
      </c>
      <c r="AI6" s="1587">
        <f>INT(SUMIFS(AI8:AI45,$G8:$G45,"&lt;&gt;BRA"))</f>
        <v/>
      </c>
      <c r="AJ6" s="1587">
        <f>INT(SUMIFS(AJ8:AJ45,$G8:$G45,"&lt;&gt;BRA"))</f>
        <v/>
      </c>
      <c r="AK6" s="1587">
        <f>INT(SUMIFS(AK8:AK45,$G8:$G45,"&lt;&gt;BRA"))</f>
        <v/>
      </c>
      <c r="AL6" s="1587">
        <f>INT(SUMIFS(AL8:AL45,$G8:$G45,"&lt;&gt;BRA"))</f>
        <v/>
      </c>
      <c r="AM6" s="1587">
        <f>INT(SUMIFS(AM8:AM45,$G8:$G45,"&lt;&gt;BRA"))</f>
        <v/>
      </c>
      <c r="AN6" s="1587">
        <f>INT(SUMIFS(AN8:AN45,$G8:$G45,"&lt;&gt;BRA"))</f>
        <v/>
      </c>
      <c r="AO6" s="1361" t="inlineStr">
        <is>
          <t>.</t>
        </is>
      </c>
      <c r="AP6" s="1361" t="n"/>
      <c r="AQ6" s="1588" t="inlineStr">
        <is>
          <t>S</t>
        </is>
      </c>
      <c r="AR6" s="1361">
        <f>COUNTIF(entryCont[cont],wcontSeq[[#This Row],[w/cont]])</f>
        <v/>
      </c>
      <c r="AS6" s="1589">
        <f>_xlfn.MINIFS(stayCont[in], stayCont[cont], wcontSeq[[#This Row],[w/cont]])</f>
        <v/>
      </c>
      <c r="AT6" s="1589">
        <f>IF(wcontSeq[[#This Row],[seq]]=0,wcontSeq[[#This Row],[1st date]],_xlfn.MAXIFS(stayCont[out], stayCont[cont], wcontSeq[[#This Row],[w/cont]]))</f>
        <v/>
      </c>
      <c r="AU6" s="1590">
        <f>_xlfn.XLOOKUP(wcontSeq[[#This Row],[seq]],stayCont[stay],stayCont[in],"-")</f>
        <v/>
      </c>
      <c r="AV6" s="1590">
        <f>_xlfn.XLOOKUP(wcontSeq[[#This Row],[seq]],stayCont[stay],stayCont[out],"-")</f>
        <v/>
      </c>
      <c r="AW6" s="1361">
        <f t="array" ref="AW6">MAX(IF(stayCont[cont]=wcontSeq[[#This Row],[w/cont]],stayCont[stay]))</f>
        <v/>
      </c>
      <c r="AX6" s="1361">
        <f t="array" ref="AX6">ROWS(_xlfn.UNIQUE(_xlfn._xlws.FILTER(raw[yr], raw[cont]=wcontSeq[[#This Row],[w/cont]])))</f>
        <v/>
      </c>
      <c r="AY6" s="1361">
        <f>(SUMIFS(stayCont[stay],stayCont[cont],wcontSeq[[#This Row],[w/cont]]))</f>
        <v/>
      </c>
      <c r="AZ6" s="1591">
        <f>(SUMIFS(stayCont[stay],stayCont[cont],wcontSeq[[#This Row],[w/cont]]))/B$3</f>
        <v/>
      </c>
      <c r="BA6" s="1361" t="n"/>
      <c r="BB6" s="1588" t="inlineStr">
        <is>
          <t>S</t>
        </is>
      </c>
      <c r="BC6" s="1587">
        <f>(SUMIFS(raw[stay],raw[cont],$BB6,raw[dec],BC$1))</f>
        <v/>
      </c>
      <c r="BD6" s="1361">
        <f>(SUMIFS(raw[stay],raw[cont],$BB6,raw[dec],BD$1))</f>
        <v/>
      </c>
      <c r="BE6" s="1361">
        <f>(SUMIFS(raw[stay],raw[cont],$BB6,raw[dec],BE$1))</f>
        <v/>
      </c>
      <c r="BF6" s="1361">
        <f>(SUMIFS(raw[stay],raw[cont],$BB6,raw[dec],BF$1))</f>
        <v/>
      </c>
      <c r="BG6" s="1361">
        <f>(SUMIFS(raw[stay],raw[cont],$BB6,raw[dec],BG$1))</f>
        <v/>
      </c>
      <c r="BH6" s="1361" t="n"/>
      <c r="BI6" s="1361">
        <f>ROUND((AT6-AS6)/365.25,1)</f>
        <v/>
      </c>
      <c r="BJ6" s="1361">
        <f>SUMIFS(ctries[Ncity],ctries[cont],BB6)</f>
        <v/>
      </c>
      <c r="BK6" s="1361" t="n"/>
      <c r="BL6" s="1592" t="inlineStr">
        <is>
          <t>W</t>
        </is>
      </c>
      <c r="BM6" s="1593">
        <f>MAX(stayWB[in])</f>
        <v/>
      </c>
      <c r="BN6" s="1592">
        <f>TODAY()-BM6</f>
        <v/>
      </c>
      <c r="BO6" s="1361" t="inlineStr">
        <is>
          <t>.</t>
        </is>
      </c>
      <c r="BP6" s="1361" t="n"/>
      <c r="BQ6" s="1594" t="inlineStr">
        <is>
          <t>Ste-Julienne</t>
        </is>
      </c>
      <c r="BR6" s="1361" t="n"/>
      <c r="BS6" s="1361" t="n"/>
      <c r="BT6" s="1361" t="n"/>
      <c r="BU6" s="1595" t="n"/>
      <c r="BV6" s="1361" t="n"/>
      <c r="BW6" s="1361" t="n"/>
      <c r="BX6" s="1361" t="n"/>
      <c r="BY6" s="1361" t="n"/>
      <c r="BZ6" s="1361" t="n"/>
      <c r="CA6" s="1361" t="n"/>
      <c r="CB6" s="1361" t="n"/>
      <c r="CC6" s="1361" t="n"/>
      <c r="CD6" s="1361" t="n"/>
      <c r="CE6" s="1361" t="n"/>
      <c r="CF6" s="1361" t="n"/>
    </row>
    <row r="7" ht="14" customHeight="1">
      <c r="A7" s="1596" t="n"/>
      <c r="B7" s="1596" t="inlineStr">
        <is>
          <t>#</t>
        </is>
      </c>
      <c r="C7" s="1596" t="inlineStr">
        <is>
          <t>total</t>
        </is>
      </c>
      <c r="D7" s="1596" t="inlineStr">
        <is>
          <t>seq</t>
        </is>
      </c>
      <c r="E7" s="1596" t="inlineStr">
        <is>
          <t>entries</t>
        </is>
      </c>
      <c r="F7" s="1596" t="inlineStr">
        <is>
          <t>yrs</t>
        </is>
      </c>
      <c r="G7" s="1597" t="inlineStr">
        <is>
          <t>ctry</t>
        </is>
      </c>
      <c r="H7" s="1598" t="inlineStr">
        <is>
          <t>82</t>
        </is>
      </c>
      <c r="I7" s="1599" t="inlineStr">
        <is>
          <t>84</t>
        </is>
      </c>
      <c r="J7" s="1599" t="inlineStr">
        <is>
          <t>87</t>
        </is>
      </c>
      <c r="K7" s="1599" t="inlineStr">
        <is>
          <t>89</t>
        </is>
      </c>
      <c r="L7" s="1599" t="inlineStr">
        <is>
          <t>95</t>
        </is>
      </c>
      <c r="M7" s="1600" t="inlineStr">
        <is>
          <t>96</t>
        </is>
      </c>
      <c r="N7" s="1600" t="inlineStr">
        <is>
          <t>97</t>
        </is>
      </c>
      <c r="O7" s="1600" t="inlineStr">
        <is>
          <t>98</t>
        </is>
      </c>
      <c r="P7" s="1599" t="inlineStr">
        <is>
          <t>99</t>
        </is>
      </c>
      <c r="Q7" s="1599" t="inlineStr">
        <is>
          <t>03</t>
        </is>
      </c>
      <c r="R7" s="1600" t="inlineStr">
        <is>
          <t>04</t>
        </is>
      </c>
      <c r="S7" s="1600" t="inlineStr">
        <is>
          <t>05</t>
        </is>
      </c>
      <c r="T7" s="1600" t="inlineStr">
        <is>
          <t>06</t>
        </is>
      </c>
      <c r="U7" s="1600" t="inlineStr">
        <is>
          <t>07</t>
        </is>
      </c>
      <c r="V7" s="1600" t="inlineStr">
        <is>
          <t>08</t>
        </is>
      </c>
      <c r="W7" s="1600" t="inlineStr">
        <is>
          <t>09</t>
        </is>
      </c>
      <c r="X7" s="1600" t="inlineStr">
        <is>
          <t>10</t>
        </is>
      </c>
      <c r="Y7" s="1600" t="inlineStr">
        <is>
          <t>11</t>
        </is>
      </c>
      <c r="Z7" s="1600" t="inlineStr">
        <is>
          <t>12</t>
        </is>
      </c>
      <c r="AA7" s="1600" t="inlineStr">
        <is>
          <t>13</t>
        </is>
      </c>
      <c r="AB7" s="1600" t="inlineStr">
        <is>
          <t>14</t>
        </is>
      </c>
      <c r="AC7" s="1600" t="inlineStr">
        <is>
          <t>15</t>
        </is>
      </c>
      <c r="AD7" s="1600" t="inlineStr">
        <is>
          <t>16</t>
        </is>
      </c>
      <c r="AE7" s="1600" t="inlineStr">
        <is>
          <t>17</t>
        </is>
      </c>
      <c r="AF7" s="1600" t="inlineStr">
        <is>
          <t>18</t>
        </is>
      </c>
      <c r="AG7" s="1600" t="inlineStr">
        <is>
          <t>19</t>
        </is>
      </c>
      <c r="AH7" s="1600" t="inlineStr">
        <is>
          <t>20</t>
        </is>
      </c>
      <c r="AI7" s="1600" t="inlineStr">
        <is>
          <t>21</t>
        </is>
      </c>
      <c r="AJ7" s="1600" t="inlineStr">
        <is>
          <t>22</t>
        </is>
      </c>
      <c r="AK7" s="1600" t="inlineStr">
        <is>
          <t>23</t>
        </is>
      </c>
      <c r="AL7" s="1600" t="inlineStr">
        <is>
          <t>24</t>
        </is>
      </c>
      <c r="AM7" s="1600" t="inlineStr">
        <is>
          <t>25</t>
        </is>
      </c>
      <c r="AN7" s="1600" t="inlineStr">
        <is>
          <t>26</t>
        </is>
      </c>
      <c r="AO7" s="1597" t="inlineStr">
        <is>
          <t>.</t>
        </is>
      </c>
      <c r="AP7" s="1601" t="n"/>
      <c r="AQ7" s="1602" t="inlineStr">
        <is>
          <t>A</t>
        </is>
      </c>
      <c r="AR7" s="1603">
        <f>COUNTIF(entryCont[cont],wcontSeq[[#This Row],[w/cont]])</f>
        <v/>
      </c>
      <c r="AS7" s="1604">
        <f>_xlfn.MINIFS(stayCont[in], stayCont[cont], wcontSeq[[#This Row],[w/cont]])</f>
        <v/>
      </c>
      <c r="AT7" s="1605">
        <f>IF(wcontSeq[[#This Row],[seq]]=0,wcontSeq[[#This Row],[1st date]],_xlfn.MAXIFS(stayCont[out], stayCont[cont], wcontSeq[[#This Row],[w/cont]]))</f>
        <v/>
      </c>
      <c r="AU7" s="1606">
        <f>_xlfn.XLOOKUP(wcontSeq[[#This Row],[seq]],stayCont[stay],stayCont[in],"-")</f>
        <v/>
      </c>
      <c r="AV7" s="1606">
        <f>_xlfn.XLOOKUP(wcontSeq[[#This Row],[seq]],stayCont[stay],stayCont[out],"-")</f>
        <v/>
      </c>
      <c r="AW7" s="1603">
        <f t="array" ref="AW7">MAX(IF(stayCont[cont]=wcontSeq[[#This Row],[w/cont]],stayCont[stay]))</f>
        <v/>
      </c>
      <c r="AX7" s="1607">
        <f t="array" ref="AX7">ROWS(_xlfn.UNIQUE(_xlfn._xlws.FILTER(raw[yr], raw[cont]=wcontSeq[[#This Row],[w/cont]])))</f>
        <v/>
      </c>
      <c r="AY7" s="1607">
        <f>(SUMIFS(stayCont[stay],stayCont[cont],wcontSeq[[#This Row],[w/cont]]))</f>
        <v/>
      </c>
      <c r="AZ7" s="1608">
        <f>(SUMIFS(stayCont[stay],stayCont[cont],wcontSeq[[#This Row],[w/cont]]))/B$3</f>
        <v/>
      </c>
      <c r="BA7" s="1597" t="n"/>
      <c r="BB7" s="1609" t="inlineStr">
        <is>
          <t>A</t>
        </is>
      </c>
      <c r="BC7" s="1603">
        <f>(SUMIFS(raw[stay],raw[cont],$BB7,raw[dec],BC$1))</f>
        <v/>
      </c>
      <c r="BD7" s="1603">
        <f>(SUMIFS(raw[stay],raw[cont],$BB7,raw[dec],BD$1))</f>
        <v/>
      </c>
      <c r="BE7" s="1603">
        <f>(SUMIFS(raw[stay],raw[cont],$BB7,raw[dec],BE$1))</f>
        <v/>
      </c>
      <c r="BF7" s="1610">
        <f>(SUMIFS(raw[stay],raw[cont],$BB7,raw[dec],BF$1))</f>
        <v/>
      </c>
      <c r="BG7" s="1603">
        <f>(SUMIFS(raw[stay],raw[cont],$BB7,raw[dec],BG$1))</f>
        <v/>
      </c>
      <c r="BH7" s="1597" t="n"/>
      <c r="BI7" s="1603">
        <f>ROUND((AT7-AS7)/365.25,1)</f>
        <v/>
      </c>
      <c r="BJ7" s="1603">
        <f>SUMIFS(ctries[Ncity],ctries[cont],BB7)</f>
        <v/>
      </c>
      <c r="BK7" s="1611" t="n"/>
      <c r="BL7" s="1611" t="n"/>
      <c r="BM7" s="1611" t="n"/>
      <c r="BN7" s="1611" t="n"/>
      <c r="BO7" s="1611" t="inlineStr">
        <is>
          <t>.</t>
        </is>
      </c>
      <c r="BP7" s="1612" t="n"/>
      <c r="BQ7" s="1613" t="inlineStr">
        <is>
          <t>count as city?</t>
        </is>
      </c>
      <c r="BR7" s="1612" t="n"/>
      <c r="BS7" s="1612" t="n"/>
      <c r="BT7" s="1612" t="n"/>
      <c r="BU7" s="1614" t="n"/>
      <c r="BV7" s="1612" t="n"/>
      <c r="BW7" s="1612" t="n"/>
      <c r="BX7" s="1612" t="n"/>
      <c r="BY7" s="1612" t="n"/>
      <c r="BZ7" s="1612" t="n"/>
      <c r="CA7" s="1612" t="n"/>
      <c r="CB7" s="1612" t="n"/>
      <c r="CC7" s="1612" t="n"/>
      <c r="CD7" s="1612" t="n"/>
      <c r="CE7" s="1612" t="n"/>
      <c r="CF7" s="1612" t="n"/>
    </row>
    <row r="8" ht="14" customHeight="1">
      <c r="A8" s="1615">
        <f>IF(mainW[[#This Row],[yrs]]=0,"",A7+1)</f>
        <v/>
      </c>
      <c r="B8" s="1616" t="n">
        <v>30</v>
      </c>
      <c r="C8" s="1617">
        <f>INT(SUM(H8:AO8))</f>
        <v/>
      </c>
      <c r="D8" s="1616">
        <f t="array" ref="D8">MAX(IF(stayCtry[ctry]=$G8,stayCtry[stay]))</f>
        <v/>
      </c>
      <c r="E8" s="1616">
        <f>COUNTIF(entryCtry[],mainW[[#This Row],[ctry]])</f>
        <v/>
      </c>
      <c r="F8" s="1616">
        <f>COUNTIF(H8:AO8,"&gt;=1")+COUNTIFS(H8:AO8,"&gt;0",H8:AO8,"&lt;1")/100</f>
        <v/>
      </c>
      <c r="G8" s="1618">
        <f>_xlfn.XLOOKUP(mainW[[#This Row],['#]],ctries[id],ctries[ctry],"-")</f>
        <v/>
      </c>
      <c r="H8" s="1619">
        <f>SUMIFS(raw[stay],raw[ctry],mainW[[#This Row],[ctry]],raw[yr],H$1)</f>
        <v/>
      </c>
      <c r="I8" s="1619">
        <f>SUMIFS(raw[stay],raw[ctry],mainW[[#This Row],[ctry]],raw[yr],I$1)</f>
        <v/>
      </c>
      <c r="J8" s="1619">
        <f>SUMIFS(raw[stay],raw[ctry],mainW[[#This Row],[ctry]],raw[yr],J$1)</f>
        <v/>
      </c>
      <c r="K8" s="1619">
        <f>SUMIFS(raw[stay],raw[ctry],mainW[[#This Row],[ctry]],raw[yr],K$1)</f>
        <v/>
      </c>
      <c r="L8" s="1619">
        <f>SUMIFS(raw[stay],raw[ctry],mainW[[#This Row],[ctry]],raw[yr],L$1)</f>
        <v/>
      </c>
      <c r="M8" s="1619">
        <f>SUMIFS(raw[stay],raw[ctry],mainW[[#This Row],[ctry]],raw[yr],M$1)</f>
        <v/>
      </c>
      <c r="N8" s="1619">
        <f>SUMIFS(raw[stay],raw[ctry],mainW[[#This Row],[ctry]],raw[yr],N$1)</f>
        <v/>
      </c>
      <c r="O8" s="1619">
        <f>SUMIFS(raw[stay],raw[ctry],mainW[[#This Row],[ctry]],raw[yr],O$1)</f>
        <v/>
      </c>
      <c r="P8" s="1619">
        <f>SUMIFS(raw[stay],raw[ctry],mainW[[#This Row],[ctry]],raw[yr],P$1)</f>
        <v/>
      </c>
      <c r="Q8" s="1619">
        <f>SUMIFS(raw[stay],raw[ctry],mainW[[#This Row],[ctry]],raw[yr],Q$1)</f>
        <v/>
      </c>
      <c r="R8" s="1619">
        <f>SUMIFS(raw[stay],raw[ctry],mainW[[#This Row],[ctry]],raw[yr],R$1)</f>
        <v/>
      </c>
      <c r="S8" s="1619">
        <f>SUMIFS(raw[stay],raw[ctry],mainW[[#This Row],[ctry]],raw[yr],S$1)</f>
        <v/>
      </c>
      <c r="T8" s="1619">
        <f>SUMIFS(raw[stay],raw[ctry],mainW[[#This Row],[ctry]],raw[yr],T$1)</f>
        <v/>
      </c>
      <c r="U8" s="1619">
        <f>SUMIFS(raw[stay],raw[ctry],mainW[[#This Row],[ctry]],raw[yr],U$1)</f>
        <v/>
      </c>
      <c r="V8" s="1619">
        <f>SUMIFS(raw[stay],raw[ctry],mainW[[#This Row],[ctry]],raw[yr],V$1)</f>
        <v/>
      </c>
      <c r="W8" s="1619">
        <f>SUMIFS(raw[stay],raw[ctry],mainW[[#This Row],[ctry]],raw[yr],W$1)</f>
        <v/>
      </c>
      <c r="X8" s="1619">
        <f>SUMIFS(raw[stay],raw[ctry],mainW[[#This Row],[ctry]],raw[yr],X$1)</f>
        <v/>
      </c>
      <c r="Y8" s="1619">
        <f>SUMIFS(raw[stay],raw[ctry],mainW[[#This Row],[ctry]],raw[yr],Y$1)</f>
        <v/>
      </c>
      <c r="Z8" s="1619">
        <f>SUMIFS(raw[stay],raw[ctry],mainW[[#This Row],[ctry]],raw[yr],Z$1)</f>
        <v/>
      </c>
      <c r="AA8" s="1619">
        <f>SUMIFS(raw[stay],raw[ctry],mainW[[#This Row],[ctry]],raw[yr],AA$1)</f>
        <v/>
      </c>
      <c r="AB8" s="1619">
        <f>SUMIFS(raw[stay],raw[ctry],mainW[[#This Row],[ctry]],raw[yr],AB$1)</f>
        <v/>
      </c>
      <c r="AC8" s="1619">
        <f>SUMIFS(raw[stay],raw[ctry],mainW[[#This Row],[ctry]],raw[yr],AC$1)</f>
        <v/>
      </c>
      <c r="AD8" s="1619">
        <f>SUMIFS(raw[stay],raw[ctry],mainW[[#This Row],[ctry]],raw[yr],AD$1)</f>
        <v/>
      </c>
      <c r="AE8" s="1619">
        <f>SUMIFS(raw[stay],raw[ctry],mainW[[#This Row],[ctry]],raw[yr],AE$1)</f>
        <v/>
      </c>
      <c r="AF8" s="1619">
        <f>SUMIFS(raw[stay],raw[ctry],mainW[[#This Row],[ctry]],raw[yr],AF$1)</f>
        <v/>
      </c>
      <c r="AG8" s="1619">
        <f>SUMIFS(raw[stay],raw[ctry],mainW[[#This Row],[ctry]],raw[yr],AG$1)</f>
        <v/>
      </c>
      <c r="AH8" s="1619">
        <f>SUMIFS(raw[stay],raw[ctry],mainW[[#This Row],[ctry]],raw[yr],AH$1)</f>
        <v/>
      </c>
      <c r="AI8" s="1619">
        <f>SUMIFS(raw[stay],raw[ctry],mainW[[#This Row],[ctry]],raw[yr],AI$1)</f>
        <v/>
      </c>
      <c r="AJ8" s="1619">
        <f>SUMIFS(raw[stay],raw[ctry],mainW[[#This Row],[ctry]],raw[yr],AJ$1)</f>
        <v/>
      </c>
      <c r="AK8" s="1619">
        <f>SUMIFS(raw[stay],raw[ctry],mainW[[#This Row],[ctry]],raw[yr],AK$1)</f>
        <v/>
      </c>
      <c r="AL8" s="1619">
        <f>SUMIFS(raw[stay],raw[ctry],mainW[[#This Row],[ctry]],raw[yr],AL$1)</f>
        <v/>
      </c>
      <c r="AM8" s="1619">
        <f>SUMIFS(raw[stay],raw[ctry],mainW[[#This Row],[ctry]],raw[yr],AM$1)</f>
        <v/>
      </c>
      <c r="AN8" s="1619">
        <f>SUMIFS(raw[stay],raw[ctry],mainW[[#This Row],[ctry]],raw[yr],AN$1)</f>
        <v/>
      </c>
      <c r="AO8" s="1620">
        <f>mainW[[#This Row],[total]]/B$3</f>
        <v/>
      </c>
      <c r="AP8" s="1601" t="n"/>
      <c r="AQ8" s="1602" t="inlineStr">
        <is>
          <t>F</t>
        </is>
      </c>
      <c r="AR8" s="1603">
        <f>COUNTIF(entryCont[cont],wcontSeq[[#This Row],[w/cont]])</f>
        <v/>
      </c>
      <c r="AS8" s="1604">
        <f>_xlfn.MINIFS(stayCont[in], stayCont[cont], wcontSeq[[#This Row],[w/cont]])</f>
        <v/>
      </c>
      <c r="AT8" s="1605">
        <f>IF(wcontSeq[[#This Row],[seq]]=0,wcontSeq[[#This Row],[1st date]],_xlfn.MAXIFS(stayCont[out], stayCont[cont], wcontSeq[[#This Row],[w/cont]]))</f>
        <v/>
      </c>
      <c r="AU8" s="1606">
        <f>_xlfn.XLOOKUP(wcontSeq[[#This Row],[seq]],stayCont[stay],stayCont[in],"-")</f>
        <v/>
      </c>
      <c r="AV8" s="1606">
        <f>_xlfn.XLOOKUP(wcontSeq[[#This Row],[seq]],stayCont[stay],stayCont[out],"-")</f>
        <v/>
      </c>
      <c r="AW8" s="1603">
        <f t="array" ref="AW8">MAX(IF(stayCont[cont]=wcontSeq[[#This Row],[w/cont]],stayCont[stay]))</f>
        <v/>
      </c>
      <c r="AX8" s="1607">
        <f t="array" ref="AX8">ROWS(_xlfn.UNIQUE(_xlfn._xlws.FILTER(raw[yr], raw[cont]=wcontSeq[[#This Row],[w/cont]])))</f>
        <v/>
      </c>
      <c r="AY8" s="1607">
        <f>(SUMIFS(stayCont[stay],stayCont[cont],wcontSeq[[#This Row],[w/cont]]))</f>
        <v/>
      </c>
      <c r="AZ8" s="1608">
        <f>(SUMIFS(stayCont[stay],stayCont[cont],wcontSeq[[#This Row],[w/cont]]))/B$3</f>
        <v/>
      </c>
      <c r="BA8" s="1597" t="n"/>
      <c r="BB8" s="1609" t="inlineStr">
        <is>
          <t>F</t>
        </is>
      </c>
      <c r="BC8" s="1603">
        <f>(SUMIFS(raw[stay],raw[cont],$BB8,raw[dec],BC$1))</f>
        <v/>
      </c>
      <c r="BD8" s="1603">
        <f>(SUMIFS(raw[stay],raw[cont],$BB8,raw[dec],BD$1))</f>
        <v/>
      </c>
      <c r="BE8" s="1603">
        <f>(SUMIFS(raw[stay],raw[cont],$BB8,raw[dec],BE$1))</f>
        <v/>
      </c>
      <c r="BF8" s="1603">
        <f>(SUMIFS(raw[stay],raw[cont],$BB8,raw[dec],BF$1))</f>
        <v/>
      </c>
      <c r="BG8" s="1603">
        <f>(SUMIFS(raw[stay],raw[cont],$BB8,raw[dec],BG$1))</f>
        <v/>
      </c>
      <c r="BH8" s="1597" t="n"/>
      <c r="BI8" s="1603">
        <f>ROUND((AT8-AS8)/365.25,1)</f>
        <v/>
      </c>
      <c r="BJ8" s="1603">
        <f>SUMIFS(ctries[Ncity],ctries[cont],BB8)</f>
        <v/>
      </c>
      <c r="BK8" s="1611" t="n"/>
      <c r="BL8" s="1611" t="n"/>
      <c r="BM8" s="1611" t="n"/>
      <c r="BN8" s="1611" t="n"/>
      <c r="BO8" s="1611" t="inlineStr">
        <is>
          <t>.</t>
        </is>
      </c>
      <c r="BP8" s="1612" t="n"/>
      <c r="BQ8" s="1612" t="n"/>
      <c r="BR8" s="1612" t="n"/>
      <c r="BS8" s="1612" t="n"/>
      <c r="BT8" s="1612" t="n"/>
      <c r="BU8" s="1612" t="n"/>
      <c r="BV8" s="1612" t="n"/>
      <c r="BW8" s="1612" t="n"/>
      <c r="BX8" s="1612" t="n"/>
      <c r="BY8" s="1612" t="n"/>
      <c r="BZ8" s="1612" t="n"/>
      <c r="CA8" s="1612" t="n"/>
      <c r="CB8" s="1612" t="n"/>
      <c r="CC8" s="1612" t="n"/>
      <c r="CD8" s="1612" t="n"/>
      <c r="CE8" s="1612" t="n"/>
      <c r="CF8" s="1612" t="n"/>
    </row>
    <row r="9" ht="14" customHeight="1">
      <c r="A9" s="1596">
        <f>IF(mainW[[#This Row],[yrs]]=0,"",A8+1)</f>
        <v/>
      </c>
      <c r="B9" s="1621" t="n">
        <v>11</v>
      </c>
      <c r="C9" s="1622">
        <f>INT(SUM(H9:AO9))</f>
        <v/>
      </c>
      <c r="D9" s="1621">
        <f t="array" ref="D9">MAX(IF(stayCtry[ctry]=$G9,stayCtry[stay]))</f>
        <v/>
      </c>
      <c r="E9" s="1621">
        <f>COUNTIF(entryCtry[],mainW[[#This Row],[ctry]])</f>
        <v/>
      </c>
      <c r="F9" s="1621">
        <f>COUNTIF(H9:AO9,"&gt;=1")+COUNTIFS(H9:AO9,"&gt;0",H9:AO9,"&lt;1")/100</f>
        <v/>
      </c>
      <c r="G9" s="1618">
        <f>_xlfn.XLOOKUP(mainW[[#This Row],['#]],ctries[id],ctries[ctry],"-")</f>
        <v/>
      </c>
      <c r="H9" s="1619">
        <f>SUMIFS(raw[stay],raw[ctry],mainW[[#This Row],[ctry]],raw[yr],H$1)</f>
        <v/>
      </c>
      <c r="I9" s="1619">
        <f>SUMIFS(raw[stay],raw[ctry],mainW[[#This Row],[ctry]],raw[yr],I$1)</f>
        <v/>
      </c>
      <c r="J9" s="1619">
        <f>SUMIFS(raw[stay],raw[ctry],mainW[[#This Row],[ctry]],raw[yr],J$1)</f>
        <v/>
      </c>
      <c r="K9" s="1619">
        <f>SUMIFS(raw[stay],raw[ctry],mainW[[#This Row],[ctry]],raw[yr],K$1)</f>
        <v/>
      </c>
      <c r="L9" s="1619">
        <f>SUMIFS(raw[stay],raw[ctry],mainW[[#This Row],[ctry]],raw[yr],L$1)</f>
        <v/>
      </c>
      <c r="M9" s="1619">
        <f>SUMIFS(raw[stay],raw[ctry],mainW[[#This Row],[ctry]],raw[yr],M$1)</f>
        <v/>
      </c>
      <c r="N9" s="1619">
        <f>SUMIFS(raw[stay],raw[ctry],mainW[[#This Row],[ctry]],raw[yr],N$1)</f>
        <v/>
      </c>
      <c r="O9" s="1619">
        <f>SUMIFS(raw[stay],raw[ctry],mainW[[#This Row],[ctry]],raw[yr],O$1)</f>
        <v/>
      </c>
      <c r="P9" s="1619">
        <f>SUMIFS(raw[stay],raw[ctry],mainW[[#This Row],[ctry]],raw[yr],P$1)</f>
        <v/>
      </c>
      <c r="Q9" s="1619">
        <f>SUMIFS(raw[stay],raw[ctry],mainW[[#This Row],[ctry]],raw[yr],Q$1)</f>
        <v/>
      </c>
      <c r="R9" s="1619">
        <f>SUMIFS(raw[stay],raw[ctry],mainW[[#This Row],[ctry]],raw[yr],R$1)</f>
        <v/>
      </c>
      <c r="S9" s="1619">
        <f>SUMIFS(raw[stay],raw[ctry],mainW[[#This Row],[ctry]],raw[yr],S$1)</f>
        <v/>
      </c>
      <c r="T9" s="1619">
        <f>SUMIFS(raw[stay],raw[ctry],mainW[[#This Row],[ctry]],raw[yr],T$1)</f>
        <v/>
      </c>
      <c r="U9" s="1619">
        <f>SUMIFS(raw[stay],raw[ctry],mainW[[#This Row],[ctry]],raw[yr],U$1)</f>
        <v/>
      </c>
      <c r="V9" s="1619">
        <f>SUMIFS(raw[stay],raw[ctry],mainW[[#This Row],[ctry]],raw[yr],V$1)</f>
        <v/>
      </c>
      <c r="W9" s="1619">
        <f>SUMIFS(raw[stay],raw[ctry],mainW[[#This Row],[ctry]],raw[yr],W$1)</f>
        <v/>
      </c>
      <c r="X9" s="1619">
        <f>SUMIFS(raw[stay],raw[ctry],mainW[[#This Row],[ctry]],raw[yr],X$1)</f>
        <v/>
      </c>
      <c r="Y9" s="1619">
        <f>SUMIFS(raw[stay],raw[ctry],mainW[[#This Row],[ctry]],raw[yr],Y$1)</f>
        <v/>
      </c>
      <c r="Z9" s="1619">
        <f>SUMIFS(raw[stay],raw[ctry],mainW[[#This Row],[ctry]],raw[yr],Z$1)</f>
        <v/>
      </c>
      <c r="AA9" s="1619">
        <f>SUMIFS(raw[stay],raw[ctry],mainW[[#This Row],[ctry]],raw[yr],AA$1)</f>
        <v/>
      </c>
      <c r="AB9" s="1619">
        <f>SUMIFS(raw[stay],raw[ctry],mainW[[#This Row],[ctry]],raw[yr],AB$1)</f>
        <v/>
      </c>
      <c r="AC9" s="1619">
        <f>SUMIFS(raw[stay],raw[ctry],mainW[[#This Row],[ctry]],raw[yr],AC$1)</f>
        <v/>
      </c>
      <c r="AD9" s="1619">
        <f>SUMIFS(raw[stay],raw[ctry],mainW[[#This Row],[ctry]],raw[yr],AD$1)</f>
        <v/>
      </c>
      <c r="AE9" s="1619">
        <f>SUMIFS(raw[stay],raw[ctry],mainW[[#This Row],[ctry]],raw[yr],AE$1)</f>
        <v/>
      </c>
      <c r="AF9" s="1619">
        <f>SUMIFS(raw[stay],raw[ctry],mainW[[#This Row],[ctry]],raw[yr],AF$1)</f>
        <v/>
      </c>
      <c r="AG9" s="1619">
        <f>SUMIFS(raw[stay],raw[ctry],mainW[[#This Row],[ctry]],raw[yr],AG$1)</f>
        <v/>
      </c>
      <c r="AH9" s="1619">
        <f>SUMIFS(raw[stay],raw[ctry],mainW[[#This Row],[ctry]],raw[yr],AH$1)</f>
        <v/>
      </c>
      <c r="AI9" s="1619">
        <f>SUMIFS(raw[stay],raw[ctry],mainW[[#This Row],[ctry]],raw[yr],AI$1)</f>
        <v/>
      </c>
      <c r="AJ9" s="1619">
        <f>SUMIFS(raw[stay],raw[ctry],mainW[[#This Row],[ctry]],raw[yr],AJ$1)</f>
        <v/>
      </c>
      <c r="AK9" s="1619">
        <f>SUMIFS(raw[stay],raw[ctry],mainW[[#This Row],[ctry]],raw[yr],AK$1)</f>
        <v/>
      </c>
      <c r="AL9" s="1619">
        <f>SUMIFS(raw[stay],raw[ctry],mainW[[#This Row],[ctry]],raw[yr],AL$1)</f>
        <v/>
      </c>
      <c r="AM9" s="1619">
        <f>SUMIFS(raw[stay],raw[ctry],mainW[[#This Row],[ctry]],raw[yr],AM$1)</f>
        <v/>
      </c>
      <c r="AN9" s="1619">
        <f>SUMIFS(raw[stay],raw[ctry],mainW[[#This Row],[ctry]],raw[yr],AN$1)</f>
        <v/>
      </c>
      <c r="AO9" s="1623">
        <f>mainW[[#This Row],[total]]/B$3</f>
        <v/>
      </c>
      <c r="AP9" s="1601" t="n"/>
      <c r="AQ9" s="1624" t="inlineStr">
        <is>
          <t>C</t>
        </is>
      </c>
      <c r="AR9" s="1603">
        <f>COUNTIF(entryCont[cont],wcontSeq[[#This Row],[w/cont]])</f>
        <v/>
      </c>
      <c r="AS9" s="1625">
        <f>_xlfn.MINIFS(raw[in], raw[cont], wcontSeq[[#This Row],[w/cont]])</f>
        <v/>
      </c>
      <c r="AT9" s="1605">
        <f>IF(wcontSeq[[#This Row],[seq]]=0,wcontSeq[[#This Row],[1st date]],_xlfn.MAXIFS(stayCont[out], stayCont[cont], wcontSeq[[#This Row],[w/cont]]))</f>
        <v/>
      </c>
      <c r="AU9" s="1626" t="n"/>
      <c r="AV9" s="1626" t="n"/>
      <c r="AW9" s="1603">
        <f t="array" ref="AW9">MAX(IF(stayCont[cont]=wcontSeq[[#This Row],[w/cont]],stayCont[stay]))</f>
        <v/>
      </c>
      <c r="AX9" s="1607">
        <f t="array" ref="AX9">ROWS(_xlfn.UNIQUE(_xlfn._xlws.FILTER(raw[yr], raw[cont]=wcontSeq[[#This Row],[w/cont]])))</f>
        <v/>
      </c>
      <c r="AY9" s="1607">
        <f>(SUMIFS(stayCont[stay],stayCont[cont],wcontSeq[[#This Row],[w/cont]]))</f>
        <v/>
      </c>
      <c r="AZ9" s="1608">
        <f>(SUMIFS(stayCont[stay],stayCont[cont],wcontSeq[[#This Row],[w/cont]]))/B$3</f>
        <v/>
      </c>
      <c r="BA9" s="1597" t="n"/>
      <c r="BB9" s="1609" t="inlineStr">
        <is>
          <t>C</t>
        </is>
      </c>
      <c r="BC9" s="1603">
        <f>(SUMIFS(raw[stay],raw[cont],$BB9,raw[dec],BC$1))</f>
        <v/>
      </c>
      <c r="BD9" s="1603">
        <f>(SUMIFS(raw[stay],raw[cont],$BB9,raw[dec],BD$1))</f>
        <v/>
      </c>
      <c r="BE9" s="1603">
        <f>(SUMIFS(raw[stay],raw[cont],$BB9,raw[dec],BE$1))</f>
        <v/>
      </c>
      <c r="BF9" s="1603">
        <f>(SUMIFS(raw[stay],raw[cont],$BB9,raw[dec],BF$1))</f>
        <v/>
      </c>
      <c r="BG9" s="1603">
        <f>(SUMIFS(raw[stay],raw[cont],$BB9,raw[dec],BG$1))</f>
        <v/>
      </c>
      <c r="BH9" s="1597" t="n"/>
      <c r="BI9" s="1603">
        <f>ROUND((AT9-AS9)/365.25,1)</f>
        <v/>
      </c>
      <c r="BJ9" s="1603">
        <f>SUMIFS(ctries[Ncity],ctries[cont],BB9)</f>
        <v/>
      </c>
      <c r="BK9" s="1611" t="n"/>
      <c r="BL9" s="1611" t="n"/>
      <c r="BM9" s="1611" t="n"/>
      <c r="BN9" s="1611" t="n"/>
      <c r="BO9" s="1611" t="inlineStr">
        <is>
          <t>.</t>
        </is>
      </c>
      <c r="BP9" s="1612" t="n"/>
      <c r="BQ9" s="1612" t="n"/>
      <c r="BR9" s="1612" t="n"/>
      <c r="BS9" s="1612" t="n"/>
      <c r="BT9" s="1612" t="n"/>
      <c r="BU9" s="1612" t="n"/>
      <c r="BV9" s="1612" t="n"/>
      <c r="BW9" s="1612" t="n"/>
      <c r="BX9" s="1612" t="n"/>
      <c r="BY9" s="1612" t="n"/>
      <c r="BZ9" s="1612" t="n"/>
      <c r="CA9" s="1612" t="n"/>
      <c r="CB9" s="1612" t="n"/>
      <c r="CC9" s="1612" t="n"/>
      <c r="CD9" s="1612" t="n"/>
      <c r="CE9" s="1612" t="n"/>
      <c r="CF9" s="1612" t="n"/>
    </row>
    <row r="10" ht="14" customHeight="1">
      <c r="A10" s="1615">
        <f>IF(mainW[[#This Row],[yrs]]=0,"",A9+1)</f>
        <v/>
      </c>
      <c r="B10" s="1616" t="n">
        <v>10</v>
      </c>
      <c r="C10" s="1617">
        <f>INT(SUM(H10:AO10))</f>
        <v/>
      </c>
      <c r="D10" s="1616">
        <f t="array" ref="D10">MAX(IF(stayCtry[ctry]=$G10,stayCtry[stay]))</f>
        <v/>
      </c>
      <c r="E10" s="1616">
        <f>COUNTIF(entryCtry[],mainW[[#This Row],[ctry]])</f>
        <v/>
      </c>
      <c r="F10" s="1616">
        <f>COUNTIF(H10:AO10,"&gt;=1")+COUNTIFS(H10:AO10,"&gt;0",H10:AO10,"&lt;1")/100</f>
        <v/>
      </c>
      <c r="G10" s="1618">
        <f>_xlfn.XLOOKUP(mainW[[#This Row],['#]],ctries[id],ctries[ctry],"-")</f>
        <v/>
      </c>
      <c r="H10" s="1619">
        <f>SUMIFS(raw[stay],raw[ctry],mainW[[#This Row],[ctry]],raw[yr],H$1)</f>
        <v/>
      </c>
      <c r="I10" s="1619">
        <f>SUMIFS(raw[stay],raw[ctry],mainW[[#This Row],[ctry]],raw[yr],I$1)</f>
        <v/>
      </c>
      <c r="J10" s="1619">
        <f>SUMIFS(raw[stay],raw[ctry],mainW[[#This Row],[ctry]],raw[yr],J$1)</f>
        <v/>
      </c>
      <c r="K10" s="1619">
        <f>SUMIFS(raw[stay],raw[ctry],mainW[[#This Row],[ctry]],raw[yr],K$1)</f>
        <v/>
      </c>
      <c r="L10" s="1619">
        <f>SUMIFS(raw[stay],raw[ctry],mainW[[#This Row],[ctry]],raw[yr],L$1)</f>
        <v/>
      </c>
      <c r="M10" s="1619">
        <f>SUMIFS(raw[stay],raw[ctry],mainW[[#This Row],[ctry]],raw[yr],M$1)</f>
        <v/>
      </c>
      <c r="N10" s="1619">
        <f>SUMIFS(raw[stay],raw[ctry],mainW[[#This Row],[ctry]],raw[yr],N$1)</f>
        <v/>
      </c>
      <c r="O10" s="1619">
        <f>SUMIFS(raw[stay],raw[ctry],mainW[[#This Row],[ctry]],raw[yr],O$1)</f>
        <v/>
      </c>
      <c r="P10" s="1619">
        <f>SUMIFS(raw[stay],raw[ctry],mainW[[#This Row],[ctry]],raw[yr],P$1)</f>
        <v/>
      </c>
      <c r="Q10" s="1619">
        <f>SUMIFS(raw[stay],raw[ctry],mainW[[#This Row],[ctry]],raw[yr],Q$1)</f>
        <v/>
      </c>
      <c r="R10" s="1619">
        <f>SUMIFS(raw[stay],raw[ctry],mainW[[#This Row],[ctry]],raw[yr],R$1)</f>
        <v/>
      </c>
      <c r="S10" s="1619">
        <f>SUMIFS(raw[stay],raw[ctry],mainW[[#This Row],[ctry]],raw[yr],S$1)</f>
        <v/>
      </c>
      <c r="T10" s="1619">
        <f>SUMIFS(raw[stay],raw[ctry],mainW[[#This Row],[ctry]],raw[yr],T$1)</f>
        <v/>
      </c>
      <c r="U10" s="1619">
        <f>SUMIFS(raw[stay],raw[ctry],mainW[[#This Row],[ctry]],raw[yr],U$1)</f>
        <v/>
      </c>
      <c r="V10" s="1619">
        <f>SUMIFS(raw[stay],raw[ctry],mainW[[#This Row],[ctry]],raw[yr],V$1)</f>
        <v/>
      </c>
      <c r="W10" s="1619">
        <f>SUMIFS(raw[stay],raw[ctry],mainW[[#This Row],[ctry]],raw[yr],W$1)</f>
        <v/>
      </c>
      <c r="X10" s="1619">
        <f>SUMIFS(raw[stay],raw[ctry],mainW[[#This Row],[ctry]],raw[yr],X$1)</f>
        <v/>
      </c>
      <c r="Y10" s="1619">
        <f>SUMIFS(raw[stay],raw[ctry],mainW[[#This Row],[ctry]],raw[yr],Y$1)</f>
        <v/>
      </c>
      <c r="Z10" s="1619">
        <f>SUMIFS(raw[stay],raw[ctry],mainW[[#This Row],[ctry]],raw[yr],Z$1)</f>
        <v/>
      </c>
      <c r="AA10" s="1619">
        <f>SUMIFS(raw[stay],raw[ctry],mainW[[#This Row],[ctry]],raw[yr],AA$1)</f>
        <v/>
      </c>
      <c r="AB10" s="1619">
        <f>SUMIFS(raw[stay],raw[ctry],mainW[[#This Row],[ctry]],raw[yr],AB$1)</f>
        <v/>
      </c>
      <c r="AC10" s="1619">
        <f>SUMIFS(raw[stay],raw[ctry],mainW[[#This Row],[ctry]],raw[yr],AC$1)</f>
        <v/>
      </c>
      <c r="AD10" s="1619">
        <f>SUMIFS(raw[stay],raw[ctry],mainW[[#This Row],[ctry]],raw[yr],AD$1)</f>
        <v/>
      </c>
      <c r="AE10" s="1619">
        <f>SUMIFS(raw[stay],raw[ctry],mainW[[#This Row],[ctry]],raw[yr],AE$1)</f>
        <v/>
      </c>
      <c r="AF10" s="1619">
        <f>SUMIFS(raw[stay],raw[ctry],mainW[[#This Row],[ctry]],raw[yr],AF$1)</f>
        <v/>
      </c>
      <c r="AG10" s="1619">
        <f>SUMIFS(raw[stay],raw[ctry],mainW[[#This Row],[ctry]],raw[yr],AG$1)</f>
        <v/>
      </c>
      <c r="AH10" s="1619">
        <f>SUMIFS(raw[stay],raw[ctry],mainW[[#This Row],[ctry]],raw[yr],AH$1)</f>
        <v/>
      </c>
      <c r="AI10" s="1619">
        <f>SUMIFS(raw[stay],raw[ctry],mainW[[#This Row],[ctry]],raw[yr],AI$1)</f>
        <v/>
      </c>
      <c r="AJ10" s="1619">
        <f>SUMIFS(raw[stay],raw[ctry],mainW[[#This Row],[ctry]],raw[yr],AJ$1)</f>
        <v/>
      </c>
      <c r="AK10" s="1619">
        <f>SUMIFS(raw[stay],raw[ctry],mainW[[#This Row],[ctry]],raw[yr],AK$1)</f>
        <v/>
      </c>
      <c r="AL10" s="1619">
        <f>SUMIFS(raw[stay],raw[ctry],mainW[[#This Row],[ctry]],raw[yr],AL$1)</f>
        <v/>
      </c>
      <c r="AM10" s="1619">
        <f>SUMIFS(raw[stay],raw[ctry],mainW[[#This Row],[ctry]],raw[yr],AM$1)</f>
        <v/>
      </c>
      <c r="AN10" s="1619">
        <f>SUMIFS(raw[stay],raw[ctry],mainW[[#This Row],[ctry]],raw[yr],AN$1)</f>
        <v/>
      </c>
      <c r="AO10" s="1623">
        <f>mainW[[#This Row],[total]]/B$3</f>
        <v/>
      </c>
      <c r="AP10" s="1601" t="n"/>
      <c r="AQ10" s="1597" t="n"/>
      <c r="AR10" s="1597" t="n"/>
      <c r="AS10" s="1627" t="inlineStr">
        <is>
          <t>.</t>
        </is>
      </c>
      <c r="AT10" s="1627" t="inlineStr">
        <is>
          <t>.</t>
        </is>
      </c>
      <c r="AU10" s="1597" t="n"/>
      <c r="AV10" s="1597" t="n"/>
      <c r="AW10" s="1627" t="inlineStr">
        <is>
          <t>.</t>
        </is>
      </c>
      <c r="AX10" s="1627" t="inlineStr">
        <is>
          <t>.</t>
        </is>
      </c>
      <c r="AY10" s="1627" t="inlineStr">
        <is>
          <t>.</t>
        </is>
      </c>
      <c r="AZ10" s="1627" t="inlineStr">
        <is>
          <t>.</t>
        </is>
      </c>
      <c r="BA10" s="1597" t="n"/>
      <c r="BB10" s="1597" t="n"/>
      <c r="BC10" s="1597" t="n"/>
      <c r="BD10" s="1597" t="n"/>
      <c r="BE10" s="1597" t="n"/>
      <c r="BF10" s="1597" t="n"/>
      <c r="BG10" s="1597" t="n"/>
      <c r="BH10" s="1597" t="n"/>
      <c r="BI10" s="1597" t="n"/>
      <c r="BJ10" s="1597" t="n"/>
      <c r="BK10" s="1611" t="n"/>
      <c r="BL10" s="1611" t="n"/>
      <c r="BM10" s="1611" t="n"/>
      <c r="BN10" s="1611" t="n"/>
      <c r="BO10" s="1611" t="inlineStr">
        <is>
          <t>.</t>
        </is>
      </c>
      <c r="BP10" s="1612" t="n"/>
      <c r="BQ10" s="1612" t="n"/>
      <c r="BR10" s="1612" t="n"/>
      <c r="BS10" s="1612" t="n"/>
      <c r="BT10" s="1612" t="n"/>
      <c r="BU10" s="1612" t="n"/>
      <c r="BV10" s="1612" t="n"/>
      <c r="BW10" s="1612" t="n"/>
      <c r="BX10" s="1612" t="n"/>
      <c r="BY10" s="1612" t="n"/>
      <c r="BZ10" s="1612" t="n"/>
      <c r="CA10" s="1612" t="n"/>
      <c r="CB10" s="1612" t="n"/>
      <c r="CC10" s="1612" t="n"/>
      <c r="CD10" s="1612" t="n"/>
      <c r="CE10" s="1612" t="n"/>
      <c r="CF10" s="1612" t="n"/>
    </row>
    <row r="11" ht="14" customHeight="1">
      <c r="A11" s="1596">
        <f>IF(mainW[[#This Row],[yrs]]=0,"",A10+1)</f>
        <v/>
      </c>
      <c r="B11" s="1621" t="n">
        <v>5</v>
      </c>
      <c r="C11" s="1622">
        <f>INT(SUM(H11:AO11))</f>
        <v/>
      </c>
      <c r="D11" s="1621">
        <f t="array" ref="D11">MAX(IF(stayCtry[ctry]=$G11,stayCtry[stay]))</f>
        <v/>
      </c>
      <c r="E11" s="1621">
        <f>COUNTIF(entryCtry[],mainW[[#This Row],[ctry]])</f>
        <v/>
      </c>
      <c r="F11" s="1621">
        <f>COUNTIF(H11:AO11,"&gt;=1")+COUNTIFS(H11:AO11,"&gt;0",H11:AO11,"&lt;1")/100</f>
        <v/>
      </c>
      <c r="G11" s="1618">
        <f>_xlfn.XLOOKUP(mainW[[#This Row],['#]],ctries[id],ctries[ctry],"-")</f>
        <v/>
      </c>
      <c r="H11" s="1619">
        <f>SUMIFS(raw[stay],raw[ctry],mainW[[#This Row],[ctry]],raw[yr],H$1)</f>
        <v/>
      </c>
      <c r="I11" s="1619">
        <f>SUMIFS(raw[stay],raw[ctry],mainW[[#This Row],[ctry]],raw[yr],I$1)</f>
        <v/>
      </c>
      <c r="J11" s="1619">
        <f>SUMIFS(raw[stay],raw[ctry],mainW[[#This Row],[ctry]],raw[yr],J$1)</f>
        <v/>
      </c>
      <c r="K11" s="1619">
        <f>SUMIFS(raw[stay],raw[ctry],mainW[[#This Row],[ctry]],raw[yr],K$1)</f>
        <v/>
      </c>
      <c r="L11" s="1619">
        <f>SUMIFS(raw[stay],raw[ctry],mainW[[#This Row],[ctry]],raw[yr],L$1)</f>
        <v/>
      </c>
      <c r="M11" s="1619">
        <f>SUMIFS(raw[stay],raw[ctry],mainW[[#This Row],[ctry]],raw[yr],M$1)</f>
        <v/>
      </c>
      <c r="N11" s="1619">
        <f>SUMIFS(raw[stay],raw[ctry],mainW[[#This Row],[ctry]],raw[yr],N$1)</f>
        <v/>
      </c>
      <c r="O11" s="1619">
        <f>SUMIFS(raw[stay],raw[ctry],mainW[[#This Row],[ctry]],raw[yr],O$1)</f>
        <v/>
      </c>
      <c r="P11" s="1619">
        <f>SUMIFS(raw[stay],raw[ctry],mainW[[#This Row],[ctry]],raw[yr],P$1)</f>
        <v/>
      </c>
      <c r="Q11" s="1619">
        <f>SUMIFS(raw[stay],raw[ctry],mainW[[#This Row],[ctry]],raw[yr],Q$1)</f>
        <v/>
      </c>
      <c r="R11" s="1619">
        <f>SUMIFS(raw[stay],raw[ctry],mainW[[#This Row],[ctry]],raw[yr],R$1)</f>
        <v/>
      </c>
      <c r="S11" s="1619">
        <f>SUMIFS(raw[stay],raw[ctry],mainW[[#This Row],[ctry]],raw[yr],S$1)</f>
        <v/>
      </c>
      <c r="T11" s="1619">
        <f>SUMIFS(raw[stay],raw[ctry],mainW[[#This Row],[ctry]],raw[yr],T$1)</f>
        <v/>
      </c>
      <c r="U11" s="1619">
        <f>SUMIFS(raw[stay],raw[ctry],mainW[[#This Row],[ctry]],raw[yr],U$1)</f>
        <v/>
      </c>
      <c r="V11" s="1619">
        <f>SUMIFS(raw[stay],raw[ctry],mainW[[#This Row],[ctry]],raw[yr],V$1)</f>
        <v/>
      </c>
      <c r="W11" s="1619">
        <f>SUMIFS(raw[stay],raw[ctry],mainW[[#This Row],[ctry]],raw[yr],W$1)</f>
        <v/>
      </c>
      <c r="X11" s="1619">
        <f>SUMIFS(raw[stay],raw[ctry],mainW[[#This Row],[ctry]],raw[yr],X$1)</f>
        <v/>
      </c>
      <c r="Y11" s="1619">
        <f>SUMIFS(raw[stay],raw[ctry],mainW[[#This Row],[ctry]],raw[yr],Y$1)</f>
        <v/>
      </c>
      <c r="Z11" s="1619">
        <f>SUMIFS(raw[stay],raw[ctry],mainW[[#This Row],[ctry]],raw[yr],Z$1)</f>
        <v/>
      </c>
      <c r="AA11" s="1619">
        <f>SUMIFS(raw[stay],raw[ctry],mainW[[#This Row],[ctry]],raw[yr],AA$1)</f>
        <v/>
      </c>
      <c r="AB11" s="1619">
        <f>SUMIFS(raw[stay],raw[ctry],mainW[[#This Row],[ctry]],raw[yr],AB$1)</f>
        <v/>
      </c>
      <c r="AC11" s="1619">
        <f>SUMIFS(raw[stay],raw[ctry],mainW[[#This Row],[ctry]],raw[yr],AC$1)</f>
        <v/>
      </c>
      <c r="AD11" s="1619">
        <f>SUMIFS(raw[stay],raw[ctry],mainW[[#This Row],[ctry]],raw[yr],AD$1)</f>
        <v/>
      </c>
      <c r="AE11" s="1619">
        <f>SUMIFS(raw[stay],raw[ctry],mainW[[#This Row],[ctry]],raw[yr],AE$1)</f>
        <v/>
      </c>
      <c r="AF11" s="1619">
        <f>SUMIFS(raw[stay],raw[ctry],mainW[[#This Row],[ctry]],raw[yr],AF$1)</f>
        <v/>
      </c>
      <c r="AG11" s="1619">
        <f>SUMIFS(raw[stay],raw[ctry],mainW[[#This Row],[ctry]],raw[yr],AG$1)</f>
        <v/>
      </c>
      <c r="AH11" s="1619">
        <f>SUMIFS(raw[stay],raw[ctry],mainW[[#This Row],[ctry]],raw[yr],AH$1)</f>
        <v/>
      </c>
      <c r="AI11" s="1619">
        <f>SUMIFS(raw[stay],raw[ctry],mainW[[#This Row],[ctry]],raw[yr],AI$1)</f>
        <v/>
      </c>
      <c r="AJ11" s="1619">
        <f>SUMIFS(raw[stay],raw[ctry],mainW[[#This Row],[ctry]],raw[yr],AJ$1)</f>
        <v/>
      </c>
      <c r="AK11" s="1619">
        <f>SUMIFS(raw[stay],raw[ctry],mainW[[#This Row],[ctry]],raw[yr],AK$1)</f>
        <v/>
      </c>
      <c r="AL11" s="1619">
        <f>SUMIFS(raw[stay],raw[ctry],mainW[[#This Row],[ctry]],raw[yr],AL$1)</f>
        <v/>
      </c>
      <c r="AM11" s="1619">
        <f>SUMIFS(raw[stay],raw[ctry],mainW[[#This Row],[ctry]],raw[yr],AM$1)</f>
        <v/>
      </c>
      <c r="AN11" s="1619">
        <f>SUMIFS(raw[stay],raw[ctry],mainW[[#This Row],[ctry]],raw[yr],AN$1)</f>
        <v/>
      </c>
      <c r="AO11" s="1623">
        <f>mainW[[#This Row],[total]]/B$3</f>
        <v/>
      </c>
      <c r="AP11" s="1628" t="inlineStr">
        <is>
          <t>id</t>
        </is>
      </c>
      <c r="AQ11" s="1629" t="inlineStr">
        <is>
          <t>city</t>
        </is>
      </c>
      <c r="AR11" s="1630" t="inlineStr">
        <is>
          <t>ctry</t>
        </is>
      </c>
      <c r="AS11" s="1630" t="inlineStr">
        <is>
          <t>1st date</t>
        </is>
      </c>
      <c r="AT11" s="1630" t="inlineStr">
        <is>
          <t>Last date</t>
        </is>
      </c>
      <c r="AU11" s="1631" t="inlineStr">
        <is>
          <t>seq in</t>
        </is>
      </c>
      <c r="AV11" s="1631" t="inlineStr">
        <is>
          <t>seq out</t>
        </is>
      </c>
      <c r="AW11" s="1630" t="inlineStr">
        <is>
          <t>seq</t>
        </is>
      </c>
      <c r="AX11" s="1630" t="inlineStr">
        <is>
          <t>yrs</t>
        </is>
      </c>
      <c r="AY11" s="1630" t="inlineStr">
        <is>
          <t>total</t>
        </is>
      </c>
      <c r="AZ11" s="1627" t="inlineStr">
        <is>
          <t>.</t>
        </is>
      </c>
      <c r="BA11" s="1597" t="n"/>
      <c r="BB11" s="1632">
        <f>DATE(MAX(BC11:BG11)-1,12,31)</f>
        <v/>
      </c>
      <c r="BC11" s="1633">
        <f>INT(YEAR(_xlfn.MINIFS(stayWB[in],stayWB[in],"&lt;&gt;0"))/10)*10</f>
        <v/>
      </c>
      <c r="BD11" s="1633">
        <f>BC11+10</f>
        <v/>
      </c>
      <c r="BE11" s="1633">
        <f>BD11+10</f>
        <v/>
      </c>
      <c r="BF11" s="1633">
        <f>BE11+10</f>
        <v/>
      </c>
      <c r="BG11" s="1633">
        <f>BF11+10</f>
        <v/>
      </c>
      <c r="BH11" s="1597" t="n"/>
      <c r="BI11" s="1633" t="inlineStr">
        <is>
          <t>span</t>
        </is>
      </c>
      <c r="BJ11" s="1633" t="inlineStr">
        <is>
          <t>Ncity</t>
        </is>
      </c>
      <c r="BK11" s="1611" t="n"/>
      <c r="BL11" s="1634" t="inlineStr">
        <is>
          <t>Biggest 5 Stays</t>
        </is>
      </c>
      <c r="BM11" s="1429" t="n"/>
      <c r="BN11" s="1072" t="n"/>
      <c r="BO11" s="1611" t="inlineStr">
        <is>
          <t>.</t>
        </is>
      </c>
      <c r="BP11" s="1612" t="n"/>
      <c r="BQ11" s="1612" t="n"/>
      <c r="BR11" s="1612" t="n"/>
      <c r="BS11" s="1612" t="n"/>
      <c r="BT11" s="1612" t="n"/>
      <c r="BU11" s="1612" t="n"/>
      <c r="BV11" s="1612" t="n"/>
      <c r="BW11" s="1612" t="n"/>
      <c r="BX11" s="1612" t="n"/>
      <c r="BY11" s="1612" t="n"/>
      <c r="BZ11" s="1612" t="n"/>
      <c r="CA11" s="1612" t="n"/>
      <c r="CB11" s="1612" t="n"/>
      <c r="CC11" s="1612" t="n"/>
      <c r="CD11" s="1612" t="n"/>
      <c r="CE11" s="1612" t="n"/>
      <c r="CF11" s="1612" t="n"/>
    </row>
    <row r="12" ht="14" customHeight="1">
      <c r="A12" s="1615">
        <f>IF(mainW[[#This Row],[yrs]]=0,"",A11+1)</f>
        <v/>
      </c>
      <c r="B12" s="1616" t="n">
        <v>4</v>
      </c>
      <c r="C12" s="1617">
        <f>INT(SUM(H12:AO12))</f>
        <v/>
      </c>
      <c r="D12" s="1616">
        <f t="array" ref="D12">MAX(IF(stayCtry[ctry]=$G12,stayCtry[stay]))</f>
        <v/>
      </c>
      <c r="E12" s="1616">
        <f>COUNTIF(entryCtry[],mainW[[#This Row],[ctry]])</f>
        <v/>
      </c>
      <c r="F12" s="1635">
        <f>COUNTIF(H12:AO12,"&gt;=1")+COUNTIFS(H12:AO12,"&gt;0",H12:AO12,"&lt;1")/100</f>
        <v/>
      </c>
      <c r="G12" s="1618">
        <f>_xlfn.XLOOKUP(mainW[[#This Row],['#]],ctries[id],ctries[ctry],"-")</f>
        <v/>
      </c>
      <c r="H12" s="1619">
        <f>SUMIFS(raw[stay],raw[ctry],mainW[[#This Row],[ctry]],raw[yr],H$1)</f>
        <v/>
      </c>
      <c r="I12" s="1619">
        <f>SUMIFS(raw[stay],raw[ctry],mainW[[#This Row],[ctry]],raw[yr],I$1)</f>
        <v/>
      </c>
      <c r="J12" s="1619">
        <f>SUMIFS(raw[stay],raw[ctry],mainW[[#This Row],[ctry]],raw[yr],J$1)</f>
        <v/>
      </c>
      <c r="K12" s="1619">
        <f>SUMIFS(raw[stay],raw[ctry],mainW[[#This Row],[ctry]],raw[yr],K$1)</f>
        <v/>
      </c>
      <c r="L12" s="1619">
        <f>SUMIFS(raw[stay],raw[ctry],mainW[[#This Row],[ctry]],raw[yr],L$1)</f>
        <v/>
      </c>
      <c r="M12" s="1619">
        <f>SUMIFS(raw[stay],raw[ctry],mainW[[#This Row],[ctry]],raw[yr],M$1)</f>
        <v/>
      </c>
      <c r="N12" s="1619">
        <f>SUMIFS(raw[stay],raw[ctry],mainW[[#This Row],[ctry]],raw[yr],N$1)</f>
        <v/>
      </c>
      <c r="O12" s="1619">
        <f>SUMIFS(raw[stay],raw[ctry],mainW[[#This Row],[ctry]],raw[yr],O$1)</f>
        <v/>
      </c>
      <c r="P12" s="1619">
        <f>SUMIFS(raw[stay],raw[ctry],mainW[[#This Row],[ctry]],raw[yr],P$1)</f>
        <v/>
      </c>
      <c r="Q12" s="1619">
        <f>SUMIFS(raw[stay],raw[ctry],mainW[[#This Row],[ctry]],raw[yr],Q$1)</f>
        <v/>
      </c>
      <c r="R12" s="1619">
        <f>SUMIFS(raw[stay],raw[ctry],mainW[[#This Row],[ctry]],raw[yr],R$1)</f>
        <v/>
      </c>
      <c r="S12" s="1619">
        <f>SUMIFS(raw[stay],raw[ctry],mainW[[#This Row],[ctry]],raw[yr],S$1)</f>
        <v/>
      </c>
      <c r="T12" s="1619">
        <f>SUMIFS(raw[stay],raw[ctry],mainW[[#This Row],[ctry]],raw[yr],T$1)</f>
        <v/>
      </c>
      <c r="U12" s="1619">
        <f>SUMIFS(raw[stay],raw[ctry],mainW[[#This Row],[ctry]],raw[yr],U$1)</f>
        <v/>
      </c>
      <c r="V12" s="1619">
        <f>SUMIFS(raw[stay],raw[ctry],mainW[[#This Row],[ctry]],raw[yr],V$1)</f>
        <v/>
      </c>
      <c r="W12" s="1619">
        <f>SUMIFS(raw[stay],raw[ctry],mainW[[#This Row],[ctry]],raw[yr],W$1)</f>
        <v/>
      </c>
      <c r="X12" s="1619">
        <f>SUMIFS(raw[stay],raw[ctry],mainW[[#This Row],[ctry]],raw[yr],X$1)</f>
        <v/>
      </c>
      <c r="Y12" s="1619">
        <f>SUMIFS(raw[stay],raw[ctry],mainW[[#This Row],[ctry]],raw[yr],Y$1)</f>
        <v/>
      </c>
      <c r="Z12" s="1619">
        <f>SUMIFS(raw[stay],raw[ctry],mainW[[#This Row],[ctry]],raw[yr],Z$1)</f>
        <v/>
      </c>
      <c r="AA12" s="1619">
        <f>SUMIFS(raw[stay],raw[ctry],mainW[[#This Row],[ctry]],raw[yr],AA$1)</f>
        <v/>
      </c>
      <c r="AB12" s="1619">
        <f>SUMIFS(raw[stay],raw[ctry],mainW[[#This Row],[ctry]],raw[yr],AB$1)</f>
        <v/>
      </c>
      <c r="AC12" s="1619">
        <f>SUMIFS(raw[stay],raw[ctry],mainW[[#This Row],[ctry]],raw[yr],AC$1)</f>
        <v/>
      </c>
      <c r="AD12" s="1619">
        <f>SUMIFS(raw[stay],raw[ctry],mainW[[#This Row],[ctry]],raw[yr],AD$1)</f>
        <v/>
      </c>
      <c r="AE12" s="1619">
        <f>SUMIFS(raw[stay],raw[ctry],mainW[[#This Row],[ctry]],raw[yr],AE$1)</f>
        <v/>
      </c>
      <c r="AF12" s="1619">
        <f>SUMIFS(raw[stay],raw[ctry],mainW[[#This Row],[ctry]],raw[yr],AF$1)</f>
        <v/>
      </c>
      <c r="AG12" s="1619">
        <f>SUMIFS(raw[stay],raw[ctry],mainW[[#This Row],[ctry]],raw[yr],AG$1)</f>
        <v/>
      </c>
      <c r="AH12" s="1619">
        <f>SUMIFS(raw[stay],raw[ctry],mainW[[#This Row],[ctry]],raw[yr],AH$1)</f>
        <v/>
      </c>
      <c r="AI12" s="1619">
        <f>SUMIFS(raw[stay],raw[ctry],mainW[[#This Row],[ctry]],raw[yr],AI$1)</f>
        <v/>
      </c>
      <c r="AJ12" s="1619">
        <f>SUMIFS(raw[stay],raw[ctry],mainW[[#This Row],[ctry]],raw[yr],AJ$1)</f>
        <v/>
      </c>
      <c r="AK12" s="1619">
        <f>SUMIFS(raw[stay],raw[ctry],mainW[[#This Row],[ctry]],raw[yr],AK$1)</f>
        <v/>
      </c>
      <c r="AL12" s="1619">
        <f>SUMIFS(raw[stay],raw[ctry],mainW[[#This Row],[ctry]],raw[yr],AL$1)</f>
        <v/>
      </c>
      <c r="AM12" s="1619">
        <f>SUMIFS(raw[stay],raw[ctry],mainW[[#This Row],[ctry]],raw[yr],AM$1)</f>
        <v/>
      </c>
      <c r="AN12" s="1619">
        <f>SUMIFS(raw[stay],raw[ctry],mainW[[#This Row],[ctry]],raw[yr],AN$1)</f>
        <v/>
      </c>
      <c r="AO12" s="1623">
        <f>mainW[[#This Row],[total]]/B$3</f>
        <v/>
      </c>
      <c r="AP12" s="1597" t="n">
        <v>1</v>
      </c>
      <c r="AQ12" s="1636">
        <f>'@Refr'!P5</f>
        <v/>
      </c>
      <c r="AR12" s="1603">
        <f>_xlfn.XLOOKUP(citySeq[[#This Row],[city]],ccc[city],ccc[ctry],"-")</f>
        <v/>
      </c>
      <c r="AS12" s="1604">
        <f>_xlfn.MINIFS(stayCity[in], stayCity[city], citySeq[[#This Row],[city]])</f>
        <v/>
      </c>
      <c r="AT12" s="1637">
        <f>_xlfn.MAXIFS(raw[out], raw[city], citySeq[[#This Row],[city]])</f>
        <v/>
      </c>
      <c r="AU12" s="1638">
        <f>SUMIFS(stayCity[in],stayCity[city],citySeq[[#This Row],[city]],stayCity[stay],citySeq[[#This Row],[seq]])</f>
        <v/>
      </c>
      <c r="AV12" s="1638">
        <f>SUMIFS(stayCity[out],stayCity[city],citySeq[[#This Row],[city]],stayCity[stay],citySeq[[#This Row],[seq]])</f>
        <v/>
      </c>
      <c r="AW12" s="1603">
        <f t="array" ref="AW12">MAX(IF(stayCity[city]=citySeq[[#This Row],[city]],stayCity[stay]))</f>
        <v/>
      </c>
      <c r="AX12" s="1603">
        <f t="array" ref="AX12">ROWS(_xlfn.UNIQUE(_xlfn._xlws.FILTER(raw[yr], raw[city]=citySeq[[#This Row],[city]])))</f>
        <v/>
      </c>
      <c r="AY12" s="1603">
        <f>_xlfn.XLOOKUP(citySeq[[#This Row],[city]],cities[city],cities[stay])</f>
        <v/>
      </c>
      <c r="AZ12" s="1639" t="inlineStr">
        <is>
          <t>.</t>
        </is>
      </c>
      <c r="BA12" s="1597" t="n">
        <v>1</v>
      </c>
      <c r="BB12" s="1640" t="inlineStr">
        <is>
          <t>BRA</t>
        </is>
      </c>
      <c r="BC12" s="1603">
        <f>INT(SUMIFS(raw[stay],raw[ctry],$BB12,raw[dec],BC$1))</f>
        <v/>
      </c>
      <c r="BD12" s="1603">
        <f>INT(SUMIFS(raw[stay],raw[ctry],$BB12,raw[dec],BD$1))</f>
        <v/>
      </c>
      <c r="BE12" s="1603">
        <f>INT(SUMIFS(raw[stay],raw[ctry],$BB12,raw[dec],BE$1))</f>
        <v/>
      </c>
      <c r="BF12" s="1603">
        <f>INT(SUMIFS(raw[stay],raw[ctry],$BB12,raw[dec],BF$1))</f>
        <v/>
      </c>
      <c r="BG12" s="1603">
        <f>INT(SUMIFS(raw[stay],raw[ctry],$BB12,raw[dec],BG$1))</f>
        <v/>
      </c>
      <c r="BH12" s="1597" t="n"/>
      <c r="BI12" s="1641">
        <f>(_xlfn.MAXIFS(raw[out],raw[ctry],BB12)-_xlfn.MINIFS(raw[out],raw[ctry],BB12))/365.25</f>
        <v/>
      </c>
      <c r="BJ12" s="1610">
        <f>COUNTIF(cities[ctry],BB12)</f>
        <v/>
      </c>
      <c r="BK12" s="1611" t="n"/>
      <c r="BL12" s="1642">
        <f>SUM(BC2:BG2)</f>
        <v/>
      </c>
      <c r="BM12" s="1642">
        <f>SUM(BC4:BG4)</f>
        <v/>
      </c>
      <c r="BN12" s="1642">
        <f>SUM(BC5:BG5)</f>
        <v/>
      </c>
      <c r="BO12" s="1611" t="inlineStr">
        <is>
          <t>.</t>
        </is>
      </c>
      <c r="BP12" s="1612" t="n"/>
      <c r="BQ12" s="1612" t="n"/>
      <c r="BR12" s="1612" t="n"/>
      <c r="BS12" s="1612" t="n"/>
      <c r="BT12" s="1612" t="n"/>
      <c r="BU12" s="1612" t="n"/>
      <c r="BV12" s="1612" t="n"/>
      <c r="BW12" s="1612" t="n"/>
      <c r="BX12" s="1612" t="n"/>
      <c r="BY12" s="1612" t="n"/>
      <c r="BZ12" s="1612" t="n"/>
      <c r="CA12" s="1612" t="n"/>
      <c r="CB12" s="1612" t="n"/>
      <c r="CC12" s="1612" t="n"/>
      <c r="CD12" s="1612" t="n"/>
      <c r="CE12" s="1612" t="n"/>
      <c r="CF12" s="1612" t="n"/>
    </row>
    <row r="13" ht="14" customHeight="1">
      <c r="A13" s="1596">
        <f>IF(mainW[[#This Row],[yrs]]=0,"",A12+1)</f>
        <v/>
      </c>
      <c r="B13" s="1621" t="n">
        <v>6</v>
      </c>
      <c r="C13" s="1622">
        <f>INT(SUM(H13:AO13))</f>
        <v/>
      </c>
      <c r="D13" s="1621">
        <f t="array" ref="D13">MAX(IF(stayCtry[ctry]=$G13,stayCtry[stay]))</f>
        <v/>
      </c>
      <c r="E13" s="1621">
        <f>COUNTIF(entryCtry[],mainW[[#This Row],[ctry]])</f>
        <v/>
      </c>
      <c r="F13" s="1621">
        <f>COUNTIF(H13:AO13,"&gt;=1")+COUNTIFS(H13:AO13,"&gt;0",H13:AO13,"&lt;1")/100</f>
        <v/>
      </c>
      <c r="G13" s="1618">
        <f>_xlfn.XLOOKUP(mainW[[#This Row],['#]],ctries[id],ctries[ctry],"-")</f>
        <v/>
      </c>
      <c r="H13" s="1619">
        <f>SUMIFS(raw[stay],raw[ctry],mainW[[#This Row],[ctry]],raw[yr],H$1)</f>
        <v/>
      </c>
      <c r="I13" s="1619">
        <f>SUMIFS(raw[stay],raw[ctry],mainW[[#This Row],[ctry]],raw[yr],I$1)</f>
        <v/>
      </c>
      <c r="J13" s="1619">
        <f>SUMIFS(raw[stay],raw[ctry],mainW[[#This Row],[ctry]],raw[yr],J$1)</f>
        <v/>
      </c>
      <c r="K13" s="1619">
        <f>SUMIFS(raw[stay],raw[ctry],mainW[[#This Row],[ctry]],raw[yr],K$1)</f>
        <v/>
      </c>
      <c r="L13" s="1619">
        <f>SUMIFS(raw[stay],raw[ctry],mainW[[#This Row],[ctry]],raw[yr],L$1)</f>
        <v/>
      </c>
      <c r="M13" s="1619">
        <f>SUMIFS(raw[stay],raw[ctry],mainW[[#This Row],[ctry]],raw[yr],M$1)</f>
        <v/>
      </c>
      <c r="N13" s="1619">
        <f>SUMIFS(raw[stay],raw[ctry],mainW[[#This Row],[ctry]],raw[yr],N$1)</f>
        <v/>
      </c>
      <c r="O13" s="1619">
        <f>SUMIFS(raw[stay],raw[ctry],mainW[[#This Row],[ctry]],raw[yr],O$1)</f>
        <v/>
      </c>
      <c r="P13" s="1619">
        <f>SUMIFS(raw[stay],raw[ctry],mainW[[#This Row],[ctry]],raw[yr],P$1)</f>
        <v/>
      </c>
      <c r="Q13" s="1619">
        <f>SUMIFS(raw[stay],raw[ctry],mainW[[#This Row],[ctry]],raw[yr],Q$1)</f>
        <v/>
      </c>
      <c r="R13" s="1619">
        <f>SUMIFS(raw[stay],raw[ctry],mainW[[#This Row],[ctry]],raw[yr],R$1)</f>
        <v/>
      </c>
      <c r="S13" s="1619">
        <f>SUMIFS(raw[stay],raw[ctry],mainW[[#This Row],[ctry]],raw[yr],S$1)</f>
        <v/>
      </c>
      <c r="T13" s="1619">
        <f>SUMIFS(raw[stay],raw[ctry],mainW[[#This Row],[ctry]],raw[yr],T$1)</f>
        <v/>
      </c>
      <c r="U13" s="1619">
        <f>SUMIFS(raw[stay],raw[ctry],mainW[[#This Row],[ctry]],raw[yr],U$1)</f>
        <v/>
      </c>
      <c r="V13" s="1619">
        <f>SUMIFS(raw[stay],raw[ctry],mainW[[#This Row],[ctry]],raw[yr],V$1)</f>
        <v/>
      </c>
      <c r="W13" s="1619">
        <f>SUMIFS(raw[stay],raw[ctry],mainW[[#This Row],[ctry]],raw[yr],W$1)</f>
        <v/>
      </c>
      <c r="X13" s="1619">
        <f>SUMIFS(raw[stay],raw[ctry],mainW[[#This Row],[ctry]],raw[yr],X$1)</f>
        <v/>
      </c>
      <c r="Y13" s="1619">
        <f>SUMIFS(raw[stay],raw[ctry],mainW[[#This Row],[ctry]],raw[yr],Y$1)</f>
        <v/>
      </c>
      <c r="Z13" s="1619">
        <f>SUMIFS(raw[stay],raw[ctry],mainW[[#This Row],[ctry]],raw[yr],Z$1)</f>
        <v/>
      </c>
      <c r="AA13" s="1619">
        <f>SUMIFS(raw[stay],raw[ctry],mainW[[#This Row],[ctry]],raw[yr],AA$1)</f>
        <v/>
      </c>
      <c r="AB13" s="1619">
        <f>SUMIFS(raw[stay],raw[ctry],mainW[[#This Row],[ctry]],raw[yr],AB$1)</f>
        <v/>
      </c>
      <c r="AC13" s="1619">
        <f>SUMIFS(raw[stay],raw[ctry],mainW[[#This Row],[ctry]],raw[yr],AC$1)</f>
        <v/>
      </c>
      <c r="AD13" s="1619">
        <f>SUMIFS(raw[stay],raw[ctry],mainW[[#This Row],[ctry]],raw[yr],AD$1)</f>
        <v/>
      </c>
      <c r="AE13" s="1619">
        <f>SUMIFS(raw[stay],raw[ctry],mainW[[#This Row],[ctry]],raw[yr],AE$1)</f>
        <v/>
      </c>
      <c r="AF13" s="1619">
        <f>SUMIFS(raw[stay],raw[ctry],mainW[[#This Row],[ctry]],raw[yr],AF$1)</f>
        <v/>
      </c>
      <c r="AG13" s="1619">
        <f>SUMIFS(raw[stay],raw[ctry],mainW[[#This Row],[ctry]],raw[yr],AG$1)</f>
        <v/>
      </c>
      <c r="AH13" s="1619">
        <f>SUMIFS(raw[stay],raw[ctry],mainW[[#This Row],[ctry]],raw[yr],AH$1)</f>
        <v/>
      </c>
      <c r="AI13" s="1619">
        <f>SUMIFS(raw[stay],raw[ctry],mainW[[#This Row],[ctry]],raw[yr],AI$1)</f>
        <v/>
      </c>
      <c r="AJ13" s="1619">
        <f>SUMIFS(raw[stay],raw[ctry],mainW[[#This Row],[ctry]],raw[yr],AJ$1)</f>
        <v/>
      </c>
      <c r="AK13" s="1619">
        <f>SUMIFS(raw[stay],raw[ctry],mainW[[#This Row],[ctry]],raw[yr],AK$1)</f>
        <v/>
      </c>
      <c r="AL13" s="1619">
        <f>SUMIFS(raw[stay],raw[ctry],mainW[[#This Row],[ctry]],raw[yr],AL$1)</f>
        <v/>
      </c>
      <c r="AM13" s="1619">
        <f>SUMIFS(raw[stay],raw[ctry],mainW[[#This Row],[ctry]],raw[yr],AM$1)</f>
        <v/>
      </c>
      <c r="AN13" s="1619">
        <f>SUMIFS(raw[stay],raw[ctry],mainW[[#This Row],[ctry]],raw[yr],AN$1)</f>
        <v/>
      </c>
      <c r="AO13" s="1623">
        <f>mainW[[#This Row],[total]]/B$3</f>
        <v/>
      </c>
      <c r="AP13" s="1597">
        <f>AP12+1</f>
        <v/>
      </c>
      <c r="AQ13" s="1636">
        <f>'@Refr'!P6</f>
        <v/>
      </c>
      <c r="AR13" s="1603">
        <f>_xlfn.XLOOKUP(citySeq[[#This Row],[city]],ccc[city],ccc[ctry],"-")</f>
        <v/>
      </c>
      <c r="AS13" s="1604">
        <f>_xlfn.MINIFS(stayCity[in], stayCity[city], citySeq[[#This Row],[city]])</f>
        <v/>
      </c>
      <c r="AT13" s="1637">
        <f>_xlfn.MAXIFS(raw[out], raw[city], citySeq[[#This Row],[city]])</f>
        <v/>
      </c>
      <c r="AU13" s="1638">
        <f>SUMIFS(stayCity[in],stayCity[city],citySeq[[#This Row],[city]],stayCity[stay],citySeq[[#This Row],[seq]])</f>
        <v/>
      </c>
      <c r="AV13" s="1638">
        <f>SUMIFS(stayCity[out],stayCity[city],citySeq[[#This Row],[city]],stayCity[stay],citySeq[[#This Row],[seq]])</f>
        <v/>
      </c>
      <c r="AW13" s="1603">
        <f t="array" ref="AW13">MAX(IF(stayCity[city]=citySeq[[#This Row],[city]],stayCity[stay]))</f>
        <v/>
      </c>
      <c r="AX13" s="1603">
        <f t="array" ref="AX13">ROWS(_xlfn.UNIQUE(_xlfn._xlws.FILTER(raw[yr], raw[city]=citySeq[[#This Row],[city]])))</f>
        <v/>
      </c>
      <c r="AY13" s="1603">
        <f>_xlfn.XLOOKUP(citySeq[[#This Row],[city]],cities[city],cities[stay])</f>
        <v/>
      </c>
      <c r="AZ13" s="1639" t="inlineStr">
        <is>
          <t>.</t>
        </is>
      </c>
      <c r="BA13" s="1597">
        <f>BA12+1</f>
        <v/>
      </c>
      <c r="BB13" s="1643">
        <f>G8</f>
        <v/>
      </c>
      <c r="BC13" s="1603">
        <f>INT(SUMIFS(raw[stay],raw[ctry],$BB13,raw[dec],BC$1))</f>
        <v/>
      </c>
      <c r="BD13" s="1603">
        <f>INT(SUMIFS(raw[stay],raw[ctry],$BB13,raw[dec],BD$1))</f>
        <v/>
      </c>
      <c r="BE13" s="1603">
        <f>INT(SUMIFS(raw[stay],raw[ctry],$BB13,raw[dec],BE$1))</f>
        <v/>
      </c>
      <c r="BF13" s="1603">
        <f>INT(SUMIFS(raw[stay],raw[ctry],$BB13,raw[dec],BF$1))</f>
        <v/>
      </c>
      <c r="BG13" s="1603">
        <f>INT(SUMIFS(raw[stay],raw[ctry],$BB13,raw[dec],BG$1))</f>
        <v/>
      </c>
      <c r="BH13" s="1597" t="n"/>
      <c r="BI13" s="1641">
        <f>(_xlfn.MAXIFS(raw[out],raw[ctry],BB13)-_xlfn.MINIFS(raw[out],raw[ctry],BB13))/365.25</f>
        <v/>
      </c>
      <c r="BJ13" s="1610">
        <f>COUNTIF(cities[ctry],BB13)</f>
        <v/>
      </c>
      <c r="BK13" s="1611" t="n"/>
      <c r="BL13" s="1644" t="inlineStr">
        <is>
          <t>W</t>
        </is>
      </c>
      <c r="BM13" s="1645" t="inlineStr">
        <is>
          <t>N</t>
        </is>
      </c>
      <c r="BN13" s="1645" t="inlineStr">
        <is>
          <t>E</t>
        </is>
      </c>
      <c r="BO13" s="1611" t="inlineStr">
        <is>
          <t>.</t>
        </is>
      </c>
      <c r="BP13" s="1612" t="n"/>
      <c r="BQ13" s="1612" t="n"/>
      <c r="BR13" s="1612" t="n"/>
      <c r="BS13" s="1612" t="n"/>
      <c r="BT13" s="1612" t="n"/>
      <c r="BU13" s="1612" t="n"/>
      <c r="BV13" s="1612" t="n"/>
      <c r="BW13" s="1612" t="n"/>
      <c r="BX13" s="1612" t="n"/>
      <c r="BY13" s="1612" t="n"/>
      <c r="BZ13" s="1612" t="n"/>
      <c r="CA13" s="1612" t="n"/>
      <c r="CB13" s="1612" t="n"/>
      <c r="CC13" s="1612" t="n"/>
      <c r="CD13" s="1612" t="n"/>
      <c r="CE13" s="1612" t="n"/>
      <c r="CF13" s="1612" t="n"/>
    </row>
    <row r="14" ht="14" customHeight="1">
      <c r="A14" s="1615">
        <f>IF(mainW[[#This Row],[yrs]]=0,"",A13+1)</f>
        <v/>
      </c>
      <c r="B14" s="1616" t="n">
        <v>19</v>
      </c>
      <c r="C14" s="1617">
        <f>INT(SUM(H14:AO14))</f>
        <v/>
      </c>
      <c r="D14" s="1616">
        <f t="array" ref="D14">MAX(IF(stayCtry[ctry]=$G14,stayCtry[stay]))</f>
        <v/>
      </c>
      <c r="E14" s="1616">
        <f>COUNTIF(entryCtry[],mainW[[#This Row],[ctry]])</f>
        <v/>
      </c>
      <c r="F14" s="1616">
        <f>COUNTIF(H14:AO14,"&gt;=1")+COUNTIFS(H14:AO14,"&gt;0",H14:AO14,"&lt;1")/100</f>
        <v/>
      </c>
      <c r="G14" s="1618">
        <f>_xlfn.XLOOKUP(mainW[[#This Row],['#]],ctries[id],ctries[ctry],"-")</f>
        <v/>
      </c>
      <c r="H14" s="1619">
        <f>SUMIFS(raw[stay],raw[ctry],mainW[[#This Row],[ctry]],raw[yr],H$1)</f>
        <v/>
      </c>
      <c r="I14" s="1619">
        <f>SUMIFS(raw[stay],raw[ctry],mainW[[#This Row],[ctry]],raw[yr],I$1)</f>
        <v/>
      </c>
      <c r="J14" s="1619">
        <f>SUMIFS(raw[stay],raw[ctry],mainW[[#This Row],[ctry]],raw[yr],J$1)</f>
        <v/>
      </c>
      <c r="K14" s="1619">
        <f>SUMIFS(raw[stay],raw[ctry],mainW[[#This Row],[ctry]],raw[yr],K$1)</f>
        <v/>
      </c>
      <c r="L14" s="1619">
        <f>SUMIFS(raw[stay],raw[ctry],mainW[[#This Row],[ctry]],raw[yr],L$1)</f>
        <v/>
      </c>
      <c r="M14" s="1619">
        <f>SUMIFS(raw[stay],raw[ctry],mainW[[#This Row],[ctry]],raw[yr],M$1)</f>
        <v/>
      </c>
      <c r="N14" s="1619">
        <f>SUMIFS(raw[stay],raw[ctry],mainW[[#This Row],[ctry]],raw[yr],N$1)</f>
        <v/>
      </c>
      <c r="O14" s="1619">
        <f>SUMIFS(raw[stay],raw[ctry],mainW[[#This Row],[ctry]],raw[yr],O$1)</f>
        <v/>
      </c>
      <c r="P14" s="1619">
        <f>SUMIFS(raw[stay],raw[ctry],mainW[[#This Row],[ctry]],raw[yr],P$1)</f>
        <v/>
      </c>
      <c r="Q14" s="1619">
        <f>SUMIFS(raw[stay],raw[ctry],mainW[[#This Row],[ctry]],raw[yr],Q$1)</f>
        <v/>
      </c>
      <c r="R14" s="1619">
        <f>SUMIFS(raw[stay],raw[ctry],mainW[[#This Row],[ctry]],raw[yr],R$1)</f>
        <v/>
      </c>
      <c r="S14" s="1619">
        <f>SUMIFS(raw[stay],raw[ctry],mainW[[#This Row],[ctry]],raw[yr],S$1)</f>
        <v/>
      </c>
      <c r="T14" s="1619">
        <f>SUMIFS(raw[stay],raw[ctry],mainW[[#This Row],[ctry]],raw[yr],T$1)</f>
        <v/>
      </c>
      <c r="U14" s="1619">
        <f>SUMIFS(raw[stay],raw[ctry],mainW[[#This Row],[ctry]],raw[yr],U$1)</f>
        <v/>
      </c>
      <c r="V14" s="1619">
        <f>SUMIFS(raw[stay],raw[ctry],mainW[[#This Row],[ctry]],raw[yr],V$1)</f>
        <v/>
      </c>
      <c r="W14" s="1619">
        <f>SUMIFS(raw[stay],raw[ctry],mainW[[#This Row],[ctry]],raw[yr],W$1)</f>
        <v/>
      </c>
      <c r="X14" s="1619">
        <f>SUMIFS(raw[stay],raw[ctry],mainW[[#This Row],[ctry]],raw[yr],X$1)</f>
        <v/>
      </c>
      <c r="Y14" s="1619">
        <f>SUMIFS(raw[stay],raw[ctry],mainW[[#This Row],[ctry]],raw[yr],Y$1)</f>
        <v/>
      </c>
      <c r="Z14" s="1619">
        <f>SUMIFS(raw[stay],raw[ctry],mainW[[#This Row],[ctry]],raw[yr],Z$1)</f>
        <v/>
      </c>
      <c r="AA14" s="1619">
        <f>SUMIFS(raw[stay],raw[ctry],mainW[[#This Row],[ctry]],raw[yr],AA$1)</f>
        <v/>
      </c>
      <c r="AB14" s="1619">
        <f>SUMIFS(raw[stay],raw[ctry],mainW[[#This Row],[ctry]],raw[yr],AB$1)</f>
        <v/>
      </c>
      <c r="AC14" s="1619">
        <f>SUMIFS(raw[stay],raw[ctry],mainW[[#This Row],[ctry]],raw[yr],AC$1)</f>
        <v/>
      </c>
      <c r="AD14" s="1619">
        <f>SUMIFS(raw[stay],raw[ctry],mainW[[#This Row],[ctry]],raw[yr],AD$1)</f>
        <v/>
      </c>
      <c r="AE14" s="1619">
        <f>SUMIFS(raw[stay],raw[ctry],mainW[[#This Row],[ctry]],raw[yr],AE$1)</f>
        <v/>
      </c>
      <c r="AF14" s="1619">
        <f>SUMIFS(raw[stay],raw[ctry],mainW[[#This Row],[ctry]],raw[yr],AF$1)</f>
        <v/>
      </c>
      <c r="AG14" s="1619">
        <f>SUMIFS(raw[stay],raw[ctry],mainW[[#This Row],[ctry]],raw[yr],AG$1)</f>
        <v/>
      </c>
      <c r="AH14" s="1619">
        <f>SUMIFS(raw[stay],raw[ctry],mainW[[#This Row],[ctry]],raw[yr],AH$1)</f>
        <v/>
      </c>
      <c r="AI14" s="1619">
        <f>SUMIFS(raw[stay],raw[ctry],mainW[[#This Row],[ctry]],raw[yr],AI$1)</f>
        <v/>
      </c>
      <c r="AJ14" s="1619">
        <f>SUMIFS(raw[stay],raw[ctry],mainW[[#This Row],[ctry]],raw[yr],AJ$1)</f>
        <v/>
      </c>
      <c r="AK14" s="1619">
        <f>SUMIFS(raw[stay],raw[ctry],mainW[[#This Row],[ctry]],raw[yr],AK$1)</f>
        <v/>
      </c>
      <c r="AL14" s="1619">
        <f>SUMIFS(raw[stay],raw[ctry],mainW[[#This Row],[ctry]],raw[yr],AL$1)</f>
        <v/>
      </c>
      <c r="AM14" s="1619">
        <f>SUMIFS(raw[stay],raw[ctry],mainW[[#This Row],[ctry]],raw[yr],AM$1)</f>
        <v/>
      </c>
      <c r="AN14" s="1619">
        <f>SUMIFS(raw[stay],raw[ctry],mainW[[#This Row],[ctry]],raw[yr],AN$1)</f>
        <v/>
      </c>
      <c r="AO14" s="1623">
        <f>mainW[[#This Row],[total]]/B$3</f>
        <v/>
      </c>
      <c r="AP14" s="1597">
        <f>AP13+1</f>
        <v/>
      </c>
      <c r="AQ14" s="1636">
        <f>'@Refr'!P7</f>
        <v/>
      </c>
      <c r="AR14" s="1603">
        <f>_xlfn.XLOOKUP(citySeq[[#This Row],[city]],ccc[city],ccc[ctry],"-")</f>
        <v/>
      </c>
      <c r="AS14" s="1604">
        <f>_xlfn.MINIFS(stayCity[in], stayCity[city], citySeq[[#This Row],[city]])</f>
        <v/>
      </c>
      <c r="AT14" s="1637">
        <f>_xlfn.MAXIFS(raw[out], raw[city], citySeq[[#This Row],[city]])</f>
        <v/>
      </c>
      <c r="AU14" s="1638">
        <f>SUMIFS(stayCity[in],stayCity[city],citySeq[[#This Row],[city]],stayCity[stay],citySeq[[#This Row],[seq]])</f>
        <v/>
      </c>
      <c r="AV14" s="1638">
        <f>SUMIFS(stayCity[out],stayCity[city],citySeq[[#This Row],[city]],stayCity[stay],citySeq[[#This Row],[seq]])</f>
        <v/>
      </c>
      <c r="AW14" s="1603">
        <f t="array" ref="AW14">MAX(IF(stayCity[city]=citySeq[[#This Row],[city]],stayCity[stay]))</f>
        <v/>
      </c>
      <c r="AX14" s="1603">
        <f t="array" ref="AX14">ROWS(_xlfn.UNIQUE(_xlfn._xlws.FILTER(raw[yr], raw[city]=citySeq[[#This Row],[city]])))</f>
        <v/>
      </c>
      <c r="AY14" s="1603">
        <f>_xlfn.XLOOKUP(citySeq[[#This Row],[city]],cities[city],cities[stay])</f>
        <v/>
      </c>
      <c r="AZ14" s="1646" t="inlineStr">
        <is>
          <t>.</t>
        </is>
      </c>
      <c r="BA14" s="1597">
        <f>BA13+1</f>
        <v/>
      </c>
      <c r="BB14" s="1643">
        <f>G9</f>
        <v/>
      </c>
      <c r="BC14" s="1603">
        <f>INT(SUMIFS(raw[stay],raw[ctry],$BB14,raw[dec],BC$1))</f>
        <v/>
      </c>
      <c r="BD14" s="1603">
        <f>INT(SUMIFS(raw[stay],raw[ctry],$BB14,raw[dec],BD$1))</f>
        <v/>
      </c>
      <c r="BE14" s="1603">
        <f>INT(SUMIFS(raw[stay],raw[ctry],$BB14,raw[dec],BE$1))</f>
        <v/>
      </c>
      <c r="BF14" s="1603">
        <f>INT(SUMIFS(raw[stay],raw[ctry],$BB14,raw[dec],BF$1))</f>
        <v/>
      </c>
      <c r="BG14" s="1603">
        <f>INT(SUMIFS(raw[stay],raw[ctry],$BB14,raw[dec],BG$1))</f>
        <v/>
      </c>
      <c r="BH14" s="1597" t="n"/>
      <c r="BI14" s="1641">
        <f>(_xlfn.MAXIFS(raw[out],raw[ctry],BB14)-_xlfn.MINIFS(raw[out],raw[ctry],BB14))/365.25</f>
        <v/>
      </c>
      <c r="BJ14" s="1610">
        <f>COUNTIF(cities[ctry],BB14)</f>
        <v/>
      </c>
      <c r="BK14" s="1611" t="n"/>
      <c r="BL14" s="1603">
        <f t="array" ref="BL14:BL18">LARGE(stayWB[stay], _xlfn.SEQUENCE(5))</f>
        <v/>
      </c>
      <c r="BM14" s="1603">
        <f t="array" ref="BM14:BM18">LARGE(  _xlfn._xlws.FILTER(stayCont[stay], stayCont[cont]=BM$13),  _xlfn.SEQUENCE(5))</f>
        <v/>
      </c>
      <c r="BN14" s="1603">
        <f t="array" ref="BN14:BN18">LARGE(  _xlfn._xlws.FILTER(stayCont[stay], stayCont[cont]=BN$13),  _xlfn.SEQUENCE(5))</f>
        <v/>
      </c>
      <c r="BO14" s="1611" t="inlineStr">
        <is>
          <t>.</t>
        </is>
      </c>
      <c r="BP14" s="1612" t="n"/>
      <c r="BQ14" s="1612" t="n"/>
      <c r="BR14" s="1612" t="n"/>
      <c r="BS14" s="1612" t="n"/>
      <c r="BT14" s="1612" t="n"/>
      <c r="BU14" s="1612" t="n"/>
      <c r="BV14" s="1612" t="n"/>
      <c r="BW14" s="1612" t="n"/>
      <c r="BX14" s="1612" t="n"/>
      <c r="BY14" s="1612" t="n"/>
      <c r="BZ14" s="1612" t="n"/>
      <c r="CA14" s="1612" t="n"/>
      <c r="CB14" s="1612" t="n"/>
      <c r="CC14" s="1612" t="n"/>
      <c r="CD14" s="1612" t="n"/>
      <c r="CE14" s="1612" t="n"/>
      <c r="CF14" s="1612" t="n"/>
    </row>
    <row r="15" ht="14" customHeight="1">
      <c r="A15" s="1596">
        <f>IF(mainW[[#This Row],[yrs]]=0,"",A14+1)</f>
        <v/>
      </c>
      <c r="B15" s="1596" t="n">
        <v>8</v>
      </c>
      <c r="C15" s="1647">
        <f>INT(SUM(H15:AO15))</f>
        <v/>
      </c>
      <c r="D15" s="1596">
        <f t="array" ref="D15">MAX(IF(stayCtry[ctry]=$G15,stayCtry[stay]))</f>
        <v/>
      </c>
      <c r="E15" s="1596">
        <f>COUNTIF(entryCtry[],mainW[[#This Row],[ctry]])</f>
        <v/>
      </c>
      <c r="F15" s="1596">
        <f>COUNTIF(H15:AO15,"&gt;=1")+COUNTIFS(H15:AO15,"&gt;0",H15:AO15,"&lt;1")/100</f>
        <v/>
      </c>
      <c r="G15" s="1648">
        <f>_xlfn.XLOOKUP(mainW[[#This Row],['#]],ctries[id],ctries[ctry],"-")</f>
        <v/>
      </c>
      <c r="H15" s="1649">
        <f>SUMIFS(raw[stay],raw[ctry],mainW[[#This Row],[ctry]],raw[yr],H$1)</f>
        <v/>
      </c>
      <c r="I15" s="1649">
        <f>SUMIFS(raw[stay],raw[ctry],mainW[[#This Row],[ctry]],raw[yr],I$1)</f>
        <v/>
      </c>
      <c r="J15" s="1649">
        <f>SUMIFS(raw[stay],raw[ctry],mainW[[#This Row],[ctry]],raw[yr],J$1)</f>
        <v/>
      </c>
      <c r="K15" s="1649">
        <f>SUMIFS(raw[stay],raw[ctry],mainW[[#This Row],[ctry]],raw[yr],K$1)</f>
        <v/>
      </c>
      <c r="L15" s="1649">
        <f>SUMIFS(raw[stay],raw[ctry],mainW[[#This Row],[ctry]],raw[yr],L$1)</f>
        <v/>
      </c>
      <c r="M15" s="1649">
        <f>SUMIFS(raw[stay],raw[ctry],mainW[[#This Row],[ctry]],raw[yr],M$1)</f>
        <v/>
      </c>
      <c r="N15" s="1649">
        <f>SUMIFS(raw[stay],raw[ctry],mainW[[#This Row],[ctry]],raw[yr],N$1)</f>
        <v/>
      </c>
      <c r="O15" s="1649">
        <f>SUMIFS(raw[stay],raw[ctry],mainW[[#This Row],[ctry]],raw[yr],O$1)</f>
        <v/>
      </c>
      <c r="P15" s="1649">
        <f>SUMIFS(raw[stay],raw[ctry],mainW[[#This Row],[ctry]],raw[yr],P$1)</f>
        <v/>
      </c>
      <c r="Q15" s="1649">
        <f>SUMIFS(raw[stay],raw[ctry],mainW[[#This Row],[ctry]],raw[yr],Q$1)</f>
        <v/>
      </c>
      <c r="R15" s="1649">
        <f>SUMIFS(raw[stay],raw[ctry],mainW[[#This Row],[ctry]],raw[yr],R$1)</f>
        <v/>
      </c>
      <c r="S15" s="1649">
        <f>SUMIFS(raw[stay],raw[ctry],mainW[[#This Row],[ctry]],raw[yr],S$1)</f>
        <v/>
      </c>
      <c r="T15" s="1649">
        <f>SUMIFS(raw[stay],raw[ctry],mainW[[#This Row],[ctry]],raw[yr],T$1)</f>
        <v/>
      </c>
      <c r="U15" s="1649">
        <f>SUMIFS(raw[stay],raw[ctry],mainW[[#This Row],[ctry]],raw[yr],U$1)</f>
        <v/>
      </c>
      <c r="V15" s="1649">
        <f>SUMIFS(raw[stay],raw[ctry],mainW[[#This Row],[ctry]],raw[yr],V$1)</f>
        <v/>
      </c>
      <c r="W15" s="1649">
        <f>SUMIFS(raw[stay],raw[ctry],mainW[[#This Row],[ctry]],raw[yr],W$1)</f>
        <v/>
      </c>
      <c r="X15" s="1649">
        <f>SUMIFS(raw[stay],raw[ctry],mainW[[#This Row],[ctry]],raw[yr],X$1)</f>
        <v/>
      </c>
      <c r="Y15" s="1649">
        <f>SUMIFS(raw[stay],raw[ctry],mainW[[#This Row],[ctry]],raw[yr],Y$1)</f>
        <v/>
      </c>
      <c r="Z15" s="1649">
        <f>SUMIFS(raw[stay],raw[ctry],mainW[[#This Row],[ctry]],raw[yr],Z$1)</f>
        <v/>
      </c>
      <c r="AA15" s="1649">
        <f>SUMIFS(raw[stay],raw[ctry],mainW[[#This Row],[ctry]],raw[yr],AA$1)</f>
        <v/>
      </c>
      <c r="AB15" s="1649">
        <f>SUMIFS(raw[stay],raw[ctry],mainW[[#This Row],[ctry]],raw[yr],AB$1)</f>
        <v/>
      </c>
      <c r="AC15" s="1649">
        <f>SUMIFS(raw[stay],raw[ctry],mainW[[#This Row],[ctry]],raw[yr],AC$1)</f>
        <v/>
      </c>
      <c r="AD15" s="1649">
        <f>SUMIFS(raw[stay],raw[ctry],mainW[[#This Row],[ctry]],raw[yr],AD$1)</f>
        <v/>
      </c>
      <c r="AE15" s="1649">
        <f>SUMIFS(raw[stay],raw[ctry],mainW[[#This Row],[ctry]],raw[yr],AE$1)</f>
        <v/>
      </c>
      <c r="AF15" s="1649">
        <f>SUMIFS(raw[stay],raw[ctry],mainW[[#This Row],[ctry]],raw[yr],AF$1)</f>
        <v/>
      </c>
      <c r="AG15" s="1649">
        <f>SUMIFS(raw[stay],raw[ctry],mainW[[#This Row],[ctry]],raw[yr],AG$1)</f>
        <v/>
      </c>
      <c r="AH15" s="1649">
        <f>SUMIFS(raw[stay],raw[ctry],mainW[[#This Row],[ctry]],raw[yr],AH$1)</f>
        <v/>
      </c>
      <c r="AI15" s="1649">
        <f>SUMIFS(raw[stay],raw[ctry],mainW[[#This Row],[ctry]],raw[yr],AI$1)</f>
        <v/>
      </c>
      <c r="AJ15" s="1649">
        <f>SUMIFS(raw[stay],raw[ctry],mainW[[#This Row],[ctry]],raw[yr],AJ$1)</f>
        <v/>
      </c>
      <c r="AK15" s="1649">
        <f>SUMIFS(raw[stay],raw[ctry],mainW[[#This Row],[ctry]],raw[yr],AK$1)</f>
        <v/>
      </c>
      <c r="AL15" s="1649">
        <f>SUMIFS(raw[stay],raw[ctry],mainW[[#This Row],[ctry]],raw[yr],AL$1)</f>
        <v/>
      </c>
      <c r="AM15" s="1649">
        <f>SUMIFS(raw[stay],raw[ctry],mainW[[#This Row],[ctry]],raw[yr],AM$1)</f>
        <v/>
      </c>
      <c r="AN15" s="1649">
        <f>SUMIFS(raw[stay],raw[ctry],mainW[[#This Row],[ctry]],raw[yr],AN$1)</f>
        <v/>
      </c>
      <c r="AO15" s="1620" t="n"/>
      <c r="AP15" s="1597">
        <f>AP14+1</f>
        <v/>
      </c>
      <c r="AQ15" s="1650">
        <f>'@Refr'!P8</f>
        <v/>
      </c>
      <c r="AR15" s="1603">
        <f>_xlfn.XLOOKUP(citySeq[[#This Row],[city]],ccc[city],ccc[ctry],"-")</f>
        <v/>
      </c>
      <c r="AS15" s="1651">
        <f>_xlfn.MINIFS(stayCity[in], stayCity[city], citySeq[[#This Row],[city]])</f>
        <v/>
      </c>
      <c r="AT15" s="1637">
        <f>_xlfn.MAXIFS(raw[out], raw[city], citySeq[[#This Row],[city]])</f>
        <v/>
      </c>
      <c r="AU15" s="1638">
        <f>SUMIFS(stayCity[in],stayCity[city],citySeq[[#This Row],[city]],stayCity[stay],citySeq[[#This Row],[seq]])</f>
        <v/>
      </c>
      <c r="AV15" s="1638">
        <f>SUMIFS(stayCity[out],stayCity[city],citySeq[[#This Row],[city]],stayCity[stay],citySeq[[#This Row],[seq]])</f>
        <v/>
      </c>
      <c r="AW15" s="1642">
        <f t="array" ref="AW15">MAX(IF(stayCity[city]=citySeq[[#This Row],[city]],stayCity[stay]))</f>
        <v/>
      </c>
      <c r="AX15" s="1642">
        <f t="array" ref="AX15">ROWS(_xlfn.UNIQUE(_xlfn._xlws.FILTER(raw[yr], raw[city]=citySeq[[#This Row],[city]])))</f>
        <v/>
      </c>
      <c r="AY15" s="1642">
        <f>_xlfn.XLOOKUP(citySeq[[#This Row],[city]],cities[city],cities[stay])</f>
        <v/>
      </c>
      <c r="AZ15" s="1646" t="inlineStr">
        <is>
          <t>.</t>
        </is>
      </c>
      <c r="BA15" s="1597">
        <f>BA14+1</f>
        <v/>
      </c>
      <c r="BB15" s="1643">
        <f>G10</f>
        <v/>
      </c>
      <c r="BC15" s="1603">
        <f>INT(SUMIFS(raw[stay],raw[ctry],$BB15,raw[dec],BC$1))</f>
        <v/>
      </c>
      <c r="BD15" s="1603">
        <f>INT(SUMIFS(raw[stay],raw[ctry],$BB15,raw[dec],BD$1))</f>
        <v/>
      </c>
      <c r="BE15" s="1603">
        <f>INT(SUMIFS(raw[stay],raw[ctry],$BB15,raw[dec],BE$1))</f>
        <v/>
      </c>
      <c r="BF15" s="1603">
        <f>INT(SUMIFS(raw[stay],raw[ctry],$BB15,raw[dec],BF$1))</f>
        <v/>
      </c>
      <c r="BG15" s="1603">
        <f>INT(SUMIFS(raw[stay],raw[ctry],$BB15,raw[dec],BG$1))</f>
        <v/>
      </c>
      <c r="BH15" s="1597" t="n"/>
      <c r="BI15" s="1641">
        <f>(_xlfn.MAXIFS(raw[out],raw[ctry],BB15)-_xlfn.MINIFS(raw[out],raw[ctry],BB15))/365.25</f>
        <v/>
      </c>
      <c r="BJ15" s="1610">
        <f>COUNTIF(cities[ctry],BB15)</f>
        <v/>
      </c>
      <c r="BK15" s="1611" t="n"/>
      <c r="BL15" s="1603">
        <f/>
        <v/>
      </c>
      <c r="BM15" s="1603">
        <f/>
        <v/>
      </c>
      <c r="BN15" s="1603">
        <f/>
        <v/>
      </c>
      <c r="BO15" s="1611" t="inlineStr">
        <is>
          <t>.</t>
        </is>
      </c>
      <c r="BP15" s="1612" t="n"/>
      <c r="BQ15" s="1612" t="n"/>
      <c r="BR15" s="1612" t="n"/>
      <c r="BS15" s="1612" t="n"/>
      <c r="BT15" s="1612" t="n"/>
      <c r="BU15" s="1612" t="n"/>
      <c r="BV15" s="1612" t="n"/>
      <c r="BW15" s="1612" t="n"/>
      <c r="BX15" s="1612" t="n"/>
      <c r="BY15" s="1612" t="n"/>
      <c r="BZ15" s="1612" t="n"/>
      <c r="CA15" s="1612" t="n"/>
      <c r="CB15" s="1612" t="n"/>
      <c r="CC15" s="1612" t="n"/>
      <c r="CD15" s="1612" t="n"/>
      <c r="CE15" s="1612" t="n"/>
      <c r="CF15" s="1612" t="n"/>
    </row>
    <row r="16" ht="14" customHeight="1">
      <c r="A16" s="1615">
        <f>IF(mainW[[#This Row],[yrs]]=0,"",A15+1)</f>
        <v/>
      </c>
      <c r="B16" s="1615" t="n">
        <v>25</v>
      </c>
      <c r="C16" s="1652">
        <f>INT(SUM(H16:AO16))</f>
        <v/>
      </c>
      <c r="D16" s="1615">
        <f t="array" ref="D16">MAX(IF(stayCtry[ctry]=$G16,stayCtry[stay]))</f>
        <v/>
      </c>
      <c r="E16" s="1615">
        <f>COUNTIF(entryCtry[],mainW[[#This Row],[ctry]])</f>
        <v/>
      </c>
      <c r="F16" s="1615">
        <f>COUNTIF(H16:AO16,"&gt;=1")+COUNTIFS(H16:AO16,"&gt;0",H16:AO16,"&lt;1")/100</f>
        <v/>
      </c>
      <c r="G16" s="1648">
        <f>_xlfn.XLOOKUP(mainW[[#This Row],['#]],ctries[id],ctries[ctry],"-")</f>
        <v/>
      </c>
      <c r="H16" s="1649">
        <f>SUMIFS(raw[stay],raw[ctry],mainW[[#This Row],[ctry]],raw[yr],H$1)</f>
        <v/>
      </c>
      <c r="I16" s="1649">
        <f>SUMIFS(raw[stay],raw[ctry],mainW[[#This Row],[ctry]],raw[yr],I$1)</f>
        <v/>
      </c>
      <c r="J16" s="1649">
        <f>SUMIFS(raw[stay],raw[ctry],mainW[[#This Row],[ctry]],raw[yr],J$1)</f>
        <v/>
      </c>
      <c r="K16" s="1649">
        <f>SUMIFS(raw[stay],raw[ctry],mainW[[#This Row],[ctry]],raw[yr],K$1)</f>
        <v/>
      </c>
      <c r="L16" s="1649">
        <f>SUMIFS(raw[stay],raw[ctry],mainW[[#This Row],[ctry]],raw[yr],L$1)</f>
        <v/>
      </c>
      <c r="M16" s="1649">
        <f>SUMIFS(raw[stay],raw[ctry],mainW[[#This Row],[ctry]],raw[yr],M$1)</f>
        <v/>
      </c>
      <c r="N16" s="1649">
        <f>SUMIFS(raw[stay],raw[ctry],mainW[[#This Row],[ctry]],raw[yr],N$1)</f>
        <v/>
      </c>
      <c r="O16" s="1649">
        <f>SUMIFS(raw[stay],raw[ctry],mainW[[#This Row],[ctry]],raw[yr],O$1)</f>
        <v/>
      </c>
      <c r="P16" s="1649">
        <f>SUMIFS(raw[stay],raw[ctry],mainW[[#This Row],[ctry]],raw[yr],P$1)</f>
        <v/>
      </c>
      <c r="Q16" s="1649">
        <f>SUMIFS(raw[stay],raw[ctry],mainW[[#This Row],[ctry]],raw[yr],Q$1)</f>
        <v/>
      </c>
      <c r="R16" s="1649">
        <f>SUMIFS(raw[stay],raw[ctry],mainW[[#This Row],[ctry]],raw[yr],R$1)</f>
        <v/>
      </c>
      <c r="S16" s="1649">
        <f>SUMIFS(raw[stay],raw[ctry],mainW[[#This Row],[ctry]],raw[yr],S$1)</f>
        <v/>
      </c>
      <c r="T16" s="1649">
        <f>SUMIFS(raw[stay],raw[ctry],mainW[[#This Row],[ctry]],raw[yr],T$1)</f>
        <v/>
      </c>
      <c r="U16" s="1649">
        <f>SUMIFS(raw[stay],raw[ctry],mainW[[#This Row],[ctry]],raw[yr],U$1)</f>
        <v/>
      </c>
      <c r="V16" s="1649">
        <f>SUMIFS(raw[stay],raw[ctry],mainW[[#This Row],[ctry]],raw[yr],V$1)</f>
        <v/>
      </c>
      <c r="W16" s="1649">
        <f>SUMIFS(raw[stay],raw[ctry],mainW[[#This Row],[ctry]],raw[yr],W$1)</f>
        <v/>
      </c>
      <c r="X16" s="1649">
        <f>SUMIFS(raw[stay],raw[ctry],mainW[[#This Row],[ctry]],raw[yr],X$1)</f>
        <v/>
      </c>
      <c r="Y16" s="1649">
        <f>SUMIFS(raw[stay],raw[ctry],mainW[[#This Row],[ctry]],raw[yr],Y$1)</f>
        <v/>
      </c>
      <c r="Z16" s="1649">
        <f>SUMIFS(raw[stay],raw[ctry],mainW[[#This Row],[ctry]],raw[yr],Z$1)</f>
        <v/>
      </c>
      <c r="AA16" s="1649">
        <f>SUMIFS(raw[stay],raw[ctry],mainW[[#This Row],[ctry]],raw[yr],AA$1)</f>
        <v/>
      </c>
      <c r="AB16" s="1649">
        <f>SUMIFS(raw[stay],raw[ctry],mainW[[#This Row],[ctry]],raw[yr],AB$1)</f>
        <v/>
      </c>
      <c r="AC16" s="1649">
        <f>SUMIFS(raw[stay],raw[ctry],mainW[[#This Row],[ctry]],raw[yr],AC$1)</f>
        <v/>
      </c>
      <c r="AD16" s="1649">
        <f>SUMIFS(raw[stay],raw[ctry],mainW[[#This Row],[ctry]],raw[yr],AD$1)</f>
        <v/>
      </c>
      <c r="AE16" s="1649">
        <f>SUMIFS(raw[stay],raw[ctry],mainW[[#This Row],[ctry]],raw[yr],AE$1)</f>
        <v/>
      </c>
      <c r="AF16" s="1649">
        <f>SUMIFS(raw[stay],raw[ctry],mainW[[#This Row],[ctry]],raw[yr],AF$1)</f>
        <v/>
      </c>
      <c r="AG16" s="1649">
        <f>SUMIFS(raw[stay],raw[ctry],mainW[[#This Row],[ctry]],raw[yr],AG$1)</f>
        <v/>
      </c>
      <c r="AH16" s="1649">
        <f>SUMIFS(raw[stay],raw[ctry],mainW[[#This Row],[ctry]],raw[yr],AH$1)</f>
        <v/>
      </c>
      <c r="AI16" s="1649">
        <f>SUMIFS(raw[stay],raw[ctry],mainW[[#This Row],[ctry]],raw[yr],AI$1)</f>
        <v/>
      </c>
      <c r="AJ16" s="1649">
        <f>SUMIFS(raw[stay],raw[ctry],mainW[[#This Row],[ctry]],raw[yr],AJ$1)</f>
        <v/>
      </c>
      <c r="AK16" s="1649">
        <f>SUMIFS(raw[stay],raw[ctry],mainW[[#This Row],[ctry]],raw[yr],AK$1)</f>
        <v/>
      </c>
      <c r="AL16" s="1649">
        <f>SUMIFS(raw[stay],raw[ctry],mainW[[#This Row],[ctry]],raw[yr],AL$1)</f>
        <v/>
      </c>
      <c r="AM16" s="1649">
        <f>SUMIFS(raw[stay],raw[ctry],mainW[[#This Row],[ctry]],raw[yr],AM$1)</f>
        <v/>
      </c>
      <c r="AN16" s="1649">
        <f>SUMIFS(raw[stay],raw[ctry],mainW[[#This Row],[ctry]],raw[yr],AN$1)</f>
        <v/>
      </c>
      <c r="AO16" s="1620" t="n"/>
      <c r="AP16" s="1597">
        <f>AP15+1</f>
        <v/>
      </c>
      <c r="AQ16" s="1636">
        <f>'@Refr'!P9</f>
        <v/>
      </c>
      <c r="AR16" s="1603">
        <f>_xlfn.XLOOKUP(citySeq[[#This Row],[city]],ccc[city],ccc[ctry],"-")</f>
        <v/>
      </c>
      <c r="AS16" s="1604">
        <f>_xlfn.MINIFS(stayCity[in], stayCity[city], citySeq[[#This Row],[city]])</f>
        <v/>
      </c>
      <c r="AT16" s="1637">
        <f>_xlfn.MAXIFS(raw[out], raw[city], citySeq[[#This Row],[city]])</f>
        <v/>
      </c>
      <c r="AU16" s="1638">
        <f>SUMIFS(stayCity[in],stayCity[city],citySeq[[#This Row],[city]],stayCity[stay],citySeq[[#This Row],[seq]])</f>
        <v/>
      </c>
      <c r="AV16" s="1638">
        <f>SUMIFS(stayCity[out],stayCity[city],citySeq[[#This Row],[city]],stayCity[stay],citySeq[[#This Row],[seq]])</f>
        <v/>
      </c>
      <c r="AW16" s="1603">
        <f t="array" ref="AW16">MAX(IF(stayCity[city]=citySeq[[#This Row],[city]],stayCity[stay]))</f>
        <v/>
      </c>
      <c r="AX16" s="1603">
        <f t="array" ref="AX16">ROWS(_xlfn.UNIQUE(_xlfn._xlws.FILTER(raw[yr], raw[city]=citySeq[[#This Row],[city]])))</f>
        <v/>
      </c>
      <c r="AY16" s="1603">
        <f>_xlfn.XLOOKUP(citySeq[[#This Row],[city]],cities[city],cities[stay])</f>
        <v/>
      </c>
      <c r="AZ16" s="1653" t="n"/>
      <c r="BA16" s="1597">
        <f>BA15+1</f>
        <v/>
      </c>
      <c r="BB16" s="1643">
        <f>G11</f>
        <v/>
      </c>
      <c r="BC16" s="1603">
        <f>INT(SUMIFS(raw[stay],raw[ctry],$BB16,raw[dec],BC$1))</f>
        <v/>
      </c>
      <c r="BD16" s="1603">
        <f>INT(SUMIFS(raw[stay],raw[ctry],$BB16,raw[dec],BD$1))</f>
        <v/>
      </c>
      <c r="BE16" s="1603">
        <f>INT(SUMIFS(raw[stay],raw[ctry],$BB16,raw[dec],BE$1))</f>
        <v/>
      </c>
      <c r="BF16" s="1603">
        <f>INT(SUMIFS(raw[stay],raw[ctry],$BB16,raw[dec],BF$1))</f>
        <v/>
      </c>
      <c r="BG16" s="1603">
        <f>INT(SUMIFS(raw[stay],raw[ctry],$BB16,raw[dec],BG$1))</f>
        <v/>
      </c>
      <c r="BH16" s="1597" t="n"/>
      <c r="BI16" s="1641">
        <f>(_xlfn.MAXIFS(raw[out],raw[ctry],BB16)-_xlfn.MINIFS(raw[out],raw[ctry],BB16))/365.25</f>
        <v/>
      </c>
      <c r="BJ16" s="1610">
        <f>COUNTIF(cities[ctry],BB16)</f>
        <v/>
      </c>
      <c r="BK16" s="1611" t="n"/>
      <c r="BL16" s="1603">
        <f/>
        <v/>
      </c>
      <c r="BM16" s="1603">
        <f/>
        <v/>
      </c>
      <c r="BN16" s="1603">
        <f/>
        <v/>
      </c>
      <c r="BO16" s="1611" t="inlineStr">
        <is>
          <t>.</t>
        </is>
      </c>
      <c r="BP16" s="1612" t="n"/>
      <c r="BQ16" s="1612" t="n"/>
      <c r="BR16" s="1612" t="n"/>
      <c r="BS16" s="1612" t="n"/>
      <c r="BT16" s="1612" t="n"/>
      <c r="BU16" s="1612" t="n"/>
      <c r="BV16" s="1612" t="n"/>
      <c r="BW16" s="1612" t="n"/>
      <c r="BX16" s="1612" t="n"/>
      <c r="BY16" s="1612" t="n"/>
      <c r="BZ16" s="1612" t="n"/>
      <c r="CA16" s="1612" t="n"/>
      <c r="CB16" s="1612" t="n"/>
      <c r="CC16" s="1612" t="n"/>
      <c r="CD16" s="1612" t="n"/>
      <c r="CE16" s="1612" t="n"/>
      <c r="CF16" s="1612" t="n"/>
    </row>
    <row r="17" ht="14" customHeight="1">
      <c r="A17" s="1596">
        <f>IF(mainW[[#This Row],[yrs]]=0,"",A16+1)</f>
        <v/>
      </c>
      <c r="B17" s="1596" t="n">
        <v>7</v>
      </c>
      <c r="C17" s="1647">
        <f>INT(SUM(H17:AO17))</f>
        <v/>
      </c>
      <c r="D17" s="1596">
        <f t="array" ref="D17">MAX(IF(stayCtry[ctry]=$G17,stayCtry[stay]))</f>
        <v/>
      </c>
      <c r="E17" s="1596">
        <f>COUNTIF(entryCtry[],mainW[[#This Row],[ctry]])</f>
        <v/>
      </c>
      <c r="F17" s="1596">
        <f>COUNTIF(H17:AO17,"&gt;=1")+COUNTIFS(H17:AO17,"&gt;0",H17:AO17,"&lt;1")/100</f>
        <v/>
      </c>
      <c r="G17" s="1648">
        <f>_xlfn.XLOOKUP(mainW[[#This Row],['#]],ctries[id],ctries[ctry],"-")</f>
        <v/>
      </c>
      <c r="H17" s="1649">
        <f>SUMIFS(raw[stay],raw[ctry],mainW[[#This Row],[ctry]],raw[yr],H$1)</f>
        <v/>
      </c>
      <c r="I17" s="1649">
        <f>SUMIFS(raw[stay],raw[ctry],mainW[[#This Row],[ctry]],raw[yr],I$1)</f>
        <v/>
      </c>
      <c r="J17" s="1649">
        <f>SUMIFS(raw[stay],raw[ctry],mainW[[#This Row],[ctry]],raw[yr],J$1)</f>
        <v/>
      </c>
      <c r="K17" s="1649">
        <f>SUMIFS(raw[stay],raw[ctry],mainW[[#This Row],[ctry]],raw[yr],K$1)</f>
        <v/>
      </c>
      <c r="L17" s="1649">
        <f>SUMIFS(raw[stay],raw[ctry],mainW[[#This Row],[ctry]],raw[yr],L$1)</f>
        <v/>
      </c>
      <c r="M17" s="1649">
        <f>SUMIFS(raw[stay],raw[ctry],mainW[[#This Row],[ctry]],raw[yr],M$1)</f>
        <v/>
      </c>
      <c r="N17" s="1649">
        <f>SUMIFS(raw[stay],raw[ctry],mainW[[#This Row],[ctry]],raw[yr],N$1)</f>
        <v/>
      </c>
      <c r="O17" s="1649">
        <f>SUMIFS(raw[stay],raw[ctry],mainW[[#This Row],[ctry]],raw[yr],O$1)</f>
        <v/>
      </c>
      <c r="P17" s="1649">
        <f>SUMIFS(raw[stay],raw[ctry],mainW[[#This Row],[ctry]],raw[yr],P$1)</f>
        <v/>
      </c>
      <c r="Q17" s="1649">
        <f>SUMIFS(raw[stay],raw[ctry],mainW[[#This Row],[ctry]],raw[yr],Q$1)</f>
        <v/>
      </c>
      <c r="R17" s="1649">
        <f>SUMIFS(raw[stay],raw[ctry],mainW[[#This Row],[ctry]],raw[yr],R$1)</f>
        <v/>
      </c>
      <c r="S17" s="1649">
        <f>SUMIFS(raw[stay],raw[ctry],mainW[[#This Row],[ctry]],raw[yr],S$1)</f>
        <v/>
      </c>
      <c r="T17" s="1649">
        <f>SUMIFS(raw[stay],raw[ctry],mainW[[#This Row],[ctry]],raw[yr],T$1)</f>
        <v/>
      </c>
      <c r="U17" s="1649">
        <f>SUMIFS(raw[stay],raw[ctry],mainW[[#This Row],[ctry]],raw[yr],U$1)</f>
        <v/>
      </c>
      <c r="V17" s="1649">
        <f>SUMIFS(raw[stay],raw[ctry],mainW[[#This Row],[ctry]],raw[yr],V$1)</f>
        <v/>
      </c>
      <c r="W17" s="1649">
        <f>SUMIFS(raw[stay],raw[ctry],mainW[[#This Row],[ctry]],raw[yr],W$1)</f>
        <v/>
      </c>
      <c r="X17" s="1649">
        <f>SUMIFS(raw[stay],raw[ctry],mainW[[#This Row],[ctry]],raw[yr],X$1)</f>
        <v/>
      </c>
      <c r="Y17" s="1649">
        <f>SUMIFS(raw[stay],raw[ctry],mainW[[#This Row],[ctry]],raw[yr],Y$1)</f>
        <v/>
      </c>
      <c r="Z17" s="1649">
        <f>SUMIFS(raw[stay],raw[ctry],mainW[[#This Row],[ctry]],raw[yr],Z$1)</f>
        <v/>
      </c>
      <c r="AA17" s="1649">
        <f>SUMIFS(raw[stay],raw[ctry],mainW[[#This Row],[ctry]],raw[yr],AA$1)</f>
        <v/>
      </c>
      <c r="AB17" s="1649">
        <f>SUMIFS(raw[stay],raw[ctry],mainW[[#This Row],[ctry]],raw[yr],AB$1)</f>
        <v/>
      </c>
      <c r="AC17" s="1649">
        <f>SUMIFS(raw[stay],raw[ctry],mainW[[#This Row],[ctry]],raw[yr],AC$1)</f>
        <v/>
      </c>
      <c r="AD17" s="1649">
        <f>SUMIFS(raw[stay],raw[ctry],mainW[[#This Row],[ctry]],raw[yr],AD$1)</f>
        <v/>
      </c>
      <c r="AE17" s="1649">
        <f>SUMIFS(raw[stay],raw[ctry],mainW[[#This Row],[ctry]],raw[yr],AE$1)</f>
        <v/>
      </c>
      <c r="AF17" s="1649">
        <f>SUMIFS(raw[stay],raw[ctry],mainW[[#This Row],[ctry]],raw[yr],AF$1)</f>
        <v/>
      </c>
      <c r="AG17" s="1649">
        <f>SUMIFS(raw[stay],raw[ctry],mainW[[#This Row],[ctry]],raw[yr],AG$1)</f>
        <v/>
      </c>
      <c r="AH17" s="1649">
        <f>SUMIFS(raw[stay],raw[ctry],mainW[[#This Row],[ctry]],raw[yr],AH$1)</f>
        <v/>
      </c>
      <c r="AI17" s="1649">
        <f>SUMIFS(raw[stay],raw[ctry],mainW[[#This Row],[ctry]],raw[yr],AI$1)</f>
        <v/>
      </c>
      <c r="AJ17" s="1649">
        <f>SUMIFS(raw[stay],raw[ctry],mainW[[#This Row],[ctry]],raw[yr],AJ$1)</f>
        <v/>
      </c>
      <c r="AK17" s="1649">
        <f>SUMIFS(raw[stay],raw[ctry],mainW[[#This Row],[ctry]],raw[yr],AK$1)</f>
        <v/>
      </c>
      <c r="AL17" s="1649">
        <f>SUMIFS(raw[stay],raw[ctry],mainW[[#This Row],[ctry]],raw[yr],AL$1)</f>
        <v/>
      </c>
      <c r="AM17" s="1649">
        <f>SUMIFS(raw[stay],raw[ctry],mainW[[#This Row],[ctry]],raw[yr],AM$1)</f>
        <v/>
      </c>
      <c r="AN17" s="1649">
        <f>SUMIFS(raw[stay],raw[ctry],mainW[[#This Row],[ctry]],raw[yr],AN$1)</f>
        <v/>
      </c>
      <c r="AO17" s="1620" t="n"/>
      <c r="AP17" s="1597">
        <f>AP16+1</f>
        <v/>
      </c>
      <c r="AQ17" s="1636">
        <f>'@Refr'!P10</f>
        <v/>
      </c>
      <c r="AR17" s="1603">
        <f>_xlfn.XLOOKUP(citySeq[[#This Row],[city]],ccc[city],ccc[ctry],"-")</f>
        <v/>
      </c>
      <c r="AS17" s="1604">
        <f>_xlfn.MINIFS(stayCity[in], stayCity[city], citySeq[[#This Row],[city]])</f>
        <v/>
      </c>
      <c r="AT17" s="1637">
        <f>_xlfn.MAXIFS(raw[out], raw[city], citySeq[[#This Row],[city]])</f>
        <v/>
      </c>
      <c r="AU17" s="1638">
        <f>SUMIFS(stayCity[in],stayCity[city],citySeq[[#This Row],[city]],stayCity[stay],citySeq[[#This Row],[seq]])</f>
        <v/>
      </c>
      <c r="AV17" s="1638">
        <f>SUMIFS(stayCity[out],stayCity[city],citySeq[[#This Row],[city]],stayCity[stay],citySeq[[#This Row],[seq]])</f>
        <v/>
      </c>
      <c r="AW17" s="1603">
        <f t="array" ref="AW17">MAX(IF(stayCity[city]=citySeq[[#This Row],[city]],stayCity[stay]))</f>
        <v/>
      </c>
      <c r="AX17" s="1603">
        <f t="array" ref="AX17">ROWS(_xlfn.UNIQUE(_xlfn._xlws.FILTER(raw[yr], raw[city]=citySeq[[#This Row],[city]])))</f>
        <v/>
      </c>
      <c r="AY17" s="1603">
        <f>_xlfn.XLOOKUP(citySeq[[#This Row],[city]],cities[city],cities[stay])</f>
        <v/>
      </c>
      <c r="AZ17" s="1653" t="n"/>
      <c r="BA17" s="1597">
        <f>BA16+1</f>
        <v/>
      </c>
      <c r="BB17" s="1643">
        <f>G12</f>
        <v/>
      </c>
      <c r="BC17" s="1603">
        <f>INT(SUMIFS(raw[stay],raw[ctry],$BB17,raw[dec],BC$1))</f>
        <v/>
      </c>
      <c r="BD17" s="1603">
        <f>INT(SUMIFS(raw[stay],raw[ctry],$BB17,raw[dec],BD$1))</f>
        <v/>
      </c>
      <c r="BE17" s="1603">
        <f>INT(SUMIFS(raw[stay],raw[ctry],$BB17,raw[dec],BE$1))</f>
        <v/>
      </c>
      <c r="BF17" s="1603">
        <f>INT(SUMIFS(raw[stay],raw[ctry],$BB17,raw[dec],BF$1))</f>
        <v/>
      </c>
      <c r="BG17" s="1603">
        <f>INT(SUMIFS(raw[stay],raw[ctry],$BB17,raw[dec],BG$1))</f>
        <v/>
      </c>
      <c r="BH17" s="1597" t="n"/>
      <c r="BI17" s="1641">
        <f>(_xlfn.MAXIFS(raw[out],raw[ctry],BB17)-_xlfn.MINIFS(raw[out],raw[ctry],BB17))/365.25</f>
        <v/>
      </c>
      <c r="BJ17" s="1610">
        <f>COUNTIF(cities[ctry],BB17)</f>
        <v/>
      </c>
      <c r="BK17" s="1611" t="n"/>
      <c r="BL17" s="1603">
        <f/>
        <v/>
      </c>
      <c r="BM17" s="1603">
        <f/>
        <v/>
      </c>
      <c r="BN17" s="1603">
        <f/>
        <v/>
      </c>
      <c r="BO17" s="1611" t="inlineStr">
        <is>
          <t>.</t>
        </is>
      </c>
      <c r="BP17" s="1612" t="n"/>
      <c r="BQ17" s="1612" t="n"/>
      <c r="BR17" s="1612" t="n"/>
      <c r="BS17" s="1612" t="n"/>
      <c r="BT17" s="1612" t="n"/>
      <c r="BU17" s="1612" t="n"/>
      <c r="BV17" s="1612" t="n"/>
      <c r="BW17" s="1612" t="n"/>
      <c r="BX17" s="1612" t="n"/>
      <c r="BY17" s="1612" t="n"/>
      <c r="BZ17" s="1612" t="n"/>
      <c r="CA17" s="1612" t="n"/>
      <c r="CB17" s="1612" t="n"/>
      <c r="CC17" s="1612" t="n"/>
      <c r="CD17" s="1612" t="n"/>
      <c r="CE17" s="1612" t="n"/>
      <c r="CF17" s="1612" t="n"/>
    </row>
    <row r="18" ht="14" customHeight="1">
      <c r="A18" s="1615">
        <f>IF(mainW[[#This Row],[yrs]]=0,"",A17+1)</f>
        <v/>
      </c>
      <c r="B18" s="1615" t="n">
        <v>9</v>
      </c>
      <c r="C18" s="1652">
        <f>INT(SUM(H18:AO18))</f>
        <v/>
      </c>
      <c r="D18" s="1615">
        <f t="array" ref="D18">MAX(IF(stayCtry[ctry]=$G18,stayCtry[stay]))</f>
        <v/>
      </c>
      <c r="E18" s="1615">
        <f>COUNTIF(entryCtry[],mainW[[#This Row],[ctry]])</f>
        <v/>
      </c>
      <c r="F18" s="1615">
        <f>COUNTIF(H18:AO18,"&gt;=1")+COUNTIFS(H18:AO18,"&gt;0",H18:AO18,"&lt;1")/100</f>
        <v/>
      </c>
      <c r="G18" s="1648">
        <f>_xlfn.XLOOKUP(mainW[[#This Row],['#]],ctries[id],ctries[ctry],"-")</f>
        <v/>
      </c>
      <c r="H18" s="1649">
        <f>SUMIFS(raw[stay],raw[ctry],mainW[[#This Row],[ctry]],raw[yr],H$1)</f>
        <v/>
      </c>
      <c r="I18" s="1649">
        <f>SUMIFS(raw[stay],raw[ctry],mainW[[#This Row],[ctry]],raw[yr],I$1)</f>
        <v/>
      </c>
      <c r="J18" s="1649">
        <f>SUMIFS(raw[stay],raw[ctry],mainW[[#This Row],[ctry]],raw[yr],J$1)</f>
        <v/>
      </c>
      <c r="K18" s="1649">
        <f>SUMIFS(raw[stay],raw[ctry],mainW[[#This Row],[ctry]],raw[yr],K$1)</f>
        <v/>
      </c>
      <c r="L18" s="1649">
        <f>SUMIFS(raw[stay],raw[ctry],mainW[[#This Row],[ctry]],raw[yr],L$1)</f>
        <v/>
      </c>
      <c r="M18" s="1649">
        <f>SUMIFS(raw[stay],raw[ctry],mainW[[#This Row],[ctry]],raw[yr],M$1)</f>
        <v/>
      </c>
      <c r="N18" s="1649">
        <f>SUMIFS(raw[stay],raw[ctry],mainW[[#This Row],[ctry]],raw[yr],N$1)</f>
        <v/>
      </c>
      <c r="O18" s="1649">
        <f>SUMIFS(raw[stay],raw[ctry],mainW[[#This Row],[ctry]],raw[yr],O$1)</f>
        <v/>
      </c>
      <c r="P18" s="1649">
        <f>SUMIFS(raw[stay],raw[ctry],mainW[[#This Row],[ctry]],raw[yr],P$1)</f>
        <v/>
      </c>
      <c r="Q18" s="1649">
        <f>SUMIFS(raw[stay],raw[ctry],mainW[[#This Row],[ctry]],raw[yr],Q$1)</f>
        <v/>
      </c>
      <c r="R18" s="1649">
        <f>SUMIFS(raw[stay],raw[ctry],mainW[[#This Row],[ctry]],raw[yr],R$1)</f>
        <v/>
      </c>
      <c r="S18" s="1649">
        <f>SUMIFS(raw[stay],raw[ctry],mainW[[#This Row],[ctry]],raw[yr],S$1)</f>
        <v/>
      </c>
      <c r="T18" s="1649">
        <f>SUMIFS(raw[stay],raw[ctry],mainW[[#This Row],[ctry]],raw[yr],T$1)</f>
        <v/>
      </c>
      <c r="U18" s="1649">
        <f>SUMIFS(raw[stay],raw[ctry],mainW[[#This Row],[ctry]],raw[yr],U$1)</f>
        <v/>
      </c>
      <c r="V18" s="1649">
        <f>SUMIFS(raw[stay],raw[ctry],mainW[[#This Row],[ctry]],raw[yr],V$1)</f>
        <v/>
      </c>
      <c r="W18" s="1649">
        <f>SUMIFS(raw[stay],raw[ctry],mainW[[#This Row],[ctry]],raw[yr],W$1)</f>
        <v/>
      </c>
      <c r="X18" s="1649">
        <f>SUMIFS(raw[stay],raw[ctry],mainW[[#This Row],[ctry]],raw[yr],X$1)</f>
        <v/>
      </c>
      <c r="Y18" s="1649">
        <f>SUMIFS(raw[stay],raw[ctry],mainW[[#This Row],[ctry]],raw[yr],Y$1)</f>
        <v/>
      </c>
      <c r="Z18" s="1649">
        <f>SUMIFS(raw[stay],raw[ctry],mainW[[#This Row],[ctry]],raw[yr],Z$1)</f>
        <v/>
      </c>
      <c r="AA18" s="1649">
        <f>SUMIFS(raw[stay],raw[ctry],mainW[[#This Row],[ctry]],raw[yr],AA$1)</f>
        <v/>
      </c>
      <c r="AB18" s="1649">
        <f>SUMIFS(raw[stay],raw[ctry],mainW[[#This Row],[ctry]],raw[yr],AB$1)</f>
        <v/>
      </c>
      <c r="AC18" s="1649">
        <f>SUMIFS(raw[stay],raw[ctry],mainW[[#This Row],[ctry]],raw[yr],AC$1)</f>
        <v/>
      </c>
      <c r="AD18" s="1649">
        <f>SUMIFS(raw[stay],raw[ctry],mainW[[#This Row],[ctry]],raw[yr],AD$1)</f>
        <v/>
      </c>
      <c r="AE18" s="1649">
        <f>SUMIFS(raw[stay],raw[ctry],mainW[[#This Row],[ctry]],raw[yr],AE$1)</f>
        <v/>
      </c>
      <c r="AF18" s="1649">
        <f>SUMIFS(raw[stay],raw[ctry],mainW[[#This Row],[ctry]],raw[yr],AF$1)</f>
        <v/>
      </c>
      <c r="AG18" s="1649">
        <f>SUMIFS(raw[stay],raw[ctry],mainW[[#This Row],[ctry]],raw[yr],AG$1)</f>
        <v/>
      </c>
      <c r="AH18" s="1649">
        <f>SUMIFS(raw[stay],raw[ctry],mainW[[#This Row],[ctry]],raw[yr],AH$1)</f>
        <v/>
      </c>
      <c r="AI18" s="1649">
        <f>SUMIFS(raw[stay],raw[ctry],mainW[[#This Row],[ctry]],raw[yr],AI$1)</f>
        <v/>
      </c>
      <c r="AJ18" s="1649">
        <f>SUMIFS(raw[stay],raw[ctry],mainW[[#This Row],[ctry]],raw[yr],AJ$1)</f>
        <v/>
      </c>
      <c r="AK18" s="1649">
        <f>SUMIFS(raw[stay],raw[ctry],mainW[[#This Row],[ctry]],raw[yr],AK$1)</f>
        <v/>
      </c>
      <c r="AL18" s="1649">
        <f>SUMIFS(raw[stay],raw[ctry],mainW[[#This Row],[ctry]],raw[yr],AL$1)</f>
        <v/>
      </c>
      <c r="AM18" s="1649">
        <f>SUMIFS(raw[stay],raw[ctry],mainW[[#This Row],[ctry]],raw[yr],AM$1)</f>
        <v/>
      </c>
      <c r="AN18" s="1649">
        <f>SUMIFS(raw[stay],raw[ctry],mainW[[#This Row],[ctry]],raw[yr],AN$1)</f>
        <v/>
      </c>
      <c r="AO18" s="1620" t="n"/>
      <c r="AP18" s="1597">
        <f>AP17+1</f>
        <v/>
      </c>
      <c r="AQ18" s="1636">
        <f>'@Refr'!P11</f>
        <v/>
      </c>
      <c r="AR18" s="1603">
        <f>_xlfn.XLOOKUP(citySeq[[#This Row],[city]],ccc[city],ccc[ctry],"-")</f>
        <v/>
      </c>
      <c r="AS18" s="1604">
        <f>_xlfn.MINIFS(stayCity[in], stayCity[city], citySeq[[#This Row],[city]])</f>
        <v/>
      </c>
      <c r="AT18" s="1637">
        <f>_xlfn.MAXIFS(raw[out], raw[city], citySeq[[#This Row],[city]])</f>
        <v/>
      </c>
      <c r="AU18" s="1638">
        <f>SUMIFS(stayCity[in],stayCity[city],citySeq[[#This Row],[city]],stayCity[stay],citySeq[[#This Row],[seq]])</f>
        <v/>
      </c>
      <c r="AV18" s="1638">
        <f>SUMIFS(stayCity[out],stayCity[city],citySeq[[#This Row],[city]],stayCity[stay],citySeq[[#This Row],[seq]])</f>
        <v/>
      </c>
      <c r="AW18" s="1603">
        <f t="array" ref="AW18">MAX(IF(stayCity[city]=citySeq[[#This Row],[city]],stayCity[stay]))</f>
        <v/>
      </c>
      <c r="AX18" s="1603">
        <f t="array" ref="AX18">ROWS(_xlfn.UNIQUE(_xlfn._xlws.FILTER(raw[yr], raw[city]=citySeq[[#This Row],[city]])))</f>
        <v/>
      </c>
      <c r="AY18" s="1603">
        <f>_xlfn.XLOOKUP(citySeq[[#This Row],[city]],cities[city],cities[stay])</f>
        <v/>
      </c>
      <c r="AZ18" s="1653" t="n"/>
      <c r="BA18" s="1597">
        <f>BA17+1</f>
        <v/>
      </c>
      <c r="BB18" s="1643">
        <f>G13</f>
        <v/>
      </c>
      <c r="BC18" s="1603">
        <f>INT(SUMIFS(raw[stay],raw[ctry],$BB18,raw[dec],BC$1))</f>
        <v/>
      </c>
      <c r="BD18" s="1603">
        <f>INT(SUMIFS(raw[stay],raw[ctry],$BB18,raw[dec],BD$1))</f>
        <v/>
      </c>
      <c r="BE18" s="1603">
        <f>INT(SUMIFS(raw[stay],raw[ctry],$BB18,raw[dec],BE$1))</f>
        <v/>
      </c>
      <c r="BF18" s="1603">
        <f>INT(SUMIFS(raw[stay],raw[ctry],$BB18,raw[dec],BF$1))</f>
        <v/>
      </c>
      <c r="BG18" s="1603">
        <f>INT(SUMIFS(raw[stay],raw[ctry],$BB18,raw[dec],BG$1))</f>
        <v/>
      </c>
      <c r="BH18" s="1597" t="n"/>
      <c r="BI18" s="1641">
        <f>(_xlfn.MAXIFS(raw[out],raw[ctry],BB18)-_xlfn.MINIFS(raw[out],raw[ctry],BB18))/365.25</f>
        <v/>
      </c>
      <c r="BJ18" s="1610">
        <f>COUNTIF(cities[ctry],BB18)</f>
        <v/>
      </c>
      <c r="BK18" s="1611" t="n"/>
      <c r="BL18" s="1603">
        <f/>
        <v/>
      </c>
      <c r="BM18" s="1603">
        <f/>
        <v/>
      </c>
      <c r="BN18" s="1603">
        <f/>
        <v/>
      </c>
      <c r="BO18" s="1611" t="inlineStr">
        <is>
          <t>.</t>
        </is>
      </c>
      <c r="BP18" s="1612" t="n"/>
      <c r="BQ18" s="1612" t="n"/>
      <c r="BR18" s="1612" t="n"/>
      <c r="BS18" s="1612" t="n"/>
      <c r="BT18" s="1612" t="n"/>
      <c r="BU18" s="1612" t="n"/>
      <c r="BV18" s="1612" t="n"/>
      <c r="BW18" s="1612" t="n"/>
      <c r="BX18" s="1612" t="n"/>
      <c r="BY18" s="1612" t="n"/>
      <c r="BZ18" s="1612" t="n"/>
      <c r="CA18" s="1612" t="n"/>
      <c r="CB18" s="1612" t="n"/>
      <c r="CC18" s="1612" t="n"/>
      <c r="CD18" s="1612" t="n"/>
      <c r="CE18" s="1612" t="n"/>
      <c r="CF18" s="1612" t="n"/>
    </row>
    <row r="19" ht="14" customHeight="1">
      <c r="A19" s="1596">
        <f>IF(mainW[[#This Row],[yrs]]=0,"",A18+1)</f>
        <v/>
      </c>
      <c r="B19" s="1596" t="n">
        <v>15</v>
      </c>
      <c r="C19" s="1647">
        <f>INT(SUM(H19:AO19))</f>
        <v/>
      </c>
      <c r="D19" s="1596">
        <f t="array" ref="D19">MAX(IF(stayCtry[ctry]=$G19,stayCtry[stay]))</f>
        <v/>
      </c>
      <c r="E19" s="1596">
        <f>COUNTIF(entryCtry[],mainW[[#This Row],[ctry]])</f>
        <v/>
      </c>
      <c r="F19" s="1596">
        <f>COUNTIF(H19:AO19,"&gt;=1")+COUNTIFS(H19:AO19,"&gt;0",H19:AO19,"&lt;1")/100</f>
        <v/>
      </c>
      <c r="G19" s="1648">
        <f>_xlfn.XLOOKUP(mainW[[#This Row],['#]],ctries[id],ctries[ctry],"-")</f>
        <v/>
      </c>
      <c r="H19" s="1649">
        <f>SUMIFS(raw[stay],raw[ctry],mainW[[#This Row],[ctry]],raw[yr],H$1)</f>
        <v/>
      </c>
      <c r="I19" s="1649">
        <f>SUMIFS(raw[stay],raw[ctry],mainW[[#This Row],[ctry]],raw[yr],I$1)</f>
        <v/>
      </c>
      <c r="J19" s="1649">
        <f>SUMIFS(raw[stay],raw[ctry],mainW[[#This Row],[ctry]],raw[yr],J$1)</f>
        <v/>
      </c>
      <c r="K19" s="1649">
        <f>SUMIFS(raw[stay],raw[ctry],mainW[[#This Row],[ctry]],raw[yr],K$1)</f>
        <v/>
      </c>
      <c r="L19" s="1649">
        <f>SUMIFS(raw[stay],raw[ctry],mainW[[#This Row],[ctry]],raw[yr],L$1)</f>
        <v/>
      </c>
      <c r="M19" s="1649">
        <f>SUMIFS(raw[stay],raw[ctry],mainW[[#This Row],[ctry]],raw[yr],M$1)</f>
        <v/>
      </c>
      <c r="N19" s="1649">
        <f>SUMIFS(raw[stay],raw[ctry],mainW[[#This Row],[ctry]],raw[yr],N$1)</f>
        <v/>
      </c>
      <c r="O19" s="1649">
        <f>SUMIFS(raw[stay],raw[ctry],mainW[[#This Row],[ctry]],raw[yr],O$1)</f>
        <v/>
      </c>
      <c r="P19" s="1649">
        <f>SUMIFS(raw[stay],raw[ctry],mainW[[#This Row],[ctry]],raw[yr],P$1)</f>
        <v/>
      </c>
      <c r="Q19" s="1649">
        <f>SUMIFS(raw[stay],raw[ctry],mainW[[#This Row],[ctry]],raw[yr],Q$1)</f>
        <v/>
      </c>
      <c r="R19" s="1649">
        <f>SUMIFS(raw[stay],raw[ctry],mainW[[#This Row],[ctry]],raw[yr],R$1)</f>
        <v/>
      </c>
      <c r="S19" s="1649">
        <f>SUMIFS(raw[stay],raw[ctry],mainW[[#This Row],[ctry]],raw[yr],S$1)</f>
        <v/>
      </c>
      <c r="T19" s="1649">
        <f>SUMIFS(raw[stay],raw[ctry],mainW[[#This Row],[ctry]],raw[yr],T$1)</f>
        <v/>
      </c>
      <c r="U19" s="1649">
        <f>SUMIFS(raw[stay],raw[ctry],mainW[[#This Row],[ctry]],raw[yr],U$1)</f>
        <v/>
      </c>
      <c r="V19" s="1649">
        <f>SUMIFS(raw[stay],raw[ctry],mainW[[#This Row],[ctry]],raw[yr],V$1)</f>
        <v/>
      </c>
      <c r="W19" s="1649">
        <f>SUMIFS(raw[stay],raw[ctry],mainW[[#This Row],[ctry]],raw[yr],W$1)</f>
        <v/>
      </c>
      <c r="X19" s="1649">
        <f>SUMIFS(raw[stay],raw[ctry],mainW[[#This Row],[ctry]],raw[yr],X$1)</f>
        <v/>
      </c>
      <c r="Y19" s="1649">
        <f>SUMIFS(raw[stay],raw[ctry],mainW[[#This Row],[ctry]],raw[yr],Y$1)</f>
        <v/>
      </c>
      <c r="Z19" s="1649">
        <f>SUMIFS(raw[stay],raw[ctry],mainW[[#This Row],[ctry]],raw[yr],Z$1)</f>
        <v/>
      </c>
      <c r="AA19" s="1649">
        <f>SUMIFS(raw[stay],raw[ctry],mainW[[#This Row],[ctry]],raw[yr],AA$1)</f>
        <v/>
      </c>
      <c r="AB19" s="1649">
        <f>SUMIFS(raw[stay],raw[ctry],mainW[[#This Row],[ctry]],raw[yr],AB$1)</f>
        <v/>
      </c>
      <c r="AC19" s="1649">
        <f>SUMIFS(raw[stay],raw[ctry],mainW[[#This Row],[ctry]],raw[yr],AC$1)</f>
        <v/>
      </c>
      <c r="AD19" s="1649">
        <f>SUMIFS(raw[stay],raw[ctry],mainW[[#This Row],[ctry]],raw[yr],AD$1)</f>
        <v/>
      </c>
      <c r="AE19" s="1649">
        <f>SUMIFS(raw[stay],raw[ctry],mainW[[#This Row],[ctry]],raw[yr],AE$1)</f>
        <v/>
      </c>
      <c r="AF19" s="1649">
        <f>SUMIFS(raw[stay],raw[ctry],mainW[[#This Row],[ctry]],raw[yr],AF$1)</f>
        <v/>
      </c>
      <c r="AG19" s="1649">
        <f>SUMIFS(raw[stay],raw[ctry],mainW[[#This Row],[ctry]],raw[yr],AG$1)</f>
        <v/>
      </c>
      <c r="AH19" s="1649">
        <f>SUMIFS(raw[stay],raw[ctry],mainW[[#This Row],[ctry]],raw[yr],AH$1)</f>
        <v/>
      </c>
      <c r="AI19" s="1649">
        <f>SUMIFS(raw[stay],raw[ctry],mainW[[#This Row],[ctry]],raw[yr],AI$1)</f>
        <v/>
      </c>
      <c r="AJ19" s="1649">
        <f>SUMIFS(raw[stay],raw[ctry],mainW[[#This Row],[ctry]],raw[yr],AJ$1)</f>
        <v/>
      </c>
      <c r="AK19" s="1649">
        <f>SUMIFS(raw[stay],raw[ctry],mainW[[#This Row],[ctry]],raw[yr],AK$1)</f>
        <v/>
      </c>
      <c r="AL19" s="1649">
        <f>SUMIFS(raw[stay],raw[ctry],mainW[[#This Row],[ctry]],raw[yr],AL$1)</f>
        <v/>
      </c>
      <c r="AM19" s="1649">
        <f>SUMIFS(raw[stay],raw[ctry],mainW[[#This Row],[ctry]],raw[yr],AM$1)</f>
        <v/>
      </c>
      <c r="AN19" s="1649">
        <f>SUMIFS(raw[stay],raw[ctry],mainW[[#This Row],[ctry]],raw[yr],AN$1)</f>
        <v/>
      </c>
      <c r="AO19" s="1620" t="n"/>
      <c r="AP19" s="1597">
        <f>AP18+1</f>
        <v/>
      </c>
      <c r="AQ19" s="1636">
        <f>'@Refr'!P12</f>
        <v/>
      </c>
      <c r="AR19" s="1603">
        <f>_xlfn.XLOOKUP(citySeq[[#This Row],[city]],ccc[city],ccc[ctry],"-")</f>
        <v/>
      </c>
      <c r="AS19" s="1604">
        <f>_xlfn.MINIFS(stayCity[in], stayCity[city], citySeq[[#This Row],[city]])</f>
        <v/>
      </c>
      <c r="AT19" s="1637">
        <f>_xlfn.MAXIFS(raw[out], raw[city], citySeq[[#This Row],[city]])</f>
        <v/>
      </c>
      <c r="AU19" s="1638">
        <f>SUMIFS(stayCity[in],stayCity[city],citySeq[[#This Row],[city]],stayCity[stay],citySeq[[#This Row],[seq]])</f>
        <v/>
      </c>
      <c r="AV19" s="1638">
        <f>SUMIFS(stayCity[out],stayCity[city],citySeq[[#This Row],[city]],stayCity[stay],citySeq[[#This Row],[seq]])</f>
        <v/>
      </c>
      <c r="AW19" s="1603">
        <f t="array" ref="AW19">MAX(IF(stayCity[city]=citySeq[[#This Row],[city]],stayCity[stay]))</f>
        <v/>
      </c>
      <c r="AX19" s="1603">
        <f t="array" ref="AX19">ROWS(_xlfn.UNIQUE(_xlfn._xlws.FILTER(raw[yr], raw[city]=citySeq[[#This Row],[city]])))</f>
        <v/>
      </c>
      <c r="AY19" s="1603">
        <f>_xlfn.XLOOKUP(citySeq[[#This Row],[city]],cities[city],cities[stay])</f>
        <v/>
      </c>
      <c r="AZ19" s="1653" t="n"/>
      <c r="BA19" s="1597">
        <f>BA18+1</f>
        <v/>
      </c>
      <c r="BB19" s="1643">
        <f>G14</f>
        <v/>
      </c>
      <c r="BC19" s="1603">
        <f>INT(SUMIFS(raw[stay],raw[ctry],$BB19,raw[dec],BC$1))</f>
        <v/>
      </c>
      <c r="BD19" s="1603">
        <f>INT(SUMIFS(raw[stay],raw[ctry],$BB19,raw[dec],BD$1))</f>
        <v/>
      </c>
      <c r="BE19" s="1603">
        <f>INT(SUMIFS(raw[stay],raw[ctry],$BB19,raw[dec],BE$1))</f>
        <v/>
      </c>
      <c r="BF19" s="1603">
        <f>INT(SUMIFS(raw[stay],raw[ctry],$BB19,raw[dec],BF$1))</f>
        <v/>
      </c>
      <c r="BG19" s="1603">
        <f>INT(SUMIFS(raw[stay],raw[ctry],$BB19,raw[dec],BG$1))</f>
        <v/>
      </c>
      <c r="BH19" s="1597" t="n"/>
      <c r="BI19" s="1641">
        <f>(_xlfn.MAXIFS(raw[out],raw[ctry],BB19)-_xlfn.MINIFS(raw[out],raw[ctry],BB19))/365.25</f>
        <v/>
      </c>
      <c r="BJ19" s="1610">
        <f>COUNTIF(cities[ctry],BB19)</f>
        <v/>
      </c>
      <c r="BK19" s="1611" t="n"/>
      <c r="BL19" s="1611" t="n"/>
      <c r="BM19" s="1611" t="n"/>
      <c r="BN19" s="1611" t="n"/>
      <c r="BO19" s="1611" t="inlineStr">
        <is>
          <t>.</t>
        </is>
      </c>
      <c r="BP19" s="1612" t="n"/>
      <c r="BQ19" s="1612" t="n"/>
      <c r="BR19" s="1612" t="n"/>
      <c r="BS19" s="1612" t="n"/>
      <c r="BT19" s="1612" t="n"/>
      <c r="BU19" s="1612" t="n"/>
      <c r="BV19" s="1612" t="n"/>
      <c r="BW19" s="1612" t="n"/>
      <c r="BX19" s="1612" t="n"/>
      <c r="BY19" s="1612" t="n"/>
      <c r="BZ19" s="1612" t="n"/>
      <c r="CA19" s="1612" t="n"/>
      <c r="CB19" s="1612" t="n"/>
      <c r="CC19" s="1612" t="n"/>
      <c r="CD19" s="1612" t="n"/>
      <c r="CE19" s="1612" t="n"/>
      <c r="CF19" s="1612" t="n"/>
    </row>
    <row r="20" ht="14" customHeight="1">
      <c r="A20" s="1615">
        <f>IF(mainW[[#This Row],[yrs]]=0,"",A19+1)</f>
        <v/>
      </c>
      <c r="B20" s="1615" t="n">
        <v>31</v>
      </c>
      <c r="C20" s="1652">
        <f>INT(SUM(H20:AO20))</f>
        <v/>
      </c>
      <c r="D20" s="1615">
        <f t="array" ref="D20">MAX(IF(stayCtry[ctry]=$G20,stayCtry[stay]))</f>
        <v/>
      </c>
      <c r="E20" s="1615">
        <f>COUNTIF(entryCtry[],mainW[[#This Row],[ctry]])</f>
        <v/>
      </c>
      <c r="F20" s="1615">
        <f>COUNTIF(H20:AO20,"&gt;=1")+COUNTIFS(H20:AO20,"&gt;0",H20:AO20,"&lt;1")/100</f>
        <v/>
      </c>
      <c r="G20" s="1648">
        <f>_xlfn.XLOOKUP(mainW[[#This Row],['#]],ctries[id],ctries[ctry],"-")</f>
        <v/>
      </c>
      <c r="H20" s="1649">
        <f>SUMIFS(raw[stay],raw[ctry],mainW[[#This Row],[ctry]],raw[yr],H$1)</f>
        <v/>
      </c>
      <c r="I20" s="1649">
        <f>SUMIFS(raw[stay],raw[ctry],mainW[[#This Row],[ctry]],raw[yr],I$1)</f>
        <v/>
      </c>
      <c r="J20" s="1649">
        <f>SUMIFS(raw[stay],raw[ctry],mainW[[#This Row],[ctry]],raw[yr],J$1)</f>
        <v/>
      </c>
      <c r="K20" s="1649">
        <f>SUMIFS(raw[stay],raw[ctry],mainW[[#This Row],[ctry]],raw[yr],K$1)</f>
        <v/>
      </c>
      <c r="L20" s="1649">
        <f>SUMIFS(raw[stay],raw[ctry],mainW[[#This Row],[ctry]],raw[yr],L$1)</f>
        <v/>
      </c>
      <c r="M20" s="1649">
        <f>SUMIFS(raw[stay],raw[ctry],mainW[[#This Row],[ctry]],raw[yr],M$1)</f>
        <v/>
      </c>
      <c r="N20" s="1649">
        <f>SUMIFS(raw[stay],raw[ctry],mainW[[#This Row],[ctry]],raw[yr],N$1)</f>
        <v/>
      </c>
      <c r="O20" s="1649">
        <f>SUMIFS(raw[stay],raw[ctry],mainW[[#This Row],[ctry]],raw[yr],O$1)</f>
        <v/>
      </c>
      <c r="P20" s="1649">
        <f>SUMIFS(raw[stay],raw[ctry],mainW[[#This Row],[ctry]],raw[yr],P$1)</f>
        <v/>
      </c>
      <c r="Q20" s="1649">
        <f>SUMIFS(raw[stay],raw[ctry],mainW[[#This Row],[ctry]],raw[yr],Q$1)</f>
        <v/>
      </c>
      <c r="R20" s="1649">
        <f>SUMIFS(raw[stay],raw[ctry],mainW[[#This Row],[ctry]],raw[yr],R$1)</f>
        <v/>
      </c>
      <c r="S20" s="1649">
        <f>SUMIFS(raw[stay],raw[ctry],mainW[[#This Row],[ctry]],raw[yr],S$1)</f>
        <v/>
      </c>
      <c r="T20" s="1649">
        <f>SUMIFS(raw[stay],raw[ctry],mainW[[#This Row],[ctry]],raw[yr],T$1)</f>
        <v/>
      </c>
      <c r="U20" s="1649">
        <f>SUMIFS(raw[stay],raw[ctry],mainW[[#This Row],[ctry]],raw[yr],U$1)</f>
        <v/>
      </c>
      <c r="V20" s="1649">
        <f>SUMIFS(raw[stay],raw[ctry],mainW[[#This Row],[ctry]],raw[yr],V$1)</f>
        <v/>
      </c>
      <c r="W20" s="1649">
        <f>SUMIFS(raw[stay],raw[ctry],mainW[[#This Row],[ctry]],raw[yr],W$1)</f>
        <v/>
      </c>
      <c r="X20" s="1649">
        <f>SUMIFS(raw[stay],raw[ctry],mainW[[#This Row],[ctry]],raw[yr],X$1)</f>
        <v/>
      </c>
      <c r="Y20" s="1649">
        <f>SUMIFS(raw[stay],raw[ctry],mainW[[#This Row],[ctry]],raw[yr],Y$1)</f>
        <v/>
      </c>
      <c r="Z20" s="1649">
        <f>SUMIFS(raw[stay],raw[ctry],mainW[[#This Row],[ctry]],raw[yr],Z$1)</f>
        <v/>
      </c>
      <c r="AA20" s="1649">
        <f>SUMIFS(raw[stay],raw[ctry],mainW[[#This Row],[ctry]],raw[yr],AA$1)</f>
        <v/>
      </c>
      <c r="AB20" s="1649">
        <f>SUMIFS(raw[stay],raw[ctry],mainW[[#This Row],[ctry]],raw[yr],AB$1)</f>
        <v/>
      </c>
      <c r="AC20" s="1649">
        <f>SUMIFS(raw[stay],raw[ctry],mainW[[#This Row],[ctry]],raw[yr],AC$1)</f>
        <v/>
      </c>
      <c r="AD20" s="1649">
        <f>SUMIFS(raw[stay],raw[ctry],mainW[[#This Row],[ctry]],raw[yr],AD$1)</f>
        <v/>
      </c>
      <c r="AE20" s="1649">
        <f>SUMIFS(raw[stay],raw[ctry],mainW[[#This Row],[ctry]],raw[yr],AE$1)</f>
        <v/>
      </c>
      <c r="AF20" s="1649">
        <f>SUMIFS(raw[stay],raw[ctry],mainW[[#This Row],[ctry]],raw[yr],AF$1)</f>
        <v/>
      </c>
      <c r="AG20" s="1649">
        <f>SUMIFS(raw[stay],raw[ctry],mainW[[#This Row],[ctry]],raw[yr],AG$1)</f>
        <v/>
      </c>
      <c r="AH20" s="1649">
        <f>SUMIFS(raw[stay],raw[ctry],mainW[[#This Row],[ctry]],raw[yr],AH$1)</f>
        <v/>
      </c>
      <c r="AI20" s="1649">
        <f>SUMIFS(raw[stay],raw[ctry],mainW[[#This Row],[ctry]],raw[yr],AI$1)</f>
        <v/>
      </c>
      <c r="AJ20" s="1649">
        <f>SUMIFS(raw[stay],raw[ctry],mainW[[#This Row],[ctry]],raw[yr],AJ$1)</f>
        <v/>
      </c>
      <c r="AK20" s="1649">
        <f>SUMIFS(raw[stay],raw[ctry],mainW[[#This Row],[ctry]],raw[yr],AK$1)</f>
        <v/>
      </c>
      <c r="AL20" s="1649">
        <f>SUMIFS(raw[stay],raw[ctry],mainW[[#This Row],[ctry]],raw[yr],AL$1)</f>
        <v/>
      </c>
      <c r="AM20" s="1649">
        <f>SUMIFS(raw[stay],raw[ctry],mainW[[#This Row],[ctry]],raw[yr],AM$1)</f>
        <v/>
      </c>
      <c r="AN20" s="1649">
        <f>SUMIFS(raw[stay],raw[ctry],mainW[[#This Row],[ctry]],raw[yr],AN$1)</f>
        <v/>
      </c>
      <c r="AO20" s="1620" t="n"/>
      <c r="AP20" s="1597">
        <f>AP19+1</f>
        <v/>
      </c>
      <c r="AQ20" s="1636">
        <f>'@Refr'!P13</f>
        <v/>
      </c>
      <c r="AR20" s="1603">
        <f>_xlfn.XLOOKUP(citySeq[[#This Row],[city]],ccc[city],ccc[ctry],"-")</f>
        <v/>
      </c>
      <c r="AS20" s="1604">
        <f>_xlfn.MINIFS(stayCity[in], stayCity[city], citySeq[[#This Row],[city]])</f>
        <v/>
      </c>
      <c r="AT20" s="1637">
        <f>_xlfn.MAXIFS(raw[out], raw[city], citySeq[[#This Row],[city]])</f>
        <v/>
      </c>
      <c r="AU20" s="1638">
        <f>SUMIFS(stayCity[in],stayCity[city],citySeq[[#This Row],[city]],stayCity[stay],citySeq[[#This Row],[seq]])</f>
        <v/>
      </c>
      <c r="AV20" s="1638">
        <f>SUMIFS(stayCity[out],stayCity[city],citySeq[[#This Row],[city]],stayCity[stay],citySeq[[#This Row],[seq]])</f>
        <v/>
      </c>
      <c r="AW20" s="1603">
        <f t="array" ref="AW20">MAX(IF(stayCity[city]=citySeq[[#This Row],[city]],stayCity[stay]))</f>
        <v/>
      </c>
      <c r="AX20" s="1603">
        <f t="array" ref="AX20">ROWS(_xlfn.UNIQUE(_xlfn._xlws.FILTER(raw[yr], raw[city]=citySeq[[#This Row],[city]])))</f>
        <v/>
      </c>
      <c r="AY20" s="1603">
        <f>_xlfn.XLOOKUP(citySeq[[#This Row],[city]],cities[city],cities[stay])</f>
        <v/>
      </c>
      <c r="AZ20" s="1611" t="n"/>
      <c r="BA20" s="1597">
        <f>BA19+1</f>
        <v/>
      </c>
      <c r="BB20" s="1643">
        <f>G15</f>
        <v/>
      </c>
      <c r="BC20" s="1603">
        <f>INT(SUMIFS(raw[stay],raw[ctry],$BB20,raw[dec],BC$1))</f>
        <v/>
      </c>
      <c r="BD20" s="1603">
        <f>INT(SUMIFS(raw[stay],raw[ctry],$BB20,raw[dec],BD$1))</f>
        <v/>
      </c>
      <c r="BE20" s="1603">
        <f>INT(SUMIFS(raw[stay],raw[ctry],$BB20,raw[dec],BE$1))</f>
        <v/>
      </c>
      <c r="BF20" s="1603">
        <f>INT(SUMIFS(raw[stay],raw[ctry],$BB20,raw[dec],BF$1))</f>
        <v/>
      </c>
      <c r="BG20" s="1603">
        <f>INT(SUMIFS(raw[stay],raw[ctry],$BB20,raw[dec],BG$1))</f>
        <v/>
      </c>
      <c r="BH20" s="1597" t="n"/>
      <c r="BI20" s="1641">
        <f>(_xlfn.MAXIFS(raw[out],raw[ctry],BB20)-_xlfn.MINIFS(raw[out],raw[ctry],BB20))/365.25</f>
        <v/>
      </c>
      <c r="BJ20" s="1610">
        <f>COUNTIF(cities[ctry],BB20)</f>
        <v/>
      </c>
      <c r="BK20" s="1611" t="n"/>
      <c r="BL20" s="1612" t="n"/>
      <c r="BM20" s="1612" t="n"/>
      <c r="BN20" s="1612" t="n"/>
      <c r="BO20" s="1612" t="n"/>
      <c r="BP20" s="1654" t="inlineStr">
        <is>
          <t>CS</t>
        </is>
      </c>
      <c r="BQ20" s="1612" t="n"/>
      <c r="BR20" s="1655" t="inlineStr">
        <is>
          <t>GOAL 2026</t>
        </is>
      </c>
      <c r="BS20" s="1612" t="n"/>
      <c r="BT20" s="1612" t="n"/>
      <c r="BU20" s="1612" t="n"/>
      <c r="BV20" s="1612" t="n"/>
      <c r="BW20" s="1612" t="n"/>
      <c r="BX20" s="1612" t="n"/>
      <c r="BY20" s="1612" t="n"/>
      <c r="BZ20" s="1612" t="n"/>
      <c r="CA20" s="1612" t="n"/>
      <c r="CB20" s="1612" t="n"/>
      <c r="CC20" s="1612" t="n"/>
      <c r="CD20" s="1612" t="n"/>
      <c r="CE20" s="1612" t="n"/>
      <c r="CF20" s="1612" t="n"/>
    </row>
    <row r="21" ht="14" customHeight="1">
      <c r="A21" s="1596">
        <f>IF(mainW[[#This Row],[yrs]]=0,"",A20+1)</f>
        <v/>
      </c>
      <c r="B21" s="1596" t="n">
        <v>12</v>
      </c>
      <c r="C21" s="1647">
        <f>INT(SUM(H21:AO21))</f>
        <v/>
      </c>
      <c r="D21" s="1596">
        <f t="array" ref="D21">MAX(IF(stayCtry[ctry]=$G21,stayCtry[stay]))</f>
        <v/>
      </c>
      <c r="E21" s="1596">
        <f>COUNTIF(entryCtry[],mainW[[#This Row],[ctry]])</f>
        <v/>
      </c>
      <c r="F21" s="1596">
        <f>COUNTIF(H21:AO21,"&gt;=1")+COUNTIFS(H21:AO21,"&gt;0",H21:AO21,"&lt;1")/100</f>
        <v/>
      </c>
      <c r="G21" s="1648">
        <f>_xlfn.XLOOKUP(mainW[[#This Row],['#]],ctries[id],ctries[ctry],"-")</f>
        <v/>
      </c>
      <c r="H21" s="1649">
        <f>SUMIFS(raw[stay],raw[ctry],mainW[[#This Row],[ctry]],raw[yr],H$1)</f>
        <v/>
      </c>
      <c r="I21" s="1649">
        <f>SUMIFS(raw[stay],raw[ctry],mainW[[#This Row],[ctry]],raw[yr],I$1)</f>
        <v/>
      </c>
      <c r="J21" s="1649">
        <f>SUMIFS(raw[stay],raw[ctry],mainW[[#This Row],[ctry]],raw[yr],J$1)</f>
        <v/>
      </c>
      <c r="K21" s="1649">
        <f>SUMIFS(raw[stay],raw[ctry],mainW[[#This Row],[ctry]],raw[yr],K$1)</f>
        <v/>
      </c>
      <c r="L21" s="1649">
        <f>SUMIFS(raw[stay],raw[ctry],mainW[[#This Row],[ctry]],raw[yr],L$1)</f>
        <v/>
      </c>
      <c r="M21" s="1649">
        <f>SUMIFS(raw[stay],raw[ctry],mainW[[#This Row],[ctry]],raw[yr],M$1)</f>
        <v/>
      </c>
      <c r="N21" s="1649">
        <f>SUMIFS(raw[stay],raw[ctry],mainW[[#This Row],[ctry]],raw[yr],N$1)</f>
        <v/>
      </c>
      <c r="O21" s="1649">
        <f>SUMIFS(raw[stay],raw[ctry],mainW[[#This Row],[ctry]],raw[yr],O$1)</f>
        <v/>
      </c>
      <c r="P21" s="1649">
        <f>SUMIFS(raw[stay],raw[ctry],mainW[[#This Row],[ctry]],raw[yr],P$1)</f>
        <v/>
      </c>
      <c r="Q21" s="1649">
        <f>SUMIFS(raw[stay],raw[ctry],mainW[[#This Row],[ctry]],raw[yr],Q$1)</f>
        <v/>
      </c>
      <c r="R21" s="1649">
        <f>SUMIFS(raw[stay],raw[ctry],mainW[[#This Row],[ctry]],raw[yr],R$1)</f>
        <v/>
      </c>
      <c r="S21" s="1649">
        <f>SUMIFS(raw[stay],raw[ctry],mainW[[#This Row],[ctry]],raw[yr],S$1)</f>
        <v/>
      </c>
      <c r="T21" s="1649">
        <f>SUMIFS(raw[stay],raw[ctry],mainW[[#This Row],[ctry]],raw[yr],T$1)</f>
        <v/>
      </c>
      <c r="U21" s="1649">
        <f>SUMIFS(raw[stay],raw[ctry],mainW[[#This Row],[ctry]],raw[yr],U$1)</f>
        <v/>
      </c>
      <c r="V21" s="1649">
        <f>SUMIFS(raw[stay],raw[ctry],mainW[[#This Row],[ctry]],raw[yr],V$1)</f>
        <v/>
      </c>
      <c r="W21" s="1649">
        <f>SUMIFS(raw[stay],raw[ctry],mainW[[#This Row],[ctry]],raw[yr],W$1)</f>
        <v/>
      </c>
      <c r="X21" s="1649">
        <f>SUMIFS(raw[stay],raw[ctry],mainW[[#This Row],[ctry]],raw[yr],X$1)</f>
        <v/>
      </c>
      <c r="Y21" s="1649">
        <f>SUMIFS(raw[stay],raw[ctry],mainW[[#This Row],[ctry]],raw[yr],Y$1)</f>
        <v/>
      </c>
      <c r="Z21" s="1649">
        <f>SUMIFS(raw[stay],raw[ctry],mainW[[#This Row],[ctry]],raw[yr],Z$1)</f>
        <v/>
      </c>
      <c r="AA21" s="1649">
        <f>SUMIFS(raw[stay],raw[ctry],mainW[[#This Row],[ctry]],raw[yr],AA$1)</f>
        <v/>
      </c>
      <c r="AB21" s="1649">
        <f>SUMIFS(raw[stay],raw[ctry],mainW[[#This Row],[ctry]],raw[yr],AB$1)</f>
        <v/>
      </c>
      <c r="AC21" s="1649">
        <f>SUMIFS(raw[stay],raw[ctry],mainW[[#This Row],[ctry]],raw[yr],AC$1)</f>
        <v/>
      </c>
      <c r="AD21" s="1649">
        <f>SUMIFS(raw[stay],raw[ctry],mainW[[#This Row],[ctry]],raw[yr],AD$1)</f>
        <v/>
      </c>
      <c r="AE21" s="1649">
        <f>SUMIFS(raw[stay],raw[ctry],mainW[[#This Row],[ctry]],raw[yr],AE$1)</f>
        <v/>
      </c>
      <c r="AF21" s="1649">
        <f>SUMIFS(raw[stay],raw[ctry],mainW[[#This Row],[ctry]],raw[yr],AF$1)</f>
        <v/>
      </c>
      <c r="AG21" s="1649">
        <f>SUMIFS(raw[stay],raw[ctry],mainW[[#This Row],[ctry]],raw[yr],AG$1)</f>
        <v/>
      </c>
      <c r="AH21" s="1649">
        <f>SUMIFS(raw[stay],raw[ctry],mainW[[#This Row],[ctry]],raw[yr],AH$1)</f>
        <v/>
      </c>
      <c r="AI21" s="1649">
        <f>SUMIFS(raw[stay],raw[ctry],mainW[[#This Row],[ctry]],raw[yr],AI$1)</f>
        <v/>
      </c>
      <c r="AJ21" s="1649">
        <f>SUMIFS(raw[stay],raw[ctry],mainW[[#This Row],[ctry]],raw[yr],AJ$1)</f>
        <v/>
      </c>
      <c r="AK21" s="1649">
        <f>SUMIFS(raw[stay],raw[ctry],mainW[[#This Row],[ctry]],raw[yr],AK$1)</f>
        <v/>
      </c>
      <c r="AL21" s="1649">
        <f>SUMIFS(raw[stay],raw[ctry],mainW[[#This Row],[ctry]],raw[yr],AL$1)</f>
        <v/>
      </c>
      <c r="AM21" s="1649">
        <f>SUMIFS(raw[stay],raw[ctry],mainW[[#This Row],[ctry]],raw[yr],AM$1)</f>
        <v/>
      </c>
      <c r="AN21" s="1649">
        <f>SUMIFS(raw[stay],raw[ctry],mainW[[#This Row],[ctry]],raw[yr],AN$1)</f>
        <v/>
      </c>
      <c r="AO21" s="1620" t="n"/>
      <c r="AP21" s="1597">
        <f>AP20+1</f>
        <v/>
      </c>
      <c r="AQ21" s="1636">
        <f>'@Refr'!P14</f>
        <v/>
      </c>
      <c r="AR21" s="1603">
        <f>_xlfn.XLOOKUP(citySeq[[#This Row],[city]],ccc[city],ccc[ctry],"-")</f>
        <v/>
      </c>
      <c r="AS21" s="1604">
        <f>_xlfn.MINIFS(stayCity[in], stayCity[city], citySeq[[#This Row],[city]])</f>
        <v/>
      </c>
      <c r="AT21" s="1637">
        <f>_xlfn.MAXIFS(raw[out], raw[city], citySeq[[#This Row],[city]])</f>
        <v/>
      </c>
      <c r="AU21" s="1638">
        <f>SUMIFS(stayCity[in],stayCity[city],citySeq[[#This Row],[city]],stayCity[stay],citySeq[[#This Row],[seq]])</f>
        <v/>
      </c>
      <c r="AV21" s="1638">
        <f>SUMIFS(stayCity[out],stayCity[city],citySeq[[#This Row],[city]],stayCity[stay],citySeq[[#This Row],[seq]])</f>
        <v/>
      </c>
      <c r="AW21" s="1603">
        <f t="array" ref="AW21">MAX(IF(stayCity[city]=citySeq[[#This Row],[city]],stayCity[stay]))</f>
        <v/>
      </c>
      <c r="AX21" s="1603">
        <f t="array" ref="AX21">ROWS(_xlfn.UNIQUE(_xlfn._xlws.FILTER(raw[yr], raw[city]=citySeq[[#This Row],[city]])))</f>
        <v/>
      </c>
      <c r="AY21" s="1603">
        <f>_xlfn.XLOOKUP(citySeq[[#This Row],[city]],cities[city],cities[stay])</f>
        <v/>
      </c>
      <c r="AZ21" s="1611" t="n"/>
      <c r="BA21" s="1597">
        <f>BA20+1</f>
        <v/>
      </c>
      <c r="BB21" s="1643">
        <f>G16</f>
        <v/>
      </c>
      <c r="BC21" s="1603">
        <f>INT(SUMIFS(raw[stay],raw[ctry],$BB21,raw[dec],BC$1))</f>
        <v/>
      </c>
      <c r="BD21" s="1603">
        <f>INT(SUMIFS(raw[stay],raw[ctry],$BB21,raw[dec],BD$1))</f>
        <v/>
      </c>
      <c r="BE21" s="1603">
        <f>INT(SUMIFS(raw[stay],raw[ctry],$BB21,raw[dec],BE$1))</f>
        <v/>
      </c>
      <c r="BF21" s="1603">
        <f>INT(SUMIFS(raw[stay],raw[ctry],$BB21,raw[dec],BF$1))</f>
        <v/>
      </c>
      <c r="BG21" s="1603">
        <f>INT(SUMIFS(raw[stay],raw[ctry],$BB21,raw[dec],BG$1))</f>
        <v/>
      </c>
      <c r="BH21" s="1597" t="n"/>
      <c r="BI21" s="1641">
        <f>(_xlfn.MAXIFS(raw[out],raw[ctry],BB21)-_xlfn.MINIFS(raw[out],raw[ctry],BB21))/365.25</f>
        <v/>
      </c>
      <c r="BJ21" s="1610">
        <f>COUNTIF(cities[ctry],BB21)</f>
        <v/>
      </c>
      <c r="BK21" s="1611" t="n"/>
      <c r="BL21" s="1612" t="n"/>
      <c r="BM21" s="1612" t="n"/>
      <c r="BN21" s="1612" t="n"/>
      <c r="BO21" s="1612" t="n"/>
      <c r="BP21" s="1656" t="inlineStr">
        <is>
          <t>WHAT ARE You</t>
        </is>
      </c>
      <c r="BQ21" s="1612" t="n"/>
      <c r="BR21" s="1657" t="inlineStr">
        <is>
          <t>NINA</t>
        </is>
      </c>
      <c r="BS21" s="1612" t="n"/>
      <c r="BT21" s="1612" t="n"/>
      <c r="BU21" s="1612" t="n"/>
      <c r="BV21" s="1612" t="n"/>
      <c r="BW21" s="1612" t="n"/>
      <c r="BX21" s="1612" t="n"/>
      <c r="BY21" s="1612" t="n"/>
      <c r="BZ21" s="1612" t="n"/>
      <c r="CA21" s="1612" t="n"/>
      <c r="CB21" s="1612" t="n"/>
      <c r="CC21" s="1612" t="n"/>
      <c r="CD21" s="1612" t="n"/>
      <c r="CE21" s="1612" t="n"/>
      <c r="CF21" s="1612" t="n"/>
    </row>
    <row r="22" ht="14" customHeight="1">
      <c r="A22" s="1615">
        <f>IF(mainW[[#This Row],[yrs]]=0,"",A21+1)</f>
        <v/>
      </c>
      <c r="B22" s="1615" t="n">
        <v>20</v>
      </c>
      <c r="C22" s="1652">
        <f>INT(SUM(H22:AO22))</f>
        <v/>
      </c>
      <c r="D22" s="1615">
        <f t="array" ref="D22">MAX(IF(stayCtry[ctry]=$G22,stayCtry[stay]))</f>
        <v/>
      </c>
      <c r="E22" s="1615">
        <f>COUNTIF(entryCtry[],mainW[[#This Row],[ctry]])</f>
        <v/>
      </c>
      <c r="F22" s="1615">
        <f>COUNTIF(H22:AO22,"&gt;=1")+COUNTIFS(H22:AO22,"&gt;0",H22:AO22,"&lt;1")/100</f>
        <v/>
      </c>
      <c r="G22" s="1648">
        <f>_xlfn.XLOOKUP(mainW[[#This Row],['#]],ctries[id],ctries[ctry],"-")</f>
        <v/>
      </c>
      <c r="H22" s="1649">
        <f>SUMIFS(raw[stay],raw[ctry],mainW[[#This Row],[ctry]],raw[yr],H$1)</f>
        <v/>
      </c>
      <c r="I22" s="1649">
        <f>SUMIFS(raw[stay],raw[ctry],mainW[[#This Row],[ctry]],raw[yr],I$1)</f>
        <v/>
      </c>
      <c r="J22" s="1649">
        <f>SUMIFS(raw[stay],raw[ctry],mainW[[#This Row],[ctry]],raw[yr],J$1)</f>
        <v/>
      </c>
      <c r="K22" s="1649">
        <f>SUMIFS(raw[stay],raw[ctry],mainW[[#This Row],[ctry]],raw[yr],K$1)</f>
        <v/>
      </c>
      <c r="L22" s="1649">
        <f>SUMIFS(raw[stay],raw[ctry],mainW[[#This Row],[ctry]],raw[yr],L$1)</f>
        <v/>
      </c>
      <c r="M22" s="1649">
        <f>SUMIFS(raw[stay],raw[ctry],mainW[[#This Row],[ctry]],raw[yr],M$1)</f>
        <v/>
      </c>
      <c r="N22" s="1649">
        <f>SUMIFS(raw[stay],raw[ctry],mainW[[#This Row],[ctry]],raw[yr],N$1)</f>
        <v/>
      </c>
      <c r="O22" s="1649">
        <f>SUMIFS(raw[stay],raw[ctry],mainW[[#This Row],[ctry]],raw[yr],O$1)</f>
        <v/>
      </c>
      <c r="P22" s="1649">
        <f>SUMIFS(raw[stay],raw[ctry],mainW[[#This Row],[ctry]],raw[yr],P$1)</f>
        <v/>
      </c>
      <c r="Q22" s="1649">
        <f>SUMIFS(raw[stay],raw[ctry],mainW[[#This Row],[ctry]],raw[yr],Q$1)</f>
        <v/>
      </c>
      <c r="R22" s="1649">
        <f>SUMIFS(raw[stay],raw[ctry],mainW[[#This Row],[ctry]],raw[yr],R$1)</f>
        <v/>
      </c>
      <c r="S22" s="1649">
        <f>SUMIFS(raw[stay],raw[ctry],mainW[[#This Row],[ctry]],raw[yr],S$1)</f>
        <v/>
      </c>
      <c r="T22" s="1649">
        <f>SUMIFS(raw[stay],raw[ctry],mainW[[#This Row],[ctry]],raw[yr],T$1)</f>
        <v/>
      </c>
      <c r="U22" s="1649">
        <f>SUMIFS(raw[stay],raw[ctry],mainW[[#This Row],[ctry]],raw[yr],U$1)</f>
        <v/>
      </c>
      <c r="V22" s="1649">
        <f>SUMIFS(raw[stay],raw[ctry],mainW[[#This Row],[ctry]],raw[yr],V$1)</f>
        <v/>
      </c>
      <c r="W22" s="1649">
        <f>SUMIFS(raw[stay],raw[ctry],mainW[[#This Row],[ctry]],raw[yr],W$1)</f>
        <v/>
      </c>
      <c r="X22" s="1649">
        <f>SUMIFS(raw[stay],raw[ctry],mainW[[#This Row],[ctry]],raw[yr],X$1)</f>
        <v/>
      </c>
      <c r="Y22" s="1649">
        <f>SUMIFS(raw[stay],raw[ctry],mainW[[#This Row],[ctry]],raw[yr],Y$1)</f>
        <v/>
      </c>
      <c r="Z22" s="1649">
        <f>SUMIFS(raw[stay],raw[ctry],mainW[[#This Row],[ctry]],raw[yr],Z$1)</f>
        <v/>
      </c>
      <c r="AA22" s="1649">
        <f>SUMIFS(raw[stay],raw[ctry],mainW[[#This Row],[ctry]],raw[yr],AA$1)</f>
        <v/>
      </c>
      <c r="AB22" s="1649">
        <f>SUMIFS(raw[stay],raw[ctry],mainW[[#This Row],[ctry]],raw[yr],AB$1)</f>
        <v/>
      </c>
      <c r="AC22" s="1649">
        <f>SUMIFS(raw[stay],raw[ctry],mainW[[#This Row],[ctry]],raw[yr],AC$1)</f>
        <v/>
      </c>
      <c r="AD22" s="1649">
        <f>SUMIFS(raw[stay],raw[ctry],mainW[[#This Row],[ctry]],raw[yr],AD$1)</f>
        <v/>
      </c>
      <c r="AE22" s="1649">
        <f>SUMIFS(raw[stay],raw[ctry],mainW[[#This Row],[ctry]],raw[yr],AE$1)</f>
        <v/>
      </c>
      <c r="AF22" s="1649">
        <f>SUMIFS(raw[stay],raw[ctry],mainW[[#This Row],[ctry]],raw[yr],AF$1)</f>
        <v/>
      </c>
      <c r="AG22" s="1649">
        <f>SUMIFS(raw[stay],raw[ctry],mainW[[#This Row],[ctry]],raw[yr],AG$1)</f>
        <v/>
      </c>
      <c r="AH22" s="1649">
        <f>SUMIFS(raw[stay],raw[ctry],mainW[[#This Row],[ctry]],raw[yr],AH$1)</f>
        <v/>
      </c>
      <c r="AI22" s="1649">
        <f>SUMIFS(raw[stay],raw[ctry],mainW[[#This Row],[ctry]],raw[yr],AI$1)</f>
        <v/>
      </c>
      <c r="AJ22" s="1649">
        <f>SUMIFS(raw[stay],raw[ctry],mainW[[#This Row],[ctry]],raw[yr],AJ$1)</f>
        <v/>
      </c>
      <c r="AK22" s="1649">
        <f>SUMIFS(raw[stay],raw[ctry],mainW[[#This Row],[ctry]],raw[yr],AK$1)</f>
        <v/>
      </c>
      <c r="AL22" s="1649">
        <f>SUMIFS(raw[stay],raw[ctry],mainW[[#This Row],[ctry]],raw[yr],AL$1)</f>
        <v/>
      </c>
      <c r="AM22" s="1649">
        <f>SUMIFS(raw[stay],raw[ctry],mainW[[#This Row],[ctry]],raw[yr],AM$1)</f>
        <v/>
      </c>
      <c r="AN22" s="1649">
        <f>SUMIFS(raw[stay],raw[ctry],mainW[[#This Row],[ctry]],raw[yr],AN$1)</f>
        <v/>
      </c>
      <c r="AO22" s="1620" t="n"/>
      <c r="AP22" s="1597">
        <f>AP21+1</f>
        <v/>
      </c>
      <c r="AQ22" s="1636">
        <f>'@Refr'!P15</f>
        <v/>
      </c>
      <c r="AR22" s="1603">
        <f>_xlfn.XLOOKUP(citySeq[[#This Row],[city]],ccc[city],ccc[ctry],"-")</f>
        <v/>
      </c>
      <c r="AS22" s="1604">
        <f>_xlfn.MINIFS(stayCity[in], stayCity[city], citySeq[[#This Row],[city]])</f>
        <v/>
      </c>
      <c r="AT22" s="1637">
        <f>_xlfn.MAXIFS(raw[out], raw[city], citySeq[[#This Row],[city]])</f>
        <v/>
      </c>
      <c r="AU22" s="1638">
        <f>SUMIFS(stayCity[in],stayCity[city],citySeq[[#This Row],[city]],stayCity[stay],citySeq[[#This Row],[seq]])</f>
        <v/>
      </c>
      <c r="AV22" s="1638">
        <f>SUMIFS(stayCity[out],stayCity[city],citySeq[[#This Row],[city]],stayCity[stay],citySeq[[#This Row],[seq]])</f>
        <v/>
      </c>
      <c r="AW22" s="1603">
        <f t="array" ref="AW22">MAX(IF(stayCity[city]=citySeq[[#This Row],[city]],stayCity[stay]))</f>
        <v/>
      </c>
      <c r="AX22" s="1603">
        <f t="array" ref="AX22">ROWS(_xlfn.UNIQUE(_xlfn._xlws.FILTER(raw[yr], raw[city]=citySeq[[#This Row],[city]])))</f>
        <v/>
      </c>
      <c r="AY22" s="1603">
        <f>_xlfn.XLOOKUP(citySeq[[#This Row],[city]],cities[city],cities[stay])</f>
        <v/>
      </c>
      <c r="AZ22" s="1611" t="n"/>
      <c r="BA22" s="1597">
        <f>BA21+1</f>
        <v/>
      </c>
      <c r="BB22" s="1643">
        <f>G17</f>
        <v/>
      </c>
      <c r="BC22" s="1603">
        <f>INT(SUMIFS(raw[stay],raw[ctry],$BB22,raw[dec],BC$1))</f>
        <v/>
      </c>
      <c r="BD22" s="1603">
        <f>INT(SUMIFS(raw[stay],raw[ctry],$BB22,raw[dec],BD$1))</f>
        <v/>
      </c>
      <c r="BE22" s="1603">
        <f>INT(SUMIFS(raw[stay],raw[ctry],$BB22,raw[dec],BE$1))</f>
        <v/>
      </c>
      <c r="BF22" s="1603">
        <f>INT(SUMIFS(raw[stay],raw[ctry],$BB22,raw[dec],BF$1))</f>
        <v/>
      </c>
      <c r="BG22" s="1603">
        <f>INT(SUMIFS(raw[stay],raw[ctry],$BB22,raw[dec],BG$1))</f>
        <v/>
      </c>
      <c r="BH22" s="1597" t="n"/>
      <c r="BI22" s="1641">
        <f>(_xlfn.MAXIFS(raw[out],raw[ctry],BB22)-_xlfn.MINIFS(raw[out],raw[ctry],BB22))/365.25</f>
        <v/>
      </c>
      <c r="BJ22" s="1610">
        <f>COUNTIF(cities[ctry],BB22)</f>
        <v/>
      </c>
      <c r="BK22" s="1611" t="n"/>
      <c r="BL22" s="1612" t="n"/>
      <c r="BM22" s="1658" t="inlineStr">
        <is>
          <t>JOBS</t>
        </is>
      </c>
      <c r="BN22" s="1612" t="n"/>
      <c r="BO22" s="1612" t="n"/>
      <c r="BP22" s="1656" t="inlineStr">
        <is>
          <t>WAITING FOR?</t>
        </is>
      </c>
      <c r="BQ22" s="1612" t="n"/>
      <c r="BR22" s="1659" t="inlineStr">
        <is>
          <t>Paris, Germany</t>
        </is>
      </c>
      <c r="BS22" s="1612" t="n"/>
      <c r="BT22" s="1612" t="n"/>
      <c r="BU22" s="1612" t="n"/>
      <c r="BV22" s="1612" t="n"/>
      <c r="BW22" s="1612" t="n"/>
      <c r="BX22" s="1612" t="n"/>
      <c r="BY22" s="1612" t="n"/>
      <c r="BZ22" s="1612" t="n"/>
      <c r="CA22" s="1612" t="n"/>
      <c r="CB22" s="1612" t="n"/>
      <c r="CC22" s="1612" t="n"/>
      <c r="CD22" s="1612" t="n"/>
      <c r="CE22" s="1612" t="n"/>
      <c r="CF22" s="1612" t="n"/>
    </row>
    <row r="23" ht="14" customHeight="1">
      <c r="A23" s="1596">
        <f>IF(mainW[[#This Row],[yrs]]=0,"",A22+1)</f>
        <v/>
      </c>
      <c r="B23" s="1596" t="n">
        <v>3</v>
      </c>
      <c r="C23" s="1647">
        <f>INT(SUM(H23:AO23))</f>
        <v/>
      </c>
      <c r="D23" s="1596">
        <f t="array" ref="D23">MAX(IF(stayCtry[ctry]=$G23,stayCtry[stay]))</f>
        <v/>
      </c>
      <c r="E23" s="1596">
        <f>COUNTIF(entryCtry[],mainW[[#This Row],[ctry]])</f>
        <v/>
      </c>
      <c r="F23" s="1596">
        <f>COUNTIF(H23:AO23,"&gt;=1")+COUNTIFS(H23:AO23,"&gt;0",H23:AO23,"&lt;1")/100</f>
        <v/>
      </c>
      <c r="G23" s="1648">
        <f>_xlfn.XLOOKUP(mainW[[#This Row],['#]],ctries[id],ctries[ctry],"-")</f>
        <v/>
      </c>
      <c r="H23" s="1649">
        <f>SUMIFS(raw[stay],raw[ctry],mainW[[#This Row],[ctry]],raw[yr],H$1)</f>
        <v/>
      </c>
      <c r="I23" s="1649">
        <f>SUMIFS(raw[stay],raw[ctry],mainW[[#This Row],[ctry]],raw[yr],I$1)</f>
        <v/>
      </c>
      <c r="J23" s="1649">
        <f>SUMIFS(raw[stay],raw[ctry],mainW[[#This Row],[ctry]],raw[yr],J$1)</f>
        <v/>
      </c>
      <c r="K23" s="1649">
        <f>SUMIFS(raw[stay],raw[ctry],mainW[[#This Row],[ctry]],raw[yr],K$1)</f>
        <v/>
      </c>
      <c r="L23" s="1649">
        <f>SUMIFS(raw[stay],raw[ctry],mainW[[#This Row],[ctry]],raw[yr],L$1)</f>
        <v/>
      </c>
      <c r="M23" s="1649">
        <f>SUMIFS(raw[stay],raw[ctry],mainW[[#This Row],[ctry]],raw[yr],M$1)</f>
        <v/>
      </c>
      <c r="N23" s="1649">
        <f>SUMIFS(raw[stay],raw[ctry],mainW[[#This Row],[ctry]],raw[yr],N$1)</f>
        <v/>
      </c>
      <c r="O23" s="1649">
        <f>SUMIFS(raw[stay],raw[ctry],mainW[[#This Row],[ctry]],raw[yr],O$1)</f>
        <v/>
      </c>
      <c r="P23" s="1649">
        <f>SUMIFS(raw[stay],raw[ctry],mainW[[#This Row],[ctry]],raw[yr],P$1)</f>
        <v/>
      </c>
      <c r="Q23" s="1649">
        <f>SUMIFS(raw[stay],raw[ctry],mainW[[#This Row],[ctry]],raw[yr],Q$1)</f>
        <v/>
      </c>
      <c r="R23" s="1649">
        <f>SUMIFS(raw[stay],raw[ctry],mainW[[#This Row],[ctry]],raw[yr],R$1)</f>
        <v/>
      </c>
      <c r="S23" s="1649">
        <f>SUMIFS(raw[stay],raw[ctry],mainW[[#This Row],[ctry]],raw[yr],S$1)</f>
        <v/>
      </c>
      <c r="T23" s="1649">
        <f>SUMIFS(raw[stay],raw[ctry],mainW[[#This Row],[ctry]],raw[yr],T$1)</f>
        <v/>
      </c>
      <c r="U23" s="1649">
        <f>SUMIFS(raw[stay],raw[ctry],mainW[[#This Row],[ctry]],raw[yr],U$1)</f>
        <v/>
      </c>
      <c r="V23" s="1649">
        <f>SUMIFS(raw[stay],raw[ctry],mainW[[#This Row],[ctry]],raw[yr],V$1)</f>
        <v/>
      </c>
      <c r="W23" s="1649">
        <f>SUMIFS(raw[stay],raw[ctry],mainW[[#This Row],[ctry]],raw[yr],W$1)</f>
        <v/>
      </c>
      <c r="X23" s="1649">
        <f>SUMIFS(raw[stay],raw[ctry],mainW[[#This Row],[ctry]],raw[yr],X$1)</f>
        <v/>
      </c>
      <c r="Y23" s="1649">
        <f>SUMIFS(raw[stay],raw[ctry],mainW[[#This Row],[ctry]],raw[yr],Y$1)</f>
        <v/>
      </c>
      <c r="Z23" s="1649">
        <f>SUMIFS(raw[stay],raw[ctry],mainW[[#This Row],[ctry]],raw[yr],Z$1)</f>
        <v/>
      </c>
      <c r="AA23" s="1649">
        <f>SUMIFS(raw[stay],raw[ctry],mainW[[#This Row],[ctry]],raw[yr],AA$1)</f>
        <v/>
      </c>
      <c r="AB23" s="1649">
        <f>SUMIFS(raw[stay],raw[ctry],mainW[[#This Row],[ctry]],raw[yr],AB$1)</f>
        <v/>
      </c>
      <c r="AC23" s="1649">
        <f>SUMIFS(raw[stay],raw[ctry],mainW[[#This Row],[ctry]],raw[yr],AC$1)</f>
        <v/>
      </c>
      <c r="AD23" s="1649">
        <f>SUMIFS(raw[stay],raw[ctry],mainW[[#This Row],[ctry]],raw[yr],AD$1)</f>
        <v/>
      </c>
      <c r="AE23" s="1649">
        <f>SUMIFS(raw[stay],raw[ctry],mainW[[#This Row],[ctry]],raw[yr],AE$1)</f>
        <v/>
      </c>
      <c r="AF23" s="1649">
        <f>SUMIFS(raw[stay],raw[ctry],mainW[[#This Row],[ctry]],raw[yr],AF$1)</f>
        <v/>
      </c>
      <c r="AG23" s="1649">
        <f>SUMIFS(raw[stay],raw[ctry],mainW[[#This Row],[ctry]],raw[yr],AG$1)</f>
        <v/>
      </c>
      <c r="AH23" s="1649">
        <f>SUMIFS(raw[stay],raw[ctry],mainW[[#This Row],[ctry]],raw[yr],AH$1)</f>
        <v/>
      </c>
      <c r="AI23" s="1649">
        <f>SUMIFS(raw[stay],raw[ctry],mainW[[#This Row],[ctry]],raw[yr],AI$1)</f>
        <v/>
      </c>
      <c r="AJ23" s="1649">
        <f>SUMIFS(raw[stay],raw[ctry],mainW[[#This Row],[ctry]],raw[yr],AJ$1)</f>
        <v/>
      </c>
      <c r="AK23" s="1649">
        <f>SUMIFS(raw[stay],raw[ctry],mainW[[#This Row],[ctry]],raw[yr],AK$1)</f>
        <v/>
      </c>
      <c r="AL23" s="1649">
        <f>SUMIFS(raw[stay],raw[ctry],mainW[[#This Row],[ctry]],raw[yr],AL$1)</f>
        <v/>
      </c>
      <c r="AM23" s="1649">
        <f>SUMIFS(raw[stay],raw[ctry],mainW[[#This Row],[ctry]],raw[yr],AM$1)</f>
        <v/>
      </c>
      <c r="AN23" s="1649">
        <f>SUMIFS(raw[stay],raw[ctry],mainW[[#This Row],[ctry]],raw[yr],AN$1)</f>
        <v/>
      </c>
      <c r="AO23" s="1620" t="n"/>
      <c r="AP23" s="1597">
        <f>AP22+1</f>
        <v/>
      </c>
      <c r="AQ23" s="1636">
        <f>'@Refr'!P16</f>
        <v/>
      </c>
      <c r="AR23" s="1603">
        <f>_xlfn.XLOOKUP(citySeq[[#This Row],[city]],ccc[city],ccc[ctry],"-")</f>
        <v/>
      </c>
      <c r="AS23" s="1604">
        <f>_xlfn.MINIFS(stayCity[in], stayCity[city], citySeq[[#This Row],[city]])</f>
        <v/>
      </c>
      <c r="AT23" s="1637">
        <f>_xlfn.MAXIFS(raw[out], raw[city], citySeq[[#This Row],[city]])</f>
        <v/>
      </c>
      <c r="AU23" s="1638">
        <f>SUMIFS(stayCity[in],stayCity[city],citySeq[[#This Row],[city]],stayCity[stay],citySeq[[#This Row],[seq]])</f>
        <v/>
      </c>
      <c r="AV23" s="1638">
        <f>SUMIFS(stayCity[out],stayCity[city],citySeq[[#This Row],[city]],stayCity[stay],citySeq[[#This Row],[seq]])</f>
        <v/>
      </c>
      <c r="AW23" s="1603">
        <f t="array" ref="AW23">MAX(IF(stayCity[city]=citySeq[[#This Row],[city]],stayCity[stay]))</f>
        <v/>
      </c>
      <c r="AX23" s="1603">
        <f t="array" ref="AX23">ROWS(_xlfn.UNIQUE(_xlfn._xlws.FILTER(raw[yr], raw[city]=citySeq[[#This Row],[city]])))</f>
        <v/>
      </c>
      <c r="AY23" s="1603">
        <f>_xlfn.XLOOKUP(citySeq[[#This Row],[city]],cities[city],cities[stay])</f>
        <v/>
      </c>
      <c r="AZ23" s="1611" t="n"/>
      <c r="BA23" s="1597">
        <f>BA22+1</f>
        <v/>
      </c>
      <c r="BB23" s="1643">
        <f>G18</f>
        <v/>
      </c>
      <c r="BC23" s="1603">
        <f>INT(SUMIFS(raw[stay],raw[ctry],$BB23,raw[dec],BC$1))</f>
        <v/>
      </c>
      <c r="BD23" s="1603">
        <f>INT(SUMIFS(raw[stay],raw[ctry],$BB23,raw[dec],BD$1))</f>
        <v/>
      </c>
      <c r="BE23" s="1603">
        <f>INT(SUMIFS(raw[stay],raw[ctry],$BB23,raw[dec],BE$1))</f>
        <v/>
      </c>
      <c r="BF23" s="1603">
        <f>INT(SUMIFS(raw[stay],raw[ctry],$BB23,raw[dec],BF$1))</f>
        <v/>
      </c>
      <c r="BG23" s="1603">
        <f>INT(SUMIFS(raw[stay],raw[ctry],$BB23,raw[dec],BG$1))</f>
        <v/>
      </c>
      <c r="BH23" s="1597" t="n"/>
      <c r="BI23" s="1641">
        <f>(_xlfn.MAXIFS(raw[out],raw[ctry],BB23)-_xlfn.MINIFS(raw[out],raw[ctry],BB23))/365.25</f>
        <v/>
      </c>
      <c r="BJ23" s="1610">
        <f>COUNTIF(cities[ctry],BB23)</f>
        <v/>
      </c>
      <c r="BK23" s="1611" t="n"/>
      <c r="BL23" s="1612" t="n"/>
      <c r="BM23" s="1612" t="inlineStr">
        <is>
          <t>Equivalencia</t>
        </is>
      </c>
      <c r="BN23" s="1612" t="n"/>
      <c r="BO23" s="1612" t="n"/>
      <c r="BP23" s="1612" t="n"/>
      <c r="BQ23" s="1612" t="n"/>
      <c r="BR23" s="1659" t="inlineStr">
        <is>
          <t>Spain</t>
        </is>
      </c>
      <c r="BS23" s="1612" t="n"/>
      <c r="BT23" s="1612" t="n"/>
      <c r="BU23" s="1612" t="n"/>
      <c r="BV23" s="1612" t="n"/>
      <c r="BW23" s="1612" t="n"/>
      <c r="BX23" s="1612" t="n"/>
      <c r="BY23" s="1612" t="n"/>
      <c r="BZ23" s="1612" t="n"/>
      <c r="CA23" s="1612" t="n"/>
      <c r="CB23" s="1612" t="n"/>
      <c r="CC23" s="1612" t="n"/>
      <c r="CD23" s="1612" t="n"/>
      <c r="CE23" s="1612" t="n"/>
      <c r="CF23" s="1612" t="n"/>
    </row>
    <row r="24" ht="14" customHeight="1">
      <c r="A24" s="1615">
        <f>IF(mainW[[#This Row],[yrs]]=0,"",A23+1)</f>
        <v/>
      </c>
      <c r="B24" s="1615" t="n">
        <v>14</v>
      </c>
      <c r="C24" s="1652">
        <f>INT(SUM(H24:AO24))</f>
        <v/>
      </c>
      <c r="D24" s="1615">
        <f t="array" ref="D24">MAX(IF(stayCtry[ctry]=$G24,stayCtry[stay]))</f>
        <v/>
      </c>
      <c r="E24" s="1615">
        <f>COUNTIF(entryCtry[],mainW[[#This Row],[ctry]])</f>
        <v/>
      </c>
      <c r="F24" s="1615">
        <f>COUNTIF(H24:AO24,"&gt;=1")+COUNTIFS(H24:AO24,"&gt;0",H24:AO24,"&lt;1")/100</f>
        <v/>
      </c>
      <c r="G24" s="1648">
        <f>_xlfn.XLOOKUP(mainW[[#This Row],['#]],ctries[id],ctries[ctry],"-")</f>
        <v/>
      </c>
      <c r="H24" s="1649">
        <f>SUMIFS(raw[stay],raw[ctry],mainW[[#This Row],[ctry]],raw[yr],H$1)</f>
        <v/>
      </c>
      <c r="I24" s="1649">
        <f>SUMIFS(raw[stay],raw[ctry],mainW[[#This Row],[ctry]],raw[yr],I$1)</f>
        <v/>
      </c>
      <c r="J24" s="1649">
        <f>SUMIFS(raw[stay],raw[ctry],mainW[[#This Row],[ctry]],raw[yr],J$1)</f>
        <v/>
      </c>
      <c r="K24" s="1649">
        <f>SUMIFS(raw[stay],raw[ctry],mainW[[#This Row],[ctry]],raw[yr],K$1)</f>
        <v/>
      </c>
      <c r="L24" s="1649">
        <f>SUMIFS(raw[stay],raw[ctry],mainW[[#This Row],[ctry]],raw[yr],L$1)</f>
        <v/>
      </c>
      <c r="M24" s="1649">
        <f>SUMIFS(raw[stay],raw[ctry],mainW[[#This Row],[ctry]],raw[yr],M$1)</f>
        <v/>
      </c>
      <c r="N24" s="1649">
        <f>SUMIFS(raw[stay],raw[ctry],mainW[[#This Row],[ctry]],raw[yr],N$1)</f>
        <v/>
      </c>
      <c r="O24" s="1649">
        <f>SUMIFS(raw[stay],raw[ctry],mainW[[#This Row],[ctry]],raw[yr],O$1)</f>
        <v/>
      </c>
      <c r="P24" s="1649">
        <f>SUMIFS(raw[stay],raw[ctry],mainW[[#This Row],[ctry]],raw[yr],P$1)</f>
        <v/>
      </c>
      <c r="Q24" s="1649">
        <f>SUMIFS(raw[stay],raw[ctry],mainW[[#This Row],[ctry]],raw[yr],Q$1)</f>
        <v/>
      </c>
      <c r="R24" s="1649">
        <f>SUMIFS(raw[stay],raw[ctry],mainW[[#This Row],[ctry]],raw[yr],R$1)</f>
        <v/>
      </c>
      <c r="S24" s="1649">
        <f>SUMIFS(raw[stay],raw[ctry],mainW[[#This Row],[ctry]],raw[yr],S$1)</f>
        <v/>
      </c>
      <c r="T24" s="1649">
        <f>SUMIFS(raw[stay],raw[ctry],mainW[[#This Row],[ctry]],raw[yr],T$1)</f>
        <v/>
      </c>
      <c r="U24" s="1649">
        <f>SUMIFS(raw[stay],raw[ctry],mainW[[#This Row],[ctry]],raw[yr],U$1)</f>
        <v/>
      </c>
      <c r="V24" s="1649">
        <f>SUMIFS(raw[stay],raw[ctry],mainW[[#This Row],[ctry]],raw[yr],V$1)</f>
        <v/>
      </c>
      <c r="W24" s="1649">
        <f>SUMIFS(raw[stay],raw[ctry],mainW[[#This Row],[ctry]],raw[yr],W$1)</f>
        <v/>
      </c>
      <c r="X24" s="1649">
        <f>SUMIFS(raw[stay],raw[ctry],mainW[[#This Row],[ctry]],raw[yr],X$1)</f>
        <v/>
      </c>
      <c r="Y24" s="1649">
        <f>SUMIFS(raw[stay],raw[ctry],mainW[[#This Row],[ctry]],raw[yr],Y$1)</f>
        <v/>
      </c>
      <c r="Z24" s="1649">
        <f>SUMIFS(raw[stay],raw[ctry],mainW[[#This Row],[ctry]],raw[yr],Z$1)</f>
        <v/>
      </c>
      <c r="AA24" s="1649">
        <f>SUMIFS(raw[stay],raw[ctry],mainW[[#This Row],[ctry]],raw[yr],AA$1)</f>
        <v/>
      </c>
      <c r="AB24" s="1649">
        <f>SUMIFS(raw[stay],raw[ctry],mainW[[#This Row],[ctry]],raw[yr],AB$1)</f>
        <v/>
      </c>
      <c r="AC24" s="1649">
        <f>SUMIFS(raw[stay],raw[ctry],mainW[[#This Row],[ctry]],raw[yr],AC$1)</f>
        <v/>
      </c>
      <c r="AD24" s="1649">
        <f>SUMIFS(raw[stay],raw[ctry],mainW[[#This Row],[ctry]],raw[yr],AD$1)</f>
        <v/>
      </c>
      <c r="AE24" s="1649">
        <f>SUMIFS(raw[stay],raw[ctry],mainW[[#This Row],[ctry]],raw[yr],AE$1)</f>
        <v/>
      </c>
      <c r="AF24" s="1649">
        <f>SUMIFS(raw[stay],raw[ctry],mainW[[#This Row],[ctry]],raw[yr],AF$1)</f>
        <v/>
      </c>
      <c r="AG24" s="1649">
        <f>SUMIFS(raw[stay],raw[ctry],mainW[[#This Row],[ctry]],raw[yr],AG$1)</f>
        <v/>
      </c>
      <c r="AH24" s="1649">
        <f>SUMIFS(raw[stay],raw[ctry],mainW[[#This Row],[ctry]],raw[yr],AH$1)</f>
        <v/>
      </c>
      <c r="AI24" s="1649">
        <f>SUMIFS(raw[stay],raw[ctry],mainW[[#This Row],[ctry]],raw[yr],AI$1)</f>
        <v/>
      </c>
      <c r="AJ24" s="1649">
        <f>SUMIFS(raw[stay],raw[ctry],mainW[[#This Row],[ctry]],raw[yr],AJ$1)</f>
        <v/>
      </c>
      <c r="AK24" s="1649">
        <f>SUMIFS(raw[stay],raw[ctry],mainW[[#This Row],[ctry]],raw[yr],AK$1)</f>
        <v/>
      </c>
      <c r="AL24" s="1649">
        <f>SUMIFS(raw[stay],raw[ctry],mainW[[#This Row],[ctry]],raw[yr],AL$1)</f>
        <v/>
      </c>
      <c r="AM24" s="1649">
        <f>SUMIFS(raw[stay],raw[ctry],mainW[[#This Row],[ctry]],raw[yr],AM$1)</f>
        <v/>
      </c>
      <c r="AN24" s="1649">
        <f>SUMIFS(raw[stay],raw[ctry],mainW[[#This Row],[ctry]],raw[yr],AN$1)</f>
        <v/>
      </c>
      <c r="AO24" s="1620" t="n"/>
      <c r="AP24" s="1597">
        <f>AP23+1</f>
        <v/>
      </c>
      <c r="AQ24" s="1636">
        <f>'@Refr'!P17</f>
        <v/>
      </c>
      <c r="AR24" s="1603">
        <f>_xlfn.XLOOKUP(citySeq[[#This Row],[city]],ccc[city],ccc[ctry],"-")</f>
        <v/>
      </c>
      <c r="AS24" s="1604">
        <f>_xlfn.MINIFS(stayCity[in], stayCity[city], citySeq[[#This Row],[city]])</f>
        <v/>
      </c>
      <c r="AT24" s="1637">
        <f>_xlfn.MAXIFS(raw[out], raw[city], citySeq[[#This Row],[city]])</f>
        <v/>
      </c>
      <c r="AU24" s="1638">
        <f>SUMIFS(stayCity[in],stayCity[city],citySeq[[#This Row],[city]],stayCity[stay],citySeq[[#This Row],[seq]])</f>
        <v/>
      </c>
      <c r="AV24" s="1638">
        <f>SUMIFS(stayCity[out],stayCity[city],citySeq[[#This Row],[city]],stayCity[stay],citySeq[[#This Row],[seq]])</f>
        <v/>
      </c>
      <c r="AW24" s="1603">
        <f t="array" ref="AW24">MAX(IF(stayCity[city]=citySeq[[#This Row],[city]],stayCity[stay]))</f>
        <v/>
      </c>
      <c r="AX24" s="1603">
        <f t="array" ref="AX24">ROWS(_xlfn.UNIQUE(_xlfn._xlws.FILTER(raw[yr], raw[city]=citySeq[[#This Row],[city]])))</f>
        <v/>
      </c>
      <c r="AY24" s="1603">
        <f>_xlfn.XLOOKUP(citySeq[[#This Row],[city]],cities[city],cities[stay])</f>
        <v/>
      </c>
      <c r="AZ24" s="1660" t="inlineStr">
        <is>
          <t>.</t>
        </is>
      </c>
      <c r="BA24" s="1597">
        <f>BA23+1</f>
        <v/>
      </c>
      <c r="BB24" s="1643">
        <f>G19</f>
        <v/>
      </c>
      <c r="BC24" s="1603">
        <f>INT(SUMIFS(raw[stay],raw[ctry],$BB24,raw[dec],BC$1))</f>
        <v/>
      </c>
      <c r="BD24" s="1603">
        <f>INT(SUMIFS(raw[stay],raw[ctry],$BB24,raw[dec],BD$1))</f>
        <v/>
      </c>
      <c r="BE24" s="1603">
        <f>INT(SUMIFS(raw[stay],raw[ctry],$BB24,raw[dec],BE$1))</f>
        <v/>
      </c>
      <c r="BF24" s="1603">
        <f>INT(SUMIFS(raw[stay],raw[ctry],$BB24,raw[dec],BF$1))</f>
        <v/>
      </c>
      <c r="BG24" s="1603">
        <f>INT(SUMIFS(raw[stay],raw[ctry],$BB24,raw[dec],BG$1))</f>
        <v/>
      </c>
      <c r="BH24" s="1597" t="n"/>
      <c r="BI24" s="1641">
        <f>(_xlfn.MAXIFS(raw[out],raw[ctry],BB24)-_xlfn.MINIFS(raw[out],raw[ctry],BB24))/365.25</f>
        <v/>
      </c>
      <c r="BJ24" s="1610">
        <f>COUNTIF(cities[ctry],BB24)</f>
        <v/>
      </c>
      <c r="BK24" s="1611" t="n"/>
      <c r="BL24" s="1612" t="n"/>
      <c r="BM24" s="1661" t="inlineStr">
        <is>
          <t>Porto: CVs !</t>
        </is>
      </c>
      <c r="BN24" s="1612" t="n"/>
      <c r="BO24" s="1612" t="n"/>
      <c r="BP24" s="1612" t="inlineStr">
        <is>
          <t>CS</t>
        </is>
      </c>
      <c r="BQ24" s="1612" t="n"/>
      <c r="BR24" s="1657" t="n"/>
      <c r="BS24" s="1612" t="n"/>
      <c r="BT24" s="1612" t="n"/>
      <c r="BU24" s="1612" t="n"/>
      <c r="BV24" s="1612" t="n"/>
      <c r="BW24" s="1612" t="n"/>
      <c r="BX24" s="1612" t="n"/>
      <c r="BY24" s="1612" t="n"/>
      <c r="BZ24" s="1612" t="n"/>
      <c r="CA24" s="1612" t="n"/>
      <c r="CB24" s="1612" t="n"/>
      <c r="CC24" s="1612" t="n"/>
      <c r="CD24" s="1612" t="n"/>
      <c r="CE24" s="1612" t="n"/>
      <c r="CF24" s="1612" t="n"/>
    </row>
    <row r="25" ht="14" customHeight="1">
      <c r="A25" s="1596">
        <f>IF(mainW[[#This Row],[yrs]]=0,"",A24+1)</f>
        <v/>
      </c>
      <c r="B25" s="1596" t="n">
        <v>18</v>
      </c>
      <c r="C25" s="1647">
        <f>INT(SUM(H25:AO25))</f>
        <v/>
      </c>
      <c r="D25" s="1596">
        <f t="array" ref="D25">MAX(IF(stayCtry[ctry]=$G25,stayCtry[stay]))</f>
        <v/>
      </c>
      <c r="E25" s="1596">
        <f>COUNTIF(entryCtry[],mainW[[#This Row],[ctry]])</f>
        <v/>
      </c>
      <c r="F25" s="1596">
        <f>COUNTIF(H25:AO25,"&gt;=1")+COUNTIFS(H25:AO25,"&gt;0",H25:AO25,"&lt;1")/100</f>
        <v/>
      </c>
      <c r="G25" s="1648">
        <f>_xlfn.XLOOKUP(mainW[[#This Row],['#]],ctries[id],ctries[ctry],"-")</f>
        <v/>
      </c>
      <c r="H25" s="1649">
        <f>SUMIFS(raw[stay],raw[ctry],mainW[[#This Row],[ctry]],raw[yr],H$1)</f>
        <v/>
      </c>
      <c r="I25" s="1649">
        <f>SUMIFS(raw[stay],raw[ctry],mainW[[#This Row],[ctry]],raw[yr],I$1)</f>
        <v/>
      </c>
      <c r="J25" s="1649">
        <f>SUMIFS(raw[stay],raw[ctry],mainW[[#This Row],[ctry]],raw[yr],J$1)</f>
        <v/>
      </c>
      <c r="K25" s="1649">
        <f>SUMIFS(raw[stay],raw[ctry],mainW[[#This Row],[ctry]],raw[yr],K$1)</f>
        <v/>
      </c>
      <c r="L25" s="1649">
        <f>SUMIFS(raw[stay],raw[ctry],mainW[[#This Row],[ctry]],raw[yr],L$1)</f>
        <v/>
      </c>
      <c r="M25" s="1649">
        <f>SUMIFS(raw[stay],raw[ctry],mainW[[#This Row],[ctry]],raw[yr],M$1)</f>
        <v/>
      </c>
      <c r="N25" s="1649">
        <f>SUMIFS(raw[stay],raw[ctry],mainW[[#This Row],[ctry]],raw[yr],N$1)</f>
        <v/>
      </c>
      <c r="O25" s="1649">
        <f>SUMIFS(raw[stay],raw[ctry],mainW[[#This Row],[ctry]],raw[yr],O$1)</f>
        <v/>
      </c>
      <c r="P25" s="1649">
        <f>SUMIFS(raw[stay],raw[ctry],mainW[[#This Row],[ctry]],raw[yr],P$1)</f>
        <v/>
      </c>
      <c r="Q25" s="1649">
        <f>SUMIFS(raw[stay],raw[ctry],mainW[[#This Row],[ctry]],raw[yr],Q$1)</f>
        <v/>
      </c>
      <c r="R25" s="1649">
        <f>SUMIFS(raw[stay],raw[ctry],mainW[[#This Row],[ctry]],raw[yr],R$1)</f>
        <v/>
      </c>
      <c r="S25" s="1649">
        <f>SUMIFS(raw[stay],raw[ctry],mainW[[#This Row],[ctry]],raw[yr],S$1)</f>
        <v/>
      </c>
      <c r="T25" s="1649">
        <f>SUMIFS(raw[stay],raw[ctry],mainW[[#This Row],[ctry]],raw[yr],T$1)</f>
        <v/>
      </c>
      <c r="U25" s="1649">
        <f>SUMIFS(raw[stay],raw[ctry],mainW[[#This Row],[ctry]],raw[yr],U$1)</f>
        <v/>
      </c>
      <c r="V25" s="1649">
        <f>SUMIFS(raw[stay],raw[ctry],mainW[[#This Row],[ctry]],raw[yr],V$1)</f>
        <v/>
      </c>
      <c r="W25" s="1649">
        <f>SUMIFS(raw[stay],raw[ctry],mainW[[#This Row],[ctry]],raw[yr],W$1)</f>
        <v/>
      </c>
      <c r="X25" s="1649">
        <f>SUMIFS(raw[stay],raw[ctry],mainW[[#This Row],[ctry]],raw[yr],X$1)</f>
        <v/>
      </c>
      <c r="Y25" s="1649">
        <f>SUMIFS(raw[stay],raw[ctry],mainW[[#This Row],[ctry]],raw[yr],Y$1)</f>
        <v/>
      </c>
      <c r="Z25" s="1649">
        <f>SUMIFS(raw[stay],raw[ctry],mainW[[#This Row],[ctry]],raw[yr],Z$1)</f>
        <v/>
      </c>
      <c r="AA25" s="1649">
        <f>SUMIFS(raw[stay],raw[ctry],mainW[[#This Row],[ctry]],raw[yr],AA$1)</f>
        <v/>
      </c>
      <c r="AB25" s="1649">
        <f>SUMIFS(raw[stay],raw[ctry],mainW[[#This Row],[ctry]],raw[yr],AB$1)</f>
        <v/>
      </c>
      <c r="AC25" s="1649">
        <f>SUMIFS(raw[stay],raw[ctry],mainW[[#This Row],[ctry]],raw[yr],AC$1)</f>
        <v/>
      </c>
      <c r="AD25" s="1649">
        <f>SUMIFS(raw[stay],raw[ctry],mainW[[#This Row],[ctry]],raw[yr],AD$1)</f>
        <v/>
      </c>
      <c r="AE25" s="1649">
        <f>SUMIFS(raw[stay],raw[ctry],mainW[[#This Row],[ctry]],raw[yr],AE$1)</f>
        <v/>
      </c>
      <c r="AF25" s="1649">
        <f>SUMIFS(raw[stay],raw[ctry],mainW[[#This Row],[ctry]],raw[yr],AF$1)</f>
        <v/>
      </c>
      <c r="AG25" s="1649">
        <f>SUMIFS(raw[stay],raw[ctry],mainW[[#This Row],[ctry]],raw[yr],AG$1)</f>
        <v/>
      </c>
      <c r="AH25" s="1649">
        <f>SUMIFS(raw[stay],raw[ctry],mainW[[#This Row],[ctry]],raw[yr],AH$1)</f>
        <v/>
      </c>
      <c r="AI25" s="1649">
        <f>SUMIFS(raw[stay],raw[ctry],mainW[[#This Row],[ctry]],raw[yr],AI$1)</f>
        <v/>
      </c>
      <c r="AJ25" s="1649">
        <f>SUMIFS(raw[stay],raw[ctry],mainW[[#This Row],[ctry]],raw[yr],AJ$1)</f>
        <v/>
      </c>
      <c r="AK25" s="1649">
        <f>SUMIFS(raw[stay],raw[ctry],mainW[[#This Row],[ctry]],raw[yr],AK$1)</f>
        <v/>
      </c>
      <c r="AL25" s="1649">
        <f>SUMIFS(raw[stay],raw[ctry],mainW[[#This Row],[ctry]],raw[yr],AL$1)</f>
        <v/>
      </c>
      <c r="AM25" s="1649">
        <f>SUMIFS(raw[stay],raw[ctry],mainW[[#This Row],[ctry]],raw[yr],AM$1)</f>
        <v/>
      </c>
      <c r="AN25" s="1649">
        <f>SUMIFS(raw[stay],raw[ctry],mainW[[#This Row],[ctry]],raw[yr],AN$1)</f>
        <v/>
      </c>
      <c r="AO25" s="1620" t="n"/>
      <c r="AP25" s="1597">
        <f>AP24+1</f>
        <v/>
      </c>
      <c r="AQ25" s="1636">
        <f>'@Refr'!P18</f>
        <v/>
      </c>
      <c r="AR25" s="1603">
        <f>_xlfn.XLOOKUP(citySeq[[#This Row],[city]],ccc[city],ccc[ctry],"-")</f>
        <v/>
      </c>
      <c r="AS25" s="1604">
        <f>_xlfn.MINIFS(stayCity[in], stayCity[city], citySeq[[#This Row],[city]])</f>
        <v/>
      </c>
      <c r="AT25" s="1637">
        <f>_xlfn.MAXIFS(raw[out], raw[city], citySeq[[#This Row],[city]])</f>
        <v/>
      </c>
      <c r="AU25" s="1638">
        <f>SUMIFS(stayCity[in],stayCity[city],citySeq[[#This Row],[city]],stayCity[stay],citySeq[[#This Row],[seq]])</f>
        <v/>
      </c>
      <c r="AV25" s="1638">
        <f>SUMIFS(stayCity[out],stayCity[city],citySeq[[#This Row],[city]],stayCity[stay],citySeq[[#This Row],[seq]])</f>
        <v/>
      </c>
      <c r="AW25" s="1603">
        <f t="array" ref="AW25">MAX(IF(stayCity[city]=citySeq[[#This Row],[city]],stayCity[stay]))</f>
        <v/>
      </c>
      <c r="AX25" s="1603">
        <f t="array" ref="AX25">ROWS(_xlfn.UNIQUE(_xlfn._xlws.FILTER(raw[yr], raw[city]=citySeq[[#This Row],[city]])))</f>
        <v/>
      </c>
      <c r="AY25" s="1603">
        <f>_xlfn.XLOOKUP(citySeq[[#This Row],[city]],cities[city],cities[stay])</f>
        <v/>
      </c>
      <c r="AZ25" s="1660" t="inlineStr">
        <is>
          <t>.</t>
        </is>
      </c>
      <c r="BA25" s="1597" t="n"/>
      <c r="BB25" s="1597" t="n"/>
      <c r="BC25" s="1597" t="n"/>
      <c r="BD25" s="1597" t="n"/>
      <c r="BE25" s="1597" t="n"/>
      <c r="BF25" s="1597" t="n"/>
      <c r="BG25" s="1597" t="n"/>
      <c r="BH25" s="1597" t="n"/>
      <c r="BI25" s="1597" t="n"/>
      <c r="BJ25" s="1597" t="n"/>
      <c r="BK25" s="1611" t="n"/>
      <c r="BL25" s="1612" t="n"/>
      <c r="BM25" s="1661" t="inlineStr">
        <is>
          <t>Porto: Psy engage</t>
        </is>
      </c>
      <c r="BN25" s="1612" t="n"/>
      <c r="BO25" s="1612" t="n"/>
      <c r="BP25" s="1612" t="inlineStr">
        <is>
          <t>VF: email Record</t>
        </is>
      </c>
      <c r="BQ25" s="1612" t="n"/>
      <c r="BR25" s="1657" t="inlineStr">
        <is>
          <t>ME</t>
        </is>
      </c>
      <c r="BS25" s="1612" t="n"/>
      <c r="BT25" s="1612" t="n"/>
      <c r="BU25" s="1612" t="n"/>
      <c r="BV25" s="1612" t="n"/>
      <c r="BW25" s="1612" t="n"/>
      <c r="BX25" s="1612" t="n"/>
      <c r="BY25" s="1612" t="n"/>
      <c r="BZ25" s="1612" t="n"/>
      <c r="CA25" s="1612" t="n"/>
      <c r="CB25" s="1612" t="n"/>
      <c r="CC25" s="1612" t="n"/>
      <c r="CD25" s="1612" t="n"/>
      <c r="CE25" s="1612" t="n"/>
      <c r="CF25" s="1612" t="n"/>
    </row>
    <row r="26" ht="14" customHeight="1">
      <c r="A26" s="1615">
        <f>IF(mainW[[#This Row],[yrs]]=0,"",A25+1)</f>
        <v/>
      </c>
      <c r="B26" s="1615" t="n">
        <v>22</v>
      </c>
      <c r="C26" s="1652">
        <f>INT(SUM(H26:AO26))</f>
        <v/>
      </c>
      <c r="D26" s="1615">
        <f t="array" ref="D26">MAX(IF(stayCtry[ctry]=$G26,stayCtry[stay]))</f>
        <v/>
      </c>
      <c r="E26" s="1615">
        <f>COUNTIF(entryCtry[],mainW[[#This Row],[ctry]])</f>
        <v/>
      </c>
      <c r="F26" s="1615">
        <f>COUNTIF(H26:AO26,"&gt;=1")+COUNTIFS(H26:AO26,"&gt;0",H26:AO26,"&lt;1")/100</f>
        <v/>
      </c>
      <c r="G26" s="1648">
        <f>_xlfn.XLOOKUP(mainW[[#This Row],['#]],ctries[id],ctries[ctry],"-")</f>
        <v/>
      </c>
      <c r="H26" s="1649">
        <f>SUMIFS(raw[stay],raw[ctry],mainW[[#This Row],[ctry]],raw[yr],H$1)</f>
        <v/>
      </c>
      <c r="I26" s="1649">
        <f>SUMIFS(raw[stay],raw[ctry],mainW[[#This Row],[ctry]],raw[yr],I$1)</f>
        <v/>
      </c>
      <c r="J26" s="1649">
        <f>SUMIFS(raw[stay],raw[ctry],mainW[[#This Row],[ctry]],raw[yr],J$1)</f>
        <v/>
      </c>
      <c r="K26" s="1649">
        <f>SUMIFS(raw[stay],raw[ctry],mainW[[#This Row],[ctry]],raw[yr],K$1)</f>
        <v/>
      </c>
      <c r="L26" s="1649">
        <f>SUMIFS(raw[stay],raw[ctry],mainW[[#This Row],[ctry]],raw[yr],L$1)</f>
        <v/>
      </c>
      <c r="M26" s="1649">
        <f>SUMIFS(raw[stay],raw[ctry],mainW[[#This Row],[ctry]],raw[yr],M$1)</f>
        <v/>
      </c>
      <c r="N26" s="1649">
        <f>SUMIFS(raw[stay],raw[ctry],mainW[[#This Row],[ctry]],raw[yr],N$1)</f>
        <v/>
      </c>
      <c r="O26" s="1649">
        <f>SUMIFS(raw[stay],raw[ctry],mainW[[#This Row],[ctry]],raw[yr],O$1)</f>
        <v/>
      </c>
      <c r="P26" s="1649">
        <f>SUMIFS(raw[stay],raw[ctry],mainW[[#This Row],[ctry]],raw[yr],P$1)</f>
        <v/>
      </c>
      <c r="Q26" s="1649">
        <f>SUMIFS(raw[stay],raw[ctry],mainW[[#This Row],[ctry]],raw[yr],Q$1)</f>
        <v/>
      </c>
      <c r="R26" s="1649">
        <f>SUMIFS(raw[stay],raw[ctry],mainW[[#This Row],[ctry]],raw[yr],R$1)</f>
        <v/>
      </c>
      <c r="S26" s="1649">
        <f>SUMIFS(raw[stay],raw[ctry],mainW[[#This Row],[ctry]],raw[yr],S$1)</f>
        <v/>
      </c>
      <c r="T26" s="1649">
        <f>SUMIFS(raw[stay],raw[ctry],mainW[[#This Row],[ctry]],raw[yr],T$1)</f>
        <v/>
      </c>
      <c r="U26" s="1649">
        <f>SUMIFS(raw[stay],raw[ctry],mainW[[#This Row],[ctry]],raw[yr],U$1)</f>
        <v/>
      </c>
      <c r="V26" s="1649">
        <f>SUMIFS(raw[stay],raw[ctry],mainW[[#This Row],[ctry]],raw[yr],V$1)</f>
        <v/>
      </c>
      <c r="W26" s="1649">
        <f>SUMIFS(raw[stay],raw[ctry],mainW[[#This Row],[ctry]],raw[yr],W$1)</f>
        <v/>
      </c>
      <c r="X26" s="1649">
        <f>SUMIFS(raw[stay],raw[ctry],mainW[[#This Row],[ctry]],raw[yr],X$1)</f>
        <v/>
      </c>
      <c r="Y26" s="1649">
        <f>SUMIFS(raw[stay],raw[ctry],mainW[[#This Row],[ctry]],raw[yr],Y$1)</f>
        <v/>
      </c>
      <c r="Z26" s="1649">
        <f>SUMIFS(raw[stay],raw[ctry],mainW[[#This Row],[ctry]],raw[yr],Z$1)</f>
        <v/>
      </c>
      <c r="AA26" s="1649">
        <f>SUMIFS(raw[stay],raw[ctry],mainW[[#This Row],[ctry]],raw[yr],AA$1)</f>
        <v/>
      </c>
      <c r="AB26" s="1649">
        <f>SUMIFS(raw[stay],raw[ctry],mainW[[#This Row],[ctry]],raw[yr],AB$1)</f>
        <v/>
      </c>
      <c r="AC26" s="1649">
        <f>SUMIFS(raw[stay],raw[ctry],mainW[[#This Row],[ctry]],raw[yr],AC$1)</f>
        <v/>
      </c>
      <c r="AD26" s="1649">
        <f>SUMIFS(raw[stay],raw[ctry],mainW[[#This Row],[ctry]],raw[yr],AD$1)</f>
        <v/>
      </c>
      <c r="AE26" s="1649">
        <f>SUMIFS(raw[stay],raw[ctry],mainW[[#This Row],[ctry]],raw[yr],AE$1)</f>
        <v/>
      </c>
      <c r="AF26" s="1649">
        <f>SUMIFS(raw[stay],raw[ctry],mainW[[#This Row],[ctry]],raw[yr],AF$1)</f>
        <v/>
      </c>
      <c r="AG26" s="1649">
        <f>SUMIFS(raw[stay],raw[ctry],mainW[[#This Row],[ctry]],raw[yr],AG$1)</f>
        <v/>
      </c>
      <c r="AH26" s="1649">
        <f>SUMIFS(raw[stay],raw[ctry],mainW[[#This Row],[ctry]],raw[yr],AH$1)</f>
        <v/>
      </c>
      <c r="AI26" s="1649">
        <f>SUMIFS(raw[stay],raw[ctry],mainW[[#This Row],[ctry]],raw[yr],AI$1)</f>
        <v/>
      </c>
      <c r="AJ26" s="1649">
        <f>SUMIFS(raw[stay],raw[ctry],mainW[[#This Row],[ctry]],raw[yr],AJ$1)</f>
        <v/>
      </c>
      <c r="AK26" s="1649">
        <f>SUMIFS(raw[stay],raw[ctry],mainW[[#This Row],[ctry]],raw[yr],AK$1)</f>
        <v/>
      </c>
      <c r="AL26" s="1649">
        <f>SUMIFS(raw[stay],raw[ctry],mainW[[#This Row],[ctry]],raw[yr],AL$1)</f>
        <v/>
      </c>
      <c r="AM26" s="1649">
        <f>SUMIFS(raw[stay],raw[ctry],mainW[[#This Row],[ctry]],raw[yr],AM$1)</f>
        <v/>
      </c>
      <c r="AN26" s="1649">
        <f>SUMIFS(raw[stay],raw[ctry],mainW[[#This Row],[ctry]],raw[yr],AN$1)</f>
        <v/>
      </c>
      <c r="AO26" s="1620" t="n"/>
      <c r="AP26" s="1597">
        <f>AP25+1</f>
        <v/>
      </c>
      <c r="AQ26" s="1636">
        <f>'@Refr'!P19</f>
        <v/>
      </c>
      <c r="AR26" s="1603">
        <f>_xlfn.XLOOKUP(citySeq[[#This Row],[city]],ccc[city],ccc[ctry],"-")</f>
        <v/>
      </c>
      <c r="AS26" s="1604">
        <f>_xlfn.MINIFS(stayCity[in], stayCity[city], citySeq[[#This Row],[city]])</f>
        <v/>
      </c>
      <c r="AT26" s="1637">
        <f>_xlfn.MAXIFS(raw[out], raw[city], citySeq[[#This Row],[city]])</f>
        <v/>
      </c>
      <c r="AU26" s="1638">
        <f>SUMIFS(stayCity[in],stayCity[city],citySeq[[#This Row],[city]],stayCity[stay],citySeq[[#This Row],[seq]])</f>
        <v/>
      </c>
      <c r="AV26" s="1638">
        <f>SUMIFS(stayCity[out],stayCity[city],citySeq[[#This Row],[city]],stayCity[stay],citySeq[[#This Row],[seq]])</f>
        <v/>
      </c>
      <c r="AW26" s="1603">
        <f t="array" ref="AW26">MAX(IF(stayCity[city]=citySeq[[#This Row],[city]],stayCity[stay]))</f>
        <v/>
      </c>
      <c r="AX26" s="1603">
        <f t="array" ref="AX26">ROWS(_xlfn.UNIQUE(_xlfn._xlws.FILTER(raw[yr], raw[city]=citySeq[[#This Row],[city]])))</f>
        <v/>
      </c>
      <c r="AY26" s="1603">
        <f>_xlfn.XLOOKUP(citySeq[[#This Row],[city]],cities[city],cities[stay])</f>
        <v/>
      </c>
      <c r="AZ26" s="1660" t="inlineStr">
        <is>
          <t>.</t>
        </is>
      </c>
      <c r="BA26" s="1597" t="n"/>
      <c r="BB26" s="1632">
        <f>DATE(MAX(BC26:BG26)-1,12,31)</f>
        <v/>
      </c>
      <c r="BC26" s="1633">
        <f>INT(YEAR(_xlfn.MINIFS(stayWB[in],stayWB[in],"&lt;&gt;0"))/10)*10</f>
        <v/>
      </c>
      <c r="BD26" s="1633">
        <f>BC26+10</f>
        <v/>
      </c>
      <c r="BE26" s="1633">
        <f>BD26+10</f>
        <v/>
      </c>
      <c r="BF26" s="1633">
        <f>BE26+10</f>
        <v/>
      </c>
      <c r="BG26" s="1633">
        <f>BF26+10</f>
        <v/>
      </c>
      <c r="BH26" s="1597" t="n"/>
      <c r="BI26" s="1633" t="inlineStr">
        <is>
          <t>span</t>
        </is>
      </c>
      <c r="BJ26" s="1633" t="n"/>
      <c r="BK26" s="1611" t="n"/>
      <c r="BL26" s="1612" t="n"/>
      <c r="BM26" s="1612" t="n"/>
      <c r="BN26" s="1612" t="n"/>
      <c r="BO26" s="1612" t="n"/>
      <c r="BP26" s="1612" t="n"/>
      <c r="BQ26" s="1612" t="n"/>
      <c r="BR26" s="1657" t="inlineStr">
        <is>
          <t>Spain CS</t>
        </is>
      </c>
      <c r="BS26" s="1612" t="n"/>
      <c r="BT26" s="1612" t="n"/>
      <c r="BU26" s="1612" t="n"/>
      <c r="BV26" s="1612" t="n"/>
      <c r="BW26" s="1612" t="n"/>
      <c r="BX26" s="1612" t="n"/>
      <c r="BY26" s="1612" t="n"/>
      <c r="BZ26" s="1612" t="n"/>
      <c r="CA26" s="1612" t="n"/>
      <c r="CB26" s="1612" t="n"/>
      <c r="CC26" s="1612" t="n"/>
      <c r="CD26" s="1612" t="n"/>
      <c r="CE26" s="1612" t="n"/>
      <c r="CF26" s="1612" t="n"/>
    </row>
    <row r="27" ht="14" customHeight="1">
      <c r="A27" s="1596">
        <f>IF(mainW[[#This Row],[yrs]]=0,"",A26+1)</f>
        <v/>
      </c>
      <c r="B27" s="1596" t="n">
        <v>27</v>
      </c>
      <c r="C27" s="1647">
        <f>INT(SUM(H27:AO27))</f>
        <v/>
      </c>
      <c r="D27" s="1647">
        <f t="array" ref="D27">MAX(IF(stayCtry[ctry]=$G27,stayCtry[stay]))</f>
        <v/>
      </c>
      <c r="E27" s="1596">
        <f>COUNTIF(entryCtry[],mainW[[#This Row],[ctry]])</f>
        <v/>
      </c>
      <c r="F27" s="1596">
        <f>COUNTIF(H27:AO27,"&gt;=1")+COUNTIFS(H27:AO27,"&gt;0",H27:AO27,"&lt;1")/100</f>
        <v/>
      </c>
      <c r="G27" s="1648">
        <f>_xlfn.XLOOKUP(mainW[[#This Row],['#]],ctries[id],ctries[ctry],"-")</f>
        <v/>
      </c>
      <c r="H27" s="1649">
        <f>SUMIFS(raw[stay],raw[ctry],mainW[[#This Row],[ctry]],raw[yr],H$1)</f>
        <v/>
      </c>
      <c r="I27" s="1649">
        <f>SUMIFS(raw[stay],raw[ctry],mainW[[#This Row],[ctry]],raw[yr],I$1)</f>
        <v/>
      </c>
      <c r="J27" s="1649">
        <f>SUMIFS(raw[stay],raw[ctry],mainW[[#This Row],[ctry]],raw[yr],J$1)</f>
        <v/>
      </c>
      <c r="K27" s="1649">
        <f>SUMIFS(raw[stay],raw[ctry],mainW[[#This Row],[ctry]],raw[yr],K$1)</f>
        <v/>
      </c>
      <c r="L27" s="1649">
        <f>SUMIFS(raw[stay],raw[ctry],mainW[[#This Row],[ctry]],raw[yr],L$1)</f>
        <v/>
      </c>
      <c r="M27" s="1649">
        <f>SUMIFS(raw[stay],raw[ctry],mainW[[#This Row],[ctry]],raw[yr],M$1)</f>
        <v/>
      </c>
      <c r="N27" s="1649">
        <f>SUMIFS(raw[stay],raw[ctry],mainW[[#This Row],[ctry]],raw[yr],N$1)</f>
        <v/>
      </c>
      <c r="O27" s="1649">
        <f>SUMIFS(raw[stay],raw[ctry],mainW[[#This Row],[ctry]],raw[yr],O$1)</f>
        <v/>
      </c>
      <c r="P27" s="1649">
        <f>SUMIFS(raw[stay],raw[ctry],mainW[[#This Row],[ctry]],raw[yr],P$1)</f>
        <v/>
      </c>
      <c r="Q27" s="1649">
        <f>SUMIFS(raw[stay],raw[ctry],mainW[[#This Row],[ctry]],raw[yr],Q$1)</f>
        <v/>
      </c>
      <c r="R27" s="1649">
        <f>SUMIFS(raw[stay],raw[ctry],mainW[[#This Row],[ctry]],raw[yr],R$1)</f>
        <v/>
      </c>
      <c r="S27" s="1649">
        <f>SUMIFS(raw[stay],raw[ctry],mainW[[#This Row],[ctry]],raw[yr],S$1)</f>
        <v/>
      </c>
      <c r="T27" s="1649">
        <f>SUMIFS(raw[stay],raw[ctry],mainW[[#This Row],[ctry]],raw[yr],T$1)</f>
        <v/>
      </c>
      <c r="U27" s="1649">
        <f>SUMIFS(raw[stay],raw[ctry],mainW[[#This Row],[ctry]],raw[yr],U$1)</f>
        <v/>
      </c>
      <c r="V27" s="1649">
        <f>SUMIFS(raw[stay],raw[ctry],mainW[[#This Row],[ctry]],raw[yr],V$1)</f>
        <v/>
      </c>
      <c r="W27" s="1649">
        <f>SUMIFS(raw[stay],raw[ctry],mainW[[#This Row],[ctry]],raw[yr],W$1)</f>
        <v/>
      </c>
      <c r="X27" s="1649">
        <f>SUMIFS(raw[stay],raw[ctry],mainW[[#This Row],[ctry]],raw[yr],X$1)</f>
        <v/>
      </c>
      <c r="Y27" s="1649">
        <f>SUMIFS(raw[stay],raw[ctry],mainW[[#This Row],[ctry]],raw[yr],Y$1)</f>
        <v/>
      </c>
      <c r="Z27" s="1649">
        <f>SUMIFS(raw[stay],raw[ctry],mainW[[#This Row],[ctry]],raw[yr],Z$1)</f>
        <v/>
      </c>
      <c r="AA27" s="1649">
        <f>SUMIFS(raw[stay],raw[ctry],mainW[[#This Row],[ctry]],raw[yr],AA$1)</f>
        <v/>
      </c>
      <c r="AB27" s="1649">
        <f>SUMIFS(raw[stay],raw[ctry],mainW[[#This Row],[ctry]],raw[yr],AB$1)</f>
        <v/>
      </c>
      <c r="AC27" s="1649">
        <f>SUMIFS(raw[stay],raw[ctry],mainW[[#This Row],[ctry]],raw[yr],AC$1)</f>
        <v/>
      </c>
      <c r="AD27" s="1649">
        <f>SUMIFS(raw[stay],raw[ctry],mainW[[#This Row],[ctry]],raw[yr],AD$1)</f>
        <v/>
      </c>
      <c r="AE27" s="1649">
        <f>SUMIFS(raw[stay],raw[ctry],mainW[[#This Row],[ctry]],raw[yr],AE$1)</f>
        <v/>
      </c>
      <c r="AF27" s="1649">
        <f>SUMIFS(raw[stay],raw[ctry],mainW[[#This Row],[ctry]],raw[yr],AF$1)</f>
        <v/>
      </c>
      <c r="AG27" s="1649">
        <f>SUMIFS(raw[stay],raw[ctry],mainW[[#This Row],[ctry]],raw[yr],AG$1)</f>
        <v/>
      </c>
      <c r="AH27" s="1649">
        <f>SUMIFS(raw[stay],raw[ctry],mainW[[#This Row],[ctry]],raw[yr],AH$1)</f>
        <v/>
      </c>
      <c r="AI27" s="1649">
        <f>SUMIFS(raw[stay],raw[ctry],mainW[[#This Row],[ctry]],raw[yr],AI$1)</f>
        <v/>
      </c>
      <c r="AJ27" s="1649">
        <f>SUMIFS(raw[stay],raw[ctry],mainW[[#This Row],[ctry]],raw[yr],AJ$1)</f>
        <v/>
      </c>
      <c r="AK27" s="1649">
        <f>SUMIFS(raw[stay],raw[ctry],mainW[[#This Row],[ctry]],raw[yr],AK$1)</f>
        <v/>
      </c>
      <c r="AL27" s="1649">
        <f>SUMIFS(raw[stay],raw[ctry],mainW[[#This Row],[ctry]],raw[yr],AL$1)</f>
        <v/>
      </c>
      <c r="AM27" s="1649">
        <f>SUMIFS(raw[stay],raw[ctry],mainW[[#This Row],[ctry]],raw[yr],AM$1)</f>
        <v/>
      </c>
      <c r="AN27" s="1649">
        <f>SUMIFS(raw[stay],raw[ctry],mainW[[#This Row],[ctry]],raw[yr],AN$1)</f>
        <v/>
      </c>
      <c r="AO27" s="1620" t="n"/>
      <c r="AP27" s="1597">
        <f>AP26+1</f>
        <v/>
      </c>
      <c r="AQ27" s="1636">
        <f>'@Refr'!P20</f>
        <v/>
      </c>
      <c r="AR27" s="1603">
        <f>_xlfn.XLOOKUP(citySeq[[#This Row],[city]],ccc[city],ccc[ctry],"-")</f>
        <v/>
      </c>
      <c r="AS27" s="1604">
        <f>_xlfn.MINIFS(stayCity[in], stayCity[city], citySeq[[#This Row],[city]])</f>
        <v/>
      </c>
      <c r="AT27" s="1637">
        <f>_xlfn.MAXIFS(raw[out], raw[city], citySeq[[#This Row],[city]])</f>
        <v/>
      </c>
      <c r="AU27" s="1638">
        <f>SUMIFS(stayCity[in],stayCity[city],citySeq[[#This Row],[city]],stayCity[stay],citySeq[[#This Row],[seq]])</f>
        <v/>
      </c>
      <c r="AV27" s="1638">
        <f>SUMIFS(stayCity[out],stayCity[city],citySeq[[#This Row],[city]],stayCity[stay],citySeq[[#This Row],[seq]])</f>
        <v/>
      </c>
      <c r="AW27" s="1603">
        <f t="array" ref="AW27">MAX(IF(stayCity[city]=citySeq[[#This Row],[city]],stayCity[stay]))</f>
        <v/>
      </c>
      <c r="AX27" s="1603">
        <f t="array" ref="AX27">ROWS(_xlfn.UNIQUE(_xlfn._xlws.FILTER(raw[yr], raw[city]=citySeq[[#This Row],[city]])))</f>
        <v/>
      </c>
      <c r="AY27" s="1603">
        <f>_xlfn.XLOOKUP(citySeq[[#This Row],[city]],cities[city],cities[stay])</f>
        <v/>
      </c>
      <c r="AZ27" s="1660" t="inlineStr">
        <is>
          <t>.</t>
        </is>
      </c>
      <c r="BA27" s="1597" t="n">
        <v>1</v>
      </c>
      <c r="BB27" s="1643">
        <f>AQ12</f>
        <v/>
      </c>
      <c r="BC27" s="1603">
        <f>INT(SUMIFS(raw[stay],raw[city],$BB27,raw[dec],BC$1))</f>
        <v/>
      </c>
      <c r="BD27" s="1603">
        <f>INT(SUMIFS(raw[stay],raw[city],$BB27,raw[dec],BD$1))</f>
        <v/>
      </c>
      <c r="BE27" s="1603">
        <f>INT(SUMIFS(raw[stay],raw[city],$BB27,raw[dec],BE$1))</f>
        <v/>
      </c>
      <c r="BF27" s="1603">
        <f>INT(SUMIFS(raw[stay],raw[city],$BB27,raw[dec],BF$1))</f>
        <v/>
      </c>
      <c r="BG27" s="1603">
        <f>INT(SUMIFS(raw[stay],raw[city],$BB27,raw[dec],BG$1))</f>
        <v/>
      </c>
      <c r="BH27" s="1597" t="n"/>
      <c r="BI27" s="1641">
        <f>(_xlfn.MAXIFS(raw[out],raw[city],BB27)-_xlfn.MINIFS(raw[out],raw[city],BB27))/365.25</f>
        <v/>
      </c>
      <c r="BJ27" s="1633" t="n"/>
      <c r="BK27" s="1611" t="n"/>
      <c r="BL27" s="1612" t="n"/>
      <c r="BM27" s="1612" t="n"/>
      <c r="BN27" s="1612" t="n"/>
      <c r="BO27" s="1612" t="n"/>
      <c r="BP27" s="1612" t="n"/>
      <c r="BQ27" s="1612" t="n"/>
      <c r="BR27" s="1662" t="inlineStr">
        <is>
          <t>London once?</t>
        </is>
      </c>
      <c r="BS27" s="1612" t="n"/>
      <c r="BT27" s="1612" t="n"/>
      <c r="BU27" s="1612" t="n"/>
      <c r="BV27" s="1612" t="n"/>
      <c r="BW27" s="1612" t="n"/>
      <c r="BX27" s="1612" t="n"/>
      <c r="BY27" s="1612" t="n"/>
      <c r="BZ27" s="1612" t="n"/>
      <c r="CA27" s="1612" t="n"/>
      <c r="CB27" s="1612" t="n"/>
      <c r="CC27" s="1612" t="n"/>
      <c r="CD27" s="1612" t="n"/>
      <c r="CE27" s="1612" t="n"/>
      <c r="CF27" s="1612" t="n"/>
    </row>
    <row r="28" ht="14" customHeight="1">
      <c r="A28" s="1615">
        <f>IF(mainW[[#This Row],[yrs]]=0,"",A27+1)</f>
        <v/>
      </c>
      <c r="B28" s="1615" t="n">
        <v>2</v>
      </c>
      <c r="C28" s="1652">
        <f>INT(SUM(H28:AO28))</f>
        <v/>
      </c>
      <c r="D28" s="1615">
        <f t="array" ref="D28">MAX(IF(stayCtry[ctry]=$G28,stayCtry[stay]))</f>
        <v/>
      </c>
      <c r="E28" s="1615">
        <f>COUNTIF(entryCtry[],mainW[[#This Row],[ctry]])</f>
        <v/>
      </c>
      <c r="F28" s="1615">
        <f>COUNTIF(H28:AO28,"&gt;=1")+COUNTIFS(H28:AO28,"&gt;0",H28:AO28,"&lt;1")/100</f>
        <v/>
      </c>
      <c r="G28" s="1648">
        <f>_xlfn.XLOOKUP(mainW[[#This Row],['#]],ctries[id],ctries[ctry],"-")</f>
        <v/>
      </c>
      <c r="H28" s="1649">
        <f>SUMIFS(raw[stay],raw[ctry],mainW[[#This Row],[ctry]],raw[yr],H$1)</f>
        <v/>
      </c>
      <c r="I28" s="1649">
        <f>SUMIFS(raw[stay],raw[ctry],mainW[[#This Row],[ctry]],raw[yr],I$1)</f>
        <v/>
      </c>
      <c r="J28" s="1649">
        <f>SUMIFS(raw[stay],raw[ctry],mainW[[#This Row],[ctry]],raw[yr],J$1)</f>
        <v/>
      </c>
      <c r="K28" s="1649">
        <f>SUMIFS(raw[stay],raw[ctry],mainW[[#This Row],[ctry]],raw[yr],K$1)</f>
        <v/>
      </c>
      <c r="L28" s="1649">
        <f>SUMIFS(raw[stay],raw[ctry],mainW[[#This Row],[ctry]],raw[yr],L$1)</f>
        <v/>
      </c>
      <c r="M28" s="1649">
        <f>SUMIFS(raw[stay],raw[ctry],mainW[[#This Row],[ctry]],raw[yr],M$1)</f>
        <v/>
      </c>
      <c r="N28" s="1649">
        <f>SUMIFS(raw[stay],raw[ctry],mainW[[#This Row],[ctry]],raw[yr],N$1)</f>
        <v/>
      </c>
      <c r="O28" s="1649">
        <f>SUMIFS(raw[stay],raw[ctry],mainW[[#This Row],[ctry]],raw[yr],O$1)</f>
        <v/>
      </c>
      <c r="P28" s="1649">
        <f>SUMIFS(raw[stay],raw[ctry],mainW[[#This Row],[ctry]],raw[yr],P$1)</f>
        <v/>
      </c>
      <c r="Q28" s="1649">
        <f>SUMIFS(raw[stay],raw[ctry],mainW[[#This Row],[ctry]],raw[yr],Q$1)</f>
        <v/>
      </c>
      <c r="R28" s="1649">
        <f>SUMIFS(raw[stay],raw[ctry],mainW[[#This Row],[ctry]],raw[yr],R$1)</f>
        <v/>
      </c>
      <c r="S28" s="1649">
        <f>SUMIFS(raw[stay],raw[ctry],mainW[[#This Row],[ctry]],raw[yr],S$1)</f>
        <v/>
      </c>
      <c r="T28" s="1649">
        <f>SUMIFS(raw[stay],raw[ctry],mainW[[#This Row],[ctry]],raw[yr],T$1)</f>
        <v/>
      </c>
      <c r="U28" s="1649">
        <f>SUMIFS(raw[stay],raw[ctry],mainW[[#This Row],[ctry]],raw[yr],U$1)</f>
        <v/>
      </c>
      <c r="V28" s="1649">
        <f>SUMIFS(raw[stay],raw[ctry],mainW[[#This Row],[ctry]],raw[yr],V$1)</f>
        <v/>
      </c>
      <c r="W28" s="1649">
        <f>SUMIFS(raw[stay],raw[ctry],mainW[[#This Row],[ctry]],raw[yr],W$1)</f>
        <v/>
      </c>
      <c r="X28" s="1649">
        <f>SUMIFS(raw[stay],raw[ctry],mainW[[#This Row],[ctry]],raw[yr],X$1)</f>
        <v/>
      </c>
      <c r="Y28" s="1649">
        <f>SUMIFS(raw[stay],raw[ctry],mainW[[#This Row],[ctry]],raw[yr],Y$1)</f>
        <v/>
      </c>
      <c r="Z28" s="1649">
        <f>SUMIFS(raw[stay],raw[ctry],mainW[[#This Row],[ctry]],raw[yr],Z$1)</f>
        <v/>
      </c>
      <c r="AA28" s="1649">
        <f>SUMIFS(raw[stay],raw[ctry],mainW[[#This Row],[ctry]],raw[yr],AA$1)</f>
        <v/>
      </c>
      <c r="AB28" s="1649">
        <f>SUMIFS(raw[stay],raw[ctry],mainW[[#This Row],[ctry]],raw[yr],AB$1)</f>
        <v/>
      </c>
      <c r="AC28" s="1649">
        <f>SUMIFS(raw[stay],raw[ctry],mainW[[#This Row],[ctry]],raw[yr],AC$1)</f>
        <v/>
      </c>
      <c r="AD28" s="1649">
        <f>SUMIFS(raw[stay],raw[ctry],mainW[[#This Row],[ctry]],raw[yr],AD$1)</f>
        <v/>
      </c>
      <c r="AE28" s="1649">
        <f>SUMIFS(raw[stay],raw[ctry],mainW[[#This Row],[ctry]],raw[yr],AE$1)</f>
        <v/>
      </c>
      <c r="AF28" s="1649">
        <f>SUMIFS(raw[stay],raw[ctry],mainW[[#This Row],[ctry]],raw[yr],AF$1)</f>
        <v/>
      </c>
      <c r="AG28" s="1649">
        <f>SUMIFS(raw[stay],raw[ctry],mainW[[#This Row],[ctry]],raw[yr],AG$1)</f>
        <v/>
      </c>
      <c r="AH28" s="1649">
        <f>SUMIFS(raw[stay],raw[ctry],mainW[[#This Row],[ctry]],raw[yr],AH$1)</f>
        <v/>
      </c>
      <c r="AI28" s="1649">
        <f>SUMIFS(raw[stay],raw[ctry],mainW[[#This Row],[ctry]],raw[yr],AI$1)</f>
        <v/>
      </c>
      <c r="AJ28" s="1649">
        <f>SUMIFS(raw[stay],raw[ctry],mainW[[#This Row],[ctry]],raw[yr],AJ$1)</f>
        <v/>
      </c>
      <c r="AK28" s="1649">
        <f>SUMIFS(raw[stay],raw[ctry],mainW[[#This Row],[ctry]],raw[yr],AK$1)</f>
        <v/>
      </c>
      <c r="AL28" s="1649">
        <f>SUMIFS(raw[stay],raw[ctry],mainW[[#This Row],[ctry]],raw[yr],AL$1)</f>
        <v/>
      </c>
      <c r="AM28" s="1649">
        <f>SUMIFS(raw[stay],raw[ctry],mainW[[#This Row],[ctry]],raw[yr],AM$1)</f>
        <v/>
      </c>
      <c r="AN28" s="1649">
        <f>SUMIFS(raw[stay],raw[ctry],mainW[[#This Row],[ctry]],raw[yr],AN$1)</f>
        <v/>
      </c>
      <c r="AO28" s="1620" t="n"/>
      <c r="AP28" s="1597">
        <f>AP27+1</f>
        <v/>
      </c>
      <c r="AQ28" s="1636">
        <f>'@Refr'!P21</f>
        <v/>
      </c>
      <c r="AR28" s="1603">
        <f>_xlfn.XLOOKUP(citySeq[[#This Row],[city]],ccc[city],ccc[ctry],"-")</f>
        <v/>
      </c>
      <c r="AS28" s="1604">
        <f>_xlfn.MINIFS(stayCity[in], stayCity[city], citySeq[[#This Row],[city]])</f>
        <v/>
      </c>
      <c r="AT28" s="1637">
        <f>_xlfn.MAXIFS(raw[out], raw[city], citySeq[[#This Row],[city]])</f>
        <v/>
      </c>
      <c r="AU28" s="1638">
        <f>SUMIFS(stayCity[in],stayCity[city],citySeq[[#This Row],[city]],stayCity[stay],citySeq[[#This Row],[seq]])</f>
        <v/>
      </c>
      <c r="AV28" s="1638">
        <f>SUMIFS(stayCity[out],stayCity[city],citySeq[[#This Row],[city]],stayCity[stay],citySeq[[#This Row],[seq]])</f>
        <v/>
      </c>
      <c r="AW28" s="1603">
        <f t="array" ref="AW28">MAX(IF(stayCity[city]=citySeq[[#This Row],[city]],stayCity[stay]))</f>
        <v/>
      </c>
      <c r="AX28" s="1603">
        <f t="array" ref="AX28">ROWS(_xlfn.UNIQUE(_xlfn._xlws.FILTER(raw[yr], raw[city]=citySeq[[#This Row],[city]])))</f>
        <v/>
      </c>
      <c r="AY28" s="1603">
        <f>_xlfn.XLOOKUP(citySeq[[#This Row],[city]],cities[city],cities[stay])</f>
        <v/>
      </c>
      <c r="AZ28" s="1660" t="inlineStr">
        <is>
          <t>.</t>
        </is>
      </c>
      <c r="BA28" s="1597">
        <f>BA27+1</f>
        <v/>
      </c>
      <c r="BB28" s="1643">
        <f>AQ13</f>
        <v/>
      </c>
      <c r="BC28" s="1603">
        <f>INT(SUMIFS(raw[stay],raw[city],$BB28,raw[dec],BC$1))</f>
        <v/>
      </c>
      <c r="BD28" s="1603">
        <f>INT(SUMIFS(raw[stay],raw[city],$BB28,raw[dec],BD$1))</f>
        <v/>
      </c>
      <c r="BE28" s="1603">
        <f>INT(SUMIFS(raw[stay],raw[city],$BB28,raw[dec],BE$1))</f>
        <v/>
      </c>
      <c r="BF28" s="1603">
        <f>INT(SUMIFS(raw[stay],raw[city],$BB28,raw[dec],BF$1))</f>
        <v/>
      </c>
      <c r="BG28" s="1603">
        <f>INT(SUMIFS(raw[stay],raw[city],$BB28,raw[dec],BG$1))</f>
        <v/>
      </c>
      <c r="BH28" s="1597" t="n"/>
      <c r="BI28" s="1641">
        <f>(_xlfn.MAXIFS(raw[out],raw[city],BB28)-_xlfn.MINIFS(raw[out],raw[city],BB28))/365.25</f>
        <v/>
      </c>
      <c r="BJ28" s="1633" t="n"/>
      <c r="BK28" s="1611" t="n"/>
      <c r="BL28" s="1612" t="n"/>
      <c r="BM28" s="1612" t="n"/>
      <c r="BN28" s="1612" t="n"/>
      <c r="BO28" s="1612" t="n"/>
      <c r="BP28" s="1612" t="n"/>
      <c r="BQ28" s="1612" t="n"/>
      <c r="BR28" s="1612" t="n"/>
      <c r="BS28" s="1612" t="n"/>
      <c r="BT28" s="1612" t="n"/>
      <c r="BU28" s="1612" t="n"/>
      <c r="BV28" s="1612" t="n"/>
      <c r="BW28" s="1612" t="n"/>
      <c r="BX28" s="1612" t="n"/>
      <c r="BY28" s="1612" t="n"/>
      <c r="BZ28" s="1612" t="n"/>
      <c r="CA28" s="1612" t="n"/>
      <c r="CB28" s="1612" t="n"/>
      <c r="CC28" s="1612" t="n"/>
      <c r="CD28" s="1612" t="n"/>
      <c r="CE28" s="1612" t="n"/>
      <c r="CF28" s="1612" t="n"/>
    </row>
    <row r="29" ht="14" customHeight="1">
      <c r="A29" s="1596">
        <f>IF(mainW[[#This Row],[yrs]]=0,"",A28+1)</f>
        <v/>
      </c>
      <c r="B29" s="1596" t="n">
        <v>29</v>
      </c>
      <c r="C29" s="1647">
        <f>INT(SUM(H29:AO29))</f>
        <v/>
      </c>
      <c r="D29" s="1596">
        <f t="array" ref="D29">MAX(IF(stayCtry[ctry]=$G29,stayCtry[stay]))</f>
        <v/>
      </c>
      <c r="E29" s="1596">
        <f>COUNTIF(entryCtry[],mainW[[#This Row],[ctry]])</f>
        <v/>
      </c>
      <c r="F29" s="1596">
        <f>COUNTIF(H29:AO29,"&gt;=1")+COUNTIFS(H29:AO29,"&gt;0",H29:AO29,"&lt;1")/100</f>
        <v/>
      </c>
      <c r="G29" s="1648">
        <f>_xlfn.XLOOKUP(mainW[[#This Row],['#]],ctries[id],ctries[ctry],"-")</f>
        <v/>
      </c>
      <c r="H29" s="1649">
        <f>SUMIFS(raw[stay],raw[ctry],mainW[[#This Row],[ctry]],raw[yr],H$1)</f>
        <v/>
      </c>
      <c r="I29" s="1649">
        <f>SUMIFS(raw[stay],raw[ctry],mainW[[#This Row],[ctry]],raw[yr],I$1)</f>
        <v/>
      </c>
      <c r="J29" s="1649">
        <f>SUMIFS(raw[stay],raw[ctry],mainW[[#This Row],[ctry]],raw[yr],J$1)</f>
        <v/>
      </c>
      <c r="K29" s="1649">
        <f>SUMIFS(raw[stay],raw[ctry],mainW[[#This Row],[ctry]],raw[yr],K$1)</f>
        <v/>
      </c>
      <c r="L29" s="1649">
        <f>SUMIFS(raw[stay],raw[ctry],mainW[[#This Row],[ctry]],raw[yr],L$1)</f>
        <v/>
      </c>
      <c r="M29" s="1649">
        <f>SUMIFS(raw[stay],raw[ctry],mainW[[#This Row],[ctry]],raw[yr],M$1)</f>
        <v/>
      </c>
      <c r="N29" s="1649">
        <f>SUMIFS(raw[stay],raw[ctry],mainW[[#This Row],[ctry]],raw[yr],N$1)</f>
        <v/>
      </c>
      <c r="O29" s="1649">
        <f>SUMIFS(raw[stay],raw[ctry],mainW[[#This Row],[ctry]],raw[yr],O$1)</f>
        <v/>
      </c>
      <c r="P29" s="1649">
        <f>SUMIFS(raw[stay],raw[ctry],mainW[[#This Row],[ctry]],raw[yr],P$1)</f>
        <v/>
      </c>
      <c r="Q29" s="1649">
        <f>SUMIFS(raw[stay],raw[ctry],mainW[[#This Row],[ctry]],raw[yr],Q$1)</f>
        <v/>
      </c>
      <c r="R29" s="1649">
        <f>SUMIFS(raw[stay],raw[ctry],mainW[[#This Row],[ctry]],raw[yr],R$1)</f>
        <v/>
      </c>
      <c r="S29" s="1649">
        <f>SUMIFS(raw[stay],raw[ctry],mainW[[#This Row],[ctry]],raw[yr],S$1)</f>
        <v/>
      </c>
      <c r="T29" s="1649">
        <f>SUMIFS(raw[stay],raw[ctry],mainW[[#This Row],[ctry]],raw[yr],T$1)</f>
        <v/>
      </c>
      <c r="U29" s="1649">
        <f>SUMIFS(raw[stay],raw[ctry],mainW[[#This Row],[ctry]],raw[yr],U$1)</f>
        <v/>
      </c>
      <c r="V29" s="1649">
        <f>SUMIFS(raw[stay],raw[ctry],mainW[[#This Row],[ctry]],raw[yr],V$1)</f>
        <v/>
      </c>
      <c r="W29" s="1649">
        <f>SUMIFS(raw[stay],raw[ctry],mainW[[#This Row],[ctry]],raw[yr],W$1)</f>
        <v/>
      </c>
      <c r="X29" s="1649">
        <f>SUMIFS(raw[stay],raw[ctry],mainW[[#This Row],[ctry]],raw[yr],X$1)</f>
        <v/>
      </c>
      <c r="Y29" s="1649">
        <f>SUMIFS(raw[stay],raw[ctry],mainW[[#This Row],[ctry]],raw[yr],Y$1)</f>
        <v/>
      </c>
      <c r="Z29" s="1649">
        <f>SUMIFS(raw[stay],raw[ctry],mainW[[#This Row],[ctry]],raw[yr],Z$1)</f>
        <v/>
      </c>
      <c r="AA29" s="1649">
        <f>SUMIFS(raw[stay],raw[ctry],mainW[[#This Row],[ctry]],raw[yr],AA$1)</f>
        <v/>
      </c>
      <c r="AB29" s="1649">
        <f>SUMIFS(raw[stay],raw[ctry],mainW[[#This Row],[ctry]],raw[yr],AB$1)</f>
        <v/>
      </c>
      <c r="AC29" s="1649">
        <f>SUMIFS(raw[stay],raw[ctry],mainW[[#This Row],[ctry]],raw[yr],AC$1)</f>
        <v/>
      </c>
      <c r="AD29" s="1649">
        <f>SUMIFS(raw[stay],raw[ctry],mainW[[#This Row],[ctry]],raw[yr],AD$1)</f>
        <v/>
      </c>
      <c r="AE29" s="1649">
        <f>SUMIFS(raw[stay],raw[ctry],mainW[[#This Row],[ctry]],raw[yr],AE$1)</f>
        <v/>
      </c>
      <c r="AF29" s="1649">
        <f>SUMIFS(raw[stay],raw[ctry],mainW[[#This Row],[ctry]],raw[yr],AF$1)</f>
        <v/>
      </c>
      <c r="AG29" s="1649">
        <f>SUMIFS(raw[stay],raw[ctry],mainW[[#This Row],[ctry]],raw[yr],AG$1)</f>
        <v/>
      </c>
      <c r="AH29" s="1649">
        <f>SUMIFS(raw[stay],raw[ctry],mainW[[#This Row],[ctry]],raw[yr],AH$1)</f>
        <v/>
      </c>
      <c r="AI29" s="1649">
        <f>SUMIFS(raw[stay],raw[ctry],mainW[[#This Row],[ctry]],raw[yr],AI$1)</f>
        <v/>
      </c>
      <c r="AJ29" s="1649">
        <f>SUMIFS(raw[stay],raw[ctry],mainW[[#This Row],[ctry]],raw[yr],AJ$1)</f>
        <v/>
      </c>
      <c r="AK29" s="1649">
        <f>SUMIFS(raw[stay],raw[ctry],mainW[[#This Row],[ctry]],raw[yr],AK$1)</f>
        <v/>
      </c>
      <c r="AL29" s="1649">
        <f>SUMIFS(raw[stay],raw[ctry],mainW[[#This Row],[ctry]],raw[yr],AL$1)</f>
        <v/>
      </c>
      <c r="AM29" s="1649">
        <f>SUMIFS(raw[stay],raw[ctry],mainW[[#This Row],[ctry]],raw[yr],AM$1)</f>
        <v/>
      </c>
      <c r="AN29" s="1649">
        <f>SUMIFS(raw[stay],raw[ctry],mainW[[#This Row],[ctry]],raw[yr],AN$1)</f>
        <v/>
      </c>
      <c r="AO29" s="1620" t="n"/>
      <c r="AP29" s="1597">
        <f>AP28+1</f>
        <v/>
      </c>
      <c r="AQ29" s="1636">
        <f>'@Refr'!P22</f>
        <v/>
      </c>
      <c r="AR29" s="1603">
        <f>_xlfn.XLOOKUP(citySeq[[#This Row],[city]],ccc[city],ccc[ctry],"-")</f>
        <v/>
      </c>
      <c r="AS29" s="1604">
        <f>_xlfn.MINIFS(stayCity[in], stayCity[city], citySeq[[#This Row],[city]])</f>
        <v/>
      </c>
      <c r="AT29" s="1637">
        <f>_xlfn.MAXIFS(raw[out], raw[city], citySeq[[#This Row],[city]])</f>
        <v/>
      </c>
      <c r="AU29" s="1638">
        <f>SUMIFS(stayCity[in],stayCity[city],citySeq[[#This Row],[city]],stayCity[stay],citySeq[[#This Row],[seq]])</f>
        <v/>
      </c>
      <c r="AV29" s="1638">
        <f>SUMIFS(stayCity[out],stayCity[city],citySeq[[#This Row],[city]],stayCity[stay],citySeq[[#This Row],[seq]])</f>
        <v/>
      </c>
      <c r="AW29" s="1603">
        <f t="array" ref="AW29">MAX(IF(stayCity[city]=citySeq[[#This Row],[city]],stayCity[stay]))</f>
        <v/>
      </c>
      <c r="AX29" s="1603">
        <f t="array" ref="AX29">ROWS(_xlfn.UNIQUE(_xlfn._xlws.FILTER(raw[yr], raw[city]=citySeq[[#This Row],[city]])))</f>
        <v/>
      </c>
      <c r="AY29" s="1603">
        <f>_xlfn.XLOOKUP(citySeq[[#This Row],[city]],cities[city],cities[stay])</f>
        <v/>
      </c>
      <c r="AZ29" s="1660" t="inlineStr">
        <is>
          <t>.</t>
        </is>
      </c>
      <c r="BA29" s="1597">
        <f>BA28+1</f>
        <v/>
      </c>
      <c r="BB29" s="1643">
        <f>AQ14</f>
        <v/>
      </c>
      <c r="BC29" s="1603">
        <f>INT(SUMIFS(raw[stay],raw[city],$BB29,raw[dec],BC$1))</f>
        <v/>
      </c>
      <c r="BD29" s="1603">
        <f>INT(SUMIFS(raw[stay],raw[city],$BB29,raw[dec],BD$1))</f>
        <v/>
      </c>
      <c r="BE29" s="1603">
        <f>INT(SUMIFS(raw[stay],raw[city],$BB29,raw[dec],BE$1))</f>
        <v/>
      </c>
      <c r="BF29" s="1603">
        <f>INT(SUMIFS(raw[stay],raw[city],$BB29,raw[dec],BF$1))</f>
        <v/>
      </c>
      <c r="BG29" s="1603">
        <f>INT(SUMIFS(raw[stay],raw[city],$BB29,raw[dec],BG$1))</f>
        <v/>
      </c>
      <c r="BH29" s="1597" t="n"/>
      <c r="BI29" s="1641">
        <f>(_xlfn.MAXIFS(raw[out],raw[city],BB29)-_xlfn.MINIFS(raw[out],raw[city],BB29))/365.25</f>
        <v/>
      </c>
      <c r="BJ29" s="1633" t="n"/>
      <c r="BK29" s="1611" t="n"/>
      <c r="BL29" s="1612" t="n"/>
      <c r="BM29" s="1612" t="n"/>
      <c r="BN29" s="1612" t="n"/>
      <c r="BO29" s="1612" t="n"/>
      <c r="BP29" s="1612" t="n"/>
      <c r="BQ29" s="1661" t="n"/>
      <c r="BR29" s="1612" t="n"/>
      <c r="BS29" s="1612" t="n"/>
      <c r="BT29" s="1612" t="n"/>
      <c r="BU29" s="1612" t="n"/>
      <c r="BV29" s="1612" t="n"/>
      <c r="BW29" s="1612" t="n"/>
      <c r="BX29" s="1612" t="n"/>
      <c r="BY29" s="1612" t="n"/>
      <c r="BZ29" s="1612" t="n"/>
      <c r="CA29" s="1612" t="n"/>
      <c r="CB29" s="1612" t="n"/>
      <c r="CC29" s="1612" t="n"/>
      <c r="CD29" s="1612" t="n"/>
      <c r="CE29" s="1612" t="n"/>
      <c r="CF29" s="1612" t="n"/>
    </row>
    <row r="30" ht="14" customHeight="1">
      <c r="A30" s="1615">
        <f>IF(mainW[[#This Row],[yrs]]=0,"",A29+1)</f>
        <v/>
      </c>
      <c r="B30" s="1615" t="n">
        <v>13</v>
      </c>
      <c r="C30" s="1652">
        <f>INT(SUM(H30:AO30))</f>
        <v/>
      </c>
      <c r="D30" s="1615">
        <f t="array" ref="D30">MAX(IF(stayCtry[ctry]=$G30,stayCtry[stay]))</f>
        <v/>
      </c>
      <c r="E30" s="1615">
        <f>COUNTIF(entryCtry[],mainW[[#This Row],[ctry]])</f>
        <v/>
      </c>
      <c r="F30" s="1615">
        <f>COUNTIF(H30:AO30,"&gt;=1")+COUNTIFS(H30:AO30,"&gt;0",H30:AO30,"&lt;1")/100</f>
        <v/>
      </c>
      <c r="G30" s="1648">
        <f>_xlfn.XLOOKUP(mainW[[#This Row],['#]],ctries[id],ctries[ctry],"-")</f>
        <v/>
      </c>
      <c r="H30" s="1649">
        <f>SUMIFS(raw[stay],raw[ctry],mainW[[#This Row],[ctry]],raw[yr],H$1)</f>
        <v/>
      </c>
      <c r="I30" s="1649">
        <f>SUMIFS(raw[stay],raw[ctry],mainW[[#This Row],[ctry]],raw[yr],I$1)</f>
        <v/>
      </c>
      <c r="J30" s="1649">
        <f>SUMIFS(raw[stay],raw[ctry],mainW[[#This Row],[ctry]],raw[yr],J$1)</f>
        <v/>
      </c>
      <c r="K30" s="1649">
        <f>SUMIFS(raw[stay],raw[ctry],mainW[[#This Row],[ctry]],raw[yr],K$1)</f>
        <v/>
      </c>
      <c r="L30" s="1649">
        <f>SUMIFS(raw[stay],raw[ctry],mainW[[#This Row],[ctry]],raw[yr],L$1)</f>
        <v/>
      </c>
      <c r="M30" s="1649">
        <f>SUMIFS(raw[stay],raw[ctry],mainW[[#This Row],[ctry]],raw[yr],M$1)</f>
        <v/>
      </c>
      <c r="N30" s="1649">
        <f>SUMIFS(raw[stay],raw[ctry],mainW[[#This Row],[ctry]],raw[yr],N$1)</f>
        <v/>
      </c>
      <c r="O30" s="1649">
        <f>SUMIFS(raw[stay],raw[ctry],mainW[[#This Row],[ctry]],raw[yr],O$1)</f>
        <v/>
      </c>
      <c r="P30" s="1649">
        <f>SUMIFS(raw[stay],raw[ctry],mainW[[#This Row],[ctry]],raw[yr],P$1)</f>
        <v/>
      </c>
      <c r="Q30" s="1649">
        <f>SUMIFS(raw[stay],raw[ctry],mainW[[#This Row],[ctry]],raw[yr],Q$1)</f>
        <v/>
      </c>
      <c r="R30" s="1649">
        <f>SUMIFS(raw[stay],raw[ctry],mainW[[#This Row],[ctry]],raw[yr],R$1)</f>
        <v/>
      </c>
      <c r="S30" s="1649">
        <f>SUMIFS(raw[stay],raw[ctry],mainW[[#This Row],[ctry]],raw[yr],S$1)</f>
        <v/>
      </c>
      <c r="T30" s="1649">
        <f>SUMIFS(raw[stay],raw[ctry],mainW[[#This Row],[ctry]],raw[yr],T$1)</f>
        <v/>
      </c>
      <c r="U30" s="1649">
        <f>SUMIFS(raw[stay],raw[ctry],mainW[[#This Row],[ctry]],raw[yr],U$1)</f>
        <v/>
      </c>
      <c r="V30" s="1649">
        <f>SUMIFS(raw[stay],raw[ctry],mainW[[#This Row],[ctry]],raw[yr],V$1)</f>
        <v/>
      </c>
      <c r="W30" s="1649">
        <f>SUMIFS(raw[stay],raw[ctry],mainW[[#This Row],[ctry]],raw[yr],W$1)</f>
        <v/>
      </c>
      <c r="X30" s="1649">
        <f>SUMIFS(raw[stay],raw[ctry],mainW[[#This Row],[ctry]],raw[yr],X$1)</f>
        <v/>
      </c>
      <c r="Y30" s="1649">
        <f>SUMIFS(raw[stay],raw[ctry],mainW[[#This Row],[ctry]],raw[yr],Y$1)</f>
        <v/>
      </c>
      <c r="Z30" s="1649">
        <f>SUMIFS(raw[stay],raw[ctry],mainW[[#This Row],[ctry]],raw[yr],Z$1)</f>
        <v/>
      </c>
      <c r="AA30" s="1649">
        <f>SUMIFS(raw[stay],raw[ctry],mainW[[#This Row],[ctry]],raw[yr],AA$1)</f>
        <v/>
      </c>
      <c r="AB30" s="1649">
        <f>SUMIFS(raw[stay],raw[ctry],mainW[[#This Row],[ctry]],raw[yr],AB$1)</f>
        <v/>
      </c>
      <c r="AC30" s="1649">
        <f>SUMIFS(raw[stay],raw[ctry],mainW[[#This Row],[ctry]],raw[yr],AC$1)</f>
        <v/>
      </c>
      <c r="AD30" s="1649">
        <f>SUMIFS(raw[stay],raw[ctry],mainW[[#This Row],[ctry]],raw[yr],AD$1)</f>
        <v/>
      </c>
      <c r="AE30" s="1649">
        <f>SUMIFS(raw[stay],raw[ctry],mainW[[#This Row],[ctry]],raw[yr],AE$1)</f>
        <v/>
      </c>
      <c r="AF30" s="1649">
        <f>SUMIFS(raw[stay],raw[ctry],mainW[[#This Row],[ctry]],raw[yr],AF$1)</f>
        <v/>
      </c>
      <c r="AG30" s="1649">
        <f>SUMIFS(raw[stay],raw[ctry],mainW[[#This Row],[ctry]],raw[yr],AG$1)</f>
        <v/>
      </c>
      <c r="AH30" s="1649">
        <f>SUMIFS(raw[stay],raw[ctry],mainW[[#This Row],[ctry]],raw[yr],AH$1)</f>
        <v/>
      </c>
      <c r="AI30" s="1649">
        <f>SUMIFS(raw[stay],raw[ctry],mainW[[#This Row],[ctry]],raw[yr],AI$1)</f>
        <v/>
      </c>
      <c r="AJ30" s="1649">
        <f>SUMIFS(raw[stay],raw[ctry],mainW[[#This Row],[ctry]],raw[yr],AJ$1)</f>
        <v/>
      </c>
      <c r="AK30" s="1649">
        <f>SUMIFS(raw[stay],raw[ctry],mainW[[#This Row],[ctry]],raw[yr],AK$1)</f>
        <v/>
      </c>
      <c r="AL30" s="1649">
        <f>SUMIFS(raw[stay],raw[ctry],mainW[[#This Row],[ctry]],raw[yr],AL$1)</f>
        <v/>
      </c>
      <c r="AM30" s="1649">
        <f>SUMIFS(raw[stay],raw[ctry],mainW[[#This Row],[ctry]],raw[yr],AM$1)</f>
        <v/>
      </c>
      <c r="AN30" s="1649">
        <f>SUMIFS(raw[stay],raw[ctry],mainW[[#This Row],[ctry]],raw[yr],AN$1)</f>
        <v/>
      </c>
      <c r="AO30" s="1620" t="n"/>
      <c r="AP30" s="1597">
        <f>AP29+1</f>
        <v/>
      </c>
      <c r="AQ30" s="1636">
        <f>'@Refr'!P23</f>
        <v/>
      </c>
      <c r="AR30" s="1603">
        <f>_xlfn.XLOOKUP(citySeq[[#This Row],[city]],ccc[city],ccc[ctry],"-")</f>
        <v/>
      </c>
      <c r="AS30" s="1604">
        <f>_xlfn.MINIFS(stayCity[in], stayCity[city], citySeq[[#This Row],[city]])</f>
        <v/>
      </c>
      <c r="AT30" s="1637">
        <f>_xlfn.MAXIFS(raw[out], raw[city], citySeq[[#This Row],[city]])</f>
        <v/>
      </c>
      <c r="AU30" s="1638">
        <f>SUMIFS(stayCity[in],stayCity[city],citySeq[[#This Row],[city]],stayCity[stay],citySeq[[#This Row],[seq]])</f>
        <v/>
      </c>
      <c r="AV30" s="1638">
        <f>SUMIFS(stayCity[out],stayCity[city],citySeq[[#This Row],[city]],stayCity[stay],citySeq[[#This Row],[seq]])</f>
        <v/>
      </c>
      <c r="AW30" s="1603">
        <f t="array" ref="AW30">MAX(IF(stayCity[city]=citySeq[[#This Row],[city]],stayCity[stay]))</f>
        <v/>
      </c>
      <c r="AX30" s="1603">
        <f t="array" ref="AX30">ROWS(_xlfn.UNIQUE(_xlfn._xlws.FILTER(raw[yr], raw[city]=citySeq[[#This Row],[city]])))</f>
        <v/>
      </c>
      <c r="AY30" s="1603">
        <f>_xlfn.XLOOKUP(citySeq[[#This Row],[city]],cities[city],cities[stay])</f>
        <v/>
      </c>
      <c r="AZ30" s="1660" t="inlineStr">
        <is>
          <t>.</t>
        </is>
      </c>
      <c r="BA30" s="1597">
        <f>BA29+1</f>
        <v/>
      </c>
      <c r="BB30" s="1643">
        <f>AQ15</f>
        <v/>
      </c>
      <c r="BC30" s="1603">
        <f>INT(SUMIFS(raw[stay],raw[city],$BB30,raw[dec],BC$1))</f>
        <v/>
      </c>
      <c r="BD30" s="1603">
        <f>INT(SUMIFS(raw[stay],raw[city],$BB30,raw[dec],BD$1))</f>
        <v/>
      </c>
      <c r="BE30" s="1603">
        <f>INT(SUMIFS(raw[stay],raw[city],$BB30,raw[dec],BE$1))</f>
        <v/>
      </c>
      <c r="BF30" s="1603">
        <f>INT(SUMIFS(raw[stay],raw[city],$BB30,raw[dec],BF$1))</f>
        <v/>
      </c>
      <c r="BG30" s="1603">
        <f>INT(SUMIFS(raw[stay],raw[city],$BB30,raw[dec],BG$1))</f>
        <v/>
      </c>
      <c r="BH30" s="1597" t="n"/>
      <c r="BI30" s="1641">
        <f>(_xlfn.MAXIFS(raw[out],raw[city],BB30)-_xlfn.MINIFS(raw[out],raw[city],BB30))/365.25</f>
        <v/>
      </c>
      <c r="BJ30" s="1633" t="n"/>
      <c r="BK30" s="1611" t="n"/>
      <c r="BL30" s="1612" t="n"/>
      <c r="BM30" s="1612" t="n"/>
      <c r="BN30" s="1612" t="n"/>
      <c r="BO30" s="1612" t="n"/>
      <c r="BP30" s="1663" t="n"/>
      <c r="BQ30" s="1612" t="n"/>
      <c r="BR30" s="1612" t="n"/>
      <c r="BS30" s="1612" t="n"/>
      <c r="BT30" s="1612" t="n"/>
      <c r="BU30" s="1612" t="n"/>
      <c r="BV30" s="1612" t="n"/>
      <c r="BW30" s="1612" t="n"/>
      <c r="BX30" s="1612" t="n"/>
      <c r="BY30" s="1612" t="n"/>
      <c r="BZ30" s="1612" t="n"/>
      <c r="CA30" s="1612" t="n"/>
      <c r="CB30" s="1612" t="n"/>
      <c r="CC30" s="1612" t="n"/>
      <c r="CD30" s="1612" t="n"/>
      <c r="CE30" s="1612" t="n"/>
      <c r="CF30" s="1612" t="n"/>
    </row>
    <row r="31" ht="14" customHeight="1">
      <c r="A31" s="1596">
        <f>IF(mainW[[#This Row],[yrs]]=0,"",A30+1)</f>
        <v/>
      </c>
      <c r="B31" s="1596" t="n">
        <v>23</v>
      </c>
      <c r="C31" s="1647">
        <f>INT(SUM(H31:AO31))</f>
        <v/>
      </c>
      <c r="D31" s="1596">
        <f t="array" ref="D31">MAX(IF(stayCtry[ctry]=$G31,stayCtry[stay]))</f>
        <v/>
      </c>
      <c r="E31" s="1596">
        <f>COUNTIF(entryCtry[],mainW[[#This Row],[ctry]])</f>
        <v/>
      </c>
      <c r="F31" s="1596">
        <f>COUNTIF(H31:AO31,"&gt;=1")+COUNTIFS(H31:AO31,"&gt;0",H31:AO31,"&lt;1")/100</f>
        <v/>
      </c>
      <c r="G31" s="1648">
        <f>_xlfn.XLOOKUP(mainW[[#This Row],['#]],ctries[id],ctries[ctry],"-")</f>
        <v/>
      </c>
      <c r="H31" s="1649">
        <f>SUMIFS(raw[stay],raw[ctry],mainW[[#This Row],[ctry]],raw[yr],H$1)</f>
        <v/>
      </c>
      <c r="I31" s="1649">
        <f>SUMIFS(raw[stay],raw[ctry],mainW[[#This Row],[ctry]],raw[yr],I$1)</f>
        <v/>
      </c>
      <c r="J31" s="1649">
        <f>SUMIFS(raw[stay],raw[ctry],mainW[[#This Row],[ctry]],raw[yr],J$1)</f>
        <v/>
      </c>
      <c r="K31" s="1649">
        <f>SUMIFS(raw[stay],raw[ctry],mainW[[#This Row],[ctry]],raw[yr],K$1)</f>
        <v/>
      </c>
      <c r="L31" s="1649">
        <f>SUMIFS(raw[stay],raw[ctry],mainW[[#This Row],[ctry]],raw[yr],L$1)</f>
        <v/>
      </c>
      <c r="M31" s="1649">
        <f>SUMIFS(raw[stay],raw[ctry],mainW[[#This Row],[ctry]],raw[yr],M$1)</f>
        <v/>
      </c>
      <c r="N31" s="1649">
        <f>SUMIFS(raw[stay],raw[ctry],mainW[[#This Row],[ctry]],raw[yr],N$1)</f>
        <v/>
      </c>
      <c r="O31" s="1649">
        <f>SUMIFS(raw[stay],raw[ctry],mainW[[#This Row],[ctry]],raw[yr],O$1)</f>
        <v/>
      </c>
      <c r="P31" s="1649">
        <f>SUMIFS(raw[stay],raw[ctry],mainW[[#This Row],[ctry]],raw[yr],P$1)</f>
        <v/>
      </c>
      <c r="Q31" s="1649">
        <f>SUMIFS(raw[stay],raw[ctry],mainW[[#This Row],[ctry]],raw[yr],Q$1)</f>
        <v/>
      </c>
      <c r="R31" s="1649">
        <f>SUMIFS(raw[stay],raw[ctry],mainW[[#This Row],[ctry]],raw[yr],R$1)</f>
        <v/>
      </c>
      <c r="S31" s="1649">
        <f>SUMIFS(raw[stay],raw[ctry],mainW[[#This Row],[ctry]],raw[yr],S$1)</f>
        <v/>
      </c>
      <c r="T31" s="1649">
        <f>SUMIFS(raw[stay],raw[ctry],mainW[[#This Row],[ctry]],raw[yr],T$1)</f>
        <v/>
      </c>
      <c r="U31" s="1649">
        <f>SUMIFS(raw[stay],raw[ctry],mainW[[#This Row],[ctry]],raw[yr],U$1)</f>
        <v/>
      </c>
      <c r="V31" s="1649">
        <f>SUMIFS(raw[stay],raw[ctry],mainW[[#This Row],[ctry]],raw[yr],V$1)</f>
        <v/>
      </c>
      <c r="W31" s="1649">
        <f>SUMIFS(raw[stay],raw[ctry],mainW[[#This Row],[ctry]],raw[yr],W$1)</f>
        <v/>
      </c>
      <c r="X31" s="1649">
        <f>SUMIFS(raw[stay],raw[ctry],mainW[[#This Row],[ctry]],raw[yr],X$1)</f>
        <v/>
      </c>
      <c r="Y31" s="1649">
        <f>SUMIFS(raw[stay],raw[ctry],mainW[[#This Row],[ctry]],raw[yr],Y$1)</f>
        <v/>
      </c>
      <c r="Z31" s="1649">
        <f>SUMIFS(raw[stay],raw[ctry],mainW[[#This Row],[ctry]],raw[yr],Z$1)</f>
        <v/>
      </c>
      <c r="AA31" s="1649">
        <f>SUMIFS(raw[stay],raw[ctry],mainW[[#This Row],[ctry]],raw[yr],AA$1)</f>
        <v/>
      </c>
      <c r="AB31" s="1649">
        <f>SUMIFS(raw[stay],raw[ctry],mainW[[#This Row],[ctry]],raw[yr],AB$1)</f>
        <v/>
      </c>
      <c r="AC31" s="1649">
        <f>SUMIFS(raw[stay],raw[ctry],mainW[[#This Row],[ctry]],raw[yr],AC$1)</f>
        <v/>
      </c>
      <c r="AD31" s="1649">
        <f>SUMIFS(raw[stay],raw[ctry],mainW[[#This Row],[ctry]],raw[yr],AD$1)</f>
        <v/>
      </c>
      <c r="AE31" s="1649">
        <f>SUMIFS(raw[stay],raw[ctry],mainW[[#This Row],[ctry]],raw[yr],AE$1)</f>
        <v/>
      </c>
      <c r="AF31" s="1649">
        <f>SUMIFS(raw[stay],raw[ctry],mainW[[#This Row],[ctry]],raw[yr],AF$1)</f>
        <v/>
      </c>
      <c r="AG31" s="1649">
        <f>SUMIFS(raw[stay],raw[ctry],mainW[[#This Row],[ctry]],raw[yr],AG$1)</f>
        <v/>
      </c>
      <c r="AH31" s="1649">
        <f>SUMIFS(raw[stay],raw[ctry],mainW[[#This Row],[ctry]],raw[yr],AH$1)</f>
        <v/>
      </c>
      <c r="AI31" s="1649">
        <f>SUMIFS(raw[stay],raw[ctry],mainW[[#This Row],[ctry]],raw[yr],AI$1)</f>
        <v/>
      </c>
      <c r="AJ31" s="1649">
        <f>SUMIFS(raw[stay],raw[ctry],mainW[[#This Row],[ctry]],raw[yr],AJ$1)</f>
        <v/>
      </c>
      <c r="AK31" s="1649">
        <f>SUMIFS(raw[stay],raw[ctry],mainW[[#This Row],[ctry]],raw[yr],AK$1)</f>
        <v/>
      </c>
      <c r="AL31" s="1649">
        <f>SUMIFS(raw[stay],raw[ctry],mainW[[#This Row],[ctry]],raw[yr],AL$1)</f>
        <v/>
      </c>
      <c r="AM31" s="1649">
        <f>SUMIFS(raw[stay],raw[ctry],mainW[[#This Row],[ctry]],raw[yr],AM$1)</f>
        <v/>
      </c>
      <c r="AN31" s="1649">
        <f>SUMIFS(raw[stay],raw[ctry],mainW[[#This Row],[ctry]],raw[yr],AN$1)</f>
        <v/>
      </c>
      <c r="AO31" s="1620" t="n"/>
      <c r="AP31" s="1597">
        <f>AP30+1</f>
        <v/>
      </c>
      <c r="AQ31" s="1636">
        <f>'@Refr'!P24</f>
        <v/>
      </c>
      <c r="AR31" s="1603">
        <f>_xlfn.XLOOKUP(citySeq[[#This Row],[city]],ccc[city],ccc[ctry],"-")</f>
        <v/>
      </c>
      <c r="AS31" s="1604">
        <f>_xlfn.MINIFS(stayCity[in], stayCity[city], citySeq[[#This Row],[city]])</f>
        <v/>
      </c>
      <c r="AT31" s="1637">
        <f>_xlfn.MAXIFS(raw[out], raw[city], citySeq[[#This Row],[city]])</f>
        <v/>
      </c>
      <c r="AU31" s="1638">
        <f>SUMIFS(stayCity[in],stayCity[city],citySeq[[#This Row],[city]],stayCity[stay],citySeq[[#This Row],[seq]])</f>
        <v/>
      </c>
      <c r="AV31" s="1638">
        <f>SUMIFS(stayCity[out],stayCity[city],citySeq[[#This Row],[city]],stayCity[stay],citySeq[[#This Row],[seq]])</f>
        <v/>
      </c>
      <c r="AW31" s="1603">
        <f t="array" ref="AW31">MAX(IF(stayCity[city]=citySeq[[#This Row],[city]],stayCity[stay]))</f>
        <v/>
      </c>
      <c r="AX31" s="1603">
        <f t="array" ref="AX31">ROWS(_xlfn.UNIQUE(_xlfn._xlws.FILTER(raw[yr], raw[city]=citySeq[[#This Row],[city]])))</f>
        <v/>
      </c>
      <c r="AY31" s="1603">
        <f>_xlfn.XLOOKUP(citySeq[[#This Row],[city]],cities[city],cities[stay])</f>
        <v/>
      </c>
      <c r="AZ31" s="1660" t="inlineStr">
        <is>
          <t>.</t>
        </is>
      </c>
      <c r="BA31" s="1597">
        <f>BA30+1</f>
        <v/>
      </c>
      <c r="BB31" s="1643">
        <f>AQ16</f>
        <v/>
      </c>
      <c r="BC31" s="1603">
        <f>INT(SUMIFS(raw[stay],raw[city],$BB31,raw[dec],BC$1))</f>
        <v/>
      </c>
      <c r="BD31" s="1603">
        <f>INT(SUMIFS(raw[stay],raw[city],$BB31,raw[dec],BD$1))</f>
        <v/>
      </c>
      <c r="BE31" s="1603">
        <f>INT(SUMIFS(raw[stay],raw[city],$BB31,raw[dec],BE$1))</f>
        <v/>
      </c>
      <c r="BF31" s="1603">
        <f>INT(SUMIFS(raw[stay],raw[city],$BB31,raw[dec],BF$1))</f>
        <v/>
      </c>
      <c r="BG31" s="1603">
        <f>INT(SUMIFS(raw[stay],raw[city],$BB31,raw[dec],BG$1))</f>
        <v/>
      </c>
      <c r="BH31" s="1597" t="n"/>
      <c r="BI31" s="1641">
        <f>(_xlfn.MAXIFS(raw[out],raw[city],BB31)-_xlfn.MINIFS(raw[out],raw[city],BB31))/365.25</f>
        <v/>
      </c>
      <c r="BJ31" s="1633" t="n"/>
      <c r="BK31" s="1611" t="n"/>
      <c r="BL31" s="1612" t="n"/>
      <c r="BM31" s="1612" t="n"/>
      <c r="BN31" s="1612" t="n"/>
      <c r="BO31" s="1612" t="n"/>
      <c r="BP31" s="1663" t="n"/>
      <c r="BQ31" s="1612" t="n"/>
      <c r="BR31" s="1612" t="n"/>
      <c r="BS31" s="1612" t="n"/>
      <c r="BT31" s="1612" t="n"/>
      <c r="BU31" s="1612" t="n"/>
      <c r="BV31" s="1612" t="n"/>
      <c r="BW31" s="1612" t="n"/>
      <c r="BX31" s="1612" t="n"/>
      <c r="BY31" s="1612" t="n"/>
      <c r="BZ31" s="1612" t="n"/>
      <c r="CA31" s="1612" t="n"/>
      <c r="CB31" s="1612" t="n"/>
      <c r="CC31" s="1612" t="n"/>
      <c r="CD31" s="1612" t="n"/>
      <c r="CE31" s="1612" t="n"/>
      <c r="CF31" s="1612" t="n"/>
    </row>
    <row r="32" ht="14" customHeight="1">
      <c r="A32" s="1615">
        <f>IF(mainW[[#This Row],[yrs]]=0,"",A31+1)</f>
        <v/>
      </c>
      <c r="B32" s="1615" t="n">
        <v>21</v>
      </c>
      <c r="C32" s="1652">
        <f>INT(SUM(H32:AO32))</f>
        <v/>
      </c>
      <c r="D32" s="1615">
        <f t="array" ref="D32">MAX(IF(stayCtry[ctry]=$G32,stayCtry[stay]))</f>
        <v/>
      </c>
      <c r="E32" s="1615">
        <f>COUNTIF(entryCtry[],mainW[[#This Row],[ctry]])</f>
        <v/>
      </c>
      <c r="F32" s="1615">
        <f>COUNTIF(H32:AO32,"&gt;=1")+COUNTIFS(H32:AO32,"&gt;0",H32:AO32,"&lt;1")/100</f>
        <v/>
      </c>
      <c r="G32" s="1648">
        <f>_xlfn.XLOOKUP(mainW[[#This Row],['#]],ctries[id],ctries[ctry],"-")</f>
        <v/>
      </c>
      <c r="H32" s="1649">
        <f>SUMIFS(raw[stay],raw[ctry],mainW[[#This Row],[ctry]],raw[yr],H$1)</f>
        <v/>
      </c>
      <c r="I32" s="1649">
        <f>SUMIFS(raw[stay],raw[ctry],mainW[[#This Row],[ctry]],raw[yr],I$1)</f>
        <v/>
      </c>
      <c r="J32" s="1649">
        <f>SUMIFS(raw[stay],raw[ctry],mainW[[#This Row],[ctry]],raw[yr],J$1)</f>
        <v/>
      </c>
      <c r="K32" s="1649">
        <f>SUMIFS(raw[stay],raw[ctry],mainW[[#This Row],[ctry]],raw[yr],K$1)</f>
        <v/>
      </c>
      <c r="L32" s="1649">
        <f>SUMIFS(raw[stay],raw[ctry],mainW[[#This Row],[ctry]],raw[yr],L$1)</f>
        <v/>
      </c>
      <c r="M32" s="1649">
        <f>SUMIFS(raw[stay],raw[ctry],mainW[[#This Row],[ctry]],raw[yr],M$1)</f>
        <v/>
      </c>
      <c r="N32" s="1649">
        <f>SUMIFS(raw[stay],raw[ctry],mainW[[#This Row],[ctry]],raw[yr],N$1)</f>
        <v/>
      </c>
      <c r="O32" s="1649">
        <f>SUMIFS(raw[stay],raw[ctry],mainW[[#This Row],[ctry]],raw[yr],O$1)</f>
        <v/>
      </c>
      <c r="P32" s="1649">
        <f>SUMIFS(raw[stay],raw[ctry],mainW[[#This Row],[ctry]],raw[yr],P$1)</f>
        <v/>
      </c>
      <c r="Q32" s="1649">
        <f>SUMIFS(raw[stay],raw[ctry],mainW[[#This Row],[ctry]],raw[yr],Q$1)</f>
        <v/>
      </c>
      <c r="R32" s="1649">
        <f>SUMIFS(raw[stay],raw[ctry],mainW[[#This Row],[ctry]],raw[yr],R$1)</f>
        <v/>
      </c>
      <c r="S32" s="1649">
        <f>SUMIFS(raw[stay],raw[ctry],mainW[[#This Row],[ctry]],raw[yr],S$1)</f>
        <v/>
      </c>
      <c r="T32" s="1649">
        <f>SUMIFS(raw[stay],raw[ctry],mainW[[#This Row],[ctry]],raw[yr],T$1)</f>
        <v/>
      </c>
      <c r="U32" s="1649">
        <f>SUMIFS(raw[stay],raw[ctry],mainW[[#This Row],[ctry]],raw[yr],U$1)</f>
        <v/>
      </c>
      <c r="V32" s="1649">
        <f>SUMIFS(raw[stay],raw[ctry],mainW[[#This Row],[ctry]],raw[yr],V$1)</f>
        <v/>
      </c>
      <c r="W32" s="1649">
        <f>SUMIFS(raw[stay],raw[ctry],mainW[[#This Row],[ctry]],raw[yr],W$1)</f>
        <v/>
      </c>
      <c r="X32" s="1649">
        <f>SUMIFS(raw[stay],raw[ctry],mainW[[#This Row],[ctry]],raw[yr],X$1)</f>
        <v/>
      </c>
      <c r="Y32" s="1649">
        <f>SUMIFS(raw[stay],raw[ctry],mainW[[#This Row],[ctry]],raw[yr],Y$1)</f>
        <v/>
      </c>
      <c r="Z32" s="1649">
        <f>SUMIFS(raw[stay],raw[ctry],mainW[[#This Row],[ctry]],raw[yr],Z$1)</f>
        <v/>
      </c>
      <c r="AA32" s="1649">
        <f>SUMIFS(raw[stay],raw[ctry],mainW[[#This Row],[ctry]],raw[yr],AA$1)</f>
        <v/>
      </c>
      <c r="AB32" s="1649">
        <f>SUMIFS(raw[stay],raw[ctry],mainW[[#This Row],[ctry]],raw[yr],AB$1)</f>
        <v/>
      </c>
      <c r="AC32" s="1649">
        <f>SUMIFS(raw[stay],raw[ctry],mainW[[#This Row],[ctry]],raw[yr],AC$1)</f>
        <v/>
      </c>
      <c r="AD32" s="1649">
        <f>SUMIFS(raw[stay],raw[ctry],mainW[[#This Row],[ctry]],raw[yr],AD$1)</f>
        <v/>
      </c>
      <c r="AE32" s="1649">
        <f>SUMIFS(raw[stay],raw[ctry],mainW[[#This Row],[ctry]],raw[yr],AE$1)</f>
        <v/>
      </c>
      <c r="AF32" s="1649">
        <f>SUMIFS(raw[stay],raw[ctry],mainW[[#This Row],[ctry]],raw[yr],AF$1)</f>
        <v/>
      </c>
      <c r="AG32" s="1649">
        <f>SUMIFS(raw[stay],raw[ctry],mainW[[#This Row],[ctry]],raw[yr],AG$1)</f>
        <v/>
      </c>
      <c r="AH32" s="1649">
        <f>SUMIFS(raw[stay],raw[ctry],mainW[[#This Row],[ctry]],raw[yr],AH$1)</f>
        <v/>
      </c>
      <c r="AI32" s="1649">
        <f>SUMIFS(raw[stay],raw[ctry],mainW[[#This Row],[ctry]],raw[yr],AI$1)</f>
        <v/>
      </c>
      <c r="AJ32" s="1649">
        <f>SUMIFS(raw[stay],raw[ctry],mainW[[#This Row],[ctry]],raw[yr],AJ$1)</f>
        <v/>
      </c>
      <c r="AK32" s="1649">
        <f>SUMIFS(raw[stay],raw[ctry],mainW[[#This Row],[ctry]],raw[yr],AK$1)</f>
        <v/>
      </c>
      <c r="AL32" s="1649">
        <f>SUMIFS(raw[stay],raw[ctry],mainW[[#This Row],[ctry]],raw[yr],AL$1)</f>
        <v/>
      </c>
      <c r="AM32" s="1649">
        <f>SUMIFS(raw[stay],raw[ctry],mainW[[#This Row],[ctry]],raw[yr],AM$1)</f>
        <v/>
      </c>
      <c r="AN32" s="1649">
        <f>SUMIFS(raw[stay],raw[ctry],mainW[[#This Row],[ctry]],raw[yr],AN$1)</f>
        <v/>
      </c>
      <c r="AO32" s="1620" t="n"/>
      <c r="AP32" s="1597">
        <f>AP31+1</f>
        <v/>
      </c>
      <c r="AQ32" s="1636">
        <f>'@Refr'!P25</f>
        <v/>
      </c>
      <c r="AR32" s="1603">
        <f>_xlfn.XLOOKUP(citySeq[[#This Row],[city]],ccc[city],ccc[ctry],"-")</f>
        <v/>
      </c>
      <c r="AS32" s="1604">
        <f>_xlfn.MINIFS(stayCity[in], stayCity[city], citySeq[[#This Row],[city]])</f>
        <v/>
      </c>
      <c r="AT32" s="1637">
        <f>_xlfn.MAXIFS(raw[out], raw[city], citySeq[[#This Row],[city]])</f>
        <v/>
      </c>
      <c r="AU32" s="1638">
        <f>SUMIFS(stayCity[in],stayCity[city],citySeq[[#This Row],[city]],stayCity[stay],citySeq[[#This Row],[seq]])</f>
        <v/>
      </c>
      <c r="AV32" s="1638">
        <f>SUMIFS(stayCity[out],stayCity[city],citySeq[[#This Row],[city]],stayCity[stay],citySeq[[#This Row],[seq]])</f>
        <v/>
      </c>
      <c r="AW32" s="1603">
        <f t="array" ref="AW32">MAX(IF(stayCity[city]=citySeq[[#This Row],[city]],stayCity[stay]))</f>
        <v/>
      </c>
      <c r="AX32" s="1603">
        <f t="array" ref="AX32">ROWS(_xlfn.UNIQUE(_xlfn._xlws.FILTER(raw[yr], raw[city]=citySeq[[#This Row],[city]])))</f>
        <v/>
      </c>
      <c r="AY32" s="1603">
        <f>_xlfn.XLOOKUP(citySeq[[#This Row],[city]],cities[city],cities[stay])</f>
        <v/>
      </c>
      <c r="AZ32" s="1660" t="inlineStr">
        <is>
          <t>.</t>
        </is>
      </c>
      <c r="BA32" s="1597">
        <f>BA31+1</f>
        <v/>
      </c>
      <c r="BB32" s="1643">
        <f>AQ17</f>
        <v/>
      </c>
      <c r="BC32" s="1603">
        <f>INT(SUMIFS(raw[stay],raw[city],$BB32,raw[dec],BC$1))</f>
        <v/>
      </c>
      <c r="BD32" s="1603">
        <f>INT(SUMIFS(raw[stay],raw[city],$BB32,raw[dec],BD$1))</f>
        <v/>
      </c>
      <c r="BE32" s="1603">
        <f>INT(SUMIFS(raw[stay],raw[city],$BB32,raw[dec],BE$1))</f>
        <v/>
      </c>
      <c r="BF32" s="1603">
        <f>INT(SUMIFS(raw[stay],raw[city],$BB32,raw[dec],BF$1))</f>
        <v/>
      </c>
      <c r="BG32" s="1603">
        <f>INT(SUMIFS(raw[stay],raw[city],$BB32,raw[dec],BG$1))</f>
        <v/>
      </c>
      <c r="BH32" s="1597" t="n"/>
      <c r="BI32" s="1641">
        <f>(_xlfn.MAXIFS(raw[out],raw[city],BB32)-_xlfn.MINIFS(raw[out],raw[city],BB32))/365.25</f>
        <v/>
      </c>
      <c r="BJ32" s="1633" t="n"/>
      <c r="BK32" s="1611" t="n"/>
      <c r="BL32" s="1612" t="n"/>
      <c r="BM32" s="1612" t="n"/>
      <c r="BN32" s="1612" t="n"/>
      <c r="BO32" s="1612" t="n"/>
      <c r="BP32" s="1664" t="n"/>
      <c r="BQ32" s="1612" t="n"/>
      <c r="BR32" s="1612" t="n"/>
      <c r="BS32" s="1612" t="n"/>
      <c r="BT32" s="1612" t="n"/>
      <c r="BU32" s="1612" t="n"/>
      <c r="BV32" s="1612" t="n"/>
      <c r="BW32" s="1612" t="n"/>
      <c r="BX32" s="1612" t="n"/>
      <c r="BY32" s="1612" t="n"/>
      <c r="BZ32" s="1612" t="n"/>
      <c r="CA32" s="1612" t="n"/>
      <c r="CB32" s="1612" t="n"/>
      <c r="CC32" s="1612" t="n"/>
      <c r="CD32" s="1612" t="n"/>
      <c r="CE32" s="1612" t="n"/>
      <c r="CF32" s="1612" t="n"/>
    </row>
    <row r="33" ht="14" customHeight="1">
      <c r="A33" s="1596">
        <f>IF(mainW[[#This Row],[yrs]]=0,"",A32+1)</f>
        <v/>
      </c>
      <c r="B33" s="1596" t="n">
        <v>16</v>
      </c>
      <c r="C33" s="1647">
        <f>INT(SUM(H33:AO33))</f>
        <v/>
      </c>
      <c r="D33" s="1596">
        <f t="array" ref="D33">MAX(IF(stayCtry[ctry]=$G33,stayCtry[stay]))</f>
        <v/>
      </c>
      <c r="E33" s="1596">
        <f>COUNTIF(entryCtry[],mainW[[#This Row],[ctry]])</f>
        <v/>
      </c>
      <c r="F33" s="1596">
        <f>COUNTIF(H33:AO33,"&gt;=1")+COUNTIFS(H33:AO33,"&gt;0",H33:AO33,"&lt;1")/100</f>
        <v/>
      </c>
      <c r="G33" s="1648">
        <f>_xlfn.XLOOKUP(mainW[[#This Row],['#]],ctries[id],ctries[ctry],"-")</f>
        <v/>
      </c>
      <c r="H33" s="1649">
        <f>SUMIFS(raw[stay],raw[ctry],mainW[[#This Row],[ctry]],raw[yr],H$1)</f>
        <v/>
      </c>
      <c r="I33" s="1649">
        <f>SUMIFS(raw[stay],raw[ctry],mainW[[#This Row],[ctry]],raw[yr],I$1)</f>
        <v/>
      </c>
      <c r="J33" s="1649">
        <f>SUMIFS(raw[stay],raw[ctry],mainW[[#This Row],[ctry]],raw[yr],J$1)</f>
        <v/>
      </c>
      <c r="K33" s="1649">
        <f>SUMIFS(raw[stay],raw[ctry],mainW[[#This Row],[ctry]],raw[yr],K$1)</f>
        <v/>
      </c>
      <c r="L33" s="1649">
        <f>SUMIFS(raw[stay],raw[ctry],mainW[[#This Row],[ctry]],raw[yr],L$1)</f>
        <v/>
      </c>
      <c r="M33" s="1649">
        <f>SUMIFS(raw[stay],raw[ctry],mainW[[#This Row],[ctry]],raw[yr],M$1)</f>
        <v/>
      </c>
      <c r="N33" s="1649">
        <f>SUMIFS(raw[stay],raw[ctry],mainW[[#This Row],[ctry]],raw[yr],N$1)</f>
        <v/>
      </c>
      <c r="O33" s="1649">
        <f>SUMIFS(raw[stay],raw[ctry],mainW[[#This Row],[ctry]],raw[yr],O$1)</f>
        <v/>
      </c>
      <c r="P33" s="1649">
        <f>SUMIFS(raw[stay],raw[ctry],mainW[[#This Row],[ctry]],raw[yr],P$1)</f>
        <v/>
      </c>
      <c r="Q33" s="1649">
        <f>SUMIFS(raw[stay],raw[ctry],mainW[[#This Row],[ctry]],raw[yr],Q$1)</f>
        <v/>
      </c>
      <c r="R33" s="1649">
        <f>SUMIFS(raw[stay],raw[ctry],mainW[[#This Row],[ctry]],raw[yr],R$1)</f>
        <v/>
      </c>
      <c r="S33" s="1649">
        <f>SUMIFS(raw[stay],raw[ctry],mainW[[#This Row],[ctry]],raw[yr],S$1)</f>
        <v/>
      </c>
      <c r="T33" s="1649">
        <f>SUMIFS(raw[stay],raw[ctry],mainW[[#This Row],[ctry]],raw[yr],T$1)</f>
        <v/>
      </c>
      <c r="U33" s="1649">
        <f>SUMIFS(raw[stay],raw[ctry],mainW[[#This Row],[ctry]],raw[yr],U$1)</f>
        <v/>
      </c>
      <c r="V33" s="1649">
        <f>SUMIFS(raw[stay],raw[ctry],mainW[[#This Row],[ctry]],raw[yr],V$1)</f>
        <v/>
      </c>
      <c r="W33" s="1649">
        <f>SUMIFS(raw[stay],raw[ctry],mainW[[#This Row],[ctry]],raw[yr],W$1)</f>
        <v/>
      </c>
      <c r="X33" s="1649">
        <f>SUMIFS(raw[stay],raw[ctry],mainW[[#This Row],[ctry]],raw[yr],X$1)</f>
        <v/>
      </c>
      <c r="Y33" s="1649">
        <f>SUMIFS(raw[stay],raw[ctry],mainW[[#This Row],[ctry]],raw[yr],Y$1)</f>
        <v/>
      </c>
      <c r="Z33" s="1649">
        <f>SUMIFS(raw[stay],raw[ctry],mainW[[#This Row],[ctry]],raw[yr],Z$1)</f>
        <v/>
      </c>
      <c r="AA33" s="1649">
        <f>SUMIFS(raw[stay],raw[ctry],mainW[[#This Row],[ctry]],raw[yr],AA$1)</f>
        <v/>
      </c>
      <c r="AB33" s="1649">
        <f>SUMIFS(raw[stay],raw[ctry],mainW[[#This Row],[ctry]],raw[yr],AB$1)</f>
        <v/>
      </c>
      <c r="AC33" s="1649">
        <f>SUMIFS(raw[stay],raw[ctry],mainW[[#This Row],[ctry]],raw[yr],AC$1)</f>
        <v/>
      </c>
      <c r="AD33" s="1649">
        <f>SUMIFS(raw[stay],raw[ctry],mainW[[#This Row],[ctry]],raw[yr],AD$1)</f>
        <v/>
      </c>
      <c r="AE33" s="1649">
        <f>SUMIFS(raw[stay],raw[ctry],mainW[[#This Row],[ctry]],raw[yr],AE$1)</f>
        <v/>
      </c>
      <c r="AF33" s="1649">
        <f>SUMIFS(raw[stay],raw[ctry],mainW[[#This Row],[ctry]],raw[yr],AF$1)</f>
        <v/>
      </c>
      <c r="AG33" s="1649">
        <f>SUMIFS(raw[stay],raw[ctry],mainW[[#This Row],[ctry]],raw[yr],AG$1)</f>
        <v/>
      </c>
      <c r="AH33" s="1649">
        <f>SUMIFS(raw[stay],raw[ctry],mainW[[#This Row],[ctry]],raw[yr],AH$1)</f>
        <v/>
      </c>
      <c r="AI33" s="1649">
        <f>SUMIFS(raw[stay],raw[ctry],mainW[[#This Row],[ctry]],raw[yr],AI$1)</f>
        <v/>
      </c>
      <c r="AJ33" s="1649">
        <f>SUMIFS(raw[stay],raw[ctry],mainW[[#This Row],[ctry]],raw[yr],AJ$1)</f>
        <v/>
      </c>
      <c r="AK33" s="1649">
        <f>SUMIFS(raw[stay],raw[ctry],mainW[[#This Row],[ctry]],raw[yr],AK$1)</f>
        <v/>
      </c>
      <c r="AL33" s="1649">
        <f>SUMIFS(raw[stay],raw[ctry],mainW[[#This Row],[ctry]],raw[yr],AL$1)</f>
        <v/>
      </c>
      <c r="AM33" s="1649">
        <f>SUMIFS(raw[stay],raw[ctry],mainW[[#This Row],[ctry]],raw[yr],AM$1)</f>
        <v/>
      </c>
      <c r="AN33" s="1649">
        <f>SUMIFS(raw[stay],raw[ctry],mainW[[#This Row],[ctry]],raw[yr],AN$1)</f>
        <v/>
      </c>
      <c r="AO33" s="1620" t="n"/>
      <c r="AP33" s="1597">
        <f>AP32+1</f>
        <v/>
      </c>
      <c r="AQ33" s="1636">
        <f>'@Refr'!P26</f>
        <v/>
      </c>
      <c r="AR33" s="1603">
        <f>_xlfn.XLOOKUP(citySeq[[#This Row],[city]],ccc[city],ccc[ctry],"-")</f>
        <v/>
      </c>
      <c r="AS33" s="1604">
        <f>_xlfn.MINIFS(stayCity[in], stayCity[city], citySeq[[#This Row],[city]])</f>
        <v/>
      </c>
      <c r="AT33" s="1637">
        <f>_xlfn.MAXIFS(raw[out], raw[city], citySeq[[#This Row],[city]])</f>
        <v/>
      </c>
      <c r="AU33" s="1638">
        <f>SUMIFS(stayCity[in],stayCity[city],citySeq[[#This Row],[city]],stayCity[stay],citySeq[[#This Row],[seq]])</f>
        <v/>
      </c>
      <c r="AV33" s="1638">
        <f>SUMIFS(stayCity[out],stayCity[city],citySeq[[#This Row],[city]],stayCity[stay],citySeq[[#This Row],[seq]])</f>
        <v/>
      </c>
      <c r="AW33" s="1603">
        <f t="array" ref="AW33">MAX(IF(stayCity[city]=citySeq[[#This Row],[city]],stayCity[stay]))</f>
        <v/>
      </c>
      <c r="AX33" s="1603">
        <f t="array" ref="AX33">ROWS(_xlfn.UNIQUE(_xlfn._xlws.FILTER(raw[yr], raw[city]=citySeq[[#This Row],[city]])))</f>
        <v/>
      </c>
      <c r="AY33" s="1603">
        <f>_xlfn.XLOOKUP(citySeq[[#This Row],[city]],cities[city],cities[stay])</f>
        <v/>
      </c>
      <c r="AZ33" s="1660" t="inlineStr">
        <is>
          <t>.</t>
        </is>
      </c>
      <c r="BA33" s="1597">
        <f>BA32+1</f>
        <v/>
      </c>
      <c r="BB33" s="1643">
        <f>AQ18</f>
        <v/>
      </c>
      <c r="BC33" s="1603">
        <f>INT(SUMIFS(raw[stay],raw[city],$BB33,raw[dec],BC$1))</f>
        <v/>
      </c>
      <c r="BD33" s="1603">
        <f>INT(SUMIFS(raw[stay],raw[city],$BB33,raw[dec],BD$1))</f>
        <v/>
      </c>
      <c r="BE33" s="1603">
        <f>INT(SUMIFS(raw[stay],raw[city],$BB33,raw[dec],BE$1))</f>
        <v/>
      </c>
      <c r="BF33" s="1603">
        <f>INT(SUMIFS(raw[stay],raw[city],$BB33,raw[dec],BF$1))</f>
        <v/>
      </c>
      <c r="BG33" s="1603">
        <f>INT(SUMIFS(raw[stay],raw[city],$BB33,raw[dec],BG$1))</f>
        <v/>
      </c>
      <c r="BH33" s="1597" t="n"/>
      <c r="BI33" s="1641">
        <f>(_xlfn.MAXIFS(raw[out],raw[city],BB33)-_xlfn.MINIFS(raw[out],raw[city],BB33))/365.25</f>
        <v/>
      </c>
      <c r="BJ33" s="1633" t="n"/>
      <c r="BK33" s="1611" t="n"/>
      <c r="BL33" s="1612" t="n"/>
      <c r="BM33" s="1612" t="n"/>
      <c r="BN33" s="1612" t="n"/>
      <c r="BO33" s="1612" t="n"/>
      <c r="BP33" s="1612" t="n"/>
      <c r="BQ33" s="1612" t="n"/>
      <c r="BR33" s="1612" t="n"/>
      <c r="BS33" s="1612" t="n"/>
      <c r="BT33" s="1612" t="n"/>
      <c r="BU33" s="1612" t="n"/>
      <c r="BV33" s="1612" t="n"/>
      <c r="BW33" s="1612" t="n"/>
      <c r="BX33" s="1612" t="n"/>
      <c r="BY33" s="1612" t="n"/>
      <c r="BZ33" s="1612" t="n"/>
      <c r="CA33" s="1612" t="n"/>
      <c r="CB33" s="1612" t="n"/>
      <c r="CC33" s="1612" t="n"/>
      <c r="CD33" s="1612" t="n"/>
      <c r="CE33" s="1612" t="n"/>
      <c r="CF33" s="1612" t="n"/>
    </row>
    <row r="34" ht="14" customHeight="1">
      <c r="A34" s="1615">
        <f>IF(mainW[[#This Row],[yrs]]=0,"",A33+1)</f>
        <v/>
      </c>
      <c r="B34" s="1615" t="n">
        <v>17</v>
      </c>
      <c r="C34" s="1652">
        <f>INT(SUM(H34:AO34))</f>
        <v/>
      </c>
      <c r="D34" s="1615">
        <f t="array" ref="D34">MAX(IF(stayCtry[ctry]=$G34,stayCtry[stay]))</f>
        <v/>
      </c>
      <c r="E34" s="1615">
        <f>COUNTIF(entryCtry[],mainW[[#This Row],[ctry]])</f>
        <v/>
      </c>
      <c r="F34" s="1615">
        <f>COUNTIF(H34:AO34,"&gt;=1")+COUNTIFS(H34:AO34,"&gt;0",H34:AO34,"&lt;1")/100</f>
        <v/>
      </c>
      <c r="G34" s="1648">
        <f>_xlfn.XLOOKUP(mainW[[#This Row],['#]],ctries[id],ctries[ctry],"-")</f>
        <v/>
      </c>
      <c r="H34" s="1649">
        <f>SUMIFS(raw[stay],raw[ctry],mainW[[#This Row],[ctry]],raw[yr],H$1)</f>
        <v/>
      </c>
      <c r="I34" s="1649">
        <f>SUMIFS(raw[stay],raw[ctry],mainW[[#This Row],[ctry]],raw[yr],I$1)</f>
        <v/>
      </c>
      <c r="J34" s="1649">
        <f>SUMIFS(raw[stay],raw[ctry],mainW[[#This Row],[ctry]],raw[yr],J$1)</f>
        <v/>
      </c>
      <c r="K34" s="1649">
        <f>SUMIFS(raw[stay],raw[ctry],mainW[[#This Row],[ctry]],raw[yr],K$1)</f>
        <v/>
      </c>
      <c r="L34" s="1649">
        <f>SUMIFS(raw[stay],raw[ctry],mainW[[#This Row],[ctry]],raw[yr],L$1)</f>
        <v/>
      </c>
      <c r="M34" s="1649">
        <f>SUMIFS(raw[stay],raw[ctry],mainW[[#This Row],[ctry]],raw[yr],M$1)</f>
        <v/>
      </c>
      <c r="N34" s="1649">
        <f>SUMIFS(raw[stay],raw[ctry],mainW[[#This Row],[ctry]],raw[yr],N$1)</f>
        <v/>
      </c>
      <c r="O34" s="1649">
        <f>SUMIFS(raw[stay],raw[ctry],mainW[[#This Row],[ctry]],raw[yr],O$1)</f>
        <v/>
      </c>
      <c r="P34" s="1649">
        <f>SUMIFS(raw[stay],raw[ctry],mainW[[#This Row],[ctry]],raw[yr],P$1)</f>
        <v/>
      </c>
      <c r="Q34" s="1649">
        <f>SUMIFS(raw[stay],raw[ctry],mainW[[#This Row],[ctry]],raw[yr],Q$1)</f>
        <v/>
      </c>
      <c r="R34" s="1649">
        <f>SUMIFS(raw[stay],raw[ctry],mainW[[#This Row],[ctry]],raw[yr],R$1)</f>
        <v/>
      </c>
      <c r="S34" s="1649">
        <f>SUMIFS(raw[stay],raw[ctry],mainW[[#This Row],[ctry]],raw[yr],S$1)</f>
        <v/>
      </c>
      <c r="T34" s="1649">
        <f>SUMIFS(raw[stay],raw[ctry],mainW[[#This Row],[ctry]],raw[yr],T$1)</f>
        <v/>
      </c>
      <c r="U34" s="1649">
        <f>SUMIFS(raw[stay],raw[ctry],mainW[[#This Row],[ctry]],raw[yr],U$1)</f>
        <v/>
      </c>
      <c r="V34" s="1649">
        <f>SUMIFS(raw[stay],raw[ctry],mainW[[#This Row],[ctry]],raw[yr],V$1)</f>
        <v/>
      </c>
      <c r="W34" s="1649">
        <f>SUMIFS(raw[stay],raw[ctry],mainW[[#This Row],[ctry]],raw[yr],W$1)</f>
        <v/>
      </c>
      <c r="X34" s="1649">
        <f>SUMIFS(raw[stay],raw[ctry],mainW[[#This Row],[ctry]],raw[yr],X$1)</f>
        <v/>
      </c>
      <c r="Y34" s="1649">
        <f>SUMIFS(raw[stay],raw[ctry],mainW[[#This Row],[ctry]],raw[yr],Y$1)</f>
        <v/>
      </c>
      <c r="Z34" s="1649">
        <f>SUMIFS(raw[stay],raw[ctry],mainW[[#This Row],[ctry]],raw[yr],Z$1)</f>
        <v/>
      </c>
      <c r="AA34" s="1649">
        <f>SUMIFS(raw[stay],raw[ctry],mainW[[#This Row],[ctry]],raw[yr],AA$1)</f>
        <v/>
      </c>
      <c r="AB34" s="1649">
        <f>SUMIFS(raw[stay],raw[ctry],mainW[[#This Row],[ctry]],raw[yr],AB$1)</f>
        <v/>
      </c>
      <c r="AC34" s="1649">
        <f>SUMIFS(raw[stay],raw[ctry],mainW[[#This Row],[ctry]],raw[yr],AC$1)</f>
        <v/>
      </c>
      <c r="AD34" s="1649">
        <f>SUMIFS(raw[stay],raw[ctry],mainW[[#This Row],[ctry]],raw[yr],AD$1)</f>
        <v/>
      </c>
      <c r="AE34" s="1649">
        <f>SUMIFS(raw[stay],raw[ctry],mainW[[#This Row],[ctry]],raw[yr],AE$1)</f>
        <v/>
      </c>
      <c r="AF34" s="1649">
        <f>SUMIFS(raw[stay],raw[ctry],mainW[[#This Row],[ctry]],raw[yr],AF$1)</f>
        <v/>
      </c>
      <c r="AG34" s="1649">
        <f>SUMIFS(raw[stay],raw[ctry],mainW[[#This Row],[ctry]],raw[yr],AG$1)</f>
        <v/>
      </c>
      <c r="AH34" s="1649">
        <f>SUMIFS(raw[stay],raw[ctry],mainW[[#This Row],[ctry]],raw[yr],AH$1)</f>
        <v/>
      </c>
      <c r="AI34" s="1649">
        <f>SUMIFS(raw[stay],raw[ctry],mainW[[#This Row],[ctry]],raw[yr],AI$1)</f>
        <v/>
      </c>
      <c r="AJ34" s="1649">
        <f>SUMIFS(raw[stay],raw[ctry],mainW[[#This Row],[ctry]],raw[yr],AJ$1)</f>
        <v/>
      </c>
      <c r="AK34" s="1649">
        <f>SUMIFS(raw[stay],raw[ctry],mainW[[#This Row],[ctry]],raw[yr],AK$1)</f>
        <v/>
      </c>
      <c r="AL34" s="1649">
        <f>SUMIFS(raw[stay],raw[ctry],mainW[[#This Row],[ctry]],raw[yr],AL$1)</f>
        <v/>
      </c>
      <c r="AM34" s="1649">
        <f>SUMIFS(raw[stay],raw[ctry],mainW[[#This Row],[ctry]],raw[yr],AM$1)</f>
        <v/>
      </c>
      <c r="AN34" s="1649">
        <f>SUMIFS(raw[stay],raw[ctry],mainW[[#This Row],[ctry]],raw[yr],AN$1)</f>
        <v/>
      </c>
      <c r="AO34" s="1620" t="n"/>
      <c r="AP34" s="1597">
        <f>AP33+1</f>
        <v/>
      </c>
      <c r="AQ34" s="1636">
        <f>'@Refr'!P27</f>
        <v/>
      </c>
      <c r="AR34" s="1603">
        <f>_xlfn.XLOOKUP(citySeq[[#This Row],[city]],ccc[city],ccc[ctry],"-")</f>
        <v/>
      </c>
      <c r="AS34" s="1604">
        <f>_xlfn.MINIFS(stayCity[in], stayCity[city], citySeq[[#This Row],[city]])</f>
        <v/>
      </c>
      <c r="AT34" s="1637">
        <f>_xlfn.MAXIFS(raw[out], raw[city], citySeq[[#This Row],[city]])</f>
        <v/>
      </c>
      <c r="AU34" s="1638">
        <f>SUMIFS(stayCity[in],stayCity[city],citySeq[[#This Row],[city]],stayCity[stay],citySeq[[#This Row],[seq]])</f>
        <v/>
      </c>
      <c r="AV34" s="1638">
        <f>SUMIFS(stayCity[out],stayCity[city],citySeq[[#This Row],[city]],stayCity[stay],citySeq[[#This Row],[seq]])</f>
        <v/>
      </c>
      <c r="AW34" s="1603">
        <f t="array" ref="AW34">MAX(IF(stayCity[city]=citySeq[[#This Row],[city]],stayCity[stay]))</f>
        <v/>
      </c>
      <c r="AX34" s="1603">
        <f t="array" ref="AX34">ROWS(_xlfn.UNIQUE(_xlfn._xlws.FILTER(raw[yr], raw[city]=citySeq[[#This Row],[city]])))</f>
        <v/>
      </c>
      <c r="AY34" s="1603">
        <f>_xlfn.XLOOKUP(citySeq[[#This Row],[city]],cities[city],cities[stay])</f>
        <v/>
      </c>
      <c r="AZ34" s="1660" t="inlineStr">
        <is>
          <t>.</t>
        </is>
      </c>
      <c r="BA34" s="1597">
        <f>BA33+1</f>
        <v/>
      </c>
      <c r="BB34" s="1643">
        <f>AQ19</f>
        <v/>
      </c>
      <c r="BC34" s="1603">
        <f>INT(SUMIFS(raw[stay],raw[city],$BB34,raw[dec],BC$1))</f>
        <v/>
      </c>
      <c r="BD34" s="1603">
        <f>INT(SUMIFS(raw[stay],raw[city],$BB34,raw[dec],BD$1))</f>
        <v/>
      </c>
      <c r="BE34" s="1603">
        <f>INT(SUMIFS(raw[stay],raw[city],$BB34,raw[dec],BE$1))</f>
        <v/>
      </c>
      <c r="BF34" s="1603">
        <f>INT(SUMIFS(raw[stay],raw[city],$BB34,raw[dec],BF$1))</f>
        <v/>
      </c>
      <c r="BG34" s="1603">
        <f>INT(SUMIFS(raw[stay],raw[city],$BB34,raw[dec],BG$1))</f>
        <v/>
      </c>
      <c r="BH34" s="1597" t="n"/>
      <c r="BI34" s="1641">
        <f>(_xlfn.MAXIFS(raw[out],raw[city],BB34)-_xlfn.MINIFS(raw[out],raw[city],BB34))/365.25</f>
        <v/>
      </c>
      <c r="BJ34" s="1633" t="n"/>
      <c r="BK34" s="1611" t="n"/>
      <c r="BL34" s="1612" t="n"/>
      <c r="BM34" s="1612" t="n"/>
      <c r="BN34" s="1612" t="n"/>
      <c r="BO34" s="1612" t="n"/>
      <c r="BP34" s="1612" t="n"/>
      <c r="BQ34" s="1612" t="n"/>
      <c r="BR34" s="1612" t="n"/>
      <c r="BS34" s="1612" t="n"/>
      <c r="BT34" s="1612" t="n"/>
      <c r="BU34" s="1612" t="n"/>
      <c r="BV34" s="1612" t="n"/>
      <c r="BW34" s="1612" t="n"/>
      <c r="BX34" s="1612" t="n"/>
      <c r="BY34" s="1612" t="n"/>
      <c r="BZ34" s="1612" t="n"/>
      <c r="CA34" s="1612" t="n"/>
      <c r="CB34" s="1612" t="n"/>
      <c r="CC34" s="1612" t="n"/>
      <c r="CD34" s="1612" t="n"/>
      <c r="CE34" s="1612" t="n"/>
      <c r="CF34" s="1612" t="n"/>
    </row>
    <row r="35" ht="14" customHeight="1">
      <c r="A35" s="1596">
        <f>IF(mainW[[#This Row],[yrs]]=0,"",A34+1)</f>
        <v/>
      </c>
      <c r="B35" s="1596" t="n">
        <v>24</v>
      </c>
      <c r="C35" s="1647">
        <f>INT(SUM(H35:AO35))</f>
        <v/>
      </c>
      <c r="D35" s="1596">
        <f t="array" ref="D35">MAX(IF(stayCtry[ctry]=$G35,stayCtry[stay]))</f>
        <v/>
      </c>
      <c r="E35" s="1596">
        <f>COUNTIF(entryCtry[],mainW[[#This Row],[ctry]])</f>
        <v/>
      </c>
      <c r="F35" s="1596">
        <f>COUNTIF(H35:AO35,"&gt;=1")+COUNTIFS(H35:AO35,"&gt;0",H35:AO35,"&lt;1")/100</f>
        <v/>
      </c>
      <c r="G35" s="1648">
        <f>_xlfn.XLOOKUP(mainW[[#This Row],['#]],ctries[id],ctries[ctry],"-")</f>
        <v/>
      </c>
      <c r="H35" s="1649">
        <f>SUMIFS(raw[stay],raw[ctry],mainW[[#This Row],[ctry]],raw[yr],H$1)</f>
        <v/>
      </c>
      <c r="I35" s="1649">
        <f>SUMIFS(raw[stay],raw[ctry],mainW[[#This Row],[ctry]],raw[yr],I$1)</f>
        <v/>
      </c>
      <c r="J35" s="1649">
        <f>SUMIFS(raw[stay],raw[ctry],mainW[[#This Row],[ctry]],raw[yr],J$1)</f>
        <v/>
      </c>
      <c r="K35" s="1649">
        <f>SUMIFS(raw[stay],raw[ctry],mainW[[#This Row],[ctry]],raw[yr],K$1)</f>
        <v/>
      </c>
      <c r="L35" s="1649">
        <f>SUMIFS(raw[stay],raw[ctry],mainW[[#This Row],[ctry]],raw[yr],L$1)</f>
        <v/>
      </c>
      <c r="M35" s="1649">
        <f>SUMIFS(raw[stay],raw[ctry],mainW[[#This Row],[ctry]],raw[yr],M$1)</f>
        <v/>
      </c>
      <c r="N35" s="1649">
        <f>SUMIFS(raw[stay],raw[ctry],mainW[[#This Row],[ctry]],raw[yr],N$1)</f>
        <v/>
      </c>
      <c r="O35" s="1649">
        <f>SUMIFS(raw[stay],raw[ctry],mainW[[#This Row],[ctry]],raw[yr],O$1)</f>
        <v/>
      </c>
      <c r="P35" s="1649">
        <f>SUMIFS(raw[stay],raw[ctry],mainW[[#This Row],[ctry]],raw[yr],P$1)</f>
        <v/>
      </c>
      <c r="Q35" s="1649">
        <f>SUMIFS(raw[stay],raw[ctry],mainW[[#This Row],[ctry]],raw[yr],Q$1)</f>
        <v/>
      </c>
      <c r="R35" s="1649">
        <f>SUMIFS(raw[stay],raw[ctry],mainW[[#This Row],[ctry]],raw[yr],R$1)</f>
        <v/>
      </c>
      <c r="S35" s="1649">
        <f>SUMIFS(raw[stay],raw[ctry],mainW[[#This Row],[ctry]],raw[yr],S$1)</f>
        <v/>
      </c>
      <c r="T35" s="1649">
        <f>SUMIFS(raw[stay],raw[ctry],mainW[[#This Row],[ctry]],raw[yr],T$1)</f>
        <v/>
      </c>
      <c r="U35" s="1649">
        <f>SUMIFS(raw[stay],raw[ctry],mainW[[#This Row],[ctry]],raw[yr],U$1)</f>
        <v/>
      </c>
      <c r="V35" s="1649">
        <f>SUMIFS(raw[stay],raw[ctry],mainW[[#This Row],[ctry]],raw[yr],V$1)</f>
        <v/>
      </c>
      <c r="W35" s="1649">
        <f>SUMIFS(raw[stay],raw[ctry],mainW[[#This Row],[ctry]],raw[yr],W$1)</f>
        <v/>
      </c>
      <c r="X35" s="1649">
        <f>SUMIFS(raw[stay],raw[ctry],mainW[[#This Row],[ctry]],raw[yr],X$1)</f>
        <v/>
      </c>
      <c r="Y35" s="1649">
        <f>SUMIFS(raw[stay],raw[ctry],mainW[[#This Row],[ctry]],raw[yr],Y$1)</f>
        <v/>
      </c>
      <c r="Z35" s="1649">
        <f>SUMIFS(raw[stay],raw[ctry],mainW[[#This Row],[ctry]],raw[yr],Z$1)</f>
        <v/>
      </c>
      <c r="AA35" s="1649">
        <f>SUMIFS(raw[stay],raw[ctry],mainW[[#This Row],[ctry]],raw[yr],AA$1)</f>
        <v/>
      </c>
      <c r="AB35" s="1649">
        <f>SUMIFS(raw[stay],raw[ctry],mainW[[#This Row],[ctry]],raw[yr],AB$1)</f>
        <v/>
      </c>
      <c r="AC35" s="1649">
        <f>SUMIFS(raw[stay],raw[ctry],mainW[[#This Row],[ctry]],raw[yr],AC$1)</f>
        <v/>
      </c>
      <c r="AD35" s="1649">
        <f>SUMIFS(raw[stay],raw[ctry],mainW[[#This Row],[ctry]],raw[yr],AD$1)</f>
        <v/>
      </c>
      <c r="AE35" s="1649">
        <f>SUMIFS(raw[stay],raw[ctry],mainW[[#This Row],[ctry]],raw[yr],AE$1)</f>
        <v/>
      </c>
      <c r="AF35" s="1649">
        <f>SUMIFS(raw[stay],raw[ctry],mainW[[#This Row],[ctry]],raw[yr],AF$1)</f>
        <v/>
      </c>
      <c r="AG35" s="1649">
        <f>SUMIFS(raw[stay],raw[ctry],mainW[[#This Row],[ctry]],raw[yr],AG$1)</f>
        <v/>
      </c>
      <c r="AH35" s="1649">
        <f>SUMIFS(raw[stay],raw[ctry],mainW[[#This Row],[ctry]],raw[yr],AH$1)</f>
        <v/>
      </c>
      <c r="AI35" s="1649">
        <f>SUMIFS(raw[stay],raw[ctry],mainW[[#This Row],[ctry]],raw[yr],AI$1)</f>
        <v/>
      </c>
      <c r="AJ35" s="1649">
        <f>SUMIFS(raw[stay],raw[ctry],mainW[[#This Row],[ctry]],raw[yr],AJ$1)</f>
        <v/>
      </c>
      <c r="AK35" s="1649">
        <f>SUMIFS(raw[stay],raw[ctry],mainW[[#This Row],[ctry]],raw[yr],AK$1)</f>
        <v/>
      </c>
      <c r="AL35" s="1649">
        <f>SUMIFS(raw[stay],raw[ctry],mainW[[#This Row],[ctry]],raw[yr],AL$1)</f>
        <v/>
      </c>
      <c r="AM35" s="1649">
        <f>SUMIFS(raw[stay],raw[ctry],mainW[[#This Row],[ctry]],raw[yr],AM$1)</f>
        <v/>
      </c>
      <c r="AN35" s="1649">
        <f>SUMIFS(raw[stay],raw[ctry],mainW[[#This Row],[ctry]],raw[yr],AN$1)</f>
        <v/>
      </c>
      <c r="AO35" s="1620" t="n"/>
      <c r="AP35" s="1597">
        <f>AP34+1</f>
        <v/>
      </c>
      <c r="AQ35" s="1636">
        <f>'@Refr'!P28</f>
        <v/>
      </c>
      <c r="AR35" s="1603">
        <f>_xlfn.XLOOKUP(citySeq[[#This Row],[city]],ccc[city],ccc[ctry],"-")</f>
        <v/>
      </c>
      <c r="AS35" s="1604">
        <f>_xlfn.MINIFS(stayCity[in], stayCity[city], citySeq[[#This Row],[city]])</f>
        <v/>
      </c>
      <c r="AT35" s="1637">
        <f>_xlfn.MAXIFS(raw[out], raw[city], citySeq[[#This Row],[city]])</f>
        <v/>
      </c>
      <c r="AU35" s="1638">
        <f>SUMIFS(stayCity[in],stayCity[city],citySeq[[#This Row],[city]],stayCity[stay],citySeq[[#This Row],[seq]])</f>
        <v/>
      </c>
      <c r="AV35" s="1638">
        <f>SUMIFS(stayCity[out],stayCity[city],citySeq[[#This Row],[city]],stayCity[stay],citySeq[[#This Row],[seq]])</f>
        <v/>
      </c>
      <c r="AW35" s="1603">
        <f t="array" ref="AW35">MAX(IF(stayCity[city]=citySeq[[#This Row],[city]],stayCity[stay]))</f>
        <v/>
      </c>
      <c r="AX35" s="1603">
        <f t="array" ref="AX35">ROWS(_xlfn.UNIQUE(_xlfn._xlws.FILTER(raw[yr], raw[city]=citySeq[[#This Row],[city]])))</f>
        <v/>
      </c>
      <c r="AY35" s="1603">
        <f>_xlfn.XLOOKUP(citySeq[[#This Row],[city]],cities[city],cities[stay])</f>
        <v/>
      </c>
      <c r="AZ35" s="1660" t="inlineStr">
        <is>
          <t>.</t>
        </is>
      </c>
      <c r="BA35" s="1597">
        <f>BA34+1</f>
        <v/>
      </c>
      <c r="BB35" s="1643">
        <f>AQ20</f>
        <v/>
      </c>
      <c r="BC35" s="1603">
        <f>INT(SUMIFS(raw[stay],raw[city],$BB35,raw[dec],BC$1))</f>
        <v/>
      </c>
      <c r="BD35" s="1603">
        <f>INT(SUMIFS(raw[stay],raw[city],$BB35,raw[dec],BD$1))</f>
        <v/>
      </c>
      <c r="BE35" s="1603">
        <f>INT(SUMIFS(raw[stay],raw[city],$BB35,raw[dec],BE$1))</f>
        <v/>
      </c>
      <c r="BF35" s="1603">
        <f>INT(SUMIFS(raw[stay],raw[city],$BB35,raw[dec],BF$1))</f>
        <v/>
      </c>
      <c r="BG35" s="1603">
        <f>INT(SUMIFS(raw[stay],raw[city],$BB35,raw[dec],BG$1))</f>
        <v/>
      </c>
      <c r="BH35" s="1597" t="n"/>
      <c r="BI35" s="1641">
        <f>(_xlfn.MAXIFS(raw[out],raw[city],BB35)-_xlfn.MINIFS(raw[out],raw[city],BB35))/365.25</f>
        <v/>
      </c>
      <c r="BJ35" s="1633" t="n"/>
      <c r="BK35" s="1611" t="n"/>
      <c r="BL35" s="1612" t="n"/>
      <c r="BM35" s="1612" t="n"/>
      <c r="BN35" s="1612" t="n"/>
      <c r="BO35" s="1612" t="n"/>
      <c r="BP35" s="1612" t="n"/>
      <c r="BQ35" s="1612" t="n"/>
      <c r="BR35" s="1612" t="n"/>
      <c r="BS35" s="1612" t="n"/>
      <c r="BT35" s="1612" t="n"/>
      <c r="BU35" s="1612" t="n"/>
      <c r="BV35" s="1612" t="n"/>
      <c r="BW35" s="1612" t="n"/>
      <c r="BX35" s="1612" t="n"/>
      <c r="BY35" s="1612" t="n"/>
      <c r="BZ35" s="1612" t="n"/>
      <c r="CA35" s="1612" t="n"/>
      <c r="CB35" s="1612" t="n"/>
      <c r="CC35" s="1612" t="n"/>
      <c r="CD35" s="1612" t="n"/>
      <c r="CE35" s="1612" t="n"/>
      <c r="CF35" s="1612" t="n"/>
    </row>
    <row r="36" ht="14" customHeight="1">
      <c r="A36" s="1615">
        <f>IF(mainW[[#This Row],[yrs]]=0,"",A35+1)</f>
        <v/>
      </c>
      <c r="B36" s="1615" t="n">
        <v>26</v>
      </c>
      <c r="C36" s="1652">
        <f>INT(SUM(H36:AO36))</f>
        <v/>
      </c>
      <c r="D36" s="1615">
        <f t="array" ref="D36">MAX(IF(stayCtry[ctry]=$G36,stayCtry[stay]))</f>
        <v/>
      </c>
      <c r="E36" s="1615">
        <f>COUNTIF(entryCtry[],mainW[[#This Row],[ctry]])</f>
        <v/>
      </c>
      <c r="F36" s="1615">
        <f>COUNTIF(H36:AO36,"&gt;=1")+COUNTIFS(H36:AO36,"&gt;0",H36:AO36,"&lt;1")/100</f>
        <v/>
      </c>
      <c r="G36" s="1648">
        <f>_xlfn.XLOOKUP(mainW[[#This Row],['#]],ctries[id],ctries[ctry],"-")</f>
        <v/>
      </c>
      <c r="H36" s="1649">
        <f>SUMIFS(raw[stay],raw[ctry],mainW[[#This Row],[ctry]],raw[yr],H$1)</f>
        <v/>
      </c>
      <c r="I36" s="1649">
        <f>SUMIFS(raw[stay],raw[ctry],mainW[[#This Row],[ctry]],raw[yr],I$1)</f>
        <v/>
      </c>
      <c r="J36" s="1649">
        <f>SUMIFS(raw[stay],raw[ctry],mainW[[#This Row],[ctry]],raw[yr],J$1)</f>
        <v/>
      </c>
      <c r="K36" s="1649">
        <f>SUMIFS(raw[stay],raw[ctry],mainW[[#This Row],[ctry]],raw[yr],K$1)</f>
        <v/>
      </c>
      <c r="L36" s="1649">
        <f>SUMIFS(raw[stay],raw[ctry],mainW[[#This Row],[ctry]],raw[yr],L$1)</f>
        <v/>
      </c>
      <c r="M36" s="1649">
        <f>SUMIFS(raw[stay],raw[ctry],mainW[[#This Row],[ctry]],raw[yr],M$1)</f>
        <v/>
      </c>
      <c r="N36" s="1649">
        <f>SUMIFS(raw[stay],raw[ctry],mainW[[#This Row],[ctry]],raw[yr],N$1)</f>
        <v/>
      </c>
      <c r="O36" s="1649">
        <f>SUMIFS(raw[stay],raw[ctry],mainW[[#This Row],[ctry]],raw[yr],O$1)</f>
        <v/>
      </c>
      <c r="P36" s="1649">
        <f>SUMIFS(raw[stay],raw[ctry],mainW[[#This Row],[ctry]],raw[yr],P$1)</f>
        <v/>
      </c>
      <c r="Q36" s="1649">
        <f>SUMIFS(raw[stay],raw[ctry],mainW[[#This Row],[ctry]],raw[yr],Q$1)</f>
        <v/>
      </c>
      <c r="R36" s="1649">
        <f>SUMIFS(raw[stay],raw[ctry],mainW[[#This Row],[ctry]],raw[yr],R$1)</f>
        <v/>
      </c>
      <c r="S36" s="1649">
        <f>SUMIFS(raw[stay],raw[ctry],mainW[[#This Row],[ctry]],raw[yr],S$1)</f>
        <v/>
      </c>
      <c r="T36" s="1649">
        <f>SUMIFS(raw[stay],raw[ctry],mainW[[#This Row],[ctry]],raw[yr],T$1)</f>
        <v/>
      </c>
      <c r="U36" s="1649">
        <f>SUMIFS(raw[stay],raw[ctry],mainW[[#This Row],[ctry]],raw[yr],U$1)</f>
        <v/>
      </c>
      <c r="V36" s="1649">
        <f>SUMIFS(raw[stay],raw[ctry],mainW[[#This Row],[ctry]],raw[yr],V$1)</f>
        <v/>
      </c>
      <c r="W36" s="1649">
        <f>SUMIFS(raw[stay],raw[ctry],mainW[[#This Row],[ctry]],raw[yr],W$1)</f>
        <v/>
      </c>
      <c r="X36" s="1649">
        <f>SUMIFS(raw[stay],raw[ctry],mainW[[#This Row],[ctry]],raw[yr],X$1)</f>
        <v/>
      </c>
      <c r="Y36" s="1649">
        <f>SUMIFS(raw[stay],raw[ctry],mainW[[#This Row],[ctry]],raw[yr],Y$1)</f>
        <v/>
      </c>
      <c r="Z36" s="1649">
        <f>SUMIFS(raw[stay],raw[ctry],mainW[[#This Row],[ctry]],raw[yr],Z$1)</f>
        <v/>
      </c>
      <c r="AA36" s="1649">
        <f>SUMIFS(raw[stay],raw[ctry],mainW[[#This Row],[ctry]],raw[yr],AA$1)</f>
        <v/>
      </c>
      <c r="AB36" s="1649">
        <f>SUMIFS(raw[stay],raw[ctry],mainW[[#This Row],[ctry]],raw[yr],AB$1)</f>
        <v/>
      </c>
      <c r="AC36" s="1649">
        <f>SUMIFS(raw[stay],raw[ctry],mainW[[#This Row],[ctry]],raw[yr],AC$1)</f>
        <v/>
      </c>
      <c r="AD36" s="1649">
        <f>SUMIFS(raw[stay],raw[ctry],mainW[[#This Row],[ctry]],raw[yr],AD$1)</f>
        <v/>
      </c>
      <c r="AE36" s="1649">
        <f>SUMIFS(raw[stay],raw[ctry],mainW[[#This Row],[ctry]],raw[yr],AE$1)</f>
        <v/>
      </c>
      <c r="AF36" s="1649">
        <f>SUMIFS(raw[stay],raw[ctry],mainW[[#This Row],[ctry]],raw[yr],AF$1)</f>
        <v/>
      </c>
      <c r="AG36" s="1649">
        <f>SUMIFS(raw[stay],raw[ctry],mainW[[#This Row],[ctry]],raw[yr],AG$1)</f>
        <v/>
      </c>
      <c r="AH36" s="1649">
        <f>SUMIFS(raw[stay],raw[ctry],mainW[[#This Row],[ctry]],raw[yr],AH$1)</f>
        <v/>
      </c>
      <c r="AI36" s="1649">
        <f>SUMIFS(raw[stay],raw[ctry],mainW[[#This Row],[ctry]],raw[yr],AI$1)</f>
        <v/>
      </c>
      <c r="AJ36" s="1649">
        <f>SUMIFS(raw[stay],raw[ctry],mainW[[#This Row],[ctry]],raw[yr],AJ$1)</f>
        <v/>
      </c>
      <c r="AK36" s="1649">
        <f>SUMIFS(raw[stay],raw[ctry],mainW[[#This Row],[ctry]],raw[yr],AK$1)</f>
        <v/>
      </c>
      <c r="AL36" s="1649">
        <f>SUMIFS(raw[stay],raw[ctry],mainW[[#This Row],[ctry]],raw[yr],AL$1)</f>
        <v/>
      </c>
      <c r="AM36" s="1649">
        <f>SUMIFS(raw[stay],raw[ctry],mainW[[#This Row],[ctry]],raw[yr],AM$1)</f>
        <v/>
      </c>
      <c r="AN36" s="1649">
        <f>SUMIFS(raw[stay],raw[ctry],mainW[[#This Row],[ctry]],raw[yr],AN$1)</f>
        <v/>
      </c>
      <c r="AO36" s="1620" t="n"/>
      <c r="AP36" s="1597">
        <f>AP35+1</f>
        <v/>
      </c>
      <c r="AQ36" s="1636">
        <f>'@Refr'!P29</f>
        <v/>
      </c>
      <c r="AR36" s="1603">
        <f>_xlfn.XLOOKUP(citySeq[[#This Row],[city]],ccc[city],ccc[ctry],"-")</f>
        <v/>
      </c>
      <c r="AS36" s="1604">
        <f>_xlfn.MINIFS(stayCity[in], stayCity[city], citySeq[[#This Row],[city]])</f>
        <v/>
      </c>
      <c r="AT36" s="1637">
        <f>_xlfn.MAXIFS(raw[out], raw[city], citySeq[[#This Row],[city]])</f>
        <v/>
      </c>
      <c r="AU36" s="1638">
        <f>SUMIFS(stayCity[in],stayCity[city],citySeq[[#This Row],[city]],stayCity[stay],citySeq[[#This Row],[seq]])</f>
        <v/>
      </c>
      <c r="AV36" s="1638">
        <f>SUMIFS(stayCity[out],stayCity[city],citySeq[[#This Row],[city]],stayCity[stay],citySeq[[#This Row],[seq]])</f>
        <v/>
      </c>
      <c r="AW36" s="1603">
        <f t="array" ref="AW36">MAX(IF(stayCity[city]=citySeq[[#This Row],[city]],stayCity[stay]))</f>
        <v/>
      </c>
      <c r="AX36" s="1603">
        <f t="array" ref="AX36">ROWS(_xlfn.UNIQUE(_xlfn._xlws.FILTER(raw[yr], raw[city]=citySeq[[#This Row],[city]])))</f>
        <v/>
      </c>
      <c r="AY36" s="1603">
        <f>_xlfn.XLOOKUP(citySeq[[#This Row],[city]],cities[city],cities[stay])</f>
        <v/>
      </c>
      <c r="AZ36" s="1660" t="inlineStr">
        <is>
          <t>.</t>
        </is>
      </c>
      <c r="BA36" s="1597">
        <f>BA35+1</f>
        <v/>
      </c>
      <c r="BB36" s="1643">
        <f>AQ21</f>
        <v/>
      </c>
      <c r="BC36" s="1603">
        <f>INT(SUMIFS(raw[stay],raw[city],$BB36,raw[dec],BC$1))</f>
        <v/>
      </c>
      <c r="BD36" s="1603">
        <f>INT(SUMIFS(raw[stay],raw[city],$BB36,raw[dec],BD$1))</f>
        <v/>
      </c>
      <c r="BE36" s="1603">
        <f>INT(SUMIFS(raw[stay],raw[city],$BB36,raw[dec],BE$1))</f>
        <v/>
      </c>
      <c r="BF36" s="1603">
        <f>INT(SUMIFS(raw[stay],raw[city],$BB36,raw[dec],BF$1))</f>
        <v/>
      </c>
      <c r="BG36" s="1603">
        <f>INT(SUMIFS(raw[stay],raw[city],$BB36,raw[dec],BG$1))</f>
        <v/>
      </c>
      <c r="BH36" s="1597" t="n"/>
      <c r="BI36" s="1641">
        <f>(_xlfn.MAXIFS(raw[out],raw[city],BB36)-_xlfn.MINIFS(raw[out],raw[city],BB36))/365.25</f>
        <v/>
      </c>
      <c r="BJ36" s="1633" t="n"/>
      <c r="BK36" s="1611" t="n"/>
      <c r="BL36" s="1612" t="n"/>
      <c r="BM36" s="1612" t="n"/>
      <c r="BN36" s="1612" t="n"/>
      <c r="BO36" s="1612" t="n"/>
      <c r="BP36" s="1612" t="n"/>
      <c r="BQ36" s="1612" t="n"/>
      <c r="BR36" s="1612" t="n"/>
      <c r="BS36" s="1612" t="n"/>
      <c r="BT36" s="1612" t="n"/>
      <c r="BU36" s="1612" t="n"/>
      <c r="BV36" s="1612" t="n"/>
      <c r="BW36" s="1612" t="n"/>
      <c r="BX36" s="1612" t="n"/>
      <c r="BY36" s="1612" t="n"/>
      <c r="BZ36" s="1612" t="n"/>
      <c r="CA36" s="1612" t="n"/>
      <c r="CB36" s="1612" t="n"/>
      <c r="CC36" s="1612" t="n"/>
      <c r="CD36" s="1612" t="n"/>
      <c r="CE36" s="1612" t="n"/>
      <c r="CF36" s="1612" t="n"/>
    </row>
    <row r="37" ht="14" customHeight="1">
      <c r="A37" s="1596">
        <f>IF(mainW[[#This Row],[yrs]]=0,"",A36+1)</f>
        <v/>
      </c>
      <c r="B37" s="1596" t="n">
        <v>28</v>
      </c>
      <c r="C37" s="1647">
        <f>INT(SUM(H37:AO37))</f>
        <v/>
      </c>
      <c r="D37" s="1596">
        <f t="array" ref="D37">MAX(IF(stayCtry[ctry]=$G37,stayCtry[stay]))</f>
        <v/>
      </c>
      <c r="E37" s="1596">
        <f>COUNTIF(entryCtry[],mainW[[#This Row],[ctry]])</f>
        <v/>
      </c>
      <c r="F37" s="1596">
        <f>COUNTIF(H37:AO37,"&gt;=1")+COUNTIFS(H37:AO37,"&gt;0",H37:AO37,"&lt;1")/100</f>
        <v/>
      </c>
      <c r="G37" s="1648">
        <f>_xlfn.XLOOKUP(mainW[[#This Row],['#]],ctries[id],ctries[ctry],"-")</f>
        <v/>
      </c>
      <c r="H37" s="1649">
        <f>SUMIFS(raw[stay],raw[ctry],mainW[[#This Row],[ctry]],raw[yr],H$1)</f>
        <v/>
      </c>
      <c r="I37" s="1649">
        <f>SUMIFS(raw[stay],raw[ctry],mainW[[#This Row],[ctry]],raw[yr],I$1)</f>
        <v/>
      </c>
      <c r="J37" s="1649">
        <f>SUMIFS(raw[stay],raw[ctry],mainW[[#This Row],[ctry]],raw[yr],J$1)</f>
        <v/>
      </c>
      <c r="K37" s="1649">
        <f>SUMIFS(raw[stay],raw[ctry],mainW[[#This Row],[ctry]],raw[yr],K$1)</f>
        <v/>
      </c>
      <c r="L37" s="1649">
        <f>SUMIFS(raw[stay],raw[ctry],mainW[[#This Row],[ctry]],raw[yr],L$1)</f>
        <v/>
      </c>
      <c r="M37" s="1649">
        <f>SUMIFS(raw[stay],raw[ctry],mainW[[#This Row],[ctry]],raw[yr],M$1)</f>
        <v/>
      </c>
      <c r="N37" s="1649">
        <f>SUMIFS(raw[stay],raw[ctry],mainW[[#This Row],[ctry]],raw[yr],N$1)</f>
        <v/>
      </c>
      <c r="O37" s="1649">
        <f>SUMIFS(raw[stay],raw[ctry],mainW[[#This Row],[ctry]],raw[yr],O$1)</f>
        <v/>
      </c>
      <c r="P37" s="1649">
        <f>SUMIFS(raw[stay],raw[ctry],mainW[[#This Row],[ctry]],raw[yr],P$1)</f>
        <v/>
      </c>
      <c r="Q37" s="1649">
        <f>SUMIFS(raw[stay],raw[ctry],mainW[[#This Row],[ctry]],raw[yr],Q$1)</f>
        <v/>
      </c>
      <c r="R37" s="1649">
        <f>SUMIFS(raw[stay],raw[ctry],mainW[[#This Row],[ctry]],raw[yr],R$1)</f>
        <v/>
      </c>
      <c r="S37" s="1649">
        <f>SUMIFS(raw[stay],raw[ctry],mainW[[#This Row],[ctry]],raw[yr],S$1)</f>
        <v/>
      </c>
      <c r="T37" s="1649">
        <f>SUMIFS(raw[stay],raw[ctry],mainW[[#This Row],[ctry]],raw[yr],T$1)</f>
        <v/>
      </c>
      <c r="U37" s="1649">
        <f>SUMIFS(raw[stay],raw[ctry],mainW[[#This Row],[ctry]],raw[yr],U$1)</f>
        <v/>
      </c>
      <c r="V37" s="1649">
        <f>SUMIFS(raw[stay],raw[ctry],mainW[[#This Row],[ctry]],raw[yr],V$1)</f>
        <v/>
      </c>
      <c r="W37" s="1649">
        <f>SUMIFS(raw[stay],raw[ctry],mainW[[#This Row],[ctry]],raw[yr],W$1)</f>
        <v/>
      </c>
      <c r="X37" s="1649">
        <f>SUMIFS(raw[stay],raw[ctry],mainW[[#This Row],[ctry]],raw[yr],X$1)</f>
        <v/>
      </c>
      <c r="Y37" s="1649">
        <f>SUMIFS(raw[stay],raw[ctry],mainW[[#This Row],[ctry]],raw[yr],Y$1)</f>
        <v/>
      </c>
      <c r="Z37" s="1649">
        <f>SUMIFS(raw[stay],raw[ctry],mainW[[#This Row],[ctry]],raw[yr],Z$1)</f>
        <v/>
      </c>
      <c r="AA37" s="1649">
        <f>SUMIFS(raw[stay],raw[ctry],mainW[[#This Row],[ctry]],raw[yr],AA$1)</f>
        <v/>
      </c>
      <c r="AB37" s="1649">
        <f>SUMIFS(raw[stay],raw[ctry],mainW[[#This Row],[ctry]],raw[yr],AB$1)</f>
        <v/>
      </c>
      <c r="AC37" s="1649">
        <f>SUMIFS(raw[stay],raw[ctry],mainW[[#This Row],[ctry]],raw[yr],AC$1)</f>
        <v/>
      </c>
      <c r="AD37" s="1649">
        <f>SUMIFS(raw[stay],raw[ctry],mainW[[#This Row],[ctry]],raw[yr],AD$1)</f>
        <v/>
      </c>
      <c r="AE37" s="1649">
        <f>SUMIFS(raw[stay],raw[ctry],mainW[[#This Row],[ctry]],raw[yr],AE$1)</f>
        <v/>
      </c>
      <c r="AF37" s="1649">
        <f>SUMIFS(raw[stay],raw[ctry],mainW[[#This Row],[ctry]],raw[yr],AF$1)</f>
        <v/>
      </c>
      <c r="AG37" s="1649">
        <f>SUMIFS(raw[stay],raw[ctry],mainW[[#This Row],[ctry]],raw[yr],AG$1)</f>
        <v/>
      </c>
      <c r="AH37" s="1649">
        <f>SUMIFS(raw[stay],raw[ctry],mainW[[#This Row],[ctry]],raw[yr],AH$1)</f>
        <v/>
      </c>
      <c r="AI37" s="1649">
        <f>SUMIFS(raw[stay],raw[ctry],mainW[[#This Row],[ctry]],raw[yr],AI$1)</f>
        <v/>
      </c>
      <c r="AJ37" s="1649">
        <f>SUMIFS(raw[stay],raw[ctry],mainW[[#This Row],[ctry]],raw[yr],AJ$1)</f>
        <v/>
      </c>
      <c r="AK37" s="1649">
        <f>SUMIFS(raw[stay],raw[ctry],mainW[[#This Row],[ctry]],raw[yr],AK$1)</f>
        <v/>
      </c>
      <c r="AL37" s="1649">
        <f>SUMIFS(raw[stay],raw[ctry],mainW[[#This Row],[ctry]],raw[yr],AL$1)</f>
        <v/>
      </c>
      <c r="AM37" s="1649">
        <f>SUMIFS(raw[stay],raw[ctry],mainW[[#This Row],[ctry]],raw[yr],AM$1)</f>
        <v/>
      </c>
      <c r="AN37" s="1649">
        <f>SUMIFS(raw[stay],raw[ctry],mainW[[#This Row],[ctry]],raw[yr],AN$1)</f>
        <v/>
      </c>
      <c r="AO37" s="1620" t="n"/>
      <c r="AP37" s="1597">
        <f>AP36+1</f>
        <v/>
      </c>
      <c r="AQ37" s="1636" t="n"/>
      <c r="AR37" s="1603" t="n"/>
      <c r="AS37" s="1665" t="n"/>
      <c r="AT37" s="1665" t="n"/>
      <c r="AU37" s="1638" t="n"/>
      <c r="AV37" s="1638" t="n"/>
      <c r="AW37" s="1603" t="n"/>
      <c r="AX37" s="1603" t="n"/>
      <c r="AY37" s="1603" t="n"/>
      <c r="AZ37" s="1660" t="inlineStr">
        <is>
          <t>.</t>
        </is>
      </c>
      <c r="BA37" s="1597">
        <f>BA36+1</f>
        <v/>
      </c>
      <c r="BB37" s="1643">
        <f>AQ22</f>
        <v/>
      </c>
      <c r="BC37" s="1603">
        <f>INT(SUMIFS(raw[stay],raw[city],$BB37,raw[dec],BC$1))</f>
        <v/>
      </c>
      <c r="BD37" s="1603">
        <f>INT(SUMIFS(raw[stay],raw[city],$BB37,raw[dec],BD$1))</f>
        <v/>
      </c>
      <c r="BE37" s="1603">
        <f>INT(SUMIFS(raw[stay],raw[city],$BB37,raw[dec],BE$1))</f>
        <v/>
      </c>
      <c r="BF37" s="1603">
        <f>INT(SUMIFS(raw[stay],raw[city],$BB37,raw[dec],BF$1))</f>
        <v/>
      </c>
      <c r="BG37" s="1603">
        <f>INT(SUMIFS(raw[stay],raw[city],$BB37,raw[dec],BG$1))</f>
        <v/>
      </c>
      <c r="BH37" s="1597" t="n"/>
      <c r="BI37" s="1641">
        <f>(_xlfn.MAXIFS(raw[out],raw[city],BB37)-_xlfn.MINIFS(raw[out],raw[city],BB37))/365.25</f>
        <v/>
      </c>
      <c r="BJ37" s="1633" t="n"/>
      <c r="BK37" s="1611" t="n"/>
      <c r="BL37" s="1612" t="n"/>
      <c r="BM37" s="1612" t="n"/>
      <c r="BN37" s="1612" t="n"/>
      <c r="BO37" s="1612" t="n"/>
      <c r="BP37" s="1612" t="n"/>
      <c r="BQ37" s="1612" t="n"/>
      <c r="BR37" s="1612" t="n"/>
      <c r="BS37" s="1612" t="n"/>
      <c r="BT37" s="1612" t="n"/>
      <c r="BU37" s="1612" t="n"/>
      <c r="BV37" s="1612" t="n"/>
      <c r="BW37" s="1612" t="n"/>
      <c r="BX37" s="1612" t="n"/>
      <c r="BY37" s="1612" t="n"/>
      <c r="BZ37" s="1612" t="n"/>
      <c r="CA37" s="1612" t="n"/>
      <c r="CB37" s="1612" t="n"/>
      <c r="CC37" s="1612" t="n"/>
      <c r="CD37" s="1612" t="n"/>
      <c r="CE37" s="1612" t="n"/>
      <c r="CF37" s="1612" t="n"/>
    </row>
    <row r="38" ht="14" customHeight="1">
      <c r="A38" s="1615">
        <f>IF(mainW[[#This Row],[yrs]]=0,"",A37+1)</f>
        <v/>
      </c>
      <c r="B38" s="1615" t="n">
        <v>32</v>
      </c>
      <c r="C38" s="1652">
        <f>INT(SUM(H38:AO38))</f>
        <v/>
      </c>
      <c r="D38" s="1615">
        <f t="array" ref="D38">MAX(IF(stayCtry[ctry]=$G38,stayCtry[stay]))</f>
        <v/>
      </c>
      <c r="E38" s="1615">
        <f>COUNTIF(entryCtry[],mainW[[#This Row],[ctry]])</f>
        <v/>
      </c>
      <c r="F38" s="1615">
        <f>COUNTIF(H38:AO38,"&gt;=1")+COUNTIFS(H38:AO38,"&gt;0",H38:AO38,"&lt;1")/100</f>
        <v/>
      </c>
      <c r="G38" s="1648">
        <f>_xlfn.XLOOKUP(mainW[[#This Row],['#]],ctries[id],ctries[ctry],"-")</f>
        <v/>
      </c>
      <c r="H38" s="1649">
        <f>SUMIFS(raw[stay],raw[ctry],mainW[[#This Row],[ctry]],raw[yr],H$1)</f>
        <v/>
      </c>
      <c r="I38" s="1649">
        <f>SUMIFS(raw[stay],raw[ctry],mainW[[#This Row],[ctry]],raw[yr],I$1)</f>
        <v/>
      </c>
      <c r="J38" s="1649">
        <f>SUMIFS(raw[stay],raw[ctry],mainW[[#This Row],[ctry]],raw[yr],J$1)</f>
        <v/>
      </c>
      <c r="K38" s="1649">
        <f>SUMIFS(raw[stay],raw[ctry],mainW[[#This Row],[ctry]],raw[yr],K$1)</f>
        <v/>
      </c>
      <c r="L38" s="1649">
        <f>SUMIFS(raw[stay],raw[ctry],mainW[[#This Row],[ctry]],raw[yr],L$1)</f>
        <v/>
      </c>
      <c r="M38" s="1649">
        <f>SUMIFS(raw[stay],raw[ctry],mainW[[#This Row],[ctry]],raw[yr],M$1)</f>
        <v/>
      </c>
      <c r="N38" s="1649">
        <f>SUMIFS(raw[stay],raw[ctry],mainW[[#This Row],[ctry]],raw[yr],N$1)</f>
        <v/>
      </c>
      <c r="O38" s="1649">
        <f>SUMIFS(raw[stay],raw[ctry],mainW[[#This Row],[ctry]],raw[yr],O$1)</f>
        <v/>
      </c>
      <c r="P38" s="1649">
        <f>SUMIFS(raw[stay],raw[ctry],mainW[[#This Row],[ctry]],raw[yr],P$1)</f>
        <v/>
      </c>
      <c r="Q38" s="1649">
        <f>SUMIFS(raw[stay],raw[ctry],mainW[[#This Row],[ctry]],raw[yr],Q$1)</f>
        <v/>
      </c>
      <c r="R38" s="1649">
        <f>SUMIFS(raw[stay],raw[ctry],mainW[[#This Row],[ctry]],raw[yr],R$1)</f>
        <v/>
      </c>
      <c r="S38" s="1649">
        <f>SUMIFS(raw[stay],raw[ctry],mainW[[#This Row],[ctry]],raw[yr],S$1)</f>
        <v/>
      </c>
      <c r="T38" s="1649">
        <f>SUMIFS(raw[stay],raw[ctry],mainW[[#This Row],[ctry]],raw[yr],T$1)</f>
        <v/>
      </c>
      <c r="U38" s="1649">
        <f>SUMIFS(raw[stay],raw[ctry],mainW[[#This Row],[ctry]],raw[yr],U$1)</f>
        <v/>
      </c>
      <c r="V38" s="1649">
        <f>SUMIFS(raw[stay],raw[ctry],mainW[[#This Row],[ctry]],raw[yr],V$1)</f>
        <v/>
      </c>
      <c r="W38" s="1649">
        <f>SUMIFS(raw[stay],raw[ctry],mainW[[#This Row],[ctry]],raw[yr],W$1)</f>
        <v/>
      </c>
      <c r="X38" s="1649">
        <f>SUMIFS(raw[stay],raw[ctry],mainW[[#This Row],[ctry]],raw[yr],X$1)</f>
        <v/>
      </c>
      <c r="Y38" s="1649">
        <f>SUMIFS(raw[stay],raw[ctry],mainW[[#This Row],[ctry]],raw[yr],Y$1)</f>
        <v/>
      </c>
      <c r="Z38" s="1649">
        <f>SUMIFS(raw[stay],raw[ctry],mainW[[#This Row],[ctry]],raw[yr],Z$1)</f>
        <v/>
      </c>
      <c r="AA38" s="1649">
        <f>SUMIFS(raw[stay],raw[ctry],mainW[[#This Row],[ctry]],raw[yr],AA$1)</f>
        <v/>
      </c>
      <c r="AB38" s="1649">
        <f>SUMIFS(raw[stay],raw[ctry],mainW[[#This Row],[ctry]],raw[yr],AB$1)</f>
        <v/>
      </c>
      <c r="AC38" s="1649">
        <f>SUMIFS(raw[stay],raw[ctry],mainW[[#This Row],[ctry]],raw[yr],AC$1)</f>
        <v/>
      </c>
      <c r="AD38" s="1649">
        <f>SUMIFS(raw[stay],raw[ctry],mainW[[#This Row],[ctry]],raw[yr],AD$1)</f>
        <v/>
      </c>
      <c r="AE38" s="1649">
        <f>SUMIFS(raw[stay],raw[ctry],mainW[[#This Row],[ctry]],raw[yr],AE$1)</f>
        <v/>
      </c>
      <c r="AF38" s="1649">
        <f>SUMIFS(raw[stay],raw[ctry],mainW[[#This Row],[ctry]],raw[yr],AF$1)</f>
        <v/>
      </c>
      <c r="AG38" s="1649">
        <f>SUMIFS(raw[stay],raw[ctry],mainW[[#This Row],[ctry]],raw[yr],AG$1)</f>
        <v/>
      </c>
      <c r="AH38" s="1649">
        <f>SUMIFS(raw[stay],raw[ctry],mainW[[#This Row],[ctry]],raw[yr],AH$1)</f>
        <v/>
      </c>
      <c r="AI38" s="1649">
        <f>SUMIFS(raw[stay],raw[ctry],mainW[[#This Row],[ctry]],raw[yr],AI$1)</f>
        <v/>
      </c>
      <c r="AJ38" s="1649">
        <f>SUMIFS(raw[stay],raw[ctry],mainW[[#This Row],[ctry]],raw[yr],AJ$1)</f>
        <v/>
      </c>
      <c r="AK38" s="1649">
        <f>SUMIFS(raw[stay],raw[ctry],mainW[[#This Row],[ctry]],raw[yr],AK$1)</f>
        <v/>
      </c>
      <c r="AL38" s="1649">
        <f>SUMIFS(raw[stay],raw[ctry],mainW[[#This Row],[ctry]],raw[yr],AL$1)</f>
        <v/>
      </c>
      <c r="AM38" s="1649">
        <f>SUMIFS(raw[stay],raw[ctry],mainW[[#This Row],[ctry]],raw[yr],AM$1)</f>
        <v/>
      </c>
      <c r="AN38" s="1649">
        <f>SUMIFS(raw[stay],raw[ctry],mainW[[#This Row],[ctry]],raw[yr],AN$1)</f>
        <v/>
      </c>
      <c r="AO38" s="1620" t="n"/>
      <c r="AP38" s="1597">
        <f>AP37+1</f>
        <v/>
      </c>
      <c r="AQ38" s="1636" t="n"/>
      <c r="AR38" s="1603" t="n"/>
      <c r="AS38" s="1665" t="n"/>
      <c r="AT38" s="1665" t="n"/>
      <c r="AU38" s="1638" t="n"/>
      <c r="AV38" s="1638" t="n"/>
      <c r="AW38" s="1603" t="n"/>
      <c r="AX38" s="1603" t="n"/>
      <c r="AY38" s="1603" t="n"/>
      <c r="AZ38" s="1666" t="inlineStr">
        <is>
          <t>.</t>
        </is>
      </c>
      <c r="BA38" s="1597">
        <f>BA37+1</f>
        <v/>
      </c>
      <c r="BB38" s="1643">
        <f>AQ23</f>
        <v/>
      </c>
      <c r="BC38" s="1603">
        <f>INT(SUMIFS(raw[stay],raw[city],$BB38,raw[dec],BC$1))</f>
        <v/>
      </c>
      <c r="BD38" s="1603">
        <f>INT(SUMIFS(raw[stay],raw[city],$BB38,raw[dec],BD$1))</f>
        <v/>
      </c>
      <c r="BE38" s="1603">
        <f>INT(SUMIFS(raw[stay],raw[city],$BB38,raw[dec],BE$1))</f>
        <v/>
      </c>
      <c r="BF38" s="1603">
        <f>INT(SUMIFS(raw[stay],raw[city],$BB38,raw[dec],BF$1))</f>
        <v/>
      </c>
      <c r="BG38" s="1603">
        <f>INT(SUMIFS(raw[stay],raw[city],$BB38,raw[dec],BG$1))</f>
        <v/>
      </c>
      <c r="BH38" s="1597" t="n"/>
      <c r="BI38" s="1641">
        <f>(_xlfn.MAXIFS(raw[out],raw[city],BB38)-_xlfn.MINIFS(raw[out],raw[city],BB38))/365.25</f>
        <v/>
      </c>
      <c r="BJ38" s="1633" t="n"/>
      <c r="BK38" s="1611" t="n"/>
      <c r="BL38" s="1612" t="n"/>
      <c r="BM38" s="1612" t="n"/>
      <c r="BN38" s="1612" t="n"/>
      <c r="BO38" s="1612" t="n"/>
      <c r="BP38" s="1612" t="n"/>
      <c r="BQ38" s="1612" t="n"/>
      <c r="BR38" s="1612" t="n"/>
      <c r="BS38" s="1612" t="n"/>
      <c r="BT38" s="1612" t="n"/>
      <c r="BU38" s="1612" t="n"/>
      <c r="BV38" s="1612" t="n"/>
      <c r="BW38" s="1612" t="n"/>
      <c r="BX38" s="1612" t="n"/>
      <c r="BY38" s="1612" t="n"/>
      <c r="BZ38" s="1612" t="n"/>
      <c r="CA38" s="1612" t="n"/>
      <c r="CB38" s="1612" t="n"/>
      <c r="CC38" s="1612" t="n"/>
      <c r="CD38" s="1612" t="n"/>
      <c r="CE38" s="1612" t="n"/>
      <c r="CF38" s="1612" t="n"/>
    </row>
    <row r="39" ht="14" customHeight="1">
      <c r="A39" s="1596" t="n"/>
      <c r="B39" s="1596" t="n"/>
      <c r="C39" s="1647" t="n"/>
      <c r="D39" s="1596" t="n"/>
      <c r="E39" s="1596" t="n"/>
      <c r="F39" s="1596" t="n"/>
      <c r="G39" s="1667" t="n"/>
      <c r="H39" s="1668">
        <f>SUMIFS(raw[stay],raw[ctry],mainW[[#This Row],[ctry]],raw[yr],H$1)</f>
        <v/>
      </c>
      <c r="I39" s="1668">
        <f>SUMIFS(raw[stay],raw[ctry],mainW[[#This Row],[ctry]],raw[yr],I$1)</f>
        <v/>
      </c>
      <c r="J39" s="1668">
        <f>SUMIFS(raw[stay],raw[ctry],mainW[[#This Row],[ctry]],raw[yr],J$1)</f>
        <v/>
      </c>
      <c r="K39" s="1668">
        <f>SUMIFS(raw[stay],raw[ctry],mainW[[#This Row],[ctry]],raw[yr],K$1)</f>
        <v/>
      </c>
      <c r="L39" s="1668">
        <f>SUMIFS(raw[stay],raw[ctry],mainW[[#This Row],[ctry]],raw[yr],L$1)</f>
        <v/>
      </c>
      <c r="M39" s="1668">
        <f>SUMIFS(raw[stay],raw[ctry],mainW[[#This Row],[ctry]],raw[yr],M$1)</f>
        <v/>
      </c>
      <c r="N39" s="1668">
        <f>SUMIFS(raw[stay],raw[ctry],mainW[[#This Row],[ctry]],raw[yr],N$1)</f>
        <v/>
      </c>
      <c r="O39" s="1668">
        <f>SUMIFS(raw[stay],raw[ctry],mainW[[#This Row],[ctry]],raw[yr],O$1)</f>
        <v/>
      </c>
      <c r="P39" s="1668">
        <f>SUMIFS(raw[stay],raw[ctry],mainW[[#This Row],[ctry]],raw[yr],P$1)</f>
        <v/>
      </c>
      <c r="Q39" s="1668">
        <f>SUMIFS(raw[stay],raw[ctry],mainW[[#This Row],[ctry]],raw[yr],Q$1)</f>
        <v/>
      </c>
      <c r="R39" s="1668">
        <f>SUMIFS(raw[stay],raw[ctry],mainW[[#This Row],[ctry]],raw[yr],R$1)</f>
        <v/>
      </c>
      <c r="S39" s="1668">
        <f>SUMIFS(raw[stay],raw[ctry],mainW[[#This Row],[ctry]],raw[yr],S$1)</f>
        <v/>
      </c>
      <c r="T39" s="1668">
        <f>SUMIFS(raw[stay],raw[ctry],mainW[[#This Row],[ctry]],raw[yr],T$1)</f>
        <v/>
      </c>
      <c r="U39" s="1668">
        <f>SUMIFS(raw[stay],raw[ctry],mainW[[#This Row],[ctry]],raw[yr],U$1)</f>
        <v/>
      </c>
      <c r="V39" s="1668">
        <f>SUMIFS(raw[stay],raw[ctry],mainW[[#This Row],[ctry]],raw[yr],V$1)</f>
        <v/>
      </c>
      <c r="W39" s="1668">
        <f>SUMIFS(raw[stay],raw[ctry],mainW[[#This Row],[ctry]],raw[yr],W$1)</f>
        <v/>
      </c>
      <c r="X39" s="1668">
        <f>SUMIFS(raw[stay],raw[ctry],mainW[[#This Row],[ctry]],raw[yr],X$1)</f>
        <v/>
      </c>
      <c r="Y39" s="1668">
        <f>SUMIFS(raw[stay],raw[ctry],mainW[[#This Row],[ctry]],raw[yr],Y$1)</f>
        <v/>
      </c>
      <c r="Z39" s="1668">
        <f>SUMIFS(raw[stay],raw[ctry],mainW[[#This Row],[ctry]],raw[yr],Z$1)</f>
        <v/>
      </c>
      <c r="AA39" s="1668">
        <f>SUMIFS(raw[stay],raw[ctry],mainW[[#This Row],[ctry]],raw[yr],AA$1)</f>
        <v/>
      </c>
      <c r="AB39" s="1668">
        <f>SUMIFS(raw[stay],raw[ctry],mainW[[#This Row],[ctry]],raw[yr],AB$1)</f>
        <v/>
      </c>
      <c r="AC39" s="1668">
        <f>SUMIFS(raw[stay],raw[ctry],mainW[[#This Row],[ctry]],raw[yr],AC$1)</f>
        <v/>
      </c>
      <c r="AD39" s="1668">
        <f>SUMIFS(raw[stay],raw[ctry],mainW[[#This Row],[ctry]],raw[yr],AD$1)</f>
        <v/>
      </c>
      <c r="AE39" s="1668">
        <f>SUMIFS(raw[stay],raw[ctry],mainW[[#This Row],[ctry]],raw[yr],AE$1)</f>
        <v/>
      </c>
      <c r="AF39" s="1668">
        <f>SUMIFS(raw[stay],raw[ctry],mainW[[#This Row],[ctry]],raw[yr],AF$1)</f>
        <v/>
      </c>
      <c r="AG39" s="1668">
        <f>SUMIFS(raw[stay],raw[ctry],mainW[[#This Row],[ctry]],raw[yr],AG$1)</f>
        <v/>
      </c>
      <c r="AH39" s="1668">
        <f>SUMIFS(raw[stay],raw[ctry],mainW[[#This Row],[ctry]],raw[yr],AH$1)</f>
        <v/>
      </c>
      <c r="AI39" s="1649">
        <f>SUMIFS(raw[stay],raw[ctry],mainW[[#This Row],[ctry]],raw[yr],AI$1)</f>
        <v/>
      </c>
      <c r="AJ39" s="1649">
        <f>SUMIFS(raw[stay],raw[ctry],mainW[[#This Row],[ctry]],raw[yr],AJ$1)</f>
        <v/>
      </c>
      <c r="AK39" s="1649">
        <f>SUMIFS(raw[stay],raw[ctry],mainW[[#This Row],[ctry]],raw[yr],AK$1)</f>
        <v/>
      </c>
      <c r="AL39" s="1649">
        <f>SUMIFS(raw[stay],raw[ctry],mainW[[#This Row],[ctry]],raw[yr],AL$1)</f>
        <v/>
      </c>
      <c r="AM39" s="1649">
        <f>SUMIFS(raw[stay],raw[ctry],mainW[[#This Row],[ctry]],raw[yr],AM$1)</f>
        <v/>
      </c>
      <c r="AN39" s="1668">
        <f>SUMIFS(raw[stay],raw[ctry],mainW[[#This Row],[ctry]],raw[yr],AN$1)</f>
        <v/>
      </c>
      <c r="AO39" s="1597" t="n"/>
      <c r="AP39" s="1597">
        <f>AP38+1</f>
        <v/>
      </c>
      <c r="AQ39" s="1669" t="n"/>
      <c r="AR39" s="1670" t="n"/>
      <c r="AS39" s="1665" t="n"/>
      <c r="AT39" s="1665" t="n"/>
      <c r="AU39" s="1638" t="n"/>
      <c r="AV39" s="1638" t="n"/>
      <c r="AW39" s="1671" t="n"/>
      <c r="AX39" s="1603" t="n"/>
      <c r="AY39" s="1603" t="n"/>
      <c r="AZ39" s="1666" t="n"/>
      <c r="BA39" s="1597">
        <f>BA38+1</f>
        <v/>
      </c>
      <c r="BB39" s="1643">
        <f>AQ24</f>
        <v/>
      </c>
      <c r="BC39" s="1603">
        <f>INT(SUMIFS(raw[stay],raw[city],$BB39,raw[dec],BC$1))</f>
        <v/>
      </c>
      <c r="BD39" s="1603">
        <f>INT(SUMIFS(raw[stay],raw[city],$BB39,raw[dec],BD$1))</f>
        <v/>
      </c>
      <c r="BE39" s="1603">
        <f>INT(SUMIFS(raw[stay],raw[city],$BB39,raw[dec],BE$1))</f>
        <v/>
      </c>
      <c r="BF39" s="1603">
        <f>INT(SUMIFS(raw[stay],raw[city],$BB39,raw[dec],BF$1))</f>
        <v/>
      </c>
      <c r="BG39" s="1603">
        <f>INT(SUMIFS(raw[stay],raw[city],$BB39,raw[dec],BG$1))</f>
        <v/>
      </c>
      <c r="BH39" s="1597" t="n"/>
      <c r="BI39" s="1641">
        <f>(_xlfn.MAXIFS(raw[out],raw[city],BB39)-_xlfn.MINIFS(raw[out],raw[city],BB39))/365.25</f>
        <v/>
      </c>
      <c r="BJ39" s="1633" t="n"/>
      <c r="BK39" s="1611" t="n"/>
      <c r="BL39" s="1612" t="n"/>
      <c r="BM39" s="1612" t="n"/>
      <c r="BN39" s="1612" t="n"/>
      <c r="BO39" s="1612" t="n"/>
      <c r="BP39" s="1612" t="n"/>
      <c r="BQ39" s="1612" t="n"/>
      <c r="BR39" s="1612" t="n"/>
      <c r="BS39" s="1612" t="n"/>
      <c r="BT39" s="1612" t="n"/>
      <c r="BU39" s="1612" t="n"/>
      <c r="BV39" s="1612" t="n"/>
      <c r="BW39" s="1612" t="n"/>
      <c r="BX39" s="1612" t="n"/>
      <c r="BY39" s="1612" t="n"/>
      <c r="BZ39" s="1612" t="n"/>
      <c r="CA39" s="1612" t="n"/>
      <c r="CB39" s="1612" t="n"/>
      <c r="CC39" s="1612" t="n"/>
      <c r="CD39" s="1612" t="n"/>
      <c r="CE39" s="1612" t="n"/>
      <c r="CF39" s="1612" t="n"/>
    </row>
    <row r="40" ht="14" customHeight="1">
      <c r="A40" s="1615" t="n"/>
      <c r="B40" s="1615" t="n"/>
      <c r="C40" s="1652" t="n"/>
      <c r="D40" s="1615" t="n"/>
      <c r="E40" s="1615" t="n"/>
      <c r="F40" s="1615" t="n"/>
      <c r="G40" s="1648" t="n"/>
      <c r="H40" s="1649" t="n"/>
      <c r="I40" s="1649" t="n"/>
      <c r="J40" s="1649" t="n"/>
      <c r="K40" s="1649" t="n"/>
      <c r="L40" s="1649" t="n"/>
      <c r="M40" s="1649" t="n"/>
      <c r="N40" s="1649" t="n"/>
      <c r="O40" s="1649" t="n"/>
      <c r="P40" s="1649" t="n"/>
      <c r="Q40" s="1649" t="n"/>
      <c r="R40" s="1649" t="n"/>
      <c r="S40" s="1649" t="n"/>
      <c r="T40" s="1649" t="n"/>
      <c r="U40" s="1649" t="n"/>
      <c r="V40" s="1649" t="n"/>
      <c r="W40" s="1649" t="n"/>
      <c r="X40" s="1649" t="n"/>
      <c r="Y40" s="1649" t="n"/>
      <c r="Z40" s="1649" t="n"/>
      <c r="AA40" s="1649" t="n"/>
      <c r="AB40" s="1649" t="n"/>
      <c r="AC40" s="1649" t="n"/>
      <c r="AD40" s="1649" t="n"/>
      <c r="AE40" s="1649" t="n"/>
      <c r="AF40" s="1649" t="n"/>
      <c r="AG40" s="1649" t="n"/>
      <c r="AH40" s="1649" t="n"/>
      <c r="AI40" s="1649" t="n"/>
      <c r="AJ40" s="1649" t="n"/>
      <c r="AK40" s="1649" t="n"/>
      <c r="AL40" s="1649" t="n"/>
      <c r="AM40" s="1649" t="n"/>
      <c r="AN40" s="1649" t="n"/>
      <c r="AO40" s="1597" t="n"/>
      <c r="AP40" s="1597">
        <f>AP39+1</f>
        <v/>
      </c>
      <c r="AQ40" s="1669" t="n"/>
      <c r="AR40" s="1670" t="n"/>
      <c r="AS40" s="1665" t="n"/>
      <c r="AT40" s="1665" t="n"/>
      <c r="AU40" s="1638" t="n"/>
      <c r="AV40" s="1638" t="n"/>
      <c r="AW40" s="1671" t="n"/>
      <c r="AX40" s="1603" t="n"/>
      <c r="AY40" s="1603" t="n"/>
      <c r="AZ40" s="1666" t="n"/>
      <c r="BA40" s="1597">
        <f>BA39+1</f>
        <v/>
      </c>
      <c r="BB40" s="1643">
        <f>AQ25</f>
        <v/>
      </c>
      <c r="BC40" s="1603">
        <f>INT(SUMIFS(raw[stay],raw[city],$BB40,raw[dec],BC$1))</f>
        <v/>
      </c>
      <c r="BD40" s="1603">
        <f>INT(SUMIFS(raw[stay],raw[city],$BB40,raw[dec],BD$1))</f>
        <v/>
      </c>
      <c r="BE40" s="1603">
        <f>INT(SUMIFS(raw[stay],raw[city],$BB40,raw[dec],BE$1))</f>
        <v/>
      </c>
      <c r="BF40" s="1603">
        <f>INT(SUMIFS(raw[stay],raw[city],$BB40,raw[dec],BF$1))</f>
        <v/>
      </c>
      <c r="BG40" s="1603">
        <f>INT(SUMIFS(raw[stay],raw[city],$BB40,raw[dec],BG$1))</f>
        <v/>
      </c>
      <c r="BH40" s="1597" t="n"/>
      <c r="BI40" s="1641">
        <f>(_xlfn.MAXIFS(raw[out],raw[city],BB40)-_xlfn.MINIFS(raw[out],raw[city],BB40))/365.25</f>
        <v/>
      </c>
      <c r="BJ40" s="1633" t="n"/>
      <c r="BK40" s="1611" t="n"/>
      <c r="BL40" s="1612" t="n"/>
      <c r="BM40" s="1612" t="n"/>
      <c r="BN40" s="1612" t="n"/>
      <c r="BO40" s="1612" t="n"/>
      <c r="BP40" s="1612" t="n"/>
      <c r="BQ40" s="1612" t="n"/>
      <c r="BR40" s="1612" t="n"/>
      <c r="BS40" s="1612" t="n"/>
      <c r="BT40" s="1612" t="n"/>
      <c r="BU40" s="1612" t="n"/>
      <c r="BV40" s="1612" t="n"/>
      <c r="BW40" s="1612" t="n"/>
      <c r="BX40" s="1612" t="n"/>
      <c r="BY40" s="1612" t="n"/>
      <c r="BZ40" s="1612" t="n"/>
      <c r="CA40" s="1612" t="n"/>
      <c r="CB40" s="1612" t="n"/>
      <c r="CC40" s="1612" t="n"/>
      <c r="CD40" s="1612" t="n"/>
      <c r="CE40" s="1612" t="n"/>
      <c r="CF40" s="1612" t="n"/>
    </row>
    <row r="41" ht="14" customHeight="1">
      <c r="A41" s="1596" t="n"/>
      <c r="B41" s="1596" t="n"/>
      <c r="C41" s="1647" t="n"/>
      <c r="D41" s="1596" t="n"/>
      <c r="E41" s="1596" t="n"/>
      <c r="F41" s="1596" t="n"/>
      <c r="G41" s="1648" t="n"/>
      <c r="H41" s="1649" t="n"/>
      <c r="I41" s="1649" t="n"/>
      <c r="J41" s="1649" t="n"/>
      <c r="K41" s="1649" t="n"/>
      <c r="L41" s="1649" t="n"/>
      <c r="M41" s="1649" t="n"/>
      <c r="N41" s="1649" t="n"/>
      <c r="O41" s="1649" t="n"/>
      <c r="P41" s="1649" t="n"/>
      <c r="Q41" s="1649" t="n"/>
      <c r="R41" s="1649" t="n"/>
      <c r="S41" s="1649" t="n"/>
      <c r="T41" s="1649" t="n"/>
      <c r="U41" s="1649" t="n"/>
      <c r="V41" s="1649" t="n"/>
      <c r="W41" s="1649" t="n"/>
      <c r="X41" s="1649" t="n"/>
      <c r="Y41" s="1649" t="n"/>
      <c r="Z41" s="1649" t="n"/>
      <c r="AA41" s="1649" t="n"/>
      <c r="AB41" s="1649" t="n"/>
      <c r="AC41" s="1649" t="n"/>
      <c r="AD41" s="1649" t="n"/>
      <c r="AE41" s="1649" t="n"/>
      <c r="AF41" s="1649" t="n"/>
      <c r="AG41" s="1649" t="n"/>
      <c r="AH41" s="1649" t="n"/>
      <c r="AI41" s="1649" t="n"/>
      <c r="AJ41" s="1649" t="n"/>
      <c r="AK41" s="1649" t="n"/>
      <c r="AL41" s="1649" t="n"/>
      <c r="AM41" s="1649" t="n"/>
      <c r="AN41" s="1649" t="n"/>
      <c r="AO41" s="1597" t="n"/>
      <c r="AP41" s="1597">
        <f>AP40+1</f>
        <v/>
      </c>
      <c r="AQ41" s="1669" t="n"/>
      <c r="AR41" s="1670" t="n"/>
      <c r="AS41" s="1665" t="n"/>
      <c r="AT41" s="1665" t="n"/>
      <c r="AU41" s="1638" t="n"/>
      <c r="AV41" s="1638" t="n"/>
      <c r="AW41" s="1671" t="n"/>
      <c r="AX41" s="1603" t="n"/>
      <c r="AY41" s="1603" t="n"/>
      <c r="AZ41" s="1666" t="n"/>
      <c r="BA41" s="1597">
        <f>BA40+1</f>
        <v/>
      </c>
      <c r="BB41" s="1643">
        <f>AQ26</f>
        <v/>
      </c>
      <c r="BC41" s="1603">
        <f>INT(SUMIFS(raw[stay],raw[city],$BB41,raw[dec],BC$1))</f>
        <v/>
      </c>
      <c r="BD41" s="1603">
        <f>INT(SUMIFS(raw[stay],raw[city],$BB41,raw[dec],BD$1))</f>
        <v/>
      </c>
      <c r="BE41" s="1603">
        <f>INT(SUMIFS(raw[stay],raw[city],$BB41,raw[dec],BE$1))</f>
        <v/>
      </c>
      <c r="BF41" s="1603">
        <f>INT(SUMIFS(raw[stay],raw[city],$BB41,raw[dec],BF$1))</f>
        <v/>
      </c>
      <c r="BG41" s="1603">
        <f>INT(SUMIFS(raw[stay],raw[city],$BB41,raw[dec],BG$1))</f>
        <v/>
      </c>
      <c r="BH41" s="1597" t="n"/>
      <c r="BI41" s="1641">
        <f>(_xlfn.MAXIFS(raw[out],raw[city],BB41)-_xlfn.MINIFS(raw[out],raw[city],BB41))/365.25</f>
        <v/>
      </c>
      <c r="BJ41" s="1633" t="n"/>
      <c r="BK41" s="1611" t="n"/>
      <c r="BL41" s="1612" t="n"/>
      <c r="BM41" s="1612" t="n"/>
      <c r="BN41" s="1612" t="n"/>
      <c r="BO41" s="1612" t="n"/>
      <c r="BP41" s="1612" t="n"/>
      <c r="BQ41" s="1612" t="n"/>
      <c r="BR41" s="1612" t="n"/>
      <c r="BS41" s="1612" t="n"/>
      <c r="BT41" s="1612" t="n"/>
      <c r="BU41" s="1612" t="n"/>
      <c r="BV41" s="1612" t="n"/>
      <c r="BW41" s="1612" t="n"/>
      <c r="BX41" s="1612" t="n"/>
      <c r="BY41" s="1612" t="n"/>
      <c r="BZ41" s="1612" t="n"/>
      <c r="CA41" s="1612" t="n"/>
      <c r="CB41" s="1612" t="n"/>
      <c r="CC41" s="1612" t="n"/>
      <c r="CD41" s="1612" t="n"/>
      <c r="CE41" s="1612" t="n"/>
      <c r="CF41" s="1612" t="n"/>
    </row>
    <row r="42" ht="14" customHeight="1">
      <c r="A42" s="1615" t="n"/>
      <c r="B42" s="1615" t="n"/>
      <c r="C42" s="1652" t="n"/>
      <c r="D42" s="1615" t="n"/>
      <c r="E42" s="1615" t="n"/>
      <c r="F42" s="1615" t="n"/>
      <c r="G42" s="1648" t="n"/>
      <c r="H42" s="1649" t="n"/>
      <c r="I42" s="1649" t="n"/>
      <c r="J42" s="1649" t="n"/>
      <c r="K42" s="1649" t="n"/>
      <c r="L42" s="1649" t="n"/>
      <c r="M42" s="1649" t="n"/>
      <c r="N42" s="1649" t="n"/>
      <c r="O42" s="1649" t="n"/>
      <c r="P42" s="1649" t="n"/>
      <c r="Q42" s="1649" t="n"/>
      <c r="R42" s="1649" t="n"/>
      <c r="S42" s="1649" t="n"/>
      <c r="T42" s="1649" t="n"/>
      <c r="U42" s="1649" t="n"/>
      <c r="V42" s="1649" t="n"/>
      <c r="W42" s="1649" t="n"/>
      <c r="X42" s="1649" t="n"/>
      <c r="Y42" s="1649" t="n"/>
      <c r="Z42" s="1649" t="n"/>
      <c r="AA42" s="1649" t="n"/>
      <c r="AB42" s="1649" t="n"/>
      <c r="AC42" s="1649" t="n"/>
      <c r="AD42" s="1649" t="n"/>
      <c r="AE42" s="1649" t="n"/>
      <c r="AF42" s="1649" t="n"/>
      <c r="AG42" s="1649" t="n"/>
      <c r="AH42" s="1649" t="n"/>
      <c r="AI42" s="1649" t="n"/>
      <c r="AJ42" s="1649" t="n"/>
      <c r="AK42" s="1649" t="n"/>
      <c r="AL42" s="1649" t="n"/>
      <c r="AM42" s="1649" t="n"/>
      <c r="AN42" s="1649" t="n"/>
      <c r="AO42" s="1597" t="n"/>
      <c r="AP42" s="1597">
        <f>AP41+1</f>
        <v/>
      </c>
      <c r="AQ42" s="1669" t="n"/>
      <c r="AR42" s="1670" t="n"/>
      <c r="AS42" s="1665" t="n"/>
      <c r="AT42" s="1665" t="n"/>
      <c r="AU42" s="1638" t="n"/>
      <c r="AV42" s="1638" t="n"/>
      <c r="AW42" s="1671" t="n"/>
      <c r="AX42" s="1603" t="n"/>
      <c r="AY42" s="1603" t="n"/>
      <c r="AZ42" s="1666" t="n"/>
      <c r="BA42" s="1597">
        <f>BA41+1</f>
        <v/>
      </c>
      <c r="BB42" s="1643">
        <f>AQ27</f>
        <v/>
      </c>
      <c r="BC42" s="1603">
        <f>INT(SUMIFS(raw[stay],raw[city],$BB42,raw[dec],BC$1))</f>
        <v/>
      </c>
      <c r="BD42" s="1603">
        <f>INT(SUMIFS(raw[stay],raw[city],$BB42,raw[dec],BD$1))</f>
        <v/>
      </c>
      <c r="BE42" s="1603">
        <f>INT(SUMIFS(raw[stay],raw[city],$BB42,raw[dec],BE$1))</f>
        <v/>
      </c>
      <c r="BF42" s="1603">
        <f>INT(SUMIFS(raw[stay],raw[city],$BB42,raw[dec],BF$1))</f>
        <v/>
      </c>
      <c r="BG42" s="1603">
        <f>INT(SUMIFS(raw[stay],raw[city],$BB42,raw[dec],BG$1))</f>
        <v/>
      </c>
      <c r="BH42" s="1597" t="n"/>
      <c r="BI42" s="1641">
        <f>(_xlfn.MAXIFS(raw[out],raw[city],BB42)-_xlfn.MINIFS(raw[out],raw[city],BB42))/365.25</f>
        <v/>
      </c>
      <c r="BJ42" s="1633" t="n"/>
      <c r="BK42" s="1611" t="n"/>
      <c r="BL42" s="1612" t="n"/>
      <c r="BM42" s="1612" t="n"/>
      <c r="BN42" s="1612" t="n"/>
      <c r="BO42" s="1612" t="n"/>
      <c r="BP42" s="1612" t="n"/>
      <c r="BQ42" s="1612" t="n"/>
      <c r="BR42" s="1612" t="n"/>
      <c r="BS42" s="1612" t="n"/>
      <c r="BT42" s="1612" t="n"/>
      <c r="BU42" s="1612" t="n"/>
      <c r="BV42" s="1612" t="n"/>
      <c r="BW42" s="1612" t="n"/>
      <c r="BX42" s="1612" t="n"/>
      <c r="BY42" s="1612" t="n"/>
      <c r="BZ42" s="1612" t="n"/>
      <c r="CA42" s="1612" t="n"/>
      <c r="CB42" s="1612" t="n"/>
      <c r="CC42" s="1612" t="n"/>
      <c r="CD42" s="1612" t="n"/>
      <c r="CE42" s="1612" t="n"/>
      <c r="CF42" s="1612" t="n"/>
    </row>
    <row r="43" ht="14" customHeight="1">
      <c r="A43" s="1596" t="n"/>
      <c r="B43" s="1596" t="n"/>
      <c r="C43" s="1647" t="n"/>
      <c r="D43" s="1596" t="n"/>
      <c r="E43" s="1596" t="n"/>
      <c r="F43" s="1596" t="n"/>
      <c r="G43" s="1648" t="n"/>
      <c r="H43" s="1649" t="n"/>
      <c r="I43" s="1649" t="n"/>
      <c r="J43" s="1649" t="n"/>
      <c r="K43" s="1649" t="n"/>
      <c r="L43" s="1649" t="n"/>
      <c r="M43" s="1649" t="n"/>
      <c r="N43" s="1649" t="n"/>
      <c r="O43" s="1649" t="n"/>
      <c r="P43" s="1649" t="n"/>
      <c r="Q43" s="1649" t="n"/>
      <c r="R43" s="1649" t="n"/>
      <c r="S43" s="1649" t="n"/>
      <c r="T43" s="1649" t="n"/>
      <c r="U43" s="1649" t="n"/>
      <c r="V43" s="1649" t="n"/>
      <c r="W43" s="1649" t="n"/>
      <c r="X43" s="1649" t="n"/>
      <c r="Y43" s="1649" t="n"/>
      <c r="Z43" s="1649" t="n"/>
      <c r="AA43" s="1649" t="n"/>
      <c r="AB43" s="1649" t="n"/>
      <c r="AC43" s="1649" t="n"/>
      <c r="AD43" s="1649" t="n"/>
      <c r="AE43" s="1649" t="n"/>
      <c r="AF43" s="1649" t="n"/>
      <c r="AG43" s="1649" t="n"/>
      <c r="AH43" s="1649" t="n"/>
      <c r="AI43" s="1649" t="n"/>
      <c r="AJ43" s="1649" t="n"/>
      <c r="AK43" s="1649" t="n"/>
      <c r="AL43" s="1649" t="n"/>
      <c r="AM43" s="1649" t="n"/>
      <c r="AN43" s="1649" t="n"/>
      <c r="AO43" s="1597" t="n"/>
      <c r="AP43" s="1597">
        <f>AP42+1</f>
        <v/>
      </c>
      <c r="AQ43" s="1669" t="n"/>
      <c r="AR43" s="1670" t="n"/>
      <c r="AS43" s="1665" t="n"/>
      <c r="AT43" s="1665" t="n"/>
      <c r="AU43" s="1638" t="n"/>
      <c r="AV43" s="1638" t="n"/>
      <c r="AW43" s="1671" t="n"/>
      <c r="AX43" s="1603" t="n"/>
      <c r="AY43" s="1603" t="n"/>
      <c r="AZ43" s="1666" t="n"/>
      <c r="BA43" s="1597">
        <f>BA42+1</f>
        <v/>
      </c>
      <c r="BB43" s="1643">
        <f>AQ28</f>
        <v/>
      </c>
      <c r="BC43" s="1603">
        <f>INT(SUMIFS(raw[stay],raw[city],$BB43,raw[dec],BC$1))</f>
        <v/>
      </c>
      <c r="BD43" s="1603">
        <f>INT(SUMIFS(raw[stay],raw[city],$BB43,raw[dec],BD$1))</f>
        <v/>
      </c>
      <c r="BE43" s="1603">
        <f>INT(SUMIFS(raw[stay],raw[city],$BB43,raw[dec],BE$1))</f>
        <v/>
      </c>
      <c r="BF43" s="1603">
        <f>INT(SUMIFS(raw[stay],raw[city],$BB43,raw[dec],BF$1))</f>
        <v/>
      </c>
      <c r="BG43" s="1603">
        <f>INT(SUMIFS(raw[stay],raw[city],$BB43,raw[dec],BG$1))</f>
        <v/>
      </c>
      <c r="BH43" s="1597" t="n"/>
      <c r="BI43" s="1641">
        <f>(_xlfn.MAXIFS(raw[out],raw[city],BB43)-_xlfn.MINIFS(raw[out],raw[city],BB43))/365.25</f>
        <v/>
      </c>
      <c r="BJ43" s="1633" t="n"/>
      <c r="BK43" s="1611" t="n"/>
      <c r="BL43" s="1612" t="n"/>
      <c r="BM43" s="1612" t="n"/>
      <c r="BN43" s="1612" t="n"/>
      <c r="BO43" s="1612" t="n"/>
      <c r="BP43" s="1612" t="n"/>
      <c r="BQ43" s="1612" t="n"/>
      <c r="BR43" s="1612" t="n"/>
      <c r="BS43" s="1612" t="n"/>
      <c r="BT43" s="1612" t="n"/>
      <c r="BU43" s="1612" t="n"/>
      <c r="BV43" s="1612" t="n"/>
      <c r="BW43" s="1612" t="n"/>
      <c r="BX43" s="1612" t="n"/>
      <c r="BY43" s="1612" t="n"/>
      <c r="BZ43" s="1612" t="n"/>
      <c r="CA43" s="1612" t="n"/>
      <c r="CB43" s="1612" t="n"/>
      <c r="CC43" s="1612" t="n"/>
      <c r="CD43" s="1612" t="n"/>
      <c r="CE43" s="1612" t="n"/>
      <c r="CF43" s="1612" t="n"/>
    </row>
    <row r="44" ht="14" customHeight="1">
      <c r="A44" s="1615" t="n"/>
      <c r="B44" s="1615" t="inlineStr">
        <is>
          <t>.</t>
        </is>
      </c>
      <c r="C44" s="1615" t="inlineStr">
        <is>
          <t>.</t>
        </is>
      </c>
      <c r="D44" s="1615" t="inlineStr">
        <is>
          <t>.</t>
        </is>
      </c>
      <c r="E44" s="1615" t="inlineStr">
        <is>
          <t>.</t>
        </is>
      </c>
      <c r="F44" s="1615" t="inlineStr">
        <is>
          <t>.</t>
        </is>
      </c>
      <c r="G44" s="1597" t="inlineStr">
        <is>
          <t>.</t>
        </is>
      </c>
      <c r="H44" s="1597" t="inlineStr">
        <is>
          <t>.</t>
        </is>
      </c>
      <c r="I44" s="1597" t="inlineStr">
        <is>
          <t>.</t>
        </is>
      </c>
      <c r="J44" s="1597" t="inlineStr">
        <is>
          <t>.</t>
        </is>
      </c>
      <c r="K44" s="1597" t="inlineStr">
        <is>
          <t>.</t>
        </is>
      </c>
      <c r="L44" s="1597" t="inlineStr">
        <is>
          <t>.</t>
        </is>
      </c>
      <c r="M44" s="1597" t="inlineStr">
        <is>
          <t>.</t>
        </is>
      </c>
      <c r="N44" s="1597" t="inlineStr">
        <is>
          <t>.</t>
        </is>
      </c>
      <c r="O44" s="1597" t="inlineStr">
        <is>
          <t>.</t>
        </is>
      </c>
      <c r="P44" s="1597" t="inlineStr">
        <is>
          <t>.</t>
        </is>
      </c>
      <c r="Q44" s="1597" t="inlineStr">
        <is>
          <t>.</t>
        </is>
      </c>
      <c r="R44" s="1597" t="inlineStr">
        <is>
          <t>.</t>
        </is>
      </c>
      <c r="S44" s="1597" t="inlineStr">
        <is>
          <t>.</t>
        </is>
      </c>
      <c r="T44" s="1597" t="inlineStr">
        <is>
          <t>.</t>
        </is>
      </c>
      <c r="U44" s="1597" t="inlineStr">
        <is>
          <t>.</t>
        </is>
      </c>
      <c r="V44" s="1597" t="inlineStr">
        <is>
          <t>.</t>
        </is>
      </c>
      <c r="W44" s="1597" t="inlineStr">
        <is>
          <t>.</t>
        </is>
      </c>
      <c r="X44" s="1597" t="inlineStr">
        <is>
          <t>.</t>
        </is>
      </c>
      <c r="Y44" s="1597" t="inlineStr">
        <is>
          <t>.</t>
        </is>
      </c>
      <c r="Z44" s="1597" t="inlineStr">
        <is>
          <t>.</t>
        </is>
      </c>
      <c r="AA44" s="1597" t="inlineStr">
        <is>
          <t>.</t>
        </is>
      </c>
      <c r="AB44" s="1597" t="inlineStr">
        <is>
          <t>.</t>
        </is>
      </c>
      <c r="AC44" s="1597" t="inlineStr">
        <is>
          <t>.</t>
        </is>
      </c>
      <c r="AD44" s="1597" t="inlineStr">
        <is>
          <t>.</t>
        </is>
      </c>
      <c r="AE44" s="1597" t="inlineStr">
        <is>
          <t>.</t>
        </is>
      </c>
      <c r="AF44" s="1597" t="inlineStr">
        <is>
          <t>.</t>
        </is>
      </c>
      <c r="AG44" s="1597" t="inlineStr">
        <is>
          <t>.</t>
        </is>
      </c>
      <c r="AH44" s="1597" t="inlineStr">
        <is>
          <t>.</t>
        </is>
      </c>
      <c r="AI44" s="1597" t="inlineStr">
        <is>
          <t>.</t>
        </is>
      </c>
      <c r="AJ44" s="1597" t="inlineStr">
        <is>
          <t>.</t>
        </is>
      </c>
      <c r="AK44" s="1597" t="inlineStr">
        <is>
          <t>.</t>
        </is>
      </c>
      <c r="AL44" s="1597" t="inlineStr">
        <is>
          <t>.</t>
        </is>
      </c>
      <c r="AM44" s="1597" t="inlineStr">
        <is>
          <t>.</t>
        </is>
      </c>
      <c r="AN44" s="1597" t="inlineStr">
        <is>
          <t>.</t>
        </is>
      </c>
      <c r="AO44" s="1597" t="inlineStr">
        <is>
          <t>.</t>
        </is>
      </c>
      <c r="AP44" s="1597">
        <f>AP43+1</f>
        <v/>
      </c>
      <c r="AQ44" s="1636" t="n"/>
      <c r="AR44" s="1603" t="n"/>
      <c r="AS44" s="1665" t="n"/>
      <c r="AT44" s="1665" t="n"/>
      <c r="AU44" s="1638" t="n"/>
      <c r="AV44" s="1638" t="n"/>
      <c r="AW44" s="1603" t="n"/>
      <c r="AX44" s="1603" t="n"/>
      <c r="AY44" s="1603" t="n"/>
      <c r="AZ44" s="1666" t="inlineStr">
        <is>
          <t>.</t>
        </is>
      </c>
      <c r="BA44" s="1597">
        <f>BA43+1</f>
        <v/>
      </c>
      <c r="BB44" s="1643">
        <f>AQ29</f>
        <v/>
      </c>
      <c r="BC44" s="1603">
        <f>INT(SUMIFS(raw[stay],raw[city],$BB44,raw[dec],BC$1))</f>
        <v/>
      </c>
      <c r="BD44" s="1603">
        <f>INT(SUMIFS(raw[stay],raw[city],$BB44,raw[dec],BD$1))</f>
        <v/>
      </c>
      <c r="BE44" s="1603">
        <f>INT(SUMIFS(raw[stay],raw[city],$BB44,raw[dec],BE$1))</f>
        <v/>
      </c>
      <c r="BF44" s="1603">
        <f>INT(SUMIFS(raw[stay],raw[city],$BB44,raw[dec],BF$1))</f>
        <v/>
      </c>
      <c r="BG44" s="1603">
        <f>INT(SUMIFS(raw[stay],raw[city],$BB44,raw[dec],BG$1))</f>
        <v/>
      </c>
      <c r="BH44" s="1597" t="n"/>
      <c r="BI44" s="1641">
        <f>(_xlfn.MAXIFS(raw[out],raw[city],BB44)-_xlfn.MINIFS(raw[out],raw[city],BB44))/365.25</f>
        <v/>
      </c>
      <c r="BJ44" s="1633" t="n"/>
      <c r="BK44" s="1611" t="n"/>
      <c r="BL44" s="1612" t="n"/>
      <c r="BM44" s="1612" t="n"/>
      <c r="BN44" s="1612" t="n"/>
      <c r="BO44" s="1612" t="n"/>
      <c r="BP44" s="1612" t="n"/>
      <c r="BQ44" s="1612" t="n"/>
      <c r="BR44" s="1612" t="n"/>
      <c r="BS44" s="1612" t="n"/>
      <c r="BT44" s="1612" t="n"/>
      <c r="BU44" s="1612" t="n"/>
      <c r="BV44" s="1612" t="n"/>
      <c r="BW44" s="1612" t="n"/>
      <c r="BX44" s="1612" t="n"/>
      <c r="BY44" s="1612" t="n"/>
      <c r="BZ44" s="1612" t="n"/>
      <c r="CA44" s="1612" t="n"/>
      <c r="CB44" s="1612" t="n"/>
      <c r="CC44" s="1612" t="n"/>
      <c r="CD44" s="1612" t="n"/>
      <c r="CE44" s="1612" t="n"/>
      <c r="CF44" s="1612" t="n"/>
    </row>
    <row r="45" ht="14" customHeight="1">
      <c r="A45" s="1596" t="n"/>
      <c r="B45" s="1596" t="n"/>
      <c r="C45" s="1647">
        <f>INT(SUM(H45:AO45))</f>
        <v/>
      </c>
      <c r="D45" s="1596" t="n"/>
      <c r="E45" s="1596" t="n"/>
      <c r="F45" s="1596" t="n"/>
      <c r="G45" s="1672" t="inlineStr">
        <is>
          <t>AIR</t>
        </is>
      </c>
      <c r="H45" s="1649">
        <f>SUMIFS(raw[stay],raw[city],"AIR",raw[yr],H$1)</f>
        <v/>
      </c>
      <c r="I45" s="1649">
        <f>SUMIFS(raw[stay],raw[city],"AIR",raw[yr],I$1)</f>
        <v/>
      </c>
      <c r="J45" s="1649">
        <f>SUMIFS(raw[stay],raw[city],"AIR",raw[yr],J$1)</f>
        <v/>
      </c>
      <c r="K45" s="1649">
        <f>SUMIFS(raw[stay],raw[city],"AIR",raw[yr],K$1)</f>
        <v/>
      </c>
      <c r="L45" s="1649">
        <f>SUMIFS(raw[stay],raw[city],"AIR",raw[yr],L$1)</f>
        <v/>
      </c>
      <c r="M45" s="1649">
        <f>SUMIFS(raw[stay],raw[city],"AIR",raw[yr],M$1)</f>
        <v/>
      </c>
      <c r="N45" s="1649">
        <f>SUMIFS(raw[stay],raw[city],"AIR",raw[yr],N$1)</f>
        <v/>
      </c>
      <c r="O45" s="1649">
        <f>SUMIFS(raw[stay],raw[city],"AIR",raw[yr],O$1)</f>
        <v/>
      </c>
      <c r="P45" s="1649">
        <f>SUMIFS(raw[stay],raw[city],"AIR",raw[yr],P$1)</f>
        <v/>
      </c>
      <c r="Q45" s="1649">
        <f>SUMIFS(raw[stay],raw[city],"AIR",raw[yr],Q$1)</f>
        <v/>
      </c>
      <c r="R45" s="1649">
        <f>SUMIFS(raw[stay],raw[city],"AIR",raw[yr],R$1)</f>
        <v/>
      </c>
      <c r="S45" s="1649">
        <f>SUMIFS(raw[stay],raw[city],"AIR",raw[yr],S$1)</f>
        <v/>
      </c>
      <c r="T45" s="1649">
        <f>SUMIFS(raw[stay],raw[city],"AIR",raw[yr],T$1)</f>
        <v/>
      </c>
      <c r="U45" s="1649">
        <f>SUMIFS(raw[stay],raw[city],"AIR",raw[yr],U$1)</f>
        <v/>
      </c>
      <c r="V45" s="1649">
        <f>SUMIFS(raw[stay],raw[city],"AIR",raw[yr],V$1)</f>
        <v/>
      </c>
      <c r="W45" s="1649">
        <f>SUMIFS(raw[stay],raw[city],"AIR",raw[yr],W$1)</f>
        <v/>
      </c>
      <c r="X45" s="1649">
        <f>SUMIFS(raw[stay],raw[city],"AIR",raw[yr],X$1)</f>
        <v/>
      </c>
      <c r="Y45" s="1649">
        <f>SUMIFS(raw[stay],raw[city],"AIR",raw[yr],Y$1)</f>
        <v/>
      </c>
      <c r="Z45" s="1649">
        <f>SUMIFS(raw[stay],raw[city],"AIR",raw[yr],Z$1)</f>
        <v/>
      </c>
      <c r="AA45" s="1649">
        <f>SUMIFS(raw[stay],raw[city],"AIR",raw[yr],AA$1)</f>
        <v/>
      </c>
      <c r="AB45" s="1649">
        <f>SUMIFS(raw[stay],raw[city],"AIR",raw[yr],AB$1)</f>
        <v/>
      </c>
      <c r="AC45" s="1649">
        <f>SUMIFS(raw[stay],raw[city],"AIR",raw[yr],AC$1)</f>
        <v/>
      </c>
      <c r="AD45" s="1649">
        <f>SUMIFS(raw[stay],raw[city],"AIR",raw[yr],AD$1)</f>
        <v/>
      </c>
      <c r="AE45" s="1649">
        <f>SUMIFS(raw[stay],raw[city],"AIR",raw[yr],AE$1)</f>
        <v/>
      </c>
      <c r="AF45" s="1649">
        <f>SUMIFS(raw[stay],raw[city],"AIR",raw[yr],AF$1)</f>
        <v/>
      </c>
      <c r="AG45" s="1649">
        <f>SUMIFS(raw[stay],raw[city],"AIR",raw[yr],AG$1)</f>
        <v/>
      </c>
      <c r="AH45" s="1649">
        <f>SUMIFS(raw[stay],raw[city],"AIR",raw[yr],AH$1)</f>
        <v/>
      </c>
      <c r="AI45" s="1649">
        <f>SUMIFS(raw[stay],raw[city],"AIR",raw[yr],AI$1)</f>
        <v/>
      </c>
      <c r="AJ45" s="1649">
        <f>SUMIFS(raw[stay],raw[city],"AIR",raw[yr],AJ$1)</f>
        <v/>
      </c>
      <c r="AK45" s="1649">
        <f>SUMIFS(raw[stay],raw[city],"AIR",raw[yr],AK$1)</f>
        <v/>
      </c>
      <c r="AL45" s="1649">
        <f>SUMIFS(raw[stay],raw[city],"AIR",raw[yr],AL$1)</f>
        <v/>
      </c>
      <c r="AM45" s="1649">
        <f>SUMIFS(raw[stay],raw[city],"AIR",raw[yr],AM$1)</f>
        <v/>
      </c>
      <c r="AN45" s="1649">
        <f>SUMIFS(raw[stay],raw[city],"AIR",raw[yr],AN$1)</f>
        <v/>
      </c>
      <c r="AO45" s="1597" t="inlineStr">
        <is>
          <t>.</t>
        </is>
      </c>
      <c r="AP45" s="1597">
        <f>AP44+1</f>
        <v/>
      </c>
      <c r="AQ45" s="1636" t="n"/>
      <c r="AR45" s="1603" t="n"/>
      <c r="AS45" s="1665" t="n"/>
      <c r="AT45" s="1665" t="n"/>
      <c r="AU45" s="1638" t="n"/>
      <c r="AV45" s="1638" t="n"/>
      <c r="AW45" s="1603" t="n"/>
      <c r="AX45" s="1603" t="n"/>
      <c r="AY45" s="1603" t="n"/>
      <c r="AZ45" s="1666" t="inlineStr">
        <is>
          <t>.</t>
        </is>
      </c>
      <c r="BA45" s="1597">
        <f>BA44+1</f>
        <v/>
      </c>
      <c r="BB45" s="1643">
        <f>AQ30</f>
        <v/>
      </c>
      <c r="BC45" s="1603">
        <f>INT(SUMIFS(raw[stay],raw[city],$BB45,raw[dec],BC$1))</f>
        <v/>
      </c>
      <c r="BD45" s="1603">
        <f>INT(SUMIFS(raw[stay],raw[city],$BB45,raw[dec],BD$1))</f>
        <v/>
      </c>
      <c r="BE45" s="1603">
        <f>INT(SUMIFS(raw[stay],raw[city],$BB45,raw[dec],BE$1))</f>
        <v/>
      </c>
      <c r="BF45" s="1603">
        <f>INT(SUMIFS(raw[stay],raw[city],$BB45,raw[dec],BF$1))</f>
        <v/>
      </c>
      <c r="BG45" s="1603">
        <f>INT(SUMIFS(raw[stay],raw[city],$BB45,raw[dec],BG$1))</f>
        <v/>
      </c>
      <c r="BH45" s="1597" t="n"/>
      <c r="BI45" s="1641">
        <f>(_xlfn.MAXIFS(raw[out],raw[city],BB45)-_xlfn.MINIFS(raw[out],raw[city],BB45))/365.25</f>
        <v/>
      </c>
      <c r="BJ45" s="1633" t="n"/>
      <c r="BK45" s="1611" t="n"/>
      <c r="BL45" s="1612" t="n"/>
      <c r="BM45" s="1612" t="n"/>
      <c r="BN45" s="1612" t="n"/>
      <c r="BO45" s="1612" t="n"/>
      <c r="BP45" s="1612" t="n"/>
      <c r="BQ45" s="1612" t="n"/>
      <c r="BR45" s="1612" t="n"/>
      <c r="BS45" s="1612" t="n"/>
      <c r="BT45" s="1612" t="n"/>
      <c r="BU45" s="1612" t="n"/>
      <c r="BV45" s="1612" t="n"/>
      <c r="BW45" s="1612" t="n"/>
      <c r="BX45" s="1612" t="n"/>
      <c r="BY45" s="1612" t="n"/>
      <c r="BZ45" s="1612" t="n"/>
      <c r="CA45" s="1612" t="n"/>
      <c r="CB45" s="1612" t="n"/>
      <c r="CC45" s="1612" t="n"/>
      <c r="CD45" s="1612" t="n"/>
      <c r="CE45" s="1612" t="n"/>
      <c r="CF45" s="1612" t="n"/>
    </row>
    <row r="46" ht="14" customHeight="1">
      <c r="A46" s="1615" t="n"/>
      <c r="B46" s="1615" t="inlineStr">
        <is>
          <t>.</t>
        </is>
      </c>
      <c r="C46" s="1615" t="inlineStr">
        <is>
          <t>.</t>
        </is>
      </c>
      <c r="D46" s="1615" t="inlineStr">
        <is>
          <t>.</t>
        </is>
      </c>
      <c r="E46" s="1615" t="inlineStr">
        <is>
          <t>Dift countries</t>
        </is>
      </c>
      <c r="F46" s="1429" t="n"/>
      <c r="G46" s="1072" t="n"/>
      <c r="H46" s="1597">
        <f>COUNTIF(H8:H44,"&gt;0")</f>
        <v/>
      </c>
      <c r="I46" s="1597">
        <f>COUNTIF(I8:I44,"&gt;0")</f>
        <v/>
      </c>
      <c r="J46" s="1597">
        <f>COUNTIF(J8:J44,"&gt;0")</f>
        <v/>
      </c>
      <c r="K46" s="1597">
        <f>COUNTIF(K8:K44,"&gt;0")</f>
        <v/>
      </c>
      <c r="L46" s="1597">
        <f>COUNTIF(L8:L44,"&gt;0")</f>
        <v/>
      </c>
      <c r="M46" s="1597">
        <f>COUNTIF(M8:M44,"&gt;0")</f>
        <v/>
      </c>
      <c r="N46" s="1597">
        <f>COUNTIF(N8:N44,"&gt;0")</f>
        <v/>
      </c>
      <c r="O46" s="1597">
        <f>COUNTIF(O8:O44,"&gt;0")</f>
        <v/>
      </c>
      <c r="P46" s="1597">
        <f>COUNTIF(P8:P44,"&gt;0")</f>
        <v/>
      </c>
      <c r="Q46" s="1597">
        <f>COUNTIF(Q8:Q44,"&gt;0")</f>
        <v/>
      </c>
      <c r="R46" s="1597">
        <f>COUNTIF(R8:R44,"&gt;0")</f>
        <v/>
      </c>
      <c r="S46" s="1597">
        <f>COUNTIF(S8:S44,"&gt;0")</f>
        <v/>
      </c>
      <c r="T46" s="1597">
        <f>COUNTIF(T8:T44,"&gt;0")</f>
        <v/>
      </c>
      <c r="U46" s="1597">
        <f>COUNTIF(U8:U44,"&gt;0")</f>
        <v/>
      </c>
      <c r="V46" s="1597">
        <f>COUNTIF(V8:V44,"&gt;0")</f>
        <v/>
      </c>
      <c r="W46" s="1597">
        <f>COUNTIF(W8:W44,"&gt;0")</f>
        <v/>
      </c>
      <c r="X46" s="1597">
        <f>COUNTIF(X8:X44,"&gt;0")</f>
        <v/>
      </c>
      <c r="Y46" s="1597">
        <f>COUNTIF(Y8:Y44,"&gt;0")</f>
        <v/>
      </c>
      <c r="Z46" s="1597">
        <f>COUNTIF(Z8:Z44,"&gt;0")</f>
        <v/>
      </c>
      <c r="AA46" s="1597">
        <f>COUNTIF(AA8:AA44,"&gt;0")</f>
        <v/>
      </c>
      <c r="AB46" s="1597">
        <f>COUNTIF(AB8:AB44,"&gt;0")</f>
        <v/>
      </c>
      <c r="AC46" s="1597">
        <f>COUNTIF(AC8:AC44,"&gt;0")</f>
        <v/>
      </c>
      <c r="AD46" s="1597">
        <f>COUNTIF(AD8:AD44,"&gt;0")</f>
        <v/>
      </c>
      <c r="AE46" s="1597">
        <f>COUNTIF(AE8:AE44,"&gt;0")</f>
        <v/>
      </c>
      <c r="AF46" s="1597">
        <f>COUNTIF(AF8:AF44,"&gt;0")</f>
        <v/>
      </c>
      <c r="AG46" s="1597">
        <f>COUNTIF(AG8:AG44,"&gt;0")</f>
        <v/>
      </c>
      <c r="AH46" s="1597">
        <f>COUNTIF(AH8:AH44,"&gt;0")</f>
        <v/>
      </c>
      <c r="AI46" s="1597">
        <f>COUNTIF(AI8:AI44,"&gt;0")</f>
        <v/>
      </c>
      <c r="AJ46" s="1597">
        <f>COUNTIF(AJ8:AJ44,"&gt;0")</f>
        <v/>
      </c>
      <c r="AK46" s="1597">
        <f>COUNTIF(AK8:AK44,"&gt;0")</f>
        <v/>
      </c>
      <c r="AL46" s="1597">
        <f>COUNTIF(AL8:AL44,"&gt;0")</f>
        <v/>
      </c>
      <c r="AM46" s="1597">
        <f>COUNTIF(AM8:AM44,"&gt;0")</f>
        <v/>
      </c>
      <c r="AN46" s="1597">
        <f>COUNTIF(AN8:AN44,"&gt;0")</f>
        <v/>
      </c>
      <c r="AO46" s="1597" t="inlineStr">
        <is>
          <t>.</t>
        </is>
      </c>
      <c r="AP46" s="1597">
        <f>AP45+1</f>
        <v/>
      </c>
      <c r="AQ46" s="1636" t="n"/>
      <c r="AR46" s="1603" t="n"/>
      <c r="AS46" s="1665" t="n"/>
      <c r="AT46" s="1665" t="n"/>
      <c r="AU46" s="1638" t="n"/>
      <c r="AV46" s="1638" t="n"/>
      <c r="AW46" s="1603" t="n"/>
      <c r="AX46" s="1603" t="n"/>
      <c r="AY46" s="1603" t="n"/>
      <c r="AZ46" s="1666" t="inlineStr">
        <is>
          <t>.</t>
        </is>
      </c>
      <c r="BA46" s="1597">
        <f>BA45+1</f>
        <v/>
      </c>
      <c r="BB46" s="1643">
        <f>AQ31</f>
        <v/>
      </c>
      <c r="BC46" s="1603">
        <f>INT(SUMIFS(raw[stay],raw[city],$BB46,raw[dec],BC$1))</f>
        <v/>
      </c>
      <c r="BD46" s="1603">
        <f>INT(SUMIFS(raw[stay],raw[city],$BB46,raw[dec],BD$1))</f>
        <v/>
      </c>
      <c r="BE46" s="1603">
        <f>INT(SUMIFS(raw[stay],raw[city],$BB46,raw[dec],BE$1))</f>
        <v/>
      </c>
      <c r="BF46" s="1603">
        <f>INT(SUMIFS(raw[stay],raw[city],$BB46,raw[dec],BF$1))</f>
        <v/>
      </c>
      <c r="BG46" s="1603">
        <f>INT(SUMIFS(raw[stay],raw[city],$BB46,raw[dec],BG$1))</f>
        <v/>
      </c>
      <c r="BH46" s="1597" t="n"/>
      <c r="BI46" s="1641">
        <f>(_xlfn.MAXIFS(raw[out],raw[city],BB46)-_xlfn.MINIFS(raw[out],raw[city],BB46))/365.25</f>
        <v/>
      </c>
      <c r="BJ46" s="1633" t="n"/>
      <c r="BK46" s="1611" t="n"/>
      <c r="BL46" s="1612" t="n"/>
      <c r="BM46" s="1612" t="n"/>
      <c r="BN46" s="1612" t="n"/>
      <c r="BO46" s="1612" t="n"/>
      <c r="BP46" s="1612" t="n"/>
      <c r="BQ46" s="1612" t="n"/>
      <c r="BR46" s="1612" t="n"/>
      <c r="BS46" s="1612" t="n"/>
      <c r="BT46" s="1612" t="n"/>
      <c r="BU46" s="1612" t="n"/>
      <c r="BV46" s="1612" t="n"/>
      <c r="BW46" s="1612" t="n"/>
      <c r="BX46" s="1612" t="n"/>
      <c r="BY46" s="1612" t="n"/>
      <c r="BZ46" s="1612" t="n"/>
      <c r="CA46" s="1612" t="n"/>
      <c r="CB46" s="1612" t="n"/>
      <c r="CC46" s="1612" t="n"/>
      <c r="CD46" s="1612" t="n"/>
      <c r="CE46" s="1612" t="n"/>
      <c r="CF46" s="1612" t="n"/>
    </row>
    <row r="47" ht="14" customHeight="1">
      <c r="A47" s="1673" t="n"/>
      <c r="B47" s="1673" t="n"/>
      <c r="C47" s="1673" t="n"/>
      <c r="D47" s="1673" t="n"/>
      <c r="E47" s="1673" t="n"/>
      <c r="F47" s="1673" t="n"/>
      <c r="G47" s="1674" t="n"/>
      <c r="H47" s="1675">
        <f>H1-1900</f>
        <v/>
      </c>
      <c r="I47" s="1675">
        <f>I1-1900</f>
        <v/>
      </c>
      <c r="J47" s="1675">
        <f>J1-1900</f>
        <v/>
      </c>
      <c r="K47" s="1675">
        <f>K1-1900</f>
        <v/>
      </c>
      <c r="L47" s="1675">
        <f>L1-1900</f>
        <v/>
      </c>
      <c r="M47" s="1675">
        <f>M1-1900</f>
        <v/>
      </c>
      <c r="N47" s="1675">
        <f>N1-1900</f>
        <v/>
      </c>
      <c r="O47" s="1675">
        <f>O1-1900</f>
        <v/>
      </c>
      <c r="P47" s="1675">
        <f>P1-1900</f>
        <v/>
      </c>
      <c r="Q47" s="1675" t="inlineStr">
        <is>
          <t>03</t>
        </is>
      </c>
      <c r="R47" s="1675" t="inlineStr">
        <is>
          <t>04</t>
        </is>
      </c>
      <c r="S47" s="1675" t="inlineStr">
        <is>
          <t>05</t>
        </is>
      </c>
      <c r="T47" s="1675" t="inlineStr">
        <is>
          <t>06</t>
        </is>
      </c>
      <c r="U47" s="1675" t="inlineStr">
        <is>
          <t>07</t>
        </is>
      </c>
      <c r="V47" s="1675" t="inlineStr">
        <is>
          <t>08</t>
        </is>
      </c>
      <c r="W47" s="1675" t="inlineStr">
        <is>
          <t>09</t>
        </is>
      </c>
      <c r="X47" s="1675">
        <f>X1-2000</f>
        <v/>
      </c>
      <c r="Y47" s="1675">
        <f>Y1-2000</f>
        <v/>
      </c>
      <c r="Z47" s="1675">
        <f>Z1-2000</f>
        <v/>
      </c>
      <c r="AA47" s="1675">
        <f>AA1-2000</f>
        <v/>
      </c>
      <c r="AB47" s="1675">
        <f>AB1-2000</f>
        <v/>
      </c>
      <c r="AC47" s="1675">
        <f>AC1-2000</f>
        <v/>
      </c>
      <c r="AD47" s="1675">
        <f>AD1-2000</f>
        <v/>
      </c>
      <c r="AE47" s="1675">
        <f>AE1-2000</f>
        <v/>
      </c>
      <c r="AF47" s="1675">
        <f>AF1-2000</f>
        <v/>
      </c>
      <c r="AG47" s="1675">
        <f>AG1-2000</f>
        <v/>
      </c>
      <c r="AH47" s="1675">
        <f>AH1-2000</f>
        <v/>
      </c>
      <c r="AI47" s="1675">
        <f>AI1-2000</f>
        <v/>
      </c>
      <c r="AJ47" s="1675">
        <f>AJ1-2000</f>
        <v/>
      </c>
      <c r="AK47" s="1675">
        <f>AK1-2000</f>
        <v/>
      </c>
      <c r="AL47" s="1675">
        <f>AL1-2000</f>
        <v/>
      </c>
      <c r="AM47" s="1675">
        <f>AM1-2000</f>
        <v/>
      </c>
      <c r="AN47" s="1675">
        <f>AN1-2000</f>
        <v/>
      </c>
      <c r="AO47" s="1597" t="inlineStr">
        <is>
          <t>.</t>
        </is>
      </c>
      <c r="AP47" s="1676" t="inlineStr">
        <is>
          <t>.</t>
        </is>
      </c>
      <c r="AQ47" s="1611" t="n"/>
      <c r="AR47" s="1611" t="n"/>
      <c r="AS47" s="1611" t="n"/>
      <c r="AT47" s="1611" t="n"/>
      <c r="AU47" s="1611" t="n"/>
      <c r="AV47" s="1611" t="n"/>
      <c r="AW47" s="1611" t="n"/>
      <c r="AX47" s="1611" t="n"/>
      <c r="AY47" s="1611" t="n"/>
      <c r="AZ47" s="1666" t="n"/>
      <c r="BA47" s="1597" t="n"/>
      <c r="BB47" s="1597" t="n"/>
      <c r="BC47" s="1597" t="n"/>
      <c r="BD47" s="1597" t="n"/>
      <c r="BE47" s="1597" t="n"/>
      <c r="BF47" s="1597" t="n"/>
      <c r="BG47" s="1597" t="n"/>
      <c r="BH47" s="1597" t="n"/>
      <c r="BI47" s="1597" t="n"/>
      <c r="BJ47" s="1597" t="n"/>
      <c r="BK47" s="1597" t="n"/>
      <c r="BL47" s="1612" t="n"/>
      <c r="BM47" s="1612" t="n"/>
      <c r="BN47" s="1612" t="n"/>
      <c r="BO47" s="1612" t="n"/>
      <c r="BP47" s="1612" t="n"/>
      <c r="BQ47" s="1612" t="n"/>
      <c r="BR47" s="1612" t="n"/>
      <c r="BS47" s="1612" t="n"/>
      <c r="BT47" s="1612" t="n"/>
      <c r="BU47" s="1612" t="n"/>
      <c r="BV47" s="1612" t="n"/>
      <c r="BW47" s="1612" t="n"/>
      <c r="BX47" s="1612" t="n"/>
      <c r="BY47" s="1612" t="n"/>
      <c r="BZ47" s="1612" t="n"/>
      <c r="CA47" s="1612" t="n"/>
      <c r="CB47" s="1612" t="n"/>
      <c r="CC47" s="1612" t="n"/>
      <c r="CD47" s="1612" t="n"/>
      <c r="CE47" s="1612" t="n"/>
      <c r="CF47" s="1612" t="n"/>
    </row>
    <row r="48" ht="14" customHeight="1">
      <c r="A48" s="1615" t="n"/>
      <c r="B48" s="1615" t="n"/>
      <c r="C48" s="1615" t="n"/>
      <c r="D48" s="1615" t="n"/>
      <c r="E48" s="1615" t="n"/>
      <c r="F48" s="1615" t="n"/>
      <c r="G48" s="1597" t="n"/>
      <c r="H48" s="1597" t="n"/>
      <c r="I48" s="1597" t="n"/>
      <c r="J48" s="1597" t="n"/>
      <c r="K48" s="1597" t="n"/>
      <c r="L48" s="1597" t="n"/>
      <c r="M48" s="1597" t="n"/>
      <c r="N48" s="1597" t="n"/>
      <c r="O48" s="1597" t="n"/>
      <c r="P48" s="1597" t="n"/>
      <c r="Q48" s="1597" t="n"/>
      <c r="R48" s="1597" t="n"/>
      <c r="S48" s="1597" t="n"/>
      <c r="T48" s="1597" t="n"/>
      <c r="U48" s="1597" t="n"/>
      <c r="V48" s="1597" t="n"/>
      <c r="W48" s="1597" t="n"/>
      <c r="X48" s="1597" t="n"/>
      <c r="Y48" s="1597" t="n"/>
      <c r="Z48" s="1597" t="n"/>
      <c r="AA48" s="1597" t="n"/>
      <c r="AB48" s="1597" t="n"/>
      <c r="AC48" s="1597" t="n"/>
      <c r="AD48" s="1597" t="n"/>
      <c r="AE48" s="1597" t="n"/>
      <c r="AF48" s="1597" t="n"/>
      <c r="AG48" s="1597" t="n"/>
      <c r="AH48" s="1597" t="n"/>
      <c r="AI48" s="1597" t="n"/>
      <c r="AJ48" s="1597" t="n"/>
      <c r="AK48" s="1597" t="n"/>
      <c r="AL48" s="1597" t="n"/>
      <c r="AM48" s="1597" t="n"/>
      <c r="AN48" s="1611" t="n"/>
      <c r="AO48" s="1597" t="inlineStr">
        <is>
          <t>.</t>
        </is>
      </c>
      <c r="AP48" s="1628" t="inlineStr">
        <is>
          <t>id</t>
        </is>
      </c>
      <c r="AQ48" s="1629" t="inlineStr">
        <is>
          <t>city</t>
        </is>
      </c>
      <c r="AR48" s="1630" t="inlineStr">
        <is>
          <t>ctry</t>
        </is>
      </c>
      <c r="AS48" s="1630" t="inlineStr">
        <is>
          <t>1st date</t>
        </is>
      </c>
      <c r="AT48" s="1630" t="inlineStr">
        <is>
          <t>Last date</t>
        </is>
      </c>
      <c r="AU48" s="1631" t="inlineStr">
        <is>
          <t>seq in</t>
        </is>
      </c>
      <c r="AV48" s="1631" t="inlineStr">
        <is>
          <t>seq out</t>
        </is>
      </c>
      <c r="AW48" s="1630" t="inlineStr">
        <is>
          <t>seq</t>
        </is>
      </c>
      <c r="AX48" s="1630" t="inlineStr">
        <is>
          <t>yrs</t>
        </is>
      </c>
      <c r="AY48" s="1630" t="inlineStr">
        <is>
          <t>total</t>
        </is>
      </c>
      <c r="AZ48" s="1666" t="inlineStr">
        <is>
          <t>.</t>
        </is>
      </c>
      <c r="BA48" s="1612" t="n"/>
      <c r="BB48" s="1612" t="n"/>
      <c r="BC48" s="1612" t="n"/>
      <c r="BD48" s="1612" t="n"/>
      <c r="BE48" s="1612" t="n"/>
      <c r="BF48" s="1612" t="n"/>
      <c r="BG48" s="1612" t="n"/>
      <c r="BH48" s="1612" t="n"/>
      <c r="BI48" s="1612" t="n"/>
      <c r="BJ48" s="1612" t="n"/>
      <c r="BK48" s="1612" t="n"/>
      <c r="BL48" s="1612" t="n"/>
      <c r="BM48" s="1612" t="n"/>
      <c r="BN48" s="1612" t="n"/>
      <c r="BO48" s="1612" t="n"/>
      <c r="BP48" s="1612" t="n"/>
      <c r="BQ48" s="1612" t="n"/>
      <c r="BR48" s="1612" t="n"/>
      <c r="BS48" s="1612" t="n"/>
      <c r="BT48" s="1612" t="n"/>
      <c r="BU48" s="1612" t="n"/>
      <c r="BV48" s="1612" t="n"/>
      <c r="BW48" s="1612" t="n"/>
      <c r="BX48" s="1612" t="n"/>
      <c r="BY48" s="1612" t="n"/>
      <c r="BZ48" s="1612" t="n"/>
      <c r="CA48" s="1612" t="n"/>
      <c r="CB48" s="1612" t="n"/>
      <c r="CC48" s="1612" t="n"/>
      <c r="CD48" s="1612" t="n"/>
      <c r="CE48" s="1612" t="n"/>
      <c r="CF48" s="1612" t="n"/>
    </row>
    <row r="49" ht="14" customHeight="1">
      <c r="A49" s="1596" t="inlineStr">
        <is>
          <t>.</t>
        </is>
      </c>
      <c r="B49" s="1596" t="n"/>
      <c r="C49" s="1596" t="n"/>
      <c r="D49" s="1596" t="n"/>
      <c r="E49" s="1596" t="n"/>
      <c r="F49" s="1596" t="n"/>
      <c r="G49" s="1597" t="n"/>
      <c r="H49" s="1597" t="n"/>
      <c r="I49" s="1597" t="n"/>
      <c r="J49" s="1597" t="n"/>
      <c r="K49" s="1597" t="n"/>
      <c r="L49" s="1597" t="n"/>
      <c r="M49" s="1597" t="n"/>
      <c r="N49" s="1597" t="n"/>
      <c r="O49" s="1597" t="n"/>
      <c r="P49" s="1597" t="n"/>
      <c r="Q49" s="1597" t="n"/>
      <c r="R49" s="1597" t="n"/>
      <c r="S49" s="1597" t="n"/>
      <c r="T49" s="1597" t="n"/>
      <c r="U49" s="1597" t="n"/>
      <c r="V49" s="1597" t="n"/>
      <c r="W49" s="1597" t="n"/>
      <c r="X49" s="1597" t="n"/>
      <c r="Y49" s="1597" t="n"/>
      <c r="Z49" s="1597" t="n"/>
      <c r="AA49" s="1597" t="n"/>
      <c r="AB49" s="1597" t="n"/>
      <c r="AC49" s="1597" t="n"/>
      <c r="AD49" s="1597" t="n"/>
      <c r="AE49" s="1597" t="n"/>
      <c r="AF49" s="1597" t="n"/>
      <c r="AG49" s="1597" t="n"/>
      <c r="AH49" s="1597" t="n"/>
      <c r="AI49" s="1597" t="n"/>
      <c r="AJ49" s="1597" t="n"/>
      <c r="AK49" s="1597" t="n"/>
      <c r="AL49" s="1597" t="n"/>
      <c r="AM49" s="1597" t="n"/>
      <c r="AN49" s="1611" t="n"/>
      <c r="AO49" s="1597" t="inlineStr">
        <is>
          <t>.</t>
        </is>
      </c>
      <c r="AP49" s="1597" t="n">
        <v>1</v>
      </c>
      <c r="AQ49" s="1636">
        <f>'@Refr'!O5</f>
        <v/>
      </c>
      <c r="AR49" s="1598">
        <f>_xlfn.XLOOKUP(citySeq3[[#This Row],[city]],ccc[city],ccc[ctry],"-")</f>
        <v/>
      </c>
      <c r="AS49" s="1604">
        <f>_xlfn.MINIFS(stayCity[in], stayCity[city], citySeq3[[#This Row],[city]])</f>
        <v/>
      </c>
      <c r="AT49" s="1637">
        <f>_xlfn.MAXIFS(stayCity[out], stayCity[city], citySeq3[[#This Row],[city]])</f>
        <v/>
      </c>
      <c r="AU49" s="1638">
        <f>_xlfn.XLOOKUP(citySeq3[[#This Row],[seq]],stayCity[stay],stayCity[in],"-")</f>
        <v/>
      </c>
      <c r="AV49" s="1638">
        <f>_xlfn.XLOOKUP(citySeq3[[#This Row],[seq]],stayCity[stay],stayCity[out],"-")</f>
        <v/>
      </c>
      <c r="AW49" s="1603">
        <f t="array" ref="AW49">MAX(IF(stayCity[city]=citySeq3[[#This Row],[city]],stayCity[stay]))</f>
        <v/>
      </c>
      <c r="AX49" s="1603">
        <f t="array" ref="AX49">ROWS(_xlfn.UNIQUE(_xlfn._xlws.FILTER(raw[yr], raw[city]=citySeq3[[#This Row],[city]])))</f>
        <v/>
      </c>
      <c r="AY49" s="1603">
        <f>_xlfn.XLOOKUP(citySeq3[[#This Row],[city]],cities[city],cities[stay])</f>
        <v/>
      </c>
      <c r="AZ49" s="1666" t="n"/>
      <c r="BA49" s="1612" t="n"/>
      <c r="BB49" s="1612" t="n"/>
      <c r="BC49" s="1612" t="n"/>
      <c r="BD49" s="1612" t="n"/>
      <c r="BE49" s="1612" t="n"/>
      <c r="BF49" s="1612" t="n"/>
      <c r="BG49" s="1612" t="n"/>
      <c r="BH49" s="1612" t="n"/>
      <c r="BI49" s="1612" t="n"/>
      <c r="BJ49" s="1612" t="n"/>
      <c r="BK49" s="1612" t="n"/>
      <c r="BL49" s="1612" t="n"/>
      <c r="BM49" s="1612" t="n"/>
      <c r="BN49" s="1612" t="n"/>
      <c r="BO49" s="1612" t="n"/>
      <c r="BP49" s="1612" t="n"/>
      <c r="BQ49" s="1612" t="n"/>
      <c r="BR49" s="1612" t="n"/>
      <c r="BS49" s="1612" t="n"/>
      <c r="BT49" s="1612" t="n"/>
      <c r="BU49" s="1612" t="n"/>
      <c r="BV49" s="1612" t="n"/>
      <c r="BW49" s="1612" t="n"/>
      <c r="BX49" s="1612" t="n"/>
      <c r="BY49" s="1612" t="n"/>
      <c r="BZ49" s="1612" t="n"/>
      <c r="CA49" s="1612" t="n"/>
      <c r="CB49" s="1612" t="n"/>
      <c r="CC49" s="1612" t="n"/>
      <c r="CD49" s="1612" t="n"/>
      <c r="CE49" s="1612" t="n"/>
      <c r="CF49" s="1612" t="n"/>
    </row>
    <row r="50" ht="14" customHeight="1">
      <c r="A50" s="1615" t="inlineStr">
        <is>
          <t>.</t>
        </is>
      </c>
      <c r="B50" s="1677" t="n"/>
      <c r="C50" s="1678" t="n"/>
      <c r="D50" s="1677" t="n"/>
      <c r="E50" s="1677" t="n"/>
      <c r="F50" s="1677" t="n"/>
      <c r="G50" s="1611" t="n"/>
      <c r="H50" s="1611" t="n"/>
      <c r="I50" s="1611" t="n"/>
      <c r="J50" s="1611" t="n"/>
      <c r="K50" s="1611" t="n"/>
      <c r="L50" s="1611" t="n"/>
      <c r="M50" s="1611" t="n"/>
      <c r="N50" s="1611" t="n"/>
      <c r="O50" s="1611" t="n"/>
      <c r="P50" s="1611" t="n"/>
      <c r="Q50" s="1611" t="n"/>
      <c r="R50" s="1611" t="n"/>
      <c r="S50" s="1611" t="n"/>
      <c r="T50" s="1611" t="n"/>
      <c r="U50" s="1611" t="n"/>
      <c r="V50" s="1611" t="n"/>
      <c r="W50" s="1611" t="n"/>
      <c r="X50" s="1611" t="n"/>
      <c r="Y50" s="1611" t="n"/>
      <c r="Z50" s="1611" t="n"/>
      <c r="AA50" s="1611" t="n"/>
      <c r="AB50" s="1611" t="n"/>
      <c r="AC50" s="1611" t="n"/>
      <c r="AD50" s="1611" t="n"/>
      <c r="AE50" s="1611" t="n"/>
      <c r="AF50" s="1611" t="n"/>
      <c r="AG50" s="1611" t="n"/>
      <c r="AH50" s="1611" t="n"/>
      <c r="AI50" s="1611" t="n"/>
      <c r="AJ50" s="1611" t="n"/>
      <c r="AK50" s="1611" t="n"/>
      <c r="AL50" s="1611" t="n"/>
      <c r="AM50" s="1611" t="n"/>
      <c r="AN50" s="1611" t="n"/>
      <c r="AO50" s="1597" t="inlineStr">
        <is>
          <t>.</t>
        </is>
      </c>
      <c r="AP50" s="1597">
        <f>AP49+1</f>
        <v/>
      </c>
      <c r="AQ50" s="1636">
        <f>'@Refr'!O6</f>
        <v/>
      </c>
      <c r="AR50" s="1598">
        <f>_xlfn.XLOOKUP(citySeq3[[#This Row],[city]],ccc[city],ccc[ctry],"-")</f>
        <v/>
      </c>
      <c r="AS50" s="1604">
        <f>_xlfn.MINIFS(stayCity[in], stayCity[city], citySeq3[[#This Row],[city]])</f>
        <v/>
      </c>
      <c r="AT50" s="1637">
        <f>_xlfn.MAXIFS(stayCity[out], stayCity[city], citySeq3[[#This Row],[city]])</f>
        <v/>
      </c>
      <c r="AU50" s="1638">
        <f>_xlfn.XLOOKUP(citySeq3[[#This Row],[seq]],stayCity[stay],stayCity[in],"-")</f>
        <v/>
      </c>
      <c r="AV50" s="1638">
        <f>_xlfn.XLOOKUP(citySeq3[[#This Row],[seq]],stayCity[stay],stayCity[out],"-")</f>
        <v/>
      </c>
      <c r="AW50" s="1603">
        <f t="array" ref="AW50">MAX(IF(stayCity[city]=citySeq3[[#This Row],[city]],stayCity[stay]))</f>
        <v/>
      </c>
      <c r="AX50" s="1603">
        <f t="array" ref="AX50">ROWS(_xlfn.UNIQUE(_xlfn._xlws.FILTER(raw[yr], raw[city]=citySeq3[[#This Row],[city]])))</f>
        <v/>
      </c>
      <c r="AY50" s="1603">
        <f>_xlfn.XLOOKUP(citySeq3[[#This Row],[city]],cities[city],cities[stay])</f>
        <v/>
      </c>
      <c r="AZ50" s="1666" t="n"/>
      <c r="BA50" s="1612" t="n"/>
      <c r="BB50" s="1612" t="n"/>
      <c r="BC50" s="1612" t="n"/>
      <c r="BD50" s="1612" t="n"/>
      <c r="BE50" s="1612" t="n"/>
      <c r="BF50" s="1612" t="n"/>
      <c r="BG50" s="1612" t="n"/>
      <c r="BH50" s="1612" t="n"/>
      <c r="BI50" s="1612" t="n"/>
      <c r="BJ50" s="1612" t="n"/>
      <c r="BK50" s="1612" t="n"/>
      <c r="BL50" s="1612" t="n"/>
      <c r="BM50" s="1612" t="n"/>
      <c r="BN50" s="1612" t="n"/>
      <c r="BO50" s="1612" t="n"/>
      <c r="BP50" s="1612" t="n"/>
      <c r="BQ50" s="1612" t="n"/>
      <c r="BR50" s="1612" t="n"/>
      <c r="BS50" s="1612" t="n"/>
      <c r="BT50" s="1612" t="n"/>
      <c r="BU50" s="1612" t="n"/>
      <c r="BV50" s="1612" t="n"/>
      <c r="BW50" s="1612" t="n"/>
      <c r="BX50" s="1612" t="n"/>
      <c r="BY50" s="1612" t="n"/>
      <c r="BZ50" s="1612" t="n"/>
      <c r="CA50" s="1612" t="n"/>
      <c r="CB50" s="1612" t="n"/>
      <c r="CC50" s="1612" t="n"/>
      <c r="CD50" s="1612" t="n"/>
      <c r="CE50" s="1612" t="n"/>
      <c r="CF50" s="1612" t="n"/>
    </row>
    <row r="51" ht="14" customHeight="1">
      <c r="A51" s="1596" t="n"/>
      <c r="B51" s="1673" t="n"/>
      <c r="C51" s="1673" t="n"/>
      <c r="D51" s="1673" t="n"/>
      <c r="E51" s="1673" t="n"/>
      <c r="F51" s="1673" t="n"/>
      <c r="G51" s="1611" t="n"/>
      <c r="H51" s="1597" t="n">
        <v>1991</v>
      </c>
      <c r="I51" s="1597">
        <f>H51+1</f>
        <v/>
      </c>
      <c r="J51" s="1597">
        <f>I51+1</f>
        <v/>
      </c>
      <c r="K51" s="1597">
        <f>J51+1</f>
        <v/>
      </c>
      <c r="L51" s="1597">
        <f>K51+1</f>
        <v/>
      </c>
      <c r="M51" s="1597">
        <f>L51+1</f>
        <v/>
      </c>
      <c r="N51" s="1597">
        <f>M51+1</f>
        <v/>
      </c>
      <c r="O51" s="1597">
        <f>N51+1</f>
        <v/>
      </c>
      <c r="P51" s="1597">
        <f>O51+1</f>
        <v/>
      </c>
      <c r="Q51" s="1597">
        <f>P51+1</f>
        <v/>
      </c>
      <c r="R51" s="1597">
        <f>Q51+1</f>
        <v/>
      </c>
      <c r="S51" s="1597">
        <f>R51+1</f>
        <v/>
      </c>
      <c r="T51" s="1597">
        <f>S51+1</f>
        <v/>
      </c>
      <c r="U51" s="1597">
        <f>T51+1</f>
        <v/>
      </c>
      <c r="V51" s="1597">
        <f>U51+1</f>
        <v/>
      </c>
      <c r="W51" s="1597">
        <f>V51+1</f>
        <v/>
      </c>
      <c r="X51" s="1597">
        <f>W51+1</f>
        <v/>
      </c>
      <c r="Y51" s="1597">
        <f>X51+1</f>
        <v/>
      </c>
      <c r="Z51" s="1597">
        <f>Y51+1</f>
        <v/>
      </c>
      <c r="AA51" s="1597">
        <f>Z51+1</f>
        <v/>
      </c>
      <c r="AB51" s="1597">
        <f>AA51+1</f>
        <v/>
      </c>
      <c r="AC51" s="1597">
        <f>AB51+1</f>
        <v/>
      </c>
      <c r="AD51" s="1597">
        <f>AC51+1</f>
        <v/>
      </c>
      <c r="AE51" s="1597">
        <f>AD51+1</f>
        <v/>
      </c>
      <c r="AF51" s="1598">
        <f>AE51+1</f>
        <v/>
      </c>
      <c r="AG51" s="1598" t="n">
        <v>2019</v>
      </c>
      <c r="AH51" s="1597">
        <f>AG51+1</f>
        <v/>
      </c>
      <c r="AI51" s="1597">
        <f>AH51+1</f>
        <v/>
      </c>
      <c r="AJ51" s="1597">
        <f>AI51+1</f>
        <v/>
      </c>
      <c r="AK51" s="1597">
        <f>AJ51+1</f>
        <v/>
      </c>
      <c r="AL51" s="1679">
        <f>AK51+1</f>
        <v/>
      </c>
      <c r="AM51" s="1598">
        <f>AL51+1</f>
        <v/>
      </c>
      <c r="AN51" s="1680">
        <f>AM51+1</f>
        <v/>
      </c>
      <c r="AO51" s="1597" t="inlineStr">
        <is>
          <t>.</t>
        </is>
      </c>
      <c r="AP51" s="1597">
        <f>AP50+1</f>
        <v/>
      </c>
      <c r="AQ51" s="1636">
        <f>'@Refr'!O7</f>
        <v/>
      </c>
      <c r="AR51" s="1598">
        <f>_xlfn.XLOOKUP(citySeq3[[#This Row],[city]],ccc[city],ccc[ctry],"-")</f>
        <v/>
      </c>
      <c r="AS51" s="1604">
        <f>_xlfn.MINIFS(stayCity[in], stayCity[city], citySeq3[[#This Row],[city]])</f>
        <v/>
      </c>
      <c r="AT51" s="1637">
        <f>_xlfn.MAXIFS(stayCity[out], stayCity[city], citySeq3[[#This Row],[city]])</f>
        <v/>
      </c>
      <c r="AU51" s="1638">
        <f>_xlfn.XLOOKUP(citySeq3[[#This Row],[seq]],stayCity[stay],stayCity[in],"-")</f>
        <v/>
      </c>
      <c r="AV51" s="1638">
        <f>_xlfn.XLOOKUP(citySeq3[[#This Row],[seq]],stayCity[stay],stayCity[out],"-")</f>
        <v/>
      </c>
      <c r="AW51" s="1603">
        <f t="array" ref="AW51">MAX(IF(stayCity[city]=citySeq3[[#This Row],[city]],stayCity[stay]))</f>
        <v/>
      </c>
      <c r="AX51" s="1603">
        <f t="array" ref="AX51">ROWS(_xlfn.UNIQUE(_xlfn._xlws.FILTER(raw[yr], raw[city]=citySeq3[[#This Row],[city]])))</f>
        <v/>
      </c>
      <c r="AY51" s="1603">
        <f>_xlfn.XLOOKUP(citySeq3[[#This Row],[city]],cities[city],cities[stay])</f>
        <v/>
      </c>
      <c r="AZ51" s="1666" t="n"/>
      <c r="BA51" s="1612" t="n"/>
      <c r="BB51" s="1612" t="n"/>
      <c r="BC51" s="1612" t="n"/>
      <c r="BD51" s="1612" t="n"/>
      <c r="BE51" s="1612" t="n"/>
      <c r="BF51" s="1612" t="n"/>
      <c r="BG51" s="1612" t="n"/>
      <c r="BH51" s="1612" t="n"/>
      <c r="BI51" s="1612" t="n"/>
      <c r="BJ51" s="1612" t="n"/>
      <c r="BK51" s="1612" t="n"/>
      <c r="BL51" s="1612" t="n"/>
      <c r="BM51" s="1612" t="n"/>
      <c r="BN51" s="1612" t="n"/>
      <c r="BO51" s="1612" t="n"/>
      <c r="BP51" s="1612" t="n"/>
      <c r="BQ51" s="1612" t="n"/>
      <c r="BR51" s="1612" t="n"/>
      <c r="BS51" s="1612" t="n"/>
      <c r="BT51" s="1612" t="n"/>
      <c r="BU51" s="1612" t="n"/>
      <c r="BV51" s="1612" t="n"/>
      <c r="BW51" s="1612" t="n"/>
      <c r="BX51" s="1612" t="n"/>
      <c r="BY51" s="1612" t="n"/>
      <c r="BZ51" s="1612" t="n"/>
      <c r="CA51" s="1612" t="n"/>
      <c r="CB51" s="1612" t="n"/>
      <c r="CC51" s="1612" t="n"/>
      <c r="CD51" s="1612" t="n"/>
      <c r="CE51" s="1612" t="n"/>
      <c r="CF51" s="1612" t="n"/>
    </row>
    <row r="52" ht="14" customHeight="1">
      <c r="A52" s="1615" t="inlineStr">
        <is>
          <t>.</t>
        </is>
      </c>
      <c r="B52" s="1677" t="n"/>
      <c r="C52" s="1677" t="n"/>
      <c r="D52" s="1677" t="n"/>
      <c r="E52" s="1677" t="n"/>
      <c r="F52" s="1615" t="n"/>
      <c r="G52" s="1609" t="inlineStr">
        <is>
          <t>BA</t>
        </is>
      </c>
      <c r="H52" s="1597" t="n"/>
      <c r="I52" s="1610">
        <f>SUM($I55:I55)</f>
        <v/>
      </c>
      <c r="J52" s="1610">
        <f>SUM($I55:J55)</f>
        <v/>
      </c>
      <c r="K52" s="1610">
        <f>SUM($I55:K55)</f>
        <v/>
      </c>
      <c r="L52" s="1610">
        <f>SUM($I55:L55)</f>
        <v/>
      </c>
      <c r="M52" s="1610">
        <f>SUM($I55:M55)</f>
        <v/>
      </c>
      <c r="N52" s="1610">
        <f>SUM($I55:N55)</f>
        <v/>
      </c>
      <c r="O52" s="1610">
        <f>SUM($I55:O55)</f>
        <v/>
      </c>
      <c r="P52" s="1610">
        <f>SUM($I55:P55)</f>
        <v/>
      </c>
      <c r="Q52" s="1610">
        <f>SUM($I55:Q55)</f>
        <v/>
      </c>
      <c r="R52" s="1610">
        <f>SUM($I55:R55)</f>
        <v/>
      </c>
      <c r="S52" s="1610">
        <f>SUM($I55:S55)</f>
        <v/>
      </c>
      <c r="T52" s="1610">
        <f>SUM($I55:T55)</f>
        <v/>
      </c>
      <c r="U52" s="1610">
        <f>SUM($I55:U55)</f>
        <v/>
      </c>
      <c r="V52" s="1610">
        <f>SUM($I55:V55)</f>
        <v/>
      </c>
      <c r="W52" s="1610">
        <f>SUM($I55:W55)</f>
        <v/>
      </c>
      <c r="X52" s="1610">
        <f>SUM($I55:X55)</f>
        <v/>
      </c>
      <c r="Y52" s="1610">
        <f>SUM($I55:Y55)</f>
        <v/>
      </c>
      <c r="Z52" s="1610">
        <f>SUM($I55:Z55)</f>
        <v/>
      </c>
      <c r="AA52" s="1610">
        <f>SUM($I55:AA55)</f>
        <v/>
      </c>
      <c r="AB52" s="1610">
        <f>SUM($I55:AB55)</f>
        <v/>
      </c>
      <c r="AC52" s="1610">
        <f>SUM($I55:AC55)</f>
        <v/>
      </c>
      <c r="AD52" s="1610">
        <f>SUM($I55:AD55)</f>
        <v/>
      </c>
      <c r="AE52" s="1610">
        <f>SUM($I55:AE55)</f>
        <v/>
      </c>
      <c r="AF52" s="1610">
        <f>SUM($I55:AF55)</f>
        <v/>
      </c>
      <c r="AG52" s="1610">
        <f>SUM($I55:AG55)</f>
        <v/>
      </c>
      <c r="AH52" s="1610">
        <f>SUM($I55:AH55)</f>
        <v/>
      </c>
      <c r="AI52" s="1610">
        <f>SUM($I55:AI55)</f>
        <v/>
      </c>
      <c r="AJ52" s="1610">
        <f>SUM($I55:AJ55)</f>
        <v/>
      </c>
      <c r="AK52" s="1610">
        <f>SUM($I55:AK55)</f>
        <v/>
      </c>
      <c r="AL52" s="1610">
        <f>SUM($I55:AL55)</f>
        <v/>
      </c>
      <c r="AM52" s="1681">
        <f>SUM($I55:AM55)</f>
        <v/>
      </c>
      <c r="AN52" s="1610">
        <f>SUM($I55:AN55)</f>
        <v/>
      </c>
      <c r="AO52" s="1597" t="inlineStr">
        <is>
          <t>.</t>
        </is>
      </c>
      <c r="AP52" s="1597">
        <f>AP51+1</f>
        <v/>
      </c>
      <c r="AQ52" s="1636">
        <f>'@Refr'!O8</f>
        <v/>
      </c>
      <c r="AR52" s="1598">
        <f>_xlfn.XLOOKUP(citySeq3[[#This Row],[city]],ccc[city],ccc[ctry],"-")</f>
        <v/>
      </c>
      <c r="AS52" s="1604">
        <f>_xlfn.MINIFS(stayCity[in], stayCity[city], citySeq3[[#This Row],[city]])</f>
        <v/>
      </c>
      <c r="AT52" s="1637">
        <f>_xlfn.MAXIFS(stayCity[out], stayCity[city], citySeq3[[#This Row],[city]])</f>
        <v/>
      </c>
      <c r="AU52" s="1638">
        <f>_xlfn.XLOOKUP(citySeq3[[#This Row],[seq]],stayCity[stay],stayCity[in],"-")</f>
        <v/>
      </c>
      <c r="AV52" s="1638">
        <f>_xlfn.XLOOKUP(citySeq3[[#This Row],[seq]],stayCity[stay],stayCity[out],"-")</f>
        <v/>
      </c>
      <c r="AW52" s="1603">
        <f t="array" ref="AW52">MAX(IF(stayCity[city]=citySeq3[[#This Row],[city]],stayCity[stay]))</f>
        <v/>
      </c>
      <c r="AX52" s="1603">
        <f t="array" ref="AX52">ROWS(_xlfn.UNIQUE(_xlfn._xlws.FILTER(raw[yr], raw[city]=citySeq3[[#This Row],[city]])))</f>
        <v/>
      </c>
      <c r="AY52" s="1603">
        <f>_xlfn.XLOOKUP(citySeq3[[#This Row],[city]],cities[city],cities[stay])</f>
        <v/>
      </c>
      <c r="AZ52" s="1666" t="n"/>
      <c r="BA52" s="1612" t="n"/>
      <c r="BB52" s="1612" t="n"/>
      <c r="BC52" s="1612" t="n"/>
      <c r="BD52" s="1612" t="n"/>
      <c r="BE52" s="1612" t="n"/>
      <c r="BF52" s="1612" t="n"/>
      <c r="BG52" s="1612" t="n"/>
      <c r="BH52" s="1612" t="n"/>
      <c r="BI52" s="1612" t="n"/>
      <c r="BJ52" s="1612" t="n"/>
      <c r="BK52" s="1612" t="n"/>
      <c r="BL52" s="1612" t="n"/>
      <c r="BM52" s="1612" t="n"/>
      <c r="BN52" s="1612" t="n"/>
      <c r="BO52" s="1612" t="n"/>
      <c r="BP52" s="1612" t="n"/>
      <c r="BQ52" s="1612" t="n"/>
      <c r="BR52" s="1612" t="n"/>
      <c r="BS52" s="1612" t="n"/>
      <c r="BT52" s="1612" t="n"/>
      <c r="BU52" s="1612" t="n"/>
      <c r="BV52" s="1612" t="n"/>
      <c r="BW52" s="1612" t="n"/>
      <c r="BX52" s="1612" t="n"/>
      <c r="BY52" s="1612" t="n"/>
      <c r="BZ52" s="1612" t="n"/>
      <c r="CA52" s="1612" t="n"/>
      <c r="CB52" s="1612" t="n"/>
      <c r="CC52" s="1612" t="n"/>
      <c r="CD52" s="1612" t="n"/>
      <c r="CE52" s="1612" t="n"/>
      <c r="CF52" s="1612" t="n"/>
    </row>
    <row r="53" ht="14" customHeight="1">
      <c r="A53" s="1596" t="inlineStr">
        <is>
          <t>.</t>
        </is>
      </c>
      <c r="B53" s="1673" t="n"/>
      <c r="C53" s="1673" t="n"/>
      <c r="D53" s="1673" t="n"/>
      <c r="E53" s="1673" t="n"/>
      <c r="F53" s="1596" t="n"/>
      <c r="G53" s="1682" t="inlineStr">
        <is>
          <t>SP</t>
        </is>
      </c>
      <c r="H53" s="1597" t="n"/>
      <c r="I53" s="1683">
        <f>SUM($I56:I56)</f>
        <v/>
      </c>
      <c r="J53" s="1683">
        <f>SUM($I56:J56)</f>
        <v/>
      </c>
      <c r="K53" s="1683">
        <f>SUM($I56:K56)</f>
        <v/>
      </c>
      <c r="L53" s="1683">
        <f>SUM($I56:L56)</f>
        <v/>
      </c>
      <c r="M53" s="1683">
        <f>SUM($I56:M56)</f>
        <v/>
      </c>
      <c r="N53" s="1683">
        <f>SUM($I56:N56)</f>
        <v/>
      </c>
      <c r="O53" s="1684">
        <f>SUM($I56:O56)</f>
        <v/>
      </c>
      <c r="P53" s="1684">
        <f>SUM($I56:P56)</f>
        <v/>
      </c>
      <c r="Q53" s="1684">
        <f>SUM($I56:Q56)</f>
        <v/>
      </c>
      <c r="R53" s="1683">
        <f>SUM($I56:R56)</f>
        <v/>
      </c>
      <c r="S53" s="1683">
        <f>SUM($I56:S56)</f>
        <v/>
      </c>
      <c r="T53" s="1683">
        <f>SUM($I56:T56)</f>
        <v/>
      </c>
      <c r="U53" s="1683">
        <f>SUM($I56:U56)</f>
        <v/>
      </c>
      <c r="V53" s="1683">
        <f>SUM($I56:V56)</f>
        <v/>
      </c>
      <c r="W53" s="1683">
        <f>SUM($I56:W56)</f>
        <v/>
      </c>
      <c r="X53" s="1683">
        <f>SUM($I56:X56)</f>
        <v/>
      </c>
      <c r="Y53" s="1684">
        <f>SUM($I56:Y56)</f>
        <v/>
      </c>
      <c r="Z53" s="1684">
        <f>SUM($I56:Z56)</f>
        <v/>
      </c>
      <c r="AA53" s="1684">
        <f>SUM($I56:AA56)</f>
        <v/>
      </c>
      <c r="AB53" s="1684">
        <f>SUM($I56:AB56)</f>
        <v/>
      </c>
      <c r="AC53" s="1684">
        <f>SUM($I56:AC56)</f>
        <v/>
      </c>
      <c r="AD53" s="1684">
        <f>SUM($I56:AD56)</f>
        <v/>
      </c>
      <c r="AE53" s="1684">
        <f>SUM($I56:AE56)</f>
        <v/>
      </c>
      <c r="AF53" s="1684">
        <f>SUM($I56:AF56)</f>
        <v/>
      </c>
      <c r="AG53" s="1684">
        <f>SUM($I56:AG56)</f>
        <v/>
      </c>
      <c r="AH53" s="1684">
        <f>SUM($I56:AH56)</f>
        <v/>
      </c>
      <c r="AI53" s="1684">
        <f>SUM($I56:AI56)</f>
        <v/>
      </c>
      <c r="AJ53" s="1684">
        <f>SUM($I56:AJ56)</f>
        <v/>
      </c>
      <c r="AK53" s="1684">
        <f>SUM($I56:AK56)</f>
        <v/>
      </c>
      <c r="AL53" s="1684">
        <f>SUM($I56:AL56)</f>
        <v/>
      </c>
      <c r="AM53" s="1684">
        <f>SUM($I56:AM56)</f>
        <v/>
      </c>
      <c r="AN53" s="1684">
        <f>SUM($I56:AN56)</f>
        <v/>
      </c>
      <c r="AO53" s="1597" t="inlineStr">
        <is>
          <t>.</t>
        </is>
      </c>
      <c r="AP53" s="1597">
        <f>AP52+1</f>
        <v/>
      </c>
      <c r="AQ53" s="1636">
        <f>'@Refr'!O9</f>
        <v/>
      </c>
      <c r="AR53" s="1598">
        <f>_xlfn.XLOOKUP(citySeq3[[#This Row],[city]],ccc[city],ccc[ctry],"-")</f>
        <v/>
      </c>
      <c r="AS53" s="1604">
        <f>_xlfn.MINIFS(stayCity[in], stayCity[city], citySeq3[[#This Row],[city]])</f>
        <v/>
      </c>
      <c r="AT53" s="1637">
        <f>_xlfn.MAXIFS(stayCity[out], stayCity[city], citySeq3[[#This Row],[city]])</f>
        <v/>
      </c>
      <c r="AU53" s="1638">
        <f>_xlfn.XLOOKUP(citySeq3[[#This Row],[seq]],stayCity[stay],stayCity[in],"-")</f>
        <v/>
      </c>
      <c r="AV53" s="1638">
        <f>_xlfn.XLOOKUP(citySeq3[[#This Row],[seq]],stayCity[stay],stayCity[out],"-")</f>
        <v/>
      </c>
      <c r="AW53" s="1603">
        <f t="array" ref="AW53">MAX(IF(stayCity[city]=citySeq3[[#This Row],[city]],stayCity[stay]))</f>
        <v/>
      </c>
      <c r="AX53" s="1603">
        <f t="array" ref="AX53">ROWS(_xlfn.UNIQUE(_xlfn._xlws.FILTER(raw[yr], raw[city]=citySeq3[[#This Row],[city]])))</f>
        <v/>
      </c>
      <c r="AY53" s="1603">
        <f>_xlfn.XLOOKUP(citySeq3[[#This Row],[city]],cities[city],cities[stay])</f>
        <v/>
      </c>
      <c r="AZ53" s="1666" t="n"/>
      <c r="BA53" s="1612" t="n"/>
      <c r="BB53" s="1612" t="n"/>
      <c r="BC53" s="1612" t="n"/>
      <c r="BD53" s="1612" t="n"/>
      <c r="BE53" s="1612" t="n"/>
      <c r="BF53" s="1612" t="n"/>
      <c r="BG53" s="1612" t="n"/>
      <c r="BH53" s="1612" t="n"/>
      <c r="BI53" s="1612" t="n"/>
      <c r="BJ53" s="1612" t="n"/>
      <c r="BK53" s="1612" t="n"/>
      <c r="BL53" s="1612" t="n"/>
      <c r="BM53" s="1612" t="n"/>
      <c r="BN53" s="1612" t="n"/>
      <c r="BO53" s="1612" t="n"/>
      <c r="BP53" s="1612" t="n"/>
      <c r="BQ53" s="1612" t="n"/>
      <c r="BR53" s="1612" t="n"/>
      <c r="BS53" s="1612" t="n"/>
      <c r="BT53" s="1612" t="n"/>
      <c r="BU53" s="1612" t="n"/>
      <c r="BV53" s="1612" t="n"/>
      <c r="BW53" s="1612" t="n"/>
      <c r="BX53" s="1612" t="n"/>
      <c r="BY53" s="1612" t="n"/>
      <c r="BZ53" s="1612" t="n"/>
      <c r="CA53" s="1612" t="n"/>
      <c r="CB53" s="1612" t="n"/>
      <c r="CC53" s="1612" t="n"/>
      <c r="CD53" s="1612" t="n"/>
      <c r="CE53" s="1612" t="n"/>
      <c r="CF53" s="1612" t="n"/>
    </row>
    <row r="54" ht="14" customHeight="1">
      <c r="A54" s="1615" t="inlineStr">
        <is>
          <t>.</t>
        </is>
      </c>
      <c r="B54" s="1677" t="n"/>
      <c r="C54" s="1677" t="n"/>
      <c r="D54" s="1677" t="n"/>
      <c r="E54" s="1677" t="n"/>
      <c r="F54" s="1615" t="n"/>
      <c r="G54" s="1685" t="inlineStr">
        <is>
          <t>prov</t>
        </is>
      </c>
      <c r="H54" s="1686" t="inlineStr">
        <is>
          <t>91</t>
        </is>
      </c>
      <c r="I54" s="1686" t="inlineStr">
        <is>
          <t>92</t>
        </is>
      </c>
      <c r="J54" s="1686" t="inlineStr">
        <is>
          <t>93</t>
        </is>
      </c>
      <c r="K54" s="1686" t="inlineStr">
        <is>
          <t>94</t>
        </is>
      </c>
      <c r="L54" s="1686" t="inlineStr">
        <is>
          <t>95</t>
        </is>
      </c>
      <c r="M54" s="1686" t="inlineStr">
        <is>
          <t>96</t>
        </is>
      </c>
      <c r="N54" s="1686" t="inlineStr">
        <is>
          <t>97</t>
        </is>
      </c>
      <c r="O54" s="1686" t="inlineStr">
        <is>
          <t>98</t>
        </is>
      </c>
      <c r="P54" s="1686" t="inlineStr">
        <is>
          <t>99</t>
        </is>
      </c>
      <c r="Q54" s="1686" t="inlineStr">
        <is>
          <t>00</t>
        </is>
      </c>
      <c r="R54" s="1686" t="inlineStr">
        <is>
          <t>01</t>
        </is>
      </c>
      <c r="S54" s="1686" t="inlineStr">
        <is>
          <t>02</t>
        </is>
      </c>
      <c r="T54" s="1686" t="inlineStr">
        <is>
          <t>03</t>
        </is>
      </c>
      <c r="U54" s="1686" t="inlineStr">
        <is>
          <t>04</t>
        </is>
      </c>
      <c r="V54" s="1686" t="inlineStr">
        <is>
          <t>05</t>
        </is>
      </c>
      <c r="W54" s="1686" t="inlineStr">
        <is>
          <t>06</t>
        </is>
      </c>
      <c r="X54" s="1686" t="inlineStr">
        <is>
          <t>07</t>
        </is>
      </c>
      <c r="Y54" s="1686" t="inlineStr">
        <is>
          <t>08</t>
        </is>
      </c>
      <c r="Z54" s="1686" t="inlineStr">
        <is>
          <t>09</t>
        </is>
      </c>
      <c r="AA54" s="1686" t="inlineStr">
        <is>
          <t>10</t>
        </is>
      </c>
      <c r="AB54" s="1686" t="inlineStr">
        <is>
          <t>11</t>
        </is>
      </c>
      <c r="AC54" s="1686" t="inlineStr">
        <is>
          <t>12</t>
        </is>
      </c>
      <c r="AD54" s="1686" t="inlineStr">
        <is>
          <t>13</t>
        </is>
      </c>
      <c r="AE54" s="1686" t="inlineStr">
        <is>
          <t>14</t>
        </is>
      </c>
      <c r="AF54" s="1687" t="inlineStr">
        <is>
          <t>15</t>
        </is>
      </c>
      <c r="AG54" s="1687" t="inlineStr">
        <is>
          <t>19</t>
        </is>
      </c>
      <c r="AH54" s="1686" t="inlineStr">
        <is>
          <t>20</t>
        </is>
      </c>
      <c r="AI54" s="1686" t="inlineStr">
        <is>
          <t>21</t>
        </is>
      </c>
      <c r="AJ54" s="1686" t="inlineStr">
        <is>
          <t>22</t>
        </is>
      </c>
      <c r="AK54" s="1686" t="inlineStr">
        <is>
          <t>23</t>
        </is>
      </c>
      <c r="AL54" s="1686" t="inlineStr">
        <is>
          <t>24</t>
        </is>
      </c>
      <c r="AM54" s="1686" t="inlineStr">
        <is>
          <t>25</t>
        </is>
      </c>
      <c r="AN54" s="1688" t="inlineStr">
        <is>
          <t>26</t>
        </is>
      </c>
      <c r="AO54" s="1689" t="inlineStr">
        <is>
          <t>.</t>
        </is>
      </c>
      <c r="AP54" s="1597">
        <f>AP53+1</f>
        <v/>
      </c>
      <c r="AQ54" s="1636">
        <f>'@Refr'!O10</f>
        <v/>
      </c>
      <c r="AR54" s="1598">
        <f>_xlfn.XLOOKUP(citySeq3[[#This Row],[city]],ccc[city],ccc[ctry],"-")</f>
        <v/>
      </c>
      <c r="AS54" s="1604">
        <f>_xlfn.MINIFS(stayCity[in], stayCity[city], citySeq3[[#This Row],[city]])</f>
        <v/>
      </c>
      <c r="AT54" s="1637">
        <f>_xlfn.MAXIFS(stayCity[out], stayCity[city], citySeq3[[#This Row],[city]])</f>
        <v/>
      </c>
      <c r="AU54" s="1638">
        <f>_xlfn.XLOOKUP(citySeq3[[#This Row],[seq]],stayCity[stay],stayCity[in],"-")</f>
        <v/>
      </c>
      <c r="AV54" s="1638">
        <f>_xlfn.XLOOKUP(citySeq3[[#This Row],[seq]],stayCity[stay],stayCity[out],"-")</f>
        <v/>
      </c>
      <c r="AW54" s="1603">
        <f t="array" ref="AW54">MAX(IF(stayCity[city]=citySeq3[[#This Row],[city]],stayCity[stay]))</f>
        <v/>
      </c>
      <c r="AX54" s="1603">
        <f t="array" ref="AX54">ROWS(_xlfn.UNIQUE(_xlfn._xlws.FILTER(raw[yr], raw[city]=citySeq3[[#This Row],[city]])))</f>
        <v/>
      </c>
      <c r="AY54" s="1603">
        <f>_xlfn.XLOOKUP(citySeq3[[#This Row],[city]],cities[city],cities[stay])</f>
        <v/>
      </c>
      <c r="AZ54" s="1666" t="n"/>
      <c r="BA54" s="1612" t="n"/>
      <c r="BB54" s="1612" t="n"/>
      <c r="BC54" s="1612" t="n"/>
      <c r="BD54" s="1612" t="n"/>
      <c r="BE54" s="1612" t="n"/>
      <c r="BF54" s="1612" t="n"/>
      <c r="BG54" s="1612" t="n"/>
      <c r="BH54" s="1612" t="n"/>
      <c r="BI54" s="1612" t="n"/>
      <c r="BJ54" s="1612" t="n"/>
      <c r="BK54" s="1612" t="n"/>
      <c r="BL54" s="1612" t="n"/>
      <c r="BM54" s="1612" t="n"/>
      <c r="BN54" s="1612" t="n"/>
      <c r="BO54" s="1612" t="n"/>
      <c r="BP54" s="1612" t="n"/>
      <c r="BQ54" s="1612" t="n"/>
      <c r="BR54" s="1612" t="n"/>
      <c r="BS54" s="1612" t="n"/>
      <c r="BT54" s="1612" t="n"/>
      <c r="BU54" s="1612" t="n"/>
      <c r="BV54" s="1612" t="n"/>
      <c r="BW54" s="1612" t="n"/>
      <c r="BX54" s="1612" t="n"/>
      <c r="BY54" s="1612" t="n"/>
      <c r="BZ54" s="1612" t="n"/>
      <c r="CA54" s="1612" t="n"/>
      <c r="CB54" s="1612" t="n"/>
      <c r="CC54" s="1612" t="n"/>
      <c r="CD54" s="1612" t="n"/>
      <c r="CE54" s="1612" t="n"/>
      <c r="CF54" s="1612" t="n"/>
    </row>
    <row r="55" ht="14" customHeight="1">
      <c r="A55" s="1690" t="n"/>
      <c r="B55" s="1673" t="n"/>
      <c r="C55" s="1647">
        <f>INT(SUM(H55:AO55))</f>
        <v/>
      </c>
      <c r="D55" s="1673" t="n"/>
      <c r="E55" s="1673" t="n"/>
      <c r="F55" s="1673" t="n"/>
      <c r="G55" s="1602" t="inlineStr">
        <is>
          <t>BA</t>
        </is>
      </c>
      <c r="H55" s="1610">
        <f>SUMIFS(raw[stay],raw[prov],brProv[[#This Row],[prov]],raw[yr],H$51)</f>
        <v/>
      </c>
      <c r="I55" s="1610">
        <f>SUMIFS(raw[stay],raw[prov],brProv[[#This Row],[prov]],raw[yr],I$51)</f>
        <v/>
      </c>
      <c r="J55" s="1610">
        <f>SUMIFS(raw[stay],raw[prov],brProv[[#This Row],[prov]],raw[yr],J$51)</f>
        <v/>
      </c>
      <c r="K55" s="1610">
        <f>SUMIFS(raw[stay],raw[prov],brProv[[#This Row],[prov]],raw[yr],K$51)</f>
        <v/>
      </c>
      <c r="L55" s="1610">
        <f>SUMIFS(raw[stay],raw[prov],brProv[[#This Row],[prov]],raw[yr],L$51)</f>
        <v/>
      </c>
      <c r="M55" s="1610">
        <f>SUMIFS(raw[stay],raw[prov],brProv[[#This Row],[prov]],raw[yr],M$51)</f>
        <v/>
      </c>
      <c r="N55" s="1610">
        <f>SUMIFS(raw[stay],raw[prov],brProv[[#This Row],[prov]],raw[yr],N$51)</f>
        <v/>
      </c>
      <c r="O55" s="1610">
        <f>SUMIFS(raw[stay],raw[prov],brProv[[#This Row],[prov]],raw[yr],O$51)</f>
        <v/>
      </c>
      <c r="P55" s="1610">
        <f>SUMIFS(raw[stay],raw[prov],brProv[[#This Row],[prov]],raw[yr],P$51)</f>
        <v/>
      </c>
      <c r="Q55" s="1610">
        <f>SUMIFS(raw[stay],raw[prov],brProv[[#This Row],[prov]],raw[yr],Q$51)</f>
        <v/>
      </c>
      <c r="R55" s="1610">
        <f>SUMIFS(raw[stay],raw[prov],brProv[[#This Row],[prov]],raw[yr],R$51)</f>
        <v/>
      </c>
      <c r="S55" s="1610">
        <f>SUMIFS(raw[stay],raw[prov],brProv[[#This Row],[prov]],raw[yr],S$51)</f>
        <v/>
      </c>
      <c r="T55" s="1610">
        <f>SUMIFS(raw[stay],raw[prov],brProv[[#This Row],[prov]],raw[yr],T$51)</f>
        <v/>
      </c>
      <c r="U55" s="1610">
        <f>SUMIFS(raw[stay],raw[prov],brProv[[#This Row],[prov]],raw[yr],U$51)</f>
        <v/>
      </c>
      <c r="V55" s="1610">
        <f>SUMIFS(raw[stay],raw[prov],brProv[[#This Row],[prov]],raw[yr],V$51)</f>
        <v/>
      </c>
      <c r="W55" s="1610">
        <f>SUMIFS(raw[stay],raw[prov],brProv[[#This Row],[prov]],raw[yr],W$51)</f>
        <v/>
      </c>
      <c r="X55" s="1610">
        <f>SUMIFS(raw[stay],raw[prov],brProv[[#This Row],[prov]],raw[yr],X$51)</f>
        <v/>
      </c>
      <c r="Y55" s="1610">
        <f>SUMIFS(raw[stay],raw[prov],brProv[[#This Row],[prov]],raw[yr],Y$51)</f>
        <v/>
      </c>
      <c r="Z55" s="1610">
        <f>SUMIFS(raw[stay],raw[prov],brProv[[#This Row],[prov]],raw[yr],Z$51)</f>
        <v/>
      </c>
      <c r="AA55" s="1610">
        <f>SUMIFS(raw[stay],raw[prov],brProv[[#This Row],[prov]],raw[yr],AA$51)</f>
        <v/>
      </c>
      <c r="AB55" s="1610">
        <f>SUMIFS(raw[stay],raw[prov],brProv[[#This Row],[prov]],raw[yr],AB$51)</f>
        <v/>
      </c>
      <c r="AC55" s="1610">
        <f>SUMIFS(raw[stay],raw[prov],brProv[[#This Row],[prov]],raw[yr],AC$51)</f>
        <v/>
      </c>
      <c r="AD55" s="1610">
        <f>SUMIFS(raw[stay],raw[prov],brProv[[#This Row],[prov]],raw[yr],AD$51)</f>
        <v/>
      </c>
      <c r="AE55" s="1610">
        <f>SUMIFS(raw[stay],raw[prov],brProv[[#This Row],[prov]],raw[yr],AE$51)</f>
        <v/>
      </c>
      <c r="AF55" s="1610">
        <f>SUMIFS(raw[stay],raw[prov],brProv[[#This Row],[prov]],raw[yr],AF$51)</f>
        <v/>
      </c>
      <c r="AG55" s="1610">
        <f>SUMIFS(raw[stay],raw[prov],brProv[[#This Row],[prov]],raw[yr],AG$51)</f>
        <v/>
      </c>
      <c r="AH55" s="1610">
        <f>SUMIFS(raw[stay],raw[prov],brProv[[#This Row],[prov]],raw[yr],AH$51)</f>
        <v/>
      </c>
      <c r="AI55" s="1610">
        <f>SUMIFS(raw[stay],raw[prov],brProv[[#This Row],[prov]],raw[yr],AI$51)</f>
        <v/>
      </c>
      <c r="AJ55" s="1610">
        <f>SUMIFS(raw[stay],raw[prov],brProv[[#This Row],[prov]],raw[yr],AJ$51)</f>
        <v/>
      </c>
      <c r="AK55" s="1610">
        <f>SUMIFS(raw[stay],raw[prov],brProv[[#This Row],[prov]],raw[yr],AK$51)</f>
        <v/>
      </c>
      <c r="AL55" s="1610">
        <f>SUMIFS(raw[stay],raw[prov],brProv[[#This Row],[prov]],raw[yr],AL$51)</f>
        <v/>
      </c>
      <c r="AM55" s="1610">
        <f>SUMIFS(raw[stay],raw[prov],brProv[[#This Row],[prov]],raw[yr],AM$51)</f>
        <v/>
      </c>
      <c r="AN55" s="1610">
        <f>SUMIFS(raw[stay],raw[prov],brProv[[#This Row],[prov]],raw[yr],AN$51)</f>
        <v/>
      </c>
      <c r="AO55" s="1597" t="inlineStr">
        <is>
          <t>.</t>
        </is>
      </c>
      <c r="AP55" s="1597">
        <f>AP54+1</f>
        <v/>
      </c>
      <c r="AQ55" s="1636">
        <f>'@Refr'!O11</f>
        <v/>
      </c>
      <c r="AR55" s="1598">
        <f>_xlfn.XLOOKUP(citySeq3[[#This Row],[city]],ccc[city],ccc[ctry],"-")</f>
        <v/>
      </c>
      <c r="AS55" s="1691">
        <f>_xlfn.MINIFS(stayCity[in], stayCity[city], citySeq3[[#This Row],[city]])</f>
        <v/>
      </c>
      <c r="AT55" s="1692">
        <f>_xlfn.MAXIFS(stayCity[out], stayCity[city], citySeq3[[#This Row],[city]])</f>
        <v/>
      </c>
      <c r="AU55" s="1638">
        <f>_xlfn.XLOOKUP(citySeq3[[#This Row],[seq]],stayCity[stay],stayCity[in],"-")</f>
        <v/>
      </c>
      <c r="AV55" s="1638">
        <f>_xlfn.XLOOKUP(citySeq3[[#This Row],[seq]],stayCity[stay],stayCity[out],"-")</f>
        <v/>
      </c>
      <c r="AW55" s="1603">
        <f t="array" ref="AW55">MAX(IF(stayCity[city]=citySeq3[[#This Row],[city]],stayCity[stay]))</f>
        <v/>
      </c>
      <c r="AX55" s="1603">
        <f t="array" ref="AX55">ROWS(_xlfn.UNIQUE(_xlfn._xlws.FILTER(raw[yr], raw[city]=citySeq3[[#This Row],[city]])))</f>
        <v/>
      </c>
      <c r="AY55" s="1603">
        <f>_xlfn.XLOOKUP(citySeq3[[#This Row],[city]],cities[city],cities[stay])</f>
        <v/>
      </c>
      <c r="AZ55" s="1666" t="n"/>
      <c r="BA55" s="1612" t="n"/>
      <c r="BB55" s="1612" t="n"/>
      <c r="BC55" s="1612" t="n"/>
      <c r="BD55" s="1612" t="n"/>
      <c r="BE55" s="1612" t="n"/>
      <c r="BF55" s="1612" t="n"/>
      <c r="BG55" s="1612" t="n"/>
      <c r="BH55" s="1612" t="n"/>
      <c r="BI55" s="1612" t="n"/>
      <c r="BJ55" s="1612" t="n"/>
      <c r="BK55" s="1612" t="n"/>
      <c r="BL55" s="1612" t="n"/>
      <c r="BM55" s="1612" t="n"/>
      <c r="BN55" s="1612" t="n"/>
      <c r="BO55" s="1612" t="n"/>
      <c r="BP55" s="1612" t="n"/>
      <c r="BQ55" s="1612" t="n"/>
      <c r="BR55" s="1612" t="n"/>
      <c r="BS55" s="1612" t="n"/>
      <c r="BT55" s="1612" t="n"/>
      <c r="BU55" s="1612" t="n"/>
      <c r="BV55" s="1612" t="n"/>
      <c r="BW55" s="1612" t="n"/>
      <c r="BX55" s="1612" t="n"/>
      <c r="BY55" s="1612" t="n"/>
      <c r="BZ55" s="1612" t="n"/>
      <c r="CA55" s="1612" t="n"/>
      <c r="CB55" s="1612" t="n"/>
      <c r="CC55" s="1612" t="n"/>
      <c r="CD55" s="1612" t="n"/>
      <c r="CE55" s="1612" t="n"/>
      <c r="CF55" s="1612" t="n"/>
    </row>
    <row r="56" ht="14" customHeight="1">
      <c r="A56" s="1693" t="n"/>
      <c r="B56" s="1677" t="n"/>
      <c r="C56" s="1652">
        <f>INT(SUM(H56:AO56))</f>
        <v/>
      </c>
      <c r="D56" s="1677" t="n"/>
      <c r="E56" s="1677" t="n"/>
      <c r="F56" s="1677" t="n"/>
      <c r="G56" s="1694" t="inlineStr">
        <is>
          <t>SP</t>
        </is>
      </c>
      <c r="H56" s="1649">
        <f>SUMIFS(raw[stay],raw[prov],brProv[[#This Row],[prov]],raw[yr],H$51)</f>
        <v/>
      </c>
      <c r="I56" s="1649">
        <f>SUMIFS(raw[stay],raw[prov],brProv[[#This Row],[prov]],raw[yr],I$51)</f>
        <v/>
      </c>
      <c r="J56" s="1649">
        <f>SUMIFS(raw[stay],raw[prov],brProv[[#This Row],[prov]],raw[yr],J$51)</f>
        <v/>
      </c>
      <c r="K56" s="1649">
        <f>SUMIFS(raw[stay],raw[prov],brProv[[#This Row],[prov]],raw[yr],K$51)</f>
        <v/>
      </c>
      <c r="L56" s="1649">
        <f>SUMIFS(raw[stay],raw[prov],brProv[[#This Row],[prov]],raw[yr],L$51)</f>
        <v/>
      </c>
      <c r="M56" s="1649">
        <f>SUMIFS(raw[stay],raw[prov],brProv[[#This Row],[prov]],raw[yr],M$51)</f>
        <v/>
      </c>
      <c r="N56" s="1649">
        <f>SUMIFS(raw[stay],raw[prov],brProv[[#This Row],[prov]],raw[yr],N$51)</f>
        <v/>
      </c>
      <c r="O56" s="1649">
        <f>SUMIFS(raw[stay],raw[prov],brProv[[#This Row],[prov]],raw[yr],O$51)</f>
        <v/>
      </c>
      <c r="P56" s="1649">
        <f>SUMIFS(raw[stay],raw[prov],brProv[[#This Row],[prov]],raw[yr],P$51)</f>
        <v/>
      </c>
      <c r="Q56" s="1649">
        <f>SUMIFS(raw[stay],raw[prov],brProv[[#This Row],[prov]],raw[yr],Q$51)</f>
        <v/>
      </c>
      <c r="R56" s="1649">
        <f>SUMIFS(raw[stay],raw[prov],brProv[[#This Row],[prov]],raw[yr],R$51)</f>
        <v/>
      </c>
      <c r="S56" s="1649">
        <f>SUMIFS(raw[stay],raw[prov],brProv[[#This Row],[prov]],raw[yr],S$51)</f>
        <v/>
      </c>
      <c r="T56" s="1649">
        <f>SUMIFS(raw[stay],raw[prov],brProv[[#This Row],[prov]],raw[yr],T$51)</f>
        <v/>
      </c>
      <c r="U56" s="1649">
        <f>SUMIFS(raw[stay],raw[prov],brProv[[#This Row],[prov]],raw[yr],U$51)</f>
        <v/>
      </c>
      <c r="V56" s="1649">
        <f>SUMIFS(raw[stay],raw[prov],brProv[[#This Row],[prov]],raw[yr],V$51)</f>
        <v/>
      </c>
      <c r="W56" s="1649">
        <f>SUMIFS(raw[stay],raw[prov],brProv[[#This Row],[prov]],raw[yr],W$51)</f>
        <v/>
      </c>
      <c r="X56" s="1649">
        <f>SUMIFS(raw[stay],raw[prov],brProv[[#This Row],[prov]],raw[yr],X$51)</f>
        <v/>
      </c>
      <c r="Y56" s="1649">
        <f>SUMIFS(raw[stay],raw[prov],brProv[[#This Row],[prov]],raw[yr],Y$51)</f>
        <v/>
      </c>
      <c r="Z56" s="1649">
        <f>SUMIFS(raw[stay],raw[prov],brProv[[#This Row],[prov]],raw[yr],Z$51)</f>
        <v/>
      </c>
      <c r="AA56" s="1649">
        <f>SUMIFS(raw[stay],raw[prov],brProv[[#This Row],[prov]],raw[yr],AA$51)</f>
        <v/>
      </c>
      <c r="AB56" s="1649">
        <f>SUMIFS(raw[stay],raw[prov],brProv[[#This Row],[prov]],raw[yr],AB$51)</f>
        <v/>
      </c>
      <c r="AC56" s="1649">
        <f>SUMIFS(raw[stay],raw[prov],brProv[[#This Row],[prov]],raw[yr],AC$51)</f>
        <v/>
      </c>
      <c r="AD56" s="1649">
        <f>SUMIFS(raw[stay],raw[prov],brProv[[#This Row],[prov]],raw[yr],AD$51)</f>
        <v/>
      </c>
      <c r="AE56" s="1649">
        <f>SUMIFS(raw[stay],raw[prov],brProv[[#This Row],[prov]],raw[yr],AE$51)</f>
        <v/>
      </c>
      <c r="AF56" s="1649">
        <f>SUMIFS(raw[stay],raw[prov],brProv[[#This Row],[prov]],raw[yr],AF$51)</f>
        <v/>
      </c>
      <c r="AG56" s="1649">
        <f>SUMIFS(raw[stay],raw[prov],brProv[[#This Row],[prov]],raw[yr],AG$51)</f>
        <v/>
      </c>
      <c r="AH56" s="1649">
        <f>SUMIFS(raw[stay],raw[prov],brProv[[#This Row],[prov]],raw[yr],AH$51)</f>
        <v/>
      </c>
      <c r="AI56" s="1649">
        <f>SUMIFS(raw[stay],raw[prov],brProv[[#This Row],[prov]],raw[yr],AI$51)</f>
        <v/>
      </c>
      <c r="AJ56" s="1649">
        <f>SUMIFS(raw[stay],raw[prov],brProv[[#This Row],[prov]],raw[yr],AJ$51)</f>
        <v/>
      </c>
      <c r="AK56" s="1649">
        <f>SUMIFS(raw[stay],raw[prov],brProv[[#This Row],[prov]],raw[yr],AK$51)</f>
        <v/>
      </c>
      <c r="AL56" s="1649">
        <f>SUMIFS(raw[stay],raw[prov],brProv[[#This Row],[prov]],raw[yr],AL$51)</f>
        <v/>
      </c>
      <c r="AM56" s="1649">
        <f>SUMIFS(raw[stay],raw[prov],brProv[[#This Row],[prov]],raw[yr],AM$51)</f>
        <v/>
      </c>
      <c r="AN56" s="1695">
        <f>SUMIFS(raw[stay],raw[prov],brProv[[#This Row],[prov]],raw[yr],AN$51)</f>
        <v/>
      </c>
      <c r="AO56" s="1597" t="inlineStr">
        <is>
          <t>.</t>
        </is>
      </c>
      <c r="AP56" s="1597">
        <f>AP55+1</f>
        <v/>
      </c>
      <c r="AQ56" s="1636">
        <f>'@Refr'!O12</f>
        <v/>
      </c>
      <c r="AR56" s="1598">
        <f>_xlfn.XLOOKUP(citySeq3[[#This Row],[city]],ccc[city],ccc[ctry],"-")</f>
        <v/>
      </c>
      <c r="AS56" s="1604">
        <f>_xlfn.MINIFS(stayCity[in], stayCity[city], citySeq3[[#This Row],[city]])</f>
        <v/>
      </c>
      <c r="AT56" s="1637">
        <f>_xlfn.MAXIFS(stayCity[out], stayCity[city], citySeq3[[#This Row],[city]])</f>
        <v/>
      </c>
      <c r="AU56" s="1638">
        <f>_xlfn.XLOOKUP(citySeq3[[#This Row],[seq]],stayCity[stay],stayCity[in],"-")</f>
        <v/>
      </c>
      <c r="AV56" s="1638">
        <f>_xlfn.XLOOKUP(citySeq3[[#This Row],[seq]],stayCity[stay],stayCity[out],"-")</f>
        <v/>
      </c>
      <c r="AW56" s="1603">
        <f t="array" ref="AW56">MAX(IF(stayCity[city]=citySeq3[[#This Row],[city]],stayCity[stay]))</f>
        <v/>
      </c>
      <c r="AX56" s="1603">
        <f t="array" ref="AX56">ROWS(_xlfn.UNIQUE(_xlfn._xlws.FILTER(raw[yr], raw[city]=citySeq3[[#This Row],[city]])))</f>
        <v/>
      </c>
      <c r="AY56" s="1603">
        <f>_xlfn.XLOOKUP(citySeq3[[#This Row],[city]],cities[city],cities[stay])</f>
        <v/>
      </c>
      <c r="AZ56" s="1666" t="n"/>
      <c r="BA56" s="1612" t="n"/>
      <c r="BB56" s="1612" t="n"/>
      <c r="BC56" s="1612" t="n"/>
      <c r="BD56" s="1612" t="n"/>
      <c r="BE56" s="1612" t="n"/>
      <c r="BF56" s="1612" t="n"/>
      <c r="BG56" s="1612" t="n"/>
      <c r="BH56" s="1612" t="n"/>
      <c r="BI56" s="1612" t="n"/>
      <c r="BJ56" s="1612" t="n"/>
      <c r="BK56" s="1612" t="n"/>
      <c r="BL56" s="1612" t="n"/>
      <c r="BM56" s="1612" t="n"/>
      <c r="BN56" s="1612" t="n"/>
      <c r="BO56" s="1612" t="n"/>
      <c r="BP56" s="1612" t="n"/>
      <c r="BQ56" s="1612" t="n"/>
      <c r="BR56" s="1612" t="n"/>
      <c r="BS56" s="1612" t="n"/>
      <c r="BT56" s="1612" t="n"/>
      <c r="BU56" s="1612" t="n"/>
      <c r="BV56" s="1612" t="n"/>
      <c r="BW56" s="1612" t="n"/>
      <c r="BX56" s="1612" t="n"/>
      <c r="BY56" s="1612" t="n"/>
      <c r="BZ56" s="1612" t="n"/>
      <c r="CA56" s="1612" t="n"/>
      <c r="CB56" s="1612" t="n"/>
      <c r="CC56" s="1612" t="n"/>
      <c r="CD56" s="1612" t="n"/>
      <c r="CE56" s="1612" t="n"/>
      <c r="CF56" s="1612" t="n"/>
    </row>
    <row r="57" ht="14" customHeight="1">
      <c r="A57" s="1690" t="n"/>
      <c r="B57" s="1673" t="n"/>
      <c r="C57" s="1647">
        <f>INT(SUM(H57:AO57))</f>
        <v/>
      </c>
      <c r="D57" s="1673" t="n"/>
      <c r="E57" s="1673" t="n"/>
      <c r="F57" s="1673" t="n"/>
      <c r="G57" s="1696" t="inlineStr">
        <is>
          <t>RJ</t>
        </is>
      </c>
      <c r="H57" s="1649">
        <f>SUMIFS(raw[stay],raw[prov],brProv[[#This Row],[prov]],raw[yr],H$51)</f>
        <v/>
      </c>
      <c r="I57" s="1649">
        <f>SUMIFS(raw[stay],raw[prov],brProv[[#This Row],[prov]],raw[yr],I$51)</f>
        <v/>
      </c>
      <c r="J57" s="1649">
        <f>SUMIFS(raw[stay],raw[prov],brProv[[#This Row],[prov]],raw[yr],J$51)</f>
        <v/>
      </c>
      <c r="K57" s="1649">
        <f>SUMIFS(raw[stay],raw[prov],brProv[[#This Row],[prov]],raw[yr],K$51)</f>
        <v/>
      </c>
      <c r="L57" s="1649">
        <f>SUMIFS(raw[stay],raw[prov],brProv[[#This Row],[prov]],raw[yr],L$51)</f>
        <v/>
      </c>
      <c r="M57" s="1649">
        <f>SUMIFS(raw[stay],raw[prov],brProv[[#This Row],[prov]],raw[yr],M$51)</f>
        <v/>
      </c>
      <c r="N57" s="1649">
        <f>SUMIFS(raw[stay],raw[prov],brProv[[#This Row],[prov]],raw[yr],N$51)</f>
        <v/>
      </c>
      <c r="O57" s="1649">
        <f>SUMIFS(raw[stay],raw[prov],brProv[[#This Row],[prov]],raw[yr],O$51)</f>
        <v/>
      </c>
      <c r="P57" s="1649">
        <f>SUMIFS(raw[stay],raw[prov],brProv[[#This Row],[prov]],raw[yr],P$51)</f>
        <v/>
      </c>
      <c r="Q57" s="1649">
        <f>SUMIFS(raw[stay],raw[prov],brProv[[#This Row],[prov]],raw[yr],Q$51)</f>
        <v/>
      </c>
      <c r="R57" s="1649">
        <f>SUMIFS(raw[stay],raw[prov],brProv[[#This Row],[prov]],raw[yr],R$51)</f>
        <v/>
      </c>
      <c r="S57" s="1649">
        <f>SUMIFS(raw[stay],raw[prov],brProv[[#This Row],[prov]],raw[yr],S$51)</f>
        <v/>
      </c>
      <c r="T57" s="1649">
        <f>SUMIFS(raw[stay],raw[prov],brProv[[#This Row],[prov]],raw[yr],T$51)</f>
        <v/>
      </c>
      <c r="U57" s="1649">
        <f>SUMIFS(raw[stay],raw[prov],brProv[[#This Row],[prov]],raw[yr],U$51)</f>
        <v/>
      </c>
      <c r="V57" s="1649">
        <f>SUMIFS(raw[stay],raw[prov],brProv[[#This Row],[prov]],raw[yr],V$51)</f>
        <v/>
      </c>
      <c r="W57" s="1649">
        <f>SUMIFS(raw[stay],raw[prov],brProv[[#This Row],[prov]],raw[yr],W$51)</f>
        <v/>
      </c>
      <c r="X57" s="1649">
        <f>SUMIFS(raw[stay],raw[prov],brProv[[#This Row],[prov]],raw[yr],X$51)</f>
        <v/>
      </c>
      <c r="Y57" s="1649">
        <f>SUMIFS(raw[stay],raw[prov],brProv[[#This Row],[prov]],raw[yr],Y$51)</f>
        <v/>
      </c>
      <c r="Z57" s="1649">
        <f>SUMIFS(raw[stay],raw[prov],brProv[[#This Row],[prov]],raw[yr],Z$51)</f>
        <v/>
      </c>
      <c r="AA57" s="1649">
        <f>SUMIFS(raw[stay],raw[prov],brProv[[#This Row],[prov]],raw[yr],AA$51)</f>
        <v/>
      </c>
      <c r="AB57" s="1649">
        <f>SUMIFS(raw[stay],raw[prov],brProv[[#This Row],[prov]],raw[yr],AB$51)</f>
        <v/>
      </c>
      <c r="AC57" s="1649">
        <f>SUMIFS(raw[stay],raw[prov],brProv[[#This Row],[prov]],raw[yr],AC$51)</f>
        <v/>
      </c>
      <c r="AD57" s="1649">
        <f>SUMIFS(raw[stay],raw[prov],brProv[[#This Row],[prov]],raw[yr],AD$51)</f>
        <v/>
      </c>
      <c r="AE57" s="1649">
        <f>SUMIFS(raw[stay],raw[prov],brProv[[#This Row],[prov]],raw[yr],AE$51)</f>
        <v/>
      </c>
      <c r="AF57" s="1649">
        <f>SUMIFS(raw[stay],raw[prov],brProv[[#This Row],[prov]],raw[yr],AF$51)</f>
        <v/>
      </c>
      <c r="AG57" s="1649">
        <f>SUMIFS(raw[stay],raw[prov],brProv[[#This Row],[prov]],raw[yr],AG$51)</f>
        <v/>
      </c>
      <c r="AH57" s="1649">
        <f>SUMIFS(raw[stay],raw[prov],brProv[[#This Row],[prov]],raw[yr],AH$51)</f>
        <v/>
      </c>
      <c r="AI57" s="1649">
        <f>SUMIFS(raw[stay],raw[prov],brProv[[#This Row],[prov]],raw[yr],AI$51)</f>
        <v/>
      </c>
      <c r="AJ57" s="1649">
        <f>SUMIFS(raw[stay],raw[prov],brProv[[#This Row],[prov]],raw[yr],AJ$51)</f>
        <v/>
      </c>
      <c r="AK57" s="1649">
        <f>SUMIFS(raw[stay],raw[prov],brProv[[#This Row],[prov]],raw[yr],AK$51)</f>
        <v/>
      </c>
      <c r="AL57" s="1649">
        <f>SUMIFS(raw[stay],raw[prov],brProv[[#This Row],[prov]],raw[yr],AL$51)</f>
        <v/>
      </c>
      <c r="AM57" s="1649">
        <f>SUMIFS(raw[stay],raw[prov],brProv[[#This Row],[prov]],raw[yr],AM$51)</f>
        <v/>
      </c>
      <c r="AN57" s="1695">
        <f>SUMIFS(raw[stay],raw[prov],brProv[[#This Row],[prov]],raw[yr],AN$51)</f>
        <v/>
      </c>
      <c r="AO57" s="1597" t="inlineStr">
        <is>
          <t>.</t>
        </is>
      </c>
      <c r="AP57" s="1597">
        <f>AP56+1</f>
        <v/>
      </c>
      <c r="AQ57" s="1636">
        <f>'@Refr'!O13</f>
        <v/>
      </c>
      <c r="AR57" s="1598">
        <f>_xlfn.XLOOKUP(citySeq3[[#This Row],[city]],ccc[city],ccc[ctry],"-")</f>
        <v/>
      </c>
      <c r="AS57" s="1604">
        <f>_xlfn.MINIFS(stayCity[in], stayCity[city], citySeq3[[#This Row],[city]])</f>
        <v/>
      </c>
      <c r="AT57" s="1637">
        <f>_xlfn.MAXIFS(stayCity[out], stayCity[city], citySeq3[[#This Row],[city]])</f>
        <v/>
      </c>
      <c r="AU57" s="1638">
        <f>_xlfn.XLOOKUP(citySeq3[[#This Row],[seq]],stayCity[stay],stayCity[in],"-")</f>
        <v/>
      </c>
      <c r="AV57" s="1638">
        <f>_xlfn.XLOOKUP(citySeq3[[#This Row],[seq]],stayCity[stay],stayCity[out],"-")</f>
        <v/>
      </c>
      <c r="AW57" s="1603">
        <f t="array" ref="AW57">MAX(IF(stayCity[city]=citySeq3[[#This Row],[city]],stayCity[stay]))</f>
        <v/>
      </c>
      <c r="AX57" s="1603">
        <f t="array" ref="AX57">ROWS(_xlfn.UNIQUE(_xlfn._xlws.FILTER(raw[yr], raw[city]=citySeq3[[#This Row],[city]])))</f>
        <v/>
      </c>
      <c r="AY57" s="1603">
        <f>_xlfn.XLOOKUP(citySeq3[[#This Row],[city]],cities[city],cities[stay])</f>
        <v/>
      </c>
      <c r="AZ57" s="1666" t="n"/>
      <c r="BA57" s="1612" t="n"/>
      <c r="BB57" s="1612" t="n"/>
      <c r="BC57" s="1612" t="n"/>
      <c r="BD57" s="1612" t="n"/>
      <c r="BE57" s="1612" t="n"/>
      <c r="BF57" s="1612" t="n"/>
      <c r="BG57" s="1612" t="n"/>
      <c r="BH57" s="1612" t="n"/>
      <c r="BI57" s="1612" t="n"/>
      <c r="BJ57" s="1612" t="n"/>
      <c r="BK57" s="1612" t="n"/>
      <c r="BL57" s="1612" t="n"/>
      <c r="BM57" s="1612" t="n"/>
      <c r="BN57" s="1612" t="n"/>
      <c r="BO57" s="1612" t="n"/>
      <c r="BP57" s="1612" t="n"/>
      <c r="BQ57" s="1612" t="n"/>
      <c r="BR57" s="1612" t="n"/>
      <c r="BS57" s="1612" t="n"/>
      <c r="BT57" s="1612" t="n"/>
      <c r="BU57" s="1612" t="n"/>
      <c r="BV57" s="1612" t="n"/>
      <c r="BW57" s="1612" t="n"/>
      <c r="BX57" s="1612" t="n"/>
      <c r="BY57" s="1612" t="n"/>
      <c r="BZ57" s="1612" t="n"/>
      <c r="CA57" s="1612" t="n"/>
      <c r="CB57" s="1612" t="n"/>
      <c r="CC57" s="1612" t="n"/>
      <c r="CD57" s="1612" t="n"/>
      <c r="CE57" s="1612" t="n"/>
      <c r="CF57" s="1612" t="n"/>
    </row>
    <row r="58" ht="14" customHeight="1">
      <c r="A58" s="1697" t="n"/>
      <c r="B58" s="1677" t="n"/>
      <c r="C58" s="1652">
        <f>INT(SUM(H58:AO58))</f>
        <v/>
      </c>
      <c r="D58" s="1677" t="n"/>
      <c r="E58" s="1677" t="n"/>
      <c r="F58" s="1677" t="n"/>
      <c r="G58" s="1698" t="inlineStr">
        <is>
          <t>SE</t>
        </is>
      </c>
      <c r="H58" s="1649">
        <f>SUMIFS(raw[stay],raw[prov],brProv[[#This Row],[prov]],raw[yr],H$51)</f>
        <v/>
      </c>
      <c r="I58" s="1649">
        <f>SUMIFS(raw[stay],raw[prov],brProv[[#This Row],[prov]],raw[yr],I$51)</f>
        <v/>
      </c>
      <c r="J58" s="1649">
        <f>SUMIFS(raw[stay],raw[prov],brProv[[#This Row],[prov]],raw[yr],J$51)</f>
        <v/>
      </c>
      <c r="K58" s="1649">
        <f>SUMIFS(raw[stay],raw[prov],brProv[[#This Row],[prov]],raw[yr],K$51)</f>
        <v/>
      </c>
      <c r="L58" s="1649">
        <f>SUMIFS(raw[stay],raw[prov],brProv[[#This Row],[prov]],raw[yr],L$51)</f>
        <v/>
      </c>
      <c r="M58" s="1649">
        <f>SUMIFS(raw[stay],raw[prov],brProv[[#This Row],[prov]],raw[yr],M$51)</f>
        <v/>
      </c>
      <c r="N58" s="1649">
        <f>SUMIFS(raw[stay],raw[prov],brProv[[#This Row],[prov]],raw[yr],N$51)</f>
        <v/>
      </c>
      <c r="O58" s="1649">
        <f>SUMIFS(raw[stay],raw[prov],brProv[[#This Row],[prov]],raw[yr],O$51)</f>
        <v/>
      </c>
      <c r="P58" s="1649">
        <f>SUMIFS(raw[stay],raw[prov],brProv[[#This Row],[prov]],raw[yr],P$51)</f>
        <v/>
      </c>
      <c r="Q58" s="1649">
        <f>SUMIFS(raw[stay],raw[prov],brProv[[#This Row],[prov]],raw[yr],Q$51)</f>
        <v/>
      </c>
      <c r="R58" s="1649">
        <f>SUMIFS(raw[stay],raw[prov],brProv[[#This Row],[prov]],raw[yr],R$51)</f>
        <v/>
      </c>
      <c r="S58" s="1649">
        <f>SUMIFS(raw[stay],raw[prov],brProv[[#This Row],[prov]],raw[yr],S$51)</f>
        <v/>
      </c>
      <c r="T58" s="1649">
        <f>SUMIFS(raw[stay],raw[prov],brProv[[#This Row],[prov]],raw[yr],T$51)</f>
        <v/>
      </c>
      <c r="U58" s="1649">
        <f>SUMIFS(raw[stay],raw[prov],brProv[[#This Row],[prov]],raw[yr],U$51)</f>
        <v/>
      </c>
      <c r="V58" s="1649">
        <f>SUMIFS(raw[stay],raw[prov],brProv[[#This Row],[prov]],raw[yr],V$51)</f>
        <v/>
      </c>
      <c r="W58" s="1649">
        <f>SUMIFS(raw[stay],raw[prov],brProv[[#This Row],[prov]],raw[yr],W$51)</f>
        <v/>
      </c>
      <c r="X58" s="1649">
        <f>SUMIFS(raw[stay],raw[prov],brProv[[#This Row],[prov]],raw[yr],X$51)</f>
        <v/>
      </c>
      <c r="Y58" s="1649">
        <f>SUMIFS(raw[stay],raw[prov],brProv[[#This Row],[prov]],raw[yr],Y$51)</f>
        <v/>
      </c>
      <c r="Z58" s="1649">
        <f>SUMIFS(raw[stay],raw[prov],brProv[[#This Row],[prov]],raw[yr],Z$51)</f>
        <v/>
      </c>
      <c r="AA58" s="1649">
        <f>SUMIFS(raw[stay],raw[prov],brProv[[#This Row],[prov]],raw[yr],AA$51)</f>
        <v/>
      </c>
      <c r="AB58" s="1649">
        <f>SUMIFS(raw[stay],raw[prov],brProv[[#This Row],[prov]],raw[yr],AB$51)</f>
        <v/>
      </c>
      <c r="AC58" s="1649">
        <f>SUMIFS(raw[stay],raw[prov],brProv[[#This Row],[prov]],raw[yr],AC$51)</f>
        <v/>
      </c>
      <c r="AD58" s="1649">
        <f>SUMIFS(raw[stay],raw[prov],brProv[[#This Row],[prov]],raw[yr],AD$51)</f>
        <v/>
      </c>
      <c r="AE58" s="1649">
        <f>SUMIFS(raw[stay],raw[prov],brProv[[#This Row],[prov]],raw[yr],AE$51)</f>
        <v/>
      </c>
      <c r="AF58" s="1649">
        <f>SUMIFS(raw[stay],raw[prov],brProv[[#This Row],[prov]],raw[yr],AF$51)</f>
        <v/>
      </c>
      <c r="AG58" s="1649">
        <f>SUMIFS(raw[stay],raw[prov],brProv[[#This Row],[prov]],raw[yr],AG$51)</f>
        <v/>
      </c>
      <c r="AH58" s="1649">
        <f>SUMIFS(raw[stay],raw[prov],brProv[[#This Row],[prov]],raw[yr],AH$51)</f>
        <v/>
      </c>
      <c r="AI58" s="1649">
        <f>SUMIFS(raw[stay],raw[prov],brProv[[#This Row],[prov]],raw[yr],AI$51)</f>
        <v/>
      </c>
      <c r="AJ58" s="1649">
        <f>SUMIFS(raw[stay],raw[prov],brProv[[#This Row],[prov]],raw[yr],AJ$51)</f>
        <v/>
      </c>
      <c r="AK58" s="1649">
        <f>SUMIFS(raw[stay],raw[prov],brProv[[#This Row],[prov]],raw[yr],AK$51)</f>
        <v/>
      </c>
      <c r="AL58" s="1649">
        <f>SUMIFS(raw[stay],raw[prov],brProv[[#This Row],[prov]],raw[yr],AL$51)</f>
        <v/>
      </c>
      <c r="AM58" s="1649">
        <f>SUMIFS(raw[stay],raw[prov],brProv[[#This Row],[prov]],raw[yr],AM$51)</f>
        <v/>
      </c>
      <c r="AN58" s="1695">
        <f>SUMIFS(raw[stay],raw[prov],brProv[[#This Row],[prov]],raw[yr],AN$51)</f>
        <v/>
      </c>
      <c r="AO58" s="1597" t="inlineStr">
        <is>
          <t>.</t>
        </is>
      </c>
      <c r="AP58" s="1597">
        <f>AP57+1</f>
        <v/>
      </c>
      <c r="AQ58" s="1636">
        <f>'@Refr'!O14</f>
        <v/>
      </c>
      <c r="AR58" s="1598">
        <f>_xlfn.XLOOKUP(citySeq3[[#This Row],[city]],ccc[city],ccc[ctry],"-")</f>
        <v/>
      </c>
      <c r="AS58" s="1604">
        <f>_xlfn.MINIFS(stayCity[in], stayCity[city], citySeq3[[#This Row],[city]])</f>
        <v/>
      </c>
      <c r="AT58" s="1637">
        <f>_xlfn.MAXIFS(stayCity[out], stayCity[city], citySeq3[[#This Row],[city]])</f>
        <v/>
      </c>
      <c r="AU58" s="1638">
        <f>_xlfn.XLOOKUP(citySeq3[[#This Row],[seq]],stayCity[stay],stayCity[in],"-")</f>
        <v/>
      </c>
      <c r="AV58" s="1638">
        <f>_xlfn.XLOOKUP(citySeq3[[#This Row],[seq]],stayCity[stay],stayCity[out],"-")</f>
        <v/>
      </c>
      <c r="AW58" s="1603">
        <f t="array" ref="AW58">MAX(IF(stayCity[city]=citySeq3[[#This Row],[city]],stayCity[stay]))</f>
        <v/>
      </c>
      <c r="AX58" s="1603">
        <f t="array" ref="AX58">ROWS(_xlfn.UNIQUE(_xlfn._xlws.FILTER(raw[yr], raw[city]=citySeq3[[#This Row],[city]])))</f>
        <v/>
      </c>
      <c r="AY58" s="1603">
        <f>_xlfn.XLOOKUP(citySeq3[[#This Row],[city]],cities[city],cities[stay])</f>
        <v/>
      </c>
      <c r="AZ58" s="1666" t="n"/>
      <c r="BA58" s="1612" t="n"/>
      <c r="BB58" s="1612" t="n"/>
      <c r="BC58" s="1612" t="n"/>
      <c r="BD58" s="1612" t="n"/>
      <c r="BE58" s="1612" t="n"/>
      <c r="BF58" s="1612" t="n"/>
      <c r="BG58" s="1612" t="n"/>
      <c r="BH58" s="1612" t="n"/>
      <c r="BI58" s="1612" t="n"/>
      <c r="BJ58" s="1612" t="n"/>
      <c r="BK58" s="1612" t="n"/>
      <c r="BL58" s="1612" t="n"/>
      <c r="BM58" s="1612" t="n"/>
      <c r="BN58" s="1612" t="n"/>
      <c r="BO58" s="1612" t="n"/>
      <c r="BP58" s="1612" t="n"/>
      <c r="BQ58" s="1612" t="n"/>
      <c r="BR58" s="1612" t="n"/>
      <c r="BS58" s="1612" t="n"/>
      <c r="BT58" s="1612" t="n"/>
      <c r="BU58" s="1612" t="n"/>
      <c r="BV58" s="1612" t="n"/>
      <c r="BW58" s="1612" t="n"/>
      <c r="BX58" s="1612" t="n"/>
      <c r="BY58" s="1612" t="n"/>
      <c r="BZ58" s="1612" t="n"/>
      <c r="CA58" s="1612" t="n"/>
      <c r="CB58" s="1612" t="n"/>
      <c r="CC58" s="1612" t="n"/>
      <c r="CD58" s="1612" t="n"/>
      <c r="CE58" s="1612" t="n"/>
      <c r="CF58" s="1612" t="n"/>
    </row>
    <row r="59" ht="14" customHeight="1">
      <c r="A59" s="1690" t="n"/>
      <c r="B59" s="1673" t="n"/>
      <c r="C59" s="1647">
        <f>INT(SUM(H59:AO59))</f>
        <v/>
      </c>
      <c r="D59" s="1673" t="n"/>
      <c r="E59" s="1673" t="n"/>
      <c r="F59" s="1673" t="n"/>
      <c r="G59" s="1699" t="inlineStr">
        <is>
          <t>RN</t>
        </is>
      </c>
      <c r="H59" s="1649">
        <f>SUMIFS(raw[stay],raw[prov],brProv[[#This Row],[prov]],raw[yr],H$51)</f>
        <v/>
      </c>
      <c r="I59" s="1649">
        <f>SUMIFS(raw[stay],raw[prov],brProv[[#This Row],[prov]],raw[yr],I$51)</f>
        <v/>
      </c>
      <c r="J59" s="1649">
        <f>SUMIFS(raw[stay],raw[prov],brProv[[#This Row],[prov]],raw[yr],J$51)</f>
        <v/>
      </c>
      <c r="K59" s="1649">
        <f>SUMIFS(raw[stay],raw[prov],brProv[[#This Row],[prov]],raw[yr],K$51)</f>
        <v/>
      </c>
      <c r="L59" s="1649">
        <f>SUMIFS(raw[stay],raw[prov],brProv[[#This Row],[prov]],raw[yr],L$51)</f>
        <v/>
      </c>
      <c r="M59" s="1649">
        <f>SUMIFS(raw[stay],raw[prov],brProv[[#This Row],[prov]],raw[yr],M$51)</f>
        <v/>
      </c>
      <c r="N59" s="1649">
        <f>SUMIFS(raw[stay],raw[prov],brProv[[#This Row],[prov]],raw[yr],N$51)</f>
        <v/>
      </c>
      <c r="O59" s="1649">
        <f>SUMIFS(raw[stay],raw[prov],brProv[[#This Row],[prov]],raw[yr],O$51)</f>
        <v/>
      </c>
      <c r="P59" s="1649">
        <f>SUMIFS(raw[stay],raw[prov],brProv[[#This Row],[prov]],raw[yr],P$51)</f>
        <v/>
      </c>
      <c r="Q59" s="1649">
        <f>SUMIFS(raw[stay],raw[prov],brProv[[#This Row],[prov]],raw[yr],Q$51)</f>
        <v/>
      </c>
      <c r="R59" s="1649">
        <f>SUMIFS(raw[stay],raw[prov],brProv[[#This Row],[prov]],raw[yr],R$51)</f>
        <v/>
      </c>
      <c r="S59" s="1649">
        <f>SUMIFS(raw[stay],raw[prov],brProv[[#This Row],[prov]],raw[yr],S$51)</f>
        <v/>
      </c>
      <c r="T59" s="1649">
        <f>SUMIFS(raw[stay],raw[prov],brProv[[#This Row],[prov]],raw[yr],T$51)</f>
        <v/>
      </c>
      <c r="U59" s="1649">
        <f>SUMIFS(raw[stay],raw[prov],brProv[[#This Row],[prov]],raw[yr],U$51)</f>
        <v/>
      </c>
      <c r="V59" s="1649">
        <f>SUMIFS(raw[stay],raw[prov],brProv[[#This Row],[prov]],raw[yr],V$51)</f>
        <v/>
      </c>
      <c r="W59" s="1649">
        <f>SUMIFS(raw[stay],raw[prov],brProv[[#This Row],[prov]],raw[yr],W$51)</f>
        <v/>
      </c>
      <c r="X59" s="1649">
        <f>SUMIFS(raw[stay],raw[prov],brProv[[#This Row],[prov]],raw[yr],X$51)</f>
        <v/>
      </c>
      <c r="Y59" s="1649">
        <f>SUMIFS(raw[stay],raw[prov],brProv[[#This Row],[prov]],raw[yr],Y$51)</f>
        <v/>
      </c>
      <c r="Z59" s="1649">
        <f>SUMIFS(raw[stay],raw[prov],brProv[[#This Row],[prov]],raw[yr],Z$51)</f>
        <v/>
      </c>
      <c r="AA59" s="1649">
        <f>SUMIFS(raw[stay],raw[prov],brProv[[#This Row],[prov]],raw[yr],AA$51)</f>
        <v/>
      </c>
      <c r="AB59" s="1649">
        <f>SUMIFS(raw[stay],raw[prov],brProv[[#This Row],[prov]],raw[yr],AB$51)</f>
        <v/>
      </c>
      <c r="AC59" s="1649">
        <f>SUMIFS(raw[stay],raw[prov],brProv[[#This Row],[prov]],raw[yr],AC$51)</f>
        <v/>
      </c>
      <c r="AD59" s="1649">
        <f>SUMIFS(raw[stay],raw[prov],brProv[[#This Row],[prov]],raw[yr],AD$51)</f>
        <v/>
      </c>
      <c r="AE59" s="1649">
        <f>SUMIFS(raw[stay],raw[prov],brProv[[#This Row],[prov]],raw[yr],AE$51)</f>
        <v/>
      </c>
      <c r="AF59" s="1649">
        <f>SUMIFS(raw[stay],raw[prov],brProv[[#This Row],[prov]],raw[yr],AF$51)</f>
        <v/>
      </c>
      <c r="AG59" s="1649">
        <f>SUMIFS(raw[stay],raw[prov],brProv[[#This Row],[prov]],raw[yr],AG$51)</f>
        <v/>
      </c>
      <c r="AH59" s="1649">
        <f>SUMIFS(raw[stay],raw[prov],brProv[[#This Row],[prov]],raw[yr],AH$51)</f>
        <v/>
      </c>
      <c r="AI59" s="1649">
        <f>SUMIFS(raw[stay],raw[prov],brProv[[#This Row],[prov]],raw[yr],AI$51)</f>
        <v/>
      </c>
      <c r="AJ59" s="1649">
        <f>SUMIFS(raw[stay],raw[prov],brProv[[#This Row],[prov]],raw[yr],AJ$51)</f>
        <v/>
      </c>
      <c r="AK59" s="1649">
        <f>SUMIFS(raw[stay],raw[prov],brProv[[#This Row],[prov]],raw[yr],AK$51)</f>
        <v/>
      </c>
      <c r="AL59" s="1649">
        <f>SUMIFS(raw[stay],raw[prov],brProv[[#This Row],[prov]],raw[yr],AL$51)</f>
        <v/>
      </c>
      <c r="AM59" s="1649">
        <f>SUMIFS(raw[stay],raw[prov],brProv[[#This Row],[prov]],raw[yr],AM$51)</f>
        <v/>
      </c>
      <c r="AN59" s="1695">
        <f>SUMIFS(raw[stay],raw[prov],brProv[[#This Row],[prov]],raw[yr],AN$51)</f>
        <v/>
      </c>
      <c r="AO59" s="1597" t="inlineStr">
        <is>
          <t>.</t>
        </is>
      </c>
      <c r="AP59" s="1597">
        <f>AP58+1</f>
        <v/>
      </c>
      <c r="AQ59" s="1636">
        <f>'@Refr'!O15</f>
        <v/>
      </c>
      <c r="AR59" s="1598">
        <f>_xlfn.XLOOKUP(citySeq3[[#This Row],[city]],ccc[city],ccc[ctry],"-")</f>
        <v/>
      </c>
      <c r="AS59" s="1604">
        <f>_xlfn.MINIFS(stayCity[in], stayCity[city], citySeq3[[#This Row],[city]])</f>
        <v/>
      </c>
      <c r="AT59" s="1637">
        <f>_xlfn.MAXIFS(stayCity[out], stayCity[city], citySeq3[[#This Row],[city]])</f>
        <v/>
      </c>
      <c r="AU59" s="1638">
        <f>_xlfn.XLOOKUP(citySeq3[[#This Row],[seq]],stayCity[stay],stayCity[in],"-")</f>
        <v/>
      </c>
      <c r="AV59" s="1638">
        <f>_xlfn.XLOOKUP(citySeq3[[#This Row],[seq]],stayCity[stay],stayCity[out],"-")</f>
        <v/>
      </c>
      <c r="AW59" s="1603">
        <f t="array" ref="AW59">MAX(IF(stayCity[city]=citySeq3[[#This Row],[city]],stayCity[stay]))</f>
        <v/>
      </c>
      <c r="AX59" s="1603">
        <f t="array" ref="AX59">ROWS(_xlfn.UNIQUE(_xlfn._xlws.FILTER(raw[yr], raw[city]=citySeq3[[#This Row],[city]])))</f>
        <v/>
      </c>
      <c r="AY59" s="1603">
        <f>_xlfn.XLOOKUP(citySeq3[[#This Row],[city]],cities[city],cities[stay])</f>
        <v/>
      </c>
      <c r="AZ59" s="1666" t="n"/>
      <c r="BA59" s="1612" t="n"/>
      <c r="BB59" s="1612" t="n"/>
      <c r="BC59" s="1612" t="n"/>
      <c r="BD59" s="1612" t="n"/>
      <c r="BE59" s="1612" t="n"/>
      <c r="BF59" s="1612" t="n"/>
      <c r="BG59" s="1612" t="n"/>
      <c r="BH59" s="1612" t="n"/>
      <c r="BI59" s="1612" t="n"/>
      <c r="BJ59" s="1612" t="n"/>
      <c r="BK59" s="1612" t="n"/>
      <c r="BL59" s="1612" t="n"/>
      <c r="BM59" s="1612" t="n"/>
      <c r="BN59" s="1612" t="n"/>
      <c r="BO59" s="1612" t="n"/>
      <c r="BP59" s="1612" t="n"/>
      <c r="BQ59" s="1612" t="n"/>
      <c r="BR59" s="1612" t="n"/>
      <c r="BS59" s="1612" t="n"/>
      <c r="BT59" s="1612" t="n"/>
      <c r="BU59" s="1612" t="n"/>
      <c r="BV59" s="1612" t="n"/>
      <c r="BW59" s="1612" t="n"/>
      <c r="BX59" s="1612" t="n"/>
      <c r="BY59" s="1612" t="n"/>
      <c r="BZ59" s="1612" t="n"/>
      <c r="CA59" s="1612" t="n"/>
      <c r="CB59" s="1612" t="n"/>
      <c r="CC59" s="1612" t="n"/>
      <c r="CD59" s="1612" t="n"/>
      <c r="CE59" s="1612" t="n"/>
      <c r="CF59" s="1612" t="n"/>
    </row>
    <row r="60" ht="14" customHeight="1">
      <c r="A60" s="1697" t="n"/>
      <c r="B60" s="1677" t="n"/>
      <c r="C60" s="1652">
        <f>INT(SUM(H60:AO60))</f>
        <v/>
      </c>
      <c r="D60" s="1677" t="n"/>
      <c r="E60" s="1677" t="n"/>
      <c r="F60" s="1677" t="n"/>
      <c r="G60" s="1700" t="inlineStr">
        <is>
          <t>MG</t>
        </is>
      </c>
      <c r="H60" s="1701">
        <f>SUMIFS(raw[stay],raw[prov],brProv[[#This Row],[prov]],raw[yr],H$51)</f>
        <v/>
      </c>
      <c r="I60" s="1701">
        <f>SUMIFS(raw[stay],raw[prov],brProv[[#This Row],[prov]],raw[yr],I$51)</f>
        <v/>
      </c>
      <c r="J60" s="1701">
        <f>SUMIFS(raw[stay],raw[prov],brProv[[#This Row],[prov]],raw[yr],J$51)</f>
        <v/>
      </c>
      <c r="K60" s="1701">
        <f>SUMIFS(raw[stay],raw[prov],brProv[[#This Row],[prov]],raw[yr],K$51)</f>
        <v/>
      </c>
      <c r="L60" s="1701">
        <f>SUMIFS(raw[stay],raw[prov],brProv[[#This Row],[prov]],raw[yr],L$51)</f>
        <v/>
      </c>
      <c r="M60" s="1701">
        <f>SUMIFS(raw[stay],raw[prov],brProv[[#This Row],[prov]],raw[yr],M$51)</f>
        <v/>
      </c>
      <c r="N60" s="1701">
        <f>SUMIFS(raw[stay],raw[prov],brProv[[#This Row],[prov]],raw[yr],N$51)</f>
        <v/>
      </c>
      <c r="O60" s="1701">
        <f>SUMIFS(raw[stay],raw[prov],brProv[[#This Row],[prov]],raw[yr],O$51)</f>
        <v/>
      </c>
      <c r="P60" s="1701">
        <f>SUMIFS(raw[stay],raw[prov],brProv[[#This Row],[prov]],raw[yr],P$51)</f>
        <v/>
      </c>
      <c r="Q60" s="1701">
        <f>SUMIFS(raw[stay],raw[prov],brProv[[#This Row],[prov]],raw[yr],Q$51)</f>
        <v/>
      </c>
      <c r="R60" s="1701">
        <f>SUMIFS(raw[stay],raw[prov],brProv[[#This Row],[prov]],raw[yr],R$51)</f>
        <v/>
      </c>
      <c r="S60" s="1701">
        <f>SUMIFS(raw[stay],raw[prov],brProv[[#This Row],[prov]],raw[yr],S$51)</f>
        <v/>
      </c>
      <c r="T60" s="1701">
        <f>SUMIFS(raw[stay],raw[prov],brProv[[#This Row],[prov]],raw[yr],T$51)</f>
        <v/>
      </c>
      <c r="U60" s="1701">
        <f>SUMIFS(raw[stay],raw[prov],brProv[[#This Row],[prov]],raw[yr],U$51)</f>
        <v/>
      </c>
      <c r="V60" s="1701">
        <f>SUMIFS(raw[stay],raw[prov],brProv[[#This Row],[prov]],raw[yr],V$51)</f>
        <v/>
      </c>
      <c r="W60" s="1701">
        <f>SUMIFS(raw[stay],raw[prov],brProv[[#This Row],[prov]],raw[yr],W$51)</f>
        <v/>
      </c>
      <c r="X60" s="1701">
        <f>SUMIFS(raw[stay],raw[prov],brProv[[#This Row],[prov]],raw[yr],X$51)</f>
        <v/>
      </c>
      <c r="Y60" s="1701">
        <f>SUMIFS(raw[stay],raw[prov],brProv[[#This Row],[prov]],raw[yr],Y$51)</f>
        <v/>
      </c>
      <c r="Z60" s="1701">
        <f>SUMIFS(raw[stay],raw[prov],brProv[[#This Row],[prov]],raw[yr],Z$51)</f>
        <v/>
      </c>
      <c r="AA60" s="1701">
        <f>SUMIFS(raw[stay],raw[prov],brProv[[#This Row],[prov]],raw[yr],AA$51)</f>
        <v/>
      </c>
      <c r="AB60" s="1701">
        <f>SUMIFS(raw[stay],raw[prov],brProv[[#This Row],[prov]],raw[yr],AB$51)</f>
        <v/>
      </c>
      <c r="AC60" s="1701">
        <f>SUMIFS(raw[stay],raw[prov],brProv[[#This Row],[prov]],raw[yr],AC$51)</f>
        <v/>
      </c>
      <c r="AD60" s="1701">
        <f>SUMIFS(raw[stay],raw[prov],brProv[[#This Row],[prov]],raw[yr],AD$51)</f>
        <v/>
      </c>
      <c r="AE60" s="1701">
        <f>SUMIFS(raw[stay],raw[prov],brProv[[#This Row],[prov]],raw[yr],AE$51)</f>
        <v/>
      </c>
      <c r="AF60" s="1701">
        <f>SUMIFS(raw[stay],raw[prov],brProv[[#This Row],[prov]],raw[yr],AF$51)</f>
        <v/>
      </c>
      <c r="AG60" s="1701">
        <f>SUMIFS(raw[stay],raw[prov],brProv[[#This Row],[prov]],raw[yr],AG$51)</f>
        <v/>
      </c>
      <c r="AH60" s="1701">
        <f>SUMIFS(raw[stay],raw[prov],brProv[[#This Row],[prov]],raw[yr],AH$51)</f>
        <v/>
      </c>
      <c r="AI60" s="1701">
        <f>SUMIFS(raw[stay],raw[prov],brProv[[#This Row],[prov]],raw[yr],AI$51)</f>
        <v/>
      </c>
      <c r="AJ60" s="1701">
        <f>SUMIFS(raw[stay],raw[prov],brProv[[#This Row],[prov]],raw[yr],AJ$51)</f>
        <v/>
      </c>
      <c r="AK60" s="1701">
        <f>SUMIFS(raw[stay],raw[prov],brProv[[#This Row],[prov]],raw[yr],AK$51)</f>
        <v/>
      </c>
      <c r="AL60" s="1701">
        <f>SUMIFS(raw[stay],raw[prov],brProv[[#This Row],[prov]],raw[yr],AL$51)</f>
        <v/>
      </c>
      <c r="AM60" s="1701">
        <f>SUMIFS(raw[stay],raw[prov],brProv[[#This Row],[prov]],raw[yr],AM$51)</f>
        <v/>
      </c>
      <c r="AN60" s="1702">
        <f>SUMIFS(raw[stay],raw[prov],brProv[[#This Row],[prov]],raw[yr],AN$51)</f>
        <v/>
      </c>
      <c r="AO60" s="1597" t="inlineStr">
        <is>
          <t>.</t>
        </is>
      </c>
      <c r="AP60" s="1597">
        <f>AP59+1</f>
        <v/>
      </c>
      <c r="AQ60" s="1636">
        <f>'@Refr'!O16</f>
        <v/>
      </c>
      <c r="AR60" s="1598">
        <f>_xlfn.XLOOKUP(citySeq3[[#This Row],[city]],ccc[city],ccc[ctry],"-")</f>
        <v/>
      </c>
      <c r="AS60" s="1604">
        <f>_xlfn.MINIFS(stayCity[in], stayCity[city], citySeq3[[#This Row],[city]])</f>
        <v/>
      </c>
      <c r="AT60" s="1637">
        <f>_xlfn.MAXIFS(stayCity[out], stayCity[city], citySeq3[[#This Row],[city]])</f>
        <v/>
      </c>
      <c r="AU60" s="1638">
        <f>_xlfn.XLOOKUP(citySeq3[[#This Row],[seq]],stayCity[stay],stayCity[in],"-")</f>
        <v/>
      </c>
      <c r="AV60" s="1638">
        <f>_xlfn.XLOOKUP(citySeq3[[#This Row],[seq]],stayCity[stay],stayCity[out],"-")</f>
        <v/>
      </c>
      <c r="AW60" s="1603">
        <f t="array" ref="AW60">MAX(IF(stayCity[city]=citySeq3[[#This Row],[city]],stayCity[stay]))</f>
        <v/>
      </c>
      <c r="AX60" s="1603">
        <f t="array" ref="AX60">ROWS(_xlfn.UNIQUE(_xlfn._xlws.FILTER(raw[yr], raw[city]=citySeq3[[#This Row],[city]])))</f>
        <v/>
      </c>
      <c r="AY60" s="1603">
        <f>_xlfn.XLOOKUP(citySeq3[[#This Row],[city]],cities[city],cities[stay])</f>
        <v/>
      </c>
      <c r="AZ60" s="1666" t="n"/>
      <c r="BA60" s="1612" t="n"/>
      <c r="BB60" s="1612" t="n"/>
      <c r="BC60" s="1612" t="n"/>
      <c r="BD60" s="1612" t="n"/>
      <c r="BE60" s="1612" t="n"/>
      <c r="BF60" s="1612" t="n"/>
      <c r="BG60" s="1612" t="n"/>
      <c r="BH60" s="1612" t="n"/>
      <c r="BI60" s="1612" t="n"/>
      <c r="BJ60" s="1612" t="n"/>
      <c r="BK60" s="1612" t="n"/>
      <c r="BL60" s="1612" t="n"/>
      <c r="BM60" s="1612" t="n"/>
      <c r="BN60" s="1612" t="n"/>
      <c r="BO60" s="1612" t="n"/>
      <c r="BP60" s="1612" t="n"/>
      <c r="BQ60" s="1612" t="n"/>
      <c r="BR60" s="1612" t="n"/>
      <c r="BS60" s="1612" t="n"/>
      <c r="BT60" s="1612" t="n"/>
      <c r="BU60" s="1612" t="n"/>
      <c r="BV60" s="1612" t="n"/>
      <c r="BW60" s="1612" t="n"/>
      <c r="BX60" s="1612" t="n"/>
      <c r="BY60" s="1612" t="n"/>
      <c r="BZ60" s="1612" t="n"/>
      <c r="CA60" s="1612" t="n"/>
      <c r="CB60" s="1612" t="n"/>
      <c r="CC60" s="1612" t="n"/>
      <c r="CD60" s="1612" t="n"/>
      <c r="CE60" s="1612" t="n"/>
      <c r="CF60" s="1612" t="n"/>
    </row>
    <row r="61" ht="14" customHeight="1">
      <c r="A61" s="1690" t="n"/>
      <c r="B61" s="1673" t="n"/>
      <c r="C61" s="1673" t="n"/>
      <c r="D61" s="1673" t="n"/>
      <c r="E61" s="1673" t="n"/>
      <c r="F61" s="1596" t="inlineStr">
        <is>
          <t>.</t>
        </is>
      </c>
      <c r="G61" s="1685" t="inlineStr">
        <is>
          <t>city</t>
        </is>
      </c>
      <c r="H61" s="1686" t="inlineStr">
        <is>
          <t>91</t>
        </is>
      </c>
      <c r="I61" s="1686" t="inlineStr">
        <is>
          <t>92</t>
        </is>
      </c>
      <c r="J61" s="1686" t="inlineStr">
        <is>
          <t>93</t>
        </is>
      </c>
      <c r="K61" s="1686" t="inlineStr">
        <is>
          <t>94</t>
        </is>
      </c>
      <c r="L61" s="1686" t="inlineStr">
        <is>
          <t>95</t>
        </is>
      </c>
      <c r="M61" s="1686" t="inlineStr">
        <is>
          <t>96</t>
        </is>
      </c>
      <c r="N61" s="1686" t="inlineStr">
        <is>
          <t>97</t>
        </is>
      </c>
      <c r="O61" s="1686" t="inlineStr">
        <is>
          <t>98</t>
        </is>
      </c>
      <c r="P61" s="1686" t="inlineStr">
        <is>
          <t>99</t>
        </is>
      </c>
      <c r="Q61" s="1686" t="inlineStr">
        <is>
          <t>00</t>
        </is>
      </c>
      <c r="R61" s="1686" t="inlineStr">
        <is>
          <t>01</t>
        </is>
      </c>
      <c r="S61" s="1686" t="inlineStr">
        <is>
          <t>02</t>
        </is>
      </c>
      <c r="T61" s="1686" t="inlineStr">
        <is>
          <t>03</t>
        </is>
      </c>
      <c r="U61" s="1686" t="inlineStr">
        <is>
          <t>04</t>
        </is>
      </c>
      <c r="V61" s="1686" t="inlineStr">
        <is>
          <t>05</t>
        </is>
      </c>
      <c r="W61" s="1686" t="inlineStr">
        <is>
          <t>06</t>
        </is>
      </c>
      <c r="X61" s="1686" t="inlineStr">
        <is>
          <t>07</t>
        </is>
      </c>
      <c r="Y61" s="1686" t="inlineStr">
        <is>
          <t>08</t>
        </is>
      </c>
      <c r="Z61" s="1686" t="inlineStr">
        <is>
          <t>09</t>
        </is>
      </c>
      <c r="AA61" s="1686" t="inlineStr">
        <is>
          <t>10</t>
        </is>
      </c>
      <c r="AB61" s="1686" t="inlineStr">
        <is>
          <t>11</t>
        </is>
      </c>
      <c r="AC61" s="1686" t="inlineStr">
        <is>
          <t>12</t>
        </is>
      </c>
      <c r="AD61" s="1686" t="inlineStr">
        <is>
          <t>13</t>
        </is>
      </c>
      <c r="AE61" s="1686" t="inlineStr">
        <is>
          <t>14</t>
        </is>
      </c>
      <c r="AF61" s="1687" t="inlineStr">
        <is>
          <t>15</t>
        </is>
      </c>
      <c r="AG61" s="1687" t="inlineStr">
        <is>
          <t>19</t>
        </is>
      </c>
      <c r="AH61" s="1686" t="inlineStr">
        <is>
          <t>20</t>
        </is>
      </c>
      <c r="AI61" s="1686" t="inlineStr">
        <is>
          <t>21</t>
        </is>
      </c>
      <c r="AJ61" s="1686" t="inlineStr">
        <is>
          <t>22</t>
        </is>
      </c>
      <c r="AK61" s="1686" t="inlineStr">
        <is>
          <t>23</t>
        </is>
      </c>
      <c r="AL61" s="1686" t="inlineStr">
        <is>
          <t>24</t>
        </is>
      </c>
      <c r="AM61" s="1686" t="inlineStr">
        <is>
          <t>25</t>
        </is>
      </c>
      <c r="AN61" s="1686" t="inlineStr">
        <is>
          <t>26</t>
        </is>
      </c>
      <c r="AO61" s="1597" t="inlineStr">
        <is>
          <t>.</t>
        </is>
      </c>
      <c r="AP61" s="1597">
        <f>AP60+1</f>
        <v/>
      </c>
      <c r="AQ61" s="1636">
        <f>'@Refr'!O17</f>
        <v/>
      </c>
      <c r="AR61" s="1598">
        <f>_xlfn.XLOOKUP(citySeq3[[#This Row],[city]],ccc[city],ccc[ctry],"-")</f>
        <v/>
      </c>
      <c r="AS61" s="1604">
        <f>_xlfn.MINIFS(stayCity[in], stayCity[city], citySeq3[[#This Row],[city]])</f>
        <v/>
      </c>
      <c r="AT61" s="1637">
        <f>_xlfn.MAXIFS(stayCity[out], stayCity[city], citySeq3[[#This Row],[city]])</f>
        <v/>
      </c>
      <c r="AU61" s="1638">
        <f>_xlfn.XLOOKUP(citySeq3[[#This Row],[seq]],stayCity[stay],stayCity[in],"-")</f>
        <v/>
      </c>
      <c r="AV61" s="1638">
        <f>_xlfn.XLOOKUP(citySeq3[[#This Row],[seq]],stayCity[stay],stayCity[out],"-")</f>
        <v/>
      </c>
      <c r="AW61" s="1603">
        <f t="array" ref="AW61">MAX(IF(stayCity[city]=citySeq3[[#This Row],[city]],stayCity[stay]))</f>
        <v/>
      </c>
      <c r="AX61" s="1603">
        <f t="array" ref="AX61">ROWS(_xlfn.UNIQUE(_xlfn._xlws.FILTER(raw[yr], raw[city]=citySeq3[[#This Row],[city]])))</f>
        <v/>
      </c>
      <c r="AY61" s="1603">
        <f>_xlfn.XLOOKUP(citySeq3[[#This Row],[city]],cities[city],cities[stay])</f>
        <v/>
      </c>
      <c r="AZ61" s="1666" t="n"/>
      <c r="BA61" s="1612" t="n"/>
      <c r="BB61" s="1612" t="n"/>
      <c r="BC61" s="1612" t="n"/>
      <c r="BD61" s="1612" t="n"/>
      <c r="BE61" s="1612" t="n"/>
      <c r="BF61" s="1612" t="n"/>
      <c r="BG61" s="1612" t="n"/>
      <c r="BH61" s="1612" t="n"/>
      <c r="BI61" s="1612" t="n"/>
      <c r="BJ61" s="1612" t="n"/>
      <c r="BK61" s="1612" t="n"/>
      <c r="BL61" s="1612" t="n"/>
      <c r="BM61" s="1612" t="n"/>
      <c r="BN61" s="1612" t="n"/>
      <c r="BO61" s="1612" t="n"/>
      <c r="BP61" s="1612" t="n"/>
      <c r="BQ61" s="1612" t="n"/>
      <c r="BR61" s="1612" t="n"/>
      <c r="BS61" s="1612" t="n"/>
      <c r="BT61" s="1612" t="n"/>
      <c r="BU61" s="1612" t="n"/>
      <c r="BV61" s="1612" t="n"/>
      <c r="BW61" s="1612" t="n"/>
      <c r="BX61" s="1612" t="n"/>
      <c r="BY61" s="1612" t="n"/>
      <c r="BZ61" s="1612" t="n"/>
      <c r="CA61" s="1612" t="n"/>
      <c r="CB61" s="1612" t="n"/>
      <c r="CC61" s="1612" t="n"/>
      <c r="CD61" s="1612" t="n"/>
      <c r="CE61" s="1612" t="n"/>
      <c r="CF61" s="1612" t="n"/>
    </row>
    <row r="62" ht="14" customHeight="1">
      <c r="A62" s="1697" t="n"/>
      <c r="B62" s="1677" t="n"/>
      <c r="C62" s="1652">
        <f>INT(SUM(H62:AN62))</f>
        <v/>
      </c>
      <c r="D62" s="1677" t="n"/>
      <c r="E62" s="1677" t="n"/>
      <c r="F62" s="1615" t="inlineStr">
        <is>
          <t>.</t>
        </is>
      </c>
      <c r="G62" s="1602" t="inlineStr">
        <is>
          <t>SSA</t>
        </is>
      </c>
      <c r="H62" s="1610">
        <f>SUMIFS(raw[stay],raw[city],BRcity[[#This Row],[city]],raw[yr],H$51)</f>
        <v/>
      </c>
      <c r="I62" s="1610">
        <f>SUMIFS(raw[stay],raw[city],BRcity[[#This Row],[city]],raw[yr],I$51)</f>
        <v/>
      </c>
      <c r="J62" s="1610">
        <f>SUMIFS(raw[stay],raw[city],BRcity[[#This Row],[city]],raw[yr],J$51)</f>
        <v/>
      </c>
      <c r="K62" s="1610">
        <f>SUMIFS(raw[stay],raw[city],BRcity[[#This Row],[city]],raw[yr],K$51)</f>
        <v/>
      </c>
      <c r="L62" s="1610">
        <f>SUMIFS(raw[stay],raw[city],BRcity[[#This Row],[city]],raw[yr],L$51)</f>
        <v/>
      </c>
      <c r="M62" s="1610">
        <f>SUMIFS(raw[stay],raw[city],BRcity[[#This Row],[city]],raw[yr],M$51)</f>
        <v/>
      </c>
      <c r="N62" s="1610">
        <f>SUMIFS(raw[stay],raw[city],BRcity[[#This Row],[city]],raw[yr],N$51)</f>
        <v/>
      </c>
      <c r="O62" s="1610">
        <f>SUMIFS(raw[stay],raw[city],BRcity[[#This Row],[city]],raw[yr],O$51)</f>
        <v/>
      </c>
      <c r="P62" s="1610">
        <f>SUMIFS(raw[stay],raw[city],BRcity[[#This Row],[city]],raw[yr],P$51)</f>
        <v/>
      </c>
      <c r="Q62" s="1610">
        <f>SUMIFS(raw[stay],raw[city],BRcity[[#This Row],[city]],raw[yr],Q$51)</f>
        <v/>
      </c>
      <c r="R62" s="1610">
        <f>SUMIFS(raw[stay],raw[city],BRcity[[#This Row],[city]],raw[yr],R$51)</f>
        <v/>
      </c>
      <c r="S62" s="1610">
        <f>SUMIFS(raw[stay],raw[city],BRcity[[#This Row],[city]],raw[yr],S$51)</f>
        <v/>
      </c>
      <c r="T62" s="1610">
        <f>SUMIFS(raw[stay],raw[city],BRcity[[#This Row],[city]],raw[yr],T$51)</f>
        <v/>
      </c>
      <c r="U62" s="1610">
        <f>SUMIFS(raw[stay],raw[city],BRcity[[#This Row],[city]],raw[yr],U$51)</f>
        <v/>
      </c>
      <c r="V62" s="1610">
        <f>SUMIFS(raw[stay],raw[city],BRcity[[#This Row],[city]],raw[yr],V$51)</f>
        <v/>
      </c>
      <c r="W62" s="1610">
        <f>SUMIFS(raw[stay],raw[city],BRcity[[#This Row],[city]],raw[yr],W$51)</f>
        <v/>
      </c>
      <c r="X62" s="1610">
        <f>SUMIFS(raw[stay],raw[city],BRcity[[#This Row],[city]],raw[yr],X$51)</f>
        <v/>
      </c>
      <c r="Y62" s="1610">
        <f>SUMIFS(raw[stay],raw[city],BRcity[[#This Row],[city]],raw[yr],Y$51)</f>
        <v/>
      </c>
      <c r="Z62" s="1610">
        <f>SUMIFS(raw[stay],raw[city],BRcity[[#This Row],[city]],raw[yr],Z$51)</f>
        <v/>
      </c>
      <c r="AA62" s="1610">
        <f>SUMIFS(raw[stay],raw[city],BRcity[[#This Row],[city]],raw[yr],AA$51)</f>
        <v/>
      </c>
      <c r="AB62" s="1610">
        <f>SUMIFS(raw[stay],raw[city],BRcity[[#This Row],[city]],raw[yr],AB$51)</f>
        <v/>
      </c>
      <c r="AC62" s="1610">
        <f>SUMIFS(raw[stay],raw[city],BRcity[[#This Row],[city]],raw[yr],AC$51)</f>
        <v/>
      </c>
      <c r="AD62" s="1610">
        <f>SUMIFS(raw[stay],raw[city],BRcity[[#This Row],[city]],raw[yr],AD$51)</f>
        <v/>
      </c>
      <c r="AE62" s="1610">
        <f>SUMIFS(raw[stay],raw[city],BRcity[[#This Row],[city]],raw[yr],AE$51)</f>
        <v/>
      </c>
      <c r="AF62" s="1610">
        <f>SUMIFS(raw[stay],raw[city],BRcity[[#This Row],[city]],raw[yr],AF$51)</f>
        <v/>
      </c>
      <c r="AG62" s="1610">
        <f>SUMIFS(raw[stay],raw[city],BRcity[[#This Row],[city]],raw[yr],AG$51)</f>
        <v/>
      </c>
      <c r="AH62" s="1610">
        <f>SUMIFS(raw[stay],raw[city],BRcity[[#This Row],[city]],raw[yr],AH$51)</f>
        <v/>
      </c>
      <c r="AI62" s="1610">
        <f>SUMIFS(raw[stay],raw[city],BRcity[[#This Row],[city]],raw[yr],AI$51)</f>
        <v/>
      </c>
      <c r="AJ62" s="1610">
        <f>SUMIFS(raw[stay],raw[city],BRcity[[#This Row],[city]],raw[yr],AJ$51)</f>
        <v/>
      </c>
      <c r="AK62" s="1610">
        <f>SUMIFS(raw[stay],raw[city],BRcity[[#This Row],[city]],raw[yr],AK$51)</f>
        <v/>
      </c>
      <c r="AL62" s="1610">
        <f>SUMIFS(raw[stay],raw[city],BRcity[[#This Row],[city]],raw[yr],AL$51)</f>
        <v/>
      </c>
      <c r="AM62" s="1610">
        <f>SUMIFS(raw[stay],raw[city],BRcity[[#This Row],[city]],raw[yr],AM$51)</f>
        <v/>
      </c>
      <c r="AN62" s="1610">
        <f>SUMIFS(raw[stay],raw[city],BRcity[[#This Row],[city]],raw[yr],AN$51)</f>
        <v/>
      </c>
      <c r="AO62" s="1597" t="inlineStr">
        <is>
          <t>.</t>
        </is>
      </c>
      <c r="AP62" s="1597">
        <f>AP61+1</f>
        <v/>
      </c>
      <c r="AQ62" s="1636">
        <f>'@Refr'!O18</f>
        <v/>
      </c>
      <c r="AR62" s="1598">
        <f>_xlfn.XLOOKUP(citySeq3[[#This Row],[city]],ccc[city],ccc[ctry],"-")</f>
        <v/>
      </c>
      <c r="AS62" s="1604">
        <f>_xlfn.MINIFS(stayCity[in], stayCity[city], citySeq3[[#This Row],[city]])</f>
        <v/>
      </c>
      <c r="AT62" s="1637">
        <f>_xlfn.MAXIFS(stayCity[out], stayCity[city], citySeq3[[#This Row],[city]])</f>
        <v/>
      </c>
      <c r="AU62" s="1638">
        <f>_xlfn.XLOOKUP(citySeq3[[#This Row],[seq]],stayCity[stay],stayCity[in],"-")</f>
        <v/>
      </c>
      <c r="AV62" s="1638">
        <f>_xlfn.XLOOKUP(citySeq3[[#This Row],[seq]],stayCity[stay],stayCity[out],"-")</f>
        <v/>
      </c>
      <c r="AW62" s="1603">
        <f t="array" ref="AW62">MAX(IF(stayCity[city]=citySeq3[[#This Row],[city]],stayCity[stay]))</f>
        <v/>
      </c>
      <c r="AX62" s="1603">
        <f t="array" ref="AX62">ROWS(_xlfn.UNIQUE(_xlfn._xlws.FILTER(raw[yr], raw[city]=citySeq3[[#This Row],[city]])))</f>
        <v/>
      </c>
      <c r="AY62" s="1603">
        <f>_xlfn.XLOOKUP(citySeq3[[#This Row],[city]],cities[city],cities[stay])</f>
        <v/>
      </c>
      <c r="AZ62" s="1666" t="n"/>
      <c r="BA62" s="1612" t="n"/>
      <c r="BB62" s="1612" t="n"/>
      <c r="BC62" s="1612" t="n"/>
      <c r="BD62" s="1612" t="n"/>
      <c r="BE62" s="1612" t="n"/>
      <c r="BF62" s="1612" t="n"/>
      <c r="BG62" s="1612" t="n"/>
      <c r="BH62" s="1612" t="n"/>
      <c r="BI62" s="1612" t="n"/>
      <c r="BJ62" s="1612" t="n"/>
      <c r="BK62" s="1612" t="n"/>
      <c r="BL62" s="1612" t="n"/>
      <c r="BM62" s="1612" t="n"/>
      <c r="BN62" s="1612" t="n"/>
      <c r="BO62" s="1612" t="n"/>
      <c r="BP62" s="1612" t="n"/>
      <c r="BQ62" s="1612" t="n"/>
      <c r="BR62" s="1612" t="n"/>
      <c r="BS62" s="1612" t="n"/>
      <c r="BT62" s="1612" t="n"/>
      <c r="BU62" s="1612" t="n"/>
      <c r="BV62" s="1612" t="n"/>
      <c r="BW62" s="1612" t="n"/>
      <c r="BX62" s="1612" t="n"/>
      <c r="BY62" s="1612" t="n"/>
      <c r="BZ62" s="1612" t="n"/>
      <c r="CA62" s="1612" t="n"/>
      <c r="CB62" s="1612" t="n"/>
      <c r="CC62" s="1612" t="n"/>
      <c r="CD62" s="1612" t="n"/>
      <c r="CE62" s="1612" t="n"/>
      <c r="CF62" s="1612" t="n"/>
    </row>
    <row r="63" ht="14" customHeight="1">
      <c r="A63" s="1690" t="n"/>
      <c r="B63" s="1673" t="n"/>
      <c r="C63" s="1647">
        <f>INT(SUM(H63:AN63))</f>
        <v/>
      </c>
      <c r="D63" s="1673" t="n"/>
      <c r="E63" s="1673" t="n"/>
      <c r="F63" s="1596" t="inlineStr">
        <is>
          <t>.</t>
        </is>
      </c>
      <c r="G63" s="1694" t="inlineStr">
        <is>
          <t>SP</t>
        </is>
      </c>
      <c r="H63" s="1610">
        <f>SUMIFS(raw[stay],raw[city],BRcity[[#This Row],[city]],raw[yr],H$51)</f>
        <v/>
      </c>
      <c r="I63" s="1610">
        <f>SUMIFS(raw[stay],raw[city],BRcity[[#This Row],[city]],raw[yr],I$51)</f>
        <v/>
      </c>
      <c r="J63" s="1610">
        <f>SUMIFS(raw[stay],raw[city],BRcity[[#This Row],[city]],raw[yr],J$51)</f>
        <v/>
      </c>
      <c r="K63" s="1610">
        <f>SUMIFS(raw[stay],raw[city],BRcity[[#This Row],[city]],raw[yr],K$51)</f>
        <v/>
      </c>
      <c r="L63" s="1610">
        <f>SUMIFS(raw[stay],raw[city],BRcity[[#This Row],[city]],raw[yr],L$51)</f>
        <v/>
      </c>
      <c r="M63" s="1610">
        <f>SUMIFS(raw[stay],raw[city],BRcity[[#This Row],[city]],raw[yr],M$51)</f>
        <v/>
      </c>
      <c r="N63" s="1610">
        <f>SUMIFS(raw[stay],raw[city],BRcity[[#This Row],[city]],raw[yr],N$51)</f>
        <v/>
      </c>
      <c r="O63" s="1610">
        <f>SUMIFS(raw[stay],raw[city],BRcity[[#This Row],[city]],raw[yr],O$51)</f>
        <v/>
      </c>
      <c r="P63" s="1610">
        <f>SUMIFS(raw[stay],raw[city],BRcity[[#This Row],[city]],raw[yr],P$51)</f>
        <v/>
      </c>
      <c r="Q63" s="1610">
        <f>SUMIFS(raw[stay],raw[city],BRcity[[#This Row],[city]],raw[yr],Q$51)</f>
        <v/>
      </c>
      <c r="R63" s="1610">
        <f>SUMIFS(raw[stay],raw[city],BRcity[[#This Row],[city]],raw[yr],R$51)</f>
        <v/>
      </c>
      <c r="S63" s="1610">
        <f>SUMIFS(raw[stay],raw[city],BRcity[[#This Row],[city]],raw[yr],S$51)</f>
        <v/>
      </c>
      <c r="T63" s="1610">
        <f>SUMIFS(raw[stay],raw[city],BRcity[[#This Row],[city]],raw[yr],T$51)</f>
        <v/>
      </c>
      <c r="U63" s="1610">
        <f>SUMIFS(raw[stay],raw[city],BRcity[[#This Row],[city]],raw[yr],U$51)</f>
        <v/>
      </c>
      <c r="V63" s="1610">
        <f>SUMIFS(raw[stay],raw[city],BRcity[[#This Row],[city]],raw[yr],V$51)</f>
        <v/>
      </c>
      <c r="W63" s="1610">
        <f>SUMIFS(raw[stay],raw[city],BRcity[[#This Row],[city]],raw[yr],W$51)</f>
        <v/>
      </c>
      <c r="X63" s="1610">
        <f>SUMIFS(raw[stay],raw[city],BRcity[[#This Row],[city]],raw[yr],X$51)</f>
        <v/>
      </c>
      <c r="Y63" s="1610">
        <f>SUMIFS(raw[stay],raw[city],BRcity[[#This Row],[city]],raw[yr],Y$51)</f>
        <v/>
      </c>
      <c r="Z63" s="1610">
        <f>SUMIFS(raw[stay],raw[city],BRcity[[#This Row],[city]],raw[yr],Z$51)</f>
        <v/>
      </c>
      <c r="AA63" s="1610">
        <f>SUMIFS(raw[stay],raw[city],BRcity[[#This Row],[city]],raw[yr],AA$51)</f>
        <v/>
      </c>
      <c r="AB63" s="1610">
        <f>SUMIFS(raw[stay],raw[city],BRcity[[#This Row],[city]],raw[yr],AB$51)</f>
        <v/>
      </c>
      <c r="AC63" s="1610">
        <f>SUMIFS(raw[stay],raw[city],BRcity[[#This Row],[city]],raw[yr],AC$51)</f>
        <v/>
      </c>
      <c r="AD63" s="1610">
        <f>SUMIFS(raw[stay],raw[city],BRcity[[#This Row],[city]],raw[yr],AD$51)</f>
        <v/>
      </c>
      <c r="AE63" s="1610">
        <f>SUMIFS(raw[stay],raw[city],BRcity[[#This Row],[city]],raw[yr],AE$51)</f>
        <v/>
      </c>
      <c r="AF63" s="1610">
        <f>SUMIFS(raw[stay],raw[city],BRcity[[#This Row],[city]],raw[yr],AF$51)</f>
        <v/>
      </c>
      <c r="AG63" s="1610">
        <f>SUMIFS(raw[stay],raw[city],BRcity[[#This Row],[city]],raw[yr],AG$51)</f>
        <v/>
      </c>
      <c r="AH63" s="1610">
        <f>SUMIFS(raw[stay],raw[city],BRcity[[#This Row],[city]],raw[yr],AH$51)</f>
        <v/>
      </c>
      <c r="AI63" s="1610">
        <f>SUMIFS(raw[stay],raw[city],BRcity[[#This Row],[city]],raw[yr],AI$51)</f>
        <v/>
      </c>
      <c r="AJ63" s="1610">
        <f>SUMIFS(raw[stay],raw[city],BRcity[[#This Row],[city]],raw[yr],AJ$51)</f>
        <v/>
      </c>
      <c r="AK63" s="1610">
        <f>SUMIFS(raw[stay],raw[city],BRcity[[#This Row],[city]],raw[yr],AK$51)</f>
        <v/>
      </c>
      <c r="AL63" s="1610">
        <f>SUMIFS(raw[stay],raw[city],BRcity[[#This Row],[city]],raw[yr],AL$51)</f>
        <v/>
      </c>
      <c r="AM63" s="1610">
        <f>SUMIFS(raw[stay],raw[city],BRcity[[#This Row],[city]],raw[yr],AM$51)</f>
        <v/>
      </c>
      <c r="AN63" s="1610">
        <f>SUMIFS(raw[stay],raw[city],BRcity[[#This Row],[city]],raw[yr],AN$51)</f>
        <v/>
      </c>
      <c r="AO63" s="1597" t="inlineStr">
        <is>
          <t>.</t>
        </is>
      </c>
      <c r="AP63" s="1597">
        <f>AP62+1</f>
        <v/>
      </c>
      <c r="AQ63" s="1636">
        <f>'@Refr'!O19</f>
        <v/>
      </c>
      <c r="AR63" s="1598">
        <f>_xlfn.XLOOKUP(citySeq3[[#This Row],[city]],ccc[city],ccc[ctry],"-")</f>
        <v/>
      </c>
      <c r="AS63" s="1604">
        <f>_xlfn.MINIFS(stayCity[in], stayCity[city], citySeq3[[#This Row],[city]])</f>
        <v/>
      </c>
      <c r="AT63" s="1637">
        <f>_xlfn.MAXIFS(stayCity[out], stayCity[city], citySeq3[[#This Row],[city]])</f>
        <v/>
      </c>
      <c r="AU63" s="1638">
        <f>_xlfn.XLOOKUP(citySeq3[[#This Row],[seq]],stayCity[stay],stayCity[in],"-")</f>
        <v/>
      </c>
      <c r="AV63" s="1638">
        <f>_xlfn.XLOOKUP(citySeq3[[#This Row],[seq]],stayCity[stay],stayCity[out],"-")</f>
        <v/>
      </c>
      <c r="AW63" s="1603">
        <f t="array" ref="AW63">MAX(IF(stayCity[city]=citySeq3[[#This Row],[city]],stayCity[stay]))</f>
        <v/>
      </c>
      <c r="AX63" s="1603">
        <f t="array" ref="AX63">ROWS(_xlfn.UNIQUE(_xlfn._xlws.FILTER(raw[yr], raw[city]=citySeq3[[#This Row],[city]])))</f>
        <v/>
      </c>
      <c r="AY63" s="1603">
        <f>_xlfn.XLOOKUP(citySeq3[[#This Row],[city]],cities[city],cities[stay])</f>
        <v/>
      </c>
      <c r="AZ63" s="1666" t="n"/>
      <c r="BA63" s="1612" t="n"/>
      <c r="BB63" s="1612" t="n"/>
      <c r="BC63" s="1612" t="n"/>
      <c r="BD63" s="1612" t="n"/>
      <c r="BE63" s="1612" t="n"/>
      <c r="BF63" s="1612" t="n"/>
      <c r="BG63" s="1612" t="n"/>
      <c r="BH63" s="1612" t="n"/>
      <c r="BI63" s="1612" t="n"/>
      <c r="BJ63" s="1612" t="n"/>
      <c r="BK63" s="1612" t="n"/>
      <c r="BL63" s="1612" t="n"/>
      <c r="BM63" s="1612" t="n"/>
      <c r="BN63" s="1612" t="n"/>
      <c r="BO63" s="1612" t="n"/>
      <c r="BP63" s="1612" t="n"/>
      <c r="BQ63" s="1612" t="n"/>
      <c r="BR63" s="1612" t="n"/>
      <c r="BS63" s="1612" t="n"/>
      <c r="BT63" s="1612" t="n"/>
      <c r="BU63" s="1612" t="n"/>
      <c r="BV63" s="1612" t="n"/>
      <c r="BW63" s="1612" t="n"/>
      <c r="BX63" s="1612" t="n"/>
      <c r="BY63" s="1612" t="n"/>
      <c r="BZ63" s="1612" t="n"/>
      <c r="CA63" s="1612" t="n"/>
      <c r="CB63" s="1612" t="n"/>
      <c r="CC63" s="1612" t="n"/>
      <c r="CD63" s="1612" t="n"/>
      <c r="CE63" s="1612" t="n"/>
      <c r="CF63" s="1612" t="n"/>
    </row>
    <row r="64" ht="14" customHeight="1">
      <c r="A64" s="1697" t="n"/>
      <c r="B64" s="1677" t="n"/>
      <c r="C64" s="1652">
        <f>INT(SUM(H64:AN64))</f>
        <v/>
      </c>
      <c r="D64" s="1677" t="n"/>
      <c r="E64" s="1677" t="n"/>
      <c r="F64" s="1615" t="inlineStr">
        <is>
          <t>.</t>
        </is>
      </c>
      <c r="G64" s="1696" t="inlineStr">
        <is>
          <t>Rio</t>
        </is>
      </c>
      <c r="H64" s="1610">
        <f>SUMIFS(raw[stay],raw[city],BRcity[[#This Row],[city]],raw[yr],H$51)</f>
        <v/>
      </c>
      <c r="I64" s="1610">
        <f>SUMIFS(raw[stay],raw[city],BRcity[[#This Row],[city]],raw[yr],I$51)</f>
        <v/>
      </c>
      <c r="J64" s="1610">
        <f>SUMIFS(raw[stay],raw[city],BRcity[[#This Row],[city]],raw[yr],J$51)</f>
        <v/>
      </c>
      <c r="K64" s="1610">
        <f>SUMIFS(raw[stay],raw[city],BRcity[[#This Row],[city]],raw[yr],K$51)</f>
        <v/>
      </c>
      <c r="L64" s="1610">
        <f>SUMIFS(raw[stay],raw[city],BRcity[[#This Row],[city]],raw[yr],L$51)</f>
        <v/>
      </c>
      <c r="M64" s="1610">
        <f>SUMIFS(raw[stay],raw[city],BRcity[[#This Row],[city]],raw[yr],M$51)</f>
        <v/>
      </c>
      <c r="N64" s="1610">
        <f>SUMIFS(raw[stay],raw[city],BRcity[[#This Row],[city]],raw[yr],N$51)</f>
        <v/>
      </c>
      <c r="O64" s="1610">
        <f>SUMIFS(raw[stay],raw[city],BRcity[[#This Row],[city]],raw[yr],O$51)</f>
        <v/>
      </c>
      <c r="P64" s="1610">
        <f>SUMIFS(raw[stay],raw[city],BRcity[[#This Row],[city]],raw[yr],P$51)</f>
        <v/>
      </c>
      <c r="Q64" s="1610">
        <f>SUMIFS(raw[stay],raw[city],BRcity[[#This Row],[city]],raw[yr],Q$51)</f>
        <v/>
      </c>
      <c r="R64" s="1610">
        <f>SUMIFS(raw[stay],raw[city],BRcity[[#This Row],[city]],raw[yr],R$51)</f>
        <v/>
      </c>
      <c r="S64" s="1610">
        <f>SUMIFS(raw[stay],raw[city],BRcity[[#This Row],[city]],raw[yr],S$51)</f>
        <v/>
      </c>
      <c r="T64" s="1610">
        <f>SUMIFS(raw[stay],raw[city],BRcity[[#This Row],[city]],raw[yr],T$51)</f>
        <v/>
      </c>
      <c r="U64" s="1610">
        <f>SUMIFS(raw[stay],raw[city],BRcity[[#This Row],[city]],raw[yr],U$51)</f>
        <v/>
      </c>
      <c r="V64" s="1610">
        <f>SUMIFS(raw[stay],raw[city],BRcity[[#This Row],[city]],raw[yr],V$51)</f>
        <v/>
      </c>
      <c r="W64" s="1610">
        <f>SUMIFS(raw[stay],raw[city],BRcity[[#This Row],[city]],raw[yr],W$51)</f>
        <v/>
      </c>
      <c r="X64" s="1610">
        <f>SUMIFS(raw[stay],raw[city],BRcity[[#This Row],[city]],raw[yr],X$51)</f>
        <v/>
      </c>
      <c r="Y64" s="1610">
        <f>SUMIFS(raw[stay],raw[city],BRcity[[#This Row],[city]],raw[yr],Y$51)</f>
        <v/>
      </c>
      <c r="Z64" s="1610">
        <f>SUMIFS(raw[stay],raw[city],BRcity[[#This Row],[city]],raw[yr],Z$51)</f>
        <v/>
      </c>
      <c r="AA64" s="1610">
        <f>SUMIFS(raw[stay],raw[city],BRcity[[#This Row],[city]],raw[yr],AA$51)</f>
        <v/>
      </c>
      <c r="AB64" s="1610">
        <f>SUMIFS(raw[stay],raw[city],BRcity[[#This Row],[city]],raw[yr],AB$51)</f>
        <v/>
      </c>
      <c r="AC64" s="1610">
        <f>SUMIFS(raw[stay],raw[city],BRcity[[#This Row],[city]],raw[yr],AC$51)</f>
        <v/>
      </c>
      <c r="AD64" s="1610">
        <f>SUMIFS(raw[stay],raw[city],BRcity[[#This Row],[city]],raw[yr],AD$51)</f>
        <v/>
      </c>
      <c r="AE64" s="1610">
        <f>SUMIFS(raw[stay],raw[city],BRcity[[#This Row],[city]],raw[yr],AE$51)</f>
        <v/>
      </c>
      <c r="AF64" s="1610">
        <f>SUMIFS(raw[stay],raw[city],BRcity[[#This Row],[city]],raw[yr],AF$51)</f>
        <v/>
      </c>
      <c r="AG64" s="1610">
        <f>SUMIFS(raw[stay],raw[city],BRcity[[#This Row],[city]],raw[yr],AG$51)</f>
        <v/>
      </c>
      <c r="AH64" s="1610">
        <f>SUMIFS(raw[stay],raw[city],BRcity[[#This Row],[city]],raw[yr],AH$51)</f>
        <v/>
      </c>
      <c r="AI64" s="1610">
        <f>SUMIFS(raw[stay],raw[city],BRcity[[#This Row],[city]],raw[yr],AI$51)</f>
        <v/>
      </c>
      <c r="AJ64" s="1610">
        <f>SUMIFS(raw[stay],raw[city],BRcity[[#This Row],[city]],raw[yr],AJ$51)</f>
        <v/>
      </c>
      <c r="AK64" s="1610">
        <f>SUMIFS(raw[stay],raw[city],BRcity[[#This Row],[city]],raw[yr],AK$51)</f>
        <v/>
      </c>
      <c r="AL64" s="1610">
        <f>SUMIFS(raw[stay],raw[city],BRcity[[#This Row],[city]],raw[yr],AL$51)</f>
        <v/>
      </c>
      <c r="AM64" s="1610">
        <f>SUMIFS(raw[stay],raw[city],BRcity[[#This Row],[city]],raw[yr],AM$51)</f>
        <v/>
      </c>
      <c r="AN64" s="1610">
        <f>SUMIFS(raw[stay],raw[city],BRcity[[#This Row],[city]],raw[yr],AN$51)</f>
        <v/>
      </c>
      <c r="AO64" s="1597" t="inlineStr">
        <is>
          <t>.</t>
        </is>
      </c>
      <c r="AP64" s="1597">
        <f>AP63+1</f>
        <v/>
      </c>
      <c r="AQ64" s="1636">
        <f>'@Refr'!O20</f>
        <v/>
      </c>
      <c r="AR64" s="1598">
        <f>_xlfn.XLOOKUP(citySeq3[[#This Row],[city]],ccc[city],ccc[ctry],"-")</f>
        <v/>
      </c>
      <c r="AS64" s="1604">
        <f>_xlfn.MINIFS(stayCity[in], stayCity[city], citySeq3[[#This Row],[city]])</f>
        <v/>
      </c>
      <c r="AT64" s="1637">
        <f>_xlfn.MAXIFS(stayCity[out], stayCity[city], citySeq3[[#This Row],[city]])</f>
        <v/>
      </c>
      <c r="AU64" s="1638">
        <f>_xlfn.XLOOKUP(citySeq3[[#This Row],[seq]],stayCity[stay],stayCity[in],"-")</f>
        <v/>
      </c>
      <c r="AV64" s="1638">
        <f>_xlfn.XLOOKUP(citySeq3[[#This Row],[seq]],stayCity[stay],stayCity[out],"-")</f>
        <v/>
      </c>
      <c r="AW64" s="1603">
        <f t="array" ref="AW64">MAX(IF(stayCity[city]=citySeq3[[#This Row],[city]],stayCity[stay]))</f>
        <v/>
      </c>
      <c r="AX64" s="1603">
        <f t="array" ref="AX64">ROWS(_xlfn.UNIQUE(_xlfn._xlws.FILTER(raw[yr], raw[city]=citySeq3[[#This Row],[city]])))</f>
        <v/>
      </c>
      <c r="AY64" s="1603">
        <f>_xlfn.XLOOKUP(citySeq3[[#This Row],[city]],cities[city],cities[stay])</f>
        <v/>
      </c>
      <c r="AZ64" s="1666" t="n"/>
      <c r="BA64" s="1612" t="n"/>
      <c r="BB64" s="1612" t="n"/>
      <c r="BC64" s="1612" t="n"/>
      <c r="BD64" s="1612" t="n"/>
      <c r="BE64" s="1612" t="n"/>
      <c r="BF64" s="1612" t="n"/>
      <c r="BG64" s="1612" t="n"/>
      <c r="BH64" s="1612" t="n"/>
      <c r="BI64" s="1612" t="n"/>
      <c r="BJ64" s="1612" t="n"/>
      <c r="BK64" s="1612" t="n"/>
      <c r="BL64" s="1612" t="n"/>
      <c r="BM64" s="1612" t="n"/>
      <c r="BN64" s="1612" t="n"/>
      <c r="BO64" s="1612" t="n"/>
      <c r="BP64" s="1612" t="n"/>
      <c r="BQ64" s="1612" t="n"/>
      <c r="BR64" s="1612" t="n"/>
      <c r="BS64" s="1612" t="n"/>
      <c r="BT64" s="1612" t="n"/>
      <c r="BU64" s="1612" t="n"/>
      <c r="BV64" s="1612" t="n"/>
      <c r="BW64" s="1612" t="n"/>
      <c r="BX64" s="1612" t="n"/>
      <c r="BY64" s="1612" t="n"/>
      <c r="BZ64" s="1612" t="n"/>
      <c r="CA64" s="1612" t="n"/>
      <c r="CB64" s="1612" t="n"/>
      <c r="CC64" s="1612" t="n"/>
      <c r="CD64" s="1612" t="n"/>
      <c r="CE64" s="1612" t="n"/>
      <c r="CF64" s="1612" t="n"/>
    </row>
    <row r="65" ht="14" customHeight="1">
      <c r="A65" s="1690" t="n"/>
      <c r="B65" s="1673" t="n"/>
      <c r="C65" s="1647">
        <f>INT(SUM(H65:AN65))</f>
        <v/>
      </c>
      <c r="D65" s="1673" t="n"/>
      <c r="E65" s="1673" t="n"/>
      <c r="F65" s="1596" t="inlineStr">
        <is>
          <t>.</t>
        </is>
      </c>
      <c r="G65" s="1699" t="inlineStr">
        <is>
          <t>Aracaju</t>
        </is>
      </c>
      <c r="H65" s="1610">
        <f>SUMIFS(raw[stay],raw[city],BRcity[[#This Row],[city]],raw[yr],H$51)</f>
        <v/>
      </c>
      <c r="I65" s="1610">
        <f>SUMIFS(raw[stay],raw[city],BRcity[[#This Row],[city]],raw[yr],I$51)</f>
        <v/>
      </c>
      <c r="J65" s="1610">
        <f>SUMIFS(raw[stay],raw[city],BRcity[[#This Row],[city]],raw[yr],J$51)</f>
        <v/>
      </c>
      <c r="K65" s="1610">
        <f>SUMIFS(raw[stay],raw[city],BRcity[[#This Row],[city]],raw[yr],K$51)</f>
        <v/>
      </c>
      <c r="L65" s="1610">
        <f>SUMIFS(raw[stay],raw[city],BRcity[[#This Row],[city]],raw[yr],L$51)</f>
        <v/>
      </c>
      <c r="M65" s="1610">
        <f>SUMIFS(raw[stay],raw[city],BRcity[[#This Row],[city]],raw[yr],M$51)</f>
        <v/>
      </c>
      <c r="N65" s="1610">
        <f>SUMIFS(raw[stay],raw[city],BRcity[[#This Row],[city]],raw[yr],N$51)</f>
        <v/>
      </c>
      <c r="O65" s="1610">
        <f>SUMIFS(raw[stay],raw[city],BRcity[[#This Row],[city]],raw[yr],O$51)</f>
        <v/>
      </c>
      <c r="P65" s="1610">
        <f>SUMIFS(raw[stay],raw[city],BRcity[[#This Row],[city]],raw[yr],P$51)</f>
        <v/>
      </c>
      <c r="Q65" s="1610">
        <f>SUMIFS(raw[stay],raw[city],BRcity[[#This Row],[city]],raw[yr],Q$51)</f>
        <v/>
      </c>
      <c r="R65" s="1610">
        <f>SUMIFS(raw[stay],raw[city],BRcity[[#This Row],[city]],raw[yr],R$51)</f>
        <v/>
      </c>
      <c r="S65" s="1610">
        <f>SUMIFS(raw[stay],raw[city],BRcity[[#This Row],[city]],raw[yr],S$51)</f>
        <v/>
      </c>
      <c r="T65" s="1610">
        <f>SUMIFS(raw[stay],raw[city],BRcity[[#This Row],[city]],raw[yr],T$51)</f>
        <v/>
      </c>
      <c r="U65" s="1610">
        <f>SUMIFS(raw[stay],raw[city],BRcity[[#This Row],[city]],raw[yr],U$51)</f>
        <v/>
      </c>
      <c r="V65" s="1610">
        <f>SUMIFS(raw[stay],raw[city],BRcity[[#This Row],[city]],raw[yr],V$51)</f>
        <v/>
      </c>
      <c r="W65" s="1610">
        <f>SUMIFS(raw[stay],raw[city],BRcity[[#This Row],[city]],raw[yr],W$51)</f>
        <v/>
      </c>
      <c r="X65" s="1610">
        <f>SUMIFS(raw[stay],raw[city],BRcity[[#This Row],[city]],raw[yr],X$51)</f>
        <v/>
      </c>
      <c r="Y65" s="1610">
        <f>SUMIFS(raw[stay],raw[city],BRcity[[#This Row],[city]],raw[yr],Y$51)</f>
        <v/>
      </c>
      <c r="Z65" s="1610">
        <f>SUMIFS(raw[stay],raw[city],BRcity[[#This Row],[city]],raw[yr],Z$51)</f>
        <v/>
      </c>
      <c r="AA65" s="1610">
        <f>SUMIFS(raw[stay],raw[city],BRcity[[#This Row],[city]],raw[yr],AA$51)</f>
        <v/>
      </c>
      <c r="AB65" s="1610">
        <f>SUMIFS(raw[stay],raw[city],BRcity[[#This Row],[city]],raw[yr],AB$51)</f>
        <v/>
      </c>
      <c r="AC65" s="1610">
        <f>SUMIFS(raw[stay],raw[city],BRcity[[#This Row],[city]],raw[yr],AC$51)</f>
        <v/>
      </c>
      <c r="AD65" s="1610">
        <f>SUMIFS(raw[stay],raw[city],BRcity[[#This Row],[city]],raw[yr],AD$51)</f>
        <v/>
      </c>
      <c r="AE65" s="1610">
        <f>SUMIFS(raw[stay],raw[city],BRcity[[#This Row],[city]],raw[yr],AE$51)</f>
        <v/>
      </c>
      <c r="AF65" s="1610">
        <f>SUMIFS(raw[stay],raw[city],BRcity[[#This Row],[city]],raw[yr],AF$51)</f>
        <v/>
      </c>
      <c r="AG65" s="1610">
        <f>SUMIFS(raw[stay],raw[city],BRcity[[#This Row],[city]],raw[yr],AG$51)</f>
        <v/>
      </c>
      <c r="AH65" s="1610">
        <f>SUMIFS(raw[stay],raw[city],BRcity[[#This Row],[city]],raw[yr],AH$51)</f>
        <v/>
      </c>
      <c r="AI65" s="1610">
        <f>SUMIFS(raw[stay],raw[city],BRcity[[#This Row],[city]],raw[yr],AI$51)</f>
        <v/>
      </c>
      <c r="AJ65" s="1610">
        <f>SUMIFS(raw[stay],raw[city],BRcity[[#This Row],[city]],raw[yr],AJ$51)</f>
        <v/>
      </c>
      <c r="AK65" s="1610">
        <f>SUMIFS(raw[stay],raw[city],BRcity[[#This Row],[city]],raw[yr],AK$51)</f>
        <v/>
      </c>
      <c r="AL65" s="1610">
        <f>SUMIFS(raw[stay],raw[city],BRcity[[#This Row],[city]],raw[yr],AL$51)</f>
        <v/>
      </c>
      <c r="AM65" s="1610">
        <f>SUMIFS(raw[stay],raw[city],BRcity[[#This Row],[city]],raw[yr],AM$51)</f>
        <v/>
      </c>
      <c r="AN65" s="1610">
        <f>SUMIFS(raw[stay],raw[city],BRcity[[#This Row],[city]],raw[yr],AN$51)</f>
        <v/>
      </c>
      <c r="AO65" s="1597" t="inlineStr">
        <is>
          <t>.</t>
        </is>
      </c>
      <c r="AP65" s="1597">
        <f>AP64+1</f>
        <v/>
      </c>
      <c r="AQ65" s="1636">
        <f>'@Refr'!O21</f>
        <v/>
      </c>
      <c r="AR65" s="1598">
        <f>_xlfn.XLOOKUP(citySeq3[[#This Row],[city]],ccc[city],ccc[ctry],"-")</f>
        <v/>
      </c>
      <c r="AS65" s="1604">
        <f>_xlfn.MINIFS(stayCity[in], stayCity[city], citySeq3[[#This Row],[city]])</f>
        <v/>
      </c>
      <c r="AT65" s="1637">
        <f>_xlfn.MAXIFS(stayCity[out], stayCity[city], citySeq3[[#This Row],[city]])</f>
        <v/>
      </c>
      <c r="AU65" s="1638">
        <f>_xlfn.XLOOKUP(citySeq3[[#This Row],[seq]],stayCity[stay],stayCity[in],"-")</f>
        <v/>
      </c>
      <c r="AV65" s="1638">
        <f>_xlfn.XLOOKUP(citySeq3[[#This Row],[seq]],stayCity[stay],stayCity[out],"-")</f>
        <v/>
      </c>
      <c r="AW65" s="1603">
        <f t="array" ref="AW65">MAX(IF(stayCity[city]=citySeq3[[#This Row],[city]],stayCity[stay]))</f>
        <v/>
      </c>
      <c r="AX65" s="1603">
        <f t="array" ref="AX65">ROWS(_xlfn.UNIQUE(_xlfn._xlws.FILTER(raw[yr], raw[city]=citySeq3[[#This Row],[city]])))</f>
        <v/>
      </c>
      <c r="AY65" s="1603">
        <f>_xlfn.XLOOKUP(citySeq3[[#This Row],[city]],cities[city],cities[stay])</f>
        <v/>
      </c>
      <c r="AZ65" s="1666" t="n"/>
      <c r="BA65" s="1612" t="n"/>
      <c r="BB65" s="1612" t="n"/>
      <c r="BC65" s="1612" t="n"/>
      <c r="BD65" s="1612" t="n"/>
      <c r="BE65" s="1612" t="n"/>
      <c r="BF65" s="1612" t="n"/>
      <c r="BG65" s="1612" t="n"/>
      <c r="BH65" s="1612" t="n"/>
      <c r="BI65" s="1612" t="n"/>
      <c r="BJ65" s="1612" t="n"/>
      <c r="BK65" s="1612" t="n"/>
      <c r="BL65" s="1612" t="n"/>
      <c r="BM65" s="1612" t="n"/>
      <c r="BN65" s="1612" t="n"/>
      <c r="BO65" s="1612" t="n"/>
      <c r="BP65" s="1612" t="n"/>
      <c r="BQ65" s="1612" t="n"/>
      <c r="BR65" s="1612" t="n"/>
      <c r="BS65" s="1612" t="n"/>
      <c r="BT65" s="1612" t="n"/>
      <c r="BU65" s="1612" t="n"/>
      <c r="BV65" s="1612" t="n"/>
      <c r="BW65" s="1612" t="n"/>
      <c r="BX65" s="1612" t="n"/>
      <c r="BY65" s="1612" t="n"/>
      <c r="BZ65" s="1612" t="n"/>
      <c r="CA65" s="1612" t="n"/>
      <c r="CB65" s="1612" t="n"/>
      <c r="CC65" s="1612" t="n"/>
      <c r="CD65" s="1612" t="n"/>
      <c r="CE65" s="1612" t="n"/>
      <c r="CF65" s="1612" t="n"/>
    </row>
    <row r="66" ht="14" customHeight="1">
      <c r="A66" s="1697" t="n"/>
      <c r="B66" s="1677" t="n"/>
      <c r="C66" s="1652">
        <f>INT(SUM(H66:AN66))</f>
        <v/>
      </c>
      <c r="D66" s="1677" t="n"/>
      <c r="E66" s="1677" t="n"/>
      <c r="F66" s="1615" t="inlineStr">
        <is>
          <t>.</t>
        </is>
      </c>
      <c r="G66" s="1699" t="inlineStr">
        <is>
          <t>Porto Seguro</t>
        </is>
      </c>
      <c r="H66" s="1610">
        <f>SUMIFS(raw[stay],raw[city],BRcity[[#This Row],[city]],raw[yr],H$51)</f>
        <v/>
      </c>
      <c r="I66" s="1610">
        <f>SUMIFS(raw[stay],raw[city],BRcity[[#This Row],[city]],raw[yr],I$51)</f>
        <v/>
      </c>
      <c r="J66" s="1610">
        <f>SUMIFS(raw[stay],raw[city],BRcity[[#This Row],[city]],raw[yr],J$51)</f>
        <v/>
      </c>
      <c r="K66" s="1610">
        <f>SUMIFS(raw[stay],raw[city],BRcity[[#This Row],[city]],raw[yr],K$51)</f>
        <v/>
      </c>
      <c r="L66" s="1610">
        <f>SUMIFS(raw[stay],raw[city],BRcity[[#This Row],[city]],raw[yr],L$51)</f>
        <v/>
      </c>
      <c r="M66" s="1610">
        <f>SUMIFS(raw[stay],raw[city],BRcity[[#This Row],[city]],raw[yr],M$51)</f>
        <v/>
      </c>
      <c r="N66" s="1610">
        <f>SUMIFS(raw[stay],raw[city],BRcity[[#This Row],[city]],raw[yr],N$51)</f>
        <v/>
      </c>
      <c r="O66" s="1610">
        <f>SUMIFS(raw[stay],raw[city],BRcity[[#This Row],[city]],raw[yr],O$51)</f>
        <v/>
      </c>
      <c r="P66" s="1610">
        <f>SUMIFS(raw[stay],raw[city],BRcity[[#This Row],[city]],raw[yr],P$51)</f>
        <v/>
      </c>
      <c r="Q66" s="1610">
        <f>SUMIFS(raw[stay],raw[city],BRcity[[#This Row],[city]],raw[yr],Q$51)</f>
        <v/>
      </c>
      <c r="R66" s="1610">
        <f>SUMIFS(raw[stay],raw[city],BRcity[[#This Row],[city]],raw[yr],R$51)</f>
        <v/>
      </c>
      <c r="S66" s="1610">
        <f>SUMIFS(raw[stay],raw[city],BRcity[[#This Row],[city]],raw[yr],S$51)</f>
        <v/>
      </c>
      <c r="T66" s="1610">
        <f>SUMIFS(raw[stay],raw[city],BRcity[[#This Row],[city]],raw[yr],T$51)</f>
        <v/>
      </c>
      <c r="U66" s="1610">
        <f>SUMIFS(raw[stay],raw[city],BRcity[[#This Row],[city]],raw[yr],U$51)</f>
        <v/>
      </c>
      <c r="V66" s="1610">
        <f>SUMIFS(raw[stay],raw[city],BRcity[[#This Row],[city]],raw[yr],V$51)</f>
        <v/>
      </c>
      <c r="W66" s="1610">
        <f>SUMIFS(raw[stay],raw[city],BRcity[[#This Row],[city]],raw[yr],W$51)</f>
        <v/>
      </c>
      <c r="X66" s="1610">
        <f>SUMIFS(raw[stay],raw[city],BRcity[[#This Row],[city]],raw[yr],X$51)</f>
        <v/>
      </c>
      <c r="Y66" s="1610">
        <f>SUMIFS(raw[stay],raw[city],BRcity[[#This Row],[city]],raw[yr],Y$51)</f>
        <v/>
      </c>
      <c r="Z66" s="1610">
        <f>SUMIFS(raw[stay],raw[city],BRcity[[#This Row],[city]],raw[yr],Z$51)</f>
        <v/>
      </c>
      <c r="AA66" s="1610">
        <f>SUMIFS(raw[stay],raw[city],BRcity[[#This Row],[city]],raw[yr],AA$51)</f>
        <v/>
      </c>
      <c r="AB66" s="1610">
        <f>SUMIFS(raw[stay],raw[city],BRcity[[#This Row],[city]],raw[yr],AB$51)</f>
        <v/>
      </c>
      <c r="AC66" s="1610">
        <f>SUMIFS(raw[stay],raw[city],BRcity[[#This Row],[city]],raw[yr],AC$51)</f>
        <v/>
      </c>
      <c r="AD66" s="1610">
        <f>SUMIFS(raw[stay],raw[city],BRcity[[#This Row],[city]],raw[yr],AD$51)</f>
        <v/>
      </c>
      <c r="AE66" s="1610">
        <f>SUMIFS(raw[stay],raw[city],BRcity[[#This Row],[city]],raw[yr],AE$51)</f>
        <v/>
      </c>
      <c r="AF66" s="1610">
        <f>SUMIFS(raw[stay],raw[city],BRcity[[#This Row],[city]],raw[yr],AF$51)</f>
        <v/>
      </c>
      <c r="AG66" s="1610">
        <f>SUMIFS(raw[stay],raw[city],BRcity[[#This Row],[city]],raw[yr],AG$51)</f>
        <v/>
      </c>
      <c r="AH66" s="1610">
        <f>SUMIFS(raw[stay],raw[city],BRcity[[#This Row],[city]],raw[yr],AH$51)</f>
        <v/>
      </c>
      <c r="AI66" s="1610">
        <f>SUMIFS(raw[stay],raw[city],BRcity[[#This Row],[city]],raw[yr],AI$51)</f>
        <v/>
      </c>
      <c r="AJ66" s="1610">
        <f>SUMIFS(raw[stay],raw[city],BRcity[[#This Row],[city]],raw[yr],AJ$51)</f>
        <v/>
      </c>
      <c r="AK66" s="1610">
        <f>SUMIFS(raw[stay],raw[city],BRcity[[#This Row],[city]],raw[yr],AK$51)</f>
        <v/>
      </c>
      <c r="AL66" s="1610">
        <f>SUMIFS(raw[stay],raw[city],BRcity[[#This Row],[city]],raw[yr],AL$51)</f>
        <v/>
      </c>
      <c r="AM66" s="1610">
        <f>SUMIFS(raw[stay],raw[city],BRcity[[#This Row],[city]],raw[yr],AM$51)</f>
        <v/>
      </c>
      <c r="AN66" s="1610">
        <f>SUMIFS(raw[stay],raw[city],BRcity[[#This Row],[city]],raw[yr],AN$51)</f>
        <v/>
      </c>
      <c r="AO66" s="1597" t="inlineStr">
        <is>
          <t>.</t>
        </is>
      </c>
      <c r="AP66" s="1597">
        <f>AP65+1</f>
        <v/>
      </c>
      <c r="AQ66" s="1636">
        <f>'@Refr'!O22</f>
        <v/>
      </c>
      <c r="AR66" s="1598">
        <f>_xlfn.XLOOKUP(citySeq3[[#This Row],[city]],ccc[city],ccc[ctry],"-")</f>
        <v/>
      </c>
      <c r="AS66" s="1604">
        <f>_xlfn.MINIFS(stayCity[in], stayCity[city], citySeq3[[#This Row],[city]])</f>
        <v/>
      </c>
      <c r="AT66" s="1637">
        <f>_xlfn.MAXIFS(stayCity[out], stayCity[city], citySeq3[[#This Row],[city]])</f>
        <v/>
      </c>
      <c r="AU66" s="1638">
        <f>_xlfn.XLOOKUP(citySeq3[[#This Row],[seq]],stayCity[stay],stayCity[in],"-")</f>
        <v/>
      </c>
      <c r="AV66" s="1638">
        <f>_xlfn.XLOOKUP(citySeq3[[#This Row],[seq]],stayCity[stay],stayCity[out],"-")</f>
        <v/>
      </c>
      <c r="AW66" s="1603">
        <f t="array" ref="AW66">MAX(IF(stayCity[city]=citySeq3[[#This Row],[city]],stayCity[stay]))</f>
        <v/>
      </c>
      <c r="AX66" s="1603">
        <f t="array" ref="AX66">ROWS(_xlfn.UNIQUE(_xlfn._xlws.FILTER(raw[yr], raw[city]=citySeq3[[#This Row],[city]])))</f>
        <v/>
      </c>
      <c r="AY66" s="1603">
        <f>_xlfn.XLOOKUP(citySeq3[[#This Row],[city]],cities[city],cities[stay])</f>
        <v/>
      </c>
      <c r="AZ66" s="1666" t="n"/>
      <c r="BA66" s="1612" t="n"/>
      <c r="BB66" s="1612" t="n"/>
      <c r="BC66" s="1612" t="n"/>
      <c r="BD66" s="1612" t="n"/>
      <c r="BE66" s="1612" t="n"/>
      <c r="BF66" s="1612" t="n"/>
      <c r="BG66" s="1612" t="n"/>
      <c r="BH66" s="1612" t="n"/>
      <c r="BI66" s="1612" t="n"/>
      <c r="BJ66" s="1612" t="n"/>
      <c r="BK66" s="1612" t="n"/>
      <c r="BL66" s="1612" t="n"/>
      <c r="BM66" s="1612" t="n"/>
      <c r="BN66" s="1612" t="n"/>
      <c r="BO66" s="1612" t="n"/>
      <c r="BP66" s="1612" t="n"/>
      <c r="BQ66" s="1612" t="n"/>
      <c r="BR66" s="1612" t="n"/>
      <c r="BS66" s="1612" t="n"/>
      <c r="BT66" s="1612" t="n"/>
      <c r="BU66" s="1612" t="n"/>
      <c r="BV66" s="1612" t="n"/>
      <c r="BW66" s="1612" t="n"/>
      <c r="BX66" s="1612" t="n"/>
      <c r="BY66" s="1612" t="n"/>
      <c r="BZ66" s="1612" t="n"/>
      <c r="CA66" s="1612" t="n"/>
      <c r="CB66" s="1612" t="n"/>
      <c r="CC66" s="1612" t="n"/>
      <c r="CD66" s="1612" t="n"/>
      <c r="CE66" s="1612" t="n"/>
      <c r="CF66" s="1612" t="n"/>
    </row>
    <row r="67" ht="14" customHeight="1">
      <c r="A67" s="1690" t="n"/>
      <c r="B67" s="1673" t="n"/>
      <c r="C67" s="1647">
        <f>INT(SUM(H67:AN67))</f>
        <v/>
      </c>
      <c r="D67" s="1673" t="n"/>
      <c r="E67" s="1673" t="n"/>
      <c r="F67" s="1596" t="inlineStr">
        <is>
          <t>.</t>
        </is>
      </c>
      <c r="G67" s="1699" t="inlineStr">
        <is>
          <t>PF</t>
        </is>
      </c>
      <c r="H67" s="1610">
        <f>SUMIFS(raw[stay],raw[city],BRcity[[#This Row],[city]],raw[yr],H$51)</f>
        <v/>
      </c>
      <c r="I67" s="1610">
        <f>SUMIFS(raw[stay],raw[city],BRcity[[#This Row],[city]],raw[yr],I$51)</f>
        <v/>
      </c>
      <c r="J67" s="1610">
        <f>SUMIFS(raw[stay],raw[city],BRcity[[#This Row],[city]],raw[yr],J$51)</f>
        <v/>
      </c>
      <c r="K67" s="1610">
        <f>SUMIFS(raw[stay],raw[city],BRcity[[#This Row],[city]],raw[yr],K$51)</f>
        <v/>
      </c>
      <c r="L67" s="1610">
        <f>SUMIFS(raw[stay],raw[city],BRcity[[#This Row],[city]],raw[yr],L$51)</f>
        <v/>
      </c>
      <c r="M67" s="1610">
        <f>SUMIFS(raw[stay],raw[city],BRcity[[#This Row],[city]],raw[yr],M$51)</f>
        <v/>
      </c>
      <c r="N67" s="1610">
        <f>SUMIFS(raw[stay],raw[city],BRcity[[#This Row],[city]],raw[yr],N$51)</f>
        <v/>
      </c>
      <c r="O67" s="1610">
        <f>SUMIFS(raw[stay],raw[city],BRcity[[#This Row],[city]],raw[yr],O$51)</f>
        <v/>
      </c>
      <c r="P67" s="1610">
        <f>SUMIFS(raw[stay],raw[city],BRcity[[#This Row],[city]],raw[yr],P$51)</f>
        <v/>
      </c>
      <c r="Q67" s="1610">
        <f>SUMIFS(raw[stay],raw[city],BRcity[[#This Row],[city]],raw[yr],Q$51)</f>
        <v/>
      </c>
      <c r="R67" s="1610">
        <f>SUMIFS(raw[stay],raw[city],BRcity[[#This Row],[city]],raw[yr],R$51)</f>
        <v/>
      </c>
      <c r="S67" s="1610">
        <f>SUMIFS(raw[stay],raw[city],BRcity[[#This Row],[city]],raw[yr],S$51)</f>
        <v/>
      </c>
      <c r="T67" s="1610">
        <f>SUMIFS(raw[stay],raw[city],BRcity[[#This Row],[city]],raw[yr],T$51)</f>
        <v/>
      </c>
      <c r="U67" s="1610">
        <f>SUMIFS(raw[stay],raw[city],BRcity[[#This Row],[city]],raw[yr],U$51)</f>
        <v/>
      </c>
      <c r="V67" s="1610">
        <f>SUMIFS(raw[stay],raw[city],BRcity[[#This Row],[city]],raw[yr],V$51)</f>
        <v/>
      </c>
      <c r="W67" s="1610">
        <f>SUMIFS(raw[stay],raw[city],BRcity[[#This Row],[city]],raw[yr],W$51)</f>
        <v/>
      </c>
      <c r="X67" s="1610">
        <f>SUMIFS(raw[stay],raw[city],BRcity[[#This Row],[city]],raw[yr],X$51)</f>
        <v/>
      </c>
      <c r="Y67" s="1610">
        <f>SUMIFS(raw[stay],raw[city],BRcity[[#This Row],[city]],raw[yr],Y$51)</f>
        <v/>
      </c>
      <c r="Z67" s="1610">
        <f>SUMIFS(raw[stay],raw[city],BRcity[[#This Row],[city]],raw[yr],Z$51)</f>
        <v/>
      </c>
      <c r="AA67" s="1610">
        <f>SUMIFS(raw[stay],raw[city],BRcity[[#This Row],[city]],raw[yr],AA$51)</f>
        <v/>
      </c>
      <c r="AB67" s="1610">
        <f>SUMIFS(raw[stay],raw[city],BRcity[[#This Row],[city]],raw[yr],AB$51)</f>
        <v/>
      </c>
      <c r="AC67" s="1610">
        <f>SUMIFS(raw[stay],raw[city],BRcity[[#This Row],[city]],raw[yr],AC$51)</f>
        <v/>
      </c>
      <c r="AD67" s="1610">
        <f>SUMIFS(raw[stay],raw[city],BRcity[[#This Row],[city]],raw[yr],AD$51)</f>
        <v/>
      </c>
      <c r="AE67" s="1610">
        <f>SUMIFS(raw[stay],raw[city],BRcity[[#This Row],[city]],raw[yr],AE$51)</f>
        <v/>
      </c>
      <c r="AF67" s="1610">
        <f>SUMIFS(raw[stay],raw[city],BRcity[[#This Row],[city]],raw[yr],AF$51)</f>
        <v/>
      </c>
      <c r="AG67" s="1610">
        <f>SUMIFS(raw[stay],raw[city],BRcity[[#This Row],[city]],raw[yr],AG$51)</f>
        <v/>
      </c>
      <c r="AH67" s="1610">
        <f>SUMIFS(raw[stay],raw[city],BRcity[[#This Row],[city]],raw[yr],AH$51)</f>
        <v/>
      </c>
      <c r="AI67" s="1610">
        <f>SUMIFS(raw[stay],raw[city],BRcity[[#This Row],[city]],raw[yr],AI$51)</f>
        <v/>
      </c>
      <c r="AJ67" s="1610">
        <f>SUMIFS(raw[stay],raw[city],BRcity[[#This Row],[city]],raw[yr],AJ$51)</f>
        <v/>
      </c>
      <c r="AK67" s="1610">
        <f>SUMIFS(raw[stay],raw[city],BRcity[[#This Row],[city]],raw[yr],AK$51)</f>
        <v/>
      </c>
      <c r="AL67" s="1610">
        <f>SUMIFS(raw[stay],raw[city],BRcity[[#This Row],[city]],raw[yr],AL$51)</f>
        <v/>
      </c>
      <c r="AM67" s="1610">
        <f>SUMIFS(raw[stay],raw[city],BRcity[[#This Row],[city]],raw[yr],AM$51)</f>
        <v/>
      </c>
      <c r="AN67" s="1610">
        <f>SUMIFS(raw[stay],raw[city],BRcity[[#This Row],[city]],raw[yr],AN$51)</f>
        <v/>
      </c>
      <c r="AO67" s="1597" t="inlineStr">
        <is>
          <t>.</t>
        </is>
      </c>
      <c r="AP67" s="1597">
        <f>AP66+1</f>
        <v/>
      </c>
      <c r="AQ67" s="1636">
        <f>'@Refr'!O23</f>
        <v/>
      </c>
      <c r="AR67" s="1598">
        <f>_xlfn.XLOOKUP(citySeq3[[#This Row],[city]],ccc[city],ccc[ctry],"-")</f>
        <v/>
      </c>
      <c r="AS67" s="1604">
        <f>_xlfn.MINIFS(stayCity[in], stayCity[city], citySeq3[[#This Row],[city]])</f>
        <v/>
      </c>
      <c r="AT67" s="1637">
        <f>_xlfn.MAXIFS(stayCity[out], stayCity[city], citySeq3[[#This Row],[city]])</f>
        <v/>
      </c>
      <c r="AU67" s="1638">
        <f>_xlfn.XLOOKUP(citySeq3[[#This Row],[seq]],stayCity[stay],stayCity[in],"-")</f>
        <v/>
      </c>
      <c r="AV67" s="1638">
        <f>_xlfn.XLOOKUP(citySeq3[[#This Row],[seq]],stayCity[stay],stayCity[out],"-")</f>
        <v/>
      </c>
      <c r="AW67" s="1603">
        <f t="array" ref="AW67">MAX(IF(stayCity[city]=citySeq3[[#This Row],[city]],stayCity[stay]))</f>
        <v/>
      </c>
      <c r="AX67" s="1603">
        <f t="array" ref="AX67">ROWS(_xlfn.UNIQUE(_xlfn._xlws.FILTER(raw[yr], raw[city]=citySeq3[[#This Row],[city]])))</f>
        <v/>
      </c>
      <c r="AY67" s="1603">
        <f>_xlfn.XLOOKUP(citySeq3[[#This Row],[city]],cities[city],cities[stay])</f>
        <v/>
      </c>
      <c r="AZ67" s="1666" t="n"/>
      <c r="BA67" s="1612" t="n"/>
      <c r="BB67" s="1612" t="n"/>
      <c r="BC67" s="1612" t="n"/>
      <c r="BD67" s="1612" t="n"/>
      <c r="BE67" s="1612" t="n"/>
      <c r="BF67" s="1612" t="n"/>
      <c r="BG67" s="1612" t="n"/>
      <c r="BH67" s="1612" t="n"/>
      <c r="BI67" s="1612" t="n"/>
      <c r="BJ67" s="1612" t="n"/>
      <c r="BK67" s="1612" t="n"/>
      <c r="BL67" s="1612" t="n"/>
      <c r="BM67" s="1612" t="n"/>
      <c r="BN67" s="1612" t="n"/>
      <c r="BO67" s="1612" t="n"/>
      <c r="BP67" s="1612" t="n"/>
      <c r="BQ67" s="1612" t="n"/>
      <c r="BR67" s="1612" t="n"/>
      <c r="BS67" s="1612" t="n"/>
      <c r="BT67" s="1612" t="n"/>
      <c r="BU67" s="1612" t="n"/>
      <c r="BV67" s="1612" t="n"/>
      <c r="BW67" s="1612" t="n"/>
      <c r="BX67" s="1612" t="n"/>
      <c r="BY67" s="1612" t="n"/>
      <c r="BZ67" s="1612" t="n"/>
      <c r="CA67" s="1612" t="n"/>
      <c r="CB67" s="1612" t="n"/>
      <c r="CC67" s="1612" t="n"/>
      <c r="CD67" s="1612" t="n"/>
      <c r="CE67" s="1612" t="n"/>
      <c r="CF67" s="1612" t="n"/>
    </row>
    <row r="68" ht="14" customHeight="1">
      <c r="A68" s="1697" t="n"/>
      <c r="B68" s="1677" t="n"/>
      <c r="C68" s="1652">
        <f>INT(SUM(H68:AN68))</f>
        <v/>
      </c>
      <c r="D68" s="1677" t="n"/>
      <c r="E68" s="1677" t="n"/>
      <c r="F68" s="1615" t="inlineStr">
        <is>
          <t>.</t>
        </is>
      </c>
      <c r="G68" s="1699" t="n"/>
      <c r="H68" s="1610">
        <f>SUMIFS(raw[stay],raw[city],BRcity[[#This Row],[city]],raw[yr],H$51)</f>
        <v/>
      </c>
      <c r="I68" s="1610">
        <f>SUMIFS(raw[stay],raw[city],BRcity[[#This Row],[city]],raw[yr],I$51)</f>
        <v/>
      </c>
      <c r="J68" s="1610">
        <f>SUMIFS(raw[stay],raw[city],BRcity[[#This Row],[city]],raw[yr],J$51)</f>
        <v/>
      </c>
      <c r="K68" s="1610">
        <f>SUMIFS(raw[stay],raw[city],BRcity[[#This Row],[city]],raw[yr],K$51)</f>
        <v/>
      </c>
      <c r="L68" s="1610">
        <f>SUMIFS(raw[stay],raw[city],BRcity[[#This Row],[city]],raw[yr],L$51)</f>
        <v/>
      </c>
      <c r="M68" s="1610">
        <f>SUMIFS(raw[stay],raw[city],BRcity[[#This Row],[city]],raw[yr],M$51)</f>
        <v/>
      </c>
      <c r="N68" s="1610">
        <f>SUMIFS(raw[stay],raw[city],BRcity[[#This Row],[city]],raw[yr],N$51)</f>
        <v/>
      </c>
      <c r="O68" s="1610">
        <f>SUMIFS(raw[stay],raw[city],BRcity[[#This Row],[city]],raw[yr],O$51)</f>
        <v/>
      </c>
      <c r="P68" s="1610">
        <f>SUMIFS(raw[stay],raw[city],BRcity[[#This Row],[city]],raw[yr],P$51)</f>
        <v/>
      </c>
      <c r="Q68" s="1610">
        <f>SUMIFS(raw[stay],raw[city],BRcity[[#This Row],[city]],raw[yr],Q$51)</f>
        <v/>
      </c>
      <c r="R68" s="1610">
        <f>SUMIFS(raw[stay],raw[city],BRcity[[#This Row],[city]],raw[yr],R$51)</f>
        <v/>
      </c>
      <c r="S68" s="1610">
        <f>SUMIFS(raw[stay],raw[city],BRcity[[#This Row],[city]],raw[yr],S$51)</f>
        <v/>
      </c>
      <c r="T68" s="1610">
        <f>SUMIFS(raw[stay],raw[city],BRcity[[#This Row],[city]],raw[yr],T$51)</f>
        <v/>
      </c>
      <c r="U68" s="1610">
        <f>SUMIFS(raw[stay],raw[city],BRcity[[#This Row],[city]],raw[yr],U$51)</f>
        <v/>
      </c>
      <c r="V68" s="1610">
        <f>SUMIFS(raw[stay],raw[city],BRcity[[#This Row],[city]],raw[yr],V$51)</f>
        <v/>
      </c>
      <c r="W68" s="1610">
        <f>SUMIFS(raw[stay],raw[city],BRcity[[#This Row],[city]],raw[yr],W$51)</f>
        <v/>
      </c>
      <c r="X68" s="1610">
        <f>SUMIFS(raw[stay],raw[city],BRcity[[#This Row],[city]],raw[yr],X$51)</f>
        <v/>
      </c>
      <c r="Y68" s="1610">
        <f>SUMIFS(raw[stay],raw[city],BRcity[[#This Row],[city]],raw[yr],Y$51)</f>
        <v/>
      </c>
      <c r="Z68" s="1610">
        <f>SUMIFS(raw[stay],raw[city],BRcity[[#This Row],[city]],raw[yr],Z$51)</f>
        <v/>
      </c>
      <c r="AA68" s="1610">
        <f>SUMIFS(raw[stay],raw[city],BRcity[[#This Row],[city]],raw[yr],AA$51)</f>
        <v/>
      </c>
      <c r="AB68" s="1610">
        <f>SUMIFS(raw[stay],raw[city],BRcity[[#This Row],[city]],raw[yr],AB$51)</f>
        <v/>
      </c>
      <c r="AC68" s="1610">
        <f>SUMIFS(raw[stay],raw[city],BRcity[[#This Row],[city]],raw[yr],AC$51)</f>
        <v/>
      </c>
      <c r="AD68" s="1610">
        <f>SUMIFS(raw[stay],raw[city],BRcity[[#This Row],[city]],raw[yr],AD$51)</f>
        <v/>
      </c>
      <c r="AE68" s="1610">
        <f>SUMIFS(raw[stay],raw[city],BRcity[[#This Row],[city]],raw[yr],AE$51)</f>
        <v/>
      </c>
      <c r="AF68" s="1610">
        <f>SUMIFS(raw[stay],raw[city],BRcity[[#This Row],[city]],raw[yr],AF$51)</f>
        <v/>
      </c>
      <c r="AG68" s="1610">
        <f>SUMIFS(raw[stay],raw[city],BRcity[[#This Row],[city]],raw[yr],AG$51)</f>
        <v/>
      </c>
      <c r="AH68" s="1610">
        <f>SUMIFS(raw[stay],raw[city],BRcity[[#This Row],[city]],raw[yr],AH$51)</f>
        <v/>
      </c>
      <c r="AI68" s="1610">
        <f>SUMIFS(raw[stay],raw[city],BRcity[[#This Row],[city]],raw[yr],AI$51)</f>
        <v/>
      </c>
      <c r="AJ68" s="1610">
        <f>SUMIFS(raw[stay],raw[city],BRcity[[#This Row],[city]],raw[yr],AJ$51)</f>
        <v/>
      </c>
      <c r="AK68" s="1610">
        <f>SUMIFS(raw[stay],raw[city],BRcity[[#This Row],[city]],raw[yr],AK$51)</f>
        <v/>
      </c>
      <c r="AL68" s="1610">
        <f>SUMIFS(raw[stay],raw[city],BRcity[[#This Row],[city]],raw[yr],AL$51)</f>
        <v/>
      </c>
      <c r="AM68" s="1610">
        <f>SUMIFS(raw[stay],raw[city],BRcity[[#This Row],[city]],raw[yr],AM$51)</f>
        <v/>
      </c>
      <c r="AN68" s="1610">
        <f>SUMIFS(raw[stay],raw[city],BRcity[[#This Row],[city]],raw[yr],AN$51)</f>
        <v/>
      </c>
      <c r="AO68" s="1597" t="inlineStr">
        <is>
          <t>.</t>
        </is>
      </c>
      <c r="AP68" s="1597">
        <f>AP67+1</f>
        <v/>
      </c>
      <c r="AQ68" s="1636">
        <f>'@Refr'!O24</f>
        <v/>
      </c>
      <c r="AR68" s="1598">
        <f>_xlfn.XLOOKUP(citySeq3[[#This Row],[city]],ccc[city],ccc[ctry],"-")</f>
        <v/>
      </c>
      <c r="AS68" s="1604">
        <f>_xlfn.MINIFS(stayCity[in], stayCity[city], citySeq3[[#This Row],[city]])</f>
        <v/>
      </c>
      <c r="AT68" s="1637">
        <f>_xlfn.MAXIFS(stayCity[out], stayCity[city], citySeq3[[#This Row],[city]])</f>
        <v/>
      </c>
      <c r="AU68" s="1638">
        <f>_xlfn.XLOOKUP(citySeq3[[#This Row],[seq]],stayCity[stay],stayCity[in],"-")</f>
        <v/>
      </c>
      <c r="AV68" s="1638">
        <f>_xlfn.XLOOKUP(citySeq3[[#This Row],[seq]],stayCity[stay],stayCity[out],"-")</f>
        <v/>
      </c>
      <c r="AW68" s="1603">
        <f t="array" ref="AW68">MAX(IF(stayCity[city]=citySeq3[[#This Row],[city]],stayCity[stay]))</f>
        <v/>
      </c>
      <c r="AX68" s="1603">
        <f t="array" ref="AX68">ROWS(_xlfn.UNIQUE(_xlfn._xlws.FILTER(raw[yr], raw[city]=citySeq3[[#This Row],[city]])))</f>
        <v/>
      </c>
      <c r="AY68" s="1603">
        <f>_xlfn.XLOOKUP(citySeq3[[#This Row],[city]],cities[city],cities[stay])</f>
        <v/>
      </c>
      <c r="AZ68" s="1666" t="n"/>
      <c r="BA68" s="1612" t="n"/>
      <c r="BB68" s="1612" t="n"/>
      <c r="BC68" s="1612" t="n"/>
      <c r="BD68" s="1612" t="n"/>
      <c r="BE68" s="1612" t="n"/>
      <c r="BF68" s="1612" t="n"/>
      <c r="BG68" s="1612" t="n"/>
      <c r="BH68" s="1612" t="n"/>
      <c r="BI68" s="1612" t="n"/>
      <c r="BJ68" s="1612" t="n"/>
      <c r="BK68" s="1612" t="n"/>
      <c r="BL68" s="1612" t="n"/>
      <c r="BM68" s="1612" t="n"/>
      <c r="BN68" s="1612" t="n"/>
      <c r="BO68" s="1612" t="n"/>
      <c r="BP68" s="1612" t="n"/>
      <c r="BQ68" s="1612" t="n"/>
      <c r="BR68" s="1612" t="n"/>
      <c r="BS68" s="1612" t="n"/>
      <c r="BT68" s="1612" t="n"/>
      <c r="BU68" s="1612" t="n"/>
      <c r="BV68" s="1612" t="n"/>
      <c r="BW68" s="1612" t="n"/>
      <c r="BX68" s="1612" t="n"/>
      <c r="BY68" s="1612" t="n"/>
      <c r="BZ68" s="1612" t="n"/>
      <c r="CA68" s="1612" t="n"/>
      <c r="CB68" s="1612" t="n"/>
      <c r="CC68" s="1612" t="n"/>
      <c r="CD68" s="1612" t="n"/>
      <c r="CE68" s="1612" t="n"/>
      <c r="CF68" s="1612" t="n"/>
    </row>
    <row r="69" ht="14" customHeight="1">
      <c r="A69" s="1690" t="n"/>
      <c r="B69" s="1673" t="n"/>
      <c r="C69" s="1647">
        <f>INT(SUM(H69:AN69))</f>
        <v/>
      </c>
      <c r="D69" s="1673" t="n"/>
      <c r="E69" s="1673" t="n"/>
      <c r="F69" s="1596" t="inlineStr">
        <is>
          <t>.</t>
        </is>
      </c>
      <c r="G69" s="1699" t="n"/>
      <c r="H69" s="1610">
        <f>SUMIFS(raw[stay],raw[city],BRcity[[#This Row],[city]],raw[yr],H$51)</f>
        <v/>
      </c>
      <c r="I69" s="1610">
        <f>SUMIFS(raw[stay],raw[city],BRcity[[#This Row],[city]],raw[yr],I$51)</f>
        <v/>
      </c>
      <c r="J69" s="1610">
        <f>SUMIFS(raw[stay],raw[city],BRcity[[#This Row],[city]],raw[yr],J$51)</f>
        <v/>
      </c>
      <c r="K69" s="1610">
        <f>SUMIFS(raw[stay],raw[city],BRcity[[#This Row],[city]],raw[yr],K$51)</f>
        <v/>
      </c>
      <c r="L69" s="1610">
        <f>SUMIFS(raw[stay],raw[city],BRcity[[#This Row],[city]],raw[yr],L$51)</f>
        <v/>
      </c>
      <c r="M69" s="1610">
        <f>SUMIFS(raw[stay],raw[city],BRcity[[#This Row],[city]],raw[yr],M$51)</f>
        <v/>
      </c>
      <c r="N69" s="1610">
        <f>SUMIFS(raw[stay],raw[city],BRcity[[#This Row],[city]],raw[yr],N$51)</f>
        <v/>
      </c>
      <c r="O69" s="1610">
        <f>SUMIFS(raw[stay],raw[city],BRcity[[#This Row],[city]],raw[yr],O$51)</f>
        <v/>
      </c>
      <c r="P69" s="1610">
        <f>SUMIFS(raw[stay],raw[city],BRcity[[#This Row],[city]],raw[yr],P$51)</f>
        <v/>
      </c>
      <c r="Q69" s="1610">
        <f>SUMIFS(raw[stay],raw[city],BRcity[[#This Row],[city]],raw[yr],Q$51)</f>
        <v/>
      </c>
      <c r="R69" s="1610">
        <f>SUMIFS(raw[stay],raw[city],BRcity[[#This Row],[city]],raw[yr],R$51)</f>
        <v/>
      </c>
      <c r="S69" s="1610">
        <f>SUMIFS(raw[stay],raw[city],BRcity[[#This Row],[city]],raw[yr],S$51)</f>
        <v/>
      </c>
      <c r="T69" s="1610">
        <f>SUMIFS(raw[stay],raw[city],BRcity[[#This Row],[city]],raw[yr],T$51)</f>
        <v/>
      </c>
      <c r="U69" s="1610">
        <f>SUMIFS(raw[stay],raw[city],BRcity[[#This Row],[city]],raw[yr],U$51)</f>
        <v/>
      </c>
      <c r="V69" s="1610">
        <f>SUMIFS(raw[stay],raw[city],BRcity[[#This Row],[city]],raw[yr],V$51)</f>
        <v/>
      </c>
      <c r="W69" s="1610">
        <f>SUMIFS(raw[stay],raw[city],BRcity[[#This Row],[city]],raw[yr],W$51)</f>
        <v/>
      </c>
      <c r="X69" s="1610">
        <f>SUMIFS(raw[stay],raw[city],BRcity[[#This Row],[city]],raw[yr],X$51)</f>
        <v/>
      </c>
      <c r="Y69" s="1610">
        <f>SUMIFS(raw[stay],raw[city],BRcity[[#This Row],[city]],raw[yr],Y$51)</f>
        <v/>
      </c>
      <c r="Z69" s="1610">
        <f>SUMIFS(raw[stay],raw[city],BRcity[[#This Row],[city]],raw[yr],Z$51)</f>
        <v/>
      </c>
      <c r="AA69" s="1610">
        <f>SUMIFS(raw[stay],raw[city],BRcity[[#This Row],[city]],raw[yr],AA$51)</f>
        <v/>
      </c>
      <c r="AB69" s="1610">
        <f>SUMIFS(raw[stay],raw[city],BRcity[[#This Row],[city]],raw[yr],AB$51)</f>
        <v/>
      </c>
      <c r="AC69" s="1610">
        <f>SUMIFS(raw[stay],raw[city],BRcity[[#This Row],[city]],raw[yr],AC$51)</f>
        <v/>
      </c>
      <c r="AD69" s="1610">
        <f>SUMIFS(raw[stay],raw[city],BRcity[[#This Row],[city]],raw[yr],AD$51)</f>
        <v/>
      </c>
      <c r="AE69" s="1610">
        <f>SUMIFS(raw[stay],raw[city],BRcity[[#This Row],[city]],raw[yr],AE$51)</f>
        <v/>
      </c>
      <c r="AF69" s="1610">
        <f>SUMIFS(raw[stay],raw[city],BRcity[[#This Row],[city]],raw[yr],AF$51)</f>
        <v/>
      </c>
      <c r="AG69" s="1610">
        <f>SUMIFS(raw[stay],raw[city],BRcity[[#This Row],[city]],raw[yr],AG$51)</f>
        <v/>
      </c>
      <c r="AH69" s="1610">
        <f>SUMIFS(raw[stay],raw[city],BRcity[[#This Row],[city]],raw[yr],AH$51)</f>
        <v/>
      </c>
      <c r="AI69" s="1610">
        <f>SUMIFS(raw[stay],raw[city],BRcity[[#This Row],[city]],raw[yr],AI$51)</f>
        <v/>
      </c>
      <c r="AJ69" s="1610">
        <f>SUMIFS(raw[stay],raw[city],BRcity[[#This Row],[city]],raw[yr],AJ$51)</f>
        <v/>
      </c>
      <c r="AK69" s="1610">
        <f>SUMIFS(raw[stay],raw[city],BRcity[[#This Row],[city]],raw[yr],AK$51)</f>
        <v/>
      </c>
      <c r="AL69" s="1610">
        <f>SUMIFS(raw[stay],raw[city],BRcity[[#This Row],[city]],raw[yr],AL$51)</f>
        <v/>
      </c>
      <c r="AM69" s="1610">
        <f>SUMIFS(raw[stay],raw[city],BRcity[[#This Row],[city]],raw[yr],AM$51)</f>
        <v/>
      </c>
      <c r="AN69" s="1610">
        <f>SUMIFS(raw[stay],raw[city],BRcity[[#This Row],[city]],raw[yr],AN$51)</f>
        <v/>
      </c>
      <c r="AO69" s="1597" t="inlineStr">
        <is>
          <t>.</t>
        </is>
      </c>
      <c r="AP69" s="1597">
        <f>AP68+1</f>
        <v/>
      </c>
      <c r="AQ69" s="1636">
        <f>'@Refr'!O25</f>
        <v/>
      </c>
      <c r="AR69" s="1598">
        <f>_xlfn.XLOOKUP(citySeq3[[#This Row],[city]],ccc[city],ccc[ctry],"-")</f>
        <v/>
      </c>
      <c r="AS69" s="1604">
        <f>_xlfn.MINIFS(stayCity[in], stayCity[city], citySeq3[[#This Row],[city]])</f>
        <v/>
      </c>
      <c r="AT69" s="1637">
        <f>_xlfn.MAXIFS(stayCity[out], stayCity[city], citySeq3[[#This Row],[city]])</f>
        <v/>
      </c>
      <c r="AU69" s="1638">
        <f>_xlfn.XLOOKUP(citySeq3[[#This Row],[seq]],stayCity[stay],stayCity[in],"-")</f>
        <v/>
      </c>
      <c r="AV69" s="1638">
        <f>_xlfn.XLOOKUP(citySeq3[[#This Row],[seq]],stayCity[stay],stayCity[out],"-")</f>
        <v/>
      </c>
      <c r="AW69" s="1603">
        <f t="array" ref="AW69">MAX(IF(stayCity[city]=citySeq3[[#This Row],[city]],stayCity[stay]))</f>
        <v/>
      </c>
      <c r="AX69" s="1603">
        <f t="array" ref="AX69">ROWS(_xlfn.UNIQUE(_xlfn._xlws.FILTER(raw[yr], raw[city]=citySeq3[[#This Row],[city]])))</f>
        <v/>
      </c>
      <c r="AY69" s="1603">
        <f>_xlfn.XLOOKUP(citySeq3[[#This Row],[city]],cities[city],cities[stay])</f>
        <v/>
      </c>
      <c r="AZ69" s="1666" t="n"/>
      <c r="BA69" s="1612" t="n"/>
      <c r="BB69" s="1612" t="n"/>
      <c r="BC69" s="1612" t="n"/>
      <c r="BD69" s="1612" t="n"/>
      <c r="BE69" s="1612" t="n"/>
      <c r="BF69" s="1612" t="n"/>
      <c r="BG69" s="1612" t="n"/>
      <c r="BH69" s="1612" t="n"/>
      <c r="BI69" s="1612" t="n"/>
      <c r="BJ69" s="1612" t="n"/>
      <c r="BK69" s="1612" t="n"/>
      <c r="BL69" s="1612" t="n"/>
      <c r="BM69" s="1612" t="n"/>
      <c r="BN69" s="1612" t="n"/>
      <c r="BO69" s="1612" t="n"/>
      <c r="BP69" s="1612" t="n"/>
      <c r="BQ69" s="1612" t="n"/>
      <c r="BR69" s="1612" t="n"/>
      <c r="BS69" s="1612" t="n"/>
      <c r="BT69" s="1612" t="n"/>
      <c r="BU69" s="1612" t="n"/>
      <c r="BV69" s="1612" t="n"/>
      <c r="BW69" s="1612" t="n"/>
      <c r="BX69" s="1612" t="n"/>
      <c r="BY69" s="1612" t="n"/>
      <c r="BZ69" s="1612" t="n"/>
      <c r="CA69" s="1612" t="n"/>
      <c r="CB69" s="1612" t="n"/>
      <c r="CC69" s="1612" t="n"/>
      <c r="CD69" s="1612" t="n"/>
      <c r="CE69" s="1612" t="n"/>
      <c r="CF69" s="1612" t="n"/>
    </row>
    <row r="70" ht="14" customHeight="1">
      <c r="A70" s="1697" t="n"/>
      <c r="B70" s="1677" t="n"/>
      <c r="C70" s="1677" t="n"/>
      <c r="D70" s="1677" t="n"/>
      <c r="E70" s="1677" t="n"/>
      <c r="F70" s="1615" t="inlineStr">
        <is>
          <t>.</t>
        </is>
      </c>
      <c r="G70" s="1597" t="inlineStr">
        <is>
          <t>.</t>
        </is>
      </c>
      <c r="H70" s="1597" t="inlineStr">
        <is>
          <t>.</t>
        </is>
      </c>
      <c r="I70" s="1597" t="inlineStr">
        <is>
          <t>.</t>
        </is>
      </c>
      <c r="J70" s="1597" t="inlineStr">
        <is>
          <t>.</t>
        </is>
      </c>
      <c r="K70" s="1597" t="inlineStr">
        <is>
          <t>.</t>
        </is>
      </c>
      <c r="L70" s="1597" t="inlineStr">
        <is>
          <t>.</t>
        </is>
      </c>
      <c r="M70" s="1597" t="inlineStr">
        <is>
          <t>.</t>
        </is>
      </c>
      <c r="N70" s="1597" t="inlineStr">
        <is>
          <t>.</t>
        </is>
      </c>
      <c r="O70" s="1597" t="inlineStr">
        <is>
          <t>.</t>
        </is>
      </c>
      <c r="P70" s="1597" t="inlineStr">
        <is>
          <t>.</t>
        </is>
      </c>
      <c r="Q70" s="1597" t="inlineStr">
        <is>
          <t>.</t>
        </is>
      </c>
      <c r="R70" s="1597" t="inlineStr">
        <is>
          <t>.</t>
        </is>
      </c>
      <c r="S70" s="1597" t="inlineStr">
        <is>
          <t>.</t>
        </is>
      </c>
      <c r="T70" s="1597" t="inlineStr">
        <is>
          <t>.</t>
        </is>
      </c>
      <c r="U70" s="1597" t="inlineStr">
        <is>
          <t>.</t>
        </is>
      </c>
      <c r="V70" s="1597" t="inlineStr">
        <is>
          <t>.</t>
        </is>
      </c>
      <c r="W70" s="1597" t="inlineStr">
        <is>
          <t>.</t>
        </is>
      </c>
      <c r="X70" s="1597" t="inlineStr">
        <is>
          <t>.</t>
        </is>
      </c>
      <c r="Y70" s="1597" t="inlineStr">
        <is>
          <t>.</t>
        </is>
      </c>
      <c r="Z70" s="1597" t="inlineStr">
        <is>
          <t>.</t>
        </is>
      </c>
      <c r="AA70" s="1597" t="inlineStr">
        <is>
          <t>.</t>
        </is>
      </c>
      <c r="AB70" s="1597" t="inlineStr">
        <is>
          <t>.</t>
        </is>
      </c>
      <c r="AC70" s="1597" t="inlineStr">
        <is>
          <t>.</t>
        </is>
      </c>
      <c r="AD70" s="1597" t="inlineStr">
        <is>
          <t>.</t>
        </is>
      </c>
      <c r="AE70" s="1597" t="inlineStr">
        <is>
          <t>.</t>
        </is>
      </c>
      <c r="AF70" s="1597" t="inlineStr">
        <is>
          <t>.</t>
        </is>
      </c>
      <c r="AG70" s="1597" t="inlineStr">
        <is>
          <t>.</t>
        </is>
      </c>
      <c r="AH70" s="1597" t="inlineStr">
        <is>
          <t>.</t>
        </is>
      </c>
      <c r="AI70" s="1597" t="inlineStr">
        <is>
          <t>.</t>
        </is>
      </c>
      <c r="AJ70" s="1597" t="inlineStr">
        <is>
          <t>.</t>
        </is>
      </c>
      <c r="AK70" s="1597" t="inlineStr">
        <is>
          <t>.</t>
        </is>
      </c>
      <c r="AL70" s="1597" t="inlineStr">
        <is>
          <t>.</t>
        </is>
      </c>
      <c r="AM70" s="1597" t="inlineStr">
        <is>
          <t>.</t>
        </is>
      </c>
      <c r="AN70" s="1611" t="inlineStr">
        <is>
          <t>.</t>
        </is>
      </c>
      <c r="AO70" s="1597" t="inlineStr">
        <is>
          <t>.</t>
        </is>
      </c>
      <c r="AP70" s="1597">
        <f>AP69+1</f>
        <v/>
      </c>
      <c r="AQ70" s="1636" t="n"/>
      <c r="AR70" s="1598" t="n"/>
      <c r="AS70" s="1665" t="n"/>
      <c r="AT70" s="1665" t="n"/>
      <c r="AU70" s="1638" t="n"/>
      <c r="AV70" s="1638" t="n"/>
      <c r="AW70" s="1603" t="n"/>
      <c r="AX70" s="1603" t="n"/>
      <c r="AY70" s="1603" t="n"/>
      <c r="AZ70" s="1666" t="n"/>
      <c r="BA70" s="1612" t="n"/>
      <c r="BB70" s="1612" t="n"/>
      <c r="BC70" s="1612" t="n"/>
      <c r="BD70" s="1612" t="n"/>
      <c r="BE70" s="1612" t="n"/>
      <c r="BF70" s="1612" t="n"/>
      <c r="BG70" s="1612" t="n"/>
      <c r="BH70" s="1612" t="n"/>
      <c r="BI70" s="1612" t="n"/>
      <c r="BJ70" s="1612" t="n"/>
      <c r="BK70" s="1612" t="n"/>
      <c r="BL70" s="1612" t="n"/>
      <c r="BM70" s="1612" t="n"/>
      <c r="BN70" s="1612" t="n"/>
      <c r="BO70" s="1612" t="n"/>
      <c r="BP70" s="1612" t="n"/>
      <c r="BQ70" s="1612" t="n"/>
      <c r="BR70" s="1612" t="n"/>
      <c r="BS70" s="1612" t="n"/>
      <c r="BT70" s="1612" t="n"/>
      <c r="BU70" s="1612" t="n"/>
      <c r="BV70" s="1612" t="n"/>
      <c r="BW70" s="1612" t="n"/>
      <c r="BX70" s="1612" t="n"/>
      <c r="BY70" s="1612" t="n"/>
      <c r="BZ70" s="1612" t="n"/>
      <c r="CA70" s="1612" t="n"/>
      <c r="CB70" s="1612" t="n"/>
      <c r="CC70" s="1612" t="n"/>
      <c r="CD70" s="1612" t="n"/>
      <c r="CE70" s="1612" t="n"/>
      <c r="CF70" s="1612" t="n"/>
    </row>
    <row r="71" ht="14" customHeight="1">
      <c r="A71" s="1673" t="n"/>
      <c r="B71" s="1673" t="n"/>
      <c r="C71" s="1673" t="n"/>
      <c r="D71" s="1673" t="n"/>
      <c r="E71" s="1673" t="n"/>
      <c r="F71" s="1673" t="n"/>
      <c r="G71" s="1612" t="n"/>
      <c r="H71" s="1612" t="n"/>
      <c r="I71" s="1612" t="n"/>
      <c r="J71" s="1612" t="n"/>
      <c r="K71" s="1612" t="n"/>
      <c r="L71" s="1612" t="n"/>
      <c r="M71" s="1612" t="n"/>
      <c r="N71" s="1612" t="n"/>
      <c r="O71" s="1612" t="n"/>
      <c r="P71" s="1612" t="n"/>
      <c r="Q71" s="1612" t="n"/>
      <c r="R71" s="1612" t="n"/>
      <c r="S71" s="1612" t="n"/>
      <c r="T71" s="1612" t="n"/>
      <c r="U71" s="1612" t="n"/>
      <c r="V71" s="1612" t="n"/>
      <c r="W71" s="1612" t="n"/>
      <c r="X71" s="1612" t="n"/>
      <c r="Y71" s="1612" t="n"/>
      <c r="Z71" s="1612" t="n"/>
      <c r="AA71" s="1612" t="n"/>
      <c r="AB71" s="1612" t="n"/>
      <c r="AC71" s="1612" t="n"/>
      <c r="AD71" s="1612" t="n"/>
      <c r="AE71" s="1612" t="n"/>
      <c r="AF71" s="1612" t="n"/>
      <c r="AG71" s="1612" t="n"/>
      <c r="AH71" s="1612" t="n"/>
      <c r="AI71" s="1612" t="n"/>
      <c r="AJ71" s="1612" t="n"/>
      <c r="AK71" s="1612" t="n"/>
      <c r="AL71" s="1612" t="n"/>
      <c r="AM71" s="1612" t="n"/>
      <c r="AN71" s="1612" t="n"/>
      <c r="AO71" s="1597" t="inlineStr">
        <is>
          <t>.</t>
        </is>
      </c>
      <c r="AP71" s="1597">
        <f>AP70+1</f>
        <v/>
      </c>
      <c r="AQ71" s="1636" t="n"/>
      <c r="AR71" s="1598" t="n"/>
      <c r="AS71" s="1665" t="n"/>
      <c r="AT71" s="1665" t="n"/>
      <c r="AU71" s="1638" t="n"/>
      <c r="AV71" s="1638" t="n"/>
      <c r="AW71" s="1603" t="n"/>
      <c r="AX71" s="1603" t="n"/>
      <c r="AY71" s="1603" t="n"/>
      <c r="AZ71" s="1666" t="n"/>
      <c r="BA71" s="1612" t="n"/>
      <c r="BB71" s="1612" t="n"/>
      <c r="BC71" s="1612" t="n"/>
      <c r="BD71" s="1612" t="n"/>
      <c r="BE71" s="1612" t="n"/>
      <c r="BF71" s="1612" t="n"/>
      <c r="BG71" s="1612" t="n"/>
      <c r="BH71" s="1612" t="n"/>
      <c r="BI71" s="1612" t="n"/>
      <c r="BJ71" s="1612" t="n"/>
      <c r="BK71" s="1612" t="n"/>
      <c r="BL71" s="1612" t="n"/>
      <c r="BM71" s="1612" t="n"/>
      <c r="BN71" s="1612" t="n"/>
      <c r="BO71" s="1612" t="n"/>
      <c r="BP71" s="1612" t="n"/>
      <c r="BQ71" s="1612" t="n"/>
      <c r="BR71" s="1612" t="n"/>
      <c r="BS71" s="1612" t="n"/>
      <c r="BT71" s="1612" t="n"/>
      <c r="BU71" s="1612" t="n"/>
      <c r="BV71" s="1612" t="n"/>
      <c r="BW71" s="1612" t="n"/>
      <c r="BX71" s="1612" t="n"/>
      <c r="BY71" s="1612" t="n"/>
      <c r="BZ71" s="1612" t="n"/>
      <c r="CA71" s="1612" t="n"/>
      <c r="CB71" s="1612" t="n"/>
      <c r="CC71" s="1612" t="n"/>
      <c r="CD71" s="1612" t="n"/>
      <c r="CE71" s="1612" t="n"/>
      <c r="CF71" s="1612" t="n"/>
    </row>
    <row r="72" ht="14" customHeight="1">
      <c r="A72" s="1677" t="n"/>
      <c r="B72" s="1677" t="n"/>
      <c r="C72" s="1677" t="n"/>
      <c r="D72" s="1677" t="n"/>
      <c r="E72" s="1677" t="n"/>
      <c r="F72" s="1677" t="n"/>
      <c r="G72" s="1612" t="n"/>
      <c r="H72" s="1612" t="n"/>
      <c r="I72" s="1612" t="n"/>
      <c r="J72" s="1612" t="n"/>
      <c r="K72" s="1612" t="n"/>
      <c r="L72" s="1612" t="n"/>
      <c r="M72" s="1612" t="n"/>
      <c r="N72" s="1612" t="n"/>
      <c r="O72" s="1612" t="n"/>
      <c r="P72" s="1612" t="n"/>
      <c r="Q72" s="1612" t="n"/>
      <c r="R72" s="1612" t="n"/>
      <c r="S72" s="1612" t="n"/>
      <c r="T72" s="1612" t="n"/>
      <c r="U72" s="1612" t="n"/>
      <c r="V72" s="1612" t="n"/>
      <c r="W72" s="1612" t="n"/>
      <c r="X72" s="1612" t="n"/>
      <c r="Y72" s="1612" t="n"/>
      <c r="Z72" s="1612" t="n"/>
      <c r="AA72" s="1612" t="n"/>
      <c r="AB72" s="1612" t="n"/>
      <c r="AC72" s="1612" t="n"/>
      <c r="AD72" s="1612" t="n"/>
      <c r="AE72" s="1612" t="n"/>
      <c r="AF72" s="1612" t="n"/>
      <c r="AG72" s="1612" t="n"/>
      <c r="AH72" s="1612" t="n"/>
      <c r="AI72" s="1612" t="n"/>
      <c r="AJ72" s="1612" t="n"/>
      <c r="AK72" s="1612" t="n"/>
      <c r="AL72" s="1612" t="n"/>
      <c r="AM72" s="1612" t="n"/>
      <c r="AN72" s="1612" t="n"/>
      <c r="AO72" s="1597" t="inlineStr">
        <is>
          <t>.</t>
        </is>
      </c>
      <c r="AP72" s="1597">
        <f>AP71+1</f>
        <v/>
      </c>
      <c r="AQ72" s="1636" t="n"/>
      <c r="AR72" s="1598" t="n"/>
      <c r="AS72" s="1665" t="n"/>
      <c r="AT72" s="1665" t="n"/>
      <c r="AU72" s="1638" t="n"/>
      <c r="AV72" s="1638" t="n"/>
      <c r="AW72" s="1603" t="n"/>
      <c r="AX72" s="1603" t="n"/>
      <c r="AY72" s="1603" t="n"/>
      <c r="AZ72" s="1666" t="n"/>
      <c r="BA72" s="1612" t="n"/>
      <c r="BB72" s="1612" t="n"/>
      <c r="BC72" s="1612" t="n"/>
      <c r="BD72" s="1612" t="n"/>
      <c r="BE72" s="1612" t="n"/>
      <c r="BF72" s="1612" t="n"/>
      <c r="BG72" s="1612" t="n"/>
      <c r="BH72" s="1612" t="n"/>
      <c r="BI72" s="1612" t="n"/>
      <c r="BJ72" s="1612" t="n"/>
      <c r="BK72" s="1612" t="n"/>
      <c r="BL72" s="1612" t="n"/>
      <c r="BM72" s="1612" t="n"/>
      <c r="BN72" s="1612" t="n"/>
      <c r="BO72" s="1612" t="n"/>
      <c r="BP72" s="1612" t="n"/>
      <c r="BQ72" s="1612" t="n"/>
      <c r="BR72" s="1612" t="n"/>
      <c r="BS72" s="1612" t="n"/>
      <c r="BT72" s="1612" t="n"/>
      <c r="BU72" s="1612" t="n"/>
      <c r="BV72" s="1612" t="n"/>
      <c r="BW72" s="1612" t="n"/>
      <c r="BX72" s="1612" t="n"/>
      <c r="BY72" s="1612" t="n"/>
      <c r="BZ72" s="1612" t="n"/>
      <c r="CA72" s="1612" t="n"/>
      <c r="CB72" s="1612" t="n"/>
      <c r="CC72" s="1612" t="n"/>
      <c r="CD72" s="1612" t="n"/>
      <c r="CE72" s="1612" t="n"/>
      <c r="CF72" s="1612" t="n"/>
    </row>
    <row r="73" ht="14" customHeight="1">
      <c r="A73" s="1673" t="n"/>
      <c r="B73" s="1673" t="n"/>
      <c r="C73" s="1673" t="n"/>
      <c r="D73" s="1673" t="n"/>
      <c r="E73" s="1673" t="n"/>
      <c r="F73" s="1673" t="n"/>
      <c r="G73" s="1612" t="n"/>
      <c r="H73" s="1612" t="n"/>
      <c r="I73" s="1612" t="n"/>
      <c r="J73" s="1612" t="n"/>
      <c r="K73" s="1612" t="n"/>
      <c r="L73" s="1612" t="n"/>
      <c r="M73" s="1612" t="n"/>
      <c r="N73" s="1612" t="n"/>
      <c r="O73" s="1612" t="n"/>
      <c r="P73" s="1612" t="n"/>
      <c r="Q73" s="1612" t="n"/>
      <c r="R73" s="1612" t="n"/>
      <c r="S73" s="1612" t="n"/>
      <c r="T73" s="1612" t="n"/>
      <c r="U73" s="1612" t="n"/>
      <c r="V73" s="1612" t="n"/>
      <c r="W73" s="1612" t="n"/>
      <c r="X73" s="1612" t="n"/>
      <c r="Y73" s="1612" t="n"/>
      <c r="Z73" s="1612" t="n"/>
      <c r="AA73" s="1612" t="n"/>
      <c r="AB73" s="1612" t="n"/>
      <c r="AC73" s="1612" t="n"/>
      <c r="AD73" s="1612" t="n"/>
      <c r="AE73" s="1612" t="n"/>
      <c r="AF73" s="1612" t="n"/>
      <c r="AG73" s="1612" t="n"/>
      <c r="AH73" s="1612" t="n"/>
      <c r="AI73" s="1612" t="n"/>
      <c r="AJ73" s="1612" t="n"/>
      <c r="AK73" s="1612" t="n"/>
      <c r="AL73" s="1612" t="n"/>
      <c r="AM73" s="1612" t="n"/>
      <c r="AN73" s="1612" t="n"/>
      <c r="AO73" s="1597" t="inlineStr">
        <is>
          <t>.</t>
        </is>
      </c>
      <c r="AP73" s="1597">
        <f>AP72+1</f>
        <v/>
      </c>
      <c r="AQ73" s="1636" t="n"/>
      <c r="AR73" s="1598" t="n"/>
      <c r="AS73" s="1665" t="n"/>
      <c r="AT73" s="1665" t="n"/>
      <c r="AU73" s="1638" t="n"/>
      <c r="AV73" s="1638" t="n"/>
      <c r="AW73" s="1603" t="n"/>
      <c r="AX73" s="1603" t="n"/>
      <c r="AY73" s="1603" t="n"/>
      <c r="AZ73" s="1666" t="n"/>
      <c r="BA73" s="1612" t="n"/>
      <c r="BB73" s="1612" t="n"/>
      <c r="BC73" s="1612" t="n"/>
      <c r="BD73" s="1612" t="n"/>
      <c r="BE73" s="1612" t="n"/>
      <c r="BF73" s="1612" t="n"/>
      <c r="BG73" s="1612" t="n"/>
      <c r="BH73" s="1612" t="n"/>
      <c r="BI73" s="1612" t="n"/>
      <c r="BJ73" s="1612" t="n"/>
      <c r="BK73" s="1612" t="n"/>
      <c r="BL73" s="1612" t="n"/>
      <c r="BM73" s="1612" t="n"/>
      <c r="BN73" s="1612" t="n"/>
      <c r="BO73" s="1612" t="n"/>
      <c r="BP73" s="1612" t="n"/>
      <c r="BQ73" s="1612" t="n"/>
      <c r="BR73" s="1612" t="n"/>
      <c r="BS73" s="1612" t="n"/>
      <c r="BT73" s="1612" t="n"/>
      <c r="BU73" s="1612" t="n"/>
      <c r="BV73" s="1612" t="n"/>
      <c r="BW73" s="1612" t="n"/>
      <c r="BX73" s="1612" t="n"/>
      <c r="BY73" s="1612" t="n"/>
      <c r="BZ73" s="1612" t="n"/>
      <c r="CA73" s="1612" t="n"/>
      <c r="CB73" s="1612" t="n"/>
      <c r="CC73" s="1612" t="n"/>
      <c r="CD73" s="1612" t="n"/>
      <c r="CE73" s="1612" t="n"/>
      <c r="CF73" s="1612" t="n"/>
    </row>
    <row r="74" ht="14" customHeight="1">
      <c r="A74" s="1677" t="n"/>
      <c r="B74" s="1677" t="n"/>
      <c r="C74" s="1677" t="n"/>
      <c r="D74" s="1677" t="n"/>
      <c r="E74" s="1677" t="n"/>
      <c r="F74" s="1677" t="n"/>
      <c r="G74" s="1612" t="n"/>
      <c r="H74" s="1612" t="n"/>
      <c r="I74" s="1612" t="n"/>
      <c r="J74" s="1612" t="n"/>
      <c r="K74" s="1612" t="n"/>
      <c r="L74" s="1612" t="n"/>
      <c r="M74" s="1612" t="n"/>
      <c r="N74" s="1612" t="n"/>
      <c r="O74" s="1612" t="n"/>
      <c r="P74" s="1612" t="n"/>
      <c r="Q74" s="1612" t="n"/>
      <c r="R74" s="1612" t="n"/>
      <c r="S74" s="1612" t="n"/>
      <c r="T74" s="1612" t="n"/>
      <c r="U74" s="1612" t="n"/>
      <c r="V74" s="1612" t="n"/>
      <c r="W74" s="1612" t="n"/>
      <c r="X74" s="1612" t="n"/>
      <c r="Y74" s="1612" t="n"/>
      <c r="Z74" s="1612" t="n"/>
      <c r="AA74" s="1612" t="n"/>
      <c r="AB74" s="1612" t="n"/>
      <c r="AC74" s="1612" t="n"/>
      <c r="AD74" s="1612" t="n"/>
      <c r="AE74" s="1612" t="n"/>
      <c r="AF74" s="1612" t="n"/>
      <c r="AG74" s="1612" t="n"/>
      <c r="AH74" s="1612" t="n"/>
      <c r="AI74" s="1612" t="n"/>
      <c r="AJ74" s="1612" t="n"/>
      <c r="AK74" s="1612" t="n"/>
      <c r="AL74" s="1612" t="n"/>
      <c r="AM74" s="1612" t="n"/>
      <c r="AN74" s="1612" t="n"/>
      <c r="AO74" s="1597" t="inlineStr">
        <is>
          <t>.</t>
        </is>
      </c>
      <c r="AP74" s="1703" t="inlineStr">
        <is>
          <t>.</t>
        </is>
      </c>
      <c r="AQ74" s="1703" t="inlineStr">
        <is>
          <t>.</t>
        </is>
      </c>
      <c r="AR74" s="1703" t="inlineStr">
        <is>
          <t>.</t>
        </is>
      </c>
      <c r="AS74" s="1703" t="inlineStr">
        <is>
          <t>.</t>
        </is>
      </c>
      <c r="AT74" s="1703" t="inlineStr">
        <is>
          <t>.</t>
        </is>
      </c>
      <c r="AU74" s="1703" t="inlineStr">
        <is>
          <t>.</t>
        </is>
      </c>
      <c r="AV74" s="1703" t="inlineStr">
        <is>
          <t>.</t>
        </is>
      </c>
      <c r="AW74" s="1703" t="inlineStr">
        <is>
          <t>.</t>
        </is>
      </c>
      <c r="AX74" s="1703" t="inlineStr">
        <is>
          <t>.</t>
        </is>
      </c>
      <c r="AY74" s="1703" t="inlineStr">
        <is>
          <t>.</t>
        </is>
      </c>
      <c r="AZ74" s="1666" t="n"/>
      <c r="BA74" s="1612" t="n"/>
      <c r="BB74" s="1612" t="n"/>
      <c r="BC74" s="1612" t="n"/>
      <c r="BD74" s="1612" t="n"/>
      <c r="BE74" s="1612" t="n"/>
      <c r="BF74" s="1612" t="n"/>
      <c r="BG74" s="1612" t="n"/>
      <c r="BH74" s="1612" t="n"/>
      <c r="BI74" s="1612" t="n"/>
      <c r="BJ74" s="1612" t="n"/>
      <c r="BK74" s="1612" t="n"/>
      <c r="BL74" s="1612" t="n"/>
      <c r="BM74" s="1612" t="n"/>
      <c r="BN74" s="1612" t="n"/>
      <c r="BO74" s="1612" t="n"/>
      <c r="BP74" s="1612" t="n"/>
      <c r="BQ74" s="1612" t="n"/>
      <c r="BR74" s="1612" t="n"/>
      <c r="BS74" s="1612" t="n"/>
      <c r="BT74" s="1612" t="n"/>
      <c r="BU74" s="1612" t="n"/>
      <c r="BV74" s="1612" t="n"/>
      <c r="BW74" s="1612" t="n"/>
      <c r="BX74" s="1612" t="n"/>
      <c r="BY74" s="1612" t="n"/>
      <c r="BZ74" s="1612" t="n"/>
      <c r="CA74" s="1612" t="n"/>
      <c r="CB74" s="1612" t="n"/>
      <c r="CC74" s="1612" t="n"/>
      <c r="CD74" s="1612" t="n"/>
      <c r="CE74" s="1612" t="n"/>
      <c r="CF74" s="1612" t="n"/>
    </row>
    <row r="75" ht="14" customHeight="1">
      <c r="A75" s="1673" t="n"/>
      <c r="B75" s="1673" t="n"/>
      <c r="C75" s="1673" t="n"/>
      <c r="D75" s="1673" t="n"/>
      <c r="E75" s="1673" t="n"/>
      <c r="F75" s="1673" t="n"/>
      <c r="G75" s="1612" t="n"/>
      <c r="H75" s="1612" t="n"/>
      <c r="I75" s="1612" t="n"/>
      <c r="J75" s="1612" t="n"/>
      <c r="K75" s="1612" t="n"/>
      <c r="L75" s="1612" t="n"/>
      <c r="M75" s="1612" t="n"/>
      <c r="N75" s="1612" t="n"/>
      <c r="O75" s="1612" t="n"/>
      <c r="P75" s="1612" t="n"/>
      <c r="Q75" s="1612" t="n"/>
      <c r="R75" s="1612" t="n"/>
      <c r="S75" s="1612" t="n"/>
      <c r="T75" s="1612" t="n"/>
      <c r="U75" s="1612" t="n"/>
      <c r="V75" s="1612" t="n"/>
      <c r="W75" s="1612" t="n"/>
      <c r="X75" s="1612" t="n"/>
      <c r="Y75" s="1612" t="n"/>
      <c r="Z75" s="1612" t="n"/>
      <c r="AA75" s="1612" t="n"/>
      <c r="AB75" s="1612" t="n"/>
      <c r="AC75" s="1612" t="n"/>
      <c r="AD75" s="1612" t="n"/>
      <c r="AE75" s="1612" t="n"/>
      <c r="AF75" s="1612" t="n"/>
      <c r="AG75" s="1612" t="n"/>
      <c r="AH75" s="1612" t="n"/>
      <c r="AI75" s="1612" t="n"/>
      <c r="AJ75" s="1612" t="n"/>
      <c r="AK75" s="1612" t="n"/>
      <c r="AL75" s="1612" t="n"/>
      <c r="AM75" s="1612" t="n"/>
      <c r="AN75" s="1612" t="n"/>
      <c r="AO75" s="1597" t="inlineStr">
        <is>
          <t>.</t>
        </is>
      </c>
      <c r="AP75" s="1703" t="inlineStr">
        <is>
          <t>.</t>
        </is>
      </c>
      <c r="AQ75" s="1703" t="inlineStr">
        <is>
          <t>.</t>
        </is>
      </c>
      <c r="AR75" s="1703" t="inlineStr">
        <is>
          <t>.</t>
        </is>
      </c>
      <c r="AS75" s="1703" t="inlineStr">
        <is>
          <t>.</t>
        </is>
      </c>
      <c r="AT75" s="1703" t="inlineStr">
        <is>
          <t>.</t>
        </is>
      </c>
      <c r="AU75" s="1703" t="inlineStr">
        <is>
          <t>.</t>
        </is>
      </c>
      <c r="AV75" s="1703" t="inlineStr">
        <is>
          <t>.</t>
        </is>
      </c>
      <c r="AW75" s="1703" t="inlineStr">
        <is>
          <t>.</t>
        </is>
      </c>
      <c r="AX75" s="1703" t="inlineStr">
        <is>
          <t>.</t>
        </is>
      </c>
      <c r="AY75" s="1703" t="inlineStr">
        <is>
          <t>.</t>
        </is>
      </c>
      <c r="AZ75" s="1666" t="n"/>
      <c r="BA75" s="1612" t="n"/>
      <c r="BB75" s="1612" t="n"/>
      <c r="BC75" s="1612" t="n"/>
      <c r="BD75" s="1612" t="n"/>
      <c r="BE75" s="1612" t="n"/>
      <c r="BF75" s="1612" t="n"/>
      <c r="BG75" s="1612" t="n"/>
      <c r="BH75" s="1612" t="n"/>
      <c r="BI75" s="1612" t="n"/>
      <c r="BJ75" s="1612" t="n"/>
      <c r="BK75" s="1612" t="n"/>
      <c r="BL75" s="1612" t="n"/>
      <c r="BM75" s="1612" t="n"/>
      <c r="BN75" s="1612" t="n"/>
      <c r="BO75" s="1612" t="n"/>
      <c r="BP75" s="1612" t="n"/>
      <c r="BQ75" s="1612" t="n"/>
      <c r="BR75" s="1612" t="n"/>
      <c r="BS75" s="1612" t="n"/>
      <c r="BT75" s="1612" t="n"/>
      <c r="BU75" s="1612" t="n"/>
      <c r="BV75" s="1612" t="n"/>
      <c r="BW75" s="1612" t="n"/>
      <c r="BX75" s="1612" t="n"/>
      <c r="BY75" s="1612" t="n"/>
      <c r="BZ75" s="1612" t="n"/>
      <c r="CA75" s="1612" t="n"/>
      <c r="CB75" s="1612" t="n"/>
      <c r="CC75" s="1612" t="n"/>
      <c r="CD75" s="1612" t="n"/>
      <c r="CE75" s="1612" t="n"/>
      <c r="CF75" s="1612" t="n"/>
    </row>
    <row r="76" ht="14" customHeight="1">
      <c r="A76" s="1677" t="n"/>
      <c r="B76" s="1677" t="n"/>
      <c r="C76" s="1677" t="n"/>
      <c r="D76" s="1677" t="n"/>
      <c r="E76" s="1677" t="n"/>
      <c r="F76" s="1677" t="n"/>
      <c r="G76" s="1612" t="n"/>
      <c r="H76" s="1612" t="n"/>
      <c r="I76" s="1612" t="n"/>
      <c r="J76" s="1612" t="n"/>
      <c r="K76" s="1612" t="n"/>
      <c r="L76" s="1612" t="n"/>
      <c r="M76" s="1612" t="n"/>
      <c r="N76" s="1612" t="n"/>
      <c r="O76" s="1612" t="n"/>
      <c r="P76" s="1612" t="n"/>
      <c r="Q76" s="1612" t="n"/>
      <c r="R76" s="1612" t="n"/>
      <c r="S76" s="1612" t="n"/>
      <c r="T76" s="1612" t="n"/>
      <c r="U76" s="1612" t="n"/>
      <c r="V76" s="1612" t="n"/>
      <c r="W76" s="1612" t="n"/>
      <c r="X76" s="1612" t="n"/>
      <c r="Y76" s="1612" t="n"/>
      <c r="Z76" s="1612" t="n"/>
      <c r="AA76" s="1612" t="n"/>
      <c r="AB76" s="1612" t="n"/>
      <c r="AC76" s="1612" t="n"/>
      <c r="AD76" s="1612" t="n"/>
      <c r="AE76" s="1612" t="n"/>
      <c r="AF76" s="1612" t="n"/>
      <c r="AG76" s="1612" t="n"/>
      <c r="AH76" s="1612" t="n"/>
      <c r="AI76" s="1612" t="n"/>
      <c r="AJ76" s="1612" t="n"/>
      <c r="AK76" s="1612" t="n"/>
      <c r="AL76" s="1612" t="n"/>
      <c r="AM76" s="1612" t="n"/>
      <c r="AN76" s="1612" t="n"/>
      <c r="AO76" s="1597" t="inlineStr">
        <is>
          <t>.</t>
        </is>
      </c>
      <c r="AP76" s="1628" t="inlineStr">
        <is>
          <t>id</t>
        </is>
      </c>
      <c r="AQ76" s="1629" t="inlineStr">
        <is>
          <t>ctry</t>
        </is>
      </c>
      <c r="AR76" s="1628" t="inlineStr">
        <is>
          <t>Ncity</t>
        </is>
      </c>
      <c r="AS76" s="1630" t="inlineStr">
        <is>
          <t>1st date</t>
        </is>
      </c>
      <c r="AT76" s="1630" t="inlineStr">
        <is>
          <t>Last date</t>
        </is>
      </c>
      <c r="AU76" s="1631" t="inlineStr">
        <is>
          <t>seq in</t>
        </is>
      </c>
      <c r="AV76" s="1631" t="inlineStr">
        <is>
          <t>seq out</t>
        </is>
      </c>
      <c r="AW76" s="1630" t="inlineStr">
        <is>
          <t>seq</t>
        </is>
      </c>
      <c r="AX76" s="1630" t="inlineStr">
        <is>
          <t>yrs</t>
        </is>
      </c>
      <c r="AY76" s="1630" t="inlineStr">
        <is>
          <t>total</t>
        </is>
      </c>
      <c r="AZ76" s="1666" t="n"/>
      <c r="BA76" s="1612" t="n"/>
      <c r="BB76" s="1612" t="n"/>
      <c r="BC76" s="1612" t="n"/>
      <c r="BD76" s="1612" t="n"/>
      <c r="BE76" s="1612" t="n"/>
      <c r="BF76" s="1612" t="n"/>
      <c r="BG76" s="1612" t="n"/>
      <c r="BH76" s="1612" t="n"/>
      <c r="BI76" s="1612" t="n"/>
      <c r="BJ76" s="1612" t="n"/>
      <c r="BK76" s="1612" t="n"/>
      <c r="BL76" s="1612" t="n"/>
      <c r="BM76" s="1612" t="n"/>
      <c r="BN76" s="1612" t="n"/>
      <c r="BO76" s="1612" t="n"/>
      <c r="BP76" s="1612" t="n"/>
      <c r="BQ76" s="1612" t="n"/>
      <c r="BR76" s="1612" t="n"/>
      <c r="BS76" s="1612" t="n"/>
      <c r="BT76" s="1612" t="n"/>
      <c r="BU76" s="1612" t="n"/>
      <c r="BV76" s="1612" t="n"/>
      <c r="BW76" s="1612" t="n"/>
      <c r="BX76" s="1612" t="n"/>
      <c r="BY76" s="1612" t="n"/>
      <c r="BZ76" s="1612" t="n"/>
      <c r="CA76" s="1612" t="n"/>
      <c r="CB76" s="1612" t="n"/>
      <c r="CC76" s="1612" t="n"/>
      <c r="CD76" s="1612" t="n"/>
      <c r="CE76" s="1612" t="n"/>
      <c r="CF76" s="1612" t="n"/>
    </row>
    <row r="77" ht="14" customHeight="1">
      <c r="A77" s="1673" t="n"/>
      <c r="B77" s="1673" t="n"/>
      <c r="C77" s="1673" t="n"/>
      <c r="D77" s="1673" t="n"/>
      <c r="E77" s="1673" t="n"/>
      <c r="F77" s="1673" t="n"/>
      <c r="G77" s="1612" t="n"/>
      <c r="H77" s="1612" t="n"/>
      <c r="I77" s="1612" t="n"/>
      <c r="J77" s="1612" t="n"/>
      <c r="K77" s="1612" t="n"/>
      <c r="L77" s="1612" t="n"/>
      <c r="M77" s="1612" t="n"/>
      <c r="N77" s="1612" t="n"/>
      <c r="O77" s="1612" t="n"/>
      <c r="P77" s="1612" t="n"/>
      <c r="Q77" s="1612" t="n"/>
      <c r="R77" s="1612" t="n"/>
      <c r="S77" s="1612" t="n"/>
      <c r="T77" s="1612" t="n"/>
      <c r="U77" s="1612" t="n"/>
      <c r="V77" s="1612" t="n"/>
      <c r="W77" s="1612" t="n"/>
      <c r="X77" s="1612" t="n"/>
      <c r="Y77" s="1612" t="n"/>
      <c r="Z77" s="1612" t="n"/>
      <c r="AA77" s="1612" t="n"/>
      <c r="AB77" s="1612" t="n"/>
      <c r="AC77" s="1612" t="n"/>
      <c r="AD77" s="1612" t="n"/>
      <c r="AE77" s="1612" t="n"/>
      <c r="AF77" s="1612" t="n"/>
      <c r="AG77" s="1612" t="n"/>
      <c r="AH77" s="1612" t="n"/>
      <c r="AI77" s="1612" t="n"/>
      <c r="AJ77" s="1612" t="n"/>
      <c r="AK77" s="1612" t="n"/>
      <c r="AL77" s="1612" t="n"/>
      <c r="AM77" s="1612" t="n"/>
      <c r="AN77" s="1612" t="n"/>
      <c r="AO77" s="1597" t="inlineStr">
        <is>
          <t>.</t>
        </is>
      </c>
      <c r="AP77" s="1597" t="n">
        <v>1</v>
      </c>
      <c r="AQ77" s="1636">
        <f>G8</f>
        <v/>
      </c>
      <c r="AR77" s="1603">
        <f>COUNTIF(cities[ctry],citySeq313[[#This Row],[ctry]])</f>
        <v/>
      </c>
      <c r="AS77" s="1604">
        <f>_xlfn.MINIFS(stayCtry[in], stayCtry[ctry], citySeq313[[#This Row],[ctry]])</f>
        <v/>
      </c>
      <c r="AT77" s="1637">
        <f>_xlfn.MAXIFS(stayCtry[out], stayCtry[ctry], citySeq313[[#This Row],[ctry]])</f>
        <v/>
      </c>
      <c r="AU77" s="1638">
        <f>_xlfn.XLOOKUP(citySeq313[[#This Row],[seq]],stayCtry[stay],stayCtry[in],"-")</f>
        <v/>
      </c>
      <c r="AV77" s="1638">
        <f>_xlfn.XLOOKUP(citySeq313[[#This Row],[seq]],stayCtry[stay],stayCtry[out],"-")</f>
        <v/>
      </c>
      <c r="AW77" s="1603">
        <f t="array" ref="AW77">MAX(IF(stayCtry[ctry]=citySeq313[[#This Row],[ctry]],stayCtry[stay]))</f>
        <v/>
      </c>
      <c r="AX77" s="1603">
        <f t="array" ref="AX77">ROWS(_xlfn.UNIQUE(_xlfn._xlws.FILTER(raw[yr], raw[ctry]=citySeq313[[#This Row],[ctry]])))</f>
        <v/>
      </c>
      <c r="AY77" s="1603">
        <f>_xlfn.XLOOKUP(citySeq313[[#This Row],[ctry]],mainW[ctry],mainW[total],"-")</f>
        <v/>
      </c>
      <c r="AZ77" s="1666" t="n"/>
      <c r="BA77" s="1612" t="n"/>
      <c r="BB77" s="1612" t="n"/>
      <c r="BC77" s="1612" t="n"/>
      <c r="BD77" s="1612" t="n"/>
      <c r="BE77" s="1612" t="n"/>
      <c r="BF77" s="1612" t="n"/>
      <c r="BG77" s="1612" t="n"/>
      <c r="BH77" s="1612" t="n"/>
      <c r="BI77" s="1612" t="n"/>
      <c r="BJ77" s="1612" t="n"/>
      <c r="BK77" s="1612" t="n"/>
      <c r="BL77" s="1612" t="n"/>
      <c r="BM77" s="1612" t="n"/>
      <c r="BN77" s="1612" t="n"/>
      <c r="BO77" s="1612" t="n"/>
      <c r="BP77" s="1612" t="n"/>
      <c r="BQ77" s="1612" t="n"/>
      <c r="BR77" s="1612" t="n"/>
      <c r="BS77" s="1612" t="n"/>
      <c r="BT77" s="1612" t="n"/>
      <c r="BU77" s="1612" t="n"/>
      <c r="BV77" s="1612" t="n"/>
      <c r="BW77" s="1612" t="n"/>
      <c r="BX77" s="1612" t="n"/>
      <c r="BY77" s="1612" t="n"/>
      <c r="BZ77" s="1612" t="n"/>
      <c r="CA77" s="1612" t="n"/>
      <c r="CB77" s="1612" t="n"/>
      <c r="CC77" s="1612" t="n"/>
      <c r="CD77" s="1612" t="n"/>
      <c r="CE77" s="1612" t="n"/>
      <c r="CF77" s="1612" t="n"/>
    </row>
    <row r="78" ht="14" customHeight="1">
      <c r="A78" s="1677" t="n"/>
      <c r="B78" s="1677" t="n"/>
      <c r="C78" s="1677" t="n"/>
      <c r="D78" s="1677" t="n"/>
      <c r="E78" s="1677" t="n"/>
      <c r="F78" s="1677" t="n"/>
      <c r="G78" s="1612" t="n"/>
      <c r="H78" s="1612" t="n"/>
      <c r="I78" s="1612" t="n"/>
      <c r="J78" s="1612" t="n"/>
      <c r="K78" s="1612" t="n"/>
      <c r="L78" s="1612" t="n"/>
      <c r="M78" s="1612" t="n"/>
      <c r="N78" s="1612" t="n"/>
      <c r="O78" s="1612" t="n"/>
      <c r="P78" s="1612" t="n"/>
      <c r="Q78" s="1612" t="n"/>
      <c r="R78" s="1612" t="n"/>
      <c r="S78" s="1612" t="n"/>
      <c r="T78" s="1612" t="n"/>
      <c r="U78" s="1612" t="n"/>
      <c r="V78" s="1612" t="n"/>
      <c r="W78" s="1612" t="n"/>
      <c r="X78" s="1612" t="n"/>
      <c r="Y78" s="1612" t="n"/>
      <c r="Z78" s="1612" t="n"/>
      <c r="AA78" s="1612" t="n"/>
      <c r="AB78" s="1612" t="n"/>
      <c r="AC78" s="1612" t="n"/>
      <c r="AD78" s="1612" t="n"/>
      <c r="AE78" s="1612" t="n"/>
      <c r="AF78" s="1612" t="n"/>
      <c r="AG78" s="1612" t="n"/>
      <c r="AH78" s="1612" t="n"/>
      <c r="AI78" s="1612" t="n"/>
      <c r="AJ78" s="1612" t="n"/>
      <c r="AK78" s="1612" t="n"/>
      <c r="AL78" s="1612" t="n"/>
      <c r="AM78" s="1612" t="n"/>
      <c r="AN78" s="1612" t="n"/>
      <c r="AO78" s="1597" t="inlineStr">
        <is>
          <t>.</t>
        </is>
      </c>
      <c r="AP78" s="1597">
        <f>AP77+1</f>
        <v/>
      </c>
      <c r="AQ78" s="1636">
        <f>G9</f>
        <v/>
      </c>
      <c r="AR78" s="1603">
        <f>COUNTIF(cities[ctry],citySeq313[[#This Row],[ctry]])</f>
        <v/>
      </c>
      <c r="AS78" s="1604">
        <f>_xlfn.MINIFS(stayCtry[in], stayCtry[ctry], citySeq313[[#This Row],[ctry]])</f>
        <v/>
      </c>
      <c r="AT78" s="1637">
        <f>_xlfn.MAXIFS(stayCtry[out], stayCtry[ctry], citySeq313[[#This Row],[ctry]])</f>
        <v/>
      </c>
      <c r="AU78" s="1638">
        <f>_xlfn.XLOOKUP(citySeq313[[#This Row],[seq]],stayCtry[stay],stayCtry[in],"-")</f>
        <v/>
      </c>
      <c r="AV78" s="1638">
        <f>_xlfn.XLOOKUP(citySeq313[[#This Row],[seq]],stayCtry[stay],stayCtry[out],"-")</f>
        <v/>
      </c>
      <c r="AW78" s="1603">
        <f t="array" ref="AW78">MAX(IF(stayCtry[ctry]=citySeq313[[#This Row],[ctry]],stayCtry[stay]))</f>
        <v/>
      </c>
      <c r="AX78" s="1603">
        <f t="array" ref="AX78">ROWS(_xlfn.UNIQUE(_xlfn._xlws.FILTER(raw[yr], raw[ctry]=citySeq313[[#This Row],[ctry]])))</f>
        <v/>
      </c>
      <c r="AY78" s="1603">
        <f>_xlfn.XLOOKUP(citySeq313[[#This Row],[ctry]],mainW[ctry],mainW[total],"-")</f>
        <v/>
      </c>
      <c r="AZ78" s="1666" t="n"/>
      <c r="BA78" s="1612" t="n"/>
      <c r="BB78" s="1612" t="n"/>
      <c r="BC78" s="1612" t="n"/>
      <c r="BD78" s="1612" t="n"/>
      <c r="BE78" s="1612" t="n"/>
      <c r="BF78" s="1612" t="n"/>
      <c r="BG78" s="1612" t="n"/>
      <c r="BH78" s="1612" t="n"/>
      <c r="BI78" s="1612" t="n"/>
      <c r="BJ78" s="1612" t="n"/>
      <c r="BK78" s="1612" t="n"/>
      <c r="BL78" s="1612" t="n"/>
      <c r="BM78" s="1612" t="n"/>
      <c r="BN78" s="1612" t="n"/>
      <c r="BO78" s="1612" t="n"/>
      <c r="BP78" s="1612" t="n"/>
      <c r="BQ78" s="1612" t="n"/>
      <c r="BR78" s="1612" t="n"/>
      <c r="BS78" s="1612" t="n"/>
      <c r="BT78" s="1612" t="n"/>
      <c r="BU78" s="1612" t="n"/>
      <c r="BV78" s="1612" t="n"/>
      <c r="BW78" s="1612" t="n"/>
      <c r="BX78" s="1612" t="n"/>
      <c r="BY78" s="1612" t="n"/>
      <c r="BZ78" s="1612" t="n"/>
      <c r="CA78" s="1612" t="n"/>
      <c r="CB78" s="1612" t="n"/>
      <c r="CC78" s="1612" t="n"/>
      <c r="CD78" s="1612" t="n"/>
      <c r="CE78" s="1612" t="n"/>
      <c r="CF78" s="1612" t="n"/>
    </row>
    <row r="79" ht="14" customHeight="1">
      <c r="A79" s="1673" t="n"/>
      <c r="B79" s="1673" t="n"/>
      <c r="C79" s="1673" t="n"/>
      <c r="D79" s="1673" t="n"/>
      <c r="E79" s="1673" t="n"/>
      <c r="F79" s="1673" t="n"/>
      <c r="G79" s="1612" t="n"/>
      <c r="H79" s="1612" t="n"/>
      <c r="I79" s="1612" t="n"/>
      <c r="J79" s="1612" t="n"/>
      <c r="K79" s="1612" t="n"/>
      <c r="L79" s="1612" t="n"/>
      <c r="M79" s="1612" t="n"/>
      <c r="N79" s="1612" t="n"/>
      <c r="O79" s="1612" t="n"/>
      <c r="P79" s="1612" t="n"/>
      <c r="Q79" s="1612" t="n"/>
      <c r="R79" s="1612" t="n"/>
      <c r="S79" s="1612" t="n"/>
      <c r="T79" s="1612" t="n"/>
      <c r="U79" s="1612" t="n"/>
      <c r="V79" s="1612" t="n"/>
      <c r="W79" s="1612" t="n"/>
      <c r="X79" s="1612" t="n"/>
      <c r="Y79" s="1612" t="n"/>
      <c r="Z79" s="1612" t="n"/>
      <c r="AA79" s="1612" t="n"/>
      <c r="AB79" s="1612" t="n"/>
      <c r="AC79" s="1612" t="n"/>
      <c r="AD79" s="1612" t="n"/>
      <c r="AE79" s="1612" t="n"/>
      <c r="AF79" s="1612" t="n"/>
      <c r="AG79" s="1612" t="n"/>
      <c r="AH79" s="1612" t="n"/>
      <c r="AI79" s="1612" t="n"/>
      <c r="AJ79" s="1612" t="n"/>
      <c r="AK79" s="1612" t="n"/>
      <c r="AL79" s="1612" t="n"/>
      <c r="AM79" s="1612" t="n"/>
      <c r="AN79" s="1612" t="n"/>
      <c r="AO79" s="1597" t="inlineStr">
        <is>
          <t>.</t>
        </is>
      </c>
      <c r="AP79" s="1597">
        <f>AP78+1</f>
        <v/>
      </c>
      <c r="AQ79" s="1636">
        <f>G10</f>
        <v/>
      </c>
      <c r="AR79" s="1603">
        <f>COUNTIF(cities[ctry],citySeq313[[#This Row],[ctry]])</f>
        <v/>
      </c>
      <c r="AS79" s="1604">
        <f>_xlfn.MINIFS(stayCtry[in], stayCtry[ctry], citySeq313[[#This Row],[ctry]])</f>
        <v/>
      </c>
      <c r="AT79" s="1637">
        <f>_xlfn.MAXIFS(stayCtry[out], stayCtry[ctry], citySeq313[[#This Row],[ctry]])</f>
        <v/>
      </c>
      <c r="AU79" s="1638">
        <f>_xlfn.XLOOKUP(citySeq313[[#This Row],[seq]],stayCtry[stay],stayCtry[in],"-")</f>
        <v/>
      </c>
      <c r="AV79" s="1638">
        <f>_xlfn.XLOOKUP(citySeq313[[#This Row],[seq]],stayCtry[stay],stayCtry[out],"-")</f>
        <v/>
      </c>
      <c r="AW79" s="1603">
        <f t="array" ref="AW79">MAX(IF(stayCtry[ctry]=citySeq313[[#This Row],[ctry]],stayCtry[stay]))</f>
        <v/>
      </c>
      <c r="AX79" s="1603">
        <f t="array" ref="AX79">ROWS(_xlfn.UNIQUE(_xlfn._xlws.FILTER(raw[yr], raw[ctry]=citySeq313[[#This Row],[ctry]])))</f>
        <v/>
      </c>
      <c r="AY79" s="1603">
        <f>_xlfn.XLOOKUP(citySeq313[[#This Row],[ctry]],mainW[ctry],mainW[total],"-")</f>
        <v/>
      </c>
      <c r="AZ79" s="1666" t="n"/>
      <c r="BA79" s="1612" t="n"/>
      <c r="BB79" s="1612" t="n"/>
      <c r="BC79" s="1612" t="n"/>
      <c r="BD79" s="1612" t="n"/>
      <c r="BE79" s="1612" t="n"/>
      <c r="BF79" s="1612" t="n"/>
      <c r="BG79" s="1612" t="n"/>
      <c r="BH79" s="1612" t="n"/>
      <c r="BI79" s="1612" t="n"/>
      <c r="BJ79" s="1612" t="n"/>
      <c r="BK79" s="1612" t="n"/>
      <c r="BL79" s="1612" t="n"/>
      <c r="BM79" s="1612" t="n"/>
      <c r="BN79" s="1612" t="n"/>
      <c r="BO79" s="1612" t="n"/>
      <c r="BP79" s="1612" t="n"/>
      <c r="BQ79" s="1612" t="n"/>
      <c r="BR79" s="1612" t="n"/>
      <c r="BS79" s="1612" t="n"/>
      <c r="BT79" s="1612" t="n"/>
      <c r="BU79" s="1612" t="n"/>
      <c r="BV79" s="1612" t="n"/>
      <c r="BW79" s="1612" t="n"/>
      <c r="BX79" s="1612" t="n"/>
      <c r="BY79" s="1612" t="n"/>
      <c r="BZ79" s="1612" t="n"/>
      <c r="CA79" s="1612" t="n"/>
      <c r="CB79" s="1612" t="n"/>
      <c r="CC79" s="1612" t="n"/>
      <c r="CD79" s="1612" t="n"/>
      <c r="CE79" s="1612" t="n"/>
      <c r="CF79" s="1612" t="n"/>
    </row>
    <row r="80" ht="14" customHeight="1">
      <c r="A80" s="1677" t="n"/>
      <c r="B80" s="1677" t="n"/>
      <c r="C80" s="1677" t="n"/>
      <c r="D80" s="1677" t="n"/>
      <c r="E80" s="1677" t="n"/>
      <c r="F80" s="1677" t="n"/>
      <c r="G80" s="1612" t="n"/>
      <c r="H80" s="1612" t="n"/>
      <c r="I80" s="1612" t="n"/>
      <c r="J80" s="1612" t="n"/>
      <c r="K80" s="1612" t="n"/>
      <c r="L80" s="1612" t="n"/>
      <c r="M80" s="1612" t="n"/>
      <c r="N80" s="1612" t="n"/>
      <c r="O80" s="1612" t="n"/>
      <c r="P80" s="1612" t="n"/>
      <c r="Q80" s="1612" t="n"/>
      <c r="R80" s="1612" t="n"/>
      <c r="S80" s="1612" t="n"/>
      <c r="T80" s="1612" t="n"/>
      <c r="U80" s="1612" t="n"/>
      <c r="V80" s="1612" t="n"/>
      <c r="W80" s="1612" t="n"/>
      <c r="X80" s="1612" t="n"/>
      <c r="Y80" s="1612" t="n"/>
      <c r="Z80" s="1612" t="n"/>
      <c r="AA80" s="1612" t="n"/>
      <c r="AB80" s="1612" t="n"/>
      <c r="AC80" s="1612" t="n"/>
      <c r="AD80" s="1612" t="n"/>
      <c r="AE80" s="1612" t="n"/>
      <c r="AF80" s="1612" t="n"/>
      <c r="AG80" s="1612" t="n"/>
      <c r="AH80" s="1612" t="n"/>
      <c r="AI80" s="1612" t="n"/>
      <c r="AJ80" s="1612" t="n"/>
      <c r="AK80" s="1612" t="n"/>
      <c r="AL80" s="1612" t="n"/>
      <c r="AM80" s="1612" t="n"/>
      <c r="AN80" s="1612" t="n"/>
      <c r="AO80" s="1597" t="inlineStr">
        <is>
          <t>.</t>
        </is>
      </c>
      <c r="AP80" s="1597">
        <f>AP79+1</f>
        <v/>
      </c>
      <c r="AQ80" s="1636">
        <f>G11</f>
        <v/>
      </c>
      <c r="AR80" s="1603">
        <f>COUNTIF(cities[ctry],citySeq313[[#This Row],[ctry]])</f>
        <v/>
      </c>
      <c r="AS80" s="1604">
        <f>_xlfn.MINIFS(stayCtry[in], stayCtry[ctry], citySeq313[[#This Row],[ctry]])</f>
        <v/>
      </c>
      <c r="AT80" s="1637">
        <f>_xlfn.MAXIFS(stayCtry[out], stayCtry[ctry], citySeq313[[#This Row],[ctry]])</f>
        <v/>
      </c>
      <c r="AU80" s="1638">
        <f>_xlfn.XLOOKUP(citySeq313[[#This Row],[seq]],stayCtry[stay],stayCtry[in],"-")</f>
        <v/>
      </c>
      <c r="AV80" s="1638">
        <f>_xlfn.XLOOKUP(citySeq313[[#This Row],[seq]],stayCtry[stay],stayCtry[out],"-")</f>
        <v/>
      </c>
      <c r="AW80" s="1603">
        <f t="array" ref="AW80">MAX(IF(stayCtry[ctry]=citySeq313[[#This Row],[ctry]],stayCtry[stay]))</f>
        <v/>
      </c>
      <c r="AX80" s="1603">
        <f t="array" ref="AX80">ROWS(_xlfn.UNIQUE(_xlfn._xlws.FILTER(raw[yr], raw[ctry]=citySeq313[[#This Row],[ctry]])))</f>
        <v/>
      </c>
      <c r="AY80" s="1603">
        <f>_xlfn.XLOOKUP(citySeq313[[#This Row],[ctry]],mainW[ctry],mainW[total],"-")</f>
        <v/>
      </c>
      <c r="AZ80" s="1666" t="n"/>
      <c r="BA80" s="1612" t="n"/>
      <c r="BB80" s="1612" t="n"/>
      <c r="BC80" s="1612" t="n"/>
      <c r="BD80" s="1612" t="n"/>
      <c r="BE80" s="1612" t="n"/>
      <c r="BF80" s="1612" t="n"/>
      <c r="BG80" s="1612" t="n"/>
      <c r="BH80" s="1612" t="n"/>
      <c r="BI80" s="1612" t="n"/>
      <c r="BJ80" s="1612" t="n"/>
      <c r="BK80" s="1612" t="n"/>
      <c r="BL80" s="1612" t="n"/>
      <c r="BM80" s="1612" t="n"/>
      <c r="BN80" s="1612" t="n"/>
      <c r="BO80" s="1612" t="n"/>
      <c r="BP80" s="1612" t="n"/>
      <c r="BQ80" s="1612" t="n"/>
      <c r="BR80" s="1612" t="n"/>
      <c r="BS80" s="1612" t="n"/>
      <c r="BT80" s="1612" t="n"/>
      <c r="BU80" s="1612" t="n"/>
      <c r="BV80" s="1612" t="n"/>
      <c r="BW80" s="1612" t="n"/>
      <c r="BX80" s="1612" t="n"/>
      <c r="BY80" s="1612" t="n"/>
      <c r="BZ80" s="1612" t="n"/>
      <c r="CA80" s="1612" t="n"/>
      <c r="CB80" s="1612" t="n"/>
      <c r="CC80" s="1612" t="n"/>
      <c r="CD80" s="1612" t="n"/>
      <c r="CE80" s="1612" t="n"/>
      <c r="CF80" s="1612" t="n"/>
    </row>
    <row r="81" ht="14" customHeight="1">
      <c r="A81" s="1673" t="n"/>
      <c r="B81" s="1673" t="n"/>
      <c r="C81" s="1673" t="n"/>
      <c r="D81" s="1673" t="n"/>
      <c r="E81" s="1673" t="n"/>
      <c r="F81" s="1673" t="n"/>
      <c r="G81" s="1612" t="n"/>
      <c r="H81" s="1612" t="n"/>
      <c r="I81" s="1612" t="n"/>
      <c r="J81" s="1612" t="n"/>
      <c r="K81" s="1612" t="n"/>
      <c r="L81" s="1612" t="n"/>
      <c r="M81" s="1612" t="n"/>
      <c r="N81" s="1612" t="n"/>
      <c r="O81" s="1612" t="n"/>
      <c r="P81" s="1612" t="n"/>
      <c r="Q81" s="1612" t="n"/>
      <c r="R81" s="1612" t="n"/>
      <c r="S81" s="1612" t="n"/>
      <c r="T81" s="1612" t="n"/>
      <c r="U81" s="1612" t="n"/>
      <c r="V81" s="1612" t="n"/>
      <c r="W81" s="1612" t="n"/>
      <c r="X81" s="1612" t="n"/>
      <c r="Y81" s="1612" t="n"/>
      <c r="Z81" s="1612" t="n"/>
      <c r="AA81" s="1612" t="n"/>
      <c r="AB81" s="1612" t="n"/>
      <c r="AC81" s="1612" t="n"/>
      <c r="AD81" s="1612" t="n"/>
      <c r="AE81" s="1612" t="n"/>
      <c r="AF81" s="1612" t="n"/>
      <c r="AG81" s="1612" t="n"/>
      <c r="AH81" s="1612" t="n"/>
      <c r="AI81" s="1612" t="n"/>
      <c r="AJ81" s="1612" t="n"/>
      <c r="AK81" s="1612" t="n"/>
      <c r="AL81" s="1612" t="n"/>
      <c r="AM81" s="1612" t="n"/>
      <c r="AN81" s="1612" t="n"/>
      <c r="AO81" s="1597" t="inlineStr">
        <is>
          <t>.</t>
        </is>
      </c>
      <c r="AP81" s="1597">
        <f>AP80+1</f>
        <v/>
      </c>
      <c r="AQ81" s="1636">
        <f>G12</f>
        <v/>
      </c>
      <c r="AR81" s="1603">
        <f>COUNTIF(cities[ctry],citySeq313[[#This Row],[ctry]])</f>
        <v/>
      </c>
      <c r="AS81" s="1604">
        <f>_xlfn.MINIFS(stayCtry[in], stayCtry[ctry], citySeq313[[#This Row],[ctry]])</f>
        <v/>
      </c>
      <c r="AT81" s="1637">
        <f>_xlfn.MAXIFS(stayCtry[out], stayCtry[ctry], citySeq313[[#This Row],[ctry]])</f>
        <v/>
      </c>
      <c r="AU81" s="1638">
        <f>_xlfn.XLOOKUP(citySeq313[[#This Row],[seq]],stayCtry[stay],stayCtry[in],"-")</f>
        <v/>
      </c>
      <c r="AV81" s="1638">
        <f>_xlfn.XLOOKUP(citySeq313[[#This Row],[seq]],stayCtry[stay],stayCtry[out],"-")</f>
        <v/>
      </c>
      <c r="AW81" s="1603">
        <f t="array" ref="AW81">MAX(IF(stayCtry[ctry]=citySeq313[[#This Row],[ctry]],stayCtry[stay]))</f>
        <v/>
      </c>
      <c r="AX81" s="1603">
        <f t="array" ref="AX81">ROWS(_xlfn.UNIQUE(_xlfn._xlws.FILTER(raw[yr], raw[ctry]=citySeq313[[#This Row],[ctry]])))</f>
        <v/>
      </c>
      <c r="AY81" s="1603">
        <f>_xlfn.XLOOKUP(citySeq313[[#This Row],[ctry]],mainW[ctry],mainW[total],"-")</f>
        <v/>
      </c>
      <c r="AZ81" s="1666" t="n"/>
      <c r="BA81" s="1612" t="n"/>
      <c r="BB81" s="1612" t="n"/>
      <c r="BC81" s="1612" t="n"/>
      <c r="BD81" s="1612" t="n"/>
      <c r="BE81" s="1612" t="n"/>
      <c r="BF81" s="1612" t="n"/>
      <c r="BG81" s="1612" t="n"/>
      <c r="BH81" s="1612" t="n"/>
      <c r="BI81" s="1612" t="n"/>
      <c r="BJ81" s="1612" t="n"/>
      <c r="BK81" s="1612" t="n"/>
      <c r="BL81" s="1612" t="n"/>
      <c r="BM81" s="1612" t="n"/>
      <c r="BN81" s="1612" t="n"/>
      <c r="BO81" s="1612" t="n"/>
      <c r="BP81" s="1612" t="n"/>
      <c r="BQ81" s="1612" t="n"/>
      <c r="BR81" s="1612" t="n"/>
      <c r="BS81" s="1612" t="n"/>
      <c r="BT81" s="1612" t="n"/>
      <c r="BU81" s="1612" t="n"/>
      <c r="BV81" s="1612" t="n"/>
      <c r="BW81" s="1612" t="n"/>
      <c r="BX81" s="1612" t="n"/>
      <c r="BY81" s="1612" t="n"/>
      <c r="BZ81" s="1612" t="n"/>
      <c r="CA81" s="1612" t="n"/>
      <c r="CB81" s="1612" t="n"/>
      <c r="CC81" s="1612" t="n"/>
      <c r="CD81" s="1612" t="n"/>
      <c r="CE81" s="1612" t="n"/>
      <c r="CF81" s="1612" t="n"/>
    </row>
    <row r="82" ht="14" customHeight="1">
      <c r="A82" s="1677" t="n"/>
      <c r="B82" s="1677" t="n"/>
      <c r="C82" s="1677" t="n"/>
      <c r="D82" s="1677" t="n"/>
      <c r="E82" s="1677" t="n"/>
      <c r="F82" s="1677" t="n"/>
      <c r="G82" s="1612" t="n"/>
      <c r="H82" s="1612" t="n"/>
      <c r="I82" s="1612" t="n"/>
      <c r="J82" s="1612" t="n"/>
      <c r="K82" s="1612" t="n"/>
      <c r="L82" s="1612" t="n"/>
      <c r="M82" s="1612" t="n"/>
      <c r="N82" s="1612" t="n"/>
      <c r="O82" s="1612" t="n"/>
      <c r="P82" s="1612" t="n"/>
      <c r="Q82" s="1612" t="n"/>
      <c r="R82" s="1612" t="n"/>
      <c r="S82" s="1612" t="n"/>
      <c r="T82" s="1612" t="n"/>
      <c r="U82" s="1612" t="n"/>
      <c r="V82" s="1612" t="n"/>
      <c r="W82" s="1612" t="n"/>
      <c r="X82" s="1612" t="n"/>
      <c r="Y82" s="1612" t="n"/>
      <c r="Z82" s="1612" t="n"/>
      <c r="AA82" s="1612" t="n"/>
      <c r="AB82" s="1612" t="n"/>
      <c r="AC82" s="1612" t="n"/>
      <c r="AD82" s="1612" t="n"/>
      <c r="AE82" s="1612" t="n"/>
      <c r="AF82" s="1612" t="n"/>
      <c r="AG82" s="1612" t="n"/>
      <c r="AH82" s="1612" t="n"/>
      <c r="AI82" s="1612" t="n"/>
      <c r="AJ82" s="1612" t="n"/>
      <c r="AK82" s="1612" t="n"/>
      <c r="AL82" s="1612" t="n"/>
      <c r="AM82" s="1612" t="n"/>
      <c r="AN82" s="1612" t="n"/>
      <c r="AO82" s="1597" t="inlineStr">
        <is>
          <t>.</t>
        </is>
      </c>
      <c r="AP82" s="1597">
        <f>AP81+1</f>
        <v/>
      </c>
      <c r="AQ82" s="1636">
        <f>G13</f>
        <v/>
      </c>
      <c r="AR82" s="1603">
        <f>COUNTIF(cities[ctry],citySeq313[[#This Row],[ctry]])</f>
        <v/>
      </c>
      <c r="AS82" s="1604">
        <f>_xlfn.MINIFS(stayCtry[in], stayCtry[ctry], citySeq313[[#This Row],[ctry]])</f>
        <v/>
      </c>
      <c r="AT82" s="1637">
        <f>_xlfn.MAXIFS(stayCtry[out], stayCtry[ctry], citySeq313[[#This Row],[ctry]])</f>
        <v/>
      </c>
      <c r="AU82" s="1638">
        <f>_xlfn.XLOOKUP(citySeq313[[#This Row],[seq]],stayCtry[stay],stayCtry[in],"-")</f>
        <v/>
      </c>
      <c r="AV82" s="1638">
        <f>_xlfn.XLOOKUP(citySeq313[[#This Row],[seq]],stayCtry[stay],stayCtry[out],"-")</f>
        <v/>
      </c>
      <c r="AW82" s="1603">
        <f t="array" ref="AW82">MAX(IF(stayCtry[ctry]=citySeq313[[#This Row],[ctry]],stayCtry[stay]))</f>
        <v/>
      </c>
      <c r="AX82" s="1603">
        <f t="array" ref="AX82">ROWS(_xlfn.UNIQUE(_xlfn._xlws.FILTER(raw[yr], raw[ctry]=citySeq313[[#This Row],[ctry]])))</f>
        <v/>
      </c>
      <c r="AY82" s="1603">
        <f>_xlfn.XLOOKUP(citySeq313[[#This Row],[ctry]],mainW[ctry],mainW[total],"-")</f>
        <v/>
      </c>
      <c r="AZ82" s="1666" t="n"/>
      <c r="BA82" s="1612" t="n"/>
      <c r="BB82" s="1612" t="n"/>
      <c r="BC82" s="1612" t="n"/>
      <c r="BD82" s="1612" t="n"/>
      <c r="BE82" s="1612" t="n"/>
      <c r="BF82" s="1612" t="n"/>
      <c r="BG82" s="1612" t="n"/>
      <c r="BH82" s="1612" t="n"/>
      <c r="BI82" s="1612" t="n"/>
      <c r="BJ82" s="1612" t="n"/>
      <c r="BK82" s="1612" t="n"/>
      <c r="BL82" s="1612" t="n"/>
      <c r="BM82" s="1612" t="n"/>
      <c r="BN82" s="1612" t="n"/>
      <c r="BO82" s="1612" t="n"/>
      <c r="BP82" s="1612" t="n"/>
      <c r="BQ82" s="1612" t="n"/>
      <c r="BR82" s="1612" t="n"/>
      <c r="BS82" s="1612" t="n"/>
      <c r="BT82" s="1612" t="n"/>
      <c r="BU82" s="1612" t="n"/>
      <c r="BV82" s="1612" t="n"/>
      <c r="BW82" s="1612" t="n"/>
      <c r="BX82" s="1612" t="n"/>
      <c r="BY82" s="1612" t="n"/>
      <c r="BZ82" s="1612" t="n"/>
      <c r="CA82" s="1612" t="n"/>
      <c r="CB82" s="1612" t="n"/>
      <c r="CC82" s="1612" t="n"/>
      <c r="CD82" s="1612" t="n"/>
      <c r="CE82" s="1612" t="n"/>
      <c r="CF82" s="1612" t="n"/>
    </row>
    <row r="83" ht="14" customHeight="1">
      <c r="A83" s="1673" t="n"/>
      <c r="B83" s="1673" t="n"/>
      <c r="C83" s="1673" t="n"/>
      <c r="D83" s="1673" t="n"/>
      <c r="E83" s="1673" t="n"/>
      <c r="F83" s="1673" t="n"/>
      <c r="G83" s="1612" t="n"/>
      <c r="H83" s="1612" t="n"/>
      <c r="I83" s="1612" t="n"/>
      <c r="J83" s="1612" t="n"/>
      <c r="K83" s="1612" t="n"/>
      <c r="L83" s="1612" t="n"/>
      <c r="M83" s="1612" t="n"/>
      <c r="N83" s="1612" t="n"/>
      <c r="O83" s="1612" t="n"/>
      <c r="P83" s="1612" t="n"/>
      <c r="Q83" s="1612" t="n"/>
      <c r="R83" s="1612" t="n"/>
      <c r="S83" s="1612" t="n"/>
      <c r="T83" s="1612" t="n"/>
      <c r="U83" s="1612" t="n"/>
      <c r="V83" s="1612" t="n"/>
      <c r="W83" s="1612" t="n"/>
      <c r="X83" s="1612" t="n"/>
      <c r="Y83" s="1612" t="n"/>
      <c r="Z83" s="1612" t="n"/>
      <c r="AA83" s="1612" t="n"/>
      <c r="AB83" s="1612" t="n"/>
      <c r="AC83" s="1612" t="n"/>
      <c r="AD83" s="1612" t="n"/>
      <c r="AE83" s="1612" t="n"/>
      <c r="AF83" s="1612" t="n"/>
      <c r="AG83" s="1612" t="n"/>
      <c r="AH83" s="1612" t="n"/>
      <c r="AI83" s="1612" t="n"/>
      <c r="AJ83" s="1612" t="n"/>
      <c r="AK83" s="1612" t="n"/>
      <c r="AL83" s="1612" t="n"/>
      <c r="AM83" s="1612" t="n"/>
      <c r="AN83" s="1612" t="n"/>
      <c r="AO83" s="1597" t="inlineStr">
        <is>
          <t>.</t>
        </is>
      </c>
      <c r="AP83" s="1597">
        <f>AP82+1</f>
        <v/>
      </c>
      <c r="AQ83" s="1636">
        <f>G14</f>
        <v/>
      </c>
      <c r="AR83" s="1603">
        <f>COUNTIF(cities[ctry],citySeq313[[#This Row],[ctry]])</f>
        <v/>
      </c>
      <c r="AS83" s="1604">
        <f>_xlfn.MINIFS(stayCtry[in], stayCtry[ctry], citySeq313[[#This Row],[ctry]])</f>
        <v/>
      </c>
      <c r="AT83" s="1637">
        <f>_xlfn.MAXIFS(stayCtry[out], stayCtry[ctry], citySeq313[[#This Row],[ctry]])</f>
        <v/>
      </c>
      <c r="AU83" s="1638">
        <f>_xlfn.XLOOKUP(citySeq313[[#This Row],[seq]],stayCtry[stay],stayCtry[in],"-")</f>
        <v/>
      </c>
      <c r="AV83" s="1638">
        <f>_xlfn.XLOOKUP(citySeq313[[#This Row],[seq]],stayCtry[stay],stayCtry[out],"-")</f>
        <v/>
      </c>
      <c r="AW83" s="1603">
        <f t="array" ref="AW83">MAX(IF(stayCtry[ctry]=citySeq313[[#This Row],[ctry]],stayCtry[stay]))</f>
        <v/>
      </c>
      <c r="AX83" s="1603">
        <f t="array" ref="AX83">ROWS(_xlfn.UNIQUE(_xlfn._xlws.FILTER(raw[yr], raw[ctry]=citySeq313[[#This Row],[ctry]])))</f>
        <v/>
      </c>
      <c r="AY83" s="1603">
        <f>_xlfn.XLOOKUP(citySeq313[[#This Row],[ctry]],mainW[ctry],mainW[total],"-")</f>
        <v/>
      </c>
      <c r="AZ83" s="1666" t="n"/>
      <c r="BA83" s="1612" t="n"/>
      <c r="BB83" s="1612" t="n"/>
      <c r="BC83" s="1612" t="n"/>
      <c r="BD83" s="1612" t="n"/>
      <c r="BE83" s="1612" t="n"/>
      <c r="BF83" s="1612" t="n"/>
      <c r="BG83" s="1612" t="n"/>
      <c r="BH83" s="1612" t="n"/>
      <c r="BI83" s="1612" t="n"/>
      <c r="BJ83" s="1612" t="n"/>
      <c r="BK83" s="1612" t="n"/>
      <c r="BL83" s="1612" t="n"/>
      <c r="BM83" s="1612" t="n"/>
      <c r="BN83" s="1612" t="n"/>
      <c r="BO83" s="1612" t="n"/>
      <c r="BP83" s="1612" t="n"/>
      <c r="BQ83" s="1612" t="n"/>
      <c r="BR83" s="1612" t="n"/>
      <c r="BS83" s="1612" t="n"/>
      <c r="BT83" s="1612" t="n"/>
      <c r="BU83" s="1612" t="n"/>
      <c r="BV83" s="1612" t="n"/>
      <c r="BW83" s="1612" t="n"/>
      <c r="BX83" s="1612" t="n"/>
      <c r="BY83" s="1612" t="n"/>
      <c r="BZ83" s="1612" t="n"/>
      <c r="CA83" s="1612" t="n"/>
      <c r="CB83" s="1612" t="n"/>
      <c r="CC83" s="1612" t="n"/>
      <c r="CD83" s="1612" t="n"/>
      <c r="CE83" s="1612" t="n"/>
      <c r="CF83" s="1612" t="n"/>
    </row>
    <row r="84" ht="14" customHeight="1">
      <c r="A84" s="1677" t="n"/>
      <c r="B84" s="1677" t="n"/>
      <c r="C84" s="1677" t="n"/>
      <c r="D84" s="1677" t="n"/>
      <c r="E84" s="1677" t="n"/>
      <c r="F84" s="1677" t="n"/>
      <c r="G84" s="1612" t="n"/>
      <c r="H84" s="1612" t="n"/>
      <c r="I84" s="1612" t="n"/>
      <c r="J84" s="1612" t="n"/>
      <c r="K84" s="1612" t="n"/>
      <c r="L84" s="1612" t="n"/>
      <c r="M84" s="1612" t="n"/>
      <c r="N84" s="1612" t="n"/>
      <c r="O84" s="1612" t="n"/>
      <c r="P84" s="1612" t="n"/>
      <c r="Q84" s="1612" t="n"/>
      <c r="R84" s="1612" t="n"/>
      <c r="S84" s="1612" t="n"/>
      <c r="T84" s="1612" t="n"/>
      <c r="U84" s="1612" t="n"/>
      <c r="V84" s="1612" t="n"/>
      <c r="W84" s="1612" t="n"/>
      <c r="X84" s="1612" t="n"/>
      <c r="Y84" s="1612" t="n"/>
      <c r="Z84" s="1612" t="n"/>
      <c r="AA84" s="1612" t="n"/>
      <c r="AB84" s="1612" t="n"/>
      <c r="AC84" s="1612" t="n"/>
      <c r="AD84" s="1612" t="n"/>
      <c r="AE84" s="1612" t="n"/>
      <c r="AF84" s="1612" t="n"/>
      <c r="AG84" s="1612" t="n"/>
      <c r="AH84" s="1612" t="n"/>
      <c r="AI84" s="1612" t="n"/>
      <c r="AJ84" s="1612" t="n"/>
      <c r="AK84" s="1612" t="n"/>
      <c r="AL84" s="1612" t="n"/>
      <c r="AM84" s="1612" t="n"/>
      <c r="AN84" s="1612" t="n"/>
      <c r="AO84" s="1597" t="inlineStr">
        <is>
          <t>.</t>
        </is>
      </c>
      <c r="AP84" s="1597">
        <f>AP83+1</f>
        <v/>
      </c>
      <c r="AQ84" s="1636">
        <f>G15</f>
        <v/>
      </c>
      <c r="AR84" s="1603">
        <f>COUNTIF(cities[ctry],citySeq313[[#This Row],[ctry]])</f>
        <v/>
      </c>
      <c r="AS84" s="1604">
        <f>_xlfn.MINIFS(stayCtry[in], stayCtry[ctry], citySeq313[[#This Row],[ctry]])</f>
        <v/>
      </c>
      <c r="AT84" s="1637">
        <f>_xlfn.MAXIFS(stayCtry[out], stayCtry[ctry], citySeq313[[#This Row],[ctry]])</f>
        <v/>
      </c>
      <c r="AU84" s="1638">
        <f>_xlfn.XLOOKUP(citySeq313[[#This Row],[seq]],stayCtry[stay],stayCtry[in],"-")</f>
        <v/>
      </c>
      <c r="AV84" s="1638">
        <f>_xlfn.XLOOKUP(citySeq313[[#This Row],[seq]],stayCtry[stay],stayCtry[out],"-")</f>
        <v/>
      </c>
      <c r="AW84" s="1603">
        <f t="array" ref="AW84">MAX(IF(stayCtry[ctry]=citySeq313[[#This Row],[ctry]],stayCtry[stay]))</f>
        <v/>
      </c>
      <c r="AX84" s="1603">
        <f t="array" ref="AX84">ROWS(_xlfn.UNIQUE(_xlfn._xlws.FILTER(raw[yr], raw[ctry]=citySeq313[[#This Row],[ctry]])))</f>
        <v/>
      </c>
      <c r="AY84" s="1603">
        <f>_xlfn.XLOOKUP(citySeq313[[#This Row],[ctry]],mainW[ctry],mainW[total],"-")</f>
        <v/>
      </c>
      <c r="AZ84" s="1666" t="n"/>
      <c r="BA84" s="1612" t="n"/>
      <c r="BB84" s="1612" t="n"/>
      <c r="BC84" s="1612" t="n"/>
      <c r="BD84" s="1612" t="n"/>
      <c r="BE84" s="1612" t="n"/>
      <c r="BF84" s="1612" t="n"/>
      <c r="BG84" s="1612" t="n"/>
      <c r="BH84" s="1612" t="n"/>
      <c r="BI84" s="1612" t="n"/>
      <c r="BJ84" s="1612" t="n"/>
      <c r="BK84" s="1612" t="n"/>
      <c r="BL84" s="1612" t="n"/>
      <c r="BM84" s="1612" t="n"/>
      <c r="BN84" s="1612" t="n"/>
      <c r="BO84" s="1612" t="n"/>
      <c r="BP84" s="1612" t="n"/>
      <c r="BQ84" s="1612" t="n"/>
      <c r="BR84" s="1612" t="n"/>
      <c r="BS84" s="1612" t="n"/>
      <c r="BT84" s="1612" t="n"/>
      <c r="BU84" s="1612" t="n"/>
      <c r="BV84" s="1612" t="n"/>
      <c r="BW84" s="1612" t="n"/>
      <c r="BX84" s="1612" t="n"/>
      <c r="BY84" s="1612" t="n"/>
      <c r="BZ84" s="1612" t="n"/>
      <c r="CA84" s="1612" t="n"/>
      <c r="CB84" s="1612" t="n"/>
      <c r="CC84" s="1612" t="n"/>
      <c r="CD84" s="1612" t="n"/>
      <c r="CE84" s="1612" t="n"/>
      <c r="CF84" s="1612" t="n"/>
    </row>
    <row r="85" ht="14" customHeight="1">
      <c r="A85" s="1673" t="n"/>
      <c r="B85" s="1673" t="n"/>
      <c r="C85" s="1673" t="n"/>
      <c r="D85" s="1673" t="n"/>
      <c r="E85" s="1673" t="n"/>
      <c r="F85" s="1673" t="n"/>
      <c r="G85" s="1612" t="n"/>
      <c r="H85" s="1612" t="n"/>
      <c r="I85" s="1612" t="n"/>
      <c r="J85" s="1612" t="n"/>
      <c r="K85" s="1612" t="n"/>
      <c r="L85" s="1612" t="n"/>
      <c r="M85" s="1612" t="n"/>
      <c r="N85" s="1612" t="n"/>
      <c r="O85" s="1612" t="n"/>
      <c r="P85" s="1612" t="n"/>
      <c r="Q85" s="1612" t="n"/>
      <c r="R85" s="1612" t="n"/>
      <c r="S85" s="1612" t="n"/>
      <c r="T85" s="1612" t="n"/>
      <c r="U85" s="1612" t="n"/>
      <c r="V85" s="1612" t="n"/>
      <c r="W85" s="1612" t="n"/>
      <c r="X85" s="1612" t="n"/>
      <c r="Y85" s="1612" t="n"/>
      <c r="Z85" s="1612" t="n"/>
      <c r="AA85" s="1612" t="n"/>
      <c r="AB85" s="1612" t="n"/>
      <c r="AC85" s="1612" t="n"/>
      <c r="AD85" s="1612" t="n"/>
      <c r="AE85" s="1612" t="n"/>
      <c r="AF85" s="1612" t="n"/>
      <c r="AG85" s="1612" t="n"/>
      <c r="AH85" s="1612" t="n"/>
      <c r="AI85" s="1612" t="n"/>
      <c r="AJ85" s="1612" t="n"/>
      <c r="AK85" s="1612" t="n"/>
      <c r="AL85" s="1612" t="n"/>
      <c r="AM85" s="1612" t="n"/>
      <c r="AN85" s="1612" t="n"/>
      <c r="AO85" s="1597" t="inlineStr">
        <is>
          <t>.</t>
        </is>
      </c>
      <c r="AP85" s="1597">
        <f>AP84+1</f>
        <v/>
      </c>
      <c r="AQ85" s="1636">
        <f>G16</f>
        <v/>
      </c>
      <c r="AR85" s="1603">
        <f>COUNTIF(cities[ctry],citySeq313[[#This Row],[ctry]])</f>
        <v/>
      </c>
      <c r="AS85" s="1604">
        <f>_xlfn.MINIFS(stayCtry[in], stayCtry[ctry], citySeq313[[#This Row],[ctry]])</f>
        <v/>
      </c>
      <c r="AT85" s="1637">
        <f>_xlfn.MAXIFS(stayCtry[out], stayCtry[ctry], citySeq313[[#This Row],[ctry]])</f>
        <v/>
      </c>
      <c r="AU85" s="1638">
        <f>_xlfn.XLOOKUP(citySeq313[[#This Row],[seq]],stayCtry[stay],stayCtry[in],"-")</f>
        <v/>
      </c>
      <c r="AV85" s="1638">
        <f>_xlfn.XLOOKUP(citySeq313[[#This Row],[seq]],stayCtry[stay],stayCtry[out],"-")</f>
        <v/>
      </c>
      <c r="AW85" s="1603">
        <f t="array" ref="AW85">MAX(IF(stayCtry[ctry]=citySeq313[[#This Row],[ctry]],stayCtry[stay]))</f>
        <v/>
      </c>
      <c r="AX85" s="1603">
        <f t="array" ref="AX85">ROWS(_xlfn.UNIQUE(_xlfn._xlws.FILTER(raw[yr], raw[ctry]=citySeq313[[#This Row],[ctry]])))</f>
        <v/>
      </c>
      <c r="AY85" s="1603">
        <f>_xlfn.XLOOKUP(citySeq313[[#This Row],[ctry]],mainW[ctry],mainW[total],"-")</f>
        <v/>
      </c>
      <c r="AZ85" s="1666" t="n"/>
      <c r="BA85" s="1612" t="n"/>
      <c r="BB85" s="1612" t="n"/>
      <c r="BC85" s="1612" t="n"/>
      <c r="BD85" s="1612" t="n"/>
      <c r="BE85" s="1612" t="n"/>
      <c r="BF85" s="1612" t="n"/>
      <c r="BG85" s="1612" t="n"/>
      <c r="BH85" s="1612" t="n"/>
      <c r="BI85" s="1612" t="n"/>
      <c r="BJ85" s="1612" t="n"/>
      <c r="BK85" s="1612" t="n"/>
      <c r="BL85" s="1612" t="n"/>
      <c r="BM85" s="1612" t="n"/>
      <c r="BN85" s="1612" t="n"/>
      <c r="BO85" s="1612" t="n"/>
      <c r="BP85" s="1612" t="n"/>
      <c r="BQ85" s="1612" t="n"/>
      <c r="BR85" s="1612" t="n"/>
      <c r="BS85" s="1612" t="n"/>
      <c r="BT85" s="1612" t="n"/>
      <c r="BU85" s="1612" t="n"/>
      <c r="BV85" s="1612" t="n"/>
      <c r="BW85" s="1612" t="n"/>
      <c r="BX85" s="1612" t="n"/>
      <c r="BY85" s="1612" t="n"/>
      <c r="BZ85" s="1612" t="n"/>
      <c r="CA85" s="1612" t="n"/>
      <c r="CB85" s="1612" t="n"/>
      <c r="CC85" s="1612" t="n"/>
      <c r="CD85" s="1612" t="n"/>
      <c r="CE85" s="1612" t="n"/>
      <c r="CF85" s="1612" t="n"/>
    </row>
    <row r="86" ht="14" customHeight="1">
      <c r="A86" s="1677" t="n"/>
      <c r="B86" s="1677" t="n"/>
      <c r="C86" s="1677" t="n"/>
      <c r="D86" s="1677" t="n"/>
      <c r="E86" s="1677" t="n"/>
      <c r="F86" s="1677" t="n"/>
      <c r="G86" s="1612" t="n"/>
      <c r="H86" s="1612" t="n"/>
      <c r="I86" s="1612" t="n"/>
      <c r="J86" s="1612" t="n"/>
      <c r="K86" s="1612" t="n"/>
      <c r="L86" s="1612" t="n"/>
      <c r="M86" s="1612" t="n"/>
      <c r="N86" s="1612" t="n"/>
      <c r="O86" s="1612" t="n"/>
      <c r="P86" s="1612" t="n"/>
      <c r="Q86" s="1612" t="n"/>
      <c r="R86" s="1612" t="n"/>
      <c r="S86" s="1612" t="n"/>
      <c r="T86" s="1612" t="n"/>
      <c r="U86" s="1612" t="n"/>
      <c r="V86" s="1612" t="n"/>
      <c r="W86" s="1612" t="n"/>
      <c r="X86" s="1612" t="n"/>
      <c r="Y86" s="1612" t="n"/>
      <c r="Z86" s="1612" t="n"/>
      <c r="AA86" s="1612" t="n"/>
      <c r="AB86" s="1612" t="n"/>
      <c r="AC86" s="1612" t="n"/>
      <c r="AD86" s="1612" t="n"/>
      <c r="AE86" s="1612" t="n"/>
      <c r="AF86" s="1612" t="n"/>
      <c r="AG86" s="1612" t="n"/>
      <c r="AH86" s="1612" t="n"/>
      <c r="AI86" s="1612" t="n"/>
      <c r="AJ86" s="1612" t="n"/>
      <c r="AK86" s="1612" t="n"/>
      <c r="AL86" s="1612" t="n"/>
      <c r="AM86" s="1612" t="n"/>
      <c r="AN86" s="1612" t="n"/>
      <c r="AO86" s="1597" t="inlineStr">
        <is>
          <t>.</t>
        </is>
      </c>
      <c r="AP86" s="1597">
        <f>AP85+1</f>
        <v/>
      </c>
      <c r="AQ86" s="1636">
        <f>G17</f>
        <v/>
      </c>
      <c r="AR86" s="1603">
        <f>COUNTIF(cities[ctry],citySeq313[[#This Row],[ctry]])</f>
        <v/>
      </c>
      <c r="AS86" s="1604">
        <f>_xlfn.MINIFS(stayCtry[in], stayCtry[ctry], citySeq313[[#This Row],[ctry]])</f>
        <v/>
      </c>
      <c r="AT86" s="1637">
        <f>_xlfn.MAXIFS(stayCtry[out], stayCtry[ctry], citySeq313[[#This Row],[ctry]])</f>
        <v/>
      </c>
      <c r="AU86" s="1638">
        <f>_xlfn.XLOOKUP(citySeq313[[#This Row],[seq]],stayCtry[stay],stayCtry[in],"-")</f>
        <v/>
      </c>
      <c r="AV86" s="1638">
        <f>_xlfn.XLOOKUP(citySeq313[[#This Row],[seq]],stayCtry[stay],stayCtry[out],"-")</f>
        <v/>
      </c>
      <c r="AW86" s="1603">
        <f t="array" ref="AW86">MAX(IF(stayCtry[ctry]=citySeq313[[#This Row],[ctry]],stayCtry[stay]))</f>
        <v/>
      </c>
      <c r="AX86" s="1603">
        <f t="array" ref="AX86">ROWS(_xlfn.UNIQUE(_xlfn._xlws.FILTER(raw[yr], raw[ctry]=citySeq313[[#This Row],[ctry]])))</f>
        <v/>
      </c>
      <c r="AY86" s="1603">
        <f>_xlfn.XLOOKUP(citySeq313[[#This Row],[ctry]],mainW[ctry],mainW[total],"-")</f>
        <v/>
      </c>
      <c r="AZ86" s="1666" t="n"/>
      <c r="BA86" s="1612" t="n"/>
      <c r="BB86" s="1612" t="n"/>
      <c r="BC86" s="1612" t="n"/>
      <c r="BD86" s="1612" t="n"/>
      <c r="BE86" s="1612" t="n"/>
      <c r="BF86" s="1612" t="n"/>
      <c r="BG86" s="1612" t="n"/>
      <c r="BH86" s="1612" t="n"/>
      <c r="BI86" s="1612" t="n"/>
      <c r="BJ86" s="1612" t="n"/>
      <c r="BK86" s="1612" t="n"/>
      <c r="BL86" s="1612" t="n"/>
      <c r="BM86" s="1612" t="n"/>
      <c r="BN86" s="1612" t="n"/>
      <c r="BO86" s="1612" t="n"/>
      <c r="BP86" s="1612" t="n"/>
      <c r="BQ86" s="1612" t="n"/>
      <c r="BR86" s="1612" t="n"/>
      <c r="BS86" s="1612" t="n"/>
      <c r="BT86" s="1612" t="n"/>
      <c r="BU86" s="1612" t="n"/>
      <c r="BV86" s="1612" t="n"/>
      <c r="BW86" s="1612" t="n"/>
      <c r="BX86" s="1612" t="n"/>
      <c r="BY86" s="1612" t="n"/>
      <c r="BZ86" s="1612" t="n"/>
      <c r="CA86" s="1612" t="n"/>
      <c r="CB86" s="1612" t="n"/>
      <c r="CC86" s="1612" t="n"/>
      <c r="CD86" s="1612" t="n"/>
      <c r="CE86" s="1612" t="n"/>
      <c r="CF86" s="1612" t="n"/>
    </row>
    <row r="87" ht="14" customHeight="1">
      <c r="A87" s="1673" t="n"/>
      <c r="B87" s="1673" t="n"/>
      <c r="C87" s="1673" t="n"/>
      <c r="D87" s="1673" t="n"/>
      <c r="E87" s="1673" t="n"/>
      <c r="F87" s="1673" t="n"/>
      <c r="G87" s="1612" t="n"/>
      <c r="H87" s="1612" t="n"/>
      <c r="I87" s="1612" t="n"/>
      <c r="J87" s="1612" t="n"/>
      <c r="K87" s="1612" t="n"/>
      <c r="L87" s="1612" t="n"/>
      <c r="M87" s="1612" t="n"/>
      <c r="N87" s="1612" t="n"/>
      <c r="O87" s="1612" t="n"/>
      <c r="P87" s="1612" t="n"/>
      <c r="Q87" s="1612" t="n"/>
      <c r="R87" s="1612" t="n"/>
      <c r="S87" s="1612" t="n"/>
      <c r="T87" s="1612" t="n"/>
      <c r="U87" s="1612" t="n"/>
      <c r="V87" s="1612" t="n"/>
      <c r="W87" s="1612" t="n"/>
      <c r="X87" s="1612" t="n"/>
      <c r="Y87" s="1612" t="n"/>
      <c r="Z87" s="1612" t="n"/>
      <c r="AA87" s="1612" t="n"/>
      <c r="AB87" s="1612" t="n"/>
      <c r="AC87" s="1612" t="n"/>
      <c r="AD87" s="1612" t="n"/>
      <c r="AE87" s="1612" t="n"/>
      <c r="AF87" s="1612" t="n"/>
      <c r="AG87" s="1612" t="n"/>
      <c r="AH87" s="1612" t="n"/>
      <c r="AI87" s="1612" t="n"/>
      <c r="AJ87" s="1612" t="n"/>
      <c r="AK87" s="1612" t="n"/>
      <c r="AL87" s="1612" t="n"/>
      <c r="AM87" s="1612" t="n"/>
      <c r="AN87" s="1612" t="n"/>
      <c r="AO87" s="1597" t="inlineStr">
        <is>
          <t>.</t>
        </is>
      </c>
      <c r="AP87" s="1597">
        <f>AP86+1</f>
        <v/>
      </c>
      <c r="AQ87" s="1636">
        <f>G18</f>
        <v/>
      </c>
      <c r="AR87" s="1603">
        <f>COUNTIF(cities[ctry],citySeq313[[#This Row],[ctry]])</f>
        <v/>
      </c>
      <c r="AS87" s="1604">
        <f>_xlfn.MINIFS(stayCtry[in], stayCtry[ctry], citySeq313[[#This Row],[ctry]])</f>
        <v/>
      </c>
      <c r="AT87" s="1637">
        <f>_xlfn.MAXIFS(stayCtry[out], stayCtry[ctry], citySeq313[[#This Row],[ctry]])</f>
        <v/>
      </c>
      <c r="AU87" s="1638">
        <f>_xlfn.XLOOKUP(citySeq313[[#This Row],[seq]],stayCtry[stay],stayCtry[in],"-")</f>
        <v/>
      </c>
      <c r="AV87" s="1638">
        <f>_xlfn.XLOOKUP(citySeq313[[#This Row],[seq]],stayCtry[stay],stayCtry[out],"-")</f>
        <v/>
      </c>
      <c r="AW87" s="1603">
        <f t="array" ref="AW87">MAX(IF(stayCtry[ctry]=citySeq313[[#This Row],[ctry]],stayCtry[stay]))</f>
        <v/>
      </c>
      <c r="AX87" s="1603">
        <f t="array" ref="AX87">ROWS(_xlfn.UNIQUE(_xlfn._xlws.FILTER(raw[yr], raw[ctry]=citySeq313[[#This Row],[ctry]])))</f>
        <v/>
      </c>
      <c r="AY87" s="1603">
        <f>_xlfn.XLOOKUP(citySeq313[[#This Row],[ctry]],mainW[ctry],mainW[total],"-")</f>
        <v/>
      </c>
      <c r="AZ87" s="1666" t="n"/>
      <c r="BA87" s="1612" t="n"/>
      <c r="BB87" s="1612" t="n"/>
      <c r="BC87" s="1612" t="n"/>
      <c r="BD87" s="1612" t="n"/>
      <c r="BE87" s="1612" t="n"/>
      <c r="BF87" s="1612" t="n"/>
      <c r="BG87" s="1612" t="n"/>
      <c r="BH87" s="1612" t="n"/>
      <c r="BI87" s="1612" t="n"/>
      <c r="BJ87" s="1612" t="n"/>
      <c r="BK87" s="1612" t="n"/>
      <c r="BL87" s="1612" t="n"/>
      <c r="BM87" s="1612" t="n"/>
      <c r="BN87" s="1612" t="n"/>
      <c r="BO87" s="1612" t="n"/>
      <c r="BP87" s="1612" t="n"/>
      <c r="BQ87" s="1612" t="n"/>
      <c r="BR87" s="1612" t="n"/>
      <c r="BS87" s="1612" t="n"/>
      <c r="BT87" s="1612" t="n"/>
      <c r="BU87" s="1612" t="n"/>
      <c r="BV87" s="1612" t="n"/>
      <c r="BW87" s="1612" t="n"/>
      <c r="BX87" s="1612" t="n"/>
      <c r="BY87" s="1612" t="n"/>
      <c r="BZ87" s="1612" t="n"/>
      <c r="CA87" s="1612" t="n"/>
      <c r="CB87" s="1612" t="n"/>
      <c r="CC87" s="1612" t="n"/>
      <c r="CD87" s="1612" t="n"/>
      <c r="CE87" s="1612" t="n"/>
      <c r="CF87" s="1612" t="n"/>
    </row>
    <row r="88" ht="14" customHeight="1">
      <c r="A88" s="1677" t="n"/>
      <c r="B88" s="1677" t="n"/>
      <c r="C88" s="1677" t="n"/>
      <c r="D88" s="1677" t="n"/>
      <c r="E88" s="1677" t="n"/>
      <c r="F88" s="1677" t="n"/>
      <c r="G88" s="1612" t="n"/>
      <c r="H88" s="1612" t="n"/>
      <c r="I88" s="1612" t="n"/>
      <c r="J88" s="1612" t="n"/>
      <c r="K88" s="1612" t="n"/>
      <c r="L88" s="1612" t="n"/>
      <c r="M88" s="1612" t="n"/>
      <c r="N88" s="1612" t="n"/>
      <c r="O88" s="1612" t="n"/>
      <c r="P88" s="1612" t="n"/>
      <c r="Q88" s="1612" t="n"/>
      <c r="R88" s="1612" t="n"/>
      <c r="S88" s="1612" t="n"/>
      <c r="T88" s="1612" t="n"/>
      <c r="U88" s="1612" t="n"/>
      <c r="V88" s="1612" t="n"/>
      <c r="W88" s="1612" t="n"/>
      <c r="X88" s="1612" t="n"/>
      <c r="Y88" s="1612" t="n"/>
      <c r="Z88" s="1612" t="n"/>
      <c r="AA88" s="1612" t="n"/>
      <c r="AB88" s="1612" t="n"/>
      <c r="AC88" s="1612" t="n"/>
      <c r="AD88" s="1612" t="n"/>
      <c r="AE88" s="1612" t="n"/>
      <c r="AF88" s="1612" t="n"/>
      <c r="AG88" s="1612" t="n"/>
      <c r="AH88" s="1612" t="n"/>
      <c r="AI88" s="1612" t="n"/>
      <c r="AJ88" s="1612" t="n"/>
      <c r="AK88" s="1612" t="n"/>
      <c r="AL88" s="1612" t="n"/>
      <c r="AM88" s="1612" t="n"/>
      <c r="AN88" s="1612" t="n"/>
      <c r="AO88" s="1597" t="inlineStr">
        <is>
          <t>.</t>
        </is>
      </c>
      <c r="AP88" s="1597">
        <f>AP87+1</f>
        <v/>
      </c>
      <c r="AQ88" s="1636">
        <f>G19</f>
        <v/>
      </c>
      <c r="AR88" s="1603">
        <f>COUNTIF(cities[ctry],citySeq313[[#This Row],[ctry]])</f>
        <v/>
      </c>
      <c r="AS88" s="1604">
        <f>_xlfn.MINIFS(stayCtry[in], stayCtry[ctry], citySeq313[[#This Row],[ctry]])</f>
        <v/>
      </c>
      <c r="AT88" s="1637">
        <f>_xlfn.MAXIFS(stayCtry[out], stayCtry[ctry], citySeq313[[#This Row],[ctry]])</f>
        <v/>
      </c>
      <c r="AU88" s="1638">
        <f>_xlfn.XLOOKUP(citySeq313[[#This Row],[seq]],stayCtry[stay],stayCtry[in],"-")</f>
        <v/>
      </c>
      <c r="AV88" s="1638">
        <f>_xlfn.XLOOKUP(citySeq313[[#This Row],[seq]],stayCtry[stay],stayCtry[out],"-")</f>
        <v/>
      </c>
      <c r="AW88" s="1603">
        <f t="array" ref="AW88">MAX(IF(stayCtry[ctry]=citySeq313[[#This Row],[ctry]],stayCtry[stay]))</f>
        <v/>
      </c>
      <c r="AX88" s="1603">
        <f t="array" ref="AX88">ROWS(_xlfn.UNIQUE(_xlfn._xlws.FILTER(raw[yr], raw[ctry]=citySeq313[[#This Row],[ctry]])))</f>
        <v/>
      </c>
      <c r="AY88" s="1603">
        <f>_xlfn.XLOOKUP(citySeq313[[#This Row],[ctry]],mainW[ctry],mainW[total],"-")</f>
        <v/>
      </c>
      <c r="AZ88" s="1666" t="n"/>
      <c r="BA88" s="1612" t="n"/>
      <c r="BB88" s="1612" t="n"/>
      <c r="BC88" s="1612" t="n"/>
      <c r="BD88" s="1612" t="n"/>
      <c r="BE88" s="1612" t="n"/>
      <c r="BF88" s="1612" t="n"/>
      <c r="BG88" s="1612" t="n"/>
      <c r="BH88" s="1612" t="n"/>
      <c r="BI88" s="1612" t="n"/>
      <c r="BJ88" s="1612" t="n"/>
      <c r="BK88" s="1612" t="n"/>
      <c r="BL88" s="1612" t="n"/>
      <c r="BM88" s="1612" t="n"/>
      <c r="BN88" s="1612" t="n"/>
      <c r="BO88" s="1612" t="n"/>
      <c r="BP88" s="1612" t="n"/>
      <c r="BQ88" s="1612" t="n"/>
      <c r="BR88" s="1612" t="n"/>
      <c r="BS88" s="1612" t="n"/>
      <c r="BT88" s="1612" t="n"/>
      <c r="BU88" s="1612" t="n"/>
      <c r="BV88" s="1612" t="n"/>
      <c r="BW88" s="1612" t="n"/>
      <c r="BX88" s="1612" t="n"/>
      <c r="BY88" s="1612" t="n"/>
      <c r="BZ88" s="1612" t="n"/>
      <c r="CA88" s="1612" t="n"/>
      <c r="CB88" s="1612" t="n"/>
      <c r="CC88" s="1612" t="n"/>
      <c r="CD88" s="1612" t="n"/>
      <c r="CE88" s="1612" t="n"/>
      <c r="CF88" s="1612" t="n"/>
    </row>
    <row r="89" ht="14" customHeight="1">
      <c r="A89" s="1673" t="n"/>
      <c r="B89" s="1673" t="n"/>
      <c r="C89" s="1673" t="n"/>
      <c r="D89" s="1673" t="n"/>
      <c r="E89" s="1673" t="n"/>
      <c r="F89" s="1673" t="n"/>
      <c r="G89" s="1612" t="n"/>
      <c r="H89" s="1612" t="n"/>
      <c r="I89" s="1612" t="n"/>
      <c r="J89" s="1612" t="n"/>
      <c r="K89" s="1612" t="n"/>
      <c r="L89" s="1612" t="n"/>
      <c r="M89" s="1612" t="n"/>
      <c r="N89" s="1612" t="n"/>
      <c r="O89" s="1612" t="n"/>
      <c r="P89" s="1612" t="n"/>
      <c r="Q89" s="1612" t="n"/>
      <c r="R89" s="1612" t="n"/>
      <c r="S89" s="1612" t="n"/>
      <c r="T89" s="1612" t="n"/>
      <c r="U89" s="1612" t="n"/>
      <c r="V89" s="1612" t="n"/>
      <c r="W89" s="1612" t="n"/>
      <c r="X89" s="1612" t="n"/>
      <c r="Y89" s="1612" t="n"/>
      <c r="Z89" s="1612" t="n"/>
      <c r="AA89" s="1612" t="n"/>
      <c r="AB89" s="1612" t="n"/>
      <c r="AC89" s="1612" t="n"/>
      <c r="AD89" s="1612" t="n"/>
      <c r="AE89" s="1612" t="n"/>
      <c r="AF89" s="1612" t="n"/>
      <c r="AG89" s="1612" t="n"/>
      <c r="AH89" s="1612" t="n"/>
      <c r="AI89" s="1612" t="n"/>
      <c r="AJ89" s="1612" t="n"/>
      <c r="AK89" s="1612" t="n"/>
      <c r="AL89" s="1612" t="n"/>
      <c r="AM89" s="1612" t="n"/>
      <c r="AN89" s="1612" t="n"/>
      <c r="AO89" s="1597" t="inlineStr">
        <is>
          <t>.</t>
        </is>
      </c>
      <c r="AP89" s="1597">
        <f>AP88+1</f>
        <v/>
      </c>
      <c r="AQ89" s="1636">
        <f>G20</f>
        <v/>
      </c>
      <c r="AR89" s="1603">
        <f>COUNTIF(cities[ctry],citySeq313[[#This Row],[ctry]])</f>
        <v/>
      </c>
      <c r="AS89" s="1604">
        <f>_xlfn.MINIFS(stayCtry[in], stayCtry[ctry], citySeq313[[#This Row],[ctry]])</f>
        <v/>
      </c>
      <c r="AT89" s="1637">
        <f>_xlfn.MAXIFS(stayCtry[out], stayCtry[ctry], citySeq313[[#This Row],[ctry]])</f>
        <v/>
      </c>
      <c r="AU89" s="1638">
        <f>_xlfn.XLOOKUP(citySeq313[[#This Row],[seq]],stayCtry[stay],stayCtry[in],"-")</f>
        <v/>
      </c>
      <c r="AV89" s="1638">
        <f>_xlfn.XLOOKUP(citySeq313[[#This Row],[seq]],stayCtry[stay],stayCtry[out],"-")</f>
        <v/>
      </c>
      <c r="AW89" s="1603">
        <f t="array" ref="AW89">MAX(IF(stayCtry[ctry]=citySeq313[[#This Row],[ctry]],stayCtry[stay]))</f>
        <v/>
      </c>
      <c r="AX89" s="1603">
        <f t="array" ref="AX89">ROWS(_xlfn.UNIQUE(_xlfn._xlws.FILTER(raw[yr], raw[ctry]=citySeq313[[#This Row],[ctry]])))</f>
        <v/>
      </c>
      <c r="AY89" s="1603">
        <f>_xlfn.XLOOKUP(citySeq313[[#This Row],[ctry]],mainW[ctry],mainW[total],"-")</f>
        <v/>
      </c>
      <c r="AZ89" s="1666" t="n"/>
      <c r="BA89" s="1612" t="n"/>
      <c r="BB89" s="1612" t="n"/>
      <c r="BC89" s="1612" t="n"/>
      <c r="BD89" s="1612" t="n"/>
      <c r="BE89" s="1612" t="n"/>
      <c r="BF89" s="1612" t="n"/>
      <c r="BG89" s="1612" t="n"/>
      <c r="BH89" s="1612" t="n"/>
      <c r="BI89" s="1612" t="n"/>
      <c r="BJ89" s="1612" t="n"/>
      <c r="BK89" s="1612" t="n"/>
      <c r="BL89" s="1612" t="n"/>
      <c r="BM89" s="1612" t="n"/>
      <c r="BN89" s="1612" t="n"/>
      <c r="BO89" s="1612" t="n"/>
      <c r="BP89" s="1612" t="n"/>
      <c r="BQ89" s="1612" t="n"/>
      <c r="BR89" s="1612" t="n"/>
      <c r="BS89" s="1612" t="n"/>
      <c r="BT89" s="1612" t="n"/>
      <c r="BU89" s="1612" t="n"/>
      <c r="BV89" s="1612" t="n"/>
      <c r="BW89" s="1612" t="n"/>
      <c r="BX89" s="1612" t="n"/>
      <c r="BY89" s="1612" t="n"/>
      <c r="BZ89" s="1612" t="n"/>
      <c r="CA89" s="1612" t="n"/>
      <c r="CB89" s="1612" t="n"/>
      <c r="CC89" s="1612" t="n"/>
      <c r="CD89" s="1612" t="n"/>
      <c r="CE89" s="1612" t="n"/>
      <c r="CF89" s="1612" t="n"/>
    </row>
    <row r="90" ht="14" customHeight="1">
      <c r="A90" s="1677" t="n"/>
      <c r="B90" s="1677" t="n"/>
      <c r="C90" s="1677" t="n"/>
      <c r="D90" s="1677" t="n"/>
      <c r="E90" s="1677" t="n"/>
      <c r="F90" s="1677" t="n"/>
      <c r="G90" s="1612" t="n"/>
      <c r="H90" s="1612" t="n"/>
      <c r="I90" s="1612" t="n"/>
      <c r="J90" s="1612" t="n"/>
      <c r="K90" s="1612" t="n"/>
      <c r="L90" s="1612" t="n"/>
      <c r="M90" s="1612" t="n"/>
      <c r="N90" s="1612" t="n"/>
      <c r="O90" s="1612" t="n"/>
      <c r="P90" s="1612" t="n"/>
      <c r="Q90" s="1612" t="n"/>
      <c r="R90" s="1612" t="n"/>
      <c r="S90" s="1612" t="n"/>
      <c r="T90" s="1612" t="n"/>
      <c r="U90" s="1612" t="n"/>
      <c r="V90" s="1612" t="n"/>
      <c r="W90" s="1612" t="n"/>
      <c r="X90" s="1612" t="n"/>
      <c r="Y90" s="1612" t="n"/>
      <c r="Z90" s="1612" t="n"/>
      <c r="AA90" s="1612" t="n"/>
      <c r="AB90" s="1612" t="n"/>
      <c r="AC90" s="1612" t="n"/>
      <c r="AD90" s="1612" t="n"/>
      <c r="AE90" s="1612" t="n"/>
      <c r="AF90" s="1612" t="n"/>
      <c r="AG90" s="1612" t="n"/>
      <c r="AH90" s="1612" t="n"/>
      <c r="AI90" s="1612" t="n"/>
      <c r="AJ90" s="1612" t="n"/>
      <c r="AK90" s="1612" t="n"/>
      <c r="AL90" s="1612" t="n"/>
      <c r="AM90" s="1612" t="n"/>
      <c r="AN90" s="1612" t="n"/>
      <c r="AO90" s="1597" t="inlineStr">
        <is>
          <t>.</t>
        </is>
      </c>
      <c r="AP90" s="1597">
        <f>AP89+1</f>
        <v/>
      </c>
      <c r="AQ90" s="1636">
        <f>G21</f>
        <v/>
      </c>
      <c r="AR90" s="1603">
        <f>COUNTIF(cities[ctry],citySeq313[[#This Row],[ctry]])</f>
        <v/>
      </c>
      <c r="AS90" s="1604">
        <f>_xlfn.MINIFS(stayCtry[in], stayCtry[ctry], citySeq313[[#This Row],[ctry]])</f>
        <v/>
      </c>
      <c r="AT90" s="1637">
        <f>_xlfn.MAXIFS(stayCtry[out], stayCtry[ctry], citySeq313[[#This Row],[ctry]])</f>
        <v/>
      </c>
      <c r="AU90" s="1638">
        <f>_xlfn.XLOOKUP(citySeq313[[#This Row],[seq]],stayCtry[stay],stayCtry[in],"-")</f>
        <v/>
      </c>
      <c r="AV90" s="1638">
        <f>_xlfn.XLOOKUP(citySeq313[[#This Row],[seq]],stayCtry[stay],stayCtry[out],"-")</f>
        <v/>
      </c>
      <c r="AW90" s="1603">
        <f t="array" ref="AW90">MAX(IF(stayCtry[ctry]=citySeq313[[#This Row],[ctry]],stayCtry[stay]))</f>
        <v/>
      </c>
      <c r="AX90" s="1603">
        <f t="array" ref="AX90">ROWS(_xlfn.UNIQUE(_xlfn._xlws.FILTER(raw[yr], raw[ctry]=citySeq313[[#This Row],[ctry]])))</f>
        <v/>
      </c>
      <c r="AY90" s="1603">
        <f>_xlfn.XLOOKUP(citySeq313[[#This Row],[ctry]],mainW[ctry],mainW[total],"-")</f>
        <v/>
      </c>
      <c r="AZ90" s="1666" t="n"/>
      <c r="BA90" s="1612" t="n"/>
      <c r="BB90" s="1612" t="n"/>
      <c r="BC90" s="1612" t="n"/>
      <c r="BD90" s="1612" t="n"/>
      <c r="BE90" s="1612" t="n"/>
      <c r="BF90" s="1612" t="n"/>
      <c r="BG90" s="1612" t="n"/>
      <c r="BH90" s="1612" t="n"/>
      <c r="BI90" s="1612" t="n"/>
      <c r="BJ90" s="1612" t="n"/>
      <c r="BK90" s="1612" t="n"/>
      <c r="BL90" s="1612" t="n"/>
      <c r="BM90" s="1612" t="n"/>
      <c r="BN90" s="1612" t="n"/>
      <c r="BO90" s="1612" t="n"/>
      <c r="BP90" s="1612" t="n"/>
      <c r="BQ90" s="1612" t="n"/>
      <c r="BR90" s="1612" t="n"/>
      <c r="BS90" s="1612" t="n"/>
      <c r="BT90" s="1612" t="n"/>
      <c r="BU90" s="1612" t="n"/>
      <c r="BV90" s="1612" t="n"/>
      <c r="BW90" s="1612" t="n"/>
      <c r="BX90" s="1612" t="n"/>
      <c r="BY90" s="1612" t="n"/>
      <c r="BZ90" s="1612" t="n"/>
      <c r="CA90" s="1612" t="n"/>
      <c r="CB90" s="1612" t="n"/>
      <c r="CC90" s="1612" t="n"/>
      <c r="CD90" s="1612" t="n"/>
      <c r="CE90" s="1612" t="n"/>
      <c r="CF90" s="1612" t="n"/>
    </row>
    <row r="91" ht="14" customHeight="1">
      <c r="A91" s="1673" t="n"/>
      <c r="B91" s="1673" t="n"/>
      <c r="C91" s="1673" t="n"/>
      <c r="D91" s="1673" t="n"/>
      <c r="E91" s="1673" t="n"/>
      <c r="F91" s="1673" t="n"/>
      <c r="G91" s="1612" t="n"/>
      <c r="H91" s="1612" t="n"/>
      <c r="I91" s="1612" t="n"/>
      <c r="J91" s="1612" t="n"/>
      <c r="K91" s="1612" t="n"/>
      <c r="L91" s="1612" t="n"/>
      <c r="M91" s="1612" t="n"/>
      <c r="N91" s="1612" t="n"/>
      <c r="O91" s="1612" t="n"/>
      <c r="P91" s="1612" t="n"/>
      <c r="Q91" s="1612" t="n"/>
      <c r="R91" s="1612" t="n"/>
      <c r="S91" s="1612" t="n"/>
      <c r="T91" s="1612" t="n"/>
      <c r="U91" s="1612" t="n"/>
      <c r="V91" s="1612" t="n"/>
      <c r="W91" s="1612" t="n"/>
      <c r="X91" s="1612" t="n"/>
      <c r="Y91" s="1612" t="n"/>
      <c r="Z91" s="1612" t="n"/>
      <c r="AA91" s="1612" t="n"/>
      <c r="AB91" s="1612" t="n"/>
      <c r="AC91" s="1612" t="n"/>
      <c r="AD91" s="1612" t="n"/>
      <c r="AE91" s="1612" t="n"/>
      <c r="AF91" s="1612" t="n"/>
      <c r="AG91" s="1612" t="n"/>
      <c r="AH91" s="1612" t="n"/>
      <c r="AI91" s="1612" t="n"/>
      <c r="AJ91" s="1612" t="n"/>
      <c r="AK91" s="1612" t="n"/>
      <c r="AL91" s="1612" t="n"/>
      <c r="AM91" s="1612" t="n"/>
      <c r="AN91" s="1612" t="n"/>
      <c r="AO91" s="1597" t="inlineStr">
        <is>
          <t>.</t>
        </is>
      </c>
      <c r="AP91" s="1597">
        <f>AP90+1</f>
        <v/>
      </c>
      <c r="AQ91" s="1636">
        <f>G22</f>
        <v/>
      </c>
      <c r="AR91" s="1603">
        <f>COUNTIF(cities[ctry],citySeq313[[#This Row],[ctry]])</f>
        <v/>
      </c>
      <c r="AS91" s="1604">
        <f>_xlfn.MINIFS(stayCtry[in], stayCtry[ctry], citySeq313[[#This Row],[ctry]])</f>
        <v/>
      </c>
      <c r="AT91" s="1637">
        <f>_xlfn.MAXIFS(stayCtry[out], stayCtry[ctry], citySeq313[[#This Row],[ctry]])</f>
        <v/>
      </c>
      <c r="AU91" s="1638">
        <f>_xlfn.XLOOKUP(citySeq313[[#This Row],[seq]],stayCtry[stay],stayCtry[in],"-")</f>
        <v/>
      </c>
      <c r="AV91" s="1638">
        <f>_xlfn.XLOOKUP(citySeq313[[#This Row],[seq]],stayCtry[stay],stayCtry[out],"-")</f>
        <v/>
      </c>
      <c r="AW91" s="1603">
        <f t="array" ref="AW91">MAX(IF(stayCtry[ctry]=citySeq313[[#This Row],[ctry]],stayCtry[stay]))</f>
        <v/>
      </c>
      <c r="AX91" s="1603">
        <f t="array" ref="AX91">ROWS(_xlfn.UNIQUE(_xlfn._xlws.FILTER(raw[yr], raw[ctry]=citySeq313[[#This Row],[ctry]])))</f>
        <v/>
      </c>
      <c r="AY91" s="1603">
        <f>_xlfn.XLOOKUP(citySeq313[[#This Row],[ctry]],mainW[ctry],mainW[total],"-")</f>
        <v/>
      </c>
      <c r="AZ91" s="1666" t="n"/>
      <c r="BA91" s="1612" t="n"/>
      <c r="BB91" s="1612" t="n"/>
      <c r="BC91" s="1612" t="n"/>
      <c r="BD91" s="1612" t="n"/>
      <c r="BE91" s="1612" t="n"/>
      <c r="BF91" s="1612" t="n"/>
      <c r="BG91" s="1612" t="n"/>
      <c r="BH91" s="1612" t="n"/>
      <c r="BI91" s="1612" t="n"/>
      <c r="BJ91" s="1612" t="n"/>
      <c r="BK91" s="1612" t="n"/>
      <c r="BL91" s="1612" t="n"/>
      <c r="BM91" s="1612" t="n"/>
      <c r="BN91" s="1612" t="n"/>
      <c r="BO91" s="1612" t="n"/>
      <c r="BP91" s="1612" t="n"/>
      <c r="BQ91" s="1612" t="n"/>
      <c r="BR91" s="1612" t="n"/>
      <c r="BS91" s="1612" t="n"/>
      <c r="BT91" s="1612" t="n"/>
      <c r="BU91" s="1612" t="n"/>
      <c r="BV91" s="1612" t="n"/>
      <c r="BW91" s="1612" t="n"/>
      <c r="BX91" s="1612" t="n"/>
      <c r="BY91" s="1612" t="n"/>
      <c r="BZ91" s="1612" t="n"/>
      <c r="CA91" s="1612" t="n"/>
      <c r="CB91" s="1612" t="n"/>
      <c r="CC91" s="1612" t="n"/>
      <c r="CD91" s="1612" t="n"/>
      <c r="CE91" s="1612" t="n"/>
      <c r="CF91" s="1612" t="n"/>
    </row>
    <row r="92" ht="14" customHeight="1">
      <c r="A92" s="1677" t="n"/>
      <c r="B92" s="1677" t="n"/>
      <c r="C92" s="1677" t="n"/>
      <c r="D92" s="1677" t="n"/>
      <c r="E92" s="1677" t="n"/>
      <c r="F92" s="1677" t="n"/>
      <c r="G92" s="1612" t="n"/>
      <c r="H92" s="1612" t="n"/>
      <c r="I92" s="1612" t="n"/>
      <c r="J92" s="1612" t="n"/>
      <c r="K92" s="1612" t="n"/>
      <c r="L92" s="1612" t="n"/>
      <c r="M92" s="1612" t="n"/>
      <c r="N92" s="1612" t="n"/>
      <c r="O92" s="1612" t="n"/>
      <c r="P92" s="1612" t="n"/>
      <c r="Q92" s="1612" t="n"/>
      <c r="R92" s="1612" t="n"/>
      <c r="S92" s="1612" t="n"/>
      <c r="T92" s="1612" t="n"/>
      <c r="U92" s="1612" t="n"/>
      <c r="V92" s="1612" t="n"/>
      <c r="W92" s="1612" t="n"/>
      <c r="X92" s="1612" t="n"/>
      <c r="Y92" s="1612" t="n"/>
      <c r="Z92" s="1612" t="n"/>
      <c r="AA92" s="1612" t="n"/>
      <c r="AB92" s="1612" t="n"/>
      <c r="AC92" s="1612" t="n"/>
      <c r="AD92" s="1612" t="n"/>
      <c r="AE92" s="1612" t="n"/>
      <c r="AF92" s="1612" t="n"/>
      <c r="AG92" s="1612" t="n"/>
      <c r="AH92" s="1612" t="n"/>
      <c r="AI92" s="1612" t="n"/>
      <c r="AJ92" s="1612" t="n"/>
      <c r="AK92" s="1612" t="n"/>
      <c r="AL92" s="1612" t="n"/>
      <c r="AM92" s="1612" t="n"/>
      <c r="AN92" s="1612" t="n"/>
      <c r="AO92" s="1597" t="inlineStr">
        <is>
          <t>.</t>
        </is>
      </c>
      <c r="AP92" s="1597">
        <f>AP91+1</f>
        <v/>
      </c>
      <c r="AQ92" s="1636">
        <f>G23</f>
        <v/>
      </c>
      <c r="AR92" s="1603">
        <f>COUNTIF(cities[ctry],citySeq313[[#This Row],[ctry]])</f>
        <v/>
      </c>
      <c r="AS92" s="1604">
        <f>_xlfn.MINIFS(stayCtry[in], stayCtry[ctry], citySeq313[[#This Row],[ctry]])</f>
        <v/>
      </c>
      <c r="AT92" s="1637">
        <f>_xlfn.MAXIFS(stayCtry[out], stayCtry[ctry], citySeq313[[#This Row],[ctry]])</f>
        <v/>
      </c>
      <c r="AU92" s="1638">
        <f>_xlfn.XLOOKUP(citySeq313[[#This Row],[seq]],stayCtry[stay],stayCtry[in],"-")</f>
        <v/>
      </c>
      <c r="AV92" s="1638">
        <f>_xlfn.XLOOKUP(citySeq313[[#This Row],[seq]],stayCtry[stay],stayCtry[out],"-")</f>
        <v/>
      </c>
      <c r="AW92" s="1603">
        <f t="array" ref="AW92">MAX(IF(stayCtry[ctry]=citySeq313[[#This Row],[ctry]],stayCtry[stay]))</f>
        <v/>
      </c>
      <c r="AX92" s="1603">
        <f t="array" ref="AX92">ROWS(_xlfn.UNIQUE(_xlfn._xlws.FILTER(raw[yr], raw[ctry]=citySeq313[[#This Row],[ctry]])))</f>
        <v/>
      </c>
      <c r="AY92" s="1603">
        <f>_xlfn.XLOOKUP(citySeq313[[#This Row],[ctry]],mainW[ctry],mainW[total],"-")</f>
        <v/>
      </c>
      <c r="AZ92" s="1666" t="n"/>
      <c r="BA92" s="1612" t="n"/>
      <c r="BB92" s="1612" t="n"/>
      <c r="BC92" s="1612" t="n"/>
      <c r="BD92" s="1612" t="n"/>
      <c r="BE92" s="1612" t="n"/>
      <c r="BF92" s="1612" t="n"/>
      <c r="BG92" s="1612" t="n"/>
      <c r="BH92" s="1612" t="n"/>
      <c r="BI92" s="1612" t="n"/>
      <c r="BJ92" s="1612" t="n"/>
      <c r="BK92" s="1612" t="n"/>
      <c r="BL92" s="1612" t="n"/>
      <c r="BM92" s="1612" t="n"/>
      <c r="BN92" s="1612" t="n"/>
      <c r="BO92" s="1612" t="n"/>
      <c r="BP92" s="1612" t="n"/>
      <c r="BQ92" s="1612" t="n"/>
      <c r="BR92" s="1612" t="n"/>
      <c r="BS92" s="1612" t="n"/>
      <c r="BT92" s="1612" t="n"/>
      <c r="BU92" s="1612" t="n"/>
      <c r="BV92" s="1612" t="n"/>
      <c r="BW92" s="1612" t="n"/>
      <c r="BX92" s="1612" t="n"/>
      <c r="BY92" s="1612" t="n"/>
      <c r="BZ92" s="1612" t="n"/>
      <c r="CA92" s="1612" t="n"/>
      <c r="CB92" s="1612" t="n"/>
      <c r="CC92" s="1612" t="n"/>
      <c r="CD92" s="1612" t="n"/>
      <c r="CE92" s="1612" t="n"/>
      <c r="CF92" s="1612" t="n"/>
    </row>
    <row r="93" ht="14" customHeight="1">
      <c r="A93" s="1673" t="n"/>
      <c r="B93" s="1673" t="n"/>
      <c r="C93" s="1673" t="n"/>
      <c r="D93" s="1673" t="n"/>
      <c r="E93" s="1673" t="n"/>
      <c r="F93" s="1673" t="n"/>
      <c r="G93" s="1612" t="n"/>
      <c r="H93" s="1612" t="n"/>
      <c r="I93" s="1612" t="n"/>
      <c r="J93" s="1612" t="n"/>
      <c r="K93" s="1612" t="n"/>
      <c r="L93" s="1612" t="n"/>
      <c r="M93" s="1612" t="n"/>
      <c r="N93" s="1612" t="n"/>
      <c r="O93" s="1612" t="n"/>
      <c r="P93" s="1612" t="n"/>
      <c r="Q93" s="1612" t="n"/>
      <c r="R93" s="1612" t="n"/>
      <c r="S93" s="1612" t="n"/>
      <c r="T93" s="1612" t="n"/>
      <c r="U93" s="1612" t="n"/>
      <c r="V93" s="1612" t="n"/>
      <c r="W93" s="1612" t="n"/>
      <c r="X93" s="1612" t="n"/>
      <c r="Y93" s="1612" t="n"/>
      <c r="Z93" s="1612" t="n"/>
      <c r="AA93" s="1612" t="n"/>
      <c r="AB93" s="1612" t="n"/>
      <c r="AC93" s="1612" t="n"/>
      <c r="AD93" s="1612" t="n"/>
      <c r="AE93" s="1612" t="n"/>
      <c r="AF93" s="1612" t="n"/>
      <c r="AG93" s="1612" t="n"/>
      <c r="AH93" s="1612" t="n"/>
      <c r="AI93" s="1612" t="n"/>
      <c r="AJ93" s="1612" t="n"/>
      <c r="AK93" s="1612" t="n"/>
      <c r="AL93" s="1612" t="n"/>
      <c r="AM93" s="1612" t="n"/>
      <c r="AN93" s="1612" t="n"/>
      <c r="AO93" s="1597" t="inlineStr">
        <is>
          <t>.</t>
        </is>
      </c>
      <c r="AP93" s="1597">
        <f>AP92+1</f>
        <v/>
      </c>
      <c r="AQ93" s="1636">
        <f>G24</f>
        <v/>
      </c>
      <c r="AR93" s="1603">
        <f>COUNTIF(cities[ctry],citySeq313[[#This Row],[ctry]])</f>
        <v/>
      </c>
      <c r="AS93" s="1604">
        <f>_xlfn.MINIFS(stayCtry[in], stayCtry[ctry], citySeq313[[#This Row],[ctry]])</f>
        <v/>
      </c>
      <c r="AT93" s="1637">
        <f>_xlfn.MAXIFS(stayCtry[out], stayCtry[ctry], citySeq313[[#This Row],[ctry]])</f>
        <v/>
      </c>
      <c r="AU93" s="1638">
        <f>_xlfn.XLOOKUP(citySeq313[[#This Row],[seq]],stayCtry[stay],stayCtry[in],"-")</f>
        <v/>
      </c>
      <c r="AV93" s="1638">
        <f>_xlfn.XLOOKUP(citySeq313[[#This Row],[seq]],stayCtry[stay],stayCtry[out],"-")</f>
        <v/>
      </c>
      <c r="AW93" s="1603">
        <f t="array" ref="AW93">MAX(IF(stayCtry[ctry]=citySeq313[[#This Row],[ctry]],stayCtry[stay]))</f>
        <v/>
      </c>
      <c r="AX93" s="1603">
        <f t="array" ref="AX93">ROWS(_xlfn.UNIQUE(_xlfn._xlws.FILTER(raw[yr], raw[ctry]=citySeq313[[#This Row],[ctry]])))</f>
        <v/>
      </c>
      <c r="AY93" s="1603">
        <f>_xlfn.XLOOKUP(citySeq313[[#This Row],[ctry]],mainW[ctry],mainW[total],"-")</f>
        <v/>
      </c>
      <c r="AZ93" s="1666" t="n"/>
      <c r="BA93" s="1612" t="n"/>
      <c r="BB93" s="1612" t="n"/>
      <c r="BC93" s="1612" t="n"/>
      <c r="BD93" s="1612" t="n"/>
      <c r="BE93" s="1612" t="n"/>
      <c r="BF93" s="1612" t="n"/>
      <c r="BG93" s="1612" t="n"/>
      <c r="BH93" s="1612" t="n"/>
      <c r="BI93" s="1612" t="n"/>
      <c r="BJ93" s="1612" t="n"/>
      <c r="BK93" s="1612" t="n"/>
      <c r="BL93" s="1612" t="n"/>
      <c r="BM93" s="1612" t="n"/>
      <c r="BN93" s="1612" t="n"/>
      <c r="BO93" s="1612" t="n"/>
      <c r="BP93" s="1612" t="n"/>
      <c r="BQ93" s="1612" t="n"/>
      <c r="BR93" s="1612" t="n"/>
      <c r="BS93" s="1612" t="n"/>
      <c r="BT93" s="1612" t="n"/>
      <c r="BU93" s="1612" t="n"/>
      <c r="BV93" s="1612" t="n"/>
      <c r="BW93" s="1612" t="n"/>
      <c r="BX93" s="1612" t="n"/>
      <c r="BY93" s="1612" t="n"/>
      <c r="BZ93" s="1612" t="n"/>
      <c r="CA93" s="1612" t="n"/>
      <c r="CB93" s="1612" t="n"/>
      <c r="CC93" s="1612" t="n"/>
      <c r="CD93" s="1612" t="n"/>
      <c r="CE93" s="1612" t="n"/>
      <c r="CF93" s="1612" t="n"/>
    </row>
    <row r="94" ht="14" customHeight="1">
      <c r="A94" s="1677" t="n"/>
      <c r="B94" s="1677" t="n"/>
      <c r="C94" s="1677" t="n"/>
      <c r="D94" s="1677" t="n"/>
      <c r="E94" s="1677" t="n"/>
      <c r="F94" s="1677" t="n"/>
      <c r="G94" s="1612" t="n"/>
      <c r="H94" s="1612" t="n"/>
      <c r="I94" s="1612" t="n"/>
      <c r="J94" s="1612" t="n"/>
      <c r="K94" s="1612" t="n"/>
      <c r="L94" s="1612" t="n"/>
      <c r="M94" s="1612" t="n"/>
      <c r="N94" s="1612" t="n"/>
      <c r="O94" s="1612" t="n"/>
      <c r="P94" s="1612" t="n"/>
      <c r="Q94" s="1612" t="n"/>
      <c r="R94" s="1612" t="n"/>
      <c r="S94" s="1612" t="n"/>
      <c r="T94" s="1612" t="n"/>
      <c r="U94" s="1612" t="n"/>
      <c r="V94" s="1612" t="n"/>
      <c r="W94" s="1612" t="n"/>
      <c r="X94" s="1612" t="n"/>
      <c r="Y94" s="1612" t="n"/>
      <c r="Z94" s="1612" t="n"/>
      <c r="AA94" s="1612" t="n"/>
      <c r="AB94" s="1612" t="n"/>
      <c r="AC94" s="1612" t="n"/>
      <c r="AD94" s="1612" t="n"/>
      <c r="AE94" s="1612" t="n"/>
      <c r="AF94" s="1612" t="n"/>
      <c r="AG94" s="1612" t="n"/>
      <c r="AH94" s="1612" t="n"/>
      <c r="AI94" s="1612" t="n"/>
      <c r="AJ94" s="1612" t="n"/>
      <c r="AK94" s="1612" t="n"/>
      <c r="AL94" s="1612" t="n"/>
      <c r="AM94" s="1612" t="n"/>
      <c r="AN94" s="1612" t="n"/>
      <c r="AO94" s="1597" t="inlineStr">
        <is>
          <t>.</t>
        </is>
      </c>
      <c r="AP94" s="1597">
        <f>AP93+1</f>
        <v/>
      </c>
      <c r="AQ94" s="1636">
        <f>G25</f>
        <v/>
      </c>
      <c r="AR94" s="1603">
        <f>COUNTIF(cities[ctry],citySeq313[[#This Row],[ctry]])</f>
        <v/>
      </c>
      <c r="AS94" s="1604">
        <f>_xlfn.MINIFS(stayCtry[in], stayCtry[ctry], citySeq313[[#This Row],[ctry]])</f>
        <v/>
      </c>
      <c r="AT94" s="1637">
        <f>_xlfn.MAXIFS(stayCtry[out], stayCtry[ctry], citySeq313[[#This Row],[ctry]])</f>
        <v/>
      </c>
      <c r="AU94" s="1638">
        <f>_xlfn.XLOOKUP(citySeq313[[#This Row],[seq]],stayCtry[stay],stayCtry[in],"-")</f>
        <v/>
      </c>
      <c r="AV94" s="1638">
        <f>_xlfn.XLOOKUP(citySeq313[[#This Row],[seq]],stayCtry[stay],stayCtry[out],"-")</f>
        <v/>
      </c>
      <c r="AW94" s="1603">
        <f t="array" ref="AW94">MAX(IF(stayCtry[ctry]=citySeq313[[#This Row],[ctry]],stayCtry[stay]))</f>
        <v/>
      </c>
      <c r="AX94" s="1603">
        <f t="array" ref="AX94">ROWS(_xlfn.UNIQUE(_xlfn._xlws.FILTER(raw[yr], raw[ctry]=citySeq313[[#This Row],[ctry]])))</f>
        <v/>
      </c>
      <c r="AY94" s="1603">
        <f>_xlfn.XLOOKUP(citySeq313[[#This Row],[ctry]],mainW[ctry],mainW[total],"-")</f>
        <v/>
      </c>
      <c r="AZ94" s="1666" t="n"/>
      <c r="BA94" s="1612" t="n"/>
      <c r="BB94" s="1612" t="n"/>
      <c r="BC94" s="1612" t="n"/>
      <c r="BD94" s="1612" t="n"/>
      <c r="BE94" s="1612" t="n"/>
      <c r="BF94" s="1612" t="n"/>
      <c r="BG94" s="1612" t="n"/>
      <c r="BH94" s="1612" t="n"/>
      <c r="BI94" s="1612" t="n"/>
      <c r="BJ94" s="1612" t="n"/>
      <c r="BK94" s="1612" t="n"/>
      <c r="BL94" s="1612" t="n"/>
      <c r="BM94" s="1612" t="n"/>
      <c r="BN94" s="1612" t="n"/>
      <c r="BO94" s="1612" t="n"/>
      <c r="BP94" s="1612" t="n"/>
      <c r="BQ94" s="1612" t="n"/>
      <c r="BR94" s="1612" t="n"/>
      <c r="BS94" s="1612" t="n"/>
      <c r="BT94" s="1612" t="n"/>
      <c r="BU94" s="1612" t="n"/>
      <c r="BV94" s="1612" t="n"/>
      <c r="BW94" s="1612" t="n"/>
      <c r="BX94" s="1612" t="n"/>
      <c r="BY94" s="1612" t="n"/>
      <c r="BZ94" s="1612" t="n"/>
      <c r="CA94" s="1612" t="n"/>
      <c r="CB94" s="1612" t="n"/>
      <c r="CC94" s="1612" t="n"/>
      <c r="CD94" s="1612" t="n"/>
      <c r="CE94" s="1612" t="n"/>
      <c r="CF94" s="1612" t="n"/>
    </row>
    <row r="95" ht="14" customHeight="1">
      <c r="A95" s="1673" t="n"/>
      <c r="B95" s="1673" t="n"/>
      <c r="C95" s="1673" t="n"/>
      <c r="D95" s="1673" t="n"/>
      <c r="E95" s="1673" t="n"/>
      <c r="F95" s="1673" t="n"/>
      <c r="G95" s="1612" t="n"/>
      <c r="H95" s="1612" t="n"/>
      <c r="I95" s="1612" t="n"/>
      <c r="J95" s="1612" t="n"/>
      <c r="K95" s="1612" t="n"/>
      <c r="L95" s="1612" t="n"/>
      <c r="M95" s="1612" t="n"/>
      <c r="N95" s="1612" t="n"/>
      <c r="O95" s="1612" t="n"/>
      <c r="P95" s="1612" t="n"/>
      <c r="Q95" s="1612" t="n"/>
      <c r="R95" s="1612" t="n"/>
      <c r="S95" s="1612" t="n"/>
      <c r="T95" s="1612" t="n"/>
      <c r="U95" s="1612" t="n"/>
      <c r="V95" s="1612" t="n"/>
      <c r="W95" s="1612" t="n"/>
      <c r="X95" s="1612" t="n"/>
      <c r="Y95" s="1612" t="n"/>
      <c r="Z95" s="1612" t="n"/>
      <c r="AA95" s="1612" t="n"/>
      <c r="AB95" s="1612" t="n"/>
      <c r="AC95" s="1612" t="n"/>
      <c r="AD95" s="1612" t="n"/>
      <c r="AE95" s="1612" t="n"/>
      <c r="AF95" s="1612" t="n"/>
      <c r="AG95" s="1612" t="n"/>
      <c r="AH95" s="1612" t="n"/>
      <c r="AI95" s="1612" t="n"/>
      <c r="AJ95" s="1612" t="n"/>
      <c r="AK95" s="1612" t="n"/>
      <c r="AL95" s="1612" t="n"/>
      <c r="AM95" s="1612" t="n"/>
      <c r="AN95" s="1612" t="n"/>
      <c r="AO95" s="1597" t="inlineStr">
        <is>
          <t>.</t>
        </is>
      </c>
      <c r="AP95" s="1597">
        <f>AP94+1</f>
        <v/>
      </c>
      <c r="AQ95" s="1636">
        <f>G26</f>
        <v/>
      </c>
      <c r="AR95" s="1603">
        <f>COUNTIF(cities[ctry],citySeq313[[#This Row],[ctry]])</f>
        <v/>
      </c>
      <c r="AS95" s="1604">
        <f>_xlfn.MINIFS(stayCtry[in], stayCtry[ctry], citySeq313[[#This Row],[ctry]])</f>
        <v/>
      </c>
      <c r="AT95" s="1637">
        <f>_xlfn.MAXIFS(stayCtry[out], stayCtry[ctry], citySeq313[[#This Row],[ctry]])</f>
        <v/>
      </c>
      <c r="AU95" s="1638">
        <f>_xlfn.XLOOKUP(citySeq313[[#This Row],[seq]],stayCtry[stay],stayCtry[in],"-")</f>
        <v/>
      </c>
      <c r="AV95" s="1638">
        <f>_xlfn.XLOOKUP(citySeq313[[#This Row],[seq]],stayCtry[stay],stayCtry[out],"-")</f>
        <v/>
      </c>
      <c r="AW95" s="1603">
        <f t="array" ref="AW95">MAX(IF(stayCtry[ctry]=citySeq313[[#This Row],[ctry]],stayCtry[stay]))</f>
        <v/>
      </c>
      <c r="AX95" s="1603">
        <f t="array" ref="AX95">ROWS(_xlfn.UNIQUE(_xlfn._xlws.FILTER(raw[yr], raw[ctry]=citySeq313[[#This Row],[ctry]])))</f>
        <v/>
      </c>
      <c r="AY95" s="1603">
        <f>_xlfn.XLOOKUP(citySeq313[[#This Row],[ctry]],mainW[ctry],mainW[total],"-")</f>
        <v/>
      </c>
      <c r="AZ95" s="1666" t="n"/>
      <c r="BA95" s="1612" t="n"/>
      <c r="BB95" s="1612" t="n"/>
      <c r="BC95" s="1612" t="n"/>
      <c r="BD95" s="1612" t="n"/>
      <c r="BE95" s="1612" t="n"/>
      <c r="BF95" s="1612" t="n"/>
      <c r="BG95" s="1612" t="n"/>
      <c r="BH95" s="1612" t="n"/>
      <c r="BI95" s="1612" t="n"/>
      <c r="BJ95" s="1612" t="n"/>
      <c r="BK95" s="1612" t="n"/>
      <c r="BL95" s="1612" t="n"/>
      <c r="BM95" s="1612" t="n"/>
      <c r="BN95" s="1612" t="n"/>
      <c r="BO95" s="1612" t="n"/>
      <c r="BP95" s="1612" t="n"/>
      <c r="BQ95" s="1612" t="n"/>
      <c r="BR95" s="1612" t="n"/>
      <c r="BS95" s="1612" t="n"/>
      <c r="BT95" s="1612" t="n"/>
      <c r="BU95" s="1612" t="n"/>
      <c r="BV95" s="1612" t="n"/>
      <c r="BW95" s="1612" t="n"/>
      <c r="BX95" s="1612" t="n"/>
      <c r="BY95" s="1612" t="n"/>
      <c r="BZ95" s="1612" t="n"/>
      <c r="CA95" s="1612" t="n"/>
      <c r="CB95" s="1612" t="n"/>
      <c r="CC95" s="1612" t="n"/>
      <c r="CD95" s="1612" t="n"/>
      <c r="CE95" s="1612" t="n"/>
      <c r="CF95" s="1612" t="n"/>
    </row>
    <row r="96" ht="14" customHeight="1">
      <c r="A96" s="1677" t="n"/>
      <c r="B96" s="1677" t="n"/>
      <c r="C96" s="1677" t="n"/>
      <c r="D96" s="1677" t="n"/>
      <c r="E96" s="1677" t="n"/>
      <c r="F96" s="1677" t="n"/>
      <c r="G96" s="1612" t="n"/>
      <c r="H96" s="1612" t="n"/>
      <c r="I96" s="1612" t="n"/>
      <c r="J96" s="1612" t="n"/>
      <c r="K96" s="1612" t="n"/>
      <c r="L96" s="1612" t="n"/>
      <c r="M96" s="1612" t="n"/>
      <c r="N96" s="1612" t="n"/>
      <c r="O96" s="1612" t="n"/>
      <c r="P96" s="1612" t="n"/>
      <c r="Q96" s="1612" t="n"/>
      <c r="R96" s="1612" t="n"/>
      <c r="S96" s="1612" t="n"/>
      <c r="T96" s="1612" t="n"/>
      <c r="U96" s="1612" t="n"/>
      <c r="V96" s="1612" t="n"/>
      <c r="W96" s="1612" t="n"/>
      <c r="X96" s="1612" t="n"/>
      <c r="Y96" s="1612" t="n"/>
      <c r="Z96" s="1612" t="n"/>
      <c r="AA96" s="1612" t="n"/>
      <c r="AB96" s="1612" t="n"/>
      <c r="AC96" s="1612" t="n"/>
      <c r="AD96" s="1612" t="n"/>
      <c r="AE96" s="1612" t="n"/>
      <c r="AF96" s="1612" t="n"/>
      <c r="AG96" s="1612" t="n"/>
      <c r="AH96" s="1612" t="n"/>
      <c r="AI96" s="1612" t="n"/>
      <c r="AJ96" s="1612" t="n"/>
      <c r="AK96" s="1612" t="n"/>
      <c r="AL96" s="1612" t="n"/>
      <c r="AM96" s="1612" t="n"/>
      <c r="AN96" s="1612" t="n"/>
      <c r="AO96" s="1597" t="inlineStr">
        <is>
          <t>.</t>
        </is>
      </c>
      <c r="AP96" s="1597">
        <f>AP95+1</f>
        <v/>
      </c>
      <c r="AQ96" s="1636">
        <f>G27</f>
        <v/>
      </c>
      <c r="AR96" s="1603">
        <f>COUNTIF(cities[ctry],citySeq313[[#This Row],[ctry]])</f>
        <v/>
      </c>
      <c r="AS96" s="1604">
        <f>_xlfn.MINIFS(stayCtry[in], stayCtry[ctry], citySeq313[[#This Row],[ctry]])</f>
        <v/>
      </c>
      <c r="AT96" s="1637">
        <f>_xlfn.MAXIFS(stayCtry[out], stayCtry[ctry], citySeq313[[#This Row],[ctry]])</f>
        <v/>
      </c>
      <c r="AU96" s="1638">
        <f>_xlfn.XLOOKUP(citySeq313[[#This Row],[seq]],stayCtry[stay],stayCtry[in],"-")</f>
        <v/>
      </c>
      <c r="AV96" s="1638">
        <f>_xlfn.XLOOKUP(citySeq313[[#This Row],[seq]],stayCtry[stay],stayCtry[out],"-")</f>
        <v/>
      </c>
      <c r="AW96" s="1603">
        <f t="array" ref="AW96">MAX(IF(stayCtry[ctry]=citySeq313[[#This Row],[ctry]],stayCtry[stay]))</f>
        <v/>
      </c>
      <c r="AX96" s="1603">
        <f t="array" ref="AX96">ROWS(_xlfn.UNIQUE(_xlfn._xlws.FILTER(raw[yr], raw[ctry]=citySeq313[[#This Row],[ctry]])))</f>
        <v/>
      </c>
      <c r="AY96" s="1603">
        <f>_xlfn.XLOOKUP(citySeq313[[#This Row],[ctry]],mainW[ctry],mainW[total],"-")</f>
        <v/>
      </c>
      <c r="AZ96" s="1666" t="n"/>
      <c r="BA96" s="1612" t="n"/>
      <c r="BB96" s="1612" t="n"/>
      <c r="BC96" s="1612" t="n"/>
      <c r="BD96" s="1612" t="n"/>
      <c r="BE96" s="1612" t="n"/>
      <c r="BF96" s="1612" t="n"/>
      <c r="BG96" s="1612" t="n"/>
      <c r="BH96" s="1612" t="n"/>
      <c r="BI96" s="1612" t="n"/>
      <c r="BJ96" s="1612" t="n"/>
      <c r="BK96" s="1612" t="n"/>
      <c r="BL96" s="1612" t="n"/>
      <c r="BM96" s="1612" t="n"/>
      <c r="BN96" s="1612" t="n"/>
      <c r="BO96" s="1612" t="n"/>
      <c r="BP96" s="1612" t="n"/>
      <c r="BQ96" s="1612" t="n"/>
      <c r="BR96" s="1612" t="n"/>
      <c r="BS96" s="1612" t="n"/>
      <c r="BT96" s="1612" t="n"/>
      <c r="BU96" s="1612" t="n"/>
      <c r="BV96" s="1612" t="n"/>
      <c r="BW96" s="1612" t="n"/>
      <c r="BX96" s="1612" t="n"/>
      <c r="BY96" s="1612" t="n"/>
      <c r="BZ96" s="1612" t="n"/>
      <c r="CA96" s="1612" t="n"/>
      <c r="CB96" s="1612" t="n"/>
      <c r="CC96" s="1612" t="n"/>
      <c r="CD96" s="1612" t="n"/>
      <c r="CE96" s="1612" t="n"/>
      <c r="CF96" s="1612" t="n"/>
    </row>
    <row r="97" ht="14" customHeight="1">
      <c r="A97" s="1673" t="n"/>
      <c r="B97" s="1673" t="n"/>
      <c r="C97" s="1673" t="n"/>
      <c r="D97" s="1673" t="n"/>
      <c r="E97" s="1673" t="n"/>
      <c r="F97" s="1673" t="n"/>
      <c r="G97" s="1612" t="n"/>
      <c r="H97" s="1612" t="n"/>
      <c r="I97" s="1612" t="n"/>
      <c r="J97" s="1612" t="n"/>
      <c r="K97" s="1612" t="n"/>
      <c r="L97" s="1612" t="n"/>
      <c r="M97" s="1612" t="n"/>
      <c r="N97" s="1612" t="n"/>
      <c r="O97" s="1612" t="n"/>
      <c r="P97" s="1612" t="n"/>
      <c r="Q97" s="1612" t="n"/>
      <c r="R97" s="1612" t="n"/>
      <c r="S97" s="1612" t="n"/>
      <c r="T97" s="1612" t="n"/>
      <c r="U97" s="1612" t="n"/>
      <c r="V97" s="1612" t="n"/>
      <c r="W97" s="1612" t="n"/>
      <c r="X97" s="1612" t="n"/>
      <c r="Y97" s="1612" t="n"/>
      <c r="Z97" s="1612" t="n"/>
      <c r="AA97" s="1612" t="n"/>
      <c r="AB97" s="1612" t="n"/>
      <c r="AC97" s="1612" t="n"/>
      <c r="AD97" s="1612" t="n"/>
      <c r="AE97" s="1612" t="n"/>
      <c r="AF97" s="1612" t="n"/>
      <c r="AG97" s="1612" t="n"/>
      <c r="AH97" s="1612" t="n"/>
      <c r="AI97" s="1612" t="n"/>
      <c r="AJ97" s="1612" t="n"/>
      <c r="AK97" s="1612" t="n"/>
      <c r="AL97" s="1612" t="n"/>
      <c r="AM97" s="1612" t="n"/>
      <c r="AN97" s="1612" t="n"/>
      <c r="AO97" s="1597" t="inlineStr">
        <is>
          <t>.</t>
        </is>
      </c>
      <c r="AP97" s="1597">
        <f>AP96+1</f>
        <v/>
      </c>
      <c r="AQ97" s="1636">
        <f>G28</f>
        <v/>
      </c>
      <c r="AR97" s="1603">
        <f>COUNTIF(cities[ctry],citySeq313[[#This Row],[ctry]])</f>
        <v/>
      </c>
      <c r="AS97" s="1604">
        <f>_xlfn.MINIFS(stayCtry[in], stayCtry[ctry], citySeq313[[#This Row],[ctry]])</f>
        <v/>
      </c>
      <c r="AT97" s="1637">
        <f>_xlfn.MAXIFS(stayCtry[out], stayCtry[ctry], citySeq313[[#This Row],[ctry]])</f>
        <v/>
      </c>
      <c r="AU97" s="1638">
        <f>_xlfn.XLOOKUP(citySeq313[[#This Row],[seq]],stayCtry[stay],stayCtry[in],"-")</f>
        <v/>
      </c>
      <c r="AV97" s="1638">
        <f>_xlfn.XLOOKUP(citySeq313[[#This Row],[seq]],stayCtry[stay],stayCtry[out],"-")</f>
        <v/>
      </c>
      <c r="AW97" s="1603">
        <f t="array" ref="AW97">MAX(IF(stayCtry[ctry]=citySeq313[[#This Row],[ctry]],stayCtry[stay]))</f>
        <v/>
      </c>
      <c r="AX97" s="1603">
        <f t="array" ref="AX97">ROWS(_xlfn.UNIQUE(_xlfn._xlws.FILTER(raw[yr], raw[ctry]=citySeq313[[#This Row],[ctry]])))</f>
        <v/>
      </c>
      <c r="AY97" s="1603">
        <f>_xlfn.XLOOKUP(citySeq313[[#This Row],[ctry]],mainW[ctry],mainW[total],"-")</f>
        <v/>
      </c>
      <c r="AZ97" s="1666" t="n"/>
      <c r="BA97" s="1612" t="n"/>
      <c r="BB97" s="1612" t="n"/>
      <c r="BC97" s="1612" t="n"/>
      <c r="BD97" s="1612" t="n"/>
      <c r="BE97" s="1612" t="n"/>
      <c r="BF97" s="1612" t="n"/>
      <c r="BG97" s="1612" t="n"/>
      <c r="BH97" s="1612" t="n"/>
      <c r="BI97" s="1612" t="n"/>
      <c r="BJ97" s="1612" t="n"/>
      <c r="BK97" s="1612" t="n"/>
      <c r="BL97" s="1612" t="n"/>
      <c r="BM97" s="1612" t="n"/>
      <c r="BN97" s="1612" t="n"/>
      <c r="BO97" s="1612" t="n"/>
      <c r="BP97" s="1612" t="n"/>
      <c r="BQ97" s="1612" t="n"/>
      <c r="BR97" s="1612" t="n"/>
      <c r="BS97" s="1612" t="n"/>
      <c r="BT97" s="1612" t="n"/>
      <c r="BU97" s="1612" t="n"/>
      <c r="BV97" s="1612" t="n"/>
      <c r="BW97" s="1612" t="n"/>
      <c r="BX97" s="1612" t="n"/>
      <c r="BY97" s="1612" t="n"/>
      <c r="BZ97" s="1612" t="n"/>
      <c r="CA97" s="1612" t="n"/>
      <c r="CB97" s="1612" t="n"/>
      <c r="CC97" s="1612" t="n"/>
      <c r="CD97" s="1612" t="n"/>
      <c r="CE97" s="1612" t="n"/>
      <c r="CF97" s="1612" t="n"/>
    </row>
    <row r="98" ht="14" customHeight="1">
      <c r="A98" s="1677" t="n"/>
      <c r="B98" s="1677" t="n"/>
      <c r="C98" s="1677" t="n"/>
      <c r="D98" s="1677" t="n"/>
      <c r="E98" s="1677" t="n"/>
      <c r="F98" s="1677" t="n"/>
      <c r="G98" s="1612" t="n"/>
      <c r="H98" s="1612" t="n"/>
      <c r="I98" s="1612" t="n"/>
      <c r="J98" s="1612" t="n"/>
      <c r="K98" s="1612" t="n"/>
      <c r="L98" s="1612" t="n"/>
      <c r="M98" s="1612" t="n"/>
      <c r="N98" s="1612" t="n"/>
      <c r="O98" s="1612" t="n"/>
      <c r="P98" s="1612" t="n"/>
      <c r="Q98" s="1612" t="n"/>
      <c r="R98" s="1612" t="n"/>
      <c r="S98" s="1612" t="n"/>
      <c r="T98" s="1612" t="n"/>
      <c r="U98" s="1612" t="n"/>
      <c r="V98" s="1612" t="n"/>
      <c r="W98" s="1612" t="n"/>
      <c r="X98" s="1612" t="n"/>
      <c r="Y98" s="1612" t="n"/>
      <c r="Z98" s="1612" t="n"/>
      <c r="AA98" s="1612" t="n"/>
      <c r="AB98" s="1612" t="n"/>
      <c r="AC98" s="1612" t="n"/>
      <c r="AD98" s="1612" t="n"/>
      <c r="AE98" s="1612" t="n"/>
      <c r="AF98" s="1612" t="n"/>
      <c r="AG98" s="1612" t="n"/>
      <c r="AH98" s="1612" t="n"/>
      <c r="AI98" s="1612" t="n"/>
      <c r="AJ98" s="1612" t="n"/>
      <c r="AK98" s="1612" t="n"/>
      <c r="AL98" s="1612" t="n"/>
      <c r="AM98" s="1612" t="n"/>
      <c r="AN98" s="1612" t="n"/>
      <c r="AO98" s="1597" t="inlineStr">
        <is>
          <t>.</t>
        </is>
      </c>
      <c r="AP98" s="1597">
        <f>AP97+1</f>
        <v/>
      </c>
      <c r="AQ98" s="1636">
        <f>G29</f>
        <v/>
      </c>
      <c r="AR98" s="1603">
        <f>COUNTIF(cities[ctry],citySeq313[[#This Row],[ctry]])</f>
        <v/>
      </c>
      <c r="AS98" s="1604">
        <f>_xlfn.MINIFS(stayCtry[in], stayCtry[ctry], citySeq313[[#This Row],[ctry]])</f>
        <v/>
      </c>
      <c r="AT98" s="1637">
        <f>_xlfn.MAXIFS(stayCtry[out], stayCtry[ctry], citySeq313[[#This Row],[ctry]])</f>
        <v/>
      </c>
      <c r="AU98" s="1638">
        <f>_xlfn.XLOOKUP(citySeq313[[#This Row],[seq]],stayCtry[stay],stayCtry[in],"-")</f>
        <v/>
      </c>
      <c r="AV98" s="1638">
        <f>_xlfn.XLOOKUP(citySeq313[[#This Row],[seq]],stayCtry[stay],stayCtry[out],"-")</f>
        <v/>
      </c>
      <c r="AW98" s="1603">
        <f t="array" ref="AW98">MAX(IF(stayCtry[ctry]=citySeq313[[#This Row],[ctry]],stayCtry[stay]))</f>
        <v/>
      </c>
      <c r="AX98" s="1603">
        <f t="array" ref="AX98">ROWS(_xlfn.UNIQUE(_xlfn._xlws.FILTER(raw[yr], raw[ctry]=citySeq313[[#This Row],[ctry]])))</f>
        <v/>
      </c>
      <c r="AY98" s="1603">
        <f>_xlfn.XLOOKUP(citySeq313[[#This Row],[ctry]],mainW[ctry],mainW[total],"-")</f>
        <v/>
      </c>
      <c r="AZ98" s="1666" t="n"/>
      <c r="BA98" s="1612" t="n"/>
      <c r="BB98" s="1612" t="n"/>
      <c r="BC98" s="1612" t="n"/>
      <c r="BD98" s="1612" t="n"/>
      <c r="BE98" s="1612" t="n"/>
      <c r="BF98" s="1612" t="n"/>
      <c r="BG98" s="1612" t="n"/>
      <c r="BH98" s="1612" t="n"/>
      <c r="BI98" s="1612" t="n"/>
      <c r="BJ98" s="1612" t="n"/>
      <c r="BK98" s="1612" t="n"/>
      <c r="BL98" s="1612" t="n"/>
      <c r="BM98" s="1612" t="n"/>
      <c r="BN98" s="1612" t="n"/>
      <c r="BO98" s="1612" t="n"/>
      <c r="BP98" s="1612" t="n"/>
      <c r="BQ98" s="1612" t="n"/>
      <c r="BR98" s="1612" t="n"/>
      <c r="BS98" s="1612" t="n"/>
      <c r="BT98" s="1612" t="n"/>
      <c r="BU98" s="1612" t="n"/>
      <c r="BV98" s="1612" t="n"/>
      <c r="BW98" s="1612" t="n"/>
      <c r="BX98" s="1612" t="n"/>
      <c r="BY98" s="1612" t="n"/>
      <c r="BZ98" s="1612" t="n"/>
      <c r="CA98" s="1612" t="n"/>
      <c r="CB98" s="1612" t="n"/>
      <c r="CC98" s="1612" t="n"/>
      <c r="CD98" s="1612" t="n"/>
      <c r="CE98" s="1612" t="n"/>
      <c r="CF98" s="1612" t="n"/>
    </row>
    <row r="99" ht="14" customHeight="1">
      <c r="A99" s="1673" t="n"/>
      <c r="B99" s="1673" t="n"/>
      <c r="C99" s="1673" t="n"/>
      <c r="D99" s="1673" t="n"/>
      <c r="E99" s="1673" t="n"/>
      <c r="F99" s="1673" t="n"/>
      <c r="G99" s="1612" t="n"/>
      <c r="H99" s="1612" t="n"/>
      <c r="I99" s="1612" t="n"/>
      <c r="J99" s="1612" t="n"/>
      <c r="K99" s="1612" t="n"/>
      <c r="L99" s="1612" t="n"/>
      <c r="M99" s="1612" t="n"/>
      <c r="N99" s="1612" t="n"/>
      <c r="O99" s="1612" t="n"/>
      <c r="P99" s="1612" t="n"/>
      <c r="Q99" s="1612" t="n"/>
      <c r="R99" s="1612" t="n"/>
      <c r="S99" s="1612" t="n"/>
      <c r="T99" s="1612" t="n"/>
      <c r="U99" s="1612" t="n"/>
      <c r="V99" s="1612" t="n"/>
      <c r="W99" s="1612" t="n"/>
      <c r="X99" s="1612" t="n"/>
      <c r="Y99" s="1612" t="n"/>
      <c r="Z99" s="1612" t="n"/>
      <c r="AA99" s="1612" t="n"/>
      <c r="AB99" s="1612" t="n"/>
      <c r="AC99" s="1612" t="n"/>
      <c r="AD99" s="1612" t="n"/>
      <c r="AE99" s="1612" t="n"/>
      <c r="AF99" s="1612" t="n"/>
      <c r="AG99" s="1612" t="n"/>
      <c r="AH99" s="1612" t="n"/>
      <c r="AI99" s="1612" t="n"/>
      <c r="AJ99" s="1612" t="n"/>
      <c r="AK99" s="1612" t="n"/>
      <c r="AL99" s="1612" t="n"/>
      <c r="AM99" s="1612" t="n"/>
      <c r="AN99" s="1612" t="n"/>
      <c r="AO99" s="1597" t="inlineStr">
        <is>
          <t>.</t>
        </is>
      </c>
      <c r="AP99" s="1597">
        <f>AP98+1</f>
        <v/>
      </c>
      <c r="AQ99" s="1636">
        <f>G30</f>
        <v/>
      </c>
      <c r="AR99" s="1603">
        <f>COUNTIF(cities[ctry],citySeq313[[#This Row],[ctry]])</f>
        <v/>
      </c>
      <c r="AS99" s="1604">
        <f>_xlfn.MINIFS(stayCtry[in], stayCtry[ctry], citySeq313[[#This Row],[ctry]])</f>
        <v/>
      </c>
      <c r="AT99" s="1637">
        <f>_xlfn.MAXIFS(stayCtry[out], stayCtry[ctry], citySeq313[[#This Row],[ctry]])</f>
        <v/>
      </c>
      <c r="AU99" s="1638">
        <f>_xlfn.XLOOKUP(citySeq313[[#This Row],[seq]],stayCtry[stay],stayCtry[in],"-")</f>
        <v/>
      </c>
      <c r="AV99" s="1638">
        <f>_xlfn.XLOOKUP(citySeq313[[#This Row],[seq]],stayCtry[stay],stayCtry[out],"-")</f>
        <v/>
      </c>
      <c r="AW99" s="1603">
        <f t="array" ref="AW99">MAX(IF(stayCtry[ctry]=citySeq313[[#This Row],[ctry]],stayCtry[stay]))</f>
        <v/>
      </c>
      <c r="AX99" s="1603">
        <f t="array" ref="AX99">ROWS(_xlfn.UNIQUE(_xlfn._xlws.FILTER(raw[yr], raw[ctry]=citySeq313[[#This Row],[ctry]])))</f>
        <v/>
      </c>
      <c r="AY99" s="1603">
        <f>_xlfn.XLOOKUP(citySeq313[[#This Row],[ctry]],mainW[ctry],mainW[total],"-")</f>
        <v/>
      </c>
      <c r="AZ99" s="1666" t="n"/>
      <c r="BA99" s="1612" t="n"/>
      <c r="BB99" s="1612" t="n"/>
      <c r="BC99" s="1612" t="n"/>
      <c r="BD99" s="1612" t="n"/>
      <c r="BE99" s="1612" t="n"/>
      <c r="BF99" s="1612" t="n"/>
      <c r="BG99" s="1612" t="n"/>
      <c r="BH99" s="1612" t="n"/>
      <c r="BI99" s="1612" t="n"/>
      <c r="BJ99" s="1612" t="n"/>
      <c r="BK99" s="1612" t="n"/>
      <c r="BL99" s="1612" t="n"/>
      <c r="BM99" s="1612" t="n"/>
      <c r="BN99" s="1612" t="n"/>
      <c r="BO99" s="1612" t="n"/>
      <c r="BP99" s="1612" t="n"/>
      <c r="BQ99" s="1612" t="n"/>
      <c r="BR99" s="1612" t="n"/>
      <c r="BS99" s="1612" t="n"/>
      <c r="BT99" s="1612" t="n"/>
      <c r="BU99" s="1612" t="n"/>
      <c r="BV99" s="1612" t="n"/>
      <c r="BW99" s="1612" t="n"/>
      <c r="BX99" s="1612" t="n"/>
      <c r="BY99" s="1612" t="n"/>
      <c r="BZ99" s="1612" t="n"/>
      <c r="CA99" s="1612" t="n"/>
      <c r="CB99" s="1612" t="n"/>
      <c r="CC99" s="1612" t="n"/>
      <c r="CD99" s="1612" t="n"/>
      <c r="CE99" s="1612" t="n"/>
      <c r="CF99" s="1612" t="n"/>
    </row>
    <row r="100" ht="14" customHeight="1">
      <c r="A100" s="1677" t="n"/>
      <c r="B100" s="1677" t="n"/>
      <c r="C100" s="1677" t="n"/>
      <c r="D100" s="1677" t="n"/>
      <c r="E100" s="1677" t="n"/>
      <c r="F100" s="1677" t="n"/>
      <c r="G100" s="1612" t="n"/>
      <c r="H100" s="1612" t="n"/>
      <c r="I100" s="1612" t="n"/>
      <c r="J100" s="1612" t="n"/>
      <c r="K100" s="1612" t="n"/>
      <c r="L100" s="1612" t="n"/>
      <c r="M100" s="1612" t="n"/>
      <c r="N100" s="1612" t="n"/>
      <c r="O100" s="1612" t="n"/>
      <c r="P100" s="1612" t="n"/>
      <c r="Q100" s="1612" t="n"/>
      <c r="R100" s="1612" t="n"/>
      <c r="S100" s="1612" t="n"/>
      <c r="T100" s="1612" t="n"/>
      <c r="U100" s="1612" t="n"/>
      <c r="V100" s="1612" t="n"/>
      <c r="W100" s="1612" t="n"/>
      <c r="X100" s="1612" t="n"/>
      <c r="Y100" s="1612" t="n"/>
      <c r="Z100" s="1612" t="n"/>
      <c r="AA100" s="1612" t="n"/>
      <c r="AB100" s="1612" t="n"/>
      <c r="AC100" s="1612" t="n"/>
      <c r="AD100" s="1612" t="n"/>
      <c r="AE100" s="1612" t="n"/>
      <c r="AF100" s="1612" t="n"/>
      <c r="AG100" s="1612" t="n"/>
      <c r="AH100" s="1612" t="n"/>
      <c r="AI100" s="1612" t="n"/>
      <c r="AJ100" s="1612" t="n"/>
      <c r="AK100" s="1612" t="n"/>
      <c r="AL100" s="1612" t="n"/>
      <c r="AM100" s="1612" t="n"/>
      <c r="AN100" s="1612" t="n"/>
      <c r="AO100" s="1597" t="inlineStr">
        <is>
          <t>.</t>
        </is>
      </c>
      <c r="AP100" s="1597">
        <f>AP99+1</f>
        <v/>
      </c>
      <c r="AQ100" s="1636">
        <f>G31</f>
        <v/>
      </c>
      <c r="AR100" s="1603">
        <f>COUNTIF(cities[ctry],citySeq313[[#This Row],[ctry]])</f>
        <v/>
      </c>
      <c r="AS100" s="1604">
        <f>_xlfn.MINIFS(stayCtry[in], stayCtry[ctry], citySeq313[[#This Row],[ctry]])</f>
        <v/>
      </c>
      <c r="AT100" s="1637">
        <f>_xlfn.MAXIFS(stayCtry[out], stayCtry[ctry], citySeq313[[#This Row],[ctry]])</f>
        <v/>
      </c>
      <c r="AU100" s="1638">
        <f>_xlfn.XLOOKUP(citySeq313[[#This Row],[seq]],stayCtry[stay],stayCtry[in],"-")</f>
        <v/>
      </c>
      <c r="AV100" s="1638">
        <f>_xlfn.XLOOKUP(citySeq313[[#This Row],[seq]],stayCtry[stay],stayCtry[out],"-")</f>
        <v/>
      </c>
      <c r="AW100" s="1603">
        <f t="array" ref="AW100">MAX(IF(stayCtry[ctry]=citySeq313[[#This Row],[ctry]],stayCtry[stay]))</f>
        <v/>
      </c>
      <c r="AX100" s="1603">
        <f t="array" ref="AX100">ROWS(_xlfn.UNIQUE(_xlfn._xlws.FILTER(raw[yr], raw[ctry]=citySeq313[[#This Row],[ctry]])))</f>
        <v/>
      </c>
      <c r="AY100" s="1603">
        <f>_xlfn.XLOOKUP(citySeq313[[#This Row],[ctry]],mainW[ctry],mainW[total],"-")</f>
        <v/>
      </c>
      <c r="AZ100" s="1666" t="n"/>
      <c r="BA100" s="1612" t="n"/>
      <c r="BB100" s="1612" t="n"/>
      <c r="BC100" s="1612" t="n"/>
      <c r="BD100" s="1612" t="n"/>
      <c r="BE100" s="1612" t="n"/>
      <c r="BF100" s="1612" t="n"/>
      <c r="BG100" s="1612" t="n"/>
      <c r="BH100" s="1612" t="n"/>
      <c r="BI100" s="1612" t="n"/>
      <c r="BJ100" s="1612" t="n"/>
      <c r="BK100" s="1612" t="n"/>
      <c r="BL100" s="1612" t="n"/>
      <c r="BM100" s="1612" t="n"/>
      <c r="BN100" s="1612" t="n"/>
      <c r="BO100" s="1612" t="n"/>
      <c r="BP100" s="1612" t="n"/>
      <c r="BQ100" s="1612" t="n"/>
      <c r="BR100" s="1612" t="n"/>
      <c r="BS100" s="1612" t="n"/>
      <c r="BT100" s="1612" t="n"/>
      <c r="BU100" s="1612" t="n"/>
      <c r="BV100" s="1612" t="n"/>
      <c r="BW100" s="1612" t="n"/>
      <c r="BX100" s="1612" t="n"/>
      <c r="BY100" s="1612" t="n"/>
      <c r="BZ100" s="1612" t="n"/>
      <c r="CA100" s="1612" t="n"/>
      <c r="CB100" s="1612" t="n"/>
      <c r="CC100" s="1612" t="n"/>
      <c r="CD100" s="1612" t="n"/>
      <c r="CE100" s="1612" t="n"/>
      <c r="CF100" s="1612" t="n"/>
    </row>
    <row r="101" ht="14" customHeight="1">
      <c r="A101" s="1673" t="n"/>
      <c r="B101" s="1673" t="n"/>
      <c r="C101" s="1673" t="n"/>
      <c r="D101" s="1673" t="n"/>
      <c r="E101" s="1673" t="n"/>
      <c r="F101" s="1673" t="n"/>
      <c r="G101" s="1612" t="n"/>
      <c r="H101" s="1612" t="n"/>
      <c r="I101" s="1612" t="n"/>
      <c r="J101" s="1612" t="n"/>
      <c r="K101" s="1612" t="n"/>
      <c r="L101" s="1612" t="n"/>
      <c r="M101" s="1612" t="n"/>
      <c r="N101" s="1612" t="n"/>
      <c r="O101" s="1612" t="n"/>
      <c r="P101" s="1612" t="n"/>
      <c r="Q101" s="1612" t="n"/>
      <c r="R101" s="1612" t="n"/>
      <c r="S101" s="1612" t="n"/>
      <c r="T101" s="1612" t="n"/>
      <c r="U101" s="1612" t="n"/>
      <c r="V101" s="1612" t="n"/>
      <c r="W101" s="1612" t="n"/>
      <c r="X101" s="1612" t="n"/>
      <c r="Y101" s="1612" t="n"/>
      <c r="Z101" s="1612" t="n"/>
      <c r="AA101" s="1612" t="n"/>
      <c r="AB101" s="1612" t="n"/>
      <c r="AC101" s="1612" t="n"/>
      <c r="AD101" s="1612" t="n"/>
      <c r="AE101" s="1612" t="n"/>
      <c r="AF101" s="1612" t="n"/>
      <c r="AG101" s="1612" t="n"/>
      <c r="AH101" s="1612" t="n"/>
      <c r="AI101" s="1612" t="n"/>
      <c r="AJ101" s="1612" t="n"/>
      <c r="AK101" s="1612" t="n"/>
      <c r="AL101" s="1612" t="n"/>
      <c r="AM101" s="1612" t="n"/>
      <c r="AN101" s="1612" t="n"/>
      <c r="AO101" s="1597" t="inlineStr">
        <is>
          <t>.</t>
        </is>
      </c>
      <c r="AP101" s="1597">
        <f>AP100+1</f>
        <v/>
      </c>
      <c r="AQ101" s="1636">
        <f>G32</f>
        <v/>
      </c>
      <c r="AR101" s="1603">
        <f>COUNTIF(cities[ctry],citySeq313[[#This Row],[ctry]])</f>
        <v/>
      </c>
      <c r="AS101" s="1604">
        <f>_xlfn.MINIFS(stayCtry[in], stayCtry[ctry], citySeq313[[#This Row],[ctry]])</f>
        <v/>
      </c>
      <c r="AT101" s="1637">
        <f>_xlfn.MAXIFS(stayCtry[out], stayCtry[ctry], citySeq313[[#This Row],[ctry]])</f>
        <v/>
      </c>
      <c r="AU101" s="1638">
        <f>_xlfn.XLOOKUP(citySeq313[[#This Row],[seq]],stayCtry[stay],stayCtry[in],"-")</f>
        <v/>
      </c>
      <c r="AV101" s="1638">
        <f>_xlfn.XLOOKUP(citySeq313[[#This Row],[seq]],stayCtry[stay],stayCtry[out],"-")</f>
        <v/>
      </c>
      <c r="AW101" s="1603">
        <f t="array" ref="AW101">MAX(IF(stayCtry[ctry]=citySeq313[[#This Row],[ctry]],stayCtry[stay]))</f>
        <v/>
      </c>
      <c r="AX101" s="1603">
        <f t="array" ref="AX101">ROWS(_xlfn.UNIQUE(_xlfn._xlws.FILTER(raw[yr], raw[ctry]=citySeq313[[#This Row],[ctry]])))</f>
        <v/>
      </c>
      <c r="AY101" s="1603">
        <f>_xlfn.XLOOKUP(citySeq313[[#This Row],[ctry]],mainW[ctry],mainW[total],"-")</f>
        <v/>
      </c>
      <c r="AZ101" s="1666" t="n"/>
      <c r="BA101" s="1612" t="n"/>
      <c r="BB101" s="1612" t="n"/>
      <c r="BC101" s="1612" t="n"/>
      <c r="BD101" s="1612" t="n"/>
      <c r="BE101" s="1612" t="n"/>
      <c r="BF101" s="1612" t="n"/>
      <c r="BG101" s="1612" t="n"/>
      <c r="BH101" s="1612" t="n"/>
      <c r="BI101" s="1612" t="n"/>
      <c r="BJ101" s="1612" t="n"/>
      <c r="BK101" s="1612" t="n"/>
      <c r="BL101" s="1612" t="n"/>
      <c r="BM101" s="1612" t="n"/>
      <c r="BN101" s="1612" t="n"/>
      <c r="BO101" s="1612" t="n"/>
      <c r="BP101" s="1612" t="n"/>
      <c r="BQ101" s="1612" t="n"/>
      <c r="BR101" s="1612" t="n"/>
      <c r="BS101" s="1612" t="n"/>
      <c r="BT101" s="1612" t="n"/>
      <c r="BU101" s="1612" t="n"/>
      <c r="BV101" s="1612" t="n"/>
      <c r="BW101" s="1612" t="n"/>
      <c r="BX101" s="1612" t="n"/>
      <c r="BY101" s="1612" t="n"/>
      <c r="BZ101" s="1612" t="n"/>
      <c r="CA101" s="1612" t="n"/>
      <c r="CB101" s="1612" t="n"/>
      <c r="CC101" s="1612" t="n"/>
      <c r="CD101" s="1612" t="n"/>
      <c r="CE101" s="1612" t="n"/>
      <c r="CF101" s="1612" t="n"/>
    </row>
    <row r="102" ht="14" customHeight="1">
      <c r="A102" s="1677" t="n"/>
      <c r="B102" s="1677" t="n"/>
      <c r="C102" s="1677" t="n"/>
      <c r="D102" s="1677" t="n"/>
      <c r="E102" s="1677" t="n"/>
      <c r="F102" s="1677" t="n"/>
      <c r="G102" s="1612" t="n"/>
      <c r="H102" s="1612" t="n"/>
      <c r="I102" s="1612" t="n"/>
      <c r="J102" s="1612" t="n"/>
      <c r="K102" s="1612" t="n"/>
      <c r="L102" s="1612" t="n"/>
      <c r="M102" s="1612" t="n"/>
      <c r="N102" s="1612" t="n"/>
      <c r="O102" s="1612" t="n"/>
      <c r="P102" s="1612" t="n"/>
      <c r="Q102" s="1612" t="n"/>
      <c r="R102" s="1612" t="n"/>
      <c r="S102" s="1612" t="n"/>
      <c r="T102" s="1612" t="n"/>
      <c r="U102" s="1612" t="n"/>
      <c r="V102" s="1612" t="n"/>
      <c r="W102" s="1612" t="n"/>
      <c r="X102" s="1612" t="n"/>
      <c r="Y102" s="1612" t="n"/>
      <c r="Z102" s="1612" t="n"/>
      <c r="AA102" s="1612" t="n"/>
      <c r="AB102" s="1612" t="n"/>
      <c r="AC102" s="1612" t="n"/>
      <c r="AD102" s="1612" t="n"/>
      <c r="AE102" s="1612" t="n"/>
      <c r="AF102" s="1612" t="n"/>
      <c r="AG102" s="1612" t="n"/>
      <c r="AH102" s="1612" t="n"/>
      <c r="AI102" s="1612" t="n"/>
      <c r="AJ102" s="1612" t="n"/>
      <c r="AK102" s="1612" t="n"/>
      <c r="AL102" s="1612" t="n"/>
      <c r="AM102" s="1612" t="n"/>
      <c r="AN102" s="1612" t="n"/>
      <c r="AO102" s="1597" t="inlineStr">
        <is>
          <t>.</t>
        </is>
      </c>
      <c r="AP102" s="1597">
        <f>AP101+1</f>
        <v/>
      </c>
      <c r="AQ102" s="1636" t="n"/>
      <c r="AR102" s="1603">
        <f>COUNTIF(cities[ctry],citySeq313[[#This Row],[ctry]])</f>
        <v/>
      </c>
      <c r="AS102" s="1704" t="n"/>
      <c r="AT102" s="1704" t="n"/>
      <c r="AU102" s="1638" t="n"/>
      <c r="AV102" s="1638" t="n"/>
      <c r="AW102" s="1670" t="n"/>
      <c r="AX102" s="1670" t="n"/>
      <c r="AY102" s="1670" t="n"/>
      <c r="AZ102" s="1666" t="n"/>
      <c r="BA102" s="1612" t="n"/>
      <c r="BB102" s="1612" t="n"/>
      <c r="BC102" s="1612" t="n"/>
      <c r="BD102" s="1612" t="n"/>
      <c r="BE102" s="1612" t="n"/>
      <c r="BF102" s="1612" t="n"/>
      <c r="BG102" s="1612" t="n"/>
      <c r="BH102" s="1612" t="n"/>
      <c r="BI102" s="1612" t="n"/>
      <c r="BJ102" s="1612" t="n"/>
      <c r="BK102" s="1612" t="n"/>
      <c r="BL102" s="1612" t="n"/>
      <c r="BM102" s="1612" t="n"/>
      <c r="BN102" s="1612" t="n"/>
      <c r="BO102" s="1612" t="n"/>
      <c r="BP102" s="1612" t="n"/>
      <c r="BQ102" s="1612" t="n"/>
      <c r="BR102" s="1612" t="n"/>
      <c r="BS102" s="1612" t="n"/>
      <c r="BT102" s="1612" t="n"/>
      <c r="BU102" s="1612" t="n"/>
      <c r="BV102" s="1612" t="n"/>
      <c r="BW102" s="1612" t="n"/>
      <c r="BX102" s="1612" t="n"/>
      <c r="BY102" s="1612" t="n"/>
      <c r="BZ102" s="1612" t="n"/>
      <c r="CA102" s="1612" t="n"/>
      <c r="CB102" s="1612" t="n"/>
      <c r="CC102" s="1612" t="n"/>
      <c r="CD102" s="1612" t="n"/>
      <c r="CE102" s="1612" t="n"/>
      <c r="CF102" s="1612" t="n"/>
    </row>
    <row r="103" ht="14" customHeight="1">
      <c r="A103" s="1673" t="n"/>
      <c r="B103" s="1673" t="n"/>
      <c r="C103" s="1673" t="n"/>
      <c r="D103" s="1673" t="n"/>
      <c r="E103" s="1673" t="n"/>
      <c r="F103" s="1673" t="n"/>
      <c r="G103" s="1612" t="n"/>
      <c r="H103" s="1612" t="n"/>
      <c r="I103" s="1612" t="n"/>
      <c r="J103" s="1612" t="n"/>
      <c r="K103" s="1612" t="n"/>
      <c r="L103" s="1612" t="n"/>
      <c r="M103" s="1612" t="n"/>
      <c r="N103" s="1612" t="n"/>
      <c r="O103" s="1612" t="n"/>
      <c r="P103" s="1612" t="n"/>
      <c r="Q103" s="1612" t="n"/>
      <c r="R103" s="1612" t="n"/>
      <c r="S103" s="1612" t="n"/>
      <c r="T103" s="1612" t="n"/>
      <c r="U103" s="1612" t="n"/>
      <c r="V103" s="1612" t="n"/>
      <c r="W103" s="1612" t="n"/>
      <c r="X103" s="1612" t="n"/>
      <c r="Y103" s="1612" t="n"/>
      <c r="Z103" s="1612" t="n"/>
      <c r="AA103" s="1612" t="n"/>
      <c r="AB103" s="1612" t="n"/>
      <c r="AC103" s="1612" t="n"/>
      <c r="AD103" s="1612" t="n"/>
      <c r="AE103" s="1612" t="n"/>
      <c r="AF103" s="1612" t="n"/>
      <c r="AG103" s="1612" t="n"/>
      <c r="AH103" s="1612" t="n"/>
      <c r="AI103" s="1612" t="n"/>
      <c r="AJ103" s="1612" t="n"/>
      <c r="AK103" s="1612" t="n"/>
      <c r="AL103" s="1612" t="n"/>
      <c r="AM103" s="1612" t="n"/>
      <c r="AN103" s="1612" t="n"/>
      <c r="AO103" s="1611" t="n"/>
      <c r="AP103" s="1611" t="n"/>
      <c r="AQ103" s="1611" t="n"/>
      <c r="AR103" s="1611" t="n"/>
      <c r="AS103" s="1611" t="n"/>
      <c r="AT103" s="1611" t="n"/>
      <c r="AU103" s="1611" t="n"/>
      <c r="AV103" s="1611" t="n"/>
      <c r="AW103" s="1611" t="n"/>
      <c r="AX103" s="1611" t="n"/>
      <c r="AY103" s="1611" t="n"/>
      <c r="AZ103" s="1611" t="n"/>
      <c r="BA103" s="1612" t="n"/>
      <c r="BB103" s="1612" t="n"/>
      <c r="BC103" s="1612" t="n"/>
      <c r="BD103" s="1612" t="n"/>
      <c r="BE103" s="1612" t="n"/>
      <c r="BF103" s="1612" t="n"/>
      <c r="BG103" s="1612" t="n"/>
      <c r="BH103" s="1612" t="n"/>
      <c r="BI103" s="1612" t="n"/>
      <c r="BJ103" s="1612" t="n"/>
      <c r="BK103" s="1612" t="n"/>
      <c r="BL103" s="1612" t="n"/>
      <c r="BM103" s="1612" t="n"/>
      <c r="BN103" s="1612" t="n"/>
      <c r="BO103" s="1612" t="n"/>
      <c r="BP103" s="1612" t="n"/>
      <c r="BQ103" s="1612" t="n"/>
      <c r="BR103" s="1612" t="n"/>
      <c r="BS103" s="1612" t="n"/>
      <c r="BT103" s="1612" t="n"/>
      <c r="BU103" s="1612" t="n"/>
      <c r="BV103" s="1612" t="n"/>
      <c r="BW103" s="1612" t="n"/>
      <c r="BX103" s="1612" t="n"/>
      <c r="BY103" s="1612" t="n"/>
      <c r="BZ103" s="1612" t="n"/>
      <c r="CA103" s="1612" t="n"/>
      <c r="CB103" s="1612" t="n"/>
      <c r="CC103" s="1612" t="n"/>
      <c r="CD103" s="1612" t="n"/>
      <c r="CE103" s="1612" t="n"/>
      <c r="CF103" s="1612" t="n"/>
    </row>
  </sheetData>
  <mergeCells count="8">
    <mergeCell ref="E46:G46"/>
    <mergeCell ref="B3:D3"/>
    <mergeCell ref="B1:D1"/>
    <mergeCell ref="B4:D4"/>
    <mergeCell ref="BL11:BN11"/>
    <mergeCell ref="K3:M3"/>
    <mergeCell ref="BB2:BB3"/>
    <mergeCell ref="B2:D2"/>
  </mergeCells>
  <conditionalFormatting sqref="B7:B43">
    <cfRule type="colorScale" priority="197">
      <colorScale>
        <cfvo type="min"/>
        <cfvo type="percentile" val="50"/>
        <cfvo type="max"/>
        <color rgb="FF63BE7B"/>
        <color rgb="FFFFEB84"/>
        <color rgb="FFF8696B"/>
      </colorScale>
    </cfRule>
  </conditionalFormatting>
  <conditionalFormatting sqref="C45">
    <cfRule type="cellIs" priority="95" operator="lessThan" dxfId="64">
      <formula>1</formula>
    </cfRule>
    <cfRule type="cellIs" priority="96" operator="between" dxfId="4" stopIfTrue="1">
      <formula>6</formula>
      <formula>24</formula>
    </cfRule>
    <cfRule type="cellIs" priority="97" operator="greaterThanOrEqual" dxfId="1">
      <formula>25</formula>
    </cfRule>
    <cfRule type="cellIs" priority="98" operator="lessThan" dxfId="5">
      <formula>10</formula>
    </cfRule>
  </conditionalFormatting>
  <conditionalFormatting sqref="C55:C60">
    <cfRule type="cellIs" priority="178" operator="between" dxfId="4">
      <formula>10</formula>
      <formula>49</formula>
    </cfRule>
    <cfRule type="cellIs" priority="179" operator="greaterThanOrEqual" dxfId="1">
      <formula>50</formula>
    </cfRule>
    <cfRule type="cellIs" priority="180" operator="lessThan" dxfId="5">
      <formula>10</formula>
    </cfRule>
  </conditionalFormatting>
  <conditionalFormatting sqref="C62:C69">
    <cfRule type="cellIs" priority="142" operator="between" dxfId="4">
      <formula>10</formula>
      <formula>49</formula>
    </cfRule>
    <cfRule type="cellIs" priority="143" operator="greaterThanOrEqual" dxfId="1">
      <formula>50</formula>
    </cfRule>
    <cfRule type="cellIs" priority="144" operator="lessThan" dxfId="5">
      <formula>10</formula>
    </cfRule>
  </conditionalFormatting>
  <conditionalFormatting sqref="C8:E43">
    <cfRule type="cellIs" priority="99" operator="lessThan" dxfId="64">
      <formula>1</formula>
    </cfRule>
    <cfRule type="cellIs" priority="199" operator="between" dxfId="4" stopIfTrue="1">
      <formula>6</formula>
      <formula>24</formula>
    </cfRule>
    <cfRule type="cellIs" priority="200" operator="greaterThanOrEqual" dxfId="1">
      <formula>25</formula>
    </cfRule>
    <cfRule type="cellIs" priority="201" operator="lessThan" dxfId="5">
      <formula>10</formula>
    </cfRule>
  </conditionalFormatting>
  <conditionalFormatting sqref="D6:E6">
    <cfRule type="cellIs" priority="132" operator="between" dxfId="4" stopIfTrue="1">
      <formula>6</formula>
      <formula>24</formula>
    </cfRule>
    <cfRule type="cellIs" priority="133" operator="greaterThanOrEqual" dxfId="1">
      <formula>25</formula>
    </cfRule>
    <cfRule type="cellIs" priority="134" operator="lessThan" dxfId="5">
      <formula>10</formula>
    </cfRule>
  </conditionalFormatting>
  <conditionalFormatting sqref="F7:F43">
    <cfRule type="colorScale" priority="196">
      <colorScale>
        <cfvo type="min"/>
        <cfvo type="percentile" val="50"/>
        <cfvo type="max"/>
        <color rgb="FFF8696B"/>
        <color rgb="FFFFEB84"/>
        <color rgb="FF63BE7B"/>
      </colorScale>
    </cfRule>
  </conditionalFormatting>
  <conditionalFormatting sqref="H4:AN4">
    <cfRule type="colorScale" priority="211">
      <colorScale>
        <cfvo type="min"/>
        <cfvo type="percentile" val="50"/>
        <cfvo type="max"/>
        <color rgb="FFF8696B"/>
        <color rgb="FFFFEB84"/>
        <color rgb="FF63BE7B"/>
      </colorScale>
    </cfRule>
  </conditionalFormatting>
  <conditionalFormatting sqref="H5:AN5">
    <cfRule type="colorScale" priority="212">
      <colorScale>
        <cfvo type="min"/>
        <cfvo type="percentile" val="50"/>
        <cfvo type="max"/>
        <color rgb="FFF8696B"/>
        <color rgb="FFFFEB84"/>
        <color rgb="FF63BE7B"/>
      </colorScale>
    </cfRule>
  </conditionalFormatting>
  <conditionalFormatting sqref="H6:AN6">
    <cfRule type="cellIs" priority="7" operator="greaterThanOrEqual" dxfId="57">
      <formula>364</formula>
    </cfRule>
  </conditionalFormatting>
  <conditionalFormatting sqref="H8:AN43">
    <cfRule type="cellIs" priority="217" operator="between" dxfId="5">
      <formula>0.01</formula>
      <formula>0.99</formula>
    </cfRule>
    <cfRule type="cellIs" priority="218" operator="between" dxfId="4">
      <formula>0.1</formula>
      <formula>29</formula>
    </cfRule>
    <cfRule type="cellIs" priority="219" operator="greaterThan" dxfId="1">
      <formula>29</formula>
    </cfRule>
    <cfRule type="cellIs" priority="220" operator="equal" dxfId="2">
      <formula>0</formula>
    </cfRule>
  </conditionalFormatting>
  <conditionalFormatting sqref="H45:AN45">
    <cfRule type="colorScale" priority="206">
      <colorScale>
        <cfvo type="min"/>
        <cfvo type="max"/>
        <color rgb="FFFCFCFF"/>
        <color rgb="FFF8696B"/>
      </colorScale>
    </cfRule>
  </conditionalFormatting>
  <conditionalFormatting sqref="H46:AN46">
    <cfRule type="colorScale" priority="27">
      <colorScale>
        <cfvo type="min"/>
        <cfvo type="max"/>
        <color rgb="FFFCFCFF"/>
        <color rgb="FFF8696B"/>
      </colorScale>
    </cfRule>
  </conditionalFormatting>
  <conditionalFormatting sqref="H55:AN55">
    <cfRule type="cellIs" priority="100" operator="between" dxfId="44">
      <formula>0.01</formula>
      <formula>0.99</formula>
    </cfRule>
    <cfRule type="cellIs" priority="102" operator="between" dxfId="5">
      <formula>1</formula>
      <formula>15</formula>
    </cfRule>
    <cfRule type="cellIs" priority="103" operator="between" dxfId="4">
      <formula>16</formula>
      <formula>99</formula>
    </cfRule>
    <cfRule type="cellIs" priority="104" operator="greaterThan" dxfId="1" stopIfTrue="1">
      <formula>100</formula>
    </cfRule>
  </conditionalFormatting>
  <conditionalFormatting sqref="H55:AN60">
    <cfRule type="cellIs" priority="101" operator="equal" dxfId="2">
      <formula>0</formula>
    </cfRule>
  </conditionalFormatting>
  <conditionalFormatting sqref="H56:AN60">
    <cfRule type="cellIs" priority="159" operator="between" dxfId="5">
      <formula>0.01</formula>
      <formula>0.99</formula>
    </cfRule>
    <cfRule type="cellIs" priority="160" operator="between" dxfId="4">
      <formula>0.1</formula>
      <formula>29</formula>
    </cfRule>
    <cfRule type="cellIs" priority="161" operator="greaterThan" dxfId="1">
      <formula>29</formula>
    </cfRule>
  </conditionalFormatting>
  <conditionalFormatting sqref="H62:AN69">
    <cfRule type="cellIs" priority="110" operator="between" dxfId="44">
      <formula>0.01</formula>
      <formula>0.99</formula>
    </cfRule>
    <cfRule type="cellIs" priority="111" operator="equal" dxfId="2">
      <formula>0</formula>
    </cfRule>
    <cfRule type="cellIs" priority="112" operator="between" dxfId="5">
      <formula>1</formula>
      <formula>15</formula>
    </cfRule>
    <cfRule type="cellIs" priority="113" operator="between" dxfId="4">
      <formula>16</formula>
      <formula>99</formula>
    </cfRule>
    <cfRule type="cellIs" priority="114" operator="greaterThan" dxfId="1" stopIfTrue="1">
      <formula>100</formula>
    </cfRule>
  </conditionalFormatting>
  <conditionalFormatting sqref="H45:AO45">
    <cfRule type="colorScale" priority="205">
      <colorScale>
        <cfvo type="min"/>
        <cfvo type="max"/>
        <color rgb="FFFCFCFF"/>
        <color rgb="FFF8696B"/>
      </colorScale>
    </cfRule>
  </conditionalFormatting>
  <conditionalFormatting sqref="I52:AN52">
    <cfRule type="cellIs" priority="171" operator="lessThan" dxfId="39">
      <formula>I53</formula>
    </cfRule>
    <cfRule type="cellIs" priority="172" operator="greaterThan" dxfId="38">
      <formula>I53</formula>
    </cfRule>
  </conditionalFormatting>
  <conditionalFormatting sqref="AO6">
    <cfRule type="colorScale" priority="191">
      <colorScale>
        <cfvo type="min"/>
        <cfvo type="percentile" val="50"/>
        <cfvo type="max"/>
        <color rgb="FFF8696B"/>
        <color rgb="FFFCFCFF"/>
        <color rgb="FF63BE7B"/>
      </colorScale>
    </cfRule>
  </conditionalFormatting>
  <conditionalFormatting sqref="AO8:AO38">
    <cfRule type="colorScale" priority="1">
      <colorScale>
        <cfvo type="min"/>
        <cfvo type="percentile" val="50"/>
        <cfvo type="max"/>
        <color rgb="FFF8696B"/>
        <color rgb="FFFCFCFF"/>
        <color rgb="FF5A8AC6"/>
      </colorScale>
    </cfRule>
    <cfRule type="colorScale" priority="2">
      <colorScale>
        <cfvo type="min"/>
        <cfvo type="max"/>
        <color rgb="FFFFEF9C"/>
        <color rgb="FF63BE7B"/>
      </colorScale>
    </cfRule>
  </conditionalFormatting>
  <conditionalFormatting sqref="AZ3">
    <cfRule type="colorScale" priority="3">
      <colorScale>
        <cfvo type="min"/>
        <cfvo type="percentile" val="50"/>
        <cfvo type="max"/>
        <color rgb="FFF8696B"/>
        <color rgb="FFFFEB84"/>
        <color rgb="FF63BE7B"/>
      </colorScale>
    </cfRule>
  </conditionalFormatting>
  <conditionalFormatting sqref="AZ3:AZ9">
    <cfRule type="colorScale" priority="4">
      <colorScale>
        <cfvo type="min"/>
        <cfvo type="percentile" val="50"/>
        <cfvo type="max"/>
        <color rgb="FFF8696B"/>
        <color rgb="FFFCFCFF"/>
        <color rgb="FF5A8AC6"/>
      </colorScale>
    </cfRule>
  </conditionalFormatting>
  <conditionalFormatting sqref="AQ4:AQ9">
    <cfRule type="cellIs" priority="181" operator="equal" dxfId="23">
      <formula>"A"</formula>
    </cfRule>
    <cfRule type="cellIs" priority="182" operator="equal" dxfId="22" stopIfTrue="1">
      <formula>"E"</formula>
    </cfRule>
    <cfRule type="cellIs" priority="183" operator="equal" dxfId="21" stopIfTrue="1">
      <formula>"F"</formula>
    </cfRule>
    <cfRule type="cellIs" priority="184" operator="equal" dxfId="20">
      <formula>"N"</formula>
    </cfRule>
    <cfRule type="containsText" priority="185" operator="containsText" dxfId="19" text="S">
      <formula>NOT(ISERROR(SEARCH("S",AQ4)))</formula>
    </cfRule>
  </conditionalFormatting>
  <conditionalFormatting sqref="AR77:AR102">
    <cfRule type="colorScale" priority="5">
      <colorScale>
        <cfvo type="min"/>
        <cfvo type="percentile" val="50"/>
        <cfvo type="max"/>
        <color rgb="FFF8696B"/>
        <color rgb="FFFFEB84"/>
        <color rgb="FF63BE7B"/>
      </colorScale>
    </cfRule>
  </conditionalFormatting>
  <conditionalFormatting sqref="AS3:AS9">
    <cfRule type="colorScale" priority="93">
      <colorScale>
        <cfvo type="min"/>
        <cfvo type="percentile" val="50"/>
        <cfvo type="max"/>
        <color rgb="FF63BE7B"/>
        <color rgb="FFFFEB84"/>
        <color rgb="FFF8696B"/>
      </colorScale>
    </cfRule>
  </conditionalFormatting>
  <conditionalFormatting sqref="AS12:AS36">
    <cfRule type="colorScale" priority="226">
      <colorScale>
        <cfvo type="min"/>
        <cfvo type="percentile" val="50"/>
        <cfvo type="max"/>
        <color rgb="FF5A8AC6"/>
        <color rgb="FFFCFCFF"/>
        <color rgb="FFF8696B"/>
      </colorScale>
    </cfRule>
  </conditionalFormatting>
  <conditionalFormatting sqref="AS49:AS75">
    <cfRule type="colorScale" priority="221">
      <colorScale>
        <cfvo type="min"/>
        <cfvo type="percentile" val="50"/>
        <cfvo type="max"/>
        <color rgb="FF5A8AC6"/>
        <color rgb="FFFCFCFF"/>
        <color rgb="FFF8696B"/>
      </colorScale>
    </cfRule>
  </conditionalFormatting>
  <conditionalFormatting sqref="AS77:AS102">
    <cfRule type="colorScale" priority="11">
      <colorScale>
        <cfvo type="min"/>
        <cfvo type="percentile" val="50"/>
        <cfvo type="max"/>
        <color rgb="FF5A8AC6"/>
        <color rgb="FFFCFCFF"/>
        <color rgb="FFF8696B"/>
      </colorScale>
    </cfRule>
  </conditionalFormatting>
  <conditionalFormatting sqref="AT3:AT9">
    <cfRule type="colorScale" priority="92">
      <colorScale>
        <cfvo type="min"/>
        <cfvo type="percentile" val="50"/>
        <cfvo type="max"/>
        <color rgb="FFF8696B"/>
        <color rgb="FFFFEB84"/>
        <color rgb="FF63BE7B"/>
      </colorScale>
    </cfRule>
  </conditionalFormatting>
  <conditionalFormatting sqref="AT12:AT36">
    <cfRule type="colorScale" priority="227">
      <colorScale>
        <cfvo type="min"/>
        <cfvo type="percentile" val="50"/>
        <cfvo type="max"/>
        <color rgb="FFF8696B"/>
        <color rgb="FFFCFCFF"/>
        <color rgb="FF5A8AC6"/>
      </colorScale>
    </cfRule>
  </conditionalFormatting>
  <conditionalFormatting sqref="AT49:AT75">
    <cfRule type="colorScale" priority="223">
      <colorScale>
        <cfvo type="min"/>
        <cfvo type="percentile" val="50"/>
        <cfvo type="max"/>
        <color rgb="FFF8696B"/>
        <color rgb="FFFCFCFF"/>
        <color rgb="FF5A8AC6"/>
      </colorScale>
    </cfRule>
  </conditionalFormatting>
  <conditionalFormatting sqref="AT77:AT102">
    <cfRule type="colorScale" priority="12">
      <colorScale>
        <cfvo type="min"/>
        <cfvo type="percentile" val="50"/>
        <cfvo type="max"/>
        <color rgb="FFF8696B"/>
        <color rgb="FFFCFCFF"/>
        <color rgb="FF5A8AC6"/>
      </colorScale>
    </cfRule>
  </conditionalFormatting>
  <conditionalFormatting sqref="AX12:AX36">
    <cfRule type="colorScale" priority="228">
      <colorScale>
        <cfvo type="min"/>
        <cfvo type="percentile" val="50"/>
        <cfvo type="max"/>
        <color rgb="FFF8696B"/>
        <color rgb="FFFCFCFF"/>
        <color rgb="FF5A8AC6"/>
      </colorScale>
    </cfRule>
  </conditionalFormatting>
  <conditionalFormatting sqref="AX49:AX75">
    <cfRule type="colorScale" priority="225">
      <colorScale>
        <cfvo type="min"/>
        <cfvo type="percentile" val="50"/>
        <cfvo type="max"/>
        <color rgb="FFF8696B"/>
        <color rgb="FFFCFCFF"/>
        <color rgb="FF5A8AC6"/>
      </colorScale>
    </cfRule>
  </conditionalFormatting>
  <conditionalFormatting sqref="AX77:AX102">
    <cfRule type="colorScale" priority="13">
      <colorScale>
        <cfvo type="min"/>
        <cfvo type="percentile" val="50"/>
        <cfvo type="max"/>
        <color rgb="FFF8696B"/>
        <color rgb="FFFCFCFF"/>
        <color rgb="FF5A8AC6"/>
      </colorScale>
    </cfRule>
  </conditionalFormatting>
  <conditionalFormatting sqref="BB4:BB9">
    <cfRule type="cellIs" priority="80" operator="equal" dxfId="23">
      <formula>"A"</formula>
    </cfRule>
    <cfRule type="cellIs" priority="81" operator="equal" dxfId="22" stopIfTrue="1">
      <formula>"E"</formula>
    </cfRule>
    <cfRule type="cellIs" priority="82" operator="equal" dxfId="21" stopIfTrue="1">
      <formula>"F"</formula>
    </cfRule>
    <cfRule type="cellIs" priority="83" operator="equal" dxfId="20">
      <formula>"N"</formula>
    </cfRule>
    <cfRule type="containsText" priority="84" operator="containsText" dxfId="19" text="S">
      <formula>NOT(ISERROR(SEARCH("S",BB4)))</formula>
    </cfRule>
  </conditionalFormatting>
  <conditionalFormatting sqref="BC2:BG2">
    <cfRule type="colorScale" priority="79">
      <colorScale>
        <cfvo type="min"/>
        <cfvo type="percentile" val="50"/>
        <cfvo type="max"/>
        <color rgb="FFF8696B"/>
        <color rgb="FFFFEB84"/>
        <color rgb="FF63BE7B"/>
      </colorScale>
    </cfRule>
  </conditionalFormatting>
  <conditionalFormatting sqref="BC3:BG3">
    <cfRule type="colorScale" priority="76">
      <colorScale>
        <cfvo type="min"/>
        <cfvo type="percentile" val="50"/>
        <cfvo type="max"/>
        <color rgb="FFF8696B"/>
        <color rgb="FFFFEB84"/>
        <color rgb="FF63BE7B"/>
      </colorScale>
    </cfRule>
  </conditionalFormatting>
  <conditionalFormatting sqref="BC4:BG9">
    <cfRule type="cellIs" priority="77" operator="equal" dxfId="2">
      <formula>0</formula>
    </cfRule>
    <cfRule type="colorScale" priority="78">
      <colorScale>
        <cfvo type="min"/>
        <cfvo type="percentile" val="50"/>
        <cfvo type="max"/>
        <color rgb="FFF8696B"/>
        <color rgb="FFFCFCFF"/>
        <color rgb="FF5A8AC6"/>
      </colorScale>
    </cfRule>
  </conditionalFormatting>
  <conditionalFormatting sqref="BC12:BG16">
    <cfRule type="colorScale" priority="230">
      <colorScale>
        <cfvo type="min"/>
        <cfvo type="percentile" val="50"/>
        <cfvo type="max"/>
        <color rgb="FFF8696B"/>
        <color rgb="FFFFEB84"/>
        <color rgb="FF63BE7B"/>
      </colorScale>
    </cfRule>
  </conditionalFormatting>
  <conditionalFormatting sqref="BC12:BG24">
    <cfRule type="cellIs" priority="49" operator="equal" dxfId="2">
      <formula>0</formula>
    </cfRule>
    <cfRule type="colorScale" priority="231">
      <colorScale>
        <cfvo type="min"/>
        <cfvo type="percentile" val="50"/>
        <cfvo type="max"/>
        <color rgb="FFF8696B"/>
        <color rgb="FFFCFCFF"/>
        <color rgb="FF5A8AC6"/>
      </colorScale>
    </cfRule>
  </conditionalFormatting>
  <conditionalFormatting sqref="BC17:BG24">
    <cfRule type="colorScale" priority="232">
      <colorScale>
        <cfvo type="min"/>
        <cfvo type="percentile" val="50"/>
        <cfvo type="max"/>
        <color rgb="FFF8696B"/>
        <color rgb="FFFCFCFF"/>
        <color rgb="FF5A8AC6"/>
      </colorScale>
    </cfRule>
  </conditionalFormatting>
  <conditionalFormatting sqref="BC27:BG31">
    <cfRule type="colorScale" priority="54">
      <colorScale>
        <cfvo type="min"/>
        <cfvo type="percentile" val="50"/>
        <cfvo type="max"/>
        <color rgb="FFF8696B"/>
        <color rgb="FFFFEB84"/>
        <color rgb="FF63BE7B"/>
      </colorScale>
    </cfRule>
  </conditionalFormatting>
  <conditionalFormatting sqref="BC27:BG46">
    <cfRule type="cellIs" priority="52" operator="equal" dxfId="2">
      <formula>0</formula>
    </cfRule>
    <cfRule type="cellIs" priority="55" operator="equal" dxfId="2">
      <formula>0</formula>
    </cfRule>
    <cfRule type="colorScale" priority="56">
      <colorScale>
        <cfvo type="min"/>
        <cfvo type="percentile" val="50"/>
        <cfvo type="max"/>
        <color rgb="FFF8696B"/>
        <color rgb="FFFCFCFF"/>
        <color rgb="FF5A8AC6"/>
      </colorScale>
    </cfRule>
  </conditionalFormatting>
  <conditionalFormatting sqref="BC32:BG46">
    <cfRule type="colorScale" priority="53">
      <colorScale>
        <cfvo type="min"/>
        <cfvo type="percentile" val="50"/>
        <cfvo type="max"/>
        <color rgb="FFF8696B"/>
        <color rgb="FFFCFCFF"/>
        <color rgb="FF5A8AC6"/>
      </colorScale>
    </cfRule>
  </conditionalFormatting>
  <conditionalFormatting sqref="BI12:BI24">
    <cfRule type="colorScale" priority="30">
      <colorScale>
        <cfvo type="min"/>
        <cfvo type="percentile" val="50"/>
        <cfvo type="max"/>
        <color rgb="FFF8696B"/>
        <color rgb="FFFFEB84"/>
        <color rgb="FF63BE7B"/>
      </colorScale>
    </cfRule>
  </conditionalFormatting>
  <conditionalFormatting sqref="BI27:BI46">
    <cfRule type="colorScale" priority="29">
      <colorScale>
        <cfvo type="min"/>
        <cfvo type="percentile" val="50"/>
        <cfvo type="max"/>
        <color rgb="FFF8696B"/>
        <color rgb="FFFFEB84"/>
        <color rgb="FF63BE7B"/>
      </colorScale>
    </cfRule>
  </conditionalFormatting>
  <conditionalFormatting sqref="BI2:BJ2 BI4:BJ9">
    <cfRule type="colorScale" priority="31">
      <colorScale>
        <cfvo type="min"/>
        <cfvo type="percentile" val="50"/>
        <cfvo type="max"/>
        <color rgb="FFF8696B"/>
        <color rgb="FFFFEB84"/>
        <color rgb="FF63BE7B"/>
      </colorScale>
    </cfRule>
  </conditionalFormatting>
  <conditionalFormatting sqref="BJ12:BJ24">
    <cfRule type="colorScale" priority="8">
      <colorScale>
        <cfvo type="min"/>
        <cfvo type="percentile" val="50"/>
        <cfvo type="max"/>
        <color rgb="FFF8696B"/>
        <color rgb="FFFCFCFF"/>
        <color rgb="FF5A8AC6"/>
      </colorScale>
    </cfRule>
    <cfRule type="colorScale" priority="10">
      <colorScale>
        <cfvo type="min"/>
        <cfvo type="percentile" val="50"/>
        <cfvo type="max"/>
        <color rgb="FFF8696B"/>
        <color rgb="FFFFEB84"/>
        <color rgb="FF63BE7B"/>
      </colorScale>
    </cfRule>
  </conditionalFormatting>
  <conditionalFormatting sqref="BL14:BL18">
    <cfRule type="colorScale" priority="16">
      <colorScale>
        <cfvo type="min"/>
        <cfvo type="percentile" val="50"/>
        <cfvo type="max"/>
        <color rgb="FFF8696B"/>
        <color rgb="FFFFEB84"/>
        <color rgb="FF63BE7B"/>
      </colorScale>
    </cfRule>
  </conditionalFormatting>
  <conditionalFormatting sqref="BL12:BN12">
    <cfRule type="colorScale" priority="6">
      <colorScale>
        <cfvo type="min"/>
        <cfvo type="percentile" val="50"/>
        <cfvo type="max"/>
        <color rgb="FFF8696B"/>
        <color rgb="FFFFEB84"/>
        <color rgb="FF63BE7B"/>
      </colorScale>
    </cfRule>
  </conditionalFormatting>
  <conditionalFormatting sqref="BM14:BM18">
    <cfRule type="colorScale" priority="15">
      <colorScale>
        <cfvo type="min"/>
        <cfvo type="percentile" val="50"/>
        <cfvo type="max"/>
        <color rgb="FFF8696B"/>
        <color rgb="FFFFEB84"/>
        <color rgb="FF63BE7B"/>
      </colorScale>
    </cfRule>
  </conditionalFormatting>
  <conditionalFormatting sqref="BM13:BN13">
    <cfRule type="cellIs" priority="17" operator="equal" dxfId="23">
      <formula>"A"</formula>
    </cfRule>
    <cfRule type="cellIs" priority="18" operator="equal" dxfId="22" stopIfTrue="1">
      <formula>"E"</formula>
    </cfRule>
    <cfRule type="cellIs" priority="19" operator="equal" dxfId="21" stopIfTrue="1">
      <formula>"F"</formula>
    </cfRule>
    <cfRule type="cellIs" priority="20" operator="equal" dxfId="20">
      <formula>"N"</formula>
    </cfRule>
    <cfRule type="containsText" priority="21" operator="containsText" dxfId="19" text="S">
      <formula>NOT(ISERROR(SEARCH("S",BM13)))</formula>
    </cfRule>
  </conditionalFormatting>
  <conditionalFormatting sqref="BN14:BN18">
    <cfRule type="colorScale" priority="14">
      <colorScale>
        <cfvo type="min"/>
        <cfvo type="percentile" val="50"/>
        <cfvo type="max"/>
        <color rgb="FFF8696B"/>
        <color rgb="FFFFEB84"/>
        <color rgb="FF63BE7B"/>
      </colorScale>
    </cfRule>
  </conditionalFormatting>
  <pageMargins left="0.7" right="0.7" top="0.75" bottom="0.75" header="0.3" footer="0.3"/>
  <pageSetup orientation="portrait" horizontalDpi="0" verticalDpi="0"/>
  <legacyDrawing xmlns:r="http://schemas.openxmlformats.org/officeDocument/2006/relationships" r:id="anysvml"/>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4.xml><?xml version="1.0" encoding="utf-8"?>
<worksheet xmlns="http://schemas.openxmlformats.org/spreadsheetml/2006/main">
  <sheetPr>
    <tabColor rgb="00E65100"/>
    <outlinePr summaryBelow="1" summaryRight="1"/>
    <pageSetUpPr/>
  </sheetPr>
  <dimension ref="A2:AB65"/>
  <sheetViews>
    <sheetView workbookViewId="0">
      <pane xSplit="2" ySplit="4" topLeftCell="C5" activePane="bottomRight" state="frozen"/>
      <selection pane="topRight"/>
      <selection pane="bottomLeft"/>
      <selection pane="bottomRight" activeCell="H25" sqref="H25"/>
    </sheetView>
  </sheetViews>
  <sheetFormatPr baseColWidth="10" defaultRowHeight="16"/>
  <cols>
    <col width="1.6640625" bestFit="1" customWidth="1" style="1" min="1" max="1"/>
    <col width="7" customWidth="1" style="1" min="2" max="2"/>
    <col width="7.83203125" bestFit="1" customWidth="1" style="1" min="3" max="3"/>
    <col width="6.6640625" bestFit="1" customWidth="1" style="1" min="4" max="4"/>
    <col width="4.1640625" bestFit="1" customWidth="1" style="1" min="5" max="5"/>
    <col width="1.6640625" bestFit="1" customWidth="1" style="1" min="6" max="6"/>
    <col width="4.5" customWidth="1" style="1" min="7" max="7"/>
    <col width="11.5" bestFit="1" customWidth="1" style="1" min="8" max="8"/>
    <col width="5.83203125" customWidth="1" style="1" min="9" max="9"/>
    <col width="5.1640625" customWidth="1" style="1" min="10" max="10"/>
    <col width="5" customWidth="1" style="1" min="11" max="11"/>
    <col width="5.83203125" customWidth="1" style="1" min="12" max="12"/>
    <col width="1.6640625" bestFit="1" customWidth="1" style="1" min="13" max="13"/>
    <col width="4.6640625" bestFit="1" customWidth="1" style="1" min="14" max="14"/>
    <col width="5.6640625" customWidth="1" style="1" min="15" max="15"/>
    <col width="5.1640625" customWidth="1" style="1" min="16" max="16"/>
    <col width="5.33203125" customWidth="1" style="1" min="17" max="17"/>
    <col width="1.6640625" bestFit="1" customWidth="1" style="1" min="18" max="18"/>
    <col width="6.5" customWidth="1" style="1" min="19" max="19"/>
    <col width="10.83203125" customWidth="1" style="1" min="20" max="20"/>
    <col width="1.6640625" bestFit="1" customWidth="1" style="1" min="21" max="21"/>
    <col width="10" bestFit="1" customWidth="1" style="1" min="22" max="22"/>
    <col width="15.1640625" bestFit="1" customWidth="1" style="1" min="23" max="23"/>
    <col width="1.6640625" bestFit="1" customWidth="1" style="1" min="24" max="24"/>
    <col width="7.33203125" bestFit="1" customWidth="1" style="1" min="25" max="25"/>
    <col width="4.83203125" bestFit="1" customWidth="1" style="1" min="26" max="26"/>
    <col width="10.5" bestFit="1" customWidth="1" style="1" min="27" max="27"/>
    <col width="1.6640625" bestFit="1" customWidth="1" style="1" min="28" max="28"/>
    <col width="10.83203125" customWidth="1" style="1" min="29" max="16384"/>
  </cols>
  <sheetData>
    <row r="2">
      <c r="A2" s="1705" t="n"/>
      <c r="B2" s="1705" t="n"/>
      <c r="C2" s="1705" t="n"/>
      <c r="D2" s="1705" t="n"/>
      <c r="E2" s="1705" t="n"/>
      <c r="F2" s="1545" t="n"/>
      <c r="G2" s="1545" t="n"/>
      <c r="H2" s="1545" t="inlineStr">
        <is>
          <t>X</t>
        </is>
      </c>
      <c r="I2" s="1545" t="inlineStr">
        <is>
          <t>X</t>
        </is>
      </c>
      <c r="J2" s="1545" t="inlineStr">
        <is>
          <t>X</t>
        </is>
      </c>
      <c r="K2" s="1545" t="inlineStr">
        <is>
          <t>X</t>
        </is>
      </c>
      <c r="L2" s="1545" t="inlineStr">
        <is>
          <t>X</t>
        </is>
      </c>
      <c r="M2" s="1545" t="n"/>
      <c r="N2" s="1545" t="inlineStr">
        <is>
          <t>X</t>
        </is>
      </c>
      <c r="O2" s="1545" t="inlineStr">
        <is>
          <t>X</t>
        </is>
      </c>
      <c r="P2" s="1545" t="inlineStr">
        <is>
          <t>X</t>
        </is>
      </c>
      <c r="Q2" s="1545" t="inlineStr">
        <is>
          <t>X</t>
        </is>
      </c>
      <c r="R2" s="1545" t="n"/>
      <c r="S2" s="1548" t="n"/>
      <c r="T2" s="1548" t="n"/>
      <c r="U2" s="1706" t="inlineStr">
        <is>
          <t>MB ONLY</t>
        </is>
      </c>
      <c r="V2" s="1429" t="n"/>
      <c r="W2" s="1429" t="n"/>
      <c r="X2" s="1429" t="n"/>
      <c r="Y2" s="1429" t="n"/>
      <c r="Z2" s="1429" t="n"/>
      <c r="AA2" s="1429" t="n"/>
      <c r="AB2" s="1072" t="n"/>
    </row>
    <row r="3">
      <c r="A3" s="1707" t="inlineStr">
        <is>
          <t>.</t>
        </is>
      </c>
      <c r="B3" s="1707" t="n"/>
      <c r="C3" s="1707" t="n"/>
      <c r="D3" s="1707" t="n"/>
      <c r="E3" s="1707" t="n"/>
      <c r="F3" s="1707" t="inlineStr">
        <is>
          <t>.</t>
        </is>
      </c>
      <c r="G3" s="1707" t="n"/>
      <c r="H3" s="1707" t="inlineStr">
        <is>
          <t>input</t>
        </is>
      </c>
      <c r="I3" s="1707" t="n"/>
      <c r="J3" s="1707" t="inlineStr">
        <is>
          <t>dift</t>
        </is>
      </c>
      <c r="K3" s="1707">
        <f>SUM(K5:K99)</f>
        <v/>
      </c>
      <c r="L3" s="1708">
        <f>SUM(L5:L99)</f>
        <v/>
      </c>
      <c r="M3" s="1707" t="inlineStr">
        <is>
          <t>.</t>
        </is>
      </c>
      <c r="N3" s="1707" t="n"/>
      <c r="O3" s="1707" t="n"/>
      <c r="P3" s="1707">
        <f>SUM(P5:P55)</f>
        <v/>
      </c>
      <c r="Q3" s="1708">
        <f>SUM(Table4[km])</f>
        <v/>
      </c>
      <c r="R3" s="1707" t="inlineStr">
        <is>
          <t>.</t>
        </is>
      </c>
      <c r="S3" s="1709" t="n"/>
      <c r="T3" s="1709" t="n"/>
      <c r="U3" s="1709" t="inlineStr">
        <is>
          <t>.</t>
        </is>
      </c>
      <c r="V3" s="1710" t="inlineStr">
        <is>
          <t>AIRLINES</t>
        </is>
      </c>
      <c r="X3" s="1709" t="inlineStr">
        <is>
          <t>.</t>
        </is>
      </c>
      <c r="Y3" s="1711" t="inlineStr">
        <is>
          <t>Same city airports</t>
        </is>
      </c>
      <c r="Z3" s="1712" t="n"/>
      <c r="AA3" s="1070" t="n"/>
      <c r="AB3" s="1709" t="inlineStr">
        <is>
          <t>.</t>
        </is>
      </c>
    </row>
    <row r="4">
      <c r="A4" s="1361" t="inlineStr">
        <is>
          <t>.</t>
        </is>
      </c>
      <c r="B4" s="1361" t="inlineStr">
        <is>
          <t>year</t>
        </is>
      </c>
      <c r="C4" s="1361" t="inlineStr">
        <is>
          <t>#</t>
        </is>
      </c>
      <c r="D4" s="1361" t="inlineStr">
        <is>
          <t>total</t>
        </is>
      </c>
      <c r="E4" s="1587">
        <f>MAX(E5:E100)</f>
        <v/>
      </c>
      <c r="F4" s="1361" t="inlineStr">
        <is>
          <t>.</t>
        </is>
      </c>
      <c r="G4" s="1361" t="inlineStr">
        <is>
          <t>#</t>
        </is>
      </c>
      <c r="H4" s="1361" t="inlineStr">
        <is>
          <t>city</t>
        </is>
      </c>
      <c r="I4" s="1361" t="inlineStr">
        <is>
          <t>ctry</t>
        </is>
      </c>
      <c r="J4" s="1361" t="inlineStr">
        <is>
          <t>routes</t>
        </is>
      </c>
      <c r="K4" s="1361" t="inlineStr">
        <is>
          <t>rpt</t>
        </is>
      </c>
      <c r="L4" s="1361" t="inlineStr">
        <is>
          <t>km</t>
        </is>
      </c>
      <c r="M4" s="1361" t="inlineStr">
        <is>
          <t>.</t>
        </is>
      </c>
      <c r="N4" s="1361" t="inlineStr">
        <is>
          <t>#</t>
        </is>
      </c>
      <c r="O4" s="1361" t="inlineStr">
        <is>
          <t>ctry</t>
        </is>
      </c>
      <c r="P4" s="1361" t="inlineStr">
        <is>
          <t>rpt</t>
        </is>
      </c>
      <c r="Q4" s="1361" t="inlineStr">
        <is>
          <t>km</t>
        </is>
      </c>
      <c r="R4" s="1361" t="inlineStr">
        <is>
          <t>.</t>
        </is>
      </c>
      <c r="S4" s="1361" t="n"/>
      <c r="T4" s="1361" t="n"/>
      <c r="U4" s="1361" t="inlineStr">
        <is>
          <t>.</t>
        </is>
      </c>
      <c r="V4" s="1361" t="inlineStr">
        <is>
          <t>BRASIL</t>
        </is>
      </c>
      <c r="W4" s="1361" t="inlineStr">
        <is>
          <t>WORLD</t>
        </is>
      </c>
      <c r="X4" s="1361" t="inlineStr">
        <is>
          <t>.</t>
        </is>
      </c>
      <c r="Y4" s="1361" t="n"/>
      <c r="Z4" s="1429" t="n"/>
      <c r="AA4" s="1072" t="n"/>
      <c r="AB4" s="1361" t="inlineStr">
        <is>
          <t>.</t>
        </is>
      </c>
    </row>
    <row r="5">
      <c r="A5" s="1673" t="inlineStr">
        <is>
          <t>.</t>
        </is>
      </c>
      <c r="B5" s="1713">
        <f>_xlfn.MINIFS(raw[yr], raw[flight], "&gt;0")</f>
        <v/>
      </c>
      <c r="C5" s="1714">
        <f>SUMIFS(raw[flight],raw[yr],B5)</f>
        <v/>
      </c>
      <c r="D5" s="1715">
        <f>SUM(C$5:C5)</f>
        <v/>
      </c>
      <c r="E5" s="1610">
        <f>INT(D5)+MOD(D5,1)*100</f>
        <v/>
      </c>
      <c r="F5" s="1611" t="inlineStr">
        <is>
          <t>.</t>
        </is>
      </c>
      <c r="G5" s="1716" t="n">
        <v>21</v>
      </c>
      <c r="H5" s="1631">
        <f>_xlfn.XLOOKUP(Table3[[#This Row],['#]],cityRoutes['#],cityRoutes[city])</f>
        <v/>
      </c>
      <c r="I5" s="1631">
        <f>_xlfn.XLOOKUP(Table3[[#This Row],[city]],ccc[city],ccc[ctry],"-")</f>
        <v/>
      </c>
      <c r="J5" s="1631">
        <f>IF(Table3[[#This Row],[city]]="",0,COUNTIF(routes[[outbound]:[inbound]],Table3[[#This Row],[city]]))</f>
        <v/>
      </c>
      <c r="K5" s="1631">
        <f>_xlfn.XLOOKUP(Table3[[#This Row],['#]],cityRoutes['#],cityRoutes[rpt],"-")</f>
        <v/>
      </c>
      <c r="L5" s="1717">
        <f>_xlfn.XLOOKUP(Table3[[#This Row],['#]],cityRoutes['#],cityRoutes[km],0)</f>
        <v/>
      </c>
      <c r="M5" s="1611" t="inlineStr">
        <is>
          <t>.</t>
        </is>
      </c>
      <c r="N5" s="1716" t="n">
        <v>1</v>
      </c>
      <c r="O5" s="1631">
        <f>_xlfn.XLOOKUP(Table4[[#This Row],['#]],ctries[id],ctries[ctry],"-")</f>
        <v/>
      </c>
      <c r="P5" s="1631">
        <f>SUMIFS(cityRoutes[rpt],cityRoutes[ctry],Table4[[#This Row],[ctry]])</f>
        <v/>
      </c>
      <c r="Q5" s="1718">
        <f>SUMIFS(cityRoutes[km],cityRoutes[ctry],Table4[[#This Row],[ctry]])</f>
        <v/>
      </c>
      <c r="R5" s="1611" t="inlineStr">
        <is>
          <t>.</t>
        </is>
      </c>
      <c r="S5" s="1719" t="n"/>
      <c r="T5" s="1612" t="n"/>
      <c r="U5" s="1611" t="inlineStr">
        <is>
          <t>.</t>
        </is>
      </c>
      <c r="V5" s="1603" t="inlineStr">
        <is>
          <t>Avianca</t>
        </is>
      </c>
      <c r="W5" s="1603" t="inlineStr">
        <is>
          <t>Air Canada</t>
        </is>
      </c>
      <c r="X5" s="1611" t="inlineStr">
        <is>
          <t>.</t>
        </is>
      </c>
      <c r="Y5" s="1603" t="inlineStr">
        <is>
          <t>BH</t>
        </is>
      </c>
      <c r="Z5" s="1603" t="inlineStr">
        <is>
          <t>BRA</t>
        </is>
      </c>
      <c r="AA5" s="1603" t="inlineStr">
        <is>
          <t>Pampulha</t>
        </is>
      </c>
      <c r="AB5" s="1611" t="inlineStr">
        <is>
          <t>.</t>
        </is>
      </c>
    </row>
    <row r="6">
      <c r="A6" s="1677" t="inlineStr">
        <is>
          <t>.</t>
        </is>
      </c>
      <c r="B6" s="1616">
        <f>B5+1</f>
        <v/>
      </c>
      <c r="C6" s="1720">
        <f>SUMIFS(raw[flight],raw[yr],B6)</f>
        <v/>
      </c>
      <c r="D6" s="1721">
        <f>SUM(C$5:C6)</f>
        <v/>
      </c>
      <c r="E6" s="1610">
        <f>INT(D6)+MOD(D6,1)*100</f>
        <v/>
      </c>
      <c r="F6" s="1611" t="inlineStr">
        <is>
          <t>.</t>
        </is>
      </c>
      <c r="G6" s="1716" t="n">
        <v>44</v>
      </c>
      <c r="H6" s="1631">
        <f>_xlfn.XLOOKUP(Table3[[#This Row],['#]],cityRoutes['#],cityRoutes[city])</f>
        <v/>
      </c>
      <c r="I6" s="1631">
        <f>_xlfn.XLOOKUP(Table3[[#This Row],[city]],ccc[city],ccc[ctry],"-")</f>
        <v/>
      </c>
      <c r="J6" s="1631">
        <f>IF(Table3[[#This Row],[city]]="",0,COUNTIF(routes[[outbound]:[inbound]],Table3[[#This Row],[city]]))</f>
        <v/>
      </c>
      <c r="K6" s="1631">
        <f>_xlfn.XLOOKUP(Table3[[#This Row],['#]],cityRoutes['#],cityRoutes[rpt],"-")</f>
        <v/>
      </c>
      <c r="L6" s="1717">
        <f>_xlfn.XLOOKUP(Table3[[#This Row],['#]],cityRoutes['#],cityRoutes[km],0)</f>
        <v/>
      </c>
      <c r="M6" s="1611" t="inlineStr">
        <is>
          <t>.</t>
        </is>
      </c>
      <c r="N6" s="1716" t="n">
        <v>4</v>
      </c>
      <c r="O6" s="1631">
        <f>_xlfn.XLOOKUP(Table4[[#This Row],['#]],ctries[id],ctries[ctry],"-")</f>
        <v/>
      </c>
      <c r="P6" s="1631">
        <f>SUMIFS(cityRoutes[rpt],cityRoutes[ctry],Table4[[#This Row],[ctry]])</f>
        <v/>
      </c>
      <c r="Q6" s="1718">
        <f>SUMIFS(cityRoutes[km],cityRoutes[ctry],Table4[[#This Row],[ctry]])</f>
        <v/>
      </c>
      <c r="R6" s="1611" t="inlineStr">
        <is>
          <t>.</t>
        </is>
      </c>
      <c r="S6" s="1719" t="n"/>
      <c r="T6" s="1612" t="n"/>
      <c r="U6" s="1611" t="inlineStr">
        <is>
          <t>.</t>
        </is>
      </c>
      <c r="V6" s="1603" t="inlineStr">
        <is>
          <t>Azul</t>
        </is>
      </c>
      <c r="W6" s="1603" t="inlineStr">
        <is>
          <t>Air China</t>
        </is>
      </c>
      <c r="X6" s="1611" t="inlineStr">
        <is>
          <t>.</t>
        </is>
      </c>
      <c r="Y6" s="1603" t="inlineStr">
        <is>
          <t>BH</t>
        </is>
      </c>
      <c r="Z6" s="1603" t="inlineStr">
        <is>
          <t>BRA</t>
        </is>
      </c>
      <c r="AA6" s="1603" t="inlineStr">
        <is>
          <t>Confins</t>
        </is>
      </c>
      <c r="AB6" s="1611" t="inlineStr">
        <is>
          <t>.</t>
        </is>
      </c>
    </row>
    <row r="7">
      <c r="A7" s="1673" t="inlineStr">
        <is>
          <t>.</t>
        </is>
      </c>
      <c r="B7" s="1621">
        <f>B6+1</f>
        <v/>
      </c>
      <c r="C7" s="1714">
        <f>SUMIFS(raw[flight],raw[yr],B7)</f>
        <v/>
      </c>
      <c r="D7" s="1715">
        <f>SUM(C$5:C7)</f>
        <v/>
      </c>
      <c r="E7" s="1722">
        <f>INT(D7)+MOD(D7,1)*100</f>
        <v/>
      </c>
      <c r="F7" s="1611" t="inlineStr">
        <is>
          <t>.</t>
        </is>
      </c>
      <c r="G7" s="1716" t="n">
        <v>2</v>
      </c>
      <c r="H7" s="1631">
        <f>_xlfn.XLOOKUP(Table3[[#This Row],['#]],cityRoutes['#],cityRoutes[city])</f>
        <v/>
      </c>
      <c r="I7" s="1631">
        <f>_xlfn.XLOOKUP(Table3[[#This Row],[city]],ccc[city],ccc[ctry],"-")</f>
        <v/>
      </c>
      <c r="J7" s="1631">
        <f>IF(Table3[[#This Row],[city]]="",0,COUNTIF(routes[[outbound]:[inbound]],Table3[[#This Row],[city]]))</f>
        <v/>
      </c>
      <c r="K7" s="1631">
        <f>_xlfn.XLOOKUP(Table3[[#This Row],['#]],cityRoutes['#],cityRoutes[rpt],"-")</f>
        <v/>
      </c>
      <c r="L7" s="1717">
        <f>_xlfn.XLOOKUP(Table3[[#This Row],['#]],cityRoutes['#],cityRoutes[km],0)</f>
        <v/>
      </c>
      <c r="M7" s="1611" t="inlineStr">
        <is>
          <t>.</t>
        </is>
      </c>
      <c r="N7" s="1716" t="n">
        <v>30</v>
      </c>
      <c r="O7" s="1631">
        <f>_xlfn.XLOOKUP(Table4[[#This Row],['#]],ctries[id],ctries[ctry],"-")</f>
        <v/>
      </c>
      <c r="P7" s="1631">
        <f>SUMIFS(cityRoutes[rpt],cityRoutes[ctry],Table4[[#This Row],[ctry]])</f>
        <v/>
      </c>
      <c r="Q7" s="1718">
        <f>SUMIFS(cityRoutes[km],cityRoutes[ctry],Table4[[#This Row],[ctry]])</f>
        <v/>
      </c>
      <c r="R7" s="1611" t="inlineStr">
        <is>
          <t>.</t>
        </is>
      </c>
      <c r="S7" s="1719" t="n"/>
      <c r="T7" s="1612" t="n"/>
      <c r="U7" s="1611" t="inlineStr">
        <is>
          <t>.</t>
        </is>
      </c>
      <c r="V7" s="1603" t="inlineStr">
        <is>
          <t xml:space="preserve">Gol </t>
        </is>
      </c>
      <c r="W7" s="1603" t="inlineStr">
        <is>
          <t>Air Europa</t>
        </is>
      </c>
      <c r="X7" s="1611" t="inlineStr">
        <is>
          <t>.</t>
        </is>
      </c>
      <c r="Y7" s="1603" t="inlineStr">
        <is>
          <t>Rio</t>
        </is>
      </c>
      <c r="Z7" s="1603" t="inlineStr">
        <is>
          <t>BRA</t>
        </is>
      </c>
      <c r="AA7" s="1603" t="inlineStr">
        <is>
          <t>GIG</t>
        </is>
      </c>
      <c r="AB7" s="1611" t="inlineStr">
        <is>
          <t>.</t>
        </is>
      </c>
    </row>
    <row r="8">
      <c r="A8" s="1677" t="inlineStr">
        <is>
          <t>.</t>
        </is>
      </c>
      <c r="B8" s="1616">
        <f>B7+1</f>
        <v/>
      </c>
      <c r="C8" s="1720">
        <f>SUMIFS(raw[flight],raw[yr],B8)</f>
        <v/>
      </c>
      <c r="D8" s="1721">
        <f>SUM(C$5:C8)</f>
        <v/>
      </c>
      <c r="E8" s="1610">
        <f>INT(D8)+MOD(D8,1)*100</f>
        <v/>
      </c>
      <c r="F8" s="1611" t="inlineStr">
        <is>
          <t>.</t>
        </is>
      </c>
      <c r="G8" s="1716" t="n">
        <v>14</v>
      </c>
      <c r="H8" s="1631">
        <f>_xlfn.XLOOKUP(Table3[[#This Row],['#]],cityRoutes['#],cityRoutes[city])</f>
        <v/>
      </c>
      <c r="I8" s="1631">
        <f>_xlfn.XLOOKUP(Table3[[#This Row],[city]],ccc[city],ccc[ctry],"-")</f>
        <v/>
      </c>
      <c r="J8" s="1631">
        <f>IF(Table3[[#This Row],[city]]="",0,COUNTIF(routes[[outbound]:[inbound]],Table3[[#This Row],[city]]))</f>
        <v/>
      </c>
      <c r="K8" s="1631">
        <f>_xlfn.XLOOKUP(Table3[[#This Row],['#]],cityRoutes['#],cityRoutes[rpt],"-")</f>
        <v/>
      </c>
      <c r="L8" s="1717">
        <f>_xlfn.XLOOKUP(Table3[[#This Row],['#]],cityRoutes['#],cityRoutes[km],0)</f>
        <v/>
      </c>
      <c r="M8" s="1611" t="inlineStr">
        <is>
          <t>.</t>
        </is>
      </c>
      <c r="N8" s="1716" t="n">
        <v>5</v>
      </c>
      <c r="O8" s="1631">
        <f>_xlfn.XLOOKUP(Table4[[#This Row],['#]],ctries[id],ctries[ctry],"-")</f>
        <v/>
      </c>
      <c r="P8" s="1631">
        <f>SUMIFS(cityRoutes[rpt],cityRoutes[ctry],Table4[[#This Row],[ctry]])</f>
        <v/>
      </c>
      <c r="Q8" s="1718">
        <f>SUMIFS(cityRoutes[km],cityRoutes[ctry],Table4[[#This Row],[ctry]])</f>
        <v/>
      </c>
      <c r="R8" s="1611" t="inlineStr">
        <is>
          <t>.</t>
        </is>
      </c>
      <c r="S8" s="1719" t="n"/>
      <c r="T8" s="1612" t="n"/>
      <c r="U8" s="1611" t="inlineStr">
        <is>
          <t>.</t>
        </is>
      </c>
      <c r="V8" s="1603" t="inlineStr">
        <is>
          <t>Ocean Air</t>
        </is>
      </c>
      <c r="W8" s="1603" t="inlineStr">
        <is>
          <t>Air Transat</t>
        </is>
      </c>
      <c r="X8" s="1611" t="inlineStr">
        <is>
          <t>.</t>
        </is>
      </c>
      <c r="Y8" s="1603" t="inlineStr">
        <is>
          <t>Rio</t>
        </is>
      </c>
      <c r="Z8" s="1603" t="inlineStr">
        <is>
          <t>BRA</t>
        </is>
      </c>
      <c r="AA8" s="1603" t="inlineStr">
        <is>
          <t>SDU</t>
        </is>
      </c>
      <c r="AB8" s="1611" t="inlineStr">
        <is>
          <t>.</t>
        </is>
      </c>
    </row>
    <row r="9">
      <c r="A9" s="1673" t="inlineStr">
        <is>
          <t>.</t>
        </is>
      </c>
      <c r="B9" s="1621">
        <f>B8+1</f>
        <v/>
      </c>
      <c r="C9" s="1714">
        <f>SUMIFS(raw[flight],raw[yr],B9)</f>
        <v/>
      </c>
      <c r="D9" s="1715">
        <f>SUM(C$5:C9)</f>
        <v/>
      </c>
      <c r="E9" s="1610">
        <f>INT(D9)+MOD(D9,1)*100</f>
        <v/>
      </c>
      <c r="F9" s="1611" t="inlineStr">
        <is>
          <t>.</t>
        </is>
      </c>
      <c r="G9" s="1716" t="n">
        <v>18</v>
      </c>
      <c r="H9" s="1631">
        <f>_xlfn.XLOOKUP(Table3[[#This Row],['#]],cityRoutes['#],cityRoutes[city])</f>
        <v/>
      </c>
      <c r="I9" s="1631">
        <f>_xlfn.XLOOKUP(Table3[[#This Row],[city]],ccc[city],ccc[ctry],"-")</f>
        <v/>
      </c>
      <c r="J9" s="1631">
        <f>IF(Table3[[#This Row],[city]]="",0,COUNTIF(routes[[outbound]:[inbound]],Table3[[#This Row],[city]]))</f>
        <v/>
      </c>
      <c r="K9" s="1631">
        <f>_xlfn.XLOOKUP(Table3[[#This Row],['#]],cityRoutes['#],cityRoutes[rpt],"-")</f>
        <v/>
      </c>
      <c r="L9" s="1717">
        <f>_xlfn.XLOOKUP(Table3[[#This Row],['#]],cityRoutes['#],cityRoutes[km],0)</f>
        <v/>
      </c>
      <c r="M9" s="1611" t="inlineStr">
        <is>
          <t>.</t>
        </is>
      </c>
      <c r="N9" s="1716" t="n">
        <v>11</v>
      </c>
      <c r="O9" s="1631">
        <f>_xlfn.XLOOKUP(Table4[[#This Row],['#]],ctries[id],ctries[ctry],"-")</f>
        <v/>
      </c>
      <c r="P9" s="1631">
        <f>SUMIFS(cityRoutes[rpt],cityRoutes[ctry],Table4[[#This Row],[ctry]])</f>
        <v/>
      </c>
      <c r="Q9" s="1718">
        <f>SUMIFS(cityRoutes[km],cityRoutes[ctry],Table4[[#This Row],[ctry]])</f>
        <v/>
      </c>
      <c r="R9" s="1611" t="inlineStr">
        <is>
          <t>.</t>
        </is>
      </c>
      <c r="S9" s="1719" t="n"/>
      <c r="T9" s="1612" t="n"/>
      <c r="U9" s="1611" t="inlineStr">
        <is>
          <t>.</t>
        </is>
      </c>
      <c r="V9" s="1603" t="inlineStr">
        <is>
          <t>Passaredo</t>
        </is>
      </c>
      <c r="W9" s="1603" t="inlineStr">
        <is>
          <t>American Airlines</t>
        </is>
      </c>
      <c r="X9" s="1611" t="inlineStr">
        <is>
          <t>.</t>
        </is>
      </c>
      <c r="Y9" s="1603" t="inlineStr">
        <is>
          <t>SP</t>
        </is>
      </c>
      <c r="Z9" s="1603" t="inlineStr">
        <is>
          <t>BRA</t>
        </is>
      </c>
      <c r="AA9" s="1603" t="inlineStr">
        <is>
          <t>Guarulhos</t>
        </is>
      </c>
      <c r="AB9" s="1611" t="inlineStr">
        <is>
          <t>.</t>
        </is>
      </c>
    </row>
    <row r="10">
      <c r="A10" s="1677" t="inlineStr">
        <is>
          <t>.</t>
        </is>
      </c>
      <c r="B10" s="1616">
        <f>B9+1</f>
        <v/>
      </c>
      <c r="C10" s="1720">
        <f>SUMIFS(raw[flight],raw[yr],B10)</f>
        <v/>
      </c>
      <c r="D10" s="1721">
        <f>SUM(C$5:C10)</f>
        <v/>
      </c>
      <c r="E10" s="1610">
        <f>INT(D10)+MOD(D10,1)*100</f>
        <v/>
      </c>
      <c r="F10" s="1611" t="inlineStr">
        <is>
          <t>.</t>
        </is>
      </c>
      <c r="G10" s="1716" t="n">
        <v>12</v>
      </c>
      <c r="H10" s="1631">
        <f>_xlfn.XLOOKUP(Table3[[#This Row],['#]],cityRoutes['#],cityRoutes[city])</f>
        <v/>
      </c>
      <c r="I10" s="1631">
        <f>_xlfn.XLOOKUP(Table3[[#This Row],[city]],ccc[city],ccc[ctry],"-")</f>
        <v/>
      </c>
      <c r="J10" s="1631">
        <f>IF(Table3[[#This Row],[city]]="",0,COUNTIF(routes[[outbound]:[inbound]],Table3[[#This Row],[city]]))</f>
        <v/>
      </c>
      <c r="K10" s="1631">
        <f>_xlfn.XLOOKUP(Table3[[#This Row],['#]],cityRoutes['#],cityRoutes[rpt],"-")</f>
        <v/>
      </c>
      <c r="L10" s="1717">
        <f>_xlfn.XLOOKUP(Table3[[#This Row],['#]],cityRoutes['#],cityRoutes[km],0)</f>
        <v/>
      </c>
      <c r="M10" s="1611" t="inlineStr">
        <is>
          <t>.</t>
        </is>
      </c>
      <c r="N10" s="1716" t="n">
        <v>10</v>
      </c>
      <c r="O10" s="1631">
        <f>_xlfn.XLOOKUP(Table4[[#This Row],['#]],ctries[id],ctries[ctry],"-")</f>
        <v/>
      </c>
      <c r="P10" s="1631">
        <f>SUMIFS(cityRoutes[rpt],cityRoutes[ctry],Table4[[#This Row],[ctry]])</f>
        <v/>
      </c>
      <c r="Q10" s="1718">
        <f>SUMIFS(cityRoutes[km],cityRoutes[ctry],Table4[[#This Row],[ctry]])</f>
        <v/>
      </c>
      <c r="R10" s="1611" t="inlineStr">
        <is>
          <t>.</t>
        </is>
      </c>
      <c r="S10" s="1719" t="n"/>
      <c r="T10" s="1612" t="n"/>
      <c r="U10" s="1611" t="inlineStr">
        <is>
          <t>.</t>
        </is>
      </c>
      <c r="V10" s="1603" t="inlineStr">
        <is>
          <t>Tam</t>
        </is>
      </c>
      <c r="W10" s="1603" t="inlineStr">
        <is>
          <t>British Airways</t>
        </is>
      </c>
      <c r="X10" s="1611" t="inlineStr">
        <is>
          <t>.</t>
        </is>
      </c>
      <c r="Y10" s="1603" t="inlineStr">
        <is>
          <t>SP</t>
        </is>
      </c>
      <c r="Z10" s="1603" t="inlineStr">
        <is>
          <t>BRA</t>
        </is>
      </c>
      <c r="AA10" s="1603" t="inlineStr">
        <is>
          <t>Congonhas</t>
        </is>
      </c>
      <c r="AB10" s="1611" t="inlineStr">
        <is>
          <t>.</t>
        </is>
      </c>
    </row>
    <row r="11">
      <c r="A11" s="1673" t="inlineStr">
        <is>
          <t>.</t>
        </is>
      </c>
      <c r="B11" s="1621">
        <f>B10+1</f>
        <v/>
      </c>
      <c r="C11" s="1714">
        <f>SUMIFS(raw[flight],raw[yr],B11)</f>
        <v/>
      </c>
      <c r="D11" s="1715">
        <f>SUM(C$5:C11)</f>
        <v/>
      </c>
      <c r="E11" s="1610">
        <f>INT(D11)+MOD(D11,1)*100</f>
        <v/>
      </c>
      <c r="F11" s="1611" t="inlineStr">
        <is>
          <t>.</t>
        </is>
      </c>
      <c r="G11" s="1716" t="n">
        <v>9</v>
      </c>
      <c r="H11" s="1631">
        <f>_xlfn.XLOOKUP(Table3[[#This Row],['#]],cityRoutes['#],cityRoutes[city])</f>
        <v/>
      </c>
      <c r="I11" s="1631">
        <f>_xlfn.XLOOKUP(Table3[[#This Row],[city]],ccc[city],ccc[ctry],"-")</f>
        <v/>
      </c>
      <c r="J11" s="1631">
        <f>IF(Table3[[#This Row],[city]]="",0,COUNTIF(routes[[outbound]:[inbound]],Table3[[#This Row],[city]]))</f>
        <v/>
      </c>
      <c r="K11" s="1631">
        <f>_xlfn.XLOOKUP(Table3[[#This Row],['#]],cityRoutes['#],cityRoutes[rpt],"-")</f>
        <v/>
      </c>
      <c r="L11" s="1717">
        <f>_xlfn.XLOOKUP(Table3[[#This Row],['#]],cityRoutes['#],cityRoutes[km],0)</f>
        <v/>
      </c>
      <c r="M11" s="1611" t="inlineStr">
        <is>
          <t>.</t>
        </is>
      </c>
      <c r="N11" s="1716" t="n">
        <v>8</v>
      </c>
      <c r="O11" s="1631">
        <f>_xlfn.XLOOKUP(Table4[[#This Row],['#]],ctries[id],ctries[ctry],"-")</f>
        <v/>
      </c>
      <c r="P11" s="1631">
        <f>SUMIFS(cityRoutes[rpt],cityRoutes[ctry],Table4[[#This Row],[ctry]])</f>
        <v/>
      </c>
      <c r="Q11" s="1718">
        <f>SUMIFS(cityRoutes[km],cityRoutes[ctry],Table4[[#This Row],[ctry]])</f>
        <v/>
      </c>
      <c r="R11" s="1611" t="inlineStr">
        <is>
          <t>.</t>
        </is>
      </c>
      <c r="S11" s="1719" t="n"/>
      <c r="T11" s="1612" t="n"/>
      <c r="U11" s="1611" t="inlineStr">
        <is>
          <t>.</t>
        </is>
      </c>
      <c r="V11" s="1603" t="inlineStr">
        <is>
          <t>Transbrasil</t>
        </is>
      </c>
      <c r="W11" s="1603" t="inlineStr">
        <is>
          <t>Delta</t>
        </is>
      </c>
      <c r="X11" s="1611" t="inlineStr">
        <is>
          <t>.</t>
        </is>
      </c>
      <c r="Y11" s="1603" t="inlineStr">
        <is>
          <t>SP</t>
        </is>
      </c>
      <c r="Z11" s="1603" t="inlineStr">
        <is>
          <t>BRA</t>
        </is>
      </c>
      <c r="AA11" s="1603" t="inlineStr">
        <is>
          <t>Viracopos</t>
        </is>
      </c>
      <c r="AB11" s="1611" t="inlineStr">
        <is>
          <t>.</t>
        </is>
      </c>
    </row>
    <row r="12">
      <c r="A12" s="1677" t="inlineStr">
        <is>
          <t>.</t>
        </is>
      </c>
      <c r="B12" s="1616">
        <f>B11+1</f>
        <v/>
      </c>
      <c r="C12" s="1720">
        <f>SUMIFS(raw[flight],raw[yr],B12)</f>
        <v/>
      </c>
      <c r="D12" s="1721">
        <f>SUM(C$5:C12)</f>
        <v/>
      </c>
      <c r="E12" s="1610">
        <f>INT(D12)+MOD(D12,1)*100</f>
        <v/>
      </c>
      <c r="F12" s="1611" t="inlineStr">
        <is>
          <t>.</t>
        </is>
      </c>
      <c r="G12" s="1716" t="n">
        <v>15</v>
      </c>
      <c r="H12" s="1631">
        <f>_xlfn.XLOOKUP(Table3[[#This Row],['#]],cityRoutes['#],cityRoutes[city])</f>
        <v/>
      </c>
      <c r="I12" s="1631">
        <f>_xlfn.XLOOKUP(Table3[[#This Row],[city]],ccc[city],ccc[ctry],"-")</f>
        <v/>
      </c>
      <c r="J12" s="1631">
        <f>IF(Table3[[#This Row],[city]]="",0,COUNTIF(routes[[outbound]:[inbound]],Table3[[#This Row],[city]]))</f>
        <v/>
      </c>
      <c r="K12" s="1631">
        <f>_xlfn.XLOOKUP(Table3[[#This Row],['#]],cityRoutes['#],cityRoutes[rpt],"-")</f>
        <v/>
      </c>
      <c r="L12" s="1717">
        <f>_xlfn.XLOOKUP(Table3[[#This Row],['#]],cityRoutes['#],cityRoutes[km],0)</f>
        <v/>
      </c>
      <c r="M12" s="1611" t="inlineStr">
        <is>
          <t>.</t>
        </is>
      </c>
      <c r="N12" s="1716" t="n">
        <v>19</v>
      </c>
      <c r="O12" s="1631">
        <f>_xlfn.XLOOKUP(Table4[[#This Row],['#]],ctries[id],ctries[ctry],"-")</f>
        <v/>
      </c>
      <c r="P12" s="1631">
        <f>SUMIFS(cityRoutes[rpt],cityRoutes[ctry],Table4[[#This Row],[ctry]])</f>
        <v/>
      </c>
      <c r="Q12" s="1718">
        <f>SUMIFS(cityRoutes[km],cityRoutes[ctry],Table4[[#This Row],[ctry]])</f>
        <v/>
      </c>
      <c r="R12" s="1611" t="inlineStr">
        <is>
          <t>.</t>
        </is>
      </c>
      <c r="S12" s="1719" t="n"/>
      <c r="T12" s="1612" t="n"/>
      <c r="U12" s="1611" t="inlineStr">
        <is>
          <t>.</t>
        </is>
      </c>
      <c r="V12" s="1603" t="inlineStr">
        <is>
          <t>Trip</t>
        </is>
      </c>
      <c r="W12" s="1603" t="inlineStr">
        <is>
          <t>Easy Jet</t>
        </is>
      </c>
      <c r="X12" s="1611" t="inlineStr">
        <is>
          <t>.</t>
        </is>
      </c>
      <c r="Y12" s="1603" t="inlineStr">
        <is>
          <t>Toronto</t>
        </is>
      </c>
      <c r="Z12" s="1603" t="inlineStr">
        <is>
          <t>CAN</t>
        </is>
      </c>
      <c r="AA12" s="1603" t="inlineStr">
        <is>
          <t>Bishop</t>
        </is>
      </c>
      <c r="AB12" s="1611" t="inlineStr">
        <is>
          <t>.</t>
        </is>
      </c>
    </row>
    <row r="13">
      <c r="A13" s="1673" t="inlineStr">
        <is>
          <t>.</t>
        </is>
      </c>
      <c r="B13" s="1621">
        <f>B12+1</f>
        <v/>
      </c>
      <c r="C13" s="1714">
        <f>SUMIFS(raw[flight],raw[yr],B13)</f>
        <v/>
      </c>
      <c r="D13" s="1715">
        <f>SUM(C$5:C13)</f>
        <v/>
      </c>
      <c r="E13" s="1610">
        <f>INT(D13)+MOD(D13,1)*100</f>
        <v/>
      </c>
      <c r="F13" s="1611" t="inlineStr">
        <is>
          <t>.</t>
        </is>
      </c>
      <c r="G13" s="1716" t="n">
        <v>51</v>
      </c>
      <c r="H13" s="1631">
        <f>_xlfn.XLOOKUP(Table3[[#This Row],['#]],cityRoutes['#],cityRoutes[city])</f>
        <v/>
      </c>
      <c r="I13" s="1631">
        <f>_xlfn.XLOOKUP(Table3[[#This Row],[city]],ccc[city],ccc[ctry],"-")</f>
        <v/>
      </c>
      <c r="J13" s="1631">
        <f>IF(Table3[[#This Row],[city]]="",0,COUNTIF(routes[[outbound]:[inbound]],Table3[[#This Row],[city]]))</f>
        <v/>
      </c>
      <c r="K13" s="1631">
        <f>_xlfn.XLOOKUP(Table3[[#This Row],['#]],cityRoutes['#],cityRoutes[rpt],"-")</f>
        <v/>
      </c>
      <c r="L13" s="1717">
        <f>_xlfn.XLOOKUP(Table3[[#This Row],['#]],cityRoutes['#],cityRoutes[km],0)</f>
        <v/>
      </c>
      <c r="M13" s="1611" t="inlineStr">
        <is>
          <t>.</t>
        </is>
      </c>
      <c r="N13" s="1716" t="n">
        <v>6</v>
      </c>
      <c r="O13" s="1631">
        <f>_xlfn.XLOOKUP(Table4[[#This Row],['#]],ctries[id],ctries[ctry],"-")</f>
        <v/>
      </c>
      <c r="P13" s="1631">
        <f>SUMIFS(cityRoutes[rpt],cityRoutes[ctry],Table4[[#This Row],[ctry]])</f>
        <v/>
      </c>
      <c r="Q13" s="1718">
        <f>SUMIFS(cityRoutes[km],cityRoutes[ctry],Table4[[#This Row],[ctry]])</f>
        <v/>
      </c>
      <c r="R13" s="1611" t="inlineStr">
        <is>
          <t>.</t>
        </is>
      </c>
      <c r="S13" s="1719" t="n"/>
      <c r="T13" s="1612" t="n"/>
      <c r="U13" s="1611" t="inlineStr">
        <is>
          <t>.</t>
        </is>
      </c>
      <c r="V13" s="1603" t="inlineStr">
        <is>
          <t>Varig</t>
        </is>
      </c>
      <c r="W13" s="1603" t="inlineStr">
        <is>
          <t>Japan Air</t>
        </is>
      </c>
      <c r="X13" s="1611" t="inlineStr">
        <is>
          <t>.</t>
        </is>
      </c>
      <c r="Y13" s="1603" t="inlineStr">
        <is>
          <t>Toronto</t>
        </is>
      </c>
      <c r="Z13" s="1603" t="inlineStr">
        <is>
          <t>CAN</t>
        </is>
      </c>
      <c r="AA13" s="1603" t="inlineStr">
        <is>
          <t>Pearson</t>
        </is>
      </c>
      <c r="AB13" s="1611" t="inlineStr">
        <is>
          <t>.</t>
        </is>
      </c>
    </row>
    <row r="14">
      <c r="A14" s="1677" t="inlineStr">
        <is>
          <t>.</t>
        </is>
      </c>
      <c r="B14" s="1616">
        <f>B13+1</f>
        <v/>
      </c>
      <c r="C14" s="1720">
        <f>SUMIFS(raw[flight],raw[yr],B14)</f>
        <v/>
      </c>
      <c r="D14" s="1721">
        <f>SUM(C$5:C14)</f>
        <v/>
      </c>
      <c r="E14" s="1610">
        <f>INT(D14)+MOD(D14,1)*100</f>
        <v/>
      </c>
      <c r="F14" s="1611" t="inlineStr">
        <is>
          <t>.</t>
        </is>
      </c>
      <c r="G14" s="1716" t="n">
        <v>16</v>
      </c>
      <c r="H14" s="1631">
        <f>_xlfn.XLOOKUP(Table3[[#This Row],['#]],cityRoutes['#],cityRoutes[city])</f>
        <v/>
      </c>
      <c r="I14" s="1631">
        <f>_xlfn.XLOOKUP(Table3[[#This Row],[city]],ccc[city],ccc[ctry],"-")</f>
        <v/>
      </c>
      <c r="J14" s="1631">
        <f>IF(Table3[[#This Row],[city]]="",0,COUNTIF(routes[[outbound]:[inbound]],Table3[[#This Row],[city]]))</f>
        <v/>
      </c>
      <c r="K14" s="1631">
        <f>_xlfn.XLOOKUP(Table3[[#This Row],['#]],cityRoutes['#],cityRoutes[rpt],"-")</f>
        <v/>
      </c>
      <c r="L14" s="1717">
        <f>_xlfn.XLOOKUP(Table3[[#This Row],['#]],cityRoutes['#],cityRoutes[km],0)</f>
        <v/>
      </c>
      <c r="M14" s="1611" t="inlineStr">
        <is>
          <t>.</t>
        </is>
      </c>
      <c r="N14" s="1716" t="n">
        <v>3</v>
      </c>
      <c r="O14" s="1631">
        <f>_xlfn.XLOOKUP(Table4[[#This Row],['#]],ctries[id],ctries[ctry],"-")</f>
        <v/>
      </c>
      <c r="P14" s="1631">
        <f>SUMIFS(cityRoutes[rpt],cityRoutes[ctry],Table4[[#This Row],[ctry]])</f>
        <v/>
      </c>
      <c r="Q14" s="1718">
        <f>SUMIFS(cityRoutes[km],cityRoutes[ctry],Table4[[#This Row],[ctry]])</f>
        <v/>
      </c>
      <c r="R14" s="1611" t="inlineStr">
        <is>
          <t>.</t>
        </is>
      </c>
      <c r="S14" s="1719" t="n"/>
      <c r="T14" s="1612" t="n"/>
      <c r="U14" s="1611" t="inlineStr">
        <is>
          <t>.</t>
        </is>
      </c>
      <c r="V14" s="1603" t="inlineStr">
        <is>
          <t>Vasp</t>
        </is>
      </c>
      <c r="W14" s="1603" t="inlineStr">
        <is>
          <t>Lufthansa</t>
        </is>
      </c>
      <c r="X14" s="1611" t="inlineStr">
        <is>
          <t>.</t>
        </is>
      </c>
      <c r="Y14" s="1603" t="inlineStr">
        <is>
          <t>Paris</t>
        </is>
      </c>
      <c r="Z14" s="1603" t="inlineStr">
        <is>
          <t>FRA</t>
        </is>
      </c>
      <c r="AA14" s="1603" t="inlineStr">
        <is>
          <t>De Gaulle</t>
        </is>
      </c>
      <c r="AB14" s="1611" t="inlineStr">
        <is>
          <t>.</t>
        </is>
      </c>
    </row>
    <row r="15">
      <c r="A15" s="1673" t="inlineStr">
        <is>
          <t>.</t>
        </is>
      </c>
      <c r="B15" s="1621">
        <f>B14+1</f>
        <v/>
      </c>
      <c r="C15" s="1714">
        <f>SUMIFS(raw[flight],raw[yr],B15)</f>
        <v/>
      </c>
      <c r="D15" s="1715">
        <f>SUM(C$5:C15)</f>
        <v/>
      </c>
      <c r="E15" s="1610">
        <f>INT(D15)+MOD(D15,1)*100</f>
        <v/>
      </c>
      <c r="F15" s="1611" t="inlineStr">
        <is>
          <t>.</t>
        </is>
      </c>
      <c r="G15" s="1716" t="n">
        <v>3</v>
      </c>
      <c r="H15" s="1631">
        <f>_xlfn.XLOOKUP(Table3[[#This Row],['#]],cityRoutes['#],cityRoutes[city])</f>
        <v/>
      </c>
      <c r="I15" s="1631">
        <f>_xlfn.XLOOKUP(Table3[[#This Row],[city]],ccc[city],ccc[ctry],"-")</f>
        <v/>
      </c>
      <c r="J15" s="1631">
        <f>IF(Table3[[#This Row],[city]]="",0,COUNTIF(routes[[outbound]:[inbound]],Table3[[#This Row],[city]]))</f>
        <v/>
      </c>
      <c r="K15" s="1631">
        <f>_xlfn.XLOOKUP(Table3[[#This Row],['#]],cityRoutes['#],cityRoutes[rpt],"-")</f>
        <v/>
      </c>
      <c r="L15" s="1717">
        <f>_xlfn.XLOOKUP(Table3[[#This Row],['#]],cityRoutes['#],cityRoutes[km],0)</f>
        <v/>
      </c>
      <c r="M15" s="1611" t="inlineStr">
        <is>
          <t>.</t>
        </is>
      </c>
      <c r="N15" s="1716" t="n">
        <v>32</v>
      </c>
      <c r="O15" s="1631">
        <f>_xlfn.XLOOKUP(Table4[[#This Row],['#]],ctries[id],ctries[ctry],"-")</f>
        <v/>
      </c>
      <c r="P15" s="1631">
        <f>SUMIFS(cityRoutes[rpt],cityRoutes[ctry],Table4[[#This Row],[ctry]])</f>
        <v/>
      </c>
      <c r="Q15" s="1718">
        <f>SUMIFS(cityRoutes[km],cityRoutes[ctry],Table4[[#This Row],[ctry]])</f>
        <v/>
      </c>
      <c r="R15" s="1611" t="inlineStr">
        <is>
          <t>.</t>
        </is>
      </c>
      <c r="S15" s="1719" t="n"/>
      <c r="T15" s="1612" t="n"/>
      <c r="U15" s="1611" t="inlineStr">
        <is>
          <t>.</t>
        </is>
      </c>
      <c r="V15" s="1603" t="inlineStr">
        <is>
          <t>Webjet</t>
        </is>
      </c>
      <c r="W15" s="1603" t="inlineStr">
        <is>
          <t>Mexicana</t>
        </is>
      </c>
      <c r="X15" s="1611" t="inlineStr">
        <is>
          <t>.</t>
        </is>
      </c>
      <c r="Y15" s="1603" t="inlineStr">
        <is>
          <t>Paris</t>
        </is>
      </c>
      <c r="Z15" s="1603" t="inlineStr">
        <is>
          <t>FRA</t>
        </is>
      </c>
      <c r="AA15" s="1603" t="inlineStr">
        <is>
          <t>Orly</t>
        </is>
      </c>
      <c r="AB15" s="1611" t="inlineStr">
        <is>
          <t>.</t>
        </is>
      </c>
    </row>
    <row r="16">
      <c r="A16" s="1677" t="inlineStr">
        <is>
          <t>.</t>
        </is>
      </c>
      <c r="B16" s="1616">
        <f>B15+1</f>
        <v/>
      </c>
      <c r="C16" s="1720">
        <f>SUMIFS(raw[flight],raw[yr],B16)</f>
        <v/>
      </c>
      <c r="D16" s="1721">
        <f>SUM(C$5:C16)</f>
        <v/>
      </c>
      <c r="E16" s="1610">
        <f>INT(D16)+MOD(D16,1)*100</f>
        <v/>
      </c>
      <c r="F16" s="1611" t="inlineStr">
        <is>
          <t>.</t>
        </is>
      </c>
      <c r="G16" s="1716" t="n">
        <v>8</v>
      </c>
      <c r="H16" s="1631">
        <f>_xlfn.XLOOKUP(Table3[[#This Row],['#]],cityRoutes['#],cityRoutes[city])</f>
        <v/>
      </c>
      <c r="I16" s="1631">
        <f>_xlfn.XLOOKUP(Table3[[#This Row],[city]],ccc[city],ccc[ctry],"-")</f>
        <v/>
      </c>
      <c r="J16" s="1631">
        <f>IF(Table3[[#This Row],[city]]="",0,COUNTIF(routes[[outbound]:[inbound]],Table3[[#This Row],[city]]))</f>
        <v/>
      </c>
      <c r="K16" s="1631">
        <f>_xlfn.XLOOKUP(Table3[[#This Row],['#]],cityRoutes['#],cityRoutes[rpt],"-")</f>
        <v/>
      </c>
      <c r="L16" s="1717">
        <f>_xlfn.XLOOKUP(Table3[[#This Row],['#]],cityRoutes['#],cityRoutes[km],0)</f>
        <v/>
      </c>
      <c r="M16" s="1611" t="inlineStr">
        <is>
          <t>.</t>
        </is>
      </c>
      <c r="N16" s="1716" t="n">
        <v>31</v>
      </c>
      <c r="O16" s="1631">
        <f>_xlfn.XLOOKUP(Table4[[#This Row],['#]],ctries[id],ctries[ctry],"-")</f>
        <v/>
      </c>
      <c r="P16" s="1631">
        <f>SUMIFS(cityRoutes[rpt],cityRoutes[ctry],Table4[[#This Row],[ctry]])</f>
        <v/>
      </c>
      <c r="Q16" s="1718">
        <f>SUMIFS(cityRoutes[km],cityRoutes[ctry],Table4[[#This Row],[ctry]])</f>
        <v/>
      </c>
      <c r="R16" s="1611" t="inlineStr">
        <is>
          <t>.</t>
        </is>
      </c>
      <c r="S16" s="1719" t="n"/>
      <c r="T16" s="1612" t="n"/>
      <c r="U16" s="1611" t="inlineStr">
        <is>
          <t>.</t>
        </is>
      </c>
      <c r="V16" s="1603" t="inlineStr">
        <is>
          <t>Latam</t>
        </is>
      </c>
      <c r="W16" s="1603" t="inlineStr">
        <is>
          <t>Ryan Air</t>
        </is>
      </c>
      <c r="X16" s="1611" t="inlineStr">
        <is>
          <t>.</t>
        </is>
      </c>
      <c r="Y16" s="1603" t="inlineStr">
        <is>
          <t>Paris</t>
        </is>
      </c>
      <c r="Z16" s="1603" t="inlineStr">
        <is>
          <t>FRA</t>
        </is>
      </c>
      <c r="AA16" s="1603" t="inlineStr">
        <is>
          <t>Beauvais</t>
        </is>
      </c>
      <c r="AB16" s="1611" t="inlineStr">
        <is>
          <t>.</t>
        </is>
      </c>
    </row>
    <row r="17">
      <c r="A17" s="1673" t="inlineStr">
        <is>
          <t>.</t>
        </is>
      </c>
      <c r="B17" s="1621">
        <f>B16+1</f>
        <v/>
      </c>
      <c r="C17" s="1714">
        <f>SUMIFS(raw[flight],raw[yr],B17)</f>
        <v/>
      </c>
      <c r="D17" s="1715">
        <f>SUM(C$5:C17)</f>
        <v/>
      </c>
      <c r="E17" s="1610">
        <f>INT(D17)+MOD(D17,1)*100</f>
        <v/>
      </c>
      <c r="F17" s="1611" t="inlineStr">
        <is>
          <t>.</t>
        </is>
      </c>
      <c r="G17" s="1716" t="n">
        <v>17</v>
      </c>
      <c r="H17" s="1631">
        <f>_xlfn.XLOOKUP(Table3[[#This Row],['#]],cityRoutes['#],cityRoutes[city])</f>
        <v/>
      </c>
      <c r="I17" s="1631">
        <f>_xlfn.XLOOKUP(Table3[[#This Row],[city]],ccc[city],ccc[ctry],"-")</f>
        <v/>
      </c>
      <c r="J17" s="1631">
        <f>IF(Table3[[#This Row],[city]]="",0,COUNTIF(routes[[outbound]:[inbound]],Table3[[#This Row],[city]]))</f>
        <v/>
      </c>
      <c r="K17" s="1631">
        <f>_xlfn.XLOOKUP(Table3[[#This Row],['#]],cityRoutes['#],cityRoutes[rpt],"-")</f>
        <v/>
      </c>
      <c r="L17" s="1717">
        <f>_xlfn.XLOOKUP(Table3[[#This Row],['#]],cityRoutes['#],cityRoutes[km],0)</f>
        <v/>
      </c>
      <c r="M17" s="1611" t="inlineStr">
        <is>
          <t>.</t>
        </is>
      </c>
      <c r="N17" s="1716" t="n">
        <v>7</v>
      </c>
      <c r="O17" s="1631">
        <f>_xlfn.XLOOKUP(Table4[[#This Row],['#]],ctries[id],ctries[ctry],"-")</f>
        <v/>
      </c>
      <c r="P17" s="1631">
        <f>SUMIFS(cityRoutes[rpt],cityRoutes[ctry],Table4[[#This Row],[ctry]])</f>
        <v/>
      </c>
      <c r="Q17" s="1718">
        <f>SUMIFS(cityRoutes[km],cityRoutes[ctry],Table4[[#This Row],[ctry]])</f>
        <v/>
      </c>
      <c r="R17" s="1611" t="inlineStr">
        <is>
          <t>.</t>
        </is>
      </c>
      <c r="S17" s="1719" t="n"/>
      <c r="T17" s="1612" t="n"/>
      <c r="U17" s="1611" t="inlineStr">
        <is>
          <t>.</t>
        </is>
      </c>
      <c r="V17" s="1603" t="n"/>
      <c r="W17" s="1603" t="inlineStr">
        <is>
          <t>Sabena</t>
        </is>
      </c>
      <c r="X17" s="1611" t="inlineStr">
        <is>
          <t>.</t>
        </is>
      </c>
      <c r="Y17" s="1603" t="inlineStr">
        <is>
          <t>Milan</t>
        </is>
      </c>
      <c r="Z17" s="1603" t="inlineStr">
        <is>
          <t>ITA</t>
        </is>
      </c>
      <c r="AA17" s="1603" t="inlineStr">
        <is>
          <t>Linate</t>
        </is>
      </c>
      <c r="AB17" s="1611" t="inlineStr">
        <is>
          <t>.</t>
        </is>
      </c>
    </row>
    <row r="18">
      <c r="A18" s="1677" t="inlineStr">
        <is>
          <t>.</t>
        </is>
      </c>
      <c r="B18" s="1616">
        <f>B17+1</f>
        <v/>
      </c>
      <c r="C18" s="1720">
        <f>SUMIFS(raw[flight],raw[yr],B18)</f>
        <v/>
      </c>
      <c r="D18" s="1721">
        <f>SUM(C$5:C18)</f>
        <v/>
      </c>
      <c r="E18" s="1610">
        <f>INT(D18)+MOD(D18,1)*100</f>
        <v/>
      </c>
      <c r="F18" s="1611" t="inlineStr">
        <is>
          <t>.</t>
        </is>
      </c>
      <c r="G18" s="1716" t="n">
        <v>23</v>
      </c>
      <c r="H18" s="1631">
        <f>_xlfn.XLOOKUP(Table3[[#This Row],['#]],cityRoutes['#],cityRoutes[city])</f>
        <v/>
      </c>
      <c r="I18" s="1631">
        <f>_xlfn.XLOOKUP(Table3[[#This Row],[city]],ccc[city],ccc[ctry],"-")</f>
        <v/>
      </c>
      <c r="J18" s="1631">
        <f>IF(Table3[[#This Row],[city]]="",0,COUNTIF(routes[[outbound]:[inbound]],Table3[[#This Row],[city]]))</f>
        <v/>
      </c>
      <c r="K18" s="1631">
        <f>_xlfn.XLOOKUP(Table3[[#This Row],['#]],cityRoutes['#],cityRoutes[rpt],"-")</f>
        <v/>
      </c>
      <c r="L18" s="1717">
        <f>_xlfn.XLOOKUP(Table3[[#This Row],['#]],cityRoutes['#],cityRoutes[km],0)</f>
        <v/>
      </c>
      <c r="M18" s="1611" t="inlineStr">
        <is>
          <t>.</t>
        </is>
      </c>
      <c r="N18" s="1716" t="n">
        <v>25</v>
      </c>
      <c r="O18" s="1631">
        <f>_xlfn.XLOOKUP(Table4[[#This Row],['#]],ctries[id],ctries[ctry],"-")</f>
        <v/>
      </c>
      <c r="P18" s="1631">
        <f>SUMIFS(cityRoutes[rpt],cityRoutes[ctry],Table4[[#This Row],[ctry]])</f>
        <v/>
      </c>
      <c r="Q18" s="1718">
        <f>SUMIFS(cityRoutes[km],cityRoutes[ctry],Table4[[#This Row],[ctry]])</f>
        <v/>
      </c>
      <c r="R18" s="1611" t="inlineStr">
        <is>
          <t>.</t>
        </is>
      </c>
      <c r="S18" s="1719" t="n"/>
      <c r="T18" s="1612" t="n"/>
      <c r="U18" s="1611" t="inlineStr">
        <is>
          <t>.</t>
        </is>
      </c>
      <c r="V18" s="1603" t="n"/>
      <c r="W18" s="1603" t="inlineStr">
        <is>
          <t>Swiss Air</t>
        </is>
      </c>
      <c r="X18" s="1611" t="inlineStr">
        <is>
          <t>.</t>
        </is>
      </c>
      <c r="Y18" s="1603" t="inlineStr">
        <is>
          <t>Milan</t>
        </is>
      </c>
      <c r="Z18" s="1603" t="inlineStr">
        <is>
          <t>ITA</t>
        </is>
      </c>
      <c r="AA18" s="1603" t="inlineStr">
        <is>
          <t>Malpensa</t>
        </is>
      </c>
      <c r="AB18" s="1611" t="inlineStr">
        <is>
          <t>.</t>
        </is>
      </c>
    </row>
    <row r="19">
      <c r="A19" s="1673" t="inlineStr">
        <is>
          <t>.</t>
        </is>
      </c>
      <c r="B19" s="1621">
        <f>B18+1</f>
        <v/>
      </c>
      <c r="C19" s="1714">
        <f>SUMIFS(raw[flight],raw[yr],B19)</f>
        <v/>
      </c>
      <c r="D19" s="1715">
        <f>SUM(C$5:C19)</f>
        <v/>
      </c>
      <c r="E19" s="1722">
        <f>INT(D19)+MOD(D19,1)*100</f>
        <v/>
      </c>
      <c r="F19" s="1611" t="inlineStr">
        <is>
          <t>.</t>
        </is>
      </c>
      <c r="G19" s="1716" t="n">
        <v>45</v>
      </c>
      <c r="H19" s="1631">
        <f>_xlfn.XLOOKUP(Table3[[#This Row],['#]],cityRoutes['#],cityRoutes[city])</f>
        <v/>
      </c>
      <c r="I19" s="1631">
        <f>_xlfn.XLOOKUP(Table3[[#This Row],[city]],ccc[city],ccc[ctry],"-")</f>
        <v/>
      </c>
      <c r="J19" s="1631">
        <f>IF(Table3[[#This Row],[city]]="",0,COUNTIF(routes[[outbound]:[inbound]],Table3[[#This Row],[city]]))</f>
        <v/>
      </c>
      <c r="K19" s="1631">
        <f>_xlfn.XLOOKUP(Table3[[#This Row],['#]],cityRoutes['#],cityRoutes[rpt],"-")</f>
        <v/>
      </c>
      <c r="L19" s="1717">
        <f>_xlfn.XLOOKUP(Table3[[#This Row],['#]],cityRoutes['#],cityRoutes[km],0)</f>
        <v/>
      </c>
      <c r="M19" s="1611" t="inlineStr">
        <is>
          <t>.</t>
        </is>
      </c>
      <c r="N19" s="1716" t="n">
        <v>2</v>
      </c>
      <c r="O19" s="1631">
        <f>_xlfn.XLOOKUP(Table4[[#This Row],['#]],ctries[id],ctries[ctry],"-")</f>
        <v/>
      </c>
      <c r="P19" s="1631">
        <f>SUMIFS(cityRoutes[rpt],cityRoutes[ctry],Table4[[#This Row],[ctry]])</f>
        <v/>
      </c>
      <c r="Q19" s="1718">
        <f>SUMIFS(cityRoutes[km],cityRoutes[ctry],Table4[[#This Row],[ctry]])</f>
        <v/>
      </c>
      <c r="R19" s="1611" t="inlineStr">
        <is>
          <t>.</t>
        </is>
      </c>
      <c r="S19" s="1719" t="n"/>
      <c r="T19" s="1612" t="n"/>
      <c r="U19" s="1611" t="inlineStr">
        <is>
          <t>.</t>
        </is>
      </c>
      <c r="V19" s="1603" t="n"/>
      <c r="W19" s="1603" t="inlineStr">
        <is>
          <t>Tap</t>
        </is>
      </c>
      <c r="X19" s="1611" t="inlineStr">
        <is>
          <t>.</t>
        </is>
      </c>
      <c r="Y19" s="1603" t="inlineStr">
        <is>
          <t>Roma</t>
        </is>
      </c>
      <c r="Z19" s="1603" t="inlineStr">
        <is>
          <t>ITA</t>
        </is>
      </c>
      <c r="AA19" s="1603" t="inlineStr">
        <is>
          <t>Fiumicino</t>
        </is>
      </c>
      <c r="AB19" s="1611" t="inlineStr">
        <is>
          <t>.</t>
        </is>
      </c>
    </row>
    <row r="20">
      <c r="A20" s="1677" t="inlineStr">
        <is>
          <t>.</t>
        </is>
      </c>
      <c r="B20" s="1616">
        <f>B19+1</f>
        <v/>
      </c>
      <c r="C20" s="1720">
        <f>SUMIFS(raw[flight],raw[yr],B20)</f>
        <v/>
      </c>
      <c r="D20" s="1721">
        <f>SUM(C$5:C20)</f>
        <v/>
      </c>
      <c r="E20" s="1610">
        <f>INT(D20)+MOD(D20,1)*100</f>
        <v/>
      </c>
      <c r="F20" s="1611" t="inlineStr">
        <is>
          <t>.</t>
        </is>
      </c>
      <c r="G20" s="1716" t="n">
        <v>6</v>
      </c>
      <c r="H20" s="1631">
        <f>_xlfn.XLOOKUP(Table3[[#This Row],['#]],cityRoutes['#],cityRoutes[city])</f>
        <v/>
      </c>
      <c r="I20" s="1631">
        <f>_xlfn.XLOOKUP(Table3[[#This Row],[city]],ccc[city],ccc[ctry],"-")</f>
        <v/>
      </c>
      <c r="J20" s="1631">
        <f>IF(Table3[[#This Row],[city]]="",0,COUNTIF(routes[[outbound]:[inbound]],Table3[[#This Row],[city]]))</f>
        <v/>
      </c>
      <c r="K20" s="1631">
        <f>_xlfn.XLOOKUP(Table3[[#This Row],['#]],cityRoutes['#],cityRoutes[rpt],"-")</f>
        <v/>
      </c>
      <c r="L20" s="1717">
        <f>_xlfn.XLOOKUP(Table3[[#This Row],['#]],cityRoutes['#],cityRoutes[km],0)</f>
        <v/>
      </c>
      <c r="M20" s="1611" t="inlineStr">
        <is>
          <t>.</t>
        </is>
      </c>
      <c r="N20" s="1716" t="n">
        <v>18</v>
      </c>
      <c r="O20" s="1631">
        <f>_xlfn.XLOOKUP(Table4[[#This Row],['#]],ctries[id],ctries[ctry],"-")</f>
        <v/>
      </c>
      <c r="P20" s="1631">
        <f>SUMIFS(cityRoutes[rpt],cityRoutes[ctry],Table4[[#This Row],[ctry]])</f>
        <v/>
      </c>
      <c r="Q20" s="1718">
        <f>SUMIFS(cityRoutes[km],cityRoutes[ctry],Table4[[#This Row],[ctry]])</f>
        <v/>
      </c>
      <c r="R20" s="1611" t="inlineStr">
        <is>
          <t>.</t>
        </is>
      </c>
      <c r="S20" s="1719" t="n"/>
      <c r="T20" s="1612" t="n"/>
      <c r="U20" s="1611" t="inlineStr">
        <is>
          <t>.</t>
        </is>
      </c>
      <c r="V20" s="1603" t="n"/>
      <c r="W20" s="1603" t="inlineStr">
        <is>
          <t>United Airlines</t>
        </is>
      </c>
      <c r="X20" s="1611" t="inlineStr">
        <is>
          <t>.</t>
        </is>
      </c>
      <c r="Y20" s="1603" t="inlineStr">
        <is>
          <t>Roma</t>
        </is>
      </c>
      <c r="Z20" s="1603" t="inlineStr">
        <is>
          <t>ITA</t>
        </is>
      </c>
      <c r="AA20" s="1603" t="inlineStr">
        <is>
          <t>Ciampino</t>
        </is>
      </c>
      <c r="AB20" s="1611" t="inlineStr">
        <is>
          <t>.</t>
        </is>
      </c>
    </row>
    <row r="21">
      <c r="A21" s="1673" t="inlineStr">
        <is>
          <t>.</t>
        </is>
      </c>
      <c r="B21" s="1621">
        <f>B20+1</f>
        <v/>
      </c>
      <c r="C21" s="1714">
        <f>SUMIFS(raw[flight],raw[yr],B21)</f>
        <v/>
      </c>
      <c r="D21" s="1715">
        <f>SUM(C$5:C21)</f>
        <v/>
      </c>
      <c r="E21" s="1610">
        <f>INT(D21)+MOD(D21,1)*100</f>
        <v/>
      </c>
      <c r="F21" s="1611" t="inlineStr">
        <is>
          <t>.</t>
        </is>
      </c>
      <c r="G21" s="1716" t="n">
        <v>13</v>
      </c>
      <c r="H21" s="1631">
        <f>_xlfn.XLOOKUP(Table3[[#This Row],['#]],cityRoutes['#],cityRoutes[city])</f>
        <v/>
      </c>
      <c r="I21" s="1631">
        <f>_xlfn.XLOOKUP(Table3[[#This Row],[city]],ccc[city],ccc[ctry],"-")</f>
        <v/>
      </c>
      <c r="J21" s="1631">
        <f>IF(Table3[[#This Row],[city]]="",0,COUNTIF(routes[[outbound]:[inbound]],Table3[[#This Row],[city]]))</f>
        <v/>
      </c>
      <c r="K21" s="1631">
        <f>_xlfn.XLOOKUP(Table3[[#This Row],['#]],cityRoutes['#],cityRoutes[rpt],"-")</f>
        <v/>
      </c>
      <c r="L21" s="1717">
        <f>_xlfn.XLOOKUP(Table3[[#This Row],['#]],cityRoutes['#],cityRoutes[km],0)</f>
        <v/>
      </c>
      <c r="M21" s="1611" t="inlineStr">
        <is>
          <t>.</t>
        </is>
      </c>
      <c r="N21" s="1716" t="n">
        <v>9</v>
      </c>
      <c r="O21" s="1631">
        <f>_xlfn.XLOOKUP(Table4[[#This Row],['#]],ctries[id],ctries[ctry],"-")</f>
        <v/>
      </c>
      <c r="P21" s="1631">
        <f>SUMIFS(cityRoutes[rpt],cityRoutes[ctry],Table4[[#This Row],[ctry]])</f>
        <v/>
      </c>
      <c r="Q21" s="1718">
        <f>SUMIFS(cityRoutes[km],cityRoutes[ctry],Table4[[#This Row],[ctry]])</f>
        <v/>
      </c>
      <c r="R21" s="1611" t="inlineStr">
        <is>
          <t>.</t>
        </is>
      </c>
      <c r="S21" s="1719" t="n"/>
      <c r="T21" s="1612" t="n"/>
      <c r="U21" s="1611" t="inlineStr">
        <is>
          <t>.</t>
        </is>
      </c>
      <c r="V21" s="1603" t="n"/>
      <c r="W21" s="1603" t="inlineStr">
        <is>
          <t>US Airways ?</t>
        </is>
      </c>
      <c r="X21" s="1611" t="inlineStr">
        <is>
          <t>.</t>
        </is>
      </c>
      <c r="Y21" s="1603" t="inlineStr">
        <is>
          <t>Venice</t>
        </is>
      </c>
      <c r="Z21" s="1603" t="inlineStr">
        <is>
          <t>ITA</t>
        </is>
      </c>
      <c r="AA21" s="1603" t="inlineStr">
        <is>
          <t>Treviso</t>
        </is>
      </c>
      <c r="AB21" s="1611" t="inlineStr">
        <is>
          <t>.</t>
        </is>
      </c>
    </row>
    <row r="22">
      <c r="A22" s="1677" t="inlineStr">
        <is>
          <t>.</t>
        </is>
      </c>
      <c r="B22" s="1616">
        <f>B21+1</f>
        <v/>
      </c>
      <c r="C22" s="1720">
        <f>SUMIFS(raw[flight],raw[yr],B22)</f>
        <v/>
      </c>
      <c r="D22" s="1721">
        <f>SUM(C$5:C22)</f>
        <v/>
      </c>
      <c r="E22" s="1610">
        <f>INT(D22)+MOD(D22,1)*100</f>
        <v/>
      </c>
      <c r="F22" s="1611" t="inlineStr">
        <is>
          <t>.</t>
        </is>
      </c>
      <c r="G22" s="1716" t="n">
        <v>46</v>
      </c>
      <c r="H22" s="1631">
        <f>_xlfn.XLOOKUP(Table3[[#This Row],['#]],cityRoutes['#],cityRoutes[city])</f>
        <v/>
      </c>
      <c r="I22" s="1631">
        <f>_xlfn.XLOOKUP(Table3[[#This Row],[city]],ccc[city],ccc[ctry],"-")</f>
        <v/>
      </c>
      <c r="J22" s="1631">
        <f>IF(Table3[[#This Row],[city]]="",0,COUNTIF(routes[[outbound]:[inbound]],Table3[[#This Row],[city]]))</f>
        <v/>
      </c>
      <c r="K22" s="1631">
        <f>_xlfn.XLOOKUP(Table3[[#This Row],['#]],cityRoutes['#],cityRoutes[rpt],"-")</f>
        <v/>
      </c>
      <c r="L22" s="1717">
        <f>_xlfn.XLOOKUP(Table3[[#This Row],['#]],cityRoutes['#],cityRoutes[km],0)</f>
        <v/>
      </c>
      <c r="M22" s="1611" t="inlineStr">
        <is>
          <t>.</t>
        </is>
      </c>
      <c r="N22" s="1716" t="n">
        <v>14</v>
      </c>
      <c r="O22" s="1631">
        <f>_xlfn.XLOOKUP(Table4[[#This Row],['#]],ctries[id],ctries[ctry],"-")</f>
        <v/>
      </c>
      <c r="P22" s="1631">
        <f>SUMIFS(cityRoutes[rpt],cityRoutes[ctry],Table4[[#This Row],[ctry]])</f>
        <v/>
      </c>
      <c r="Q22" s="1718">
        <f>SUMIFS(cityRoutes[km],cityRoutes[ctry],Table4[[#This Row],[ctry]])</f>
        <v/>
      </c>
      <c r="R22" s="1611" t="inlineStr">
        <is>
          <t>.</t>
        </is>
      </c>
      <c r="S22" s="1719" t="n"/>
      <c r="T22" s="1612" t="n"/>
      <c r="U22" s="1611" t="inlineStr">
        <is>
          <t>.</t>
        </is>
      </c>
      <c r="V22" s="1603" t="n"/>
      <c r="W22" s="1603" t="inlineStr">
        <is>
          <t>WestJet</t>
        </is>
      </c>
      <c r="X22" s="1611" t="inlineStr">
        <is>
          <t>.</t>
        </is>
      </c>
      <c r="Y22" s="1603" t="inlineStr">
        <is>
          <t>Venice</t>
        </is>
      </c>
      <c r="Z22" s="1603" t="inlineStr">
        <is>
          <t>ITA</t>
        </is>
      </c>
      <c r="AA22" s="1603" t="inlineStr">
        <is>
          <t xml:space="preserve">Marco Polo </t>
        </is>
      </c>
      <c r="AB22" s="1611" t="inlineStr">
        <is>
          <t>.</t>
        </is>
      </c>
    </row>
    <row r="23">
      <c r="A23" s="1673" t="inlineStr">
        <is>
          <t>.</t>
        </is>
      </c>
      <c r="B23" s="1621">
        <f>B22+1</f>
        <v/>
      </c>
      <c r="C23" s="1714">
        <f>SUMIFS(raw[flight],raw[yr],B23)</f>
        <v/>
      </c>
      <c r="D23" s="1715">
        <f>SUM(C$5:C23)</f>
        <v/>
      </c>
      <c r="E23" s="1610">
        <f>INT(D23)+MOD(D23,1)*100</f>
        <v/>
      </c>
      <c r="F23" s="1611" t="inlineStr">
        <is>
          <t>.</t>
        </is>
      </c>
      <c r="G23" s="1716" t="n">
        <v>11</v>
      </c>
      <c r="H23" s="1631">
        <f>_xlfn.XLOOKUP(Table3[[#This Row],['#]],cityRoutes['#],cityRoutes[city])</f>
        <v/>
      </c>
      <c r="I23" s="1631">
        <f>_xlfn.XLOOKUP(Table3[[#This Row],[city]],ccc[city],ccc[ctry],"-")</f>
        <v/>
      </c>
      <c r="J23" s="1631">
        <f>IF(Table3[[#This Row],[city]]="",0,COUNTIF(routes[[outbound]:[inbound]],Table3[[#This Row],[city]]))</f>
        <v/>
      </c>
      <c r="K23" s="1631">
        <f>_xlfn.XLOOKUP(Table3[[#This Row],['#]],cityRoutes['#],cityRoutes[rpt],"-")</f>
        <v/>
      </c>
      <c r="L23" s="1717">
        <f>_xlfn.XLOOKUP(Table3[[#This Row],['#]],cityRoutes['#],cityRoutes[km],0)</f>
        <v/>
      </c>
      <c r="M23" s="1611" t="inlineStr">
        <is>
          <t>.</t>
        </is>
      </c>
      <c r="N23" s="1716" t="n">
        <v>24</v>
      </c>
      <c r="O23" s="1631">
        <f>_xlfn.XLOOKUP(Table4[[#This Row],['#]],ctries[id],ctries[ctry],"-")</f>
        <v/>
      </c>
      <c r="P23" s="1631">
        <f>SUMIFS(cityRoutes[rpt],cityRoutes[ctry],Table4[[#This Row],[ctry]])</f>
        <v/>
      </c>
      <c r="Q23" s="1718">
        <f>SUMIFS(cityRoutes[km],cityRoutes[ctry],Table4[[#This Row],[ctry]])</f>
        <v/>
      </c>
      <c r="R23" s="1611" t="inlineStr">
        <is>
          <t>.</t>
        </is>
      </c>
      <c r="S23" s="1719" t="n"/>
      <c r="T23" s="1612" t="n"/>
      <c r="U23" s="1611" t="inlineStr">
        <is>
          <t>.</t>
        </is>
      </c>
      <c r="V23" s="1603" t="n"/>
      <c r="W23" s="1603" t="inlineStr">
        <is>
          <t>Wizz Air</t>
        </is>
      </c>
      <c r="X23" s="1611" t="inlineStr">
        <is>
          <t>.</t>
        </is>
      </c>
      <c r="Y23" s="1603" t="inlineStr">
        <is>
          <t>London</t>
        </is>
      </c>
      <c r="Z23" s="1603" t="inlineStr">
        <is>
          <t>UK</t>
        </is>
      </c>
      <c r="AA23" s="1603" t="inlineStr">
        <is>
          <t>Heathrow</t>
        </is>
      </c>
      <c r="AB23" s="1611" t="inlineStr">
        <is>
          <t>.</t>
        </is>
      </c>
    </row>
    <row r="24">
      <c r="A24" s="1677" t="inlineStr">
        <is>
          <t>.</t>
        </is>
      </c>
      <c r="B24" s="1616">
        <f>B23+1</f>
        <v/>
      </c>
      <c r="C24" s="1720">
        <f>SUMIFS(raw[flight],raw[yr],B24)</f>
        <v/>
      </c>
      <c r="D24" s="1721">
        <f>SUM(C$5:C24)</f>
        <v/>
      </c>
      <c r="E24" s="1610">
        <f>INT(D24)+MOD(D24,1)*100</f>
        <v/>
      </c>
      <c r="F24" s="1611" t="inlineStr">
        <is>
          <t>.</t>
        </is>
      </c>
      <c r="G24" s="1716" t="n">
        <v>32</v>
      </c>
      <c r="H24" s="1631">
        <f>_xlfn.XLOOKUP(Table3[[#This Row],['#]],cityRoutes['#],cityRoutes[city])</f>
        <v/>
      </c>
      <c r="I24" s="1631">
        <f>_xlfn.XLOOKUP(Table3[[#This Row],[city]],ccc[city],ccc[ctry],"-")</f>
        <v/>
      </c>
      <c r="J24" s="1631">
        <f>IF(Table3[[#This Row],[city]]="",0,COUNTIF(routes[[outbound]:[inbound]],Table3[[#This Row],[city]]))</f>
        <v/>
      </c>
      <c r="K24" s="1631">
        <f>_xlfn.XLOOKUP(Table3[[#This Row],['#]],cityRoutes['#],cityRoutes[rpt],"-")</f>
        <v/>
      </c>
      <c r="L24" s="1717">
        <f>_xlfn.XLOOKUP(Table3[[#This Row],['#]],cityRoutes['#],cityRoutes[km],0)</f>
        <v/>
      </c>
      <c r="M24" s="1611" t="inlineStr">
        <is>
          <t>.</t>
        </is>
      </c>
      <c r="N24" s="1716" t="n">
        <v>20</v>
      </c>
      <c r="O24" s="1631">
        <f>_xlfn.XLOOKUP(Table4[[#This Row],['#]],ctries[id],ctries[ctry],"-")</f>
        <v/>
      </c>
      <c r="P24" s="1631">
        <f>SUMIFS(cityRoutes[rpt],cityRoutes[ctry],Table4[[#This Row],[ctry]])</f>
        <v/>
      </c>
      <c r="Q24" s="1718">
        <f>SUMIFS(cityRoutes[km],cityRoutes[ctry],Table4[[#This Row],[ctry]])</f>
        <v/>
      </c>
      <c r="R24" s="1611" t="inlineStr">
        <is>
          <t>.</t>
        </is>
      </c>
      <c r="S24" s="1719" t="n"/>
      <c r="T24" s="1612" t="n"/>
      <c r="U24" s="1611" t="inlineStr">
        <is>
          <t>.</t>
        </is>
      </c>
      <c r="V24" s="1603" t="n"/>
      <c r="W24" s="1603" t="inlineStr">
        <is>
          <t>Copa</t>
        </is>
      </c>
      <c r="X24" s="1611" t="inlineStr">
        <is>
          <t>.</t>
        </is>
      </c>
      <c r="Y24" s="1603" t="inlineStr">
        <is>
          <t>London</t>
        </is>
      </c>
      <c r="Z24" s="1603" t="inlineStr">
        <is>
          <t>UK</t>
        </is>
      </c>
      <c r="AA24" s="1603" t="inlineStr">
        <is>
          <t>Gatwick</t>
        </is>
      </c>
      <c r="AB24" s="1611" t="inlineStr">
        <is>
          <t>.</t>
        </is>
      </c>
    </row>
    <row r="25">
      <c r="A25" s="1673" t="inlineStr">
        <is>
          <t>.</t>
        </is>
      </c>
      <c r="B25" s="1621">
        <f>B24+1</f>
        <v/>
      </c>
      <c r="C25" s="1714">
        <f>SUMIFS(raw[flight],raw[yr],B25)</f>
        <v/>
      </c>
      <c r="D25" s="1715">
        <f>SUM(C$5:C25)</f>
        <v/>
      </c>
      <c r="E25" s="1610">
        <f>INT(D25)+MOD(D25,1)*100</f>
        <v/>
      </c>
      <c r="F25" s="1611" t="inlineStr">
        <is>
          <t>.</t>
        </is>
      </c>
      <c r="G25" s="1716" t="n">
        <v>53</v>
      </c>
      <c r="H25" s="1631">
        <f>_xlfn.XLOOKUP(Table3[[#This Row],['#]],cityRoutes['#],cityRoutes[city])</f>
        <v/>
      </c>
      <c r="I25" s="1631">
        <f>_xlfn.XLOOKUP(Table3[[#This Row],[city]],ccc[city],ccc[ctry],"-")</f>
        <v/>
      </c>
      <c r="J25" s="1631">
        <f>IF(Table3[[#This Row],[city]]="",0,COUNTIF(routes[[outbound]:[inbound]],Table3[[#This Row],[city]]))</f>
        <v/>
      </c>
      <c r="K25" s="1631">
        <f>_xlfn.XLOOKUP(Table3[[#This Row],['#]],cityRoutes['#],cityRoutes[rpt],"-")</f>
        <v/>
      </c>
      <c r="L25" s="1717">
        <f>_xlfn.XLOOKUP(Table3[[#This Row],['#]],cityRoutes['#],cityRoutes[km],0)</f>
        <v/>
      </c>
      <c r="M25" s="1611" t="inlineStr">
        <is>
          <t>.</t>
        </is>
      </c>
      <c r="N25" s="1716" t="n">
        <v>15</v>
      </c>
      <c r="O25" s="1631">
        <f>_xlfn.XLOOKUP(Table4[[#This Row],['#]],ctries[id],ctries[ctry],"-")</f>
        <v/>
      </c>
      <c r="P25" s="1631">
        <f>SUMIFS(cityRoutes[rpt],cityRoutes[ctry],Table4[[#This Row],[ctry]])</f>
        <v/>
      </c>
      <c r="Q25" s="1718">
        <f>SUMIFS(cityRoutes[km],cityRoutes[ctry],Table4[[#This Row],[ctry]])</f>
        <v/>
      </c>
      <c r="R25" s="1611" t="inlineStr">
        <is>
          <t>.</t>
        </is>
      </c>
      <c r="S25" s="1719" t="n"/>
      <c r="T25" s="1612" t="n"/>
      <c r="U25" s="1611" t="inlineStr">
        <is>
          <t>.</t>
        </is>
      </c>
      <c r="V25" s="1603" t="n"/>
      <c r="W25" s="1603" t="inlineStr">
        <is>
          <t>KLM</t>
        </is>
      </c>
      <c r="X25" s="1611" t="inlineStr">
        <is>
          <t>.</t>
        </is>
      </c>
      <c r="Y25" s="1603" t="inlineStr">
        <is>
          <t>London</t>
        </is>
      </c>
      <c r="Z25" s="1603" t="inlineStr">
        <is>
          <t>UK</t>
        </is>
      </c>
      <c r="AA25" s="1603" t="inlineStr">
        <is>
          <t>Luton</t>
        </is>
      </c>
      <c r="AB25" s="1611" t="inlineStr">
        <is>
          <t>.</t>
        </is>
      </c>
    </row>
    <row r="26">
      <c r="A26" s="1677" t="inlineStr">
        <is>
          <t>.</t>
        </is>
      </c>
      <c r="B26" s="1616">
        <f>B25+1</f>
        <v/>
      </c>
      <c r="C26" s="1720">
        <f>SUMIFS(raw[flight],raw[yr],B26)</f>
        <v/>
      </c>
      <c r="D26" s="1721">
        <f>SUM(C$5:C26)</f>
        <v/>
      </c>
      <c r="E26" s="1610">
        <f>INT(D26)+MOD(D26,1)*100</f>
        <v/>
      </c>
      <c r="F26" s="1611" t="inlineStr">
        <is>
          <t>.</t>
        </is>
      </c>
      <c r="G26" s="1716" t="n">
        <v>25</v>
      </c>
      <c r="H26" s="1631">
        <f>_xlfn.XLOOKUP(Table3[[#This Row],['#]],cityRoutes['#],cityRoutes[city])</f>
        <v/>
      </c>
      <c r="I26" s="1631">
        <f>_xlfn.XLOOKUP(Table3[[#This Row],[city]],ccc[city],ccc[ctry],"-")</f>
        <v/>
      </c>
      <c r="J26" s="1631">
        <f>IF(Table3[[#This Row],[city]]="",0,COUNTIF(routes[[outbound]:[inbound]],Table3[[#This Row],[city]]))</f>
        <v/>
      </c>
      <c r="K26" s="1631">
        <f>_xlfn.XLOOKUP(Table3[[#This Row],['#]],cityRoutes['#],cityRoutes[rpt],"-")</f>
        <v/>
      </c>
      <c r="L26" s="1717">
        <f>_xlfn.XLOOKUP(Table3[[#This Row],['#]],cityRoutes['#],cityRoutes[km],0)</f>
        <v/>
      </c>
      <c r="M26" s="1611" t="inlineStr">
        <is>
          <t>.</t>
        </is>
      </c>
      <c r="N26" s="1716" t="n">
        <v>21</v>
      </c>
      <c r="O26" s="1631">
        <f>_xlfn.XLOOKUP(Table4[[#This Row],['#]],ctries[id],ctries[ctry],"-")</f>
        <v/>
      </c>
      <c r="P26" s="1631">
        <f>SUMIFS(cityRoutes[rpt],cityRoutes[ctry],Table4[[#This Row],[ctry]])</f>
        <v/>
      </c>
      <c r="Q26" s="1718">
        <f>SUMIFS(cityRoutes[km],cityRoutes[ctry],Table4[[#This Row],[ctry]])</f>
        <v/>
      </c>
      <c r="R26" s="1611" t="inlineStr">
        <is>
          <t>.</t>
        </is>
      </c>
      <c r="S26" s="1719" t="n"/>
      <c r="T26" s="1612" t="n"/>
      <c r="U26" s="1611" t="inlineStr">
        <is>
          <t>.</t>
        </is>
      </c>
      <c r="V26" s="1603" t="n"/>
      <c r="W26" s="1603" t="n"/>
      <c r="X26" s="1611" t="inlineStr">
        <is>
          <t>.</t>
        </is>
      </c>
      <c r="Y26" s="1603" t="inlineStr">
        <is>
          <t>London</t>
        </is>
      </c>
      <c r="Z26" s="1603" t="inlineStr">
        <is>
          <t>UK</t>
        </is>
      </c>
      <c r="AA26" s="1603" t="inlineStr">
        <is>
          <t>Stanted</t>
        </is>
      </c>
      <c r="AB26" s="1611" t="inlineStr">
        <is>
          <t>.</t>
        </is>
      </c>
    </row>
    <row r="27">
      <c r="A27" s="1673" t="inlineStr">
        <is>
          <t>.</t>
        </is>
      </c>
      <c r="B27" s="1621">
        <f>B26+1</f>
        <v/>
      </c>
      <c r="C27" s="1714">
        <f>SUMIFS(raw[flight],raw[yr],B27)</f>
        <v/>
      </c>
      <c r="D27" s="1715">
        <f>SUM(C$5:C27)</f>
        <v/>
      </c>
      <c r="E27" s="1722">
        <f>INT(D27)+MOD(D27,1)*100</f>
        <v/>
      </c>
      <c r="F27" s="1611" t="inlineStr">
        <is>
          <t>.</t>
        </is>
      </c>
      <c r="G27" s="1716" t="n">
        <v>4</v>
      </c>
      <c r="H27" s="1631">
        <f>_xlfn.XLOOKUP(Table3[[#This Row],['#]],cityRoutes['#],cityRoutes[city])</f>
        <v/>
      </c>
      <c r="I27" s="1631">
        <f>_xlfn.XLOOKUP(Table3[[#This Row],[city]],ccc[city],ccc[ctry],"-")</f>
        <v/>
      </c>
      <c r="J27" s="1631">
        <f>IF(Table3[[#This Row],[city]]="",0,COUNTIF(routes[[outbound]:[inbound]],Table3[[#This Row],[city]]))</f>
        <v/>
      </c>
      <c r="K27" s="1631">
        <f>_xlfn.XLOOKUP(Table3[[#This Row],['#]],cityRoutes['#],cityRoutes[rpt],"-")</f>
        <v/>
      </c>
      <c r="L27" s="1717">
        <f>_xlfn.XLOOKUP(Table3[[#This Row],['#]],cityRoutes['#],cityRoutes[km],0)</f>
        <v/>
      </c>
      <c r="M27" s="1611" t="inlineStr">
        <is>
          <t>.</t>
        </is>
      </c>
      <c r="N27" s="1716" t="n">
        <v>29</v>
      </c>
      <c r="O27" s="1631">
        <f>_xlfn.XLOOKUP(Table4[[#This Row],['#]],ctries[id],ctries[ctry],"-")</f>
        <v/>
      </c>
      <c r="P27" s="1631">
        <f>SUMIFS(cityRoutes[rpt],cityRoutes[ctry],Table4[[#This Row],[ctry]])</f>
        <v/>
      </c>
      <c r="Q27" s="1718">
        <f>SUMIFS(cityRoutes[km],cityRoutes[ctry],Table4[[#This Row],[ctry]])</f>
        <v/>
      </c>
      <c r="R27" s="1611" t="inlineStr">
        <is>
          <t>.</t>
        </is>
      </c>
      <c r="S27" s="1719" t="n"/>
      <c r="T27" s="1612" t="n"/>
      <c r="U27" s="1611" t="inlineStr">
        <is>
          <t>.</t>
        </is>
      </c>
      <c r="V27" s="1603" t="n"/>
      <c r="W27" s="1603" t="n"/>
      <c r="X27" s="1611" t="inlineStr">
        <is>
          <t>.</t>
        </is>
      </c>
      <c r="Y27" s="1603" t="inlineStr">
        <is>
          <t>NYC</t>
        </is>
      </c>
      <c r="Z27" s="1603" t="inlineStr">
        <is>
          <t>USA</t>
        </is>
      </c>
      <c r="AA27" s="1603" t="inlineStr">
        <is>
          <t>JFK</t>
        </is>
      </c>
      <c r="AB27" s="1611" t="inlineStr">
        <is>
          <t>.</t>
        </is>
      </c>
    </row>
    <row r="28">
      <c r="A28" s="1677" t="inlineStr">
        <is>
          <t>.</t>
        </is>
      </c>
      <c r="B28" s="1616">
        <f>B27+1</f>
        <v/>
      </c>
      <c r="C28" s="1720">
        <f>SUMIFS(raw[flight],raw[yr],B28)</f>
        <v/>
      </c>
      <c r="D28" s="1721">
        <f>SUM(C$5:C28)</f>
        <v/>
      </c>
      <c r="E28" s="1610">
        <f>INT(D28)+MOD(D28,1)*100</f>
        <v/>
      </c>
      <c r="F28" s="1611" t="inlineStr">
        <is>
          <t>.</t>
        </is>
      </c>
      <c r="G28" s="1716" t="n">
        <v>24</v>
      </c>
      <c r="H28" s="1631">
        <f>_xlfn.XLOOKUP(Table3[[#This Row],['#]],cityRoutes['#],cityRoutes[city])</f>
        <v/>
      </c>
      <c r="I28" s="1631">
        <f>_xlfn.XLOOKUP(Table3[[#This Row],[city]],ccc[city],ccc[ctry],"-")</f>
        <v/>
      </c>
      <c r="J28" s="1631">
        <f>IF(Table3[[#This Row],[city]]="",0,COUNTIF(routes[[outbound]:[inbound]],Table3[[#This Row],[city]]))</f>
        <v/>
      </c>
      <c r="K28" s="1631">
        <f>_xlfn.XLOOKUP(Table3[[#This Row],['#]],cityRoutes['#],cityRoutes[rpt],"-")</f>
        <v/>
      </c>
      <c r="L28" s="1717">
        <f>_xlfn.XLOOKUP(Table3[[#This Row],['#]],cityRoutes['#],cityRoutes[km],0)</f>
        <v/>
      </c>
      <c r="M28" s="1611" t="inlineStr">
        <is>
          <t>.</t>
        </is>
      </c>
      <c r="N28" s="1716" t="n">
        <v>27</v>
      </c>
      <c r="O28" s="1631">
        <f>_xlfn.XLOOKUP(Table4[[#This Row],['#]],ctries[id],ctries[ctry],"-")</f>
        <v/>
      </c>
      <c r="P28" s="1631">
        <f>SUMIFS(cityRoutes[rpt],cityRoutes[ctry],Table4[[#This Row],[ctry]])</f>
        <v/>
      </c>
      <c r="Q28" s="1718">
        <f>SUMIFS(cityRoutes[km],cityRoutes[ctry],Table4[[#This Row],[ctry]])</f>
        <v/>
      </c>
      <c r="R28" s="1611" t="inlineStr">
        <is>
          <t>.</t>
        </is>
      </c>
      <c r="S28" s="1719" t="n"/>
      <c r="T28" s="1612" t="n"/>
      <c r="U28" s="1611" t="inlineStr">
        <is>
          <t>.</t>
        </is>
      </c>
      <c r="V28" s="1603" t="n"/>
      <c r="W28" s="1603" t="n"/>
      <c r="X28" s="1611" t="inlineStr">
        <is>
          <t>.</t>
        </is>
      </c>
      <c r="Y28" s="1603" t="inlineStr">
        <is>
          <t>NYC</t>
        </is>
      </c>
      <c r="Z28" s="1603" t="inlineStr">
        <is>
          <t>USA</t>
        </is>
      </c>
      <c r="AA28" s="1603" t="inlineStr">
        <is>
          <t>La Guardia</t>
        </is>
      </c>
      <c r="AB28" s="1611" t="inlineStr">
        <is>
          <t>.</t>
        </is>
      </c>
    </row>
    <row r="29">
      <c r="A29" s="1673" t="inlineStr">
        <is>
          <t>.</t>
        </is>
      </c>
      <c r="B29" s="1621">
        <f>B28+1</f>
        <v/>
      </c>
      <c r="C29" s="1714">
        <f>SUMIFS(raw[flight],raw[yr],B29)</f>
        <v/>
      </c>
      <c r="D29" s="1715">
        <f>SUM(C$5:C29)</f>
        <v/>
      </c>
      <c r="E29" s="1610">
        <f>INT(D29)+MOD(D29,1)*100</f>
        <v/>
      </c>
      <c r="F29" s="1611" t="inlineStr">
        <is>
          <t>.</t>
        </is>
      </c>
      <c r="G29" s="1716" t="n">
        <v>38</v>
      </c>
      <c r="H29" s="1631">
        <f>_xlfn.XLOOKUP(Table3[[#This Row],['#]],cityRoutes['#],cityRoutes[city])</f>
        <v/>
      </c>
      <c r="I29" s="1631">
        <f>_xlfn.XLOOKUP(Table3[[#This Row],[city]],ccc[city],ccc[ctry],"-")</f>
        <v/>
      </c>
      <c r="J29" s="1631">
        <f>IF(Table3[[#This Row],[city]]="",0,COUNTIF(routes[[outbound]:[inbound]],Table3[[#This Row],[city]]))</f>
        <v/>
      </c>
      <c r="K29" s="1631">
        <f>_xlfn.XLOOKUP(Table3[[#This Row],['#]],cityRoutes['#],cityRoutes[rpt],"-")</f>
        <v/>
      </c>
      <c r="L29" s="1717">
        <f>_xlfn.XLOOKUP(Table3[[#This Row],['#]],cityRoutes['#],cityRoutes[km],0)</f>
        <v/>
      </c>
      <c r="M29" s="1611" t="inlineStr">
        <is>
          <t>.</t>
        </is>
      </c>
      <c r="N29" s="1716" t="n">
        <v>13</v>
      </c>
      <c r="O29" s="1631">
        <f>_xlfn.XLOOKUP(Table4[[#This Row],['#]],ctries[id],ctries[ctry],"-")</f>
        <v/>
      </c>
      <c r="P29" s="1631">
        <f>SUMIFS(cityRoutes[rpt],cityRoutes[ctry],Table4[[#This Row],[ctry]])</f>
        <v/>
      </c>
      <c r="Q29" s="1718">
        <f>SUMIFS(cityRoutes[km],cityRoutes[ctry],Table4[[#This Row],[ctry]])</f>
        <v/>
      </c>
      <c r="R29" s="1611" t="inlineStr">
        <is>
          <t>.</t>
        </is>
      </c>
      <c r="S29" s="1719" t="n"/>
      <c r="T29" s="1612" t="n"/>
      <c r="U29" s="1611" t="inlineStr">
        <is>
          <t>.</t>
        </is>
      </c>
      <c r="V29" s="1611" t="inlineStr">
        <is>
          <t>.</t>
        </is>
      </c>
      <c r="W29" s="1611" t="inlineStr">
        <is>
          <t>.</t>
        </is>
      </c>
      <c r="X29" s="1611" t="inlineStr">
        <is>
          <t>.</t>
        </is>
      </c>
      <c r="Y29" s="1611" t="inlineStr">
        <is>
          <t>.</t>
        </is>
      </c>
      <c r="Z29" s="1611" t="inlineStr">
        <is>
          <t>.</t>
        </is>
      </c>
      <c r="AA29" s="1611" t="inlineStr">
        <is>
          <t>.</t>
        </is>
      </c>
      <c r="AB29" s="1611" t="inlineStr">
        <is>
          <t>.</t>
        </is>
      </c>
    </row>
    <row r="30">
      <c r="A30" s="1677" t="inlineStr">
        <is>
          <t>.</t>
        </is>
      </c>
      <c r="B30" s="1616">
        <f>B29+1</f>
        <v/>
      </c>
      <c r="C30" s="1720">
        <f>SUMIFS(raw[flight],raw[yr],B30)</f>
        <v/>
      </c>
      <c r="D30" s="1721">
        <f>SUM(C$5:C30)</f>
        <v/>
      </c>
      <c r="E30" s="1610">
        <f>INT(D30)+MOD(D30,1)*100</f>
        <v/>
      </c>
      <c r="F30" s="1611" t="inlineStr">
        <is>
          <t>.</t>
        </is>
      </c>
      <c r="G30" s="1716" t="n">
        <v>49</v>
      </c>
      <c r="H30" s="1631">
        <f>_xlfn.XLOOKUP(Table3[[#This Row],['#]],cityRoutes['#],cityRoutes[city])</f>
        <v/>
      </c>
      <c r="I30" s="1631">
        <f>_xlfn.XLOOKUP(Table3[[#This Row],[city]],ccc[city],ccc[ctry],"-")</f>
        <v/>
      </c>
      <c r="J30" s="1631">
        <f>IF(Table3[[#This Row],[city]]="",0,COUNTIF(routes[[outbound]:[inbound]],Table3[[#This Row],[city]]))</f>
        <v/>
      </c>
      <c r="K30" s="1631">
        <f>_xlfn.XLOOKUP(Table3[[#This Row],['#]],cityRoutes['#],cityRoutes[rpt],"-")</f>
        <v/>
      </c>
      <c r="L30" s="1717">
        <f>_xlfn.XLOOKUP(Table3[[#This Row],['#]],cityRoutes['#],cityRoutes[km],0)</f>
        <v/>
      </c>
      <c r="M30" s="1611" t="inlineStr">
        <is>
          <t>.</t>
        </is>
      </c>
      <c r="N30" s="1716" t="n">
        <v>12</v>
      </c>
      <c r="O30" s="1631">
        <f>_xlfn.XLOOKUP(Table4[[#This Row],['#]],ctries[id],ctries[ctry],"-")</f>
        <v/>
      </c>
      <c r="P30" s="1631">
        <f>SUMIFS(cityRoutes[rpt],cityRoutes[ctry],Table4[[#This Row],[ctry]])</f>
        <v/>
      </c>
      <c r="Q30" s="1718">
        <f>SUMIFS(cityRoutes[km],cityRoutes[ctry],Table4[[#This Row],[ctry]])</f>
        <v/>
      </c>
      <c r="R30" s="1611" t="inlineStr">
        <is>
          <t>.</t>
        </is>
      </c>
      <c r="S30" s="1719" t="n"/>
      <c r="T30" s="1612" t="n"/>
      <c r="U30" s="1612" t="n"/>
      <c r="V30" s="1612" t="n"/>
      <c r="W30" s="1612" t="n"/>
      <c r="X30" s="1612" t="n"/>
      <c r="Y30" s="1612" t="n"/>
      <c r="Z30" s="1612" t="n"/>
      <c r="AA30" s="1612" t="n"/>
      <c r="AB30" s="1612" t="n"/>
    </row>
    <row r="31">
      <c r="A31" s="1673" t="inlineStr">
        <is>
          <t>.</t>
        </is>
      </c>
      <c r="B31" s="1621">
        <f>B30+1</f>
        <v/>
      </c>
      <c r="C31" s="1714">
        <f>SUMIFS(raw[flight],raw[yr],B31)</f>
        <v/>
      </c>
      <c r="D31" s="1715">
        <f>SUM(C$5:C31)</f>
        <v/>
      </c>
      <c r="E31" s="1610">
        <f>INT(D31)+MOD(D31,1)*100</f>
        <v/>
      </c>
      <c r="F31" s="1611" t="inlineStr">
        <is>
          <t>.</t>
        </is>
      </c>
      <c r="G31" s="1716" t="n">
        <v>35</v>
      </c>
      <c r="H31" s="1631">
        <f>_xlfn.XLOOKUP(Table3[[#This Row],['#]],cityRoutes['#],cityRoutes[city])</f>
        <v/>
      </c>
      <c r="I31" s="1631">
        <f>_xlfn.XLOOKUP(Table3[[#This Row],[city]],ccc[city],ccc[ctry],"-")</f>
        <v/>
      </c>
      <c r="J31" s="1631">
        <f>IF(Table3[[#This Row],[city]]="",0,COUNTIF(routes[[outbound]:[inbound]],Table3[[#This Row],[city]]))</f>
        <v/>
      </c>
      <c r="K31" s="1631">
        <f>_xlfn.XLOOKUP(Table3[[#This Row],['#]],cityRoutes['#],cityRoutes[rpt],"-")</f>
        <v/>
      </c>
      <c r="L31" s="1717">
        <f>_xlfn.XLOOKUP(Table3[[#This Row],['#]],cityRoutes['#],cityRoutes[km],0)</f>
        <v/>
      </c>
      <c r="M31" s="1611" t="inlineStr">
        <is>
          <t>.</t>
        </is>
      </c>
      <c r="N31" s="1716" t="n">
        <v>17</v>
      </c>
      <c r="O31" s="1631">
        <f>_xlfn.XLOOKUP(Table4[[#This Row],['#]],ctries[id],ctries[ctry],"-")</f>
        <v/>
      </c>
      <c r="P31" s="1631">
        <f>SUMIFS(cityRoutes[rpt],cityRoutes[ctry],Table4[[#This Row],[ctry]])</f>
        <v/>
      </c>
      <c r="Q31" s="1718">
        <f>SUMIFS(cityRoutes[km],cityRoutes[ctry],Table4[[#This Row],[ctry]])</f>
        <v/>
      </c>
      <c r="R31" s="1611" t="inlineStr">
        <is>
          <t>.</t>
        </is>
      </c>
      <c r="S31" s="1719" t="n"/>
      <c r="T31" s="1612" t="n"/>
      <c r="U31" s="1612" t="n"/>
      <c r="V31" s="1612" t="n"/>
      <c r="W31" s="1612" t="n"/>
      <c r="X31" s="1612" t="n"/>
      <c r="Y31" s="1612" t="n"/>
      <c r="Z31" s="1612" t="n"/>
      <c r="AA31" s="1612" t="n"/>
      <c r="AB31" s="1612" t="n"/>
    </row>
    <row r="32">
      <c r="A32" s="1677" t="inlineStr">
        <is>
          <t>.</t>
        </is>
      </c>
      <c r="B32" s="1616">
        <f>B31+1</f>
        <v/>
      </c>
      <c r="C32" s="1720">
        <f>SUMIFS(raw[flight],raw[yr],B32)</f>
        <v/>
      </c>
      <c r="D32" s="1721">
        <f>SUM(C$5:C32)</f>
        <v/>
      </c>
      <c r="E32" s="1610">
        <f>INT(D32)+MOD(D32,1)*100</f>
        <v/>
      </c>
      <c r="F32" s="1611" t="inlineStr">
        <is>
          <t>.</t>
        </is>
      </c>
      <c r="G32" s="1716" t="n">
        <v>54</v>
      </c>
      <c r="H32" s="1631">
        <f>_xlfn.XLOOKUP(Table3[[#This Row],['#]],cityRoutes['#],cityRoutes[city])</f>
        <v/>
      </c>
      <c r="I32" s="1631">
        <f>_xlfn.XLOOKUP(Table3[[#This Row],[city]],ccc[city],ccc[ctry],"-")</f>
        <v/>
      </c>
      <c r="J32" s="1631">
        <f>IF(Table3[[#This Row],[city]]="",0,COUNTIF(routes[[outbound]:[inbound]],Table3[[#This Row],[city]]))</f>
        <v/>
      </c>
      <c r="K32" s="1631">
        <f>_xlfn.XLOOKUP(Table3[[#This Row],['#]],cityRoutes['#],cityRoutes[rpt],"-")</f>
        <v/>
      </c>
      <c r="L32" s="1717">
        <f>_xlfn.XLOOKUP(Table3[[#This Row],['#]],cityRoutes['#],cityRoutes[km],0)</f>
        <v/>
      </c>
      <c r="M32" s="1611" t="inlineStr">
        <is>
          <t>.</t>
        </is>
      </c>
      <c r="N32" s="1716" t="n">
        <v>22</v>
      </c>
      <c r="O32" s="1631">
        <f>_xlfn.XLOOKUP(Table4[[#This Row],['#]],ctries[id],ctries[ctry],"-")</f>
        <v/>
      </c>
      <c r="P32" s="1631">
        <f>SUMIFS(cityRoutes[rpt],cityRoutes[ctry],Table4[[#This Row],[ctry]])</f>
        <v/>
      </c>
      <c r="Q32" s="1718">
        <f>SUMIFS(cityRoutes[km],cityRoutes[ctry],Table4[[#This Row],[ctry]])</f>
        <v/>
      </c>
      <c r="R32" s="1611" t="inlineStr">
        <is>
          <t>.</t>
        </is>
      </c>
      <c r="S32" s="1719" t="n"/>
      <c r="T32" s="1612" t="n"/>
      <c r="U32" s="1612" t="n"/>
      <c r="V32" s="1612" t="n"/>
      <c r="W32" s="1612" t="n"/>
      <c r="X32" s="1612" t="n"/>
      <c r="Y32" s="1612" t="n"/>
      <c r="Z32" s="1612" t="n"/>
      <c r="AA32" s="1612" t="n"/>
      <c r="AB32" s="1612" t="n"/>
    </row>
    <row r="33">
      <c r="A33" s="1673" t="inlineStr">
        <is>
          <t>.</t>
        </is>
      </c>
      <c r="B33" s="1621">
        <f>B32+1</f>
        <v/>
      </c>
      <c r="C33" s="1714">
        <f>SUMIFS(raw[flight],raw[yr],B33)</f>
        <v/>
      </c>
      <c r="D33" s="1715">
        <f>SUM(C$5:C33)</f>
        <v/>
      </c>
      <c r="E33" s="1722">
        <f>INT(D33)+MOD(D33,1)*100</f>
        <v/>
      </c>
      <c r="F33" s="1611" t="inlineStr">
        <is>
          <t>.</t>
        </is>
      </c>
      <c r="G33" s="1716" t="n">
        <v>33</v>
      </c>
      <c r="H33" s="1631">
        <f>_xlfn.XLOOKUP(Table3[[#This Row],['#]],cityRoutes['#],cityRoutes[city])</f>
        <v/>
      </c>
      <c r="I33" s="1631">
        <f>_xlfn.XLOOKUP(Table3[[#This Row],[city]],ccc[city],ccc[ctry],"-")</f>
        <v/>
      </c>
      <c r="J33" s="1631">
        <f>IF(Table3[[#This Row],[city]]="",0,COUNTIF(routes[[outbound]:[inbound]],Table3[[#This Row],[city]]))</f>
        <v/>
      </c>
      <c r="K33" s="1631">
        <f>_xlfn.XLOOKUP(Table3[[#This Row],['#]],cityRoutes['#],cityRoutes[rpt],"-")</f>
        <v/>
      </c>
      <c r="L33" s="1717">
        <f>_xlfn.XLOOKUP(Table3[[#This Row],['#]],cityRoutes['#],cityRoutes[km],0)</f>
        <v/>
      </c>
      <c r="M33" s="1611" t="inlineStr">
        <is>
          <t>.</t>
        </is>
      </c>
      <c r="N33" s="1716" t="n">
        <v>16</v>
      </c>
      <c r="O33" s="1631">
        <f>_xlfn.XLOOKUP(Table4[[#This Row],['#]],ctries[id],ctries[ctry],"-")</f>
        <v/>
      </c>
      <c r="P33" s="1631">
        <f>SUMIFS(cityRoutes[rpt],cityRoutes[ctry],Table4[[#This Row],[ctry]])</f>
        <v/>
      </c>
      <c r="Q33" s="1718">
        <f>SUMIFS(cityRoutes[km],cityRoutes[ctry],Table4[[#This Row],[ctry]])</f>
        <v/>
      </c>
      <c r="R33" s="1611" t="inlineStr">
        <is>
          <t>.</t>
        </is>
      </c>
      <c r="S33" s="1719" t="n"/>
      <c r="T33" s="1612" t="n"/>
      <c r="U33" s="1612" t="n"/>
      <c r="V33" s="1612" t="n"/>
      <c r="W33" s="1612" t="n"/>
      <c r="X33" s="1612" t="n"/>
      <c r="Y33" s="1612" t="n"/>
      <c r="Z33" s="1612" t="n"/>
      <c r="AA33" s="1612" t="n"/>
      <c r="AB33" s="1612" t="n"/>
    </row>
    <row r="34">
      <c r="A34" s="1677" t="inlineStr">
        <is>
          <t>.</t>
        </is>
      </c>
      <c r="B34" s="1616">
        <f>B33+1</f>
        <v/>
      </c>
      <c r="C34" s="1720">
        <f>SUMIFS(raw[flight],raw[yr],B34)</f>
        <v/>
      </c>
      <c r="D34" s="1721">
        <f>SUM(C$5:C34)</f>
        <v/>
      </c>
      <c r="E34" s="1610">
        <f>INT(D34)+MOD(D34,1)*100</f>
        <v/>
      </c>
      <c r="F34" s="1611" t="inlineStr">
        <is>
          <t>.</t>
        </is>
      </c>
      <c r="G34" s="1716" t="n">
        <v>57</v>
      </c>
      <c r="H34" s="1631">
        <f>_xlfn.XLOOKUP(Table3[[#This Row],['#]],cityRoutes['#],cityRoutes[city])</f>
        <v/>
      </c>
      <c r="I34" s="1631">
        <f>_xlfn.XLOOKUP(Table3[[#This Row],[city]],ccc[city],ccc[ctry],"-")</f>
        <v/>
      </c>
      <c r="J34" s="1631">
        <f>IF(Table3[[#This Row],[city]]="",0,COUNTIF(routes[[outbound]:[inbound]],Table3[[#This Row],[city]]))</f>
        <v/>
      </c>
      <c r="K34" s="1631">
        <f>_xlfn.XLOOKUP(Table3[[#This Row],['#]],cityRoutes['#],cityRoutes[rpt],"-")</f>
        <v/>
      </c>
      <c r="L34" s="1717">
        <f>_xlfn.XLOOKUP(Table3[[#This Row],['#]],cityRoutes['#],cityRoutes[km],0)</f>
        <v/>
      </c>
      <c r="M34" s="1611" t="inlineStr">
        <is>
          <t>.</t>
        </is>
      </c>
      <c r="N34" s="1716" t="n">
        <v>23</v>
      </c>
      <c r="O34" s="1631">
        <f>_xlfn.XLOOKUP(Table4[[#This Row],['#]],ctries[id],ctries[ctry],"-")</f>
        <v/>
      </c>
      <c r="P34" s="1631">
        <f>SUMIFS(cityRoutes[rpt],cityRoutes[ctry],Table4[[#This Row],[ctry]])</f>
        <v/>
      </c>
      <c r="Q34" s="1718">
        <f>SUMIFS(cityRoutes[km],cityRoutes[ctry],Table4[[#This Row],[ctry]])</f>
        <v/>
      </c>
      <c r="R34" s="1611" t="inlineStr">
        <is>
          <t>.</t>
        </is>
      </c>
      <c r="S34" s="1719" t="n"/>
      <c r="T34" s="1612" t="n"/>
      <c r="U34" s="1612" t="n"/>
      <c r="V34" s="1612" t="n"/>
      <c r="W34" s="1612" t="n"/>
      <c r="X34" s="1612" t="n"/>
      <c r="Y34" s="1612" t="n"/>
      <c r="Z34" s="1612" t="n"/>
      <c r="AA34" s="1612" t="n"/>
      <c r="AB34" s="1612" t="n"/>
    </row>
    <row r="35">
      <c r="A35" s="1673" t="inlineStr">
        <is>
          <t>.</t>
        </is>
      </c>
      <c r="B35" s="1621">
        <f>B34+1</f>
        <v/>
      </c>
      <c r="C35" s="1714">
        <f>SUMIFS(raw[flight],raw[yr],B35)</f>
        <v/>
      </c>
      <c r="D35" s="1715">
        <f>SUM(C$5:C35)</f>
        <v/>
      </c>
      <c r="E35" s="1610">
        <f>INT(D35)+MOD(D35,1)*100</f>
        <v/>
      </c>
      <c r="F35" s="1611" t="inlineStr">
        <is>
          <t>.</t>
        </is>
      </c>
      <c r="G35" s="1716" t="n">
        <v>56</v>
      </c>
      <c r="H35" s="1631">
        <f>_xlfn.XLOOKUP(Table3[[#This Row],['#]],cityRoutes['#],cityRoutes[city])</f>
        <v/>
      </c>
      <c r="I35" s="1631">
        <f>_xlfn.XLOOKUP(Table3[[#This Row],[city]],ccc[city],ccc[ctry],"-")</f>
        <v/>
      </c>
      <c r="J35" s="1631">
        <f>IF(Table3[[#This Row],[city]]="",0,COUNTIF(routes[[outbound]:[inbound]],Table3[[#This Row],[city]]))</f>
        <v/>
      </c>
      <c r="K35" s="1631">
        <f>_xlfn.XLOOKUP(Table3[[#This Row],['#]],cityRoutes['#],cityRoutes[rpt],"-")</f>
        <v/>
      </c>
      <c r="L35" s="1717">
        <f>_xlfn.XLOOKUP(Table3[[#This Row],['#]],cityRoutes['#],cityRoutes[km],0)</f>
        <v/>
      </c>
      <c r="M35" s="1611" t="inlineStr">
        <is>
          <t>.</t>
        </is>
      </c>
      <c r="N35" s="1716" t="n">
        <v>26</v>
      </c>
      <c r="O35" s="1631">
        <f>_xlfn.XLOOKUP(Table4[[#This Row],['#]],ctries[id],ctries[ctry],"-")</f>
        <v/>
      </c>
      <c r="P35" s="1631">
        <f>SUMIFS(cityRoutes[rpt],cityRoutes[ctry],Table4[[#This Row],[ctry]])</f>
        <v/>
      </c>
      <c r="Q35" s="1718">
        <f>SUMIFS(cityRoutes[km],cityRoutes[ctry],Table4[[#This Row],[ctry]])</f>
        <v/>
      </c>
      <c r="R35" s="1611" t="inlineStr">
        <is>
          <t>.</t>
        </is>
      </c>
      <c r="S35" s="1719" t="n"/>
      <c r="T35" s="1612" t="n"/>
      <c r="U35" s="1612" t="n"/>
      <c r="V35" s="1612" t="n"/>
      <c r="W35" s="1612" t="n"/>
      <c r="X35" s="1612" t="n"/>
      <c r="Y35" s="1612" t="n"/>
      <c r="Z35" s="1612" t="n"/>
      <c r="AA35" s="1612" t="n"/>
      <c r="AB35" s="1612" t="n"/>
    </row>
    <row r="36">
      <c r="A36" s="1677" t="inlineStr">
        <is>
          <t>.</t>
        </is>
      </c>
      <c r="B36" s="1616">
        <f>B35+1</f>
        <v/>
      </c>
      <c r="C36" s="1720">
        <f>SUMIFS(raw[flight],raw[yr],B36)</f>
        <v/>
      </c>
      <c r="D36" s="1721">
        <f>SUM(C$5:C36)</f>
        <v/>
      </c>
      <c r="E36" s="1610">
        <f>INT(D36)+MOD(D36,1)*100</f>
        <v/>
      </c>
      <c r="F36" s="1611" t="inlineStr">
        <is>
          <t>.</t>
        </is>
      </c>
      <c r="G36" s="1716" t="n">
        <v>27</v>
      </c>
      <c r="H36" s="1631">
        <f>_xlfn.XLOOKUP(Table3[[#This Row],['#]],cityRoutes['#],cityRoutes[city])</f>
        <v/>
      </c>
      <c r="I36" s="1631">
        <f>_xlfn.XLOOKUP(Table3[[#This Row],[city]],ccc[city],ccc[ctry],"-")</f>
        <v/>
      </c>
      <c r="J36" s="1631">
        <f>IF(Table3[[#This Row],[city]]="",0,COUNTIF(routes[[outbound]:[inbound]],Table3[[#This Row],[city]]))</f>
        <v/>
      </c>
      <c r="K36" s="1631">
        <f>_xlfn.XLOOKUP(Table3[[#This Row],['#]],cityRoutes['#],cityRoutes[rpt],"-")</f>
        <v/>
      </c>
      <c r="L36" s="1717">
        <f>_xlfn.XLOOKUP(Table3[[#This Row],['#]],cityRoutes['#],cityRoutes[km],0)</f>
        <v/>
      </c>
      <c r="M36" s="1611" t="inlineStr">
        <is>
          <t>.</t>
        </is>
      </c>
      <c r="N36" s="1716" t="n">
        <v>28</v>
      </c>
      <c r="O36" s="1631">
        <f>_xlfn.XLOOKUP(Table4[[#This Row],['#]],ctries[id],ctries[ctry],"-")</f>
        <v/>
      </c>
      <c r="P36" s="1631">
        <f>SUMIFS(cityRoutes[rpt],cityRoutes[ctry],Table4[[#This Row],[ctry]])</f>
        <v/>
      </c>
      <c r="Q36" s="1718">
        <f>SUMIFS(cityRoutes[km],cityRoutes[ctry],Table4[[#This Row],[ctry]])</f>
        <v/>
      </c>
      <c r="R36" s="1611" t="inlineStr">
        <is>
          <t>.</t>
        </is>
      </c>
      <c r="S36" s="1719" t="n"/>
      <c r="T36" s="1612" t="n"/>
      <c r="U36" s="1612" t="n"/>
      <c r="V36" s="1612" t="n"/>
      <c r="W36" s="1612" t="n"/>
      <c r="X36" s="1612" t="n"/>
      <c r="Y36" s="1612" t="n"/>
      <c r="Z36" s="1612" t="n"/>
      <c r="AA36" s="1612" t="n"/>
      <c r="AB36" s="1612" t="n"/>
    </row>
    <row r="37">
      <c r="A37" s="1673" t="inlineStr">
        <is>
          <t>.</t>
        </is>
      </c>
      <c r="B37" s="1621">
        <f>B36+1</f>
        <v/>
      </c>
      <c r="C37" s="1714">
        <f>SUMIFS(raw[flight],raw[yr],B37)</f>
        <v/>
      </c>
      <c r="D37" s="1715">
        <f>SUM(C$5:C37)</f>
        <v/>
      </c>
      <c r="E37" s="1610">
        <f>INT(D37)+MOD(D37,1)*100</f>
        <v/>
      </c>
      <c r="F37" s="1611" t="inlineStr">
        <is>
          <t>.</t>
        </is>
      </c>
      <c r="G37" s="1716" t="n">
        <v>36</v>
      </c>
      <c r="H37" s="1631">
        <f>_xlfn.XLOOKUP(Table3[[#This Row],['#]],cityRoutes['#],cityRoutes[city])</f>
        <v/>
      </c>
      <c r="I37" s="1631">
        <f>_xlfn.XLOOKUP(Table3[[#This Row],[city]],ccc[city],ccc[ctry],"-")</f>
        <v/>
      </c>
      <c r="J37" s="1631">
        <f>IF(Table3[[#This Row],[city]]="",0,COUNTIF(routes[[outbound]:[inbound]],Table3[[#This Row],[city]]))</f>
        <v/>
      </c>
      <c r="K37" s="1631">
        <f>_xlfn.XLOOKUP(Table3[[#This Row],['#]],cityRoutes['#],cityRoutes[rpt],"-")</f>
        <v/>
      </c>
      <c r="L37" s="1717">
        <f>_xlfn.XLOOKUP(Table3[[#This Row],['#]],cityRoutes['#],cityRoutes[km],0)</f>
        <v/>
      </c>
      <c r="M37" s="1611" t="inlineStr">
        <is>
          <t>.</t>
        </is>
      </c>
      <c r="N37" s="1716" t="n">
        <v>33</v>
      </c>
      <c r="O37" s="1603" t="n"/>
      <c r="P37" s="1603" t="n"/>
      <c r="Q37" s="1607" t="n"/>
      <c r="R37" s="1611" t="inlineStr">
        <is>
          <t>.</t>
        </is>
      </c>
      <c r="S37" s="1612" t="n"/>
      <c r="T37" s="1612" t="n"/>
      <c r="U37" s="1612" t="n"/>
      <c r="V37" s="1612" t="n"/>
      <c r="W37" s="1612" t="n"/>
      <c r="X37" s="1612" t="n"/>
      <c r="Y37" s="1612" t="n"/>
      <c r="Z37" s="1612" t="n"/>
      <c r="AA37" s="1612" t="n"/>
      <c r="AB37" s="1612" t="n"/>
    </row>
    <row r="38">
      <c r="A38" s="1677" t="inlineStr">
        <is>
          <t>.</t>
        </is>
      </c>
      <c r="B38" s="1616">
        <f>B37+1</f>
        <v/>
      </c>
      <c r="C38" s="1720">
        <f>SUMIFS(raw[flight],raw[yr],B38)</f>
        <v/>
      </c>
      <c r="D38" s="1721">
        <f>SUM(C$5:C38)</f>
        <v/>
      </c>
      <c r="E38" s="1610">
        <f>INT(D38)+MOD(D38,1)*100</f>
        <v/>
      </c>
      <c r="F38" s="1611" t="inlineStr">
        <is>
          <t>.</t>
        </is>
      </c>
      <c r="G38" s="1716" t="n">
        <v>1</v>
      </c>
      <c r="H38" s="1631">
        <f>_xlfn.XLOOKUP(Table3[[#This Row],['#]],cityRoutes['#],cityRoutes[city])</f>
        <v/>
      </c>
      <c r="I38" s="1631">
        <f>_xlfn.XLOOKUP(Table3[[#This Row],[city]],ccc[city],ccc[ctry],"-")</f>
        <v/>
      </c>
      <c r="J38" s="1631">
        <f>IF(Table3[[#This Row],[city]]="",0,COUNTIF(routes[[outbound]:[inbound]],Table3[[#This Row],[city]]))</f>
        <v/>
      </c>
      <c r="K38" s="1631">
        <f>_xlfn.XLOOKUP(Table3[[#This Row],['#]],cityRoutes['#],cityRoutes[rpt],"-")</f>
        <v/>
      </c>
      <c r="L38" s="1723">
        <f>_xlfn.XLOOKUP(Table3[[#This Row],['#]],cityRoutes['#],cityRoutes[km],0)</f>
        <v/>
      </c>
      <c r="M38" s="1611" t="inlineStr">
        <is>
          <t>.</t>
        </is>
      </c>
      <c r="N38" s="1716" t="n">
        <v>34</v>
      </c>
      <c r="O38" s="1603" t="n"/>
      <c r="P38" s="1603" t="n"/>
      <c r="Q38" s="1607" t="n"/>
      <c r="R38" s="1611" t="inlineStr">
        <is>
          <t>.</t>
        </is>
      </c>
      <c r="S38" s="1612" t="n"/>
      <c r="T38" s="1612" t="n"/>
      <c r="U38" s="1612" t="n"/>
      <c r="V38" s="1612" t="n"/>
      <c r="W38" s="1612" t="n"/>
      <c r="X38" s="1612" t="n"/>
      <c r="Y38" s="1612" t="n"/>
      <c r="Z38" s="1612" t="n"/>
      <c r="AA38" s="1612" t="n"/>
      <c r="AB38" s="1612" t="n"/>
    </row>
    <row r="39">
      <c r="A39" s="1673" t="inlineStr">
        <is>
          <t>.</t>
        </is>
      </c>
      <c r="B39" s="1621">
        <f>B38+1</f>
        <v/>
      </c>
      <c r="C39" s="1714">
        <f>SUMIFS(raw[flight],raw[yr],B39)</f>
        <v/>
      </c>
      <c r="D39" s="1715">
        <f>SUM(C$5:C39)</f>
        <v/>
      </c>
      <c r="E39" s="1610">
        <f>INT(D39)+MOD(D39,1)*100</f>
        <v/>
      </c>
      <c r="F39" s="1611" t="inlineStr">
        <is>
          <t>.</t>
        </is>
      </c>
      <c r="G39" s="1716" t="n">
        <v>5</v>
      </c>
      <c r="H39" s="1631">
        <f>_xlfn.XLOOKUP(Table3[[#This Row],['#]],cityRoutes['#],cityRoutes[city])</f>
        <v/>
      </c>
      <c r="I39" s="1631">
        <f>_xlfn.XLOOKUP(Table3[[#This Row],[city]],ccc[city],ccc[ctry],"-")</f>
        <v/>
      </c>
      <c r="J39" s="1631">
        <f>IF(Table3[[#This Row],[city]]="",0,COUNTIF(routes[[outbound]:[inbound]],Table3[[#This Row],[city]]))</f>
        <v/>
      </c>
      <c r="K39" s="1631">
        <f>_xlfn.XLOOKUP(Table3[[#This Row],['#]],cityRoutes['#],cityRoutes[rpt],"-")</f>
        <v/>
      </c>
      <c r="L39" s="1717">
        <f>_xlfn.XLOOKUP(Table3[[#This Row],['#]],cityRoutes['#],cityRoutes[km],0)</f>
        <v/>
      </c>
      <c r="M39" s="1611" t="inlineStr">
        <is>
          <t>.</t>
        </is>
      </c>
      <c r="N39" s="1716" t="n">
        <v>35</v>
      </c>
      <c r="O39" s="1603" t="n"/>
      <c r="P39" s="1603" t="n"/>
      <c r="Q39" s="1607" t="n"/>
      <c r="R39" s="1611" t="inlineStr">
        <is>
          <t>.</t>
        </is>
      </c>
      <c r="S39" s="1612" t="n"/>
      <c r="T39" s="1612" t="n"/>
      <c r="U39" s="1612" t="n"/>
      <c r="V39" s="1612" t="n"/>
      <c r="W39" s="1612" t="n"/>
      <c r="X39" s="1612" t="n"/>
      <c r="Y39" s="1612" t="n"/>
      <c r="Z39" s="1612" t="n"/>
      <c r="AA39" s="1612" t="n"/>
      <c r="AB39" s="1612" t="n"/>
    </row>
    <row r="40">
      <c r="A40" s="1677" t="inlineStr">
        <is>
          <t>.</t>
        </is>
      </c>
      <c r="B40" s="1616">
        <f>B39+1</f>
        <v/>
      </c>
      <c r="C40" s="1720">
        <f>SUMIFS(raw[flight],raw[yr],B40)</f>
        <v/>
      </c>
      <c r="D40" s="1721">
        <f>SUM(C$5:C40)</f>
        <v/>
      </c>
      <c r="E40" s="1610">
        <f>INT(D40)+MOD(D40,1)*100</f>
        <v/>
      </c>
      <c r="F40" s="1611" t="inlineStr">
        <is>
          <t>.</t>
        </is>
      </c>
      <c r="G40" s="1716" t="n">
        <v>7</v>
      </c>
      <c r="H40" s="1631">
        <f>_xlfn.XLOOKUP(Table3[[#This Row],['#]],cityRoutes['#],cityRoutes[city])</f>
        <v/>
      </c>
      <c r="I40" s="1631">
        <f>_xlfn.XLOOKUP(Table3[[#This Row],[city]],ccc[city],ccc[ctry],"-")</f>
        <v/>
      </c>
      <c r="J40" s="1631">
        <f>IF(Table3[[#This Row],[city]]="",0,COUNTIF(routes[[outbound]:[inbound]],Table3[[#This Row],[city]]))</f>
        <v/>
      </c>
      <c r="K40" s="1631">
        <f>_xlfn.XLOOKUP(Table3[[#This Row],['#]],cityRoutes['#],cityRoutes[rpt],"-")</f>
        <v/>
      </c>
      <c r="L40" s="1717">
        <f>_xlfn.XLOOKUP(Table3[[#This Row],['#]],cityRoutes['#],cityRoutes[km],0)</f>
        <v/>
      </c>
      <c r="M40" s="1611" t="inlineStr">
        <is>
          <t>.</t>
        </is>
      </c>
      <c r="N40" s="1716" t="n">
        <v>36</v>
      </c>
      <c r="O40" s="1603" t="n"/>
      <c r="P40" s="1603" t="n"/>
      <c r="Q40" s="1607" t="n"/>
      <c r="R40" s="1611" t="inlineStr">
        <is>
          <t>.</t>
        </is>
      </c>
      <c r="S40" s="1612" t="n"/>
      <c r="T40" s="1612" t="n"/>
      <c r="U40" s="1612" t="n"/>
      <c r="V40" s="1612" t="n"/>
      <c r="W40" s="1612" t="n"/>
      <c r="X40" s="1612" t="n"/>
      <c r="Y40" s="1612" t="n"/>
      <c r="Z40" s="1612" t="n"/>
      <c r="AA40" s="1612" t="n"/>
      <c r="AB40" s="1612" t="n"/>
    </row>
    <row r="41">
      <c r="A41" s="1673" t="inlineStr">
        <is>
          <t>.</t>
        </is>
      </c>
      <c r="B41" s="1621">
        <f>B40+1</f>
        <v/>
      </c>
      <c r="C41" s="1714">
        <f>SUMIFS(raw[flight],raw[yr],B41)</f>
        <v/>
      </c>
      <c r="D41" s="1724">
        <f>SUM(C$5:C41)</f>
        <v/>
      </c>
      <c r="E41" s="1610">
        <f>INT(D41)+MOD(D41,1)*100</f>
        <v/>
      </c>
      <c r="F41" s="1611" t="inlineStr">
        <is>
          <t>.</t>
        </is>
      </c>
      <c r="G41" s="1716" t="n">
        <v>10</v>
      </c>
      <c r="H41" s="1631">
        <f>_xlfn.XLOOKUP(Table3[[#This Row],['#]],cityRoutes['#],cityRoutes[city])</f>
        <v/>
      </c>
      <c r="I41" s="1631">
        <f>_xlfn.XLOOKUP(Table3[[#This Row],[city]],ccc[city],ccc[ctry],"-")</f>
        <v/>
      </c>
      <c r="J41" s="1631">
        <f>IF(Table3[[#This Row],[city]]="",0,COUNTIF(routes[[outbound]:[inbound]],Table3[[#This Row],[city]]))</f>
        <v/>
      </c>
      <c r="K41" s="1631">
        <f>_xlfn.XLOOKUP(Table3[[#This Row],['#]],cityRoutes['#],cityRoutes[rpt],"-")</f>
        <v/>
      </c>
      <c r="L41" s="1717">
        <f>_xlfn.XLOOKUP(Table3[[#This Row],['#]],cityRoutes['#],cityRoutes[km],0)</f>
        <v/>
      </c>
      <c r="M41" s="1611" t="inlineStr">
        <is>
          <t>.</t>
        </is>
      </c>
      <c r="N41" s="1716" t="n">
        <v>37</v>
      </c>
      <c r="O41" s="1603" t="n"/>
      <c r="P41" s="1603" t="n"/>
      <c r="Q41" s="1607" t="n"/>
      <c r="R41" s="1611" t="inlineStr">
        <is>
          <t>.</t>
        </is>
      </c>
      <c r="S41" s="1612" t="n"/>
      <c r="T41" s="1612" t="n"/>
      <c r="U41" s="1612" t="n"/>
      <c r="V41" s="1612" t="n"/>
      <c r="W41" s="1612" t="n"/>
      <c r="X41" s="1612" t="n"/>
      <c r="Y41" s="1612" t="n"/>
      <c r="Z41" s="1612" t="n"/>
      <c r="AA41" s="1612" t="n"/>
      <c r="AB41" s="1612" t="n"/>
    </row>
    <row r="42">
      <c r="A42" s="1677" t="inlineStr">
        <is>
          <t>.</t>
        </is>
      </c>
      <c r="B42" s="1616">
        <f>B41+1</f>
        <v/>
      </c>
      <c r="C42" s="1720">
        <f>SUMIFS(raw[flight],raw[yr],B42)</f>
        <v/>
      </c>
      <c r="D42" s="1725">
        <f>SUM(C$5:C42)</f>
        <v/>
      </c>
      <c r="E42" s="1722">
        <f>INT(D42)+MOD(D42,1)*100</f>
        <v/>
      </c>
      <c r="F42" s="1611" t="inlineStr">
        <is>
          <t>.</t>
        </is>
      </c>
      <c r="G42" s="1716" t="n">
        <v>19</v>
      </c>
      <c r="H42" s="1631">
        <f>_xlfn.XLOOKUP(Table3[[#This Row],['#]],cityRoutes['#],cityRoutes[city])</f>
        <v/>
      </c>
      <c r="I42" s="1631">
        <f>_xlfn.XLOOKUP(Table3[[#This Row],[city]],ccc[city],ccc[ctry],"-")</f>
        <v/>
      </c>
      <c r="J42" s="1631">
        <f>IF(Table3[[#This Row],[city]]="",0,COUNTIF(routes[[outbound]:[inbound]],Table3[[#This Row],[city]]))</f>
        <v/>
      </c>
      <c r="K42" s="1631">
        <f>_xlfn.XLOOKUP(Table3[[#This Row],['#]],cityRoutes['#],cityRoutes[rpt],"-")</f>
        <v/>
      </c>
      <c r="L42" s="1717">
        <f>_xlfn.XLOOKUP(Table3[[#This Row],['#]],cityRoutes['#],cityRoutes[km],0)</f>
        <v/>
      </c>
      <c r="M42" s="1611" t="inlineStr">
        <is>
          <t>.</t>
        </is>
      </c>
      <c r="N42" s="1716" t="n">
        <v>38</v>
      </c>
      <c r="O42" s="1603" t="n"/>
      <c r="P42" s="1603" t="n"/>
      <c r="Q42" s="1607" t="n"/>
      <c r="R42" s="1611" t="inlineStr">
        <is>
          <t>.</t>
        </is>
      </c>
      <c r="S42" s="1612" t="n"/>
      <c r="T42" s="1612" t="n"/>
      <c r="U42" s="1612" t="n"/>
      <c r="V42" s="1612" t="n"/>
      <c r="W42" s="1612" t="n"/>
      <c r="X42" s="1612" t="n"/>
      <c r="Y42" s="1612" t="n"/>
      <c r="Z42" s="1612" t="n"/>
      <c r="AA42" s="1612" t="n"/>
      <c r="AB42" s="1612" t="n"/>
    </row>
    <row r="43">
      <c r="A43" s="1673" t="inlineStr">
        <is>
          <t>.</t>
        </is>
      </c>
      <c r="B43" s="1621">
        <f>B42+1</f>
        <v/>
      </c>
      <c r="C43" s="1714">
        <f>SUMIFS(raw[flight],raw[yr],B43)</f>
        <v/>
      </c>
      <c r="D43" s="1726">
        <f>SUM(C$5:C43)</f>
        <v/>
      </c>
      <c r="E43" s="1610">
        <f>INT(D43)+MOD(D43,1)*100</f>
        <v/>
      </c>
      <c r="F43" s="1611" t="inlineStr">
        <is>
          <t>.</t>
        </is>
      </c>
      <c r="G43" s="1716" t="n">
        <v>20</v>
      </c>
      <c r="H43" s="1631">
        <f>_xlfn.XLOOKUP(Table3[[#This Row],['#]],cityRoutes['#],cityRoutes[city])</f>
        <v/>
      </c>
      <c r="I43" s="1631">
        <f>_xlfn.XLOOKUP(Table3[[#This Row],[city]],ccc[city],ccc[ctry],"-")</f>
        <v/>
      </c>
      <c r="J43" s="1631">
        <f>IF(Table3[[#This Row],[city]]="",0,COUNTIF(routes[[outbound]:[inbound]],Table3[[#This Row],[city]]))</f>
        <v/>
      </c>
      <c r="K43" s="1631">
        <f>_xlfn.XLOOKUP(Table3[[#This Row],['#]],cityRoutes['#],cityRoutes[rpt],"-")</f>
        <v/>
      </c>
      <c r="L43" s="1717">
        <f>_xlfn.XLOOKUP(Table3[[#This Row],['#]],cityRoutes['#],cityRoutes[km],0)</f>
        <v/>
      </c>
      <c r="M43" s="1611" t="inlineStr">
        <is>
          <t>.</t>
        </is>
      </c>
      <c r="N43" s="1716" t="n">
        <v>39</v>
      </c>
      <c r="O43" s="1603" t="n"/>
      <c r="P43" s="1603" t="n"/>
      <c r="Q43" s="1607" t="n"/>
      <c r="R43" s="1611" t="inlineStr">
        <is>
          <t>.</t>
        </is>
      </c>
      <c r="S43" s="1612" t="n"/>
      <c r="T43" s="1612" t="n"/>
      <c r="U43" s="1612" t="n"/>
      <c r="V43" s="1612" t="n"/>
      <c r="W43" s="1612" t="n"/>
      <c r="X43" s="1612" t="n"/>
      <c r="Y43" s="1612" t="n"/>
      <c r="Z43" s="1612" t="n"/>
      <c r="AA43" s="1612" t="n"/>
      <c r="AB43" s="1612" t="n"/>
    </row>
    <row r="44">
      <c r="A44" s="1677" t="inlineStr">
        <is>
          <t>.</t>
        </is>
      </c>
      <c r="B44" s="1616">
        <f>B43+1</f>
        <v/>
      </c>
      <c r="C44" s="1720">
        <f>SUMIFS(raw[flight],raw[yr],B44)</f>
        <v/>
      </c>
      <c r="D44" s="1721">
        <f>SUM(C$5:C44)</f>
        <v/>
      </c>
      <c r="E44" s="1610">
        <f>INT(D44)+MOD(D44,1)*100</f>
        <v/>
      </c>
      <c r="F44" s="1611" t="inlineStr">
        <is>
          <t>.</t>
        </is>
      </c>
      <c r="G44" s="1716" t="n">
        <v>22</v>
      </c>
      <c r="H44" s="1631">
        <f>_xlfn.XLOOKUP(Table3[[#This Row],['#]],cityRoutes['#],cityRoutes[city])</f>
        <v/>
      </c>
      <c r="I44" s="1631">
        <f>_xlfn.XLOOKUP(Table3[[#This Row],[city]],ccc[city],ccc[ctry],"-")</f>
        <v/>
      </c>
      <c r="J44" s="1631">
        <f>IF(Table3[[#This Row],[city]]="",0,COUNTIF(routes[[outbound]:[inbound]],Table3[[#This Row],[city]]))</f>
        <v/>
      </c>
      <c r="K44" s="1631">
        <f>_xlfn.XLOOKUP(Table3[[#This Row],['#]],cityRoutes['#],cityRoutes[rpt],"-")</f>
        <v/>
      </c>
      <c r="L44" s="1717">
        <f>_xlfn.XLOOKUP(Table3[[#This Row],['#]],cityRoutes['#],cityRoutes[km],0)</f>
        <v/>
      </c>
      <c r="M44" s="1611" t="inlineStr">
        <is>
          <t>.</t>
        </is>
      </c>
      <c r="N44" s="1716" t="n">
        <v>40</v>
      </c>
      <c r="O44" s="1603" t="n"/>
      <c r="P44" s="1603" t="n"/>
      <c r="Q44" s="1607" t="n"/>
      <c r="R44" s="1611" t="inlineStr">
        <is>
          <t>.</t>
        </is>
      </c>
      <c r="S44" s="1612" t="n"/>
      <c r="T44" s="1612" t="n"/>
      <c r="U44" s="1612" t="n"/>
      <c r="V44" s="1612" t="n"/>
      <c r="W44" s="1612" t="n"/>
      <c r="X44" s="1612" t="n"/>
      <c r="Y44" s="1612" t="n"/>
      <c r="Z44" s="1612" t="n"/>
      <c r="AA44" s="1612" t="n"/>
      <c r="AB44" s="1612" t="n"/>
    </row>
    <row r="45">
      <c r="A45" s="1673" t="inlineStr">
        <is>
          <t>.</t>
        </is>
      </c>
      <c r="B45" s="1621">
        <f>B44+1</f>
        <v/>
      </c>
      <c r="C45" s="1714">
        <f>SUMIFS(raw[flight],raw[yr],B45)</f>
        <v/>
      </c>
      <c r="D45" s="1715">
        <f>SUM(C$5:C45)</f>
        <v/>
      </c>
      <c r="E45" s="1610">
        <f>INT(D45)+MOD(D45,1)*100</f>
        <v/>
      </c>
      <c r="F45" s="1611" t="inlineStr">
        <is>
          <t>.</t>
        </is>
      </c>
      <c r="G45" s="1716" t="n">
        <v>26</v>
      </c>
      <c r="H45" s="1631">
        <f>_xlfn.XLOOKUP(Table3[[#This Row],['#]],cityRoutes['#],cityRoutes[city])</f>
        <v/>
      </c>
      <c r="I45" s="1631">
        <f>_xlfn.XLOOKUP(Table3[[#This Row],[city]],ccc[city],ccc[ctry],"-")</f>
        <v/>
      </c>
      <c r="J45" s="1631">
        <f>IF(Table3[[#This Row],[city]]="",0,COUNTIF(routes[[outbound]:[inbound]],Table3[[#This Row],[city]]))</f>
        <v/>
      </c>
      <c r="K45" s="1631">
        <f>_xlfn.XLOOKUP(Table3[[#This Row],['#]],cityRoutes['#],cityRoutes[rpt],"-")</f>
        <v/>
      </c>
      <c r="L45" s="1717">
        <f>_xlfn.XLOOKUP(Table3[[#This Row],['#]],cityRoutes['#],cityRoutes[km],0)</f>
        <v/>
      </c>
      <c r="M45" s="1611" t="inlineStr">
        <is>
          <t>.</t>
        </is>
      </c>
      <c r="N45" s="1716" t="n">
        <v>41</v>
      </c>
      <c r="O45" s="1603" t="n"/>
      <c r="P45" s="1603" t="n"/>
      <c r="Q45" s="1607" t="n"/>
      <c r="R45" s="1611" t="inlineStr">
        <is>
          <t>.</t>
        </is>
      </c>
      <c r="S45" s="1612" t="n"/>
      <c r="T45" s="1612" t="n"/>
      <c r="U45" s="1612" t="n"/>
      <c r="V45" s="1612" t="n"/>
      <c r="W45" s="1612" t="n"/>
      <c r="X45" s="1612" t="n"/>
      <c r="Y45" s="1612" t="n"/>
      <c r="Z45" s="1612" t="n"/>
      <c r="AA45" s="1612" t="n"/>
      <c r="AB45" s="1612" t="n"/>
    </row>
    <row r="46">
      <c r="A46" s="1677" t="inlineStr">
        <is>
          <t>.</t>
        </is>
      </c>
      <c r="B46" s="1616">
        <f>B45+1</f>
        <v/>
      </c>
      <c r="C46" s="1720">
        <f>SUMIFS(raw[flight],raw[yr],B46)</f>
        <v/>
      </c>
      <c r="D46" s="1721">
        <f>SUM(C$5:C46)</f>
        <v/>
      </c>
      <c r="E46" s="1610">
        <f>INT(D46)+MOD(D46,1)*100</f>
        <v/>
      </c>
      <c r="F46" s="1611" t="inlineStr">
        <is>
          <t>.</t>
        </is>
      </c>
      <c r="G46" s="1716" t="n">
        <v>28</v>
      </c>
      <c r="H46" s="1631">
        <f>_xlfn.XLOOKUP(Table3[[#This Row],['#]],cityRoutes['#],cityRoutes[city])</f>
        <v/>
      </c>
      <c r="I46" s="1631">
        <f>_xlfn.XLOOKUP(Table3[[#This Row],[city]],ccc[city],ccc[ctry],"-")</f>
        <v/>
      </c>
      <c r="J46" s="1631">
        <f>IF(Table3[[#This Row],[city]]="",0,COUNTIF(routes[[outbound]:[inbound]],Table3[[#This Row],[city]]))</f>
        <v/>
      </c>
      <c r="K46" s="1631">
        <f>_xlfn.XLOOKUP(Table3[[#This Row],['#]],cityRoutes['#],cityRoutes[rpt],"-")</f>
        <v/>
      </c>
      <c r="L46" s="1717">
        <f>_xlfn.XLOOKUP(Table3[[#This Row],['#]],cityRoutes['#],cityRoutes[km],0)</f>
        <v/>
      </c>
      <c r="M46" s="1611" t="inlineStr">
        <is>
          <t>.</t>
        </is>
      </c>
      <c r="N46" s="1716" t="n">
        <v>42</v>
      </c>
      <c r="O46" s="1603" t="n"/>
      <c r="P46" s="1603" t="n"/>
      <c r="Q46" s="1607" t="n"/>
      <c r="R46" s="1611" t="inlineStr">
        <is>
          <t>.</t>
        </is>
      </c>
      <c r="S46" s="1612" t="n"/>
      <c r="T46" s="1612" t="n"/>
      <c r="U46" s="1612" t="n"/>
      <c r="V46" s="1612" t="n"/>
      <c r="W46" s="1612" t="n"/>
      <c r="X46" s="1612" t="n"/>
      <c r="Y46" s="1612" t="n"/>
      <c r="Z46" s="1612" t="n"/>
      <c r="AA46" s="1612" t="n"/>
      <c r="AB46" s="1612" t="n"/>
    </row>
    <row r="47">
      <c r="A47" s="1673" t="inlineStr">
        <is>
          <t>.</t>
        </is>
      </c>
      <c r="B47" s="1621">
        <f>B46+1</f>
        <v/>
      </c>
      <c r="C47" s="1714">
        <f>SUMIFS(raw[flight],raw[yr],B47)</f>
        <v/>
      </c>
      <c r="D47" s="1715">
        <f>SUM(C$5:C47)</f>
        <v/>
      </c>
      <c r="E47" s="1610">
        <f>INT(D47)+MOD(D47,1)*100</f>
        <v/>
      </c>
      <c r="F47" s="1611" t="inlineStr">
        <is>
          <t>.</t>
        </is>
      </c>
      <c r="G47" s="1716" t="n">
        <v>29</v>
      </c>
      <c r="H47" s="1631">
        <f>_xlfn.XLOOKUP(Table3[[#This Row],['#]],cityRoutes['#],cityRoutes[city])</f>
        <v/>
      </c>
      <c r="I47" s="1631">
        <f>_xlfn.XLOOKUP(Table3[[#This Row],[city]],ccc[city],ccc[ctry],"-")</f>
        <v/>
      </c>
      <c r="J47" s="1631">
        <f>IF(Table3[[#This Row],[city]]="",0,COUNTIF(routes[[outbound]:[inbound]],Table3[[#This Row],[city]]))</f>
        <v/>
      </c>
      <c r="K47" s="1631">
        <f>_xlfn.XLOOKUP(Table3[[#This Row],['#]],cityRoutes['#],cityRoutes[rpt],"-")</f>
        <v/>
      </c>
      <c r="L47" s="1717">
        <f>_xlfn.XLOOKUP(Table3[[#This Row],['#]],cityRoutes['#],cityRoutes[km],0)</f>
        <v/>
      </c>
      <c r="M47" s="1611" t="inlineStr">
        <is>
          <t>.</t>
        </is>
      </c>
      <c r="N47" s="1716" t="n">
        <v>43</v>
      </c>
      <c r="O47" s="1603" t="n"/>
      <c r="P47" s="1603" t="n"/>
      <c r="Q47" s="1607" t="n"/>
      <c r="R47" s="1611" t="inlineStr">
        <is>
          <t>.</t>
        </is>
      </c>
      <c r="S47" s="1612" t="n"/>
      <c r="T47" s="1612" t="n"/>
      <c r="U47" s="1612" t="n"/>
      <c r="V47" s="1612" t="n"/>
      <c r="W47" s="1612" t="n"/>
      <c r="X47" s="1612" t="n"/>
      <c r="Y47" s="1612" t="n"/>
      <c r="Z47" s="1612" t="n"/>
      <c r="AA47" s="1612" t="n"/>
      <c r="AB47" s="1612" t="n"/>
    </row>
    <row r="48">
      <c r="A48" s="1677" t="inlineStr">
        <is>
          <t>.</t>
        </is>
      </c>
      <c r="B48" s="1616">
        <f>B47+1</f>
        <v/>
      </c>
      <c r="C48" s="1720">
        <f>SUMIFS(raw[flight],raw[yr],B48)</f>
        <v/>
      </c>
      <c r="D48" s="1721">
        <f>SUM(C$5:C48)</f>
        <v/>
      </c>
      <c r="E48" s="1610">
        <f>INT(D48)+MOD(D48,1)*100</f>
        <v/>
      </c>
      <c r="F48" s="1611" t="inlineStr">
        <is>
          <t>.</t>
        </is>
      </c>
      <c r="G48" s="1716" t="n">
        <v>30</v>
      </c>
      <c r="H48" s="1631">
        <f>_xlfn.XLOOKUP(Table3[[#This Row],['#]],cityRoutes['#],cityRoutes[city])</f>
        <v/>
      </c>
      <c r="I48" s="1631">
        <f>_xlfn.XLOOKUP(Table3[[#This Row],[city]],ccc[city],ccc[ctry],"-")</f>
        <v/>
      </c>
      <c r="J48" s="1631">
        <f>IF(Table3[[#This Row],[city]]="",0,COUNTIF(routes[[outbound]:[inbound]],Table3[[#This Row],[city]]))</f>
        <v/>
      </c>
      <c r="K48" s="1631">
        <f>_xlfn.XLOOKUP(Table3[[#This Row],['#]],cityRoutes['#],cityRoutes[rpt],"-")</f>
        <v/>
      </c>
      <c r="L48" s="1717">
        <f>_xlfn.XLOOKUP(Table3[[#This Row],['#]],cityRoutes['#],cityRoutes[km],0)</f>
        <v/>
      </c>
      <c r="M48" s="1611" t="inlineStr">
        <is>
          <t>.</t>
        </is>
      </c>
      <c r="N48" s="1716" t="n">
        <v>44</v>
      </c>
      <c r="O48" s="1603" t="n"/>
      <c r="P48" s="1603" t="n"/>
      <c r="Q48" s="1607" t="n"/>
      <c r="R48" s="1611" t="inlineStr">
        <is>
          <t>.</t>
        </is>
      </c>
      <c r="S48" s="1612" t="n"/>
      <c r="T48" s="1612" t="n"/>
      <c r="U48" s="1612" t="n"/>
      <c r="V48" s="1612" t="n"/>
      <c r="W48" s="1612" t="n"/>
      <c r="X48" s="1612" t="n"/>
      <c r="Y48" s="1612" t="n"/>
      <c r="Z48" s="1612" t="n"/>
      <c r="AA48" s="1612" t="n"/>
      <c r="AB48" s="1612" t="n"/>
    </row>
    <row r="49">
      <c r="A49" s="1673" t="inlineStr">
        <is>
          <t>.</t>
        </is>
      </c>
      <c r="B49" s="1621">
        <f>B48+1</f>
        <v/>
      </c>
      <c r="C49" s="1714">
        <f>SUMIFS(raw[flight],raw[yr],B49)</f>
        <v/>
      </c>
      <c r="D49" s="1715">
        <f>SUM(C$5:C49)</f>
        <v/>
      </c>
      <c r="E49" s="1610">
        <f>INT(D49)+MOD(D49,1)*100</f>
        <v/>
      </c>
      <c r="F49" s="1611" t="inlineStr">
        <is>
          <t>.</t>
        </is>
      </c>
      <c r="G49" s="1716" t="n">
        <v>31</v>
      </c>
      <c r="H49" s="1631">
        <f>_xlfn.XLOOKUP(Table3[[#This Row],['#]],cityRoutes['#],cityRoutes[city])</f>
        <v/>
      </c>
      <c r="I49" s="1631">
        <f>_xlfn.XLOOKUP(Table3[[#This Row],[city]],ccc[city],ccc[ctry],"-")</f>
        <v/>
      </c>
      <c r="J49" s="1631">
        <f>IF(Table3[[#This Row],[city]]="",0,COUNTIF(routes[[outbound]:[inbound]],Table3[[#This Row],[city]]))</f>
        <v/>
      </c>
      <c r="K49" s="1631">
        <f>_xlfn.XLOOKUP(Table3[[#This Row],['#]],cityRoutes['#],cityRoutes[rpt],"-")</f>
        <v/>
      </c>
      <c r="L49" s="1717">
        <f>_xlfn.XLOOKUP(Table3[[#This Row],['#]],cityRoutes['#],cityRoutes[km],0)</f>
        <v/>
      </c>
      <c r="M49" s="1611" t="inlineStr">
        <is>
          <t>.</t>
        </is>
      </c>
      <c r="N49" s="1716" t="n">
        <v>45</v>
      </c>
      <c r="O49" s="1603" t="n"/>
      <c r="P49" s="1603" t="n"/>
      <c r="Q49" s="1607" t="n"/>
      <c r="R49" s="1611" t="inlineStr">
        <is>
          <t>.</t>
        </is>
      </c>
      <c r="S49" s="1612" t="n"/>
      <c r="T49" s="1612" t="n"/>
      <c r="U49" s="1612" t="n"/>
      <c r="V49" s="1612" t="n"/>
      <c r="W49" s="1612" t="n"/>
      <c r="X49" s="1612" t="n"/>
      <c r="Y49" s="1612" t="n"/>
      <c r="Z49" s="1612" t="n"/>
      <c r="AA49" s="1612" t="n"/>
      <c r="AB49" s="1612" t="n"/>
    </row>
    <row r="50">
      <c r="A50" s="1677" t="inlineStr">
        <is>
          <t>.</t>
        </is>
      </c>
      <c r="B50" s="1616">
        <f>B49+1</f>
        <v/>
      </c>
      <c r="C50" s="1720">
        <f>SUMIFS(raw[flight],raw[yr],B50)</f>
        <v/>
      </c>
      <c r="D50" s="1721">
        <f>SUM(C$5:C50)</f>
        <v/>
      </c>
      <c r="E50" s="1610">
        <f>INT(D50)+MOD(D50,1)*100</f>
        <v/>
      </c>
      <c r="F50" s="1611" t="inlineStr">
        <is>
          <t>.</t>
        </is>
      </c>
      <c r="G50" s="1716" t="n">
        <v>34</v>
      </c>
      <c r="H50" s="1631">
        <f>_xlfn.XLOOKUP(Table3[[#This Row],['#]],cityRoutes['#],cityRoutes[city])</f>
        <v/>
      </c>
      <c r="I50" s="1631">
        <f>_xlfn.XLOOKUP(Table3[[#This Row],[city]],ccc[city],ccc[ctry],"-")</f>
        <v/>
      </c>
      <c r="J50" s="1631">
        <f>IF(Table3[[#This Row],[city]]="",0,COUNTIF(routes[[outbound]:[inbound]],Table3[[#This Row],[city]]))</f>
        <v/>
      </c>
      <c r="K50" s="1631">
        <f>_xlfn.XLOOKUP(Table3[[#This Row],['#]],cityRoutes['#],cityRoutes[rpt],"-")</f>
        <v/>
      </c>
      <c r="L50" s="1717">
        <f>_xlfn.XLOOKUP(Table3[[#This Row],['#]],cityRoutes['#],cityRoutes[km],0)</f>
        <v/>
      </c>
      <c r="M50" s="1611" t="inlineStr">
        <is>
          <t>.</t>
        </is>
      </c>
      <c r="N50" s="1716" t="n">
        <v>46</v>
      </c>
      <c r="O50" s="1603" t="n"/>
      <c r="P50" s="1603" t="n"/>
      <c r="Q50" s="1607" t="n"/>
      <c r="R50" s="1611" t="inlineStr">
        <is>
          <t>.</t>
        </is>
      </c>
      <c r="S50" s="1612" t="n"/>
      <c r="T50" s="1612" t="n"/>
      <c r="U50" s="1612" t="n"/>
      <c r="V50" s="1612" t="n"/>
      <c r="W50" s="1612" t="n"/>
      <c r="X50" s="1612" t="n"/>
      <c r="Y50" s="1612" t="n"/>
      <c r="Z50" s="1612" t="n"/>
      <c r="AA50" s="1612" t="n"/>
      <c r="AB50" s="1612" t="n"/>
    </row>
    <row r="51">
      <c r="A51" s="1673" t="inlineStr">
        <is>
          <t>.</t>
        </is>
      </c>
      <c r="B51" s="1621">
        <f>B50+1</f>
        <v/>
      </c>
      <c r="C51" s="1714">
        <f>SUMIFS(raw[flight],raw[yr],B51)</f>
        <v/>
      </c>
      <c r="D51" s="1715">
        <f>SUM(C$5:C51)</f>
        <v/>
      </c>
      <c r="E51" s="1610">
        <f>INT(D51)+MOD(D51,1)*100</f>
        <v/>
      </c>
      <c r="F51" s="1611" t="inlineStr">
        <is>
          <t>.</t>
        </is>
      </c>
      <c r="G51" s="1716" t="n">
        <v>37</v>
      </c>
      <c r="H51" s="1631">
        <f>_xlfn.XLOOKUP(Table3[[#This Row],['#]],cityRoutes['#],cityRoutes[city])</f>
        <v/>
      </c>
      <c r="I51" s="1631">
        <f>_xlfn.XLOOKUP(Table3[[#This Row],[city]],ccc[city],ccc[ctry],"-")</f>
        <v/>
      </c>
      <c r="J51" s="1631">
        <f>IF(Table3[[#This Row],[city]]="",0,COUNTIF(routes[[outbound]:[inbound]],Table3[[#This Row],[city]]))</f>
        <v/>
      </c>
      <c r="K51" s="1631">
        <f>_xlfn.XLOOKUP(Table3[[#This Row],['#]],cityRoutes['#],cityRoutes[rpt],"-")</f>
        <v/>
      </c>
      <c r="L51" s="1717">
        <f>_xlfn.XLOOKUP(Table3[[#This Row],['#]],cityRoutes['#],cityRoutes[km],0)</f>
        <v/>
      </c>
      <c r="M51" s="1611" t="inlineStr">
        <is>
          <t>.</t>
        </is>
      </c>
      <c r="N51" s="1716" t="n">
        <v>47</v>
      </c>
      <c r="O51" s="1603" t="n"/>
      <c r="P51" s="1603" t="n"/>
      <c r="Q51" s="1607" t="n"/>
      <c r="R51" s="1611" t="inlineStr">
        <is>
          <t>.</t>
        </is>
      </c>
      <c r="S51" s="1612" t="n"/>
      <c r="T51" s="1612" t="n"/>
      <c r="U51" s="1612" t="n"/>
      <c r="V51" s="1612" t="n"/>
      <c r="W51" s="1612" t="n"/>
      <c r="X51" s="1612" t="n"/>
      <c r="Y51" s="1612" t="n"/>
      <c r="Z51" s="1612" t="n"/>
      <c r="AA51" s="1612" t="n"/>
      <c r="AB51" s="1612" t="n"/>
    </row>
    <row r="52">
      <c r="A52" s="1677" t="inlineStr">
        <is>
          <t>.</t>
        </is>
      </c>
      <c r="B52" s="1727" t="n"/>
      <c r="C52" s="1720">
        <f>SUMIFS(raw[flight],raw[yr],B52)</f>
        <v/>
      </c>
      <c r="D52" s="1727" t="n"/>
      <c r="E52" s="1728" t="n"/>
      <c r="F52" s="1611" t="inlineStr">
        <is>
          <t>.</t>
        </is>
      </c>
      <c r="G52" s="1716" t="n">
        <v>39</v>
      </c>
      <c r="H52" s="1631">
        <f>_xlfn.XLOOKUP(Table3[[#This Row],['#]],cityRoutes['#],cityRoutes[city])</f>
        <v/>
      </c>
      <c r="I52" s="1631">
        <f>_xlfn.XLOOKUP(Table3[[#This Row],[city]],ccc[city],ccc[ctry],"-")</f>
        <v/>
      </c>
      <c r="J52" s="1631">
        <f>IF(Table3[[#This Row],[city]]="",0,COUNTIF(routes[[outbound]:[inbound]],Table3[[#This Row],[city]]))</f>
        <v/>
      </c>
      <c r="K52" s="1631">
        <f>_xlfn.XLOOKUP(Table3[[#This Row],['#]],cityRoutes['#],cityRoutes[rpt],"-")</f>
        <v/>
      </c>
      <c r="L52" s="1717">
        <f>_xlfn.XLOOKUP(Table3[[#This Row],['#]],cityRoutes['#],cityRoutes[km],0)</f>
        <v/>
      </c>
      <c r="M52" s="1611" t="inlineStr">
        <is>
          <t>.</t>
        </is>
      </c>
      <c r="N52" s="1716" t="n">
        <v>48</v>
      </c>
      <c r="O52" s="1603" t="n"/>
      <c r="P52" s="1603" t="n"/>
      <c r="Q52" s="1607" t="n"/>
      <c r="R52" s="1611" t="inlineStr">
        <is>
          <t>.</t>
        </is>
      </c>
      <c r="S52" s="1612" t="n"/>
      <c r="T52" s="1612" t="n"/>
      <c r="U52" s="1612" t="n"/>
      <c r="V52" s="1612" t="n"/>
      <c r="W52" s="1612" t="n"/>
      <c r="X52" s="1612" t="n"/>
      <c r="Y52" s="1612" t="n"/>
      <c r="Z52" s="1612" t="n"/>
      <c r="AA52" s="1612" t="n"/>
      <c r="AB52" s="1612" t="n"/>
    </row>
    <row r="53">
      <c r="A53" s="1673" t="inlineStr">
        <is>
          <t>.</t>
        </is>
      </c>
      <c r="B53" s="1729" t="n"/>
      <c r="C53" s="1714">
        <f>SUMIFS(raw[flight],raw[yr],B53)</f>
        <v/>
      </c>
      <c r="D53" s="1729" t="n"/>
      <c r="E53" s="1730" t="n"/>
      <c r="F53" s="1611" t="inlineStr">
        <is>
          <t>.</t>
        </is>
      </c>
      <c r="G53" s="1716" t="n">
        <v>40</v>
      </c>
      <c r="H53" s="1631">
        <f>_xlfn.XLOOKUP(Table3[[#This Row],['#]],cityRoutes['#],cityRoutes[city])</f>
        <v/>
      </c>
      <c r="I53" s="1631">
        <f>_xlfn.XLOOKUP(Table3[[#This Row],[city]],ccc[city],ccc[ctry],"-")</f>
        <v/>
      </c>
      <c r="J53" s="1631">
        <f>IF(Table3[[#This Row],[city]]="",0,COUNTIF(routes[[outbound]:[inbound]],Table3[[#This Row],[city]]))</f>
        <v/>
      </c>
      <c r="K53" s="1631">
        <f>_xlfn.XLOOKUP(Table3[[#This Row],['#]],cityRoutes['#],cityRoutes[rpt],"-")</f>
        <v/>
      </c>
      <c r="L53" s="1717">
        <f>_xlfn.XLOOKUP(Table3[[#This Row],['#]],cityRoutes['#],cityRoutes[km],0)</f>
        <v/>
      </c>
      <c r="M53" s="1611" t="inlineStr">
        <is>
          <t>.</t>
        </is>
      </c>
      <c r="N53" s="1716" t="n">
        <v>49</v>
      </c>
      <c r="O53" s="1603" t="n"/>
      <c r="P53" s="1603" t="n"/>
      <c r="Q53" s="1607" t="n"/>
      <c r="R53" s="1611" t="inlineStr">
        <is>
          <t>.</t>
        </is>
      </c>
      <c r="S53" s="1612" t="n"/>
      <c r="T53" s="1612" t="n"/>
      <c r="U53" s="1612" t="n"/>
      <c r="V53" s="1612" t="n"/>
      <c r="W53" s="1612" t="n"/>
      <c r="X53" s="1612" t="n"/>
      <c r="Y53" s="1612" t="n"/>
      <c r="Z53" s="1612" t="n"/>
      <c r="AA53" s="1612" t="n"/>
      <c r="AB53" s="1612" t="n"/>
    </row>
    <row r="54">
      <c r="A54" s="1677" t="inlineStr">
        <is>
          <t>.</t>
        </is>
      </c>
      <c r="B54" s="1727" t="n"/>
      <c r="C54" s="1720">
        <f>SUMIFS(raw[flight],raw[yr],B54)</f>
        <v/>
      </c>
      <c r="D54" s="1727" t="n"/>
      <c r="E54" s="1728" t="n"/>
      <c r="F54" s="1611" t="inlineStr">
        <is>
          <t>.</t>
        </is>
      </c>
      <c r="G54" s="1716" t="n">
        <v>41</v>
      </c>
      <c r="H54" s="1631">
        <f>_xlfn.XLOOKUP(Table3[[#This Row],['#]],cityRoutes['#],cityRoutes[city])</f>
        <v/>
      </c>
      <c r="I54" s="1631">
        <f>_xlfn.XLOOKUP(Table3[[#This Row],[city]],ccc[city],ccc[ctry],"-")</f>
        <v/>
      </c>
      <c r="J54" s="1631">
        <f>IF(Table3[[#This Row],[city]]="",0,COUNTIF(routes[[outbound]:[inbound]],Table3[[#This Row],[city]]))</f>
        <v/>
      </c>
      <c r="K54" s="1631">
        <f>_xlfn.XLOOKUP(Table3[[#This Row],['#]],cityRoutes['#],cityRoutes[rpt],"-")</f>
        <v/>
      </c>
      <c r="L54" s="1717">
        <f>_xlfn.XLOOKUP(Table3[[#This Row],['#]],cityRoutes['#],cityRoutes[km],0)</f>
        <v/>
      </c>
      <c r="M54" s="1611" t="inlineStr">
        <is>
          <t>.</t>
        </is>
      </c>
      <c r="N54" s="1716" t="n">
        <v>50</v>
      </c>
      <c r="O54" s="1603" t="n"/>
      <c r="P54" s="1603" t="n"/>
      <c r="Q54" s="1607" t="n"/>
      <c r="R54" s="1611" t="inlineStr">
        <is>
          <t>.</t>
        </is>
      </c>
      <c r="S54" s="1612" t="n"/>
      <c r="T54" s="1612" t="n"/>
      <c r="U54" s="1612" t="n"/>
      <c r="V54" s="1612" t="n"/>
      <c r="W54" s="1612" t="n"/>
      <c r="X54" s="1612" t="n"/>
      <c r="Y54" s="1612" t="n"/>
      <c r="Z54" s="1612" t="n"/>
      <c r="AA54" s="1612" t="n"/>
      <c r="AB54" s="1612" t="n"/>
    </row>
    <row r="55">
      <c r="A55" s="1673" t="inlineStr">
        <is>
          <t>.</t>
        </is>
      </c>
      <c r="B55" s="1729" t="n"/>
      <c r="C55" s="1714">
        <f>SUMIFS(raw[flight],raw[yr],B55)</f>
        <v/>
      </c>
      <c r="D55" s="1729" t="n"/>
      <c r="E55" s="1730" t="n"/>
      <c r="F55" s="1611" t="inlineStr">
        <is>
          <t>.</t>
        </is>
      </c>
      <c r="G55" s="1716" t="n">
        <v>42</v>
      </c>
      <c r="H55" s="1631">
        <f>_xlfn.XLOOKUP(Table3[[#This Row],['#]],cityRoutes['#],cityRoutes[city])</f>
        <v/>
      </c>
      <c r="I55" s="1631">
        <f>_xlfn.XLOOKUP(Table3[[#This Row],[city]],ccc[city],ccc[ctry],"-")</f>
        <v/>
      </c>
      <c r="J55" s="1631">
        <f>IF(Table3[[#This Row],[city]]="",0,COUNTIF(routes[[outbound]:[inbound]],Table3[[#This Row],[city]]))</f>
        <v/>
      </c>
      <c r="K55" s="1631">
        <f>_xlfn.XLOOKUP(Table3[[#This Row],['#]],cityRoutes['#],cityRoutes[rpt],"-")</f>
        <v/>
      </c>
      <c r="L55" s="1717">
        <f>_xlfn.XLOOKUP(Table3[[#This Row],['#]],cityRoutes['#],cityRoutes[km],0)</f>
        <v/>
      </c>
      <c r="M55" s="1611" t="inlineStr">
        <is>
          <t>.</t>
        </is>
      </c>
      <c r="N55" s="1716" t="n">
        <v>51</v>
      </c>
      <c r="O55" s="1603" t="n"/>
      <c r="P55" s="1603" t="n"/>
      <c r="Q55" s="1607" t="n"/>
      <c r="R55" s="1611" t="inlineStr">
        <is>
          <t>.</t>
        </is>
      </c>
      <c r="S55" s="1612" t="n"/>
      <c r="T55" s="1612" t="n"/>
      <c r="U55" s="1612" t="n"/>
      <c r="V55" s="1612" t="n"/>
      <c r="W55" s="1612" t="n"/>
      <c r="X55" s="1612" t="n"/>
      <c r="Y55" s="1612" t="n"/>
      <c r="Z55" s="1612" t="n"/>
      <c r="AA55" s="1612" t="n"/>
      <c r="AB55" s="1612" t="n"/>
    </row>
    <row r="56">
      <c r="A56" s="1677" t="inlineStr">
        <is>
          <t>.</t>
        </is>
      </c>
      <c r="B56" s="1727" t="n"/>
      <c r="C56" s="1720">
        <f>SUMIFS(raw[flight],raw[yr],B56)</f>
        <v/>
      </c>
      <c r="D56" s="1727" t="n"/>
      <c r="E56" s="1728" t="n"/>
      <c r="F56" s="1611" t="inlineStr">
        <is>
          <t>.</t>
        </is>
      </c>
      <c r="G56" s="1716" t="n">
        <v>43</v>
      </c>
      <c r="H56" s="1631">
        <f>_xlfn.XLOOKUP(Table3[[#This Row],['#]],cityRoutes['#],cityRoutes[city])</f>
        <v/>
      </c>
      <c r="I56" s="1631">
        <f>_xlfn.XLOOKUP(Table3[[#This Row],[city]],ccc[city],ccc[ctry],"-")</f>
        <v/>
      </c>
      <c r="J56" s="1631">
        <f>IF(Table3[[#This Row],[city]]="",0,COUNTIF(routes[[outbound]:[inbound]],Table3[[#This Row],[city]]))</f>
        <v/>
      </c>
      <c r="K56" s="1631">
        <f>_xlfn.XLOOKUP(Table3[[#This Row],['#]],cityRoutes['#],cityRoutes[rpt],"-")</f>
        <v/>
      </c>
      <c r="L56" s="1717">
        <f>_xlfn.XLOOKUP(Table3[[#This Row],['#]],cityRoutes['#],cityRoutes[km],0)</f>
        <v/>
      </c>
      <c r="M56" s="1611" t="inlineStr">
        <is>
          <t>.</t>
        </is>
      </c>
      <c r="N56" s="1716" t="n">
        <v>52</v>
      </c>
      <c r="O56" s="1603" t="n"/>
      <c r="P56" s="1603" t="n"/>
      <c r="Q56" s="1607" t="n"/>
      <c r="R56" s="1611" t="inlineStr">
        <is>
          <t>.</t>
        </is>
      </c>
      <c r="S56" s="1612" t="n"/>
      <c r="T56" s="1612" t="n"/>
      <c r="U56" s="1612" t="n"/>
      <c r="V56" s="1612" t="n"/>
      <c r="W56" s="1612" t="n"/>
      <c r="X56" s="1612" t="n"/>
      <c r="Y56" s="1612" t="n"/>
      <c r="Z56" s="1612" t="n"/>
      <c r="AA56" s="1612" t="n"/>
      <c r="AB56" s="1612" t="n"/>
    </row>
    <row r="57">
      <c r="A57" s="1673" t="inlineStr">
        <is>
          <t>.</t>
        </is>
      </c>
      <c r="B57" s="1729" t="n"/>
      <c r="C57" s="1714">
        <f>SUMIFS(raw[flight],raw[yr],B57)</f>
        <v/>
      </c>
      <c r="D57" s="1729" t="n"/>
      <c r="E57" s="1730" t="n"/>
      <c r="F57" s="1611" t="inlineStr">
        <is>
          <t>.</t>
        </is>
      </c>
      <c r="G57" s="1716" t="n">
        <v>47</v>
      </c>
      <c r="H57" s="1631">
        <f>_xlfn.XLOOKUP(Table3[[#This Row],['#]],cityRoutes['#],cityRoutes[city])</f>
        <v/>
      </c>
      <c r="I57" s="1631">
        <f>_xlfn.XLOOKUP(Table3[[#This Row],[city]],ccc[city],ccc[ctry],"-")</f>
        <v/>
      </c>
      <c r="J57" s="1631">
        <f>IF(Table3[[#This Row],[city]]="",0,COUNTIF(routes[[outbound]:[inbound]],Table3[[#This Row],[city]]))</f>
        <v/>
      </c>
      <c r="K57" s="1631">
        <f>_xlfn.XLOOKUP(Table3[[#This Row],['#]],cityRoutes['#],cityRoutes[rpt],"-")</f>
        <v/>
      </c>
      <c r="L57" s="1717">
        <f>_xlfn.XLOOKUP(Table3[[#This Row],['#]],cityRoutes['#],cityRoutes[km],0)</f>
        <v/>
      </c>
      <c r="M57" s="1611" t="inlineStr">
        <is>
          <t>.</t>
        </is>
      </c>
      <c r="N57" s="1716" t="n">
        <v>53</v>
      </c>
      <c r="O57" s="1603" t="n"/>
      <c r="P57" s="1603" t="n"/>
      <c r="Q57" s="1607" t="n"/>
      <c r="R57" s="1611" t="inlineStr">
        <is>
          <t>.</t>
        </is>
      </c>
      <c r="S57" s="1612" t="n"/>
      <c r="T57" s="1612" t="n"/>
      <c r="U57" s="1612" t="n"/>
      <c r="V57" s="1612" t="n"/>
      <c r="W57" s="1612" t="n"/>
      <c r="X57" s="1612" t="n"/>
      <c r="Y57" s="1612" t="n"/>
      <c r="Z57" s="1612" t="n"/>
      <c r="AA57" s="1612" t="n"/>
      <c r="AB57" s="1612" t="n"/>
    </row>
    <row r="58">
      <c r="A58" s="1677" t="inlineStr">
        <is>
          <t>.</t>
        </is>
      </c>
      <c r="B58" s="1727" t="n"/>
      <c r="C58" s="1720">
        <f>SUMIFS(raw[flight],raw[yr],B58)</f>
        <v/>
      </c>
      <c r="D58" s="1727" t="n"/>
      <c r="E58" s="1728" t="n"/>
      <c r="F58" s="1611" t="inlineStr">
        <is>
          <t>.</t>
        </is>
      </c>
      <c r="G58" s="1716" t="n">
        <v>48</v>
      </c>
      <c r="H58" s="1631">
        <f>_xlfn.XLOOKUP(Table3[[#This Row],['#]],cityRoutes['#],cityRoutes[city])</f>
        <v/>
      </c>
      <c r="I58" s="1631">
        <f>_xlfn.XLOOKUP(Table3[[#This Row],[city]],ccc[city],ccc[ctry],"-")</f>
        <v/>
      </c>
      <c r="J58" s="1631">
        <f>IF(Table3[[#This Row],[city]]="",0,COUNTIF(routes[[outbound]:[inbound]],Table3[[#This Row],[city]]))</f>
        <v/>
      </c>
      <c r="K58" s="1631">
        <f>_xlfn.XLOOKUP(Table3[[#This Row],['#]],cityRoutes['#],cityRoutes[rpt],"-")</f>
        <v/>
      </c>
      <c r="L58" s="1717">
        <f>_xlfn.XLOOKUP(Table3[[#This Row],['#]],cityRoutes['#],cityRoutes[km],0)</f>
        <v/>
      </c>
      <c r="M58" s="1611" t="inlineStr">
        <is>
          <t>.</t>
        </is>
      </c>
      <c r="N58" s="1716" t="n">
        <v>54</v>
      </c>
      <c r="O58" s="1603" t="n"/>
      <c r="P58" s="1603" t="n"/>
      <c r="Q58" s="1607" t="n"/>
      <c r="R58" s="1611" t="inlineStr">
        <is>
          <t>.</t>
        </is>
      </c>
      <c r="S58" s="1612" t="n"/>
      <c r="T58" s="1612" t="n"/>
      <c r="U58" s="1612" t="n"/>
      <c r="V58" s="1612" t="n"/>
      <c r="W58" s="1612" t="n"/>
      <c r="X58" s="1612" t="n"/>
      <c r="Y58" s="1612" t="n"/>
      <c r="Z58" s="1612" t="n"/>
      <c r="AA58" s="1612" t="n"/>
      <c r="AB58" s="1612" t="n"/>
    </row>
    <row r="59">
      <c r="A59" s="1673" t="inlineStr">
        <is>
          <t>.</t>
        </is>
      </c>
      <c r="B59" s="1729" t="n"/>
      <c r="C59" s="1714">
        <f>SUMIFS(raw[flight],raw[yr],B59)</f>
        <v/>
      </c>
      <c r="D59" s="1729" t="n"/>
      <c r="E59" s="1730" t="n"/>
      <c r="F59" s="1611" t="inlineStr">
        <is>
          <t>.</t>
        </is>
      </c>
      <c r="G59" s="1716" t="n">
        <v>50</v>
      </c>
      <c r="H59" s="1631">
        <f>_xlfn.XLOOKUP(Table3[[#This Row],['#]],cityRoutes['#],cityRoutes[city])</f>
        <v/>
      </c>
      <c r="I59" s="1631">
        <f>_xlfn.XLOOKUP(Table3[[#This Row],[city]],ccc[city],ccc[ctry],"-")</f>
        <v/>
      </c>
      <c r="J59" s="1631">
        <f>IF(Table3[[#This Row],[city]]="",0,COUNTIF(routes[[outbound]:[inbound]],Table3[[#This Row],[city]]))</f>
        <v/>
      </c>
      <c r="K59" s="1631">
        <f>_xlfn.XLOOKUP(Table3[[#This Row],['#]],cityRoutes['#],cityRoutes[rpt],"-")</f>
        <v/>
      </c>
      <c r="L59" s="1717">
        <f>_xlfn.XLOOKUP(Table3[[#This Row],['#]],cityRoutes['#],cityRoutes[km],0)</f>
        <v/>
      </c>
      <c r="M59" s="1611" t="inlineStr">
        <is>
          <t>.</t>
        </is>
      </c>
      <c r="N59" s="1716" t="n">
        <v>55</v>
      </c>
      <c r="O59" s="1603" t="n"/>
      <c r="P59" s="1603" t="n"/>
      <c r="Q59" s="1607" t="n"/>
      <c r="R59" s="1611" t="inlineStr">
        <is>
          <t>.</t>
        </is>
      </c>
      <c r="S59" s="1612" t="n"/>
      <c r="T59" s="1612" t="n"/>
      <c r="U59" s="1612" t="n"/>
      <c r="V59" s="1612" t="n"/>
      <c r="W59" s="1612" t="n"/>
      <c r="X59" s="1612" t="n"/>
      <c r="Y59" s="1612" t="n"/>
      <c r="Z59" s="1612" t="n"/>
      <c r="AA59" s="1612" t="n"/>
      <c r="AB59" s="1612" t="n"/>
    </row>
    <row r="60">
      <c r="A60" s="1677" t="inlineStr">
        <is>
          <t>.</t>
        </is>
      </c>
      <c r="B60" s="1727" t="n"/>
      <c r="C60" s="1720">
        <f>SUMIFS(raw[flight],raw[yr],B60)</f>
        <v/>
      </c>
      <c r="D60" s="1727" t="n"/>
      <c r="E60" s="1728" t="n"/>
      <c r="F60" s="1611" t="inlineStr">
        <is>
          <t>.</t>
        </is>
      </c>
      <c r="G60" s="1716" t="n">
        <v>55</v>
      </c>
      <c r="H60" s="1631">
        <f>_xlfn.XLOOKUP(Table3[[#This Row],['#]],cityRoutes['#],cityRoutes[city])</f>
        <v/>
      </c>
      <c r="I60" s="1631">
        <f>_xlfn.XLOOKUP(Table3[[#This Row],[city]],ccc[city],ccc[ctry],"-")</f>
        <v/>
      </c>
      <c r="J60" s="1631">
        <f>IF(Table3[[#This Row],[city]]="",0,COUNTIF(routes[[outbound]:[inbound]],Table3[[#This Row],[city]]))</f>
        <v/>
      </c>
      <c r="K60" s="1631">
        <f>_xlfn.XLOOKUP(Table3[[#This Row],['#]],cityRoutes['#],cityRoutes[rpt],"-")</f>
        <v/>
      </c>
      <c r="L60" s="1717">
        <f>_xlfn.XLOOKUP(Table3[[#This Row],['#]],cityRoutes['#],cityRoutes[km],0)</f>
        <v/>
      </c>
      <c r="M60" s="1611" t="inlineStr">
        <is>
          <t>.</t>
        </is>
      </c>
      <c r="N60" s="1716" t="n">
        <v>56</v>
      </c>
      <c r="O60" s="1603" t="n"/>
      <c r="P60" s="1603" t="n"/>
      <c r="Q60" s="1607" t="n"/>
      <c r="R60" s="1611" t="inlineStr">
        <is>
          <t>.</t>
        </is>
      </c>
      <c r="S60" s="1612" t="n"/>
      <c r="T60" s="1612" t="n"/>
      <c r="U60" s="1612" t="n"/>
      <c r="V60" s="1612" t="n"/>
      <c r="W60" s="1612" t="n"/>
      <c r="X60" s="1612" t="n"/>
      <c r="Y60" s="1612" t="n"/>
      <c r="Z60" s="1612" t="n"/>
      <c r="AA60" s="1612" t="n"/>
      <c r="AB60" s="1612" t="n"/>
    </row>
    <row r="61">
      <c r="A61" s="1673" t="inlineStr">
        <is>
          <t>.</t>
        </is>
      </c>
      <c r="B61" s="1729" t="n"/>
      <c r="C61" s="1714">
        <f>SUMIFS(raw[flight],raw[yr],B61)</f>
        <v/>
      </c>
      <c r="D61" s="1729" t="n"/>
      <c r="E61" s="1730" t="n"/>
      <c r="F61" s="1611" t="inlineStr">
        <is>
          <t>.</t>
        </is>
      </c>
      <c r="G61" s="1716" t="n">
        <v>58</v>
      </c>
      <c r="H61" s="1631">
        <f>_xlfn.XLOOKUP(Table3[[#This Row],['#]],cityRoutes['#],cityRoutes[city])</f>
        <v/>
      </c>
      <c r="I61" s="1631">
        <f>_xlfn.XLOOKUP(Table3[[#This Row],[city]],ccc[city],ccc[ctry],"-")</f>
        <v/>
      </c>
      <c r="J61" s="1631">
        <f>IF(Table3[[#This Row],[city]]="",0,COUNTIF(routes[[outbound]:[inbound]],Table3[[#This Row],[city]]))</f>
        <v/>
      </c>
      <c r="K61" s="1631">
        <f>_xlfn.XLOOKUP(Table3[[#This Row],['#]],cityRoutes['#],cityRoutes[rpt],"-")</f>
        <v/>
      </c>
      <c r="L61" s="1717">
        <f>_xlfn.XLOOKUP(Table3[[#This Row],['#]],cityRoutes['#],cityRoutes[km],0)</f>
        <v/>
      </c>
      <c r="M61" s="1611" t="inlineStr">
        <is>
          <t>.</t>
        </is>
      </c>
      <c r="N61" s="1716" t="n">
        <v>57</v>
      </c>
      <c r="O61" s="1603" t="n"/>
      <c r="P61" s="1603" t="n"/>
      <c r="Q61" s="1607" t="n"/>
      <c r="R61" s="1611" t="inlineStr">
        <is>
          <t>.</t>
        </is>
      </c>
      <c r="S61" s="1612" t="n"/>
      <c r="T61" s="1612" t="n"/>
      <c r="U61" s="1612" t="n"/>
      <c r="V61" s="1612" t="n"/>
      <c r="W61" s="1612" t="n"/>
      <c r="X61" s="1612" t="n"/>
      <c r="Y61" s="1612" t="n"/>
      <c r="Z61" s="1612" t="n"/>
      <c r="AA61" s="1612" t="n"/>
      <c r="AB61" s="1612" t="n"/>
    </row>
    <row r="62">
      <c r="A62" s="1677" t="inlineStr">
        <is>
          <t>.</t>
        </is>
      </c>
      <c r="B62" s="1727" t="n"/>
      <c r="C62" s="1720">
        <f>SUMIFS(raw[flight],raw[yr],B62)</f>
        <v/>
      </c>
      <c r="D62" s="1727" t="n"/>
      <c r="E62" s="1728" t="n"/>
      <c r="F62" s="1611" t="inlineStr">
        <is>
          <t>.</t>
        </is>
      </c>
      <c r="G62" s="1716" t="n">
        <v>52</v>
      </c>
      <c r="H62" s="1631">
        <f>_xlfn.XLOOKUP(Table3[[#This Row],['#]],cityRoutes['#],cityRoutes[city])</f>
        <v/>
      </c>
      <c r="I62" s="1631">
        <f>_xlfn.XLOOKUP(Table3[[#This Row],[city]],ccc[city],ccc[ctry],"-")</f>
        <v/>
      </c>
      <c r="J62" s="1631">
        <f>IF(Table3[[#This Row],[city]]="",0,COUNTIF(routes[[outbound]:[inbound]],Table3[[#This Row],[city]]))</f>
        <v/>
      </c>
      <c r="K62" s="1631">
        <f>_xlfn.XLOOKUP(Table3[[#This Row],['#]],cityRoutes['#],cityRoutes[rpt],"-")</f>
        <v/>
      </c>
      <c r="L62" s="1717">
        <f>_xlfn.XLOOKUP(Table3[[#This Row],['#]],cityRoutes['#],cityRoutes[km],0)</f>
        <v/>
      </c>
      <c r="M62" s="1611" t="inlineStr">
        <is>
          <t>.</t>
        </is>
      </c>
      <c r="N62" s="1716" t="n">
        <v>58</v>
      </c>
      <c r="O62" s="1603" t="n"/>
      <c r="P62" s="1603" t="n"/>
      <c r="Q62" s="1607" t="n"/>
      <c r="R62" s="1611" t="inlineStr">
        <is>
          <t>.</t>
        </is>
      </c>
      <c r="S62" s="1612" t="n"/>
      <c r="T62" s="1612" t="n"/>
      <c r="U62" s="1612" t="n"/>
      <c r="V62" s="1612" t="n"/>
      <c r="W62" s="1612" t="n"/>
      <c r="X62" s="1612" t="n"/>
      <c r="Y62" s="1612" t="n"/>
      <c r="Z62" s="1612" t="n"/>
      <c r="AA62" s="1612" t="n"/>
      <c r="AB62" s="1612" t="n"/>
    </row>
    <row r="63">
      <c r="A63" s="1673" t="inlineStr">
        <is>
          <t>.</t>
        </is>
      </c>
      <c r="B63" s="1729" t="n"/>
      <c r="C63" s="1714">
        <f>SUMIFS(raw[flight],raw[yr],B63)</f>
        <v/>
      </c>
      <c r="D63" s="1729" t="n"/>
      <c r="E63" s="1730" t="n"/>
      <c r="F63" s="1611" t="inlineStr">
        <is>
          <t>.</t>
        </is>
      </c>
      <c r="G63" s="1716" t="n">
        <v>59</v>
      </c>
      <c r="H63" s="1603" t="n"/>
      <c r="I63" s="1631">
        <f>_xlfn.XLOOKUP(Table3[[#This Row],[city]],ccc[city],ccc[ctry],"-")</f>
        <v/>
      </c>
      <c r="J63" s="1631">
        <f>IF(Table3[[#This Row],[city]]="",0,COUNTIF(routes[[outbound]:[inbound]],Table3[[#This Row],[city]]))</f>
        <v/>
      </c>
      <c r="K63" s="1607" t="n"/>
      <c r="L63" s="1717">
        <f>_xlfn.XLOOKUP(Table3[[#This Row],['#]],cityRoutes['#],cityRoutes[km],0)</f>
        <v/>
      </c>
      <c r="M63" s="1611" t="inlineStr">
        <is>
          <t>.</t>
        </is>
      </c>
      <c r="N63" s="1716" t="n">
        <v>59</v>
      </c>
      <c r="O63" s="1603" t="n"/>
      <c r="P63" s="1603" t="n"/>
      <c r="Q63" s="1607" t="n"/>
      <c r="R63" s="1611" t="inlineStr">
        <is>
          <t>.</t>
        </is>
      </c>
      <c r="S63" s="1612" t="n"/>
      <c r="T63" s="1612" t="n"/>
      <c r="U63" s="1612" t="n"/>
      <c r="V63" s="1612" t="n"/>
      <c r="W63" s="1612" t="n"/>
      <c r="X63" s="1612" t="n"/>
      <c r="Y63" s="1612" t="n"/>
      <c r="Z63" s="1612" t="n"/>
      <c r="AA63" s="1612" t="n"/>
      <c r="AB63" s="1612" t="n"/>
    </row>
    <row r="64">
      <c r="A64" s="1677" t="inlineStr">
        <is>
          <t>.</t>
        </is>
      </c>
      <c r="B64" s="1731" t="n"/>
      <c r="C64" s="1720">
        <f>SUMIFS(raw[flight],raw[yr],B64)</f>
        <v/>
      </c>
      <c r="D64" s="1731" t="n"/>
      <c r="E64" s="1732" t="n"/>
      <c r="F64" s="1611" t="inlineStr">
        <is>
          <t>.</t>
        </is>
      </c>
      <c r="G64" s="1716" t="n">
        <v>60</v>
      </c>
      <c r="H64" s="1670" t="n"/>
      <c r="I64" s="1631">
        <f>_xlfn.XLOOKUP(Table3[[#This Row],[city]],ccc[city],ccc[ctry],"-")</f>
        <v/>
      </c>
      <c r="J64" s="1631">
        <f>IF(Table3[[#This Row],[city]]="",0,COUNTIF(routes[[outbound]:[inbound]],Table3[[#This Row],[city]]))</f>
        <v/>
      </c>
      <c r="K64" s="1671" t="n"/>
      <c r="L64" s="1717">
        <f>_xlfn.XLOOKUP(Table3[[#This Row],['#]],cityRoutes['#],cityRoutes[km],0)</f>
        <v/>
      </c>
      <c r="M64" s="1611" t="inlineStr">
        <is>
          <t>.</t>
        </is>
      </c>
      <c r="N64" s="1716" t="n">
        <v>60</v>
      </c>
      <c r="O64" s="1670" t="n"/>
      <c r="P64" s="1670" t="n"/>
      <c r="Q64" s="1671" t="n"/>
      <c r="R64" s="1611" t="inlineStr">
        <is>
          <t>.</t>
        </is>
      </c>
      <c r="S64" s="1612" t="n"/>
      <c r="T64" s="1612" t="n"/>
      <c r="U64" s="1612" t="n"/>
      <c r="V64" s="1612" t="n"/>
      <c r="W64" s="1612" t="n"/>
      <c r="X64" s="1612" t="n"/>
      <c r="Y64" s="1612" t="n"/>
      <c r="Z64" s="1612" t="n"/>
      <c r="AA64" s="1612" t="n"/>
      <c r="AB64" s="1612" t="n"/>
    </row>
    <row r="65">
      <c r="A65" s="1673" t="inlineStr">
        <is>
          <t>.</t>
        </is>
      </c>
      <c r="B65" s="1733" t="inlineStr">
        <is>
          <t>.</t>
        </is>
      </c>
      <c r="C65" s="1596" t="inlineStr">
        <is>
          <t>.</t>
        </is>
      </c>
      <c r="D65" s="1596" t="inlineStr">
        <is>
          <t>.</t>
        </is>
      </c>
      <c r="E65" s="1597" t="inlineStr">
        <is>
          <t>.</t>
        </is>
      </c>
      <c r="F65" s="1611" t="inlineStr">
        <is>
          <t>.</t>
        </is>
      </c>
      <c r="G65" s="1611" t="inlineStr">
        <is>
          <t>.</t>
        </is>
      </c>
      <c r="H65" s="1611" t="inlineStr">
        <is>
          <t>.</t>
        </is>
      </c>
      <c r="I65" s="1611" t="inlineStr">
        <is>
          <t>.</t>
        </is>
      </c>
      <c r="J65" s="1611" t="n"/>
      <c r="K65" s="1611" t="inlineStr">
        <is>
          <t>.</t>
        </is>
      </c>
      <c r="L65" s="1611" t="n"/>
      <c r="M65" s="1611" t="inlineStr">
        <is>
          <t>.</t>
        </is>
      </c>
      <c r="N65" s="1611" t="n"/>
      <c r="O65" s="1597" t="inlineStr">
        <is>
          <t>.</t>
        </is>
      </c>
      <c r="P65" s="1597" t="inlineStr">
        <is>
          <t>.</t>
        </is>
      </c>
      <c r="Q65" s="1597" t="inlineStr">
        <is>
          <t>.</t>
        </is>
      </c>
      <c r="R65" s="1611" t="inlineStr">
        <is>
          <t>.</t>
        </is>
      </c>
      <c r="S65" s="1612" t="n"/>
      <c r="T65" s="1612" t="n"/>
      <c r="U65" s="1612" t="n"/>
      <c r="V65" s="1612" t="n"/>
      <c r="W65" s="1612" t="n"/>
      <c r="X65" s="1612" t="n"/>
      <c r="Y65" s="1612" t="n"/>
      <c r="Z65" s="1612" t="n"/>
      <c r="AA65" s="1612" t="n"/>
      <c r="AB65" s="1612" t="n"/>
    </row>
  </sheetData>
  <mergeCells count="4">
    <mergeCell ref="Y3:AA3"/>
    <mergeCell ref="V3:W3"/>
    <mergeCell ref="Y4:AA4"/>
    <mergeCell ref="U2:AB2"/>
  </mergeCells>
  <conditionalFormatting sqref="B6:B51">
    <cfRule type="colorScale" priority="3">
      <colorScale>
        <cfvo type="min"/>
        <cfvo type="percentile" val="50"/>
        <cfvo type="max"/>
        <color rgb="FFF8696B"/>
        <color rgb="FFFFEB84"/>
        <color rgb="FF63BE7B"/>
      </colorScale>
    </cfRule>
  </conditionalFormatting>
  <conditionalFormatting sqref="C5:C64">
    <cfRule type="cellIs" priority="1" operator="equal" dxfId="18">
      <formula>0</formula>
    </cfRule>
    <cfRule type="colorScale" priority="2">
      <colorScale>
        <cfvo type="min"/>
        <cfvo type="percentile" val="50"/>
        <cfvo type="max"/>
        <color rgb="FFF8696B"/>
        <color rgb="FFFFEB84"/>
        <color rgb="FF63BE7B"/>
      </colorScale>
    </cfRule>
  </conditionalFormatting>
  <conditionalFormatting sqref="E5:E51">
    <cfRule type="colorScale" priority="4">
      <colorScale>
        <cfvo type="min"/>
        <cfvo type="percentile" val="50"/>
        <cfvo type="max"/>
        <color rgb="FFF8696B"/>
        <color rgb="FFFCFCFF"/>
        <color rgb="FF5A8AC6"/>
      </colorScale>
    </cfRule>
  </conditionalFormatting>
  <pageMargins left="0.7" right="0.7" top="0.75" bottom="0.75" header="0.3" footer="0.3"/>
  <pageSetup orientation="portrait" horizontalDpi="0" verticalDpi="0"/>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tabColor rgb="006A1B9A"/>
    <outlinePr summaryBelow="1" summaryRight="1"/>
    <pageSetUpPr/>
  </sheetPr>
  <dimension ref="A1:AC44"/>
  <sheetViews>
    <sheetView workbookViewId="0">
      <pane ySplit="2" topLeftCell="A3" activePane="bottomLeft" state="frozen"/>
      <selection pane="bottomLeft" activeCell="K5" sqref="K5"/>
    </sheetView>
  </sheetViews>
  <sheetFormatPr baseColWidth="10" defaultRowHeight="16"/>
  <cols>
    <col width="4.5" customWidth="1" style="3" min="1" max="1"/>
    <col width="15.33203125" bestFit="1" customWidth="1" min="2" max="2"/>
    <col width="9.5" bestFit="1" customWidth="1" min="3" max="3"/>
    <col width="5.5" customWidth="1" style="3" min="4" max="4"/>
    <col width="10.83203125" customWidth="1" style="3" min="5" max="5"/>
    <col width="6.6640625" customWidth="1" style="3" min="6" max="6"/>
    <col width="6.83203125" customWidth="1" style="3" min="7" max="7"/>
    <col width="6.33203125" customWidth="1" style="3" min="8" max="8"/>
    <col width="1" customWidth="1" style="3" min="9" max="9"/>
    <col width="6" customWidth="1" style="3" min="10" max="10"/>
    <col width="8.1640625" customWidth="1" style="1" min="11" max="11"/>
    <col width="3.33203125" customWidth="1" style="3" min="12" max="12"/>
    <col width="6.6640625" customWidth="1" style="3" min="13" max="13"/>
    <col width="6.83203125" customWidth="1" style="3" min="14" max="14"/>
    <col width="1.6640625" bestFit="1" customWidth="1" min="15" max="15"/>
    <col width="5.1640625" bestFit="1" customWidth="1" min="17" max="17"/>
    <col width="10.33203125" bestFit="1" customWidth="1" min="18" max="18"/>
    <col width="7.33203125" bestFit="1" customWidth="1" min="19" max="19"/>
    <col width="10.33203125" bestFit="1" customWidth="1" min="20" max="20"/>
    <col width="4.83203125" customWidth="1" min="21" max="21"/>
    <col width="1.6640625" bestFit="1" customWidth="1" min="22" max="22"/>
    <col width="13.33203125" customWidth="1" min="23" max="23"/>
    <col width="6" bestFit="1" customWidth="1" min="24" max="24"/>
    <col width="14.1640625" bestFit="1" customWidth="1" min="25" max="25"/>
    <col width="6" bestFit="1" customWidth="1" min="26" max="26"/>
    <col width="1.6640625" bestFit="1" customWidth="1" min="27" max="27"/>
    <col width="4.1640625" bestFit="1" customWidth="1" min="31" max="31"/>
    <col width="22.83203125" bestFit="1" customWidth="1" min="32" max="32"/>
    <col width="6.1640625" bestFit="1" customWidth="1" min="35" max="35"/>
  </cols>
  <sheetData>
    <row r="1">
      <c r="A1" s="1545" t="n"/>
      <c r="B1" s="1545" t="n"/>
      <c r="C1" s="1545" t="n"/>
      <c r="D1" s="1545" t="n"/>
      <c r="E1" s="1545" t="n"/>
      <c r="F1" s="1545" t="n"/>
      <c r="G1" s="1545" t="n"/>
      <c r="H1" s="1545" t="n"/>
      <c r="I1" s="1545" t="inlineStr">
        <is>
          <t>.</t>
        </is>
      </c>
      <c r="J1" s="1734" t="n"/>
      <c r="K1" s="1734" t="n"/>
      <c r="L1" s="1734" t="n"/>
      <c r="M1" s="1734" t="n"/>
      <c r="N1" s="1734" t="inlineStr">
        <is>
          <t>.</t>
        </is>
      </c>
      <c r="O1" s="1545" t="inlineStr">
        <is>
          <t>.</t>
        </is>
      </c>
      <c r="P1" s="1548" t="n"/>
      <c r="Q1" s="1548" t="n"/>
      <c r="R1" s="1548" t="n"/>
      <c r="S1" s="1548" t="n"/>
      <c r="T1" s="1548" t="n"/>
      <c r="U1" s="1548" t="n"/>
      <c r="V1" s="1548" t="n"/>
      <c r="W1" s="1548" t="n"/>
      <c r="X1" s="1548" t="n"/>
      <c r="Y1" s="1548" t="n"/>
      <c r="Z1" s="1548" t="n"/>
      <c r="AA1" s="1545" t="inlineStr">
        <is>
          <t>.</t>
        </is>
      </c>
      <c r="AB1" s="1548" t="n"/>
      <c r="AC1" s="1548" t="n"/>
    </row>
    <row r="2">
      <c r="A2" s="1361" t="inlineStr">
        <is>
          <t>#</t>
        </is>
      </c>
      <c r="B2" s="1361" t="inlineStr">
        <is>
          <t>nickname</t>
        </is>
      </c>
      <c r="C2" s="1361" t="inlineStr">
        <is>
          <t>city</t>
        </is>
      </c>
      <c r="D2" s="1361" t="inlineStr">
        <is>
          <t>ctry</t>
        </is>
      </c>
      <c r="E2" s="1361" t="inlineStr">
        <is>
          <t>1st date</t>
        </is>
      </c>
      <c r="F2" s="1361" t="inlineStr">
        <is>
          <t>main</t>
        </is>
      </c>
      <c r="G2" s="1361" t="inlineStr">
        <is>
          <t>total</t>
        </is>
      </c>
      <c r="H2" s="1361" t="inlineStr">
        <is>
          <t>%</t>
        </is>
      </c>
      <c r="I2" s="1361" t="inlineStr">
        <is>
          <t>.</t>
        </is>
      </c>
      <c r="J2" s="1361" t="inlineStr">
        <is>
          <t>id</t>
        </is>
      </c>
      <c r="K2" s="1361" t="inlineStr">
        <is>
          <t>city</t>
        </is>
      </c>
      <c r="L2" s="1361" t="inlineStr">
        <is>
          <t>rpt</t>
        </is>
      </c>
      <c r="M2" s="1361" t="inlineStr">
        <is>
          <t>main</t>
        </is>
      </c>
      <c r="N2" s="1361" t="inlineStr">
        <is>
          <t>total</t>
        </is>
      </c>
      <c r="O2" s="1361" t="inlineStr">
        <is>
          <t>.</t>
        </is>
      </c>
      <c r="P2" s="1361" t="n"/>
      <c r="Q2" s="1361" t="n"/>
      <c r="R2" s="1361" t="n"/>
      <c r="S2" s="1361" t="n"/>
      <c r="T2" s="1361" t="n"/>
      <c r="U2" s="1361" t="n"/>
      <c r="V2" s="1361" t="n"/>
      <c r="W2" s="1361" t="n"/>
      <c r="X2" s="1361" t="n"/>
      <c r="Y2" s="1361" t="n"/>
      <c r="Z2" s="1361" t="n"/>
      <c r="AA2" s="1361" t="inlineStr">
        <is>
          <t>.</t>
        </is>
      </c>
      <c r="AB2" s="1361" t="n"/>
      <c r="AC2" s="1361" t="n"/>
    </row>
    <row r="3">
      <c r="A3" s="1735" t="n">
        <v>1</v>
      </c>
      <c r="B3" s="1735">
        <f>_xlfn.XLOOKUP(tblhome1[[#This Row],['#]],homes[id],homes[home],"-")</f>
        <v/>
      </c>
      <c r="C3" s="1735">
        <f>_xlfn.XLOOKUP(tblhome1[[#This Row],[nickname]],homes[home],homes[city],"-")</f>
        <v/>
      </c>
      <c r="D3" s="1735">
        <f>_xlfn.XLOOKUP(tblhome1[[#This Row],[nickname]],homes[home],homes[ctry],"-")</f>
        <v/>
      </c>
      <c r="E3" s="1736">
        <f>_xlfn.XLOOKUP(tblhome1[[#This Row],[nickname]],homes[home],homes[1st date],"-")</f>
        <v/>
      </c>
      <c r="F3" s="1735">
        <f>ROUND(_xlfn.XLOOKUP(tblhome1[[#This Row],[nickname]],homes[home],homes[main],0),0)</f>
        <v/>
      </c>
      <c r="G3" s="1735">
        <f>ROUND(_xlfn.XLOOKUP(tblhome1[[#This Row],[nickname]],homes[home],homes[total],0),0)</f>
        <v/>
      </c>
      <c r="H3" s="1737">
        <f>_xlfn.XLOOKUP(tblhome1[[#This Row],[nickname]],homes[home],homes[%],"-")</f>
        <v/>
      </c>
      <c r="I3" s="1738" t="n">
        <v>1</v>
      </c>
      <c r="J3" s="1739" t="n">
        <v>1</v>
      </c>
      <c r="K3" s="1740">
        <f>_xlfn.XLOOKUP(Table18[[#This Row],[id]],homeCities['#],homeCities[homeCity],"-")</f>
        <v/>
      </c>
      <c r="L3" s="1740">
        <f>COUNTIF(tblhome1[city],Table18[[#This Row],[city]])</f>
        <v/>
      </c>
      <c r="M3" s="1740">
        <f>SUMIFS(tblhome1[main],tblhome1[city],Table18[[#This Row],[city]])</f>
        <v/>
      </c>
      <c r="N3" s="1740">
        <f>SUMIFS(tblhome1[total],tblhome1[city],Table18[[#This Row],[city]])</f>
        <v/>
      </c>
      <c r="O3" s="1741" t="inlineStr">
        <is>
          <t>.</t>
        </is>
      </c>
      <c r="P3" s="1742" t="n"/>
      <c r="Q3" s="1743" t="inlineStr">
        <is>
          <t>from</t>
        </is>
      </c>
      <c r="R3" s="1744" t="inlineStr">
        <is>
          <t>BDAY</t>
        </is>
      </c>
      <c r="S3" s="1745" t="n"/>
      <c r="T3" s="1746">
        <f>R3</f>
        <v/>
      </c>
      <c r="U3" s="1746" t="n"/>
      <c r="V3" s="1746" t="inlineStr">
        <is>
          <t>.</t>
        </is>
      </c>
      <c r="W3" s="1744" t="inlineStr">
        <is>
          <t>REV</t>
        </is>
      </c>
      <c r="X3" s="1745" t="n"/>
      <c r="Y3" s="1745">
        <f>W3</f>
        <v/>
      </c>
      <c r="Z3" s="1745" t="n"/>
      <c r="AA3" s="1747" t="inlineStr">
        <is>
          <t>.</t>
        </is>
      </c>
      <c r="AB3" s="1742" t="n"/>
      <c r="AC3" s="1742" t="n"/>
    </row>
    <row r="4">
      <c r="A4" s="1748" t="n">
        <v>2</v>
      </c>
      <c r="B4" s="1748">
        <f>_xlfn.XLOOKUP(tblhome1[[#This Row],['#]],homes[id],homes[home],"-")</f>
        <v/>
      </c>
      <c r="C4" s="1748">
        <f>_xlfn.XLOOKUP(tblhome1[[#This Row],[nickname]],homes[home],homes[city],"-")</f>
        <v/>
      </c>
      <c r="D4" s="1748">
        <f>_xlfn.XLOOKUP(tblhome1[[#This Row],[nickname]],homes[home],homes[ctry],"-")</f>
        <v/>
      </c>
      <c r="E4" s="1749">
        <f>_xlfn.XLOOKUP(tblhome1[[#This Row],[nickname]],homes[home],homes[1st date],"-")</f>
        <v/>
      </c>
      <c r="F4" s="1748">
        <f>ROUND(_xlfn.XLOOKUP(tblhome1[[#This Row],[nickname]],homes[home],homes[main],0),0)</f>
        <v/>
      </c>
      <c r="G4" s="1748">
        <f>ROUND(_xlfn.XLOOKUP(tblhome1[[#This Row],[nickname]],homes[home],homes[total],0),0)</f>
        <v/>
      </c>
      <c r="H4" s="1750">
        <f>_xlfn.XLOOKUP(tblhome1[[#This Row],[nickname]],homes[home],homes[%],"-")</f>
        <v/>
      </c>
      <c r="I4" s="1751">
        <f>I3+1</f>
        <v/>
      </c>
      <c r="J4" s="1739" t="n">
        <v>10</v>
      </c>
      <c r="K4" s="1740">
        <f>_xlfn.XLOOKUP(Table18[[#This Row],[id]],homeCities['#],homeCities[homeCity],"-")</f>
        <v/>
      </c>
      <c r="L4" s="1740">
        <f>COUNTIF(tblhome1[city],Table18[[#This Row],[city]])</f>
        <v/>
      </c>
      <c r="M4" s="1740">
        <f>SUMIFS(tblhome1[main],tblhome1[city],Table18[[#This Row],[city]])</f>
        <v/>
      </c>
      <c r="N4" s="1740">
        <f>SUMIFS(tblhome1[total],tblhome1[city],Table18[[#This Row],[city]])</f>
        <v/>
      </c>
      <c r="O4" s="1741" t="inlineStr">
        <is>
          <t>.</t>
        </is>
      </c>
      <c r="P4" s="1742" t="n"/>
      <c r="Q4" s="1747" t="n">
        <v>1992</v>
      </c>
      <c r="R4" s="1752">
        <f t="array" ref="R4:R37">_xlfn._xlws.FILTER(raw[city],(raw[note]=R$3)*(raw[yr]&gt;=1992)*(raw[yr]&lt;=YEAR(TODAY())))</f>
        <v/>
      </c>
      <c r="S4" s="1753">
        <f>_xlfn.XLOOKUP(R4,cities[city],cities[ctry],"-")</f>
        <v/>
      </c>
      <c r="T4" s="1754" t="inlineStr">
        <is>
          <t>city</t>
        </is>
      </c>
      <c r="U4" s="1755" t="inlineStr">
        <is>
          <t>rpt</t>
        </is>
      </c>
      <c r="V4" s="1746" t="inlineStr">
        <is>
          <t>.</t>
        </is>
      </c>
      <c r="W4" s="1752">
        <f t="array" ref="W4:W38">_xlfn._xlws.FILTER(raw[city],(raw[note]=W$3)*(raw[yr]&gt;=1992)*(raw[yr]&lt;=YEAR(TODAY())))</f>
        <v/>
      </c>
      <c r="X4" s="1753">
        <f>_xlfn.XLOOKUP(W4,cities[city],cities[ctry],"-")</f>
        <v/>
      </c>
      <c r="Y4" s="1754" t="inlineStr">
        <is>
          <t>city</t>
        </is>
      </c>
      <c r="Z4" s="1755" t="inlineStr">
        <is>
          <t>rpt</t>
        </is>
      </c>
      <c r="AA4" s="1747" t="inlineStr">
        <is>
          <t>.</t>
        </is>
      </c>
      <c r="AB4" s="1742" t="n"/>
      <c r="AC4" s="1742" t="n"/>
    </row>
    <row r="5">
      <c r="A5" s="1735" t="n">
        <v>3</v>
      </c>
      <c r="B5" s="1735">
        <f>_xlfn.XLOOKUP(tblhome1[[#This Row],['#]],homes[id],homes[home],"-")</f>
        <v/>
      </c>
      <c r="C5" s="1735">
        <f>_xlfn.XLOOKUP(tblhome1[[#This Row],[nickname]],homes[home],homes[city],"-")</f>
        <v/>
      </c>
      <c r="D5" s="1735">
        <f>_xlfn.XLOOKUP(tblhome1[[#This Row],[nickname]],homes[home],homes[ctry],"-")</f>
        <v/>
      </c>
      <c r="E5" s="1736">
        <f>_xlfn.XLOOKUP(tblhome1[[#This Row],[nickname]],homes[home],homes[1st date],"-")</f>
        <v/>
      </c>
      <c r="F5" s="1735">
        <f>ROUND(_xlfn.XLOOKUP(tblhome1[[#This Row],[nickname]],homes[home],homes[main],0),0)</f>
        <v/>
      </c>
      <c r="G5" s="1735">
        <f>ROUND(_xlfn.XLOOKUP(tblhome1[[#This Row],[nickname]],homes[home],homes[total],0),0)</f>
        <v/>
      </c>
      <c r="H5" s="1737">
        <f>_xlfn.XLOOKUP(tblhome1[[#This Row],[nickname]],homes[home],homes[%],"-")</f>
        <v/>
      </c>
      <c r="I5" s="1738">
        <f>I4+1</f>
        <v/>
      </c>
      <c r="J5" s="1739" t="n">
        <v>2</v>
      </c>
      <c r="K5" s="1740">
        <f>_xlfn.XLOOKUP(Table18[[#This Row],[id]],homeCities['#],homeCities[homeCity],"-")</f>
        <v/>
      </c>
      <c r="L5" s="1740">
        <f>COUNTIF(tblhome1[city],Table18[[#This Row],[city]])</f>
        <v/>
      </c>
      <c r="M5" s="1740">
        <f>SUMIFS(tblhome1[main],tblhome1[city],Table18[[#This Row],[city]])</f>
        <v/>
      </c>
      <c r="N5" s="1740">
        <f>SUMIFS(tblhome1[total],tblhome1[city],Table18[[#This Row],[city]])</f>
        <v/>
      </c>
      <c r="O5" s="1741" t="inlineStr">
        <is>
          <t>.</t>
        </is>
      </c>
      <c r="P5" s="1742" t="n"/>
      <c r="Q5" s="1747">
        <f>Q4+1</f>
        <v/>
      </c>
      <c r="R5" s="1756">
        <f/>
        <v/>
      </c>
      <c r="S5" s="1753">
        <f>_xlfn.XLOOKUP(R5,cities[city],cities[ctry],"-")</f>
        <v/>
      </c>
      <c r="T5" s="1757" t="inlineStr">
        <is>
          <t>SSA71-91</t>
        </is>
      </c>
      <c r="U5" s="1758" t="n">
        <v>20</v>
      </c>
      <c r="V5" s="1746" t="inlineStr">
        <is>
          <t>.</t>
        </is>
      </c>
      <c r="W5" s="1756">
        <f/>
        <v/>
      </c>
      <c r="X5" s="1753">
        <f>_xlfn.XLOOKUP(W5,cities[city],cities[ctry],"-")</f>
        <v/>
      </c>
      <c r="Y5" s="1757" t="inlineStr">
        <is>
          <t>SSA71-91</t>
        </is>
      </c>
      <c r="Z5" s="1758" t="n">
        <v>20</v>
      </c>
      <c r="AA5" s="1747" t="inlineStr">
        <is>
          <t>.</t>
        </is>
      </c>
      <c r="AB5" s="1742" t="inlineStr">
        <is>
          <t>not true</t>
        </is>
      </c>
      <c r="AC5" s="1742" t="n"/>
    </row>
    <row r="6">
      <c r="A6" s="1748" t="n">
        <v>4</v>
      </c>
      <c r="B6" s="1748">
        <f>_xlfn.XLOOKUP(tblhome1[[#This Row],['#]],homes[id],homes[home],"-")</f>
        <v/>
      </c>
      <c r="C6" s="1748">
        <f>_xlfn.XLOOKUP(tblhome1[[#This Row],[nickname]],homes[home],homes[city],"-")</f>
        <v/>
      </c>
      <c r="D6" s="1748">
        <f>_xlfn.XLOOKUP(tblhome1[[#This Row],[nickname]],homes[home],homes[ctry],"-")</f>
        <v/>
      </c>
      <c r="E6" s="1749">
        <f>_xlfn.XLOOKUP(tblhome1[[#This Row],[nickname]],homes[home],homes[1st date],"-")</f>
        <v/>
      </c>
      <c r="F6" s="1748">
        <f>ROUND(_xlfn.XLOOKUP(tblhome1[[#This Row],[nickname]],homes[home],homes[main],0),0)</f>
        <v/>
      </c>
      <c r="G6" s="1748">
        <f>ROUND(_xlfn.XLOOKUP(tblhome1[[#This Row],[nickname]],homes[home],homes[total],0),0)</f>
        <v/>
      </c>
      <c r="H6" s="1750">
        <f>_xlfn.XLOOKUP(tblhome1[[#This Row],[nickname]],homes[home],homes[%],"-")</f>
        <v/>
      </c>
      <c r="I6" s="1751">
        <f>I5+1</f>
        <v/>
      </c>
      <c r="J6" s="1739" t="n">
        <v>3</v>
      </c>
      <c r="K6" s="1740">
        <f>_xlfn.XLOOKUP(Table18[[#This Row],[id]],homeCities['#],homeCities[homeCity],"-")</f>
        <v/>
      </c>
      <c r="L6" s="1740">
        <f>COUNTIF(tblhome1[city],Table18[[#This Row],[city]])</f>
        <v/>
      </c>
      <c r="M6" s="1740">
        <f>SUMIFS(tblhome1[main],tblhome1[city],Table18[[#This Row],[city]])</f>
        <v/>
      </c>
      <c r="N6" s="1740">
        <f>SUMIFS(tblhome1[total],tblhome1[city],Table18[[#This Row],[city]])</f>
        <v/>
      </c>
      <c r="O6" s="1741" t="inlineStr">
        <is>
          <t>.</t>
        </is>
      </c>
      <c r="P6" s="1742" t="n"/>
      <c r="Q6" s="1747">
        <f>Q5+1</f>
        <v/>
      </c>
      <c r="R6" s="1752">
        <f/>
        <v/>
      </c>
      <c r="S6" s="1753">
        <f>_xlfn.XLOOKUP(R6,cities[city],cities[ctry],"-")</f>
        <v/>
      </c>
      <c r="T6" s="1757" t="inlineStr">
        <is>
          <t>Montreal</t>
        </is>
      </c>
      <c r="U6" s="1758">
        <f>COUNTIF(R$4:R$38,T6)</f>
        <v/>
      </c>
      <c r="V6" s="1746" t="inlineStr">
        <is>
          <t>.</t>
        </is>
      </c>
      <c r="W6" s="1752">
        <f/>
        <v/>
      </c>
      <c r="X6" s="1753">
        <f>_xlfn.XLOOKUP(W6,cities[city],cities[ctry],"-")</f>
        <v/>
      </c>
      <c r="Y6" s="1757" t="inlineStr">
        <is>
          <t>SSA</t>
        </is>
      </c>
      <c r="Z6" s="1758">
        <f>COUNTIF(W$4:W$38,Y6)</f>
        <v/>
      </c>
      <c r="AA6" s="1747" t="inlineStr">
        <is>
          <t>.</t>
        </is>
      </c>
      <c r="AB6" s="1742" t="n"/>
      <c r="AC6" s="1742" t="n"/>
    </row>
    <row r="7">
      <c r="A7" s="1735" t="n">
        <v>5</v>
      </c>
      <c r="B7" s="1735">
        <f>_xlfn.XLOOKUP(tblhome1[[#This Row],['#]],homes[id],homes[home],"-")</f>
        <v/>
      </c>
      <c r="C7" s="1735">
        <f>_xlfn.XLOOKUP(tblhome1[[#This Row],[nickname]],homes[home],homes[city],"-")</f>
        <v/>
      </c>
      <c r="D7" s="1735">
        <f>_xlfn.XLOOKUP(tblhome1[[#This Row],[nickname]],homes[home],homes[ctry],"-")</f>
        <v/>
      </c>
      <c r="E7" s="1736">
        <f>_xlfn.XLOOKUP(tblhome1[[#This Row],[nickname]],homes[home],homes[1st date],"-")</f>
        <v/>
      </c>
      <c r="F7" s="1735">
        <f>ROUND(_xlfn.XLOOKUP(tblhome1[[#This Row],[nickname]],homes[home],homes[main],0),0)</f>
        <v/>
      </c>
      <c r="G7" s="1735">
        <f>ROUND(_xlfn.XLOOKUP(tblhome1[[#This Row],[nickname]],homes[home],homes[total],0),0)</f>
        <v/>
      </c>
      <c r="H7" s="1737">
        <f>_xlfn.XLOOKUP(tblhome1[[#This Row],[nickname]],homes[home],homes[%],"-")</f>
        <v/>
      </c>
      <c r="I7" s="1738">
        <f>I6+1</f>
        <v/>
      </c>
      <c r="J7" s="1739" t="n">
        <v>4</v>
      </c>
      <c r="K7" s="1740">
        <f>_xlfn.XLOOKUP(Table18[[#This Row],[id]],homeCities['#],homeCities[homeCity],"-")</f>
        <v/>
      </c>
      <c r="L7" s="1740">
        <f>COUNTIF(tblhome1[city],Table18[[#This Row],[city]])</f>
        <v/>
      </c>
      <c r="M7" s="1740">
        <f>SUMIFS(tblhome1[main],tblhome1[city],Table18[[#This Row],[city]])</f>
        <v/>
      </c>
      <c r="N7" s="1740">
        <f>SUMIFS(tblhome1[total],tblhome1[city],Table18[[#This Row],[city]])</f>
        <v/>
      </c>
      <c r="O7" s="1741" t="inlineStr">
        <is>
          <t>.</t>
        </is>
      </c>
      <c r="P7" s="1742" t="n"/>
      <c r="Q7" s="1747">
        <f>Q6+1</f>
        <v/>
      </c>
      <c r="R7" s="1756">
        <f/>
        <v/>
      </c>
      <c r="S7" s="1753">
        <f>_xlfn.XLOOKUP(R7,cities[city],cities[ctry],"-")</f>
        <v/>
      </c>
      <c r="T7" s="1757" t="inlineStr">
        <is>
          <t>SSA</t>
        </is>
      </c>
      <c r="U7" s="1758">
        <f>COUNTIF(R$4:R$38,T7)</f>
        <v/>
      </c>
      <c r="V7" s="1746" t="inlineStr">
        <is>
          <t>.</t>
        </is>
      </c>
      <c r="W7" s="1756">
        <f/>
        <v/>
      </c>
      <c r="X7" s="1753">
        <f>_xlfn.XLOOKUP(W7,cities[city],cities[ctry],"-")</f>
        <v/>
      </c>
      <c r="Y7" s="1757" t="inlineStr">
        <is>
          <t>Montreal</t>
        </is>
      </c>
      <c r="Z7" s="1758">
        <f>COUNTIF(W$4:W$38,Y7)</f>
        <v/>
      </c>
      <c r="AA7" s="1747" t="inlineStr">
        <is>
          <t>.</t>
        </is>
      </c>
      <c r="AB7" s="1742" t="n"/>
      <c r="AC7" s="1742" t="n"/>
    </row>
    <row r="8">
      <c r="A8" s="1748" t="n">
        <v>6</v>
      </c>
      <c r="B8" s="1748">
        <f>_xlfn.XLOOKUP(tblhome1[[#This Row],['#]],homes[id],homes[home],"-")</f>
        <v/>
      </c>
      <c r="C8" s="1748">
        <f>_xlfn.XLOOKUP(tblhome1[[#This Row],[nickname]],homes[home],homes[city],"-")</f>
        <v/>
      </c>
      <c r="D8" s="1748">
        <f>_xlfn.XLOOKUP(tblhome1[[#This Row],[nickname]],homes[home],homes[ctry],"-")</f>
        <v/>
      </c>
      <c r="E8" s="1749">
        <f>_xlfn.XLOOKUP(tblhome1[[#This Row],[nickname]],homes[home],homes[1st date],"-")</f>
        <v/>
      </c>
      <c r="F8" s="1748">
        <f>ROUND(_xlfn.XLOOKUP(tblhome1[[#This Row],[nickname]],homes[home],homes[main],0),0)</f>
        <v/>
      </c>
      <c r="G8" s="1748">
        <f>ROUND(_xlfn.XLOOKUP(tblhome1[[#This Row],[nickname]],homes[home],homes[total],0),0)</f>
        <v/>
      </c>
      <c r="H8" s="1750">
        <f>_xlfn.XLOOKUP(tblhome1[[#This Row],[nickname]],homes[home],homes[%],"-")</f>
        <v/>
      </c>
      <c r="I8" s="1751">
        <f>I7+1</f>
        <v/>
      </c>
      <c r="J8" s="1739" t="n">
        <v>11</v>
      </c>
      <c r="K8" s="1740">
        <f>_xlfn.XLOOKUP(Table18[[#This Row],[id]],homeCities['#],homeCities[homeCity],"-")</f>
        <v/>
      </c>
      <c r="L8" s="1740">
        <f>COUNTIF(tblhome1[city],Table18[[#This Row],[city]])</f>
        <v/>
      </c>
      <c r="M8" s="1740">
        <f>SUMIFS(tblhome1[main],tblhome1[city],Table18[[#This Row],[city]])</f>
        <v/>
      </c>
      <c r="N8" s="1740">
        <f>SUMIFS(tblhome1[total],tblhome1[city],Table18[[#This Row],[city]])</f>
        <v/>
      </c>
      <c r="O8" s="1741" t="inlineStr">
        <is>
          <t>.</t>
        </is>
      </c>
      <c r="P8" s="1742" t="n"/>
      <c r="Q8" s="1747">
        <f>Q7+1</f>
        <v/>
      </c>
      <c r="R8" s="1752">
        <f/>
        <v/>
      </c>
      <c r="S8" s="1753">
        <f>_xlfn.XLOOKUP(R8,cities[city],cities[ctry],"-")</f>
        <v/>
      </c>
      <c r="T8" s="1757" t="inlineStr">
        <is>
          <t>SP</t>
        </is>
      </c>
      <c r="U8" s="1758">
        <f>COUNTIF(R$4:R$38,T8)</f>
        <v/>
      </c>
      <c r="V8" s="1746" t="inlineStr">
        <is>
          <t>.</t>
        </is>
      </c>
      <c r="W8" s="1752">
        <f/>
        <v/>
      </c>
      <c r="X8" s="1753">
        <f>_xlfn.XLOOKUP(W8,cities[city],cities[ctry],"-")</f>
        <v/>
      </c>
      <c r="Y8" s="1757" t="inlineStr">
        <is>
          <t>Porto Seguro</t>
        </is>
      </c>
      <c r="Z8" s="1758">
        <f>COUNTIF(W$4:W$38,Y8)</f>
        <v/>
      </c>
      <c r="AA8" s="1747" t="inlineStr">
        <is>
          <t>.</t>
        </is>
      </c>
      <c r="AB8" s="1742" t="n"/>
      <c r="AC8" s="1742" t="n"/>
    </row>
    <row r="9">
      <c r="A9" s="1735" t="n">
        <v>7</v>
      </c>
      <c r="B9" s="1735">
        <f>_xlfn.XLOOKUP(tblhome1[[#This Row],['#]],homes[id],homes[home],"-")</f>
        <v/>
      </c>
      <c r="C9" s="1735">
        <f>_xlfn.XLOOKUP(tblhome1[[#This Row],[nickname]],homes[home],homes[city],"-")</f>
        <v/>
      </c>
      <c r="D9" s="1735">
        <f>_xlfn.XLOOKUP(tblhome1[[#This Row],[nickname]],homes[home],homes[ctry],"-")</f>
        <v/>
      </c>
      <c r="E9" s="1736">
        <f>_xlfn.XLOOKUP(tblhome1[[#This Row],[nickname]],homes[home],homes[1st date],"-")</f>
        <v/>
      </c>
      <c r="F9" s="1735">
        <f>ROUND(_xlfn.XLOOKUP(tblhome1[[#This Row],[nickname]],homes[home],homes[main],0),0)</f>
        <v/>
      </c>
      <c r="G9" s="1735">
        <f>ROUND(_xlfn.XLOOKUP(tblhome1[[#This Row],[nickname]],homes[home],homes[total],0),0)</f>
        <v/>
      </c>
      <c r="H9" s="1737">
        <f>_xlfn.XLOOKUP(tblhome1[[#This Row],[nickname]],homes[home],homes[%],"-")</f>
        <v/>
      </c>
      <c r="I9" s="1738">
        <f>I8+1</f>
        <v/>
      </c>
      <c r="J9" s="1739" t="n">
        <v>6</v>
      </c>
      <c r="K9" s="1740">
        <f>_xlfn.XLOOKUP(Table18[[#This Row],[id]],homeCities['#],homeCities[homeCity],"-")</f>
        <v/>
      </c>
      <c r="L9" s="1740">
        <f>COUNTIF(tblhome1[city],Table18[[#This Row],[city]])</f>
        <v/>
      </c>
      <c r="M9" s="1740">
        <f>SUMIFS(tblhome1[main],tblhome1[city],Table18[[#This Row],[city]])</f>
        <v/>
      </c>
      <c r="N9" s="1740">
        <f>SUMIFS(tblhome1[total],tblhome1[city],Table18[[#This Row],[city]])</f>
        <v/>
      </c>
      <c r="O9" s="1741" t="inlineStr">
        <is>
          <t>.</t>
        </is>
      </c>
      <c r="P9" s="1742" t="n"/>
      <c r="Q9" s="1747">
        <f>Q8+1</f>
        <v/>
      </c>
      <c r="R9" s="1756">
        <f/>
        <v/>
      </c>
      <c r="S9" s="1753">
        <f>_xlfn.XLOOKUP(R9,cities[city],cities[ctry],"-")</f>
        <v/>
      </c>
      <c r="T9" s="1757" t="inlineStr">
        <is>
          <t>London</t>
        </is>
      </c>
      <c r="U9" s="1758">
        <f>COUNTIF(R$4:R$38,T9)</f>
        <v/>
      </c>
      <c r="V9" s="1746" t="inlineStr">
        <is>
          <t>.</t>
        </is>
      </c>
      <c r="W9" s="1756">
        <f/>
        <v/>
      </c>
      <c r="X9" s="1753">
        <f>_xlfn.XLOOKUP(W9,cities[city],cities[ctry],"-")</f>
        <v/>
      </c>
      <c r="Y9" s="1757" t="inlineStr">
        <is>
          <t>London</t>
        </is>
      </c>
      <c r="Z9" s="1758">
        <f>COUNTIF(W$4:W$38,Y9)</f>
        <v/>
      </c>
      <c r="AA9" s="1747" t="inlineStr">
        <is>
          <t>.</t>
        </is>
      </c>
      <c r="AB9" s="1742" t="n"/>
      <c r="AC9" s="1742" t="n"/>
    </row>
    <row r="10">
      <c r="A10" s="1748" t="n">
        <v>8</v>
      </c>
      <c r="B10" s="1748">
        <f>_xlfn.XLOOKUP(tblhome1[[#This Row],['#]],homes[id],homes[home],"-")</f>
        <v/>
      </c>
      <c r="C10" s="1748">
        <f>_xlfn.XLOOKUP(tblhome1[[#This Row],[nickname]],homes[home],homes[city],"-")</f>
        <v/>
      </c>
      <c r="D10" s="1748">
        <f>_xlfn.XLOOKUP(tblhome1[[#This Row],[nickname]],homes[home],homes[ctry],"-")</f>
        <v/>
      </c>
      <c r="E10" s="1749">
        <f>_xlfn.XLOOKUP(tblhome1[[#This Row],[nickname]],homes[home],homes[1st date],"-")</f>
        <v/>
      </c>
      <c r="F10" s="1748">
        <f>ROUND(_xlfn.XLOOKUP(tblhome1[[#This Row],[nickname]],homes[home],homes[main],0),0)</f>
        <v/>
      </c>
      <c r="G10" s="1748">
        <f>ROUND(_xlfn.XLOOKUP(tblhome1[[#This Row],[nickname]],homes[home],homes[total],0),0)</f>
        <v/>
      </c>
      <c r="H10" s="1750">
        <f>_xlfn.XLOOKUP(tblhome1[[#This Row],[nickname]],homes[home],homes[%],"-")</f>
        <v/>
      </c>
      <c r="I10" s="1751">
        <f>I9+1</f>
        <v/>
      </c>
      <c r="J10" s="1739" t="n">
        <v>5</v>
      </c>
      <c r="K10" s="1740">
        <f>_xlfn.XLOOKUP(Table18[[#This Row],[id]],homeCities['#],homeCities[homeCity],"-")</f>
        <v/>
      </c>
      <c r="L10" s="1740">
        <f>COUNTIF(tblhome1[city],Table18[[#This Row],[city]])</f>
        <v/>
      </c>
      <c r="M10" s="1740">
        <f>SUMIFS(tblhome1[main],tblhome1[city],Table18[[#This Row],[city]])</f>
        <v/>
      </c>
      <c r="N10" s="1740">
        <f>SUMIFS(tblhome1[total],tblhome1[city],Table18[[#This Row],[city]])</f>
        <v/>
      </c>
      <c r="O10" s="1741" t="inlineStr">
        <is>
          <t>.</t>
        </is>
      </c>
      <c r="P10" s="1742" t="n"/>
      <c r="Q10" s="1747">
        <f>Q9+1</f>
        <v/>
      </c>
      <c r="R10" s="1752">
        <f/>
        <v/>
      </c>
      <c r="S10" s="1753">
        <f>_xlfn.XLOOKUP(R10,cities[city],cities[ctry],"-")</f>
        <v/>
      </c>
      <c r="T10" s="1757" t="inlineStr">
        <is>
          <t>Paris</t>
        </is>
      </c>
      <c r="U10" s="1758">
        <f>COUNTIF(R$4:R$38,T10)</f>
        <v/>
      </c>
      <c r="V10" s="1746" t="inlineStr">
        <is>
          <t>.</t>
        </is>
      </c>
      <c r="W10" s="1752">
        <f/>
        <v/>
      </c>
      <c r="X10" s="1753">
        <f>_xlfn.XLOOKUP(W10,cities[city],cities[ctry],"-")</f>
        <v/>
      </c>
      <c r="Y10" s="1757" t="inlineStr">
        <is>
          <t>Paris</t>
        </is>
      </c>
      <c r="Z10" s="1758">
        <f>COUNTIF(W$4:W$38,Y10)</f>
        <v/>
      </c>
      <c r="AA10" s="1747" t="inlineStr">
        <is>
          <t>.</t>
        </is>
      </c>
      <c r="AB10" s="1742" t="n"/>
      <c r="AC10" s="1742" t="n"/>
    </row>
    <row r="11">
      <c r="A11" s="1735" t="n">
        <v>9</v>
      </c>
      <c r="B11" s="1735">
        <f>_xlfn.XLOOKUP(tblhome1[[#This Row],['#]],homes[id],homes[home],"-")</f>
        <v/>
      </c>
      <c r="C11" s="1735">
        <f>_xlfn.XLOOKUP(tblhome1[[#This Row],[nickname]],homes[home],homes[city],"-")</f>
        <v/>
      </c>
      <c r="D11" s="1735">
        <f>_xlfn.XLOOKUP(tblhome1[[#This Row],[nickname]],homes[home],homes[ctry],"-")</f>
        <v/>
      </c>
      <c r="E11" s="1736">
        <f>_xlfn.XLOOKUP(tblhome1[[#This Row],[nickname]],homes[home],homes[1st date],"-")</f>
        <v/>
      </c>
      <c r="F11" s="1735">
        <f>ROUND(_xlfn.XLOOKUP(tblhome1[[#This Row],[nickname]],homes[home],homes[main],0),0)</f>
        <v/>
      </c>
      <c r="G11" s="1735">
        <f>ROUND(_xlfn.XLOOKUP(tblhome1[[#This Row],[nickname]],homes[home],homes[total],0),0)</f>
        <v/>
      </c>
      <c r="H11" s="1737">
        <f>_xlfn.XLOOKUP(tblhome1[[#This Row],[nickname]],homes[home],homes[%],"-")</f>
        <v/>
      </c>
      <c r="I11" s="1738">
        <f>I10+1</f>
        <v/>
      </c>
      <c r="J11" s="1739" t="n">
        <v>7</v>
      </c>
      <c r="K11" s="1740">
        <f>_xlfn.XLOOKUP(Table18[[#This Row],[id]],homeCities['#],homeCities[homeCity],"-")</f>
        <v/>
      </c>
      <c r="L11" s="1740">
        <f>COUNTIF(tblhome1[city],Table18[[#This Row],[city]])</f>
        <v/>
      </c>
      <c r="M11" s="1740">
        <f>SUMIFS(tblhome1[main],tblhome1[city],Table18[[#This Row],[city]])</f>
        <v/>
      </c>
      <c r="N11" s="1740">
        <f>SUMIFS(tblhome1[total],tblhome1[city],Table18[[#This Row],[city]])</f>
        <v/>
      </c>
      <c r="O11" s="1741" t="inlineStr">
        <is>
          <t>.</t>
        </is>
      </c>
      <c r="P11" s="1742" t="n"/>
      <c r="Q11" s="1747">
        <f>Q10+1</f>
        <v/>
      </c>
      <c r="R11" s="1756">
        <f/>
        <v/>
      </c>
      <c r="S11" s="1753">
        <f>_xlfn.XLOOKUP(R11,cities[city],cities[ctry],"-")</f>
        <v/>
      </c>
      <c r="T11" s="1757" t="inlineStr">
        <is>
          <t>Guaecá</t>
        </is>
      </c>
      <c r="U11" s="1758">
        <f>COUNTIF(R$4:R$38,T11)</f>
        <v/>
      </c>
      <c r="V11" s="1746" t="inlineStr">
        <is>
          <t>.</t>
        </is>
      </c>
      <c r="W11" s="1756">
        <f/>
        <v/>
      </c>
      <c r="X11" s="1753">
        <f>_xlfn.XLOOKUP(W11,cities[city],cities[ctry],"-")</f>
        <v/>
      </c>
      <c r="Y11" s="1757" t="inlineStr">
        <is>
          <t>Boi Peba</t>
        </is>
      </c>
      <c r="Z11" s="1758">
        <f>COUNTIF(W$4:W$38,Y11)</f>
        <v/>
      </c>
      <c r="AA11" s="1747" t="inlineStr">
        <is>
          <t>.</t>
        </is>
      </c>
      <c r="AB11" s="1742" t="n"/>
      <c r="AC11" s="1742" t="n"/>
    </row>
    <row r="12">
      <c r="A12" s="1748" t="n">
        <v>10</v>
      </c>
      <c r="B12" s="1748">
        <f>_xlfn.XLOOKUP(tblhome1[[#This Row],['#]],homes[id],homes[home],"-")</f>
        <v/>
      </c>
      <c r="C12" s="1748">
        <f>_xlfn.XLOOKUP(tblhome1[[#This Row],[nickname]],homes[home],homes[city],"-")</f>
        <v/>
      </c>
      <c r="D12" s="1748">
        <f>_xlfn.XLOOKUP(tblhome1[[#This Row],[nickname]],homes[home],homes[ctry],"-")</f>
        <v/>
      </c>
      <c r="E12" s="1749">
        <f>_xlfn.XLOOKUP(tblhome1[[#This Row],[nickname]],homes[home],homes[1st date],"-")</f>
        <v/>
      </c>
      <c r="F12" s="1748">
        <f>ROUND(_xlfn.XLOOKUP(tblhome1[[#This Row],[nickname]],homes[home],homes[main],0),0)</f>
        <v/>
      </c>
      <c r="G12" s="1748">
        <f>ROUND(_xlfn.XLOOKUP(tblhome1[[#This Row],[nickname]],homes[home],homes[total],0),0)</f>
        <v/>
      </c>
      <c r="H12" s="1750">
        <f>_xlfn.XLOOKUP(tblhome1[[#This Row],[nickname]],homes[home],homes[%],"-")</f>
        <v/>
      </c>
      <c r="I12" s="1751">
        <f>I11+1</f>
        <v/>
      </c>
      <c r="J12" s="1739" t="n">
        <v>8</v>
      </c>
      <c r="K12" s="1740">
        <f>_xlfn.XLOOKUP(Table18[[#This Row],[id]],homeCities['#],homeCities[homeCity],"-")</f>
        <v/>
      </c>
      <c r="L12" s="1740">
        <f>COUNTIF(tblhome1[city],Table18[[#This Row],[city]])</f>
        <v/>
      </c>
      <c r="M12" s="1740">
        <f>SUMIFS(tblhome1[main],tblhome1[city],Table18[[#This Row],[city]])</f>
        <v/>
      </c>
      <c r="N12" s="1740">
        <f>SUMIFS(tblhome1[total],tblhome1[city],Table18[[#This Row],[city]])</f>
        <v/>
      </c>
      <c r="O12" s="1741" t="inlineStr">
        <is>
          <t>.</t>
        </is>
      </c>
      <c r="P12" s="1742" t="n"/>
      <c r="Q12" s="1747">
        <f>Q11+1</f>
        <v/>
      </c>
      <c r="R12" s="1752">
        <f/>
        <v/>
      </c>
      <c r="S12" s="1753">
        <f>_xlfn.XLOOKUP(R12,cities[city],cities[ctry],"-")</f>
        <v/>
      </c>
      <c r="T12" s="1757" t="inlineStr">
        <is>
          <t>Montalcino</t>
        </is>
      </c>
      <c r="U12" s="1758">
        <f>COUNTIF(R$4:R$38,T12)</f>
        <v/>
      </c>
      <c r="V12" s="1746" t="inlineStr">
        <is>
          <t>.</t>
        </is>
      </c>
      <c r="W12" s="1752">
        <f/>
        <v/>
      </c>
      <c r="X12" s="1753">
        <f>_xlfn.XLOOKUP(W12,cities[city],cities[ctry],"-")</f>
        <v/>
      </c>
      <c r="Y12" s="1757" t="inlineStr">
        <is>
          <t>Morro de SP</t>
        </is>
      </c>
      <c r="Z12" s="1758">
        <f>COUNTIF(W$4:W$38,Y12)</f>
        <v/>
      </c>
      <c r="AA12" s="1747" t="inlineStr">
        <is>
          <t>.</t>
        </is>
      </c>
      <c r="AB12" s="1742" t="n"/>
      <c r="AC12" s="1742" t="n"/>
    </row>
    <row r="13">
      <c r="A13" s="1735" t="n">
        <v>11</v>
      </c>
      <c r="B13" s="1735">
        <f>_xlfn.XLOOKUP(tblhome1[[#This Row],['#]],homes[id],homes[home],"-")</f>
        <v/>
      </c>
      <c r="C13" s="1735">
        <f>_xlfn.XLOOKUP(tblhome1[[#This Row],[nickname]],homes[home],homes[city],"-")</f>
        <v/>
      </c>
      <c r="D13" s="1735">
        <f>_xlfn.XLOOKUP(tblhome1[[#This Row],[nickname]],homes[home],homes[ctry],"-")</f>
        <v/>
      </c>
      <c r="E13" s="1736">
        <f>_xlfn.XLOOKUP(tblhome1[[#This Row],[nickname]],homes[home],homes[1st date],"-")</f>
        <v/>
      </c>
      <c r="F13" s="1735">
        <f>ROUND(_xlfn.XLOOKUP(tblhome1[[#This Row],[nickname]],homes[home],homes[main],0),0)</f>
        <v/>
      </c>
      <c r="G13" s="1735">
        <f>ROUND(_xlfn.XLOOKUP(tblhome1[[#This Row],[nickname]],homes[home],homes[total],0),0)</f>
        <v/>
      </c>
      <c r="H13" s="1737">
        <f>_xlfn.XLOOKUP(tblhome1[[#This Row],[nickname]],homes[home],homes[%],"-")</f>
        <v/>
      </c>
      <c r="I13" s="1738">
        <f>I12+1</f>
        <v/>
      </c>
      <c r="J13" s="1739" t="n">
        <v>9</v>
      </c>
      <c r="K13" s="1740">
        <f>_xlfn.XLOOKUP(Table18[[#This Row],[id]],homeCities['#],homeCities[homeCity],"-")</f>
        <v/>
      </c>
      <c r="L13" s="1740">
        <f>COUNTIF(tblhome1[city],Table18[[#This Row],[city]])</f>
        <v/>
      </c>
      <c r="M13" s="1740">
        <f>SUMIFS(tblhome1[main],tblhome1[city],Table18[[#This Row],[city]])</f>
        <v/>
      </c>
      <c r="N13" s="1740">
        <f>SUMIFS(tblhome1[total],tblhome1[city],Table18[[#This Row],[city]])</f>
        <v/>
      </c>
      <c r="O13" s="1741" t="inlineStr">
        <is>
          <t>.</t>
        </is>
      </c>
      <c r="P13" s="1742" t="n"/>
      <c r="Q13" s="1747">
        <f>Q12+1</f>
        <v/>
      </c>
      <c r="R13" s="1756">
        <f/>
        <v/>
      </c>
      <c r="S13" s="1753">
        <f>_xlfn.XLOOKUP(R13,cities[city],cities[ctry],"-")</f>
        <v/>
      </c>
      <c r="T13" s="1757" t="inlineStr">
        <is>
          <t>Barcelona</t>
        </is>
      </c>
      <c r="U13" s="1758">
        <f>COUNTIF(R$4:R$38,T13)</f>
        <v/>
      </c>
      <c r="V13" s="1746" t="inlineStr">
        <is>
          <t>.</t>
        </is>
      </c>
      <c r="W13" s="1756">
        <f/>
        <v/>
      </c>
      <c r="X13" s="1753">
        <f>_xlfn.XLOOKUP(W13,cities[city],cities[ctry],"-")</f>
        <v/>
      </c>
      <c r="Y13" s="1757" t="inlineStr">
        <is>
          <t>Cunha</t>
        </is>
      </c>
      <c r="Z13" s="1758">
        <f>COUNTIF(W$4:W$38,Y13)</f>
        <v/>
      </c>
      <c r="AA13" s="1747" t="inlineStr">
        <is>
          <t>.</t>
        </is>
      </c>
      <c r="AB13" s="1742" t="n"/>
      <c r="AC13" s="1742" t="n"/>
    </row>
    <row r="14">
      <c r="A14" s="1748" t="n">
        <v>12</v>
      </c>
      <c r="B14" s="1748">
        <f>_xlfn.XLOOKUP(tblhome1[[#This Row],['#]],homes[id],homes[home],"-")</f>
        <v/>
      </c>
      <c r="C14" s="1748">
        <f>_xlfn.XLOOKUP(tblhome1[[#This Row],[nickname]],homes[home],homes[city],"-")</f>
        <v/>
      </c>
      <c r="D14" s="1748">
        <f>_xlfn.XLOOKUP(tblhome1[[#This Row],[nickname]],homes[home],homes[ctry],"-")</f>
        <v/>
      </c>
      <c r="E14" s="1749">
        <f>_xlfn.XLOOKUP(tblhome1[[#This Row],[nickname]],homes[home],homes[1st date],"-")</f>
        <v/>
      </c>
      <c r="F14" s="1748">
        <f>ROUND(_xlfn.XLOOKUP(tblhome1[[#This Row],[nickname]],homes[home],homes[main],0),0)</f>
        <v/>
      </c>
      <c r="G14" s="1748">
        <f>ROUND(_xlfn.XLOOKUP(tblhome1[[#This Row],[nickname]],homes[home],homes[total],0),0)</f>
        <v/>
      </c>
      <c r="H14" s="1750">
        <f>_xlfn.XLOOKUP(tblhome1[[#This Row],[nickname]],homes[home],homes[%],"-")</f>
        <v/>
      </c>
      <c r="I14" s="1751" t="inlineStr">
        <is>
          <t>.</t>
        </is>
      </c>
      <c r="J14" s="1739" t="n"/>
      <c r="K14" s="1740" t="n"/>
      <c r="L14" s="1740" t="n"/>
      <c r="M14" s="1740" t="n"/>
      <c r="N14" s="1740" t="n"/>
      <c r="O14" s="1741" t="inlineStr">
        <is>
          <t>.</t>
        </is>
      </c>
      <c r="P14" s="1742" t="n"/>
      <c r="Q14" s="1747">
        <f>Q13+1</f>
        <v/>
      </c>
      <c r="R14" s="1752">
        <f/>
        <v/>
      </c>
      <c r="S14" s="1753">
        <f>_xlfn.XLOOKUP(R14,cities[city],cities[ctry],"-")</f>
        <v/>
      </c>
      <c r="T14" s="1757" t="inlineStr">
        <is>
          <t>Lisbon</t>
        </is>
      </c>
      <c r="U14" s="1758">
        <f>COUNTIF(R$4:R$38,T14)</f>
        <v/>
      </c>
      <c r="V14" s="1746" t="inlineStr">
        <is>
          <t>.</t>
        </is>
      </c>
      <c r="W14" s="1752">
        <f/>
        <v/>
      </c>
      <c r="X14" s="1753">
        <f>_xlfn.XLOOKUP(W14,cities[city],cities[ctry],"-")</f>
        <v/>
      </c>
      <c r="Y14" s="1757" t="inlineStr">
        <is>
          <t>Camboriú</t>
        </is>
      </c>
      <c r="Z14" s="1758">
        <f>COUNTIF(W$4:W$38,Y14)</f>
        <v/>
      </c>
      <c r="AA14" s="1747" t="inlineStr">
        <is>
          <t>.</t>
        </is>
      </c>
      <c r="AB14" s="1742" t="n"/>
      <c r="AC14" s="1742" t="n"/>
    </row>
    <row r="15">
      <c r="A15" s="1735" t="n">
        <v>13</v>
      </c>
      <c r="B15" s="1735">
        <f>_xlfn.XLOOKUP(tblhome1[[#This Row],['#]],homes[id],homes[home],"-")</f>
        <v/>
      </c>
      <c r="C15" s="1735">
        <f>_xlfn.XLOOKUP(tblhome1[[#This Row],[nickname]],homes[home],homes[city],"-")</f>
        <v/>
      </c>
      <c r="D15" s="1735">
        <f>_xlfn.XLOOKUP(tblhome1[[#This Row],[nickname]],homes[home],homes[ctry],"-")</f>
        <v/>
      </c>
      <c r="E15" s="1736">
        <f>_xlfn.XLOOKUP(tblhome1[[#This Row],[nickname]],homes[home],homes[1st date],"-")</f>
        <v/>
      </c>
      <c r="F15" s="1735">
        <f>ROUND(_xlfn.XLOOKUP(tblhome1[[#This Row],[nickname]],homes[home],homes[main],0),0)</f>
        <v/>
      </c>
      <c r="G15" s="1735">
        <f>ROUND(_xlfn.XLOOKUP(tblhome1[[#This Row],[nickname]],homes[home],homes[total],0),0)</f>
        <v/>
      </c>
      <c r="H15" s="1737">
        <f>_xlfn.XLOOKUP(tblhome1[[#This Row],[nickname]],homes[home],homes[%],"-")</f>
        <v/>
      </c>
      <c r="I15" s="1738" t="inlineStr">
        <is>
          <t>.</t>
        </is>
      </c>
      <c r="J15" s="1739" t="n"/>
      <c r="K15" s="1740" t="n"/>
      <c r="L15" s="1740" t="n"/>
      <c r="M15" s="1740" t="n"/>
      <c r="N15" s="1759" t="n"/>
      <c r="O15" s="1741" t="inlineStr">
        <is>
          <t>.</t>
        </is>
      </c>
      <c r="P15" s="1742" t="n"/>
      <c r="Q15" s="1747">
        <f>Q14+1</f>
        <v/>
      </c>
      <c r="R15" s="1756">
        <f/>
        <v/>
      </c>
      <c r="S15" s="1753">
        <f>_xlfn.XLOOKUP(R15,cities[city],cities[ctry],"-")</f>
        <v/>
      </c>
      <c r="T15" s="1757" t="n"/>
      <c r="U15" s="1758" t="n"/>
      <c r="V15" s="1746" t="inlineStr">
        <is>
          <t>.</t>
        </is>
      </c>
      <c r="W15" s="1756">
        <f/>
        <v/>
      </c>
      <c r="X15" s="1753">
        <f>_xlfn.XLOOKUP(W15,cities[city],cities[ctry],"-")</f>
        <v/>
      </c>
      <c r="Y15" s="1757" t="inlineStr">
        <is>
          <t>Mont-Tremblant</t>
        </is>
      </c>
      <c r="Z15" s="1758">
        <f>COUNTIF(W$4:W$38,Y15)</f>
        <v/>
      </c>
      <c r="AA15" s="1747" t="inlineStr">
        <is>
          <t>.</t>
        </is>
      </c>
      <c r="AB15" s="1742" t="n"/>
      <c r="AC15" s="1742" t="n"/>
    </row>
    <row r="16">
      <c r="A16" s="1748" t="n">
        <v>14</v>
      </c>
      <c r="B16" s="1748">
        <f>_xlfn.XLOOKUP(tblhome1[[#This Row],['#]],homes[id],homes[home],"-")</f>
        <v/>
      </c>
      <c r="C16" s="1748">
        <f>_xlfn.XLOOKUP(tblhome1[[#This Row],[nickname]],homes[home],homes[city],"-")</f>
        <v/>
      </c>
      <c r="D16" s="1748">
        <f>_xlfn.XLOOKUP(tblhome1[[#This Row],[nickname]],homes[home],homes[ctry],"-")</f>
        <v/>
      </c>
      <c r="E16" s="1749">
        <f>_xlfn.XLOOKUP(tblhome1[[#This Row],[nickname]],homes[home],homes[1st date],"-")</f>
        <v/>
      </c>
      <c r="F16" s="1748">
        <f>ROUND(_xlfn.XLOOKUP(tblhome1[[#This Row],[nickname]],homes[home],homes[main],0),0)</f>
        <v/>
      </c>
      <c r="G16" s="1748">
        <f>ROUND(_xlfn.XLOOKUP(tblhome1[[#This Row],[nickname]],homes[home],homes[total],0),0)</f>
        <v/>
      </c>
      <c r="H16" s="1750">
        <f>_xlfn.XLOOKUP(tblhome1[[#This Row],[nickname]],homes[home],homes[%],"-")</f>
        <v/>
      </c>
      <c r="I16" s="1751" t="inlineStr">
        <is>
          <t>.</t>
        </is>
      </c>
      <c r="J16" s="1739" t="n"/>
      <c r="K16" s="1740" t="n"/>
      <c r="L16" s="1740" t="n"/>
      <c r="M16" s="1740" t="n"/>
      <c r="N16" s="1759" t="n"/>
      <c r="O16" s="1741" t="inlineStr">
        <is>
          <t>.</t>
        </is>
      </c>
      <c r="P16" s="1742" t="n"/>
      <c r="Q16" s="1747">
        <f>Q15+1</f>
        <v/>
      </c>
      <c r="R16" s="1752">
        <f/>
        <v/>
      </c>
      <c r="S16" s="1753">
        <f>_xlfn.XLOOKUP(R16,cities[city],cities[ctry],"-")</f>
        <v/>
      </c>
      <c r="T16" s="1757" t="n"/>
      <c r="U16" s="1758" t="n"/>
      <c r="V16" s="1746" t="inlineStr">
        <is>
          <t>.</t>
        </is>
      </c>
      <c r="W16" s="1752">
        <f/>
        <v/>
      </c>
      <c r="X16" s="1753">
        <f>_xlfn.XLOOKUP(W16,cities[city],cities[ctry],"-")</f>
        <v/>
      </c>
      <c r="Y16" s="1757" t="inlineStr">
        <is>
          <t>Rio</t>
        </is>
      </c>
      <c r="Z16" s="1758">
        <f>COUNTIF(W$4:W$38,Y16)</f>
        <v/>
      </c>
      <c r="AA16" s="1747" t="inlineStr">
        <is>
          <t>.</t>
        </is>
      </c>
      <c r="AB16" s="1742" t="inlineStr">
        <is>
          <t>Rev Rio</t>
        </is>
      </c>
      <c r="AC16" s="1742" t="inlineStr">
        <is>
          <t>1980-ish?</t>
        </is>
      </c>
    </row>
    <row r="17">
      <c r="A17" s="1735" t="n">
        <v>15</v>
      </c>
      <c r="B17" s="1735">
        <f>_xlfn.XLOOKUP(tblhome1[[#This Row],['#]],homes[id],homes[home],"-")</f>
        <v/>
      </c>
      <c r="C17" s="1735">
        <f>_xlfn.XLOOKUP(tblhome1[[#This Row],[nickname]],homes[home],homes[city],"-")</f>
        <v/>
      </c>
      <c r="D17" s="1735">
        <f>_xlfn.XLOOKUP(tblhome1[[#This Row],[nickname]],homes[home],homes[ctry],"-")</f>
        <v/>
      </c>
      <c r="E17" s="1736">
        <f>_xlfn.XLOOKUP(tblhome1[[#This Row],[nickname]],homes[home],homes[1st date],"-")</f>
        <v/>
      </c>
      <c r="F17" s="1735">
        <f>ROUND(_xlfn.XLOOKUP(tblhome1[[#This Row],[nickname]],homes[home],homes[main],0),0)</f>
        <v/>
      </c>
      <c r="G17" s="1735">
        <f>ROUND(_xlfn.XLOOKUP(tblhome1[[#This Row],[nickname]],homes[home],homes[total],0),0)</f>
        <v/>
      </c>
      <c r="H17" s="1737">
        <f>_xlfn.XLOOKUP(tblhome1[[#This Row],[nickname]],homes[home],homes[%],"-")</f>
        <v/>
      </c>
      <c r="I17" s="1738" t="inlineStr">
        <is>
          <t>.</t>
        </is>
      </c>
      <c r="J17" s="1739" t="n"/>
      <c r="K17" s="1740" t="n"/>
      <c r="L17" s="1740" t="n"/>
      <c r="M17" s="1740" t="n"/>
      <c r="N17" s="1759" t="n"/>
      <c r="O17" s="1741" t="inlineStr">
        <is>
          <t>.</t>
        </is>
      </c>
      <c r="P17" s="1742" t="n"/>
      <c r="Q17" s="1747">
        <f>Q16+1</f>
        <v/>
      </c>
      <c r="R17" s="1756">
        <f/>
        <v/>
      </c>
      <c r="S17" s="1753">
        <f>_xlfn.XLOOKUP(R17,cities[city],cities[ctry],"-")</f>
        <v/>
      </c>
      <c r="T17" s="1757" t="n"/>
      <c r="U17" s="1758" t="n"/>
      <c r="V17" s="1746" t="inlineStr">
        <is>
          <t>.</t>
        </is>
      </c>
      <c r="W17" s="1756">
        <f/>
        <v/>
      </c>
      <c r="X17" s="1753">
        <f>_xlfn.XLOOKUP(W17,cities[city],cities[ctry],"-")</f>
        <v/>
      </c>
      <c r="Y17" s="1757" t="inlineStr">
        <is>
          <t>Porto</t>
        </is>
      </c>
      <c r="Z17" s="1758">
        <f>COUNTIF(W$4:W$38,Y17)</f>
        <v/>
      </c>
      <c r="AA17" s="1747" t="inlineStr">
        <is>
          <t>.</t>
        </is>
      </c>
      <c r="AB17" s="1742" t="n"/>
      <c r="AC17" s="1742" t="n"/>
    </row>
    <row r="18">
      <c r="A18" s="1748" t="n">
        <v>16</v>
      </c>
      <c r="B18" s="1748">
        <f>_xlfn.XLOOKUP(tblhome1[[#This Row],['#]],homes[id],homes[home],"-")</f>
        <v/>
      </c>
      <c r="C18" s="1748">
        <f>_xlfn.XLOOKUP(tblhome1[[#This Row],[nickname]],homes[home],homes[city],"-")</f>
        <v/>
      </c>
      <c r="D18" s="1748">
        <f>_xlfn.XLOOKUP(tblhome1[[#This Row],[nickname]],homes[home],homes[ctry],"-")</f>
        <v/>
      </c>
      <c r="E18" s="1749">
        <f>_xlfn.XLOOKUP(tblhome1[[#This Row],[nickname]],homes[home],homes[1st date],"-")</f>
        <v/>
      </c>
      <c r="F18" s="1748">
        <f>ROUND(_xlfn.XLOOKUP(tblhome1[[#This Row],[nickname]],homes[home],homes[main],0),0)</f>
        <v/>
      </c>
      <c r="G18" s="1748">
        <f>ROUND(_xlfn.XLOOKUP(tblhome1[[#This Row],[nickname]],homes[home],homes[total],0),0)</f>
        <v/>
      </c>
      <c r="H18" s="1750">
        <f>_xlfn.XLOOKUP(tblhome1[[#This Row],[nickname]],homes[home],homes[%],"-")</f>
        <v/>
      </c>
      <c r="I18" s="1751" t="inlineStr">
        <is>
          <t>.</t>
        </is>
      </c>
      <c r="J18" s="1739" t="n"/>
      <c r="K18" s="1740" t="n"/>
      <c r="L18" s="1740" t="n"/>
      <c r="M18" s="1740" t="n"/>
      <c r="N18" s="1759" t="n"/>
      <c r="O18" s="1741" t="inlineStr">
        <is>
          <t>.</t>
        </is>
      </c>
      <c r="P18" s="1742" t="n"/>
      <c r="Q18" s="1747">
        <f>Q17+1</f>
        <v/>
      </c>
      <c r="R18" s="1752">
        <f/>
        <v/>
      </c>
      <c r="S18" s="1753">
        <f>_xlfn.XLOOKUP(R18,cities[city],cities[ctry],"-")</f>
        <v/>
      </c>
      <c r="T18" s="1757" t="n"/>
      <c r="U18" s="1758" t="n"/>
      <c r="V18" s="1746" t="inlineStr">
        <is>
          <t>.</t>
        </is>
      </c>
      <c r="W18" s="1752">
        <f/>
        <v/>
      </c>
      <c r="X18" s="1753">
        <f>_xlfn.XLOOKUP(W18,cities[city],cities[ctry],"-")</f>
        <v/>
      </c>
      <c r="Y18" s="1757" t="n"/>
      <c r="Z18" s="1758" t="n"/>
      <c r="AA18" s="1747" t="inlineStr">
        <is>
          <t>.</t>
        </is>
      </c>
      <c r="AB18" s="1742" t="n"/>
      <c r="AC18" s="1742" t="inlineStr">
        <is>
          <t>multiplos</t>
        </is>
      </c>
    </row>
    <row r="19">
      <c r="A19" s="1735" t="n">
        <v>17</v>
      </c>
      <c r="B19" s="1735">
        <f>_xlfn.XLOOKUP(tblhome1[[#This Row],['#]],homes[id],homes[home],"-")</f>
        <v/>
      </c>
      <c r="C19" s="1735">
        <f>_xlfn.XLOOKUP(tblhome1[[#This Row],[nickname]],homes[home],homes[city],"-")</f>
        <v/>
      </c>
      <c r="D19" s="1735">
        <f>_xlfn.XLOOKUP(tblhome1[[#This Row],[nickname]],homes[home],homes[ctry],"-")</f>
        <v/>
      </c>
      <c r="E19" s="1736">
        <f>_xlfn.XLOOKUP(tblhome1[[#This Row],[nickname]],homes[home],homes[1st date],"-")</f>
        <v/>
      </c>
      <c r="F19" s="1735">
        <f>ROUND(_xlfn.XLOOKUP(tblhome1[[#This Row],[nickname]],homes[home],homes[main],0),0)</f>
        <v/>
      </c>
      <c r="G19" s="1735">
        <f>ROUND(_xlfn.XLOOKUP(tblhome1[[#This Row],[nickname]],homes[home],homes[total],0),0)</f>
        <v/>
      </c>
      <c r="H19" s="1737">
        <f>_xlfn.XLOOKUP(tblhome1[[#This Row],[nickname]],homes[home],homes[%],"-")</f>
        <v/>
      </c>
      <c r="I19" s="1738" t="inlineStr">
        <is>
          <t>.</t>
        </is>
      </c>
      <c r="J19" s="1739" t="n"/>
      <c r="K19" s="1740" t="n"/>
      <c r="L19" s="1740" t="n"/>
      <c r="M19" s="1740" t="n"/>
      <c r="N19" s="1759" t="n"/>
      <c r="O19" s="1741" t="inlineStr">
        <is>
          <t>.</t>
        </is>
      </c>
      <c r="P19" s="1742" t="n"/>
      <c r="Q19" s="1747">
        <f>Q18+1</f>
        <v/>
      </c>
      <c r="R19" s="1756">
        <f/>
        <v/>
      </c>
      <c r="S19" s="1753">
        <f>_xlfn.XLOOKUP(R19,cities[city],cities[ctry],"-")</f>
        <v/>
      </c>
      <c r="T19" s="1757" t="n"/>
      <c r="U19" s="1758" t="n"/>
      <c r="V19" s="1746" t="inlineStr">
        <is>
          <t>.</t>
        </is>
      </c>
      <c r="W19" s="1756">
        <f/>
        <v/>
      </c>
      <c r="X19" s="1753">
        <f>_xlfn.XLOOKUP(W19,cities[city],cities[ctry],"-")</f>
        <v/>
      </c>
      <c r="Y19" s="1757" t="n"/>
      <c r="Z19" s="1758" t="n"/>
      <c r="AA19" s="1747" t="inlineStr">
        <is>
          <t>.</t>
        </is>
      </c>
      <c r="AB19" s="1742" t="n"/>
      <c r="AC19" s="1742" t="inlineStr">
        <is>
          <t>natais</t>
        </is>
      </c>
    </row>
    <row r="20">
      <c r="A20" s="1748" t="n">
        <v>18</v>
      </c>
      <c r="B20" s="1748">
        <f>_xlfn.XLOOKUP(tblhome1[[#This Row],['#]],homes[id],homes[home],"-")</f>
        <v/>
      </c>
      <c r="C20" s="1748">
        <f>_xlfn.XLOOKUP(tblhome1[[#This Row],[nickname]],homes[home],homes[city],"-")</f>
        <v/>
      </c>
      <c r="D20" s="1748">
        <f>_xlfn.XLOOKUP(tblhome1[[#This Row],[nickname]],homes[home],homes[ctry],"-")</f>
        <v/>
      </c>
      <c r="E20" s="1749">
        <f>_xlfn.XLOOKUP(tblhome1[[#This Row],[nickname]],homes[home],homes[1st date],"-")</f>
        <v/>
      </c>
      <c r="F20" s="1748">
        <f>ROUND(_xlfn.XLOOKUP(tblhome1[[#This Row],[nickname]],homes[home],homes[main],0),0)</f>
        <v/>
      </c>
      <c r="G20" s="1748">
        <f>ROUND(_xlfn.XLOOKUP(tblhome1[[#This Row],[nickname]],homes[home],homes[total],0),0)</f>
        <v/>
      </c>
      <c r="H20" s="1750">
        <f>_xlfn.XLOOKUP(tblhome1[[#This Row],[nickname]],homes[home],homes[%],"-")</f>
        <v/>
      </c>
      <c r="I20" s="1751" t="inlineStr">
        <is>
          <t>.</t>
        </is>
      </c>
      <c r="J20" s="1739" t="n"/>
      <c r="K20" s="1740" t="n"/>
      <c r="L20" s="1740" t="n"/>
      <c r="M20" s="1740" t="n"/>
      <c r="N20" s="1759" t="n"/>
      <c r="O20" s="1741" t="inlineStr">
        <is>
          <t>.</t>
        </is>
      </c>
      <c r="P20" s="1742" t="n"/>
      <c r="Q20" s="1747">
        <f>Q19+1</f>
        <v/>
      </c>
      <c r="R20" s="1752">
        <f/>
        <v/>
      </c>
      <c r="S20" s="1753">
        <f>_xlfn.XLOOKUP(R20,cities[city],cities[ctry],"-")</f>
        <v/>
      </c>
      <c r="T20" s="1757" t="n"/>
      <c r="U20" s="1758" t="n"/>
      <c r="V20" s="1746" t="inlineStr">
        <is>
          <t>.</t>
        </is>
      </c>
      <c r="W20" s="1752">
        <f/>
        <v/>
      </c>
      <c r="X20" s="1753">
        <f>_xlfn.XLOOKUP(W20,cities[city],cities[ctry],"-")</f>
        <v/>
      </c>
      <c r="Y20" s="1757" t="n"/>
      <c r="Z20" s="1758" t="n"/>
      <c r="AA20" s="1747" t="inlineStr">
        <is>
          <t>.</t>
        </is>
      </c>
      <c r="AB20" s="1742" t="n"/>
      <c r="AC20" s="1742" t="inlineStr">
        <is>
          <t xml:space="preserve">reveillon </t>
        </is>
      </c>
    </row>
    <row r="21">
      <c r="A21" s="1735" t="n">
        <v>19</v>
      </c>
      <c r="B21" s="1735">
        <f>_xlfn.XLOOKUP(tblhome1[[#This Row],['#]],homes[id],homes[home],"-")</f>
        <v/>
      </c>
      <c r="C21" s="1735">
        <f>_xlfn.XLOOKUP(tblhome1[[#This Row],[nickname]],homes[home],homes[city],"-")</f>
        <v/>
      </c>
      <c r="D21" s="1735">
        <f>_xlfn.XLOOKUP(tblhome1[[#This Row],[nickname]],homes[home],homes[ctry],"-")</f>
        <v/>
      </c>
      <c r="E21" s="1736">
        <f>_xlfn.XLOOKUP(tblhome1[[#This Row],[nickname]],homes[home],homes[1st date],"-")</f>
        <v/>
      </c>
      <c r="F21" s="1735">
        <f>ROUND(_xlfn.XLOOKUP(tblhome1[[#This Row],[nickname]],homes[home],homes[main],0),0)</f>
        <v/>
      </c>
      <c r="G21" s="1735">
        <f>ROUND(_xlfn.XLOOKUP(tblhome1[[#This Row],[nickname]],homes[home],homes[total],0),0)</f>
        <v/>
      </c>
      <c r="H21" s="1737">
        <f>_xlfn.XLOOKUP(tblhome1[[#This Row],[nickname]],homes[home],homes[%],"-")</f>
        <v/>
      </c>
      <c r="I21" s="1738" t="inlineStr">
        <is>
          <t>.</t>
        </is>
      </c>
      <c r="J21" s="1739" t="n"/>
      <c r="K21" s="1740" t="n"/>
      <c r="L21" s="1740" t="n"/>
      <c r="M21" s="1740" t="n"/>
      <c r="N21" s="1759" t="n"/>
      <c r="O21" s="1741" t="inlineStr">
        <is>
          <t>.</t>
        </is>
      </c>
      <c r="P21" s="1742" t="n"/>
      <c r="Q21" s="1747">
        <f>Q20+1</f>
        <v/>
      </c>
      <c r="R21" s="1752">
        <f/>
        <v/>
      </c>
      <c r="S21" s="1753">
        <f>_xlfn.XLOOKUP(R21,cities[city],cities[ctry],"-")</f>
        <v/>
      </c>
      <c r="T21" s="1760" t="n"/>
      <c r="U21" s="1761" t="n"/>
      <c r="V21" s="1746" t="inlineStr">
        <is>
          <t>.</t>
        </is>
      </c>
      <c r="W21" s="1752">
        <f/>
        <v/>
      </c>
      <c r="X21" s="1753">
        <f>_xlfn.XLOOKUP(W21,cities[city],cities[ctry],"-")</f>
        <v/>
      </c>
      <c r="Y21" s="1760" t="n"/>
      <c r="Z21" s="1761" t="n"/>
      <c r="AA21" s="1747" t="inlineStr">
        <is>
          <t>.</t>
        </is>
      </c>
      <c r="AB21" s="1742" t="n"/>
      <c r="AC21" s="1742" t="inlineStr">
        <is>
          <t>aracaju</t>
        </is>
      </c>
    </row>
    <row r="22">
      <c r="A22" s="1748" t="n">
        <v>20</v>
      </c>
      <c r="B22" s="1748">
        <f>_xlfn.XLOOKUP(tblhome1[[#This Row],['#]],homes[id],homes[home],"-")</f>
        <v/>
      </c>
      <c r="C22" s="1748">
        <f>_xlfn.XLOOKUP(tblhome1[[#This Row],[nickname]],homes[home],homes[city],"-")</f>
        <v/>
      </c>
      <c r="D22" s="1748">
        <f>_xlfn.XLOOKUP(tblhome1[[#This Row],[nickname]],homes[home],homes[ctry],"-")</f>
        <v/>
      </c>
      <c r="E22" s="1749">
        <f>_xlfn.XLOOKUP(tblhome1[[#This Row],[nickname]],homes[home],homes[1st date],"-")</f>
        <v/>
      </c>
      <c r="F22" s="1748">
        <f>ROUND(_xlfn.XLOOKUP(tblhome1[[#This Row],[nickname]],homes[home],homes[main],0),0)</f>
        <v/>
      </c>
      <c r="G22" s="1748">
        <f>ROUND(_xlfn.XLOOKUP(tblhome1[[#This Row],[nickname]],homes[home],homes[total],0),0)</f>
        <v/>
      </c>
      <c r="H22" s="1750">
        <f>_xlfn.XLOOKUP(tblhome1[[#This Row],[nickname]],homes[home],homes[%],"-")</f>
        <v/>
      </c>
      <c r="I22" s="1751" t="inlineStr">
        <is>
          <t>.</t>
        </is>
      </c>
      <c r="J22" s="1762" t="n"/>
      <c r="K22" s="1763" t="n"/>
      <c r="L22" s="1763" t="n"/>
      <c r="M22" s="1740" t="n"/>
      <c r="N22" s="1764" t="n"/>
      <c r="O22" s="1741" t="inlineStr">
        <is>
          <t>.</t>
        </is>
      </c>
      <c r="P22" s="1742" t="n"/>
      <c r="Q22" s="1747">
        <f>Q21+1</f>
        <v/>
      </c>
      <c r="R22" s="1756">
        <f/>
        <v/>
      </c>
      <c r="S22" s="1753">
        <f>_xlfn.XLOOKUP(R22,cities[city],cities[ctry],"-")</f>
        <v/>
      </c>
      <c r="T22" s="1754" t="inlineStr">
        <is>
          <t>ctry</t>
        </is>
      </c>
      <c r="U22" s="1755" t="inlineStr">
        <is>
          <t>rpt</t>
        </is>
      </c>
      <c r="V22" s="1746" t="inlineStr">
        <is>
          <t>.</t>
        </is>
      </c>
      <c r="W22" s="1756">
        <f/>
        <v/>
      </c>
      <c r="X22" s="1753">
        <f>_xlfn.XLOOKUP(W22,cities[city],cities[ctry],"-")</f>
        <v/>
      </c>
      <c r="Y22" s="1754" t="inlineStr">
        <is>
          <t>ctry</t>
        </is>
      </c>
      <c r="Z22" s="1755" t="inlineStr">
        <is>
          <t>rpt</t>
        </is>
      </c>
      <c r="AA22" s="1747" t="inlineStr">
        <is>
          <t>.</t>
        </is>
      </c>
      <c r="AB22" s="1742" t="n"/>
      <c r="AC22" s="1742" t="inlineStr">
        <is>
          <t>1978 catapora?</t>
        </is>
      </c>
    </row>
    <row r="23">
      <c r="A23" s="1735" t="n">
        <v>21</v>
      </c>
      <c r="B23" s="1735">
        <f>_xlfn.XLOOKUP(tblhome1[[#This Row],['#]],homes[id],homes[home],"-")</f>
        <v/>
      </c>
      <c r="C23" s="1735">
        <f>_xlfn.XLOOKUP(tblhome1[[#This Row],[nickname]],homes[home],homes[city],"-")</f>
        <v/>
      </c>
      <c r="D23" s="1735">
        <f>_xlfn.XLOOKUP(tblhome1[[#This Row],[nickname]],homes[home],homes[ctry],"-")</f>
        <v/>
      </c>
      <c r="E23" s="1736">
        <f>_xlfn.XLOOKUP(tblhome1[[#This Row],[nickname]],homes[home],homes[1st date],"-")</f>
        <v/>
      </c>
      <c r="F23" s="1735">
        <f>ROUND(_xlfn.XLOOKUP(tblhome1[[#This Row],[nickname]],homes[home],homes[main],0),0)</f>
        <v/>
      </c>
      <c r="G23" s="1735">
        <f>ROUND(_xlfn.XLOOKUP(tblhome1[[#This Row],[nickname]],homes[home],homes[total],0),0)</f>
        <v/>
      </c>
      <c r="H23" s="1737">
        <f>_xlfn.XLOOKUP(tblhome1[[#This Row],[nickname]],homes[home],homes[%],"-")</f>
        <v/>
      </c>
      <c r="I23" s="1735" t="inlineStr">
        <is>
          <t>.</t>
        </is>
      </c>
      <c r="J23" s="1765" t="inlineStr">
        <is>
          <t>id</t>
        </is>
      </c>
      <c r="K23" s="1740" t="inlineStr">
        <is>
          <t>ctry</t>
        </is>
      </c>
      <c r="L23" s="1740" t="inlineStr">
        <is>
          <t>rpt</t>
        </is>
      </c>
      <c r="M23" s="1740" t="inlineStr">
        <is>
          <t>h-main</t>
        </is>
      </c>
      <c r="N23" s="1740" t="inlineStr">
        <is>
          <t>h-net</t>
        </is>
      </c>
      <c r="O23" s="1747" t="inlineStr">
        <is>
          <t>.</t>
        </is>
      </c>
      <c r="P23" s="1742" t="n"/>
      <c r="Q23" s="1747">
        <f>Q22+1</f>
        <v/>
      </c>
      <c r="R23" s="1752">
        <f/>
        <v/>
      </c>
      <c r="S23" s="1753">
        <f>_xlfn.XLOOKUP(R23,cities[city],cities[ctry],"-")</f>
        <v/>
      </c>
      <c r="T23" s="1757" t="inlineStr">
        <is>
          <t>BRA71-91</t>
        </is>
      </c>
      <c r="U23" s="1758" t="n">
        <v>20</v>
      </c>
      <c r="V23" s="1746" t="inlineStr">
        <is>
          <t>.</t>
        </is>
      </c>
      <c r="W23" s="1752">
        <f/>
        <v/>
      </c>
      <c r="X23" s="1753">
        <f>_xlfn.XLOOKUP(W23,cities[city],cities[ctry],"-")</f>
        <v/>
      </c>
      <c r="Y23" s="1757" t="inlineStr">
        <is>
          <t>BRA71-91</t>
        </is>
      </c>
      <c r="Z23" s="1758" t="n">
        <v>20</v>
      </c>
      <c r="AA23" s="1747" t="inlineStr">
        <is>
          <t>.</t>
        </is>
      </c>
      <c r="AB23" s="1742" t="n"/>
      <c r="AC23" s="1742" t="n"/>
    </row>
    <row r="24">
      <c r="A24" s="1748" t="n">
        <v>22</v>
      </c>
      <c r="B24" s="1748">
        <f>_xlfn.XLOOKUP(tblhome1[[#This Row],['#]],homes[id],homes[home],"-")</f>
        <v/>
      </c>
      <c r="C24" s="1748">
        <f>_xlfn.XLOOKUP(tblhome1[[#This Row],[nickname]],homes[home],homes[city],"-")</f>
        <v/>
      </c>
      <c r="D24" s="1748">
        <f>_xlfn.XLOOKUP(tblhome1[[#This Row],[nickname]],homes[home],homes[ctry],"-")</f>
        <v/>
      </c>
      <c r="E24" s="1749">
        <f>_xlfn.XLOOKUP(tblhome1[[#This Row],[nickname]],homes[home],homes[1st date],"-")</f>
        <v/>
      </c>
      <c r="F24" s="1748">
        <f>ROUND(_xlfn.XLOOKUP(tblhome1[[#This Row],[nickname]],homes[home],homes[main],0),0)</f>
        <v/>
      </c>
      <c r="G24" s="1748">
        <f>ROUND(_xlfn.XLOOKUP(tblhome1[[#This Row],[nickname]],homes[home],homes[total],0),0)</f>
        <v/>
      </c>
      <c r="H24" s="1750">
        <f>_xlfn.XLOOKUP(tblhome1[[#This Row],[nickname]],homes[home],homes[%],"-")</f>
        <v/>
      </c>
      <c r="I24" s="1748" t="n"/>
      <c r="J24" s="1740" t="n">
        <v>1</v>
      </c>
      <c r="K24" s="1740">
        <f>_xlfn.XLOOKUP(Table19[[#This Row],[id]],homeCities['#],homeCities[homeCtry],"-")</f>
        <v/>
      </c>
      <c r="L24" s="1740">
        <f>COUNTIF(tblhome1[ctry],Table19[[#This Row],[ctry]])</f>
        <v/>
      </c>
      <c r="M24" s="1740">
        <f>SUMIFS(tblhome1[main],tblhome1[ctry],Table19[[#This Row],[ctry]])</f>
        <v/>
      </c>
      <c r="N24" s="1740">
        <f>SUMIFS(tblhome1[total],tblhome1[ctry],Table19[[#This Row],[ctry]])</f>
        <v/>
      </c>
      <c r="O24" s="1747" t="inlineStr">
        <is>
          <t>.</t>
        </is>
      </c>
      <c r="P24" s="1742" t="n"/>
      <c r="Q24" s="1747">
        <f>Q23+1</f>
        <v/>
      </c>
      <c r="R24" s="1756">
        <f/>
        <v/>
      </c>
      <c r="S24" s="1753">
        <f>_xlfn.XLOOKUP(R24,cities[city],cities[ctry],"-")</f>
        <v/>
      </c>
      <c r="T24" s="1757" t="inlineStr">
        <is>
          <t>BRA</t>
        </is>
      </c>
      <c r="U24" s="1758">
        <f>COUNTIF(S$4:S$38,T24)</f>
        <v/>
      </c>
      <c r="V24" s="1746" t="inlineStr">
        <is>
          <t>.</t>
        </is>
      </c>
      <c r="W24" s="1756">
        <f/>
        <v/>
      </c>
      <c r="X24" s="1753">
        <f>_xlfn.XLOOKUP(W24,cities[city],cities[ctry],"-")</f>
        <v/>
      </c>
      <c r="Y24" s="1757" t="inlineStr">
        <is>
          <t>BRA</t>
        </is>
      </c>
      <c r="Z24" s="1758">
        <f>COUNTIF(X$4:X$38,Y24)</f>
        <v/>
      </c>
      <c r="AA24" s="1747" t="inlineStr">
        <is>
          <t>.</t>
        </is>
      </c>
      <c r="AB24" s="1742" t="n"/>
      <c r="AC24" s="1742" t="n"/>
    </row>
    <row r="25">
      <c r="A25" s="1735" t="n">
        <v>23</v>
      </c>
      <c r="B25" s="1735">
        <f>_xlfn.XLOOKUP(tblhome1[[#This Row],['#]],homes[id],homes[home],"-")</f>
        <v/>
      </c>
      <c r="C25" s="1735">
        <f>_xlfn.XLOOKUP(tblhome1[[#This Row],[nickname]],homes[home],homes[city],"-")</f>
        <v/>
      </c>
      <c r="D25" s="1735">
        <f>_xlfn.XLOOKUP(tblhome1[[#This Row],[nickname]],homes[home],homes[ctry],"-")</f>
        <v/>
      </c>
      <c r="E25" s="1736">
        <f>_xlfn.XLOOKUP(tblhome1[[#This Row],[nickname]],homes[home],homes[1st date],"-")</f>
        <v/>
      </c>
      <c r="F25" s="1735">
        <f>ROUND(_xlfn.XLOOKUP(tblhome1[[#This Row],[nickname]],homes[home],homes[main],0),0)</f>
        <v/>
      </c>
      <c r="G25" s="1735">
        <f>ROUND(_xlfn.XLOOKUP(tblhome1[[#This Row],[nickname]],homes[home],homes[total],0),0)</f>
        <v/>
      </c>
      <c r="H25" s="1737">
        <f>_xlfn.XLOOKUP(tblhome1[[#This Row],[nickname]],homes[home],homes[%],"-")</f>
        <v/>
      </c>
      <c r="I25" s="1735">
        <f>I24+1</f>
        <v/>
      </c>
      <c r="J25" s="1740" t="n">
        <v>2</v>
      </c>
      <c r="K25" s="1740">
        <f>_xlfn.XLOOKUP(Table19[[#This Row],[id]],homeCities['#],homeCities[homeCtry],"-")</f>
        <v/>
      </c>
      <c r="L25" s="1740">
        <f>COUNTIF(tblhome1[ctry],Table19[[#This Row],[ctry]])</f>
        <v/>
      </c>
      <c r="M25" s="1740">
        <f>SUMIFS(tblhome1[main],tblhome1[ctry],Table19[[#This Row],[ctry]])</f>
        <v/>
      </c>
      <c r="N25" s="1766">
        <f>SUMIFS(tblhome1[total],tblhome1[ctry],Table19[[#This Row],[ctry]])</f>
        <v/>
      </c>
      <c r="O25" s="1747" t="inlineStr">
        <is>
          <t>.</t>
        </is>
      </c>
      <c r="P25" s="1742" t="n"/>
      <c r="Q25" s="1747">
        <f>Q24+1</f>
        <v/>
      </c>
      <c r="R25" s="1752">
        <f/>
        <v/>
      </c>
      <c r="S25" s="1753">
        <f>_xlfn.XLOOKUP(R25,cities[city],cities[ctry],"-")</f>
        <v/>
      </c>
      <c r="T25" s="1757" t="inlineStr">
        <is>
          <t>CAN</t>
        </is>
      </c>
      <c r="U25" s="1758">
        <f>COUNTIF(S$4:S$38,T25)</f>
        <v/>
      </c>
      <c r="V25" s="1746" t="inlineStr">
        <is>
          <t>.</t>
        </is>
      </c>
      <c r="W25" s="1752">
        <f/>
        <v/>
      </c>
      <c r="X25" s="1753">
        <f>_xlfn.XLOOKUP(W25,cities[city],cities[ctry],"-")</f>
        <v/>
      </c>
      <c r="Y25" s="1757" t="inlineStr">
        <is>
          <t>CAN</t>
        </is>
      </c>
      <c r="Z25" s="1758">
        <f>COUNTIF(X$4:X$38,Y25)</f>
        <v/>
      </c>
      <c r="AA25" s="1747" t="inlineStr">
        <is>
          <t>.</t>
        </is>
      </c>
      <c r="AB25" s="1742" t="n"/>
      <c r="AC25" s="1742" t="n"/>
    </row>
    <row r="26">
      <c r="A26" s="1748" t="n">
        <v>24</v>
      </c>
      <c r="B26" s="1748">
        <f>_xlfn.XLOOKUP(tblhome1[[#This Row],['#]],homes[id],homes[home],"-")</f>
        <v/>
      </c>
      <c r="C26" s="1748">
        <f>_xlfn.XLOOKUP(tblhome1[[#This Row],[nickname]],homes[home],homes[city],"-")</f>
        <v/>
      </c>
      <c r="D26" s="1748">
        <f>_xlfn.XLOOKUP(tblhome1[[#This Row],[nickname]],homes[home],homes[ctry],"-")</f>
        <v/>
      </c>
      <c r="E26" s="1749">
        <f>_xlfn.XLOOKUP(tblhome1[[#This Row],[nickname]],homes[home],homes[1st date],"-")</f>
        <v/>
      </c>
      <c r="F26" s="1748">
        <f>ROUND(_xlfn.XLOOKUP(tblhome1[[#This Row],[nickname]],homes[home],homes[main],0),0)</f>
        <v/>
      </c>
      <c r="G26" s="1748">
        <f>ROUND(_xlfn.XLOOKUP(tblhome1[[#This Row],[nickname]],homes[home],homes[total],0),0)</f>
        <v/>
      </c>
      <c r="H26" s="1750">
        <f>_xlfn.XLOOKUP(tblhome1[[#This Row],[nickname]],homes[home],homes[%],"-")</f>
        <v/>
      </c>
      <c r="I26" s="1748">
        <f>I25+1</f>
        <v/>
      </c>
      <c r="J26" s="1740" t="n">
        <v>3</v>
      </c>
      <c r="K26" s="1740">
        <f>_xlfn.XLOOKUP(Table19[[#This Row],[id]],homeCities['#],homeCities[homeCtry],"-")</f>
        <v/>
      </c>
      <c r="L26" s="1740">
        <f>COUNTIF(tblhome1[ctry],Table19[[#This Row],[ctry]])</f>
        <v/>
      </c>
      <c r="M26" s="1740">
        <f>SUMIFS(tblhome1[main],tblhome1[ctry],Table19[[#This Row],[ctry]])</f>
        <v/>
      </c>
      <c r="N26" s="1740">
        <f>SUMIFS(tblhome1[total],tblhome1[ctry],Table19[[#This Row],[ctry]])</f>
        <v/>
      </c>
      <c r="O26" s="1747" t="inlineStr">
        <is>
          <t>.</t>
        </is>
      </c>
      <c r="P26" s="1742" t="n"/>
      <c r="Q26" s="1747">
        <f>Q25+1</f>
        <v/>
      </c>
      <c r="R26" s="1756">
        <f/>
        <v/>
      </c>
      <c r="S26" s="1753">
        <f>_xlfn.XLOOKUP(R26,cities[city],cities[ctry],"-")</f>
        <v/>
      </c>
      <c r="T26" s="1757" t="inlineStr">
        <is>
          <t>UK</t>
        </is>
      </c>
      <c r="U26" s="1758">
        <f>COUNTIF(S$4:S$38,T26)</f>
        <v/>
      </c>
      <c r="V26" s="1746" t="inlineStr">
        <is>
          <t>.</t>
        </is>
      </c>
      <c r="W26" s="1756">
        <f/>
        <v/>
      </c>
      <c r="X26" s="1753">
        <f>_xlfn.XLOOKUP(W26,cities[city],cities[ctry],"-")</f>
        <v/>
      </c>
      <c r="Y26" s="1757" t="inlineStr">
        <is>
          <t>UK</t>
        </is>
      </c>
      <c r="Z26" s="1758">
        <f>COUNTIF(X$4:X$38,Y26)</f>
        <v/>
      </c>
      <c r="AA26" s="1747" t="inlineStr">
        <is>
          <t>.</t>
        </is>
      </c>
      <c r="AB26" s="1742" t="n"/>
      <c r="AC26" s="1742" t="n"/>
    </row>
    <row r="27">
      <c r="A27" s="1735" t="n">
        <v>25</v>
      </c>
      <c r="B27" s="1735">
        <f>_xlfn.XLOOKUP(tblhome1[[#This Row],['#]],homes[id],homes[home],"-")</f>
        <v/>
      </c>
      <c r="C27" s="1735">
        <f>_xlfn.XLOOKUP(tblhome1[[#This Row],[nickname]],homes[home],homes[city],"-")</f>
        <v/>
      </c>
      <c r="D27" s="1735">
        <f>_xlfn.XLOOKUP(tblhome1[[#This Row],[nickname]],homes[home],homes[ctry],"-")</f>
        <v/>
      </c>
      <c r="E27" s="1736">
        <f>_xlfn.XLOOKUP(tblhome1[[#This Row],[nickname]],homes[home],homes[1st date],"-")</f>
        <v/>
      </c>
      <c r="F27" s="1735">
        <f>ROUND(_xlfn.XLOOKUP(tblhome1[[#This Row],[nickname]],homes[home],homes[main],0),0)</f>
        <v/>
      </c>
      <c r="G27" s="1735">
        <f>ROUND(_xlfn.XLOOKUP(tblhome1[[#This Row],[nickname]],homes[home],homes[total],0),0)</f>
        <v/>
      </c>
      <c r="H27" s="1737">
        <f>_xlfn.XLOOKUP(tblhome1[[#This Row],[nickname]],homes[home],homes[%],"-")</f>
        <v/>
      </c>
      <c r="I27" s="1735">
        <f>I26+1</f>
        <v/>
      </c>
      <c r="J27" s="1740" t="n">
        <v>4</v>
      </c>
      <c r="K27" s="1740">
        <f>_xlfn.XLOOKUP(Table19[[#This Row],[id]],homeCities['#],homeCities[homeCtry],"-")</f>
        <v/>
      </c>
      <c r="L27" s="1740">
        <f>COUNTIF(tblhome1[ctry],Table19[[#This Row],[ctry]])</f>
        <v/>
      </c>
      <c r="M27" s="1740">
        <f>SUMIFS(tblhome1[main],tblhome1[ctry],Table19[[#This Row],[ctry]])</f>
        <v/>
      </c>
      <c r="N27" s="1740">
        <f>SUMIFS(tblhome1[total],tblhome1[ctry],Table19[[#This Row],[ctry]])</f>
        <v/>
      </c>
      <c r="O27" s="1747" t="inlineStr">
        <is>
          <t>.</t>
        </is>
      </c>
      <c r="P27" s="1742" t="n"/>
      <c r="Q27" s="1747">
        <f>Q26+1</f>
        <v/>
      </c>
      <c r="R27" s="1752">
        <f/>
        <v/>
      </c>
      <c r="S27" s="1753">
        <f>_xlfn.XLOOKUP(R27,cities[city],cities[ctry],"-")</f>
        <v/>
      </c>
      <c r="T27" s="1757" t="inlineStr">
        <is>
          <t>FRA</t>
        </is>
      </c>
      <c r="U27" s="1758">
        <f>COUNTIF(S$4:S$38,T27)</f>
        <v/>
      </c>
      <c r="V27" s="1746" t="inlineStr">
        <is>
          <t>.</t>
        </is>
      </c>
      <c r="W27" s="1752">
        <f/>
        <v/>
      </c>
      <c r="X27" s="1753">
        <f>_xlfn.XLOOKUP(W27,cities[city],cities[ctry],"-")</f>
        <v/>
      </c>
      <c r="Y27" s="1757" t="inlineStr">
        <is>
          <t>FRA</t>
        </is>
      </c>
      <c r="Z27" s="1758">
        <f>COUNTIF(X$4:X$38,Y27)</f>
        <v/>
      </c>
      <c r="AA27" s="1747" t="inlineStr">
        <is>
          <t>.</t>
        </is>
      </c>
      <c r="AB27" s="1742" t="n"/>
      <c r="AC27" s="1742" t="n"/>
    </row>
    <row r="28">
      <c r="A28" s="1748" t="n">
        <v>26</v>
      </c>
      <c r="B28" s="1748">
        <f>_xlfn.XLOOKUP(tblhome1[[#This Row],['#]],homes[id],homes[home],"-")</f>
        <v/>
      </c>
      <c r="C28" s="1748">
        <f>_xlfn.XLOOKUP(tblhome1[[#This Row],[nickname]],homes[home],homes[city],"-")</f>
        <v/>
      </c>
      <c r="D28" s="1748">
        <f>_xlfn.XLOOKUP(tblhome1[[#This Row],[nickname]],homes[home],homes[ctry],"-")</f>
        <v/>
      </c>
      <c r="E28" s="1749">
        <f>_xlfn.XLOOKUP(tblhome1[[#This Row],[nickname]],homes[home],homes[1st date],"-")</f>
        <v/>
      </c>
      <c r="F28" s="1748">
        <f>ROUND(_xlfn.XLOOKUP(tblhome1[[#This Row],[nickname]],homes[home],homes[main],0),0)</f>
        <v/>
      </c>
      <c r="G28" s="1748">
        <f>ROUND(_xlfn.XLOOKUP(tblhome1[[#This Row],[nickname]],homes[home],homes[total],0),0)</f>
        <v/>
      </c>
      <c r="H28" s="1750">
        <f>_xlfn.XLOOKUP(tblhome1[[#This Row],[nickname]],homes[home],homes[%],"-")</f>
        <v/>
      </c>
      <c r="I28" s="1748">
        <f>I27+1</f>
        <v/>
      </c>
      <c r="J28" s="1740" t="n">
        <v>5</v>
      </c>
      <c r="K28" s="1740">
        <f>_xlfn.XLOOKUP(Table19[[#This Row],[id]],homeCities['#],homeCities[homeCtry],"-")</f>
        <v/>
      </c>
      <c r="L28" s="1740">
        <f>COUNTIF(tblhome1[ctry],Table19[[#This Row],[ctry]])</f>
        <v/>
      </c>
      <c r="M28" s="1740">
        <f>SUMIFS(tblhome1[main],tblhome1[ctry],Table19[[#This Row],[ctry]])</f>
        <v/>
      </c>
      <c r="N28" s="1740">
        <f>SUMIFS(tblhome1[total],tblhome1[ctry],Table19[[#This Row],[ctry]])</f>
        <v/>
      </c>
      <c r="O28" s="1747" t="inlineStr">
        <is>
          <t>.</t>
        </is>
      </c>
      <c r="P28" s="1742" t="n"/>
      <c r="Q28" s="1747">
        <f>Q27+1</f>
        <v/>
      </c>
      <c r="R28" s="1756">
        <f/>
        <v/>
      </c>
      <c r="S28" s="1753">
        <f>_xlfn.XLOOKUP(R28,cities[city],cities[ctry],"-")</f>
        <v/>
      </c>
      <c r="T28" s="1757" t="inlineStr">
        <is>
          <t>ESP</t>
        </is>
      </c>
      <c r="U28" s="1758">
        <f>COUNTIF(S$4:S$38,T28)</f>
        <v/>
      </c>
      <c r="V28" s="1746" t="inlineStr">
        <is>
          <t>.</t>
        </is>
      </c>
      <c r="W28" s="1756">
        <f/>
        <v/>
      </c>
      <c r="X28" s="1753">
        <f>_xlfn.XLOOKUP(W28,cities[city],cities[ctry],"-")</f>
        <v/>
      </c>
      <c r="Y28" s="1757" t="inlineStr">
        <is>
          <t>PRT</t>
        </is>
      </c>
      <c r="Z28" s="1758">
        <f>COUNTIF(X$4:X$38,Y28)</f>
        <v/>
      </c>
      <c r="AA28" s="1747" t="inlineStr">
        <is>
          <t>.</t>
        </is>
      </c>
      <c r="AB28" s="1742" t="n"/>
      <c r="AC28" s="1742" t="n"/>
    </row>
    <row r="29">
      <c r="A29" s="1735" t="n">
        <v>27</v>
      </c>
      <c r="B29" s="1735">
        <f>_xlfn.XLOOKUP(tblhome1[[#This Row],['#]],homes[id],homes[home],"-")</f>
        <v/>
      </c>
      <c r="C29" s="1735">
        <f>_xlfn.XLOOKUP(tblhome1[[#This Row],[nickname]],homes[home],homes[city],"-")</f>
        <v/>
      </c>
      <c r="D29" s="1735">
        <f>_xlfn.XLOOKUP(tblhome1[[#This Row],[nickname]],homes[home],homes[ctry],"-")</f>
        <v/>
      </c>
      <c r="E29" s="1736">
        <f>_xlfn.XLOOKUP(tblhome1[[#This Row],[nickname]],homes[home],homes[1st date],"-")</f>
        <v/>
      </c>
      <c r="F29" s="1735">
        <f>ROUND(_xlfn.XLOOKUP(tblhome1[[#This Row],[nickname]],homes[home],homes[main],0),0)</f>
        <v/>
      </c>
      <c r="G29" s="1735">
        <f>ROUND(_xlfn.XLOOKUP(tblhome1[[#This Row],[nickname]],homes[home],homes[total],0),0)</f>
        <v/>
      </c>
      <c r="H29" s="1737">
        <f>_xlfn.XLOOKUP(tblhome1[[#This Row],[nickname]],homes[home],homes[%],"-")</f>
        <v/>
      </c>
      <c r="I29" s="1735">
        <f>I28+1</f>
        <v/>
      </c>
      <c r="J29" s="1740" t="n">
        <v>6</v>
      </c>
      <c r="K29" s="1740">
        <f>_xlfn.XLOOKUP(Table19[[#This Row],[id]],homeCities['#],homeCities[homeCtry],"-")</f>
        <v/>
      </c>
      <c r="L29" s="1740">
        <f>COUNTIF(tblhome1[ctry],Table19[[#This Row],[ctry]])</f>
        <v/>
      </c>
      <c r="M29" s="1740">
        <f>SUMIFS(tblhome1[main],tblhome1[ctry],Table19[[#This Row],[ctry]])</f>
        <v/>
      </c>
      <c r="N29" s="1740">
        <f>SUMIFS(tblhome1[total],tblhome1[ctry],Table19[[#This Row],[ctry]])</f>
        <v/>
      </c>
      <c r="O29" s="1747" t="inlineStr">
        <is>
          <t>.</t>
        </is>
      </c>
      <c r="P29" s="1742" t="n"/>
      <c r="Q29" s="1747">
        <f>Q28+1</f>
        <v/>
      </c>
      <c r="R29" s="1752">
        <f/>
        <v/>
      </c>
      <c r="S29" s="1753">
        <f>_xlfn.XLOOKUP(R29,cities[city],cities[ctry],"-")</f>
        <v/>
      </c>
      <c r="T29" s="1757" t="inlineStr">
        <is>
          <t>PRT</t>
        </is>
      </c>
      <c r="U29" s="1758">
        <f>COUNTIF(S$4:S$38,T29)</f>
        <v/>
      </c>
      <c r="V29" s="1746" t="inlineStr">
        <is>
          <t>.</t>
        </is>
      </c>
      <c r="W29" s="1752">
        <f/>
        <v/>
      </c>
      <c r="X29" s="1753">
        <f>_xlfn.XLOOKUP(W29,cities[city],cities[ctry],"-")</f>
        <v/>
      </c>
      <c r="Y29" s="1757" t="n"/>
      <c r="Z29" s="1758" t="n"/>
      <c r="AA29" s="1747" t="inlineStr">
        <is>
          <t>.</t>
        </is>
      </c>
      <c r="AB29" s="1742" t="n"/>
      <c r="AC29" s="1742" t="n"/>
    </row>
    <row r="30">
      <c r="A30" s="1748" t="n">
        <v>28</v>
      </c>
      <c r="B30" s="1748">
        <f>_xlfn.XLOOKUP(tblhome1[[#This Row],['#]],homes[id],homes[home],"-")</f>
        <v/>
      </c>
      <c r="C30" s="1748">
        <f>_xlfn.XLOOKUP(tblhome1[[#This Row],[nickname]],homes[home],homes[city],"-")</f>
        <v/>
      </c>
      <c r="D30" s="1748">
        <f>_xlfn.XLOOKUP(tblhome1[[#This Row],[nickname]],homes[home],homes[ctry],"-")</f>
        <v/>
      </c>
      <c r="E30" s="1749">
        <f>_xlfn.XLOOKUP(tblhome1[[#This Row],[nickname]],homes[home],homes[1st date],"-")</f>
        <v/>
      </c>
      <c r="F30" s="1748">
        <f>ROUND(_xlfn.XLOOKUP(tblhome1[[#This Row],[nickname]],homes[home],homes[main],0),0)</f>
        <v/>
      </c>
      <c r="G30" s="1748">
        <f>ROUND(_xlfn.XLOOKUP(tblhome1[[#This Row],[nickname]],homes[home],homes[total],0),0)</f>
        <v/>
      </c>
      <c r="H30" s="1750">
        <f>_xlfn.XLOOKUP(tblhome1[[#This Row],[nickname]],homes[home],homes[%],"-")</f>
        <v/>
      </c>
      <c r="I30" s="1748">
        <f>I29+1</f>
        <v/>
      </c>
      <c r="J30" s="1740" t="n">
        <v>7</v>
      </c>
      <c r="K30" s="1740">
        <f>_xlfn.XLOOKUP(Table19[[#This Row],[id]],homeCities['#],homeCities[homeCtry],"-")</f>
        <v/>
      </c>
      <c r="L30" s="1740">
        <f>COUNTIF(tblhome1[ctry],Table19[[#This Row],[ctry]])</f>
        <v/>
      </c>
      <c r="M30" s="1740">
        <f>SUMIFS(tblhome1[main],tblhome1[ctry],Table19[[#This Row],[ctry]])</f>
        <v/>
      </c>
      <c r="N30" s="1740">
        <f>SUMIFS(tblhome1[total],tblhome1[ctry],Table19[[#This Row],[ctry]])</f>
        <v/>
      </c>
      <c r="O30" s="1747" t="inlineStr">
        <is>
          <t>.</t>
        </is>
      </c>
      <c r="P30" s="1742" t="n"/>
      <c r="Q30" s="1747">
        <f>Q29+1</f>
        <v/>
      </c>
      <c r="R30" s="1756">
        <f/>
        <v/>
      </c>
      <c r="S30" s="1753">
        <f>_xlfn.XLOOKUP(R30,cities[city],cities[ctry],"-")</f>
        <v/>
      </c>
      <c r="T30" s="1757" t="inlineStr">
        <is>
          <t>ITA</t>
        </is>
      </c>
      <c r="U30" s="1758">
        <f>COUNTIF(S$4:S$38,T30)</f>
        <v/>
      </c>
      <c r="V30" s="1746" t="inlineStr">
        <is>
          <t>.</t>
        </is>
      </c>
      <c r="W30" s="1756">
        <f/>
        <v/>
      </c>
      <c r="X30" s="1753">
        <f>_xlfn.XLOOKUP(W30,cities[city],cities[ctry],"-")</f>
        <v/>
      </c>
      <c r="Y30" s="1757" t="n"/>
      <c r="Z30" s="1758" t="n"/>
      <c r="AA30" s="1747" t="inlineStr">
        <is>
          <t>.</t>
        </is>
      </c>
      <c r="AB30" s="1742" t="n"/>
      <c r="AC30" s="1742" t="n"/>
    </row>
    <row r="31">
      <c r="A31" s="1735" t="n">
        <v>29</v>
      </c>
      <c r="B31" s="1735">
        <f>_xlfn.XLOOKUP(tblhome1[[#This Row],['#]],homes[id],homes[home],"-")</f>
        <v/>
      </c>
      <c r="C31" s="1735">
        <f>_xlfn.XLOOKUP(tblhome1[[#This Row],[nickname]],homes[home],homes[city],"-")</f>
        <v/>
      </c>
      <c r="D31" s="1735">
        <f>_xlfn.XLOOKUP(tblhome1[[#This Row],[nickname]],homes[home],homes[ctry],"-")</f>
        <v/>
      </c>
      <c r="E31" s="1736">
        <f>_xlfn.XLOOKUP(tblhome1[[#This Row],[nickname]],homes[home],homes[1st date],"-")</f>
        <v/>
      </c>
      <c r="F31" s="1735">
        <f>ROUND(_xlfn.XLOOKUP(tblhome1[[#This Row],[nickname]],homes[home],homes[main],0),0)</f>
        <v/>
      </c>
      <c r="G31" s="1735">
        <f>ROUND(_xlfn.XLOOKUP(tblhome1[[#This Row],[nickname]],homes[home],homes[total],0),0)</f>
        <v/>
      </c>
      <c r="H31" s="1737">
        <f>_xlfn.XLOOKUP(tblhome1[[#This Row],[nickname]],homes[home],homes[%],"-")</f>
        <v/>
      </c>
      <c r="I31" s="1735">
        <f>I30+1</f>
        <v/>
      </c>
      <c r="J31" s="1740" t="n">
        <v>8</v>
      </c>
      <c r="K31" s="1740">
        <f>_xlfn.XLOOKUP(Table19[[#This Row],[id]],homeCities['#],homeCities[homeCtry],"-")</f>
        <v/>
      </c>
      <c r="L31" s="1740">
        <f>COUNTIF(tblhome1[ctry],Table19[[#This Row],[ctry]])</f>
        <v/>
      </c>
      <c r="M31" s="1740">
        <f>SUMIFS(tblhome1[main],tblhome1[ctry],Table19[[#This Row],[ctry]])</f>
        <v/>
      </c>
      <c r="N31" s="1740">
        <f>SUMIFS(tblhome1[total],tblhome1[ctry],Table19[[#This Row],[ctry]])</f>
        <v/>
      </c>
      <c r="O31" s="1747" t="inlineStr">
        <is>
          <t>.</t>
        </is>
      </c>
      <c r="P31" s="1742" t="n"/>
      <c r="Q31" s="1747">
        <f>Q30+1</f>
        <v/>
      </c>
      <c r="R31" s="1752">
        <f/>
        <v/>
      </c>
      <c r="S31" s="1753">
        <f>_xlfn.XLOOKUP(R31,cities[city],cities[ctry],"-")</f>
        <v/>
      </c>
      <c r="T31" s="1757" t="n"/>
      <c r="U31" s="1758" t="n"/>
      <c r="V31" s="1746" t="inlineStr">
        <is>
          <t>.</t>
        </is>
      </c>
      <c r="W31" s="1752">
        <f/>
        <v/>
      </c>
      <c r="X31" s="1753">
        <f>_xlfn.XLOOKUP(W31,cities[city],cities[ctry],"-")</f>
        <v/>
      </c>
      <c r="Y31" s="1757" t="n"/>
      <c r="Z31" s="1758" t="n"/>
      <c r="AA31" s="1747" t="inlineStr">
        <is>
          <t>.</t>
        </is>
      </c>
      <c r="AB31" s="1742" t="n"/>
      <c r="AC31" s="1742" t="n"/>
    </row>
    <row r="32">
      <c r="A32" s="1748" t="n">
        <v>30</v>
      </c>
      <c r="B32" s="1748">
        <f>_xlfn.XLOOKUP(tblhome1[[#This Row],['#]],homes[id],homes[home],"-")</f>
        <v/>
      </c>
      <c r="C32" s="1748">
        <f>_xlfn.XLOOKUP(tblhome1[[#This Row],[nickname]],homes[home],homes[city],"-")</f>
        <v/>
      </c>
      <c r="D32" s="1748">
        <f>_xlfn.XLOOKUP(tblhome1[[#This Row],[nickname]],homes[home],homes[ctry],"-")</f>
        <v/>
      </c>
      <c r="E32" s="1749">
        <f>_xlfn.XLOOKUP(tblhome1[[#This Row],[nickname]],homes[home],homes[1st date],"-")</f>
        <v/>
      </c>
      <c r="F32" s="1748">
        <f>ROUND(_xlfn.XLOOKUP(tblhome1[[#This Row],[nickname]],homes[home],homes[main],0),0)</f>
        <v/>
      </c>
      <c r="G32" s="1748">
        <f>ROUND(_xlfn.XLOOKUP(tblhome1[[#This Row],[nickname]],homes[home],homes[total],0),0)</f>
        <v/>
      </c>
      <c r="H32" s="1750">
        <f>_xlfn.XLOOKUP(tblhome1[[#This Row],[nickname]],homes[home],homes[%],"-")</f>
        <v/>
      </c>
      <c r="I32" s="1748">
        <f>I31+1</f>
        <v/>
      </c>
      <c r="J32" s="1740" t="n">
        <v>9</v>
      </c>
      <c r="K32" s="1740">
        <f>_xlfn.XLOOKUP(Table19[[#This Row],[id]],homeCities['#],homeCities[homeCtry],"-")</f>
        <v/>
      </c>
      <c r="L32" s="1740">
        <f>COUNTIF(tblhome1[ctry],Table19[[#This Row],[ctry]])</f>
        <v/>
      </c>
      <c r="M32" s="1740">
        <f>SUMIFS(tblhome1[main],tblhome1[ctry],Table19[[#This Row],[ctry]])</f>
        <v/>
      </c>
      <c r="N32" s="1740">
        <f>SUMIFS(tblhome1[total],tblhome1[ctry],Table19[[#This Row],[ctry]])</f>
        <v/>
      </c>
      <c r="O32" s="1747" t="inlineStr">
        <is>
          <t>.</t>
        </is>
      </c>
      <c r="P32" s="1742" t="n"/>
      <c r="Q32" s="1747">
        <f>Q31+1</f>
        <v/>
      </c>
      <c r="R32" s="1756">
        <f/>
        <v/>
      </c>
      <c r="S32" s="1753">
        <f>_xlfn.XLOOKUP(R32,cities[city],cities[ctry],"-")</f>
        <v/>
      </c>
      <c r="T32" s="1757" t="n"/>
      <c r="U32" s="1758" t="n"/>
      <c r="V32" s="1746" t="inlineStr">
        <is>
          <t>.</t>
        </is>
      </c>
      <c r="W32" s="1756">
        <f/>
        <v/>
      </c>
      <c r="X32" s="1753">
        <f>_xlfn.XLOOKUP(W32,cities[city],cities[ctry],"-")</f>
        <v/>
      </c>
      <c r="Y32" s="1757" t="n"/>
      <c r="Z32" s="1758" t="n"/>
      <c r="AA32" s="1747" t="inlineStr">
        <is>
          <t>.</t>
        </is>
      </c>
      <c r="AB32" s="1742" t="n"/>
      <c r="AC32" s="1742" t="n"/>
    </row>
    <row r="33">
      <c r="A33" s="1735" t="n">
        <v>31</v>
      </c>
      <c r="B33" s="1735">
        <f>_xlfn.XLOOKUP(tblhome1[[#This Row],['#]],homes[id],homes[home],"-")</f>
        <v/>
      </c>
      <c r="C33" s="1735">
        <f>_xlfn.XLOOKUP(tblhome1[[#This Row],[nickname]],homes[home],homes[city],"-")</f>
        <v/>
      </c>
      <c r="D33" s="1735">
        <f>_xlfn.XLOOKUP(tblhome1[[#This Row],[nickname]],homes[home],homes[ctry],"-")</f>
        <v/>
      </c>
      <c r="E33" s="1736">
        <f>_xlfn.XLOOKUP(tblhome1[[#This Row],[nickname]],homes[home],homes[1st date],"-")</f>
        <v/>
      </c>
      <c r="F33" s="1735">
        <f>ROUND(_xlfn.XLOOKUP(tblhome1[[#This Row],[nickname]],homes[home],homes[main],0),0)</f>
        <v/>
      </c>
      <c r="G33" s="1735">
        <f>ROUND(_xlfn.XLOOKUP(tblhome1[[#This Row],[nickname]],homes[home],homes[total],0),0)</f>
        <v/>
      </c>
      <c r="H33" s="1737">
        <f>_xlfn.XLOOKUP(tblhome1[[#This Row],[nickname]],homes[home],homes[%],"-")</f>
        <v/>
      </c>
      <c r="I33" s="1735" t="n"/>
      <c r="J33" s="1740" t="n"/>
      <c r="K33" s="1740" t="n"/>
      <c r="L33" s="1740" t="n"/>
      <c r="M33" s="1740" t="n"/>
      <c r="N33" s="1740" t="n"/>
      <c r="O33" s="1747" t="inlineStr">
        <is>
          <t>.</t>
        </is>
      </c>
      <c r="P33" s="1742" t="n"/>
      <c r="Q33" s="1747">
        <f>Q32+1</f>
        <v/>
      </c>
      <c r="R33" s="1752">
        <f/>
        <v/>
      </c>
      <c r="S33" s="1753">
        <f>_xlfn.XLOOKUP(R33,cities[city],cities[ctry],"-")</f>
        <v/>
      </c>
      <c r="T33" s="1757" t="n"/>
      <c r="U33" s="1758" t="n"/>
      <c r="V33" s="1746" t="inlineStr">
        <is>
          <t>.</t>
        </is>
      </c>
      <c r="W33" s="1752">
        <f/>
        <v/>
      </c>
      <c r="X33" s="1753">
        <f>_xlfn.XLOOKUP(W33,cities[city],cities[ctry],"-")</f>
        <v/>
      </c>
      <c r="Y33" s="1757" t="n"/>
      <c r="Z33" s="1758" t="n"/>
      <c r="AA33" s="1747" t="inlineStr">
        <is>
          <t>.</t>
        </is>
      </c>
      <c r="AB33" s="1742" t="n"/>
      <c r="AC33" s="1742" t="n"/>
    </row>
    <row r="34">
      <c r="A34" s="1748" t="n">
        <v>32</v>
      </c>
      <c r="B34" s="1748">
        <f>_xlfn.XLOOKUP(tblhome1[[#This Row],['#]],homes[id],homes[home],"-")</f>
        <v/>
      </c>
      <c r="C34" s="1748">
        <f>_xlfn.XLOOKUP(tblhome1[[#This Row],[nickname]],homes[home],homes[city],"-")</f>
        <v/>
      </c>
      <c r="D34" s="1748">
        <f>_xlfn.XLOOKUP(tblhome1[[#This Row],[nickname]],homes[home],homes[ctry],"-")</f>
        <v/>
      </c>
      <c r="E34" s="1749">
        <f>_xlfn.XLOOKUP(tblhome1[[#This Row],[nickname]],homes[home],homes[1st date],"-")</f>
        <v/>
      </c>
      <c r="F34" s="1748">
        <f>ROUND(_xlfn.XLOOKUP(tblhome1[[#This Row],[nickname]],homes[home],homes[main],0),0)</f>
        <v/>
      </c>
      <c r="G34" s="1748">
        <f>ROUND(_xlfn.XLOOKUP(tblhome1[[#This Row],[nickname]],homes[home],homes[total],0),0)</f>
        <v/>
      </c>
      <c r="H34" s="1750">
        <f>_xlfn.XLOOKUP(tblhome1[[#This Row],[nickname]],homes[home],homes[%],"-")</f>
        <v/>
      </c>
      <c r="I34" s="1748" t="n"/>
      <c r="J34" s="1740" t="n"/>
      <c r="K34" s="1740" t="n"/>
      <c r="L34" s="1740" t="n"/>
      <c r="M34" s="1740" t="n"/>
      <c r="N34" s="1740" t="n"/>
      <c r="O34" s="1747" t="inlineStr">
        <is>
          <t>.</t>
        </is>
      </c>
      <c r="P34" s="1742" t="n"/>
      <c r="Q34" s="1747">
        <f>Q33+1</f>
        <v/>
      </c>
      <c r="R34" s="1756">
        <f/>
        <v/>
      </c>
      <c r="S34" s="1753">
        <f>_xlfn.XLOOKUP(R34,cities[city],cities[ctry],"-")</f>
        <v/>
      </c>
      <c r="T34" s="1757" t="n"/>
      <c r="U34" s="1758" t="n"/>
      <c r="V34" s="1746" t="inlineStr">
        <is>
          <t>.</t>
        </is>
      </c>
      <c r="W34" s="1756">
        <f/>
        <v/>
      </c>
      <c r="X34" s="1753">
        <f>_xlfn.XLOOKUP(W34,cities[city],cities[ctry],"-")</f>
        <v/>
      </c>
      <c r="Y34" s="1757" t="n"/>
      <c r="Z34" s="1758" t="n"/>
      <c r="AA34" s="1747" t="inlineStr">
        <is>
          <t>.</t>
        </is>
      </c>
      <c r="AB34" s="1742" t="n"/>
      <c r="AC34" s="1742" t="n"/>
    </row>
    <row r="35">
      <c r="A35" s="1735" t="n">
        <v>33</v>
      </c>
      <c r="B35" s="1735">
        <f>_xlfn.XLOOKUP(tblhome1[[#This Row],['#]],homes[id],homes[home],"-")</f>
        <v/>
      </c>
      <c r="C35" s="1735">
        <f>_xlfn.XLOOKUP(tblhome1[[#This Row],[nickname]],homes[home],homes[city],"-")</f>
        <v/>
      </c>
      <c r="D35" s="1735">
        <f>_xlfn.XLOOKUP(tblhome1[[#This Row],[nickname]],homes[home],homes[ctry],"-")</f>
        <v/>
      </c>
      <c r="E35" s="1736">
        <f>_xlfn.XLOOKUP(tblhome1[[#This Row],[nickname]],homes[home],homes[1st date],"-")</f>
        <v/>
      </c>
      <c r="F35" s="1735">
        <f>ROUND(_xlfn.XLOOKUP(tblhome1[[#This Row],[nickname]],homes[home],homes[main],0),0)</f>
        <v/>
      </c>
      <c r="G35" s="1735">
        <f>ROUND(_xlfn.XLOOKUP(tblhome1[[#This Row],[nickname]],homes[home],homes[total],0),0)</f>
        <v/>
      </c>
      <c r="H35" s="1737">
        <f>_xlfn.XLOOKUP(tblhome1[[#This Row],[nickname]],homes[home],homes[%],"-")</f>
        <v/>
      </c>
      <c r="I35" s="1735" t="inlineStr">
        <is>
          <t>.</t>
        </is>
      </c>
      <c r="J35" s="1740" t="n"/>
      <c r="K35" s="1740" t="n"/>
      <c r="L35" s="1740" t="n"/>
      <c r="M35" s="1740" t="n"/>
      <c r="N35" s="1740" t="n"/>
      <c r="O35" s="1747" t="inlineStr">
        <is>
          <t>.</t>
        </is>
      </c>
      <c r="P35" s="1742" t="n"/>
      <c r="Q35" s="1747">
        <f>Q34+1</f>
        <v/>
      </c>
      <c r="R35" s="1752">
        <f/>
        <v/>
      </c>
      <c r="S35" s="1753">
        <f>_xlfn.XLOOKUP(R35,cities[city],cities[ctry],"-")</f>
        <v/>
      </c>
      <c r="T35" s="1757" t="n"/>
      <c r="U35" s="1758" t="n"/>
      <c r="V35" s="1746" t="inlineStr">
        <is>
          <t>.</t>
        </is>
      </c>
      <c r="W35" s="1752">
        <f/>
        <v/>
      </c>
      <c r="X35" s="1753">
        <f>_xlfn.XLOOKUP(W35,cities[city],cities[ctry],"-")</f>
        <v/>
      </c>
      <c r="Y35" s="1757" t="n"/>
      <c r="Z35" s="1758" t="n"/>
      <c r="AA35" s="1747" t="inlineStr">
        <is>
          <t>.</t>
        </is>
      </c>
      <c r="AB35" s="1742" t="n"/>
      <c r="AC35" s="1742" t="n"/>
    </row>
    <row r="36">
      <c r="A36" s="1748" t="n">
        <v>34</v>
      </c>
      <c r="B36" s="1748">
        <f>_xlfn.XLOOKUP(tblhome1[[#This Row],['#]],homes[id],homes[home],"-")</f>
        <v/>
      </c>
      <c r="C36" s="1748">
        <f>_xlfn.XLOOKUP(tblhome1[[#This Row],[nickname]],homes[home],homes[city],"-")</f>
        <v/>
      </c>
      <c r="D36" s="1748">
        <f>_xlfn.XLOOKUP(tblhome1[[#This Row],[nickname]],homes[home],homes[ctry],"-")</f>
        <v/>
      </c>
      <c r="E36" s="1749">
        <f>_xlfn.XLOOKUP(tblhome1[[#This Row],[nickname]],homes[home],homes[1st date],"-")</f>
        <v/>
      </c>
      <c r="F36" s="1748">
        <f>ROUND(_xlfn.XLOOKUP(tblhome1[[#This Row],[nickname]],homes[home],homes[main],0),0)</f>
        <v/>
      </c>
      <c r="G36" s="1748">
        <f>ROUND(_xlfn.XLOOKUP(tblhome1[[#This Row],[nickname]],homes[home],homes[total],0),0)</f>
        <v/>
      </c>
      <c r="H36" s="1750">
        <f>_xlfn.XLOOKUP(tblhome1[[#This Row],[nickname]],homes[home],homes[%],"-")</f>
        <v/>
      </c>
      <c r="I36" s="1748" t="inlineStr">
        <is>
          <t>.</t>
        </is>
      </c>
      <c r="J36" s="1740" t="n"/>
      <c r="K36" s="1740" t="n"/>
      <c r="L36" s="1740" t="n"/>
      <c r="M36" s="1740" t="n"/>
      <c r="N36" s="1740" t="n"/>
      <c r="O36" s="1747" t="inlineStr">
        <is>
          <t>.</t>
        </is>
      </c>
      <c r="P36" s="1742" t="n"/>
      <c r="Q36" s="1747">
        <f>Q35+1</f>
        <v/>
      </c>
      <c r="R36" s="1756">
        <f/>
        <v/>
      </c>
      <c r="S36" s="1753">
        <f>_xlfn.XLOOKUP(R36,cities[city],cities[ctry],"-")</f>
        <v/>
      </c>
      <c r="T36" s="1757" t="n"/>
      <c r="U36" s="1758" t="n"/>
      <c r="V36" s="1746" t="inlineStr">
        <is>
          <t>.</t>
        </is>
      </c>
      <c r="W36" s="1756">
        <f/>
        <v/>
      </c>
      <c r="X36" s="1753">
        <f>_xlfn.XLOOKUP(W36,cities[city],cities[ctry],"-")</f>
        <v/>
      </c>
      <c r="Y36" s="1757" t="n"/>
      <c r="Z36" s="1758" t="n"/>
      <c r="AA36" s="1747" t="inlineStr">
        <is>
          <t>.</t>
        </is>
      </c>
      <c r="AB36" s="1742" t="n"/>
      <c r="AC36" s="1742" t="n"/>
    </row>
    <row r="37">
      <c r="A37" s="1735" t="n">
        <v>35</v>
      </c>
      <c r="B37" s="1735" t="n"/>
      <c r="C37" s="1735" t="n"/>
      <c r="D37" s="1735" t="n"/>
      <c r="E37" s="1736" t="n"/>
      <c r="F37" s="1735" t="n"/>
      <c r="G37" s="1735" t="n"/>
      <c r="H37" s="1735" t="n"/>
      <c r="I37" s="1735" t="inlineStr">
        <is>
          <t>.</t>
        </is>
      </c>
      <c r="J37" s="1740" t="n"/>
      <c r="K37" s="1740" t="n"/>
      <c r="L37" s="1740" t="n"/>
      <c r="M37" s="1740" t="n"/>
      <c r="N37" s="1740" t="n"/>
      <c r="O37" s="1747" t="inlineStr">
        <is>
          <t>.</t>
        </is>
      </c>
      <c r="P37" s="1742" t="n"/>
      <c r="Q37" s="1747">
        <f>Q36+1</f>
        <v/>
      </c>
      <c r="R37" s="1752">
        <f/>
        <v/>
      </c>
      <c r="S37" s="1753">
        <f>_xlfn.XLOOKUP(R37,cities[city],cities[ctry],"-")</f>
        <v/>
      </c>
      <c r="T37" s="1757" t="n"/>
      <c r="U37" s="1758" t="n"/>
      <c r="V37" s="1746" t="inlineStr">
        <is>
          <t>.</t>
        </is>
      </c>
      <c r="W37" s="1752">
        <f/>
        <v/>
      </c>
      <c r="X37" s="1753">
        <f>_xlfn.XLOOKUP(W37,cities[city],cities[ctry],"-")</f>
        <v/>
      </c>
      <c r="Y37" s="1757" t="n"/>
      <c r="Z37" s="1758" t="n"/>
      <c r="AA37" s="1747" t="inlineStr">
        <is>
          <t>.</t>
        </is>
      </c>
      <c r="AB37" s="1742" t="n"/>
      <c r="AC37" s="1742" t="n"/>
    </row>
    <row r="38">
      <c r="A38" s="1748" t="n">
        <v>36</v>
      </c>
      <c r="B38" s="1748" t="n"/>
      <c r="C38" s="1748" t="n"/>
      <c r="D38" s="1748" t="n"/>
      <c r="E38" s="1749" t="n"/>
      <c r="F38" s="1748" t="n"/>
      <c r="G38" s="1748" t="n"/>
      <c r="H38" s="1748" t="n"/>
      <c r="I38" s="1748" t="inlineStr">
        <is>
          <t>.</t>
        </is>
      </c>
      <c r="J38" s="1740" t="n"/>
      <c r="K38" s="1740" t="n"/>
      <c r="L38" s="1740" t="n"/>
      <c r="M38" s="1740" t="n"/>
      <c r="N38" s="1740" t="n"/>
      <c r="O38" s="1747" t="inlineStr">
        <is>
          <t>.</t>
        </is>
      </c>
      <c r="P38" s="1742" t="n"/>
      <c r="Q38" s="1747">
        <f>Q37+1</f>
        <v/>
      </c>
      <c r="R38" s="1752" t="n"/>
      <c r="S38" s="1753">
        <f>_xlfn.XLOOKUP(R38,cities[city],cities[ctry],"-")</f>
        <v/>
      </c>
      <c r="T38" s="1760" t="n"/>
      <c r="U38" s="1761" t="n"/>
      <c r="V38" s="1767" t="n"/>
      <c r="W38" s="1752">
        <f/>
        <v/>
      </c>
      <c r="X38" s="1753">
        <f>_xlfn.XLOOKUP(W38,cities[city],cities[ctry],"-")</f>
        <v/>
      </c>
      <c r="Y38" s="1760" t="n"/>
      <c r="Z38" s="1761" t="n"/>
      <c r="AA38" s="1747" t="inlineStr">
        <is>
          <t>.</t>
        </is>
      </c>
      <c r="AB38" s="1742" t="n"/>
      <c r="AC38" s="1742" t="n"/>
    </row>
    <row r="39">
      <c r="A39" s="1735" t="n">
        <v>37</v>
      </c>
      <c r="B39" s="1735" t="n"/>
      <c r="C39" s="1735" t="n"/>
      <c r="D39" s="1735" t="n"/>
      <c r="E39" s="1736" t="n"/>
      <c r="F39" s="1735" t="n"/>
      <c r="G39" s="1735" t="n"/>
      <c r="H39" s="1735" t="n"/>
      <c r="I39" s="1735" t="inlineStr">
        <is>
          <t>.</t>
        </is>
      </c>
      <c r="J39" s="1740" t="n"/>
      <c r="K39" s="1740" t="n"/>
      <c r="L39" s="1740" t="n"/>
      <c r="M39" s="1740" t="n"/>
      <c r="N39" s="1740" t="n"/>
      <c r="O39" s="1747" t="inlineStr">
        <is>
          <t>.</t>
        </is>
      </c>
      <c r="P39" s="1742" t="n"/>
      <c r="Q39" s="1747" t="n"/>
      <c r="R39" s="1767" t="n"/>
      <c r="S39" s="1767" t="n"/>
      <c r="T39" s="1767" t="n"/>
      <c r="U39" s="1767" t="n"/>
      <c r="V39" s="1767" t="n"/>
      <c r="W39" s="1767" t="n"/>
      <c r="X39" s="1767" t="n"/>
      <c r="Y39" s="1767" t="n"/>
      <c r="Z39" s="1767" t="n"/>
      <c r="AA39" s="1747" t="inlineStr">
        <is>
          <t>.</t>
        </is>
      </c>
      <c r="AB39" s="1742" t="n"/>
      <c r="AC39" s="1742" t="n"/>
    </row>
    <row r="40">
      <c r="A40" s="1748" t="n">
        <v>38</v>
      </c>
      <c r="B40" s="1748" t="n"/>
      <c r="C40" s="1748" t="n"/>
      <c r="D40" s="1748" t="n"/>
      <c r="E40" s="1749" t="n"/>
      <c r="F40" s="1748" t="n"/>
      <c r="G40" s="1748" t="n"/>
      <c r="H40" s="1748" t="n"/>
      <c r="I40" s="1748" t="inlineStr">
        <is>
          <t>.</t>
        </is>
      </c>
      <c r="J40" s="1740" t="n"/>
      <c r="K40" s="1740" t="n"/>
      <c r="L40" s="1740" t="n"/>
      <c r="M40" s="1740" t="n"/>
      <c r="N40" s="1740" t="n"/>
      <c r="O40" s="1747" t="inlineStr">
        <is>
          <t>.</t>
        </is>
      </c>
      <c r="P40" s="1742" t="n"/>
      <c r="Q40" s="1742" t="n"/>
      <c r="R40" s="1742" t="n"/>
      <c r="S40" s="1742" t="n"/>
      <c r="T40" s="1742" t="n"/>
      <c r="U40" s="1742" t="n"/>
      <c r="V40" s="1742" t="n"/>
      <c r="W40" s="1742" t="n"/>
      <c r="X40" s="1742" t="n"/>
      <c r="Y40" s="1742" t="n"/>
      <c r="Z40" s="1742" t="n"/>
      <c r="AA40" s="1742" t="n"/>
      <c r="AB40" s="1742" t="n"/>
      <c r="AC40" s="1742" t="n"/>
    </row>
    <row r="41">
      <c r="A41" s="1735" t="n">
        <v>39</v>
      </c>
      <c r="B41" s="1735" t="n"/>
      <c r="C41" s="1735" t="n"/>
      <c r="D41" s="1735" t="n"/>
      <c r="E41" s="1736" t="n"/>
      <c r="F41" s="1735" t="n"/>
      <c r="G41" s="1735" t="n"/>
      <c r="H41" s="1735" t="n"/>
      <c r="I41" s="1735" t="inlineStr">
        <is>
          <t>.</t>
        </is>
      </c>
      <c r="J41" s="1740" t="n"/>
      <c r="K41" s="1740" t="n"/>
      <c r="L41" s="1740" t="n"/>
      <c r="M41" s="1740" t="n"/>
      <c r="N41" s="1740" t="n"/>
      <c r="O41" s="1747" t="inlineStr">
        <is>
          <t>.</t>
        </is>
      </c>
      <c r="P41" s="1742" t="n"/>
      <c r="Q41" s="1742" t="n"/>
      <c r="R41" s="1742" t="n"/>
      <c r="S41" s="1742" t="n"/>
      <c r="T41" s="1742" t="n"/>
      <c r="U41" s="1742" t="n"/>
      <c r="V41" s="1742" t="n"/>
      <c r="W41" s="1742" t="n"/>
      <c r="X41" s="1742" t="n"/>
      <c r="Y41" s="1742" t="n"/>
      <c r="Z41" s="1742" t="n"/>
      <c r="AA41" s="1742" t="n"/>
      <c r="AB41" s="1742" t="n"/>
      <c r="AC41" s="1742" t="n"/>
    </row>
    <row r="42">
      <c r="A42" s="1748" t="n">
        <v>40</v>
      </c>
      <c r="B42" s="1748" t="n"/>
      <c r="C42" s="1748" t="n"/>
      <c r="D42" s="1748" t="n"/>
      <c r="E42" s="1749" t="n"/>
      <c r="F42" s="1748" t="n"/>
      <c r="G42" s="1748" t="n"/>
      <c r="H42" s="1748" t="n"/>
      <c r="I42" s="1748" t="inlineStr">
        <is>
          <t>.</t>
        </is>
      </c>
      <c r="J42" s="1740" t="n"/>
      <c r="K42" s="1740" t="n"/>
      <c r="L42" s="1740" t="n"/>
      <c r="M42" s="1740" t="n"/>
      <c r="N42" s="1740" t="n"/>
      <c r="O42" s="1747" t="inlineStr">
        <is>
          <t>.</t>
        </is>
      </c>
      <c r="P42" s="1742" t="n"/>
      <c r="Q42" s="1742" t="n"/>
      <c r="R42" s="1742" t="n"/>
      <c r="S42" s="1742" t="n"/>
      <c r="T42" s="1742" t="n"/>
      <c r="U42" s="1742" t="n"/>
      <c r="V42" s="1742" t="n"/>
      <c r="W42" s="1742" t="n"/>
      <c r="X42" s="1742" t="n"/>
      <c r="Y42" s="1742" t="n"/>
      <c r="Z42" s="1742" t="n"/>
      <c r="AA42" s="1742" t="n"/>
      <c r="AB42" s="1742" t="n"/>
      <c r="AC42" s="1742" t="n"/>
    </row>
    <row r="43">
      <c r="A43" s="1735" t="n">
        <v>40</v>
      </c>
      <c r="B43" s="1768" t="n"/>
      <c r="C43" s="1768" t="n"/>
      <c r="D43" s="1768" t="n"/>
      <c r="E43" s="1768" t="n"/>
      <c r="F43" s="1768" t="n"/>
      <c r="G43" s="1768" t="n"/>
      <c r="H43" s="1768" t="n"/>
      <c r="I43" s="1735" t="inlineStr">
        <is>
          <t>.</t>
        </is>
      </c>
      <c r="J43" s="1762" t="n"/>
      <c r="K43" s="1762" t="n"/>
      <c r="L43" s="1762" t="n"/>
      <c r="M43" s="1762" t="n"/>
      <c r="N43" s="1762" t="n"/>
      <c r="O43" s="1747" t="inlineStr">
        <is>
          <t>.</t>
        </is>
      </c>
      <c r="P43" s="1742" t="n"/>
      <c r="Q43" s="1742" t="n"/>
      <c r="R43" s="1742" t="n"/>
      <c r="S43" s="1742" t="n"/>
      <c r="T43" s="1742" t="n"/>
      <c r="U43" s="1742" t="n"/>
      <c r="V43" s="1742" t="n"/>
      <c r="W43" s="1742" t="n"/>
      <c r="X43" s="1742" t="n"/>
      <c r="Y43" s="1742" t="n"/>
      <c r="Z43" s="1742" t="n"/>
      <c r="AA43" s="1742" t="n"/>
      <c r="AB43" s="1742" t="n"/>
      <c r="AC43" s="1742" t="n"/>
    </row>
    <row r="44">
      <c r="A44" s="1769" t="n"/>
      <c r="B44" s="1769" t="n"/>
      <c r="C44" s="1769" t="n"/>
      <c r="D44" s="1769" t="n"/>
      <c r="E44" s="1769" t="n"/>
      <c r="F44" s="1769" t="n"/>
      <c r="G44" s="1769" t="n"/>
      <c r="H44" s="1769" t="n"/>
      <c r="I44" s="1769" t="n"/>
      <c r="J44" s="1767" t="n"/>
      <c r="K44" s="1767" t="n"/>
      <c r="L44" s="1767" t="n"/>
      <c r="M44" s="1767" t="n"/>
      <c r="N44" s="1767" t="n"/>
      <c r="O44" s="1767" t="n"/>
      <c r="P44" s="1742" t="n"/>
      <c r="Q44" s="1742" t="n"/>
      <c r="R44" s="1742" t="n"/>
      <c r="S44" s="1742" t="n"/>
      <c r="T44" s="1742" t="n"/>
      <c r="U44" s="1742" t="n"/>
      <c r="V44" s="1742" t="n"/>
      <c r="W44" s="1742" t="n"/>
      <c r="X44" s="1742" t="n"/>
      <c r="Y44" s="1742" t="n"/>
      <c r="Z44" s="1742" t="n"/>
      <c r="AA44" s="1742" t="n"/>
      <c r="AB44" s="1742" t="n"/>
      <c r="AC44" s="1742" t="n"/>
    </row>
  </sheetData>
  <pageMargins left="0.7" right="0.7" top="0.75" bottom="0.75" header="0.3" footer="0.3"/>
  <pageSetup orientation="portrait" horizontalDpi="0" verticalDpi="0"/>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6.xml><?xml version="1.0" encoding="utf-8"?>
<worksheet xmlns="http://schemas.openxmlformats.org/spreadsheetml/2006/main">
  <sheetPr>
    <tabColor rgb="00BF360C"/>
    <outlinePr summaryBelow="1" summaryRight="1"/>
    <pageSetUpPr/>
  </sheetPr>
  <dimension ref="A1:CG106"/>
  <sheetViews>
    <sheetView topLeftCell="O1" workbookViewId="0">
      <pane xSplit="3" ySplit="3" topLeftCell="D4" activePane="bottomRight" state="frozen"/>
      <selection pane="topRight"/>
      <selection pane="bottomLeft"/>
      <selection pane="bottomRight" activeCell="BG1" sqref="BG1"/>
    </sheetView>
  </sheetViews>
  <sheetFormatPr baseColWidth="10" defaultRowHeight="15" customHeight="1"/>
  <cols>
    <col width="7" bestFit="1" customWidth="1" min="1" max="1"/>
    <col width="7.33203125" customWidth="1" min="2" max="2"/>
    <col width="14.6640625" bestFit="1" customWidth="1" min="3" max="3"/>
    <col width="4.33203125" customWidth="1" min="4" max="36"/>
    <col width="4" customWidth="1" min="37" max="37"/>
    <col width="1.6640625" bestFit="1" customWidth="1" min="38" max="38"/>
    <col width="4.5" customWidth="1" min="39" max="39"/>
    <col width="10.6640625" customWidth="1" min="40" max="40"/>
    <col width="5.83203125" customWidth="1" min="41" max="52"/>
    <col width="5" customWidth="1" min="53" max="53"/>
    <col width="5.33203125" customWidth="1" min="54" max="54"/>
    <col width="1.6640625" bestFit="1" customWidth="1" min="55" max="55"/>
    <col width="6.6640625" customWidth="1" min="56" max="56"/>
    <col width="5.1640625" bestFit="1" customWidth="1" min="57" max="57"/>
    <col width="5.33203125" customWidth="1" min="58" max="69"/>
    <col width="3.1640625" bestFit="1" customWidth="1" min="70" max="70"/>
    <col width="4.1640625" bestFit="1" customWidth="1" min="71" max="71"/>
    <col width="1.6640625" bestFit="1" customWidth="1" min="72" max="72"/>
    <col width="6.83203125" customWidth="1" min="73" max="73"/>
    <col width="4.33203125" customWidth="1" min="74" max="74"/>
    <col width="3.83203125" customWidth="1" min="75" max="75"/>
    <col width="1.6640625" bestFit="1" customWidth="1" min="76" max="76"/>
    <col width="4.33203125" bestFit="1" customWidth="1" min="77" max="77"/>
    <col width="3.1640625" bestFit="1" customWidth="1" min="78" max="79"/>
    <col width="13.33203125" bestFit="1" customWidth="1" min="80" max="80"/>
    <col width="6" bestFit="1" customWidth="1" min="81" max="81"/>
    <col width="4" bestFit="1" customWidth="1" min="82" max="82"/>
    <col width="5.1640625" bestFit="1" customWidth="1" min="83" max="84"/>
    <col width="1.6640625" bestFit="1" customWidth="1" min="85" max="85"/>
    <col width="5" bestFit="1" customWidth="1" min="86" max="86"/>
    <col width="4.5" bestFit="1" customWidth="1" min="87" max="87"/>
    <col width="5" customWidth="1" min="88" max="88"/>
    <col width="2.1640625" bestFit="1" customWidth="1" min="89" max="89"/>
    <col width="1.6640625" bestFit="1" customWidth="1" min="90" max="90"/>
    <col width="11" bestFit="1" customWidth="1" min="91" max="91"/>
    <col width="8.83203125" bestFit="1" customWidth="1" min="92" max="92"/>
    <col width="11.5" bestFit="1" customWidth="1" min="93" max="93"/>
    <col width="1.6640625" bestFit="1" customWidth="1" min="94" max="94"/>
    <col width="3.1640625" bestFit="1" customWidth="1" min="98" max="99"/>
    <col width="13.5" bestFit="1" customWidth="1" min="100" max="100"/>
    <col width="7" bestFit="1" customWidth="1" min="101" max="101"/>
    <col width="4" bestFit="1" customWidth="1" min="102" max="102"/>
    <col width="5.5" bestFit="1" customWidth="1" min="103" max="103"/>
    <col width="1.6640625" bestFit="1" customWidth="1" min="104" max="104"/>
  </cols>
  <sheetData>
    <row r="1" ht="15" customHeight="1">
      <c r="A1" s="1548" t="n"/>
      <c r="B1" s="1548" t="n"/>
      <c r="C1" s="1548" t="n"/>
      <c r="D1" s="1548" t="n"/>
      <c r="E1" s="1548" t="n"/>
      <c r="F1" s="1548" t="n"/>
      <c r="G1" s="1548" t="n"/>
      <c r="H1" s="1548" t="n"/>
      <c r="I1" s="1548" t="n"/>
      <c r="J1" s="1548" t="n"/>
      <c r="K1" s="1548" t="n"/>
      <c r="L1" s="1548" t="n"/>
      <c r="M1" s="1548" t="n"/>
      <c r="N1" s="1548" t="n"/>
      <c r="O1" s="1548" t="n"/>
      <c r="P1" s="1548" t="n"/>
      <c r="Q1" s="1548" t="n"/>
      <c r="R1" s="1548" t="n"/>
      <c r="S1" s="1548" t="n"/>
      <c r="T1" s="1548" t="n"/>
      <c r="U1" s="1548" t="n"/>
      <c r="V1" s="1548" t="n"/>
      <c r="W1" s="1548" t="n"/>
      <c r="X1" s="1548" t="n"/>
      <c r="Y1" s="1548" t="n"/>
      <c r="Z1" s="1548" t="n"/>
      <c r="AA1" s="1548" t="n"/>
      <c r="AB1" s="1548" t="n"/>
      <c r="AC1" s="1548" t="n"/>
      <c r="AD1" s="1548" t="n"/>
      <c r="AE1" s="1548" t="n"/>
      <c r="AF1" s="1548" t="n"/>
      <c r="AG1" s="1548" t="n"/>
      <c r="AH1" s="1548" t="n"/>
      <c r="AI1" s="1548" t="n"/>
      <c r="AJ1" s="1548" t="n"/>
      <c r="AK1" s="1548" t="n"/>
      <c r="AL1" s="1548" t="inlineStr">
        <is>
          <t>.</t>
        </is>
      </c>
      <c r="AM1" s="1548" t="n"/>
      <c r="AN1" s="1548" t="n"/>
      <c r="AO1" s="1545" t="n"/>
      <c r="AP1" s="1545" t="n"/>
      <c r="AQ1" s="1545" t="n"/>
      <c r="AR1" s="1545" t="n"/>
      <c r="AS1" s="1545" t="n"/>
      <c r="AT1" s="1545" t="n"/>
      <c r="AU1" s="1545" t="n"/>
      <c r="AV1" s="1545" t="n"/>
      <c r="AW1" s="1545" t="n"/>
      <c r="AX1" s="1545" t="n"/>
      <c r="AY1" s="1545" t="n"/>
      <c r="AZ1" s="1545" t="n"/>
      <c r="BA1" s="1545" t="n"/>
      <c r="BB1" s="1545" t="n"/>
      <c r="BC1" s="1545" t="inlineStr">
        <is>
          <t>.</t>
        </is>
      </c>
      <c r="BD1" s="1545" t="n"/>
      <c r="BE1" s="1545" t="n"/>
      <c r="BF1" s="1545" t="n">
        <v>31</v>
      </c>
      <c r="BG1" s="1770" t="n">
        <v>28</v>
      </c>
      <c r="BH1" s="1545" t="n">
        <v>31</v>
      </c>
      <c r="BI1" s="1545" t="n">
        <v>30</v>
      </c>
      <c r="BJ1" s="1545" t="n">
        <v>31</v>
      </c>
      <c r="BK1" s="1545" t="n">
        <v>30</v>
      </c>
      <c r="BL1" s="1545" t="n">
        <v>31</v>
      </c>
      <c r="BM1" s="1545" t="n">
        <v>31</v>
      </c>
      <c r="BN1" s="1545" t="n">
        <v>30</v>
      </c>
      <c r="BO1" s="1545" t="n">
        <v>31</v>
      </c>
      <c r="BP1" s="1545" t="n">
        <v>30</v>
      </c>
      <c r="BQ1" s="1545" t="n">
        <v>31</v>
      </c>
      <c r="BR1" s="1545" t="n"/>
      <c r="BS1" s="1545" t="n"/>
      <c r="BT1" s="1548" t="inlineStr">
        <is>
          <t>.</t>
        </is>
      </c>
      <c r="BU1" s="1548" t="n"/>
      <c r="BV1" s="1548" t="n"/>
      <c r="BW1" s="1548" t="n"/>
      <c r="BX1" s="1548" t="n"/>
      <c r="BY1" s="1548" t="n"/>
      <c r="BZ1" s="1545" t="n"/>
      <c r="CA1" s="1545" t="n"/>
      <c r="CB1" s="1545" t="n"/>
      <c r="CC1" s="1545" t="n"/>
      <c r="CD1" s="1545" t="n"/>
      <c r="CE1" s="1545" t="n"/>
      <c r="CF1" s="1545" t="n"/>
      <c r="CG1" s="1548" t="n"/>
    </row>
    <row r="2" ht="15" customHeight="1">
      <c r="A2" s="1709" t="n"/>
      <c r="B2" s="1771" t="inlineStr">
        <is>
          <t>ENTRIES</t>
        </is>
      </c>
      <c r="C2" s="1349" t="n"/>
      <c r="D2" s="1772">
        <f>'@Main'!H1</f>
        <v/>
      </c>
      <c r="E2" s="1772">
        <f>'@Main'!I1</f>
        <v/>
      </c>
      <c r="F2" s="1772">
        <f>'@Main'!J1</f>
        <v/>
      </c>
      <c r="G2" s="1772">
        <f>'@Main'!K1</f>
        <v/>
      </c>
      <c r="H2" s="1772">
        <f>'@Main'!L1</f>
        <v/>
      </c>
      <c r="I2" s="1772">
        <f>'@Main'!M1</f>
        <v/>
      </c>
      <c r="J2" s="1772">
        <f>'@Main'!N1</f>
        <v/>
      </c>
      <c r="K2" s="1772">
        <f>'@Main'!O1</f>
        <v/>
      </c>
      <c r="L2" s="1772">
        <f>'@Main'!P1</f>
        <v/>
      </c>
      <c r="M2" s="1772">
        <f>'@Main'!Q1</f>
        <v/>
      </c>
      <c r="N2" s="1772">
        <f>'@Main'!R1</f>
        <v/>
      </c>
      <c r="O2" s="1772">
        <f>'@Main'!S1</f>
        <v/>
      </c>
      <c r="P2" s="1772">
        <f>'@Main'!T1</f>
        <v/>
      </c>
      <c r="Q2" s="1772">
        <f>'@Main'!U1</f>
        <v/>
      </c>
      <c r="R2" s="1772">
        <f>'@Main'!V1</f>
        <v/>
      </c>
      <c r="S2" s="1772">
        <f>'@Main'!W1</f>
        <v/>
      </c>
      <c r="T2" s="1772">
        <f>'@Main'!X1</f>
        <v/>
      </c>
      <c r="U2" s="1772">
        <f>'@Main'!Y1</f>
        <v/>
      </c>
      <c r="V2" s="1772">
        <f>'@Main'!Z1</f>
        <v/>
      </c>
      <c r="W2" s="1772">
        <f>'@Main'!AA1</f>
        <v/>
      </c>
      <c r="X2" s="1772">
        <f>'@Main'!AB1</f>
        <v/>
      </c>
      <c r="Y2" s="1772">
        <f>'@Main'!AC1</f>
        <v/>
      </c>
      <c r="Z2" s="1772">
        <f>'@Main'!AD1</f>
        <v/>
      </c>
      <c r="AA2" s="1772">
        <f>'@Main'!AE1</f>
        <v/>
      </c>
      <c r="AB2" s="1772">
        <f>'@Main'!AF1</f>
        <v/>
      </c>
      <c r="AC2" s="1772">
        <f>'@Main'!AG1</f>
        <v/>
      </c>
      <c r="AD2" s="1772">
        <f>'@Main'!AH1</f>
        <v/>
      </c>
      <c r="AE2" s="1772">
        <f>'@Main'!AI1</f>
        <v/>
      </c>
      <c r="AF2" s="1772">
        <f>'@Main'!AJ1</f>
        <v/>
      </c>
      <c r="AG2" s="1772">
        <f>'@Main'!AK1</f>
        <v/>
      </c>
      <c r="AH2" s="1772">
        <f>'@Main'!AL1</f>
        <v/>
      </c>
      <c r="AI2" s="1773">
        <f>'@Main'!AM1</f>
        <v/>
      </c>
      <c r="AJ2" s="1772">
        <f>'@Main'!AN1</f>
        <v/>
      </c>
      <c r="AK2" s="1709" t="n"/>
      <c r="AL2" s="1709" t="inlineStr">
        <is>
          <t>.</t>
        </is>
      </c>
      <c r="AM2" s="1774" t="n"/>
      <c r="AN2" s="1775" t="n"/>
      <c r="AO2" s="1776" t="n">
        <v>1</v>
      </c>
      <c r="AP2" s="1776">
        <f>AO2+1</f>
        <v/>
      </c>
      <c r="AQ2" s="1776">
        <f>AP2+1</f>
        <v/>
      </c>
      <c r="AR2" s="1776">
        <f>AQ2+1</f>
        <v/>
      </c>
      <c r="AS2" s="1776">
        <f>AR2+1</f>
        <v/>
      </c>
      <c r="AT2" s="1776">
        <f>AS2+1</f>
        <v/>
      </c>
      <c r="AU2" s="1776">
        <f>AT2+1</f>
        <v/>
      </c>
      <c r="AV2" s="1776">
        <f>AU2+1</f>
        <v/>
      </c>
      <c r="AW2" s="1776">
        <f>AV2+1</f>
        <v/>
      </c>
      <c r="AX2" s="1776">
        <f>AW2+1</f>
        <v/>
      </c>
      <c r="AY2" s="1776">
        <f>AX2+1</f>
        <v/>
      </c>
      <c r="AZ2" s="1776">
        <f>AY2+1</f>
        <v/>
      </c>
      <c r="BA2" s="1774" t="n"/>
      <c r="BB2" s="1707" t="n"/>
      <c r="BC2" s="1707" t="inlineStr">
        <is>
          <t>.</t>
        </is>
      </c>
      <c r="BD2" s="1774" t="n"/>
      <c r="BE2" s="1777" t="inlineStr">
        <is>
          <t>PRT</t>
        </is>
      </c>
      <c r="BF2" s="1778" t="n">
        <v>1</v>
      </c>
      <c r="BG2" s="1778">
        <f>BF2+1</f>
        <v/>
      </c>
      <c r="BH2" s="1778">
        <f>BG2+1</f>
        <v/>
      </c>
      <c r="BI2" s="1778">
        <f>BH2+1</f>
        <v/>
      </c>
      <c r="BJ2" s="1778">
        <f>BI2+1</f>
        <v/>
      </c>
      <c r="BK2" s="1778">
        <f>BJ2+1</f>
        <v/>
      </c>
      <c r="BL2" s="1778">
        <f>BK2+1</f>
        <v/>
      </c>
      <c r="BM2" s="1778">
        <f>BL2+1</f>
        <v/>
      </c>
      <c r="BN2" s="1778">
        <f>BM2+1</f>
        <v/>
      </c>
      <c r="BO2" s="1778">
        <f>BN2+1</f>
        <v/>
      </c>
      <c r="BP2" s="1778">
        <f>BO2+1</f>
        <v/>
      </c>
      <c r="BQ2" s="1778">
        <f>BP2+1</f>
        <v/>
      </c>
      <c r="BR2" s="1774" t="n"/>
      <c r="BS2" s="1709" t="n"/>
      <c r="BT2" s="1709" t="inlineStr">
        <is>
          <t>.</t>
        </is>
      </c>
      <c r="BU2" s="1779" t="inlineStr">
        <is>
          <t>COPY &amp; PASTE</t>
        </is>
      </c>
      <c r="BV2" s="1353" t="n"/>
      <c r="BW2" s="1354" t="n"/>
      <c r="BX2" s="1709" t="n"/>
      <c r="BY2" s="1709" t="n"/>
      <c r="BZ2" s="1707" t="n"/>
      <c r="CA2" s="1707" t="n"/>
      <c r="CB2" s="1707" t="n"/>
      <c r="CC2" s="1707">
        <f>COUNTIF(CC4:CC53,"=X")</f>
        <v/>
      </c>
      <c r="CD2" s="1707">
        <f>COUNTIF(CD4:CD53,"=X")</f>
        <v/>
      </c>
      <c r="CE2" s="1707">
        <f>COUNTIF(CE4:CE53,"=X")</f>
        <v/>
      </c>
      <c r="CF2" s="1707">
        <f>COUNTIF(CF4:CF53,"=X")</f>
        <v/>
      </c>
      <c r="CG2" s="1709" t="inlineStr">
        <is>
          <t>.</t>
        </is>
      </c>
    </row>
    <row r="3" ht="15" customHeight="1">
      <c r="A3" s="1361" t="n"/>
      <c r="B3" s="1361" t="inlineStr">
        <is>
          <t>entries</t>
        </is>
      </c>
      <c r="C3" s="1361" t="inlineStr">
        <is>
          <t>ctry</t>
        </is>
      </c>
      <c r="D3" s="1780" t="inlineStr">
        <is>
          <t>82</t>
        </is>
      </c>
      <c r="E3" s="1780" t="inlineStr">
        <is>
          <t>84</t>
        </is>
      </c>
      <c r="F3" s="1780" t="inlineStr">
        <is>
          <t>87</t>
        </is>
      </c>
      <c r="G3" s="1780" t="inlineStr">
        <is>
          <t>89</t>
        </is>
      </c>
      <c r="H3" s="1780" t="inlineStr">
        <is>
          <t>95</t>
        </is>
      </c>
      <c r="I3" s="1780" t="inlineStr">
        <is>
          <t>96</t>
        </is>
      </c>
      <c r="J3" s="1780" t="inlineStr">
        <is>
          <t>97</t>
        </is>
      </c>
      <c r="K3" s="1780" t="inlineStr">
        <is>
          <t>98</t>
        </is>
      </c>
      <c r="L3" s="1780" t="inlineStr">
        <is>
          <t>99</t>
        </is>
      </c>
      <c r="M3" s="1780" t="inlineStr">
        <is>
          <t>3</t>
        </is>
      </c>
      <c r="N3" s="1780" t="inlineStr">
        <is>
          <t>4</t>
        </is>
      </c>
      <c r="O3" s="1780" t="inlineStr">
        <is>
          <t>5</t>
        </is>
      </c>
      <c r="P3" s="1780" t="inlineStr">
        <is>
          <t>6</t>
        </is>
      </c>
      <c r="Q3" s="1780" t="inlineStr">
        <is>
          <t>7</t>
        </is>
      </c>
      <c r="R3" s="1780" t="inlineStr">
        <is>
          <t>8</t>
        </is>
      </c>
      <c r="S3" s="1780" t="inlineStr">
        <is>
          <t>9</t>
        </is>
      </c>
      <c r="T3" s="1780" t="inlineStr">
        <is>
          <t>10</t>
        </is>
      </c>
      <c r="U3" s="1780" t="inlineStr">
        <is>
          <t>11</t>
        </is>
      </c>
      <c r="V3" s="1780" t="inlineStr">
        <is>
          <t>12</t>
        </is>
      </c>
      <c r="W3" s="1780" t="inlineStr">
        <is>
          <t>13</t>
        </is>
      </c>
      <c r="X3" s="1780" t="inlineStr">
        <is>
          <t>14</t>
        </is>
      </c>
      <c r="Y3" s="1780" t="inlineStr">
        <is>
          <t>15</t>
        </is>
      </c>
      <c r="Z3" s="1780" t="inlineStr">
        <is>
          <t>16</t>
        </is>
      </c>
      <c r="AA3" s="1780" t="inlineStr">
        <is>
          <t>17</t>
        </is>
      </c>
      <c r="AB3" s="1780" t="inlineStr">
        <is>
          <t>18</t>
        </is>
      </c>
      <c r="AC3" s="1780" t="inlineStr">
        <is>
          <t>19</t>
        </is>
      </c>
      <c r="AD3" s="1780" t="inlineStr">
        <is>
          <t>20</t>
        </is>
      </c>
      <c r="AE3" s="1780" t="inlineStr">
        <is>
          <t>21</t>
        </is>
      </c>
      <c r="AF3" s="1780" t="inlineStr">
        <is>
          <t>22</t>
        </is>
      </c>
      <c r="AG3" s="1780" t="inlineStr">
        <is>
          <t>23</t>
        </is>
      </c>
      <c r="AH3" s="1780" t="inlineStr">
        <is>
          <t>24</t>
        </is>
      </c>
      <c r="AI3" s="1780" t="inlineStr">
        <is>
          <t>25</t>
        </is>
      </c>
      <c r="AJ3" s="1780" t="inlineStr">
        <is>
          <t>26</t>
        </is>
      </c>
      <c r="AK3" s="1361" t="inlineStr">
        <is>
          <t>.</t>
        </is>
      </c>
      <c r="AL3" s="1361" t="inlineStr">
        <is>
          <t>.</t>
        </is>
      </c>
      <c r="AM3" s="1587" t="inlineStr">
        <is>
          <t>#</t>
        </is>
      </c>
      <c r="AN3" s="1587" t="inlineStr">
        <is>
          <t>ctry</t>
        </is>
      </c>
      <c r="AO3" s="1587" t="inlineStr">
        <is>
          <t>JAN</t>
        </is>
      </c>
      <c r="AP3" s="1587" t="inlineStr">
        <is>
          <t>FEB</t>
        </is>
      </c>
      <c r="AQ3" s="1587" t="inlineStr">
        <is>
          <t>MAR</t>
        </is>
      </c>
      <c r="AR3" s="1587" t="inlineStr">
        <is>
          <t>APR</t>
        </is>
      </c>
      <c r="AS3" s="1587" t="inlineStr">
        <is>
          <t>MAY</t>
        </is>
      </c>
      <c r="AT3" s="1587" t="inlineStr">
        <is>
          <t>JUN</t>
        </is>
      </c>
      <c r="AU3" s="1587" t="inlineStr">
        <is>
          <t>JUL</t>
        </is>
      </c>
      <c r="AV3" s="1587" t="inlineStr">
        <is>
          <t>AUG</t>
        </is>
      </c>
      <c r="AW3" s="1587" t="inlineStr">
        <is>
          <t>SEP</t>
        </is>
      </c>
      <c r="AX3" s="1587" t="inlineStr">
        <is>
          <t>OCT</t>
        </is>
      </c>
      <c r="AY3" s="1587" t="inlineStr">
        <is>
          <t>NOV</t>
        </is>
      </c>
      <c r="AZ3" s="1587" t="inlineStr">
        <is>
          <t>DEC</t>
        </is>
      </c>
      <c r="BA3" s="1587" t="inlineStr">
        <is>
          <t>rpt</t>
        </is>
      </c>
      <c r="BB3" s="1587" t="inlineStr">
        <is>
          <t>total</t>
        </is>
      </c>
      <c r="BC3" s="1361" t="inlineStr">
        <is>
          <t>.</t>
        </is>
      </c>
      <c r="BD3" s="1587" t="inlineStr">
        <is>
          <t>ctry</t>
        </is>
      </c>
      <c r="BE3" s="1587" t="inlineStr">
        <is>
          <t>yr</t>
        </is>
      </c>
      <c r="BF3" s="1587" t="inlineStr">
        <is>
          <t>JAN</t>
        </is>
      </c>
      <c r="BG3" s="1587" t="inlineStr">
        <is>
          <t>FEB</t>
        </is>
      </c>
      <c r="BH3" s="1587" t="inlineStr">
        <is>
          <t>MAR</t>
        </is>
      </c>
      <c r="BI3" s="1587" t="inlineStr">
        <is>
          <t>APR</t>
        </is>
      </c>
      <c r="BJ3" s="1587" t="inlineStr">
        <is>
          <t>MAY</t>
        </is>
      </c>
      <c r="BK3" s="1587" t="inlineStr">
        <is>
          <t>JUN</t>
        </is>
      </c>
      <c r="BL3" s="1587" t="inlineStr">
        <is>
          <t>JUL</t>
        </is>
      </c>
      <c r="BM3" s="1587" t="inlineStr">
        <is>
          <t>AUG</t>
        </is>
      </c>
      <c r="BN3" s="1587" t="inlineStr">
        <is>
          <t>SEP</t>
        </is>
      </c>
      <c r="BO3" s="1587" t="inlineStr">
        <is>
          <t>OCT</t>
        </is>
      </c>
      <c r="BP3" s="1587" t="inlineStr">
        <is>
          <t>NOV</t>
        </is>
      </c>
      <c r="BQ3" s="1587" t="inlineStr">
        <is>
          <t>DEC</t>
        </is>
      </c>
      <c r="BR3" s="1587" t="n"/>
      <c r="BS3" s="1361" t="n"/>
      <c r="BT3" s="1361" t="inlineStr">
        <is>
          <t>.</t>
        </is>
      </c>
      <c r="BU3" s="1361" t="n"/>
      <c r="BV3" s="1361" t="n"/>
      <c r="BW3" s="1361" t="n"/>
      <c r="BX3" s="1361" t="inlineStr">
        <is>
          <t>.</t>
        </is>
      </c>
      <c r="BY3" s="1361" t="n"/>
      <c r="BZ3" s="1361" t="n"/>
      <c r="CA3" s="1361" t="n"/>
      <c r="CB3" s="1361" t="n"/>
      <c r="CC3" s="1361" t="inlineStr">
        <is>
          <t>Mario</t>
        </is>
      </c>
      <c r="CD3" s="1361" t="inlineStr">
        <is>
          <t>MB</t>
        </is>
      </c>
      <c r="CE3" s="1361" t="inlineStr">
        <is>
          <t>Nina</t>
        </is>
      </c>
      <c r="CF3" s="1361" t="inlineStr">
        <is>
          <t>Chloe</t>
        </is>
      </c>
      <c r="CG3" s="1361" t="inlineStr">
        <is>
          <t>.</t>
        </is>
      </c>
    </row>
    <row r="4" ht="15" customHeight="1">
      <c r="A4" s="1615" t="n"/>
      <c r="B4" s="1781">
        <f>SUM(D4:AK4)</f>
        <v/>
      </c>
      <c r="C4" s="1782">
        <f>Table1[[#This Row],[ctry]]</f>
        <v/>
      </c>
      <c r="D4" s="1610">
        <f>COUNTIFS(entryCtry[ctry],Table6[[#This Row],[ctry]],entryCtry[yr],D$2)</f>
        <v/>
      </c>
      <c r="E4" s="1610">
        <f>COUNTIFS(entryCtry[ctry],Table6[[#This Row],[ctry]],entryCtry[yr],E$2)</f>
        <v/>
      </c>
      <c r="F4" s="1610">
        <f>COUNTIFS(entryCtry[ctry],Table6[[#This Row],[ctry]],entryCtry[yr],F$2)</f>
        <v/>
      </c>
      <c r="G4" s="1610">
        <f>COUNTIFS(entryCtry[ctry],Table6[[#This Row],[ctry]],entryCtry[yr],G$2)</f>
        <v/>
      </c>
      <c r="H4" s="1610">
        <f>COUNTIFS(entryCtry[ctry],Table6[[#This Row],[ctry]],entryCtry[yr],H$2)</f>
        <v/>
      </c>
      <c r="I4" s="1610">
        <f>COUNTIFS(entryCtry[ctry],Table6[[#This Row],[ctry]],entryCtry[yr],I$2)</f>
        <v/>
      </c>
      <c r="J4" s="1610">
        <f>COUNTIFS(entryCtry[ctry],Table6[[#This Row],[ctry]],entryCtry[yr],J$2)</f>
        <v/>
      </c>
      <c r="K4" s="1610">
        <f>COUNTIFS(entryCtry[ctry],Table6[[#This Row],[ctry]],entryCtry[yr],K$2)</f>
        <v/>
      </c>
      <c r="L4" s="1610">
        <f>COUNTIFS(entryCtry[ctry],Table6[[#This Row],[ctry]],entryCtry[yr],L$2)</f>
        <v/>
      </c>
      <c r="M4" s="1610">
        <f>COUNTIFS(entryCtry[ctry],Table6[[#This Row],[ctry]],entryCtry[yr],M$2)</f>
        <v/>
      </c>
      <c r="N4" s="1610">
        <f>COUNTIFS(entryCtry[ctry],Table6[[#This Row],[ctry]],entryCtry[yr],N$2)</f>
        <v/>
      </c>
      <c r="O4" s="1610">
        <f>COUNTIFS(entryCtry[ctry],Table6[[#This Row],[ctry]],entryCtry[yr],O$2)</f>
        <v/>
      </c>
      <c r="P4" s="1610">
        <f>COUNTIFS(entryCtry[ctry],Table6[[#This Row],[ctry]],entryCtry[yr],P$2)</f>
        <v/>
      </c>
      <c r="Q4" s="1610">
        <f>COUNTIFS(entryCtry[ctry],Table6[[#This Row],[ctry]],entryCtry[yr],Q$2)</f>
        <v/>
      </c>
      <c r="R4" s="1610">
        <f>COUNTIFS(entryCtry[ctry],Table6[[#This Row],[ctry]],entryCtry[yr],R$2)</f>
        <v/>
      </c>
      <c r="S4" s="1610">
        <f>COUNTIFS(entryCtry[ctry],Table6[[#This Row],[ctry]],entryCtry[yr],S$2)</f>
        <v/>
      </c>
      <c r="T4" s="1610">
        <f>COUNTIFS(entryCtry[ctry],Table6[[#This Row],[ctry]],entryCtry[yr],T$2)</f>
        <v/>
      </c>
      <c r="U4" s="1610">
        <f>COUNTIFS(entryCtry[ctry],Table6[[#This Row],[ctry]],entryCtry[yr],U$2)</f>
        <v/>
      </c>
      <c r="V4" s="1610">
        <f>COUNTIFS(entryCtry[ctry],Table6[[#This Row],[ctry]],entryCtry[yr],V$2)</f>
        <v/>
      </c>
      <c r="W4" s="1610">
        <f>COUNTIFS(entryCtry[ctry],Table6[[#This Row],[ctry]],entryCtry[yr],W$2)</f>
        <v/>
      </c>
      <c r="X4" s="1610">
        <f>COUNTIFS(entryCtry[ctry],Table6[[#This Row],[ctry]],entryCtry[yr],X$2)</f>
        <v/>
      </c>
      <c r="Y4" s="1610">
        <f>COUNTIFS(entryCtry[ctry],Table6[[#This Row],[ctry]],entryCtry[yr],Y$2)</f>
        <v/>
      </c>
      <c r="Z4" s="1610">
        <f>COUNTIFS(entryCtry[ctry],Table6[[#This Row],[ctry]],entryCtry[yr],Z$2)</f>
        <v/>
      </c>
      <c r="AA4" s="1610">
        <f>COUNTIFS(entryCtry[ctry],Table6[[#This Row],[ctry]],entryCtry[yr],AA$2)</f>
        <v/>
      </c>
      <c r="AB4" s="1610">
        <f>COUNTIFS(entryCtry[ctry],Table6[[#This Row],[ctry]],entryCtry[yr],AB$2)</f>
        <v/>
      </c>
      <c r="AC4" s="1610">
        <f>COUNTIFS(entryCtry[ctry],Table6[[#This Row],[ctry]],entryCtry[yr],AC$2)</f>
        <v/>
      </c>
      <c r="AD4" s="1610">
        <f>COUNTIFS(entryCtry[ctry],Table6[[#This Row],[ctry]],entryCtry[yr],AD$2)</f>
        <v/>
      </c>
      <c r="AE4" s="1610">
        <f>COUNTIFS(entryCtry[ctry],Table6[[#This Row],[ctry]],entryCtry[yr],AE$2)</f>
        <v/>
      </c>
      <c r="AF4" s="1610">
        <f>COUNTIFS(entryCtry[ctry],Table6[[#This Row],[ctry]],entryCtry[yr],AF$2)</f>
        <v/>
      </c>
      <c r="AG4" s="1610">
        <f>COUNTIFS(entryCtry[ctry],Table6[[#This Row],[ctry]],entryCtry[yr],AG$2)</f>
        <v/>
      </c>
      <c r="AH4" s="1610">
        <f>COUNTIFS(entryCtry[ctry],Table6[[#This Row],[ctry]],entryCtry[yr],AH$2)</f>
        <v/>
      </c>
      <c r="AI4" s="1610">
        <f>COUNTIFS(entryCtry[ctry],Table6[[#This Row],[ctry]],entryCtry[yr],AI$2)</f>
        <v/>
      </c>
      <c r="AJ4" s="1610">
        <f>COUNTIFS(entryCtry[ctry],Table6[[#This Row],[ctry]],entryCtry[yr],AJ$2)</f>
        <v/>
      </c>
      <c r="AK4" s="1680" t="inlineStr">
        <is>
          <t>.</t>
        </is>
      </c>
      <c r="AL4" s="1611" t="inlineStr">
        <is>
          <t>.</t>
        </is>
      </c>
      <c r="AM4" s="1783">
        <f>'@Main'!B8</f>
        <v/>
      </c>
      <c r="AN4" s="1597">
        <f>_xlfn.XLOOKUP(Table1[[#This Row],['#]],mainW['#],mainW[ctry],"-")</f>
        <v/>
      </c>
      <c r="AO4" s="1649">
        <f>SUMIFS(raw[stay],raw[ctry],Table1[[#This Row],[ctry]],raw[mth],AO$2)</f>
        <v/>
      </c>
      <c r="AP4" s="1649">
        <f>SUMIFS(raw[stay],raw[ctry],Table1[[#This Row],[ctry]],raw[mth],AP$2)</f>
        <v/>
      </c>
      <c r="AQ4" s="1649">
        <f>SUMIFS(raw[stay],raw[ctry],Table1[[#This Row],[ctry]],raw[mth],AQ$2)</f>
        <v/>
      </c>
      <c r="AR4" s="1649">
        <f>SUMIFS(raw[stay],raw[ctry],Table1[[#This Row],[ctry]],raw[mth],AR$2)</f>
        <v/>
      </c>
      <c r="AS4" s="1649">
        <f>SUMIFS(raw[stay],raw[ctry],Table1[[#This Row],[ctry]],raw[mth],AS$2)</f>
        <v/>
      </c>
      <c r="AT4" s="1619">
        <f>SUMIFS(raw[stay],raw[ctry],Table1[[#This Row],[ctry]],raw[mth],AT$2)</f>
        <v/>
      </c>
      <c r="AU4" s="1649">
        <f>SUMIFS(raw[stay],raw[ctry],Table1[[#This Row],[ctry]],raw[mth],AU$2)</f>
        <v/>
      </c>
      <c r="AV4" s="1649">
        <f>SUMIFS(raw[stay],raw[ctry],Table1[[#This Row],[ctry]],raw[mth],AV$2)</f>
        <v/>
      </c>
      <c r="AW4" s="1649">
        <f>SUMIFS(raw[stay],raw[ctry],Table1[[#This Row],[ctry]],raw[mth],AW$2)</f>
        <v/>
      </c>
      <c r="AX4" s="1649">
        <f>SUMIFS(raw[stay],raw[ctry],Table1[[#This Row],[ctry]],raw[mth],AX$2)</f>
        <v/>
      </c>
      <c r="AY4" s="1649">
        <f>SUMIFS(raw[stay],raw[ctry],Table1[[#This Row],[ctry]],raw[mth],AY$2)</f>
        <v/>
      </c>
      <c r="AZ4" s="1649">
        <f>SUMIFS(raw[stay],raw[ctry],Table1[[#This Row],[ctry]],raw[mth],AZ$2)</f>
        <v/>
      </c>
      <c r="BA4" s="1597">
        <f>COUNTIF(AO4:AZ4,"&gt;0")</f>
        <v/>
      </c>
      <c r="BB4" s="1784">
        <f>INT(SUM(AO4:AZ4))</f>
        <v/>
      </c>
      <c r="BC4" s="1611" t="inlineStr">
        <is>
          <t>.</t>
        </is>
      </c>
      <c r="BD4" s="1680">
        <f>BE2</f>
        <v/>
      </c>
      <c r="BE4" s="1598" t="n">
        <v>1982</v>
      </c>
      <c r="BF4" s="1785">
        <f>SUMIFS(raw[stay],raw[ctry],Table15[[#This Row],[ctry]],raw[yr],Table15[[#This Row],[yr]],raw[mth],BF$2)</f>
        <v/>
      </c>
      <c r="BG4" s="1785">
        <f>SUMIFS(raw[stay],raw[ctry],Table15[[#This Row],[ctry]],raw[yr],Table15[[#This Row],[yr]],raw[mth],BG$2)</f>
        <v/>
      </c>
      <c r="BH4" s="1785">
        <f>SUMIFS(raw[stay],raw[ctry],Table15[[#This Row],[ctry]],raw[yr],Table15[[#This Row],[yr]],raw[mth],BH$2)</f>
        <v/>
      </c>
      <c r="BI4" s="1785">
        <f>SUMIFS(raw[stay],raw[ctry],Table15[[#This Row],[ctry]],raw[yr],Table15[[#This Row],[yr]],raw[mth],BI$2)</f>
        <v/>
      </c>
      <c r="BJ4" s="1785">
        <f>SUMIFS(raw[stay],raw[ctry],Table15[[#This Row],[ctry]],raw[yr],Table15[[#This Row],[yr]],raw[mth],BJ$2)</f>
        <v/>
      </c>
      <c r="BK4" s="1785">
        <f>SUMIFS(raw[stay],raw[ctry],Table15[[#This Row],[ctry]],raw[yr],Table15[[#This Row],[yr]],raw[mth],BK$2)</f>
        <v/>
      </c>
      <c r="BL4" s="1785">
        <f>SUMIFS(raw[stay],raw[ctry],Table15[[#This Row],[ctry]],raw[yr],Table15[[#This Row],[yr]],raw[mth],BL$2)</f>
        <v/>
      </c>
      <c r="BM4" s="1785">
        <f>SUMIFS(raw[stay],raw[ctry],Table15[[#This Row],[ctry]],raw[yr],Table15[[#This Row],[yr]],raw[mth],BM$2)</f>
        <v/>
      </c>
      <c r="BN4" s="1785">
        <f>SUMIFS(raw[stay],raw[ctry],Table15[[#This Row],[ctry]],raw[yr],Table15[[#This Row],[yr]],raw[mth],BN$2)</f>
        <v/>
      </c>
      <c r="BO4" s="1785">
        <f>SUMIFS(raw[stay],raw[ctry],Table15[[#This Row],[ctry]],raw[yr],Table15[[#This Row],[yr]],raw[mth],BO$2)</f>
        <v/>
      </c>
      <c r="BP4" s="1785">
        <f>SUMIFS(raw[stay],raw[ctry],Table15[[#This Row],[ctry]],raw[yr],Table15[[#This Row],[yr]],raw[mth],BP$2)</f>
        <v/>
      </c>
      <c r="BQ4" s="1785">
        <f>SUMIFS(raw[stay],raw[ctry],Table15[[#This Row],[ctry]],raw[yr],Table15[[#This Row],[yr]],raw[mth],BQ$2)</f>
        <v/>
      </c>
      <c r="BR4" s="1597">
        <f>COUNTIF(BF4:BQ4,"&gt;0")</f>
        <v/>
      </c>
      <c r="BS4" s="1600">
        <f>INT(SUM(BF4:BQ4))</f>
        <v/>
      </c>
      <c r="BT4" s="1597" t="inlineStr">
        <is>
          <t>.</t>
        </is>
      </c>
      <c r="BU4" s="1786">
        <f>BE2</f>
        <v/>
      </c>
      <c r="BV4" s="1787">
        <f>BS$41</f>
        <v/>
      </c>
      <c r="BW4" s="1787">
        <f>BS$40</f>
        <v/>
      </c>
      <c r="BX4" s="1611" t="inlineStr">
        <is>
          <t>.</t>
        </is>
      </c>
      <c r="BY4" s="1612" t="n"/>
      <c r="BZ4" s="1788" t="n">
        <v>1</v>
      </c>
      <c r="CA4" s="1789" t="inlineStr">
        <is>
          <t>C</t>
        </is>
      </c>
      <c r="CB4" s="1790" t="inlineStr">
        <is>
          <t>PORTO RICO</t>
        </is>
      </c>
      <c r="CC4" s="1791" t="inlineStr">
        <is>
          <t>x</t>
        </is>
      </c>
      <c r="CD4" s="1792" t="n"/>
      <c r="CE4" s="1792" t="n"/>
      <c r="CF4" s="1792" t="n"/>
      <c r="CG4" s="1793" t="inlineStr">
        <is>
          <t>.</t>
        </is>
      </c>
    </row>
    <row r="5" ht="15" customHeight="1">
      <c r="A5" s="1596" t="n"/>
      <c r="B5" s="1794">
        <f>SUM(D5:AK5)</f>
        <v/>
      </c>
      <c r="C5" s="1795">
        <f>Table1[[#This Row],[ctry]]</f>
        <v/>
      </c>
      <c r="D5" s="1610">
        <f>COUNTIFS(entryCtry[ctry],Table6[[#This Row],[ctry]],entryCtry[yr],D$2)</f>
        <v/>
      </c>
      <c r="E5" s="1610">
        <f>COUNTIFS(entryCtry[ctry],Table6[[#This Row],[ctry]],entryCtry[yr],E$2)</f>
        <v/>
      </c>
      <c r="F5" s="1610">
        <f>COUNTIFS(entryCtry[ctry],Table6[[#This Row],[ctry]],entryCtry[yr],F$2)</f>
        <v/>
      </c>
      <c r="G5" s="1610">
        <f>COUNTIFS(entryCtry[ctry],Table6[[#This Row],[ctry]],entryCtry[yr],G$2)</f>
        <v/>
      </c>
      <c r="H5" s="1610">
        <f>COUNTIFS(entryCtry[ctry],Table6[[#This Row],[ctry]],entryCtry[yr],H$2)</f>
        <v/>
      </c>
      <c r="I5" s="1610">
        <f>COUNTIFS(entryCtry[ctry],Table6[[#This Row],[ctry]],entryCtry[yr],I$2)</f>
        <v/>
      </c>
      <c r="J5" s="1610">
        <f>COUNTIFS(entryCtry[ctry],Table6[[#This Row],[ctry]],entryCtry[yr],J$2)</f>
        <v/>
      </c>
      <c r="K5" s="1610">
        <f>COUNTIFS(entryCtry[ctry],Table6[[#This Row],[ctry]],entryCtry[yr],K$2)</f>
        <v/>
      </c>
      <c r="L5" s="1610">
        <f>COUNTIFS(entryCtry[ctry],Table6[[#This Row],[ctry]],entryCtry[yr],L$2)</f>
        <v/>
      </c>
      <c r="M5" s="1610">
        <f>COUNTIFS(entryCtry[ctry],Table6[[#This Row],[ctry]],entryCtry[yr],M$2)</f>
        <v/>
      </c>
      <c r="N5" s="1610">
        <f>COUNTIFS(entryCtry[ctry],Table6[[#This Row],[ctry]],entryCtry[yr],N$2)</f>
        <v/>
      </c>
      <c r="O5" s="1610">
        <f>COUNTIFS(entryCtry[ctry],Table6[[#This Row],[ctry]],entryCtry[yr],O$2)</f>
        <v/>
      </c>
      <c r="P5" s="1610">
        <f>COUNTIFS(entryCtry[ctry],Table6[[#This Row],[ctry]],entryCtry[yr],P$2)</f>
        <v/>
      </c>
      <c r="Q5" s="1610">
        <f>COUNTIFS(entryCtry[ctry],Table6[[#This Row],[ctry]],entryCtry[yr],Q$2)</f>
        <v/>
      </c>
      <c r="R5" s="1610">
        <f>COUNTIFS(entryCtry[ctry],Table6[[#This Row],[ctry]],entryCtry[yr],R$2)</f>
        <v/>
      </c>
      <c r="S5" s="1610">
        <f>COUNTIFS(entryCtry[ctry],Table6[[#This Row],[ctry]],entryCtry[yr],S$2)</f>
        <v/>
      </c>
      <c r="T5" s="1610">
        <f>COUNTIFS(entryCtry[ctry],Table6[[#This Row],[ctry]],entryCtry[yr],T$2)</f>
        <v/>
      </c>
      <c r="U5" s="1610">
        <f>COUNTIFS(entryCtry[ctry],Table6[[#This Row],[ctry]],entryCtry[yr],U$2)</f>
        <v/>
      </c>
      <c r="V5" s="1610">
        <f>COUNTIFS(entryCtry[ctry],Table6[[#This Row],[ctry]],entryCtry[yr],V$2)</f>
        <v/>
      </c>
      <c r="W5" s="1610">
        <f>COUNTIFS(entryCtry[ctry],Table6[[#This Row],[ctry]],entryCtry[yr],W$2)</f>
        <v/>
      </c>
      <c r="X5" s="1610">
        <f>COUNTIFS(entryCtry[ctry],Table6[[#This Row],[ctry]],entryCtry[yr],X$2)</f>
        <v/>
      </c>
      <c r="Y5" s="1610">
        <f>COUNTIFS(entryCtry[ctry],Table6[[#This Row],[ctry]],entryCtry[yr],Y$2)</f>
        <v/>
      </c>
      <c r="Z5" s="1610">
        <f>COUNTIFS(entryCtry[ctry],Table6[[#This Row],[ctry]],entryCtry[yr],Z$2)</f>
        <v/>
      </c>
      <c r="AA5" s="1610">
        <f>COUNTIFS(entryCtry[ctry],Table6[[#This Row],[ctry]],entryCtry[yr],AA$2)</f>
        <v/>
      </c>
      <c r="AB5" s="1610">
        <f>COUNTIFS(entryCtry[ctry],Table6[[#This Row],[ctry]],entryCtry[yr],AB$2)</f>
        <v/>
      </c>
      <c r="AC5" s="1610">
        <f>COUNTIFS(entryCtry[ctry],Table6[[#This Row],[ctry]],entryCtry[yr],AC$2)</f>
        <v/>
      </c>
      <c r="AD5" s="1610">
        <f>COUNTIFS(entryCtry[ctry],Table6[[#This Row],[ctry]],entryCtry[yr],AD$2)</f>
        <v/>
      </c>
      <c r="AE5" s="1610">
        <f>COUNTIFS(entryCtry[ctry],Table6[[#This Row],[ctry]],entryCtry[yr],AE$2)</f>
        <v/>
      </c>
      <c r="AF5" s="1610">
        <f>COUNTIFS(entryCtry[ctry],Table6[[#This Row],[ctry]],entryCtry[yr],AF$2)</f>
        <v/>
      </c>
      <c r="AG5" s="1610">
        <f>COUNTIFS(entryCtry[ctry],Table6[[#This Row],[ctry]],entryCtry[yr],AG$2)</f>
        <v/>
      </c>
      <c r="AH5" s="1610">
        <f>COUNTIFS(entryCtry[ctry],Table6[[#This Row],[ctry]],entryCtry[yr],AH$2)</f>
        <v/>
      </c>
      <c r="AI5" s="1610">
        <f>COUNTIFS(entryCtry[ctry],Table6[[#This Row],[ctry]],entryCtry[yr],AI$2)</f>
        <v/>
      </c>
      <c r="AJ5" s="1610">
        <f>COUNTIFS(entryCtry[ctry],Table6[[#This Row],[ctry]],entryCtry[yr],AJ$2)</f>
        <v/>
      </c>
      <c r="AK5" s="1680" t="inlineStr">
        <is>
          <t>.</t>
        </is>
      </c>
      <c r="AL5" s="1611" t="inlineStr">
        <is>
          <t>.</t>
        </is>
      </c>
      <c r="AM5" s="1783">
        <f>'@Main'!B9</f>
        <v/>
      </c>
      <c r="AN5" s="1597">
        <f>_xlfn.XLOOKUP(Table1[[#This Row],['#]],mainW['#],mainW[ctry],"-")</f>
        <v/>
      </c>
      <c r="AO5" s="1649">
        <f>SUMIFS(raw[stay],raw[ctry],Table1[[#This Row],[ctry]],raw[mth],AO$2)</f>
        <v/>
      </c>
      <c r="AP5" s="1649">
        <f>SUMIFS(raw[stay],raw[ctry],Table1[[#This Row],[ctry]],raw[mth],AP$2)</f>
        <v/>
      </c>
      <c r="AQ5" s="1649">
        <f>SUMIFS(raw[stay],raw[ctry],Table1[[#This Row],[ctry]],raw[mth],AQ$2)</f>
        <v/>
      </c>
      <c r="AR5" s="1649">
        <f>SUMIFS(raw[stay],raw[ctry],Table1[[#This Row],[ctry]],raw[mth],AR$2)</f>
        <v/>
      </c>
      <c r="AS5" s="1649">
        <f>SUMIFS(raw[stay],raw[ctry],Table1[[#This Row],[ctry]],raw[mth],AS$2)</f>
        <v/>
      </c>
      <c r="AT5" s="1649">
        <f>SUMIFS(raw[stay],raw[ctry],Table1[[#This Row],[ctry]],raw[mth],AT$2)</f>
        <v/>
      </c>
      <c r="AU5" s="1649">
        <f>SUMIFS(raw[stay],raw[ctry],Table1[[#This Row],[ctry]],raw[mth],AU$2)</f>
        <v/>
      </c>
      <c r="AV5" s="1619">
        <f>SUMIFS(raw[stay],raw[ctry],Table1[[#This Row],[ctry]],raw[mth],AV$2)</f>
        <v/>
      </c>
      <c r="AW5" s="1649">
        <f>SUMIFS(raw[stay],raw[ctry],Table1[[#This Row],[ctry]],raw[mth],AW$2)</f>
        <v/>
      </c>
      <c r="AX5" s="1649">
        <f>SUMIFS(raw[stay],raw[ctry],Table1[[#This Row],[ctry]],raw[mth],AX$2)</f>
        <v/>
      </c>
      <c r="AY5" s="1649">
        <f>SUMIFS(raw[stay],raw[ctry],Table1[[#This Row],[ctry]],raw[mth],AY$2)</f>
        <v/>
      </c>
      <c r="AZ5" s="1649">
        <f>SUMIFS(raw[stay],raw[ctry],Table1[[#This Row],[ctry]],raw[mth],AZ$2)</f>
        <v/>
      </c>
      <c r="BA5" s="1597">
        <f>COUNTIF(AO5:AZ5,"&gt;0")</f>
        <v/>
      </c>
      <c r="BB5" s="1784">
        <f>INT(SUM(AO5:AZ5))</f>
        <v/>
      </c>
      <c r="BC5" s="1611" t="inlineStr">
        <is>
          <t>.</t>
        </is>
      </c>
      <c r="BD5" s="1680">
        <f>BD4</f>
        <v/>
      </c>
      <c r="BE5" s="1598" t="n">
        <v>1984</v>
      </c>
      <c r="BF5" s="1785">
        <f>SUMIFS(raw[stay],raw[ctry],Table15[[#This Row],[ctry]],raw[yr],Table15[[#This Row],[yr]],raw[mth],BF$2)</f>
        <v/>
      </c>
      <c r="BG5" s="1785">
        <f>SUMIFS(raw[stay],raw[ctry],Table15[[#This Row],[ctry]],raw[yr],Table15[[#This Row],[yr]],raw[mth],BG$2)</f>
        <v/>
      </c>
      <c r="BH5" s="1785">
        <f>SUMIFS(raw[stay],raw[ctry],Table15[[#This Row],[ctry]],raw[yr],Table15[[#This Row],[yr]],raw[mth],BH$2)</f>
        <v/>
      </c>
      <c r="BI5" s="1785">
        <f>SUMIFS(raw[stay],raw[ctry],Table15[[#This Row],[ctry]],raw[yr],Table15[[#This Row],[yr]],raw[mth],BI$2)</f>
        <v/>
      </c>
      <c r="BJ5" s="1785">
        <f>SUMIFS(raw[stay],raw[ctry],Table15[[#This Row],[ctry]],raw[yr],Table15[[#This Row],[yr]],raw[mth],BJ$2)</f>
        <v/>
      </c>
      <c r="BK5" s="1785">
        <f>SUMIFS(raw[stay],raw[ctry],Table15[[#This Row],[ctry]],raw[yr],Table15[[#This Row],[yr]],raw[mth],BK$2)</f>
        <v/>
      </c>
      <c r="BL5" s="1785">
        <f>SUMIFS(raw[stay],raw[ctry],Table15[[#This Row],[ctry]],raw[yr],Table15[[#This Row],[yr]],raw[mth],BL$2)</f>
        <v/>
      </c>
      <c r="BM5" s="1785">
        <f>SUMIFS(raw[stay],raw[ctry],Table15[[#This Row],[ctry]],raw[yr],Table15[[#This Row],[yr]],raw[mth],BM$2)</f>
        <v/>
      </c>
      <c r="BN5" s="1785">
        <f>SUMIFS(raw[stay],raw[ctry],Table15[[#This Row],[ctry]],raw[yr],Table15[[#This Row],[yr]],raw[mth],BN$2)</f>
        <v/>
      </c>
      <c r="BO5" s="1785">
        <f>SUMIFS(raw[stay],raw[ctry],Table15[[#This Row],[ctry]],raw[yr],Table15[[#This Row],[yr]],raw[mth],BO$2)</f>
        <v/>
      </c>
      <c r="BP5" s="1785">
        <f>SUMIFS(raw[stay],raw[ctry],Table15[[#This Row],[ctry]],raw[yr],Table15[[#This Row],[yr]],raw[mth],BP$2)</f>
        <v/>
      </c>
      <c r="BQ5" s="1785">
        <f>SUMIFS(raw[stay],raw[ctry],Table15[[#This Row],[ctry]],raw[yr],Table15[[#This Row],[yr]],raw[mth],BQ$2)</f>
        <v/>
      </c>
      <c r="BR5" s="1597">
        <f>COUNTIF(BF5:BQ5,"&gt;0")</f>
        <v/>
      </c>
      <c r="BS5" s="1600">
        <f>INT(SUM(BF5:BQ5))</f>
        <v/>
      </c>
      <c r="BT5" s="1597" t="inlineStr">
        <is>
          <t>.</t>
        </is>
      </c>
      <c r="BU5" s="1796" t="inlineStr">
        <is>
          <t>ctry</t>
        </is>
      </c>
      <c r="BV5" s="1631" t="inlineStr">
        <is>
          <t>full</t>
        </is>
      </c>
      <c r="BW5" s="1797" t="inlineStr">
        <is>
          <t>partial</t>
        </is>
      </c>
      <c r="BX5" s="1611" t="inlineStr">
        <is>
          <t>.</t>
        </is>
      </c>
      <c r="BY5" s="1612" t="n"/>
      <c r="BZ5" s="1788">
        <f>BZ4+1</f>
        <v/>
      </c>
      <c r="CA5" s="1789" t="inlineStr">
        <is>
          <t>C</t>
        </is>
      </c>
      <c r="CB5" s="1790" t="inlineStr">
        <is>
          <t>PANAMA</t>
        </is>
      </c>
      <c r="CC5" s="1791" t="inlineStr">
        <is>
          <t>x</t>
        </is>
      </c>
      <c r="CD5" s="1792" t="inlineStr">
        <is>
          <t>X</t>
        </is>
      </c>
      <c r="CE5" s="1792" t="inlineStr">
        <is>
          <t>x</t>
        </is>
      </c>
      <c r="CF5" s="1792" t="n"/>
      <c r="CG5" s="1793" t="inlineStr">
        <is>
          <t>.</t>
        </is>
      </c>
    </row>
    <row r="6" ht="15" customHeight="1">
      <c r="A6" s="1615" t="n"/>
      <c r="B6" s="1781">
        <f>SUM(D6:AK6)</f>
        <v/>
      </c>
      <c r="C6" s="1782">
        <f>Table1[[#This Row],[ctry]]</f>
        <v/>
      </c>
      <c r="D6" s="1610">
        <f>COUNTIFS(entryCtry[ctry],Table6[[#This Row],[ctry]],entryCtry[yr],D$2)</f>
        <v/>
      </c>
      <c r="E6" s="1610">
        <f>COUNTIFS(entryCtry[ctry],Table6[[#This Row],[ctry]],entryCtry[yr],E$2)</f>
        <v/>
      </c>
      <c r="F6" s="1610">
        <f>COUNTIFS(entryCtry[ctry],Table6[[#This Row],[ctry]],entryCtry[yr],F$2)</f>
        <v/>
      </c>
      <c r="G6" s="1610">
        <f>COUNTIFS(entryCtry[ctry],Table6[[#This Row],[ctry]],entryCtry[yr],G$2)</f>
        <v/>
      </c>
      <c r="H6" s="1610">
        <f>COUNTIFS(entryCtry[ctry],Table6[[#This Row],[ctry]],entryCtry[yr],H$2)</f>
        <v/>
      </c>
      <c r="I6" s="1610">
        <f>COUNTIFS(entryCtry[ctry],Table6[[#This Row],[ctry]],entryCtry[yr],I$2)</f>
        <v/>
      </c>
      <c r="J6" s="1610">
        <f>COUNTIFS(entryCtry[ctry],Table6[[#This Row],[ctry]],entryCtry[yr],J$2)</f>
        <v/>
      </c>
      <c r="K6" s="1610">
        <f>COUNTIFS(entryCtry[ctry],Table6[[#This Row],[ctry]],entryCtry[yr],K$2)</f>
        <v/>
      </c>
      <c r="L6" s="1610">
        <f>COUNTIFS(entryCtry[ctry],Table6[[#This Row],[ctry]],entryCtry[yr],L$2)</f>
        <v/>
      </c>
      <c r="M6" s="1610">
        <f>COUNTIFS(entryCtry[ctry],Table6[[#This Row],[ctry]],entryCtry[yr],M$2)</f>
        <v/>
      </c>
      <c r="N6" s="1610">
        <f>COUNTIFS(entryCtry[ctry],Table6[[#This Row],[ctry]],entryCtry[yr],N$2)</f>
        <v/>
      </c>
      <c r="O6" s="1610">
        <f>COUNTIFS(entryCtry[ctry],Table6[[#This Row],[ctry]],entryCtry[yr],O$2)</f>
        <v/>
      </c>
      <c r="P6" s="1610">
        <f>COUNTIFS(entryCtry[ctry],Table6[[#This Row],[ctry]],entryCtry[yr],P$2)</f>
        <v/>
      </c>
      <c r="Q6" s="1610">
        <f>COUNTIFS(entryCtry[ctry],Table6[[#This Row],[ctry]],entryCtry[yr],Q$2)</f>
        <v/>
      </c>
      <c r="R6" s="1610">
        <f>COUNTIFS(entryCtry[ctry],Table6[[#This Row],[ctry]],entryCtry[yr],R$2)</f>
        <v/>
      </c>
      <c r="S6" s="1610">
        <f>COUNTIFS(entryCtry[ctry],Table6[[#This Row],[ctry]],entryCtry[yr],S$2)</f>
        <v/>
      </c>
      <c r="T6" s="1610">
        <f>COUNTIFS(entryCtry[ctry],Table6[[#This Row],[ctry]],entryCtry[yr],T$2)</f>
        <v/>
      </c>
      <c r="U6" s="1610">
        <f>COUNTIFS(entryCtry[ctry],Table6[[#This Row],[ctry]],entryCtry[yr],U$2)</f>
        <v/>
      </c>
      <c r="V6" s="1610">
        <f>COUNTIFS(entryCtry[ctry],Table6[[#This Row],[ctry]],entryCtry[yr],V$2)</f>
        <v/>
      </c>
      <c r="W6" s="1610">
        <f>COUNTIFS(entryCtry[ctry],Table6[[#This Row],[ctry]],entryCtry[yr],W$2)</f>
        <v/>
      </c>
      <c r="X6" s="1610">
        <f>COUNTIFS(entryCtry[ctry],Table6[[#This Row],[ctry]],entryCtry[yr],X$2)</f>
        <v/>
      </c>
      <c r="Y6" s="1610">
        <f>COUNTIFS(entryCtry[ctry],Table6[[#This Row],[ctry]],entryCtry[yr],Y$2)</f>
        <v/>
      </c>
      <c r="Z6" s="1610">
        <f>COUNTIFS(entryCtry[ctry],Table6[[#This Row],[ctry]],entryCtry[yr],Z$2)</f>
        <v/>
      </c>
      <c r="AA6" s="1610">
        <f>COUNTIFS(entryCtry[ctry],Table6[[#This Row],[ctry]],entryCtry[yr],AA$2)</f>
        <v/>
      </c>
      <c r="AB6" s="1610">
        <f>COUNTIFS(entryCtry[ctry],Table6[[#This Row],[ctry]],entryCtry[yr],AB$2)</f>
        <v/>
      </c>
      <c r="AC6" s="1610">
        <f>COUNTIFS(entryCtry[ctry],Table6[[#This Row],[ctry]],entryCtry[yr],AC$2)</f>
        <v/>
      </c>
      <c r="AD6" s="1610">
        <f>COUNTIFS(entryCtry[ctry],Table6[[#This Row],[ctry]],entryCtry[yr],AD$2)</f>
        <v/>
      </c>
      <c r="AE6" s="1610">
        <f>COUNTIFS(entryCtry[ctry],Table6[[#This Row],[ctry]],entryCtry[yr],AE$2)</f>
        <v/>
      </c>
      <c r="AF6" s="1610">
        <f>COUNTIFS(entryCtry[ctry],Table6[[#This Row],[ctry]],entryCtry[yr],AF$2)</f>
        <v/>
      </c>
      <c r="AG6" s="1610">
        <f>COUNTIFS(entryCtry[ctry],Table6[[#This Row],[ctry]],entryCtry[yr],AG$2)</f>
        <v/>
      </c>
      <c r="AH6" s="1610">
        <f>COUNTIFS(entryCtry[ctry],Table6[[#This Row],[ctry]],entryCtry[yr],AH$2)</f>
        <v/>
      </c>
      <c r="AI6" s="1610">
        <f>COUNTIFS(entryCtry[ctry],Table6[[#This Row],[ctry]],entryCtry[yr],AI$2)</f>
        <v/>
      </c>
      <c r="AJ6" s="1610">
        <f>COUNTIFS(entryCtry[ctry],Table6[[#This Row],[ctry]],entryCtry[yr],AJ$2)</f>
        <v/>
      </c>
      <c r="AK6" s="1680" t="inlineStr">
        <is>
          <t>.</t>
        </is>
      </c>
      <c r="AL6" s="1611" t="inlineStr">
        <is>
          <t>.</t>
        </is>
      </c>
      <c r="AM6" s="1783">
        <f>'@Main'!B10</f>
        <v/>
      </c>
      <c r="AN6" s="1597">
        <f>_xlfn.XLOOKUP(Table1[[#This Row],['#]],mainW['#],mainW[ctry],"-")</f>
        <v/>
      </c>
      <c r="AO6" s="1649">
        <f>SUMIFS(raw[stay],raw[ctry],Table1[[#This Row],[ctry]],raw[mth],AO$2)</f>
        <v/>
      </c>
      <c r="AP6" s="1649">
        <f>SUMIFS(raw[stay],raw[ctry],Table1[[#This Row],[ctry]],raw[mth],AP$2)</f>
        <v/>
      </c>
      <c r="AQ6" s="1649">
        <f>SUMIFS(raw[stay],raw[ctry],Table1[[#This Row],[ctry]],raw[mth],AQ$2)</f>
        <v/>
      </c>
      <c r="AR6" s="1649">
        <f>SUMIFS(raw[stay],raw[ctry],Table1[[#This Row],[ctry]],raw[mth],AR$2)</f>
        <v/>
      </c>
      <c r="AS6" s="1649">
        <f>SUMIFS(raw[stay],raw[ctry],Table1[[#This Row],[ctry]],raw[mth],AS$2)</f>
        <v/>
      </c>
      <c r="AT6" s="1649">
        <f>SUMIFS(raw[stay],raw[ctry],Table1[[#This Row],[ctry]],raw[mth],AT$2)</f>
        <v/>
      </c>
      <c r="AU6" s="1649">
        <f>SUMIFS(raw[stay],raw[ctry],Table1[[#This Row],[ctry]],raw[mth],AU$2)</f>
        <v/>
      </c>
      <c r="AV6" s="1649">
        <f>SUMIFS(raw[stay],raw[ctry],Table1[[#This Row],[ctry]],raw[mth],AV$2)</f>
        <v/>
      </c>
      <c r="AW6" s="1649">
        <f>SUMIFS(raw[stay],raw[ctry],Table1[[#This Row],[ctry]],raw[mth],AW$2)</f>
        <v/>
      </c>
      <c r="AX6" s="1619">
        <f>SUMIFS(raw[stay],raw[ctry],Table1[[#This Row],[ctry]],raw[mth],AX$2)</f>
        <v/>
      </c>
      <c r="AY6" s="1649">
        <f>SUMIFS(raw[stay],raw[ctry],Table1[[#This Row],[ctry]],raw[mth],AY$2)</f>
        <v/>
      </c>
      <c r="AZ6" s="1649">
        <f>SUMIFS(raw[stay],raw[ctry],Table1[[#This Row],[ctry]],raw[mth],AZ$2)</f>
        <v/>
      </c>
      <c r="BA6" s="1597">
        <f>COUNTIF(AO6:AZ6,"&gt;0")</f>
        <v/>
      </c>
      <c r="BB6" s="1784">
        <f>INT(SUM(AO6:AZ6))</f>
        <v/>
      </c>
      <c r="BC6" s="1611" t="inlineStr">
        <is>
          <t>.</t>
        </is>
      </c>
      <c r="BD6" s="1680">
        <f>BD5</f>
        <v/>
      </c>
      <c r="BE6" s="1598" t="n">
        <v>1987</v>
      </c>
      <c r="BF6" s="1785">
        <f>SUMIFS(raw[stay],raw[ctry],Table15[[#This Row],[ctry]],raw[yr],Table15[[#This Row],[yr]],raw[mth],BF$2)</f>
        <v/>
      </c>
      <c r="BG6" s="1785">
        <f>SUMIFS(raw[stay],raw[ctry],Table15[[#This Row],[ctry]],raw[yr],Table15[[#This Row],[yr]],raw[mth],BG$2)</f>
        <v/>
      </c>
      <c r="BH6" s="1785">
        <f>SUMIFS(raw[stay],raw[ctry],Table15[[#This Row],[ctry]],raw[yr],Table15[[#This Row],[yr]],raw[mth],BH$2)</f>
        <v/>
      </c>
      <c r="BI6" s="1785">
        <f>SUMIFS(raw[stay],raw[ctry],Table15[[#This Row],[ctry]],raw[yr],Table15[[#This Row],[yr]],raw[mth],BI$2)</f>
        <v/>
      </c>
      <c r="BJ6" s="1785">
        <f>SUMIFS(raw[stay],raw[ctry],Table15[[#This Row],[ctry]],raw[yr],Table15[[#This Row],[yr]],raw[mth],BJ$2)</f>
        <v/>
      </c>
      <c r="BK6" s="1785">
        <f>SUMIFS(raw[stay],raw[ctry],Table15[[#This Row],[ctry]],raw[yr],Table15[[#This Row],[yr]],raw[mth],BK$2)</f>
        <v/>
      </c>
      <c r="BL6" s="1785">
        <f>SUMIFS(raw[stay],raw[ctry],Table15[[#This Row],[ctry]],raw[yr],Table15[[#This Row],[yr]],raw[mth],BL$2)</f>
        <v/>
      </c>
      <c r="BM6" s="1785">
        <f>SUMIFS(raw[stay],raw[ctry],Table15[[#This Row],[ctry]],raw[yr],Table15[[#This Row],[yr]],raw[mth],BM$2)</f>
        <v/>
      </c>
      <c r="BN6" s="1785">
        <f>SUMIFS(raw[stay],raw[ctry],Table15[[#This Row],[ctry]],raw[yr],Table15[[#This Row],[yr]],raw[mth],BN$2)</f>
        <v/>
      </c>
      <c r="BO6" s="1785">
        <f>SUMIFS(raw[stay],raw[ctry],Table15[[#This Row],[ctry]],raw[yr],Table15[[#This Row],[yr]],raw[mth],BO$2)</f>
        <v/>
      </c>
      <c r="BP6" s="1785">
        <f>SUMIFS(raw[stay],raw[ctry],Table15[[#This Row],[ctry]],raw[yr],Table15[[#This Row],[yr]],raw[mth],BP$2)</f>
        <v/>
      </c>
      <c r="BQ6" s="1785">
        <f>SUMIFS(raw[stay],raw[ctry],Table15[[#This Row],[ctry]],raw[yr],Table15[[#This Row],[yr]],raw[mth],BQ$2)</f>
        <v/>
      </c>
      <c r="BR6" s="1597">
        <f>COUNTIF(BF6:BQ6,"&gt;0")</f>
        <v/>
      </c>
      <c r="BS6" s="1600">
        <f>INT(SUM(BF6:BQ6))</f>
        <v/>
      </c>
      <c r="BT6" s="1597" t="inlineStr">
        <is>
          <t>.</t>
        </is>
      </c>
      <c r="BU6" s="1636" t="inlineStr">
        <is>
          <t>CAN</t>
        </is>
      </c>
      <c r="BV6" s="1603" t="n">
        <v>125</v>
      </c>
      <c r="BW6" s="1607" t="n">
        <v>170</v>
      </c>
      <c r="BX6" s="1611" t="inlineStr">
        <is>
          <t>.</t>
        </is>
      </c>
      <c r="BY6" s="1612" t="n"/>
      <c r="BZ6" s="1788">
        <f>BZ5+1</f>
        <v/>
      </c>
      <c r="CA6" s="1789" t="inlineStr">
        <is>
          <t>C</t>
        </is>
      </c>
      <c r="CB6" s="1790" t="inlineStr">
        <is>
          <t>BAHAMAS</t>
        </is>
      </c>
      <c r="CC6" s="1792" t="inlineStr">
        <is>
          <t>X</t>
        </is>
      </c>
      <c r="CD6" s="1792" t="n"/>
      <c r="CE6" s="1792" t="n"/>
      <c r="CF6" s="1792" t="n"/>
      <c r="CG6" s="1793" t="inlineStr">
        <is>
          <t>.</t>
        </is>
      </c>
    </row>
    <row r="7" ht="15" customHeight="1">
      <c r="A7" s="1596" t="n"/>
      <c r="B7" s="1794">
        <f>SUM(D7:AK7)</f>
        <v/>
      </c>
      <c r="C7" s="1798">
        <f>Table1[[#This Row],[ctry]]</f>
        <v/>
      </c>
      <c r="D7" s="1610">
        <f>COUNTIFS(entryCtry[ctry],Table6[[#This Row],[ctry]],entryCtry[yr],D$2)</f>
        <v/>
      </c>
      <c r="E7" s="1610">
        <f>COUNTIFS(entryCtry[ctry],Table6[[#This Row],[ctry]],entryCtry[yr],E$2)</f>
        <v/>
      </c>
      <c r="F7" s="1610">
        <f>COUNTIFS(entryCtry[ctry],Table6[[#This Row],[ctry]],entryCtry[yr],F$2)</f>
        <v/>
      </c>
      <c r="G7" s="1610">
        <f>COUNTIFS(entryCtry[ctry],Table6[[#This Row],[ctry]],entryCtry[yr],G$2)</f>
        <v/>
      </c>
      <c r="H7" s="1610">
        <f>COUNTIFS(entryCtry[ctry],Table6[[#This Row],[ctry]],entryCtry[yr],H$2)</f>
        <v/>
      </c>
      <c r="I7" s="1610">
        <f>COUNTIFS(entryCtry[ctry],Table6[[#This Row],[ctry]],entryCtry[yr],I$2)</f>
        <v/>
      </c>
      <c r="J7" s="1610">
        <f>COUNTIFS(entryCtry[ctry],Table6[[#This Row],[ctry]],entryCtry[yr],J$2)</f>
        <v/>
      </c>
      <c r="K7" s="1610">
        <f>COUNTIFS(entryCtry[ctry],Table6[[#This Row],[ctry]],entryCtry[yr],K$2)</f>
        <v/>
      </c>
      <c r="L7" s="1610">
        <f>COUNTIFS(entryCtry[ctry],Table6[[#This Row],[ctry]],entryCtry[yr],L$2)</f>
        <v/>
      </c>
      <c r="M7" s="1610">
        <f>COUNTIFS(entryCtry[ctry],Table6[[#This Row],[ctry]],entryCtry[yr],M$2)</f>
        <v/>
      </c>
      <c r="N7" s="1610">
        <f>COUNTIFS(entryCtry[ctry],Table6[[#This Row],[ctry]],entryCtry[yr],N$2)</f>
        <v/>
      </c>
      <c r="O7" s="1610">
        <f>COUNTIFS(entryCtry[ctry],Table6[[#This Row],[ctry]],entryCtry[yr],O$2)</f>
        <v/>
      </c>
      <c r="P7" s="1610">
        <f>COUNTIFS(entryCtry[ctry],Table6[[#This Row],[ctry]],entryCtry[yr],P$2)</f>
        <v/>
      </c>
      <c r="Q7" s="1610">
        <f>COUNTIFS(entryCtry[ctry],Table6[[#This Row],[ctry]],entryCtry[yr],Q$2)</f>
        <v/>
      </c>
      <c r="R7" s="1610">
        <f>COUNTIFS(entryCtry[ctry],Table6[[#This Row],[ctry]],entryCtry[yr],R$2)</f>
        <v/>
      </c>
      <c r="S7" s="1610">
        <f>COUNTIFS(entryCtry[ctry],Table6[[#This Row],[ctry]],entryCtry[yr],S$2)</f>
        <v/>
      </c>
      <c r="T7" s="1610">
        <f>COUNTIFS(entryCtry[ctry],Table6[[#This Row],[ctry]],entryCtry[yr],T$2)</f>
        <v/>
      </c>
      <c r="U7" s="1610">
        <f>COUNTIFS(entryCtry[ctry],Table6[[#This Row],[ctry]],entryCtry[yr],U$2)</f>
        <v/>
      </c>
      <c r="V7" s="1610">
        <f>COUNTIFS(entryCtry[ctry],Table6[[#This Row],[ctry]],entryCtry[yr],V$2)</f>
        <v/>
      </c>
      <c r="W7" s="1610">
        <f>COUNTIFS(entryCtry[ctry],Table6[[#This Row],[ctry]],entryCtry[yr],W$2)</f>
        <v/>
      </c>
      <c r="X7" s="1610">
        <f>COUNTIFS(entryCtry[ctry],Table6[[#This Row],[ctry]],entryCtry[yr],X$2)</f>
        <v/>
      </c>
      <c r="Y7" s="1610">
        <f>COUNTIFS(entryCtry[ctry],Table6[[#This Row],[ctry]],entryCtry[yr],Y$2)</f>
        <v/>
      </c>
      <c r="Z7" s="1610">
        <f>COUNTIFS(entryCtry[ctry],Table6[[#This Row],[ctry]],entryCtry[yr],Z$2)</f>
        <v/>
      </c>
      <c r="AA7" s="1610">
        <f>COUNTIFS(entryCtry[ctry],Table6[[#This Row],[ctry]],entryCtry[yr],AA$2)</f>
        <v/>
      </c>
      <c r="AB7" s="1610">
        <f>COUNTIFS(entryCtry[ctry],Table6[[#This Row],[ctry]],entryCtry[yr],AB$2)</f>
        <v/>
      </c>
      <c r="AC7" s="1610">
        <f>COUNTIFS(entryCtry[ctry],Table6[[#This Row],[ctry]],entryCtry[yr],AC$2)</f>
        <v/>
      </c>
      <c r="AD7" s="1610">
        <f>COUNTIFS(entryCtry[ctry],Table6[[#This Row],[ctry]],entryCtry[yr],AD$2)</f>
        <v/>
      </c>
      <c r="AE7" s="1610">
        <f>COUNTIFS(entryCtry[ctry],Table6[[#This Row],[ctry]],entryCtry[yr],AE$2)</f>
        <v/>
      </c>
      <c r="AF7" s="1610">
        <f>COUNTIFS(entryCtry[ctry],Table6[[#This Row],[ctry]],entryCtry[yr],AF$2)</f>
        <v/>
      </c>
      <c r="AG7" s="1610">
        <f>COUNTIFS(entryCtry[ctry],Table6[[#This Row],[ctry]],entryCtry[yr],AG$2)</f>
        <v/>
      </c>
      <c r="AH7" s="1610">
        <f>COUNTIFS(entryCtry[ctry],Table6[[#This Row],[ctry]],entryCtry[yr],AH$2)</f>
        <v/>
      </c>
      <c r="AI7" s="1610">
        <f>COUNTIFS(entryCtry[ctry],Table6[[#This Row],[ctry]],entryCtry[yr],AI$2)</f>
        <v/>
      </c>
      <c r="AJ7" s="1610">
        <f>COUNTIFS(entryCtry[ctry],Table6[[#This Row],[ctry]],entryCtry[yr],AJ$2)</f>
        <v/>
      </c>
      <c r="AK7" s="1680" t="inlineStr">
        <is>
          <t>.</t>
        </is>
      </c>
      <c r="AL7" s="1611" t="inlineStr">
        <is>
          <t>.</t>
        </is>
      </c>
      <c r="AM7" s="1783">
        <f>'@Main'!B11</f>
        <v/>
      </c>
      <c r="AN7" s="1597">
        <f>_xlfn.XLOOKUP(Table1[[#This Row],['#]],mainW['#],mainW[ctry],"-")</f>
        <v/>
      </c>
      <c r="AO7" s="1649">
        <f>SUMIFS(raw[stay],raw[ctry],Table1[[#This Row],[ctry]],raw[mth],AO$2)</f>
        <v/>
      </c>
      <c r="AP7" s="1649">
        <f>SUMIFS(raw[stay],raw[ctry],Table1[[#This Row],[ctry]],raw[mth],AP$2)</f>
        <v/>
      </c>
      <c r="AQ7" s="1649">
        <f>SUMIFS(raw[stay],raw[ctry],Table1[[#This Row],[ctry]],raw[mth],AQ$2)</f>
        <v/>
      </c>
      <c r="AR7" s="1649">
        <f>SUMIFS(raw[stay],raw[ctry],Table1[[#This Row],[ctry]],raw[mth],AR$2)</f>
        <v/>
      </c>
      <c r="AS7" s="1649">
        <f>SUMIFS(raw[stay],raw[ctry],Table1[[#This Row],[ctry]],raw[mth],AS$2)</f>
        <v/>
      </c>
      <c r="AT7" s="1649">
        <f>SUMIFS(raw[stay],raw[ctry],Table1[[#This Row],[ctry]],raw[mth],AT$2)</f>
        <v/>
      </c>
      <c r="AU7" s="1649">
        <f>SUMIFS(raw[stay],raw[ctry],Table1[[#This Row],[ctry]],raw[mth],AU$2)</f>
        <v/>
      </c>
      <c r="AV7" s="1649">
        <f>SUMIFS(raw[stay],raw[ctry],Table1[[#This Row],[ctry]],raw[mth],AV$2)</f>
        <v/>
      </c>
      <c r="AW7" s="1649">
        <f>SUMIFS(raw[stay],raw[ctry],Table1[[#This Row],[ctry]],raw[mth],AW$2)</f>
        <v/>
      </c>
      <c r="AX7" s="1649">
        <f>SUMIFS(raw[stay],raw[ctry],Table1[[#This Row],[ctry]],raw[mth],AX$2)</f>
        <v/>
      </c>
      <c r="AY7" s="1619">
        <f>SUMIFS(raw[stay],raw[ctry],Table1[[#This Row],[ctry]],raw[mth],AY$2)</f>
        <v/>
      </c>
      <c r="AZ7" s="1649">
        <f>SUMIFS(raw[stay],raw[ctry],Table1[[#This Row],[ctry]],raw[mth],AZ$2)</f>
        <v/>
      </c>
      <c r="BA7" s="1597">
        <f>COUNTIF(AO7:AZ7,"&gt;0")</f>
        <v/>
      </c>
      <c r="BB7" s="1784">
        <f>INT(SUM(AO7:AZ7))</f>
        <v/>
      </c>
      <c r="BC7" s="1611" t="inlineStr">
        <is>
          <t>.</t>
        </is>
      </c>
      <c r="BD7" s="1680">
        <f>BD6</f>
        <v/>
      </c>
      <c r="BE7" s="1598" t="n">
        <v>1989</v>
      </c>
      <c r="BF7" s="1785">
        <f>SUMIFS(raw[stay],raw[ctry],Table15[[#This Row],[ctry]],raw[yr],Table15[[#This Row],[yr]],raw[mth],BF$2)</f>
        <v/>
      </c>
      <c r="BG7" s="1785">
        <f>SUMIFS(raw[stay],raw[ctry],Table15[[#This Row],[ctry]],raw[yr],Table15[[#This Row],[yr]],raw[mth],BG$2)</f>
        <v/>
      </c>
      <c r="BH7" s="1785">
        <f>SUMIFS(raw[stay],raw[ctry],Table15[[#This Row],[ctry]],raw[yr],Table15[[#This Row],[yr]],raw[mth],BH$2)</f>
        <v/>
      </c>
      <c r="BI7" s="1785">
        <f>SUMIFS(raw[stay],raw[ctry],Table15[[#This Row],[ctry]],raw[yr],Table15[[#This Row],[yr]],raw[mth],BI$2)</f>
        <v/>
      </c>
      <c r="BJ7" s="1785">
        <f>SUMIFS(raw[stay],raw[ctry],Table15[[#This Row],[ctry]],raw[yr],Table15[[#This Row],[yr]],raw[mth],BJ$2)</f>
        <v/>
      </c>
      <c r="BK7" s="1785">
        <f>SUMIFS(raw[stay],raw[ctry],Table15[[#This Row],[ctry]],raw[yr],Table15[[#This Row],[yr]],raw[mth],BK$2)</f>
        <v/>
      </c>
      <c r="BL7" s="1785">
        <f>SUMIFS(raw[stay],raw[ctry],Table15[[#This Row],[ctry]],raw[yr],Table15[[#This Row],[yr]],raw[mth],BL$2)</f>
        <v/>
      </c>
      <c r="BM7" s="1785">
        <f>SUMIFS(raw[stay],raw[ctry],Table15[[#This Row],[ctry]],raw[yr],Table15[[#This Row],[yr]],raw[mth],BM$2)</f>
        <v/>
      </c>
      <c r="BN7" s="1785">
        <f>SUMIFS(raw[stay],raw[ctry],Table15[[#This Row],[ctry]],raw[yr],Table15[[#This Row],[yr]],raw[mth],BN$2)</f>
        <v/>
      </c>
      <c r="BO7" s="1785">
        <f>SUMIFS(raw[stay],raw[ctry],Table15[[#This Row],[ctry]],raw[yr],Table15[[#This Row],[yr]],raw[mth],BO$2)</f>
        <v/>
      </c>
      <c r="BP7" s="1785">
        <f>SUMIFS(raw[stay],raw[ctry],Table15[[#This Row],[ctry]],raw[yr],Table15[[#This Row],[yr]],raw[mth],BP$2)</f>
        <v/>
      </c>
      <c r="BQ7" s="1785">
        <f>SUMIFS(raw[stay],raw[ctry],Table15[[#This Row],[ctry]],raw[yr],Table15[[#This Row],[yr]],raw[mth],BQ$2)</f>
        <v/>
      </c>
      <c r="BR7" s="1597">
        <f>COUNTIF(BF7:BQ7,"&gt;0")</f>
        <v/>
      </c>
      <c r="BS7" s="1600">
        <f>INT(SUM(BF7:BQ7))</f>
        <v/>
      </c>
      <c r="BT7" s="1597" t="inlineStr">
        <is>
          <t>.</t>
        </is>
      </c>
      <c r="BU7" s="1636" t="inlineStr">
        <is>
          <t>UK</t>
        </is>
      </c>
      <c r="BV7" s="1603" t="n">
        <v>8</v>
      </c>
      <c r="BW7" s="1607" t="n">
        <v>45</v>
      </c>
      <c r="BX7" s="1611" t="inlineStr">
        <is>
          <t>.</t>
        </is>
      </c>
      <c r="BY7" s="1612" t="n"/>
      <c r="BZ7" s="1788">
        <f>BZ6+1</f>
        <v/>
      </c>
      <c r="CA7" s="1789" t="inlineStr">
        <is>
          <t>F</t>
        </is>
      </c>
      <c r="CB7" s="1799" t="inlineStr">
        <is>
          <t>EGYPT</t>
        </is>
      </c>
      <c r="CC7" s="1800" t="inlineStr">
        <is>
          <t>X</t>
        </is>
      </c>
      <c r="CD7" s="1800" t="inlineStr">
        <is>
          <t>X</t>
        </is>
      </c>
      <c r="CE7" s="1800" t="n"/>
      <c r="CF7" s="1800" t="n"/>
      <c r="CG7" s="1793" t="inlineStr">
        <is>
          <t>.</t>
        </is>
      </c>
    </row>
    <row r="8" ht="15" customHeight="1">
      <c r="A8" s="1615" t="n"/>
      <c r="B8" s="1781">
        <f>SUM(D8:AK8)</f>
        <v/>
      </c>
      <c r="C8" s="1782">
        <f>Table1[[#This Row],[ctry]]</f>
        <v/>
      </c>
      <c r="D8" s="1610">
        <f>COUNTIFS(entryCtry[ctry],Table6[[#This Row],[ctry]],entryCtry[yr],D$2)</f>
        <v/>
      </c>
      <c r="E8" s="1610">
        <f>COUNTIFS(entryCtry[ctry],Table6[[#This Row],[ctry]],entryCtry[yr],E$2)</f>
        <v/>
      </c>
      <c r="F8" s="1610">
        <f>COUNTIFS(entryCtry[ctry],Table6[[#This Row],[ctry]],entryCtry[yr],F$2)</f>
        <v/>
      </c>
      <c r="G8" s="1610">
        <f>COUNTIFS(entryCtry[ctry],Table6[[#This Row],[ctry]],entryCtry[yr],G$2)</f>
        <v/>
      </c>
      <c r="H8" s="1610">
        <f>COUNTIFS(entryCtry[ctry],Table6[[#This Row],[ctry]],entryCtry[yr],H$2)</f>
        <v/>
      </c>
      <c r="I8" s="1610">
        <f>COUNTIFS(entryCtry[ctry],Table6[[#This Row],[ctry]],entryCtry[yr],I$2)</f>
        <v/>
      </c>
      <c r="J8" s="1610">
        <f>COUNTIFS(entryCtry[ctry],Table6[[#This Row],[ctry]],entryCtry[yr],J$2)</f>
        <v/>
      </c>
      <c r="K8" s="1610">
        <f>COUNTIFS(entryCtry[ctry],Table6[[#This Row],[ctry]],entryCtry[yr],K$2)</f>
        <v/>
      </c>
      <c r="L8" s="1610">
        <f>COUNTIFS(entryCtry[ctry],Table6[[#This Row],[ctry]],entryCtry[yr],L$2)</f>
        <v/>
      </c>
      <c r="M8" s="1610">
        <f>COUNTIFS(entryCtry[ctry],Table6[[#This Row],[ctry]],entryCtry[yr],M$2)</f>
        <v/>
      </c>
      <c r="N8" s="1610">
        <f>COUNTIFS(entryCtry[ctry],Table6[[#This Row],[ctry]],entryCtry[yr],N$2)</f>
        <v/>
      </c>
      <c r="O8" s="1610">
        <f>COUNTIFS(entryCtry[ctry],Table6[[#This Row],[ctry]],entryCtry[yr],O$2)</f>
        <v/>
      </c>
      <c r="P8" s="1610">
        <f>COUNTIFS(entryCtry[ctry],Table6[[#This Row],[ctry]],entryCtry[yr],P$2)</f>
        <v/>
      </c>
      <c r="Q8" s="1610">
        <f>COUNTIFS(entryCtry[ctry],Table6[[#This Row],[ctry]],entryCtry[yr],Q$2)</f>
        <v/>
      </c>
      <c r="R8" s="1610">
        <f>COUNTIFS(entryCtry[ctry],Table6[[#This Row],[ctry]],entryCtry[yr],R$2)</f>
        <v/>
      </c>
      <c r="S8" s="1610">
        <f>COUNTIFS(entryCtry[ctry],Table6[[#This Row],[ctry]],entryCtry[yr],S$2)</f>
        <v/>
      </c>
      <c r="T8" s="1610">
        <f>COUNTIFS(entryCtry[ctry],Table6[[#This Row],[ctry]],entryCtry[yr],T$2)</f>
        <v/>
      </c>
      <c r="U8" s="1610">
        <f>COUNTIFS(entryCtry[ctry],Table6[[#This Row],[ctry]],entryCtry[yr],U$2)</f>
        <v/>
      </c>
      <c r="V8" s="1610">
        <f>COUNTIFS(entryCtry[ctry],Table6[[#This Row],[ctry]],entryCtry[yr],V$2)</f>
        <v/>
      </c>
      <c r="W8" s="1610">
        <f>COUNTIFS(entryCtry[ctry],Table6[[#This Row],[ctry]],entryCtry[yr],W$2)</f>
        <v/>
      </c>
      <c r="X8" s="1610">
        <f>COUNTIFS(entryCtry[ctry],Table6[[#This Row],[ctry]],entryCtry[yr],X$2)</f>
        <v/>
      </c>
      <c r="Y8" s="1610">
        <f>COUNTIFS(entryCtry[ctry],Table6[[#This Row],[ctry]],entryCtry[yr],Y$2)</f>
        <v/>
      </c>
      <c r="Z8" s="1610">
        <f>COUNTIFS(entryCtry[ctry],Table6[[#This Row],[ctry]],entryCtry[yr],Z$2)</f>
        <v/>
      </c>
      <c r="AA8" s="1610">
        <f>COUNTIFS(entryCtry[ctry],Table6[[#This Row],[ctry]],entryCtry[yr],AA$2)</f>
        <v/>
      </c>
      <c r="AB8" s="1610">
        <f>COUNTIFS(entryCtry[ctry],Table6[[#This Row],[ctry]],entryCtry[yr],AB$2)</f>
        <v/>
      </c>
      <c r="AC8" s="1610">
        <f>COUNTIFS(entryCtry[ctry],Table6[[#This Row],[ctry]],entryCtry[yr],AC$2)</f>
        <v/>
      </c>
      <c r="AD8" s="1610">
        <f>COUNTIFS(entryCtry[ctry],Table6[[#This Row],[ctry]],entryCtry[yr],AD$2)</f>
        <v/>
      </c>
      <c r="AE8" s="1610">
        <f>COUNTIFS(entryCtry[ctry],Table6[[#This Row],[ctry]],entryCtry[yr],AE$2)</f>
        <v/>
      </c>
      <c r="AF8" s="1610">
        <f>COUNTIFS(entryCtry[ctry],Table6[[#This Row],[ctry]],entryCtry[yr],AF$2)</f>
        <v/>
      </c>
      <c r="AG8" s="1610">
        <f>COUNTIFS(entryCtry[ctry],Table6[[#This Row],[ctry]],entryCtry[yr],AG$2)</f>
        <v/>
      </c>
      <c r="AH8" s="1610">
        <f>COUNTIFS(entryCtry[ctry],Table6[[#This Row],[ctry]],entryCtry[yr],AH$2)</f>
        <v/>
      </c>
      <c r="AI8" s="1610">
        <f>COUNTIFS(entryCtry[ctry],Table6[[#This Row],[ctry]],entryCtry[yr],AI$2)</f>
        <v/>
      </c>
      <c r="AJ8" s="1610">
        <f>COUNTIFS(entryCtry[ctry],Table6[[#This Row],[ctry]],entryCtry[yr],AJ$2)</f>
        <v/>
      </c>
      <c r="AK8" s="1680" t="inlineStr">
        <is>
          <t>.</t>
        </is>
      </c>
      <c r="AL8" s="1611" t="inlineStr">
        <is>
          <t>.</t>
        </is>
      </c>
      <c r="AM8" s="1783">
        <f>'@Main'!B12</f>
        <v/>
      </c>
      <c r="AN8" s="1597">
        <f>_xlfn.XLOOKUP(Table1[[#This Row],['#]],mainW['#],mainW[ctry],"-")</f>
        <v/>
      </c>
      <c r="AO8" s="1619">
        <f>SUMIFS(raw[stay],raw[ctry],Table1[[#This Row],[ctry]],raw[mth],AO$2)</f>
        <v/>
      </c>
      <c r="AP8" s="1649">
        <f>SUMIFS(raw[stay],raw[ctry],Table1[[#This Row],[ctry]],raw[mth],AP$2)</f>
        <v/>
      </c>
      <c r="AQ8" s="1649">
        <f>SUMIFS(raw[stay],raw[ctry],Table1[[#This Row],[ctry]],raw[mth],AQ$2)</f>
        <v/>
      </c>
      <c r="AR8" s="1649">
        <f>SUMIFS(raw[stay],raw[ctry],Table1[[#This Row],[ctry]],raw[mth],AR$2)</f>
        <v/>
      </c>
      <c r="AS8" s="1649">
        <f>SUMIFS(raw[stay],raw[ctry],Table1[[#This Row],[ctry]],raw[mth],AS$2)</f>
        <v/>
      </c>
      <c r="AT8" s="1649">
        <f>SUMIFS(raw[stay],raw[ctry],Table1[[#This Row],[ctry]],raw[mth],AT$2)</f>
        <v/>
      </c>
      <c r="AU8" s="1649">
        <f>SUMIFS(raw[stay],raw[ctry],Table1[[#This Row],[ctry]],raw[mth],AU$2)</f>
        <v/>
      </c>
      <c r="AV8" s="1649">
        <f>SUMIFS(raw[stay],raw[ctry],Table1[[#This Row],[ctry]],raw[mth],AV$2)</f>
        <v/>
      </c>
      <c r="AW8" s="1649">
        <f>SUMIFS(raw[stay],raw[ctry],Table1[[#This Row],[ctry]],raw[mth],AW$2)</f>
        <v/>
      </c>
      <c r="AX8" s="1649">
        <f>SUMIFS(raw[stay],raw[ctry],Table1[[#This Row],[ctry]],raw[mth],AX$2)</f>
        <v/>
      </c>
      <c r="AY8" s="1649">
        <f>SUMIFS(raw[stay],raw[ctry],Table1[[#This Row],[ctry]],raw[mth],AY$2)</f>
        <v/>
      </c>
      <c r="AZ8" s="1649">
        <f>SUMIFS(raw[stay],raw[ctry],Table1[[#This Row],[ctry]],raw[mth],AZ$2)</f>
        <v/>
      </c>
      <c r="BA8" s="1597">
        <f>COUNTIF(AO8:AZ8,"&gt;0")</f>
        <v/>
      </c>
      <c r="BB8" s="1784">
        <f>INT(SUM(AO8:AZ8))</f>
        <v/>
      </c>
      <c r="BC8" s="1611" t="inlineStr">
        <is>
          <t>.</t>
        </is>
      </c>
      <c r="BD8" s="1680">
        <f>BD7</f>
        <v/>
      </c>
      <c r="BE8" s="1598" t="n">
        <v>1995</v>
      </c>
      <c r="BF8" s="1785">
        <f>SUMIFS(raw[stay],raw[ctry],Table15[[#This Row],[ctry]],raw[yr],Table15[[#This Row],[yr]],raw[mth],BF$2)</f>
        <v/>
      </c>
      <c r="BG8" s="1785">
        <f>SUMIFS(raw[stay],raw[ctry],Table15[[#This Row],[ctry]],raw[yr],Table15[[#This Row],[yr]],raw[mth],BG$2)</f>
        <v/>
      </c>
      <c r="BH8" s="1785">
        <f>SUMIFS(raw[stay],raw[ctry],Table15[[#This Row],[ctry]],raw[yr],Table15[[#This Row],[yr]],raw[mth],BH$2)</f>
        <v/>
      </c>
      <c r="BI8" s="1785">
        <f>SUMIFS(raw[stay],raw[ctry],Table15[[#This Row],[ctry]],raw[yr],Table15[[#This Row],[yr]],raw[mth],BI$2)</f>
        <v/>
      </c>
      <c r="BJ8" s="1785">
        <f>SUMIFS(raw[stay],raw[ctry],Table15[[#This Row],[ctry]],raw[yr],Table15[[#This Row],[yr]],raw[mth],BJ$2)</f>
        <v/>
      </c>
      <c r="BK8" s="1785">
        <f>SUMIFS(raw[stay],raw[ctry],Table15[[#This Row],[ctry]],raw[yr],Table15[[#This Row],[yr]],raw[mth],BK$2)</f>
        <v/>
      </c>
      <c r="BL8" s="1785">
        <f>SUMIFS(raw[stay],raw[ctry],Table15[[#This Row],[ctry]],raw[yr],Table15[[#This Row],[yr]],raw[mth],BL$2)</f>
        <v/>
      </c>
      <c r="BM8" s="1785">
        <f>SUMIFS(raw[stay],raw[ctry],Table15[[#This Row],[ctry]],raw[yr],Table15[[#This Row],[yr]],raw[mth],BM$2)</f>
        <v/>
      </c>
      <c r="BN8" s="1785">
        <f>SUMIFS(raw[stay],raw[ctry],Table15[[#This Row],[ctry]],raw[yr],Table15[[#This Row],[yr]],raw[mth],BN$2)</f>
        <v/>
      </c>
      <c r="BO8" s="1785">
        <f>SUMIFS(raw[stay],raw[ctry],Table15[[#This Row],[ctry]],raw[yr],Table15[[#This Row],[yr]],raw[mth],BO$2)</f>
        <v/>
      </c>
      <c r="BP8" s="1785">
        <f>SUMIFS(raw[stay],raw[ctry],Table15[[#This Row],[ctry]],raw[yr],Table15[[#This Row],[yr]],raw[mth],BP$2)</f>
        <v/>
      </c>
      <c r="BQ8" s="1785">
        <f>SUMIFS(raw[stay],raw[ctry],Table15[[#This Row],[ctry]],raw[yr],Table15[[#This Row],[yr]],raw[mth],BQ$2)</f>
        <v/>
      </c>
      <c r="BR8" s="1597">
        <f>COUNTIF(BF8:BQ8,"&gt;0")</f>
        <v/>
      </c>
      <c r="BS8" s="1600">
        <f>INT(SUM(BF8:BQ8))</f>
        <v/>
      </c>
      <c r="BT8" s="1597" t="inlineStr">
        <is>
          <t>.</t>
        </is>
      </c>
      <c r="BU8" s="1650" t="inlineStr">
        <is>
          <t>PRT</t>
        </is>
      </c>
      <c r="BV8" s="1722">
        <f>BV$4</f>
        <v/>
      </c>
      <c r="BW8" s="1801">
        <f>BW$4</f>
        <v/>
      </c>
      <c r="BX8" s="1611" t="inlineStr">
        <is>
          <t>.</t>
        </is>
      </c>
      <c r="BY8" s="1612" t="n"/>
      <c r="BZ8" s="1788">
        <f>BZ7+1</f>
        <v/>
      </c>
      <c r="CA8" s="1789" t="inlineStr">
        <is>
          <t>F</t>
        </is>
      </c>
      <c r="CB8" s="1799" t="inlineStr">
        <is>
          <t>MOROCCO</t>
        </is>
      </c>
      <c r="CC8" s="1800" t="inlineStr">
        <is>
          <t>X</t>
        </is>
      </c>
      <c r="CD8" s="1800" t="inlineStr">
        <is>
          <t>X</t>
        </is>
      </c>
      <c r="CE8" s="1800" t="inlineStr">
        <is>
          <t>X</t>
        </is>
      </c>
      <c r="CF8" s="1800" t="n"/>
      <c r="CG8" s="1793" t="inlineStr">
        <is>
          <t>.</t>
        </is>
      </c>
    </row>
    <row r="9" ht="15" customHeight="1">
      <c r="A9" s="1596" t="n"/>
      <c r="B9" s="1794">
        <f>SUM(D9:AK9)</f>
        <v/>
      </c>
      <c r="C9" s="1795">
        <f>Table1[[#This Row],[ctry]]</f>
        <v/>
      </c>
      <c r="D9" s="1610">
        <f>COUNTIFS(entryCtry[ctry],Table6[[#This Row],[ctry]],entryCtry[yr],D$2)</f>
        <v/>
      </c>
      <c r="E9" s="1610">
        <f>COUNTIFS(entryCtry[ctry],Table6[[#This Row],[ctry]],entryCtry[yr],E$2)</f>
        <v/>
      </c>
      <c r="F9" s="1610">
        <f>COUNTIFS(entryCtry[ctry],Table6[[#This Row],[ctry]],entryCtry[yr],F$2)</f>
        <v/>
      </c>
      <c r="G9" s="1610">
        <f>COUNTIFS(entryCtry[ctry],Table6[[#This Row],[ctry]],entryCtry[yr],G$2)</f>
        <v/>
      </c>
      <c r="H9" s="1610">
        <f>COUNTIFS(entryCtry[ctry],Table6[[#This Row],[ctry]],entryCtry[yr],H$2)</f>
        <v/>
      </c>
      <c r="I9" s="1610">
        <f>COUNTIFS(entryCtry[ctry],Table6[[#This Row],[ctry]],entryCtry[yr],I$2)</f>
        <v/>
      </c>
      <c r="J9" s="1610">
        <f>COUNTIFS(entryCtry[ctry],Table6[[#This Row],[ctry]],entryCtry[yr],J$2)</f>
        <v/>
      </c>
      <c r="K9" s="1610">
        <f>COUNTIFS(entryCtry[ctry],Table6[[#This Row],[ctry]],entryCtry[yr],K$2)</f>
        <v/>
      </c>
      <c r="L9" s="1610">
        <f>COUNTIFS(entryCtry[ctry],Table6[[#This Row],[ctry]],entryCtry[yr],L$2)</f>
        <v/>
      </c>
      <c r="M9" s="1610">
        <f>COUNTIFS(entryCtry[ctry],Table6[[#This Row],[ctry]],entryCtry[yr],M$2)</f>
        <v/>
      </c>
      <c r="N9" s="1610">
        <f>COUNTIFS(entryCtry[ctry],Table6[[#This Row],[ctry]],entryCtry[yr],N$2)</f>
        <v/>
      </c>
      <c r="O9" s="1610">
        <f>COUNTIFS(entryCtry[ctry],Table6[[#This Row],[ctry]],entryCtry[yr],O$2)</f>
        <v/>
      </c>
      <c r="P9" s="1610">
        <f>COUNTIFS(entryCtry[ctry],Table6[[#This Row],[ctry]],entryCtry[yr],P$2)</f>
        <v/>
      </c>
      <c r="Q9" s="1610">
        <f>COUNTIFS(entryCtry[ctry],Table6[[#This Row],[ctry]],entryCtry[yr],Q$2)</f>
        <v/>
      </c>
      <c r="R9" s="1610">
        <f>COUNTIFS(entryCtry[ctry],Table6[[#This Row],[ctry]],entryCtry[yr],R$2)</f>
        <v/>
      </c>
      <c r="S9" s="1610">
        <f>COUNTIFS(entryCtry[ctry],Table6[[#This Row],[ctry]],entryCtry[yr],S$2)</f>
        <v/>
      </c>
      <c r="T9" s="1610">
        <f>COUNTIFS(entryCtry[ctry],Table6[[#This Row],[ctry]],entryCtry[yr],T$2)</f>
        <v/>
      </c>
      <c r="U9" s="1610">
        <f>COUNTIFS(entryCtry[ctry],Table6[[#This Row],[ctry]],entryCtry[yr],U$2)</f>
        <v/>
      </c>
      <c r="V9" s="1610">
        <f>COUNTIFS(entryCtry[ctry],Table6[[#This Row],[ctry]],entryCtry[yr],V$2)</f>
        <v/>
      </c>
      <c r="W9" s="1610">
        <f>COUNTIFS(entryCtry[ctry],Table6[[#This Row],[ctry]],entryCtry[yr],W$2)</f>
        <v/>
      </c>
      <c r="X9" s="1610">
        <f>COUNTIFS(entryCtry[ctry],Table6[[#This Row],[ctry]],entryCtry[yr],X$2)</f>
        <v/>
      </c>
      <c r="Y9" s="1610">
        <f>COUNTIFS(entryCtry[ctry],Table6[[#This Row],[ctry]],entryCtry[yr],Y$2)</f>
        <v/>
      </c>
      <c r="Z9" s="1610">
        <f>COUNTIFS(entryCtry[ctry],Table6[[#This Row],[ctry]],entryCtry[yr],Z$2)</f>
        <v/>
      </c>
      <c r="AA9" s="1610">
        <f>COUNTIFS(entryCtry[ctry],Table6[[#This Row],[ctry]],entryCtry[yr],AA$2)</f>
        <v/>
      </c>
      <c r="AB9" s="1610">
        <f>COUNTIFS(entryCtry[ctry],Table6[[#This Row],[ctry]],entryCtry[yr],AB$2)</f>
        <v/>
      </c>
      <c r="AC9" s="1610">
        <f>COUNTIFS(entryCtry[ctry],Table6[[#This Row],[ctry]],entryCtry[yr],AC$2)</f>
        <v/>
      </c>
      <c r="AD9" s="1610">
        <f>COUNTIFS(entryCtry[ctry],Table6[[#This Row],[ctry]],entryCtry[yr],AD$2)</f>
        <v/>
      </c>
      <c r="AE9" s="1610">
        <f>COUNTIFS(entryCtry[ctry],Table6[[#This Row],[ctry]],entryCtry[yr],AE$2)</f>
        <v/>
      </c>
      <c r="AF9" s="1610">
        <f>COUNTIFS(entryCtry[ctry],Table6[[#This Row],[ctry]],entryCtry[yr],AF$2)</f>
        <v/>
      </c>
      <c r="AG9" s="1610">
        <f>COUNTIFS(entryCtry[ctry],Table6[[#This Row],[ctry]],entryCtry[yr],AG$2)</f>
        <v/>
      </c>
      <c r="AH9" s="1610">
        <f>COUNTIFS(entryCtry[ctry],Table6[[#This Row],[ctry]],entryCtry[yr],AH$2)</f>
        <v/>
      </c>
      <c r="AI9" s="1610">
        <f>COUNTIFS(entryCtry[ctry],Table6[[#This Row],[ctry]],entryCtry[yr],AI$2)</f>
        <v/>
      </c>
      <c r="AJ9" s="1610">
        <f>COUNTIFS(entryCtry[ctry],Table6[[#This Row],[ctry]],entryCtry[yr],AJ$2)</f>
        <v/>
      </c>
      <c r="AK9" s="1680" t="inlineStr">
        <is>
          <t>.</t>
        </is>
      </c>
      <c r="AL9" s="1611" t="inlineStr">
        <is>
          <t>.</t>
        </is>
      </c>
      <c r="AM9" s="1783">
        <f>'@Main'!B13</f>
        <v/>
      </c>
      <c r="AN9" s="1597">
        <f>_xlfn.XLOOKUP(Table1[[#This Row],['#]],mainW['#],mainW[ctry],"-")</f>
        <v/>
      </c>
      <c r="AO9" s="1649">
        <f>SUMIFS(raw[stay],raw[ctry],Table1[[#This Row],[ctry]],raw[mth],AO$2)</f>
        <v/>
      </c>
      <c r="AP9" s="1649">
        <f>SUMIFS(raw[stay],raw[ctry],Table1[[#This Row],[ctry]],raw[mth],AP$2)</f>
        <v/>
      </c>
      <c r="AQ9" s="1649">
        <f>SUMIFS(raw[stay],raw[ctry],Table1[[#This Row],[ctry]],raw[mth],AQ$2)</f>
        <v/>
      </c>
      <c r="AR9" s="1649">
        <f>SUMIFS(raw[stay],raw[ctry],Table1[[#This Row],[ctry]],raw[mth],AR$2)</f>
        <v/>
      </c>
      <c r="AS9" s="1649">
        <f>SUMIFS(raw[stay],raw[ctry],Table1[[#This Row],[ctry]],raw[mth],AS$2)</f>
        <v/>
      </c>
      <c r="AT9" s="1649">
        <f>SUMIFS(raw[stay],raw[ctry],Table1[[#This Row],[ctry]],raw[mth],AT$2)</f>
        <v/>
      </c>
      <c r="AU9" s="1649">
        <f>SUMIFS(raw[stay],raw[ctry],Table1[[#This Row],[ctry]],raw[mth],AU$2)</f>
        <v/>
      </c>
      <c r="AV9" s="1649">
        <f>SUMIFS(raw[stay],raw[ctry],Table1[[#This Row],[ctry]],raw[mth],AV$2)</f>
        <v/>
      </c>
      <c r="AW9" s="1619">
        <f>SUMIFS(raw[stay],raw[ctry],Table1[[#This Row],[ctry]],raw[mth],AW$2)</f>
        <v/>
      </c>
      <c r="AX9" s="1649">
        <f>SUMIFS(raw[stay],raw[ctry],Table1[[#This Row],[ctry]],raw[mth],AX$2)</f>
        <v/>
      </c>
      <c r="AY9" s="1649">
        <f>SUMIFS(raw[stay],raw[ctry],Table1[[#This Row],[ctry]],raw[mth],AY$2)</f>
        <v/>
      </c>
      <c r="AZ9" s="1649">
        <f>SUMIFS(raw[stay],raw[ctry],Table1[[#This Row],[ctry]],raw[mth],AZ$2)</f>
        <v/>
      </c>
      <c r="BA9" s="1597">
        <f>COUNTIF(AO9:AZ9,"&gt;0")</f>
        <v/>
      </c>
      <c r="BB9" s="1784">
        <f>INT(SUM(AO9:AZ9))</f>
        <v/>
      </c>
      <c r="BC9" s="1611" t="inlineStr">
        <is>
          <t>.</t>
        </is>
      </c>
      <c r="BD9" s="1680">
        <f>BD8</f>
        <v/>
      </c>
      <c r="BE9" s="1597">
        <f>BE8+1</f>
        <v/>
      </c>
      <c r="BF9" s="1785">
        <f>SUMIFS(raw[stay],raw[ctry],Table15[[#This Row],[ctry]],raw[yr],Table15[[#This Row],[yr]],raw[mth],BF$2)</f>
        <v/>
      </c>
      <c r="BG9" s="1785">
        <f>SUMIFS(raw[stay],raw[ctry],Table15[[#This Row],[ctry]],raw[yr],Table15[[#This Row],[yr]],raw[mth],BG$2)</f>
        <v/>
      </c>
      <c r="BH9" s="1785">
        <f>SUMIFS(raw[stay],raw[ctry],Table15[[#This Row],[ctry]],raw[yr],Table15[[#This Row],[yr]],raw[mth],BH$2)</f>
        <v/>
      </c>
      <c r="BI9" s="1785">
        <f>SUMIFS(raw[stay],raw[ctry],Table15[[#This Row],[ctry]],raw[yr],Table15[[#This Row],[yr]],raw[mth],BI$2)</f>
        <v/>
      </c>
      <c r="BJ9" s="1785">
        <f>SUMIFS(raw[stay],raw[ctry],Table15[[#This Row],[ctry]],raw[yr],Table15[[#This Row],[yr]],raw[mth],BJ$2)</f>
        <v/>
      </c>
      <c r="BK9" s="1785">
        <f>SUMIFS(raw[stay],raw[ctry],Table15[[#This Row],[ctry]],raw[yr],Table15[[#This Row],[yr]],raw[mth],BK$2)</f>
        <v/>
      </c>
      <c r="BL9" s="1785">
        <f>SUMIFS(raw[stay],raw[ctry],Table15[[#This Row],[ctry]],raw[yr],Table15[[#This Row],[yr]],raw[mth],BL$2)</f>
        <v/>
      </c>
      <c r="BM9" s="1785">
        <f>SUMIFS(raw[stay],raw[ctry],Table15[[#This Row],[ctry]],raw[yr],Table15[[#This Row],[yr]],raw[mth],BM$2)</f>
        <v/>
      </c>
      <c r="BN9" s="1785">
        <f>SUMIFS(raw[stay],raw[ctry],Table15[[#This Row],[ctry]],raw[yr],Table15[[#This Row],[yr]],raw[mth],BN$2)</f>
        <v/>
      </c>
      <c r="BO9" s="1785">
        <f>SUMIFS(raw[stay],raw[ctry],Table15[[#This Row],[ctry]],raw[yr],Table15[[#This Row],[yr]],raw[mth],BO$2)</f>
        <v/>
      </c>
      <c r="BP9" s="1785">
        <f>SUMIFS(raw[stay],raw[ctry],Table15[[#This Row],[ctry]],raw[yr],Table15[[#This Row],[yr]],raw[mth],BP$2)</f>
        <v/>
      </c>
      <c r="BQ9" s="1785">
        <f>SUMIFS(raw[stay],raw[ctry],Table15[[#This Row],[ctry]],raw[yr],Table15[[#This Row],[yr]],raw[mth],BQ$2)</f>
        <v/>
      </c>
      <c r="BR9" s="1597">
        <f>COUNTIF(BF9:BQ9,"&gt;0")</f>
        <v/>
      </c>
      <c r="BS9" s="1600">
        <f>INT(SUM(BF9:BQ9))</f>
        <v/>
      </c>
      <c r="BT9" s="1597" t="inlineStr">
        <is>
          <t>.</t>
        </is>
      </c>
      <c r="BU9" s="1636" t="inlineStr">
        <is>
          <t>FRA</t>
        </is>
      </c>
      <c r="BV9" s="1603" t="n">
        <v>6</v>
      </c>
      <c r="BW9" s="1607" t="n">
        <v>42</v>
      </c>
      <c r="BX9" s="1611" t="inlineStr">
        <is>
          <t>.</t>
        </is>
      </c>
      <c r="BY9" s="1612" t="n"/>
      <c r="BZ9" s="1788">
        <f>BZ8+1</f>
        <v/>
      </c>
      <c r="CA9" s="1789" t="inlineStr">
        <is>
          <t>N</t>
        </is>
      </c>
      <c r="CB9" s="1802" t="inlineStr">
        <is>
          <t>CANADA</t>
        </is>
      </c>
      <c r="CC9" s="1803" t="inlineStr">
        <is>
          <t>X</t>
        </is>
      </c>
      <c r="CD9" s="1803" t="inlineStr">
        <is>
          <t>X</t>
        </is>
      </c>
      <c r="CE9" s="1803" t="inlineStr">
        <is>
          <t>X</t>
        </is>
      </c>
      <c r="CF9" s="1803" t="inlineStr">
        <is>
          <t>X</t>
        </is>
      </c>
      <c r="CG9" s="1793" t="inlineStr">
        <is>
          <t>.</t>
        </is>
      </c>
    </row>
    <row r="10" ht="15" customHeight="1">
      <c r="A10" s="1615" t="n"/>
      <c r="B10" s="1781">
        <f>SUM(D10:AK10)</f>
        <v/>
      </c>
      <c r="C10" s="1782">
        <f>Table1[[#This Row],[ctry]]</f>
        <v/>
      </c>
      <c r="D10" s="1610">
        <f>COUNTIFS(entryCtry[ctry],Table6[[#This Row],[ctry]],entryCtry[yr],D$2)</f>
        <v/>
      </c>
      <c r="E10" s="1610">
        <f>COUNTIFS(entryCtry[ctry],Table6[[#This Row],[ctry]],entryCtry[yr],E$2)</f>
        <v/>
      </c>
      <c r="F10" s="1610">
        <f>COUNTIFS(entryCtry[ctry],Table6[[#This Row],[ctry]],entryCtry[yr],F$2)</f>
        <v/>
      </c>
      <c r="G10" s="1610">
        <f>COUNTIFS(entryCtry[ctry],Table6[[#This Row],[ctry]],entryCtry[yr],G$2)</f>
        <v/>
      </c>
      <c r="H10" s="1610">
        <f>COUNTIFS(entryCtry[ctry],Table6[[#This Row],[ctry]],entryCtry[yr],H$2)</f>
        <v/>
      </c>
      <c r="I10" s="1610">
        <f>COUNTIFS(entryCtry[ctry],Table6[[#This Row],[ctry]],entryCtry[yr],I$2)</f>
        <v/>
      </c>
      <c r="J10" s="1610">
        <f>COUNTIFS(entryCtry[ctry],Table6[[#This Row],[ctry]],entryCtry[yr],J$2)</f>
        <v/>
      </c>
      <c r="K10" s="1610">
        <f>COUNTIFS(entryCtry[ctry],Table6[[#This Row],[ctry]],entryCtry[yr],K$2)</f>
        <v/>
      </c>
      <c r="L10" s="1610">
        <f>COUNTIFS(entryCtry[ctry],Table6[[#This Row],[ctry]],entryCtry[yr],L$2)</f>
        <v/>
      </c>
      <c r="M10" s="1610">
        <f>COUNTIFS(entryCtry[ctry],Table6[[#This Row],[ctry]],entryCtry[yr],M$2)</f>
        <v/>
      </c>
      <c r="N10" s="1610">
        <f>COUNTIFS(entryCtry[ctry],Table6[[#This Row],[ctry]],entryCtry[yr],N$2)</f>
        <v/>
      </c>
      <c r="O10" s="1610">
        <f>COUNTIFS(entryCtry[ctry],Table6[[#This Row],[ctry]],entryCtry[yr],O$2)</f>
        <v/>
      </c>
      <c r="P10" s="1610">
        <f>COUNTIFS(entryCtry[ctry],Table6[[#This Row],[ctry]],entryCtry[yr],P$2)</f>
        <v/>
      </c>
      <c r="Q10" s="1610">
        <f>COUNTIFS(entryCtry[ctry],Table6[[#This Row],[ctry]],entryCtry[yr],Q$2)</f>
        <v/>
      </c>
      <c r="R10" s="1610">
        <f>COUNTIFS(entryCtry[ctry],Table6[[#This Row],[ctry]],entryCtry[yr],R$2)</f>
        <v/>
      </c>
      <c r="S10" s="1610">
        <f>COUNTIFS(entryCtry[ctry],Table6[[#This Row],[ctry]],entryCtry[yr],S$2)</f>
        <v/>
      </c>
      <c r="T10" s="1610">
        <f>COUNTIFS(entryCtry[ctry],Table6[[#This Row],[ctry]],entryCtry[yr],T$2)</f>
        <v/>
      </c>
      <c r="U10" s="1610">
        <f>COUNTIFS(entryCtry[ctry],Table6[[#This Row],[ctry]],entryCtry[yr],U$2)</f>
        <v/>
      </c>
      <c r="V10" s="1610">
        <f>COUNTIFS(entryCtry[ctry],Table6[[#This Row],[ctry]],entryCtry[yr],V$2)</f>
        <v/>
      </c>
      <c r="W10" s="1610">
        <f>COUNTIFS(entryCtry[ctry],Table6[[#This Row],[ctry]],entryCtry[yr],W$2)</f>
        <v/>
      </c>
      <c r="X10" s="1610">
        <f>COUNTIFS(entryCtry[ctry],Table6[[#This Row],[ctry]],entryCtry[yr],X$2)</f>
        <v/>
      </c>
      <c r="Y10" s="1610">
        <f>COUNTIFS(entryCtry[ctry],Table6[[#This Row],[ctry]],entryCtry[yr],Y$2)</f>
        <v/>
      </c>
      <c r="Z10" s="1610">
        <f>COUNTIFS(entryCtry[ctry],Table6[[#This Row],[ctry]],entryCtry[yr],Z$2)</f>
        <v/>
      </c>
      <c r="AA10" s="1610">
        <f>COUNTIFS(entryCtry[ctry],Table6[[#This Row],[ctry]],entryCtry[yr],AA$2)</f>
        <v/>
      </c>
      <c r="AB10" s="1610">
        <f>COUNTIFS(entryCtry[ctry],Table6[[#This Row],[ctry]],entryCtry[yr],AB$2)</f>
        <v/>
      </c>
      <c r="AC10" s="1610">
        <f>COUNTIFS(entryCtry[ctry],Table6[[#This Row],[ctry]],entryCtry[yr],AC$2)</f>
        <v/>
      </c>
      <c r="AD10" s="1610">
        <f>COUNTIFS(entryCtry[ctry],Table6[[#This Row],[ctry]],entryCtry[yr],AD$2)</f>
        <v/>
      </c>
      <c r="AE10" s="1610">
        <f>COUNTIFS(entryCtry[ctry],Table6[[#This Row],[ctry]],entryCtry[yr],AE$2)</f>
        <v/>
      </c>
      <c r="AF10" s="1610">
        <f>COUNTIFS(entryCtry[ctry],Table6[[#This Row],[ctry]],entryCtry[yr],AF$2)</f>
        <v/>
      </c>
      <c r="AG10" s="1610">
        <f>COUNTIFS(entryCtry[ctry],Table6[[#This Row],[ctry]],entryCtry[yr],AG$2)</f>
        <v/>
      </c>
      <c r="AH10" s="1610">
        <f>COUNTIFS(entryCtry[ctry],Table6[[#This Row],[ctry]],entryCtry[yr],AH$2)</f>
        <v/>
      </c>
      <c r="AI10" s="1610">
        <f>COUNTIFS(entryCtry[ctry],Table6[[#This Row],[ctry]],entryCtry[yr],AI$2)</f>
        <v/>
      </c>
      <c r="AJ10" s="1610">
        <f>COUNTIFS(entryCtry[ctry],Table6[[#This Row],[ctry]],entryCtry[yr],AJ$2)</f>
        <v/>
      </c>
      <c r="AK10" s="1680" t="inlineStr">
        <is>
          <t>.</t>
        </is>
      </c>
      <c r="AL10" s="1611" t="inlineStr">
        <is>
          <t>.</t>
        </is>
      </c>
      <c r="AM10" s="1783">
        <f>'@Main'!B14</f>
        <v/>
      </c>
      <c r="AN10" s="1597">
        <f>_xlfn.XLOOKUP(Table1[[#This Row],['#]],mainW['#],mainW[ctry],"-")</f>
        <v/>
      </c>
      <c r="AO10" s="1649">
        <f>SUMIFS(raw[stay],raw[ctry],Table1[[#This Row],[ctry]],raw[mth],AO$2)</f>
        <v/>
      </c>
      <c r="AP10" s="1649">
        <f>SUMIFS(raw[stay],raw[ctry],Table1[[#This Row],[ctry]],raw[mth],AP$2)</f>
        <v/>
      </c>
      <c r="AQ10" s="1649">
        <f>SUMIFS(raw[stay],raw[ctry],Table1[[#This Row],[ctry]],raw[mth],AQ$2)</f>
        <v/>
      </c>
      <c r="AR10" s="1649">
        <f>SUMIFS(raw[stay],raw[ctry],Table1[[#This Row],[ctry]],raw[mth],AR$2)</f>
        <v/>
      </c>
      <c r="AS10" s="1649">
        <f>SUMIFS(raw[stay],raw[ctry],Table1[[#This Row],[ctry]],raw[mth],AS$2)</f>
        <v/>
      </c>
      <c r="AT10" s="1649">
        <f>SUMIFS(raw[stay],raw[ctry],Table1[[#This Row],[ctry]],raw[mth],AT$2)</f>
        <v/>
      </c>
      <c r="AU10" s="1649">
        <f>SUMIFS(raw[stay],raw[ctry],Table1[[#This Row],[ctry]],raw[mth],AU$2)</f>
        <v/>
      </c>
      <c r="AV10" s="1619">
        <f>SUMIFS(raw[stay],raw[ctry],Table1[[#This Row],[ctry]],raw[mth],AV$2)</f>
        <v/>
      </c>
      <c r="AW10" s="1649">
        <f>SUMIFS(raw[stay],raw[ctry],Table1[[#This Row],[ctry]],raw[mth],AW$2)</f>
        <v/>
      </c>
      <c r="AX10" s="1649">
        <f>SUMIFS(raw[stay],raw[ctry],Table1[[#This Row],[ctry]],raw[mth],AX$2)</f>
        <v/>
      </c>
      <c r="AY10" s="1649">
        <f>SUMIFS(raw[stay],raw[ctry],Table1[[#This Row],[ctry]],raw[mth],AY$2)</f>
        <v/>
      </c>
      <c r="AZ10" s="1649">
        <f>SUMIFS(raw[stay],raw[ctry],Table1[[#This Row],[ctry]],raw[mth],AZ$2)</f>
        <v/>
      </c>
      <c r="BA10" s="1597">
        <f>COUNTIF(AO10:AZ10,"&gt;0")</f>
        <v/>
      </c>
      <c r="BB10" s="1784">
        <f>INT(SUM(AO10:AZ10))</f>
        <v/>
      </c>
      <c r="BC10" s="1611" t="inlineStr">
        <is>
          <t>.</t>
        </is>
      </c>
      <c r="BD10" s="1680">
        <f>BD9</f>
        <v/>
      </c>
      <c r="BE10" s="1597">
        <f>BE9+1</f>
        <v/>
      </c>
      <c r="BF10" s="1785">
        <f>SUMIFS(raw[stay],raw[ctry],Table15[[#This Row],[ctry]],raw[yr],Table15[[#This Row],[yr]],raw[mth],BF$2)</f>
        <v/>
      </c>
      <c r="BG10" s="1785">
        <f>SUMIFS(raw[stay],raw[ctry],Table15[[#This Row],[ctry]],raw[yr],Table15[[#This Row],[yr]],raw[mth],BG$2)</f>
        <v/>
      </c>
      <c r="BH10" s="1785">
        <f>SUMIFS(raw[stay],raw[ctry],Table15[[#This Row],[ctry]],raw[yr],Table15[[#This Row],[yr]],raw[mth],BH$2)</f>
        <v/>
      </c>
      <c r="BI10" s="1785">
        <f>SUMIFS(raw[stay],raw[ctry],Table15[[#This Row],[ctry]],raw[yr],Table15[[#This Row],[yr]],raw[mth],BI$2)</f>
        <v/>
      </c>
      <c r="BJ10" s="1785">
        <f>SUMIFS(raw[stay],raw[ctry],Table15[[#This Row],[ctry]],raw[yr],Table15[[#This Row],[yr]],raw[mth],BJ$2)</f>
        <v/>
      </c>
      <c r="BK10" s="1785">
        <f>SUMIFS(raw[stay],raw[ctry],Table15[[#This Row],[ctry]],raw[yr],Table15[[#This Row],[yr]],raw[mth],BK$2)</f>
        <v/>
      </c>
      <c r="BL10" s="1785">
        <f>SUMIFS(raw[stay],raw[ctry],Table15[[#This Row],[ctry]],raw[yr],Table15[[#This Row],[yr]],raw[mth],BL$2)</f>
        <v/>
      </c>
      <c r="BM10" s="1785">
        <f>SUMIFS(raw[stay],raw[ctry],Table15[[#This Row],[ctry]],raw[yr],Table15[[#This Row],[yr]],raw[mth],BM$2)</f>
        <v/>
      </c>
      <c r="BN10" s="1785">
        <f>SUMIFS(raw[stay],raw[ctry],Table15[[#This Row],[ctry]],raw[yr],Table15[[#This Row],[yr]],raw[mth],BN$2)</f>
        <v/>
      </c>
      <c r="BO10" s="1785">
        <f>SUMIFS(raw[stay],raw[ctry],Table15[[#This Row],[ctry]],raw[yr],Table15[[#This Row],[yr]],raw[mth],BO$2)</f>
        <v/>
      </c>
      <c r="BP10" s="1785">
        <f>SUMIFS(raw[stay],raw[ctry],Table15[[#This Row],[ctry]],raw[yr],Table15[[#This Row],[yr]],raw[mth],BP$2)</f>
        <v/>
      </c>
      <c r="BQ10" s="1785">
        <f>SUMIFS(raw[stay],raw[ctry],Table15[[#This Row],[ctry]],raw[yr],Table15[[#This Row],[yr]],raw[mth],BQ$2)</f>
        <v/>
      </c>
      <c r="BR10" s="1597">
        <f>COUNTIF(BF10:BQ10,"&gt;0")</f>
        <v/>
      </c>
      <c r="BS10" s="1600">
        <f>INT(SUM(BF10:BQ10))</f>
        <v/>
      </c>
      <c r="BT10" s="1597" t="inlineStr">
        <is>
          <t>.</t>
        </is>
      </c>
      <c r="BU10" s="1636" t="inlineStr">
        <is>
          <t>USA</t>
        </is>
      </c>
      <c r="BV10" s="1603" t="n">
        <v>2</v>
      </c>
      <c r="BW10" s="1607" t="n">
        <v>37</v>
      </c>
      <c r="BX10" s="1611" t="inlineStr">
        <is>
          <t>.</t>
        </is>
      </c>
      <c r="BY10" s="1612" t="n"/>
      <c r="BZ10" s="1788">
        <f>BZ9+1</f>
        <v/>
      </c>
      <c r="CA10" s="1789" t="inlineStr">
        <is>
          <t>N</t>
        </is>
      </c>
      <c r="CB10" s="1802" t="inlineStr">
        <is>
          <t>MEXICO</t>
        </is>
      </c>
      <c r="CC10" s="1803" t="inlineStr">
        <is>
          <t>X</t>
        </is>
      </c>
      <c r="CD10" s="1803" t="inlineStr">
        <is>
          <t>X</t>
        </is>
      </c>
      <c r="CE10" s="1803" t="inlineStr">
        <is>
          <t>x</t>
        </is>
      </c>
      <c r="CF10" s="1803" t="n"/>
      <c r="CG10" s="1793" t="inlineStr">
        <is>
          <t>.</t>
        </is>
      </c>
    </row>
    <row r="11" ht="15" customHeight="1">
      <c r="A11" s="1596" t="n"/>
      <c r="B11" s="1794">
        <f>SUM(D11:AK11)</f>
        <v/>
      </c>
      <c r="C11" s="1795">
        <f>Table1[[#This Row],[ctry]]</f>
        <v/>
      </c>
      <c r="D11" s="1610">
        <f>COUNTIFS(entryCtry[ctry],Table6[[#This Row],[ctry]],entryCtry[yr],D$2)</f>
        <v/>
      </c>
      <c r="E11" s="1610">
        <f>COUNTIFS(entryCtry[ctry],Table6[[#This Row],[ctry]],entryCtry[yr],E$2)</f>
        <v/>
      </c>
      <c r="F11" s="1610">
        <f>COUNTIFS(entryCtry[ctry],Table6[[#This Row],[ctry]],entryCtry[yr],F$2)</f>
        <v/>
      </c>
      <c r="G11" s="1610">
        <f>COUNTIFS(entryCtry[ctry],Table6[[#This Row],[ctry]],entryCtry[yr],G$2)</f>
        <v/>
      </c>
      <c r="H11" s="1610">
        <f>COUNTIFS(entryCtry[ctry],Table6[[#This Row],[ctry]],entryCtry[yr],H$2)</f>
        <v/>
      </c>
      <c r="I11" s="1610">
        <f>COUNTIFS(entryCtry[ctry],Table6[[#This Row],[ctry]],entryCtry[yr],I$2)</f>
        <v/>
      </c>
      <c r="J11" s="1610">
        <f>COUNTIFS(entryCtry[ctry],Table6[[#This Row],[ctry]],entryCtry[yr],J$2)</f>
        <v/>
      </c>
      <c r="K11" s="1610">
        <f>COUNTIFS(entryCtry[ctry],Table6[[#This Row],[ctry]],entryCtry[yr],K$2)</f>
        <v/>
      </c>
      <c r="L11" s="1610">
        <f>COUNTIFS(entryCtry[ctry],Table6[[#This Row],[ctry]],entryCtry[yr],L$2)</f>
        <v/>
      </c>
      <c r="M11" s="1610">
        <f>COUNTIFS(entryCtry[ctry],Table6[[#This Row],[ctry]],entryCtry[yr],M$2)</f>
        <v/>
      </c>
      <c r="N11" s="1610">
        <f>COUNTIFS(entryCtry[ctry],Table6[[#This Row],[ctry]],entryCtry[yr],N$2)</f>
        <v/>
      </c>
      <c r="O11" s="1610">
        <f>COUNTIFS(entryCtry[ctry],Table6[[#This Row],[ctry]],entryCtry[yr],O$2)</f>
        <v/>
      </c>
      <c r="P11" s="1610">
        <f>COUNTIFS(entryCtry[ctry],Table6[[#This Row],[ctry]],entryCtry[yr],P$2)</f>
        <v/>
      </c>
      <c r="Q11" s="1610">
        <f>COUNTIFS(entryCtry[ctry],Table6[[#This Row],[ctry]],entryCtry[yr],Q$2)</f>
        <v/>
      </c>
      <c r="R11" s="1610">
        <f>COUNTIFS(entryCtry[ctry],Table6[[#This Row],[ctry]],entryCtry[yr],R$2)</f>
        <v/>
      </c>
      <c r="S11" s="1610">
        <f>COUNTIFS(entryCtry[ctry],Table6[[#This Row],[ctry]],entryCtry[yr],S$2)</f>
        <v/>
      </c>
      <c r="T11" s="1610">
        <f>COUNTIFS(entryCtry[ctry],Table6[[#This Row],[ctry]],entryCtry[yr],T$2)</f>
        <v/>
      </c>
      <c r="U11" s="1610">
        <f>COUNTIFS(entryCtry[ctry],Table6[[#This Row],[ctry]],entryCtry[yr],U$2)</f>
        <v/>
      </c>
      <c r="V11" s="1610">
        <f>COUNTIFS(entryCtry[ctry],Table6[[#This Row],[ctry]],entryCtry[yr],V$2)</f>
        <v/>
      </c>
      <c r="W11" s="1610">
        <f>COUNTIFS(entryCtry[ctry],Table6[[#This Row],[ctry]],entryCtry[yr],W$2)</f>
        <v/>
      </c>
      <c r="X11" s="1610">
        <f>COUNTIFS(entryCtry[ctry],Table6[[#This Row],[ctry]],entryCtry[yr],X$2)</f>
        <v/>
      </c>
      <c r="Y11" s="1610">
        <f>COUNTIFS(entryCtry[ctry],Table6[[#This Row],[ctry]],entryCtry[yr],Y$2)</f>
        <v/>
      </c>
      <c r="Z11" s="1610">
        <f>COUNTIFS(entryCtry[ctry],Table6[[#This Row],[ctry]],entryCtry[yr],Z$2)</f>
        <v/>
      </c>
      <c r="AA11" s="1610">
        <f>COUNTIFS(entryCtry[ctry],Table6[[#This Row],[ctry]],entryCtry[yr],AA$2)</f>
        <v/>
      </c>
      <c r="AB11" s="1610">
        <f>COUNTIFS(entryCtry[ctry],Table6[[#This Row],[ctry]],entryCtry[yr],AB$2)</f>
        <v/>
      </c>
      <c r="AC11" s="1610">
        <f>COUNTIFS(entryCtry[ctry],Table6[[#This Row],[ctry]],entryCtry[yr],AC$2)</f>
        <v/>
      </c>
      <c r="AD11" s="1610">
        <f>COUNTIFS(entryCtry[ctry],Table6[[#This Row],[ctry]],entryCtry[yr],AD$2)</f>
        <v/>
      </c>
      <c r="AE11" s="1610">
        <f>COUNTIFS(entryCtry[ctry],Table6[[#This Row],[ctry]],entryCtry[yr],AE$2)</f>
        <v/>
      </c>
      <c r="AF11" s="1610">
        <f>COUNTIFS(entryCtry[ctry],Table6[[#This Row],[ctry]],entryCtry[yr],AF$2)</f>
        <v/>
      </c>
      <c r="AG11" s="1610">
        <f>COUNTIFS(entryCtry[ctry],Table6[[#This Row],[ctry]],entryCtry[yr],AG$2)</f>
        <v/>
      </c>
      <c r="AH11" s="1610">
        <f>COUNTIFS(entryCtry[ctry],Table6[[#This Row],[ctry]],entryCtry[yr],AH$2)</f>
        <v/>
      </c>
      <c r="AI11" s="1610">
        <f>COUNTIFS(entryCtry[ctry],Table6[[#This Row],[ctry]],entryCtry[yr],AI$2)</f>
        <v/>
      </c>
      <c r="AJ11" s="1610">
        <f>COUNTIFS(entryCtry[ctry],Table6[[#This Row],[ctry]],entryCtry[yr],AJ$2)</f>
        <v/>
      </c>
      <c r="AK11" s="1680" t="inlineStr">
        <is>
          <t>.</t>
        </is>
      </c>
      <c r="AL11" s="1611" t="inlineStr">
        <is>
          <t>.</t>
        </is>
      </c>
      <c r="AM11" s="1783">
        <f>'@Main'!B15</f>
        <v/>
      </c>
      <c r="AN11" s="1597">
        <f>_xlfn.XLOOKUP(Table1[[#This Row],['#]],mainW['#],mainW[ctry],"-")</f>
        <v/>
      </c>
      <c r="AO11" s="1649">
        <f>SUMIFS(raw[stay],raw[ctry],Table1[[#This Row],[ctry]],raw[mth],AO$2)</f>
        <v/>
      </c>
      <c r="AP11" s="1649">
        <f>SUMIFS(raw[stay],raw[ctry],Table1[[#This Row],[ctry]],raw[mth],AP$2)</f>
        <v/>
      </c>
      <c r="AQ11" s="1649">
        <f>SUMIFS(raw[stay],raw[ctry],Table1[[#This Row],[ctry]],raw[mth],AQ$2)</f>
        <v/>
      </c>
      <c r="AR11" s="1649">
        <f>SUMIFS(raw[stay],raw[ctry],Table1[[#This Row],[ctry]],raw[mth],AR$2)</f>
        <v/>
      </c>
      <c r="AS11" s="1649">
        <f>SUMIFS(raw[stay],raw[ctry],Table1[[#This Row],[ctry]],raw[mth],AS$2)</f>
        <v/>
      </c>
      <c r="AT11" s="1649">
        <f>SUMIFS(raw[stay],raw[ctry],Table1[[#This Row],[ctry]],raw[mth],AT$2)</f>
        <v/>
      </c>
      <c r="AU11" s="1649">
        <f>SUMIFS(raw[stay],raw[ctry],Table1[[#This Row],[ctry]],raw[mth],AU$2)</f>
        <v/>
      </c>
      <c r="AV11" s="1649">
        <f>SUMIFS(raw[stay],raw[ctry],Table1[[#This Row],[ctry]],raw[mth],AV$2)</f>
        <v/>
      </c>
      <c r="AW11" s="1619">
        <f>SUMIFS(raw[stay],raw[ctry],Table1[[#This Row],[ctry]],raw[mth],AW$2)</f>
        <v/>
      </c>
      <c r="AX11" s="1649">
        <f>SUMIFS(raw[stay],raw[ctry],Table1[[#This Row],[ctry]],raw[mth],AX$2)</f>
        <v/>
      </c>
      <c r="AY11" s="1649">
        <f>SUMIFS(raw[stay],raw[ctry],Table1[[#This Row],[ctry]],raw[mth],AY$2)</f>
        <v/>
      </c>
      <c r="AZ11" s="1649">
        <f>SUMIFS(raw[stay],raw[ctry],Table1[[#This Row],[ctry]],raw[mth],AZ$2)</f>
        <v/>
      </c>
      <c r="BA11" s="1597">
        <f>COUNTIF(AO11:AZ11,"&gt;0")</f>
        <v/>
      </c>
      <c r="BB11" s="1784">
        <f>INT(SUM(AO11:AZ11))</f>
        <v/>
      </c>
      <c r="BC11" s="1611" t="inlineStr">
        <is>
          <t>.</t>
        </is>
      </c>
      <c r="BD11" s="1680">
        <f>BD10</f>
        <v/>
      </c>
      <c r="BE11" s="1597">
        <f>BE10+1</f>
        <v/>
      </c>
      <c r="BF11" s="1785">
        <f>SUMIFS(raw[stay],raw[ctry],Table15[[#This Row],[ctry]],raw[yr],Table15[[#This Row],[yr]],raw[mth],BF$2)</f>
        <v/>
      </c>
      <c r="BG11" s="1785">
        <f>SUMIFS(raw[stay],raw[ctry],Table15[[#This Row],[ctry]],raw[yr],Table15[[#This Row],[yr]],raw[mth],BG$2)</f>
        <v/>
      </c>
      <c r="BH11" s="1785">
        <f>SUMIFS(raw[stay],raw[ctry],Table15[[#This Row],[ctry]],raw[yr],Table15[[#This Row],[yr]],raw[mth],BH$2)</f>
        <v/>
      </c>
      <c r="BI11" s="1785">
        <f>SUMIFS(raw[stay],raw[ctry],Table15[[#This Row],[ctry]],raw[yr],Table15[[#This Row],[yr]],raw[mth],BI$2)</f>
        <v/>
      </c>
      <c r="BJ11" s="1785">
        <f>SUMIFS(raw[stay],raw[ctry],Table15[[#This Row],[ctry]],raw[yr],Table15[[#This Row],[yr]],raw[mth],BJ$2)</f>
        <v/>
      </c>
      <c r="BK11" s="1785">
        <f>SUMIFS(raw[stay],raw[ctry],Table15[[#This Row],[ctry]],raw[yr],Table15[[#This Row],[yr]],raw[mth],BK$2)</f>
        <v/>
      </c>
      <c r="BL11" s="1785">
        <f>SUMIFS(raw[stay],raw[ctry],Table15[[#This Row],[ctry]],raw[yr],Table15[[#This Row],[yr]],raw[mth],BL$2)</f>
        <v/>
      </c>
      <c r="BM11" s="1785">
        <f>SUMIFS(raw[stay],raw[ctry],Table15[[#This Row],[ctry]],raw[yr],Table15[[#This Row],[yr]],raw[mth],BM$2)</f>
        <v/>
      </c>
      <c r="BN11" s="1785">
        <f>SUMIFS(raw[stay],raw[ctry],Table15[[#This Row],[ctry]],raw[yr],Table15[[#This Row],[yr]],raw[mth],BN$2)</f>
        <v/>
      </c>
      <c r="BO11" s="1785">
        <f>SUMIFS(raw[stay],raw[ctry],Table15[[#This Row],[ctry]],raw[yr],Table15[[#This Row],[yr]],raw[mth],BO$2)</f>
        <v/>
      </c>
      <c r="BP11" s="1785">
        <f>SUMIFS(raw[stay],raw[ctry],Table15[[#This Row],[ctry]],raw[yr],Table15[[#This Row],[yr]],raw[mth],BP$2)</f>
        <v/>
      </c>
      <c r="BQ11" s="1785">
        <f>SUMIFS(raw[stay],raw[ctry],Table15[[#This Row],[ctry]],raw[yr],Table15[[#This Row],[yr]],raw[mth],BQ$2)</f>
        <v/>
      </c>
      <c r="BR11" s="1597">
        <f>COUNTIF(BF11:BQ11,"&gt;0")</f>
        <v/>
      </c>
      <c r="BS11" s="1600">
        <f>INT(SUM(BF11:BQ11))</f>
        <v/>
      </c>
      <c r="BT11" s="1597" t="inlineStr">
        <is>
          <t>.</t>
        </is>
      </c>
      <c r="BU11" s="1636" t="inlineStr">
        <is>
          <t>ITA</t>
        </is>
      </c>
      <c r="BV11" s="1603" t="n">
        <v>2</v>
      </c>
      <c r="BW11" s="1607" t="n">
        <v>9</v>
      </c>
      <c r="BX11" s="1611" t="inlineStr">
        <is>
          <t>.</t>
        </is>
      </c>
      <c r="BY11" s="1612" t="n"/>
      <c r="BZ11" s="1788">
        <f>BZ10+1</f>
        <v/>
      </c>
      <c r="CA11" s="1789" t="inlineStr">
        <is>
          <t>N</t>
        </is>
      </c>
      <c r="CB11" s="1802" t="inlineStr">
        <is>
          <t>USA</t>
        </is>
      </c>
      <c r="CC11" s="1803" t="inlineStr">
        <is>
          <t>X</t>
        </is>
      </c>
      <c r="CD11" s="1803" t="inlineStr">
        <is>
          <t>X</t>
        </is>
      </c>
      <c r="CE11" s="1803" t="inlineStr">
        <is>
          <t>X</t>
        </is>
      </c>
      <c r="CF11" s="1803" t="inlineStr">
        <is>
          <t>X</t>
        </is>
      </c>
      <c r="CG11" s="1793" t="inlineStr">
        <is>
          <t>.</t>
        </is>
      </c>
    </row>
    <row r="12" ht="15" customHeight="1">
      <c r="A12" s="1615" t="n"/>
      <c r="B12" s="1781">
        <f>SUM(D12:AK12)</f>
        <v/>
      </c>
      <c r="C12" s="1782">
        <f>Table1[[#This Row],[ctry]]</f>
        <v/>
      </c>
      <c r="D12" s="1610">
        <f>COUNTIFS(entryCtry[ctry],Table6[[#This Row],[ctry]],entryCtry[yr],D$2)</f>
        <v/>
      </c>
      <c r="E12" s="1610">
        <f>COUNTIFS(entryCtry[ctry],Table6[[#This Row],[ctry]],entryCtry[yr],E$2)</f>
        <v/>
      </c>
      <c r="F12" s="1610">
        <f>COUNTIFS(entryCtry[ctry],Table6[[#This Row],[ctry]],entryCtry[yr],F$2)</f>
        <v/>
      </c>
      <c r="G12" s="1610">
        <f>COUNTIFS(entryCtry[ctry],Table6[[#This Row],[ctry]],entryCtry[yr],G$2)</f>
        <v/>
      </c>
      <c r="H12" s="1610">
        <f>COUNTIFS(entryCtry[ctry],Table6[[#This Row],[ctry]],entryCtry[yr],H$2)</f>
        <v/>
      </c>
      <c r="I12" s="1610">
        <f>COUNTIFS(entryCtry[ctry],Table6[[#This Row],[ctry]],entryCtry[yr],I$2)</f>
        <v/>
      </c>
      <c r="J12" s="1610">
        <f>COUNTIFS(entryCtry[ctry],Table6[[#This Row],[ctry]],entryCtry[yr],J$2)</f>
        <v/>
      </c>
      <c r="K12" s="1610">
        <f>COUNTIFS(entryCtry[ctry],Table6[[#This Row],[ctry]],entryCtry[yr],K$2)</f>
        <v/>
      </c>
      <c r="L12" s="1610">
        <f>COUNTIFS(entryCtry[ctry],Table6[[#This Row],[ctry]],entryCtry[yr],L$2)</f>
        <v/>
      </c>
      <c r="M12" s="1610">
        <f>COUNTIFS(entryCtry[ctry],Table6[[#This Row],[ctry]],entryCtry[yr],M$2)</f>
        <v/>
      </c>
      <c r="N12" s="1610">
        <f>COUNTIFS(entryCtry[ctry],Table6[[#This Row],[ctry]],entryCtry[yr],N$2)</f>
        <v/>
      </c>
      <c r="O12" s="1610">
        <f>COUNTIFS(entryCtry[ctry],Table6[[#This Row],[ctry]],entryCtry[yr],O$2)</f>
        <v/>
      </c>
      <c r="P12" s="1610">
        <f>COUNTIFS(entryCtry[ctry],Table6[[#This Row],[ctry]],entryCtry[yr],P$2)</f>
        <v/>
      </c>
      <c r="Q12" s="1610">
        <f>COUNTIFS(entryCtry[ctry],Table6[[#This Row],[ctry]],entryCtry[yr],Q$2)</f>
        <v/>
      </c>
      <c r="R12" s="1610">
        <f>COUNTIFS(entryCtry[ctry],Table6[[#This Row],[ctry]],entryCtry[yr],R$2)</f>
        <v/>
      </c>
      <c r="S12" s="1610">
        <f>COUNTIFS(entryCtry[ctry],Table6[[#This Row],[ctry]],entryCtry[yr],S$2)</f>
        <v/>
      </c>
      <c r="T12" s="1610">
        <f>COUNTIFS(entryCtry[ctry],Table6[[#This Row],[ctry]],entryCtry[yr],T$2)</f>
        <v/>
      </c>
      <c r="U12" s="1610">
        <f>COUNTIFS(entryCtry[ctry],Table6[[#This Row],[ctry]],entryCtry[yr],U$2)</f>
        <v/>
      </c>
      <c r="V12" s="1610">
        <f>COUNTIFS(entryCtry[ctry],Table6[[#This Row],[ctry]],entryCtry[yr],V$2)</f>
        <v/>
      </c>
      <c r="W12" s="1610">
        <f>COUNTIFS(entryCtry[ctry],Table6[[#This Row],[ctry]],entryCtry[yr],W$2)</f>
        <v/>
      </c>
      <c r="X12" s="1610">
        <f>COUNTIFS(entryCtry[ctry],Table6[[#This Row],[ctry]],entryCtry[yr],X$2)</f>
        <v/>
      </c>
      <c r="Y12" s="1610">
        <f>COUNTIFS(entryCtry[ctry],Table6[[#This Row],[ctry]],entryCtry[yr],Y$2)</f>
        <v/>
      </c>
      <c r="Z12" s="1610">
        <f>COUNTIFS(entryCtry[ctry],Table6[[#This Row],[ctry]],entryCtry[yr],Z$2)</f>
        <v/>
      </c>
      <c r="AA12" s="1610">
        <f>COUNTIFS(entryCtry[ctry],Table6[[#This Row],[ctry]],entryCtry[yr],AA$2)</f>
        <v/>
      </c>
      <c r="AB12" s="1610">
        <f>COUNTIFS(entryCtry[ctry],Table6[[#This Row],[ctry]],entryCtry[yr],AB$2)</f>
        <v/>
      </c>
      <c r="AC12" s="1610">
        <f>COUNTIFS(entryCtry[ctry],Table6[[#This Row],[ctry]],entryCtry[yr],AC$2)</f>
        <v/>
      </c>
      <c r="AD12" s="1610">
        <f>COUNTIFS(entryCtry[ctry],Table6[[#This Row],[ctry]],entryCtry[yr],AD$2)</f>
        <v/>
      </c>
      <c r="AE12" s="1610">
        <f>COUNTIFS(entryCtry[ctry],Table6[[#This Row],[ctry]],entryCtry[yr],AE$2)</f>
        <v/>
      </c>
      <c r="AF12" s="1610">
        <f>COUNTIFS(entryCtry[ctry],Table6[[#This Row],[ctry]],entryCtry[yr],AF$2)</f>
        <v/>
      </c>
      <c r="AG12" s="1610">
        <f>COUNTIFS(entryCtry[ctry],Table6[[#This Row],[ctry]],entryCtry[yr],AG$2)</f>
        <v/>
      </c>
      <c r="AH12" s="1610">
        <f>COUNTIFS(entryCtry[ctry],Table6[[#This Row],[ctry]],entryCtry[yr],AH$2)</f>
        <v/>
      </c>
      <c r="AI12" s="1610">
        <f>COUNTIFS(entryCtry[ctry],Table6[[#This Row],[ctry]],entryCtry[yr],AI$2)</f>
        <v/>
      </c>
      <c r="AJ12" s="1610">
        <f>COUNTIFS(entryCtry[ctry],Table6[[#This Row],[ctry]],entryCtry[yr],AJ$2)</f>
        <v/>
      </c>
      <c r="AK12" s="1680" t="inlineStr">
        <is>
          <t>.</t>
        </is>
      </c>
      <c r="AL12" s="1611" t="inlineStr">
        <is>
          <t>.</t>
        </is>
      </c>
      <c r="AM12" s="1783">
        <f>'@Main'!B16</f>
        <v/>
      </c>
      <c r="AN12" s="1597">
        <f>_xlfn.XLOOKUP(Table1[[#This Row],['#]],mainW['#],mainW[ctry],"-")</f>
        <v/>
      </c>
      <c r="AO12" s="1649">
        <f>SUMIFS(raw[stay],raw[ctry],Table1[[#This Row],[ctry]],raw[mth],AO$2)</f>
        <v/>
      </c>
      <c r="AP12" s="1649">
        <f>SUMIFS(raw[stay],raw[ctry],Table1[[#This Row],[ctry]],raw[mth],AP$2)</f>
        <v/>
      </c>
      <c r="AQ12" s="1649">
        <f>SUMIFS(raw[stay],raw[ctry],Table1[[#This Row],[ctry]],raw[mth],AQ$2)</f>
        <v/>
      </c>
      <c r="AR12" s="1649">
        <f>SUMIFS(raw[stay],raw[ctry],Table1[[#This Row],[ctry]],raw[mth],AR$2)</f>
        <v/>
      </c>
      <c r="AS12" s="1649">
        <f>SUMIFS(raw[stay],raw[ctry],Table1[[#This Row],[ctry]],raw[mth],AS$2)</f>
        <v/>
      </c>
      <c r="AT12" s="1619">
        <f>SUMIFS(raw[stay],raw[ctry],Table1[[#This Row],[ctry]],raw[mth],AT$2)</f>
        <v/>
      </c>
      <c r="AU12" s="1649">
        <f>SUMIFS(raw[stay],raw[ctry],Table1[[#This Row],[ctry]],raw[mth],AU$2)</f>
        <v/>
      </c>
      <c r="AV12" s="1649">
        <f>SUMIFS(raw[stay],raw[ctry],Table1[[#This Row],[ctry]],raw[mth],AV$2)</f>
        <v/>
      </c>
      <c r="AW12" s="1649">
        <f>SUMIFS(raw[stay],raw[ctry],Table1[[#This Row],[ctry]],raw[mth],AW$2)</f>
        <v/>
      </c>
      <c r="AX12" s="1649">
        <f>SUMIFS(raw[stay],raw[ctry],Table1[[#This Row],[ctry]],raw[mth],AX$2)</f>
        <v/>
      </c>
      <c r="AY12" s="1649">
        <f>SUMIFS(raw[stay],raw[ctry],Table1[[#This Row],[ctry]],raw[mth],AY$2)</f>
        <v/>
      </c>
      <c r="AZ12" s="1649">
        <f>SUMIFS(raw[stay],raw[ctry],Table1[[#This Row],[ctry]],raw[mth],AZ$2)</f>
        <v/>
      </c>
      <c r="BA12" s="1597">
        <f>COUNTIF(AO12:AZ12,"&gt;0")</f>
        <v/>
      </c>
      <c r="BB12" s="1784">
        <f>INT(SUM(AO12:AZ12))</f>
        <v/>
      </c>
      <c r="BC12" s="1611" t="inlineStr">
        <is>
          <t>.</t>
        </is>
      </c>
      <c r="BD12" s="1680">
        <f>BD11</f>
        <v/>
      </c>
      <c r="BE12" s="1598">
        <f>BE11+1</f>
        <v/>
      </c>
      <c r="BF12" s="1785">
        <f>SUMIFS(raw[stay],raw[ctry],Table15[[#This Row],[ctry]],raw[yr],Table15[[#This Row],[yr]],raw[mth],BF$2)</f>
        <v/>
      </c>
      <c r="BG12" s="1785">
        <f>SUMIFS(raw[stay],raw[ctry],Table15[[#This Row],[ctry]],raw[yr],Table15[[#This Row],[yr]],raw[mth],BG$2)</f>
        <v/>
      </c>
      <c r="BH12" s="1785">
        <f>SUMIFS(raw[stay],raw[ctry],Table15[[#This Row],[ctry]],raw[yr],Table15[[#This Row],[yr]],raw[mth],BH$2)</f>
        <v/>
      </c>
      <c r="BI12" s="1785">
        <f>SUMIFS(raw[stay],raw[ctry],Table15[[#This Row],[ctry]],raw[yr],Table15[[#This Row],[yr]],raw[mth],BI$2)</f>
        <v/>
      </c>
      <c r="BJ12" s="1785">
        <f>SUMIFS(raw[stay],raw[ctry],Table15[[#This Row],[ctry]],raw[yr],Table15[[#This Row],[yr]],raw[mth],BJ$2)</f>
        <v/>
      </c>
      <c r="BK12" s="1785">
        <f>SUMIFS(raw[stay],raw[ctry],Table15[[#This Row],[ctry]],raw[yr],Table15[[#This Row],[yr]],raw[mth],BK$2)</f>
        <v/>
      </c>
      <c r="BL12" s="1785">
        <f>SUMIFS(raw[stay],raw[ctry],Table15[[#This Row],[ctry]],raw[yr],Table15[[#This Row],[yr]],raw[mth],BL$2)</f>
        <v/>
      </c>
      <c r="BM12" s="1785">
        <f>SUMIFS(raw[stay],raw[ctry],Table15[[#This Row],[ctry]],raw[yr],Table15[[#This Row],[yr]],raw[mth],BM$2)</f>
        <v/>
      </c>
      <c r="BN12" s="1785">
        <f>SUMIFS(raw[stay],raw[ctry],Table15[[#This Row],[ctry]],raw[yr],Table15[[#This Row],[yr]],raw[mth],BN$2)</f>
        <v/>
      </c>
      <c r="BO12" s="1785">
        <f>SUMIFS(raw[stay],raw[ctry],Table15[[#This Row],[ctry]],raw[yr],Table15[[#This Row],[yr]],raw[mth],BO$2)</f>
        <v/>
      </c>
      <c r="BP12" s="1785">
        <f>SUMIFS(raw[stay],raw[ctry],Table15[[#This Row],[ctry]],raw[yr],Table15[[#This Row],[yr]],raw[mth],BP$2)</f>
        <v/>
      </c>
      <c r="BQ12" s="1785">
        <f>SUMIFS(raw[stay],raw[ctry],Table15[[#This Row],[ctry]],raw[yr],Table15[[#This Row],[yr]],raw[mth],BQ$2)</f>
        <v/>
      </c>
      <c r="BR12" s="1597">
        <f>COUNTIF(BF12:BQ12,"&gt;0")</f>
        <v/>
      </c>
      <c r="BS12" s="1600">
        <f>INT(SUM(BF12:BQ12))</f>
        <v/>
      </c>
      <c r="BT12" s="1597" t="inlineStr">
        <is>
          <t>.</t>
        </is>
      </c>
      <c r="BU12" s="1636" t="inlineStr">
        <is>
          <t>DEU</t>
        </is>
      </c>
      <c r="BV12" s="1603" t="n">
        <v>0</v>
      </c>
      <c r="BW12" s="1603" t="n">
        <v>10</v>
      </c>
      <c r="BX12" s="1611" t="inlineStr">
        <is>
          <t>.</t>
        </is>
      </c>
      <c r="BY12" s="1612" t="n"/>
      <c r="BZ12" s="1788">
        <f>BZ11+1</f>
        <v/>
      </c>
      <c r="CA12" s="1789" t="inlineStr">
        <is>
          <t>S</t>
        </is>
      </c>
      <c r="CB12" s="1804" t="inlineStr">
        <is>
          <t>ARGENTINA</t>
        </is>
      </c>
      <c r="CC12" s="1790" t="inlineStr">
        <is>
          <t>X</t>
        </is>
      </c>
      <c r="CD12" s="1790" t="inlineStr">
        <is>
          <t>X</t>
        </is>
      </c>
      <c r="CE12" s="1790" t="inlineStr">
        <is>
          <t>X</t>
        </is>
      </c>
      <c r="CF12" s="1790" t="n"/>
      <c r="CG12" s="1793" t="inlineStr">
        <is>
          <t>.</t>
        </is>
      </c>
    </row>
    <row r="13" ht="15" customHeight="1">
      <c r="A13" s="1596" t="n"/>
      <c r="B13" s="1794">
        <f>SUM(D13:AK13)</f>
        <v/>
      </c>
      <c r="C13" s="1795">
        <f>Table1[[#This Row],[ctry]]</f>
        <v/>
      </c>
      <c r="D13" s="1610">
        <f>COUNTIFS(entryCtry[ctry],Table6[[#This Row],[ctry]],entryCtry[yr],D$2)</f>
        <v/>
      </c>
      <c r="E13" s="1610">
        <f>COUNTIFS(entryCtry[ctry],Table6[[#This Row],[ctry]],entryCtry[yr],E$2)</f>
        <v/>
      </c>
      <c r="F13" s="1610">
        <f>COUNTIFS(entryCtry[ctry],Table6[[#This Row],[ctry]],entryCtry[yr],F$2)</f>
        <v/>
      </c>
      <c r="G13" s="1610">
        <f>COUNTIFS(entryCtry[ctry],Table6[[#This Row],[ctry]],entryCtry[yr],G$2)</f>
        <v/>
      </c>
      <c r="H13" s="1610">
        <f>COUNTIFS(entryCtry[ctry],Table6[[#This Row],[ctry]],entryCtry[yr],H$2)</f>
        <v/>
      </c>
      <c r="I13" s="1610">
        <f>COUNTIFS(entryCtry[ctry],Table6[[#This Row],[ctry]],entryCtry[yr],I$2)</f>
        <v/>
      </c>
      <c r="J13" s="1610">
        <f>COUNTIFS(entryCtry[ctry],Table6[[#This Row],[ctry]],entryCtry[yr],J$2)</f>
        <v/>
      </c>
      <c r="K13" s="1610">
        <f>COUNTIFS(entryCtry[ctry],Table6[[#This Row],[ctry]],entryCtry[yr],K$2)</f>
        <v/>
      </c>
      <c r="L13" s="1610">
        <f>COUNTIFS(entryCtry[ctry],Table6[[#This Row],[ctry]],entryCtry[yr],L$2)</f>
        <v/>
      </c>
      <c r="M13" s="1610">
        <f>COUNTIFS(entryCtry[ctry],Table6[[#This Row],[ctry]],entryCtry[yr],M$2)</f>
        <v/>
      </c>
      <c r="N13" s="1610">
        <f>COUNTIFS(entryCtry[ctry],Table6[[#This Row],[ctry]],entryCtry[yr],N$2)</f>
        <v/>
      </c>
      <c r="O13" s="1610">
        <f>COUNTIFS(entryCtry[ctry],Table6[[#This Row],[ctry]],entryCtry[yr],O$2)</f>
        <v/>
      </c>
      <c r="P13" s="1610">
        <f>COUNTIFS(entryCtry[ctry],Table6[[#This Row],[ctry]],entryCtry[yr],P$2)</f>
        <v/>
      </c>
      <c r="Q13" s="1610">
        <f>COUNTIFS(entryCtry[ctry],Table6[[#This Row],[ctry]],entryCtry[yr],Q$2)</f>
        <v/>
      </c>
      <c r="R13" s="1610">
        <f>COUNTIFS(entryCtry[ctry],Table6[[#This Row],[ctry]],entryCtry[yr],R$2)</f>
        <v/>
      </c>
      <c r="S13" s="1610">
        <f>COUNTIFS(entryCtry[ctry],Table6[[#This Row],[ctry]],entryCtry[yr],S$2)</f>
        <v/>
      </c>
      <c r="T13" s="1610">
        <f>COUNTIFS(entryCtry[ctry],Table6[[#This Row],[ctry]],entryCtry[yr],T$2)</f>
        <v/>
      </c>
      <c r="U13" s="1610">
        <f>COUNTIFS(entryCtry[ctry],Table6[[#This Row],[ctry]],entryCtry[yr],U$2)</f>
        <v/>
      </c>
      <c r="V13" s="1610">
        <f>COUNTIFS(entryCtry[ctry],Table6[[#This Row],[ctry]],entryCtry[yr],V$2)</f>
        <v/>
      </c>
      <c r="W13" s="1610">
        <f>COUNTIFS(entryCtry[ctry],Table6[[#This Row],[ctry]],entryCtry[yr],W$2)</f>
        <v/>
      </c>
      <c r="X13" s="1610">
        <f>COUNTIFS(entryCtry[ctry],Table6[[#This Row],[ctry]],entryCtry[yr],X$2)</f>
        <v/>
      </c>
      <c r="Y13" s="1610">
        <f>COUNTIFS(entryCtry[ctry],Table6[[#This Row],[ctry]],entryCtry[yr],Y$2)</f>
        <v/>
      </c>
      <c r="Z13" s="1610">
        <f>COUNTIFS(entryCtry[ctry],Table6[[#This Row],[ctry]],entryCtry[yr],Z$2)</f>
        <v/>
      </c>
      <c r="AA13" s="1610">
        <f>COUNTIFS(entryCtry[ctry],Table6[[#This Row],[ctry]],entryCtry[yr],AA$2)</f>
        <v/>
      </c>
      <c r="AB13" s="1610">
        <f>COUNTIFS(entryCtry[ctry],Table6[[#This Row],[ctry]],entryCtry[yr],AB$2)</f>
        <v/>
      </c>
      <c r="AC13" s="1610">
        <f>COUNTIFS(entryCtry[ctry],Table6[[#This Row],[ctry]],entryCtry[yr],AC$2)</f>
        <v/>
      </c>
      <c r="AD13" s="1610">
        <f>COUNTIFS(entryCtry[ctry],Table6[[#This Row],[ctry]],entryCtry[yr],AD$2)</f>
        <v/>
      </c>
      <c r="AE13" s="1610">
        <f>COUNTIFS(entryCtry[ctry],Table6[[#This Row],[ctry]],entryCtry[yr],AE$2)</f>
        <v/>
      </c>
      <c r="AF13" s="1610">
        <f>COUNTIFS(entryCtry[ctry],Table6[[#This Row],[ctry]],entryCtry[yr],AF$2)</f>
        <v/>
      </c>
      <c r="AG13" s="1610">
        <f>COUNTIFS(entryCtry[ctry],Table6[[#This Row],[ctry]],entryCtry[yr],AG$2)</f>
        <v/>
      </c>
      <c r="AH13" s="1610">
        <f>COUNTIFS(entryCtry[ctry],Table6[[#This Row],[ctry]],entryCtry[yr],AH$2)</f>
        <v/>
      </c>
      <c r="AI13" s="1610">
        <f>COUNTIFS(entryCtry[ctry],Table6[[#This Row],[ctry]],entryCtry[yr],AI$2)</f>
        <v/>
      </c>
      <c r="AJ13" s="1610">
        <f>COUNTIFS(entryCtry[ctry],Table6[[#This Row],[ctry]],entryCtry[yr],AJ$2)</f>
        <v/>
      </c>
      <c r="AK13" s="1680" t="inlineStr">
        <is>
          <t>.</t>
        </is>
      </c>
      <c r="AL13" s="1611" t="inlineStr">
        <is>
          <t>.</t>
        </is>
      </c>
      <c r="AM13" s="1783">
        <f>'@Main'!B17</f>
        <v/>
      </c>
      <c r="AN13" s="1597">
        <f>_xlfn.XLOOKUP(Table1[[#This Row],['#]],mainW['#],mainW[ctry],"-")</f>
        <v/>
      </c>
      <c r="AO13" s="1649">
        <f>SUMIFS(raw[stay],raw[ctry],Table1[[#This Row],[ctry]],raw[mth],AO$2)</f>
        <v/>
      </c>
      <c r="AP13" s="1649">
        <f>SUMIFS(raw[stay],raw[ctry],Table1[[#This Row],[ctry]],raw[mth],AP$2)</f>
        <v/>
      </c>
      <c r="AQ13" s="1649">
        <f>SUMIFS(raw[stay],raw[ctry],Table1[[#This Row],[ctry]],raw[mth],AQ$2)</f>
        <v/>
      </c>
      <c r="AR13" s="1649">
        <f>SUMIFS(raw[stay],raw[ctry],Table1[[#This Row],[ctry]],raw[mth],AR$2)</f>
        <v/>
      </c>
      <c r="AS13" s="1649">
        <f>SUMIFS(raw[stay],raw[ctry],Table1[[#This Row],[ctry]],raw[mth],AS$2)</f>
        <v/>
      </c>
      <c r="AT13" s="1649">
        <f>SUMIFS(raw[stay],raw[ctry],Table1[[#This Row],[ctry]],raw[mth],AT$2)</f>
        <v/>
      </c>
      <c r="AU13" s="1619">
        <f>SUMIFS(raw[stay],raw[ctry],Table1[[#This Row],[ctry]],raw[mth],AU$2)</f>
        <v/>
      </c>
      <c r="AV13" s="1649">
        <f>SUMIFS(raw[stay],raw[ctry],Table1[[#This Row],[ctry]],raw[mth],AV$2)</f>
        <v/>
      </c>
      <c r="AW13" s="1649">
        <f>SUMIFS(raw[stay],raw[ctry],Table1[[#This Row],[ctry]],raw[mth],AW$2)</f>
        <v/>
      </c>
      <c r="AX13" s="1649">
        <f>SUMIFS(raw[stay],raw[ctry],Table1[[#This Row],[ctry]],raw[mth],AX$2)</f>
        <v/>
      </c>
      <c r="AY13" s="1649">
        <f>SUMIFS(raw[stay],raw[ctry],Table1[[#This Row],[ctry]],raw[mth],AY$2)</f>
        <v/>
      </c>
      <c r="AZ13" s="1649">
        <f>SUMIFS(raw[stay],raw[ctry],Table1[[#This Row],[ctry]],raw[mth],AZ$2)</f>
        <v/>
      </c>
      <c r="BA13" s="1597">
        <f>COUNTIF(AO13:AZ13,"&gt;0")</f>
        <v/>
      </c>
      <c r="BB13" s="1784">
        <f>INT(SUM(AO13:AZ13))</f>
        <v/>
      </c>
      <c r="BC13" s="1611" t="inlineStr">
        <is>
          <t>.</t>
        </is>
      </c>
      <c r="BD13" s="1680">
        <f>BD12</f>
        <v/>
      </c>
      <c r="BE13" s="1598" t="n">
        <v>2003</v>
      </c>
      <c r="BF13" s="1785">
        <f>SUMIFS(raw[stay],raw[ctry],Table15[[#This Row],[ctry]],raw[yr],Table15[[#This Row],[yr]],raw[mth],BF$2)</f>
        <v/>
      </c>
      <c r="BG13" s="1785">
        <f>SUMIFS(raw[stay],raw[ctry],Table15[[#This Row],[ctry]],raw[yr],Table15[[#This Row],[yr]],raw[mth],BG$2)</f>
        <v/>
      </c>
      <c r="BH13" s="1785">
        <f>SUMIFS(raw[stay],raw[ctry],Table15[[#This Row],[ctry]],raw[yr],Table15[[#This Row],[yr]],raw[mth],BH$2)</f>
        <v/>
      </c>
      <c r="BI13" s="1785">
        <f>SUMIFS(raw[stay],raw[ctry],Table15[[#This Row],[ctry]],raw[yr],Table15[[#This Row],[yr]],raw[mth],BI$2)</f>
        <v/>
      </c>
      <c r="BJ13" s="1785">
        <f>SUMIFS(raw[stay],raw[ctry],Table15[[#This Row],[ctry]],raw[yr],Table15[[#This Row],[yr]],raw[mth],BJ$2)</f>
        <v/>
      </c>
      <c r="BK13" s="1785">
        <f>SUMIFS(raw[stay],raw[ctry],Table15[[#This Row],[ctry]],raw[yr],Table15[[#This Row],[yr]],raw[mth],BK$2)</f>
        <v/>
      </c>
      <c r="BL13" s="1785">
        <f>SUMIFS(raw[stay],raw[ctry],Table15[[#This Row],[ctry]],raw[yr],Table15[[#This Row],[yr]],raw[mth],BL$2)</f>
        <v/>
      </c>
      <c r="BM13" s="1785">
        <f>SUMIFS(raw[stay],raw[ctry],Table15[[#This Row],[ctry]],raw[yr],Table15[[#This Row],[yr]],raw[mth],BM$2)</f>
        <v/>
      </c>
      <c r="BN13" s="1785">
        <f>SUMIFS(raw[stay],raw[ctry],Table15[[#This Row],[ctry]],raw[yr],Table15[[#This Row],[yr]],raw[mth],BN$2)</f>
        <v/>
      </c>
      <c r="BO13" s="1785">
        <f>SUMIFS(raw[stay],raw[ctry],Table15[[#This Row],[ctry]],raw[yr],Table15[[#This Row],[yr]],raw[mth],BO$2)</f>
        <v/>
      </c>
      <c r="BP13" s="1785">
        <f>SUMIFS(raw[stay],raw[ctry],Table15[[#This Row],[ctry]],raw[yr],Table15[[#This Row],[yr]],raw[mth],BP$2)</f>
        <v/>
      </c>
      <c r="BQ13" s="1785">
        <f>SUMIFS(raw[stay],raw[ctry],Table15[[#This Row],[ctry]],raw[yr],Table15[[#This Row],[yr]],raw[mth],BQ$2)</f>
        <v/>
      </c>
      <c r="BR13" s="1597">
        <f>COUNTIF(BF13:BQ13,"&gt;0")</f>
        <v/>
      </c>
      <c r="BS13" s="1600">
        <f>INT(SUM(BF13:BQ13))</f>
        <v/>
      </c>
      <c r="BT13" s="1597" t="inlineStr">
        <is>
          <t>.</t>
        </is>
      </c>
      <c r="BU13" s="1636" t="inlineStr">
        <is>
          <t>ESP</t>
        </is>
      </c>
      <c r="BV13" s="1603" t="n">
        <v>0</v>
      </c>
      <c r="BW13" s="1607" t="n">
        <v>9</v>
      </c>
      <c r="BX13" s="1611" t="inlineStr">
        <is>
          <t>.</t>
        </is>
      </c>
      <c r="BY13" s="1612" t="n"/>
      <c r="BZ13" s="1788">
        <f>BZ12+1</f>
        <v/>
      </c>
      <c r="CA13" s="1789" t="inlineStr">
        <is>
          <t>S</t>
        </is>
      </c>
      <c r="CB13" s="1804" t="inlineStr">
        <is>
          <t>BRASIL</t>
        </is>
      </c>
      <c r="CC13" s="1790" t="inlineStr">
        <is>
          <t>X</t>
        </is>
      </c>
      <c r="CD13" s="1790" t="inlineStr">
        <is>
          <t>X</t>
        </is>
      </c>
      <c r="CE13" s="1790" t="inlineStr">
        <is>
          <t>X</t>
        </is>
      </c>
      <c r="CF13" s="1790" t="inlineStr">
        <is>
          <t>X</t>
        </is>
      </c>
      <c r="CG13" s="1793" t="inlineStr">
        <is>
          <t>.</t>
        </is>
      </c>
    </row>
    <row r="14" ht="15" customHeight="1">
      <c r="A14" s="1615" t="n"/>
      <c r="B14" s="1781">
        <f>SUM(D14:AK14)</f>
        <v/>
      </c>
      <c r="C14" s="1782">
        <f>Table1[[#This Row],[ctry]]</f>
        <v/>
      </c>
      <c r="D14" s="1610">
        <f>COUNTIFS(entryCtry[ctry],Table6[[#This Row],[ctry]],entryCtry[yr],D$2)</f>
        <v/>
      </c>
      <c r="E14" s="1610">
        <f>COUNTIFS(entryCtry[ctry],Table6[[#This Row],[ctry]],entryCtry[yr],E$2)</f>
        <v/>
      </c>
      <c r="F14" s="1610">
        <f>COUNTIFS(entryCtry[ctry],Table6[[#This Row],[ctry]],entryCtry[yr],F$2)</f>
        <v/>
      </c>
      <c r="G14" s="1610">
        <f>COUNTIFS(entryCtry[ctry],Table6[[#This Row],[ctry]],entryCtry[yr],G$2)</f>
        <v/>
      </c>
      <c r="H14" s="1610">
        <f>COUNTIFS(entryCtry[ctry],Table6[[#This Row],[ctry]],entryCtry[yr],H$2)</f>
        <v/>
      </c>
      <c r="I14" s="1610">
        <f>COUNTIFS(entryCtry[ctry],Table6[[#This Row],[ctry]],entryCtry[yr],I$2)</f>
        <v/>
      </c>
      <c r="J14" s="1610">
        <f>COUNTIFS(entryCtry[ctry],Table6[[#This Row],[ctry]],entryCtry[yr],J$2)</f>
        <v/>
      </c>
      <c r="K14" s="1610">
        <f>COUNTIFS(entryCtry[ctry],Table6[[#This Row],[ctry]],entryCtry[yr],K$2)</f>
        <v/>
      </c>
      <c r="L14" s="1610">
        <f>COUNTIFS(entryCtry[ctry],Table6[[#This Row],[ctry]],entryCtry[yr],L$2)</f>
        <v/>
      </c>
      <c r="M14" s="1610">
        <f>COUNTIFS(entryCtry[ctry],Table6[[#This Row],[ctry]],entryCtry[yr],M$2)</f>
        <v/>
      </c>
      <c r="N14" s="1610">
        <f>COUNTIFS(entryCtry[ctry],Table6[[#This Row],[ctry]],entryCtry[yr],N$2)</f>
        <v/>
      </c>
      <c r="O14" s="1610">
        <f>COUNTIFS(entryCtry[ctry],Table6[[#This Row],[ctry]],entryCtry[yr],O$2)</f>
        <v/>
      </c>
      <c r="P14" s="1610">
        <f>COUNTIFS(entryCtry[ctry],Table6[[#This Row],[ctry]],entryCtry[yr],P$2)</f>
        <v/>
      </c>
      <c r="Q14" s="1610">
        <f>COUNTIFS(entryCtry[ctry],Table6[[#This Row],[ctry]],entryCtry[yr],Q$2)</f>
        <v/>
      </c>
      <c r="R14" s="1610">
        <f>COUNTIFS(entryCtry[ctry],Table6[[#This Row],[ctry]],entryCtry[yr],R$2)</f>
        <v/>
      </c>
      <c r="S14" s="1610">
        <f>COUNTIFS(entryCtry[ctry],Table6[[#This Row],[ctry]],entryCtry[yr],S$2)</f>
        <v/>
      </c>
      <c r="T14" s="1610">
        <f>COUNTIFS(entryCtry[ctry],Table6[[#This Row],[ctry]],entryCtry[yr],T$2)</f>
        <v/>
      </c>
      <c r="U14" s="1610">
        <f>COUNTIFS(entryCtry[ctry],Table6[[#This Row],[ctry]],entryCtry[yr],U$2)</f>
        <v/>
      </c>
      <c r="V14" s="1610">
        <f>COUNTIFS(entryCtry[ctry],Table6[[#This Row],[ctry]],entryCtry[yr],V$2)</f>
        <v/>
      </c>
      <c r="W14" s="1610">
        <f>COUNTIFS(entryCtry[ctry],Table6[[#This Row],[ctry]],entryCtry[yr],W$2)</f>
        <v/>
      </c>
      <c r="X14" s="1610">
        <f>COUNTIFS(entryCtry[ctry],Table6[[#This Row],[ctry]],entryCtry[yr],X$2)</f>
        <v/>
      </c>
      <c r="Y14" s="1610">
        <f>COUNTIFS(entryCtry[ctry],Table6[[#This Row],[ctry]],entryCtry[yr],Y$2)</f>
        <v/>
      </c>
      <c r="Z14" s="1610">
        <f>COUNTIFS(entryCtry[ctry],Table6[[#This Row],[ctry]],entryCtry[yr],Z$2)</f>
        <v/>
      </c>
      <c r="AA14" s="1610">
        <f>COUNTIFS(entryCtry[ctry],Table6[[#This Row],[ctry]],entryCtry[yr],AA$2)</f>
        <v/>
      </c>
      <c r="AB14" s="1610">
        <f>COUNTIFS(entryCtry[ctry],Table6[[#This Row],[ctry]],entryCtry[yr],AB$2)</f>
        <v/>
      </c>
      <c r="AC14" s="1610">
        <f>COUNTIFS(entryCtry[ctry],Table6[[#This Row],[ctry]],entryCtry[yr],AC$2)</f>
        <v/>
      </c>
      <c r="AD14" s="1610">
        <f>COUNTIFS(entryCtry[ctry],Table6[[#This Row],[ctry]],entryCtry[yr],AD$2)</f>
        <v/>
      </c>
      <c r="AE14" s="1610">
        <f>COUNTIFS(entryCtry[ctry],Table6[[#This Row],[ctry]],entryCtry[yr],AE$2)</f>
        <v/>
      </c>
      <c r="AF14" s="1610">
        <f>COUNTIFS(entryCtry[ctry],Table6[[#This Row],[ctry]],entryCtry[yr],AF$2)</f>
        <v/>
      </c>
      <c r="AG14" s="1610">
        <f>COUNTIFS(entryCtry[ctry],Table6[[#This Row],[ctry]],entryCtry[yr],AG$2)</f>
        <v/>
      </c>
      <c r="AH14" s="1610">
        <f>COUNTIFS(entryCtry[ctry],Table6[[#This Row],[ctry]],entryCtry[yr],AH$2)</f>
        <v/>
      </c>
      <c r="AI14" s="1610">
        <f>COUNTIFS(entryCtry[ctry],Table6[[#This Row],[ctry]],entryCtry[yr],AI$2)</f>
        <v/>
      </c>
      <c r="AJ14" s="1610">
        <f>COUNTIFS(entryCtry[ctry],Table6[[#This Row],[ctry]],entryCtry[yr],AJ$2)</f>
        <v/>
      </c>
      <c r="AK14" s="1680" t="inlineStr">
        <is>
          <t>.</t>
        </is>
      </c>
      <c r="AL14" s="1611" t="inlineStr">
        <is>
          <t>.</t>
        </is>
      </c>
      <c r="AM14" s="1783">
        <f>'@Main'!B18</f>
        <v/>
      </c>
      <c r="AN14" s="1597">
        <f>_xlfn.XLOOKUP(Table1[[#This Row],['#]],mainW['#],mainW[ctry],"-")</f>
        <v/>
      </c>
      <c r="AO14" s="1649">
        <f>SUMIFS(raw[stay],raw[ctry],Table1[[#This Row],[ctry]],raw[mth],AO$2)</f>
        <v/>
      </c>
      <c r="AP14" s="1649">
        <f>SUMIFS(raw[stay],raw[ctry],Table1[[#This Row],[ctry]],raw[mth],AP$2)</f>
        <v/>
      </c>
      <c r="AQ14" s="1649">
        <f>SUMIFS(raw[stay],raw[ctry],Table1[[#This Row],[ctry]],raw[mth],AQ$2)</f>
        <v/>
      </c>
      <c r="AR14" s="1649">
        <f>SUMIFS(raw[stay],raw[ctry],Table1[[#This Row],[ctry]],raw[mth],AR$2)</f>
        <v/>
      </c>
      <c r="AS14" s="1649">
        <f>SUMIFS(raw[stay],raw[ctry],Table1[[#This Row],[ctry]],raw[mth],AS$2)</f>
        <v/>
      </c>
      <c r="AT14" s="1649">
        <f>SUMIFS(raw[stay],raw[ctry],Table1[[#This Row],[ctry]],raw[mth],AT$2)</f>
        <v/>
      </c>
      <c r="AU14" s="1649">
        <f>SUMIFS(raw[stay],raw[ctry],Table1[[#This Row],[ctry]],raw[mth],AU$2)</f>
        <v/>
      </c>
      <c r="AV14" s="1649">
        <f>SUMIFS(raw[stay],raw[ctry],Table1[[#This Row],[ctry]],raw[mth],AV$2)</f>
        <v/>
      </c>
      <c r="AW14" s="1649">
        <f>SUMIFS(raw[stay],raw[ctry],Table1[[#This Row],[ctry]],raw[mth],AW$2)</f>
        <v/>
      </c>
      <c r="AX14" s="1649">
        <f>SUMIFS(raw[stay],raw[ctry],Table1[[#This Row],[ctry]],raw[mth],AX$2)</f>
        <v/>
      </c>
      <c r="AY14" s="1619">
        <f>SUMIFS(raw[stay],raw[ctry],Table1[[#This Row],[ctry]],raw[mth],AY$2)</f>
        <v/>
      </c>
      <c r="AZ14" s="1649">
        <f>SUMIFS(raw[stay],raw[ctry],Table1[[#This Row],[ctry]],raw[mth],AZ$2)</f>
        <v/>
      </c>
      <c r="BA14" s="1627">
        <f>COUNTIF(AO14:AZ14,"&gt;0")</f>
        <v/>
      </c>
      <c r="BB14" s="1784">
        <f>INT(SUM(AO14:AZ14))</f>
        <v/>
      </c>
      <c r="BC14" s="1611" t="inlineStr">
        <is>
          <t>.</t>
        </is>
      </c>
      <c r="BD14" s="1680">
        <f>BD13</f>
        <v/>
      </c>
      <c r="BE14" s="1597">
        <f>BE13+1</f>
        <v/>
      </c>
      <c r="BF14" s="1785">
        <f>SUMIFS(raw[stay],raw[ctry],Table15[[#This Row],[ctry]],raw[yr],Table15[[#This Row],[yr]],raw[mth],BF$2)</f>
        <v/>
      </c>
      <c r="BG14" s="1785">
        <f>SUMIFS(raw[stay],raw[ctry],Table15[[#This Row],[ctry]],raw[yr],Table15[[#This Row],[yr]],raw[mth],BG$2)</f>
        <v/>
      </c>
      <c r="BH14" s="1785">
        <f>SUMIFS(raw[stay],raw[ctry],Table15[[#This Row],[ctry]],raw[yr],Table15[[#This Row],[yr]],raw[mth],BH$2)</f>
        <v/>
      </c>
      <c r="BI14" s="1785">
        <f>SUMIFS(raw[stay],raw[ctry],Table15[[#This Row],[ctry]],raw[yr],Table15[[#This Row],[yr]],raw[mth],BI$2)</f>
        <v/>
      </c>
      <c r="BJ14" s="1785">
        <f>SUMIFS(raw[stay],raw[ctry],Table15[[#This Row],[ctry]],raw[yr],Table15[[#This Row],[yr]],raw[mth],BJ$2)</f>
        <v/>
      </c>
      <c r="BK14" s="1785">
        <f>SUMIFS(raw[stay],raw[ctry],Table15[[#This Row],[ctry]],raw[yr],Table15[[#This Row],[yr]],raw[mth],BK$2)</f>
        <v/>
      </c>
      <c r="BL14" s="1785">
        <f>SUMIFS(raw[stay],raw[ctry],Table15[[#This Row],[ctry]],raw[yr],Table15[[#This Row],[yr]],raw[mth],BL$2)</f>
        <v/>
      </c>
      <c r="BM14" s="1785">
        <f>SUMIFS(raw[stay],raw[ctry],Table15[[#This Row],[ctry]],raw[yr],Table15[[#This Row],[yr]],raw[mth],BM$2)</f>
        <v/>
      </c>
      <c r="BN14" s="1785">
        <f>SUMIFS(raw[stay],raw[ctry],Table15[[#This Row],[ctry]],raw[yr],Table15[[#This Row],[yr]],raw[mth],BN$2)</f>
        <v/>
      </c>
      <c r="BO14" s="1785">
        <f>SUMIFS(raw[stay],raw[ctry],Table15[[#This Row],[ctry]],raw[yr],Table15[[#This Row],[yr]],raw[mth],BO$2)</f>
        <v/>
      </c>
      <c r="BP14" s="1785">
        <f>SUMIFS(raw[stay],raw[ctry],Table15[[#This Row],[ctry]],raw[yr],Table15[[#This Row],[yr]],raw[mth],BP$2)</f>
        <v/>
      </c>
      <c r="BQ14" s="1785">
        <f>SUMIFS(raw[stay],raw[ctry],Table15[[#This Row],[ctry]],raw[yr],Table15[[#This Row],[yr]],raw[mth],BQ$2)</f>
        <v/>
      </c>
      <c r="BR14" s="1597">
        <f>COUNTIF(BF14:BQ14,"&gt;0")</f>
        <v/>
      </c>
      <c r="BS14" s="1600">
        <f>INT(SUM(BF14:BQ14))</f>
        <v/>
      </c>
      <c r="BT14" s="1597" t="inlineStr">
        <is>
          <t>.</t>
        </is>
      </c>
      <c r="BU14" s="1636" t="inlineStr">
        <is>
          <t>CHE</t>
        </is>
      </c>
      <c r="BV14" s="1603" t="n">
        <v>0</v>
      </c>
      <c r="BW14" s="1607" t="n">
        <v>9</v>
      </c>
      <c r="BX14" s="1611" t="inlineStr">
        <is>
          <t>.</t>
        </is>
      </c>
      <c r="BY14" s="1612" t="n"/>
      <c r="BZ14" s="1788">
        <f>BZ13+1</f>
        <v/>
      </c>
      <c r="CA14" s="1789" t="inlineStr">
        <is>
          <t>S</t>
        </is>
      </c>
      <c r="CB14" s="1804" t="inlineStr">
        <is>
          <t>CHILE</t>
        </is>
      </c>
      <c r="CC14" s="1790" t="n"/>
      <c r="CD14" s="1790" t="n"/>
      <c r="CE14" s="1790" t="n"/>
      <c r="CF14" s="1790" t="n"/>
      <c r="CG14" s="1793" t="inlineStr">
        <is>
          <t>.</t>
        </is>
      </c>
    </row>
    <row r="15" ht="15" customHeight="1">
      <c r="A15" s="1596" t="n"/>
      <c r="B15" s="1794">
        <f>SUM(D15:AK15)</f>
        <v/>
      </c>
      <c r="C15" s="1795">
        <f>Table1[[#This Row],[ctry]]</f>
        <v/>
      </c>
      <c r="D15" s="1610">
        <f>COUNTIFS(entryCtry[ctry],Table6[[#This Row],[ctry]],entryCtry[yr],D$2)</f>
        <v/>
      </c>
      <c r="E15" s="1610">
        <f>COUNTIFS(entryCtry[ctry],Table6[[#This Row],[ctry]],entryCtry[yr],E$2)</f>
        <v/>
      </c>
      <c r="F15" s="1610">
        <f>COUNTIFS(entryCtry[ctry],Table6[[#This Row],[ctry]],entryCtry[yr],F$2)</f>
        <v/>
      </c>
      <c r="G15" s="1610">
        <f>COUNTIFS(entryCtry[ctry],Table6[[#This Row],[ctry]],entryCtry[yr],G$2)</f>
        <v/>
      </c>
      <c r="H15" s="1610">
        <f>COUNTIFS(entryCtry[ctry],Table6[[#This Row],[ctry]],entryCtry[yr],H$2)</f>
        <v/>
      </c>
      <c r="I15" s="1610">
        <f>COUNTIFS(entryCtry[ctry],Table6[[#This Row],[ctry]],entryCtry[yr],I$2)</f>
        <v/>
      </c>
      <c r="J15" s="1610">
        <f>COUNTIFS(entryCtry[ctry],Table6[[#This Row],[ctry]],entryCtry[yr],J$2)</f>
        <v/>
      </c>
      <c r="K15" s="1610">
        <f>COUNTIFS(entryCtry[ctry],Table6[[#This Row],[ctry]],entryCtry[yr],K$2)</f>
        <v/>
      </c>
      <c r="L15" s="1610">
        <f>COUNTIFS(entryCtry[ctry],Table6[[#This Row],[ctry]],entryCtry[yr],L$2)</f>
        <v/>
      </c>
      <c r="M15" s="1610">
        <f>COUNTIFS(entryCtry[ctry],Table6[[#This Row],[ctry]],entryCtry[yr],M$2)</f>
        <v/>
      </c>
      <c r="N15" s="1610">
        <f>COUNTIFS(entryCtry[ctry],Table6[[#This Row],[ctry]],entryCtry[yr],N$2)</f>
        <v/>
      </c>
      <c r="O15" s="1610">
        <f>COUNTIFS(entryCtry[ctry],Table6[[#This Row],[ctry]],entryCtry[yr],O$2)</f>
        <v/>
      </c>
      <c r="P15" s="1610">
        <f>COUNTIFS(entryCtry[ctry],Table6[[#This Row],[ctry]],entryCtry[yr],P$2)</f>
        <v/>
      </c>
      <c r="Q15" s="1610">
        <f>COUNTIFS(entryCtry[ctry],Table6[[#This Row],[ctry]],entryCtry[yr],Q$2)</f>
        <v/>
      </c>
      <c r="R15" s="1610">
        <f>COUNTIFS(entryCtry[ctry],Table6[[#This Row],[ctry]],entryCtry[yr],R$2)</f>
        <v/>
      </c>
      <c r="S15" s="1610">
        <f>COUNTIFS(entryCtry[ctry],Table6[[#This Row],[ctry]],entryCtry[yr],S$2)</f>
        <v/>
      </c>
      <c r="T15" s="1610">
        <f>COUNTIFS(entryCtry[ctry],Table6[[#This Row],[ctry]],entryCtry[yr],T$2)</f>
        <v/>
      </c>
      <c r="U15" s="1610">
        <f>COUNTIFS(entryCtry[ctry],Table6[[#This Row],[ctry]],entryCtry[yr],U$2)</f>
        <v/>
      </c>
      <c r="V15" s="1610">
        <f>COUNTIFS(entryCtry[ctry],Table6[[#This Row],[ctry]],entryCtry[yr],V$2)</f>
        <v/>
      </c>
      <c r="W15" s="1610">
        <f>COUNTIFS(entryCtry[ctry],Table6[[#This Row],[ctry]],entryCtry[yr],W$2)</f>
        <v/>
      </c>
      <c r="X15" s="1610">
        <f>COUNTIFS(entryCtry[ctry],Table6[[#This Row],[ctry]],entryCtry[yr],X$2)</f>
        <v/>
      </c>
      <c r="Y15" s="1610">
        <f>COUNTIFS(entryCtry[ctry],Table6[[#This Row],[ctry]],entryCtry[yr],Y$2)</f>
        <v/>
      </c>
      <c r="Z15" s="1610">
        <f>COUNTIFS(entryCtry[ctry],Table6[[#This Row],[ctry]],entryCtry[yr],Z$2)</f>
        <v/>
      </c>
      <c r="AA15" s="1610">
        <f>COUNTIFS(entryCtry[ctry],Table6[[#This Row],[ctry]],entryCtry[yr],AA$2)</f>
        <v/>
      </c>
      <c r="AB15" s="1610">
        <f>COUNTIFS(entryCtry[ctry],Table6[[#This Row],[ctry]],entryCtry[yr],AB$2)</f>
        <v/>
      </c>
      <c r="AC15" s="1610">
        <f>COUNTIFS(entryCtry[ctry],Table6[[#This Row],[ctry]],entryCtry[yr],AC$2)</f>
        <v/>
      </c>
      <c r="AD15" s="1610">
        <f>COUNTIFS(entryCtry[ctry],Table6[[#This Row],[ctry]],entryCtry[yr],AD$2)</f>
        <v/>
      </c>
      <c r="AE15" s="1610">
        <f>COUNTIFS(entryCtry[ctry],Table6[[#This Row],[ctry]],entryCtry[yr],AE$2)</f>
        <v/>
      </c>
      <c r="AF15" s="1610">
        <f>COUNTIFS(entryCtry[ctry],Table6[[#This Row],[ctry]],entryCtry[yr],AF$2)</f>
        <v/>
      </c>
      <c r="AG15" s="1610">
        <f>COUNTIFS(entryCtry[ctry],Table6[[#This Row],[ctry]],entryCtry[yr],AG$2)</f>
        <v/>
      </c>
      <c r="AH15" s="1610">
        <f>COUNTIFS(entryCtry[ctry],Table6[[#This Row],[ctry]],entryCtry[yr],AH$2)</f>
        <v/>
      </c>
      <c r="AI15" s="1610">
        <f>COUNTIFS(entryCtry[ctry],Table6[[#This Row],[ctry]],entryCtry[yr],AI$2)</f>
        <v/>
      </c>
      <c r="AJ15" s="1610">
        <f>COUNTIFS(entryCtry[ctry],Table6[[#This Row],[ctry]],entryCtry[yr],AJ$2)</f>
        <v/>
      </c>
      <c r="AK15" s="1680" t="inlineStr">
        <is>
          <t>.</t>
        </is>
      </c>
      <c r="AL15" s="1611" t="inlineStr">
        <is>
          <t>.</t>
        </is>
      </c>
      <c r="AM15" s="1783">
        <f>'@Main'!B19</f>
        <v/>
      </c>
      <c r="AN15" s="1597">
        <f>_xlfn.XLOOKUP(Table1[[#This Row],['#]],mainW['#],mainW[ctry],"-")</f>
        <v/>
      </c>
      <c r="AO15" s="1649">
        <f>SUMIFS(raw[stay],raw[ctry],Table1[[#This Row],[ctry]],raw[mth],AO$2)</f>
        <v/>
      </c>
      <c r="AP15" s="1649">
        <f>SUMIFS(raw[stay],raw[ctry],Table1[[#This Row],[ctry]],raw[mth],AP$2)</f>
        <v/>
      </c>
      <c r="AQ15" s="1649">
        <f>SUMIFS(raw[stay],raw[ctry],Table1[[#This Row],[ctry]],raw[mth],AQ$2)</f>
        <v/>
      </c>
      <c r="AR15" s="1649">
        <f>SUMIFS(raw[stay],raw[ctry],Table1[[#This Row],[ctry]],raw[mth],AR$2)</f>
        <v/>
      </c>
      <c r="AS15" s="1649">
        <f>SUMIFS(raw[stay],raw[ctry],Table1[[#This Row],[ctry]],raw[mth],AS$2)</f>
        <v/>
      </c>
      <c r="AT15" s="1649">
        <f>SUMIFS(raw[stay],raw[ctry],Table1[[#This Row],[ctry]],raw[mth],AT$2)</f>
        <v/>
      </c>
      <c r="AU15" s="1649">
        <f>SUMIFS(raw[stay],raw[ctry],Table1[[#This Row],[ctry]],raw[mth],AU$2)</f>
        <v/>
      </c>
      <c r="AV15" s="1649">
        <f>SUMIFS(raw[stay],raw[ctry],Table1[[#This Row],[ctry]],raw[mth],AV$2)</f>
        <v/>
      </c>
      <c r="AW15" s="1649">
        <f>SUMIFS(raw[stay],raw[ctry],Table1[[#This Row],[ctry]],raw[mth],AW$2)</f>
        <v/>
      </c>
      <c r="AX15" s="1619">
        <f>SUMIFS(raw[stay],raw[ctry],Table1[[#This Row],[ctry]],raw[mth],AX$2)</f>
        <v/>
      </c>
      <c r="AY15" s="1649">
        <f>SUMIFS(raw[stay],raw[ctry],Table1[[#This Row],[ctry]],raw[mth],AY$2)</f>
        <v/>
      </c>
      <c r="AZ15" s="1649">
        <f>SUMIFS(raw[stay],raw[ctry],Table1[[#This Row],[ctry]],raw[mth],AZ$2)</f>
        <v/>
      </c>
      <c r="BA15" s="1597">
        <f>COUNTIF(AO15:AZ15,"&gt;0")</f>
        <v/>
      </c>
      <c r="BB15" s="1784">
        <f>INT(SUM(AO15:AZ15))</f>
        <v/>
      </c>
      <c r="BC15" s="1611" t="inlineStr">
        <is>
          <t>.</t>
        </is>
      </c>
      <c r="BD15" s="1680">
        <f>BD14</f>
        <v/>
      </c>
      <c r="BE15" s="1597">
        <f>BE14+1</f>
        <v/>
      </c>
      <c r="BF15" s="1785">
        <f>SUMIFS(raw[stay],raw[ctry],Table15[[#This Row],[ctry]],raw[yr],Table15[[#This Row],[yr]],raw[mth],BF$2)</f>
        <v/>
      </c>
      <c r="BG15" s="1785">
        <f>SUMIFS(raw[stay],raw[ctry],Table15[[#This Row],[ctry]],raw[yr],Table15[[#This Row],[yr]],raw[mth],BG$2)</f>
        <v/>
      </c>
      <c r="BH15" s="1785">
        <f>SUMIFS(raw[stay],raw[ctry],Table15[[#This Row],[ctry]],raw[yr],Table15[[#This Row],[yr]],raw[mth],BH$2)</f>
        <v/>
      </c>
      <c r="BI15" s="1785">
        <f>SUMIFS(raw[stay],raw[ctry],Table15[[#This Row],[ctry]],raw[yr],Table15[[#This Row],[yr]],raw[mth],BI$2)</f>
        <v/>
      </c>
      <c r="BJ15" s="1785">
        <f>SUMIFS(raw[stay],raw[ctry],Table15[[#This Row],[ctry]],raw[yr],Table15[[#This Row],[yr]],raw[mth],BJ$2)</f>
        <v/>
      </c>
      <c r="BK15" s="1785">
        <f>SUMIFS(raw[stay],raw[ctry],Table15[[#This Row],[ctry]],raw[yr],Table15[[#This Row],[yr]],raw[mth],BK$2)</f>
        <v/>
      </c>
      <c r="BL15" s="1785">
        <f>SUMIFS(raw[stay],raw[ctry],Table15[[#This Row],[ctry]],raw[yr],Table15[[#This Row],[yr]],raw[mth],BL$2)</f>
        <v/>
      </c>
      <c r="BM15" s="1785">
        <f>SUMIFS(raw[stay],raw[ctry],Table15[[#This Row],[ctry]],raw[yr],Table15[[#This Row],[yr]],raw[mth],BM$2)</f>
        <v/>
      </c>
      <c r="BN15" s="1785">
        <f>SUMIFS(raw[stay],raw[ctry],Table15[[#This Row],[ctry]],raw[yr],Table15[[#This Row],[yr]],raw[mth],BN$2)</f>
        <v/>
      </c>
      <c r="BO15" s="1785">
        <f>SUMIFS(raw[stay],raw[ctry],Table15[[#This Row],[ctry]],raw[yr],Table15[[#This Row],[yr]],raw[mth],BO$2)</f>
        <v/>
      </c>
      <c r="BP15" s="1785">
        <f>SUMIFS(raw[stay],raw[ctry],Table15[[#This Row],[ctry]],raw[yr],Table15[[#This Row],[yr]],raw[mth],BP$2)</f>
        <v/>
      </c>
      <c r="BQ15" s="1785">
        <f>SUMIFS(raw[stay],raw[ctry],Table15[[#This Row],[ctry]],raw[yr],Table15[[#This Row],[yr]],raw[mth],BQ$2)</f>
        <v/>
      </c>
      <c r="BR15" s="1597">
        <f>COUNTIF(BF15:BQ15,"&gt;0")</f>
        <v/>
      </c>
      <c r="BS15" s="1600">
        <f>INT(SUM(BF15:BQ15))</f>
        <v/>
      </c>
      <c r="BT15" s="1597" t="inlineStr">
        <is>
          <t>.</t>
        </is>
      </c>
      <c r="BU15" s="1636" t="inlineStr">
        <is>
          <t>NED</t>
        </is>
      </c>
      <c r="BV15" s="1603" t="n">
        <v>0</v>
      </c>
      <c r="BW15" s="1607" t="n">
        <v>7</v>
      </c>
      <c r="BX15" s="1611" t="inlineStr">
        <is>
          <t>.</t>
        </is>
      </c>
      <c r="BY15" s="1612" t="n"/>
      <c r="BZ15" s="1788">
        <f>BZ14+1</f>
        <v/>
      </c>
      <c r="CA15" s="1789" t="inlineStr">
        <is>
          <t>S</t>
        </is>
      </c>
      <c r="CB15" s="1804" t="inlineStr">
        <is>
          <t>COLOMBIA</t>
        </is>
      </c>
      <c r="CC15" s="1790" t="n"/>
      <c r="CD15" s="1790" t="n"/>
      <c r="CE15" s="1790" t="n"/>
      <c r="CF15" s="1790" t="n"/>
      <c r="CG15" s="1793" t="inlineStr">
        <is>
          <t>.</t>
        </is>
      </c>
    </row>
    <row r="16" ht="15" customHeight="1">
      <c r="A16" s="1615" t="n"/>
      <c r="B16" s="1781">
        <f>SUM(D16:AK16)</f>
        <v/>
      </c>
      <c r="C16" s="1782">
        <f>Table1[[#This Row],[ctry]]</f>
        <v/>
      </c>
      <c r="D16" s="1610">
        <f>COUNTIFS(entryCtry[ctry],Table6[[#This Row],[ctry]],entryCtry[yr],D$2)</f>
        <v/>
      </c>
      <c r="E16" s="1610">
        <f>COUNTIFS(entryCtry[ctry],Table6[[#This Row],[ctry]],entryCtry[yr],E$2)</f>
        <v/>
      </c>
      <c r="F16" s="1610">
        <f>COUNTIFS(entryCtry[ctry],Table6[[#This Row],[ctry]],entryCtry[yr],F$2)</f>
        <v/>
      </c>
      <c r="G16" s="1610">
        <f>COUNTIFS(entryCtry[ctry],Table6[[#This Row],[ctry]],entryCtry[yr],G$2)</f>
        <v/>
      </c>
      <c r="H16" s="1610">
        <f>COUNTIFS(entryCtry[ctry],Table6[[#This Row],[ctry]],entryCtry[yr],H$2)</f>
        <v/>
      </c>
      <c r="I16" s="1610">
        <f>COUNTIFS(entryCtry[ctry],Table6[[#This Row],[ctry]],entryCtry[yr],I$2)</f>
        <v/>
      </c>
      <c r="J16" s="1610">
        <f>COUNTIFS(entryCtry[ctry],Table6[[#This Row],[ctry]],entryCtry[yr],J$2)</f>
        <v/>
      </c>
      <c r="K16" s="1610">
        <f>COUNTIFS(entryCtry[ctry],Table6[[#This Row],[ctry]],entryCtry[yr],K$2)</f>
        <v/>
      </c>
      <c r="L16" s="1610">
        <f>COUNTIFS(entryCtry[ctry],Table6[[#This Row],[ctry]],entryCtry[yr],L$2)</f>
        <v/>
      </c>
      <c r="M16" s="1610">
        <f>COUNTIFS(entryCtry[ctry],Table6[[#This Row],[ctry]],entryCtry[yr],M$2)</f>
        <v/>
      </c>
      <c r="N16" s="1610">
        <f>COUNTIFS(entryCtry[ctry],Table6[[#This Row],[ctry]],entryCtry[yr],N$2)</f>
        <v/>
      </c>
      <c r="O16" s="1610">
        <f>COUNTIFS(entryCtry[ctry],Table6[[#This Row],[ctry]],entryCtry[yr],O$2)</f>
        <v/>
      </c>
      <c r="P16" s="1610">
        <f>COUNTIFS(entryCtry[ctry],Table6[[#This Row],[ctry]],entryCtry[yr],P$2)</f>
        <v/>
      </c>
      <c r="Q16" s="1610">
        <f>COUNTIFS(entryCtry[ctry],Table6[[#This Row],[ctry]],entryCtry[yr],Q$2)</f>
        <v/>
      </c>
      <c r="R16" s="1610">
        <f>COUNTIFS(entryCtry[ctry],Table6[[#This Row],[ctry]],entryCtry[yr],R$2)</f>
        <v/>
      </c>
      <c r="S16" s="1610">
        <f>COUNTIFS(entryCtry[ctry],Table6[[#This Row],[ctry]],entryCtry[yr],S$2)</f>
        <v/>
      </c>
      <c r="T16" s="1610">
        <f>COUNTIFS(entryCtry[ctry],Table6[[#This Row],[ctry]],entryCtry[yr],T$2)</f>
        <v/>
      </c>
      <c r="U16" s="1610">
        <f>COUNTIFS(entryCtry[ctry],Table6[[#This Row],[ctry]],entryCtry[yr],U$2)</f>
        <v/>
      </c>
      <c r="V16" s="1610">
        <f>COUNTIFS(entryCtry[ctry],Table6[[#This Row],[ctry]],entryCtry[yr],V$2)</f>
        <v/>
      </c>
      <c r="W16" s="1610">
        <f>COUNTIFS(entryCtry[ctry],Table6[[#This Row],[ctry]],entryCtry[yr],W$2)</f>
        <v/>
      </c>
      <c r="X16" s="1610">
        <f>COUNTIFS(entryCtry[ctry],Table6[[#This Row],[ctry]],entryCtry[yr],X$2)</f>
        <v/>
      </c>
      <c r="Y16" s="1610">
        <f>COUNTIFS(entryCtry[ctry],Table6[[#This Row],[ctry]],entryCtry[yr],Y$2)</f>
        <v/>
      </c>
      <c r="Z16" s="1610">
        <f>COUNTIFS(entryCtry[ctry],Table6[[#This Row],[ctry]],entryCtry[yr],Z$2)</f>
        <v/>
      </c>
      <c r="AA16" s="1610">
        <f>COUNTIFS(entryCtry[ctry],Table6[[#This Row],[ctry]],entryCtry[yr],AA$2)</f>
        <v/>
      </c>
      <c r="AB16" s="1610">
        <f>COUNTIFS(entryCtry[ctry],Table6[[#This Row],[ctry]],entryCtry[yr],AB$2)</f>
        <v/>
      </c>
      <c r="AC16" s="1610">
        <f>COUNTIFS(entryCtry[ctry],Table6[[#This Row],[ctry]],entryCtry[yr],AC$2)</f>
        <v/>
      </c>
      <c r="AD16" s="1610">
        <f>COUNTIFS(entryCtry[ctry],Table6[[#This Row],[ctry]],entryCtry[yr],AD$2)</f>
        <v/>
      </c>
      <c r="AE16" s="1610">
        <f>COUNTIFS(entryCtry[ctry],Table6[[#This Row],[ctry]],entryCtry[yr],AE$2)</f>
        <v/>
      </c>
      <c r="AF16" s="1610">
        <f>COUNTIFS(entryCtry[ctry],Table6[[#This Row],[ctry]],entryCtry[yr],AF$2)</f>
        <v/>
      </c>
      <c r="AG16" s="1610">
        <f>COUNTIFS(entryCtry[ctry],Table6[[#This Row],[ctry]],entryCtry[yr],AG$2)</f>
        <v/>
      </c>
      <c r="AH16" s="1610">
        <f>COUNTIFS(entryCtry[ctry],Table6[[#This Row],[ctry]],entryCtry[yr],AH$2)</f>
        <v/>
      </c>
      <c r="AI16" s="1610">
        <f>COUNTIFS(entryCtry[ctry],Table6[[#This Row],[ctry]],entryCtry[yr],AI$2)</f>
        <v/>
      </c>
      <c r="AJ16" s="1610">
        <f>COUNTIFS(entryCtry[ctry],Table6[[#This Row],[ctry]],entryCtry[yr],AJ$2)</f>
        <v/>
      </c>
      <c r="AK16" s="1680" t="inlineStr">
        <is>
          <t>.</t>
        </is>
      </c>
      <c r="AL16" s="1611" t="inlineStr">
        <is>
          <t>.</t>
        </is>
      </c>
      <c r="AM16" s="1783">
        <f>'@Main'!B20</f>
        <v/>
      </c>
      <c r="AN16" s="1597">
        <f>_xlfn.XLOOKUP(Table1[[#This Row],['#]],mainW['#],mainW[ctry],"-")</f>
        <v/>
      </c>
      <c r="AO16" s="1649">
        <f>SUMIFS(raw[stay],raw[ctry],Table1[[#This Row],[ctry]],raw[mth],AO$2)</f>
        <v/>
      </c>
      <c r="AP16" s="1649">
        <f>SUMIFS(raw[stay],raw[ctry],Table1[[#This Row],[ctry]],raw[mth],AP$2)</f>
        <v/>
      </c>
      <c r="AQ16" s="1649">
        <f>SUMIFS(raw[stay],raw[ctry],Table1[[#This Row],[ctry]],raw[mth],AQ$2)</f>
        <v/>
      </c>
      <c r="AR16" s="1649">
        <f>SUMIFS(raw[stay],raw[ctry],Table1[[#This Row],[ctry]],raw[mth],AR$2)</f>
        <v/>
      </c>
      <c r="AS16" s="1649">
        <f>SUMIFS(raw[stay],raw[ctry],Table1[[#This Row],[ctry]],raw[mth],AS$2)</f>
        <v/>
      </c>
      <c r="AT16" s="1649">
        <f>SUMIFS(raw[stay],raw[ctry],Table1[[#This Row],[ctry]],raw[mth],AT$2)</f>
        <v/>
      </c>
      <c r="AU16" s="1649">
        <f>SUMIFS(raw[stay],raw[ctry],Table1[[#This Row],[ctry]],raw[mth],AU$2)</f>
        <v/>
      </c>
      <c r="AV16" s="1649">
        <f>SUMIFS(raw[stay],raw[ctry],Table1[[#This Row],[ctry]],raw[mth],AV$2)</f>
        <v/>
      </c>
      <c r="AW16" s="1649">
        <f>SUMIFS(raw[stay],raw[ctry],Table1[[#This Row],[ctry]],raw[mth],AW$2)</f>
        <v/>
      </c>
      <c r="AX16" s="1649">
        <f>SUMIFS(raw[stay],raw[ctry],Table1[[#This Row],[ctry]],raw[mth],AX$2)</f>
        <v/>
      </c>
      <c r="AY16" s="1649">
        <f>SUMIFS(raw[stay],raw[ctry],Table1[[#This Row],[ctry]],raw[mth],AY$2)</f>
        <v/>
      </c>
      <c r="AZ16" s="1649">
        <f>SUMIFS(raw[stay],raw[ctry],Table1[[#This Row],[ctry]],raw[mth],AZ$2)</f>
        <v/>
      </c>
      <c r="BA16" s="1597">
        <f>COUNTIF(AO16:AZ16,"&gt;0")</f>
        <v/>
      </c>
      <c r="BB16" s="1784">
        <f>INT(SUM(AO16:AZ16))</f>
        <v/>
      </c>
      <c r="BC16" s="1611" t="inlineStr">
        <is>
          <t>.</t>
        </is>
      </c>
      <c r="BD16" s="1680">
        <f>BD15</f>
        <v/>
      </c>
      <c r="BE16" s="1597">
        <f>BE15+1</f>
        <v/>
      </c>
      <c r="BF16" s="1785">
        <f>SUMIFS(raw[stay],raw[ctry],Table15[[#This Row],[ctry]],raw[yr],Table15[[#This Row],[yr]],raw[mth],BF$2)</f>
        <v/>
      </c>
      <c r="BG16" s="1785">
        <f>SUMIFS(raw[stay],raw[ctry],Table15[[#This Row],[ctry]],raw[yr],Table15[[#This Row],[yr]],raw[mth],BG$2)</f>
        <v/>
      </c>
      <c r="BH16" s="1785">
        <f>SUMIFS(raw[stay],raw[ctry],Table15[[#This Row],[ctry]],raw[yr],Table15[[#This Row],[yr]],raw[mth],BH$2)</f>
        <v/>
      </c>
      <c r="BI16" s="1785">
        <f>SUMIFS(raw[stay],raw[ctry],Table15[[#This Row],[ctry]],raw[yr],Table15[[#This Row],[yr]],raw[mth],BI$2)</f>
        <v/>
      </c>
      <c r="BJ16" s="1785">
        <f>SUMIFS(raw[stay],raw[ctry],Table15[[#This Row],[ctry]],raw[yr],Table15[[#This Row],[yr]],raw[mth],BJ$2)</f>
        <v/>
      </c>
      <c r="BK16" s="1785">
        <f>SUMIFS(raw[stay],raw[ctry],Table15[[#This Row],[ctry]],raw[yr],Table15[[#This Row],[yr]],raw[mth],BK$2)</f>
        <v/>
      </c>
      <c r="BL16" s="1785">
        <f>SUMIFS(raw[stay],raw[ctry],Table15[[#This Row],[ctry]],raw[yr],Table15[[#This Row],[yr]],raw[mth],BL$2)</f>
        <v/>
      </c>
      <c r="BM16" s="1785">
        <f>SUMIFS(raw[stay],raw[ctry],Table15[[#This Row],[ctry]],raw[yr],Table15[[#This Row],[yr]],raw[mth],BM$2)</f>
        <v/>
      </c>
      <c r="BN16" s="1785">
        <f>SUMIFS(raw[stay],raw[ctry],Table15[[#This Row],[ctry]],raw[yr],Table15[[#This Row],[yr]],raw[mth],BN$2)</f>
        <v/>
      </c>
      <c r="BO16" s="1785">
        <f>SUMIFS(raw[stay],raw[ctry],Table15[[#This Row],[ctry]],raw[yr],Table15[[#This Row],[yr]],raw[mth],BO$2)</f>
        <v/>
      </c>
      <c r="BP16" s="1785">
        <f>SUMIFS(raw[stay],raw[ctry],Table15[[#This Row],[ctry]],raw[yr],Table15[[#This Row],[yr]],raw[mth],BP$2)</f>
        <v/>
      </c>
      <c r="BQ16" s="1785">
        <f>SUMIFS(raw[stay],raw[ctry],Table15[[#This Row],[ctry]],raw[yr],Table15[[#This Row],[yr]],raw[mth],BQ$2)</f>
        <v/>
      </c>
      <c r="BR16" s="1597">
        <f>COUNTIF(BF16:BQ16,"&gt;0")</f>
        <v/>
      </c>
      <c r="BS16" s="1600">
        <f>INT(SUM(BF16:BQ16))</f>
        <v/>
      </c>
      <c r="BT16" s="1597" t="inlineStr">
        <is>
          <t>.</t>
        </is>
      </c>
      <c r="BU16" s="1636" t="inlineStr">
        <is>
          <t>BEL</t>
        </is>
      </c>
      <c r="BV16" s="1603" t="n">
        <v>0</v>
      </c>
      <c r="BW16" s="1607" t="n">
        <v>7</v>
      </c>
      <c r="BX16" s="1611" t="inlineStr">
        <is>
          <t>.</t>
        </is>
      </c>
      <c r="BY16" s="1612" t="n"/>
      <c r="BZ16" s="1788">
        <f>BZ15+1</f>
        <v/>
      </c>
      <c r="CA16" s="1789" t="inlineStr">
        <is>
          <t>S</t>
        </is>
      </c>
      <c r="CB16" s="1804" t="inlineStr">
        <is>
          <t>PARAGUAI</t>
        </is>
      </c>
      <c r="CC16" s="1790" t="inlineStr">
        <is>
          <t>X</t>
        </is>
      </c>
      <c r="CD16" s="1790" t="n"/>
      <c r="CE16" s="1790" t="n"/>
      <c r="CF16" s="1790" t="n"/>
      <c r="CG16" s="1793" t="inlineStr">
        <is>
          <t>.</t>
        </is>
      </c>
    </row>
    <row r="17" ht="15" customHeight="1">
      <c r="A17" s="1596" t="n"/>
      <c r="B17" s="1794">
        <f>SUM(D17:AK17)</f>
        <v/>
      </c>
      <c r="C17" s="1795">
        <f>Table1[[#This Row],[ctry]]</f>
        <v/>
      </c>
      <c r="D17" s="1610">
        <f>COUNTIFS(entryCtry[ctry],Table6[[#This Row],[ctry]],entryCtry[yr],D$2)</f>
        <v/>
      </c>
      <c r="E17" s="1610">
        <f>COUNTIFS(entryCtry[ctry],Table6[[#This Row],[ctry]],entryCtry[yr],E$2)</f>
        <v/>
      </c>
      <c r="F17" s="1610">
        <f>COUNTIFS(entryCtry[ctry],Table6[[#This Row],[ctry]],entryCtry[yr],F$2)</f>
        <v/>
      </c>
      <c r="G17" s="1610">
        <f>COUNTIFS(entryCtry[ctry],Table6[[#This Row],[ctry]],entryCtry[yr],G$2)</f>
        <v/>
      </c>
      <c r="H17" s="1610">
        <f>COUNTIFS(entryCtry[ctry],Table6[[#This Row],[ctry]],entryCtry[yr],H$2)</f>
        <v/>
      </c>
      <c r="I17" s="1610">
        <f>COUNTIFS(entryCtry[ctry],Table6[[#This Row],[ctry]],entryCtry[yr],I$2)</f>
        <v/>
      </c>
      <c r="J17" s="1610">
        <f>COUNTIFS(entryCtry[ctry],Table6[[#This Row],[ctry]],entryCtry[yr],J$2)</f>
        <v/>
      </c>
      <c r="K17" s="1610">
        <f>COUNTIFS(entryCtry[ctry],Table6[[#This Row],[ctry]],entryCtry[yr],K$2)</f>
        <v/>
      </c>
      <c r="L17" s="1610">
        <f>COUNTIFS(entryCtry[ctry],Table6[[#This Row],[ctry]],entryCtry[yr],L$2)</f>
        <v/>
      </c>
      <c r="M17" s="1610">
        <f>COUNTIFS(entryCtry[ctry],Table6[[#This Row],[ctry]],entryCtry[yr],M$2)</f>
        <v/>
      </c>
      <c r="N17" s="1610">
        <f>COUNTIFS(entryCtry[ctry],Table6[[#This Row],[ctry]],entryCtry[yr],N$2)</f>
        <v/>
      </c>
      <c r="O17" s="1610">
        <f>COUNTIFS(entryCtry[ctry],Table6[[#This Row],[ctry]],entryCtry[yr],O$2)</f>
        <v/>
      </c>
      <c r="P17" s="1610">
        <f>COUNTIFS(entryCtry[ctry],Table6[[#This Row],[ctry]],entryCtry[yr],P$2)</f>
        <v/>
      </c>
      <c r="Q17" s="1610">
        <f>COUNTIFS(entryCtry[ctry],Table6[[#This Row],[ctry]],entryCtry[yr],Q$2)</f>
        <v/>
      </c>
      <c r="R17" s="1610">
        <f>COUNTIFS(entryCtry[ctry],Table6[[#This Row],[ctry]],entryCtry[yr],R$2)</f>
        <v/>
      </c>
      <c r="S17" s="1610">
        <f>COUNTIFS(entryCtry[ctry],Table6[[#This Row],[ctry]],entryCtry[yr],S$2)</f>
        <v/>
      </c>
      <c r="T17" s="1610">
        <f>COUNTIFS(entryCtry[ctry],Table6[[#This Row],[ctry]],entryCtry[yr],T$2)</f>
        <v/>
      </c>
      <c r="U17" s="1610">
        <f>COUNTIFS(entryCtry[ctry],Table6[[#This Row],[ctry]],entryCtry[yr],U$2)</f>
        <v/>
      </c>
      <c r="V17" s="1610">
        <f>COUNTIFS(entryCtry[ctry],Table6[[#This Row],[ctry]],entryCtry[yr],V$2)</f>
        <v/>
      </c>
      <c r="W17" s="1610">
        <f>COUNTIFS(entryCtry[ctry],Table6[[#This Row],[ctry]],entryCtry[yr],W$2)</f>
        <v/>
      </c>
      <c r="X17" s="1610">
        <f>COUNTIFS(entryCtry[ctry],Table6[[#This Row],[ctry]],entryCtry[yr],X$2)</f>
        <v/>
      </c>
      <c r="Y17" s="1610">
        <f>COUNTIFS(entryCtry[ctry],Table6[[#This Row],[ctry]],entryCtry[yr],Y$2)</f>
        <v/>
      </c>
      <c r="Z17" s="1610">
        <f>COUNTIFS(entryCtry[ctry],Table6[[#This Row],[ctry]],entryCtry[yr],Z$2)</f>
        <v/>
      </c>
      <c r="AA17" s="1610">
        <f>COUNTIFS(entryCtry[ctry],Table6[[#This Row],[ctry]],entryCtry[yr],AA$2)</f>
        <v/>
      </c>
      <c r="AB17" s="1610">
        <f>COUNTIFS(entryCtry[ctry],Table6[[#This Row],[ctry]],entryCtry[yr],AB$2)</f>
        <v/>
      </c>
      <c r="AC17" s="1610">
        <f>COUNTIFS(entryCtry[ctry],Table6[[#This Row],[ctry]],entryCtry[yr],AC$2)</f>
        <v/>
      </c>
      <c r="AD17" s="1610">
        <f>COUNTIFS(entryCtry[ctry],Table6[[#This Row],[ctry]],entryCtry[yr],AD$2)</f>
        <v/>
      </c>
      <c r="AE17" s="1610">
        <f>COUNTIFS(entryCtry[ctry],Table6[[#This Row],[ctry]],entryCtry[yr],AE$2)</f>
        <v/>
      </c>
      <c r="AF17" s="1610">
        <f>COUNTIFS(entryCtry[ctry],Table6[[#This Row],[ctry]],entryCtry[yr],AF$2)</f>
        <v/>
      </c>
      <c r="AG17" s="1610">
        <f>COUNTIFS(entryCtry[ctry],Table6[[#This Row],[ctry]],entryCtry[yr],AG$2)</f>
        <v/>
      </c>
      <c r="AH17" s="1610">
        <f>COUNTIFS(entryCtry[ctry],Table6[[#This Row],[ctry]],entryCtry[yr],AH$2)</f>
        <v/>
      </c>
      <c r="AI17" s="1610">
        <f>COUNTIFS(entryCtry[ctry],Table6[[#This Row],[ctry]],entryCtry[yr],AI$2)</f>
        <v/>
      </c>
      <c r="AJ17" s="1610">
        <f>COUNTIFS(entryCtry[ctry],Table6[[#This Row],[ctry]],entryCtry[yr],AJ$2)</f>
        <v/>
      </c>
      <c r="AK17" s="1680" t="inlineStr">
        <is>
          <t>.</t>
        </is>
      </c>
      <c r="AL17" s="1611" t="inlineStr">
        <is>
          <t>.</t>
        </is>
      </c>
      <c r="AM17" s="1783">
        <f>'@Main'!B21</f>
        <v/>
      </c>
      <c r="AN17" s="1597">
        <f>_xlfn.XLOOKUP(Table1[[#This Row],['#]],mainW['#],mainW[ctry],"-")</f>
        <v/>
      </c>
      <c r="AO17" s="1649">
        <f>SUMIFS(raw[stay],raw[ctry],Table1[[#This Row],[ctry]],raw[mth],AO$2)</f>
        <v/>
      </c>
      <c r="AP17" s="1649">
        <f>SUMIFS(raw[stay],raw[ctry],Table1[[#This Row],[ctry]],raw[mth],AP$2)</f>
        <v/>
      </c>
      <c r="AQ17" s="1649">
        <f>SUMIFS(raw[stay],raw[ctry],Table1[[#This Row],[ctry]],raw[mth],AQ$2)</f>
        <v/>
      </c>
      <c r="AR17" s="1649">
        <f>SUMIFS(raw[stay],raw[ctry],Table1[[#This Row],[ctry]],raw[mth],AR$2)</f>
        <v/>
      </c>
      <c r="AS17" s="1649">
        <f>SUMIFS(raw[stay],raw[ctry],Table1[[#This Row],[ctry]],raw[mth],AS$2)</f>
        <v/>
      </c>
      <c r="AT17" s="1649">
        <f>SUMIFS(raw[stay],raw[ctry],Table1[[#This Row],[ctry]],raw[mth],AT$2)</f>
        <v/>
      </c>
      <c r="AU17" s="1649">
        <f>SUMIFS(raw[stay],raw[ctry],Table1[[#This Row],[ctry]],raw[mth],AU$2)</f>
        <v/>
      </c>
      <c r="AV17" s="1649">
        <f>SUMIFS(raw[stay],raw[ctry],Table1[[#This Row],[ctry]],raw[mth],AV$2)</f>
        <v/>
      </c>
      <c r="AW17" s="1649">
        <f>SUMIFS(raw[stay],raw[ctry],Table1[[#This Row],[ctry]],raw[mth],AW$2)</f>
        <v/>
      </c>
      <c r="AX17" s="1649">
        <f>SUMIFS(raw[stay],raw[ctry],Table1[[#This Row],[ctry]],raw[mth],AX$2)</f>
        <v/>
      </c>
      <c r="AY17" s="1649">
        <f>SUMIFS(raw[stay],raw[ctry],Table1[[#This Row],[ctry]],raw[mth],AY$2)</f>
        <v/>
      </c>
      <c r="AZ17" s="1649">
        <f>SUMIFS(raw[stay],raw[ctry],Table1[[#This Row],[ctry]],raw[mth],AZ$2)</f>
        <v/>
      </c>
      <c r="BA17" s="1597">
        <f>COUNTIF(AO17:AZ17,"&gt;0")</f>
        <v/>
      </c>
      <c r="BB17" s="1784">
        <f>INT(SUM(AO17:AZ17))</f>
        <v/>
      </c>
      <c r="BC17" s="1611" t="inlineStr">
        <is>
          <t>.</t>
        </is>
      </c>
      <c r="BD17" s="1680">
        <f>BD16</f>
        <v/>
      </c>
      <c r="BE17" s="1597">
        <f>BE16+1</f>
        <v/>
      </c>
      <c r="BF17" s="1785">
        <f>SUMIFS(raw[stay],raw[ctry],Table15[[#This Row],[ctry]],raw[yr],Table15[[#This Row],[yr]],raw[mth],BF$2)</f>
        <v/>
      </c>
      <c r="BG17" s="1785">
        <f>SUMIFS(raw[stay],raw[ctry],Table15[[#This Row],[ctry]],raw[yr],Table15[[#This Row],[yr]],raw[mth],BG$2)</f>
        <v/>
      </c>
      <c r="BH17" s="1785">
        <f>SUMIFS(raw[stay],raw[ctry],Table15[[#This Row],[ctry]],raw[yr],Table15[[#This Row],[yr]],raw[mth],BH$2)</f>
        <v/>
      </c>
      <c r="BI17" s="1785">
        <f>SUMIFS(raw[stay],raw[ctry],Table15[[#This Row],[ctry]],raw[yr],Table15[[#This Row],[yr]],raw[mth],BI$2)</f>
        <v/>
      </c>
      <c r="BJ17" s="1785">
        <f>SUMIFS(raw[stay],raw[ctry],Table15[[#This Row],[ctry]],raw[yr],Table15[[#This Row],[yr]],raw[mth],BJ$2)</f>
        <v/>
      </c>
      <c r="BK17" s="1785">
        <f>SUMIFS(raw[stay],raw[ctry],Table15[[#This Row],[ctry]],raw[yr],Table15[[#This Row],[yr]],raw[mth],BK$2)</f>
        <v/>
      </c>
      <c r="BL17" s="1785">
        <f>SUMIFS(raw[stay],raw[ctry],Table15[[#This Row],[ctry]],raw[yr],Table15[[#This Row],[yr]],raw[mth],BL$2)</f>
        <v/>
      </c>
      <c r="BM17" s="1785">
        <f>SUMIFS(raw[stay],raw[ctry],Table15[[#This Row],[ctry]],raw[yr],Table15[[#This Row],[yr]],raw[mth],BM$2)</f>
        <v/>
      </c>
      <c r="BN17" s="1785">
        <f>SUMIFS(raw[stay],raw[ctry],Table15[[#This Row],[ctry]],raw[yr],Table15[[#This Row],[yr]],raw[mth],BN$2)</f>
        <v/>
      </c>
      <c r="BO17" s="1785">
        <f>SUMIFS(raw[stay],raw[ctry],Table15[[#This Row],[ctry]],raw[yr],Table15[[#This Row],[yr]],raw[mth],BO$2)</f>
        <v/>
      </c>
      <c r="BP17" s="1785">
        <f>SUMIFS(raw[stay],raw[ctry],Table15[[#This Row],[ctry]],raw[yr],Table15[[#This Row],[yr]],raw[mth],BP$2)</f>
        <v/>
      </c>
      <c r="BQ17" s="1785">
        <f>SUMIFS(raw[stay],raw[ctry],Table15[[#This Row],[ctry]],raw[yr],Table15[[#This Row],[yr]],raw[mth],BQ$2)</f>
        <v/>
      </c>
      <c r="BR17" s="1597">
        <f>COUNTIF(BF17:BQ17,"&gt;0")</f>
        <v/>
      </c>
      <c r="BS17" s="1600">
        <f>INT(SUM(BF17:BQ17))</f>
        <v/>
      </c>
      <c r="BT17" s="1597" t="inlineStr">
        <is>
          <t>.</t>
        </is>
      </c>
      <c r="BU17" s="1636" t="inlineStr">
        <is>
          <t>ARG</t>
        </is>
      </c>
      <c r="BV17" s="1603" t="n">
        <v>0</v>
      </c>
      <c r="BW17" s="1607" t="n">
        <v>3</v>
      </c>
      <c r="BX17" s="1611" t="inlineStr">
        <is>
          <t>.</t>
        </is>
      </c>
      <c r="BY17" s="1612" t="n"/>
      <c r="BZ17" s="1788">
        <f>BZ16+1</f>
        <v/>
      </c>
      <c r="CA17" s="1789" t="inlineStr">
        <is>
          <t>S</t>
        </is>
      </c>
      <c r="CB17" s="1804" t="inlineStr">
        <is>
          <t>PERU</t>
        </is>
      </c>
      <c r="CC17" s="1790" t="inlineStr">
        <is>
          <t>X</t>
        </is>
      </c>
      <c r="CD17" s="1790" t="inlineStr">
        <is>
          <t>X</t>
        </is>
      </c>
      <c r="CE17" s="1790" t="n"/>
      <c r="CF17" s="1790" t="n"/>
      <c r="CG17" s="1793" t="inlineStr">
        <is>
          <t>.</t>
        </is>
      </c>
    </row>
    <row r="18" ht="15" customHeight="1">
      <c r="A18" s="1615" t="n"/>
      <c r="B18" s="1781">
        <f>SUM(D18:AK18)</f>
        <v/>
      </c>
      <c r="C18" s="1782">
        <f>Table1[[#This Row],[ctry]]</f>
        <v/>
      </c>
      <c r="D18" s="1610">
        <f>COUNTIFS(entryCtry[ctry],Table6[[#This Row],[ctry]],entryCtry[yr],D$2)</f>
        <v/>
      </c>
      <c r="E18" s="1610">
        <f>COUNTIFS(entryCtry[ctry],Table6[[#This Row],[ctry]],entryCtry[yr],E$2)</f>
        <v/>
      </c>
      <c r="F18" s="1610">
        <f>COUNTIFS(entryCtry[ctry],Table6[[#This Row],[ctry]],entryCtry[yr],F$2)</f>
        <v/>
      </c>
      <c r="G18" s="1610">
        <f>COUNTIFS(entryCtry[ctry],Table6[[#This Row],[ctry]],entryCtry[yr],G$2)</f>
        <v/>
      </c>
      <c r="H18" s="1610">
        <f>COUNTIFS(entryCtry[ctry],Table6[[#This Row],[ctry]],entryCtry[yr],H$2)</f>
        <v/>
      </c>
      <c r="I18" s="1610">
        <f>COUNTIFS(entryCtry[ctry],Table6[[#This Row],[ctry]],entryCtry[yr],I$2)</f>
        <v/>
      </c>
      <c r="J18" s="1610">
        <f>COUNTIFS(entryCtry[ctry],Table6[[#This Row],[ctry]],entryCtry[yr],J$2)</f>
        <v/>
      </c>
      <c r="K18" s="1610">
        <f>COUNTIFS(entryCtry[ctry],Table6[[#This Row],[ctry]],entryCtry[yr],K$2)</f>
        <v/>
      </c>
      <c r="L18" s="1610">
        <f>COUNTIFS(entryCtry[ctry],Table6[[#This Row],[ctry]],entryCtry[yr],L$2)</f>
        <v/>
      </c>
      <c r="M18" s="1610">
        <f>COUNTIFS(entryCtry[ctry],Table6[[#This Row],[ctry]],entryCtry[yr],M$2)</f>
        <v/>
      </c>
      <c r="N18" s="1610">
        <f>COUNTIFS(entryCtry[ctry],Table6[[#This Row],[ctry]],entryCtry[yr],N$2)</f>
        <v/>
      </c>
      <c r="O18" s="1610">
        <f>COUNTIFS(entryCtry[ctry],Table6[[#This Row],[ctry]],entryCtry[yr],O$2)</f>
        <v/>
      </c>
      <c r="P18" s="1610">
        <f>COUNTIFS(entryCtry[ctry],Table6[[#This Row],[ctry]],entryCtry[yr],P$2)</f>
        <v/>
      </c>
      <c r="Q18" s="1610">
        <f>COUNTIFS(entryCtry[ctry],Table6[[#This Row],[ctry]],entryCtry[yr],Q$2)</f>
        <v/>
      </c>
      <c r="R18" s="1610">
        <f>COUNTIFS(entryCtry[ctry],Table6[[#This Row],[ctry]],entryCtry[yr],R$2)</f>
        <v/>
      </c>
      <c r="S18" s="1610">
        <f>COUNTIFS(entryCtry[ctry],Table6[[#This Row],[ctry]],entryCtry[yr],S$2)</f>
        <v/>
      </c>
      <c r="T18" s="1610">
        <f>COUNTIFS(entryCtry[ctry],Table6[[#This Row],[ctry]],entryCtry[yr],T$2)</f>
        <v/>
      </c>
      <c r="U18" s="1610">
        <f>COUNTIFS(entryCtry[ctry],Table6[[#This Row],[ctry]],entryCtry[yr],U$2)</f>
        <v/>
      </c>
      <c r="V18" s="1610">
        <f>COUNTIFS(entryCtry[ctry],Table6[[#This Row],[ctry]],entryCtry[yr],V$2)</f>
        <v/>
      </c>
      <c r="W18" s="1610">
        <f>COUNTIFS(entryCtry[ctry],Table6[[#This Row],[ctry]],entryCtry[yr],W$2)</f>
        <v/>
      </c>
      <c r="X18" s="1610">
        <f>COUNTIFS(entryCtry[ctry],Table6[[#This Row],[ctry]],entryCtry[yr],X$2)</f>
        <v/>
      </c>
      <c r="Y18" s="1610">
        <f>COUNTIFS(entryCtry[ctry],Table6[[#This Row],[ctry]],entryCtry[yr],Y$2)</f>
        <v/>
      </c>
      <c r="Z18" s="1610">
        <f>COUNTIFS(entryCtry[ctry],Table6[[#This Row],[ctry]],entryCtry[yr],Z$2)</f>
        <v/>
      </c>
      <c r="AA18" s="1610">
        <f>COUNTIFS(entryCtry[ctry],Table6[[#This Row],[ctry]],entryCtry[yr],AA$2)</f>
        <v/>
      </c>
      <c r="AB18" s="1610">
        <f>COUNTIFS(entryCtry[ctry],Table6[[#This Row],[ctry]],entryCtry[yr],AB$2)</f>
        <v/>
      </c>
      <c r="AC18" s="1610">
        <f>COUNTIFS(entryCtry[ctry],Table6[[#This Row],[ctry]],entryCtry[yr],AC$2)</f>
        <v/>
      </c>
      <c r="AD18" s="1610">
        <f>COUNTIFS(entryCtry[ctry],Table6[[#This Row],[ctry]],entryCtry[yr],AD$2)</f>
        <v/>
      </c>
      <c r="AE18" s="1610">
        <f>COUNTIFS(entryCtry[ctry],Table6[[#This Row],[ctry]],entryCtry[yr],AE$2)</f>
        <v/>
      </c>
      <c r="AF18" s="1610">
        <f>COUNTIFS(entryCtry[ctry],Table6[[#This Row],[ctry]],entryCtry[yr],AF$2)</f>
        <v/>
      </c>
      <c r="AG18" s="1610">
        <f>COUNTIFS(entryCtry[ctry],Table6[[#This Row],[ctry]],entryCtry[yr],AG$2)</f>
        <v/>
      </c>
      <c r="AH18" s="1610">
        <f>COUNTIFS(entryCtry[ctry],Table6[[#This Row],[ctry]],entryCtry[yr],AH$2)</f>
        <v/>
      </c>
      <c r="AI18" s="1610">
        <f>COUNTIFS(entryCtry[ctry],Table6[[#This Row],[ctry]],entryCtry[yr],AI$2)</f>
        <v/>
      </c>
      <c r="AJ18" s="1610">
        <f>COUNTIFS(entryCtry[ctry],Table6[[#This Row],[ctry]],entryCtry[yr],AJ$2)</f>
        <v/>
      </c>
      <c r="AK18" s="1680" t="inlineStr">
        <is>
          <t>.</t>
        </is>
      </c>
      <c r="AL18" s="1611" t="inlineStr">
        <is>
          <t>.</t>
        </is>
      </c>
      <c r="AM18" s="1783">
        <f>'@Main'!B22</f>
        <v/>
      </c>
      <c r="AN18" s="1597">
        <f>_xlfn.XLOOKUP(Table1[[#This Row],['#]],mainW['#],mainW[ctry],"-")</f>
        <v/>
      </c>
      <c r="AO18" s="1649">
        <f>SUMIFS(raw[stay],raw[ctry],Table1[[#This Row],[ctry]],raw[mth],AO$2)</f>
        <v/>
      </c>
      <c r="AP18" s="1649">
        <f>SUMIFS(raw[stay],raw[ctry],Table1[[#This Row],[ctry]],raw[mth],AP$2)</f>
        <v/>
      </c>
      <c r="AQ18" s="1649">
        <f>SUMIFS(raw[stay],raw[ctry],Table1[[#This Row],[ctry]],raw[mth],AQ$2)</f>
        <v/>
      </c>
      <c r="AR18" s="1649">
        <f>SUMIFS(raw[stay],raw[ctry],Table1[[#This Row],[ctry]],raw[mth],AR$2)</f>
        <v/>
      </c>
      <c r="AS18" s="1649">
        <f>SUMIFS(raw[stay],raw[ctry],Table1[[#This Row],[ctry]],raw[mth],AS$2)</f>
        <v/>
      </c>
      <c r="AT18" s="1649">
        <f>SUMIFS(raw[stay],raw[ctry],Table1[[#This Row],[ctry]],raw[mth],AT$2)</f>
        <v/>
      </c>
      <c r="AU18" s="1649">
        <f>SUMIFS(raw[stay],raw[ctry],Table1[[#This Row],[ctry]],raw[mth],AU$2)</f>
        <v/>
      </c>
      <c r="AV18" s="1649">
        <f>SUMIFS(raw[stay],raw[ctry],Table1[[#This Row],[ctry]],raw[mth],AV$2)</f>
        <v/>
      </c>
      <c r="AW18" s="1649">
        <f>SUMIFS(raw[stay],raw[ctry],Table1[[#This Row],[ctry]],raw[mth],AW$2)</f>
        <v/>
      </c>
      <c r="AX18" s="1649">
        <f>SUMIFS(raw[stay],raw[ctry],Table1[[#This Row],[ctry]],raw[mth],AX$2)</f>
        <v/>
      </c>
      <c r="AY18" s="1649">
        <f>SUMIFS(raw[stay],raw[ctry],Table1[[#This Row],[ctry]],raw[mth],AY$2)</f>
        <v/>
      </c>
      <c r="AZ18" s="1649">
        <f>SUMIFS(raw[stay],raw[ctry],Table1[[#This Row],[ctry]],raw[mth],AZ$2)</f>
        <v/>
      </c>
      <c r="BA18" s="1597">
        <f>COUNTIF(AO18:AZ18,"&gt;0")</f>
        <v/>
      </c>
      <c r="BB18" s="1784">
        <f>INT(SUM(AO18:AZ18))</f>
        <v/>
      </c>
      <c r="BC18" s="1611" t="inlineStr">
        <is>
          <t>.</t>
        </is>
      </c>
      <c r="BD18" s="1680">
        <f>BD17</f>
        <v/>
      </c>
      <c r="BE18" s="1597">
        <f>BE17+1</f>
        <v/>
      </c>
      <c r="BF18" s="1785">
        <f>SUMIFS(raw[stay],raw[ctry],Table15[[#This Row],[ctry]],raw[yr],Table15[[#This Row],[yr]],raw[mth],BF$2)</f>
        <v/>
      </c>
      <c r="BG18" s="1785">
        <f>SUMIFS(raw[stay],raw[ctry],Table15[[#This Row],[ctry]],raw[yr],Table15[[#This Row],[yr]],raw[mth],BG$2)</f>
        <v/>
      </c>
      <c r="BH18" s="1785">
        <f>SUMIFS(raw[stay],raw[ctry],Table15[[#This Row],[ctry]],raw[yr],Table15[[#This Row],[yr]],raw[mth],BH$2)</f>
        <v/>
      </c>
      <c r="BI18" s="1785">
        <f>SUMIFS(raw[stay],raw[ctry],Table15[[#This Row],[ctry]],raw[yr],Table15[[#This Row],[yr]],raw[mth],BI$2)</f>
        <v/>
      </c>
      <c r="BJ18" s="1785">
        <f>SUMIFS(raw[stay],raw[ctry],Table15[[#This Row],[ctry]],raw[yr],Table15[[#This Row],[yr]],raw[mth],BJ$2)</f>
        <v/>
      </c>
      <c r="BK18" s="1785">
        <f>SUMIFS(raw[stay],raw[ctry],Table15[[#This Row],[ctry]],raw[yr],Table15[[#This Row],[yr]],raw[mth],BK$2)</f>
        <v/>
      </c>
      <c r="BL18" s="1785">
        <f>SUMIFS(raw[stay],raw[ctry],Table15[[#This Row],[ctry]],raw[yr],Table15[[#This Row],[yr]],raw[mth],BL$2)</f>
        <v/>
      </c>
      <c r="BM18" s="1785">
        <f>SUMIFS(raw[stay],raw[ctry],Table15[[#This Row],[ctry]],raw[yr],Table15[[#This Row],[yr]],raw[mth],BM$2)</f>
        <v/>
      </c>
      <c r="BN18" s="1785">
        <f>SUMIFS(raw[stay],raw[ctry],Table15[[#This Row],[ctry]],raw[yr],Table15[[#This Row],[yr]],raw[mth],BN$2)</f>
        <v/>
      </c>
      <c r="BO18" s="1785">
        <f>SUMIFS(raw[stay],raw[ctry],Table15[[#This Row],[ctry]],raw[yr],Table15[[#This Row],[yr]],raw[mth],BO$2)</f>
        <v/>
      </c>
      <c r="BP18" s="1785">
        <f>SUMIFS(raw[stay],raw[ctry],Table15[[#This Row],[ctry]],raw[yr],Table15[[#This Row],[yr]],raw[mth],BP$2)</f>
        <v/>
      </c>
      <c r="BQ18" s="1785">
        <f>SUMIFS(raw[stay],raw[ctry],Table15[[#This Row],[ctry]],raw[yr],Table15[[#This Row],[yr]],raw[mth],BQ$2)</f>
        <v/>
      </c>
      <c r="BR18" s="1597">
        <f>COUNTIF(BF18:BQ18,"&gt;0")</f>
        <v/>
      </c>
      <c r="BS18" s="1600">
        <f>INT(SUM(BF18:BQ18))</f>
        <v/>
      </c>
      <c r="BT18" s="1597" t="inlineStr">
        <is>
          <t>.</t>
        </is>
      </c>
      <c r="BU18" s="1636" t="inlineStr">
        <is>
          <t>MEX</t>
        </is>
      </c>
      <c r="BV18" s="1603" t="n">
        <v>0</v>
      </c>
      <c r="BW18" s="1607" t="n">
        <v>3</v>
      </c>
      <c r="BX18" s="1611" t="inlineStr">
        <is>
          <t>.</t>
        </is>
      </c>
      <c r="BY18" s="1612" t="n"/>
      <c r="BZ18" s="1788">
        <f>BZ17+1</f>
        <v/>
      </c>
      <c r="CA18" s="1789" t="inlineStr">
        <is>
          <t>S</t>
        </is>
      </c>
      <c r="CB18" s="1804" t="inlineStr">
        <is>
          <t>URUGUAI</t>
        </is>
      </c>
      <c r="CC18" s="1790" t="inlineStr">
        <is>
          <t>X</t>
        </is>
      </c>
      <c r="CD18" s="1790" t="inlineStr">
        <is>
          <t>X</t>
        </is>
      </c>
      <c r="CE18" s="1790" t="inlineStr">
        <is>
          <t>X</t>
        </is>
      </c>
      <c r="CF18" s="1790" t="n"/>
      <c r="CG18" s="1793" t="inlineStr">
        <is>
          <t>.</t>
        </is>
      </c>
    </row>
    <row r="19" ht="15" customHeight="1">
      <c r="A19" s="1596" t="n"/>
      <c r="B19" s="1794">
        <f>SUM(D19:AK19)</f>
        <v/>
      </c>
      <c r="C19" s="1795">
        <f>Table1[[#This Row],[ctry]]</f>
        <v/>
      </c>
      <c r="D19" s="1610">
        <f>COUNTIFS(entryCtry[ctry],Table6[[#This Row],[ctry]],entryCtry[yr],D$2)</f>
        <v/>
      </c>
      <c r="E19" s="1610">
        <f>COUNTIFS(entryCtry[ctry],Table6[[#This Row],[ctry]],entryCtry[yr],E$2)</f>
        <v/>
      </c>
      <c r="F19" s="1610">
        <f>COUNTIFS(entryCtry[ctry],Table6[[#This Row],[ctry]],entryCtry[yr],F$2)</f>
        <v/>
      </c>
      <c r="G19" s="1610">
        <f>COUNTIFS(entryCtry[ctry],Table6[[#This Row],[ctry]],entryCtry[yr],G$2)</f>
        <v/>
      </c>
      <c r="H19" s="1610">
        <f>COUNTIFS(entryCtry[ctry],Table6[[#This Row],[ctry]],entryCtry[yr],H$2)</f>
        <v/>
      </c>
      <c r="I19" s="1610">
        <f>COUNTIFS(entryCtry[ctry],Table6[[#This Row],[ctry]],entryCtry[yr],I$2)</f>
        <v/>
      </c>
      <c r="J19" s="1610">
        <f>COUNTIFS(entryCtry[ctry],Table6[[#This Row],[ctry]],entryCtry[yr],J$2)</f>
        <v/>
      </c>
      <c r="K19" s="1610">
        <f>COUNTIFS(entryCtry[ctry],Table6[[#This Row],[ctry]],entryCtry[yr],K$2)</f>
        <v/>
      </c>
      <c r="L19" s="1610">
        <f>COUNTIFS(entryCtry[ctry],Table6[[#This Row],[ctry]],entryCtry[yr],L$2)</f>
        <v/>
      </c>
      <c r="M19" s="1610">
        <f>COUNTIFS(entryCtry[ctry],Table6[[#This Row],[ctry]],entryCtry[yr],M$2)</f>
        <v/>
      </c>
      <c r="N19" s="1610">
        <f>COUNTIFS(entryCtry[ctry],Table6[[#This Row],[ctry]],entryCtry[yr],N$2)</f>
        <v/>
      </c>
      <c r="O19" s="1610">
        <f>COUNTIFS(entryCtry[ctry],Table6[[#This Row],[ctry]],entryCtry[yr],O$2)</f>
        <v/>
      </c>
      <c r="P19" s="1610">
        <f>COUNTIFS(entryCtry[ctry],Table6[[#This Row],[ctry]],entryCtry[yr],P$2)</f>
        <v/>
      </c>
      <c r="Q19" s="1610">
        <f>COUNTIFS(entryCtry[ctry],Table6[[#This Row],[ctry]],entryCtry[yr],Q$2)</f>
        <v/>
      </c>
      <c r="R19" s="1610">
        <f>COUNTIFS(entryCtry[ctry],Table6[[#This Row],[ctry]],entryCtry[yr],R$2)</f>
        <v/>
      </c>
      <c r="S19" s="1610">
        <f>COUNTIFS(entryCtry[ctry],Table6[[#This Row],[ctry]],entryCtry[yr],S$2)</f>
        <v/>
      </c>
      <c r="T19" s="1610">
        <f>COUNTIFS(entryCtry[ctry],Table6[[#This Row],[ctry]],entryCtry[yr],T$2)</f>
        <v/>
      </c>
      <c r="U19" s="1610">
        <f>COUNTIFS(entryCtry[ctry],Table6[[#This Row],[ctry]],entryCtry[yr],U$2)</f>
        <v/>
      </c>
      <c r="V19" s="1610">
        <f>COUNTIFS(entryCtry[ctry],Table6[[#This Row],[ctry]],entryCtry[yr],V$2)</f>
        <v/>
      </c>
      <c r="W19" s="1610">
        <f>COUNTIFS(entryCtry[ctry],Table6[[#This Row],[ctry]],entryCtry[yr],W$2)</f>
        <v/>
      </c>
      <c r="X19" s="1610">
        <f>COUNTIFS(entryCtry[ctry],Table6[[#This Row],[ctry]],entryCtry[yr],X$2)</f>
        <v/>
      </c>
      <c r="Y19" s="1610">
        <f>COUNTIFS(entryCtry[ctry],Table6[[#This Row],[ctry]],entryCtry[yr],Y$2)</f>
        <v/>
      </c>
      <c r="Z19" s="1610">
        <f>COUNTIFS(entryCtry[ctry],Table6[[#This Row],[ctry]],entryCtry[yr],Z$2)</f>
        <v/>
      </c>
      <c r="AA19" s="1610">
        <f>COUNTIFS(entryCtry[ctry],Table6[[#This Row],[ctry]],entryCtry[yr],AA$2)</f>
        <v/>
      </c>
      <c r="AB19" s="1610">
        <f>COUNTIFS(entryCtry[ctry],Table6[[#This Row],[ctry]],entryCtry[yr],AB$2)</f>
        <v/>
      </c>
      <c r="AC19" s="1610">
        <f>COUNTIFS(entryCtry[ctry],Table6[[#This Row],[ctry]],entryCtry[yr],AC$2)</f>
        <v/>
      </c>
      <c r="AD19" s="1610">
        <f>COUNTIFS(entryCtry[ctry],Table6[[#This Row],[ctry]],entryCtry[yr],AD$2)</f>
        <v/>
      </c>
      <c r="AE19" s="1610">
        <f>COUNTIFS(entryCtry[ctry],Table6[[#This Row],[ctry]],entryCtry[yr],AE$2)</f>
        <v/>
      </c>
      <c r="AF19" s="1610">
        <f>COUNTIFS(entryCtry[ctry],Table6[[#This Row],[ctry]],entryCtry[yr],AF$2)</f>
        <v/>
      </c>
      <c r="AG19" s="1610">
        <f>COUNTIFS(entryCtry[ctry],Table6[[#This Row],[ctry]],entryCtry[yr],AG$2)</f>
        <v/>
      </c>
      <c r="AH19" s="1610">
        <f>COUNTIFS(entryCtry[ctry],Table6[[#This Row],[ctry]],entryCtry[yr],AH$2)</f>
        <v/>
      </c>
      <c r="AI19" s="1610">
        <f>COUNTIFS(entryCtry[ctry],Table6[[#This Row],[ctry]],entryCtry[yr],AI$2)</f>
        <v/>
      </c>
      <c r="AJ19" s="1610">
        <f>COUNTIFS(entryCtry[ctry],Table6[[#This Row],[ctry]],entryCtry[yr],AJ$2)</f>
        <v/>
      </c>
      <c r="AK19" s="1680" t="inlineStr">
        <is>
          <t>.</t>
        </is>
      </c>
      <c r="AL19" s="1611" t="inlineStr">
        <is>
          <t>.</t>
        </is>
      </c>
      <c r="AM19" s="1783">
        <f>'@Main'!B23</f>
        <v/>
      </c>
      <c r="AN19" s="1597">
        <f>_xlfn.XLOOKUP(Table1[[#This Row],['#]],mainW['#],mainW[ctry],"-")</f>
        <v/>
      </c>
      <c r="AO19" s="1649">
        <f>SUMIFS(raw[stay],raw[ctry],Table1[[#This Row],[ctry]],raw[mth],AO$2)</f>
        <v/>
      </c>
      <c r="AP19" s="1649">
        <f>SUMIFS(raw[stay],raw[ctry],Table1[[#This Row],[ctry]],raw[mth],AP$2)</f>
        <v/>
      </c>
      <c r="AQ19" s="1649">
        <f>SUMIFS(raw[stay],raw[ctry],Table1[[#This Row],[ctry]],raw[mth],AQ$2)</f>
        <v/>
      </c>
      <c r="AR19" s="1649">
        <f>SUMIFS(raw[stay],raw[ctry],Table1[[#This Row],[ctry]],raw[mth],AR$2)</f>
        <v/>
      </c>
      <c r="AS19" s="1649">
        <f>SUMIFS(raw[stay],raw[ctry],Table1[[#This Row],[ctry]],raw[mth],AS$2)</f>
        <v/>
      </c>
      <c r="AT19" s="1649">
        <f>SUMIFS(raw[stay],raw[ctry],Table1[[#This Row],[ctry]],raw[mth],AT$2)</f>
        <v/>
      </c>
      <c r="AU19" s="1649">
        <f>SUMIFS(raw[stay],raw[ctry],Table1[[#This Row],[ctry]],raw[mth],AU$2)</f>
        <v/>
      </c>
      <c r="AV19" s="1649">
        <f>SUMIFS(raw[stay],raw[ctry],Table1[[#This Row],[ctry]],raw[mth],AV$2)</f>
        <v/>
      </c>
      <c r="AW19" s="1649">
        <f>SUMIFS(raw[stay],raw[ctry],Table1[[#This Row],[ctry]],raw[mth],AW$2)</f>
        <v/>
      </c>
      <c r="AX19" s="1649">
        <f>SUMIFS(raw[stay],raw[ctry],Table1[[#This Row],[ctry]],raw[mth],AX$2)</f>
        <v/>
      </c>
      <c r="AY19" s="1649">
        <f>SUMIFS(raw[stay],raw[ctry],Table1[[#This Row],[ctry]],raw[mth],AY$2)</f>
        <v/>
      </c>
      <c r="AZ19" s="1649">
        <f>SUMIFS(raw[stay],raw[ctry],Table1[[#This Row],[ctry]],raw[mth],AZ$2)</f>
        <v/>
      </c>
      <c r="BA19" s="1597">
        <f>COUNTIF(AO19:AZ19,"&gt;0")</f>
        <v/>
      </c>
      <c r="BB19" s="1784">
        <f>INT(SUM(AO19:AZ19))</f>
        <v/>
      </c>
      <c r="BC19" s="1611" t="inlineStr">
        <is>
          <t>.</t>
        </is>
      </c>
      <c r="BD19" s="1680">
        <f>BD18</f>
        <v/>
      </c>
      <c r="BE19" s="1597">
        <f>BE18+1</f>
        <v/>
      </c>
      <c r="BF19" s="1785">
        <f>SUMIFS(raw[stay],raw[ctry],Table15[[#This Row],[ctry]],raw[yr],Table15[[#This Row],[yr]],raw[mth],BF$2)</f>
        <v/>
      </c>
      <c r="BG19" s="1785">
        <f>SUMIFS(raw[stay],raw[ctry],Table15[[#This Row],[ctry]],raw[yr],Table15[[#This Row],[yr]],raw[mth],BG$2)</f>
        <v/>
      </c>
      <c r="BH19" s="1785">
        <f>SUMIFS(raw[stay],raw[ctry],Table15[[#This Row],[ctry]],raw[yr],Table15[[#This Row],[yr]],raw[mth],BH$2)</f>
        <v/>
      </c>
      <c r="BI19" s="1785">
        <f>SUMIFS(raw[stay],raw[ctry],Table15[[#This Row],[ctry]],raw[yr],Table15[[#This Row],[yr]],raw[mth],BI$2)</f>
        <v/>
      </c>
      <c r="BJ19" s="1785">
        <f>SUMIFS(raw[stay],raw[ctry],Table15[[#This Row],[ctry]],raw[yr],Table15[[#This Row],[yr]],raw[mth],BJ$2)</f>
        <v/>
      </c>
      <c r="BK19" s="1785">
        <f>SUMIFS(raw[stay],raw[ctry],Table15[[#This Row],[ctry]],raw[yr],Table15[[#This Row],[yr]],raw[mth],BK$2)</f>
        <v/>
      </c>
      <c r="BL19" s="1785">
        <f>SUMIFS(raw[stay],raw[ctry],Table15[[#This Row],[ctry]],raw[yr],Table15[[#This Row],[yr]],raw[mth],BL$2)</f>
        <v/>
      </c>
      <c r="BM19" s="1785">
        <f>SUMIFS(raw[stay],raw[ctry],Table15[[#This Row],[ctry]],raw[yr],Table15[[#This Row],[yr]],raw[mth],BM$2)</f>
        <v/>
      </c>
      <c r="BN19" s="1785">
        <f>SUMIFS(raw[stay],raw[ctry],Table15[[#This Row],[ctry]],raw[yr],Table15[[#This Row],[yr]],raw[mth],BN$2)</f>
        <v/>
      </c>
      <c r="BO19" s="1785">
        <f>SUMIFS(raw[stay],raw[ctry],Table15[[#This Row],[ctry]],raw[yr],Table15[[#This Row],[yr]],raw[mth],BO$2)</f>
        <v/>
      </c>
      <c r="BP19" s="1785">
        <f>SUMIFS(raw[stay],raw[ctry],Table15[[#This Row],[ctry]],raw[yr],Table15[[#This Row],[yr]],raw[mth],BP$2)</f>
        <v/>
      </c>
      <c r="BQ19" s="1785">
        <f>SUMIFS(raw[stay],raw[ctry],Table15[[#This Row],[ctry]],raw[yr],Table15[[#This Row],[yr]],raw[mth],BQ$2)</f>
        <v/>
      </c>
      <c r="BR19" s="1597">
        <f>COUNTIF(BF19:BQ19,"&gt;0")</f>
        <v/>
      </c>
      <c r="BS19" s="1600">
        <f>INT(SUM(BF19:BQ19))</f>
        <v/>
      </c>
      <c r="BT19" s="1597" t="inlineStr">
        <is>
          <t>.</t>
        </is>
      </c>
      <c r="BU19" s="1636" t="inlineStr">
        <is>
          <t>PAN</t>
        </is>
      </c>
      <c r="BV19" s="1603" t="n">
        <v>0</v>
      </c>
      <c r="BW19" s="1607" t="n">
        <v>3</v>
      </c>
      <c r="BX19" s="1611" t="inlineStr">
        <is>
          <t>.</t>
        </is>
      </c>
      <c r="BY19" s="1612" t="n"/>
      <c r="BZ19" s="1788">
        <f>BZ18+1</f>
        <v/>
      </c>
      <c r="CA19" s="1789" t="inlineStr">
        <is>
          <t>S</t>
        </is>
      </c>
      <c r="CB19" s="1804" t="inlineStr">
        <is>
          <t>VENEZUELA</t>
        </is>
      </c>
      <c r="CC19" s="1790" t="inlineStr">
        <is>
          <t>X</t>
        </is>
      </c>
      <c r="CD19" s="1790" t="n"/>
      <c r="CE19" s="1790" t="n"/>
      <c r="CF19" s="1790" t="n"/>
      <c r="CG19" s="1793" t="inlineStr">
        <is>
          <t>.</t>
        </is>
      </c>
    </row>
    <row r="20" ht="15" customHeight="1">
      <c r="A20" s="1615" t="n"/>
      <c r="B20" s="1781">
        <f>SUM(D20:AK20)</f>
        <v/>
      </c>
      <c r="C20" s="1782">
        <f>Table1[[#This Row],[ctry]]</f>
        <v/>
      </c>
      <c r="D20" s="1610">
        <f>COUNTIFS(entryCtry[ctry],Table6[[#This Row],[ctry]],entryCtry[yr],D$2)</f>
        <v/>
      </c>
      <c r="E20" s="1610">
        <f>COUNTIFS(entryCtry[ctry],Table6[[#This Row],[ctry]],entryCtry[yr],E$2)</f>
        <v/>
      </c>
      <c r="F20" s="1610">
        <f>COUNTIFS(entryCtry[ctry],Table6[[#This Row],[ctry]],entryCtry[yr],F$2)</f>
        <v/>
      </c>
      <c r="G20" s="1610">
        <f>COUNTIFS(entryCtry[ctry],Table6[[#This Row],[ctry]],entryCtry[yr],G$2)</f>
        <v/>
      </c>
      <c r="H20" s="1610">
        <f>COUNTIFS(entryCtry[ctry],Table6[[#This Row],[ctry]],entryCtry[yr],H$2)</f>
        <v/>
      </c>
      <c r="I20" s="1610">
        <f>COUNTIFS(entryCtry[ctry],Table6[[#This Row],[ctry]],entryCtry[yr],I$2)</f>
        <v/>
      </c>
      <c r="J20" s="1610">
        <f>COUNTIFS(entryCtry[ctry],Table6[[#This Row],[ctry]],entryCtry[yr],J$2)</f>
        <v/>
      </c>
      <c r="K20" s="1610">
        <f>COUNTIFS(entryCtry[ctry],Table6[[#This Row],[ctry]],entryCtry[yr],K$2)</f>
        <v/>
      </c>
      <c r="L20" s="1610">
        <f>COUNTIFS(entryCtry[ctry],Table6[[#This Row],[ctry]],entryCtry[yr],L$2)</f>
        <v/>
      </c>
      <c r="M20" s="1610">
        <f>COUNTIFS(entryCtry[ctry],Table6[[#This Row],[ctry]],entryCtry[yr],M$2)</f>
        <v/>
      </c>
      <c r="N20" s="1610">
        <f>COUNTIFS(entryCtry[ctry],Table6[[#This Row],[ctry]],entryCtry[yr],N$2)</f>
        <v/>
      </c>
      <c r="O20" s="1610">
        <f>COUNTIFS(entryCtry[ctry],Table6[[#This Row],[ctry]],entryCtry[yr],O$2)</f>
        <v/>
      </c>
      <c r="P20" s="1610">
        <f>COUNTIFS(entryCtry[ctry],Table6[[#This Row],[ctry]],entryCtry[yr],P$2)</f>
        <v/>
      </c>
      <c r="Q20" s="1610">
        <f>COUNTIFS(entryCtry[ctry],Table6[[#This Row],[ctry]],entryCtry[yr],Q$2)</f>
        <v/>
      </c>
      <c r="R20" s="1610">
        <f>COUNTIFS(entryCtry[ctry],Table6[[#This Row],[ctry]],entryCtry[yr],R$2)</f>
        <v/>
      </c>
      <c r="S20" s="1610">
        <f>COUNTIFS(entryCtry[ctry],Table6[[#This Row],[ctry]],entryCtry[yr],S$2)</f>
        <v/>
      </c>
      <c r="T20" s="1610">
        <f>COUNTIFS(entryCtry[ctry],Table6[[#This Row],[ctry]],entryCtry[yr],T$2)</f>
        <v/>
      </c>
      <c r="U20" s="1610">
        <f>COUNTIFS(entryCtry[ctry],Table6[[#This Row],[ctry]],entryCtry[yr],U$2)</f>
        <v/>
      </c>
      <c r="V20" s="1610">
        <f>COUNTIFS(entryCtry[ctry],Table6[[#This Row],[ctry]],entryCtry[yr],V$2)</f>
        <v/>
      </c>
      <c r="W20" s="1610">
        <f>COUNTIFS(entryCtry[ctry],Table6[[#This Row],[ctry]],entryCtry[yr],W$2)</f>
        <v/>
      </c>
      <c r="X20" s="1610">
        <f>COUNTIFS(entryCtry[ctry],Table6[[#This Row],[ctry]],entryCtry[yr],X$2)</f>
        <v/>
      </c>
      <c r="Y20" s="1610">
        <f>COUNTIFS(entryCtry[ctry],Table6[[#This Row],[ctry]],entryCtry[yr],Y$2)</f>
        <v/>
      </c>
      <c r="Z20" s="1610">
        <f>COUNTIFS(entryCtry[ctry],Table6[[#This Row],[ctry]],entryCtry[yr],Z$2)</f>
        <v/>
      </c>
      <c r="AA20" s="1610">
        <f>COUNTIFS(entryCtry[ctry],Table6[[#This Row],[ctry]],entryCtry[yr],AA$2)</f>
        <v/>
      </c>
      <c r="AB20" s="1610">
        <f>COUNTIFS(entryCtry[ctry],Table6[[#This Row],[ctry]],entryCtry[yr],AB$2)</f>
        <v/>
      </c>
      <c r="AC20" s="1610">
        <f>COUNTIFS(entryCtry[ctry],Table6[[#This Row],[ctry]],entryCtry[yr],AC$2)</f>
        <v/>
      </c>
      <c r="AD20" s="1610">
        <f>COUNTIFS(entryCtry[ctry],Table6[[#This Row],[ctry]],entryCtry[yr],AD$2)</f>
        <v/>
      </c>
      <c r="AE20" s="1610">
        <f>COUNTIFS(entryCtry[ctry],Table6[[#This Row],[ctry]],entryCtry[yr],AE$2)</f>
        <v/>
      </c>
      <c r="AF20" s="1610">
        <f>COUNTIFS(entryCtry[ctry],Table6[[#This Row],[ctry]],entryCtry[yr],AF$2)</f>
        <v/>
      </c>
      <c r="AG20" s="1610">
        <f>COUNTIFS(entryCtry[ctry],Table6[[#This Row],[ctry]],entryCtry[yr],AG$2)</f>
        <v/>
      </c>
      <c r="AH20" s="1610">
        <f>COUNTIFS(entryCtry[ctry],Table6[[#This Row],[ctry]],entryCtry[yr],AH$2)</f>
        <v/>
      </c>
      <c r="AI20" s="1610">
        <f>COUNTIFS(entryCtry[ctry],Table6[[#This Row],[ctry]],entryCtry[yr],AI$2)</f>
        <v/>
      </c>
      <c r="AJ20" s="1610">
        <f>COUNTIFS(entryCtry[ctry],Table6[[#This Row],[ctry]],entryCtry[yr],AJ$2)</f>
        <v/>
      </c>
      <c r="AK20" s="1680" t="inlineStr">
        <is>
          <t>.</t>
        </is>
      </c>
      <c r="AL20" s="1611" t="inlineStr">
        <is>
          <t>.</t>
        </is>
      </c>
      <c r="AM20" s="1783">
        <f>'@Main'!B24</f>
        <v/>
      </c>
      <c r="AN20" s="1597">
        <f>_xlfn.XLOOKUP(Table1[[#This Row],['#]],mainW['#],mainW[ctry],"-")</f>
        <v/>
      </c>
      <c r="AO20" s="1649">
        <f>SUMIFS(raw[stay],raw[ctry],Table1[[#This Row],[ctry]],raw[mth],AO$2)</f>
        <v/>
      </c>
      <c r="AP20" s="1649">
        <f>SUMIFS(raw[stay],raw[ctry],Table1[[#This Row],[ctry]],raw[mth],AP$2)</f>
        <v/>
      </c>
      <c r="AQ20" s="1649">
        <f>SUMIFS(raw[stay],raw[ctry],Table1[[#This Row],[ctry]],raw[mth],AQ$2)</f>
        <v/>
      </c>
      <c r="AR20" s="1649">
        <f>SUMIFS(raw[stay],raw[ctry],Table1[[#This Row],[ctry]],raw[mth],AR$2)</f>
        <v/>
      </c>
      <c r="AS20" s="1649">
        <f>SUMIFS(raw[stay],raw[ctry],Table1[[#This Row],[ctry]],raw[mth],AS$2)</f>
        <v/>
      </c>
      <c r="AT20" s="1649">
        <f>SUMIFS(raw[stay],raw[ctry],Table1[[#This Row],[ctry]],raw[mth],AT$2)</f>
        <v/>
      </c>
      <c r="AU20" s="1649">
        <f>SUMIFS(raw[stay],raw[ctry],Table1[[#This Row],[ctry]],raw[mth],AU$2)</f>
        <v/>
      </c>
      <c r="AV20" s="1649">
        <f>SUMIFS(raw[stay],raw[ctry],Table1[[#This Row],[ctry]],raw[mth],AV$2)</f>
        <v/>
      </c>
      <c r="AW20" s="1649">
        <f>SUMIFS(raw[stay],raw[ctry],Table1[[#This Row],[ctry]],raw[mth],AW$2)</f>
        <v/>
      </c>
      <c r="AX20" s="1649">
        <f>SUMIFS(raw[stay],raw[ctry],Table1[[#This Row],[ctry]],raw[mth],AX$2)</f>
        <v/>
      </c>
      <c r="AY20" s="1649">
        <f>SUMIFS(raw[stay],raw[ctry],Table1[[#This Row],[ctry]],raw[mth],AY$2)</f>
        <v/>
      </c>
      <c r="AZ20" s="1649">
        <f>SUMIFS(raw[stay],raw[ctry],Table1[[#This Row],[ctry]],raw[mth],AZ$2)</f>
        <v/>
      </c>
      <c r="BA20" s="1597">
        <f>COUNTIF(AO20:AZ20,"&gt;0")</f>
        <v/>
      </c>
      <c r="BB20" s="1784">
        <f>INT(SUM(AO20:AZ20))</f>
        <v/>
      </c>
      <c r="BC20" s="1611" t="inlineStr">
        <is>
          <t>.</t>
        </is>
      </c>
      <c r="BD20" s="1680">
        <f>BD19</f>
        <v/>
      </c>
      <c r="BE20" s="1597">
        <f>BE19+1</f>
        <v/>
      </c>
      <c r="BF20" s="1785">
        <f>SUMIFS(raw[stay],raw[ctry],Table15[[#This Row],[ctry]],raw[yr],Table15[[#This Row],[yr]],raw[mth],BF$2)</f>
        <v/>
      </c>
      <c r="BG20" s="1785">
        <f>SUMIFS(raw[stay],raw[ctry],Table15[[#This Row],[ctry]],raw[yr],Table15[[#This Row],[yr]],raw[mth],BG$2)</f>
        <v/>
      </c>
      <c r="BH20" s="1785">
        <f>SUMIFS(raw[stay],raw[ctry],Table15[[#This Row],[ctry]],raw[yr],Table15[[#This Row],[yr]],raw[mth],BH$2)</f>
        <v/>
      </c>
      <c r="BI20" s="1785">
        <f>SUMIFS(raw[stay],raw[ctry],Table15[[#This Row],[ctry]],raw[yr],Table15[[#This Row],[yr]],raw[mth],BI$2)</f>
        <v/>
      </c>
      <c r="BJ20" s="1785">
        <f>SUMIFS(raw[stay],raw[ctry],Table15[[#This Row],[ctry]],raw[yr],Table15[[#This Row],[yr]],raw[mth],BJ$2)</f>
        <v/>
      </c>
      <c r="BK20" s="1785">
        <f>SUMIFS(raw[stay],raw[ctry],Table15[[#This Row],[ctry]],raw[yr],Table15[[#This Row],[yr]],raw[mth],BK$2)</f>
        <v/>
      </c>
      <c r="BL20" s="1785">
        <f>SUMIFS(raw[stay],raw[ctry],Table15[[#This Row],[ctry]],raw[yr],Table15[[#This Row],[yr]],raw[mth],BL$2)</f>
        <v/>
      </c>
      <c r="BM20" s="1785">
        <f>SUMIFS(raw[stay],raw[ctry],Table15[[#This Row],[ctry]],raw[yr],Table15[[#This Row],[yr]],raw[mth],BM$2)</f>
        <v/>
      </c>
      <c r="BN20" s="1785">
        <f>SUMIFS(raw[stay],raw[ctry],Table15[[#This Row],[ctry]],raw[yr],Table15[[#This Row],[yr]],raw[mth],BN$2)</f>
        <v/>
      </c>
      <c r="BO20" s="1785">
        <f>SUMIFS(raw[stay],raw[ctry],Table15[[#This Row],[ctry]],raw[yr],Table15[[#This Row],[yr]],raw[mth],BO$2)</f>
        <v/>
      </c>
      <c r="BP20" s="1785">
        <f>SUMIFS(raw[stay],raw[ctry],Table15[[#This Row],[ctry]],raw[yr],Table15[[#This Row],[yr]],raw[mth],BP$2)</f>
        <v/>
      </c>
      <c r="BQ20" s="1785">
        <f>SUMIFS(raw[stay],raw[ctry],Table15[[#This Row],[ctry]],raw[yr],Table15[[#This Row],[yr]],raw[mth],BQ$2)</f>
        <v/>
      </c>
      <c r="BR20" s="1597">
        <f>COUNTIF(BF20:BQ20,"&gt;0")</f>
        <v/>
      </c>
      <c r="BS20" s="1600">
        <f>INT(SUM(BF20:BQ20))</f>
        <v/>
      </c>
      <c r="BT20" s="1597" t="inlineStr">
        <is>
          <t>.</t>
        </is>
      </c>
      <c r="BU20" s="1636" t="inlineStr">
        <is>
          <t>GRC</t>
        </is>
      </c>
      <c r="BV20" s="1603" t="n">
        <v>0</v>
      </c>
      <c r="BW20" s="1607" t="n">
        <v>2</v>
      </c>
      <c r="BX20" s="1611" t="inlineStr">
        <is>
          <t>.</t>
        </is>
      </c>
      <c r="BY20" s="1612" t="n"/>
      <c r="BZ20" s="1788">
        <f>BZ19+1</f>
        <v/>
      </c>
      <c r="CA20" s="1789" t="inlineStr">
        <is>
          <t>E</t>
        </is>
      </c>
      <c r="CB20" s="1805" t="inlineStr">
        <is>
          <t>GERMANY</t>
        </is>
      </c>
      <c r="CC20" s="1806" t="inlineStr">
        <is>
          <t>X</t>
        </is>
      </c>
      <c r="CD20" s="1806" t="inlineStr">
        <is>
          <t>X</t>
        </is>
      </c>
      <c r="CE20" s="1806" t="inlineStr">
        <is>
          <t>x</t>
        </is>
      </c>
      <c r="CF20" s="1806" t="n"/>
      <c r="CG20" s="1793" t="inlineStr">
        <is>
          <t>.</t>
        </is>
      </c>
    </row>
    <row r="21" ht="15" customHeight="1">
      <c r="A21" s="1596" t="n"/>
      <c r="B21" s="1794">
        <f>SUM(D21:AK21)</f>
        <v/>
      </c>
      <c r="C21" s="1795">
        <f>Table1[[#This Row],[ctry]]</f>
        <v/>
      </c>
      <c r="D21" s="1610">
        <f>COUNTIFS(entryCtry[ctry],Table6[[#This Row],[ctry]],entryCtry[yr],D$2)</f>
        <v/>
      </c>
      <c r="E21" s="1610">
        <f>COUNTIFS(entryCtry[ctry],Table6[[#This Row],[ctry]],entryCtry[yr],E$2)</f>
        <v/>
      </c>
      <c r="F21" s="1610">
        <f>COUNTIFS(entryCtry[ctry],Table6[[#This Row],[ctry]],entryCtry[yr],F$2)</f>
        <v/>
      </c>
      <c r="G21" s="1610">
        <f>COUNTIFS(entryCtry[ctry],Table6[[#This Row],[ctry]],entryCtry[yr],G$2)</f>
        <v/>
      </c>
      <c r="H21" s="1610">
        <f>COUNTIFS(entryCtry[ctry],Table6[[#This Row],[ctry]],entryCtry[yr],H$2)</f>
        <v/>
      </c>
      <c r="I21" s="1610">
        <f>COUNTIFS(entryCtry[ctry],Table6[[#This Row],[ctry]],entryCtry[yr],I$2)</f>
        <v/>
      </c>
      <c r="J21" s="1610">
        <f>COUNTIFS(entryCtry[ctry],Table6[[#This Row],[ctry]],entryCtry[yr],J$2)</f>
        <v/>
      </c>
      <c r="K21" s="1610">
        <f>COUNTIFS(entryCtry[ctry],Table6[[#This Row],[ctry]],entryCtry[yr],K$2)</f>
        <v/>
      </c>
      <c r="L21" s="1610">
        <f>COUNTIFS(entryCtry[ctry],Table6[[#This Row],[ctry]],entryCtry[yr],L$2)</f>
        <v/>
      </c>
      <c r="M21" s="1610">
        <f>COUNTIFS(entryCtry[ctry],Table6[[#This Row],[ctry]],entryCtry[yr],M$2)</f>
        <v/>
      </c>
      <c r="N21" s="1610">
        <f>COUNTIFS(entryCtry[ctry],Table6[[#This Row],[ctry]],entryCtry[yr],N$2)</f>
        <v/>
      </c>
      <c r="O21" s="1610">
        <f>COUNTIFS(entryCtry[ctry],Table6[[#This Row],[ctry]],entryCtry[yr],O$2)</f>
        <v/>
      </c>
      <c r="P21" s="1610">
        <f>COUNTIFS(entryCtry[ctry],Table6[[#This Row],[ctry]],entryCtry[yr],P$2)</f>
        <v/>
      </c>
      <c r="Q21" s="1610">
        <f>COUNTIFS(entryCtry[ctry],Table6[[#This Row],[ctry]],entryCtry[yr],Q$2)</f>
        <v/>
      </c>
      <c r="R21" s="1610">
        <f>COUNTIFS(entryCtry[ctry],Table6[[#This Row],[ctry]],entryCtry[yr],R$2)</f>
        <v/>
      </c>
      <c r="S21" s="1610">
        <f>COUNTIFS(entryCtry[ctry],Table6[[#This Row],[ctry]],entryCtry[yr],S$2)</f>
        <v/>
      </c>
      <c r="T21" s="1610">
        <f>COUNTIFS(entryCtry[ctry],Table6[[#This Row],[ctry]],entryCtry[yr],T$2)</f>
        <v/>
      </c>
      <c r="U21" s="1610">
        <f>COUNTIFS(entryCtry[ctry],Table6[[#This Row],[ctry]],entryCtry[yr],U$2)</f>
        <v/>
      </c>
      <c r="V21" s="1610">
        <f>COUNTIFS(entryCtry[ctry],Table6[[#This Row],[ctry]],entryCtry[yr],V$2)</f>
        <v/>
      </c>
      <c r="W21" s="1610">
        <f>COUNTIFS(entryCtry[ctry],Table6[[#This Row],[ctry]],entryCtry[yr],W$2)</f>
        <v/>
      </c>
      <c r="X21" s="1610">
        <f>COUNTIFS(entryCtry[ctry],Table6[[#This Row],[ctry]],entryCtry[yr],X$2)</f>
        <v/>
      </c>
      <c r="Y21" s="1610">
        <f>COUNTIFS(entryCtry[ctry],Table6[[#This Row],[ctry]],entryCtry[yr],Y$2)</f>
        <v/>
      </c>
      <c r="Z21" s="1610">
        <f>COUNTIFS(entryCtry[ctry],Table6[[#This Row],[ctry]],entryCtry[yr],Z$2)</f>
        <v/>
      </c>
      <c r="AA21" s="1610">
        <f>COUNTIFS(entryCtry[ctry],Table6[[#This Row],[ctry]],entryCtry[yr],AA$2)</f>
        <v/>
      </c>
      <c r="AB21" s="1610">
        <f>COUNTIFS(entryCtry[ctry],Table6[[#This Row],[ctry]],entryCtry[yr],AB$2)</f>
        <v/>
      </c>
      <c r="AC21" s="1610">
        <f>COUNTIFS(entryCtry[ctry],Table6[[#This Row],[ctry]],entryCtry[yr],AC$2)</f>
        <v/>
      </c>
      <c r="AD21" s="1610">
        <f>COUNTIFS(entryCtry[ctry],Table6[[#This Row],[ctry]],entryCtry[yr],AD$2)</f>
        <v/>
      </c>
      <c r="AE21" s="1610">
        <f>COUNTIFS(entryCtry[ctry],Table6[[#This Row],[ctry]],entryCtry[yr],AE$2)</f>
        <v/>
      </c>
      <c r="AF21" s="1610">
        <f>COUNTIFS(entryCtry[ctry],Table6[[#This Row],[ctry]],entryCtry[yr],AF$2)</f>
        <v/>
      </c>
      <c r="AG21" s="1610">
        <f>COUNTIFS(entryCtry[ctry],Table6[[#This Row],[ctry]],entryCtry[yr],AG$2)</f>
        <v/>
      </c>
      <c r="AH21" s="1610">
        <f>COUNTIFS(entryCtry[ctry],Table6[[#This Row],[ctry]],entryCtry[yr],AH$2)</f>
        <v/>
      </c>
      <c r="AI21" s="1610">
        <f>COUNTIFS(entryCtry[ctry],Table6[[#This Row],[ctry]],entryCtry[yr],AI$2)</f>
        <v/>
      </c>
      <c r="AJ21" s="1610">
        <f>COUNTIFS(entryCtry[ctry],Table6[[#This Row],[ctry]],entryCtry[yr],AJ$2)</f>
        <v/>
      </c>
      <c r="AK21" s="1680" t="inlineStr">
        <is>
          <t>.</t>
        </is>
      </c>
      <c r="AL21" s="1611" t="inlineStr">
        <is>
          <t>.</t>
        </is>
      </c>
      <c r="AM21" s="1783">
        <f>'@Main'!B25</f>
        <v/>
      </c>
      <c r="AN21" s="1597">
        <f>_xlfn.XLOOKUP(Table1[[#This Row],['#]],mainW['#],mainW[ctry],"-")</f>
        <v/>
      </c>
      <c r="AO21" s="1649">
        <f>SUMIFS(raw[stay],raw[ctry],Table1[[#This Row],[ctry]],raw[mth],AO$2)</f>
        <v/>
      </c>
      <c r="AP21" s="1649">
        <f>SUMIFS(raw[stay],raw[ctry],Table1[[#This Row],[ctry]],raw[mth],AP$2)</f>
        <v/>
      </c>
      <c r="AQ21" s="1649">
        <f>SUMIFS(raw[stay],raw[ctry],Table1[[#This Row],[ctry]],raw[mth],AQ$2)</f>
        <v/>
      </c>
      <c r="AR21" s="1649">
        <f>SUMIFS(raw[stay],raw[ctry],Table1[[#This Row],[ctry]],raw[mth],AR$2)</f>
        <v/>
      </c>
      <c r="AS21" s="1649">
        <f>SUMIFS(raw[stay],raw[ctry],Table1[[#This Row],[ctry]],raw[mth],AS$2)</f>
        <v/>
      </c>
      <c r="AT21" s="1649">
        <f>SUMIFS(raw[stay],raw[ctry],Table1[[#This Row],[ctry]],raw[mth],AT$2)</f>
        <v/>
      </c>
      <c r="AU21" s="1649">
        <f>SUMIFS(raw[stay],raw[ctry],Table1[[#This Row],[ctry]],raw[mth],AU$2)</f>
        <v/>
      </c>
      <c r="AV21" s="1649">
        <f>SUMIFS(raw[stay],raw[ctry],Table1[[#This Row],[ctry]],raw[mth],AV$2)</f>
        <v/>
      </c>
      <c r="AW21" s="1649">
        <f>SUMIFS(raw[stay],raw[ctry],Table1[[#This Row],[ctry]],raw[mth],AW$2)</f>
        <v/>
      </c>
      <c r="AX21" s="1649">
        <f>SUMIFS(raw[stay],raw[ctry],Table1[[#This Row],[ctry]],raw[mth],AX$2)</f>
        <v/>
      </c>
      <c r="AY21" s="1649">
        <f>SUMIFS(raw[stay],raw[ctry],Table1[[#This Row],[ctry]],raw[mth],AY$2)</f>
        <v/>
      </c>
      <c r="AZ21" s="1649">
        <f>SUMIFS(raw[stay],raw[ctry],Table1[[#This Row],[ctry]],raw[mth],AZ$2)</f>
        <v/>
      </c>
      <c r="BA21" s="1597">
        <f>COUNTIF(AO21:AZ21,"&gt;0")</f>
        <v/>
      </c>
      <c r="BB21" s="1784">
        <f>INT(SUM(AO21:AZ21))</f>
        <v/>
      </c>
      <c r="BC21" s="1611" t="inlineStr">
        <is>
          <t>.</t>
        </is>
      </c>
      <c r="BD21" s="1680">
        <f>BD20</f>
        <v/>
      </c>
      <c r="BE21" s="1597">
        <f>BE20+1</f>
        <v/>
      </c>
      <c r="BF21" s="1785">
        <f>SUMIFS(raw[stay],raw[ctry],Table15[[#This Row],[ctry]],raw[yr],Table15[[#This Row],[yr]],raw[mth],BF$2)</f>
        <v/>
      </c>
      <c r="BG21" s="1785">
        <f>SUMIFS(raw[stay],raw[ctry],Table15[[#This Row],[ctry]],raw[yr],Table15[[#This Row],[yr]],raw[mth],BG$2)</f>
        <v/>
      </c>
      <c r="BH21" s="1785">
        <f>SUMIFS(raw[stay],raw[ctry],Table15[[#This Row],[ctry]],raw[yr],Table15[[#This Row],[yr]],raw[mth],BH$2)</f>
        <v/>
      </c>
      <c r="BI21" s="1785">
        <f>SUMIFS(raw[stay],raw[ctry],Table15[[#This Row],[ctry]],raw[yr],Table15[[#This Row],[yr]],raw[mth],BI$2)</f>
        <v/>
      </c>
      <c r="BJ21" s="1785">
        <f>SUMIFS(raw[stay],raw[ctry],Table15[[#This Row],[ctry]],raw[yr],Table15[[#This Row],[yr]],raw[mth],BJ$2)</f>
        <v/>
      </c>
      <c r="BK21" s="1785">
        <f>SUMIFS(raw[stay],raw[ctry],Table15[[#This Row],[ctry]],raw[yr],Table15[[#This Row],[yr]],raw[mth],BK$2)</f>
        <v/>
      </c>
      <c r="BL21" s="1785">
        <f>SUMIFS(raw[stay],raw[ctry],Table15[[#This Row],[ctry]],raw[yr],Table15[[#This Row],[yr]],raw[mth],BL$2)</f>
        <v/>
      </c>
      <c r="BM21" s="1785">
        <f>SUMIFS(raw[stay],raw[ctry],Table15[[#This Row],[ctry]],raw[yr],Table15[[#This Row],[yr]],raw[mth],BM$2)</f>
        <v/>
      </c>
      <c r="BN21" s="1785">
        <f>SUMIFS(raw[stay],raw[ctry],Table15[[#This Row],[ctry]],raw[yr],Table15[[#This Row],[yr]],raw[mth],BN$2)</f>
        <v/>
      </c>
      <c r="BO21" s="1785">
        <f>SUMIFS(raw[stay],raw[ctry],Table15[[#This Row],[ctry]],raw[yr],Table15[[#This Row],[yr]],raw[mth],BO$2)</f>
        <v/>
      </c>
      <c r="BP21" s="1785">
        <f>SUMIFS(raw[stay],raw[ctry],Table15[[#This Row],[ctry]],raw[yr],Table15[[#This Row],[yr]],raw[mth],BP$2)</f>
        <v/>
      </c>
      <c r="BQ21" s="1785">
        <f>SUMIFS(raw[stay],raw[ctry],Table15[[#This Row],[ctry]],raw[yr],Table15[[#This Row],[yr]],raw[mth],BQ$2)</f>
        <v/>
      </c>
      <c r="BR21" s="1597">
        <f>COUNTIF(BF21:BQ21,"&gt;0")</f>
        <v/>
      </c>
      <c r="BS21" s="1600">
        <f>INT(SUM(BF21:BQ21))</f>
        <v/>
      </c>
      <c r="BT21" s="1597" t="inlineStr">
        <is>
          <t>.</t>
        </is>
      </c>
      <c r="BU21" s="1636" t="inlineStr">
        <is>
          <t>MAR</t>
        </is>
      </c>
      <c r="BV21" s="1603" t="n">
        <v>0</v>
      </c>
      <c r="BW21" s="1607" t="n">
        <v>2</v>
      </c>
      <c r="BX21" s="1611" t="inlineStr">
        <is>
          <t>.</t>
        </is>
      </c>
      <c r="BY21" s="1612" t="n"/>
      <c r="BZ21" s="1788">
        <f>BZ20+1</f>
        <v/>
      </c>
      <c r="CA21" s="1789" t="inlineStr">
        <is>
          <t>E</t>
        </is>
      </c>
      <c r="CB21" s="1805" t="inlineStr">
        <is>
          <t>AUSTRIA</t>
        </is>
      </c>
      <c r="CC21" s="1806" t="inlineStr">
        <is>
          <t>X</t>
        </is>
      </c>
      <c r="CD21" s="1806" t="inlineStr">
        <is>
          <t>X</t>
        </is>
      </c>
      <c r="CE21" s="1806" t="n"/>
      <c r="CF21" s="1806" t="n"/>
      <c r="CG21" s="1793" t="inlineStr">
        <is>
          <t>.</t>
        </is>
      </c>
    </row>
    <row r="22" ht="15" customHeight="1">
      <c r="A22" s="1615" t="n"/>
      <c r="B22" s="1781">
        <f>SUM(D22:AK22)</f>
        <v/>
      </c>
      <c r="C22" s="1782">
        <f>Table1[[#This Row],[ctry]]</f>
        <v/>
      </c>
      <c r="D22" s="1610">
        <f>COUNTIFS(entryCtry[ctry],Table6[[#This Row],[ctry]],entryCtry[yr],D$2)</f>
        <v/>
      </c>
      <c r="E22" s="1610">
        <f>COUNTIFS(entryCtry[ctry],Table6[[#This Row],[ctry]],entryCtry[yr],E$2)</f>
        <v/>
      </c>
      <c r="F22" s="1610">
        <f>COUNTIFS(entryCtry[ctry],Table6[[#This Row],[ctry]],entryCtry[yr],F$2)</f>
        <v/>
      </c>
      <c r="G22" s="1610">
        <f>COUNTIFS(entryCtry[ctry],Table6[[#This Row],[ctry]],entryCtry[yr],G$2)</f>
        <v/>
      </c>
      <c r="H22" s="1610">
        <f>COUNTIFS(entryCtry[ctry],Table6[[#This Row],[ctry]],entryCtry[yr],H$2)</f>
        <v/>
      </c>
      <c r="I22" s="1610">
        <f>COUNTIFS(entryCtry[ctry],Table6[[#This Row],[ctry]],entryCtry[yr],I$2)</f>
        <v/>
      </c>
      <c r="J22" s="1610">
        <f>COUNTIFS(entryCtry[ctry],Table6[[#This Row],[ctry]],entryCtry[yr],J$2)</f>
        <v/>
      </c>
      <c r="K22" s="1610">
        <f>COUNTIFS(entryCtry[ctry],Table6[[#This Row],[ctry]],entryCtry[yr],K$2)</f>
        <v/>
      </c>
      <c r="L22" s="1610">
        <f>COUNTIFS(entryCtry[ctry],Table6[[#This Row],[ctry]],entryCtry[yr],L$2)</f>
        <v/>
      </c>
      <c r="M22" s="1610">
        <f>COUNTIFS(entryCtry[ctry],Table6[[#This Row],[ctry]],entryCtry[yr],M$2)</f>
        <v/>
      </c>
      <c r="N22" s="1610">
        <f>COUNTIFS(entryCtry[ctry],Table6[[#This Row],[ctry]],entryCtry[yr],N$2)</f>
        <v/>
      </c>
      <c r="O22" s="1610">
        <f>COUNTIFS(entryCtry[ctry],Table6[[#This Row],[ctry]],entryCtry[yr],O$2)</f>
        <v/>
      </c>
      <c r="P22" s="1610">
        <f>COUNTIFS(entryCtry[ctry],Table6[[#This Row],[ctry]],entryCtry[yr],P$2)</f>
        <v/>
      </c>
      <c r="Q22" s="1610">
        <f>COUNTIFS(entryCtry[ctry],Table6[[#This Row],[ctry]],entryCtry[yr],Q$2)</f>
        <v/>
      </c>
      <c r="R22" s="1610">
        <f>COUNTIFS(entryCtry[ctry],Table6[[#This Row],[ctry]],entryCtry[yr],R$2)</f>
        <v/>
      </c>
      <c r="S22" s="1610">
        <f>COUNTIFS(entryCtry[ctry],Table6[[#This Row],[ctry]],entryCtry[yr],S$2)</f>
        <v/>
      </c>
      <c r="T22" s="1610">
        <f>COUNTIFS(entryCtry[ctry],Table6[[#This Row],[ctry]],entryCtry[yr],T$2)</f>
        <v/>
      </c>
      <c r="U22" s="1610">
        <f>COUNTIFS(entryCtry[ctry],Table6[[#This Row],[ctry]],entryCtry[yr],U$2)</f>
        <v/>
      </c>
      <c r="V22" s="1610">
        <f>COUNTIFS(entryCtry[ctry],Table6[[#This Row],[ctry]],entryCtry[yr],V$2)</f>
        <v/>
      </c>
      <c r="W22" s="1610">
        <f>COUNTIFS(entryCtry[ctry],Table6[[#This Row],[ctry]],entryCtry[yr],W$2)</f>
        <v/>
      </c>
      <c r="X22" s="1610">
        <f>COUNTIFS(entryCtry[ctry],Table6[[#This Row],[ctry]],entryCtry[yr],X$2)</f>
        <v/>
      </c>
      <c r="Y22" s="1610">
        <f>COUNTIFS(entryCtry[ctry],Table6[[#This Row],[ctry]],entryCtry[yr],Y$2)</f>
        <v/>
      </c>
      <c r="Z22" s="1610">
        <f>COUNTIFS(entryCtry[ctry],Table6[[#This Row],[ctry]],entryCtry[yr],Z$2)</f>
        <v/>
      </c>
      <c r="AA22" s="1610">
        <f>COUNTIFS(entryCtry[ctry],Table6[[#This Row],[ctry]],entryCtry[yr],AA$2)</f>
        <v/>
      </c>
      <c r="AB22" s="1610">
        <f>COUNTIFS(entryCtry[ctry],Table6[[#This Row],[ctry]],entryCtry[yr],AB$2)</f>
        <v/>
      </c>
      <c r="AC22" s="1610">
        <f>COUNTIFS(entryCtry[ctry],Table6[[#This Row],[ctry]],entryCtry[yr],AC$2)</f>
        <v/>
      </c>
      <c r="AD22" s="1610">
        <f>COUNTIFS(entryCtry[ctry],Table6[[#This Row],[ctry]],entryCtry[yr],AD$2)</f>
        <v/>
      </c>
      <c r="AE22" s="1610">
        <f>COUNTIFS(entryCtry[ctry],Table6[[#This Row],[ctry]],entryCtry[yr],AE$2)</f>
        <v/>
      </c>
      <c r="AF22" s="1610">
        <f>COUNTIFS(entryCtry[ctry],Table6[[#This Row],[ctry]],entryCtry[yr],AF$2)</f>
        <v/>
      </c>
      <c r="AG22" s="1610">
        <f>COUNTIFS(entryCtry[ctry],Table6[[#This Row],[ctry]],entryCtry[yr],AG$2)</f>
        <v/>
      </c>
      <c r="AH22" s="1610">
        <f>COUNTIFS(entryCtry[ctry],Table6[[#This Row],[ctry]],entryCtry[yr],AH$2)</f>
        <v/>
      </c>
      <c r="AI22" s="1610">
        <f>COUNTIFS(entryCtry[ctry],Table6[[#This Row],[ctry]],entryCtry[yr],AI$2)</f>
        <v/>
      </c>
      <c r="AJ22" s="1610">
        <f>COUNTIFS(entryCtry[ctry],Table6[[#This Row],[ctry]],entryCtry[yr],AJ$2)</f>
        <v/>
      </c>
      <c r="AK22" s="1680" t="inlineStr">
        <is>
          <t>.</t>
        </is>
      </c>
      <c r="AL22" s="1611" t="inlineStr">
        <is>
          <t>.</t>
        </is>
      </c>
      <c r="AM22" s="1783">
        <f>'@Main'!B26</f>
        <v/>
      </c>
      <c r="AN22" s="1597">
        <f>_xlfn.XLOOKUP(Table1[[#This Row],['#]],mainW['#],mainW[ctry],"-")</f>
        <v/>
      </c>
      <c r="AO22" s="1649">
        <f>SUMIFS(raw[stay],raw[ctry],Table1[[#This Row],[ctry]],raw[mth],AO$2)</f>
        <v/>
      </c>
      <c r="AP22" s="1649">
        <f>SUMIFS(raw[stay],raw[ctry],Table1[[#This Row],[ctry]],raw[mth],AP$2)</f>
        <v/>
      </c>
      <c r="AQ22" s="1649">
        <f>SUMIFS(raw[stay],raw[ctry],Table1[[#This Row],[ctry]],raw[mth],AQ$2)</f>
        <v/>
      </c>
      <c r="AR22" s="1649">
        <f>SUMIFS(raw[stay],raw[ctry],Table1[[#This Row],[ctry]],raw[mth],AR$2)</f>
        <v/>
      </c>
      <c r="AS22" s="1649">
        <f>SUMIFS(raw[stay],raw[ctry],Table1[[#This Row],[ctry]],raw[mth],AS$2)</f>
        <v/>
      </c>
      <c r="AT22" s="1649">
        <f>SUMIFS(raw[stay],raw[ctry],Table1[[#This Row],[ctry]],raw[mth],AT$2)</f>
        <v/>
      </c>
      <c r="AU22" s="1649">
        <f>SUMIFS(raw[stay],raw[ctry],Table1[[#This Row],[ctry]],raw[mth],AU$2)</f>
        <v/>
      </c>
      <c r="AV22" s="1649">
        <f>SUMIFS(raw[stay],raw[ctry],Table1[[#This Row],[ctry]],raw[mth],AV$2)</f>
        <v/>
      </c>
      <c r="AW22" s="1649">
        <f>SUMIFS(raw[stay],raw[ctry],Table1[[#This Row],[ctry]],raw[mth],AW$2)</f>
        <v/>
      </c>
      <c r="AX22" s="1649">
        <f>SUMIFS(raw[stay],raw[ctry],Table1[[#This Row],[ctry]],raw[mth],AX$2)</f>
        <v/>
      </c>
      <c r="AY22" s="1649">
        <f>SUMIFS(raw[stay],raw[ctry],Table1[[#This Row],[ctry]],raw[mth],AY$2)</f>
        <v/>
      </c>
      <c r="AZ22" s="1649">
        <f>SUMIFS(raw[stay],raw[ctry],Table1[[#This Row],[ctry]],raw[mth],AZ$2)</f>
        <v/>
      </c>
      <c r="BA22" s="1597">
        <f>COUNTIF(AO22:AZ22,"&gt;0")</f>
        <v/>
      </c>
      <c r="BB22" s="1784">
        <f>INT(SUM(AO22:AZ22))</f>
        <v/>
      </c>
      <c r="BC22" s="1611" t="inlineStr">
        <is>
          <t>.</t>
        </is>
      </c>
      <c r="BD22" s="1680">
        <f>BD21</f>
        <v/>
      </c>
      <c r="BE22" s="1597">
        <f>BE21+1</f>
        <v/>
      </c>
      <c r="BF22" s="1785">
        <f>SUMIFS(raw[stay],raw[ctry],Table15[[#This Row],[ctry]],raw[yr],Table15[[#This Row],[yr]],raw[mth],BF$2)</f>
        <v/>
      </c>
      <c r="BG22" s="1785">
        <f>SUMIFS(raw[stay],raw[ctry],Table15[[#This Row],[ctry]],raw[yr],Table15[[#This Row],[yr]],raw[mth],BG$2)</f>
        <v/>
      </c>
      <c r="BH22" s="1785">
        <f>SUMIFS(raw[stay],raw[ctry],Table15[[#This Row],[ctry]],raw[yr],Table15[[#This Row],[yr]],raw[mth],BH$2)</f>
        <v/>
      </c>
      <c r="BI22" s="1785">
        <f>SUMIFS(raw[stay],raw[ctry],Table15[[#This Row],[ctry]],raw[yr],Table15[[#This Row],[yr]],raw[mth],BI$2)</f>
        <v/>
      </c>
      <c r="BJ22" s="1785">
        <f>SUMIFS(raw[stay],raw[ctry],Table15[[#This Row],[ctry]],raw[yr],Table15[[#This Row],[yr]],raw[mth],BJ$2)</f>
        <v/>
      </c>
      <c r="BK22" s="1785">
        <f>SUMIFS(raw[stay],raw[ctry],Table15[[#This Row],[ctry]],raw[yr],Table15[[#This Row],[yr]],raw[mth],BK$2)</f>
        <v/>
      </c>
      <c r="BL22" s="1785">
        <f>SUMIFS(raw[stay],raw[ctry],Table15[[#This Row],[ctry]],raw[yr],Table15[[#This Row],[yr]],raw[mth],BL$2)</f>
        <v/>
      </c>
      <c r="BM22" s="1785">
        <f>SUMIFS(raw[stay],raw[ctry],Table15[[#This Row],[ctry]],raw[yr],Table15[[#This Row],[yr]],raw[mth],BM$2)</f>
        <v/>
      </c>
      <c r="BN22" s="1785">
        <f>SUMIFS(raw[stay],raw[ctry],Table15[[#This Row],[ctry]],raw[yr],Table15[[#This Row],[yr]],raw[mth],BN$2)</f>
        <v/>
      </c>
      <c r="BO22" s="1785">
        <f>SUMIFS(raw[stay],raw[ctry],Table15[[#This Row],[ctry]],raw[yr],Table15[[#This Row],[yr]],raw[mth],BO$2)</f>
        <v/>
      </c>
      <c r="BP22" s="1785">
        <f>SUMIFS(raw[stay],raw[ctry],Table15[[#This Row],[ctry]],raw[yr],Table15[[#This Row],[yr]],raw[mth],BP$2)</f>
        <v/>
      </c>
      <c r="BQ22" s="1785">
        <f>SUMIFS(raw[stay],raw[ctry],Table15[[#This Row],[ctry]],raw[yr],Table15[[#This Row],[yr]],raw[mth],BQ$2)</f>
        <v/>
      </c>
      <c r="BR22" s="1597">
        <f>COUNTIF(BF22:BQ22,"&gt;0")</f>
        <v/>
      </c>
      <c r="BS22" s="1600">
        <f>INT(SUM(BF22:BQ22))</f>
        <v/>
      </c>
      <c r="BT22" s="1597" t="inlineStr">
        <is>
          <t>.</t>
        </is>
      </c>
      <c r="BU22" s="1636" t="inlineStr">
        <is>
          <t>CHN</t>
        </is>
      </c>
      <c r="BV22" s="1603" t="n">
        <v>0</v>
      </c>
      <c r="BW22" s="1607" t="n">
        <v>1</v>
      </c>
      <c r="BX22" s="1611" t="inlineStr">
        <is>
          <t>.</t>
        </is>
      </c>
      <c r="BY22" s="1612" t="n"/>
      <c r="BZ22" s="1788">
        <f>BZ21+1</f>
        <v/>
      </c>
      <c r="CA22" s="1789" t="inlineStr">
        <is>
          <t>E</t>
        </is>
      </c>
      <c r="CB22" s="1805" t="inlineStr">
        <is>
          <t>BELGIUM</t>
        </is>
      </c>
      <c r="CC22" s="1806" t="inlineStr">
        <is>
          <t>X</t>
        </is>
      </c>
      <c r="CD22" s="1806" t="inlineStr">
        <is>
          <t>X</t>
        </is>
      </c>
      <c r="CE22" s="1806" t="inlineStr">
        <is>
          <t>X</t>
        </is>
      </c>
      <c r="CF22" s="1806" t="n"/>
      <c r="CG22" s="1793" t="inlineStr">
        <is>
          <t>.</t>
        </is>
      </c>
    </row>
    <row r="23" ht="15" customHeight="1">
      <c r="A23" s="1596" t="n"/>
      <c r="B23" s="1794">
        <f>SUM(D23:AK23)</f>
        <v/>
      </c>
      <c r="C23" s="1795">
        <f>Table1[[#This Row],[ctry]]</f>
        <v/>
      </c>
      <c r="D23" s="1610">
        <f>COUNTIFS(entryCtry[ctry],Table6[[#This Row],[ctry]],entryCtry[yr],D$2)</f>
        <v/>
      </c>
      <c r="E23" s="1610">
        <f>COUNTIFS(entryCtry[ctry],Table6[[#This Row],[ctry]],entryCtry[yr],E$2)</f>
        <v/>
      </c>
      <c r="F23" s="1610">
        <f>COUNTIFS(entryCtry[ctry],Table6[[#This Row],[ctry]],entryCtry[yr],F$2)</f>
        <v/>
      </c>
      <c r="G23" s="1610">
        <f>COUNTIFS(entryCtry[ctry],Table6[[#This Row],[ctry]],entryCtry[yr],G$2)</f>
        <v/>
      </c>
      <c r="H23" s="1610">
        <f>COUNTIFS(entryCtry[ctry],Table6[[#This Row],[ctry]],entryCtry[yr],H$2)</f>
        <v/>
      </c>
      <c r="I23" s="1610">
        <f>COUNTIFS(entryCtry[ctry],Table6[[#This Row],[ctry]],entryCtry[yr],I$2)</f>
        <v/>
      </c>
      <c r="J23" s="1610">
        <f>COUNTIFS(entryCtry[ctry],Table6[[#This Row],[ctry]],entryCtry[yr],J$2)</f>
        <v/>
      </c>
      <c r="K23" s="1610">
        <f>COUNTIFS(entryCtry[ctry],Table6[[#This Row],[ctry]],entryCtry[yr],K$2)</f>
        <v/>
      </c>
      <c r="L23" s="1610">
        <f>COUNTIFS(entryCtry[ctry],Table6[[#This Row],[ctry]],entryCtry[yr],L$2)</f>
        <v/>
      </c>
      <c r="M23" s="1610">
        <f>COUNTIFS(entryCtry[ctry],Table6[[#This Row],[ctry]],entryCtry[yr],M$2)</f>
        <v/>
      </c>
      <c r="N23" s="1610">
        <f>COUNTIFS(entryCtry[ctry],Table6[[#This Row],[ctry]],entryCtry[yr],N$2)</f>
        <v/>
      </c>
      <c r="O23" s="1610">
        <f>COUNTIFS(entryCtry[ctry],Table6[[#This Row],[ctry]],entryCtry[yr],O$2)</f>
        <v/>
      </c>
      <c r="P23" s="1610">
        <f>COUNTIFS(entryCtry[ctry],Table6[[#This Row],[ctry]],entryCtry[yr],P$2)</f>
        <v/>
      </c>
      <c r="Q23" s="1610">
        <f>COUNTIFS(entryCtry[ctry],Table6[[#This Row],[ctry]],entryCtry[yr],Q$2)</f>
        <v/>
      </c>
      <c r="R23" s="1610">
        <f>COUNTIFS(entryCtry[ctry],Table6[[#This Row],[ctry]],entryCtry[yr],R$2)</f>
        <v/>
      </c>
      <c r="S23" s="1610">
        <f>COUNTIFS(entryCtry[ctry],Table6[[#This Row],[ctry]],entryCtry[yr],S$2)</f>
        <v/>
      </c>
      <c r="T23" s="1610">
        <f>COUNTIFS(entryCtry[ctry],Table6[[#This Row],[ctry]],entryCtry[yr],T$2)</f>
        <v/>
      </c>
      <c r="U23" s="1610">
        <f>COUNTIFS(entryCtry[ctry],Table6[[#This Row],[ctry]],entryCtry[yr],U$2)</f>
        <v/>
      </c>
      <c r="V23" s="1610">
        <f>COUNTIFS(entryCtry[ctry],Table6[[#This Row],[ctry]],entryCtry[yr],V$2)</f>
        <v/>
      </c>
      <c r="W23" s="1610">
        <f>COUNTIFS(entryCtry[ctry],Table6[[#This Row],[ctry]],entryCtry[yr],W$2)</f>
        <v/>
      </c>
      <c r="X23" s="1610">
        <f>COUNTIFS(entryCtry[ctry],Table6[[#This Row],[ctry]],entryCtry[yr],X$2)</f>
        <v/>
      </c>
      <c r="Y23" s="1610">
        <f>COUNTIFS(entryCtry[ctry],Table6[[#This Row],[ctry]],entryCtry[yr],Y$2)</f>
        <v/>
      </c>
      <c r="Z23" s="1610">
        <f>COUNTIFS(entryCtry[ctry],Table6[[#This Row],[ctry]],entryCtry[yr],Z$2)</f>
        <v/>
      </c>
      <c r="AA23" s="1610">
        <f>COUNTIFS(entryCtry[ctry],Table6[[#This Row],[ctry]],entryCtry[yr],AA$2)</f>
        <v/>
      </c>
      <c r="AB23" s="1610">
        <f>COUNTIFS(entryCtry[ctry],Table6[[#This Row],[ctry]],entryCtry[yr],AB$2)</f>
        <v/>
      </c>
      <c r="AC23" s="1610">
        <f>COUNTIFS(entryCtry[ctry],Table6[[#This Row],[ctry]],entryCtry[yr],AC$2)</f>
        <v/>
      </c>
      <c r="AD23" s="1610">
        <f>COUNTIFS(entryCtry[ctry],Table6[[#This Row],[ctry]],entryCtry[yr],AD$2)</f>
        <v/>
      </c>
      <c r="AE23" s="1610">
        <f>COUNTIFS(entryCtry[ctry],Table6[[#This Row],[ctry]],entryCtry[yr],AE$2)</f>
        <v/>
      </c>
      <c r="AF23" s="1610">
        <f>COUNTIFS(entryCtry[ctry],Table6[[#This Row],[ctry]],entryCtry[yr],AF$2)</f>
        <v/>
      </c>
      <c r="AG23" s="1610">
        <f>COUNTIFS(entryCtry[ctry],Table6[[#This Row],[ctry]],entryCtry[yr],AG$2)</f>
        <v/>
      </c>
      <c r="AH23" s="1610">
        <f>COUNTIFS(entryCtry[ctry],Table6[[#This Row],[ctry]],entryCtry[yr],AH$2)</f>
        <v/>
      </c>
      <c r="AI23" s="1610">
        <f>COUNTIFS(entryCtry[ctry],Table6[[#This Row],[ctry]],entryCtry[yr],AI$2)</f>
        <v/>
      </c>
      <c r="AJ23" s="1610">
        <f>COUNTIFS(entryCtry[ctry],Table6[[#This Row],[ctry]],entryCtry[yr],AJ$2)</f>
        <v/>
      </c>
      <c r="AK23" s="1680" t="inlineStr">
        <is>
          <t>.</t>
        </is>
      </c>
      <c r="AL23" s="1611" t="inlineStr">
        <is>
          <t>.</t>
        </is>
      </c>
      <c r="AM23" s="1783">
        <f>'@Main'!B27</f>
        <v/>
      </c>
      <c r="AN23" s="1597">
        <f>_xlfn.XLOOKUP(Table1[[#This Row],['#]],mainW['#],mainW[ctry],"-")</f>
        <v/>
      </c>
      <c r="AO23" s="1649">
        <f>SUMIFS(raw[stay],raw[ctry],Table1[[#This Row],[ctry]],raw[mth],AO$2)</f>
        <v/>
      </c>
      <c r="AP23" s="1649">
        <f>SUMIFS(raw[stay],raw[ctry],Table1[[#This Row],[ctry]],raw[mth],AP$2)</f>
        <v/>
      </c>
      <c r="AQ23" s="1649">
        <f>SUMIFS(raw[stay],raw[ctry],Table1[[#This Row],[ctry]],raw[mth],AQ$2)</f>
        <v/>
      </c>
      <c r="AR23" s="1649">
        <f>SUMIFS(raw[stay],raw[ctry],Table1[[#This Row],[ctry]],raw[mth],AR$2)</f>
        <v/>
      </c>
      <c r="AS23" s="1649">
        <f>SUMIFS(raw[stay],raw[ctry],Table1[[#This Row],[ctry]],raw[mth],AS$2)</f>
        <v/>
      </c>
      <c r="AT23" s="1649">
        <f>SUMIFS(raw[stay],raw[ctry],Table1[[#This Row],[ctry]],raw[mth],AT$2)</f>
        <v/>
      </c>
      <c r="AU23" s="1649">
        <f>SUMIFS(raw[stay],raw[ctry],Table1[[#This Row],[ctry]],raw[mth],AU$2)</f>
        <v/>
      </c>
      <c r="AV23" s="1649">
        <f>SUMIFS(raw[stay],raw[ctry],Table1[[#This Row],[ctry]],raw[mth],AV$2)</f>
        <v/>
      </c>
      <c r="AW23" s="1649">
        <f>SUMIFS(raw[stay],raw[ctry],Table1[[#This Row],[ctry]],raw[mth],AW$2)</f>
        <v/>
      </c>
      <c r="AX23" s="1649">
        <f>SUMIFS(raw[stay],raw[ctry],Table1[[#This Row],[ctry]],raw[mth],AX$2)</f>
        <v/>
      </c>
      <c r="AY23" s="1649">
        <f>SUMIFS(raw[stay],raw[ctry],Table1[[#This Row],[ctry]],raw[mth],AY$2)</f>
        <v/>
      </c>
      <c r="AZ23" s="1649">
        <f>SUMIFS(raw[stay],raw[ctry],Table1[[#This Row],[ctry]],raw[mth],AZ$2)</f>
        <v/>
      </c>
      <c r="BA23" s="1597">
        <f>COUNTIF(AO23:AZ23,"&gt;0")</f>
        <v/>
      </c>
      <c r="BB23" s="1784">
        <f>INT(SUM(AO23:AZ23))</f>
        <v/>
      </c>
      <c r="BC23" s="1611" t="inlineStr">
        <is>
          <t>.</t>
        </is>
      </c>
      <c r="BD23" s="1680">
        <f>BD22</f>
        <v/>
      </c>
      <c r="BE23" s="1597">
        <f>BE22+1</f>
        <v/>
      </c>
      <c r="BF23" s="1785">
        <f>SUMIFS(raw[stay],raw[ctry],Table15[[#This Row],[ctry]],raw[yr],Table15[[#This Row],[yr]],raw[mth],BF$2)</f>
        <v/>
      </c>
      <c r="BG23" s="1785">
        <f>SUMIFS(raw[stay],raw[ctry],Table15[[#This Row],[ctry]],raw[yr],Table15[[#This Row],[yr]],raw[mth],BG$2)</f>
        <v/>
      </c>
      <c r="BH23" s="1785">
        <f>SUMIFS(raw[stay],raw[ctry],Table15[[#This Row],[ctry]],raw[yr],Table15[[#This Row],[yr]],raw[mth],BH$2)</f>
        <v/>
      </c>
      <c r="BI23" s="1785">
        <f>SUMIFS(raw[stay],raw[ctry],Table15[[#This Row],[ctry]],raw[yr],Table15[[#This Row],[yr]],raw[mth],BI$2)</f>
        <v/>
      </c>
      <c r="BJ23" s="1785">
        <f>SUMIFS(raw[stay],raw[ctry],Table15[[#This Row],[ctry]],raw[yr],Table15[[#This Row],[yr]],raw[mth],BJ$2)</f>
        <v/>
      </c>
      <c r="BK23" s="1785">
        <f>SUMIFS(raw[stay],raw[ctry],Table15[[#This Row],[ctry]],raw[yr],Table15[[#This Row],[yr]],raw[mth],BK$2)</f>
        <v/>
      </c>
      <c r="BL23" s="1785">
        <f>SUMIFS(raw[stay],raw[ctry],Table15[[#This Row],[ctry]],raw[yr],Table15[[#This Row],[yr]],raw[mth],BL$2)</f>
        <v/>
      </c>
      <c r="BM23" s="1785">
        <f>SUMIFS(raw[stay],raw[ctry],Table15[[#This Row],[ctry]],raw[yr],Table15[[#This Row],[yr]],raw[mth],BM$2)</f>
        <v/>
      </c>
      <c r="BN23" s="1785">
        <f>SUMIFS(raw[stay],raw[ctry],Table15[[#This Row],[ctry]],raw[yr],Table15[[#This Row],[yr]],raw[mth],BN$2)</f>
        <v/>
      </c>
      <c r="BO23" s="1785">
        <f>SUMIFS(raw[stay],raw[ctry],Table15[[#This Row],[ctry]],raw[yr],Table15[[#This Row],[yr]],raw[mth],BO$2)</f>
        <v/>
      </c>
      <c r="BP23" s="1785">
        <f>SUMIFS(raw[stay],raw[ctry],Table15[[#This Row],[ctry]],raw[yr],Table15[[#This Row],[yr]],raw[mth],BP$2)</f>
        <v/>
      </c>
      <c r="BQ23" s="1785">
        <f>SUMIFS(raw[stay],raw[ctry],Table15[[#This Row],[ctry]],raw[yr],Table15[[#This Row],[yr]],raw[mth],BQ$2)</f>
        <v/>
      </c>
      <c r="BR23" s="1597">
        <f>COUNTIF(BF23:BQ23,"&gt;0")</f>
        <v/>
      </c>
      <c r="BS23" s="1600">
        <f>INT(SUM(BF23:BQ23))</f>
        <v/>
      </c>
      <c r="BT23" s="1597" t="inlineStr">
        <is>
          <t>.</t>
        </is>
      </c>
      <c r="BU23" s="1636" t="inlineStr">
        <is>
          <t>AUT</t>
        </is>
      </c>
      <c r="BV23" s="1603" t="n">
        <v>0</v>
      </c>
      <c r="BW23" s="1607" t="n">
        <v>1</v>
      </c>
      <c r="BX23" s="1611" t="inlineStr">
        <is>
          <t>.</t>
        </is>
      </c>
      <c r="BY23" s="1612" t="n"/>
      <c r="BZ23" s="1788">
        <f>BZ22+1</f>
        <v/>
      </c>
      <c r="CA23" s="1789" t="inlineStr">
        <is>
          <t>E</t>
        </is>
      </c>
      <c r="CB23" s="1805" t="inlineStr">
        <is>
          <t>CROATIA</t>
        </is>
      </c>
      <c r="CC23" s="1806" t="n"/>
      <c r="CD23" s="1806" t="inlineStr">
        <is>
          <t>X</t>
        </is>
      </c>
      <c r="CE23" s="1806" t="inlineStr">
        <is>
          <t>X</t>
        </is>
      </c>
      <c r="CF23" s="1806" t="n"/>
      <c r="CG23" s="1793" t="inlineStr">
        <is>
          <t>.</t>
        </is>
      </c>
    </row>
    <row r="24" ht="15" customHeight="1">
      <c r="A24" s="1615" t="n"/>
      <c r="B24" s="1781">
        <f>SUM(D24:AK24)</f>
        <v/>
      </c>
      <c r="C24" s="1782">
        <f>Table1[[#This Row],[ctry]]</f>
        <v/>
      </c>
      <c r="D24" s="1610">
        <f>COUNTIFS(entryCtry[ctry],Table6[[#This Row],[ctry]],entryCtry[yr],D$2)</f>
        <v/>
      </c>
      <c r="E24" s="1610">
        <f>COUNTIFS(entryCtry[ctry],Table6[[#This Row],[ctry]],entryCtry[yr],E$2)</f>
        <v/>
      </c>
      <c r="F24" s="1610">
        <f>COUNTIFS(entryCtry[ctry],Table6[[#This Row],[ctry]],entryCtry[yr],F$2)</f>
        <v/>
      </c>
      <c r="G24" s="1610">
        <f>COUNTIFS(entryCtry[ctry],Table6[[#This Row],[ctry]],entryCtry[yr],G$2)</f>
        <v/>
      </c>
      <c r="H24" s="1610">
        <f>COUNTIFS(entryCtry[ctry],Table6[[#This Row],[ctry]],entryCtry[yr],H$2)</f>
        <v/>
      </c>
      <c r="I24" s="1610">
        <f>COUNTIFS(entryCtry[ctry],Table6[[#This Row],[ctry]],entryCtry[yr],I$2)</f>
        <v/>
      </c>
      <c r="J24" s="1610">
        <f>COUNTIFS(entryCtry[ctry],Table6[[#This Row],[ctry]],entryCtry[yr],J$2)</f>
        <v/>
      </c>
      <c r="K24" s="1610">
        <f>COUNTIFS(entryCtry[ctry],Table6[[#This Row],[ctry]],entryCtry[yr],K$2)</f>
        <v/>
      </c>
      <c r="L24" s="1610">
        <f>COUNTIFS(entryCtry[ctry],Table6[[#This Row],[ctry]],entryCtry[yr],L$2)</f>
        <v/>
      </c>
      <c r="M24" s="1610">
        <f>COUNTIFS(entryCtry[ctry],Table6[[#This Row],[ctry]],entryCtry[yr],M$2)</f>
        <v/>
      </c>
      <c r="N24" s="1610">
        <f>COUNTIFS(entryCtry[ctry],Table6[[#This Row],[ctry]],entryCtry[yr],N$2)</f>
        <v/>
      </c>
      <c r="O24" s="1610">
        <f>COUNTIFS(entryCtry[ctry],Table6[[#This Row],[ctry]],entryCtry[yr],O$2)</f>
        <v/>
      </c>
      <c r="P24" s="1610">
        <f>COUNTIFS(entryCtry[ctry],Table6[[#This Row],[ctry]],entryCtry[yr],P$2)</f>
        <v/>
      </c>
      <c r="Q24" s="1610">
        <f>COUNTIFS(entryCtry[ctry],Table6[[#This Row],[ctry]],entryCtry[yr],Q$2)</f>
        <v/>
      </c>
      <c r="R24" s="1610">
        <f>COUNTIFS(entryCtry[ctry],Table6[[#This Row],[ctry]],entryCtry[yr],R$2)</f>
        <v/>
      </c>
      <c r="S24" s="1610">
        <f>COUNTIFS(entryCtry[ctry],Table6[[#This Row],[ctry]],entryCtry[yr],S$2)</f>
        <v/>
      </c>
      <c r="T24" s="1610">
        <f>COUNTIFS(entryCtry[ctry],Table6[[#This Row],[ctry]],entryCtry[yr],T$2)</f>
        <v/>
      </c>
      <c r="U24" s="1610">
        <f>COUNTIFS(entryCtry[ctry],Table6[[#This Row],[ctry]],entryCtry[yr],U$2)</f>
        <v/>
      </c>
      <c r="V24" s="1610">
        <f>COUNTIFS(entryCtry[ctry],Table6[[#This Row],[ctry]],entryCtry[yr],V$2)</f>
        <v/>
      </c>
      <c r="W24" s="1610">
        <f>COUNTIFS(entryCtry[ctry],Table6[[#This Row],[ctry]],entryCtry[yr],W$2)</f>
        <v/>
      </c>
      <c r="X24" s="1610">
        <f>COUNTIFS(entryCtry[ctry],Table6[[#This Row],[ctry]],entryCtry[yr],X$2)</f>
        <v/>
      </c>
      <c r="Y24" s="1610">
        <f>COUNTIFS(entryCtry[ctry],Table6[[#This Row],[ctry]],entryCtry[yr],Y$2)</f>
        <v/>
      </c>
      <c r="Z24" s="1610">
        <f>COUNTIFS(entryCtry[ctry],Table6[[#This Row],[ctry]],entryCtry[yr],Z$2)</f>
        <v/>
      </c>
      <c r="AA24" s="1610">
        <f>COUNTIFS(entryCtry[ctry],Table6[[#This Row],[ctry]],entryCtry[yr],AA$2)</f>
        <v/>
      </c>
      <c r="AB24" s="1610">
        <f>COUNTIFS(entryCtry[ctry],Table6[[#This Row],[ctry]],entryCtry[yr],AB$2)</f>
        <v/>
      </c>
      <c r="AC24" s="1610">
        <f>COUNTIFS(entryCtry[ctry],Table6[[#This Row],[ctry]],entryCtry[yr],AC$2)</f>
        <v/>
      </c>
      <c r="AD24" s="1610">
        <f>COUNTIFS(entryCtry[ctry],Table6[[#This Row],[ctry]],entryCtry[yr],AD$2)</f>
        <v/>
      </c>
      <c r="AE24" s="1610">
        <f>COUNTIFS(entryCtry[ctry],Table6[[#This Row],[ctry]],entryCtry[yr],AE$2)</f>
        <v/>
      </c>
      <c r="AF24" s="1610">
        <f>COUNTIFS(entryCtry[ctry],Table6[[#This Row],[ctry]],entryCtry[yr],AF$2)</f>
        <v/>
      </c>
      <c r="AG24" s="1610">
        <f>COUNTIFS(entryCtry[ctry],Table6[[#This Row],[ctry]],entryCtry[yr],AG$2)</f>
        <v/>
      </c>
      <c r="AH24" s="1610">
        <f>COUNTIFS(entryCtry[ctry],Table6[[#This Row],[ctry]],entryCtry[yr],AH$2)</f>
        <v/>
      </c>
      <c r="AI24" s="1610">
        <f>COUNTIFS(entryCtry[ctry],Table6[[#This Row],[ctry]],entryCtry[yr],AI$2)</f>
        <v/>
      </c>
      <c r="AJ24" s="1610">
        <f>COUNTIFS(entryCtry[ctry],Table6[[#This Row],[ctry]],entryCtry[yr],AJ$2)</f>
        <v/>
      </c>
      <c r="AK24" s="1680" t="inlineStr">
        <is>
          <t>.</t>
        </is>
      </c>
      <c r="AL24" s="1611" t="inlineStr">
        <is>
          <t>.</t>
        </is>
      </c>
      <c r="AM24" s="1783">
        <f>'@Main'!B28</f>
        <v/>
      </c>
      <c r="AN24" s="1597">
        <f>_xlfn.XLOOKUP(Table1[[#This Row],['#]],mainW['#],mainW[ctry],"-")</f>
        <v/>
      </c>
      <c r="AO24" s="1649">
        <f>SUMIFS(raw[stay],raw[ctry],Table1[[#This Row],[ctry]],raw[mth],AO$2)</f>
        <v/>
      </c>
      <c r="AP24" s="1649">
        <f>SUMIFS(raw[stay],raw[ctry],Table1[[#This Row],[ctry]],raw[mth],AP$2)</f>
        <v/>
      </c>
      <c r="AQ24" s="1649">
        <f>SUMIFS(raw[stay],raw[ctry],Table1[[#This Row],[ctry]],raw[mth],AQ$2)</f>
        <v/>
      </c>
      <c r="AR24" s="1649">
        <f>SUMIFS(raw[stay],raw[ctry],Table1[[#This Row],[ctry]],raw[mth],AR$2)</f>
        <v/>
      </c>
      <c r="AS24" s="1649">
        <f>SUMIFS(raw[stay],raw[ctry],Table1[[#This Row],[ctry]],raw[mth],AS$2)</f>
        <v/>
      </c>
      <c r="AT24" s="1649">
        <f>SUMIFS(raw[stay],raw[ctry],Table1[[#This Row],[ctry]],raw[mth],AT$2)</f>
        <v/>
      </c>
      <c r="AU24" s="1649">
        <f>SUMIFS(raw[stay],raw[ctry],Table1[[#This Row],[ctry]],raw[mth],AU$2)</f>
        <v/>
      </c>
      <c r="AV24" s="1649">
        <f>SUMIFS(raw[stay],raw[ctry],Table1[[#This Row],[ctry]],raw[mth],AV$2)</f>
        <v/>
      </c>
      <c r="AW24" s="1649">
        <f>SUMIFS(raw[stay],raw[ctry],Table1[[#This Row],[ctry]],raw[mth],AW$2)</f>
        <v/>
      </c>
      <c r="AX24" s="1649">
        <f>SUMIFS(raw[stay],raw[ctry],Table1[[#This Row],[ctry]],raw[mth],AX$2)</f>
        <v/>
      </c>
      <c r="AY24" s="1649">
        <f>SUMIFS(raw[stay],raw[ctry],Table1[[#This Row],[ctry]],raw[mth],AY$2)</f>
        <v/>
      </c>
      <c r="AZ24" s="1649">
        <f>SUMIFS(raw[stay],raw[ctry],Table1[[#This Row],[ctry]],raw[mth],AZ$2)</f>
        <v/>
      </c>
      <c r="BA24" s="1597">
        <f>COUNTIF(AO24:AZ24,"&gt;0")</f>
        <v/>
      </c>
      <c r="BB24" s="1784">
        <f>INT(SUM(AO24:AZ24))</f>
        <v/>
      </c>
      <c r="BC24" s="1611" t="inlineStr">
        <is>
          <t>.</t>
        </is>
      </c>
      <c r="BD24" s="1680">
        <f>BD23</f>
        <v/>
      </c>
      <c r="BE24" s="1597">
        <f>BE23+1</f>
        <v/>
      </c>
      <c r="BF24" s="1785">
        <f>SUMIFS(raw[stay],raw[ctry],Table15[[#This Row],[ctry]],raw[yr],Table15[[#This Row],[yr]],raw[mth],BF$2)</f>
        <v/>
      </c>
      <c r="BG24" s="1785">
        <f>SUMIFS(raw[stay],raw[ctry],Table15[[#This Row],[ctry]],raw[yr],Table15[[#This Row],[yr]],raw[mth],BG$2)</f>
        <v/>
      </c>
      <c r="BH24" s="1785">
        <f>SUMIFS(raw[stay],raw[ctry],Table15[[#This Row],[ctry]],raw[yr],Table15[[#This Row],[yr]],raw[mth],BH$2)</f>
        <v/>
      </c>
      <c r="BI24" s="1785">
        <f>SUMIFS(raw[stay],raw[ctry],Table15[[#This Row],[ctry]],raw[yr],Table15[[#This Row],[yr]],raw[mth],BI$2)</f>
        <v/>
      </c>
      <c r="BJ24" s="1785">
        <f>SUMIFS(raw[stay],raw[ctry],Table15[[#This Row],[ctry]],raw[yr],Table15[[#This Row],[yr]],raw[mth],BJ$2)</f>
        <v/>
      </c>
      <c r="BK24" s="1785">
        <f>SUMIFS(raw[stay],raw[ctry],Table15[[#This Row],[ctry]],raw[yr],Table15[[#This Row],[yr]],raw[mth],BK$2)</f>
        <v/>
      </c>
      <c r="BL24" s="1785">
        <f>SUMIFS(raw[stay],raw[ctry],Table15[[#This Row],[ctry]],raw[yr],Table15[[#This Row],[yr]],raw[mth],BL$2)</f>
        <v/>
      </c>
      <c r="BM24" s="1785">
        <f>SUMIFS(raw[stay],raw[ctry],Table15[[#This Row],[ctry]],raw[yr],Table15[[#This Row],[yr]],raw[mth],BM$2)</f>
        <v/>
      </c>
      <c r="BN24" s="1785">
        <f>SUMIFS(raw[stay],raw[ctry],Table15[[#This Row],[ctry]],raw[yr],Table15[[#This Row],[yr]],raw[mth],BN$2)</f>
        <v/>
      </c>
      <c r="BO24" s="1785">
        <f>SUMIFS(raw[stay],raw[ctry],Table15[[#This Row],[ctry]],raw[yr],Table15[[#This Row],[yr]],raw[mth],BO$2)</f>
        <v/>
      </c>
      <c r="BP24" s="1785">
        <f>SUMIFS(raw[stay],raw[ctry],Table15[[#This Row],[ctry]],raw[yr],Table15[[#This Row],[yr]],raw[mth],BP$2)</f>
        <v/>
      </c>
      <c r="BQ24" s="1785">
        <f>SUMIFS(raw[stay],raw[ctry],Table15[[#This Row],[ctry]],raw[yr],Table15[[#This Row],[yr]],raw[mth],BQ$2)</f>
        <v/>
      </c>
      <c r="BR24" s="1597">
        <f>COUNTIF(BF24:BQ24,"&gt;0")</f>
        <v/>
      </c>
      <c r="BS24" s="1600">
        <f>INT(SUM(BF24:BQ24))</f>
        <v/>
      </c>
      <c r="BT24" s="1597" t="inlineStr">
        <is>
          <t>.</t>
        </is>
      </c>
      <c r="BU24" s="1636" t="inlineStr">
        <is>
          <t>FIN</t>
        </is>
      </c>
      <c r="BV24" s="1603" t="n">
        <v>0</v>
      </c>
      <c r="BW24" s="1607" t="n">
        <v>1</v>
      </c>
      <c r="BX24" s="1611" t="inlineStr">
        <is>
          <t>.</t>
        </is>
      </c>
      <c r="BY24" s="1612" t="n"/>
      <c r="BZ24" s="1788">
        <f>BZ23+1</f>
        <v/>
      </c>
      <c r="CA24" s="1789" t="inlineStr">
        <is>
          <t>E</t>
        </is>
      </c>
      <c r="CB24" s="1805" t="inlineStr">
        <is>
          <t>CZECH REP</t>
        </is>
      </c>
      <c r="CC24" s="1806" t="n"/>
      <c r="CD24" s="1806" t="inlineStr">
        <is>
          <t>X</t>
        </is>
      </c>
      <c r="CE24" s="1806" t="inlineStr">
        <is>
          <t>X</t>
        </is>
      </c>
      <c r="CF24" s="1806" t="n"/>
      <c r="CG24" s="1793" t="inlineStr">
        <is>
          <t>.</t>
        </is>
      </c>
    </row>
    <row r="25" ht="15" customHeight="1">
      <c r="A25" s="1596" t="n"/>
      <c r="B25" s="1794">
        <f>SUM(D25:AK25)</f>
        <v/>
      </c>
      <c r="C25" s="1795">
        <f>Table1[[#This Row],[ctry]]</f>
        <v/>
      </c>
      <c r="D25" s="1610">
        <f>COUNTIFS(entryCtry[ctry],Table6[[#This Row],[ctry]],entryCtry[yr],D$2)</f>
        <v/>
      </c>
      <c r="E25" s="1610">
        <f>COUNTIFS(entryCtry[ctry],Table6[[#This Row],[ctry]],entryCtry[yr],E$2)</f>
        <v/>
      </c>
      <c r="F25" s="1610">
        <f>COUNTIFS(entryCtry[ctry],Table6[[#This Row],[ctry]],entryCtry[yr],F$2)</f>
        <v/>
      </c>
      <c r="G25" s="1610">
        <f>COUNTIFS(entryCtry[ctry],Table6[[#This Row],[ctry]],entryCtry[yr],G$2)</f>
        <v/>
      </c>
      <c r="H25" s="1610">
        <f>COUNTIFS(entryCtry[ctry],Table6[[#This Row],[ctry]],entryCtry[yr],H$2)</f>
        <v/>
      </c>
      <c r="I25" s="1610">
        <f>COUNTIFS(entryCtry[ctry],Table6[[#This Row],[ctry]],entryCtry[yr],I$2)</f>
        <v/>
      </c>
      <c r="J25" s="1610">
        <f>COUNTIFS(entryCtry[ctry],Table6[[#This Row],[ctry]],entryCtry[yr],J$2)</f>
        <v/>
      </c>
      <c r="K25" s="1610">
        <f>COUNTIFS(entryCtry[ctry],Table6[[#This Row],[ctry]],entryCtry[yr],K$2)</f>
        <v/>
      </c>
      <c r="L25" s="1610">
        <f>COUNTIFS(entryCtry[ctry],Table6[[#This Row],[ctry]],entryCtry[yr],L$2)</f>
        <v/>
      </c>
      <c r="M25" s="1610">
        <f>COUNTIFS(entryCtry[ctry],Table6[[#This Row],[ctry]],entryCtry[yr],M$2)</f>
        <v/>
      </c>
      <c r="N25" s="1610">
        <f>COUNTIFS(entryCtry[ctry],Table6[[#This Row],[ctry]],entryCtry[yr],N$2)</f>
        <v/>
      </c>
      <c r="O25" s="1610">
        <f>COUNTIFS(entryCtry[ctry],Table6[[#This Row],[ctry]],entryCtry[yr],O$2)</f>
        <v/>
      </c>
      <c r="P25" s="1610">
        <f>COUNTIFS(entryCtry[ctry],Table6[[#This Row],[ctry]],entryCtry[yr],P$2)</f>
        <v/>
      </c>
      <c r="Q25" s="1610">
        <f>COUNTIFS(entryCtry[ctry],Table6[[#This Row],[ctry]],entryCtry[yr],Q$2)</f>
        <v/>
      </c>
      <c r="R25" s="1610">
        <f>COUNTIFS(entryCtry[ctry],Table6[[#This Row],[ctry]],entryCtry[yr],R$2)</f>
        <v/>
      </c>
      <c r="S25" s="1610">
        <f>COUNTIFS(entryCtry[ctry],Table6[[#This Row],[ctry]],entryCtry[yr],S$2)</f>
        <v/>
      </c>
      <c r="T25" s="1610">
        <f>COUNTIFS(entryCtry[ctry],Table6[[#This Row],[ctry]],entryCtry[yr],T$2)</f>
        <v/>
      </c>
      <c r="U25" s="1610">
        <f>COUNTIFS(entryCtry[ctry],Table6[[#This Row],[ctry]],entryCtry[yr],U$2)</f>
        <v/>
      </c>
      <c r="V25" s="1610">
        <f>COUNTIFS(entryCtry[ctry],Table6[[#This Row],[ctry]],entryCtry[yr],V$2)</f>
        <v/>
      </c>
      <c r="W25" s="1610">
        <f>COUNTIFS(entryCtry[ctry],Table6[[#This Row],[ctry]],entryCtry[yr],W$2)</f>
        <v/>
      </c>
      <c r="X25" s="1610">
        <f>COUNTIFS(entryCtry[ctry],Table6[[#This Row],[ctry]],entryCtry[yr],X$2)</f>
        <v/>
      </c>
      <c r="Y25" s="1610">
        <f>COUNTIFS(entryCtry[ctry],Table6[[#This Row],[ctry]],entryCtry[yr],Y$2)</f>
        <v/>
      </c>
      <c r="Z25" s="1610">
        <f>COUNTIFS(entryCtry[ctry],Table6[[#This Row],[ctry]],entryCtry[yr],Z$2)</f>
        <v/>
      </c>
      <c r="AA25" s="1610">
        <f>COUNTIFS(entryCtry[ctry],Table6[[#This Row],[ctry]],entryCtry[yr],AA$2)</f>
        <v/>
      </c>
      <c r="AB25" s="1610">
        <f>COUNTIFS(entryCtry[ctry],Table6[[#This Row],[ctry]],entryCtry[yr],AB$2)</f>
        <v/>
      </c>
      <c r="AC25" s="1610">
        <f>COUNTIFS(entryCtry[ctry],Table6[[#This Row],[ctry]],entryCtry[yr],AC$2)</f>
        <v/>
      </c>
      <c r="AD25" s="1610">
        <f>COUNTIFS(entryCtry[ctry],Table6[[#This Row],[ctry]],entryCtry[yr],AD$2)</f>
        <v/>
      </c>
      <c r="AE25" s="1610">
        <f>COUNTIFS(entryCtry[ctry],Table6[[#This Row],[ctry]],entryCtry[yr],AE$2)</f>
        <v/>
      </c>
      <c r="AF25" s="1610">
        <f>COUNTIFS(entryCtry[ctry],Table6[[#This Row],[ctry]],entryCtry[yr],AF$2)</f>
        <v/>
      </c>
      <c r="AG25" s="1610">
        <f>COUNTIFS(entryCtry[ctry],Table6[[#This Row],[ctry]],entryCtry[yr],AG$2)</f>
        <v/>
      </c>
      <c r="AH25" s="1610">
        <f>COUNTIFS(entryCtry[ctry],Table6[[#This Row],[ctry]],entryCtry[yr],AH$2)</f>
        <v/>
      </c>
      <c r="AI25" s="1610">
        <f>COUNTIFS(entryCtry[ctry],Table6[[#This Row],[ctry]],entryCtry[yr],AI$2)</f>
        <v/>
      </c>
      <c r="AJ25" s="1610">
        <f>COUNTIFS(entryCtry[ctry],Table6[[#This Row],[ctry]],entryCtry[yr],AJ$2)</f>
        <v/>
      </c>
      <c r="AK25" s="1680" t="inlineStr">
        <is>
          <t>.</t>
        </is>
      </c>
      <c r="AL25" s="1611" t="inlineStr">
        <is>
          <t>.</t>
        </is>
      </c>
      <c r="AM25" s="1783">
        <f>'@Main'!B29</f>
        <v/>
      </c>
      <c r="AN25" s="1597">
        <f>_xlfn.XLOOKUP(Table1[[#This Row],['#]],mainW['#],mainW[ctry],"-")</f>
        <v/>
      </c>
      <c r="AO25" s="1649">
        <f>SUMIFS(raw[stay],raw[ctry],Table1[[#This Row],[ctry]],raw[mth],AO$2)</f>
        <v/>
      </c>
      <c r="AP25" s="1649">
        <f>SUMIFS(raw[stay],raw[ctry],Table1[[#This Row],[ctry]],raw[mth],AP$2)</f>
        <v/>
      </c>
      <c r="AQ25" s="1649">
        <f>SUMIFS(raw[stay],raw[ctry],Table1[[#This Row],[ctry]],raw[mth],AQ$2)</f>
        <v/>
      </c>
      <c r="AR25" s="1649">
        <f>SUMIFS(raw[stay],raw[ctry],Table1[[#This Row],[ctry]],raw[mth],AR$2)</f>
        <v/>
      </c>
      <c r="AS25" s="1649">
        <f>SUMIFS(raw[stay],raw[ctry],Table1[[#This Row],[ctry]],raw[mth],AS$2)</f>
        <v/>
      </c>
      <c r="AT25" s="1649">
        <f>SUMIFS(raw[stay],raw[ctry],Table1[[#This Row],[ctry]],raw[mth],AT$2)</f>
        <v/>
      </c>
      <c r="AU25" s="1649">
        <f>SUMIFS(raw[stay],raw[ctry],Table1[[#This Row],[ctry]],raw[mth],AU$2)</f>
        <v/>
      </c>
      <c r="AV25" s="1649">
        <f>SUMIFS(raw[stay],raw[ctry],Table1[[#This Row],[ctry]],raw[mth],AV$2)</f>
        <v/>
      </c>
      <c r="AW25" s="1649">
        <f>SUMIFS(raw[stay],raw[ctry],Table1[[#This Row],[ctry]],raw[mth],AW$2)</f>
        <v/>
      </c>
      <c r="AX25" s="1649">
        <f>SUMIFS(raw[stay],raw[ctry],Table1[[#This Row],[ctry]],raw[mth],AX$2)</f>
        <v/>
      </c>
      <c r="AY25" s="1649">
        <f>SUMIFS(raw[stay],raw[ctry],Table1[[#This Row],[ctry]],raw[mth],AY$2)</f>
        <v/>
      </c>
      <c r="AZ25" s="1649">
        <f>SUMIFS(raw[stay],raw[ctry],Table1[[#This Row],[ctry]],raw[mth],AZ$2)</f>
        <v/>
      </c>
      <c r="BA25" s="1597">
        <f>COUNTIF(AO25:AZ25,"&gt;0")</f>
        <v/>
      </c>
      <c r="BB25" s="1784">
        <f>INT(SUM(AO25:AZ25))</f>
        <v/>
      </c>
      <c r="BC25" s="1611" t="inlineStr">
        <is>
          <t>.</t>
        </is>
      </c>
      <c r="BD25" s="1680">
        <f>BD24</f>
        <v/>
      </c>
      <c r="BE25" s="1597">
        <f>BE24+1</f>
        <v/>
      </c>
      <c r="BF25" s="1785">
        <f>SUMIFS(raw[stay],raw[ctry],Table15[[#This Row],[ctry]],raw[yr],Table15[[#This Row],[yr]],raw[mth],BF$2)</f>
        <v/>
      </c>
      <c r="BG25" s="1785">
        <f>SUMIFS(raw[stay],raw[ctry],Table15[[#This Row],[ctry]],raw[yr],Table15[[#This Row],[yr]],raw[mth],BG$2)</f>
        <v/>
      </c>
      <c r="BH25" s="1785">
        <f>SUMIFS(raw[stay],raw[ctry],Table15[[#This Row],[ctry]],raw[yr],Table15[[#This Row],[yr]],raw[mth],BH$2)</f>
        <v/>
      </c>
      <c r="BI25" s="1785">
        <f>SUMIFS(raw[stay],raw[ctry],Table15[[#This Row],[ctry]],raw[yr],Table15[[#This Row],[yr]],raw[mth],BI$2)</f>
        <v/>
      </c>
      <c r="BJ25" s="1785">
        <f>SUMIFS(raw[stay],raw[ctry],Table15[[#This Row],[ctry]],raw[yr],Table15[[#This Row],[yr]],raw[mth],BJ$2)</f>
        <v/>
      </c>
      <c r="BK25" s="1785">
        <f>SUMIFS(raw[stay],raw[ctry],Table15[[#This Row],[ctry]],raw[yr],Table15[[#This Row],[yr]],raw[mth],BK$2)</f>
        <v/>
      </c>
      <c r="BL25" s="1785">
        <f>SUMIFS(raw[stay],raw[ctry],Table15[[#This Row],[ctry]],raw[yr],Table15[[#This Row],[yr]],raw[mth],BL$2)</f>
        <v/>
      </c>
      <c r="BM25" s="1785">
        <f>SUMIFS(raw[stay],raw[ctry],Table15[[#This Row],[ctry]],raw[yr],Table15[[#This Row],[yr]],raw[mth],BM$2)</f>
        <v/>
      </c>
      <c r="BN25" s="1785">
        <f>SUMIFS(raw[stay],raw[ctry],Table15[[#This Row],[ctry]],raw[yr],Table15[[#This Row],[yr]],raw[mth],BN$2)</f>
        <v/>
      </c>
      <c r="BO25" s="1785">
        <f>SUMIFS(raw[stay],raw[ctry],Table15[[#This Row],[ctry]],raw[yr],Table15[[#This Row],[yr]],raw[mth],BO$2)</f>
        <v/>
      </c>
      <c r="BP25" s="1785">
        <f>SUMIFS(raw[stay],raw[ctry],Table15[[#This Row],[ctry]],raw[yr],Table15[[#This Row],[yr]],raw[mth],BP$2)</f>
        <v/>
      </c>
      <c r="BQ25" s="1785">
        <f>SUMIFS(raw[stay],raw[ctry],Table15[[#This Row],[ctry]],raw[yr],Table15[[#This Row],[yr]],raw[mth],BQ$2)</f>
        <v/>
      </c>
      <c r="BR25" s="1597">
        <f>COUNTIF(BF25:BQ25,"&gt;0")</f>
        <v/>
      </c>
      <c r="BS25" s="1600">
        <f>INT(SUM(BF25:BQ25))</f>
        <v/>
      </c>
      <c r="BT25" s="1597" t="inlineStr">
        <is>
          <t>.</t>
        </is>
      </c>
      <c r="BU25" s="1636" t="inlineStr">
        <is>
          <t>EGY</t>
        </is>
      </c>
      <c r="BV25" s="1603" t="n">
        <v>0</v>
      </c>
      <c r="BW25" s="1607" t="n">
        <v>1</v>
      </c>
      <c r="BX25" s="1611" t="inlineStr">
        <is>
          <t>.</t>
        </is>
      </c>
      <c r="BY25" s="1612" t="n"/>
      <c r="BZ25" s="1788">
        <f>BZ24+1</f>
        <v/>
      </c>
      <c r="CA25" s="1789" t="inlineStr">
        <is>
          <t>E</t>
        </is>
      </c>
      <c r="CB25" s="1805" t="inlineStr">
        <is>
          <t>UK</t>
        </is>
      </c>
      <c r="CC25" s="1806" t="inlineStr">
        <is>
          <t>X</t>
        </is>
      </c>
      <c r="CD25" s="1806" t="inlineStr">
        <is>
          <t>X</t>
        </is>
      </c>
      <c r="CE25" s="1806" t="inlineStr">
        <is>
          <t>X</t>
        </is>
      </c>
      <c r="CF25" s="1806" t="inlineStr">
        <is>
          <t>X</t>
        </is>
      </c>
      <c r="CG25" s="1793" t="inlineStr">
        <is>
          <t>.</t>
        </is>
      </c>
    </row>
    <row r="26" ht="15" customHeight="1">
      <c r="A26" s="1615" t="n"/>
      <c r="B26" s="1781">
        <f>SUM(D26:AK26)</f>
        <v/>
      </c>
      <c r="C26" s="1782">
        <f>Table1[[#This Row],[ctry]]</f>
        <v/>
      </c>
      <c r="D26" s="1610">
        <f>COUNTIFS(entryCtry[ctry],Table6[[#This Row],[ctry]],entryCtry[yr],D$2)</f>
        <v/>
      </c>
      <c r="E26" s="1610">
        <f>COUNTIFS(entryCtry[ctry],Table6[[#This Row],[ctry]],entryCtry[yr],E$2)</f>
        <v/>
      </c>
      <c r="F26" s="1610">
        <f>COUNTIFS(entryCtry[ctry],Table6[[#This Row],[ctry]],entryCtry[yr],F$2)</f>
        <v/>
      </c>
      <c r="G26" s="1610">
        <f>COUNTIFS(entryCtry[ctry],Table6[[#This Row],[ctry]],entryCtry[yr],G$2)</f>
        <v/>
      </c>
      <c r="H26" s="1610">
        <f>COUNTIFS(entryCtry[ctry],Table6[[#This Row],[ctry]],entryCtry[yr],H$2)</f>
        <v/>
      </c>
      <c r="I26" s="1610">
        <f>COUNTIFS(entryCtry[ctry],Table6[[#This Row],[ctry]],entryCtry[yr],I$2)</f>
        <v/>
      </c>
      <c r="J26" s="1610">
        <f>COUNTIFS(entryCtry[ctry],Table6[[#This Row],[ctry]],entryCtry[yr],J$2)</f>
        <v/>
      </c>
      <c r="K26" s="1610">
        <f>COUNTIFS(entryCtry[ctry],Table6[[#This Row],[ctry]],entryCtry[yr],K$2)</f>
        <v/>
      </c>
      <c r="L26" s="1610">
        <f>COUNTIFS(entryCtry[ctry],Table6[[#This Row],[ctry]],entryCtry[yr],L$2)</f>
        <v/>
      </c>
      <c r="M26" s="1610">
        <f>COUNTIFS(entryCtry[ctry],Table6[[#This Row],[ctry]],entryCtry[yr],M$2)</f>
        <v/>
      </c>
      <c r="N26" s="1610">
        <f>COUNTIFS(entryCtry[ctry],Table6[[#This Row],[ctry]],entryCtry[yr],N$2)</f>
        <v/>
      </c>
      <c r="O26" s="1610">
        <f>COUNTIFS(entryCtry[ctry],Table6[[#This Row],[ctry]],entryCtry[yr],O$2)</f>
        <v/>
      </c>
      <c r="P26" s="1610">
        <f>COUNTIFS(entryCtry[ctry],Table6[[#This Row],[ctry]],entryCtry[yr],P$2)</f>
        <v/>
      </c>
      <c r="Q26" s="1610">
        <f>COUNTIFS(entryCtry[ctry],Table6[[#This Row],[ctry]],entryCtry[yr],Q$2)</f>
        <v/>
      </c>
      <c r="R26" s="1610">
        <f>COUNTIFS(entryCtry[ctry],Table6[[#This Row],[ctry]],entryCtry[yr],R$2)</f>
        <v/>
      </c>
      <c r="S26" s="1610">
        <f>COUNTIFS(entryCtry[ctry],Table6[[#This Row],[ctry]],entryCtry[yr],S$2)</f>
        <v/>
      </c>
      <c r="T26" s="1610">
        <f>COUNTIFS(entryCtry[ctry],Table6[[#This Row],[ctry]],entryCtry[yr],T$2)</f>
        <v/>
      </c>
      <c r="U26" s="1610">
        <f>COUNTIFS(entryCtry[ctry],Table6[[#This Row],[ctry]],entryCtry[yr],U$2)</f>
        <v/>
      </c>
      <c r="V26" s="1610">
        <f>COUNTIFS(entryCtry[ctry],Table6[[#This Row],[ctry]],entryCtry[yr],V$2)</f>
        <v/>
      </c>
      <c r="W26" s="1610">
        <f>COUNTIFS(entryCtry[ctry],Table6[[#This Row],[ctry]],entryCtry[yr],W$2)</f>
        <v/>
      </c>
      <c r="X26" s="1610">
        <f>COUNTIFS(entryCtry[ctry],Table6[[#This Row],[ctry]],entryCtry[yr],X$2)</f>
        <v/>
      </c>
      <c r="Y26" s="1610">
        <f>COUNTIFS(entryCtry[ctry],Table6[[#This Row],[ctry]],entryCtry[yr],Y$2)</f>
        <v/>
      </c>
      <c r="Z26" s="1610">
        <f>COUNTIFS(entryCtry[ctry],Table6[[#This Row],[ctry]],entryCtry[yr],Z$2)</f>
        <v/>
      </c>
      <c r="AA26" s="1610">
        <f>COUNTIFS(entryCtry[ctry],Table6[[#This Row],[ctry]],entryCtry[yr],AA$2)</f>
        <v/>
      </c>
      <c r="AB26" s="1610">
        <f>COUNTIFS(entryCtry[ctry],Table6[[#This Row],[ctry]],entryCtry[yr],AB$2)</f>
        <v/>
      </c>
      <c r="AC26" s="1610">
        <f>COUNTIFS(entryCtry[ctry],Table6[[#This Row],[ctry]],entryCtry[yr],AC$2)</f>
        <v/>
      </c>
      <c r="AD26" s="1610">
        <f>COUNTIFS(entryCtry[ctry],Table6[[#This Row],[ctry]],entryCtry[yr],AD$2)</f>
        <v/>
      </c>
      <c r="AE26" s="1610">
        <f>COUNTIFS(entryCtry[ctry],Table6[[#This Row],[ctry]],entryCtry[yr],AE$2)</f>
        <v/>
      </c>
      <c r="AF26" s="1610">
        <f>COUNTIFS(entryCtry[ctry],Table6[[#This Row],[ctry]],entryCtry[yr],AF$2)</f>
        <v/>
      </c>
      <c r="AG26" s="1610">
        <f>COUNTIFS(entryCtry[ctry],Table6[[#This Row],[ctry]],entryCtry[yr],AG$2)</f>
        <v/>
      </c>
      <c r="AH26" s="1610">
        <f>COUNTIFS(entryCtry[ctry],Table6[[#This Row],[ctry]],entryCtry[yr],AH$2)</f>
        <v/>
      </c>
      <c r="AI26" s="1610">
        <f>COUNTIFS(entryCtry[ctry],Table6[[#This Row],[ctry]],entryCtry[yr],AI$2)</f>
        <v/>
      </c>
      <c r="AJ26" s="1610">
        <f>COUNTIFS(entryCtry[ctry],Table6[[#This Row],[ctry]],entryCtry[yr],AJ$2)</f>
        <v/>
      </c>
      <c r="AK26" s="1680" t="inlineStr">
        <is>
          <t>.</t>
        </is>
      </c>
      <c r="AL26" s="1611" t="inlineStr">
        <is>
          <t>.</t>
        </is>
      </c>
      <c r="AM26" s="1783">
        <f>'@Main'!B30</f>
        <v/>
      </c>
      <c r="AN26" s="1597">
        <f>_xlfn.XLOOKUP(Table1[[#This Row],['#]],mainW['#],mainW[ctry],"-")</f>
        <v/>
      </c>
      <c r="AO26" s="1649">
        <f>SUMIFS(raw[stay],raw[ctry],Table1[[#This Row],[ctry]],raw[mth],AO$2)</f>
        <v/>
      </c>
      <c r="AP26" s="1649">
        <f>SUMIFS(raw[stay],raw[ctry],Table1[[#This Row],[ctry]],raw[mth],AP$2)</f>
        <v/>
      </c>
      <c r="AQ26" s="1649">
        <f>SUMIFS(raw[stay],raw[ctry],Table1[[#This Row],[ctry]],raw[mth],AQ$2)</f>
        <v/>
      </c>
      <c r="AR26" s="1649">
        <f>SUMIFS(raw[stay],raw[ctry],Table1[[#This Row],[ctry]],raw[mth],AR$2)</f>
        <v/>
      </c>
      <c r="AS26" s="1649">
        <f>SUMIFS(raw[stay],raw[ctry],Table1[[#This Row],[ctry]],raw[mth],AS$2)</f>
        <v/>
      </c>
      <c r="AT26" s="1649">
        <f>SUMIFS(raw[stay],raw[ctry],Table1[[#This Row],[ctry]],raw[mth],AT$2)</f>
        <v/>
      </c>
      <c r="AU26" s="1649">
        <f>SUMIFS(raw[stay],raw[ctry],Table1[[#This Row],[ctry]],raw[mth],AU$2)</f>
        <v/>
      </c>
      <c r="AV26" s="1649">
        <f>SUMIFS(raw[stay],raw[ctry],Table1[[#This Row],[ctry]],raw[mth],AV$2)</f>
        <v/>
      </c>
      <c r="AW26" s="1649">
        <f>SUMIFS(raw[stay],raw[ctry],Table1[[#This Row],[ctry]],raw[mth],AW$2)</f>
        <v/>
      </c>
      <c r="AX26" s="1649">
        <f>SUMIFS(raw[stay],raw[ctry],Table1[[#This Row],[ctry]],raw[mth],AX$2)</f>
        <v/>
      </c>
      <c r="AY26" s="1649">
        <f>SUMIFS(raw[stay],raw[ctry],Table1[[#This Row],[ctry]],raw[mth],AY$2)</f>
        <v/>
      </c>
      <c r="AZ26" s="1649">
        <f>SUMIFS(raw[stay],raw[ctry],Table1[[#This Row],[ctry]],raw[mth],AZ$2)</f>
        <v/>
      </c>
      <c r="BA26" s="1597">
        <f>COUNTIF(AO26:AZ26,"&gt;0")</f>
        <v/>
      </c>
      <c r="BB26" s="1784">
        <f>INT(SUM(AO26:AZ26))</f>
        <v/>
      </c>
      <c r="BC26" s="1611" t="inlineStr">
        <is>
          <t>.</t>
        </is>
      </c>
      <c r="BD26" s="1680">
        <f>BD25</f>
        <v/>
      </c>
      <c r="BE26" s="1597">
        <f>BE25+1</f>
        <v/>
      </c>
      <c r="BF26" s="1785">
        <f>SUMIFS(raw[stay],raw[ctry],Table15[[#This Row],[ctry]],raw[yr],Table15[[#This Row],[yr]],raw[mth],BF$2)</f>
        <v/>
      </c>
      <c r="BG26" s="1785">
        <f>SUMIFS(raw[stay],raw[ctry],Table15[[#This Row],[ctry]],raw[yr],Table15[[#This Row],[yr]],raw[mth],BG$2)</f>
        <v/>
      </c>
      <c r="BH26" s="1785">
        <f>SUMIFS(raw[stay],raw[ctry],Table15[[#This Row],[ctry]],raw[yr],Table15[[#This Row],[yr]],raw[mth],BH$2)</f>
        <v/>
      </c>
      <c r="BI26" s="1785">
        <f>SUMIFS(raw[stay],raw[ctry],Table15[[#This Row],[ctry]],raw[yr],Table15[[#This Row],[yr]],raw[mth],BI$2)</f>
        <v/>
      </c>
      <c r="BJ26" s="1785">
        <f>SUMIFS(raw[stay],raw[ctry],Table15[[#This Row],[ctry]],raw[yr],Table15[[#This Row],[yr]],raw[mth],BJ$2)</f>
        <v/>
      </c>
      <c r="BK26" s="1785">
        <f>SUMIFS(raw[stay],raw[ctry],Table15[[#This Row],[ctry]],raw[yr],Table15[[#This Row],[yr]],raw[mth],BK$2)</f>
        <v/>
      </c>
      <c r="BL26" s="1785">
        <f>SUMIFS(raw[stay],raw[ctry],Table15[[#This Row],[ctry]],raw[yr],Table15[[#This Row],[yr]],raw[mth],BL$2)</f>
        <v/>
      </c>
      <c r="BM26" s="1785">
        <f>SUMIFS(raw[stay],raw[ctry],Table15[[#This Row],[ctry]],raw[yr],Table15[[#This Row],[yr]],raw[mth],BM$2)</f>
        <v/>
      </c>
      <c r="BN26" s="1785">
        <f>SUMIFS(raw[stay],raw[ctry],Table15[[#This Row],[ctry]],raw[yr],Table15[[#This Row],[yr]],raw[mth],BN$2)</f>
        <v/>
      </c>
      <c r="BO26" s="1785">
        <f>SUMIFS(raw[stay],raw[ctry],Table15[[#This Row],[ctry]],raw[yr],Table15[[#This Row],[yr]],raw[mth],BO$2)</f>
        <v/>
      </c>
      <c r="BP26" s="1785">
        <f>SUMIFS(raw[stay],raw[ctry],Table15[[#This Row],[ctry]],raw[yr],Table15[[#This Row],[yr]],raw[mth],BP$2)</f>
        <v/>
      </c>
      <c r="BQ26" s="1785">
        <f>SUMIFS(raw[stay],raw[ctry],Table15[[#This Row],[ctry]],raw[yr],Table15[[#This Row],[yr]],raw[mth],BQ$2)</f>
        <v/>
      </c>
      <c r="BR26" s="1597">
        <f>COUNTIF(BF26:BQ26,"&gt;0")</f>
        <v/>
      </c>
      <c r="BS26" s="1600">
        <f>INT(SUM(BF26:BQ26))</f>
        <v/>
      </c>
      <c r="BT26" s="1597" t="inlineStr">
        <is>
          <t>.</t>
        </is>
      </c>
      <c r="BU26" s="1636" t="inlineStr">
        <is>
          <t>PER</t>
        </is>
      </c>
      <c r="BV26" s="1603" t="n">
        <v>0</v>
      </c>
      <c r="BW26" s="1607" t="n">
        <v>1</v>
      </c>
      <c r="BX26" s="1611" t="inlineStr">
        <is>
          <t>.</t>
        </is>
      </c>
      <c r="BY26" s="1612" t="n"/>
      <c r="BZ26" s="1788">
        <f>BZ25+1</f>
        <v/>
      </c>
      <c r="CA26" s="1789" t="inlineStr">
        <is>
          <t>E</t>
        </is>
      </c>
      <c r="CB26" s="1805" t="inlineStr">
        <is>
          <t>SPAIN</t>
        </is>
      </c>
      <c r="CC26" s="1806" t="inlineStr">
        <is>
          <t>X</t>
        </is>
      </c>
      <c r="CD26" s="1806" t="inlineStr">
        <is>
          <t>X</t>
        </is>
      </c>
      <c r="CE26" s="1806" t="inlineStr">
        <is>
          <t>x</t>
        </is>
      </c>
      <c r="CF26" s="1806" t="inlineStr">
        <is>
          <t>X</t>
        </is>
      </c>
      <c r="CG26" s="1793" t="inlineStr">
        <is>
          <t>.</t>
        </is>
      </c>
    </row>
    <row r="27" ht="15" customHeight="1">
      <c r="A27" s="1596" t="n"/>
      <c r="B27" s="1794">
        <f>SUM(D27:AK27)</f>
        <v/>
      </c>
      <c r="C27" s="1795">
        <f>Table1[[#This Row],[ctry]]</f>
        <v/>
      </c>
      <c r="D27" s="1610">
        <f>COUNTIFS(entryCtry[ctry],Table6[[#This Row],[ctry]],entryCtry[yr],D$2)</f>
        <v/>
      </c>
      <c r="E27" s="1610">
        <f>COUNTIFS(entryCtry[ctry],Table6[[#This Row],[ctry]],entryCtry[yr],E$2)</f>
        <v/>
      </c>
      <c r="F27" s="1610">
        <f>COUNTIFS(entryCtry[ctry],Table6[[#This Row],[ctry]],entryCtry[yr],F$2)</f>
        <v/>
      </c>
      <c r="G27" s="1610">
        <f>COUNTIFS(entryCtry[ctry],Table6[[#This Row],[ctry]],entryCtry[yr],G$2)</f>
        <v/>
      </c>
      <c r="H27" s="1610">
        <f>COUNTIFS(entryCtry[ctry],Table6[[#This Row],[ctry]],entryCtry[yr],H$2)</f>
        <v/>
      </c>
      <c r="I27" s="1610">
        <f>COUNTIFS(entryCtry[ctry],Table6[[#This Row],[ctry]],entryCtry[yr],I$2)</f>
        <v/>
      </c>
      <c r="J27" s="1610">
        <f>COUNTIFS(entryCtry[ctry],Table6[[#This Row],[ctry]],entryCtry[yr],J$2)</f>
        <v/>
      </c>
      <c r="K27" s="1610">
        <f>COUNTIFS(entryCtry[ctry],Table6[[#This Row],[ctry]],entryCtry[yr],K$2)</f>
        <v/>
      </c>
      <c r="L27" s="1610">
        <f>COUNTIFS(entryCtry[ctry],Table6[[#This Row],[ctry]],entryCtry[yr],L$2)</f>
        <v/>
      </c>
      <c r="M27" s="1610">
        <f>COUNTIFS(entryCtry[ctry],Table6[[#This Row],[ctry]],entryCtry[yr],M$2)</f>
        <v/>
      </c>
      <c r="N27" s="1610">
        <f>COUNTIFS(entryCtry[ctry],Table6[[#This Row],[ctry]],entryCtry[yr],N$2)</f>
        <v/>
      </c>
      <c r="O27" s="1610">
        <f>COUNTIFS(entryCtry[ctry],Table6[[#This Row],[ctry]],entryCtry[yr],O$2)</f>
        <v/>
      </c>
      <c r="P27" s="1610">
        <f>COUNTIFS(entryCtry[ctry],Table6[[#This Row],[ctry]],entryCtry[yr],P$2)</f>
        <v/>
      </c>
      <c r="Q27" s="1610">
        <f>COUNTIFS(entryCtry[ctry],Table6[[#This Row],[ctry]],entryCtry[yr],Q$2)</f>
        <v/>
      </c>
      <c r="R27" s="1610">
        <f>COUNTIFS(entryCtry[ctry],Table6[[#This Row],[ctry]],entryCtry[yr],R$2)</f>
        <v/>
      </c>
      <c r="S27" s="1610">
        <f>COUNTIFS(entryCtry[ctry],Table6[[#This Row],[ctry]],entryCtry[yr],S$2)</f>
        <v/>
      </c>
      <c r="T27" s="1610">
        <f>COUNTIFS(entryCtry[ctry],Table6[[#This Row],[ctry]],entryCtry[yr],T$2)</f>
        <v/>
      </c>
      <c r="U27" s="1610">
        <f>COUNTIFS(entryCtry[ctry],Table6[[#This Row],[ctry]],entryCtry[yr],U$2)</f>
        <v/>
      </c>
      <c r="V27" s="1610">
        <f>COUNTIFS(entryCtry[ctry],Table6[[#This Row],[ctry]],entryCtry[yr],V$2)</f>
        <v/>
      </c>
      <c r="W27" s="1610">
        <f>COUNTIFS(entryCtry[ctry],Table6[[#This Row],[ctry]],entryCtry[yr],W$2)</f>
        <v/>
      </c>
      <c r="X27" s="1610">
        <f>COUNTIFS(entryCtry[ctry],Table6[[#This Row],[ctry]],entryCtry[yr],X$2)</f>
        <v/>
      </c>
      <c r="Y27" s="1610">
        <f>COUNTIFS(entryCtry[ctry],Table6[[#This Row],[ctry]],entryCtry[yr],Y$2)</f>
        <v/>
      </c>
      <c r="Z27" s="1610">
        <f>COUNTIFS(entryCtry[ctry],Table6[[#This Row],[ctry]],entryCtry[yr],Z$2)</f>
        <v/>
      </c>
      <c r="AA27" s="1610">
        <f>COUNTIFS(entryCtry[ctry],Table6[[#This Row],[ctry]],entryCtry[yr],AA$2)</f>
        <v/>
      </c>
      <c r="AB27" s="1610">
        <f>COUNTIFS(entryCtry[ctry],Table6[[#This Row],[ctry]],entryCtry[yr],AB$2)</f>
        <v/>
      </c>
      <c r="AC27" s="1610">
        <f>COUNTIFS(entryCtry[ctry],Table6[[#This Row],[ctry]],entryCtry[yr],AC$2)</f>
        <v/>
      </c>
      <c r="AD27" s="1610">
        <f>COUNTIFS(entryCtry[ctry],Table6[[#This Row],[ctry]],entryCtry[yr],AD$2)</f>
        <v/>
      </c>
      <c r="AE27" s="1610">
        <f>COUNTIFS(entryCtry[ctry],Table6[[#This Row],[ctry]],entryCtry[yr],AE$2)</f>
        <v/>
      </c>
      <c r="AF27" s="1610">
        <f>COUNTIFS(entryCtry[ctry],Table6[[#This Row],[ctry]],entryCtry[yr],AF$2)</f>
        <v/>
      </c>
      <c r="AG27" s="1610">
        <f>COUNTIFS(entryCtry[ctry],Table6[[#This Row],[ctry]],entryCtry[yr],AG$2)</f>
        <v/>
      </c>
      <c r="AH27" s="1610">
        <f>COUNTIFS(entryCtry[ctry],Table6[[#This Row],[ctry]],entryCtry[yr],AH$2)</f>
        <v/>
      </c>
      <c r="AI27" s="1610">
        <f>COUNTIFS(entryCtry[ctry],Table6[[#This Row],[ctry]],entryCtry[yr],AI$2)</f>
        <v/>
      </c>
      <c r="AJ27" s="1610">
        <f>COUNTIFS(entryCtry[ctry],Table6[[#This Row],[ctry]],entryCtry[yr],AJ$2)</f>
        <v/>
      </c>
      <c r="AK27" s="1680" t="inlineStr">
        <is>
          <t>.</t>
        </is>
      </c>
      <c r="AL27" s="1611" t="inlineStr">
        <is>
          <t>.</t>
        </is>
      </c>
      <c r="AM27" s="1783">
        <f>'@Main'!B31</f>
        <v/>
      </c>
      <c r="AN27" s="1597">
        <f>_xlfn.XLOOKUP(Table1[[#This Row],['#]],mainW['#],mainW[ctry],"-")</f>
        <v/>
      </c>
      <c r="AO27" s="1649">
        <f>SUMIFS(raw[stay],raw[ctry],Table1[[#This Row],[ctry]],raw[mth],AO$2)</f>
        <v/>
      </c>
      <c r="AP27" s="1649">
        <f>SUMIFS(raw[stay],raw[ctry],Table1[[#This Row],[ctry]],raw[mth],AP$2)</f>
        <v/>
      </c>
      <c r="AQ27" s="1649">
        <f>SUMIFS(raw[stay],raw[ctry],Table1[[#This Row],[ctry]],raw[mth],AQ$2)</f>
        <v/>
      </c>
      <c r="AR27" s="1649">
        <f>SUMIFS(raw[stay],raw[ctry],Table1[[#This Row],[ctry]],raw[mth],AR$2)</f>
        <v/>
      </c>
      <c r="AS27" s="1649">
        <f>SUMIFS(raw[stay],raw[ctry],Table1[[#This Row],[ctry]],raw[mth],AS$2)</f>
        <v/>
      </c>
      <c r="AT27" s="1649">
        <f>SUMIFS(raw[stay],raw[ctry],Table1[[#This Row],[ctry]],raw[mth],AT$2)</f>
        <v/>
      </c>
      <c r="AU27" s="1649">
        <f>SUMIFS(raw[stay],raw[ctry],Table1[[#This Row],[ctry]],raw[mth],AU$2)</f>
        <v/>
      </c>
      <c r="AV27" s="1649">
        <f>SUMIFS(raw[stay],raw[ctry],Table1[[#This Row],[ctry]],raw[mth],AV$2)</f>
        <v/>
      </c>
      <c r="AW27" s="1649">
        <f>SUMIFS(raw[stay],raw[ctry],Table1[[#This Row],[ctry]],raw[mth],AW$2)</f>
        <v/>
      </c>
      <c r="AX27" s="1649">
        <f>SUMIFS(raw[stay],raw[ctry],Table1[[#This Row],[ctry]],raw[mth],AX$2)</f>
        <v/>
      </c>
      <c r="AY27" s="1649">
        <f>SUMIFS(raw[stay],raw[ctry],Table1[[#This Row],[ctry]],raw[mth],AY$2)</f>
        <v/>
      </c>
      <c r="AZ27" s="1649">
        <f>SUMIFS(raw[stay],raw[ctry],Table1[[#This Row],[ctry]],raw[mth],AZ$2)</f>
        <v/>
      </c>
      <c r="BA27" s="1597">
        <f>COUNTIF(AO27:AZ27,"&gt;0")</f>
        <v/>
      </c>
      <c r="BB27" s="1784">
        <f>INT(SUM(AO27:AZ27))</f>
        <v/>
      </c>
      <c r="BC27" s="1611" t="inlineStr">
        <is>
          <t>.</t>
        </is>
      </c>
      <c r="BD27" s="1680">
        <f>BD26</f>
        <v/>
      </c>
      <c r="BE27" s="1597">
        <f>BE26+1</f>
        <v/>
      </c>
      <c r="BF27" s="1785">
        <f>SUMIFS(raw[stay],raw[ctry],Table15[[#This Row],[ctry]],raw[yr],Table15[[#This Row],[yr]],raw[mth],BF$2)</f>
        <v/>
      </c>
      <c r="BG27" s="1785">
        <f>SUMIFS(raw[stay],raw[ctry],Table15[[#This Row],[ctry]],raw[yr],Table15[[#This Row],[yr]],raw[mth],BG$2)</f>
        <v/>
      </c>
      <c r="BH27" s="1785">
        <f>SUMIFS(raw[stay],raw[ctry],Table15[[#This Row],[ctry]],raw[yr],Table15[[#This Row],[yr]],raw[mth],BH$2)</f>
        <v/>
      </c>
      <c r="BI27" s="1785">
        <f>SUMIFS(raw[stay],raw[ctry],Table15[[#This Row],[ctry]],raw[yr],Table15[[#This Row],[yr]],raw[mth],BI$2)</f>
        <v/>
      </c>
      <c r="BJ27" s="1785">
        <f>SUMIFS(raw[stay],raw[ctry],Table15[[#This Row],[ctry]],raw[yr],Table15[[#This Row],[yr]],raw[mth],BJ$2)</f>
        <v/>
      </c>
      <c r="BK27" s="1785">
        <f>SUMIFS(raw[stay],raw[ctry],Table15[[#This Row],[ctry]],raw[yr],Table15[[#This Row],[yr]],raw[mth],BK$2)</f>
        <v/>
      </c>
      <c r="BL27" s="1785">
        <f>SUMIFS(raw[stay],raw[ctry],Table15[[#This Row],[ctry]],raw[yr],Table15[[#This Row],[yr]],raw[mth],BL$2)</f>
        <v/>
      </c>
      <c r="BM27" s="1785">
        <f>SUMIFS(raw[stay],raw[ctry],Table15[[#This Row],[ctry]],raw[yr],Table15[[#This Row],[yr]],raw[mth],BM$2)</f>
        <v/>
      </c>
      <c r="BN27" s="1785">
        <f>SUMIFS(raw[stay],raw[ctry],Table15[[#This Row],[ctry]],raw[yr],Table15[[#This Row],[yr]],raw[mth],BN$2)</f>
        <v/>
      </c>
      <c r="BO27" s="1785">
        <f>SUMIFS(raw[stay],raw[ctry],Table15[[#This Row],[ctry]],raw[yr],Table15[[#This Row],[yr]],raw[mth],BO$2)</f>
        <v/>
      </c>
      <c r="BP27" s="1785">
        <f>SUMIFS(raw[stay],raw[ctry],Table15[[#This Row],[ctry]],raw[yr],Table15[[#This Row],[yr]],raw[mth],BP$2)</f>
        <v/>
      </c>
      <c r="BQ27" s="1785">
        <f>SUMIFS(raw[stay],raw[ctry],Table15[[#This Row],[ctry]],raw[yr],Table15[[#This Row],[yr]],raw[mth],BQ$2)</f>
        <v/>
      </c>
      <c r="BR27" s="1597">
        <f>COUNTIF(BF27:BQ27,"&gt;0")</f>
        <v/>
      </c>
      <c r="BS27" s="1600">
        <f>INT(SUM(BF27:BQ27))</f>
        <v/>
      </c>
      <c r="BT27" s="1597" t="inlineStr">
        <is>
          <t>.</t>
        </is>
      </c>
      <c r="BU27" s="1636" t="inlineStr">
        <is>
          <t>IRL</t>
        </is>
      </c>
      <c r="BV27" s="1603" t="n">
        <v>0</v>
      </c>
      <c r="BW27" s="1607" t="n">
        <v>1</v>
      </c>
      <c r="BX27" s="1611" t="inlineStr">
        <is>
          <t>.</t>
        </is>
      </c>
      <c r="BY27" s="1612" t="n"/>
      <c r="BZ27" s="1788">
        <f>BZ26+1</f>
        <v/>
      </c>
      <c r="CA27" s="1789" t="inlineStr">
        <is>
          <t>E</t>
        </is>
      </c>
      <c r="CB27" s="1805" t="inlineStr">
        <is>
          <t>FINLAND</t>
        </is>
      </c>
      <c r="CC27" s="1806" t="n"/>
      <c r="CD27" s="1806" t="inlineStr">
        <is>
          <t>X</t>
        </is>
      </c>
      <c r="CE27" s="1806" t="n"/>
      <c r="CF27" s="1806" t="n"/>
      <c r="CG27" s="1793" t="inlineStr">
        <is>
          <t>.</t>
        </is>
      </c>
    </row>
    <row r="28" ht="15" customHeight="1">
      <c r="A28" s="1615" t="n"/>
      <c r="B28" s="1781">
        <f>SUM(D28:AK28)</f>
        <v/>
      </c>
      <c r="C28" s="1782">
        <f>Table1[[#This Row],[ctry]]</f>
        <v/>
      </c>
      <c r="D28" s="1610">
        <f>COUNTIFS(entryCtry[ctry],Table6[[#This Row],[ctry]],entryCtry[yr],D$2)</f>
        <v/>
      </c>
      <c r="E28" s="1610">
        <f>COUNTIFS(entryCtry[ctry],Table6[[#This Row],[ctry]],entryCtry[yr],E$2)</f>
        <v/>
      </c>
      <c r="F28" s="1610">
        <f>COUNTIFS(entryCtry[ctry],Table6[[#This Row],[ctry]],entryCtry[yr],F$2)</f>
        <v/>
      </c>
      <c r="G28" s="1610">
        <f>COUNTIFS(entryCtry[ctry],Table6[[#This Row],[ctry]],entryCtry[yr],G$2)</f>
        <v/>
      </c>
      <c r="H28" s="1610">
        <f>COUNTIFS(entryCtry[ctry],Table6[[#This Row],[ctry]],entryCtry[yr],H$2)</f>
        <v/>
      </c>
      <c r="I28" s="1610">
        <f>COUNTIFS(entryCtry[ctry],Table6[[#This Row],[ctry]],entryCtry[yr],I$2)</f>
        <v/>
      </c>
      <c r="J28" s="1610">
        <f>COUNTIFS(entryCtry[ctry],Table6[[#This Row],[ctry]],entryCtry[yr],J$2)</f>
        <v/>
      </c>
      <c r="K28" s="1610">
        <f>COUNTIFS(entryCtry[ctry],Table6[[#This Row],[ctry]],entryCtry[yr],K$2)</f>
        <v/>
      </c>
      <c r="L28" s="1610">
        <f>COUNTIFS(entryCtry[ctry],Table6[[#This Row],[ctry]],entryCtry[yr],L$2)</f>
        <v/>
      </c>
      <c r="M28" s="1610">
        <f>COUNTIFS(entryCtry[ctry],Table6[[#This Row],[ctry]],entryCtry[yr],M$2)</f>
        <v/>
      </c>
      <c r="N28" s="1610">
        <f>COUNTIFS(entryCtry[ctry],Table6[[#This Row],[ctry]],entryCtry[yr],N$2)</f>
        <v/>
      </c>
      <c r="O28" s="1610">
        <f>COUNTIFS(entryCtry[ctry],Table6[[#This Row],[ctry]],entryCtry[yr],O$2)</f>
        <v/>
      </c>
      <c r="P28" s="1610">
        <f>COUNTIFS(entryCtry[ctry],Table6[[#This Row],[ctry]],entryCtry[yr],P$2)</f>
        <v/>
      </c>
      <c r="Q28" s="1610">
        <f>COUNTIFS(entryCtry[ctry],Table6[[#This Row],[ctry]],entryCtry[yr],Q$2)</f>
        <v/>
      </c>
      <c r="R28" s="1610">
        <f>COUNTIFS(entryCtry[ctry],Table6[[#This Row],[ctry]],entryCtry[yr],R$2)</f>
        <v/>
      </c>
      <c r="S28" s="1610">
        <f>COUNTIFS(entryCtry[ctry],Table6[[#This Row],[ctry]],entryCtry[yr],S$2)</f>
        <v/>
      </c>
      <c r="T28" s="1610">
        <f>COUNTIFS(entryCtry[ctry],Table6[[#This Row],[ctry]],entryCtry[yr],T$2)</f>
        <v/>
      </c>
      <c r="U28" s="1610">
        <f>COUNTIFS(entryCtry[ctry],Table6[[#This Row],[ctry]],entryCtry[yr],U$2)</f>
        <v/>
      </c>
      <c r="V28" s="1610">
        <f>COUNTIFS(entryCtry[ctry],Table6[[#This Row],[ctry]],entryCtry[yr],V$2)</f>
        <v/>
      </c>
      <c r="W28" s="1610">
        <f>COUNTIFS(entryCtry[ctry],Table6[[#This Row],[ctry]],entryCtry[yr],W$2)</f>
        <v/>
      </c>
      <c r="X28" s="1610">
        <f>COUNTIFS(entryCtry[ctry],Table6[[#This Row],[ctry]],entryCtry[yr],X$2)</f>
        <v/>
      </c>
      <c r="Y28" s="1610">
        <f>COUNTIFS(entryCtry[ctry],Table6[[#This Row],[ctry]],entryCtry[yr],Y$2)</f>
        <v/>
      </c>
      <c r="Z28" s="1610">
        <f>COUNTIFS(entryCtry[ctry],Table6[[#This Row],[ctry]],entryCtry[yr],Z$2)</f>
        <v/>
      </c>
      <c r="AA28" s="1610">
        <f>COUNTIFS(entryCtry[ctry],Table6[[#This Row],[ctry]],entryCtry[yr],AA$2)</f>
        <v/>
      </c>
      <c r="AB28" s="1610">
        <f>COUNTIFS(entryCtry[ctry],Table6[[#This Row],[ctry]],entryCtry[yr],AB$2)</f>
        <v/>
      </c>
      <c r="AC28" s="1610">
        <f>COUNTIFS(entryCtry[ctry],Table6[[#This Row],[ctry]],entryCtry[yr],AC$2)</f>
        <v/>
      </c>
      <c r="AD28" s="1610">
        <f>COUNTIFS(entryCtry[ctry],Table6[[#This Row],[ctry]],entryCtry[yr],AD$2)</f>
        <v/>
      </c>
      <c r="AE28" s="1610">
        <f>COUNTIFS(entryCtry[ctry],Table6[[#This Row],[ctry]],entryCtry[yr],AE$2)</f>
        <v/>
      </c>
      <c r="AF28" s="1610">
        <f>COUNTIFS(entryCtry[ctry],Table6[[#This Row],[ctry]],entryCtry[yr],AF$2)</f>
        <v/>
      </c>
      <c r="AG28" s="1610">
        <f>COUNTIFS(entryCtry[ctry],Table6[[#This Row],[ctry]],entryCtry[yr],AG$2)</f>
        <v/>
      </c>
      <c r="AH28" s="1610">
        <f>COUNTIFS(entryCtry[ctry],Table6[[#This Row],[ctry]],entryCtry[yr],AH$2)</f>
        <v/>
      </c>
      <c r="AI28" s="1610">
        <f>COUNTIFS(entryCtry[ctry],Table6[[#This Row],[ctry]],entryCtry[yr],AI$2)</f>
        <v/>
      </c>
      <c r="AJ28" s="1610">
        <f>COUNTIFS(entryCtry[ctry],Table6[[#This Row],[ctry]],entryCtry[yr],AJ$2)</f>
        <v/>
      </c>
      <c r="AK28" s="1680" t="inlineStr">
        <is>
          <t>.</t>
        </is>
      </c>
      <c r="AL28" s="1611" t="inlineStr">
        <is>
          <t>.</t>
        </is>
      </c>
      <c r="AM28" s="1783">
        <f>'@Main'!B32</f>
        <v/>
      </c>
      <c r="AN28" s="1597">
        <f>_xlfn.XLOOKUP(Table1[[#This Row],['#]],mainW['#],mainW[ctry],"-")</f>
        <v/>
      </c>
      <c r="AO28" s="1649">
        <f>SUMIFS(raw[stay],raw[ctry],Table1[[#This Row],[ctry]],raw[mth],AO$2)</f>
        <v/>
      </c>
      <c r="AP28" s="1649">
        <f>SUMIFS(raw[stay],raw[ctry],Table1[[#This Row],[ctry]],raw[mth],AP$2)</f>
        <v/>
      </c>
      <c r="AQ28" s="1649">
        <f>SUMIFS(raw[stay],raw[ctry],Table1[[#This Row],[ctry]],raw[mth],AQ$2)</f>
        <v/>
      </c>
      <c r="AR28" s="1649">
        <f>SUMIFS(raw[stay],raw[ctry],Table1[[#This Row],[ctry]],raw[mth],AR$2)</f>
        <v/>
      </c>
      <c r="AS28" s="1649">
        <f>SUMIFS(raw[stay],raw[ctry],Table1[[#This Row],[ctry]],raw[mth],AS$2)</f>
        <v/>
      </c>
      <c r="AT28" s="1649">
        <f>SUMIFS(raw[stay],raw[ctry],Table1[[#This Row],[ctry]],raw[mth],AT$2)</f>
        <v/>
      </c>
      <c r="AU28" s="1649">
        <f>SUMIFS(raw[stay],raw[ctry],Table1[[#This Row],[ctry]],raw[mth],AU$2)</f>
        <v/>
      </c>
      <c r="AV28" s="1649">
        <f>SUMIFS(raw[stay],raw[ctry],Table1[[#This Row],[ctry]],raw[mth],AV$2)</f>
        <v/>
      </c>
      <c r="AW28" s="1649">
        <f>SUMIFS(raw[stay],raw[ctry],Table1[[#This Row],[ctry]],raw[mth],AW$2)</f>
        <v/>
      </c>
      <c r="AX28" s="1649">
        <f>SUMIFS(raw[stay],raw[ctry],Table1[[#This Row],[ctry]],raw[mth],AX$2)</f>
        <v/>
      </c>
      <c r="AY28" s="1649">
        <f>SUMIFS(raw[stay],raw[ctry],Table1[[#This Row],[ctry]],raw[mth],AY$2)</f>
        <v/>
      </c>
      <c r="AZ28" s="1649">
        <f>SUMIFS(raw[stay],raw[ctry],Table1[[#This Row],[ctry]],raw[mth],AZ$2)</f>
        <v/>
      </c>
      <c r="BA28" s="1597">
        <f>COUNTIF(AO28:AZ28,"&gt;0")</f>
        <v/>
      </c>
      <c r="BB28" s="1784">
        <f>INT(SUM(AO28:AZ28))</f>
        <v/>
      </c>
      <c r="BC28" s="1611" t="inlineStr">
        <is>
          <t>.</t>
        </is>
      </c>
      <c r="BD28" s="1680">
        <f>BD27</f>
        <v/>
      </c>
      <c r="BE28" s="1597">
        <f>BE27+1</f>
        <v/>
      </c>
      <c r="BF28" s="1785">
        <f>SUMIFS(raw[stay],raw[ctry],Table15[[#This Row],[ctry]],raw[yr],Table15[[#This Row],[yr]],raw[mth],BF$2)</f>
        <v/>
      </c>
      <c r="BG28" s="1785">
        <f>SUMIFS(raw[stay],raw[ctry],Table15[[#This Row],[ctry]],raw[yr],Table15[[#This Row],[yr]],raw[mth],BG$2)</f>
        <v/>
      </c>
      <c r="BH28" s="1785">
        <f>SUMIFS(raw[stay],raw[ctry],Table15[[#This Row],[ctry]],raw[yr],Table15[[#This Row],[yr]],raw[mth],BH$2)</f>
        <v/>
      </c>
      <c r="BI28" s="1785">
        <f>SUMIFS(raw[stay],raw[ctry],Table15[[#This Row],[ctry]],raw[yr],Table15[[#This Row],[yr]],raw[mth],BI$2)</f>
        <v/>
      </c>
      <c r="BJ28" s="1785">
        <f>SUMIFS(raw[stay],raw[ctry],Table15[[#This Row],[ctry]],raw[yr],Table15[[#This Row],[yr]],raw[mth],BJ$2)</f>
        <v/>
      </c>
      <c r="BK28" s="1785">
        <f>SUMIFS(raw[stay],raw[ctry],Table15[[#This Row],[ctry]],raw[yr],Table15[[#This Row],[yr]],raw[mth],BK$2)</f>
        <v/>
      </c>
      <c r="BL28" s="1785">
        <f>SUMIFS(raw[stay],raw[ctry],Table15[[#This Row],[ctry]],raw[yr],Table15[[#This Row],[yr]],raw[mth],BL$2)</f>
        <v/>
      </c>
      <c r="BM28" s="1785">
        <f>SUMIFS(raw[stay],raw[ctry],Table15[[#This Row],[ctry]],raw[yr],Table15[[#This Row],[yr]],raw[mth],BM$2)</f>
        <v/>
      </c>
      <c r="BN28" s="1785">
        <f>SUMIFS(raw[stay],raw[ctry],Table15[[#This Row],[ctry]],raw[yr],Table15[[#This Row],[yr]],raw[mth],BN$2)</f>
        <v/>
      </c>
      <c r="BO28" s="1785">
        <f>SUMIFS(raw[stay],raw[ctry],Table15[[#This Row],[ctry]],raw[yr],Table15[[#This Row],[yr]],raw[mth],BO$2)</f>
        <v/>
      </c>
      <c r="BP28" s="1785">
        <f>SUMIFS(raw[stay],raw[ctry],Table15[[#This Row],[ctry]],raw[yr],Table15[[#This Row],[yr]],raw[mth],BP$2)</f>
        <v/>
      </c>
      <c r="BQ28" s="1785">
        <f>SUMIFS(raw[stay],raw[ctry],Table15[[#This Row],[ctry]],raw[yr],Table15[[#This Row],[yr]],raw[mth],BQ$2)</f>
        <v/>
      </c>
      <c r="BR28" s="1597">
        <f>COUNTIF(BF28:BQ28,"&gt;0")</f>
        <v/>
      </c>
      <c r="BS28" s="1600">
        <f>INT(SUM(BF28:BQ28))</f>
        <v/>
      </c>
      <c r="BT28" s="1597" t="inlineStr">
        <is>
          <t>.</t>
        </is>
      </c>
      <c r="BU28" s="1636" t="inlineStr">
        <is>
          <t>CZE</t>
        </is>
      </c>
      <c r="BV28" s="1603" t="n">
        <v>0</v>
      </c>
      <c r="BW28" s="1607" t="n">
        <v>1</v>
      </c>
      <c r="BX28" s="1611" t="inlineStr">
        <is>
          <t>.</t>
        </is>
      </c>
      <c r="BY28" s="1612" t="n"/>
      <c r="BZ28" s="1788">
        <f>BZ27+1</f>
        <v/>
      </c>
      <c r="CA28" s="1789" t="inlineStr">
        <is>
          <t>E</t>
        </is>
      </c>
      <c r="CB28" s="1805" t="inlineStr">
        <is>
          <t>FRANCE</t>
        </is>
      </c>
      <c r="CC28" s="1806" t="inlineStr">
        <is>
          <t>X</t>
        </is>
      </c>
      <c r="CD28" s="1806" t="inlineStr">
        <is>
          <t>X</t>
        </is>
      </c>
      <c r="CE28" s="1806" t="inlineStr">
        <is>
          <t>X</t>
        </is>
      </c>
      <c r="CF28" s="1806" t="inlineStr">
        <is>
          <t>X</t>
        </is>
      </c>
      <c r="CG28" s="1793" t="inlineStr">
        <is>
          <t>.</t>
        </is>
      </c>
    </row>
    <row r="29" ht="15" customHeight="1">
      <c r="A29" s="1596" t="n"/>
      <c r="B29" s="1794">
        <f>SUM(D29:AK29)</f>
        <v/>
      </c>
      <c r="C29" s="1795">
        <f>Table1[[#This Row],[ctry]]</f>
        <v/>
      </c>
      <c r="D29" s="1610">
        <f>COUNTIFS(entryCtry[ctry],Table6[[#This Row],[ctry]],entryCtry[yr],D$2)</f>
        <v/>
      </c>
      <c r="E29" s="1610">
        <f>COUNTIFS(entryCtry[ctry],Table6[[#This Row],[ctry]],entryCtry[yr],E$2)</f>
        <v/>
      </c>
      <c r="F29" s="1610">
        <f>COUNTIFS(entryCtry[ctry],Table6[[#This Row],[ctry]],entryCtry[yr],F$2)</f>
        <v/>
      </c>
      <c r="G29" s="1610">
        <f>COUNTIFS(entryCtry[ctry],Table6[[#This Row],[ctry]],entryCtry[yr],G$2)</f>
        <v/>
      </c>
      <c r="H29" s="1610">
        <f>COUNTIFS(entryCtry[ctry],Table6[[#This Row],[ctry]],entryCtry[yr],H$2)</f>
        <v/>
      </c>
      <c r="I29" s="1610">
        <f>COUNTIFS(entryCtry[ctry],Table6[[#This Row],[ctry]],entryCtry[yr],I$2)</f>
        <v/>
      </c>
      <c r="J29" s="1610">
        <f>COUNTIFS(entryCtry[ctry],Table6[[#This Row],[ctry]],entryCtry[yr],J$2)</f>
        <v/>
      </c>
      <c r="K29" s="1610">
        <f>COUNTIFS(entryCtry[ctry],Table6[[#This Row],[ctry]],entryCtry[yr],K$2)</f>
        <v/>
      </c>
      <c r="L29" s="1610">
        <f>COUNTIFS(entryCtry[ctry],Table6[[#This Row],[ctry]],entryCtry[yr],L$2)</f>
        <v/>
      </c>
      <c r="M29" s="1610">
        <f>COUNTIFS(entryCtry[ctry],Table6[[#This Row],[ctry]],entryCtry[yr],M$2)</f>
        <v/>
      </c>
      <c r="N29" s="1610">
        <f>COUNTIFS(entryCtry[ctry],Table6[[#This Row],[ctry]],entryCtry[yr],N$2)</f>
        <v/>
      </c>
      <c r="O29" s="1610">
        <f>COUNTIFS(entryCtry[ctry],Table6[[#This Row],[ctry]],entryCtry[yr],O$2)</f>
        <v/>
      </c>
      <c r="P29" s="1610">
        <f>COUNTIFS(entryCtry[ctry],Table6[[#This Row],[ctry]],entryCtry[yr],P$2)</f>
        <v/>
      </c>
      <c r="Q29" s="1610">
        <f>COUNTIFS(entryCtry[ctry],Table6[[#This Row],[ctry]],entryCtry[yr],Q$2)</f>
        <v/>
      </c>
      <c r="R29" s="1610">
        <f>COUNTIFS(entryCtry[ctry],Table6[[#This Row],[ctry]],entryCtry[yr],R$2)</f>
        <v/>
      </c>
      <c r="S29" s="1610">
        <f>COUNTIFS(entryCtry[ctry],Table6[[#This Row],[ctry]],entryCtry[yr],S$2)</f>
        <v/>
      </c>
      <c r="T29" s="1610">
        <f>COUNTIFS(entryCtry[ctry],Table6[[#This Row],[ctry]],entryCtry[yr],T$2)</f>
        <v/>
      </c>
      <c r="U29" s="1610">
        <f>COUNTIFS(entryCtry[ctry],Table6[[#This Row],[ctry]],entryCtry[yr],U$2)</f>
        <v/>
      </c>
      <c r="V29" s="1610">
        <f>COUNTIFS(entryCtry[ctry],Table6[[#This Row],[ctry]],entryCtry[yr],V$2)</f>
        <v/>
      </c>
      <c r="W29" s="1610">
        <f>COUNTIFS(entryCtry[ctry],Table6[[#This Row],[ctry]],entryCtry[yr],W$2)</f>
        <v/>
      </c>
      <c r="X29" s="1610">
        <f>COUNTIFS(entryCtry[ctry],Table6[[#This Row],[ctry]],entryCtry[yr],X$2)</f>
        <v/>
      </c>
      <c r="Y29" s="1610">
        <f>COUNTIFS(entryCtry[ctry],Table6[[#This Row],[ctry]],entryCtry[yr],Y$2)</f>
        <v/>
      </c>
      <c r="Z29" s="1610">
        <f>COUNTIFS(entryCtry[ctry],Table6[[#This Row],[ctry]],entryCtry[yr],Z$2)</f>
        <v/>
      </c>
      <c r="AA29" s="1610">
        <f>COUNTIFS(entryCtry[ctry],Table6[[#This Row],[ctry]],entryCtry[yr],AA$2)</f>
        <v/>
      </c>
      <c r="AB29" s="1610">
        <f>COUNTIFS(entryCtry[ctry],Table6[[#This Row],[ctry]],entryCtry[yr],AB$2)</f>
        <v/>
      </c>
      <c r="AC29" s="1610">
        <f>COUNTIFS(entryCtry[ctry],Table6[[#This Row],[ctry]],entryCtry[yr],AC$2)</f>
        <v/>
      </c>
      <c r="AD29" s="1610">
        <f>COUNTIFS(entryCtry[ctry],Table6[[#This Row],[ctry]],entryCtry[yr],AD$2)</f>
        <v/>
      </c>
      <c r="AE29" s="1610">
        <f>COUNTIFS(entryCtry[ctry],Table6[[#This Row],[ctry]],entryCtry[yr],AE$2)</f>
        <v/>
      </c>
      <c r="AF29" s="1610">
        <f>COUNTIFS(entryCtry[ctry],Table6[[#This Row],[ctry]],entryCtry[yr],AF$2)</f>
        <v/>
      </c>
      <c r="AG29" s="1610">
        <f>COUNTIFS(entryCtry[ctry],Table6[[#This Row],[ctry]],entryCtry[yr],AG$2)</f>
        <v/>
      </c>
      <c r="AH29" s="1610">
        <f>COUNTIFS(entryCtry[ctry],Table6[[#This Row],[ctry]],entryCtry[yr],AH$2)</f>
        <v/>
      </c>
      <c r="AI29" s="1610">
        <f>COUNTIFS(entryCtry[ctry],Table6[[#This Row],[ctry]],entryCtry[yr],AI$2)</f>
        <v/>
      </c>
      <c r="AJ29" s="1610">
        <f>COUNTIFS(entryCtry[ctry],Table6[[#This Row],[ctry]],entryCtry[yr],AJ$2)</f>
        <v/>
      </c>
      <c r="AK29" s="1680" t="inlineStr">
        <is>
          <t>.</t>
        </is>
      </c>
      <c r="AL29" s="1611" t="inlineStr">
        <is>
          <t>.</t>
        </is>
      </c>
      <c r="AM29" s="1783">
        <f>'@Main'!B33</f>
        <v/>
      </c>
      <c r="AN29" s="1597">
        <f>_xlfn.XLOOKUP(Table1[[#This Row],['#]],mainW['#],mainW[ctry],"-")</f>
        <v/>
      </c>
      <c r="AO29" s="1649">
        <f>SUMIFS(raw[stay],raw[ctry],Table1[[#This Row],[ctry]],raw[mth],AO$2)</f>
        <v/>
      </c>
      <c r="AP29" s="1649">
        <f>SUMIFS(raw[stay],raw[ctry],Table1[[#This Row],[ctry]],raw[mth],AP$2)</f>
        <v/>
      </c>
      <c r="AQ29" s="1649">
        <f>SUMIFS(raw[stay],raw[ctry],Table1[[#This Row],[ctry]],raw[mth],AQ$2)</f>
        <v/>
      </c>
      <c r="AR29" s="1649">
        <f>SUMIFS(raw[stay],raw[ctry],Table1[[#This Row],[ctry]],raw[mth],AR$2)</f>
        <v/>
      </c>
      <c r="AS29" s="1649">
        <f>SUMIFS(raw[stay],raw[ctry],Table1[[#This Row],[ctry]],raw[mth],AS$2)</f>
        <v/>
      </c>
      <c r="AT29" s="1649">
        <f>SUMIFS(raw[stay],raw[ctry],Table1[[#This Row],[ctry]],raw[mth],AT$2)</f>
        <v/>
      </c>
      <c r="AU29" s="1649">
        <f>SUMIFS(raw[stay],raw[ctry],Table1[[#This Row],[ctry]],raw[mth],AU$2)</f>
        <v/>
      </c>
      <c r="AV29" s="1649">
        <f>SUMIFS(raw[stay],raw[ctry],Table1[[#This Row],[ctry]],raw[mth],AV$2)</f>
        <v/>
      </c>
      <c r="AW29" s="1649">
        <f>SUMIFS(raw[stay],raw[ctry],Table1[[#This Row],[ctry]],raw[mth],AW$2)</f>
        <v/>
      </c>
      <c r="AX29" s="1649">
        <f>SUMIFS(raw[stay],raw[ctry],Table1[[#This Row],[ctry]],raw[mth],AX$2)</f>
        <v/>
      </c>
      <c r="AY29" s="1649">
        <f>SUMIFS(raw[stay],raw[ctry],Table1[[#This Row],[ctry]],raw[mth],AY$2)</f>
        <v/>
      </c>
      <c r="AZ29" s="1649">
        <f>SUMIFS(raw[stay],raw[ctry],Table1[[#This Row],[ctry]],raw[mth],AZ$2)</f>
        <v/>
      </c>
      <c r="BA29" s="1597">
        <f>COUNTIF(AO29:AZ29,"&gt;0")</f>
        <v/>
      </c>
      <c r="BB29" s="1784">
        <f>INT(SUM(AO29:AZ29))</f>
        <v/>
      </c>
      <c r="BC29" s="1611" t="inlineStr">
        <is>
          <t>.</t>
        </is>
      </c>
      <c r="BD29" s="1680">
        <f>BD28</f>
        <v/>
      </c>
      <c r="BE29" s="1597">
        <f>BE28+1</f>
        <v/>
      </c>
      <c r="BF29" s="1785">
        <f>SUMIFS(raw[stay],raw[ctry],Table15[[#This Row],[ctry]],raw[yr],Table15[[#This Row],[yr]],raw[mth],BF$2)</f>
        <v/>
      </c>
      <c r="BG29" s="1785">
        <f>SUMIFS(raw[stay],raw[ctry],Table15[[#This Row],[ctry]],raw[yr],Table15[[#This Row],[yr]],raw[mth],BG$2)</f>
        <v/>
      </c>
      <c r="BH29" s="1785">
        <f>SUMIFS(raw[stay],raw[ctry],Table15[[#This Row],[ctry]],raw[yr],Table15[[#This Row],[yr]],raw[mth],BH$2)</f>
        <v/>
      </c>
      <c r="BI29" s="1785">
        <f>SUMIFS(raw[stay],raw[ctry],Table15[[#This Row],[ctry]],raw[yr],Table15[[#This Row],[yr]],raw[mth],BI$2)</f>
        <v/>
      </c>
      <c r="BJ29" s="1785">
        <f>SUMIFS(raw[stay],raw[ctry],Table15[[#This Row],[ctry]],raw[yr],Table15[[#This Row],[yr]],raw[mth],BJ$2)</f>
        <v/>
      </c>
      <c r="BK29" s="1785">
        <f>SUMIFS(raw[stay],raw[ctry],Table15[[#This Row],[ctry]],raw[yr],Table15[[#This Row],[yr]],raw[mth],BK$2)</f>
        <v/>
      </c>
      <c r="BL29" s="1785">
        <f>SUMIFS(raw[stay],raw[ctry],Table15[[#This Row],[ctry]],raw[yr],Table15[[#This Row],[yr]],raw[mth],BL$2)</f>
        <v/>
      </c>
      <c r="BM29" s="1785">
        <f>SUMIFS(raw[stay],raw[ctry],Table15[[#This Row],[ctry]],raw[yr],Table15[[#This Row],[yr]],raw[mth],BM$2)</f>
        <v/>
      </c>
      <c r="BN29" s="1785">
        <f>SUMIFS(raw[stay],raw[ctry],Table15[[#This Row],[ctry]],raw[yr],Table15[[#This Row],[yr]],raw[mth],BN$2)</f>
        <v/>
      </c>
      <c r="BO29" s="1785">
        <f>SUMIFS(raw[stay],raw[ctry],Table15[[#This Row],[ctry]],raw[yr],Table15[[#This Row],[yr]],raw[mth],BO$2)</f>
        <v/>
      </c>
      <c r="BP29" s="1785">
        <f>SUMIFS(raw[stay],raw[ctry],Table15[[#This Row],[ctry]],raw[yr],Table15[[#This Row],[yr]],raw[mth],BP$2)</f>
        <v/>
      </c>
      <c r="BQ29" s="1785">
        <f>SUMIFS(raw[stay],raw[ctry],Table15[[#This Row],[ctry]],raw[yr],Table15[[#This Row],[yr]],raw[mth],BQ$2)</f>
        <v/>
      </c>
      <c r="BR29" s="1597">
        <f>COUNTIF(BF29:BQ29,"&gt;0")</f>
        <v/>
      </c>
      <c r="BS29" s="1600">
        <f>INT(SUM(BF29:BQ29))</f>
        <v/>
      </c>
      <c r="BT29" s="1597" t="inlineStr">
        <is>
          <t>.</t>
        </is>
      </c>
      <c r="BU29" s="1636" t="inlineStr">
        <is>
          <t>LUX</t>
        </is>
      </c>
      <c r="BV29" s="1603" t="n">
        <v>0</v>
      </c>
      <c r="BW29" s="1607" t="n">
        <v>1</v>
      </c>
      <c r="BX29" s="1611" t="inlineStr">
        <is>
          <t>.</t>
        </is>
      </c>
      <c r="BY29" s="1612" t="n"/>
      <c r="BZ29" s="1788">
        <f>BZ28+1</f>
        <v/>
      </c>
      <c r="CA29" s="1789" t="inlineStr">
        <is>
          <t>E</t>
        </is>
      </c>
      <c r="CB29" s="1805" t="inlineStr">
        <is>
          <t>GREECE</t>
        </is>
      </c>
      <c r="CC29" s="1806" t="inlineStr">
        <is>
          <t>X</t>
        </is>
      </c>
      <c r="CD29" s="1806" t="inlineStr">
        <is>
          <t>X</t>
        </is>
      </c>
      <c r="CE29" s="1806" t="inlineStr">
        <is>
          <t>X</t>
        </is>
      </c>
      <c r="CF29" s="1806" t="n"/>
      <c r="CG29" s="1793" t="inlineStr">
        <is>
          <t>.</t>
        </is>
      </c>
    </row>
    <row r="30" ht="15" customHeight="1">
      <c r="A30" s="1615" t="n"/>
      <c r="B30" s="1781">
        <f>SUM(D30:AK30)</f>
        <v/>
      </c>
      <c r="C30" s="1782">
        <f>Table1[[#This Row],[ctry]]</f>
        <v/>
      </c>
      <c r="D30" s="1610">
        <f>COUNTIFS(entryCtry[ctry],Table6[[#This Row],[ctry]],entryCtry[yr],D$2)</f>
        <v/>
      </c>
      <c r="E30" s="1610">
        <f>COUNTIFS(entryCtry[ctry],Table6[[#This Row],[ctry]],entryCtry[yr],E$2)</f>
        <v/>
      </c>
      <c r="F30" s="1610">
        <f>COUNTIFS(entryCtry[ctry],Table6[[#This Row],[ctry]],entryCtry[yr],F$2)</f>
        <v/>
      </c>
      <c r="G30" s="1610">
        <f>COUNTIFS(entryCtry[ctry],Table6[[#This Row],[ctry]],entryCtry[yr],G$2)</f>
        <v/>
      </c>
      <c r="H30" s="1610">
        <f>COUNTIFS(entryCtry[ctry],Table6[[#This Row],[ctry]],entryCtry[yr],H$2)</f>
        <v/>
      </c>
      <c r="I30" s="1610">
        <f>COUNTIFS(entryCtry[ctry],Table6[[#This Row],[ctry]],entryCtry[yr],I$2)</f>
        <v/>
      </c>
      <c r="J30" s="1610">
        <f>COUNTIFS(entryCtry[ctry],Table6[[#This Row],[ctry]],entryCtry[yr],J$2)</f>
        <v/>
      </c>
      <c r="K30" s="1610">
        <f>COUNTIFS(entryCtry[ctry],Table6[[#This Row],[ctry]],entryCtry[yr],K$2)</f>
        <v/>
      </c>
      <c r="L30" s="1610">
        <f>COUNTIFS(entryCtry[ctry],Table6[[#This Row],[ctry]],entryCtry[yr],L$2)</f>
        <v/>
      </c>
      <c r="M30" s="1610">
        <f>COUNTIFS(entryCtry[ctry],Table6[[#This Row],[ctry]],entryCtry[yr],M$2)</f>
        <v/>
      </c>
      <c r="N30" s="1610">
        <f>COUNTIFS(entryCtry[ctry],Table6[[#This Row],[ctry]],entryCtry[yr],N$2)</f>
        <v/>
      </c>
      <c r="O30" s="1610">
        <f>COUNTIFS(entryCtry[ctry],Table6[[#This Row],[ctry]],entryCtry[yr],O$2)</f>
        <v/>
      </c>
      <c r="P30" s="1610">
        <f>COUNTIFS(entryCtry[ctry],Table6[[#This Row],[ctry]],entryCtry[yr],P$2)</f>
        <v/>
      </c>
      <c r="Q30" s="1610">
        <f>COUNTIFS(entryCtry[ctry],Table6[[#This Row],[ctry]],entryCtry[yr],Q$2)</f>
        <v/>
      </c>
      <c r="R30" s="1610">
        <f>COUNTIFS(entryCtry[ctry],Table6[[#This Row],[ctry]],entryCtry[yr],R$2)</f>
        <v/>
      </c>
      <c r="S30" s="1610">
        <f>COUNTIFS(entryCtry[ctry],Table6[[#This Row],[ctry]],entryCtry[yr],S$2)</f>
        <v/>
      </c>
      <c r="T30" s="1610">
        <f>COUNTIFS(entryCtry[ctry],Table6[[#This Row],[ctry]],entryCtry[yr],T$2)</f>
        <v/>
      </c>
      <c r="U30" s="1610">
        <f>COUNTIFS(entryCtry[ctry],Table6[[#This Row],[ctry]],entryCtry[yr],U$2)</f>
        <v/>
      </c>
      <c r="V30" s="1610">
        <f>COUNTIFS(entryCtry[ctry],Table6[[#This Row],[ctry]],entryCtry[yr],V$2)</f>
        <v/>
      </c>
      <c r="W30" s="1610">
        <f>COUNTIFS(entryCtry[ctry],Table6[[#This Row],[ctry]],entryCtry[yr],W$2)</f>
        <v/>
      </c>
      <c r="X30" s="1610">
        <f>COUNTIFS(entryCtry[ctry],Table6[[#This Row],[ctry]],entryCtry[yr],X$2)</f>
        <v/>
      </c>
      <c r="Y30" s="1610">
        <f>COUNTIFS(entryCtry[ctry],Table6[[#This Row],[ctry]],entryCtry[yr],Y$2)</f>
        <v/>
      </c>
      <c r="Z30" s="1610">
        <f>COUNTIFS(entryCtry[ctry],Table6[[#This Row],[ctry]],entryCtry[yr],Z$2)</f>
        <v/>
      </c>
      <c r="AA30" s="1610">
        <f>COUNTIFS(entryCtry[ctry],Table6[[#This Row],[ctry]],entryCtry[yr],AA$2)</f>
        <v/>
      </c>
      <c r="AB30" s="1610">
        <f>COUNTIFS(entryCtry[ctry],Table6[[#This Row],[ctry]],entryCtry[yr],AB$2)</f>
        <v/>
      </c>
      <c r="AC30" s="1610">
        <f>COUNTIFS(entryCtry[ctry],Table6[[#This Row],[ctry]],entryCtry[yr],AC$2)</f>
        <v/>
      </c>
      <c r="AD30" s="1610">
        <f>COUNTIFS(entryCtry[ctry],Table6[[#This Row],[ctry]],entryCtry[yr],AD$2)</f>
        <v/>
      </c>
      <c r="AE30" s="1610">
        <f>COUNTIFS(entryCtry[ctry],Table6[[#This Row],[ctry]],entryCtry[yr],AE$2)</f>
        <v/>
      </c>
      <c r="AF30" s="1610">
        <f>COUNTIFS(entryCtry[ctry],Table6[[#This Row],[ctry]],entryCtry[yr],AF$2)</f>
        <v/>
      </c>
      <c r="AG30" s="1610">
        <f>COUNTIFS(entryCtry[ctry],Table6[[#This Row],[ctry]],entryCtry[yr],AG$2)</f>
        <v/>
      </c>
      <c r="AH30" s="1610">
        <f>COUNTIFS(entryCtry[ctry],Table6[[#This Row],[ctry]],entryCtry[yr],AH$2)</f>
        <v/>
      </c>
      <c r="AI30" s="1610">
        <f>COUNTIFS(entryCtry[ctry],Table6[[#This Row],[ctry]],entryCtry[yr],AI$2)</f>
        <v/>
      </c>
      <c r="AJ30" s="1610">
        <f>COUNTIFS(entryCtry[ctry],Table6[[#This Row],[ctry]],entryCtry[yr],AJ$2)</f>
        <v/>
      </c>
      <c r="AK30" s="1680" t="inlineStr">
        <is>
          <t>.</t>
        </is>
      </c>
      <c r="AL30" s="1611" t="inlineStr">
        <is>
          <t>.</t>
        </is>
      </c>
      <c r="AM30" s="1783">
        <f>'@Main'!B34</f>
        <v/>
      </c>
      <c r="AN30" s="1597">
        <f>_xlfn.XLOOKUP(Table1[[#This Row],['#]],mainW['#],mainW[ctry],"-")</f>
        <v/>
      </c>
      <c r="AO30" s="1649">
        <f>SUMIFS(raw[stay],raw[ctry],Table1[[#This Row],[ctry]],raw[mth],AO$2)</f>
        <v/>
      </c>
      <c r="AP30" s="1649">
        <f>SUMIFS(raw[stay],raw[ctry],Table1[[#This Row],[ctry]],raw[mth],AP$2)</f>
        <v/>
      </c>
      <c r="AQ30" s="1649">
        <f>SUMIFS(raw[stay],raw[ctry],Table1[[#This Row],[ctry]],raw[mth],AQ$2)</f>
        <v/>
      </c>
      <c r="AR30" s="1649">
        <f>SUMIFS(raw[stay],raw[ctry],Table1[[#This Row],[ctry]],raw[mth],AR$2)</f>
        <v/>
      </c>
      <c r="AS30" s="1649">
        <f>SUMIFS(raw[stay],raw[ctry],Table1[[#This Row],[ctry]],raw[mth],AS$2)</f>
        <v/>
      </c>
      <c r="AT30" s="1649">
        <f>SUMIFS(raw[stay],raw[ctry],Table1[[#This Row],[ctry]],raw[mth],AT$2)</f>
        <v/>
      </c>
      <c r="AU30" s="1649">
        <f>SUMIFS(raw[stay],raw[ctry],Table1[[#This Row],[ctry]],raw[mth],AU$2)</f>
        <v/>
      </c>
      <c r="AV30" s="1649">
        <f>SUMIFS(raw[stay],raw[ctry],Table1[[#This Row],[ctry]],raw[mth],AV$2)</f>
        <v/>
      </c>
      <c r="AW30" s="1649">
        <f>SUMIFS(raw[stay],raw[ctry],Table1[[#This Row],[ctry]],raw[mth],AW$2)</f>
        <v/>
      </c>
      <c r="AX30" s="1649">
        <f>SUMIFS(raw[stay],raw[ctry],Table1[[#This Row],[ctry]],raw[mth],AX$2)</f>
        <v/>
      </c>
      <c r="AY30" s="1649">
        <f>SUMIFS(raw[stay],raw[ctry],Table1[[#This Row],[ctry]],raw[mth],AY$2)</f>
        <v/>
      </c>
      <c r="AZ30" s="1649">
        <f>SUMIFS(raw[stay],raw[ctry],Table1[[#This Row],[ctry]],raw[mth],AZ$2)</f>
        <v/>
      </c>
      <c r="BA30" s="1597">
        <f>COUNTIF(AO30:AZ30,"&gt;0")</f>
        <v/>
      </c>
      <c r="BB30" s="1784">
        <f>INT(SUM(AO30:AZ30))</f>
        <v/>
      </c>
      <c r="BC30" s="1611" t="inlineStr">
        <is>
          <t>.</t>
        </is>
      </c>
      <c r="BD30" s="1680">
        <f>BD29</f>
        <v/>
      </c>
      <c r="BE30" s="1597">
        <f>BE29+1</f>
        <v/>
      </c>
      <c r="BF30" s="1785">
        <f>SUMIFS(raw[stay],raw[ctry],Table15[[#This Row],[ctry]],raw[yr],Table15[[#This Row],[yr]],raw[mth],BF$2)</f>
        <v/>
      </c>
      <c r="BG30" s="1785">
        <f>SUMIFS(raw[stay],raw[ctry],Table15[[#This Row],[ctry]],raw[yr],Table15[[#This Row],[yr]],raw[mth],BG$2)</f>
        <v/>
      </c>
      <c r="BH30" s="1785">
        <f>SUMIFS(raw[stay],raw[ctry],Table15[[#This Row],[ctry]],raw[yr],Table15[[#This Row],[yr]],raw[mth],BH$2)</f>
        <v/>
      </c>
      <c r="BI30" s="1785">
        <f>SUMIFS(raw[stay],raw[ctry],Table15[[#This Row],[ctry]],raw[yr],Table15[[#This Row],[yr]],raw[mth],BI$2)</f>
        <v/>
      </c>
      <c r="BJ30" s="1785">
        <f>SUMIFS(raw[stay],raw[ctry],Table15[[#This Row],[ctry]],raw[yr],Table15[[#This Row],[yr]],raw[mth],BJ$2)</f>
        <v/>
      </c>
      <c r="BK30" s="1785">
        <f>SUMIFS(raw[stay],raw[ctry],Table15[[#This Row],[ctry]],raw[yr],Table15[[#This Row],[yr]],raw[mth],BK$2)</f>
        <v/>
      </c>
      <c r="BL30" s="1785">
        <f>SUMIFS(raw[stay],raw[ctry],Table15[[#This Row],[ctry]],raw[yr],Table15[[#This Row],[yr]],raw[mth],BL$2)</f>
        <v/>
      </c>
      <c r="BM30" s="1785">
        <f>SUMIFS(raw[stay],raw[ctry],Table15[[#This Row],[ctry]],raw[yr],Table15[[#This Row],[yr]],raw[mth],BM$2)</f>
        <v/>
      </c>
      <c r="BN30" s="1785">
        <f>SUMIFS(raw[stay],raw[ctry],Table15[[#This Row],[ctry]],raw[yr],Table15[[#This Row],[yr]],raw[mth],BN$2)</f>
        <v/>
      </c>
      <c r="BO30" s="1785">
        <f>SUMIFS(raw[stay],raw[ctry],Table15[[#This Row],[ctry]],raw[yr],Table15[[#This Row],[yr]],raw[mth],BO$2)</f>
        <v/>
      </c>
      <c r="BP30" s="1785">
        <f>SUMIFS(raw[stay],raw[ctry],Table15[[#This Row],[ctry]],raw[yr],Table15[[#This Row],[yr]],raw[mth],BP$2)</f>
        <v/>
      </c>
      <c r="BQ30" s="1785">
        <f>SUMIFS(raw[stay],raw[ctry],Table15[[#This Row],[ctry]],raw[yr],Table15[[#This Row],[yr]],raw[mth],BQ$2)</f>
        <v/>
      </c>
      <c r="BR30" s="1597">
        <f>COUNTIF(BF30:BQ30,"&gt;0")</f>
        <v/>
      </c>
      <c r="BS30" s="1600">
        <f>INT(SUM(BF30:BQ30))</f>
        <v/>
      </c>
      <c r="BT30" s="1597" t="inlineStr">
        <is>
          <t>.</t>
        </is>
      </c>
      <c r="BU30" s="1636" t="inlineStr">
        <is>
          <t>HUN</t>
        </is>
      </c>
      <c r="BV30" s="1603" t="n">
        <v>0</v>
      </c>
      <c r="BW30" s="1607" t="n">
        <v>1</v>
      </c>
      <c r="BX30" s="1611" t="inlineStr">
        <is>
          <t>.</t>
        </is>
      </c>
      <c r="BY30" s="1612" t="n"/>
      <c r="BZ30" s="1788">
        <f>BZ29+1</f>
        <v/>
      </c>
      <c r="CA30" s="1789" t="inlineStr">
        <is>
          <t>E</t>
        </is>
      </c>
      <c r="CB30" s="1805" t="inlineStr">
        <is>
          <t>NETHERLANDS</t>
        </is>
      </c>
      <c r="CC30" s="1806" t="inlineStr">
        <is>
          <t>X</t>
        </is>
      </c>
      <c r="CD30" s="1806" t="inlineStr">
        <is>
          <t>X</t>
        </is>
      </c>
      <c r="CE30" s="1806" t="inlineStr">
        <is>
          <t>X</t>
        </is>
      </c>
      <c r="CF30" s="1806" t="inlineStr">
        <is>
          <t>X</t>
        </is>
      </c>
      <c r="CG30" s="1793" t="inlineStr">
        <is>
          <t>.</t>
        </is>
      </c>
    </row>
    <row r="31" ht="15" customHeight="1">
      <c r="A31" s="1596" t="n"/>
      <c r="B31" s="1794">
        <f>SUM(D31:AK31)</f>
        <v/>
      </c>
      <c r="C31" s="1795">
        <f>Table1[[#This Row],[ctry]]</f>
        <v/>
      </c>
      <c r="D31" s="1610">
        <f>COUNTIFS(entryCtry[ctry],Table6[[#This Row],[ctry]],entryCtry[yr],D$2)</f>
        <v/>
      </c>
      <c r="E31" s="1610">
        <f>COUNTIFS(entryCtry[ctry],Table6[[#This Row],[ctry]],entryCtry[yr],E$2)</f>
        <v/>
      </c>
      <c r="F31" s="1610">
        <f>COUNTIFS(entryCtry[ctry],Table6[[#This Row],[ctry]],entryCtry[yr],F$2)</f>
        <v/>
      </c>
      <c r="G31" s="1610">
        <f>COUNTIFS(entryCtry[ctry],Table6[[#This Row],[ctry]],entryCtry[yr],G$2)</f>
        <v/>
      </c>
      <c r="H31" s="1610">
        <f>COUNTIFS(entryCtry[ctry],Table6[[#This Row],[ctry]],entryCtry[yr],H$2)</f>
        <v/>
      </c>
      <c r="I31" s="1610">
        <f>COUNTIFS(entryCtry[ctry],Table6[[#This Row],[ctry]],entryCtry[yr],I$2)</f>
        <v/>
      </c>
      <c r="J31" s="1610">
        <f>COUNTIFS(entryCtry[ctry],Table6[[#This Row],[ctry]],entryCtry[yr],J$2)</f>
        <v/>
      </c>
      <c r="K31" s="1610">
        <f>COUNTIFS(entryCtry[ctry],Table6[[#This Row],[ctry]],entryCtry[yr],K$2)</f>
        <v/>
      </c>
      <c r="L31" s="1610">
        <f>COUNTIFS(entryCtry[ctry],Table6[[#This Row],[ctry]],entryCtry[yr],L$2)</f>
        <v/>
      </c>
      <c r="M31" s="1610">
        <f>COUNTIFS(entryCtry[ctry],Table6[[#This Row],[ctry]],entryCtry[yr],M$2)</f>
        <v/>
      </c>
      <c r="N31" s="1610">
        <f>COUNTIFS(entryCtry[ctry],Table6[[#This Row],[ctry]],entryCtry[yr],N$2)</f>
        <v/>
      </c>
      <c r="O31" s="1610">
        <f>COUNTIFS(entryCtry[ctry],Table6[[#This Row],[ctry]],entryCtry[yr],O$2)</f>
        <v/>
      </c>
      <c r="P31" s="1610">
        <f>COUNTIFS(entryCtry[ctry],Table6[[#This Row],[ctry]],entryCtry[yr],P$2)</f>
        <v/>
      </c>
      <c r="Q31" s="1610">
        <f>COUNTIFS(entryCtry[ctry],Table6[[#This Row],[ctry]],entryCtry[yr],Q$2)</f>
        <v/>
      </c>
      <c r="R31" s="1610">
        <f>COUNTIFS(entryCtry[ctry],Table6[[#This Row],[ctry]],entryCtry[yr],R$2)</f>
        <v/>
      </c>
      <c r="S31" s="1610">
        <f>COUNTIFS(entryCtry[ctry],Table6[[#This Row],[ctry]],entryCtry[yr],S$2)</f>
        <v/>
      </c>
      <c r="T31" s="1610">
        <f>COUNTIFS(entryCtry[ctry],Table6[[#This Row],[ctry]],entryCtry[yr],T$2)</f>
        <v/>
      </c>
      <c r="U31" s="1610">
        <f>COUNTIFS(entryCtry[ctry],Table6[[#This Row],[ctry]],entryCtry[yr],U$2)</f>
        <v/>
      </c>
      <c r="V31" s="1610">
        <f>COUNTIFS(entryCtry[ctry],Table6[[#This Row],[ctry]],entryCtry[yr],V$2)</f>
        <v/>
      </c>
      <c r="W31" s="1610">
        <f>COUNTIFS(entryCtry[ctry],Table6[[#This Row],[ctry]],entryCtry[yr],W$2)</f>
        <v/>
      </c>
      <c r="X31" s="1610">
        <f>COUNTIFS(entryCtry[ctry],Table6[[#This Row],[ctry]],entryCtry[yr],X$2)</f>
        <v/>
      </c>
      <c r="Y31" s="1610">
        <f>COUNTIFS(entryCtry[ctry],Table6[[#This Row],[ctry]],entryCtry[yr],Y$2)</f>
        <v/>
      </c>
      <c r="Z31" s="1610">
        <f>COUNTIFS(entryCtry[ctry],Table6[[#This Row],[ctry]],entryCtry[yr],Z$2)</f>
        <v/>
      </c>
      <c r="AA31" s="1610">
        <f>COUNTIFS(entryCtry[ctry],Table6[[#This Row],[ctry]],entryCtry[yr],AA$2)</f>
        <v/>
      </c>
      <c r="AB31" s="1610">
        <f>COUNTIFS(entryCtry[ctry],Table6[[#This Row],[ctry]],entryCtry[yr],AB$2)</f>
        <v/>
      </c>
      <c r="AC31" s="1610">
        <f>COUNTIFS(entryCtry[ctry],Table6[[#This Row],[ctry]],entryCtry[yr],AC$2)</f>
        <v/>
      </c>
      <c r="AD31" s="1610">
        <f>COUNTIFS(entryCtry[ctry],Table6[[#This Row],[ctry]],entryCtry[yr],AD$2)</f>
        <v/>
      </c>
      <c r="AE31" s="1610">
        <f>COUNTIFS(entryCtry[ctry],Table6[[#This Row],[ctry]],entryCtry[yr],AE$2)</f>
        <v/>
      </c>
      <c r="AF31" s="1610">
        <f>COUNTIFS(entryCtry[ctry],Table6[[#This Row],[ctry]],entryCtry[yr],AF$2)</f>
        <v/>
      </c>
      <c r="AG31" s="1610">
        <f>COUNTIFS(entryCtry[ctry],Table6[[#This Row],[ctry]],entryCtry[yr],AG$2)</f>
        <v/>
      </c>
      <c r="AH31" s="1610">
        <f>COUNTIFS(entryCtry[ctry],Table6[[#This Row],[ctry]],entryCtry[yr],AH$2)</f>
        <v/>
      </c>
      <c r="AI31" s="1610">
        <f>COUNTIFS(entryCtry[ctry],Table6[[#This Row],[ctry]],entryCtry[yr],AI$2)</f>
        <v/>
      </c>
      <c r="AJ31" s="1610">
        <f>COUNTIFS(entryCtry[ctry],Table6[[#This Row],[ctry]],entryCtry[yr],AJ$2)</f>
        <v/>
      </c>
      <c r="AK31" s="1680" t="inlineStr">
        <is>
          <t>.</t>
        </is>
      </c>
      <c r="AL31" s="1611" t="inlineStr">
        <is>
          <t>.</t>
        </is>
      </c>
      <c r="AM31" s="1783">
        <f>'@Main'!B35</f>
        <v/>
      </c>
      <c r="AN31" s="1597">
        <f>_xlfn.XLOOKUP(Table1[[#This Row],['#]],mainW['#],mainW[ctry],"-")</f>
        <v/>
      </c>
      <c r="AO31" s="1649">
        <f>SUMIFS(raw[stay],raw[ctry],Table1[[#This Row],[ctry]],raw[mth],AO$2)</f>
        <v/>
      </c>
      <c r="AP31" s="1649">
        <f>SUMIFS(raw[stay],raw[ctry],Table1[[#This Row],[ctry]],raw[mth],AP$2)</f>
        <v/>
      </c>
      <c r="AQ31" s="1649">
        <f>SUMIFS(raw[stay],raw[ctry],Table1[[#This Row],[ctry]],raw[mth],AQ$2)</f>
        <v/>
      </c>
      <c r="AR31" s="1649">
        <f>SUMIFS(raw[stay],raw[ctry],Table1[[#This Row],[ctry]],raw[mth],AR$2)</f>
        <v/>
      </c>
      <c r="AS31" s="1649">
        <f>SUMIFS(raw[stay],raw[ctry],Table1[[#This Row],[ctry]],raw[mth],AS$2)</f>
        <v/>
      </c>
      <c r="AT31" s="1649">
        <f>SUMIFS(raw[stay],raw[ctry],Table1[[#This Row],[ctry]],raw[mth],AT$2)</f>
        <v/>
      </c>
      <c r="AU31" s="1649">
        <f>SUMIFS(raw[stay],raw[ctry],Table1[[#This Row],[ctry]],raw[mth],AU$2)</f>
        <v/>
      </c>
      <c r="AV31" s="1649">
        <f>SUMIFS(raw[stay],raw[ctry],Table1[[#This Row],[ctry]],raw[mth],AV$2)</f>
        <v/>
      </c>
      <c r="AW31" s="1649">
        <f>SUMIFS(raw[stay],raw[ctry],Table1[[#This Row],[ctry]],raw[mth],AW$2)</f>
        <v/>
      </c>
      <c r="AX31" s="1649">
        <f>SUMIFS(raw[stay],raw[ctry],Table1[[#This Row],[ctry]],raw[mth],AX$2)</f>
        <v/>
      </c>
      <c r="AY31" s="1649">
        <f>SUMIFS(raw[stay],raw[ctry],Table1[[#This Row],[ctry]],raw[mth],AY$2)</f>
        <v/>
      </c>
      <c r="AZ31" s="1649">
        <f>SUMIFS(raw[stay],raw[ctry],Table1[[#This Row],[ctry]],raw[mth],AZ$2)</f>
        <v/>
      </c>
      <c r="BA31" s="1597">
        <f>COUNTIF(AO31:AZ31,"&gt;0")</f>
        <v/>
      </c>
      <c r="BB31" s="1784">
        <f>INT(SUM(AO31:AZ31))</f>
        <v/>
      </c>
      <c r="BC31" s="1611" t="inlineStr">
        <is>
          <t>.</t>
        </is>
      </c>
      <c r="BD31" s="1680">
        <f>BD30</f>
        <v/>
      </c>
      <c r="BE31" s="1597">
        <f>BE30+1</f>
        <v/>
      </c>
      <c r="BF31" s="1785">
        <f>SUMIFS(raw[stay],raw[ctry],Table15[[#This Row],[ctry]],raw[yr],Table15[[#This Row],[yr]],raw[mth],BF$2)</f>
        <v/>
      </c>
      <c r="BG31" s="1785">
        <f>SUMIFS(raw[stay],raw[ctry],Table15[[#This Row],[ctry]],raw[yr],Table15[[#This Row],[yr]],raw[mth],BG$2)</f>
        <v/>
      </c>
      <c r="BH31" s="1785">
        <f>SUMIFS(raw[stay],raw[ctry],Table15[[#This Row],[ctry]],raw[yr],Table15[[#This Row],[yr]],raw[mth],BH$2)</f>
        <v/>
      </c>
      <c r="BI31" s="1785">
        <f>SUMIFS(raw[stay],raw[ctry],Table15[[#This Row],[ctry]],raw[yr],Table15[[#This Row],[yr]],raw[mth],BI$2)</f>
        <v/>
      </c>
      <c r="BJ31" s="1785">
        <f>SUMIFS(raw[stay],raw[ctry],Table15[[#This Row],[ctry]],raw[yr],Table15[[#This Row],[yr]],raw[mth],BJ$2)</f>
        <v/>
      </c>
      <c r="BK31" s="1785">
        <f>SUMIFS(raw[stay],raw[ctry],Table15[[#This Row],[ctry]],raw[yr],Table15[[#This Row],[yr]],raw[mth],BK$2)</f>
        <v/>
      </c>
      <c r="BL31" s="1785">
        <f>SUMIFS(raw[stay],raw[ctry],Table15[[#This Row],[ctry]],raw[yr],Table15[[#This Row],[yr]],raw[mth],BL$2)</f>
        <v/>
      </c>
      <c r="BM31" s="1785">
        <f>SUMIFS(raw[stay],raw[ctry],Table15[[#This Row],[ctry]],raw[yr],Table15[[#This Row],[yr]],raw[mth],BM$2)</f>
        <v/>
      </c>
      <c r="BN31" s="1785">
        <f>SUMIFS(raw[stay],raw[ctry],Table15[[#This Row],[ctry]],raw[yr],Table15[[#This Row],[yr]],raw[mth],BN$2)</f>
        <v/>
      </c>
      <c r="BO31" s="1785">
        <f>SUMIFS(raw[stay],raw[ctry],Table15[[#This Row],[ctry]],raw[yr],Table15[[#This Row],[yr]],raw[mth],BO$2)</f>
        <v/>
      </c>
      <c r="BP31" s="1785">
        <f>SUMIFS(raw[stay],raw[ctry],Table15[[#This Row],[ctry]],raw[yr],Table15[[#This Row],[yr]],raw[mth],BP$2)</f>
        <v/>
      </c>
      <c r="BQ31" s="1785">
        <f>SUMIFS(raw[stay],raw[ctry],Table15[[#This Row],[ctry]],raw[yr],Table15[[#This Row],[yr]],raw[mth],BQ$2)</f>
        <v/>
      </c>
      <c r="BR31" s="1597">
        <f>COUNTIF(BF31:BQ31,"&gt;0")</f>
        <v/>
      </c>
      <c r="BS31" s="1600">
        <f>INT(SUM(BF31:BQ31))</f>
        <v/>
      </c>
      <c r="BT31" s="1597" t="inlineStr">
        <is>
          <t>.</t>
        </is>
      </c>
      <c r="BU31" s="1636" t="inlineStr">
        <is>
          <t>TUR</t>
        </is>
      </c>
      <c r="BV31" s="1603" t="n">
        <v>0</v>
      </c>
      <c r="BW31" s="1607" t="n">
        <v>1</v>
      </c>
      <c r="BX31" s="1611" t="inlineStr">
        <is>
          <t>.</t>
        </is>
      </c>
      <c r="BY31" s="1612" t="n"/>
      <c r="BZ31" s="1788">
        <f>BZ30+1</f>
        <v/>
      </c>
      <c r="CA31" s="1789" t="inlineStr">
        <is>
          <t>E</t>
        </is>
      </c>
      <c r="CB31" s="1805" t="inlineStr">
        <is>
          <t>HUNGARY</t>
        </is>
      </c>
      <c r="CC31" s="1806" t="inlineStr">
        <is>
          <t>X</t>
        </is>
      </c>
      <c r="CD31" s="1806" t="inlineStr">
        <is>
          <t>X</t>
        </is>
      </c>
      <c r="CE31" s="1806" t="n"/>
      <c r="CF31" s="1806" t="n"/>
      <c r="CG31" s="1793" t="inlineStr">
        <is>
          <t>.</t>
        </is>
      </c>
    </row>
    <row r="32" ht="15" customHeight="1">
      <c r="A32" s="1615" t="n"/>
      <c r="B32" s="1781">
        <f>SUM(D32:AK32)</f>
        <v/>
      </c>
      <c r="C32" s="1782">
        <f>Table1[[#This Row],[ctry]]</f>
        <v/>
      </c>
      <c r="D32" s="1610">
        <f>COUNTIFS(entryCtry[ctry],Table6[[#This Row],[ctry]],entryCtry[yr],D$2)</f>
        <v/>
      </c>
      <c r="E32" s="1610">
        <f>COUNTIFS(entryCtry[ctry],Table6[[#This Row],[ctry]],entryCtry[yr],E$2)</f>
        <v/>
      </c>
      <c r="F32" s="1610">
        <f>COUNTIFS(entryCtry[ctry],Table6[[#This Row],[ctry]],entryCtry[yr],F$2)</f>
        <v/>
      </c>
      <c r="G32" s="1610">
        <f>COUNTIFS(entryCtry[ctry],Table6[[#This Row],[ctry]],entryCtry[yr],G$2)</f>
        <v/>
      </c>
      <c r="H32" s="1610">
        <f>COUNTIFS(entryCtry[ctry],Table6[[#This Row],[ctry]],entryCtry[yr],H$2)</f>
        <v/>
      </c>
      <c r="I32" s="1610">
        <f>COUNTIFS(entryCtry[ctry],Table6[[#This Row],[ctry]],entryCtry[yr],I$2)</f>
        <v/>
      </c>
      <c r="J32" s="1610">
        <f>COUNTIFS(entryCtry[ctry],Table6[[#This Row],[ctry]],entryCtry[yr],J$2)</f>
        <v/>
      </c>
      <c r="K32" s="1610">
        <f>COUNTIFS(entryCtry[ctry],Table6[[#This Row],[ctry]],entryCtry[yr],K$2)</f>
        <v/>
      </c>
      <c r="L32" s="1610">
        <f>COUNTIFS(entryCtry[ctry],Table6[[#This Row],[ctry]],entryCtry[yr],L$2)</f>
        <v/>
      </c>
      <c r="M32" s="1610">
        <f>COUNTIFS(entryCtry[ctry],Table6[[#This Row],[ctry]],entryCtry[yr],M$2)</f>
        <v/>
      </c>
      <c r="N32" s="1610">
        <f>COUNTIFS(entryCtry[ctry],Table6[[#This Row],[ctry]],entryCtry[yr],N$2)</f>
        <v/>
      </c>
      <c r="O32" s="1610">
        <f>COUNTIFS(entryCtry[ctry],Table6[[#This Row],[ctry]],entryCtry[yr],O$2)</f>
        <v/>
      </c>
      <c r="P32" s="1610">
        <f>COUNTIFS(entryCtry[ctry],Table6[[#This Row],[ctry]],entryCtry[yr],P$2)</f>
        <v/>
      </c>
      <c r="Q32" s="1610">
        <f>COUNTIFS(entryCtry[ctry],Table6[[#This Row],[ctry]],entryCtry[yr],Q$2)</f>
        <v/>
      </c>
      <c r="R32" s="1610">
        <f>COUNTIFS(entryCtry[ctry],Table6[[#This Row],[ctry]],entryCtry[yr],R$2)</f>
        <v/>
      </c>
      <c r="S32" s="1610">
        <f>COUNTIFS(entryCtry[ctry],Table6[[#This Row],[ctry]],entryCtry[yr],S$2)</f>
        <v/>
      </c>
      <c r="T32" s="1610">
        <f>COUNTIFS(entryCtry[ctry],Table6[[#This Row],[ctry]],entryCtry[yr],T$2)</f>
        <v/>
      </c>
      <c r="U32" s="1610">
        <f>COUNTIFS(entryCtry[ctry],Table6[[#This Row],[ctry]],entryCtry[yr],U$2)</f>
        <v/>
      </c>
      <c r="V32" s="1610">
        <f>COUNTIFS(entryCtry[ctry],Table6[[#This Row],[ctry]],entryCtry[yr],V$2)</f>
        <v/>
      </c>
      <c r="W32" s="1610">
        <f>COUNTIFS(entryCtry[ctry],Table6[[#This Row],[ctry]],entryCtry[yr],W$2)</f>
        <v/>
      </c>
      <c r="X32" s="1610">
        <f>COUNTIFS(entryCtry[ctry],Table6[[#This Row],[ctry]],entryCtry[yr],X$2)</f>
        <v/>
      </c>
      <c r="Y32" s="1610">
        <f>COUNTIFS(entryCtry[ctry],Table6[[#This Row],[ctry]],entryCtry[yr],Y$2)</f>
        <v/>
      </c>
      <c r="Z32" s="1610">
        <f>COUNTIFS(entryCtry[ctry],Table6[[#This Row],[ctry]],entryCtry[yr],Z$2)</f>
        <v/>
      </c>
      <c r="AA32" s="1610">
        <f>COUNTIFS(entryCtry[ctry],Table6[[#This Row],[ctry]],entryCtry[yr],AA$2)</f>
        <v/>
      </c>
      <c r="AB32" s="1610">
        <f>COUNTIFS(entryCtry[ctry],Table6[[#This Row],[ctry]],entryCtry[yr],AB$2)</f>
        <v/>
      </c>
      <c r="AC32" s="1610">
        <f>COUNTIFS(entryCtry[ctry],Table6[[#This Row],[ctry]],entryCtry[yr],AC$2)</f>
        <v/>
      </c>
      <c r="AD32" s="1610">
        <f>COUNTIFS(entryCtry[ctry],Table6[[#This Row],[ctry]],entryCtry[yr],AD$2)</f>
        <v/>
      </c>
      <c r="AE32" s="1610">
        <f>COUNTIFS(entryCtry[ctry],Table6[[#This Row],[ctry]],entryCtry[yr],AE$2)</f>
        <v/>
      </c>
      <c r="AF32" s="1610">
        <f>COUNTIFS(entryCtry[ctry],Table6[[#This Row],[ctry]],entryCtry[yr],AF$2)</f>
        <v/>
      </c>
      <c r="AG32" s="1610">
        <f>COUNTIFS(entryCtry[ctry],Table6[[#This Row],[ctry]],entryCtry[yr],AG$2)</f>
        <v/>
      </c>
      <c r="AH32" s="1610">
        <f>COUNTIFS(entryCtry[ctry],Table6[[#This Row],[ctry]],entryCtry[yr],AH$2)</f>
        <v/>
      </c>
      <c r="AI32" s="1610">
        <f>COUNTIFS(entryCtry[ctry],Table6[[#This Row],[ctry]],entryCtry[yr],AI$2)</f>
        <v/>
      </c>
      <c r="AJ32" s="1610">
        <f>COUNTIFS(entryCtry[ctry],Table6[[#This Row],[ctry]],entryCtry[yr],AJ$2)</f>
        <v/>
      </c>
      <c r="AK32" s="1680" t="inlineStr">
        <is>
          <t>.</t>
        </is>
      </c>
      <c r="AL32" s="1611" t="inlineStr">
        <is>
          <t>.</t>
        </is>
      </c>
      <c r="AM32" s="1783">
        <f>'@Main'!B36</f>
        <v/>
      </c>
      <c r="AN32" s="1597">
        <f>_xlfn.XLOOKUP(Table1[[#This Row],['#]],mainW['#],mainW[ctry],"-")</f>
        <v/>
      </c>
      <c r="AO32" s="1649">
        <f>SUMIFS(raw[stay],raw[ctry],Table1[[#This Row],[ctry]],raw[mth],AO$2)</f>
        <v/>
      </c>
      <c r="AP32" s="1649">
        <f>SUMIFS(raw[stay],raw[ctry],Table1[[#This Row],[ctry]],raw[mth],AP$2)</f>
        <v/>
      </c>
      <c r="AQ32" s="1649">
        <f>SUMIFS(raw[stay],raw[ctry],Table1[[#This Row],[ctry]],raw[mth],AQ$2)</f>
        <v/>
      </c>
      <c r="AR32" s="1649">
        <f>SUMIFS(raw[stay],raw[ctry],Table1[[#This Row],[ctry]],raw[mth],AR$2)</f>
        <v/>
      </c>
      <c r="AS32" s="1649">
        <f>SUMIFS(raw[stay],raw[ctry],Table1[[#This Row],[ctry]],raw[mth],AS$2)</f>
        <v/>
      </c>
      <c r="AT32" s="1649">
        <f>SUMIFS(raw[stay],raw[ctry],Table1[[#This Row],[ctry]],raw[mth],AT$2)</f>
        <v/>
      </c>
      <c r="AU32" s="1649">
        <f>SUMIFS(raw[stay],raw[ctry],Table1[[#This Row],[ctry]],raw[mth],AU$2)</f>
        <v/>
      </c>
      <c r="AV32" s="1649">
        <f>SUMIFS(raw[stay],raw[ctry],Table1[[#This Row],[ctry]],raw[mth],AV$2)</f>
        <v/>
      </c>
      <c r="AW32" s="1649">
        <f>SUMIFS(raw[stay],raw[ctry],Table1[[#This Row],[ctry]],raw[mth],AW$2)</f>
        <v/>
      </c>
      <c r="AX32" s="1649">
        <f>SUMIFS(raw[stay],raw[ctry],Table1[[#This Row],[ctry]],raw[mth],AX$2)</f>
        <v/>
      </c>
      <c r="AY32" s="1649">
        <f>SUMIFS(raw[stay],raw[ctry],Table1[[#This Row],[ctry]],raw[mth],AY$2)</f>
        <v/>
      </c>
      <c r="AZ32" s="1649">
        <f>SUMIFS(raw[stay],raw[ctry],Table1[[#This Row],[ctry]],raw[mth],AZ$2)</f>
        <v/>
      </c>
      <c r="BA32" s="1597">
        <f>COUNTIF(AO32:AZ32,"&gt;0")</f>
        <v/>
      </c>
      <c r="BB32" s="1784">
        <f>INT(SUM(AO32:AZ32))</f>
        <v/>
      </c>
      <c r="BC32" s="1611" t="inlineStr">
        <is>
          <t>.</t>
        </is>
      </c>
      <c r="BD32" s="1680">
        <f>BD31</f>
        <v/>
      </c>
      <c r="BE32" s="1597">
        <f>BE31+1</f>
        <v/>
      </c>
      <c r="BF32" s="1785">
        <f>SUMIFS(raw[stay],raw[ctry],Table15[[#This Row],[ctry]],raw[yr],Table15[[#This Row],[yr]],raw[mth],BF$2)</f>
        <v/>
      </c>
      <c r="BG32" s="1785">
        <f>SUMIFS(raw[stay],raw[ctry],Table15[[#This Row],[ctry]],raw[yr],Table15[[#This Row],[yr]],raw[mth],BG$2)</f>
        <v/>
      </c>
      <c r="BH32" s="1785">
        <f>SUMIFS(raw[stay],raw[ctry],Table15[[#This Row],[ctry]],raw[yr],Table15[[#This Row],[yr]],raw[mth],BH$2)</f>
        <v/>
      </c>
      <c r="BI32" s="1785">
        <f>SUMIFS(raw[stay],raw[ctry],Table15[[#This Row],[ctry]],raw[yr],Table15[[#This Row],[yr]],raw[mth],BI$2)</f>
        <v/>
      </c>
      <c r="BJ32" s="1785">
        <f>SUMIFS(raw[stay],raw[ctry],Table15[[#This Row],[ctry]],raw[yr],Table15[[#This Row],[yr]],raw[mth],BJ$2)</f>
        <v/>
      </c>
      <c r="BK32" s="1785">
        <f>SUMIFS(raw[stay],raw[ctry],Table15[[#This Row],[ctry]],raw[yr],Table15[[#This Row],[yr]],raw[mth],BK$2)</f>
        <v/>
      </c>
      <c r="BL32" s="1785">
        <f>SUMIFS(raw[stay],raw[ctry],Table15[[#This Row],[ctry]],raw[yr],Table15[[#This Row],[yr]],raw[mth],BL$2)</f>
        <v/>
      </c>
      <c r="BM32" s="1785">
        <f>SUMIFS(raw[stay],raw[ctry],Table15[[#This Row],[ctry]],raw[yr],Table15[[#This Row],[yr]],raw[mth],BM$2)</f>
        <v/>
      </c>
      <c r="BN32" s="1785">
        <f>SUMIFS(raw[stay],raw[ctry],Table15[[#This Row],[ctry]],raw[yr],Table15[[#This Row],[yr]],raw[mth],BN$2)</f>
        <v/>
      </c>
      <c r="BO32" s="1785">
        <f>SUMIFS(raw[stay],raw[ctry],Table15[[#This Row],[ctry]],raw[yr],Table15[[#This Row],[yr]],raw[mth],BO$2)</f>
        <v/>
      </c>
      <c r="BP32" s="1785">
        <f>SUMIFS(raw[stay],raw[ctry],Table15[[#This Row],[ctry]],raw[yr],Table15[[#This Row],[yr]],raw[mth],BP$2)</f>
        <v/>
      </c>
      <c r="BQ32" s="1785">
        <f>SUMIFS(raw[stay],raw[ctry],Table15[[#This Row],[ctry]],raw[yr],Table15[[#This Row],[yr]],raw[mth],BQ$2)</f>
        <v/>
      </c>
      <c r="BR32" s="1597">
        <f>COUNTIF(BF32:BQ32,"&gt;0")</f>
        <v/>
      </c>
      <c r="BS32" s="1600">
        <f>INT(SUM(BF32:BQ32))</f>
        <v/>
      </c>
      <c r="BT32" s="1597" t="inlineStr">
        <is>
          <t>.</t>
        </is>
      </c>
      <c r="BU32" s="1636" t="inlineStr">
        <is>
          <t>SWE</t>
        </is>
      </c>
      <c r="BV32" s="1603" t="n">
        <v>0</v>
      </c>
      <c r="BW32" s="1607" t="n">
        <v>1</v>
      </c>
      <c r="BX32" s="1611" t="inlineStr">
        <is>
          <t>.</t>
        </is>
      </c>
      <c r="BY32" s="1612" t="n"/>
      <c r="BZ32" s="1788">
        <f>BZ31+1</f>
        <v/>
      </c>
      <c r="CA32" s="1789" t="inlineStr">
        <is>
          <t>E</t>
        </is>
      </c>
      <c r="CB32" s="1805" t="inlineStr">
        <is>
          <t>IRELAND</t>
        </is>
      </c>
      <c r="CC32" s="1806" t="n"/>
      <c r="CD32" s="1806" t="inlineStr">
        <is>
          <t>X</t>
        </is>
      </c>
      <c r="CE32" s="1806" t="inlineStr">
        <is>
          <t>X</t>
        </is>
      </c>
      <c r="CF32" s="1806" t="n"/>
      <c r="CG32" s="1793" t="inlineStr">
        <is>
          <t>.</t>
        </is>
      </c>
    </row>
    <row r="33" ht="15" customHeight="1">
      <c r="A33" s="1596" t="n"/>
      <c r="B33" s="1794">
        <f>SUM(D33:AK33)</f>
        <v/>
      </c>
      <c r="C33" s="1795">
        <f>Table1[[#This Row],[ctry]]</f>
        <v/>
      </c>
      <c r="D33" s="1610">
        <f>COUNTIFS(entryCtry[ctry],Table6[[#This Row],[ctry]],entryCtry[yr],D$2)</f>
        <v/>
      </c>
      <c r="E33" s="1610">
        <f>COUNTIFS(entryCtry[ctry],Table6[[#This Row],[ctry]],entryCtry[yr],E$2)</f>
        <v/>
      </c>
      <c r="F33" s="1610">
        <f>COUNTIFS(entryCtry[ctry],Table6[[#This Row],[ctry]],entryCtry[yr],F$2)</f>
        <v/>
      </c>
      <c r="G33" s="1610">
        <f>COUNTIFS(entryCtry[ctry],Table6[[#This Row],[ctry]],entryCtry[yr],G$2)</f>
        <v/>
      </c>
      <c r="H33" s="1610">
        <f>COUNTIFS(entryCtry[ctry],Table6[[#This Row],[ctry]],entryCtry[yr],H$2)</f>
        <v/>
      </c>
      <c r="I33" s="1610">
        <f>COUNTIFS(entryCtry[ctry],Table6[[#This Row],[ctry]],entryCtry[yr],I$2)</f>
        <v/>
      </c>
      <c r="J33" s="1610">
        <f>COUNTIFS(entryCtry[ctry],Table6[[#This Row],[ctry]],entryCtry[yr],J$2)</f>
        <v/>
      </c>
      <c r="K33" s="1610">
        <f>COUNTIFS(entryCtry[ctry],Table6[[#This Row],[ctry]],entryCtry[yr],K$2)</f>
        <v/>
      </c>
      <c r="L33" s="1610">
        <f>COUNTIFS(entryCtry[ctry],Table6[[#This Row],[ctry]],entryCtry[yr],L$2)</f>
        <v/>
      </c>
      <c r="M33" s="1610">
        <f>COUNTIFS(entryCtry[ctry],Table6[[#This Row],[ctry]],entryCtry[yr],M$2)</f>
        <v/>
      </c>
      <c r="N33" s="1610">
        <f>COUNTIFS(entryCtry[ctry],Table6[[#This Row],[ctry]],entryCtry[yr],N$2)</f>
        <v/>
      </c>
      <c r="O33" s="1610">
        <f>COUNTIFS(entryCtry[ctry],Table6[[#This Row],[ctry]],entryCtry[yr],O$2)</f>
        <v/>
      </c>
      <c r="P33" s="1610">
        <f>COUNTIFS(entryCtry[ctry],Table6[[#This Row],[ctry]],entryCtry[yr],P$2)</f>
        <v/>
      </c>
      <c r="Q33" s="1610">
        <f>COUNTIFS(entryCtry[ctry],Table6[[#This Row],[ctry]],entryCtry[yr],Q$2)</f>
        <v/>
      </c>
      <c r="R33" s="1610">
        <f>COUNTIFS(entryCtry[ctry],Table6[[#This Row],[ctry]],entryCtry[yr],R$2)</f>
        <v/>
      </c>
      <c r="S33" s="1610">
        <f>COUNTIFS(entryCtry[ctry],Table6[[#This Row],[ctry]],entryCtry[yr],S$2)</f>
        <v/>
      </c>
      <c r="T33" s="1610">
        <f>COUNTIFS(entryCtry[ctry],Table6[[#This Row],[ctry]],entryCtry[yr],T$2)</f>
        <v/>
      </c>
      <c r="U33" s="1610">
        <f>COUNTIFS(entryCtry[ctry],Table6[[#This Row],[ctry]],entryCtry[yr],U$2)</f>
        <v/>
      </c>
      <c r="V33" s="1610">
        <f>COUNTIFS(entryCtry[ctry],Table6[[#This Row],[ctry]],entryCtry[yr],V$2)</f>
        <v/>
      </c>
      <c r="W33" s="1610">
        <f>COUNTIFS(entryCtry[ctry],Table6[[#This Row],[ctry]],entryCtry[yr],W$2)</f>
        <v/>
      </c>
      <c r="X33" s="1610">
        <f>COUNTIFS(entryCtry[ctry],Table6[[#This Row],[ctry]],entryCtry[yr],X$2)</f>
        <v/>
      </c>
      <c r="Y33" s="1610">
        <f>COUNTIFS(entryCtry[ctry],Table6[[#This Row],[ctry]],entryCtry[yr],Y$2)</f>
        <v/>
      </c>
      <c r="Z33" s="1610">
        <f>COUNTIFS(entryCtry[ctry],Table6[[#This Row],[ctry]],entryCtry[yr],Z$2)</f>
        <v/>
      </c>
      <c r="AA33" s="1610">
        <f>COUNTIFS(entryCtry[ctry],Table6[[#This Row],[ctry]],entryCtry[yr],AA$2)</f>
        <v/>
      </c>
      <c r="AB33" s="1610">
        <f>COUNTIFS(entryCtry[ctry],Table6[[#This Row],[ctry]],entryCtry[yr],AB$2)</f>
        <v/>
      </c>
      <c r="AC33" s="1610">
        <f>COUNTIFS(entryCtry[ctry],Table6[[#This Row],[ctry]],entryCtry[yr],AC$2)</f>
        <v/>
      </c>
      <c r="AD33" s="1610">
        <f>COUNTIFS(entryCtry[ctry],Table6[[#This Row],[ctry]],entryCtry[yr],AD$2)</f>
        <v/>
      </c>
      <c r="AE33" s="1610">
        <f>COUNTIFS(entryCtry[ctry],Table6[[#This Row],[ctry]],entryCtry[yr],AE$2)</f>
        <v/>
      </c>
      <c r="AF33" s="1610">
        <f>COUNTIFS(entryCtry[ctry],Table6[[#This Row],[ctry]],entryCtry[yr],AF$2)</f>
        <v/>
      </c>
      <c r="AG33" s="1610">
        <f>COUNTIFS(entryCtry[ctry],Table6[[#This Row],[ctry]],entryCtry[yr],AG$2)</f>
        <v/>
      </c>
      <c r="AH33" s="1610">
        <f>COUNTIFS(entryCtry[ctry],Table6[[#This Row],[ctry]],entryCtry[yr],AH$2)</f>
        <v/>
      </c>
      <c r="AI33" s="1610">
        <f>COUNTIFS(entryCtry[ctry],Table6[[#This Row],[ctry]],entryCtry[yr],AI$2)</f>
        <v/>
      </c>
      <c r="AJ33" s="1610">
        <f>COUNTIFS(entryCtry[ctry],Table6[[#This Row],[ctry]],entryCtry[yr],AJ$2)</f>
        <v/>
      </c>
      <c r="AK33" s="1680" t="inlineStr">
        <is>
          <t>.</t>
        </is>
      </c>
      <c r="AL33" s="1611" t="inlineStr">
        <is>
          <t>.</t>
        </is>
      </c>
      <c r="AM33" s="1783">
        <f>'@Main'!B37</f>
        <v/>
      </c>
      <c r="AN33" s="1597">
        <f>_xlfn.XLOOKUP(Table1[[#This Row],['#]],mainW['#],mainW[ctry],"-")</f>
        <v/>
      </c>
      <c r="AO33" s="1649">
        <f>SUMIFS(raw[stay],raw[ctry],Table1[[#This Row],[ctry]],raw[mth],AO$2)</f>
        <v/>
      </c>
      <c r="AP33" s="1649">
        <f>SUMIFS(raw[stay],raw[ctry],Table1[[#This Row],[ctry]],raw[mth],AP$2)</f>
        <v/>
      </c>
      <c r="AQ33" s="1649">
        <f>SUMIFS(raw[stay],raw[ctry],Table1[[#This Row],[ctry]],raw[mth],AQ$2)</f>
        <v/>
      </c>
      <c r="AR33" s="1649">
        <f>SUMIFS(raw[stay],raw[ctry],Table1[[#This Row],[ctry]],raw[mth],AR$2)</f>
        <v/>
      </c>
      <c r="AS33" s="1649">
        <f>SUMIFS(raw[stay],raw[ctry],Table1[[#This Row],[ctry]],raw[mth],AS$2)</f>
        <v/>
      </c>
      <c r="AT33" s="1649">
        <f>SUMIFS(raw[stay],raw[ctry],Table1[[#This Row],[ctry]],raw[mth],AT$2)</f>
        <v/>
      </c>
      <c r="AU33" s="1649">
        <f>SUMIFS(raw[stay],raw[ctry],Table1[[#This Row],[ctry]],raw[mth],AU$2)</f>
        <v/>
      </c>
      <c r="AV33" s="1649">
        <f>SUMIFS(raw[stay],raw[ctry],Table1[[#This Row],[ctry]],raw[mth],AV$2)</f>
        <v/>
      </c>
      <c r="AW33" s="1649">
        <f>SUMIFS(raw[stay],raw[ctry],Table1[[#This Row],[ctry]],raw[mth],AW$2)</f>
        <v/>
      </c>
      <c r="AX33" s="1649">
        <f>SUMIFS(raw[stay],raw[ctry],Table1[[#This Row],[ctry]],raw[mth],AX$2)</f>
        <v/>
      </c>
      <c r="AY33" s="1649">
        <f>SUMIFS(raw[stay],raw[ctry],Table1[[#This Row],[ctry]],raw[mth],AY$2)</f>
        <v/>
      </c>
      <c r="AZ33" s="1649">
        <f>SUMIFS(raw[stay],raw[ctry],Table1[[#This Row],[ctry]],raw[mth],AZ$2)</f>
        <v/>
      </c>
      <c r="BA33" s="1597">
        <f>COUNTIF(AO33:AZ33,"&gt;0")</f>
        <v/>
      </c>
      <c r="BB33" s="1784">
        <f>INT(SUM(AO33:AZ33))</f>
        <v/>
      </c>
      <c r="BC33" s="1611" t="inlineStr">
        <is>
          <t>.</t>
        </is>
      </c>
      <c r="BD33" s="1680">
        <f>BD32</f>
        <v/>
      </c>
      <c r="BE33" s="1597">
        <f>BE32+1</f>
        <v/>
      </c>
      <c r="BF33" s="1785">
        <f>SUMIFS(raw[stay],raw[ctry],Table15[[#This Row],[ctry]],raw[yr],Table15[[#This Row],[yr]],raw[mth],BF$2)</f>
        <v/>
      </c>
      <c r="BG33" s="1785">
        <f>SUMIFS(raw[stay],raw[ctry],Table15[[#This Row],[ctry]],raw[yr],Table15[[#This Row],[yr]],raw[mth],BG$2)</f>
        <v/>
      </c>
      <c r="BH33" s="1785">
        <f>SUMIFS(raw[stay],raw[ctry],Table15[[#This Row],[ctry]],raw[yr],Table15[[#This Row],[yr]],raw[mth],BH$2)</f>
        <v/>
      </c>
      <c r="BI33" s="1785">
        <f>SUMIFS(raw[stay],raw[ctry],Table15[[#This Row],[ctry]],raw[yr],Table15[[#This Row],[yr]],raw[mth],BI$2)</f>
        <v/>
      </c>
      <c r="BJ33" s="1785">
        <f>SUMIFS(raw[stay],raw[ctry],Table15[[#This Row],[ctry]],raw[yr],Table15[[#This Row],[yr]],raw[mth],BJ$2)</f>
        <v/>
      </c>
      <c r="BK33" s="1785">
        <f>SUMIFS(raw[stay],raw[ctry],Table15[[#This Row],[ctry]],raw[yr],Table15[[#This Row],[yr]],raw[mth],BK$2)</f>
        <v/>
      </c>
      <c r="BL33" s="1785">
        <f>SUMIFS(raw[stay],raw[ctry],Table15[[#This Row],[ctry]],raw[yr],Table15[[#This Row],[yr]],raw[mth],BL$2)</f>
        <v/>
      </c>
      <c r="BM33" s="1785">
        <f>SUMIFS(raw[stay],raw[ctry],Table15[[#This Row],[ctry]],raw[yr],Table15[[#This Row],[yr]],raw[mth],BM$2)</f>
        <v/>
      </c>
      <c r="BN33" s="1785">
        <f>SUMIFS(raw[stay],raw[ctry],Table15[[#This Row],[ctry]],raw[yr],Table15[[#This Row],[yr]],raw[mth],BN$2)</f>
        <v/>
      </c>
      <c r="BO33" s="1785">
        <f>SUMIFS(raw[stay],raw[ctry],Table15[[#This Row],[ctry]],raw[yr],Table15[[#This Row],[yr]],raw[mth],BO$2)</f>
        <v/>
      </c>
      <c r="BP33" s="1785">
        <f>SUMIFS(raw[stay],raw[ctry],Table15[[#This Row],[ctry]],raw[yr],Table15[[#This Row],[yr]],raw[mth],BP$2)</f>
        <v/>
      </c>
      <c r="BQ33" s="1785">
        <f>SUMIFS(raw[stay],raw[ctry],Table15[[#This Row],[ctry]],raw[yr],Table15[[#This Row],[yr]],raw[mth],BQ$2)</f>
        <v/>
      </c>
      <c r="BR33" s="1597">
        <f>COUNTIF(BF33:BQ33,"&gt;0")</f>
        <v/>
      </c>
      <c r="BS33" s="1600">
        <f>INT(SUM(BF33:BQ33))</f>
        <v/>
      </c>
      <c r="BT33" s="1597" t="inlineStr">
        <is>
          <t>.</t>
        </is>
      </c>
      <c r="BU33" s="1636" t="inlineStr">
        <is>
          <t>URY</t>
        </is>
      </c>
      <c r="BV33" s="1603" t="n">
        <v>0</v>
      </c>
      <c r="BW33" s="1607" t="n">
        <v>1</v>
      </c>
      <c r="BX33" s="1611" t="inlineStr">
        <is>
          <t>.</t>
        </is>
      </c>
      <c r="BY33" s="1612" t="n"/>
      <c r="BZ33" s="1788">
        <f>BZ32+1</f>
        <v/>
      </c>
      <c r="CA33" s="1789" t="inlineStr">
        <is>
          <t>E</t>
        </is>
      </c>
      <c r="CB33" s="1805" t="inlineStr">
        <is>
          <t>ICELAND</t>
        </is>
      </c>
      <c r="CC33" s="1806" t="n"/>
      <c r="CD33" s="1806" t="inlineStr">
        <is>
          <t>x</t>
        </is>
      </c>
      <c r="CE33" s="1806" t="n"/>
      <c r="CF33" s="1806" t="n"/>
      <c r="CG33" s="1793" t="inlineStr">
        <is>
          <t>.</t>
        </is>
      </c>
    </row>
    <row r="34" ht="15" customHeight="1">
      <c r="A34" s="1615" t="n"/>
      <c r="B34" s="1781">
        <f>SUM(D34:AK34)</f>
        <v/>
      </c>
      <c r="C34" s="1782">
        <f>Table1[[#This Row],[ctry]]</f>
        <v/>
      </c>
      <c r="D34" s="1610">
        <f>COUNTIFS(entryCtry[ctry],Table6[[#This Row],[ctry]],entryCtry[yr],D$2)</f>
        <v/>
      </c>
      <c r="E34" s="1610">
        <f>COUNTIFS(entryCtry[ctry],Table6[[#This Row],[ctry]],entryCtry[yr],E$2)</f>
        <v/>
      </c>
      <c r="F34" s="1610">
        <f>COUNTIFS(entryCtry[ctry],Table6[[#This Row],[ctry]],entryCtry[yr],F$2)</f>
        <v/>
      </c>
      <c r="G34" s="1610">
        <f>COUNTIFS(entryCtry[ctry],Table6[[#This Row],[ctry]],entryCtry[yr],G$2)</f>
        <v/>
      </c>
      <c r="H34" s="1610">
        <f>COUNTIFS(entryCtry[ctry],Table6[[#This Row],[ctry]],entryCtry[yr],H$2)</f>
        <v/>
      </c>
      <c r="I34" s="1610">
        <f>COUNTIFS(entryCtry[ctry],Table6[[#This Row],[ctry]],entryCtry[yr],I$2)</f>
        <v/>
      </c>
      <c r="J34" s="1610">
        <f>COUNTIFS(entryCtry[ctry],Table6[[#This Row],[ctry]],entryCtry[yr],J$2)</f>
        <v/>
      </c>
      <c r="K34" s="1610">
        <f>COUNTIFS(entryCtry[ctry],Table6[[#This Row],[ctry]],entryCtry[yr],K$2)</f>
        <v/>
      </c>
      <c r="L34" s="1610">
        <f>COUNTIFS(entryCtry[ctry],Table6[[#This Row],[ctry]],entryCtry[yr],L$2)</f>
        <v/>
      </c>
      <c r="M34" s="1610">
        <f>COUNTIFS(entryCtry[ctry],Table6[[#This Row],[ctry]],entryCtry[yr],M$2)</f>
        <v/>
      </c>
      <c r="N34" s="1610">
        <f>COUNTIFS(entryCtry[ctry],Table6[[#This Row],[ctry]],entryCtry[yr],N$2)</f>
        <v/>
      </c>
      <c r="O34" s="1610">
        <f>COUNTIFS(entryCtry[ctry],Table6[[#This Row],[ctry]],entryCtry[yr],O$2)</f>
        <v/>
      </c>
      <c r="P34" s="1610">
        <f>COUNTIFS(entryCtry[ctry],Table6[[#This Row],[ctry]],entryCtry[yr],P$2)</f>
        <v/>
      </c>
      <c r="Q34" s="1610">
        <f>COUNTIFS(entryCtry[ctry],Table6[[#This Row],[ctry]],entryCtry[yr],Q$2)</f>
        <v/>
      </c>
      <c r="R34" s="1610">
        <f>COUNTIFS(entryCtry[ctry],Table6[[#This Row],[ctry]],entryCtry[yr],R$2)</f>
        <v/>
      </c>
      <c r="S34" s="1610">
        <f>COUNTIFS(entryCtry[ctry],Table6[[#This Row],[ctry]],entryCtry[yr],S$2)</f>
        <v/>
      </c>
      <c r="T34" s="1610">
        <f>COUNTIFS(entryCtry[ctry],Table6[[#This Row],[ctry]],entryCtry[yr],T$2)</f>
        <v/>
      </c>
      <c r="U34" s="1610">
        <f>COUNTIFS(entryCtry[ctry],Table6[[#This Row],[ctry]],entryCtry[yr],U$2)</f>
        <v/>
      </c>
      <c r="V34" s="1610">
        <f>COUNTIFS(entryCtry[ctry],Table6[[#This Row],[ctry]],entryCtry[yr],V$2)</f>
        <v/>
      </c>
      <c r="W34" s="1610">
        <f>COUNTIFS(entryCtry[ctry],Table6[[#This Row],[ctry]],entryCtry[yr],W$2)</f>
        <v/>
      </c>
      <c r="X34" s="1610">
        <f>COUNTIFS(entryCtry[ctry],Table6[[#This Row],[ctry]],entryCtry[yr],X$2)</f>
        <v/>
      </c>
      <c r="Y34" s="1610">
        <f>COUNTIFS(entryCtry[ctry],Table6[[#This Row],[ctry]],entryCtry[yr],Y$2)</f>
        <v/>
      </c>
      <c r="Z34" s="1610">
        <f>COUNTIFS(entryCtry[ctry],Table6[[#This Row],[ctry]],entryCtry[yr],Z$2)</f>
        <v/>
      </c>
      <c r="AA34" s="1610">
        <f>COUNTIFS(entryCtry[ctry],Table6[[#This Row],[ctry]],entryCtry[yr],AA$2)</f>
        <v/>
      </c>
      <c r="AB34" s="1610">
        <f>COUNTIFS(entryCtry[ctry],Table6[[#This Row],[ctry]],entryCtry[yr],AB$2)</f>
        <v/>
      </c>
      <c r="AC34" s="1610">
        <f>COUNTIFS(entryCtry[ctry],Table6[[#This Row],[ctry]],entryCtry[yr],AC$2)</f>
        <v/>
      </c>
      <c r="AD34" s="1610">
        <f>COUNTIFS(entryCtry[ctry],Table6[[#This Row],[ctry]],entryCtry[yr],AD$2)</f>
        <v/>
      </c>
      <c r="AE34" s="1610">
        <f>COUNTIFS(entryCtry[ctry],Table6[[#This Row],[ctry]],entryCtry[yr],AE$2)</f>
        <v/>
      </c>
      <c r="AF34" s="1610">
        <f>COUNTIFS(entryCtry[ctry],Table6[[#This Row],[ctry]],entryCtry[yr],AF$2)</f>
        <v/>
      </c>
      <c r="AG34" s="1610">
        <f>COUNTIFS(entryCtry[ctry],Table6[[#This Row],[ctry]],entryCtry[yr],AG$2)</f>
        <v/>
      </c>
      <c r="AH34" s="1610">
        <f>COUNTIFS(entryCtry[ctry],Table6[[#This Row],[ctry]],entryCtry[yr],AH$2)</f>
        <v/>
      </c>
      <c r="AI34" s="1610">
        <f>COUNTIFS(entryCtry[ctry],Table6[[#This Row],[ctry]],entryCtry[yr],AI$2)</f>
        <v/>
      </c>
      <c r="AJ34" s="1610">
        <f>COUNTIFS(entryCtry[ctry],Table6[[#This Row],[ctry]],entryCtry[yr],AJ$2)</f>
        <v/>
      </c>
      <c r="AK34" s="1680" t="inlineStr">
        <is>
          <t>.</t>
        </is>
      </c>
      <c r="AL34" s="1611" t="inlineStr">
        <is>
          <t>.</t>
        </is>
      </c>
      <c r="AM34" s="1783">
        <f>'@Main'!B38</f>
        <v/>
      </c>
      <c r="AN34" s="1597">
        <f>_xlfn.XLOOKUP(Table1[[#This Row],['#]],mainW['#],mainW[ctry],"-")</f>
        <v/>
      </c>
      <c r="AO34" s="1649">
        <f>SUMIFS(raw[stay],raw[ctry],Table1[[#This Row],[ctry]],raw[mth],AO$2)</f>
        <v/>
      </c>
      <c r="AP34" s="1649">
        <f>SUMIFS(raw[stay],raw[ctry],Table1[[#This Row],[ctry]],raw[mth],AP$2)</f>
        <v/>
      </c>
      <c r="AQ34" s="1649">
        <f>SUMIFS(raw[stay],raw[ctry],Table1[[#This Row],[ctry]],raw[mth],AQ$2)</f>
        <v/>
      </c>
      <c r="AR34" s="1649">
        <f>SUMIFS(raw[stay],raw[ctry],Table1[[#This Row],[ctry]],raw[mth],AR$2)</f>
        <v/>
      </c>
      <c r="AS34" s="1649">
        <f>SUMIFS(raw[stay],raw[ctry],Table1[[#This Row],[ctry]],raw[mth],AS$2)</f>
        <v/>
      </c>
      <c r="AT34" s="1649">
        <f>SUMIFS(raw[stay],raw[ctry],Table1[[#This Row],[ctry]],raw[mth],AT$2)</f>
        <v/>
      </c>
      <c r="AU34" s="1649">
        <f>SUMIFS(raw[stay],raw[ctry],Table1[[#This Row],[ctry]],raw[mth],AU$2)</f>
        <v/>
      </c>
      <c r="AV34" s="1649">
        <f>SUMIFS(raw[stay],raw[ctry],Table1[[#This Row],[ctry]],raw[mth],AV$2)</f>
        <v/>
      </c>
      <c r="AW34" s="1649">
        <f>SUMIFS(raw[stay],raw[ctry],Table1[[#This Row],[ctry]],raw[mth],AW$2)</f>
        <v/>
      </c>
      <c r="AX34" s="1649">
        <f>SUMIFS(raw[stay],raw[ctry],Table1[[#This Row],[ctry]],raw[mth],AX$2)</f>
        <v/>
      </c>
      <c r="AY34" s="1649">
        <f>SUMIFS(raw[stay],raw[ctry],Table1[[#This Row],[ctry]],raw[mth],AY$2)</f>
        <v/>
      </c>
      <c r="AZ34" s="1649">
        <f>SUMIFS(raw[stay],raw[ctry],Table1[[#This Row],[ctry]],raw[mth],AZ$2)</f>
        <v/>
      </c>
      <c r="BA34" s="1597">
        <f>COUNTIF(AO34:AZ34,"&gt;0")</f>
        <v/>
      </c>
      <c r="BB34" s="1784">
        <f>INT(SUM(AO34:AZ34))</f>
        <v/>
      </c>
      <c r="BC34" s="1611" t="inlineStr">
        <is>
          <t>.</t>
        </is>
      </c>
      <c r="BD34" s="1680">
        <f>BD33</f>
        <v/>
      </c>
      <c r="BE34" s="1597">
        <f>BE33+1</f>
        <v/>
      </c>
      <c r="BF34" s="1785">
        <f>SUMIFS(raw[stay],raw[ctry],Table15[[#This Row],[ctry]],raw[yr],Table15[[#This Row],[yr]],raw[mth],BF$2)</f>
        <v/>
      </c>
      <c r="BG34" s="1785">
        <f>SUMIFS(raw[stay],raw[ctry],Table15[[#This Row],[ctry]],raw[yr],Table15[[#This Row],[yr]],raw[mth],BG$2)</f>
        <v/>
      </c>
      <c r="BH34" s="1785">
        <f>SUMIFS(raw[stay],raw[ctry],Table15[[#This Row],[ctry]],raw[yr],Table15[[#This Row],[yr]],raw[mth],BH$2)</f>
        <v/>
      </c>
      <c r="BI34" s="1785">
        <f>SUMIFS(raw[stay],raw[ctry],Table15[[#This Row],[ctry]],raw[yr],Table15[[#This Row],[yr]],raw[mth],BI$2)</f>
        <v/>
      </c>
      <c r="BJ34" s="1785">
        <f>SUMIFS(raw[stay],raw[ctry],Table15[[#This Row],[ctry]],raw[yr],Table15[[#This Row],[yr]],raw[mth],BJ$2)</f>
        <v/>
      </c>
      <c r="BK34" s="1785">
        <f>SUMIFS(raw[stay],raw[ctry],Table15[[#This Row],[ctry]],raw[yr],Table15[[#This Row],[yr]],raw[mth],BK$2)</f>
        <v/>
      </c>
      <c r="BL34" s="1785">
        <f>SUMIFS(raw[stay],raw[ctry],Table15[[#This Row],[ctry]],raw[yr],Table15[[#This Row],[yr]],raw[mth],BL$2)</f>
        <v/>
      </c>
      <c r="BM34" s="1785">
        <f>SUMIFS(raw[stay],raw[ctry],Table15[[#This Row],[ctry]],raw[yr],Table15[[#This Row],[yr]],raw[mth],BM$2)</f>
        <v/>
      </c>
      <c r="BN34" s="1785">
        <f>SUMIFS(raw[stay],raw[ctry],Table15[[#This Row],[ctry]],raw[yr],Table15[[#This Row],[yr]],raw[mth],BN$2)</f>
        <v/>
      </c>
      <c r="BO34" s="1785">
        <f>SUMIFS(raw[stay],raw[ctry],Table15[[#This Row],[ctry]],raw[yr],Table15[[#This Row],[yr]],raw[mth],BO$2)</f>
        <v/>
      </c>
      <c r="BP34" s="1785">
        <f>SUMIFS(raw[stay],raw[ctry],Table15[[#This Row],[ctry]],raw[yr],Table15[[#This Row],[yr]],raw[mth],BP$2)</f>
        <v/>
      </c>
      <c r="BQ34" s="1785">
        <f>SUMIFS(raw[stay],raw[ctry],Table15[[#This Row],[ctry]],raw[yr],Table15[[#This Row],[yr]],raw[mth],BQ$2)</f>
        <v/>
      </c>
      <c r="BR34" s="1597">
        <f>COUNTIF(BF34:BQ34,"&gt;0")</f>
        <v/>
      </c>
      <c r="BS34" s="1600">
        <f>INT(SUM(BF34:BQ34))</f>
        <v/>
      </c>
      <c r="BT34" s="1597" t="inlineStr">
        <is>
          <t>.</t>
        </is>
      </c>
      <c r="BU34" s="1636" t="inlineStr">
        <is>
          <t>HRV</t>
        </is>
      </c>
      <c r="BV34" s="1603" t="n">
        <v>0</v>
      </c>
      <c r="BW34" s="1607" t="n">
        <v>1</v>
      </c>
      <c r="BX34" s="1611" t="inlineStr">
        <is>
          <t>.</t>
        </is>
      </c>
      <c r="BY34" s="1612" t="n"/>
      <c r="BZ34" s="1788">
        <f>BZ33+1</f>
        <v/>
      </c>
      <c r="CA34" s="1789" t="inlineStr">
        <is>
          <t>E</t>
        </is>
      </c>
      <c r="CB34" s="1805" t="inlineStr">
        <is>
          <t>ITALY</t>
        </is>
      </c>
      <c r="CC34" s="1806" t="inlineStr">
        <is>
          <t>X</t>
        </is>
      </c>
      <c r="CD34" s="1806" t="inlineStr">
        <is>
          <t>X</t>
        </is>
      </c>
      <c r="CE34" s="1806" t="inlineStr">
        <is>
          <t>X</t>
        </is>
      </c>
      <c r="CF34" s="1806" t="n"/>
      <c r="CG34" s="1793" t="inlineStr">
        <is>
          <t>.</t>
        </is>
      </c>
    </row>
    <row r="35" ht="15" customHeight="1">
      <c r="A35" s="1596" t="n"/>
      <c r="B35" s="1807">
        <f>SUM(D35:AK35)</f>
        <v/>
      </c>
      <c r="C35" s="1795">
        <f>Table1[[#This Row],[ctry]]</f>
        <v/>
      </c>
      <c r="D35" s="1722">
        <f>COUNTIFS(entryCtry[ctry],Table6[[#This Row],[ctry]],entryCtry[yr],D$2)</f>
        <v/>
      </c>
      <c r="E35" s="1722">
        <f>COUNTIFS(entryCtry[ctry],Table6[[#This Row],[ctry]],entryCtry[yr],E$2)</f>
        <v/>
      </c>
      <c r="F35" s="1722">
        <f>COUNTIFS(entryCtry[ctry],Table6[[#This Row],[ctry]],entryCtry[yr],F$2)</f>
        <v/>
      </c>
      <c r="G35" s="1722">
        <f>COUNTIFS(entryCtry[ctry],Table6[[#This Row],[ctry]],entryCtry[yr],G$2)</f>
        <v/>
      </c>
      <c r="H35" s="1722">
        <f>COUNTIFS(entryCtry[ctry],Table6[[#This Row],[ctry]],entryCtry[yr],H$2)</f>
        <v/>
      </c>
      <c r="I35" s="1722">
        <f>COUNTIFS(entryCtry[ctry],Table6[[#This Row],[ctry]],entryCtry[yr],I$2)</f>
        <v/>
      </c>
      <c r="J35" s="1722">
        <f>COUNTIFS(entryCtry[ctry],Table6[[#This Row],[ctry]],entryCtry[yr],J$2)</f>
        <v/>
      </c>
      <c r="K35" s="1722">
        <f>COUNTIFS(entryCtry[ctry],Table6[[#This Row],[ctry]],entryCtry[yr],K$2)</f>
        <v/>
      </c>
      <c r="L35" s="1722">
        <f>COUNTIFS(entryCtry[ctry],Table6[[#This Row],[ctry]],entryCtry[yr],L$2)</f>
        <v/>
      </c>
      <c r="M35" s="1722">
        <f>COUNTIFS(entryCtry[ctry],Table6[[#This Row],[ctry]],entryCtry[yr],M$2)</f>
        <v/>
      </c>
      <c r="N35" s="1722">
        <f>COUNTIFS(entryCtry[ctry],Table6[[#This Row],[ctry]],entryCtry[yr],N$2)</f>
        <v/>
      </c>
      <c r="O35" s="1722">
        <f>COUNTIFS(entryCtry[ctry],Table6[[#This Row],[ctry]],entryCtry[yr],O$2)</f>
        <v/>
      </c>
      <c r="P35" s="1722">
        <f>COUNTIFS(entryCtry[ctry],Table6[[#This Row],[ctry]],entryCtry[yr],P$2)</f>
        <v/>
      </c>
      <c r="Q35" s="1722">
        <f>COUNTIFS(entryCtry[ctry],Table6[[#This Row],[ctry]],entryCtry[yr],Q$2)</f>
        <v/>
      </c>
      <c r="R35" s="1722">
        <f>COUNTIFS(entryCtry[ctry],Table6[[#This Row],[ctry]],entryCtry[yr],R$2)</f>
        <v/>
      </c>
      <c r="S35" s="1722">
        <f>COUNTIFS(entryCtry[ctry],Table6[[#This Row],[ctry]],entryCtry[yr],S$2)</f>
        <v/>
      </c>
      <c r="T35" s="1722">
        <f>COUNTIFS(entryCtry[ctry],Table6[[#This Row],[ctry]],entryCtry[yr],T$2)</f>
        <v/>
      </c>
      <c r="U35" s="1722">
        <f>COUNTIFS(entryCtry[ctry],Table6[[#This Row],[ctry]],entryCtry[yr],U$2)</f>
        <v/>
      </c>
      <c r="V35" s="1722">
        <f>COUNTIFS(entryCtry[ctry],Table6[[#This Row],[ctry]],entryCtry[yr],V$2)</f>
        <v/>
      </c>
      <c r="W35" s="1722">
        <f>COUNTIFS(entryCtry[ctry],Table6[[#This Row],[ctry]],entryCtry[yr],W$2)</f>
        <v/>
      </c>
      <c r="X35" s="1722">
        <f>COUNTIFS(entryCtry[ctry],Table6[[#This Row],[ctry]],entryCtry[yr],X$2)</f>
        <v/>
      </c>
      <c r="Y35" s="1722">
        <f>COUNTIFS(entryCtry[ctry],Table6[[#This Row],[ctry]],entryCtry[yr],Y$2)</f>
        <v/>
      </c>
      <c r="Z35" s="1722">
        <f>COUNTIFS(entryCtry[ctry],Table6[[#This Row],[ctry]],entryCtry[yr],Z$2)</f>
        <v/>
      </c>
      <c r="AA35" s="1722">
        <f>COUNTIFS(entryCtry[ctry],Table6[[#This Row],[ctry]],entryCtry[yr],AA$2)</f>
        <v/>
      </c>
      <c r="AB35" s="1722">
        <f>COUNTIFS(entryCtry[ctry],Table6[[#This Row],[ctry]],entryCtry[yr],AB$2)</f>
        <v/>
      </c>
      <c r="AC35" s="1722">
        <f>COUNTIFS(entryCtry[ctry],Table6[[#This Row],[ctry]],entryCtry[yr],AC$2)</f>
        <v/>
      </c>
      <c r="AD35" s="1722">
        <f>COUNTIFS(entryCtry[ctry],Table6[[#This Row],[ctry]],entryCtry[yr],AD$2)</f>
        <v/>
      </c>
      <c r="AE35" s="1722">
        <f>COUNTIFS(entryCtry[ctry],Table6[[#This Row],[ctry]],entryCtry[yr],AE$2)</f>
        <v/>
      </c>
      <c r="AF35" s="1722">
        <f>COUNTIFS(entryCtry[ctry],Table6[[#This Row],[ctry]],entryCtry[yr],AF$2)</f>
        <v/>
      </c>
      <c r="AG35" s="1722">
        <f>COUNTIFS(entryCtry[ctry],Table6[[#This Row],[ctry]],entryCtry[yr],AG$2)</f>
        <v/>
      </c>
      <c r="AH35" s="1722">
        <f>COUNTIFS(entryCtry[ctry],Table6[[#This Row],[ctry]],entryCtry[yr],AH$2)</f>
        <v/>
      </c>
      <c r="AI35" s="1722">
        <f>COUNTIFS(entryCtry[ctry],Table6[[#This Row],[ctry]],entryCtry[yr],AI$2)</f>
        <v/>
      </c>
      <c r="AJ35" s="1722">
        <f>COUNTIFS(entryCtry[ctry],Table6[[#This Row],[ctry]],entryCtry[yr],AJ$2)</f>
        <v/>
      </c>
      <c r="AK35" s="1680" t="inlineStr">
        <is>
          <t>.</t>
        </is>
      </c>
      <c r="AL35" s="1611" t="inlineStr">
        <is>
          <t>.</t>
        </is>
      </c>
      <c r="AM35" s="1783">
        <f>'@Main'!B39</f>
        <v/>
      </c>
      <c r="AN35" s="1597">
        <f>_xlfn.XLOOKUP(Table1[[#This Row],['#]],mainW['#],mainW[ctry],"-")</f>
        <v/>
      </c>
      <c r="AO35" s="1808" t="n"/>
      <c r="AP35" s="1808" t="n"/>
      <c r="AQ35" s="1808" t="n"/>
      <c r="AR35" s="1808" t="n"/>
      <c r="AS35" s="1808" t="n"/>
      <c r="AT35" s="1808" t="n"/>
      <c r="AU35" s="1808" t="n"/>
      <c r="AV35" s="1808" t="n"/>
      <c r="AW35" s="1808" t="n"/>
      <c r="AX35" s="1808" t="n"/>
      <c r="AY35" s="1808" t="n"/>
      <c r="AZ35" s="1808" t="n"/>
      <c r="BA35" s="1703">
        <f>COUNTIF(AO35:AZ35,"&gt;0")</f>
        <v/>
      </c>
      <c r="BB35" s="1809">
        <f>INT(SUM(AO35:AZ35))</f>
        <v/>
      </c>
      <c r="BC35" s="1611" t="inlineStr">
        <is>
          <t>.</t>
        </is>
      </c>
      <c r="BD35" s="1680">
        <f>BD34</f>
        <v/>
      </c>
      <c r="BE35" s="1597">
        <f>BE34+1</f>
        <v/>
      </c>
      <c r="BF35" s="1785">
        <f>SUMIFS(raw[stay],raw[ctry],Table15[[#This Row],[ctry]],raw[yr],Table15[[#This Row],[yr]],raw[mth],BF$2)</f>
        <v/>
      </c>
      <c r="BG35" s="1785">
        <f>SUMIFS(raw[stay],raw[ctry],Table15[[#This Row],[ctry]],raw[yr],Table15[[#This Row],[yr]],raw[mth],BG$2)</f>
        <v/>
      </c>
      <c r="BH35" s="1785">
        <f>SUMIFS(raw[stay],raw[ctry],Table15[[#This Row],[ctry]],raw[yr],Table15[[#This Row],[yr]],raw[mth],BH$2)</f>
        <v/>
      </c>
      <c r="BI35" s="1785">
        <f>SUMIFS(raw[stay],raw[ctry],Table15[[#This Row],[ctry]],raw[yr],Table15[[#This Row],[yr]],raw[mth],BI$2)</f>
        <v/>
      </c>
      <c r="BJ35" s="1785">
        <f>SUMIFS(raw[stay],raw[ctry],Table15[[#This Row],[ctry]],raw[yr],Table15[[#This Row],[yr]],raw[mth],BJ$2)</f>
        <v/>
      </c>
      <c r="BK35" s="1785">
        <f>SUMIFS(raw[stay],raw[ctry],Table15[[#This Row],[ctry]],raw[yr],Table15[[#This Row],[yr]],raw[mth],BK$2)</f>
        <v/>
      </c>
      <c r="BL35" s="1785">
        <f>SUMIFS(raw[stay],raw[ctry],Table15[[#This Row],[ctry]],raw[yr],Table15[[#This Row],[yr]],raw[mth],BL$2)</f>
        <v/>
      </c>
      <c r="BM35" s="1785">
        <f>SUMIFS(raw[stay],raw[ctry],Table15[[#This Row],[ctry]],raw[yr],Table15[[#This Row],[yr]],raw[mth],BM$2)</f>
        <v/>
      </c>
      <c r="BN35" s="1785">
        <f>SUMIFS(raw[stay],raw[ctry],Table15[[#This Row],[ctry]],raw[yr],Table15[[#This Row],[yr]],raw[mth],BN$2)</f>
        <v/>
      </c>
      <c r="BO35" s="1785">
        <f>SUMIFS(raw[stay],raw[ctry],Table15[[#This Row],[ctry]],raw[yr],Table15[[#This Row],[yr]],raw[mth],BO$2)</f>
        <v/>
      </c>
      <c r="BP35" s="1785">
        <f>SUMIFS(raw[stay],raw[ctry],Table15[[#This Row],[ctry]],raw[yr],Table15[[#This Row],[yr]],raw[mth],BP$2)</f>
        <v/>
      </c>
      <c r="BQ35" s="1785">
        <f>SUMIFS(raw[stay],raw[ctry],Table15[[#This Row],[ctry]],raw[yr],Table15[[#This Row],[yr]],raw[mth],BQ$2)</f>
        <v/>
      </c>
      <c r="BR35" s="1597">
        <f>COUNTIF(BF35:BQ35,"&gt;0")</f>
        <v/>
      </c>
      <c r="BS35" s="1600">
        <f>INT(SUM(BF35:BQ35))</f>
        <v/>
      </c>
      <c r="BT35" s="1597" t="inlineStr">
        <is>
          <t>.</t>
        </is>
      </c>
      <c r="BU35" s="1636" t="inlineStr">
        <is>
          <t>ISL</t>
        </is>
      </c>
      <c r="BV35" s="1603" t="n">
        <v>0</v>
      </c>
      <c r="BW35" s="1607" t="n">
        <v>1</v>
      </c>
      <c r="BX35" s="1611" t="inlineStr">
        <is>
          <t>.</t>
        </is>
      </c>
      <c r="BY35" s="1612" t="n"/>
      <c r="BZ35" s="1788">
        <f>BZ34+1</f>
        <v/>
      </c>
      <c r="CA35" s="1789" t="inlineStr">
        <is>
          <t>E</t>
        </is>
      </c>
      <c r="CB35" s="1805" t="inlineStr">
        <is>
          <t>LUXEMBOURG</t>
        </is>
      </c>
      <c r="CC35" s="1806" t="inlineStr">
        <is>
          <t>X</t>
        </is>
      </c>
      <c r="CD35" s="1806" t="inlineStr">
        <is>
          <t>X</t>
        </is>
      </c>
      <c r="CE35" s="1806" t="n"/>
      <c r="CF35" s="1806" t="n"/>
      <c r="CG35" s="1793" t="inlineStr">
        <is>
          <t>.</t>
        </is>
      </c>
    </row>
    <row r="36" ht="15" customHeight="1">
      <c r="A36" s="1615" t="n"/>
      <c r="B36" s="1782" t="n"/>
      <c r="C36" s="1615" t="n"/>
      <c r="D36" s="1810" t="n"/>
      <c r="E36" s="1810" t="n"/>
      <c r="F36" s="1810" t="n"/>
      <c r="G36" s="1810" t="n"/>
      <c r="H36" s="1810" t="n"/>
      <c r="I36" s="1810" t="n"/>
      <c r="J36" s="1810" t="n"/>
      <c r="K36" s="1810" t="n"/>
      <c r="L36" s="1810" t="n"/>
      <c r="M36" s="1810" t="n"/>
      <c r="N36" s="1810" t="n"/>
      <c r="O36" s="1810" t="n"/>
      <c r="P36" s="1810" t="n"/>
      <c r="Q36" s="1810" t="n"/>
      <c r="R36" s="1810" t="n"/>
      <c r="S36" s="1810" t="n"/>
      <c r="T36" s="1810" t="n"/>
      <c r="U36" s="1810" t="n"/>
      <c r="V36" s="1810" t="n"/>
      <c r="W36" s="1810" t="n"/>
      <c r="X36" s="1810" t="n"/>
      <c r="Y36" s="1810" t="n"/>
      <c r="Z36" s="1810" t="n"/>
      <c r="AA36" s="1810" t="n"/>
      <c r="AB36" s="1810" t="n"/>
      <c r="AC36" s="1810" t="n"/>
      <c r="AD36" s="1810" t="n"/>
      <c r="AE36" s="1810" t="n"/>
      <c r="AF36" s="1810" t="n"/>
      <c r="AG36" s="1810" t="n"/>
      <c r="AH36" s="1810" t="n"/>
      <c r="AI36" s="1810" t="n"/>
      <c r="AJ36" s="1810" t="n"/>
      <c r="AK36" s="1680" t="inlineStr">
        <is>
          <t>.</t>
        </is>
      </c>
      <c r="AL36" s="1611" t="inlineStr">
        <is>
          <t>.</t>
        </is>
      </c>
      <c r="AM36" s="1783" t="n"/>
      <c r="AN36" s="1811" t="n"/>
      <c r="AO36" s="1610" t="n"/>
      <c r="AP36" s="1610" t="n"/>
      <c r="AQ36" s="1610" t="n"/>
      <c r="AR36" s="1610" t="n"/>
      <c r="AS36" s="1610" t="n"/>
      <c r="AT36" s="1610" t="n"/>
      <c r="AU36" s="1610" t="n"/>
      <c r="AV36" s="1610" t="n"/>
      <c r="AW36" s="1610" t="n"/>
      <c r="AX36" s="1610" t="n"/>
      <c r="AY36" s="1610" t="n"/>
      <c r="AZ36" s="1610" t="n"/>
      <c r="BA36" s="1597">
        <f>COUNTIF(AO36:AZ36,"&gt;0")</f>
        <v/>
      </c>
      <c r="BB36" s="1784">
        <f>INT(SUM(AO36:AZ36))</f>
        <v/>
      </c>
      <c r="BC36" s="1611" t="inlineStr">
        <is>
          <t>.</t>
        </is>
      </c>
      <c r="BD36" s="1812">
        <f>BD35</f>
        <v/>
      </c>
      <c r="BE36" s="1597">
        <f>BE35+1</f>
        <v/>
      </c>
      <c r="BF36" s="1785">
        <f>SUMIFS(raw[stay],raw[ctry],Table15[[#This Row],[ctry]],raw[yr],Table15[[#This Row],[yr]],raw[mth],BF$2)</f>
        <v/>
      </c>
      <c r="BG36" s="1785">
        <f>SUMIFS(raw[stay],raw[ctry],Table15[[#This Row],[ctry]],raw[yr],Table15[[#This Row],[yr]],raw[mth],BG$2)</f>
        <v/>
      </c>
      <c r="BH36" s="1785">
        <f>SUMIFS(raw[stay],raw[ctry],Table15[[#This Row],[ctry]],raw[yr],Table15[[#This Row],[yr]],raw[mth],BH$2)</f>
        <v/>
      </c>
      <c r="BI36" s="1785">
        <f>SUMIFS(raw[stay],raw[ctry],Table15[[#This Row],[ctry]],raw[yr],Table15[[#This Row],[yr]],raw[mth],BI$2)</f>
        <v/>
      </c>
      <c r="BJ36" s="1785">
        <f>SUMIFS(raw[stay],raw[ctry],Table15[[#This Row],[ctry]],raw[yr],Table15[[#This Row],[yr]],raw[mth],BJ$2)</f>
        <v/>
      </c>
      <c r="BK36" s="1785">
        <f>SUMIFS(raw[stay],raw[ctry],Table15[[#This Row],[ctry]],raw[yr],Table15[[#This Row],[yr]],raw[mth],BK$2)</f>
        <v/>
      </c>
      <c r="BL36" s="1785">
        <f>SUMIFS(raw[stay],raw[ctry],Table15[[#This Row],[ctry]],raw[yr],Table15[[#This Row],[yr]],raw[mth],BL$2)</f>
        <v/>
      </c>
      <c r="BM36" s="1785">
        <f>SUMIFS(raw[stay],raw[ctry],Table15[[#This Row],[ctry]],raw[yr],Table15[[#This Row],[yr]],raw[mth],BM$2)</f>
        <v/>
      </c>
      <c r="BN36" s="1785">
        <f>SUMIFS(raw[stay],raw[ctry],Table15[[#This Row],[ctry]],raw[yr],Table15[[#This Row],[yr]],raw[mth],BN$2)</f>
        <v/>
      </c>
      <c r="BO36" s="1785">
        <f>SUMIFS(raw[stay],raw[ctry],Table15[[#This Row],[ctry]],raw[yr],Table15[[#This Row],[yr]],raw[mth],BO$2)</f>
        <v/>
      </c>
      <c r="BP36" s="1785">
        <f>SUMIFS(raw[stay],raw[ctry],Table15[[#This Row],[ctry]],raw[yr],Table15[[#This Row],[yr]],raw[mth],BP$2)</f>
        <v/>
      </c>
      <c r="BQ36" s="1785">
        <f>SUMIFS(raw[stay],raw[ctry],Table15[[#This Row],[ctry]],raw[yr],Table15[[#This Row],[yr]],raw[mth],BQ$2)</f>
        <v/>
      </c>
      <c r="BR36" s="1597">
        <f>COUNTIF(BF36:BQ36,"&gt;0")</f>
        <v/>
      </c>
      <c r="BS36" s="1600">
        <f>INT(SUM(BF36:BQ36))</f>
        <v/>
      </c>
      <c r="BT36" s="1597" t="inlineStr">
        <is>
          <t>.</t>
        </is>
      </c>
      <c r="BU36" s="1813" t="n"/>
      <c r="BV36" s="1814" t="n"/>
      <c r="BW36" s="1815" t="n"/>
      <c r="BX36" s="1611" t="inlineStr">
        <is>
          <t>.</t>
        </is>
      </c>
      <c r="BY36" s="1612" t="n"/>
      <c r="BZ36" s="1788">
        <f>BZ35+1</f>
        <v/>
      </c>
      <c r="CA36" s="1789" t="inlineStr">
        <is>
          <t>E</t>
        </is>
      </c>
      <c r="CB36" s="1805" t="inlineStr">
        <is>
          <t>PORTUGAL</t>
        </is>
      </c>
      <c r="CC36" s="1806" t="inlineStr">
        <is>
          <t>X</t>
        </is>
      </c>
      <c r="CD36" s="1806" t="inlineStr">
        <is>
          <t>X</t>
        </is>
      </c>
      <c r="CE36" s="1806" t="inlineStr">
        <is>
          <t>X</t>
        </is>
      </c>
      <c r="CF36" s="1806" t="inlineStr">
        <is>
          <t>X</t>
        </is>
      </c>
      <c r="CG36" s="1793" t="inlineStr">
        <is>
          <t>.</t>
        </is>
      </c>
    </row>
    <row r="37" ht="15" customHeight="1">
      <c r="A37" s="1596" t="n"/>
      <c r="B37" s="1794">
        <f>SUM(D37:AK37)</f>
        <v/>
      </c>
      <c r="C37" s="1795" t="inlineStr">
        <is>
          <t>BRA</t>
        </is>
      </c>
      <c r="D37" s="1610">
        <f>COUNTIFS(entryCtry[ctry],Table6[[#This Row],[ctry]],entryCtry[yr],D$2)</f>
        <v/>
      </c>
      <c r="E37" s="1610">
        <f>COUNTIFS(entryCtry[ctry],Table6[[#This Row],[ctry]],entryCtry[yr],E$2)</f>
        <v/>
      </c>
      <c r="F37" s="1610">
        <f>COUNTIFS(entryCtry[ctry],Table6[[#This Row],[ctry]],entryCtry[yr],F$2)</f>
        <v/>
      </c>
      <c r="G37" s="1610">
        <f>COUNTIFS(entryCtry[ctry],Table6[[#This Row],[ctry]],entryCtry[yr],G$2)</f>
        <v/>
      </c>
      <c r="H37" s="1610">
        <f>COUNTIFS(entryCtry[ctry],Table6[[#This Row],[ctry]],entryCtry[yr],H$2)</f>
        <v/>
      </c>
      <c r="I37" s="1610">
        <f>COUNTIFS(entryCtry[ctry],Table6[[#This Row],[ctry]],entryCtry[yr],I$2)</f>
        <v/>
      </c>
      <c r="J37" s="1610">
        <f>COUNTIFS(entryCtry[ctry],Table6[[#This Row],[ctry]],entryCtry[yr],J$2)</f>
        <v/>
      </c>
      <c r="K37" s="1610">
        <f>COUNTIFS(entryCtry[ctry],Table6[[#This Row],[ctry]],entryCtry[yr],K$2)</f>
        <v/>
      </c>
      <c r="L37" s="1610">
        <f>COUNTIFS(entryCtry[ctry],Table6[[#This Row],[ctry]],entryCtry[yr],L$2)</f>
        <v/>
      </c>
      <c r="M37" s="1610">
        <f>COUNTIFS(entryCtry[ctry],Table6[[#This Row],[ctry]],entryCtry[yr],M$2)</f>
        <v/>
      </c>
      <c r="N37" s="1610">
        <f>COUNTIFS(entryCtry[ctry],Table6[[#This Row],[ctry]],entryCtry[yr],N$2)</f>
        <v/>
      </c>
      <c r="O37" s="1610">
        <f>COUNTIFS(entryCtry[ctry],Table6[[#This Row],[ctry]],entryCtry[yr],O$2)</f>
        <v/>
      </c>
      <c r="P37" s="1610">
        <f>COUNTIFS(entryCtry[ctry],Table6[[#This Row],[ctry]],entryCtry[yr],P$2)</f>
        <v/>
      </c>
      <c r="Q37" s="1610">
        <f>COUNTIFS(entryCtry[ctry],Table6[[#This Row],[ctry]],entryCtry[yr],Q$2)</f>
        <v/>
      </c>
      <c r="R37" s="1610">
        <f>COUNTIFS(entryCtry[ctry],Table6[[#This Row],[ctry]],entryCtry[yr],R$2)</f>
        <v/>
      </c>
      <c r="S37" s="1610">
        <f>COUNTIFS(entryCtry[ctry],Table6[[#This Row],[ctry]],entryCtry[yr],S$2)</f>
        <v/>
      </c>
      <c r="T37" s="1610">
        <f>COUNTIFS(entryCtry[ctry],Table6[[#This Row],[ctry]],entryCtry[yr],T$2)</f>
        <v/>
      </c>
      <c r="U37" s="1610">
        <f>COUNTIFS(entryCtry[ctry],Table6[[#This Row],[ctry]],entryCtry[yr],U$2)</f>
        <v/>
      </c>
      <c r="V37" s="1610">
        <f>COUNTIFS(entryCtry[ctry],Table6[[#This Row],[ctry]],entryCtry[yr],V$2)</f>
        <v/>
      </c>
      <c r="W37" s="1610">
        <f>COUNTIFS(entryCtry[ctry],Table6[[#This Row],[ctry]],entryCtry[yr],W$2)</f>
        <v/>
      </c>
      <c r="X37" s="1610">
        <f>COUNTIFS(entryCtry[ctry],Table6[[#This Row],[ctry]],entryCtry[yr],X$2)</f>
        <v/>
      </c>
      <c r="Y37" s="1610">
        <f>COUNTIFS(entryCtry[ctry],Table6[[#This Row],[ctry]],entryCtry[yr],Y$2)</f>
        <v/>
      </c>
      <c r="Z37" s="1610">
        <f>COUNTIFS(entryCtry[ctry],Table6[[#This Row],[ctry]],entryCtry[yr],Z$2)</f>
        <v/>
      </c>
      <c r="AA37" s="1610">
        <f>COUNTIFS(entryCtry[ctry],Table6[[#This Row],[ctry]],entryCtry[yr],AA$2)</f>
        <v/>
      </c>
      <c r="AB37" s="1610">
        <f>COUNTIFS(entryCtry[ctry],Table6[[#This Row],[ctry]],entryCtry[yr],AB$2)</f>
        <v/>
      </c>
      <c r="AC37" s="1610">
        <f>COUNTIFS(entryCtry[ctry],Table6[[#This Row],[ctry]],entryCtry[yr],AC$2)</f>
        <v/>
      </c>
      <c r="AD37" s="1610">
        <f>COUNTIFS(entryCtry[ctry],Table6[[#This Row],[ctry]],entryCtry[yr],AD$2)</f>
        <v/>
      </c>
      <c r="AE37" s="1610">
        <f>COUNTIFS(entryCtry[ctry],Table6[[#This Row],[ctry]],entryCtry[yr],AE$2)</f>
        <v/>
      </c>
      <c r="AF37" s="1610">
        <f>COUNTIFS(entryCtry[ctry],Table6[[#This Row],[ctry]],entryCtry[yr],AF$2)</f>
        <v/>
      </c>
      <c r="AG37" s="1610">
        <f>COUNTIFS(entryCtry[ctry],Table6[[#This Row],[ctry]],entryCtry[yr],AG$2)</f>
        <v/>
      </c>
      <c r="AH37" s="1610">
        <f>COUNTIFS(entryCtry[ctry],Table6[[#This Row],[ctry]],entryCtry[yr],AH$2)</f>
        <v/>
      </c>
      <c r="AI37" s="1610">
        <f>COUNTIFS(entryCtry[ctry],Table6[[#This Row],[ctry]],entryCtry[yr],AI$2)</f>
        <v/>
      </c>
      <c r="AJ37" s="1610">
        <f>COUNTIFS(entryCtry[ctry],Table6[[#This Row],[ctry]],entryCtry[yr],AJ$2)</f>
        <v/>
      </c>
      <c r="AK37" s="1680" t="inlineStr">
        <is>
          <t>.</t>
        </is>
      </c>
      <c r="AL37" s="1611" t="inlineStr">
        <is>
          <t>.</t>
        </is>
      </c>
      <c r="AM37" s="1812" t="inlineStr">
        <is>
          <t>X</t>
        </is>
      </c>
      <c r="AN37" s="1816" t="inlineStr">
        <is>
          <t>AIR</t>
        </is>
      </c>
      <c r="AO37" s="1610" t="n"/>
      <c r="AP37" s="1610" t="n"/>
      <c r="AQ37" s="1610" t="n"/>
      <c r="AR37" s="1610" t="n"/>
      <c r="AS37" s="1610" t="n"/>
      <c r="AT37" s="1610" t="n"/>
      <c r="AU37" s="1610" t="n"/>
      <c r="AV37" s="1610" t="n"/>
      <c r="AW37" s="1610" t="n"/>
      <c r="AX37" s="1610" t="n"/>
      <c r="AY37" s="1610" t="n"/>
      <c r="AZ37" s="1610" t="n"/>
      <c r="BA37" s="1597">
        <f>COUNTIF(AO37:AZ37,"&gt;0")</f>
        <v/>
      </c>
      <c r="BB37" s="1784">
        <f>INT(SUM(AO37:AZ37))</f>
        <v/>
      </c>
      <c r="BC37" s="1611" t="inlineStr">
        <is>
          <t>.</t>
        </is>
      </c>
      <c r="BD37" s="1812">
        <f>BD36</f>
        <v/>
      </c>
      <c r="BE37" s="1597">
        <f>BE36+1</f>
        <v/>
      </c>
      <c r="BF37" s="1785">
        <f>SUMIFS(raw[stay],raw[ctry],Table15[[#This Row],[ctry]],raw[yr],Table15[[#This Row],[yr]],raw[mth],BF$2)</f>
        <v/>
      </c>
      <c r="BG37" s="1785">
        <f>SUMIFS(raw[stay],raw[ctry],Table15[[#This Row],[ctry]],raw[yr],Table15[[#This Row],[yr]],raw[mth],BG$2)</f>
        <v/>
      </c>
      <c r="BH37" s="1785">
        <f>SUMIFS(raw[stay],raw[ctry],Table15[[#This Row],[ctry]],raw[yr],Table15[[#This Row],[yr]],raw[mth],BH$2)</f>
        <v/>
      </c>
      <c r="BI37" s="1785">
        <f>SUMIFS(raw[stay],raw[ctry],Table15[[#This Row],[ctry]],raw[yr],Table15[[#This Row],[yr]],raw[mth],BI$2)</f>
        <v/>
      </c>
      <c r="BJ37" s="1785">
        <f>SUMIFS(raw[stay],raw[ctry],Table15[[#This Row],[ctry]],raw[yr],Table15[[#This Row],[yr]],raw[mth],BJ$2)</f>
        <v/>
      </c>
      <c r="BK37" s="1785">
        <f>SUMIFS(raw[stay],raw[ctry],Table15[[#This Row],[ctry]],raw[yr],Table15[[#This Row],[yr]],raw[mth],BK$2)</f>
        <v/>
      </c>
      <c r="BL37" s="1785">
        <f>SUMIFS(raw[stay],raw[ctry],Table15[[#This Row],[ctry]],raw[yr],Table15[[#This Row],[yr]],raw[mth],BL$2)</f>
        <v/>
      </c>
      <c r="BM37" s="1785">
        <f>SUMIFS(raw[stay],raw[ctry],Table15[[#This Row],[ctry]],raw[yr],Table15[[#This Row],[yr]],raw[mth],BM$2)</f>
        <v/>
      </c>
      <c r="BN37" s="1785">
        <f>SUMIFS(raw[stay],raw[ctry],Table15[[#This Row],[ctry]],raw[yr],Table15[[#This Row],[yr]],raw[mth],BN$2)</f>
        <v/>
      </c>
      <c r="BO37" s="1785">
        <f>SUMIFS(raw[stay],raw[ctry],Table15[[#This Row],[ctry]],raw[yr],Table15[[#This Row],[yr]],raw[mth],BO$2)</f>
        <v/>
      </c>
      <c r="BP37" s="1785">
        <f>SUMIFS(raw[stay],raw[ctry],Table15[[#This Row],[ctry]],raw[yr],Table15[[#This Row],[yr]],raw[mth],BP$2)</f>
        <v/>
      </c>
      <c r="BQ37" s="1785">
        <f>SUMIFS(raw[stay],raw[ctry],Table15[[#This Row],[ctry]],raw[yr],Table15[[#This Row],[yr]],raw[mth],BQ$2)</f>
        <v/>
      </c>
      <c r="BR37" s="1597">
        <f>COUNTIF(BF37:BQ37,"&gt;0")</f>
        <v/>
      </c>
      <c r="BS37" s="1600">
        <f>INT(SUM(BF37:BQ37))</f>
        <v/>
      </c>
      <c r="BT37" s="1597" t="inlineStr">
        <is>
          <t>.</t>
        </is>
      </c>
      <c r="BU37" s="1813" t="n"/>
      <c r="BV37" s="1814" t="n"/>
      <c r="BW37" s="1815" t="n"/>
      <c r="BX37" s="1611" t="inlineStr">
        <is>
          <t>.</t>
        </is>
      </c>
      <c r="BY37" s="1612" t="n"/>
      <c r="BZ37" s="1788">
        <f>BZ36+1</f>
        <v/>
      </c>
      <c r="CA37" s="1789" t="inlineStr">
        <is>
          <t>E</t>
        </is>
      </c>
      <c r="CB37" s="1805" t="inlineStr">
        <is>
          <t>SWEDEN</t>
        </is>
      </c>
      <c r="CC37" s="1806" t="n"/>
      <c r="CD37" s="1806" t="inlineStr">
        <is>
          <t>X</t>
        </is>
      </c>
      <c r="CE37" s="1806" t="n"/>
      <c r="CF37" s="1806" t="n"/>
      <c r="CG37" s="1793" t="inlineStr">
        <is>
          <t>.</t>
        </is>
      </c>
    </row>
    <row r="38" ht="15" customHeight="1">
      <c r="A38" s="1615" t="inlineStr">
        <is>
          <t>.</t>
        </is>
      </c>
      <c r="B38" s="1677" t="inlineStr">
        <is>
          <t>.</t>
        </is>
      </c>
      <c r="C38" s="1677" t="inlineStr">
        <is>
          <t>.</t>
        </is>
      </c>
      <c r="D38" s="1611" t="inlineStr">
        <is>
          <t>.</t>
        </is>
      </c>
      <c r="E38" s="1611" t="inlineStr">
        <is>
          <t>.</t>
        </is>
      </c>
      <c r="F38" s="1611" t="inlineStr">
        <is>
          <t>.</t>
        </is>
      </c>
      <c r="G38" s="1611" t="inlineStr">
        <is>
          <t>.</t>
        </is>
      </c>
      <c r="H38" s="1611" t="inlineStr">
        <is>
          <t>.</t>
        </is>
      </c>
      <c r="I38" s="1611" t="inlineStr">
        <is>
          <t>.</t>
        </is>
      </c>
      <c r="J38" s="1611" t="inlineStr">
        <is>
          <t>.</t>
        </is>
      </c>
      <c r="K38" s="1611" t="inlineStr">
        <is>
          <t>.</t>
        </is>
      </c>
      <c r="L38" s="1611" t="inlineStr">
        <is>
          <t>.</t>
        </is>
      </c>
      <c r="M38" s="1611" t="inlineStr">
        <is>
          <t>.</t>
        </is>
      </c>
      <c r="N38" s="1611" t="inlineStr">
        <is>
          <t>.</t>
        </is>
      </c>
      <c r="O38" s="1611" t="inlineStr">
        <is>
          <t>.</t>
        </is>
      </c>
      <c r="P38" s="1611" t="inlineStr">
        <is>
          <t>.</t>
        </is>
      </c>
      <c r="Q38" s="1611" t="inlineStr">
        <is>
          <t>.</t>
        </is>
      </c>
      <c r="R38" s="1611" t="inlineStr">
        <is>
          <t>.</t>
        </is>
      </c>
      <c r="S38" s="1611" t="inlineStr">
        <is>
          <t>.</t>
        </is>
      </c>
      <c r="T38" s="1611" t="inlineStr">
        <is>
          <t>.</t>
        </is>
      </c>
      <c r="U38" s="1611" t="inlineStr">
        <is>
          <t>.</t>
        </is>
      </c>
      <c r="V38" s="1611" t="inlineStr">
        <is>
          <t>.</t>
        </is>
      </c>
      <c r="W38" s="1611" t="inlineStr">
        <is>
          <t>.</t>
        </is>
      </c>
      <c r="X38" s="1611" t="inlineStr">
        <is>
          <t>.</t>
        </is>
      </c>
      <c r="Y38" s="1611" t="inlineStr">
        <is>
          <t>.</t>
        </is>
      </c>
      <c r="Z38" s="1611" t="inlineStr">
        <is>
          <t>.</t>
        </is>
      </c>
      <c r="AA38" s="1611" t="inlineStr">
        <is>
          <t>.</t>
        </is>
      </c>
      <c r="AB38" s="1611" t="inlineStr">
        <is>
          <t>.</t>
        </is>
      </c>
      <c r="AC38" s="1611" t="inlineStr">
        <is>
          <t>.</t>
        </is>
      </c>
      <c r="AD38" s="1611" t="inlineStr">
        <is>
          <t>.</t>
        </is>
      </c>
      <c r="AE38" s="1611" t="inlineStr">
        <is>
          <t>.</t>
        </is>
      </c>
      <c r="AF38" s="1611" t="inlineStr">
        <is>
          <t>.</t>
        </is>
      </c>
      <c r="AG38" s="1611" t="inlineStr">
        <is>
          <t>.</t>
        </is>
      </c>
      <c r="AH38" s="1611" t="inlineStr">
        <is>
          <t>.</t>
        </is>
      </c>
      <c r="AI38" s="1611" t="inlineStr">
        <is>
          <t>.</t>
        </is>
      </c>
      <c r="AJ38" s="1611" t="inlineStr">
        <is>
          <t>.</t>
        </is>
      </c>
      <c r="AK38" s="1597" t="inlineStr">
        <is>
          <t>.</t>
        </is>
      </c>
      <c r="AL38" s="1611" t="inlineStr">
        <is>
          <t>.</t>
        </is>
      </c>
      <c r="AM38" s="1611" t="inlineStr">
        <is>
          <t>.</t>
        </is>
      </c>
      <c r="AN38" s="1611" t="inlineStr">
        <is>
          <t>.</t>
        </is>
      </c>
      <c r="AO38" s="1611" t="inlineStr">
        <is>
          <t>.</t>
        </is>
      </c>
      <c r="AP38" s="1611" t="inlineStr">
        <is>
          <t>.</t>
        </is>
      </c>
      <c r="AQ38" s="1611" t="inlineStr">
        <is>
          <t>.</t>
        </is>
      </c>
      <c r="AR38" s="1611" t="inlineStr">
        <is>
          <t>.</t>
        </is>
      </c>
      <c r="AS38" s="1611" t="inlineStr">
        <is>
          <t>.</t>
        </is>
      </c>
      <c r="AT38" s="1611" t="inlineStr">
        <is>
          <t>.</t>
        </is>
      </c>
      <c r="AU38" s="1611" t="inlineStr">
        <is>
          <t>.</t>
        </is>
      </c>
      <c r="AV38" s="1611" t="inlineStr">
        <is>
          <t>.</t>
        </is>
      </c>
      <c r="AW38" s="1611" t="inlineStr">
        <is>
          <t>.</t>
        </is>
      </c>
      <c r="AX38" s="1611" t="inlineStr">
        <is>
          <t>.</t>
        </is>
      </c>
      <c r="AY38" s="1611" t="inlineStr">
        <is>
          <t>.</t>
        </is>
      </c>
      <c r="AZ38" s="1611" t="inlineStr">
        <is>
          <t>.</t>
        </is>
      </c>
      <c r="BA38" s="1611" t="inlineStr">
        <is>
          <t>.</t>
        </is>
      </c>
      <c r="BB38" s="1611" t="inlineStr">
        <is>
          <t>.</t>
        </is>
      </c>
      <c r="BC38" s="1611" t="inlineStr">
        <is>
          <t>.</t>
        </is>
      </c>
      <c r="BD38" s="1611" t="inlineStr">
        <is>
          <t>.</t>
        </is>
      </c>
      <c r="BE38" s="1611" t="inlineStr">
        <is>
          <t>.</t>
        </is>
      </c>
      <c r="BF38" s="1611" t="inlineStr">
        <is>
          <t>.</t>
        </is>
      </c>
      <c r="BG38" s="1611" t="inlineStr">
        <is>
          <t>.</t>
        </is>
      </c>
      <c r="BH38" s="1611" t="inlineStr">
        <is>
          <t>.</t>
        </is>
      </c>
      <c r="BI38" s="1611" t="inlineStr">
        <is>
          <t>.</t>
        </is>
      </c>
      <c r="BJ38" s="1611" t="inlineStr">
        <is>
          <t>.</t>
        </is>
      </c>
      <c r="BK38" s="1611" t="inlineStr">
        <is>
          <t>.</t>
        </is>
      </c>
      <c r="BL38" s="1611" t="inlineStr">
        <is>
          <t>.</t>
        </is>
      </c>
      <c r="BM38" s="1611" t="inlineStr">
        <is>
          <t>.</t>
        </is>
      </c>
      <c r="BN38" s="1611" t="inlineStr">
        <is>
          <t>.</t>
        </is>
      </c>
      <c r="BO38" s="1611" t="inlineStr">
        <is>
          <t>.</t>
        </is>
      </c>
      <c r="BP38" s="1611" t="inlineStr">
        <is>
          <t>.</t>
        </is>
      </c>
      <c r="BQ38" s="1611" t="inlineStr">
        <is>
          <t>.</t>
        </is>
      </c>
      <c r="BR38" s="1611" t="inlineStr">
        <is>
          <t>.</t>
        </is>
      </c>
      <c r="BS38" s="1611" t="inlineStr">
        <is>
          <t>.</t>
        </is>
      </c>
      <c r="BT38" s="1611" t="inlineStr">
        <is>
          <t>.</t>
        </is>
      </c>
      <c r="BU38" s="1611" t="inlineStr">
        <is>
          <t>.</t>
        </is>
      </c>
      <c r="BV38" s="1611" t="inlineStr">
        <is>
          <t>.</t>
        </is>
      </c>
      <c r="BW38" s="1611" t="inlineStr">
        <is>
          <t>.</t>
        </is>
      </c>
      <c r="BX38" s="1611" t="inlineStr">
        <is>
          <t>.</t>
        </is>
      </c>
      <c r="BY38" s="1612" t="n"/>
      <c r="BZ38" s="1788">
        <f>BZ37+1</f>
        <v/>
      </c>
      <c r="CA38" s="1789" t="inlineStr">
        <is>
          <t>E</t>
        </is>
      </c>
      <c r="CB38" s="1805" t="inlineStr">
        <is>
          <t>SWITZERLAND</t>
        </is>
      </c>
      <c r="CC38" s="1806" t="inlineStr">
        <is>
          <t>X</t>
        </is>
      </c>
      <c r="CD38" s="1806" t="inlineStr">
        <is>
          <t>X</t>
        </is>
      </c>
      <c r="CE38" s="1806" t="inlineStr">
        <is>
          <t>X</t>
        </is>
      </c>
      <c r="CF38" s="1806" t="n"/>
      <c r="CG38" s="1793" t="inlineStr">
        <is>
          <t>.</t>
        </is>
      </c>
    </row>
    <row r="39" ht="15" customHeight="1">
      <c r="A39" s="1673" t="n"/>
      <c r="B39" s="1673" t="n"/>
      <c r="C39" s="1673" t="n"/>
      <c r="D39" s="1612" t="n"/>
      <c r="E39" s="1612" t="n"/>
      <c r="F39" s="1612" t="n"/>
      <c r="G39" s="1612" t="n"/>
      <c r="H39" s="1612" t="n"/>
      <c r="I39" s="1612" t="n"/>
      <c r="J39" s="1612" t="n"/>
      <c r="K39" s="1612" t="n"/>
      <c r="L39" s="1612" t="n"/>
      <c r="M39" s="1612" t="n"/>
      <c r="N39" s="1612" t="n"/>
      <c r="O39" s="1612" t="n"/>
      <c r="P39" s="1612" t="n"/>
      <c r="Q39" s="1612" t="n"/>
      <c r="R39" s="1612" t="n"/>
      <c r="S39" s="1612" t="n"/>
      <c r="T39" s="1612" t="n"/>
      <c r="U39" s="1612" t="n"/>
      <c r="V39" s="1612" t="n"/>
      <c r="W39" s="1612" t="n"/>
      <c r="X39" s="1612" t="n"/>
      <c r="Y39" s="1612" t="n"/>
      <c r="Z39" s="1612" t="n"/>
      <c r="AA39" s="1612" t="n"/>
      <c r="AB39" s="1612" t="n"/>
      <c r="AC39" s="1612" t="n"/>
      <c r="AD39" s="1612" t="n"/>
      <c r="AE39" s="1612" t="n"/>
      <c r="AF39" s="1612" t="n"/>
      <c r="AG39" s="1612" t="n"/>
      <c r="AH39" s="1612" t="n"/>
      <c r="AI39" s="1612" t="n"/>
      <c r="AJ39" s="1612" t="n"/>
      <c r="AK39" s="1597" t="inlineStr">
        <is>
          <t>.</t>
        </is>
      </c>
      <c r="AL39" s="1611" t="inlineStr">
        <is>
          <t>.</t>
        </is>
      </c>
      <c r="AM39" s="1611" t="n"/>
      <c r="AN39" s="1817" t="n"/>
      <c r="AO39" s="1600">
        <f>AO3</f>
        <v/>
      </c>
      <c r="AP39" s="1600">
        <f>AP3</f>
        <v/>
      </c>
      <c r="AQ39" s="1600">
        <f>AQ3</f>
        <v/>
      </c>
      <c r="AR39" s="1600">
        <f>AR3</f>
        <v/>
      </c>
      <c r="AS39" s="1600">
        <f>AS3</f>
        <v/>
      </c>
      <c r="AT39" s="1600">
        <f>AT3</f>
        <v/>
      </c>
      <c r="AU39" s="1600">
        <f>AU3</f>
        <v/>
      </c>
      <c r="AV39" s="1600">
        <f>AV3</f>
        <v/>
      </c>
      <c r="AW39" s="1600">
        <f>AW3</f>
        <v/>
      </c>
      <c r="AX39" s="1600">
        <f>AX3</f>
        <v/>
      </c>
      <c r="AY39" s="1600">
        <f>AY3</f>
        <v/>
      </c>
      <c r="AZ39" s="1600">
        <f>AZ3</f>
        <v/>
      </c>
      <c r="BA39" s="1818" t="n"/>
      <c r="BB39" s="1818" t="n"/>
      <c r="BC39" s="1611" t="inlineStr">
        <is>
          <t>.</t>
        </is>
      </c>
      <c r="BD39" s="1611" t="n"/>
      <c r="BE39" s="1611" t="n"/>
      <c r="BF39" s="1611" t="n"/>
      <c r="BG39" s="1611" t="n"/>
      <c r="BH39" s="1611" t="n"/>
      <c r="BI39" s="1611" t="n"/>
      <c r="BJ39" s="1611" t="n"/>
      <c r="BK39" s="1611" t="n"/>
      <c r="BL39" s="1611" t="n"/>
      <c r="BM39" s="1611" t="n"/>
      <c r="BN39" s="1611" t="n"/>
      <c r="BO39" s="1611" t="n"/>
      <c r="BP39" s="1611" t="n"/>
      <c r="BQ39" s="1611" t="n"/>
      <c r="BR39" s="1611" t="n"/>
      <c r="BS39" s="1611" t="n"/>
      <c r="BT39" s="1611" t="inlineStr">
        <is>
          <t>.</t>
        </is>
      </c>
      <c r="BU39" s="1611" t="n"/>
      <c r="BV39" s="1611" t="n"/>
      <c r="BW39" s="1611" t="n"/>
      <c r="BX39" s="1611" t="inlineStr">
        <is>
          <t>.</t>
        </is>
      </c>
      <c r="BY39" s="1612" t="n"/>
      <c r="BZ39" s="1788">
        <f>BZ38+1</f>
        <v/>
      </c>
      <c r="CA39" s="1789" t="inlineStr">
        <is>
          <t>E</t>
        </is>
      </c>
      <c r="CB39" s="1819" t="inlineStr">
        <is>
          <t>TURKEYE</t>
        </is>
      </c>
      <c r="CC39" s="1820" t="inlineStr">
        <is>
          <t>X</t>
        </is>
      </c>
      <c r="CD39" s="1820" t="inlineStr">
        <is>
          <t>X</t>
        </is>
      </c>
      <c r="CE39" s="1820" t="n"/>
      <c r="CF39" s="1820" t="n"/>
      <c r="CG39" s="1793" t="inlineStr">
        <is>
          <t>.</t>
        </is>
      </c>
    </row>
    <row r="40" ht="15" customHeight="1">
      <c r="A40" s="1677" t="n"/>
      <c r="B40" s="1677" t="n"/>
      <c r="C40" s="1677" t="n"/>
      <c r="D40" s="1612" t="n"/>
      <c r="E40" s="1612" t="n"/>
      <c r="F40" s="1612" t="n"/>
      <c r="G40" s="1612" t="n"/>
      <c r="H40" s="1612" t="n"/>
      <c r="I40" s="1612" t="n"/>
      <c r="J40" s="1612" t="n"/>
      <c r="K40" s="1612" t="n"/>
      <c r="L40" s="1612" t="n"/>
      <c r="M40" s="1612" t="n"/>
      <c r="N40" s="1612" t="n"/>
      <c r="O40" s="1612" t="n"/>
      <c r="P40" s="1612" t="n"/>
      <c r="Q40" s="1612" t="n"/>
      <c r="R40" s="1612" t="n"/>
      <c r="S40" s="1612" t="n"/>
      <c r="T40" s="1612" t="n"/>
      <c r="U40" s="1612" t="n"/>
      <c r="V40" s="1612" t="n"/>
      <c r="W40" s="1612" t="n"/>
      <c r="X40" s="1612" t="n"/>
      <c r="Y40" s="1612" t="n"/>
      <c r="Z40" s="1612" t="n"/>
      <c r="AA40" s="1612" t="n"/>
      <c r="AB40" s="1612" t="n"/>
      <c r="AC40" s="1612" t="n"/>
      <c r="AD40" s="1612" t="n"/>
      <c r="AE40" s="1612" t="n"/>
      <c r="AF40" s="1612" t="n"/>
      <c r="AG40" s="1612" t="n"/>
      <c r="AH40" s="1612" t="n"/>
      <c r="AI40" s="1612" t="n"/>
      <c r="AJ40" s="1612" t="n"/>
      <c r="AK40" s="1597" t="inlineStr">
        <is>
          <t>.</t>
        </is>
      </c>
      <c r="AL40" s="1611" t="inlineStr">
        <is>
          <t>.</t>
        </is>
      </c>
      <c r="AM40" s="1821" t="inlineStr">
        <is>
          <t>total</t>
        </is>
      </c>
      <c r="AN40" s="1349" t="n"/>
      <c r="AO40" s="1610">
        <f>ROUNDDOWN(SUM(AO4:AO39),0)</f>
        <v/>
      </c>
      <c r="AP40" s="1610">
        <f>ROUNDDOWN(SUM(AP4:AP39),0)</f>
        <v/>
      </c>
      <c r="AQ40" s="1610">
        <f>ROUNDDOWN(SUM(AQ4:AQ39),0)</f>
        <v/>
      </c>
      <c r="AR40" s="1610">
        <f>ROUNDDOWN(SUM(AR4:AR39),0)</f>
        <v/>
      </c>
      <c r="AS40" s="1610">
        <f>ROUNDDOWN(SUM(AS4:AS39),0)</f>
        <v/>
      </c>
      <c r="AT40" s="1610">
        <f>ROUNDDOWN(SUM(AT4:AT39),0)</f>
        <v/>
      </c>
      <c r="AU40" s="1610">
        <f>ROUNDDOWN(SUM(AU4:AU39),0)</f>
        <v/>
      </c>
      <c r="AV40" s="1610">
        <f>ROUNDDOWN(SUM(AV4:AV39),0)</f>
        <v/>
      </c>
      <c r="AW40" s="1610">
        <f>ROUNDDOWN(SUM(AW4:AW39),0)</f>
        <v/>
      </c>
      <c r="AX40" s="1610">
        <f>ROUNDDOWN(SUM(AX4:AX39),0)</f>
        <v/>
      </c>
      <c r="AY40" s="1610">
        <f>ROUNDDOWN(SUM(AY4:AY39),0)</f>
        <v/>
      </c>
      <c r="AZ40" s="1610">
        <f>ROUNDDOWN(SUM(AZ4:AZ39),0)</f>
        <v/>
      </c>
      <c r="BA40" s="1600">
        <f>SUM(AO40:AZ40)</f>
        <v/>
      </c>
      <c r="BB40" s="1600">
        <f>SUM(BB4:BB39)</f>
        <v/>
      </c>
      <c r="BC40" s="1611" t="inlineStr">
        <is>
          <t>.</t>
        </is>
      </c>
      <c r="BD40" s="1597" t="inlineStr">
        <is>
          <t>partial</t>
        </is>
      </c>
      <c r="BE40" s="1072" t="n"/>
      <c r="BF40" s="1603">
        <f>COUNTIF(BF4:BF39,"&gt;0")</f>
        <v/>
      </c>
      <c r="BG40" s="1603">
        <f>COUNTIF(BG4:BG39,"&gt;0")</f>
        <v/>
      </c>
      <c r="BH40" s="1603">
        <f>COUNTIF(BH4:BH39,"&gt;0")</f>
        <v/>
      </c>
      <c r="BI40" s="1603">
        <f>COUNTIF(BI4:BI39,"&gt;0")</f>
        <v/>
      </c>
      <c r="BJ40" s="1603">
        <f>COUNTIF(BJ4:BJ39,"&gt;0")</f>
        <v/>
      </c>
      <c r="BK40" s="1603">
        <f>COUNTIF(BK4:BK39,"&gt;0")</f>
        <v/>
      </c>
      <c r="BL40" s="1603">
        <f>COUNTIF(BL4:BL39,"&gt;0")</f>
        <v/>
      </c>
      <c r="BM40" s="1603">
        <f>COUNTIF(BM4:BM39,"&gt;0")</f>
        <v/>
      </c>
      <c r="BN40" s="1603">
        <f>COUNTIF(BN4:BN39,"&gt;0")</f>
        <v/>
      </c>
      <c r="BO40" s="1603">
        <f>COUNTIF(BO4:BO39,"&gt;0")</f>
        <v/>
      </c>
      <c r="BP40" s="1603">
        <f>COUNTIF(BP4:BP39,"&gt;0")</f>
        <v/>
      </c>
      <c r="BQ40" s="1603">
        <f>COUNTIF(BQ4:BQ39,"&gt;0")</f>
        <v/>
      </c>
      <c r="BR40" s="1611" t="n"/>
      <c r="BS40" s="1610">
        <f>SUM(BF40:BQ40)</f>
        <v/>
      </c>
      <c r="BT40" s="1611" t="inlineStr">
        <is>
          <t>.</t>
        </is>
      </c>
      <c r="BU40" s="1611" t="n"/>
      <c r="BV40" s="1611" t="n"/>
      <c r="BW40" s="1611" t="n"/>
      <c r="BX40" s="1611" t="inlineStr">
        <is>
          <t>.</t>
        </is>
      </c>
      <c r="BY40" s="1612" t="n"/>
      <c r="BZ40" s="1788">
        <f>BZ39+1</f>
        <v/>
      </c>
      <c r="CA40" s="1789" t="inlineStr">
        <is>
          <t>A</t>
        </is>
      </c>
      <c r="CB40" s="1819" t="inlineStr">
        <is>
          <t>CHINA</t>
        </is>
      </c>
      <c r="CC40" s="1820" t="n"/>
      <c r="CD40" s="1820" t="inlineStr">
        <is>
          <t>X</t>
        </is>
      </c>
      <c r="CE40" s="1820" t="inlineStr">
        <is>
          <t>X</t>
        </is>
      </c>
      <c r="CF40" s="1820" t="n"/>
      <c r="CG40" s="1793" t="inlineStr">
        <is>
          <t>.</t>
        </is>
      </c>
    </row>
    <row r="41" ht="15" customHeight="1">
      <c r="A41" s="1673" t="n"/>
      <c r="B41" s="1673" t="n"/>
      <c r="C41" s="1673" t="n"/>
      <c r="D41" s="1612" t="n"/>
      <c r="E41" s="1612" t="n"/>
      <c r="F41" s="1612" t="n"/>
      <c r="G41" s="1612" t="n"/>
      <c r="H41" s="1612" t="n"/>
      <c r="I41" s="1612" t="n"/>
      <c r="J41" s="1612" t="n"/>
      <c r="K41" s="1612" t="n"/>
      <c r="L41" s="1612" t="n"/>
      <c r="M41" s="1612" t="n"/>
      <c r="N41" s="1612" t="n"/>
      <c r="O41" s="1612" t="n"/>
      <c r="P41" s="1612" t="n"/>
      <c r="Q41" s="1612" t="n"/>
      <c r="R41" s="1612" t="n"/>
      <c r="S41" s="1612" t="n"/>
      <c r="T41" s="1612" t="n"/>
      <c r="U41" s="1612" t="n"/>
      <c r="V41" s="1612" t="n"/>
      <c r="W41" s="1612" t="n"/>
      <c r="X41" s="1612" t="n"/>
      <c r="Y41" s="1612" t="n"/>
      <c r="Z41" s="1612" t="n"/>
      <c r="AA41" s="1612" t="n"/>
      <c r="AB41" s="1612" t="n"/>
      <c r="AC41" s="1612" t="n"/>
      <c r="AD41" s="1612" t="n"/>
      <c r="AE41" s="1612" t="n"/>
      <c r="AF41" s="1612" t="n"/>
      <c r="AG41" s="1612" t="n"/>
      <c r="AH41" s="1612" t="n"/>
      <c r="AI41" s="1612" t="n"/>
      <c r="AJ41" s="1612" t="n"/>
      <c r="AK41" s="1597" t="inlineStr">
        <is>
          <t>.</t>
        </is>
      </c>
      <c r="AL41" s="1611" t="n"/>
      <c r="AM41" s="1821" t="inlineStr">
        <is>
          <t>rank</t>
        </is>
      </c>
      <c r="AN41" s="1349" t="n"/>
      <c r="AO41" s="1822">
        <f>AO40/BF1</f>
        <v/>
      </c>
      <c r="AP41" s="1822">
        <f>AP40/28.25</f>
        <v/>
      </c>
      <c r="AQ41" s="1822">
        <f>AQ40/BH1</f>
        <v/>
      </c>
      <c r="AR41" s="1822">
        <f>AR40/BI1</f>
        <v/>
      </c>
      <c r="AS41" s="1822">
        <f>AS40/BJ1</f>
        <v/>
      </c>
      <c r="AT41" s="1822">
        <f>AT40/BK1</f>
        <v/>
      </c>
      <c r="AU41" s="1822">
        <f>AU40/BL1</f>
        <v/>
      </c>
      <c r="AV41" s="1822">
        <f>AV40/BM1</f>
        <v/>
      </c>
      <c r="AW41" s="1822">
        <f>AW40/BN1</f>
        <v/>
      </c>
      <c r="AX41" s="1822">
        <f>AX40/BO1</f>
        <v/>
      </c>
      <c r="AY41" s="1822">
        <f>AY40/BP1</f>
        <v/>
      </c>
      <c r="AZ41" s="1822">
        <f>AZ40/BQ1</f>
        <v/>
      </c>
      <c r="BA41" s="1818" t="n"/>
      <c r="BB41" s="1611" t="n"/>
      <c r="BC41" s="1611" t="inlineStr">
        <is>
          <t>.</t>
        </is>
      </c>
      <c r="BD41" s="1597" t="inlineStr">
        <is>
          <t>full</t>
        </is>
      </c>
      <c r="BE41" s="1072" t="n"/>
      <c r="BF41" s="1603">
        <f>COUNTIF(BF4:BF39,"&gt;="&amp;BF1)</f>
        <v/>
      </c>
      <c r="BG41" s="1603">
        <f>COUNTIF(BG4:BG39,"&gt;="&amp;BG1)</f>
        <v/>
      </c>
      <c r="BH41" s="1603">
        <f>COUNTIF(BH4:BH39,"&gt;="&amp;BH1)</f>
        <v/>
      </c>
      <c r="BI41" s="1603">
        <f>COUNTIF(BI4:BI39,"&gt;="&amp;BI1)</f>
        <v/>
      </c>
      <c r="BJ41" s="1603">
        <f>COUNTIF(BJ4:BJ39,"&gt;="&amp;BJ1)</f>
        <v/>
      </c>
      <c r="BK41" s="1603">
        <f>COUNTIF(BK4:BK39,"&gt;="&amp;BK1)</f>
        <v/>
      </c>
      <c r="BL41" s="1603">
        <f>COUNTIF(BL4:BL39,"&gt;="&amp;BL1)</f>
        <v/>
      </c>
      <c r="BM41" s="1603">
        <f>COUNTIF(BM4:BM39,"&gt;="&amp;BM1)</f>
        <v/>
      </c>
      <c r="BN41" s="1603">
        <f>COUNTIF(BN4:BN39,"&gt;="&amp;BN1)</f>
        <v/>
      </c>
      <c r="BO41" s="1603">
        <f>COUNTIF(BO4:BO39,"&gt;="&amp;BO1)</f>
        <v/>
      </c>
      <c r="BP41" s="1603">
        <f>COUNTIF(BP4:BP39,"&gt;="&amp;BP1)</f>
        <v/>
      </c>
      <c r="BQ41" s="1603">
        <f>COUNTIF(BQ4:BQ39,"&gt;="&amp;BQ1)</f>
        <v/>
      </c>
      <c r="BR41" s="1611" t="n"/>
      <c r="BS41" s="1610">
        <f>SUM(BF41:BQ41)</f>
        <v/>
      </c>
      <c r="BT41" s="1611" t="inlineStr">
        <is>
          <t>.</t>
        </is>
      </c>
      <c r="BU41" s="1611" t="n"/>
      <c r="BV41" s="1611" t="n"/>
      <c r="BW41" s="1611" t="n"/>
      <c r="BX41" s="1611" t="inlineStr">
        <is>
          <t>.</t>
        </is>
      </c>
      <c r="BY41" s="1612" t="n"/>
      <c r="BZ41" s="1788">
        <f>BZ40+1</f>
        <v/>
      </c>
      <c r="CA41" s="1789" t="inlineStr">
        <is>
          <t>E1</t>
        </is>
      </c>
      <c r="CB41" s="1823" t="inlineStr">
        <is>
          <t>SCOTLAND</t>
        </is>
      </c>
      <c r="CC41" s="1824" t="inlineStr">
        <is>
          <t>y</t>
        </is>
      </c>
      <c r="CD41" s="1824" t="inlineStr">
        <is>
          <t>y</t>
        </is>
      </c>
      <c r="CE41" s="1824" t="n"/>
      <c r="CF41" s="1824" t="n"/>
      <c r="CG41" s="1793" t="inlineStr">
        <is>
          <t>.</t>
        </is>
      </c>
    </row>
    <row r="42" ht="15" customHeight="1">
      <c r="A42" s="1677" t="n"/>
      <c r="B42" s="1677" t="n"/>
      <c r="C42" s="1677" t="n"/>
      <c r="D42" s="1612" t="n"/>
      <c r="E42" s="1612" t="n"/>
      <c r="F42" s="1612" t="n"/>
      <c r="G42" s="1612" t="n"/>
      <c r="H42" s="1612" t="n"/>
      <c r="I42" s="1612" t="n"/>
      <c r="J42" s="1612" t="n"/>
      <c r="K42" s="1612" t="n"/>
      <c r="L42" s="1612" t="n"/>
      <c r="M42" s="1612" t="n"/>
      <c r="N42" s="1612" t="n"/>
      <c r="O42" s="1612" t="n"/>
      <c r="P42" s="1612" t="n"/>
      <c r="Q42" s="1612" t="n"/>
      <c r="R42" s="1612" t="n"/>
      <c r="S42" s="1612" t="n"/>
      <c r="T42" s="1612" t="n"/>
      <c r="U42" s="1612" t="n"/>
      <c r="V42" s="1612" t="n"/>
      <c r="W42" s="1612" t="n"/>
      <c r="X42" s="1612" t="n"/>
      <c r="Y42" s="1612" t="n"/>
      <c r="Z42" s="1612" t="n"/>
      <c r="AA42" s="1612" t="n"/>
      <c r="AB42" s="1612" t="n"/>
      <c r="AC42" s="1612" t="n"/>
      <c r="AD42" s="1612" t="n"/>
      <c r="AE42" s="1612" t="n"/>
      <c r="AF42" s="1612" t="n"/>
      <c r="AG42" s="1612" t="n"/>
      <c r="AH42" s="1612" t="n"/>
      <c r="AI42" s="1612" t="n"/>
      <c r="AJ42" s="1612" t="n"/>
      <c r="AK42" s="1597" t="inlineStr">
        <is>
          <t>.</t>
        </is>
      </c>
      <c r="AL42" s="1611" t="n"/>
      <c r="AM42" s="1821" t="inlineStr">
        <is>
          <t>dift ctries</t>
        </is>
      </c>
      <c r="AN42" s="1349" t="n"/>
      <c r="AO42" s="1603">
        <f>COUNTIF(AO4:AO33,"&gt;0")</f>
        <v/>
      </c>
      <c r="AP42" s="1603">
        <f>COUNTIF(AP4:AP33,"&gt;0")</f>
        <v/>
      </c>
      <c r="AQ42" s="1603">
        <f>COUNTIF(AQ4:AQ33,"&gt;0")</f>
        <v/>
      </c>
      <c r="AR42" s="1603">
        <f>COUNTIF(AR4:AR33,"&gt;0")</f>
        <v/>
      </c>
      <c r="AS42" s="1603">
        <f>COUNTIF(AS4:AS33,"&gt;0")</f>
        <v/>
      </c>
      <c r="AT42" s="1603">
        <f>COUNTIF(AT4:AT33,"&gt;0")</f>
        <v/>
      </c>
      <c r="AU42" s="1603">
        <f>COUNTIF(AU4:AU33,"&gt;0")</f>
        <v/>
      </c>
      <c r="AV42" s="1603">
        <f>COUNTIF(AV4:AV33,"&gt;0")</f>
        <v/>
      </c>
      <c r="AW42" s="1603">
        <f>COUNTIF(AW4:AW33,"&gt;0")</f>
        <v/>
      </c>
      <c r="AX42" s="1603">
        <f>COUNTIF(AX4:AX33,"&gt;0")</f>
        <v/>
      </c>
      <c r="AY42" s="1603">
        <f>COUNTIF(AY4:AY33,"&gt;0")</f>
        <v/>
      </c>
      <c r="AZ42" s="1603">
        <f>COUNTIF(AZ4:AZ33,"&gt;0")</f>
        <v/>
      </c>
      <c r="BA42" s="1611" t="n"/>
      <c r="BB42" s="1611" t="n"/>
      <c r="BC42" s="1611" t="inlineStr">
        <is>
          <t>.</t>
        </is>
      </c>
      <c r="BD42" s="1611" t="n"/>
      <c r="BE42" s="1611" t="n"/>
      <c r="BF42" s="1611" t="n"/>
      <c r="BG42" s="1611" t="n"/>
      <c r="BH42" s="1611" t="n"/>
      <c r="BI42" s="1611" t="n"/>
      <c r="BJ42" s="1611" t="n"/>
      <c r="BK42" s="1611" t="n"/>
      <c r="BL42" s="1611" t="n"/>
      <c r="BM42" s="1611" t="n"/>
      <c r="BN42" s="1611" t="n"/>
      <c r="BO42" s="1611" t="n"/>
      <c r="BP42" s="1611" t="n"/>
      <c r="BQ42" s="1611" t="n"/>
      <c r="BR42" s="1611" t="n"/>
      <c r="BS42" s="1611" t="n"/>
      <c r="BT42" s="1611" t="n"/>
      <c r="BU42" s="1611" t="n"/>
      <c r="BV42" s="1611" t="n"/>
      <c r="BW42" s="1611" t="n"/>
      <c r="BX42" s="1611" t="inlineStr">
        <is>
          <t>.</t>
        </is>
      </c>
      <c r="BY42" s="1612" t="n"/>
      <c r="BZ42" s="1788">
        <f>BZ41+1</f>
        <v/>
      </c>
      <c r="CA42" s="1789" t="inlineStr">
        <is>
          <t>E1</t>
        </is>
      </c>
      <c r="CB42" s="1823" t="inlineStr">
        <is>
          <t>WALES</t>
        </is>
      </c>
      <c r="CC42" s="1824" t="inlineStr">
        <is>
          <t>y</t>
        </is>
      </c>
      <c r="CD42" s="1824" t="inlineStr">
        <is>
          <t>y</t>
        </is>
      </c>
      <c r="CE42" s="1824" t="n"/>
      <c r="CF42" s="1824" t="n"/>
      <c r="CG42" s="1793" t="inlineStr">
        <is>
          <t>.</t>
        </is>
      </c>
    </row>
    <row r="43" ht="15" customHeight="1">
      <c r="A43" s="1673" t="n"/>
      <c r="B43" s="1673" t="n"/>
      <c r="C43" s="1673" t="n"/>
      <c r="D43" s="1612" t="n"/>
      <c r="E43" s="1612" t="n"/>
      <c r="F43" s="1612" t="n"/>
      <c r="G43" s="1612" t="n"/>
      <c r="H43" s="1612" t="n"/>
      <c r="I43" s="1612" t="n"/>
      <c r="J43" s="1612" t="n"/>
      <c r="K43" s="1612" t="n"/>
      <c r="L43" s="1612" t="n"/>
      <c r="M43" s="1612" t="n"/>
      <c r="N43" s="1612" t="n"/>
      <c r="O43" s="1612" t="n"/>
      <c r="P43" s="1612" t="n"/>
      <c r="Q43" s="1612" t="n"/>
      <c r="R43" s="1612" t="n"/>
      <c r="S43" s="1612" t="n"/>
      <c r="T43" s="1612" t="n"/>
      <c r="U43" s="1612" t="n"/>
      <c r="V43" s="1612" t="n"/>
      <c r="W43" s="1612" t="n"/>
      <c r="X43" s="1612" t="n"/>
      <c r="Y43" s="1612" t="n"/>
      <c r="Z43" s="1612" t="n"/>
      <c r="AA43" s="1612" t="n"/>
      <c r="AB43" s="1612" t="n"/>
      <c r="AC43" s="1612" t="n"/>
      <c r="AD43" s="1612" t="n"/>
      <c r="AE43" s="1612" t="n"/>
      <c r="AF43" s="1612" t="n"/>
      <c r="AG43" s="1612" t="n"/>
      <c r="AH43" s="1612" t="n"/>
      <c r="AI43" s="1612" t="n"/>
      <c r="AJ43" s="1612" t="n"/>
      <c r="AK43" s="1597" t="inlineStr">
        <is>
          <t>.</t>
        </is>
      </c>
      <c r="AL43" s="1611" t="n"/>
      <c r="AM43" s="1611" t="n"/>
      <c r="AN43" s="1611" t="n"/>
      <c r="AO43" s="1825" t="n"/>
      <c r="AP43" s="1825" t="n"/>
      <c r="AQ43" s="1825" t="n"/>
      <c r="AR43" s="1825" t="n"/>
      <c r="AS43" s="1825" t="n"/>
      <c r="AT43" s="1825" t="n"/>
      <c r="AU43" s="1825" t="n"/>
      <c r="AV43" s="1825" t="n"/>
      <c r="AW43" s="1825" t="n"/>
      <c r="AX43" s="1825" t="n"/>
      <c r="AY43" s="1825" t="n"/>
      <c r="AZ43" s="1825" t="n"/>
      <c r="BA43" s="1611" t="n"/>
      <c r="BB43" s="1611" t="n"/>
      <c r="BC43" s="1611" t="n"/>
      <c r="BD43" s="1611" t="n"/>
      <c r="BE43" s="1611" t="n"/>
      <c r="BF43" s="1611" t="n"/>
      <c r="BG43" s="1611" t="n"/>
      <c r="BH43" s="1611" t="n"/>
      <c r="BI43" s="1611" t="n"/>
      <c r="BJ43" s="1611" t="n"/>
      <c r="BK43" s="1611" t="n"/>
      <c r="BL43" s="1611" t="n"/>
      <c r="BM43" s="1611" t="n"/>
      <c r="BN43" s="1611" t="n"/>
      <c r="BO43" s="1611" t="n"/>
      <c r="BP43" s="1611" t="n"/>
      <c r="BQ43" s="1611" t="n"/>
      <c r="BR43" s="1611" t="n"/>
      <c r="BS43" s="1611" t="n"/>
      <c r="BT43" s="1611" t="n"/>
      <c r="BU43" s="1611" t="n"/>
      <c r="BV43" s="1611" t="n"/>
      <c r="BW43" s="1611" t="n"/>
      <c r="BX43" s="1611" t="inlineStr">
        <is>
          <t>.</t>
        </is>
      </c>
      <c r="BY43" s="1612" t="n"/>
      <c r="BZ43" s="1788">
        <f>BZ42+1</f>
        <v/>
      </c>
      <c r="CA43" s="1789" t="inlineStr">
        <is>
          <t>E1</t>
        </is>
      </c>
      <c r="CB43" s="1823" t="inlineStr">
        <is>
          <t>VATICAN</t>
        </is>
      </c>
      <c r="CC43" s="1824" t="inlineStr">
        <is>
          <t>y</t>
        </is>
      </c>
      <c r="CD43" s="1824" t="inlineStr">
        <is>
          <t>y</t>
        </is>
      </c>
      <c r="CE43" s="1824" t="inlineStr">
        <is>
          <t>y</t>
        </is>
      </c>
      <c r="CF43" s="1824" t="n"/>
      <c r="CG43" s="1793" t="inlineStr">
        <is>
          <t>.</t>
        </is>
      </c>
    </row>
    <row r="44" ht="15" customHeight="1">
      <c r="A44" s="1677" t="n"/>
      <c r="B44" s="1677" t="n"/>
      <c r="C44" s="1677" t="n"/>
      <c r="D44" s="1611" t="n"/>
      <c r="E44" s="1611" t="n"/>
      <c r="F44" s="1611" t="n"/>
      <c r="G44" s="1611" t="n"/>
      <c r="H44" s="1611" t="n"/>
      <c r="I44" s="1611" t="n"/>
      <c r="J44" s="1611" t="n"/>
      <c r="K44" s="1611" t="n"/>
      <c r="L44" s="1611" t="n"/>
      <c r="M44" s="1611" t="n"/>
      <c r="N44" s="1611" t="n"/>
      <c r="O44" s="1611" t="n"/>
      <c r="P44" s="1611" t="n"/>
      <c r="Q44" s="1611" t="n"/>
      <c r="R44" s="1611" t="n"/>
      <c r="S44" s="1611" t="n"/>
      <c r="T44" s="1611" t="n"/>
      <c r="U44" s="1611" t="n"/>
      <c r="V44" s="1611" t="n"/>
      <c r="W44" s="1611" t="n"/>
      <c r="X44" s="1611" t="n"/>
      <c r="Y44" s="1611" t="n"/>
      <c r="Z44" s="1611" t="n"/>
      <c r="AA44" s="1611" t="n"/>
      <c r="AB44" s="1611" t="n"/>
      <c r="AC44" s="1611" t="n"/>
      <c r="AD44" s="1611" t="n"/>
      <c r="AE44" s="1611" t="n"/>
      <c r="AF44" s="1611" t="n"/>
      <c r="AG44" s="1611" t="n"/>
      <c r="AH44" s="1611" t="n"/>
      <c r="AI44" s="1611" t="n"/>
      <c r="AJ44" s="1611" t="n"/>
      <c r="AK44" s="1597" t="inlineStr">
        <is>
          <t>.</t>
        </is>
      </c>
      <c r="AL44" s="1612" t="n"/>
      <c r="AM44" s="1612" t="n"/>
      <c r="AN44" s="1612" t="n"/>
      <c r="AO44" s="1612" t="n"/>
      <c r="AP44" s="1612" t="n"/>
      <c r="AQ44" s="1612" t="n"/>
      <c r="AR44" s="1612" t="n"/>
      <c r="AS44" s="1612" t="n"/>
      <c r="AT44" s="1612" t="n"/>
      <c r="AU44" s="1612" t="n"/>
      <c r="AV44" s="1612" t="n"/>
      <c r="AW44" s="1612" t="n"/>
      <c r="AX44" s="1612" t="n"/>
      <c r="AY44" s="1612" t="n"/>
      <c r="AZ44" s="1612" t="n"/>
      <c r="BA44" s="1612" t="n"/>
      <c r="BB44" s="1612" t="n"/>
      <c r="BC44" s="1612" t="n"/>
      <c r="BD44" s="1612" t="n"/>
      <c r="BE44" s="1612" t="n"/>
      <c r="BF44" s="1612" t="n"/>
      <c r="BG44" s="1612" t="n"/>
      <c r="BH44" s="1612" t="n"/>
      <c r="BI44" s="1612" t="n"/>
      <c r="BJ44" s="1612" t="n"/>
      <c r="BK44" s="1612" t="n"/>
      <c r="BL44" s="1612" t="n"/>
      <c r="BM44" s="1612" t="n"/>
      <c r="BN44" s="1612" t="n"/>
      <c r="BO44" s="1612" t="n"/>
      <c r="BP44" s="1612" t="n"/>
      <c r="BQ44" s="1612" t="n"/>
      <c r="BR44" s="1612" t="n"/>
      <c r="BS44" s="1612" t="n"/>
      <c r="BT44" s="1612" t="n"/>
      <c r="BU44" s="1612" t="n"/>
      <c r="BV44" s="1612" t="n"/>
      <c r="BW44" s="1612" t="n"/>
      <c r="BX44" s="1612" t="n"/>
      <c r="BY44" s="1612" t="n"/>
      <c r="BZ44" s="1788">
        <f>BZ43+1</f>
        <v/>
      </c>
      <c r="CA44" s="1789" t="inlineStr">
        <is>
          <t>A</t>
        </is>
      </c>
      <c r="CB44" s="1819" t="inlineStr">
        <is>
          <t>JAPAN</t>
        </is>
      </c>
      <c r="CC44" s="1820" t="inlineStr">
        <is>
          <t>X</t>
        </is>
      </c>
      <c r="CD44" s="1820" t="n"/>
      <c r="CE44" s="1820" t="n"/>
      <c r="CF44" s="1820" t="n"/>
      <c r="CG44" s="1793" t="inlineStr">
        <is>
          <t>.</t>
        </is>
      </c>
    </row>
    <row r="45" ht="15" customHeight="1">
      <c r="A45" s="1673" t="n"/>
      <c r="B45" s="1826" t="inlineStr">
        <is>
          <t>Entry (with Stay)</t>
        </is>
      </c>
      <c r="C45" s="1349" t="n"/>
      <c r="D45" s="1827">
        <f>D2</f>
        <v/>
      </c>
      <c r="E45" s="1827">
        <f>E2</f>
        <v/>
      </c>
      <c r="F45" s="1827">
        <f>F2</f>
        <v/>
      </c>
      <c r="G45" s="1827">
        <f>G2</f>
        <v/>
      </c>
      <c r="H45" s="1827">
        <f>H2</f>
        <v/>
      </c>
      <c r="I45" s="1827">
        <f>I2</f>
        <v/>
      </c>
      <c r="J45" s="1827">
        <f>J2</f>
        <v/>
      </c>
      <c r="K45" s="1827">
        <f>K2</f>
        <v/>
      </c>
      <c r="L45" s="1827">
        <f>L2</f>
        <v/>
      </c>
      <c r="M45" s="1827">
        <f>M2</f>
        <v/>
      </c>
      <c r="N45" s="1827">
        <f>N2</f>
        <v/>
      </c>
      <c r="O45" s="1827">
        <f>O2</f>
        <v/>
      </c>
      <c r="P45" s="1827">
        <f>P2</f>
        <v/>
      </c>
      <c r="Q45" s="1827">
        <f>Q2</f>
        <v/>
      </c>
      <c r="R45" s="1827">
        <f>R2</f>
        <v/>
      </c>
      <c r="S45" s="1827">
        <f>S2</f>
        <v/>
      </c>
      <c r="T45" s="1827">
        <f>T2</f>
        <v/>
      </c>
      <c r="U45" s="1827">
        <f>U2</f>
        <v/>
      </c>
      <c r="V45" s="1827">
        <f>V2</f>
        <v/>
      </c>
      <c r="W45" s="1827">
        <f>W2</f>
        <v/>
      </c>
      <c r="X45" s="1827">
        <f>X2</f>
        <v/>
      </c>
      <c r="Y45" s="1827">
        <f>Y2</f>
        <v/>
      </c>
      <c r="Z45" s="1827">
        <f>Z2</f>
        <v/>
      </c>
      <c r="AA45" s="1827">
        <f>AA2</f>
        <v/>
      </c>
      <c r="AB45" s="1827">
        <f>AB2</f>
        <v/>
      </c>
      <c r="AC45" s="1827">
        <f>AC2</f>
        <v/>
      </c>
      <c r="AD45" s="1827">
        <f>AD2</f>
        <v/>
      </c>
      <c r="AE45" s="1827">
        <f>AE2</f>
        <v/>
      </c>
      <c r="AF45" s="1827">
        <f>AF2</f>
        <v/>
      </c>
      <c r="AG45" s="1827">
        <f>AG2</f>
        <v/>
      </c>
      <c r="AH45" s="1827">
        <f>AH2</f>
        <v/>
      </c>
      <c r="AI45" s="1827">
        <f>AI2</f>
        <v/>
      </c>
      <c r="AJ45" s="1827">
        <f>AJ2</f>
        <v/>
      </c>
      <c r="AK45" s="1597" t="inlineStr">
        <is>
          <t>.</t>
        </is>
      </c>
      <c r="AL45" s="1612" t="n"/>
      <c r="AM45" s="1612" t="n"/>
      <c r="AN45" s="1612" t="n"/>
      <c r="AO45" s="1612" t="n"/>
      <c r="AP45" s="1612" t="n"/>
      <c r="AQ45" s="1612" t="n"/>
      <c r="AR45" s="1612" t="n"/>
      <c r="AS45" s="1612" t="n"/>
      <c r="AT45" s="1612" t="n"/>
      <c r="AU45" s="1612" t="n"/>
      <c r="AV45" s="1612" t="n"/>
      <c r="AW45" s="1612" t="n"/>
      <c r="AX45" s="1612" t="n"/>
      <c r="AY45" s="1612" t="n"/>
      <c r="AZ45" s="1612" t="n"/>
      <c r="BA45" s="1612" t="n"/>
      <c r="BB45" s="1612" t="n"/>
      <c r="BC45" s="1612" t="n"/>
      <c r="BD45" s="1612" t="n"/>
      <c r="BE45" s="1612" t="n"/>
      <c r="BF45" s="1612" t="n"/>
      <c r="BG45" s="1612" t="n"/>
      <c r="BH45" s="1612" t="n"/>
      <c r="BI45" s="1612" t="n"/>
      <c r="BJ45" s="1612" t="n"/>
      <c r="BK45" s="1612" t="n"/>
      <c r="BL45" s="1612" t="n"/>
      <c r="BM45" s="1612" t="n"/>
      <c r="BN45" s="1612" t="n"/>
      <c r="BO45" s="1612" t="n"/>
      <c r="BP45" s="1612" t="n"/>
      <c r="BQ45" s="1612" t="n"/>
      <c r="BR45" s="1612" t="n"/>
      <c r="BS45" s="1612" t="n"/>
      <c r="BT45" s="1612" t="n"/>
      <c r="BU45" s="1612" t="n"/>
      <c r="BV45" s="1612" t="n"/>
      <c r="BW45" s="1612" t="n"/>
      <c r="BX45" s="1612" t="n"/>
      <c r="BY45" s="1612" t="n"/>
      <c r="BZ45" s="1788">
        <f>BZ44+1</f>
        <v/>
      </c>
      <c r="CA45" s="1789" t="inlineStr">
        <is>
          <t>A</t>
        </is>
      </c>
      <c r="CB45" s="1819" t="inlineStr">
        <is>
          <t>THAILAND</t>
        </is>
      </c>
      <c r="CC45" s="1820" t="inlineStr">
        <is>
          <t>X</t>
        </is>
      </c>
      <c r="CD45" s="1820" t="n"/>
      <c r="CE45" s="1820" t="n"/>
      <c r="CF45" s="1820" t="n"/>
      <c r="CG45" s="1793" t="inlineStr">
        <is>
          <t>.</t>
        </is>
      </c>
    </row>
    <row r="46" ht="15" customHeight="1">
      <c r="A46" s="1615" t="n"/>
      <c r="B46" s="1828" t="inlineStr">
        <is>
          <t>entries</t>
        </is>
      </c>
      <c r="C46" s="1829" t="inlineStr">
        <is>
          <t>city</t>
        </is>
      </c>
      <c r="D46" s="1827" t="inlineStr">
        <is>
          <t>82</t>
        </is>
      </c>
      <c r="E46" s="1827" t="inlineStr">
        <is>
          <t>84</t>
        </is>
      </c>
      <c r="F46" s="1827" t="inlineStr">
        <is>
          <t>87</t>
        </is>
      </c>
      <c r="G46" s="1827" t="inlineStr">
        <is>
          <t>89</t>
        </is>
      </c>
      <c r="H46" s="1827" t="inlineStr">
        <is>
          <t>95</t>
        </is>
      </c>
      <c r="I46" s="1689" t="inlineStr">
        <is>
          <t>96</t>
        </is>
      </c>
      <c r="J46" s="1689" t="inlineStr">
        <is>
          <t>97</t>
        </is>
      </c>
      <c r="K46" s="1689" t="inlineStr">
        <is>
          <t>98</t>
        </is>
      </c>
      <c r="L46" s="1827" t="inlineStr">
        <is>
          <t>99</t>
        </is>
      </c>
      <c r="M46" s="1827" t="inlineStr">
        <is>
          <t>3</t>
        </is>
      </c>
      <c r="N46" s="1689" t="inlineStr">
        <is>
          <t>4</t>
        </is>
      </c>
      <c r="O46" s="1689" t="inlineStr">
        <is>
          <t>5</t>
        </is>
      </c>
      <c r="P46" s="1689" t="inlineStr">
        <is>
          <t>6</t>
        </is>
      </c>
      <c r="Q46" s="1689" t="inlineStr">
        <is>
          <t>7</t>
        </is>
      </c>
      <c r="R46" s="1689" t="inlineStr">
        <is>
          <t>8</t>
        </is>
      </c>
      <c r="S46" s="1689" t="inlineStr">
        <is>
          <t>9</t>
        </is>
      </c>
      <c r="T46" s="1689" t="inlineStr">
        <is>
          <t>10</t>
        </is>
      </c>
      <c r="U46" s="1689" t="inlineStr">
        <is>
          <t>11</t>
        </is>
      </c>
      <c r="V46" s="1689" t="inlineStr">
        <is>
          <t>12</t>
        </is>
      </c>
      <c r="W46" s="1689" t="inlineStr">
        <is>
          <t>13</t>
        </is>
      </c>
      <c r="X46" s="1689" t="inlineStr">
        <is>
          <t>14</t>
        </is>
      </c>
      <c r="Y46" s="1689" t="inlineStr">
        <is>
          <t>15</t>
        </is>
      </c>
      <c r="Z46" s="1689" t="inlineStr">
        <is>
          <t>16</t>
        </is>
      </c>
      <c r="AA46" s="1689" t="inlineStr">
        <is>
          <t>17</t>
        </is>
      </c>
      <c r="AB46" s="1689" t="inlineStr">
        <is>
          <t>18</t>
        </is>
      </c>
      <c r="AC46" s="1689" t="inlineStr">
        <is>
          <t>19</t>
        </is>
      </c>
      <c r="AD46" s="1689" t="inlineStr">
        <is>
          <t>20</t>
        </is>
      </c>
      <c r="AE46" s="1689" t="inlineStr">
        <is>
          <t>21</t>
        </is>
      </c>
      <c r="AF46" s="1689" t="inlineStr">
        <is>
          <t>22</t>
        </is>
      </c>
      <c r="AG46" s="1689" t="inlineStr">
        <is>
          <t>23</t>
        </is>
      </c>
      <c r="AH46" s="1689" t="inlineStr">
        <is>
          <t>24</t>
        </is>
      </c>
      <c r="AI46" s="1830" t="inlineStr">
        <is>
          <t>25</t>
        </is>
      </c>
      <c r="AJ46" s="1830" t="inlineStr">
        <is>
          <t>26</t>
        </is>
      </c>
      <c r="AK46" s="1597" t="inlineStr">
        <is>
          <t>.</t>
        </is>
      </c>
      <c r="AL46" s="1612" t="n"/>
      <c r="AM46" s="1612" t="n"/>
      <c r="AN46" s="1612" t="n"/>
      <c r="AO46" s="1612" t="n"/>
      <c r="AP46" s="1612" t="n"/>
      <c r="AQ46" s="1612" t="n"/>
      <c r="AR46" s="1612" t="n"/>
      <c r="AS46" s="1612" t="n"/>
      <c r="AT46" s="1612" t="n"/>
      <c r="AU46" s="1612" t="n"/>
      <c r="AV46" s="1612" t="n"/>
      <c r="AW46" s="1612" t="n"/>
      <c r="AX46" s="1612" t="n"/>
      <c r="AY46" s="1612" t="n"/>
      <c r="AZ46" s="1612" t="n"/>
      <c r="BA46" s="1612" t="n"/>
      <c r="BB46" s="1612" t="n"/>
      <c r="BC46" s="1612" t="n"/>
      <c r="BD46" s="1612" t="n"/>
      <c r="BE46" s="1612" t="n"/>
      <c r="BF46" s="1612" t="n"/>
      <c r="BG46" s="1612" t="n"/>
      <c r="BH46" s="1612" t="n"/>
      <c r="BI46" s="1612" t="n"/>
      <c r="BJ46" s="1612" t="n"/>
      <c r="BK46" s="1612" t="n"/>
      <c r="BL46" s="1612" t="n"/>
      <c r="BM46" s="1612" t="n"/>
      <c r="BN46" s="1612" t="n"/>
      <c r="BO46" s="1612" t="n"/>
      <c r="BP46" s="1612" t="n"/>
      <c r="BQ46" s="1612" t="n"/>
      <c r="BR46" s="1612" t="n"/>
      <c r="BS46" s="1612" t="n"/>
      <c r="BT46" s="1612" t="n"/>
      <c r="BU46" s="1612" t="n"/>
      <c r="BV46" s="1612" t="n"/>
      <c r="BW46" s="1612" t="n"/>
      <c r="BX46" s="1612" t="n"/>
      <c r="BY46" s="1612" t="n"/>
      <c r="BZ46" s="1788">
        <f>BZ45+1</f>
        <v/>
      </c>
      <c r="CA46" s="1789" t="inlineStr">
        <is>
          <t>A</t>
        </is>
      </c>
      <c r="CB46" s="1819" t="inlineStr">
        <is>
          <t>UAE</t>
        </is>
      </c>
      <c r="CC46" s="1820" t="inlineStr">
        <is>
          <t>X</t>
        </is>
      </c>
      <c r="CD46" s="1820" t="n"/>
      <c r="CE46" s="1820" t="n"/>
      <c r="CF46" s="1820" t="n"/>
      <c r="CG46" s="1793" t="inlineStr">
        <is>
          <t>.</t>
        </is>
      </c>
    </row>
    <row r="47" ht="15" customHeight="1">
      <c r="A47" s="1596" t="n"/>
      <c r="B47" s="1794">
        <f>SUM(D47:AK47)</f>
        <v/>
      </c>
      <c r="C47" s="1795" t="inlineStr">
        <is>
          <t>Montreal</t>
        </is>
      </c>
      <c r="D47" s="1610">
        <f>COUNTIFS(stayCity[city],entryCity[[#This Row],[city]],stayCity[yr],D$45)</f>
        <v/>
      </c>
      <c r="E47" s="1610">
        <f>COUNTIFS(stayCity[city],entryCity[[#This Row],[city]],stayCity[yr],E$45)</f>
        <v/>
      </c>
      <c r="F47" s="1610">
        <f>COUNTIFS(stayCity[city],entryCity[[#This Row],[city]],stayCity[yr],F$45)</f>
        <v/>
      </c>
      <c r="G47" s="1610">
        <f>COUNTIFS(stayCity[city],entryCity[[#This Row],[city]],stayCity[yr],G$45)</f>
        <v/>
      </c>
      <c r="H47" s="1610">
        <f>COUNTIFS(stayCity[city],entryCity[[#This Row],[city]],stayCity[yr],H$45)</f>
        <v/>
      </c>
      <c r="I47" s="1610">
        <f>COUNTIFS(stayCity[city],entryCity[[#This Row],[city]],stayCity[yr],I$45)</f>
        <v/>
      </c>
      <c r="J47" s="1610">
        <f>COUNTIFS(stayCity[city],entryCity[[#This Row],[city]],stayCity[yr],J$45)</f>
        <v/>
      </c>
      <c r="K47" s="1610">
        <f>COUNTIFS(stayCity[city],entryCity[[#This Row],[city]],stayCity[yr],K$45)</f>
        <v/>
      </c>
      <c r="L47" s="1610">
        <f>COUNTIFS(stayCity[city],entryCity[[#This Row],[city]],stayCity[yr],L$45)</f>
        <v/>
      </c>
      <c r="M47" s="1610">
        <f>COUNTIFS(stayCity[city],entryCity[[#This Row],[city]],stayCity[yr],M$45)</f>
        <v/>
      </c>
      <c r="N47" s="1610">
        <f>COUNTIFS(stayCity[city],entryCity[[#This Row],[city]],stayCity[yr],N$45)</f>
        <v/>
      </c>
      <c r="O47" s="1610">
        <f>COUNTIFS(stayCity[city],entryCity[[#This Row],[city]],stayCity[yr],O$45)</f>
        <v/>
      </c>
      <c r="P47" s="1610">
        <f>COUNTIFS(stayCity[city],entryCity[[#This Row],[city]],stayCity[yr],P$45)</f>
        <v/>
      </c>
      <c r="Q47" s="1610">
        <f>COUNTIFS(stayCity[city],entryCity[[#This Row],[city]],stayCity[yr],Q$45)</f>
        <v/>
      </c>
      <c r="R47" s="1610">
        <f>COUNTIFS(stayCity[city],entryCity[[#This Row],[city]],stayCity[yr],R$45)</f>
        <v/>
      </c>
      <c r="S47" s="1610">
        <f>COUNTIFS(stayCity[city],entryCity[[#This Row],[city]],stayCity[yr],S$45)</f>
        <v/>
      </c>
      <c r="T47" s="1610">
        <f>COUNTIFS(stayCity[city],entryCity[[#This Row],[city]],stayCity[yr],T$45)</f>
        <v/>
      </c>
      <c r="U47" s="1610">
        <f>COUNTIFS(stayCity[city],entryCity[[#This Row],[city]],stayCity[yr],U$45)</f>
        <v/>
      </c>
      <c r="V47" s="1610">
        <f>COUNTIFS(stayCity[city],entryCity[[#This Row],[city]],stayCity[yr],V$45)</f>
        <v/>
      </c>
      <c r="W47" s="1610">
        <f>COUNTIFS(stayCity[city],entryCity[[#This Row],[city]],stayCity[yr],W$45)</f>
        <v/>
      </c>
      <c r="X47" s="1610">
        <f>COUNTIFS(stayCity[city],entryCity[[#This Row],[city]],stayCity[yr],X$45)</f>
        <v/>
      </c>
      <c r="Y47" s="1610">
        <f>COUNTIFS(stayCity[city],entryCity[[#This Row],[city]],stayCity[yr],Y$45)</f>
        <v/>
      </c>
      <c r="Z47" s="1610">
        <f>COUNTIFS(stayCity[city],entryCity[[#This Row],[city]],stayCity[yr],Z$45)</f>
        <v/>
      </c>
      <c r="AA47" s="1610">
        <f>COUNTIFS(stayCity[city],entryCity[[#This Row],[city]],stayCity[yr],AA$45)</f>
        <v/>
      </c>
      <c r="AB47" s="1610">
        <f>COUNTIFS(stayCity[city],entryCity[[#This Row],[city]],stayCity[yr],AB$45)</f>
        <v/>
      </c>
      <c r="AC47" s="1610">
        <f>COUNTIFS(stayCity[city],entryCity[[#This Row],[city]],stayCity[yr],AC$45)</f>
        <v/>
      </c>
      <c r="AD47" s="1610">
        <f>COUNTIFS(stayCity[city],entryCity[[#This Row],[city]],stayCity[yr],AD$45)</f>
        <v/>
      </c>
      <c r="AE47" s="1610">
        <f>COUNTIFS(stayCity[city],entryCity[[#This Row],[city]],stayCity[yr],AE$45)</f>
        <v/>
      </c>
      <c r="AF47" s="1610">
        <f>COUNTIFS(stayCity[city],entryCity[[#This Row],[city]],stayCity[yr],AF$45)</f>
        <v/>
      </c>
      <c r="AG47" s="1610">
        <f>COUNTIFS(stayCity[city],entryCity[[#This Row],[city]],stayCity[yr],AG$45)</f>
        <v/>
      </c>
      <c r="AH47" s="1610">
        <f>COUNTIFS(stayCity[city],entryCity[[#This Row],[city]],stayCity[yr],AH$45)</f>
        <v/>
      </c>
      <c r="AI47" s="1610">
        <f>COUNTIFS(stayCity[city],entryCity[[#This Row],[city]],stayCity[yr],AI$45)</f>
        <v/>
      </c>
      <c r="AJ47" s="1610">
        <f>COUNTIFS(stayCity[city],entryCity[[#This Row],[city]],stayCity[yr],AJ$45)</f>
        <v/>
      </c>
      <c r="AK47" s="1597" t="inlineStr">
        <is>
          <t>.</t>
        </is>
      </c>
      <c r="AL47" s="1612" t="n"/>
      <c r="AM47" s="1612" t="n"/>
      <c r="AN47" s="1612" t="n"/>
      <c r="AO47" s="1612" t="n"/>
      <c r="AP47" s="1612" t="n"/>
      <c r="AQ47" s="1612" t="n"/>
      <c r="AR47" s="1612" t="n"/>
      <c r="AS47" s="1612" t="n"/>
      <c r="AT47" s="1612" t="n"/>
      <c r="AU47" s="1612" t="n"/>
      <c r="AV47" s="1612" t="n"/>
      <c r="AW47" s="1612" t="n"/>
      <c r="AX47" s="1612" t="n"/>
      <c r="AY47" s="1612" t="n"/>
      <c r="AZ47" s="1612" t="n"/>
      <c r="BA47" s="1612" t="n"/>
      <c r="BB47" s="1612" t="n"/>
      <c r="BC47" s="1612" t="n"/>
      <c r="BD47" s="1612" t="n"/>
      <c r="BE47" s="1612" t="n"/>
      <c r="BF47" s="1612" t="n"/>
      <c r="BG47" s="1612" t="n"/>
      <c r="BH47" s="1612" t="n"/>
      <c r="BI47" s="1612" t="n"/>
      <c r="BJ47" s="1612" t="n"/>
      <c r="BK47" s="1612" t="n"/>
      <c r="BL47" s="1612" t="n"/>
      <c r="BM47" s="1612" t="n"/>
      <c r="BN47" s="1612" t="n"/>
      <c r="BO47" s="1612" t="n"/>
      <c r="BP47" s="1612" t="n"/>
      <c r="BQ47" s="1612" t="n"/>
      <c r="BR47" s="1612" t="n"/>
      <c r="BS47" s="1612" t="n"/>
      <c r="BT47" s="1612" t="n"/>
      <c r="BU47" s="1612" t="n"/>
      <c r="BV47" s="1612" t="n"/>
      <c r="BW47" s="1612" t="n"/>
      <c r="BX47" s="1612" t="n"/>
      <c r="BY47" s="1612" t="n"/>
      <c r="BZ47" s="1612" t="n"/>
      <c r="CA47" s="1612" t="n"/>
      <c r="CB47" s="1612" t="n"/>
      <c r="CC47" s="1612" t="n"/>
      <c r="CD47" s="1612" t="n"/>
      <c r="CE47" s="1612" t="n"/>
      <c r="CF47" s="1612" t="n"/>
      <c r="CG47" s="1612" t="n"/>
    </row>
    <row r="48" ht="15" customHeight="1">
      <c r="A48" s="1615" t="n"/>
      <c r="B48" s="1781">
        <f>SUM(D48:AK48)</f>
        <v/>
      </c>
      <c r="C48" s="1782" t="inlineStr">
        <is>
          <t>London</t>
        </is>
      </c>
      <c r="D48" s="1610">
        <f>COUNTIFS(stayCity[city],entryCity[[#This Row],[city]],stayCity[yr],D$45)</f>
        <v/>
      </c>
      <c r="E48" s="1610">
        <f>COUNTIFS(stayCity[city],entryCity[[#This Row],[city]],stayCity[yr],E$45)</f>
        <v/>
      </c>
      <c r="F48" s="1610">
        <f>COUNTIFS(stayCity[city],entryCity[[#This Row],[city]],stayCity[yr],F$45)</f>
        <v/>
      </c>
      <c r="G48" s="1610">
        <f>COUNTIFS(stayCity[city],entryCity[[#This Row],[city]],stayCity[yr],G$45)</f>
        <v/>
      </c>
      <c r="H48" s="1610">
        <f>COUNTIFS(stayCity[city],entryCity[[#This Row],[city]],stayCity[yr],H$45)</f>
        <v/>
      </c>
      <c r="I48" s="1610">
        <f>COUNTIFS(stayCity[city],entryCity[[#This Row],[city]],stayCity[yr],I$45)</f>
        <v/>
      </c>
      <c r="J48" s="1610">
        <f>COUNTIFS(stayCity[city],entryCity[[#This Row],[city]],stayCity[yr],J$45)</f>
        <v/>
      </c>
      <c r="K48" s="1610">
        <f>COUNTIFS(stayCity[city],entryCity[[#This Row],[city]],stayCity[yr],K$45)</f>
        <v/>
      </c>
      <c r="L48" s="1610">
        <f>COUNTIFS(stayCity[city],entryCity[[#This Row],[city]],stayCity[yr],L$45)</f>
        <v/>
      </c>
      <c r="M48" s="1610">
        <f>COUNTIFS(stayCity[city],entryCity[[#This Row],[city]],stayCity[yr],M$45)</f>
        <v/>
      </c>
      <c r="N48" s="1610">
        <f>COUNTIFS(stayCity[city],entryCity[[#This Row],[city]],stayCity[yr],N$45)</f>
        <v/>
      </c>
      <c r="O48" s="1610">
        <f>COUNTIFS(stayCity[city],entryCity[[#This Row],[city]],stayCity[yr],O$45)</f>
        <v/>
      </c>
      <c r="P48" s="1610">
        <f>COUNTIFS(stayCity[city],entryCity[[#This Row],[city]],stayCity[yr],P$45)</f>
        <v/>
      </c>
      <c r="Q48" s="1610">
        <f>COUNTIFS(stayCity[city],entryCity[[#This Row],[city]],stayCity[yr],Q$45)</f>
        <v/>
      </c>
      <c r="R48" s="1610">
        <f>COUNTIFS(stayCity[city],entryCity[[#This Row],[city]],stayCity[yr],R$45)</f>
        <v/>
      </c>
      <c r="S48" s="1610">
        <f>COUNTIFS(stayCity[city],entryCity[[#This Row],[city]],stayCity[yr],S$45)</f>
        <v/>
      </c>
      <c r="T48" s="1610">
        <f>COUNTIFS(stayCity[city],entryCity[[#This Row],[city]],stayCity[yr],T$45)</f>
        <v/>
      </c>
      <c r="U48" s="1610">
        <f>COUNTIFS(stayCity[city],entryCity[[#This Row],[city]],stayCity[yr],U$45)</f>
        <v/>
      </c>
      <c r="V48" s="1610">
        <f>COUNTIFS(stayCity[city],entryCity[[#This Row],[city]],stayCity[yr],V$45)</f>
        <v/>
      </c>
      <c r="W48" s="1610">
        <f>COUNTIFS(stayCity[city],entryCity[[#This Row],[city]],stayCity[yr],W$45)</f>
        <v/>
      </c>
      <c r="X48" s="1610">
        <f>COUNTIFS(stayCity[city],entryCity[[#This Row],[city]],stayCity[yr],X$45)</f>
        <v/>
      </c>
      <c r="Y48" s="1610">
        <f>COUNTIFS(stayCity[city],entryCity[[#This Row],[city]],stayCity[yr],Y$45)</f>
        <v/>
      </c>
      <c r="Z48" s="1610">
        <f>COUNTIFS(stayCity[city],entryCity[[#This Row],[city]],stayCity[yr],Z$45)</f>
        <v/>
      </c>
      <c r="AA48" s="1610">
        <f>COUNTIFS(stayCity[city],entryCity[[#This Row],[city]],stayCity[yr],AA$45)</f>
        <v/>
      </c>
      <c r="AB48" s="1610">
        <f>COUNTIFS(stayCity[city],entryCity[[#This Row],[city]],stayCity[yr],AB$45)</f>
        <v/>
      </c>
      <c r="AC48" s="1610">
        <f>COUNTIFS(stayCity[city],entryCity[[#This Row],[city]],stayCity[yr],AC$45)</f>
        <v/>
      </c>
      <c r="AD48" s="1610">
        <f>COUNTIFS(stayCity[city],entryCity[[#This Row],[city]],stayCity[yr],AD$45)</f>
        <v/>
      </c>
      <c r="AE48" s="1610">
        <f>COUNTIFS(stayCity[city],entryCity[[#This Row],[city]],stayCity[yr],AE$45)</f>
        <v/>
      </c>
      <c r="AF48" s="1610">
        <f>COUNTIFS(stayCity[city],entryCity[[#This Row],[city]],stayCity[yr],AF$45)</f>
        <v/>
      </c>
      <c r="AG48" s="1610">
        <f>COUNTIFS(stayCity[city],entryCity[[#This Row],[city]],stayCity[yr],AG$45)</f>
        <v/>
      </c>
      <c r="AH48" s="1610">
        <f>COUNTIFS(stayCity[city],entryCity[[#This Row],[city]],stayCity[yr],AH$45)</f>
        <v/>
      </c>
      <c r="AI48" s="1610">
        <f>COUNTIFS(stayCity[city],entryCity[[#This Row],[city]],stayCity[yr],AI$45)</f>
        <v/>
      </c>
      <c r="AJ48" s="1610">
        <f>COUNTIFS(stayCity[city],entryCity[[#This Row],[city]],stayCity[yr],AJ$45)</f>
        <v/>
      </c>
      <c r="AK48" s="1597" t="inlineStr">
        <is>
          <t>.</t>
        </is>
      </c>
      <c r="AL48" s="1612" t="n"/>
      <c r="AM48" s="1612" t="n"/>
      <c r="AN48" s="1612" t="n"/>
      <c r="AO48" s="1612" t="n"/>
      <c r="AP48" s="1612" t="n"/>
      <c r="AQ48" s="1612" t="n"/>
      <c r="AR48" s="1612" t="n"/>
      <c r="AS48" s="1612" t="n"/>
      <c r="AT48" s="1612" t="n"/>
      <c r="AU48" s="1612" t="n"/>
      <c r="AV48" s="1612" t="n"/>
      <c r="AW48" s="1612" t="n"/>
      <c r="AX48" s="1612" t="n"/>
      <c r="AY48" s="1612" t="n"/>
      <c r="AZ48" s="1612" t="n"/>
      <c r="BA48" s="1612" t="n"/>
      <c r="BB48" s="1612" t="n"/>
      <c r="BC48" s="1612" t="n"/>
      <c r="BD48" s="1612" t="n"/>
      <c r="BE48" s="1612" t="n"/>
      <c r="BF48" s="1612" t="n"/>
      <c r="BG48" s="1612" t="n"/>
      <c r="BH48" s="1612" t="n"/>
      <c r="BI48" s="1612" t="n"/>
      <c r="BJ48" s="1612" t="n"/>
      <c r="BK48" s="1612" t="n"/>
      <c r="BL48" s="1612" t="n"/>
      <c r="BM48" s="1612" t="n"/>
      <c r="BN48" s="1612" t="n"/>
      <c r="BO48" s="1612" t="n"/>
      <c r="BP48" s="1612" t="n"/>
      <c r="BQ48" s="1612" t="n"/>
      <c r="BR48" s="1612" t="n"/>
      <c r="BS48" s="1612" t="n"/>
      <c r="BT48" s="1612" t="n"/>
      <c r="BU48" s="1612" t="n"/>
      <c r="BV48" s="1612" t="n"/>
      <c r="BW48" s="1612" t="n"/>
      <c r="BX48" s="1612" t="n"/>
      <c r="BY48" s="1612" t="n"/>
      <c r="BZ48" s="1612" t="n"/>
      <c r="CA48" s="1612" t="n"/>
      <c r="CB48" s="1612" t="n"/>
      <c r="CC48" s="1612" t="n"/>
      <c r="CD48" s="1612" t="n"/>
      <c r="CE48" s="1612" t="n"/>
      <c r="CF48" s="1612" t="n"/>
      <c r="CG48" s="1612" t="n"/>
    </row>
    <row r="49" ht="15" customHeight="1">
      <c r="A49" s="1596" t="n"/>
      <c r="B49" s="1794">
        <f>SUM(D49:AK49)</f>
        <v/>
      </c>
      <c r="C49" s="1795" t="inlineStr">
        <is>
          <t>Paris</t>
        </is>
      </c>
      <c r="D49" s="1610">
        <f>COUNTIFS(stayCity[city],entryCity[[#This Row],[city]],stayCity[yr],D$45)</f>
        <v/>
      </c>
      <c r="E49" s="1610">
        <f>COUNTIFS(stayCity[city],entryCity[[#This Row],[city]],stayCity[yr],E$45)</f>
        <v/>
      </c>
      <c r="F49" s="1610">
        <f>COUNTIFS(stayCity[city],entryCity[[#This Row],[city]],stayCity[yr],F$45)</f>
        <v/>
      </c>
      <c r="G49" s="1610">
        <f>COUNTIFS(stayCity[city],entryCity[[#This Row],[city]],stayCity[yr],G$45)</f>
        <v/>
      </c>
      <c r="H49" s="1610">
        <f>COUNTIFS(stayCity[city],entryCity[[#This Row],[city]],stayCity[yr],H$45)</f>
        <v/>
      </c>
      <c r="I49" s="1610">
        <f>COUNTIFS(stayCity[city],entryCity[[#This Row],[city]],stayCity[yr],I$45)</f>
        <v/>
      </c>
      <c r="J49" s="1610">
        <f>COUNTIFS(stayCity[city],entryCity[[#This Row],[city]],stayCity[yr],J$45)</f>
        <v/>
      </c>
      <c r="K49" s="1610">
        <f>COUNTIFS(stayCity[city],entryCity[[#This Row],[city]],stayCity[yr],K$45)</f>
        <v/>
      </c>
      <c r="L49" s="1610">
        <f>COUNTIFS(stayCity[city],entryCity[[#This Row],[city]],stayCity[yr],L$45)</f>
        <v/>
      </c>
      <c r="M49" s="1610">
        <f>COUNTIFS(stayCity[city],entryCity[[#This Row],[city]],stayCity[yr],M$45)</f>
        <v/>
      </c>
      <c r="N49" s="1610">
        <f>COUNTIFS(stayCity[city],entryCity[[#This Row],[city]],stayCity[yr],N$45)</f>
        <v/>
      </c>
      <c r="O49" s="1610">
        <f>COUNTIFS(stayCity[city],entryCity[[#This Row],[city]],stayCity[yr],O$45)</f>
        <v/>
      </c>
      <c r="P49" s="1610">
        <f>COUNTIFS(stayCity[city],entryCity[[#This Row],[city]],stayCity[yr],P$45)</f>
        <v/>
      </c>
      <c r="Q49" s="1610">
        <f>COUNTIFS(stayCity[city],entryCity[[#This Row],[city]],stayCity[yr],Q$45)</f>
        <v/>
      </c>
      <c r="R49" s="1610">
        <f>COUNTIFS(stayCity[city],entryCity[[#This Row],[city]],stayCity[yr],R$45)</f>
        <v/>
      </c>
      <c r="S49" s="1610">
        <f>COUNTIFS(stayCity[city],entryCity[[#This Row],[city]],stayCity[yr],S$45)</f>
        <v/>
      </c>
      <c r="T49" s="1610">
        <f>COUNTIFS(stayCity[city],entryCity[[#This Row],[city]],stayCity[yr],T$45)</f>
        <v/>
      </c>
      <c r="U49" s="1610">
        <f>COUNTIFS(stayCity[city],entryCity[[#This Row],[city]],stayCity[yr],U$45)</f>
        <v/>
      </c>
      <c r="V49" s="1610">
        <f>COUNTIFS(stayCity[city],entryCity[[#This Row],[city]],stayCity[yr],V$45)</f>
        <v/>
      </c>
      <c r="W49" s="1610">
        <f>COUNTIFS(stayCity[city],entryCity[[#This Row],[city]],stayCity[yr],W$45)</f>
        <v/>
      </c>
      <c r="X49" s="1610">
        <f>COUNTIFS(stayCity[city],entryCity[[#This Row],[city]],stayCity[yr],X$45)</f>
        <v/>
      </c>
      <c r="Y49" s="1610">
        <f>COUNTIFS(stayCity[city],entryCity[[#This Row],[city]],stayCity[yr],Y$45)</f>
        <v/>
      </c>
      <c r="Z49" s="1610">
        <f>COUNTIFS(stayCity[city],entryCity[[#This Row],[city]],stayCity[yr],Z$45)</f>
        <v/>
      </c>
      <c r="AA49" s="1610">
        <f>COUNTIFS(stayCity[city],entryCity[[#This Row],[city]],stayCity[yr],AA$45)</f>
        <v/>
      </c>
      <c r="AB49" s="1610">
        <f>COUNTIFS(stayCity[city],entryCity[[#This Row],[city]],stayCity[yr],AB$45)</f>
        <v/>
      </c>
      <c r="AC49" s="1610">
        <f>COUNTIFS(stayCity[city],entryCity[[#This Row],[city]],stayCity[yr],AC$45)</f>
        <v/>
      </c>
      <c r="AD49" s="1610">
        <f>COUNTIFS(stayCity[city],entryCity[[#This Row],[city]],stayCity[yr],AD$45)</f>
        <v/>
      </c>
      <c r="AE49" s="1610">
        <f>COUNTIFS(stayCity[city],entryCity[[#This Row],[city]],stayCity[yr],AE$45)</f>
        <v/>
      </c>
      <c r="AF49" s="1610">
        <f>COUNTIFS(stayCity[city],entryCity[[#This Row],[city]],stayCity[yr],AF$45)</f>
        <v/>
      </c>
      <c r="AG49" s="1610">
        <f>COUNTIFS(stayCity[city],entryCity[[#This Row],[city]],stayCity[yr],AG$45)</f>
        <v/>
      </c>
      <c r="AH49" s="1610">
        <f>COUNTIFS(stayCity[city],entryCity[[#This Row],[city]],stayCity[yr],AH$45)</f>
        <v/>
      </c>
      <c r="AI49" s="1610">
        <f>COUNTIFS(stayCity[city],entryCity[[#This Row],[city]],stayCity[yr],AI$45)</f>
        <v/>
      </c>
      <c r="AJ49" s="1610">
        <f>COUNTIFS(stayCity[city],entryCity[[#This Row],[city]],stayCity[yr],AJ$45)</f>
        <v/>
      </c>
      <c r="AK49" s="1597" t="inlineStr">
        <is>
          <t>.</t>
        </is>
      </c>
      <c r="AL49" s="1612" t="n"/>
      <c r="AM49" s="1612" t="n"/>
      <c r="AN49" s="1612" t="n"/>
      <c r="AO49" s="1612" t="n"/>
      <c r="AP49" s="1612" t="n"/>
      <c r="AQ49" s="1612" t="n"/>
      <c r="AR49" s="1612" t="n"/>
      <c r="AS49" s="1612" t="n"/>
      <c r="AT49" s="1612" t="n"/>
      <c r="AU49" s="1612" t="n"/>
      <c r="AV49" s="1612" t="n"/>
      <c r="AW49" s="1612" t="n"/>
      <c r="AX49" s="1612" t="n"/>
      <c r="AY49" s="1612" t="n"/>
      <c r="AZ49" s="1612" t="n"/>
      <c r="BA49" s="1612" t="n"/>
      <c r="BB49" s="1612" t="n"/>
      <c r="BC49" s="1612" t="n"/>
      <c r="BD49" s="1612" t="n"/>
      <c r="BE49" s="1612" t="n"/>
      <c r="BF49" s="1612" t="n"/>
      <c r="BG49" s="1612" t="n"/>
      <c r="BH49" s="1612" t="n"/>
      <c r="BI49" s="1612" t="n"/>
      <c r="BJ49" s="1612" t="n"/>
      <c r="BK49" s="1612" t="n"/>
      <c r="BL49" s="1612" t="n"/>
      <c r="BM49" s="1612" t="n"/>
      <c r="BN49" s="1612" t="n"/>
      <c r="BO49" s="1612" t="n"/>
      <c r="BP49" s="1612" t="n"/>
      <c r="BQ49" s="1612" t="n"/>
      <c r="BR49" s="1612" t="n"/>
      <c r="BS49" s="1612" t="n"/>
      <c r="BT49" s="1612" t="n"/>
      <c r="BU49" s="1612" t="n"/>
      <c r="BV49" s="1612" t="n"/>
      <c r="BW49" s="1612" t="n"/>
      <c r="BX49" s="1612" t="n"/>
      <c r="BY49" s="1612" t="n"/>
      <c r="BZ49" s="1612" t="n"/>
      <c r="CA49" s="1612" t="n"/>
      <c r="CB49" s="1612" t="n"/>
      <c r="CC49" s="1612" t="n"/>
      <c r="CD49" s="1612" t="n"/>
      <c r="CE49" s="1612" t="n"/>
      <c r="CF49" s="1612" t="n"/>
      <c r="CG49" s="1612" t="n"/>
    </row>
    <row r="50" ht="15" customHeight="1">
      <c r="A50" s="1615" t="n"/>
      <c r="B50" s="1781">
        <f>SUM(D50:AK50)</f>
        <v/>
      </c>
      <c r="C50" s="1782" t="inlineStr">
        <is>
          <t>Porto</t>
        </is>
      </c>
      <c r="D50" s="1610">
        <f>COUNTIFS(stayCity[city],entryCity[[#This Row],[city]],stayCity[yr],D$45)</f>
        <v/>
      </c>
      <c r="E50" s="1610">
        <f>COUNTIFS(stayCity[city],entryCity[[#This Row],[city]],stayCity[yr],E$45)</f>
        <v/>
      </c>
      <c r="F50" s="1610">
        <f>COUNTIFS(stayCity[city],entryCity[[#This Row],[city]],stayCity[yr],F$45)</f>
        <v/>
      </c>
      <c r="G50" s="1610">
        <f>COUNTIFS(stayCity[city],entryCity[[#This Row],[city]],stayCity[yr],G$45)</f>
        <v/>
      </c>
      <c r="H50" s="1610">
        <f>COUNTIFS(stayCity[city],entryCity[[#This Row],[city]],stayCity[yr],H$45)</f>
        <v/>
      </c>
      <c r="I50" s="1610">
        <f>COUNTIFS(stayCity[city],entryCity[[#This Row],[city]],stayCity[yr],I$45)</f>
        <v/>
      </c>
      <c r="J50" s="1610">
        <f>COUNTIFS(stayCity[city],entryCity[[#This Row],[city]],stayCity[yr],J$45)</f>
        <v/>
      </c>
      <c r="K50" s="1610">
        <f>COUNTIFS(stayCity[city],entryCity[[#This Row],[city]],stayCity[yr],K$45)</f>
        <v/>
      </c>
      <c r="L50" s="1610">
        <f>COUNTIFS(stayCity[city],entryCity[[#This Row],[city]],stayCity[yr],L$45)</f>
        <v/>
      </c>
      <c r="M50" s="1610">
        <f>COUNTIFS(stayCity[city],entryCity[[#This Row],[city]],stayCity[yr],M$45)</f>
        <v/>
      </c>
      <c r="N50" s="1610">
        <f>COUNTIFS(stayCity[city],entryCity[[#This Row],[city]],stayCity[yr],N$45)</f>
        <v/>
      </c>
      <c r="O50" s="1610">
        <f>COUNTIFS(stayCity[city],entryCity[[#This Row],[city]],stayCity[yr],O$45)</f>
        <v/>
      </c>
      <c r="P50" s="1610">
        <f>COUNTIFS(stayCity[city],entryCity[[#This Row],[city]],stayCity[yr],P$45)</f>
        <v/>
      </c>
      <c r="Q50" s="1610">
        <f>COUNTIFS(stayCity[city],entryCity[[#This Row],[city]],stayCity[yr],Q$45)</f>
        <v/>
      </c>
      <c r="R50" s="1610">
        <f>COUNTIFS(stayCity[city],entryCity[[#This Row],[city]],stayCity[yr],R$45)</f>
        <v/>
      </c>
      <c r="S50" s="1610">
        <f>COUNTIFS(stayCity[city],entryCity[[#This Row],[city]],stayCity[yr],S$45)</f>
        <v/>
      </c>
      <c r="T50" s="1610">
        <f>COUNTIFS(stayCity[city],entryCity[[#This Row],[city]],stayCity[yr],T$45)</f>
        <v/>
      </c>
      <c r="U50" s="1610">
        <f>COUNTIFS(stayCity[city],entryCity[[#This Row],[city]],stayCity[yr],U$45)</f>
        <v/>
      </c>
      <c r="V50" s="1610">
        <f>COUNTIFS(stayCity[city],entryCity[[#This Row],[city]],stayCity[yr],V$45)</f>
        <v/>
      </c>
      <c r="W50" s="1610">
        <f>COUNTIFS(stayCity[city],entryCity[[#This Row],[city]],stayCity[yr],W$45)</f>
        <v/>
      </c>
      <c r="X50" s="1610">
        <f>COUNTIFS(stayCity[city],entryCity[[#This Row],[city]],stayCity[yr],X$45)</f>
        <v/>
      </c>
      <c r="Y50" s="1610">
        <f>COUNTIFS(stayCity[city],entryCity[[#This Row],[city]],stayCity[yr],Y$45)</f>
        <v/>
      </c>
      <c r="Z50" s="1610">
        <f>COUNTIFS(stayCity[city],entryCity[[#This Row],[city]],stayCity[yr],Z$45)</f>
        <v/>
      </c>
      <c r="AA50" s="1610">
        <f>COUNTIFS(stayCity[city],entryCity[[#This Row],[city]],stayCity[yr],AA$45)</f>
        <v/>
      </c>
      <c r="AB50" s="1610">
        <f>COUNTIFS(stayCity[city],entryCity[[#This Row],[city]],stayCity[yr],AB$45)</f>
        <v/>
      </c>
      <c r="AC50" s="1610">
        <f>COUNTIFS(stayCity[city],entryCity[[#This Row],[city]],stayCity[yr],AC$45)</f>
        <v/>
      </c>
      <c r="AD50" s="1610">
        <f>COUNTIFS(stayCity[city],entryCity[[#This Row],[city]],stayCity[yr],AD$45)</f>
        <v/>
      </c>
      <c r="AE50" s="1610">
        <f>COUNTIFS(stayCity[city],entryCity[[#This Row],[city]],stayCity[yr],AE$45)</f>
        <v/>
      </c>
      <c r="AF50" s="1610">
        <f>COUNTIFS(stayCity[city],entryCity[[#This Row],[city]],stayCity[yr],AF$45)</f>
        <v/>
      </c>
      <c r="AG50" s="1610">
        <f>COUNTIFS(stayCity[city],entryCity[[#This Row],[city]],stayCity[yr],AG$45)</f>
        <v/>
      </c>
      <c r="AH50" s="1610">
        <f>COUNTIFS(stayCity[city],entryCity[[#This Row],[city]],stayCity[yr],AH$45)</f>
        <v/>
      </c>
      <c r="AI50" s="1610">
        <f>COUNTIFS(stayCity[city],entryCity[[#This Row],[city]],stayCity[yr],AI$45)</f>
        <v/>
      </c>
      <c r="AJ50" s="1610">
        <f>COUNTIFS(stayCity[city],entryCity[[#This Row],[city]],stayCity[yr],AJ$45)</f>
        <v/>
      </c>
      <c r="AK50" s="1597" t="inlineStr">
        <is>
          <t>.</t>
        </is>
      </c>
      <c r="AL50" s="1612" t="n"/>
      <c r="AM50" s="1612" t="n"/>
      <c r="AN50" s="1612" t="n"/>
      <c r="AO50" s="1612" t="n"/>
      <c r="AP50" s="1612" t="n"/>
      <c r="AQ50" s="1612" t="n"/>
      <c r="AR50" s="1612" t="n"/>
      <c r="AS50" s="1612" t="n"/>
      <c r="AT50" s="1612" t="n"/>
      <c r="AU50" s="1612" t="n"/>
      <c r="AV50" s="1612" t="n"/>
      <c r="AW50" s="1612" t="n"/>
      <c r="AX50" s="1612" t="n"/>
      <c r="AY50" s="1612" t="n"/>
      <c r="AZ50" s="1612" t="n"/>
      <c r="BA50" s="1612" t="n"/>
      <c r="BB50" s="1612" t="n"/>
      <c r="BC50" s="1612" t="n"/>
      <c r="BD50" s="1612" t="n"/>
      <c r="BE50" s="1612" t="n"/>
      <c r="BF50" s="1612" t="n"/>
      <c r="BG50" s="1612" t="n"/>
      <c r="BH50" s="1612" t="n"/>
      <c r="BI50" s="1612" t="n"/>
      <c r="BJ50" s="1612" t="n"/>
      <c r="BK50" s="1612" t="n"/>
      <c r="BL50" s="1612" t="n"/>
      <c r="BM50" s="1612" t="n"/>
      <c r="BN50" s="1612" t="n"/>
      <c r="BO50" s="1612" t="n"/>
      <c r="BP50" s="1612" t="n"/>
      <c r="BQ50" s="1612" t="n"/>
      <c r="BR50" s="1612" t="n"/>
      <c r="BS50" s="1612" t="n"/>
      <c r="BT50" s="1612" t="n"/>
      <c r="BU50" s="1612" t="n"/>
      <c r="BV50" s="1612" t="n"/>
      <c r="BW50" s="1612" t="n"/>
      <c r="BX50" s="1612" t="n"/>
      <c r="BY50" s="1612" t="n"/>
      <c r="BZ50" s="1612" t="n"/>
      <c r="CA50" s="1612" t="n"/>
      <c r="CB50" s="1612" t="n"/>
      <c r="CC50" s="1612" t="n"/>
      <c r="CD50" s="1612" t="n"/>
      <c r="CE50" s="1612" t="n"/>
      <c r="CF50" s="1612" t="n"/>
      <c r="CG50" s="1612" t="n"/>
    </row>
    <row r="51" ht="15" customHeight="1">
      <c r="A51" s="1596" t="n"/>
      <c r="B51" s="1794">
        <f>SUM(D51:AK51)</f>
        <v/>
      </c>
      <c r="C51" s="1795" t="inlineStr">
        <is>
          <t>Orlando</t>
        </is>
      </c>
      <c r="D51" s="1610">
        <f>COUNTIFS(stayCity[city],entryCity[[#This Row],[city]],stayCity[yr],D$45)</f>
        <v/>
      </c>
      <c r="E51" s="1610">
        <f>COUNTIFS(stayCity[city],entryCity[[#This Row],[city]],stayCity[yr],E$45)</f>
        <v/>
      </c>
      <c r="F51" s="1610">
        <f>COUNTIFS(stayCity[city],entryCity[[#This Row],[city]],stayCity[yr],F$45)</f>
        <v/>
      </c>
      <c r="G51" s="1610">
        <f>COUNTIFS(stayCity[city],entryCity[[#This Row],[city]],stayCity[yr],G$45)</f>
        <v/>
      </c>
      <c r="H51" s="1610">
        <f>COUNTIFS(stayCity[city],entryCity[[#This Row],[city]],stayCity[yr],H$45)</f>
        <v/>
      </c>
      <c r="I51" s="1610">
        <f>COUNTIFS(stayCity[city],entryCity[[#This Row],[city]],stayCity[yr],I$45)</f>
        <v/>
      </c>
      <c r="J51" s="1610">
        <f>COUNTIFS(stayCity[city],entryCity[[#This Row],[city]],stayCity[yr],J$45)</f>
        <v/>
      </c>
      <c r="K51" s="1610">
        <f>COUNTIFS(stayCity[city],entryCity[[#This Row],[city]],stayCity[yr],K$45)</f>
        <v/>
      </c>
      <c r="L51" s="1610">
        <f>COUNTIFS(stayCity[city],entryCity[[#This Row],[city]],stayCity[yr],L$45)</f>
        <v/>
      </c>
      <c r="M51" s="1610">
        <f>COUNTIFS(stayCity[city],entryCity[[#This Row],[city]],stayCity[yr],M$45)</f>
        <v/>
      </c>
      <c r="N51" s="1610">
        <f>COUNTIFS(stayCity[city],entryCity[[#This Row],[city]],stayCity[yr],N$45)</f>
        <v/>
      </c>
      <c r="O51" s="1610">
        <f>COUNTIFS(stayCity[city],entryCity[[#This Row],[city]],stayCity[yr],O$45)</f>
        <v/>
      </c>
      <c r="P51" s="1610">
        <f>COUNTIFS(stayCity[city],entryCity[[#This Row],[city]],stayCity[yr],P$45)</f>
        <v/>
      </c>
      <c r="Q51" s="1610">
        <f>COUNTIFS(stayCity[city],entryCity[[#This Row],[city]],stayCity[yr],Q$45)</f>
        <v/>
      </c>
      <c r="R51" s="1610">
        <f>COUNTIFS(stayCity[city],entryCity[[#This Row],[city]],stayCity[yr],R$45)</f>
        <v/>
      </c>
      <c r="S51" s="1610">
        <f>COUNTIFS(stayCity[city],entryCity[[#This Row],[city]],stayCity[yr],S$45)</f>
        <v/>
      </c>
      <c r="T51" s="1610">
        <f>COUNTIFS(stayCity[city],entryCity[[#This Row],[city]],stayCity[yr],T$45)</f>
        <v/>
      </c>
      <c r="U51" s="1610">
        <f>COUNTIFS(stayCity[city],entryCity[[#This Row],[city]],stayCity[yr],U$45)</f>
        <v/>
      </c>
      <c r="V51" s="1610">
        <f>COUNTIFS(stayCity[city],entryCity[[#This Row],[city]],stayCity[yr],V$45)</f>
        <v/>
      </c>
      <c r="W51" s="1610">
        <f>COUNTIFS(stayCity[city],entryCity[[#This Row],[city]],stayCity[yr],W$45)</f>
        <v/>
      </c>
      <c r="X51" s="1610">
        <f>COUNTIFS(stayCity[city],entryCity[[#This Row],[city]],stayCity[yr],X$45)</f>
        <v/>
      </c>
      <c r="Y51" s="1610">
        <f>COUNTIFS(stayCity[city],entryCity[[#This Row],[city]],stayCity[yr],Y$45)</f>
        <v/>
      </c>
      <c r="Z51" s="1610">
        <f>COUNTIFS(stayCity[city],entryCity[[#This Row],[city]],stayCity[yr],Z$45)</f>
        <v/>
      </c>
      <c r="AA51" s="1610">
        <f>COUNTIFS(stayCity[city],entryCity[[#This Row],[city]],stayCity[yr],AA$45)</f>
        <v/>
      </c>
      <c r="AB51" s="1610">
        <f>COUNTIFS(stayCity[city],entryCity[[#This Row],[city]],stayCity[yr],AB$45)</f>
        <v/>
      </c>
      <c r="AC51" s="1610">
        <f>COUNTIFS(stayCity[city],entryCity[[#This Row],[city]],stayCity[yr],AC$45)</f>
        <v/>
      </c>
      <c r="AD51" s="1610">
        <f>COUNTIFS(stayCity[city],entryCity[[#This Row],[city]],stayCity[yr],AD$45)</f>
        <v/>
      </c>
      <c r="AE51" s="1610">
        <f>COUNTIFS(stayCity[city],entryCity[[#This Row],[city]],stayCity[yr],AE$45)</f>
        <v/>
      </c>
      <c r="AF51" s="1610">
        <f>COUNTIFS(stayCity[city],entryCity[[#This Row],[city]],stayCity[yr],AF$45)</f>
        <v/>
      </c>
      <c r="AG51" s="1610">
        <f>COUNTIFS(stayCity[city],entryCity[[#This Row],[city]],stayCity[yr],AG$45)</f>
        <v/>
      </c>
      <c r="AH51" s="1610">
        <f>COUNTIFS(stayCity[city],entryCity[[#This Row],[city]],stayCity[yr],AH$45)</f>
        <v/>
      </c>
      <c r="AI51" s="1610">
        <f>COUNTIFS(stayCity[city],entryCity[[#This Row],[city]],stayCity[yr],AI$45)</f>
        <v/>
      </c>
      <c r="AJ51" s="1610">
        <f>COUNTIFS(stayCity[city],entryCity[[#This Row],[city]],stayCity[yr],AJ$45)</f>
        <v/>
      </c>
      <c r="AK51" s="1597" t="inlineStr">
        <is>
          <t>.</t>
        </is>
      </c>
      <c r="AL51" s="1612" t="n"/>
      <c r="AM51" s="1612" t="n"/>
      <c r="AN51" s="1612" t="n"/>
      <c r="AO51" s="1612" t="n"/>
      <c r="AP51" s="1612" t="n"/>
      <c r="AQ51" s="1612" t="n"/>
      <c r="AR51" s="1612" t="n"/>
      <c r="AS51" s="1612" t="n"/>
      <c r="AT51" s="1612" t="n"/>
      <c r="AU51" s="1612" t="n"/>
      <c r="AV51" s="1612" t="n"/>
      <c r="AW51" s="1612" t="n"/>
      <c r="AX51" s="1612" t="n"/>
      <c r="AY51" s="1612" t="n"/>
      <c r="AZ51" s="1612" t="n"/>
      <c r="BA51" s="1612" t="n"/>
      <c r="BB51" s="1612" t="n"/>
      <c r="BC51" s="1612" t="n"/>
      <c r="BD51" s="1612" t="n"/>
      <c r="BE51" s="1612" t="n"/>
      <c r="BF51" s="1612" t="n"/>
      <c r="BG51" s="1612" t="n"/>
      <c r="BH51" s="1612" t="n"/>
      <c r="BI51" s="1612" t="n"/>
      <c r="BJ51" s="1612" t="n"/>
      <c r="BK51" s="1612" t="n"/>
      <c r="BL51" s="1612" t="n"/>
      <c r="BM51" s="1612" t="n"/>
      <c r="BN51" s="1612" t="n"/>
      <c r="BO51" s="1612" t="n"/>
      <c r="BP51" s="1612" t="n"/>
      <c r="BQ51" s="1612" t="n"/>
      <c r="BR51" s="1612" t="n"/>
      <c r="BS51" s="1612" t="n"/>
      <c r="BT51" s="1612" t="n"/>
      <c r="BU51" s="1612" t="n"/>
      <c r="BV51" s="1612" t="n"/>
      <c r="BW51" s="1612" t="n"/>
      <c r="BX51" s="1612" t="n"/>
      <c r="BY51" s="1612" t="n"/>
      <c r="BZ51" s="1612" t="n"/>
      <c r="CA51" s="1612" t="n"/>
      <c r="CB51" s="1612" t="n"/>
      <c r="CC51" s="1612" t="n"/>
      <c r="CD51" s="1612" t="n"/>
      <c r="CE51" s="1612" t="n"/>
      <c r="CF51" s="1612" t="n"/>
      <c r="CG51" s="1612" t="n"/>
    </row>
    <row r="52" ht="15" customHeight="1">
      <c r="A52" s="1615" t="n"/>
      <c r="B52" s="1781">
        <f>SUM(D52:AK52)</f>
        <v/>
      </c>
      <c r="C52" s="1782" t="inlineStr">
        <is>
          <t>Amsterdam</t>
        </is>
      </c>
      <c r="D52" s="1610">
        <f>COUNTIFS(stayCity[city],entryCity[[#This Row],[city]],stayCity[yr],D$45)</f>
        <v/>
      </c>
      <c r="E52" s="1610">
        <f>COUNTIFS(stayCity[city],entryCity[[#This Row],[city]],stayCity[yr],E$45)</f>
        <v/>
      </c>
      <c r="F52" s="1610">
        <f>COUNTIFS(stayCity[city],entryCity[[#This Row],[city]],stayCity[yr],F$45)</f>
        <v/>
      </c>
      <c r="G52" s="1610">
        <f>COUNTIFS(stayCity[city],entryCity[[#This Row],[city]],stayCity[yr],G$45)</f>
        <v/>
      </c>
      <c r="H52" s="1610">
        <f>COUNTIFS(stayCity[city],entryCity[[#This Row],[city]],stayCity[yr],H$45)</f>
        <v/>
      </c>
      <c r="I52" s="1610">
        <f>COUNTIFS(stayCity[city],entryCity[[#This Row],[city]],stayCity[yr],I$45)</f>
        <v/>
      </c>
      <c r="J52" s="1610">
        <f>COUNTIFS(stayCity[city],entryCity[[#This Row],[city]],stayCity[yr],J$45)</f>
        <v/>
      </c>
      <c r="K52" s="1610">
        <f>COUNTIFS(stayCity[city],entryCity[[#This Row],[city]],stayCity[yr],K$45)</f>
        <v/>
      </c>
      <c r="L52" s="1610">
        <f>COUNTIFS(stayCity[city],entryCity[[#This Row],[city]],stayCity[yr],L$45)</f>
        <v/>
      </c>
      <c r="M52" s="1610">
        <f>COUNTIFS(stayCity[city],entryCity[[#This Row],[city]],stayCity[yr],M$45)</f>
        <v/>
      </c>
      <c r="N52" s="1610">
        <f>COUNTIFS(stayCity[city],entryCity[[#This Row],[city]],stayCity[yr],N$45)</f>
        <v/>
      </c>
      <c r="O52" s="1610">
        <f>COUNTIFS(stayCity[city],entryCity[[#This Row],[city]],stayCity[yr],O$45)</f>
        <v/>
      </c>
      <c r="P52" s="1610">
        <f>COUNTIFS(stayCity[city],entryCity[[#This Row],[city]],stayCity[yr],P$45)</f>
        <v/>
      </c>
      <c r="Q52" s="1610">
        <f>COUNTIFS(stayCity[city],entryCity[[#This Row],[city]],stayCity[yr],Q$45)</f>
        <v/>
      </c>
      <c r="R52" s="1610">
        <f>COUNTIFS(stayCity[city],entryCity[[#This Row],[city]],stayCity[yr],R$45)</f>
        <v/>
      </c>
      <c r="S52" s="1610">
        <f>COUNTIFS(stayCity[city],entryCity[[#This Row],[city]],stayCity[yr],S$45)</f>
        <v/>
      </c>
      <c r="T52" s="1610">
        <f>COUNTIFS(stayCity[city],entryCity[[#This Row],[city]],stayCity[yr],T$45)</f>
        <v/>
      </c>
      <c r="U52" s="1610">
        <f>COUNTIFS(stayCity[city],entryCity[[#This Row],[city]],stayCity[yr],U$45)</f>
        <v/>
      </c>
      <c r="V52" s="1610">
        <f>COUNTIFS(stayCity[city],entryCity[[#This Row],[city]],stayCity[yr],V$45)</f>
        <v/>
      </c>
      <c r="W52" s="1610">
        <f>COUNTIFS(stayCity[city],entryCity[[#This Row],[city]],stayCity[yr],W$45)</f>
        <v/>
      </c>
      <c r="X52" s="1610">
        <f>COUNTIFS(stayCity[city],entryCity[[#This Row],[city]],stayCity[yr],X$45)</f>
        <v/>
      </c>
      <c r="Y52" s="1610">
        <f>COUNTIFS(stayCity[city],entryCity[[#This Row],[city]],stayCity[yr],Y$45)</f>
        <v/>
      </c>
      <c r="Z52" s="1610">
        <f>COUNTIFS(stayCity[city],entryCity[[#This Row],[city]],stayCity[yr],Z$45)</f>
        <v/>
      </c>
      <c r="AA52" s="1610">
        <f>COUNTIFS(stayCity[city],entryCity[[#This Row],[city]],stayCity[yr],AA$45)</f>
        <v/>
      </c>
      <c r="AB52" s="1610">
        <f>COUNTIFS(stayCity[city],entryCity[[#This Row],[city]],stayCity[yr],AB$45)</f>
        <v/>
      </c>
      <c r="AC52" s="1610">
        <f>COUNTIFS(stayCity[city],entryCity[[#This Row],[city]],stayCity[yr],AC$45)</f>
        <v/>
      </c>
      <c r="AD52" s="1610">
        <f>COUNTIFS(stayCity[city],entryCity[[#This Row],[city]],stayCity[yr],AD$45)</f>
        <v/>
      </c>
      <c r="AE52" s="1610">
        <f>COUNTIFS(stayCity[city],entryCity[[#This Row],[city]],stayCity[yr],AE$45)</f>
        <v/>
      </c>
      <c r="AF52" s="1610">
        <f>COUNTIFS(stayCity[city],entryCity[[#This Row],[city]],stayCity[yr],AF$45)</f>
        <v/>
      </c>
      <c r="AG52" s="1610">
        <f>COUNTIFS(stayCity[city],entryCity[[#This Row],[city]],stayCity[yr],AG$45)</f>
        <v/>
      </c>
      <c r="AH52" s="1610">
        <f>COUNTIFS(stayCity[city],entryCity[[#This Row],[city]],stayCity[yr],AH$45)</f>
        <v/>
      </c>
      <c r="AI52" s="1610">
        <f>COUNTIFS(stayCity[city],entryCity[[#This Row],[city]],stayCity[yr],AI$45)</f>
        <v/>
      </c>
      <c r="AJ52" s="1610">
        <f>COUNTIFS(stayCity[city],entryCity[[#This Row],[city]],stayCity[yr],AJ$45)</f>
        <v/>
      </c>
      <c r="AK52" s="1597" t="inlineStr">
        <is>
          <t>.</t>
        </is>
      </c>
      <c r="AL52" s="1612" t="n"/>
      <c r="AM52" s="1612" t="n"/>
      <c r="AN52" s="1612" t="n"/>
      <c r="AO52" s="1612" t="n"/>
      <c r="AP52" s="1612" t="n"/>
      <c r="AQ52" s="1612" t="n"/>
      <c r="AR52" s="1612" t="n"/>
      <c r="AS52" s="1612" t="n"/>
      <c r="AT52" s="1612" t="n"/>
      <c r="AU52" s="1612" t="n"/>
      <c r="AV52" s="1612" t="n"/>
      <c r="AW52" s="1612" t="n"/>
      <c r="AX52" s="1612" t="n"/>
      <c r="AY52" s="1612" t="n"/>
      <c r="AZ52" s="1612" t="n"/>
      <c r="BA52" s="1612" t="n"/>
      <c r="BB52" s="1612" t="n"/>
      <c r="BC52" s="1612" t="n"/>
      <c r="BD52" s="1612" t="n"/>
      <c r="BE52" s="1612" t="n"/>
      <c r="BF52" s="1612" t="n"/>
      <c r="BG52" s="1612" t="n"/>
      <c r="BH52" s="1612" t="n"/>
      <c r="BI52" s="1612" t="n"/>
      <c r="BJ52" s="1612" t="n"/>
      <c r="BK52" s="1612" t="n"/>
      <c r="BL52" s="1612" t="n"/>
      <c r="BM52" s="1612" t="n"/>
      <c r="BN52" s="1612" t="n"/>
      <c r="BO52" s="1612" t="n"/>
      <c r="BP52" s="1612" t="n"/>
      <c r="BQ52" s="1612" t="n"/>
      <c r="BR52" s="1612" t="n"/>
      <c r="BS52" s="1612" t="n"/>
      <c r="BT52" s="1612" t="n"/>
      <c r="BU52" s="1612" t="n"/>
      <c r="BV52" s="1612" t="n"/>
      <c r="BW52" s="1612" t="n"/>
      <c r="BX52" s="1612" t="n"/>
      <c r="BY52" s="1612" t="n"/>
      <c r="BZ52" s="1612" t="n"/>
      <c r="CA52" s="1612" t="n"/>
      <c r="CB52" s="1612" t="n"/>
      <c r="CC52" s="1612" t="n"/>
      <c r="CD52" s="1612" t="n"/>
      <c r="CE52" s="1612" t="n"/>
      <c r="CF52" s="1612" t="n"/>
      <c r="CG52" s="1612" t="n"/>
    </row>
    <row r="53" ht="15" customHeight="1">
      <c r="A53" s="1596" t="n"/>
      <c r="B53" s="1794">
        <f>SUM(D53:AK53)</f>
        <v/>
      </c>
      <c r="C53" s="1795" t="inlineStr">
        <is>
          <t>Rome</t>
        </is>
      </c>
      <c r="D53" s="1610">
        <f>COUNTIFS(stayCity[city],entryCity[[#This Row],[city]],stayCity[yr],D$45)</f>
        <v/>
      </c>
      <c r="E53" s="1610">
        <f>COUNTIFS(stayCity[city],entryCity[[#This Row],[city]],stayCity[yr],E$45)</f>
        <v/>
      </c>
      <c r="F53" s="1610">
        <f>COUNTIFS(stayCity[city],entryCity[[#This Row],[city]],stayCity[yr],F$45)</f>
        <v/>
      </c>
      <c r="G53" s="1610">
        <f>COUNTIFS(stayCity[city],entryCity[[#This Row],[city]],stayCity[yr],G$45)</f>
        <v/>
      </c>
      <c r="H53" s="1610">
        <f>COUNTIFS(stayCity[city],entryCity[[#This Row],[city]],stayCity[yr],H$45)</f>
        <v/>
      </c>
      <c r="I53" s="1610">
        <f>COUNTIFS(stayCity[city],entryCity[[#This Row],[city]],stayCity[yr],I$45)</f>
        <v/>
      </c>
      <c r="J53" s="1610">
        <f>COUNTIFS(stayCity[city],entryCity[[#This Row],[city]],stayCity[yr],J$45)</f>
        <v/>
      </c>
      <c r="K53" s="1610">
        <f>COUNTIFS(stayCity[city],entryCity[[#This Row],[city]],stayCity[yr],K$45)</f>
        <v/>
      </c>
      <c r="L53" s="1610">
        <f>COUNTIFS(stayCity[city],entryCity[[#This Row],[city]],stayCity[yr],L$45)</f>
        <v/>
      </c>
      <c r="M53" s="1610">
        <f>COUNTIFS(stayCity[city],entryCity[[#This Row],[city]],stayCity[yr],M$45)</f>
        <v/>
      </c>
      <c r="N53" s="1610">
        <f>COUNTIFS(stayCity[city],entryCity[[#This Row],[city]],stayCity[yr],N$45)</f>
        <v/>
      </c>
      <c r="O53" s="1610">
        <f>COUNTIFS(stayCity[city],entryCity[[#This Row],[city]],stayCity[yr],O$45)</f>
        <v/>
      </c>
      <c r="P53" s="1610">
        <f>COUNTIFS(stayCity[city],entryCity[[#This Row],[city]],stayCity[yr],P$45)</f>
        <v/>
      </c>
      <c r="Q53" s="1610">
        <f>COUNTIFS(stayCity[city],entryCity[[#This Row],[city]],stayCity[yr],Q$45)</f>
        <v/>
      </c>
      <c r="R53" s="1610">
        <f>COUNTIFS(stayCity[city],entryCity[[#This Row],[city]],stayCity[yr],R$45)</f>
        <v/>
      </c>
      <c r="S53" s="1610">
        <f>COUNTIFS(stayCity[city],entryCity[[#This Row],[city]],stayCity[yr],S$45)</f>
        <v/>
      </c>
      <c r="T53" s="1610">
        <f>COUNTIFS(stayCity[city],entryCity[[#This Row],[city]],stayCity[yr],T$45)</f>
        <v/>
      </c>
      <c r="U53" s="1610">
        <f>COUNTIFS(stayCity[city],entryCity[[#This Row],[city]],stayCity[yr],U$45)</f>
        <v/>
      </c>
      <c r="V53" s="1610">
        <f>COUNTIFS(stayCity[city],entryCity[[#This Row],[city]],stayCity[yr],V$45)</f>
        <v/>
      </c>
      <c r="W53" s="1610">
        <f>COUNTIFS(stayCity[city],entryCity[[#This Row],[city]],stayCity[yr],W$45)</f>
        <v/>
      </c>
      <c r="X53" s="1610">
        <f>COUNTIFS(stayCity[city],entryCity[[#This Row],[city]],stayCity[yr],X$45)</f>
        <v/>
      </c>
      <c r="Y53" s="1610">
        <f>COUNTIFS(stayCity[city],entryCity[[#This Row],[city]],stayCity[yr],Y$45)</f>
        <v/>
      </c>
      <c r="Z53" s="1610">
        <f>COUNTIFS(stayCity[city],entryCity[[#This Row],[city]],stayCity[yr],Z$45)</f>
        <v/>
      </c>
      <c r="AA53" s="1610">
        <f>COUNTIFS(stayCity[city],entryCity[[#This Row],[city]],stayCity[yr],AA$45)</f>
        <v/>
      </c>
      <c r="AB53" s="1610">
        <f>COUNTIFS(stayCity[city],entryCity[[#This Row],[city]],stayCity[yr],AB$45)</f>
        <v/>
      </c>
      <c r="AC53" s="1610">
        <f>COUNTIFS(stayCity[city],entryCity[[#This Row],[city]],stayCity[yr],AC$45)</f>
        <v/>
      </c>
      <c r="AD53" s="1610">
        <f>COUNTIFS(stayCity[city],entryCity[[#This Row],[city]],stayCity[yr],AD$45)</f>
        <v/>
      </c>
      <c r="AE53" s="1610">
        <f>COUNTIFS(stayCity[city],entryCity[[#This Row],[city]],stayCity[yr],AE$45)</f>
        <v/>
      </c>
      <c r="AF53" s="1610">
        <f>COUNTIFS(stayCity[city],entryCity[[#This Row],[city]],stayCity[yr],AF$45)</f>
        <v/>
      </c>
      <c r="AG53" s="1610">
        <f>COUNTIFS(stayCity[city],entryCity[[#This Row],[city]],stayCity[yr],AG$45)</f>
        <v/>
      </c>
      <c r="AH53" s="1610">
        <f>COUNTIFS(stayCity[city],entryCity[[#This Row],[city]],stayCity[yr],AH$45)</f>
        <v/>
      </c>
      <c r="AI53" s="1610">
        <f>COUNTIFS(stayCity[city],entryCity[[#This Row],[city]],stayCity[yr],AI$45)</f>
        <v/>
      </c>
      <c r="AJ53" s="1610">
        <f>COUNTIFS(stayCity[city],entryCity[[#This Row],[city]],stayCity[yr],AJ$45)</f>
        <v/>
      </c>
      <c r="AK53" s="1597" t="inlineStr">
        <is>
          <t>.</t>
        </is>
      </c>
      <c r="AL53" s="1612" t="n"/>
      <c r="AM53" s="1612" t="n"/>
      <c r="AN53" s="1612" t="n"/>
      <c r="AO53" s="1612" t="n"/>
      <c r="AP53" s="1612" t="n"/>
      <c r="AQ53" s="1612" t="n"/>
      <c r="AR53" s="1612" t="n"/>
      <c r="AS53" s="1612" t="n"/>
      <c r="AT53" s="1612" t="n"/>
      <c r="AU53" s="1612" t="n"/>
      <c r="AV53" s="1612" t="n"/>
      <c r="AW53" s="1612" t="n"/>
      <c r="AX53" s="1612" t="n"/>
      <c r="AY53" s="1612" t="n"/>
      <c r="AZ53" s="1612" t="n"/>
      <c r="BA53" s="1612" t="n"/>
      <c r="BB53" s="1612" t="n"/>
      <c r="BC53" s="1612" t="n"/>
      <c r="BD53" s="1612" t="n"/>
      <c r="BE53" s="1612" t="n"/>
      <c r="BF53" s="1612" t="n"/>
      <c r="BG53" s="1612" t="n"/>
      <c r="BH53" s="1612" t="n"/>
      <c r="BI53" s="1612" t="n"/>
      <c r="BJ53" s="1612" t="n"/>
      <c r="BK53" s="1612" t="n"/>
      <c r="BL53" s="1612" t="n"/>
      <c r="BM53" s="1612" t="n"/>
      <c r="BN53" s="1612" t="n"/>
      <c r="BO53" s="1612" t="n"/>
      <c r="BP53" s="1612" t="n"/>
      <c r="BQ53" s="1612" t="n"/>
      <c r="BR53" s="1612" t="n"/>
      <c r="BS53" s="1612" t="n"/>
      <c r="BT53" s="1612" t="n"/>
      <c r="BU53" s="1612" t="n"/>
      <c r="BV53" s="1612" t="n"/>
      <c r="BW53" s="1612" t="n"/>
      <c r="BX53" s="1612" t="n"/>
      <c r="BY53" s="1612" t="n"/>
      <c r="BZ53" s="1612" t="n"/>
      <c r="CA53" s="1612" t="n"/>
      <c r="CB53" s="1612" t="n"/>
      <c r="CC53" s="1612" t="n"/>
      <c r="CD53" s="1612" t="n"/>
      <c r="CE53" s="1612" t="n"/>
      <c r="CF53" s="1612" t="n"/>
      <c r="CG53" s="1612" t="n"/>
    </row>
    <row r="54" ht="15" customHeight="1">
      <c r="A54" s="1615" t="n"/>
      <c r="B54" s="1781">
        <f>SUM(D54:AK54)</f>
        <v/>
      </c>
      <c r="C54" s="1782" t="inlineStr">
        <is>
          <t>NYC</t>
        </is>
      </c>
      <c r="D54" s="1610">
        <f>COUNTIFS(stayCity[city],entryCity[[#This Row],[city]],stayCity[yr],D$45)</f>
        <v/>
      </c>
      <c r="E54" s="1610">
        <f>COUNTIFS(stayCity[city],entryCity[[#This Row],[city]],stayCity[yr],E$45)</f>
        <v/>
      </c>
      <c r="F54" s="1610">
        <f>COUNTIFS(stayCity[city],entryCity[[#This Row],[city]],stayCity[yr],F$45)</f>
        <v/>
      </c>
      <c r="G54" s="1610">
        <f>COUNTIFS(stayCity[city],entryCity[[#This Row],[city]],stayCity[yr],G$45)</f>
        <v/>
      </c>
      <c r="H54" s="1610">
        <f>COUNTIFS(stayCity[city],entryCity[[#This Row],[city]],stayCity[yr],H$45)</f>
        <v/>
      </c>
      <c r="I54" s="1610">
        <f>COUNTIFS(stayCity[city],entryCity[[#This Row],[city]],stayCity[yr],I$45)</f>
        <v/>
      </c>
      <c r="J54" s="1610">
        <f>COUNTIFS(stayCity[city],entryCity[[#This Row],[city]],stayCity[yr],J$45)</f>
        <v/>
      </c>
      <c r="K54" s="1610">
        <f>COUNTIFS(stayCity[city],entryCity[[#This Row],[city]],stayCity[yr],K$45)</f>
        <v/>
      </c>
      <c r="L54" s="1610">
        <f>COUNTIFS(stayCity[city],entryCity[[#This Row],[city]],stayCity[yr],L$45)</f>
        <v/>
      </c>
      <c r="M54" s="1610">
        <f>COUNTIFS(stayCity[city],entryCity[[#This Row],[city]],stayCity[yr],M$45)</f>
        <v/>
      </c>
      <c r="N54" s="1610">
        <f>COUNTIFS(stayCity[city],entryCity[[#This Row],[city]],stayCity[yr],N$45)</f>
        <v/>
      </c>
      <c r="O54" s="1610">
        <f>COUNTIFS(stayCity[city],entryCity[[#This Row],[city]],stayCity[yr],O$45)</f>
        <v/>
      </c>
      <c r="P54" s="1610">
        <f>COUNTIFS(stayCity[city],entryCity[[#This Row],[city]],stayCity[yr],P$45)</f>
        <v/>
      </c>
      <c r="Q54" s="1610">
        <f>COUNTIFS(stayCity[city],entryCity[[#This Row],[city]],stayCity[yr],Q$45)</f>
        <v/>
      </c>
      <c r="R54" s="1610">
        <f>COUNTIFS(stayCity[city],entryCity[[#This Row],[city]],stayCity[yr],R$45)</f>
        <v/>
      </c>
      <c r="S54" s="1610">
        <f>COUNTIFS(stayCity[city],entryCity[[#This Row],[city]],stayCity[yr],S$45)</f>
        <v/>
      </c>
      <c r="T54" s="1610">
        <f>COUNTIFS(stayCity[city],entryCity[[#This Row],[city]],stayCity[yr],T$45)</f>
        <v/>
      </c>
      <c r="U54" s="1610">
        <f>COUNTIFS(stayCity[city],entryCity[[#This Row],[city]],stayCity[yr],U$45)</f>
        <v/>
      </c>
      <c r="V54" s="1610">
        <f>COUNTIFS(stayCity[city],entryCity[[#This Row],[city]],stayCity[yr],V$45)</f>
        <v/>
      </c>
      <c r="W54" s="1610">
        <f>COUNTIFS(stayCity[city],entryCity[[#This Row],[city]],stayCity[yr],W$45)</f>
        <v/>
      </c>
      <c r="X54" s="1610">
        <f>COUNTIFS(stayCity[city],entryCity[[#This Row],[city]],stayCity[yr],X$45)</f>
        <v/>
      </c>
      <c r="Y54" s="1610">
        <f>COUNTIFS(stayCity[city],entryCity[[#This Row],[city]],stayCity[yr],Y$45)</f>
        <v/>
      </c>
      <c r="Z54" s="1610">
        <f>COUNTIFS(stayCity[city],entryCity[[#This Row],[city]],stayCity[yr],Z$45)</f>
        <v/>
      </c>
      <c r="AA54" s="1610">
        <f>COUNTIFS(stayCity[city],entryCity[[#This Row],[city]],stayCity[yr],AA$45)</f>
        <v/>
      </c>
      <c r="AB54" s="1610">
        <f>COUNTIFS(stayCity[city],entryCity[[#This Row],[city]],stayCity[yr],AB$45)</f>
        <v/>
      </c>
      <c r="AC54" s="1610">
        <f>COUNTIFS(stayCity[city],entryCity[[#This Row],[city]],stayCity[yr],AC$45)</f>
        <v/>
      </c>
      <c r="AD54" s="1610">
        <f>COUNTIFS(stayCity[city],entryCity[[#This Row],[city]],stayCity[yr],AD$45)</f>
        <v/>
      </c>
      <c r="AE54" s="1610">
        <f>COUNTIFS(stayCity[city],entryCity[[#This Row],[city]],stayCity[yr],AE$45)</f>
        <v/>
      </c>
      <c r="AF54" s="1610">
        <f>COUNTIFS(stayCity[city],entryCity[[#This Row],[city]],stayCity[yr],AF$45)</f>
        <v/>
      </c>
      <c r="AG54" s="1610">
        <f>COUNTIFS(stayCity[city],entryCity[[#This Row],[city]],stayCity[yr],AG$45)</f>
        <v/>
      </c>
      <c r="AH54" s="1610">
        <f>COUNTIFS(stayCity[city],entryCity[[#This Row],[city]],stayCity[yr],AH$45)</f>
        <v/>
      </c>
      <c r="AI54" s="1610">
        <f>COUNTIFS(stayCity[city],entryCity[[#This Row],[city]],stayCity[yr],AI$45)</f>
        <v/>
      </c>
      <c r="AJ54" s="1610">
        <f>COUNTIFS(stayCity[city],entryCity[[#This Row],[city]],stayCity[yr],AJ$45)</f>
        <v/>
      </c>
      <c r="AK54" s="1597" t="inlineStr">
        <is>
          <t>.</t>
        </is>
      </c>
      <c r="AL54" s="1612" t="n"/>
      <c r="AM54" s="1612" t="n"/>
      <c r="AN54" s="1612" t="n"/>
      <c r="AO54" s="1612" t="n"/>
      <c r="AP54" s="1612" t="n"/>
      <c r="AQ54" s="1612" t="n"/>
      <c r="AR54" s="1612" t="n"/>
      <c r="AS54" s="1612" t="n"/>
      <c r="AT54" s="1612" t="n"/>
      <c r="AU54" s="1612" t="n"/>
      <c r="AV54" s="1612" t="n"/>
      <c r="AW54" s="1612" t="n"/>
      <c r="AX54" s="1612" t="n"/>
      <c r="AY54" s="1612" t="n"/>
      <c r="AZ54" s="1612" t="n"/>
      <c r="BA54" s="1612" t="n"/>
      <c r="BB54" s="1612" t="n"/>
      <c r="BC54" s="1612" t="n"/>
      <c r="BD54" s="1612" t="n"/>
      <c r="BE54" s="1612" t="n"/>
      <c r="BF54" s="1612" t="n"/>
      <c r="BG54" s="1612" t="n"/>
      <c r="BH54" s="1612" t="n"/>
      <c r="BI54" s="1612" t="n"/>
      <c r="BJ54" s="1612" t="n"/>
      <c r="BK54" s="1612" t="n"/>
      <c r="BL54" s="1612" t="n"/>
      <c r="BM54" s="1612" t="n"/>
      <c r="BN54" s="1612" t="n"/>
      <c r="BO54" s="1612" t="n"/>
      <c r="BP54" s="1612" t="n"/>
      <c r="BQ54" s="1612" t="n"/>
      <c r="BR54" s="1612" t="n"/>
      <c r="BS54" s="1612" t="n"/>
      <c r="BT54" s="1612" t="n"/>
      <c r="BU54" s="1612" t="n"/>
      <c r="BV54" s="1612" t="n"/>
      <c r="BW54" s="1612" t="n"/>
      <c r="BX54" s="1612" t="n"/>
      <c r="BY54" s="1612" t="n"/>
      <c r="BZ54" s="1612" t="n"/>
      <c r="CA54" s="1612" t="n"/>
      <c r="CB54" s="1612" t="n"/>
      <c r="CC54" s="1612" t="n"/>
      <c r="CD54" s="1612" t="n"/>
      <c r="CE54" s="1612" t="n"/>
      <c r="CF54" s="1612" t="n"/>
      <c r="CG54" s="1612" t="n"/>
    </row>
    <row r="55" ht="15" customHeight="1">
      <c r="A55" s="1596" t="n"/>
      <c r="B55" s="1794">
        <f>SUM(D55:AK55)</f>
        <v/>
      </c>
      <c r="C55" s="1795" t="inlineStr">
        <is>
          <t>Lisbon</t>
        </is>
      </c>
      <c r="D55" s="1610">
        <f>COUNTIFS(stayCity[city],entryCity[[#This Row],[city]],stayCity[yr],D$45)</f>
        <v/>
      </c>
      <c r="E55" s="1610">
        <f>COUNTIFS(stayCity[city],entryCity[[#This Row],[city]],stayCity[yr],E$45)</f>
        <v/>
      </c>
      <c r="F55" s="1610">
        <f>COUNTIFS(stayCity[city],entryCity[[#This Row],[city]],stayCity[yr],F$45)</f>
        <v/>
      </c>
      <c r="G55" s="1610">
        <f>COUNTIFS(stayCity[city],entryCity[[#This Row],[city]],stayCity[yr],G$45)</f>
        <v/>
      </c>
      <c r="H55" s="1610">
        <f>COUNTIFS(stayCity[city],entryCity[[#This Row],[city]],stayCity[yr],H$45)</f>
        <v/>
      </c>
      <c r="I55" s="1610">
        <f>COUNTIFS(stayCity[city],entryCity[[#This Row],[city]],stayCity[yr],I$45)</f>
        <v/>
      </c>
      <c r="J55" s="1610">
        <f>COUNTIFS(stayCity[city],entryCity[[#This Row],[city]],stayCity[yr],J$45)</f>
        <v/>
      </c>
      <c r="K55" s="1610">
        <f>COUNTIFS(stayCity[city],entryCity[[#This Row],[city]],stayCity[yr],K$45)</f>
        <v/>
      </c>
      <c r="L55" s="1610">
        <f>COUNTIFS(stayCity[city],entryCity[[#This Row],[city]],stayCity[yr],L$45)</f>
        <v/>
      </c>
      <c r="M55" s="1610">
        <f>COUNTIFS(stayCity[city],entryCity[[#This Row],[city]],stayCity[yr],M$45)</f>
        <v/>
      </c>
      <c r="N55" s="1610">
        <f>COUNTIFS(stayCity[city],entryCity[[#This Row],[city]],stayCity[yr],N$45)</f>
        <v/>
      </c>
      <c r="O55" s="1610">
        <f>COUNTIFS(stayCity[city],entryCity[[#This Row],[city]],stayCity[yr],O$45)</f>
        <v/>
      </c>
      <c r="P55" s="1610">
        <f>COUNTIFS(stayCity[city],entryCity[[#This Row],[city]],stayCity[yr],P$45)</f>
        <v/>
      </c>
      <c r="Q55" s="1610">
        <f>COUNTIFS(stayCity[city],entryCity[[#This Row],[city]],stayCity[yr],Q$45)</f>
        <v/>
      </c>
      <c r="R55" s="1610">
        <f>COUNTIFS(stayCity[city],entryCity[[#This Row],[city]],stayCity[yr],R$45)</f>
        <v/>
      </c>
      <c r="S55" s="1610">
        <f>COUNTIFS(stayCity[city],entryCity[[#This Row],[city]],stayCity[yr],S$45)</f>
        <v/>
      </c>
      <c r="T55" s="1610">
        <f>COUNTIFS(stayCity[city],entryCity[[#This Row],[city]],stayCity[yr],T$45)</f>
        <v/>
      </c>
      <c r="U55" s="1610">
        <f>COUNTIFS(stayCity[city],entryCity[[#This Row],[city]],stayCity[yr],U$45)</f>
        <v/>
      </c>
      <c r="V55" s="1610">
        <f>COUNTIFS(stayCity[city],entryCity[[#This Row],[city]],stayCity[yr],V$45)</f>
        <v/>
      </c>
      <c r="W55" s="1610">
        <f>COUNTIFS(stayCity[city],entryCity[[#This Row],[city]],stayCity[yr],W$45)</f>
        <v/>
      </c>
      <c r="X55" s="1610">
        <f>COUNTIFS(stayCity[city],entryCity[[#This Row],[city]],stayCity[yr],X$45)</f>
        <v/>
      </c>
      <c r="Y55" s="1610">
        <f>COUNTIFS(stayCity[city],entryCity[[#This Row],[city]],stayCity[yr],Y$45)</f>
        <v/>
      </c>
      <c r="Z55" s="1610">
        <f>COUNTIFS(stayCity[city],entryCity[[#This Row],[city]],stayCity[yr],Z$45)</f>
        <v/>
      </c>
      <c r="AA55" s="1610">
        <f>COUNTIFS(stayCity[city],entryCity[[#This Row],[city]],stayCity[yr],AA$45)</f>
        <v/>
      </c>
      <c r="AB55" s="1610">
        <f>COUNTIFS(stayCity[city],entryCity[[#This Row],[city]],stayCity[yr],AB$45)</f>
        <v/>
      </c>
      <c r="AC55" s="1610">
        <f>COUNTIFS(stayCity[city],entryCity[[#This Row],[city]],stayCity[yr],AC$45)</f>
        <v/>
      </c>
      <c r="AD55" s="1610">
        <f>COUNTIFS(stayCity[city],entryCity[[#This Row],[city]],stayCity[yr],AD$45)</f>
        <v/>
      </c>
      <c r="AE55" s="1610">
        <f>COUNTIFS(stayCity[city],entryCity[[#This Row],[city]],stayCity[yr],AE$45)</f>
        <v/>
      </c>
      <c r="AF55" s="1610">
        <f>COUNTIFS(stayCity[city],entryCity[[#This Row],[city]],stayCity[yr],AF$45)</f>
        <v/>
      </c>
      <c r="AG55" s="1610">
        <f>COUNTIFS(stayCity[city],entryCity[[#This Row],[city]],stayCity[yr],AG$45)</f>
        <v/>
      </c>
      <c r="AH55" s="1610">
        <f>COUNTIFS(stayCity[city],entryCity[[#This Row],[city]],stayCity[yr],AH$45)</f>
        <v/>
      </c>
      <c r="AI55" s="1610">
        <f>COUNTIFS(stayCity[city],entryCity[[#This Row],[city]],stayCity[yr],AI$45)</f>
        <v/>
      </c>
      <c r="AJ55" s="1610">
        <f>COUNTIFS(stayCity[city],entryCity[[#This Row],[city]],stayCity[yr],AJ$45)</f>
        <v/>
      </c>
      <c r="AK55" s="1597" t="inlineStr">
        <is>
          <t>.</t>
        </is>
      </c>
      <c r="AL55" s="1612" t="n"/>
      <c r="AM55" s="1612" t="n"/>
      <c r="AN55" s="1612" t="n"/>
      <c r="AO55" s="1612" t="n"/>
      <c r="AP55" s="1612" t="n"/>
      <c r="AQ55" s="1612" t="n"/>
      <c r="AR55" s="1612" t="n"/>
      <c r="AS55" s="1612" t="n"/>
      <c r="AT55" s="1612" t="n"/>
      <c r="AU55" s="1612" t="n"/>
      <c r="AV55" s="1612" t="n"/>
      <c r="AW55" s="1612" t="n"/>
      <c r="AX55" s="1612" t="n"/>
      <c r="AY55" s="1612" t="n"/>
      <c r="AZ55" s="1612" t="n"/>
      <c r="BA55" s="1612" t="n"/>
      <c r="BB55" s="1612" t="n"/>
      <c r="BC55" s="1612" t="n"/>
      <c r="BD55" s="1612" t="n"/>
      <c r="BE55" s="1612" t="n"/>
      <c r="BF55" s="1612" t="n"/>
      <c r="BG55" s="1612" t="n"/>
      <c r="BH55" s="1612" t="n"/>
      <c r="BI55" s="1612" t="n"/>
      <c r="BJ55" s="1612" t="n"/>
      <c r="BK55" s="1612" t="n"/>
      <c r="BL55" s="1612" t="n"/>
      <c r="BM55" s="1612" t="n"/>
      <c r="BN55" s="1612" t="n"/>
      <c r="BO55" s="1612" t="n"/>
      <c r="BP55" s="1612" t="n"/>
      <c r="BQ55" s="1612" t="n"/>
      <c r="BR55" s="1612" t="n"/>
      <c r="BS55" s="1612" t="n"/>
      <c r="BT55" s="1612" t="n"/>
      <c r="BU55" s="1612" t="n"/>
      <c r="BV55" s="1612" t="n"/>
      <c r="BW55" s="1612" t="n"/>
      <c r="BX55" s="1612" t="n"/>
      <c r="BY55" s="1612" t="n"/>
      <c r="BZ55" s="1612" t="n"/>
      <c r="CA55" s="1612" t="n"/>
      <c r="CB55" s="1612" t="n"/>
      <c r="CC55" s="1612" t="n"/>
      <c r="CD55" s="1612" t="n"/>
      <c r="CE55" s="1612" t="n"/>
      <c r="CF55" s="1612" t="n"/>
      <c r="CG55" s="1612" t="n"/>
    </row>
    <row r="56" ht="15" customHeight="1">
      <c r="A56" s="1615" t="n"/>
      <c r="B56" s="1781">
        <f>SUM(D56:AK56)</f>
        <v/>
      </c>
      <c r="C56" s="1782" t="inlineStr">
        <is>
          <t>Madrid</t>
        </is>
      </c>
      <c r="D56" s="1610">
        <f>COUNTIFS(stayCity[city],entryCity[[#This Row],[city]],stayCity[yr],D$45)</f>
        <v/>
      </c>
      <c r="E56" s="1610">
        <f>COUNTIFS(stayCity[city],entryCity[[#This Row],[city]],stayCity[yr],E$45)</f>
        <v/>
      </c>
      <c r="F56" s="1610">
        <f>COUNTIFS(stayCity[city],entryCity[[#This Row],[city]],stayCity[yr],F$45)</f>
        <v/>
      </c>
      <c r="G56" s="1610">
        <f>COUNTIFS(stayCity[city],entryCity[[#This Row],[city]],stayCity[yr],G$45)</f>
        <v/>
      </c>
      <c r="H56" s="1610">
        <f>COUNTIFS(stayCity[city],entryCity[[#This Row],[city]],stayCity[yr],H$45)</f>
        <v/>
      </c>
      <c r="I56" s="1610">
        <f>COUNTIFS(stayCity[city],entryCity[[#This Row],[city]],stayCity[yr],I$45)</f>
        <v/>
      </c>
      <c r="J56" s="1610">
        <f>COUNTIFS(stayCity[city],entryCity[[#This Row],[city]],stayCity[yr],J$45)</f>
        <v/>
      </c>
      <c r="K56" s="1610">
        <f>COUNTIFS(stayCity[city],entryCity[[#This Row],[city]],stayCity[yr],K$45)</f>
        <v/>
      </c>
      <c r="L56" s="1610">
        <f>COUNTIFS(stayCity[city],entryCity[[#This Row],[city]],stayCity[yr],L$45)</f>
        <v/>
      </c>
      <c r="M56" s="1610">
        <f>COUNTIFS(stayCity[city],entryCity[[#This Row],[city]],stayCity[yr],M$45)</f>
        <v/>
      </c>
      <c r="N56" s="1610">
        <f>COUNTIFS(stayCity[city],entryCity[[#This Row],[city]],stayCity[yr],N$45)</f>
        <v/>
      </c>
      <c r="O56" s="1610">
        <f>COUNTIFS(stayCity[city],entryCity[[#This Row],[city]],stayCity[yr],O$45)</f>
        <v/>
      </c>
      <c r="P56" s="1610">
        <f>COUNTIFS(stayCity[city],entryCity[[#This Row],[city]],stayCity[yr],P$45)</f>
        <v/>
      </c>
      <c r="Q56" s="1610">
        <f>COUNTIFS(stayCity[city],entryCity[[#This Row],[city]],stayCity[yr],Q$45)</f>
        <v/>
      </c>
      <c r="R56" s="1610">
        <f>COUNTIFS(stayCity[city],entryCity[[#This Row],[city]],stayCity[yr],R$45)</f>
        <v/>
      </c>
      <c r="S56" s="1610">
        <f>COUNTIFS(stayCity[city],entryCity[[#This Row],[city]],stayCity[yr],S$45)</f>
        <v/>
      </c>
      <c r="T56" s="1610">
        <f>COUNTIFS(stayCity[city],entryCity[[#This Row],[city]],stayCity[yr],T$45)</f>
        <v/>
      </c>
      <c r="U56" s="1610">
        <f>COUNTIFS(stayCity[city],entryCity[[#This Row],[city]],stayCity[yr],U$45)</f>
        <v/>
      </c>
      <c r="V56" s="1610">
        <f>COUNTIFS(stayCity[city],entryCity[[#This Row],[city]],stayCity[yr],V$45)</f>
        <v/>
      </c>
      <c r="W56" s="1610">
        <f>COUNTIFS(stayCity[city],entryCity[[#This Row],[city]],stayCity[yr],W$45)</f>
        <v/>
      </c>
      <c r="X56" s="1610">
        <f>COUNTIFS(stayCity[city],entryCity[[#This Row],[city]],stayCity[yr],X$45)</f>
        <v/>
      </c>
      <c r="Y56" s="1610">
        <f>COUNTIFS(stayCity[city],entryCity[[#This Row],[city]],stayCity[yr],Y$45)</f>
        <v/>
      </c>
      <c r="Z56" s="1610">
        <f>COUNTIFS(stayCity[city],entryCity[[#This Row],[city]],stayCity[yr],Z$45)</f>
        <v/>
      </c>
      <c r="AA56" s="1610">
        <f>COUNTIFS(stayCity[city],entryCity[[#This Row],[city]],stayCity[yr],AA$45)</f>
        <v/>
      </c>
      <c r="AB56" s="1610">
        <f>COUNTIFS(stayCity[city],entryCity[[#This Row],[city]],stayCity[yr],AB$45)</f>
        <v/>
      </c>
      <c r="AC56" s="1610">
        <f>COUNTIFS(stayCity[city],entryCity[[#This Row],[city]],stayCity[yr],AC$45)</f>
        <v/>
      </c>
      <c r="AD56" s="1610">
        <f>COUNTIFS(stayCity[city],entryCity[[#This Row],[city]],stayCity[yr],AD$45)</f>
        <v/>
      </c>
      <c r="AE56" s="1610">
        <f>COUNTIFS(stayCity[city],entryCity[[#This Row],[city]],stayCity[yr],AE$45)</f>
        <v/>
      </c>
      <c r="AF56" s="1610">
        <f>COUNTIFS(stayCity[city],entryCity[[#This Row],[city]],stayCity[yr],AF$45)</f>
        <v/>
      </c>
      <c r="AG56" s="1610">
        <f>COUNTIFS(stayCity[city],entryCity[[#This Row],[city]],stayCity[yr],AG$45)</f>
        <v/>
      </c>
      <c r="AH56" s="1610">
        <f>COUNTIFS(stayCity[city],entryCity[[#This Row],[city]],stayCity[yr],AH$45)</f>
        <v/>
      </c>
      <c r="AI56" s="1610">
        <f>COUNTIFS(stayCity[city],entryCity[[#This Row],[city]],stayCity[yr],AI$45)</f>
        <v/>
      </c>
      <c r="AJ56" s="1610">
        <f>COUNTIFS(stayCity[city],entryCity[[#This Row],[city]],stayCity[yr],AJ$45)</f>
        <v/>
      </c>
      <c r="AK56" s="1597" t="inlineStr">
        <is>
          <t>.</t>
        </is>
      </c>
      <c r="AL56" s="1612" t="n"/>
      <c r="AM56" s="1612" t="n"/>
      <c r="AN56" s="1612" t="n"/>
      <c r="AO56" s="1612" t="n"/>
      <c r="AP56" s="1612" t="n"/>
      <c r="AQ56" s="1612" t="n"/>
      <c r="AR56" s="1612" t="n"/>
      <c r="AS56" s="1612" t="n"/>
      <c r="AT56" s="1612" t="n"/>
      <c r="AU56" s="1612" t="n"/>
      <c r="AV56" s="1612" t="n"/>
      <c r="AW56" s="1612" t="n"/>
      <c r="AX56" s="1612" t="n"/>
      <c r="AY56" s="1612" t="n"/>
      <c r="AZ56" s="1612" t="n"/>
      <c r="BA56" s="1612" t="n"/>
      <c r="BB56" s="1612" t="n"/>
      <c r="BC56" s="1612" t="n"/>
      <c r="BD56" s="1612" t="n"/>
      <c r="BE56" s="1612" t="n"/>
      <c r="BF56" s="1612" t="n"/>
      <c r="BG56" s="1612" t="n"/>
      <c r="BH56" s="1612" t="n"/>
      <c r="BI56" s="1612" t="n"/>
      <c r="BJ56" s="1612" t="n"/>
      <c r="BK56" s="1612" t="n"/>
      <c r="BL56" s="1612" t="n"/>
      <c r="BM56" s="1612" t="n"/>
      <c r="BN56" s="1612" t="n"/>
      <c r="BO56" s="1612" t="n"/>
      <c r="BP56" s="1612" t="n"/>
      <c r="BQ56" s="1612" t="n"/>
      <c r="BR56" s="1612" t="n"/>
      <c r="BS56" s="1612" t="n"/>
      <c r="BT56" s="1612" t="n"/>
      <c r="BU56" s="1612" t="n"/>
      <c r="BV56" s="1612" t="n"/>
      <c r="BW56" s="1612" t="n"/>
      <c r="BX56" s="1612" t="n"/>
      <c r="BY56" s="1612" t="n"/>
      <c r="BZ56" s="1612" t="n"/>
      <c r="CA56" s="1612" t="n"/>
      <c r="CB56" s="1612" t="n"/>
      <c r="CC56" s="1612" t="n"/>
      <c r="CD56" s="1612" t="n"/>
      <c r="CE56" s="1612" t="n"/>
      <c r="CF56" s="1612" t="n"/>
      <c r="CG56" s="1612" t="n"/>
    </row>
    <row r="57" ht="15" customHeight="1">
      <c r="A57" s="1596" t="n"/>
      <c r="B57" s="1794">
        <f>SUM(D57:AK57)</f>
        <v/>
      </c>
      <c r="C57" s="1795" t="inlineStr">
        <is>
          <t>Sainte-Julienne</t>
        </is>
      </c>
      <c r="D57" s="1610">
        <f>COUNTIFS(stayCity[city],entryCity[[#This Row],[city]],stayCity[yr],D$45)</f>
        <v/>
      </c>
      <c r="E57" s="1610">
        <f>COUNTIFS(stayCity[city],entryCity[[#This Row],[city]],stayCity[yr],E$45)</f>
        <v/>
      </c>
      <c r="F57" s="1610">
        <f>COUNTIFS(stayCity[city],entryCity[[#This Row],[city]],stayCity[yr],F$45)</f>
        <v/>
      </c>
      <c r="G57" s="1610">
        <f>COUNTIFS(stayCity[city],entryCity[[#This Row],[city]],stayCity[yr],G$45)</f>
        <v/>
      </c>
      <c r="H57" s="1610">
        <f>COUNTIFS(stayCity[city],entryCity[[#This Row],[city]],stayCity[yr],H$45)</f>
        <v/>
      </c>
      <c r="I57" s="1610">
        <f>COUNTIFS(stayCity[city],entryCity[[#This Row],[city]],stayCity[yr],I$45)</f>
        <v/>
      </c>
      <c r="J57" s="1610">
        <f>COUNTIFS(stayCity[city],entryCity[[#This Row],[city]],stayCity[yr],J$45)</f>
        <v/>
      </c>
      <c r="K57" s="1610">
        <f>COUNTIFS(stayCity[city],entryCity[[#This Row],[city]],stayCity[yr],K$45)</f>
        <v/>
      </c>
      <c r="L57" s="1610">
        <f>COUNTIFS(stayCity[city],entryCity[[#This Row],[city]],stayCity[yr],L$45)</f>
        <v/>
      </c>
      <c r="M57" s="1610">
        <f>COUNTIFS(stayCity[city],entryCity[[#This Row],[city]],stayCity[yr],M$45)</f>
        <v/>
      </c>
      <c r="N57" s="1610">
        <f>COUNTIFS(stayCity[city],entryCity[[#This Row],[city]],stayCity[yr],N$45)</f>
        <v/>
      </c>
      <c r="O57" s="1610">
        <f>COUNTIFS(stayCity[city],entryCity[[#This Row],[city]],stayCity[yr],O$45)</f>
        <v/>
      </c>
      <c r="P57" s="1610">
        <f>COUNTIFS(stayCity[city],entryCity[[#This Row],[city]],stayCity[yr],P$45)</f>
        <v/>
      </c>
      <c r="Q57" s="1610">
        <f>COUNTIFS(stayCity[city],entryCity[[#This Row],[city]],stayCity[yr],Q$45)</f>
        <v/>
      </c>
      <c r="R57" s="1610">
        <f>COUNTIFS(stayCity[city],entryCity[[#This Row],[city]],stayCity[yr],R$45)</f>
        <v/>
      </c>
      <c r="S57" s="1610">
        <f>COUNTIFS(stayCity[city],entryCity[[#This Row],[city]],stayCity[yr],S$45)</f>
        <v/>
      </c>
      <c r="T57" s="1610">
        <f>COUNTIFS(stayCity[city],entryCity[[#This Row],[city]],stayCity[yr],T$45)</f>
        <v/>
      </c>
      <c r="U57" s="1610">
        <f>COUNTIFS(stayCity[city],entryCity[[#This Row],[city]],stayCity[yr],U$45)</f>
        <v/>
      </c>
      <c r="V57" s="1610">
        <f>COUNTIFS(stayCity[city],entryCity[[#This Row],[city]],stayCity[yr],V$45)</f>
        <v/>
      </c>
      <c r="W57" s="1610">
        <f>COUNTIFS(stayCity[city],entryCity[[#This Row],[city]],stayCity[yr],W$45)</f>
        <v/>
      </c>
      <c r="X57" s="1610">
        <f>COUNTIFS(stayCity[city],entryCity[[#This Row],[city]],stayCity[yr],X$45)</f>
        <v/>
      </c>
      <c r="Y57" s="1610">
        <f>COUNTIFS(stayCity[city],entryCity[[#This Row],[city]],stayCity[yr],Y$45)</f>
        <v/>
      </c>
      <c r="Z57" s="1610">
        <f>COUNTIFS(stayCity[city],entryCity[[#This Row],[city]],stayCity[yr],Z$45)</f>
        <v/>
      </c>
      <c r="AA57" s="1610">
        <f>COUNTIFS(stayCity[city],entryCity[[#This Row],[city]],stayCity[yr],AA$45)</f>
        <v/>
      </c>
      <c r="AB57" s="1610">
        <f>COUNTIFS(stayCity[city],entryCity[[#This Row],[city]],stayCity[yr],AB$45)</f>
        <v/>
      </c>
      <c r="AC57" s="1610">
        <f>COUNTIFS(stayCity[city],entryCity[[#This Row],[city]],stayCity[yr],AC$45)</f>
        <v/>
      </c>
      <c r="AD57" s="1610">
        <f>COUNTIFS(stayCity[city],entryCity[[#This Row],[city]],stayCity[yr],AD$45)</f>
        <v/>
      </c>
      <c r="AE57" s="1610">
        <f>COUNTIFS(stayCity[city],entryCity[[#This Row],[city]],stayCity[yr],AE$45)</f>
        <v/>
      </c>
      <c r="AF57" s="1610">
        <f>COUNTIFS(stayCity[city],entryCity[[#This Row],[city]],stayCity[yr],AF$45)</f>
        <v/>
      </c>
      <c r="AG57" s="1610">
        <f>COUNTIFS(stayCity[city],entryCity[[#This Row],[city]],stayCity[yr],AG$45)</f>
        <v/>
      </c>
      <c r="AH57" s="1610">
        <f>COUNTIFS(stayCity[city],entryCity[[#This Row],[city]],stayCity[yr],AH$45)</f>
        <v/>
      </c>
      <c r="AI57" s="1610">
        <f>COUNTIFS(stayCity[city],entryCity[[#This Row],[city]],stayCity[yr],AI$45)</f>
        <v/>
      </c>
      <c r="AJ57" s="1610">
        <f>COUNTIFS(stayCity[city],entryCity[[#This Row],[city]],stayCity[yr],AJ$45)</f>
        <v/>
      </c>
      <c r="AK57" s="1597" t="inlineStr">
        <is>
          <t>.</t>
        </is>
      </c>
      <c r="AL57" s="1612" t="n"/>
      <c r="AM57" s="1612" t="n"/>
      <c r="AN57" s="1612" t="n"/>
      <c r="AO57" s="1612" t="n"/>
      <c r="AP57" s="1612" t="n"/>
      <c r="AQ57" s="1612" t="n"/>
      <c r="AR57" s="1612" t="n"/>
      <c r="AS57" s="1612" t="n"/>
      <c r="AT57" s="1612" t="n"/>
      <c r="AU57" s="1612" t="n"/>
      <c r="AV57" s="1612" t="n"/>
      <c r="AW57" s="1612" t="n"/>
      <c r="AX57" s="1612" t="n"/>
      <c r="AY57" s="1612" t="n"/>
      <c r="AZ57" s="1612" t="n"/>
      <c r="BA57" s="1612" t="n"/>
      <c r="BB57" s="1612" t="n"/>
      <c r="BC57" s="1612" t="n"/>
      <c r="BD57" s="1612" t="n"/>
      <c r="BE57" s="1612" t="n"/>
      <c r="BF57" s="1612" t="n"/>
      <c r="BG57" s="1612" t="n"/>
      <c r="BH57" s="1612" t="n"/>
      <c r="BI57" s="1612" t="n"/>
      <c r="BJ57" s="1612" t="n"/>
      <c r="BK57" s="1612" t="n"/>
      <c r="BL57" s="1612" t="n"/>
      <c r="BM57" s="1612" t="n"/>
      <c r="BN57" s="1612" t="n"/>
      <c r="BO57" s="1612" t="n"/>
      <c r="BP57" s="1612" t="n"/>
      <c r="BQ57" s="1612" t="n"/>
      <c r="BR57" s="1612" t="n"/>
      <c r="BS57" s="1612" t="n"/>
      <c r="BT57" s="1612" t="n"/>
      <c r="BU57" s="1612" t="n"/>
      <c r="BV57" s="1612" t="n"/>
      <c r="BW57" s="1612" t="n"/>
      <c r="BX57" s="1612" t="n"/>
      <c r="BY57" s="1612" t="n"/>
      <c r="BZ57" s="1612" t="n"/>
      <c r="CA57" s="1612" t="n"/>
      <c r="CB57" s="1612" t="n"/>
      <c r="CC57" s="1612" t="n"/>
      <c r="CD57" s="1612" t="n"/>
      <c r="CE57" s="1612" t="n"/>
      <c r="CF57" s="1612" t="n"/>
      <c r="CG57" s="1612" t="n"/>
    </row>
    <row r="58" ht="15" customHeight="1">
      <c r="A58" s="1615" t="n"/>
      <c r="B58" s="1781">
        <f>SUM(D58:AK58)</f>
        <v/>
      </c>
      <c r="C58" s="1782" t="inlineStr">
        <is>
          <t>Carignan</t>
        </is>
      </c>
      <c r="D58" s="1610">
        <f>COUNTIFS(stayCity[city],entryCity[[#This Row],[city]],stayCity[yr],D$45)</f>
        <v/>
      </c>
      <c r="E58" s="1610">
        <f>COUNTIFS(stayCity[city],entryCity[[#This Row],[city]],stayCity[yr],E$45)</f>
        <v/>
      </c>
      <c r="F58" s="1610">
        <f>COUNTIFS(stayCity[city],entryCity[[#This Row],[city]],stayCity[yr],F$45)</f>
        <v/>
      </c>
      <c r="G58" s="1610">
        <f>COUNTIFS(stayCity[city],entryCity[[#This Row],[city]],stayCity[yr],G$45)</f>
        <v/>
      </c>
      <c r="H58" s="1610">
        <f>COUNTIFS(stayCity[city],entryCity[[#This Row],[city]],stayCity[yr],H$45)</f>
        <v/>
      </c>
      <c r="I58" s="1610">
        <f>COUNTIFS(stayCity[city],entryCity[[#This Row],[city]],stayCity[yr],I$45)</f>
        <v/>
      </c>
      <c r="J58" s="1610">
        <f>COUNTIFS(stayCity[city],entryCity[[#This Row],[city]],stayCity[yr],J$45)</f>
        <v/>
      </c>
      <c r="K58" s="1610">
        <f>COUNTIFS(stayCity[city],entryCity[[#This Row],[city]],stayCity[yr],K$45)</f>
        <v/>
      </c>
      <c r="L58" s="1610">
        <f>COUNTIFS(stayCity[city],entryCity[[#This Row],[city]],stayCity[yr],L$45)</f>
        <v/>
      </c>
      <c r="M58" s="1610">
        <f>COUNTIFS(stayCity[city],entryCity[[#This Row],[city]],stayCity[yr],M$45)</f>
        <v/>
      </c>
      <c r="N58" s="1610">
        <f>COUNTIFS(stayCity[city],entryCity[[#This Row],[city]],stayCity[yr],N$45)</f>
        <v/>
      </c>
      <c r="O58" s="1610">
        <f>COUNTIFS(stayCity[city],entryCity[[#This Row],[city]],stayCity[yr],O$45)</f>
        <v/>
      </c>
      <c r="P58" s="1610">
        <f>COUNTIFS(stayCity[city],entryCity[[#This Row],[city]],stayCity[yr],P$45)</f>
        <v/>
      </c>
      <c r="Q58" s="1610">
        <f>COUNTIFS(stayCity[city],entryCity[[#This Row],[city]],stayCity[yr],Q$45)</f>
        <v/>
      </c>
      <c r="R58" s="1610">
        <f>COUNTIFS(stayCity[city],entryCity[[#This Row],[city]],stayCity[yr],R$45)</f>
        <v/>
      </c>
      <c r="S58" s="1610">
        <f>COUNTIFS(stayCity[city],entryCity[[#This Row],[city]],stayCity[yr],S$45)</f>
        <v/>
      </c>
      <c r="T58" s="1610">
        <f>COUNTIFS(stayCity[city],entryCity[[#This Row],[city]],stayCity[yr],T$45)</f>
        <v/>
      </c>
      <c r="U58" s="1610">
        <f>COUNTIFS(stayCity[city],entryCity[[#This Row],[city]],stayCity[yr],U$45)</f>
        <v/>
      </c>
      <c r="V58" s="1610">
        <f>COUNTIFS(stayCity[city],entryCity[[#This Row],[city]],stayCity[yr],V$45)</f>
        <v/>
      </c>
      <c r="W58" s="1610">
        <f>COUNTIFS(stayCity[city],entryCity[[#This Row],[city]],stayCity[yr],W$45)</f>
        <v/>
      </c>
      <c r="X58" s="1610">
        <f>COUNTIFS(stayCity[city],entryCity[[#This Row],[city]],stayCity[yr],X$45)</f>
        <v/>
      </c>
      <c r="Y58" s="1610">
        <f>COUNTIFS(stayCity[city],entryCity[[#This Row],[city]],stayCity[yr],Y$45)</f>
        <v/>
      </c>
      <c r="Z58" s="1610">
        <f>COUNTIFS(stayCity[city],entryCity[[#This Row],[city]],stayCity[yr],Z$45)</f>
        <v/>
      </c>
      <c r="AA58" s="1610">
        <f>COUNTIFS(stayCity[city],entryCity[[#This Row],[city]],stayCity[yr],AA$45)</f>
        <v/>
      </c>
      <c r="AB58" s="1610">
        <f>COUNTIFS(stayCity[city],entryCity[[#This Row],[city]],stayCity[yr],AB$45)</f>
        <v/>
      </c>
      <c r="AC58" s="1610">
        <f>COUNTIFS(stayCity[city],entryCity[[#This Row],[city]],stayCity[yr],AC$45)</f>
        <v/>
      </c>
      <c r="AD58" s="1610">
        <f>COUNTIFS(stayCity[city],entryCity[[#This Row],[city]],stayCity[yr],AD$45)</f>
        <v/>
      </c>
      <c r="AE58" s="1610">
        <f>COUNTIFS(stayCity[city],entryCity[[#This Row],[city]],stayCity[yr],AE$45)</f>
        <v/>
      </c>
      <c r="AF58" s="1610">
        <f>COUNTIFS(stayCity[city],entryCity[[#This Row],[city]],stayCity[yr],AF$45)</f>
        <v/>
      </c>
      <c r="AG58" s="1610">
        <f>COUNTIFS(stayCity[city],entryCity[[#This Row],[city]],stayCity[yr],AG$45)</f>
        <v/>
      </c>
      <c r="AH58" s="1610">
        <f>COUNTIFS(stayCity[city],entryCity[[#This Row],[city]],stayCity[yr],AH$45)</f>
        <v/>
      </c>
      <c r="AI58" s="1610">
        <f>COUNTIFS(stayCity[city],entryCity[[#This Row],[city]],stayCity[yr],AI$45)</f>
        <v/>
      </c>
      <c r="AJ58" s="1610">
        <f>COUNTIFS(stayCity[city],entryCity[[#This Row],[city]],stayCity[yr],AJ$45)</f>
        <v/>
      </c>
      <c r="AK58" s="1597" t="inlineStr">
        <is>
          <t>.</t>
        </is>
      </c>
      <c r="AL58" s="1612" t="n"/>
      <c r="AM58" s="1612" t="n"/>
      <c r="AN58" s="1612" t="n"/>
      <c r="AO58" s="1612" t="n"/>
      <c r="AP58" s="1612" t="n"/>
      <c r="AQ58" s="1612" t="n"/>
      <c r="AR58" s="1612" t="n"/>
      <c r="AS58" s="1612" t="n"/>
      <c r="AT58" s="1612" t="n"/>
      <c r="AU58" s="1612" t="n"/>
      <c r="AV58" s="1612" t="n"/>
      <c r="AW58" s="1612" t="n"/>
      <c r="AX58" s="1612" t="n"/>
      <c r="AY58" s="1612" t="n"/>
      <c r="AZ58" s="1612" t="n"/>
      <c r="BA58" s="1612" t="n"/>
      <c r="BB58" s="1612" t="n"/>
      <c r="BC58" s="1612" t="n"/>
      <c r="BD58" s="1612" t="n"/>
      <c r="BE58" s="1612" t="n"/>
      <c r="BF58" s="1612" t="n"/>
      <c r="BG58" s="1612" t="n"/>
      <c r="BH58" s="1612" t="n"/>
      <c r="BI58" s="1612" t="n"/>
      <c r="BJ58" s="1612" t="n"/>
      <c r="BK58" s="1612" t="n"/>
      <c r="BL58" s="1612" t="n"/>
      <c r="BM58" s="1612" t="n"/>
      <c r="BN58" s="1612" t="n"/>
      <c r="BO58" s="1612" t="n"/>
      <c r="BP58" s="1612" t="n"/>
      <c r="BQ58" s="1612" t="n"/>
      <c r="BR58" s="1612" t="n"/>
      <c r="BS58" s="1612" t="n"/>
      <c r="BT58" s="1612" t="n"/>
      <c r="BU58" s="1612" t="n"/>
      <c r="BV58" s="1612" t="n"/>
      <c r="BW58" s="1612" t="n"/>
      <c r="BX58" s="1612" t="n"/>
      <c r="BY58" s="1612" t="n"/>
      <c r="BZ58" s="1612" t="n"/>
      <c r="CA58" s="1612" t="n"/>
      <c r="CB58" s="1612" t="n"/>
      <c r="CC58" s="1612" t="n"/>
      <c r="CD58" s="1612" t="n"/>
      <c r="CE58" s="1612" t="n"/>
      <c r="CF58" s="1612" t="n"/>
      <c r="CG58" s="1612" t="n"/>
    </row>
    <row r="59" ht="15" customHeight="1">
      <c r="A59" s="1596" t="n"/>
      <c r="B59" s="1794">
        <f>SUM(D59:AK59)</f>
        <v/>
      </c>
      <c r="C59" s="1795" t="inlineStr">
        <is>
          <t>Columbia</t>
        </is>
      </c>
      <c r="D59" s="1610">
        <f>COUNTIFS(stayCity[city],entryCity[[#This Row],[city]],stayCity[yr],D$45)</f>
        <v/>
      </c>
      <c r="E59" s="1610">
        <f>COUNTIFS(stayCity[city],entryCity[[#This Row],[city]],stayCity[yr],E$45)</f>
        <v/>
      </c>
      <c r="F59" s="1610">
        <f>COUNTIFS(stayCity[city],entryCity[[#This Row],[city]],stayCity[yr],F$45)</f>
        <v/>
      </c>
      <c r="G59" s="1610">
        <f>COUNTIFS(stayCity[city],entryCity[[#This Row],[city]],stayCity[yr],G$45)</f>
        <v/>
      </c>
      <c r="H59" s="1610">
        <f>COUNTIFS(stayCity[city],entryCity[[#This Row],[city]],stayCity[yr],H$45)</f>
        <v/>
      </c>
      <c r="I59" s="1610">
        <f>COUNTIFS(stayCity[city],entryCity[[#This Row],[city]],stayCity[yr],I$45)</f>
        <v/>
      </c>
      <c r="J59" s="1610">
        <f>COUNTIFS(stayCity[city],entryCity[[#This Row],[city]],stayCity[yr],J$45)</f>
        <v/>
      </c>
      <c r="K59" s="1610">
        <f>COUNTIFS(stayCity[city],entryCity[[#This Row],[city]],stayCity[yr],K$45)</f>
        <v/>
      </c>
      <c r="L59" s="1610">
        <f>COUNTIFS(stayCity[city],entryCity[[#This Row],[city]],stayCity[yr],L$45)</f>
        <v/>
      </c>
      <c r="M59" s="1610">
        <f>COUNTIFS(stayCity[city],entryCity[[#This Row],[city]],stayCity[yr],M$45)</f>
        <v/>
      </c>
      <c r="N59" s="1610">
        <f>COUNTIFS(stayCity[city],entryCity[[#This Row],[city]],stayCity[yr],N$45)</f>
        <v/>
      </c>
      <c r="O59" s="1610">
        <f>COUNTIFS(stayCity[city],entryCity[[#This Row],[city]],stayCity[yr],O$45)</f>
        <v/>
      </c>
      <c r="P59" s="1610">
        <f>COUNTIFS(stayCity[city],entryCity[[#This Row],[city]],stayCity[yr],P$45)</f>
        <v/>
      </c>
      <c r="Q59" s="1610">
        <f>COUNTIFS(stayCity[city],entryCity[[#This Row],[city]],stayCity[yr],Q$45)</f>
        <v/>
      </c>
      <c r="R59" s="1610">
        <f>COUNTIFS(stayCity[city],entryCity[[#This Row],[city]],stayCity[yr],R$45)</f>
        <v/>
      </c>
      <c r="S59" s="1610">
        <f>COUNTIFS(stayCity[city],entryCity[[#This Row],[city]],stayCity[yr],S$45)</f>
        <v/>
      </c>
      <c r="T59" s="1610">
        <f>COUNTIFS(stayCity[city],entryCity[[#This Row],[city]],stayCity[yr],T$45)</f>
        <v/>
      </c>
      <c r="U59" s="1610">
        <f>COUNTIFS(stayCity[city],entryCity[[#This Row],[city]],stayCity[yr],U$45)</f>
        <v/>
      </c>
      <c r="V59" s="1610">
        <f>COUNTIFS(stayCity[city],entryCity[[#This Row],[city]],stayCity[yr],V$45)</f>
        <v/>
      </c>
      <c r="W59" s="1610">
        <f>COUNTIFS(stayCity[city],entryCity[[#This Row],[city]],stayCity[yr],W$45)</f>
        <v/>
      </c>
      <c r="X59" s="1610">
        <f>COUNTIFS(stayCity[city],entryCity[[#This Row],[city]],stayCity[yr],X$45)</f>
        <v/>
      </c>
      <c r="Y59" s="1610">
        <f>COUNTIFS(stayCity[city],entryCity[[#This Row],[city]],stayCity[yr],Y$45)</f>
        <v/>
      </c>
      <c r="Z59" s="1610">
        <f>COUNTIFS(stayCity[city],entryCity[[#This Row],[city]],stayCity[yr],Z$45)</f>
        <v/>
      </c>
      <c r="AA59" s="1610">
        <f>COUNTIFS(stayCity[city],entryCity[[#This Row],[city]],stayCity[yr],AA$45)</f>
        <v/>
      </c>
      <c r="AB59" s="1610">
        <f>COUNTIFS(stayCity[city],entryCity[[#This Row],[city]],stayCity[yr],AB$45)</f>
        <v/>
      </c>
      <c r="AC59" s="1610">
        <f>COUNTIFS(stayCity[city],entryCity[[#This Row],[city]],stayCity[yr],AC$45)</f>
        <v/>
      </c>
      <c r="AD59" s="1610">
        <f>COUNTIFS(stayCity[city],entryCity[[#This Row],[city]],stayCity[yr],AD$45)</f>
        <v/>
      </c>
      <c r="AE59" s="1610">
        <f>COUNTIFS(stayCity[city],entryCity[[#This Row],[city]],stayCity[yr],AE$45)</f>
        <v/>
      </c>
      <c r="AF59" s="1610">
        <f>COUNTIFS(stayCity[city],entryCity[[#This Row],[city]],stayCity[yr],AF$45)</f>
        <v/>
      </c>
      <c r="AG59" s="1610">
        <f>COUNTIFS(stayCity[city],entryCity[[#This Row],[city]],stayCity[yr],AG$45)</f>
        <v/>
      </c>
      <c r="AH59" s="1610">
        <f>COUNTIFS(stayCity[city],entryCity[[#This Row],[city]],stayCity[yr],AH$45)</f>
        <v/>
      </c>
      <c r="AI59" s="1610">
        <f>COUNTIFS(stayCity[city],entryCity[[#This Row],[city]],stayCity[yr],AI$45)</f>
        <v/>
      </c>
      <c r="AJ59" s="1610">
        <f>COUNTIFS(stayCity[city],entryCity[[#This Row],[city]],stayCity[yr],AJ$45)</f>
        <v/>
      </c>
      <c r="AK59" s="1597" t="inlineStr">
        <is>
          <t>.</t>
        </is>
      </c>
      <c r="AL59" s="1612" t="n"/>
      <c r="AM59" s="1612" t="n"/>
      <c r="AN59" s="1612" t="n"/>
      <c r="AO59" s="1612" t="n"/>
      <c r="AP59" s="1612" t="n"/>
      <c r="AQ59" s="1612" t="n"/>
      <c r="AR59" s="1612" t="n"/>
      <c r="AS59" s="1612" t="n"/>
      <c r="AT59" s="1612" t="n"/>
      <c r="AU59" s="1612" t="n"/>
      <c r="AV59" s="1612" t="n"/>
      <c r="AW59" s="1612" t="n"/>
      <c r="AX59" s="1612" t="n"/>
      <c r="AY59" s="1612" t="n"/>
      <c r="AZ59" s="1612" t="n"/>
      <c r="BA59" s="1612" t="n"/>
      <c r="BB59" s="1612" t="n"/>
      <c r="BC59" s="1612" t="n"/>
      <c r="BD59" s="1612" t="n"/>
      <c r="BE59" s="1612" t="n"/>
      <c r="BF59" s="1612" t="n"/>
      <c r="BG59" s="1612" t="n"/>
      <c r="BH59" s="1612" t="n"/>
      <c r="BI59" s="1612" t="n"/>
      <c r="BJ59" s="1612" t="n"/>
      <c r="BK59" s="1612" t="n"/>
      <c r="BL59" s="1612" t="n"/>
      <c r="BM59" s="1612" t="n"/>
      <c r="BN59" s="1612" t="n"/>
      <c r="BO59" s="1612" t="n"/>
      <c r="BP59" s="1612" t="n"/>
      <c r="BQ59" s="1612" t="n"/>
      <c r="BR59" s="1612" t="n"/>
      <c r="BS59" s="1612" t="n"/>
      <c r="BT59" s="1612" t="n"/>
      <c r="BU59" s="1612" t="n"/>
      <c r="BV59" s="1612" t="n"/>
      <c r="BW59" s="1612" t="n"/>
      <c r="BX59" s="1612" t="n"/>
      <c r="BY59" s="1612" t="n"/>
      <c r="BZ59" s="1612" t="n"/>
      <c r="CA59" s="1612" t="n"/>
      <c r="CB59" s="1612" t="n"/>
      <c r="CC59" s="1612" t="n"/>
      <c r="CD59" s="1612" t="n"/>
      <c r="CE59" s="1612" t="n"/>
      <c r="CF59" s="1612" t="n"/>
      <c r="CG59" s="1612" t="n"/>
    </row>
    <row r="60" ht="15" customHeight="1">
      <c r="A60" s="1615" t="n"/>
      <c r="B60" s="1781">
        <f>SUM(D60:AK60)</f>
        <v/>
      </c>
      <c r="C60" s="1782" t="inlineStr">
        <is>
          <t>Barcelona</t>
        </is>
      </c>
      <c r="D60" s="1610">
        <f>COUNTIFS(stayCity[city],entryCity[[#This Row],[city]],stayCity[yr],D$45)</f>
        <v/>
      </c>
      <c r="E60" s="1610">
        <f>COUNTIFS(stayCity[city],entryCity[[#This Row],[city]],stayCity[yr],E$45)</f>
        <v/>
      </c>
      <c r="F60" s="1610">
        <f>COUNTIFS(stayCity[city],entryCity[[#This Row],[city]],stayCity[yr],F$45)</f>
        <v/>
      </c>
      <c r="G60" s="1610">
        <f>COUNTIFS(stayCity[city],entryCity[[#This Row],[city]],stayCity[yr],G$45)</f>
        <v/>
      </c>
      <c r="H60" s="1610">
        <f>COUNTIFS(stayCity[city],entryCity[[#This Row],[city]],stayCity[yr],H$45)</f>
        <v/>
      </c>
      <c r="I60" s="1610">
        <f>COUNTIFS(stayCity[city],entryCity[[#This Row],[city]],stayCity[yr],I$45)</f>
        <v/>
      </c>
      <c r="J60" s="1610">
        <f>COUNTIFS(stayCity[city],entryCity[[#This Row],[city]],stayCity[yr],J$45)</f>
        <v/>
      </c>
      <c r="K60" s="1610">
        <f>COUNTIFS(stayCity[city],entryCity[[#This Row],[city]],stayCity[yr],K$45)</f>
        <v/>
      </c>
      <c r="L60" s="1610">
        <f>COUNTIFS(stayCity[city],entryCity[[#This Row],[city]],stayCity[yr],L$45)</f>
        <v/>
      </c>
      <c r="M60" s="1610">
        <f>COUNTIFS(stayCity[city],entryCity[[#This Row],[city]],stayCity[yr],M$45)</f>
        <v/>
      </c>
      <c r="N60" s="1610">
        <f>COUNTIFS(stayCity[city],entryCity[[#This Row],[city]],stayCity[yr],N$45)</f>
        <v/>
      </c>
      <c r="O60" s="1610">
        <f>COUNTIFS(stayCity[city],entryCity[[#This Row],[city]],stayCity[yr],O$45)</f>
        <v/>
      </c>
      <c r="P60" s="1610">
        <f>COUNTIFS(stayCity[city],entryCity[[#This Row],[city]],stayCity[yr],P$45)</f>
        <v/>
      </c>
      <c r="Q60" s="1610">
        <f>COUNTIFS(stayCity[city],entryCity[[#This Row],[city]],stayCity[yr],Q$45)</f>
        <v/>
      </c>
      <c r="R60" s="1610">
        <f>COUNTIFS(stayCity[city],entryCity[[#This Row],[city]],stayCity[yr],R$45)</f>
        <v/>
      </c>
      <c r="S60" s="1610">
        <f>COUNTIFS(stayCity[city],entryCity[[#This Row],[city]],stayCity[yr],S$45)</f>
        <v/>
      </c>
      <c r="T60" s="1610">
        <f>COUNTIFS(stayCity[city],entryCity[[#This Row],[city]],stayCity[yr],T$45)</f>
        <v/>
      </c>
      <c r="U60" s="1610">
        <f>COUNTIFS(stayCity[city],entryCity[[#This Row],[city]],stayCity[yr],U$45)</f>
        <v/>
      </c>
      <c r="V60" s="1610">
        <f>COUNTIFS(stayCity[city],entryCity[[#This Row],[city]],stayCity[yr],V$45)</f>
        <v/>
      </c>
      <c r="W60" s="1610">
        <f>COUNTIFS(stayCity[city],entryCity[[#This Row],[city]],stayCity[yr],W$45)</f>
        <v/>
      </c>
      <c r="X60" s="1610">
        <f>COUNTIFS(stayCity[city],entryCity[[#This Row],[city]],stayCity[yr],X$45)</f>
        <v/>
      </c>
      <c r="Y60" s="1610">
        <f>COUNTIFS(stayCity[city],entryCity[[#This Row],[city]],stayCity[yr],Y$45)</f>
        <v/>
      </c>
      <c r="Z60" s="1610">
        <f>COUNTIFS(stayCity[city],entryCity[[#This Row],[city]],stayCity[yr],Z$45)</f>
        <v/>
      </c>
      <c r="AA60" s="1610">
        <f>COUNTIFS(stayCity[city],entryCity[[#This Row],[city]],stayCity[yr],AA$45)</f>
        <v/>
      </c>
      <c r="AB60" s="1610">
        <f>COUNTIFS(stayCity[city],entryCity[[#This Row],[city]],stayCity[yr],AB$45)</f>
        <v/>
      </c>
      <c r="AC60" s="1610">
        <f>COUNTIFS(stayCity[city],entryCity[[#This Row],[city]],stayCity[yr],AC$45)</f>
        <v/>
      </c>
      <c r="AD60" s="1610">
        <f>COUNTIFS(stayCity[city],entryCity[[#This Row],[city]],stayCity[yr],AD$45)</f>
        <v/>
      </c>
      <c r="AE60" s="1610">
        <f>COUNTIFS(stayCity[city],entryCity[[#This Row],[city]],stayCity[yr],AE$45)</f>
        <v/>
      </c>
      <c r="AF60" s="1610">
        <f>COUNTIFS(stayCity[city],entryCity[[#This Row],[city]],stayCity[yr],AF$45)</f>
        <v/>
      </c>
      <c r="AG60" s="1610">
        <f>COUNTIFS(stayCity[city],entryCity[[#This Row],[city]],stayCity[yr],AG$45)</f>
        <v/>
      </c>
      <c r="AH60" s="1610">
        <f>COUNTIFS(stayCity[city],entryCity[[#This Row],[city]],stayCity[yr],AH$45)</f>
        <v/>
      </c>
      <c r="AI60" s="1610">
        <f>COUNTIFS(stayCity[city],entryCity[[#This Row],[city]],stayCity[yr],AI$45)</f>
        <v/>
      </c>
      <c r="AJ60" s="1610">
        <f>COUNTIFS(stayCity[city],entryCity[[#This Row],[city]],stayCity[yr],AJ$45)</f>
        <v/>
      </c>
      <c r="AK60" s="1597" t="inlineStr">
        <is>
          <t>.</t>
        </is>
      </c>
      <c r="AL60" s="1612" t="n"/>
      <c r="AM60" s="1612" t="n"/>
      <c r="AN60" s="1612" t="n"/>
      <c r="AO60" s="1612" t="n"/>
      <c r="AP60" s="1612" t="n"/>
      <c r="AQ60" s="1612" t="n"/>
      <c r="AR60" s="1612" t="n"/>
      <c r="AS60" s="1612" t="n"/>
      <c r="AT60" s="1612" t="n"/>
      <c r="AU60" s="1612" t="n"/>
      <c r="AV60" s="1612" t="n"/>
      <c r="AW60" s="1612" t="n"/>
      <c r="AX60" s="1612" t="n"/>
      <c r="AY60" s="1612" t="n"/>
      <c r="AZ60" s="1612" t="n"/>
      <c r="BA60" s="1612" t="n"/>
      <c r="BB60" s="1612" t="n"/>
      <c r="BC60" s="1612" t="n"/>
      <c r="BD60" s="1612" t="n"/>
      <c r="BE60" s="1612" t="n"/>
      <c r="BF60" s="1612" t="n"/>
      <c r="BG60" s="1612" t="n"/>
      <c r="BH60" s="1612" t="n"/>
      <c r="BI60" s="1612" t="n"/>
      <c r="BJ60" s="1612" t="n"/>
      <c r="BK60" s="1612" t="n"/>
      <c r="BL60" s="1612" t="n"/>
      <c r="BM60" s="1612" t="n"/>
      <c r="BN60" s="1612" t="n"/>
      <c r="BO60" s="1612" t="n"/>
      <c r="BP60" s="1612" t="n"/>
      <c r="BQ60" s="1612" t="n"/>
      <c r="BR60" s="1612" t="n"/>
      <c r="BS60" s="1612" t="n"/>
      <c r="BT60" s="1612" t="n"/>
      <c r="BU60" s="1612" t="n"/>
      <c r="BV60" s="1612" t="n"/>
      <c r="BW60" s="1612" t="n"/>
      <c r="BX60" s="1612" t="n"/>
      <c r="BY60" s="1612" t="n"/>
      <c r="BZ60" s="1612" t="n"/>
      <c r="CA60" s="1612" t="n"/>
      <c r="CB60" s="1612" t="n"/>
      <c r="CC60" s="1612" t="n"/>
      <c r="CD60" s="1612" t="n"/>
      <c r="CE60" s="1612" t="n"/>
      <c r="CF60" s="1612" t="n"/>
      <c r="CG60" s="1612" t="n"/>
    </row>
    <row r="61" ht="15" customHeight="1">
      <c r="A61" s="1596" t="n"/>
      <c r="B61" s="1794">
        <f>SUM(D61:AK61)</f>
        <v/>
      </c>
      <c r="C61" s="1795" t="inlineStr">
        <is>
          <t>Buenos Aires</t>
        </is>
      </c>
      <c r="D61" s="1610">
        <f>COUNTIFS(stayCity[city],entryCity[[#This Row],[city]],stayCity[yr],D$45)</f>
        <v/>
      </c>
      <c r="E61" s="1610">
        <f>COUNTIFS(stayCity[city],entryCity[[#This Row],[city]],stayCity[yr],E$45)</f>
        <v/>
      </c>
      <c r="F61" s="1610">
        <f>COUNTIFS(stayCity[city],entryCity[[#This Row],[city]],stayCity[yr],F$45)</f>
        <v/>
      </c>
      <c r="G61" s="1610">
        <f>COUNTIFS(stayCity[city],entryCity[[#This Row],[city]],stayCity[yr],G$45)</f>
        <v/>
      </c>
      <c r="H61" s="1610">
        <f>COUNTIFS(stayCity[city],entryCity[[#This Row],[city]],stayCity[yr],H$45)</f>
        <v/>
      </c>
      <c r="I61" s="1610">
        <f>COUNTIFS(stayCity[city],entryCity[[#This Row],[city]],stayCity[yr],I$45)</f>
        <v/>
      </c>
      <c r="J61" s="1610">
        <f>COUNTIFS(stayCity[city],entryCity[[#This Row],[city]],stayCity[yr],J$45)</f>
        <v/>
      </c>
      <c r="K61" s="1610">
        <f>COUNTIFS(stayCity[city],entryCity[[#This Row],[city]],stayCity[yr],K$45)</f>
        <v/>
      </c>
      <c r="L61" s="1610">
        <f>COUNTIFS(stayCity[city],entryCity[[#This Row],[city]],stayCity[yr],L$45)</f>
        <v/>
      </c>
      <c r="M61" s="1610">
        <f>COUNTIFS(stayCity[city],entryCity[[#This Row],[city]],stayCity[yr],M$45)</f>
        <v/>
      </c>
      <c r="N61" s="1610">
        <f>COUNTIFS(stayCity[city],entryCity[[#This Row],[city]],stayCity[yr],N$45)</f>
        <v/>
      </c>
      <c r="O61" s="1610">
        <f>COUNTIFS(stayCity[city],entryCity[[#This Row],[city]],stayCity[yr],O$45)</f>
        <v/>
      </c>
      <c r="P61" s="1610">
        <f>COUNTIFS(stayCity[city],entryCity[[#This Row],[city]],stayCity[yr],P$45)</f>
        <v/>
      </c>
      <c r="Q61" s="1610">
        <f>COUNTIFS(stayCity[city],entryCity[[#This Row],[city]],stayCity[yr],Q$45)</f>
        <v/>
      </c>
      <c r="R61" s="1610">
        <f>COUNTIFS(stayCity[city],entryCity[[#This Row],[city]],stayCity[yr],R$45)</f>
        <v/>
      </c>
      <c r="S61" s="1610">
        <f>COUNTIFS(stayCity[city],entryCity[[#This Row],[city]],stayCity[yr],S$45)</f>
        <v/>
      </c>
      <c r="T61" s="1610">
        <f>COUNTIFS(stayCity[city],entryCity[[#This Row],[city]],stayCity[yr],T$45)</f>
        <v/>
      </c>
      <c r="U61" s="1610">
        <f>COUNTIFS(stayCity[city],entryCity[[#This Row],[city]],stayCity[yr],U$45)</f>
        <v/>
      </c>
      <c r="V61" s="1610">
        <f>COUNTIFS(stayCity[city],entryCity[[#This Row],[city]],stayCity[yr],V$45)</f>
        <v/>
      </c>
      <c r="W61" s="1610">
        <f>COUNTIFS(stayCity[city],entryCity[[#This Row],[city]],stayCity[yr],W$45)</f>
        <v/>
      </c>
      <c r="X61" s="1610">
        <f>COUNTIFS(stayCity[city],entryCity[[#This Row],[city]],stayCity[yr],X$45)</f>
        <v/>
      </c>
      <c r="Y61" s="1610">
        <f>COUNTIFS(stayCity[city],entryCity[[#This Row],[city]],stayCity[yr],Y$45)</f>
        <v/>
      </c>
      <c r="Z61" s="1610">
        <f>COUNTIFS(stayCity[city],entryCity[[#This Row],[city]],stayCity[yr],Z$45)</f>
        <v/>
      </c>
      <c r="AA61" s="1610">
        <f>COUNTIFS(stayCity[city],entryCity[[#This Row],[city]],stayCity[yr],AA$45)</f>
        <v/>
      </c>
      <c r="AB61" s="1610">
        <f>COUNTIFS(stayCity[city],entryCity[[#This Row],[city]],stayCity[yr],AB$45)</f>
        <v/>
      </c>
      <c r="AC61" s="1610">
        <f>COUNTIFS(stayCity[city],entryCity[[#This Row],[city]],stayCity[yr],AC$45)</f>
        <v/>
      </c>
      <c r="AD61" s="1610">
        <f>COUNTIFS(stayCity[city],entryCity[[#This Row],[city]],stayCity[yr],AD$45)</f>
        <v/>
      </c>
      <c r="AE61" s="1610">
        <f>COUNTIFS(stayCity[city],entryCity[[#This Row],[city]],stayCity[yr],AE$45)</f>
        <v/>
      </c>
      <c r="AF61" s="1610">
        <f>COUNTIFS(stayCity[city],entryCity[[#This Row],[city]],stayCity[yr],AF$45)</f>
        <v/>
      </c>
      <c r="AG61" s="1610">
        <f>COUNTIFS(stayCity[city],entryCity[[#This Row],[city]],stayCity[yr],AG$45)</f>
        <v/>
      </c>
      <c r="AH61" s="1610">
        <f>COUNTIFS(stayCity[city],entryCity[[#This Row],[city]],stayCity[yr],AH$45)</f>
        <v/>
      </c>
      <c r="AI61" s="1610">
        <f>COUNTIFS(stayCity[city],entryCity[[#This Row],[city]],stayCity[yr],AI$45)</f>
        <v/>
      </c>
      <c r="AJ61" s="1610">
        <f>COUNTIFS(stayCity[city],entryCity[[#This Row],[city]],stayCity[yr],AJ$45)</f>
        <v/>
      </c>
      <c r="AK61" s="1597" t="n"/>
      <c r="AL61" s="1612" t="n"/>
      <c r="AM61" s="1612" t="n"/>
      <c r="AN61" s="1612" t="n"/>
      <c r="AO61" s="1612" t="n"/>
      <c r="AP61" s="1612" t="n"/>
      <c r="AQ61" s="1612" t="n"/>
      <c r="AR61" s="1612" t="n"/>
      <c r="AS61" s="1612" t="n"/>
      <c r="AT61" s="1612" t="n"/>
      <c r="AU61" s="1612" t="n"/>
      <c r="AV61" s="1612" t="n"/>
      <c r="AW61" s="1612" t="n"/>
      <c r="AX61" s="1612" t="n"/>
      <c r="AY61" s="1612" t="n"/>
      <c r="AZ61" s="1612" t="n"/>
      <c r="BA61" s="1612" t="n"/>
      <c r="BB61" s="1612" t="n"/>
      <c r="BC61" s="1612" t="n"/>
      <c r="BD61" s="1612" t="n"/>
      <c r="BE61" s="1612" t="n"/>
      <c r="BF61" s="1612" t="n"/>
      <c r="BG61" s="1612" t="n"/>
      <c r="BH61" s="1612" t="n"/>
      <c r="BI61" s="1612" t="n"/>
      <c r="BJ61" s="1612" t="n"/>
      <c r="BK61" s="1612" t="n"/>
      <c r="BL61" s="1612" t="n"/>
      <c r="BM61" s="1612" t="n"/>
      <c r="BN61" s="1612" t="n"/>
      <c r="BO61" s="1612" t="n"/>
      <c r="BP61" s="1612" t="n"/>
      <c r="BQ61" s="1612" t="n"/>
      <c r="BR61" s="1612" t="n"/>
      <c r="BS61" s="1612" t="n"/>
      <c r="BT61" s="1612" t="n"/>
      <c r="BU61" s="1612" t="n"/>
      <c r="BV61" s="1612" t="n"/>
      <c r="BW61" s="1612" t="n"/>
      <c r="BX61" s="1612" t="n"/>
      <c r="BY61" s="1612" t="n"/>
      <c r="BZ61" s="1612" t="n"/>
      <c r="CA61" s="1612" t="n"/>
      <c r="CB61" s="1612" t="n"/>
      <c r="CC61" s="1612" t="n"/>
      <c r="CD61" s="1612" t="n"/>
      <c r="CE61" s="1612" t="n"/>
      <c r="CF61" s="1612" t="n"/>
      <c r="CG61" s="1612" t="n"/>
    </row>
    <row r="62" ht="15" customHeight="1">
      <c r="A62" s="1615" t="n"/>
      <c r="B62" s="1781">
        <f>SUM(D62:AK62)</f>
        <v/>
      </c>
      <c r="C62" s="1782" t="inlineStr">
        <is>
          <t>Miami</t>
        </is>
      </c>
      <c r="D62" s="1610">
        <f>COUNTIFS(stayCity[city],entryCity[[#This Row],[city]],stayCity[yr],D$45)</f>
        <v/>
      </c>
      <c r="E62" s="1610">
        <f>COUNTIFS(stayCity[city],entryCity[[#This Row],[city]],stayCity[yr],E$45)</f>
        <v/>
      </c>
      <c r="F62" s="1610">
        <f>COUNTIFS(stayCity[city],entryCity[[#This Row],[city]],stayCity[yr],F$45)</f>
        <v/>
      </c>
      <c r="G62" s="1610">
        <f>COUNTIFS(stayCity[city],entryCity[[#This Row],[city]],stayCity[yr],G$45)</f>
        <v/>
      </c>
      <c r="H62" s="1610">
        <f>COUNTIFS(stayCity[city],entryCity[[#This Row],[city]],stayCity[yr],H$45)</f>
        <v/>
      </c>
      <c r="I62" s="1610">
        <f>COUNTIFS(stayCity[city],entryCity[[#This Row],[city]],stayCity[yr],I$45)</f>
        <v/>
      </c>
      <c r="J62" s="1610">
        <f>COUNTIFS(stayCity[city],entryCity[[#This Row],[city]],stayCity[yr],J$45)</f>
        <v/>
      </c>
      <c r="K62" s="1610">
        <f>COUNTIFS(stayCity[city],entryCity[[#This Row],[city]],stayCity[yr],K$45)</f>
        <v/>
      </c>
      <c r="L62" s="1610">
        <f>COUNTIFS(stayCity[city],entryCity[[#This Row],[city]],stayCity[yr],L$45)</f>
        <v/>
      </c>
      <c r="M62" s="1610">
        <f>COUNTIFS(stayCity[city],entryCity[[#This Row],[city]],stayCity[yr],M$45)</f>
        <v/>
      </c>
      <c r="N62" s="1610">
        <f>COUNTIFS(stayCity[city],entryCity[[#This Row],[city]],stayCity[yr],N$45)</f>
        <v/>
      </c>
      <c r="O62" s="1610">
        <f>COUNTIFS(stayCity[city],entryCity[[#This Row],[city]],stayCity[yr],O$45)</f>
        <v/>
      </c>
      <c r="P62" s="1610">
        <f>COUNTIFS(stayCity[city],entryCity[[#This Row],[city]],stayCity[yr],P$45)</f>
        <v/>
      </c>
      <c r="Q62" s="1610">
        <f>COUNTIFS(stayCity[city],entryCity[[#This Row],[city]],stayCity[yr],Q$45)</f>
        <v/>
      </c>
      <c r="R62" s="1610">
        <f>COUNTIFS(stayCity[city],entryCity[[#This Row],[city]],stayCity[yr],R$45)</f>
        <v/>
      </c>
      <c r="S62" s="1610">
        <f>COUNTIFS(stayCity[city],entryCity[[#This Row],[city]],stayCity[yr],S$45)</f>
        <v/>
      </c>
      <c r="T62" s="1610">
        <f>COUNTIFS(stayCity[city],entryCity[[#This Row],[city]],stayCity[yr],T$45)</f>
        <v/>
      </c>
      <c r="U62" s="1610">
        <f>COUNTIFS(stayCity[city],entryCity[[#This Row],[city]],stayCity[yr],U$45)</f>
        <v/>
      </c>
      <c r="V62" s="1610">
        <f>COUNTIFS(stayCity[city],entryCity[[#This Row],[city]],stayCity[yr],V$45)</f>
        <v/>
      </c>
      <c r="W62" s="1610">
        <f>COUNTIFS(stayCity[city],entryCity[[#This Row],[city]],stayCity[yr],W$45)</f>
        <v/>
      </c>
      <c r="X62" s="1610">
        <f>COUNTIFS(stayCity[city],entryCity[[#This Row],[city]],stayCity[yr],X$45)</f>
        <v/>
      </c>
      <c r="Y62" s="1610">
        <f>COUNTIFS(stayCity[city],entryCity[[#This Row],[city]],stayCity[yr],Y$45)</f>
        <v/>
      </c>
      <c r="Z62" s="1610">
        <f>COUNTIFS(stayCity[city],entryCity[[#This Row],[city]],stayCity[yr],Z$45)</f>
        <v/>
      </c>
      <c r="AA62" s="1610">
        <f>COUNTIFS(stayCity[city],entryCity[[#This Row],[city]],stayCity[yr],AA$45)</f>
        <v/>
      </c>
      <c r="AB62" s="1610">
        <f>COUNTIFS(stayCity[city],entryCity[[#This Row],[city]],stayCity[yr],AB$45)</f>
        <v/>
      </c>
      <c r="AC62" s="1610">
        <f>COUNTIFS(stayCity[city],entryCity[[#This Row],[city]],stayCity[yr],AC$45)</f>
        <v/>
      </c>
      <c r="AD62" s="1610">
        <f>COUNTIFS(stayCity[city],entryCity[[#This Row],[city]],stayCity[yr],AD$45)</f>
        <v/>
      </c>
      <c r="AE62" s="1610">
        <f>COUNTIFS(stayCity[city],entryCity[[#This Row],[city]],stayCity[yr],AE$45)</f>
        <v/>
      </c>
      <c r="AF62" s="1610">
        <f>COUNTIFS(stayCity[city],entryCity[[#This Row],[city]],stayCity[yr],AF$45)</f>
        <v/>
      </c>
      <c r="AG62" s="1610">
        <f>COUNTIFS(stayCity[city],entryCity[[#This Row],[city]],stayCity[yr],AG$45)</f>
        <v/>
      </c>
      <c r="AH62" s="1610">
        <f>COUNTIFS(stayCity[city],entryCity[[#This Row],[city]],stayCity[yr],AH$45)</f>
        <v/>
      </c>
      <c r="AI62" s="1610">
        <f>COUNTIFS(stayCity[city],entryCity[[#This Row],[city]],stayCity[yr],AI$45)</f>
        <v/>
      </c>
      <c r="AJ62" s="1610">
        <f>COUNTIFS(stayCity[city],entryCity[[#This Row],[city]],stayCity[yr],AJ$45)</f>
        <v/>
      </c>
      <c r="AK62" s="1597" t="inlineStr">
        <is>
          <t>.</t>
        </is>
      </c>
      <c r="AL62" s="1612" t="n"/>
      <c r="AM62" s="1612" t="n"/>
      <c r="AN62" s="1612" t="n"/>
      <c r="AO62" s="1612" t="n"/>
      <c r="AP62" s="1612" t="n"/>
      <c r="AQ62" s="1612" t="n"/>
      <c r="AR62" s="1612" t="n"/>
      <c r="AS62" s="1612" t="n"/>
      <c r="AT62" s="1612" t="n"/>
      <c r="AU62" s="1612" t="n"/>
      <c r="AV62" s="1612" t="n"/>
      <c r="AW62" s="1612" t="n"/>
      <c r="AX62" s="1612" t="n"/>
      <c r="AY62" s="1612" t="n"/>
      <c r="AZ62" s="1612" t="n"/>
      <c r="BA62" s="1612" t="n"/>
      <c r="BB62" s="1612" t="n"/>
      <c r="BC62" s="1612" t="n"/>
      <c r="BD62" s="1612" t="n"/>
      <c r="BE62" s="1612" t="n"/>
      <c r="BF62" s="1612" t="n"/>
      <c r="BG62" s="1612" t="n"/>
      <c r="BH62" s="1612" t="n"/>
      <c r="BI62" s="1612" t="n"/>
      <c r="BJ62" s="1612" t="n"/>
      <c r="BK62" s="1612" t="n"/>
      <c r="BL62" s="1612" t="n"/>
      <c r="BM62" s="1612" t="n"/>
      <c r="BN62" s="1612" t="n"/>
      <c r="BO62" s="1612" t="n"/>
      <c r="BP62" s="1612" t="n"/>
      <c r="BQ62" s="1612" t="n"/>
      <c r="BR62" s="1612" t="n"/>
      <c r="BS62" s="1612" t="n"/>
      <c r="BT62" s="1612" t="n"/>
      <c r="BU62" s="1612" t="n"/>
      <c r="BV62" s="1612" t="n"/>
      <c r="BW62" s="1612" t="n"/>
      <c r="BX62" s="1612" t="n"/>
      <c r="BY62" s="1612" t="n"/>
      <c r="BZ62" s="1612" t="n"/>
      <c r="CA62" s="1612" t="n"/>
      <c r="CB62" s="1612" t="n"/>
      <c r="CC62" s="1612" t="n"/>
      <c r="CD62" s="1612" t="n"/>
      <c r="CE62" s="1612" t="n"/>
      <c r="CF62" s="1612" t="n"/>
      <c r="CG62" s="1612" t="n"/>
    </row>
    <row r="63" ht="15" customHeight="1">
      <c r="A63" s="1596" t="n"/>
      <c r="B63" s="1794">
        <f>SUM(D63:AK63)</f>
        <v/>
      </c>
      <c r="C63" s="1795" t="inlineStr">
        <is>
          <t>Mont-Tremblant</t>
        </is>
      </c>
      <c r="D63" s="1610">
        <f>COUNTIFS(stayCity[city],entryCity[[#This Row],[city]],stayCity[yr],D$45)</f>
        <v/>
      </c>
      <c r="E63" s="1610">
        <f>COUNTIFS(stayCity[city],entryCity[[#This Row],[city]],stayCity[yr],E$45)</f>
        <v/>
      </c>
      <c r="F63" s="1610">
        <f>COUNTIFS(stayCity[city],entryCity[[#This Row],[city]],stayCity[yr],F$45)</f>
        <v/>
      </c>
      <c r="G63" s="1610">
        <f>COUNTIFS(stayCity[city],entryCity[[#This Row],[city]],stayCity[yr],G$45)</f>
        <v/>
      </c>
      <c r="H63" s="1610">
        <f>COUNTIFS(stayCity[city],entryCity[[#This Row],[city]],stayCity[yr],H$45)</f>
        <v/>
      </c>
      <c r="I63" s="1610">
        <f>COUNTIFS(stayCity[city],entryCity[[#This Row],[city]],stayCity[yr],I$45)</f>
        <v/>
      </c>
      <c r="J63" s="1610">
        <f>COUNTIFS(stayCity[city],entryCity[[#This Row],[city]],stayCity[yr],J$45)</f>
        <v/>
      </c>
      <c r="K63" s="1610">
        <f>COUNTIFS(stayCity[city],entryCity[[#This Row],[city]],stayCity[yr],K$45)</f>
        <v/>
      </c>
      <c r="L63" s="1610">
        <f>COUNTIFS(stayCity[city],entryCity[[#This Row],[city]],stayCity[yr],L$45)</f>
        <v/>
      </c>
      <c r="M63" s="1610">
        <f>COUNTIFS(stayCity[city],entryCity[[#This Row],[city]],stayCity[yr],M$45)</f>
        <v/>
      </c>
      <c r="N63" s="1610">
        <f>COUNTIFS(stayCity[city],entryCity[[#This Row],[city]],stayCity[yr],N$45)</f>
        <v/>
      </c>
      <c r="O63" s="1610">
        <f>COUNTIFS(stayCity[city],entryCity[[#This Row],[city]],stayCity[yr],O$45)</f>
        <v/>
      </c>
      <c r="P63" s="1610">
        <f>COUNTIFS(stayCity[city],entryCity[[#This Row],[city]],stayCity[yr],P$45)</f>
        <v/>
      </c>
      <c r="Q63" s="1610">
        <f>COUNTIFS(stayCity[city],entryCity[[#This Row],[city]],stayCity[yr],Q$45)</f>
        <v/>
      </c>
      <c r="R63" s="1610">
        <f>COUNTIFS(stayCity[city],entryCity[[#This Row],[city]],stayCity[yr],R$45)</f>
        <v/>
      </c>
      <c r="S63" s="1610">
        <f>COUNTIFS(stayCity[city],entryCity[[#This Row],[city]],stayCity[yr],S$45)</f>
        <v/>
      </c>
      <c r="T63" s="1610">
        <f>COUNTIFS(stayCity[city],entryCity[[#This Row],[city]],stayCity[yr],T$45)</f>
        <v/>
      </c>
      <c r="U63" s="1610">
        <f>COUNTIFS(stayCity[city],entryCity[[#This Row],[city]],stayCity[yr],U$45)</f>
        <v/>
      </c>
      <c r="V63" s="1610">
        <f>COUNTIFS(stayCity[city],entryCity[[#This Row],[city]],stayCity[yr],V$45)</f>
        <v/>
      </c>
      <c r="W63" s="1610">
        <f>COUNTIFS(stayCity[city],entryCity[[#This Row],[city]],stayCity[yr],W$45)</f>
        <v/>
      </c>
      <c r="X63" s="1610">
        <f>COUNTIFS(stayCity[city],entryCity[[#This Row],[city]],stayCity[yr],X$45)</f>
        <v/>
      </c>
      <c r="Y63" s="1610">
        <f>COUNTIFS(stayCity[city],entryCity[[#This Row],[city]],stayCity[yr],Y$45)</f>
        <v/>
      </c>
      <c r="Z63" s="1610">
        <f>COUNTIFS(stayCity[city],entryCity[[#This Row],[city]],stayCity[yr],Z$45)</f>
        <v/>
      </c>
      <c r="AA63" s="1610">
        <f>COUNTIFS(stayCity[city],entryCity[[#This Row],[city]],stayCity[yr],AA$45)</f>
        <v/>
      </c>
      <c r="AB63" s="1610">
        <f>COUNTIFS(stayCity[city],entryCity[[#This Row],[city]],stayCity[yr],AB$45)</f>
        <v/>
      </c>
      <c r="AC63" s="1610">
        <f>COUNTIFS(stayCity[city],entryCity[[#This Row],[city]],stayCity[yr],AC$45)</f>
        <v/>
      </c>
      <c r="AD63" s="1610">
        <f>COUNTIFS(stayCity[city],entryCity[[#This Row],[city]],stayCity[yr],AD$45)</f>
        <v/>
      </c>
      <c r="AE63" s="1610">
        <f>COUNTIFS(stayCity[city],entryCity[[#This Row],[city]],stayCity[yr],AE$45)</f>
        <v/>
      </c>
      <c r="AF63" s="1610">
        <f>COUNTIFS(stayCity[city],entryCity[[#This Row],[city]],stayCity[yr],AF$45)</f>
        <v/>
      </c>
      <c r="AG63" s="1610">
        <f>COUNTIFS(stayCity[city],entryCity[[#This Row],[city]],stayCity[yr],AG$45)</f>
        <v/>
      </c>
      <c r="AH63" s="1610">
        <f>COUNTIFS(stayCity[city],entryCity[[#This Row],[city]],stayCity[yr],AH$45)</f>
        <v/>
      </c>
      <c r="AI63" s="1610">
        <f>COUNTIFS(stayCity[city],entryCity[[#This Row],[city]],stayCity[yr],AI$45)</f>
        <v/>
      </c>
      <c r="AJ63" s="1610">
        <f>COUNTIFS(stayCity[city],entryCity[[#This Row],[city]],stayCity[yr],AJ$45)</f>
        <v/>
      </c>
      <c r="AK63" s="1597" t="inlineStr">
        <is>
          <t>.</t>
        </is>
      </c>
      <c r="AL63" s="1612" t="n"/>
      <c r="AM63" s="1612" t="n"/>
      <c r="AN63" s="1612" t="n"/>
      <c r="AO63" s="1612" t="n"/>
      <c r="AP63" s="1612" t="n"/>
      <c r="AQ63" s="1612" t="n"/>
      <c r="AR63" s="1612" t="n"/>
      <c r="AS63" s="1612" t="n"/>
      <c r="AT63" s="1612" t="n"/>
      <c r="AU63" s="1612" t="n"/>
      <c r="AV63" s="1612" t="n"/>
      <c r="AW63" s="1612" t="n"/>
      <c r="AX63" s="1612" t="n"/>
      <c r="AY63" s="1612" t="n"/>
      <c r="AZ63" s="1612" t="n"/>
      <c r="BA63" s="1612" t="n"/>
      <c r="BB63" s="1612" t="n"/>
      <c r="BC63" s="1612" t="n"/>
      <c r="BD63" s="1612" t="n"/>
      <c r="BE63" s="1612" t="n"/>
      <c r="BF63" s="1612" t="n"/>
      <c r="BG63" s="1612" t="n"/>
      <c r="BH63" s="1612" t="n"/>
      <c r="BI63" s="1612" t="n"/>
      <c r="BJ63" s="1612" t="n"/>
      <c r="BK63" s="1612" t="n"/>
      <c r="BL63" s="1612" t="n"/>
      <c r="BM63" s="1612" t="n"/>
      <c r="BN63" s="1612" t="n"/>
      <c r="BO63" s="1612" t="n"/>
      <c r="BP63" s="1612" t="n"/>
      <c r="BQ63" s="1612" t="n"/>
      <c r="BR63" s="1612" t="n"/>
      <c r="BS63" s="1612" t="n"/>
      <c r="BT63" s="1612" t="n"/>
      <c r="BU63" s="1612" t="n"/>
      <c r="BV63" s="1612" t="n"/>
      <c r="BW63" s="1612" t="n"/>
      <c r="BX63" s="1612" t="n"/>
      <c r="BY63" s="1612" t="n"/>
      <c r="BZ63" s="1612" t="n"/>
      <c r="CA63" s="1612" t="n"/>
      <c r="CB63" s="1612" t="n"/>
      <c r="CC63" s="1612" t="n"/>
      <c r="CD63" s="1612" t="n"/>
      <c r="CE63" s="1612" t="n"/>
      <c r="CF63" s="1612" t="n"/>
      <c r="CG63" s="1612" t="n"/>
    </row>
    <row r="64" ht="15" customHeight="1">
      <c r="A64" s="1615" t="n"/>
      <c r="B64" s="1781">
        <f>SUM(D64:AK64)</f>
        <v/>
      </c>
      <c r="C64" s="1782" t="inlineStr">
        <is>
          <t>Geneve</t>
        </is>
      </c>
      <c r="D64" s="1610">
        <f>COUNTIFS(stayCity[city],entryCity[[#This Row],[city]],stayCity[yr],D$45)</f>
        <v/>
      </c>
      <c r="E64" s="1610">
        <f>COUNTIFS(stayCity[city],entryCity[[#This Row],[city]],stayCity[yr],E$45)</f>
        <v/>
      </c>
      <c r="F64" s="1610">
        <f>COUNTIFS(stayCity[city],entryCity[[#This Row],[city]],stayCity[yr],F$45)</f>
        <v/>
      </c>
      <c r="G64" s="1610">
        <f>COUNTIFS(stayCity[city],entryCity[[#This Row],[city]],stayCity[yr],G$45)</f>
        <v/>
      </c>
      <c r="H64" s="1610">
        <f>COUNTIFS(stayCity[city],entryCity[[#This Row],[city]],stayCity[yr],H$45)</f>
        <v/>
      </c>
      <c r="I64" s="1610">
        <f>COUNTIFS(stayCity[city],entryCity[[#This Row],[city]],stayCity[yr],I$45)</f>
        <v/>
      </c>
      <c r="J64" s="1610">
        <f>COUNTIFS(stayCity[city],entryCity[[#This Row],[city]],stayCity[yr],J$45)</f>
        <v/>
      </c>
      <c r="K64" s="1610">
        <f>COUNTIFS(stayCity[city],entryCity[[#This Row],[city]],stayCity[yr],K$45)</f>
        <v/>
      </c>
      <c r="L64" s="1610">
        <f>COUNTIFS(stayCity[city],entryCity[[#This Row],[city]],stayCity[yr],L$45)</f>
        <v/>
      </c>
      <c r="M64" s="1610">
        <f>COUNTIFS(stayCity[city],entryCity[[#This Row],[city]],stayCity[yr],M$45)</f>
        <v/>
      </c>
      <c r="N64" s="1610">
        <f>COUNTIFS(stayCity[city],entryCity[[#This Row],[city]],stayCity[yr],N$45)</f>
        <v/>
      </c>
      <c r="O64" s="1610">
        <f>COUNTIFS(stayCity[city],entryCity[[#This Row],[city]],stayCity[yr],O$45)</f>
        <v/>
      </c>
      <c r="P64" s="1610">
        <f>COUNTIFS(stayCity[city],entryCity[[#This Row],[city]],stayCity[yr],P$45)</f>
        <v/>
      </c>
      <c r="Q64" s="1610">
        <f>COUNTIFS(stayCity[city],entryCity[[#This Row],[city]],stayCity[yr],Q$45)</f>
        <v/>
      </c>
      <c r="R64" s="1610">
        <f>COUNTIFS(stayCity[city],entryCity[[#This Row],[city]],stayCity[yr],R$45)</f>
        <v/>
      </c>
      <c r="S64" s="1610">
        <f>COUNTIFS(stayCity[city],entryCity[[#This Row],[city]],stayCity[yr],S$45)</f>
        <v/>
      </c>
      <c r="T64" s="1610">
        <f>COUNTIFS(stayCity[city],entryCity[[#This Row],[city]],stayCity[yr],T$45)</f>
        <v/>
      </c>
      <c r="U64" s="1610">
        <f>COUNTIFS(stayCity[city],entryCity[[#This Row],[city]],stayCity[yr],U$45)</f>
        <v/>
      </c>
      <c r="V64" s="1610">
        <f>COUNTIFS(stayCity[city],entryCity[[#This Row],[city]],stayCity[yr],V$45)</f>
        <v/>
      </c>
      <c r="W64" s="1610">
        <f>COUNTIFS(stayCity[city],entryCity[[#This Row],[city]],stayCity[yr],W$45)</f>
        <v/>
      </c>
      <c r="X64" s="1610">
        <f>COUNTIFS(stayCity[city],entryCity[[#This Row],[city]],stayCity[yr],X$45)</f>
        <v/>
      </c>
      <c r="Y64" s="1610">
        <f>COUNTIFS(stayCity[city],entryCity[[#This Row],[city]],stayCity[yr],Y$45)</f>
        <v/>
      </c>
      <c r="Z64" s="1610">
        <f>COUNTIFS(stayCity[city],entryCity[[#This Row],[city]],stayCity[yr],Z$45)</f>
        <v/>
      </c>
      <c r="AA64" s="1610">
        <f>COUNTIFS(stayCity[city],entryCity[[#This Row],[city]],stayCity[yr],AA$45)</f>
        <v/>
      </c>
      <c r="AB64" s="1610">
        <f>COUNTIFS(stayCity[city],entryCity[[#This Row],[city]],stayCity[yr],AB$45)</f>
        <v/>
      </c>
      <c r="AC64" s="1610">
        <f>COUNTIFS(stayCity[city],entryCity[[#This Row],[city]],stayCity[yr],AC$45)</f>
        <v/>
      </c>
      <c r="AD64" s="1610">
        <f>COUNTIFS(stayCity[city],entryCity[[#This Row],[city]],stayCity[yr],AD$45)</f>
        <v/>
      </c>
      <c r="AE64" s="1610">
        <f>COUNTIFS(stayCity[city],entryCity[[#This Row],[city]],stayCity[yr],AE$45)</f>
        <v/>
      </c>
      <c r="AF64" s="1610">
        <f>COUNTIFS(stayCity[city],entryCity[[#This Row],[city]],stayCity[yr],AF$45)</f>
        <v/>
      </c>
      <c r="AG64" s="1610">
        <f>COUNTIFS(stayCity[city],entryCity[[#This Row],[city]],stayCity[yr],AG$45)</f>
        <v/>
      </c>
      <c r="AH64" s="1610">
        <f>COUNTIFS(stayCity[city],entryCity[[#This Row],[city]],stayCity[yr],AH$45)</f>
        <v/>
      </c>
      <c r="AI64" s="1610">
        <f>COUNTIFS(stayCity[city],entryCity[[#This Row],[city]],stayCity[yr],AI$45)</f>
        <v/>
      </c>
      <c r="AJ64" s="1610">
        <f>COUNTIFS(stayCity[city],entryCity[[#This Row],[city]],stayCity[yr],AJ$45)</f>
        <v/>
      </c>
      <c r="AK64" s="1597" t="inlineStr">
        <is>
          <t>.</t>
        </is>
      </c>
      <c r="AL64" s="1612" t="n"/>
      <c r="AM64" s="1612" t="n"/>
      <c r="AN64" s="1612" t="n"/>
      <c r="AO64" s="1612" t="n"/>
      <c r="AP64" s="1612" t="n"/>
      <c r="AQ64" s="1612" t="n"/>
      <c r="AR64" s="1612" t="n"/>
      <c r="AS64" s="1612" t="n"/>
      <c r="AT64" s="1612" t="n"/>
      <c r="AU64" s="1612" t="n"/>
      <c r="AV64" s="1612" t="n"/>
      <c r="AW64" s="1612" t="n"/>
      <c r="AX64" s="1612" t="n"/>
      <c r="AY64" s="1612" t="n"/>
      <c r="AZ64" s="1612" t="n"/>
      <c r="BA64" s="1612" t="n"/>
      <c r="BB64" s="1612" t="n"/>
      <c r="BC64" s="1612" t="n"/>
      <c r="BD64" s="1612" t="n"/>
      <c r="BE64" s="1612" t="n"/>
      <c r="BF64" s="1612" t="n"/>
      <c r="BG64" s="1612" t="n"/>
      <c r="BH64" s="1612" t="n"/>
      <c r="BI64" s="1612" t="n"/>
      <c r="BJ64" s="1612" t="n"/>
      <c r="BK64" s="1612" t="n"/>
      <c r="BL64" s="1612" t="n"/>
      <c r="BM64" s="1612" t="n"/>
      <c r="BN64" s="1612" t="n"/>
      <c r="BO64" s="1612" t="n"/>
      <c r="BP64" s="1612" t="n"/>
      <c r="BQ64" s="1612" t="n"/>
      <c r="BR64" s="1612" t="n"/>
      <c r="BS64" s="1612" t="n"/>
      <c r="BT64" s="1612" t="n"/>
      <c r="BU64" s="1612" t="n"/>
      <c r="BV64" s="1612" t="n"/>
      <c r="BW64" s="1612" t="n"/>
      <c r="BX64" s="1612" t="n"/>
      <c r="BY64" s="1612" t="n"/>
      <c r="BZ64" s="1612" t="n"/>
      <c r="CA64" s="1612" t="n"/>
      <c r="CB64" s="1612" t="n"/>
      <c r="CC64" s="1612" t="n"/>
      <c r="CD64" s="1612" t="n"/>
      <c r="CE64" s="1612" t="n"/>
      <c r="CF64" s="1612" t="n"/>
      <c r="CG64" s="1612" t="n"/>
    </row>
    <row r="65" ht="15" customHeight="1">
      <c r="A65" s="1596" t="n"/>
      <c r="B65" s="1794">
        <f>SUM(D65:AK65)</f>
        <v/>
      </c>
      <c r="C65" s="1795" t="inlineStr">
        <is>
          <t>Firenze</t>
        </is>
      </c>
      <c r="D65" s="1610">
        <f>COUNTIFS(stayCity[city],entryCity[[#This Row],[city]],stayCity[yr],D$45)</f>
        <v/>
      </c>
      <c r="E65" s="1610">
        <f>COUNTIFS(stayCity[city],entryCity[[#This Row],[city]],stayCity[yr],E$45)</f>
        <v/>
      </c>
      <c r="F65" s="1610">
        <f>COUNTIFS(stayCity[city],entryCity[[#This Row],[city]],stayCity[yr],F$45)</f>
        <v/>
      </c>
      <c r="G65" s="1610">
        <f>COUNTIFS(stayCity[city],entryCity[[#This Row],[city]],stayCity[yr],G$45)</f>
        <v/>
      </c>
      <c r="H65" s="1610">
        <f>COUNTIFS(stayCity[city],entryCity[[#This Row],[city]],stayCity[yr],H$45)</f>
        <v/>
      </c>
      <c r="I65" s="1610">
        <f>COUNTIFS(stayCity[city],entryCity[[#This Row],[city]],stayCity[yr],I$45)</f>
        <v/>
      </c>
      <c r="J65" s="1610">
        <f>COUNTIFS(stayCity[city],entryCity[[#This Row],[city]],stayCity[yr],J$45)</f>
        <v/>
      </c>
      <c r="K65" s="1610">
        <f>COUNTIFS(stayCity[city],entryCity[[#This Row],[city]],stayCity[yr],K$45)</f>
        <v/>
      </c>
      <c r="L65" s="1610">
        <f>COUNTIFS(stayCity[city],entryCity[[#This Row],[city]],stayCity[yr],L$45)</f>
        <v/>
      </c>
      <c r="M65" s="1610">
        <f>COUNTIFS(stayCity[city],entryCity[[#This Row],[city]],stayCity[yr],M$45)</f>
        <v/>
      </c>
      <c r="N65" s="1610">
        <f>COUNTIFS(stayCity[city],entryCity[[#This Row],[city]],stayCity[yr],N$45)</f>
        <v/>
      </c>
      <c r="O65" s="1610">
        <f>COUNTIFS(stayCity[city],entryCity[[#This Row],[city]],stayCity[yr],O$45)</f>
        <v/>
      </c>
      <c r="P65" s="1610">
        <f>COUNTIFS(stayCity[city],entryCity[[#This Row],[city]],stayCity[yr],P$45)</f>
        <v/>
      </c>
      <c r="Q65" s="1610">
        <f>COUNTIFS(stayCity[city],entryCity[[#This Row],[city]],stayCity[yr],Q$45)</f>
        <v/>
      </c>
      <c r="R65" s="1610">
        <f>COUNTIFS(stayCity[city],entryCity[[#This Row],[city]],stayCity[yr],R$45)</f>
        <v/>
      </c>
      <c r="S65" s="1610">
        <f>COUNTIFS(stayCity[city],entryCity[[#This Row],[city]],stayCity[yr],S$45)</f>
        <v/>
      </c>
      <c r="T65" s="1610">
        <f>COUNTIFS(stayCity[city],entryCity[[#This Row],[city]],stayCity[yr],T$45)</f>
        <v/>
      </c>
      <c r="U65" s="1610">
        <f>COUNTIFS(stayCity[city],entryCity[[#This Row],[city]],stayCity[yr],U$45)</f>
        <v/>
      </c>
      <c r="V65" s="1610">
        <f>COUNTIFS(stayCity[city],entryCity[[#This Row],[city]],stayCity[yr],V$45)</f>
        <v/>
      </c>
      <c r="W65" s="1610">
        <f>COUNTIFS(stayCity[city],entryCity[[#This Row],[city]],stayCity[yr],W$45)</f>
        <v/>
      </c>
      <c r="X65" s="1610">
        <f>COUNTIFS(stayCity[city],entryCity[[#This Row],[city]],stayCity[yr],X$45)</f>
        <v/>
      </c>
      <c r="Y65" s="1610">
        <f>COUNTIFS(stayCity[city],entryCity[[#This Row],[city]],stayCity[yr],Y$45)</f>
        <v/>
      </c>
      <c r="Z65" s="1610">
        <f>COUNTIFS(stayCity[city],entryCity[[#This Row],[city]],stayCity[yr],Z$45)</f>
        <v/>
      </c>
      <c r="AA65" s="1610">
        <f>COUNTIFS(stayCity[city],entryCity[[#This Row],[city]],stayCity[yr],AA$45)</f>
        <v/>
      </c>
      <c r="AB65" s="1610">
        <f>COUNTIFS(stayCity[city],entryCity[[#This Row],[city]],stayCity[yr],AB$45)</f>
        <v/>
      </c>
      <c r="AC65" s="1610">
        <f>COUNTIFS(stayCity[city],entryCity[[#This Row],[city]],stayCity[yr],AC$45)</f>
        <v/>
      </c>
      <c r="AD65" s="1610">
        <f>COUNTIFS(stayCity[city],entryCity[[#This Row],[city]],stayCity[yr],AD$45)</f>
        <v/>
      </c>
      <c r="AE65" s="1610">
        <f>COUNTIFS(stayCity[city],entryCity[[#This Row],[city]],stayCity[yr],AE$45)</f>
        <v/>
      </c>
      <c r="AF65" s="1610">
        <f>COUNTIFS(stayCity[city],entryCity[[#This Row],[city]],stayCity[yr],AF$45)</f>
        <v/>
      </c>
      <c r="AG65" s="1610">
        <f>COUNTIFS(stayCity[city],entryCity[[#This Row],[city]],stayCity[yr],AG$45)</f>
        <v/>
      </c>
      <c r="AH65" s="1610">
        <f>COUNTIFS(stayCity[city],entryCity[[#This Row],[city]],stayCity[yr],AH$45)</f>
        <v/>
      </c>
      <c r="AI65" s="1610">
        <f>COUNTIFS(stayCity[city],entryCity[[#This Row],[city]],stayCity[yr],AI$45)</f>
        <v/>
      </c>
      <c r="AJ65" s="1610">
        <f>COUNTIFS(stayCity[city],entryCity[[#This Row],[city]],stayCity[yr],AJ$45)</f>
        <v/>
      </c>
      <c r="AK65" s="1597" t="inlineStr">
        <is>
          <t>.</t>
        </is>
      </c>
      <c r="AL65" s="1612" t="n"/>
      <c r="AM65" s="1612" t="n"/>
      <c r="AN65" s="1612" t="n"/>
      <c r="AO65" s="1612" t="n"/>
      <c r="AP65" s="1612" t="n"/>
      <c r="AQ65" s="1612" t="n"/>
      <c r="AR65" s="1612" t="n"/>
      <c r="AS65" s="1612" t="n"/>
      <c r="AT65" s="1612" t="n"/>
      <c r="AU65" s="1612" t="n"/>
      <c r="AV65" s="1612" t="n"/>
      <c r="AW65" s="1612" t="n"/>
      <c r="AX65" s="1612" t="n"/>
      <c r="AY65" s="1612" t="n"/>
      <c r="AZ65" s="1612" t="n"/>
      <c r="BA65" s="1612" t="n"/>
      <c r="BB65" s="1612" t="n"/>
      <c r="BC65" s="1612" t="n"/>
      <c r="BD65" s="1612" t="n"/>
      <c r="BE65" s="1612" t="n"/>
      <c r="BF65" s="1612" t="n"/>
      <c r="BG65" s="1612" t="n"/>
      <c r="BH65" s="1612" t="n"/>
      <c r="BI65" s="1612" t="n"/>
      <c r="BJ65" s="1612" t="n"/>
      <c r="BK65" s="1612" t="n"/>
      <c r="BL65" s="1612" t="n"/>
      <c r="BM65" s="1612" t="n"/>
      <c r="BN65" s="1612" t="n"/>
      <c r="BO65" s="1612" t="n"/>
      <c r="BP65" s="1612" t="n"/>
      <c r="BQ65" s="1612" t="n"/>
      <c r="BR65" s="1612" t="n"/>
      <c r="BS65" s="1612" t="n"/>
      <c r="BT65" s="1612" t="n"/>
      <c r="BU65" s="1612" t="n"/>
      <c r="BV65" s="1612" t="n"/>
      <c r="BW65" s="1612" t="n"/>
      <c r="BX65" s="1612" t="n"/>
      <c r="BY65" s="1612" t="n"/>
      <c r="BZ65" s="1612" t="n"/>
      <c r="CA65" s="1612" t="n"/>
      <c r="CB65" s="1612" t="n"/>
      <c r="CC65" s="1612" t="n"/>
      <c r="CD65" s="1612" t="n"/>
      <c r="CE65" s="1612" t="n"/>
      <c r="CF65" s="1612" t="n"/>
      <c r="CG65" s="1612" t="n"/>
    </row>
    <row r="66" ht="15" customHeight="1">
      <c r="A66" s="1615" t="n"/>
      <c r="B66" s="1781">
        <f>SUM(D66:AK66)</f>
        <v/>
      </c>
      <c r="C66" s="1782" t="inlineStr">
        <is>
          <t>Berlin</t>
        </is>
      </c>
      <c r="D66" s="1610">
        <f>COUNTIFS(stayCity[city],entryCity[[#This Row],[city]],stayCity[yr],D$45)</f>
        <v/>
      </c>
      <c r="E66" s="1610">
        <f>COUNTIFS(stayCity[city],entryCity[[#This Row],[city]],stayCity[yr],E$45)</f>
        <v/>
      </c>
      <c r="F66" s="1610">
        <f>COUNTIFS(stayCity[city],entryCity[[#This Row],[city]],stayCity[yr],F$45)</f>
        <v/>
      </c>
      <c r="G66" s="1610">
        <f>COUNTIFS(stayCity[city],entryCity[[#This Row],[city]],stayCity[yr],G$45)</f>
        <v/>
      </c>
      <c r="H66" s="1610">
        <f>COUNTIFS(stayCity[city],entryCity[[#This Row],[city]],stayCity[yr],H$45)</f>
        <v/>
      </c>
      <c r="I66" s="1610">
        <f>COUNTIFS(stayCity[city],entryCity[[#This Row],[city]],stayCity[yr],I$45)</f>
        <v/>
      </c>
      <c r="J66" s="1610">
        <f>COUNTIFS(stayCity[city],entryCity[[#This Row],[city]],stayCity[yr],J$45)</f>
        <v/>
      </c>
      <c r="K66" s="1610">
        <f>COUNTIFS(stayCity[city],entryCity[[#This Row],[city]],stayCity[yr],K$45)</f>
        <v/>
      </c>
      <c r="L66" s="1610">
        <f>COUNTIFS(stayCity[city],entryCity[[#This Row],[city]],stayCity[yr],L$45)</f>
        <v/>
      </c>
      <c r="M66" s="1610">
        <f>COUNTIFS(stayCity[city],entryCity[[#This Row],[city]],stayCity[yr],M$45)</f>
        <v/>
      </c>
      <c r="N66" s="1610">
        <f>COUNTIFS(stayCity[city],entryCity[[#This Row],[city]],stayCity[yr],N$45)</f>
        <v/>
      </c>
      <c r="O66" s="1610">
        <f>COUNTIFS(stayCity[city],entryCity[[#This Row],[city]],stayCity[yr],O$45)</f>
        <v/>
      </c>
      <c r="P66" s="1610">
        <f>COUNTIFS(stayCity[city],entryCity[[#This Row],[city]],stayCity[yr],P$45)</f>
        <v/>
      </c>
      <c r="Q66" s="1610">
        <f>COUNTIFS(stayCity[city],entryCity[[#This Row],[city]],stayCity[yr],Q$45)</f>
        <v/>
      </c>
      <c r="R66" s="1610">
        <f>COUNTIFS(stayCity[city],entryCity[[#This Row],[city]],stayCity[yr],R$45)</f>
        <v/>
      </c>
      <c r="S66" s="1610">
        <f>COUNTIFS(stayCity[city],entryCity[[#This Row],[city]],stayCity[yr],S$45)</f>
        <v/>
      </c>
      <c r="T66" s="1610">
        <f>COUNTIFS(stayCity[city],entryCity[[#This Row],[city]],stayCity[yr],T$45)</f>
        <v/>
      </c>
      <c r="U66" s="1610">
        <f>COUNTIFS(stayCity[city],entryCity[[#This Row],[city]],stayCity[yr],U$45)</f>
        <v/>
      </c>
      <c r="V66" s="1610">
        <f>COUNTIFS(stayCity[city],entryCity[[#This Row],[city]],stayCity[yr],V$45)</f>
        <v/>
      </c>
      <c r="W66" s="1610">
        <f>COUNTIFS(stayCity[city],entryCity[[#This Row],[city]],stayCity[yr],W$45)</f>
        <v/>
      </c>
      <c r="X66" s="1610">
        <f>COUNTIFS(stayCity[city],entryCity[[#This Row],[city]],stayCity[yr],X$45)</f>
        <v/>
      </c>
      <c r="Y66" s="1610">
        <f>COUNTIFS(stayCity[city],entryCity[[#This Row],[city]],stayCity[yr],Y$45)</f>
        <v/>
      </c>
      <c r="Z66" s="1610">
        <f>COUNTIFS(stayCity[city],entryCity[[#This Row],[city]],stayCity[yr],Z$45)</f>
        <v/>
      </c>
      <c r="AA66" s="1610">
        <f>COUNTIFS(stayCity[city],entryCity[[#This Row],[city]],stayCity[yr],AA$45)</f>
        <v/>
      </c>
      <c r="AB66" s="1610">
        <f>COUNTIFS(stayCity[city],entryCity[[#This Row],[city]],stayCity[yr],AB$45)</f>
        <v/>
      </c>
      <c r="AC66" s="1610">
        <f>COUNTIFS(stayCity[city],entryCity[[#This Row],[city]],stayCity[yr],AC$45)</f>
        <v/>
      </c>
      <c r="AD66" s="1610">
        <f>COUNTIFS(stayCity[city],entryCity[[#This Row],[city]],stayCity[yr],AD$45)</f>
        <v/>
      </c>
      <c r="AE66" s="1610">
        <f>COUNTIFS(stayCity[city],entryCity[[#This Row],[city]],stayCity[yr],AE$45)</f>
        <v/>
      </c>
      <c r="AF66" s="1610">
        <f>COUNTIFS(stayCity[city],entryCity[[#This Row],[city]],stayCity[yr],AF$45)</f>
        <v/>
      </c>
      <c r="AG66" s="1610">
        <f>COUNTIFS(stayCity[city],entryCity[[#This Row],[city]],stayCity[yr],AG$45)</f>
        <v/>
      </c>
      <c r="AH66" s="1610">
        <f>COUNTIFS(stayCity[city],entryCity[[#This Row],[city]],stayCity[yr],AH$45)</f>
        <v/>
      </c>
      <c r="AI66" s="1610">
        <f>COUNTIFS(stayCity[city],entryCity[[#This Row],[city]],stayCity[yr],AI$45)</f>
        <v/>
      </c>
      <c r="AJ66" s="1610">
        <f>COUNTIFS(stayCity[city],entryCity[[#This Row],[city]],stayCity[yr],AJ$45)</f>
        <v/>
      </c>
      <c r="AK66" s="1597" t="inlineStr">
        <is>
          <t>.</t>
        </is>
      </c>
      <c r="AL66" s="1612" t="n"/>
      <c r="AM66" s="1612" t="n"/>
      <c r="AN66" s="1612" t="n"/>
      <c r="AO66" s="1612" t="n"/>
      <c r="AP66" s="1612" t="n"/>
      <c r="AQ66" s="1612" t="n"/>
      <c r="AR66" s="1612" t="n"/>
      <c r="AS66" s="1612" t="n"/>
      <c r="AT66" s="1612" t="n"/>
      <c r="AU66" s="1612" t="n"/>
      <c r="AV66" s="1612" t="n"/>
      <c r="AW66" s="1612" t="n"/>
      <c r="AX66" s="1612" t="n"/>
      <c r="AY66" s="1612" t="n"/>
      <c r="AZ66" s="1612" t="n"/>
      <c r="BA66" s="1612" t="n"/>
      <c r="BB66" s="1612" t="n"/>
      <c r="BC66" s="1612" t="n"/>
      <c r="BD66" s="1612" t="n"/>
      <c r="BE66" s="1612" t="n"/>
      <c r="BF66" s="1612" t="n"/>
      <c r="BG66" s="1612" t="n"/>
      <c r="BH66" s="1612" t="n"/>
      <c r="BI66" s="1612" t="n"/>
      <c r="BJ66" s="1612" t="n"/>
      <c r="BK66" s="1612" t="n"/>
      <c r="BL66" s="1612" t="n"/>
      <c r="BM66" s="1612" t="n"/>
      <c r="BN66" s="1612" t="n"/>
      <c r="BO66" s="1612" t="n"/>
      <c r="BP66" s="1612" t="n"/>
      <c r="BQ66" s="1612" t="n"/>
      <c r="BR66" s="1612" t="n"/>
      <c r="BS66" s="1612" t="n"/>
      <c r="BT66" s="1612" t="n"/>
      <c r="BU66" s="1612" t="n"/>
      <c r="BV66" s="1612" t="n"/>
      <c r="BW66" s="1612" t="n"/>
      <c r="BX66" s="1612" t="n"/>
      <c r="BY66" s="1612" t="n"/>
      <c r="BZ66" s="1612" t="n"/>
      <c r="CA66" s="1612" t="n"/>
      <c r="CB66" s="1612" t="n"/>
      <c r="CC66" s="1612" t="n"/>
      <c r="CD66" s="1612" t="n"/>
      <c r="CE66" s="1612" t="n"/>
      <c r="CF66" s="1612" t="n"/>
      <c r="CG66" s="1612" t="n"/>
    </row>
    <row r="67" ht="15" customHeight="1">
      <c r="A67" s="1596" t="n"/>
      <c r="B67" s="1794">
        <f>SUM(D67:AK67)</f>
        <v/>
      </c>
      <c r="C67" s="1795" t="inlineStr">
        <is>
          <t>Combloux</t>
        </is>
      </c>
      <c r="D67" s="1610">
        <f>COUNTIFS(stayCity[city],entryCity[[#This Row],[city]],stayCity[yr],D$45)</f>
        <v/>
      </c>
      <c r="E67" s="1610">
        <f>COUNTIFS(stayCity[city],entryCity[[#This Row],[city]],stayCity[yr],E$45)</f>
        <v/>
      </c>
      <c r="F67" s="1610">
        <f>COUNTIFS(stayCity[city],entryCity[[#This Row],[city]],stayCity[yr],F$45)</f>
        <v/>
      </c>
      <c r="G67" s="1610">
        <f>COUNTIFS(stayCity[city],entryCity[[#This Row],[city]],stayCity[yr],G$45)</f>
        <v/>
      </c>
      <c r="H67" s="1610">
        <f>COUNTIFS(stayCity[city],entryCity[[#This Row],[city]],stayCity[yr],H$45)</f>
        <v/>
      </c>
      <c r="I67" s="1610">
        <f>COUNTIFS(stayCity[city],entryCity[[#This Row],[city]],stayCity[yr],I$45)</f>
        <v/>
      </c>
      <c r="J67" s="1610">
        <f>COUNTIFS(stayCity[city],entryCity[[#This Row],[city]],stayCity[yr],J$45)</f>
        <v/>
      </c>
      <c r="K67" s="1610">
        <f>COUNTIFS(stayCity[city],entryCity[[#This Row],[city]],stayCity[yr],K$45)</f>
        <v/>
      </c>
      <c r="L67" s="1610">
        <f>COUNTIFS(stayCity[city],entryCity[[#This Row],[city]],stayCity[yr],L$45)</f>
        <v/>
      </c>
      <c r="M67" s="1610">
        <f>COUNTIFS(stayCity[city],entryCity[[#This Row],[city]],stayCity[yr],M$45)</f>
        <v/>
      </c>
      <c r="N67" s="1610">
        <f>COUNTIFS(stayCity[city],entryCity[[#This Row],[city]],stayCity[yr],N$45)</f>
        <v/>
      </c>
      <c r="O67" s="1610">
        <f>COUNTIFS(stayCity[city],entryCity[[#This Row],[city]],stayCity[yr],O$45)</f>
        <v/>
      </c>
      <c r="P67" s="1610">
        <f>COUNTIFS(stayCity[city],entryCity[[#This Row],[city]],stayCity[yr],P$45)</f>
        <v/>
      </c>
      <c r="Q67" s="1610">
        <f>COUNTIFS(stayCity[city],entryCity[[#This Row],[city]],stayCity[yr],Q$45)</f>
        <v/>
      </c>
      <c r="R67" s="1610">
        <f>COUNTIFS(stayCity[city],entryCity[[#This Row],[city]],stayCity[yr],R$45)</f>
        <v/>
      </c>
      <c r="S67" s="1610">
        <f>COUNTIFS(stayCity[city],entryCity[[#This Row],[city]],stayCity[yr],S$45)</f>
        <v/>
      </c>
      <c r="T67" s="1610">
        <f>COUNTIFS(stayCity[city],entryCity[[#This Row],[city]],stayCity[yr],T$45)</f>
        <v/>
      </c>
      <c r="U67" s="1610">
        <f>COUNTIFS(stayCity[city],entryCity[[#This Row],[city]],stayCity[yr],U$45)</f>
        <v/>
      </c>
      <c r="V67" s="1610">
        <f>COUNTIFS(stayCity[city],entryCity[[#This Row],[city]],stayCity[yr],V$45)</f>
        <v/>
      </c>
      <c r="W67" s="1610">
        <f>COUNTIFS(stayCity[city],entryCity[[#This Row],[city]],stayCity[yr],W$45)</f>
        <v/>
      </c>
      <c r="X67" s="1610">
        <f>COUNTIFS(stayCity[city],entryCity[[#This Row],[city]],stayCity[yr],X$45)</f>
        <v/>
      </c>
      <c r="Y67" s="1610">
        <f>COUNTIFS(stayCity[city],entryCity[[#This Row],[city]],stayCity[yr],Y$45)</f>
        <v/>
      </c>
      <c r="Z67" s="1610">
        <f>COUNTIFS(stayCity[city],entryCity[[#This Row],[city]],stayCity[yr],Z$45)</f>
        <v/>
      </c>
      <c r="AA67" s="1610">
        <f>COUNTIFS(stayCity[city],entryCity[[#This Row],[city]],stayCity[yr],AA$45)</f>
        <v/>
      </c>
      <c r="AB67" s="1610">
        <f>COUNTIFS(stayCity[city],entryCity[[#This Row],[city]],stayCity[yr],AB$45)</f>
        <v/>
      </c>
      <c r="AC67" s="1610">
        <f>COUNTIFS(stayCity[city],entryCity[[#This Row],[city]],stayCity[yr],AC$45)</f>
        <v/>
      </c>
      <c r="AD67" s="1610">
        <f>COUNTIFS(stayCity[city],entryCity[[#This Row],[city]],stayCity[yr],AD$45)</f>
        <v/>
      </c>
      <c r="AE67" s="1610">
        <f>COUNTIFS(stayCity[city],entryCity[[#This Row],[city]],stayCity[yr],AE$45)</f>
        <v/>
      </c>
      <c r="AF67" s="1610">
        <f>COUNTIFS(stayCity[city],entryCity[[#This Row],[city]],stayCity[yr],AF$45)</f>
        <v/>
      </c>
      <c r="AG67" s="1610">
        <f>COUNTIFS(stayCity[city],entryCity[[#This Row],[city]],stayCity[yr],AG$45)</f>
        <v/>
      </c>
      <c r="AH67" s="1610">
        <f>COUNTIFS(stayCity[city],entryCity[[#This Row],[city]],stayCity[yr],AH$45)</f>
        <v/>
      </c>
      <c r="AI67" s="1610">
        <f>COUNTIFS(stayCity[city],entryCity[[#This Row],[city]],stayCity[yr],AI$45)</f>
        <v/>
      </c>
      <c r="AJ67" s="1610">
        <f>COUNTIFS(stayCity[city],entryCity[[#This Row],[city]],stayCity[yr],AJ$45)</f>
        <v/>
      </c>
      <c r="AK67" s="1597" t="inlineStr">
        <is>
          <t>.</t>
        </is>
      </c>
      <c r="AL67" s="1612" t="n"/>
      <c r="AM67" s="1612" t="n"/>
      <c r="AN67" s="1612" t="n"/>
      <c r="AO67" s="1612" t="n"/>
      <c r="AP67" s="1612" t="n"/>
      <c r="AQ67" s="1612" t="n"/>
      <c r="AR67" s="1612" t="n"/>
      <c r="AS67" s="1612" t="n"/>
      <c r="AT67" s="1612" t="n"/>
      <c r="AU67" s="1612" t="n"/>
      <c r="AV67" s="1612" t="n"/>
      <c r="AW67" s="1612" t="n"/>
      <c r="AX67" s="1612" t="n"/>
      <c r="AY67" s="1612" t="n"/>
      <c r="AZ67" s="1612" t="n"/>
      <c r="BA67" s="1612" t="n"/>
      <c r="BB67" s="1612" t="n"/>
      <c r="BC67" s="1612" t="n"/>
      <c r="BD67" s="1612" t="n"/>
      <c r="BE67" s="1612" t="n"/>
      <c r="BF67" s="1612" t="n"/>
      <c r="BG67" s="1612" t="n"/>
      <c r="BH67" s="1612" t="n"/>
      <c r="BI67" s="1612" t="n"/>
      <c r="BJ67" s="1612" t="n"/>
      <c r="BK67" s="1612" t="n"/>
      <c r="BL67" s="1612" t="n"/>
      <c r="BM67" s="1612" t="n"/>
      <c r="BN67" s="1612" t="n"/>
      <c r="BO67" s="1612" t="n"/>
      <c r="BP67" s="1612" t="n"/>
      <c r="BQ67" s="1612" t="n"/>
      <c r="BR67" s="1612" t="n"/>
      <c r="BS67" s="1612" t="n"/>
      <c r="BT67" s="1612" t="n"/>
      <c r="BU67" s="1612" t="n"/>
      <c r="BV67" s="1612" t="n"/>
      <c r="BW67" s="1612" t="n"/>
      <c r="BX67" s="1612" t="n"/>
      <c r="BY67" s="1612" t="n"/>
      <c r="BZ67" s="1612" t="n"/>
      <c r="CA67" s="1612" t="n"/>
      <c r="CB67" s="1612" t="n"/>
      <c r="CC67" s="1612" t="n"/>
      <c r="CD67" s="1612" t="n"/>
      <c r="CE67" s="1612" t="n"/>
      <c r="CF67" s="1612" t="n"/>
      <c r="CG67" s="1612" t="n"/>
    </row>
    <row r="68" ht="15" customHeight="1">
      <c r="A68" s="1615" t="n"/>
      <c r="B68" s="1781">
        <f>SUM(D68:AK68)</f>
        <v/>
      </c>
      <c r="C68" s="1782" t="inlineStr">
        <is>
          <t>Bariloche</t>
        </is>
      </c>
      <c r="D68" s="1610">
        <f>COUNTIFS(stayCity[city],entryCity[[#This Row],[city]],stayCity[yr],D$45)</f>
        <v/>
      </c>
      <c r="E68" s="1610">
        <f>COUNTIFS(stayCity[city],entryCity[[#This Row],[city]],stayCity[yr],E$45)</f>
        <v/>
      </c>
      <c r="F68" s="1610">
        <f>COUNTIFS(stayCity[city],entryCity[[#This Row],[city]],stayCity[yr],F$45)</f>
        <v/>
      </c>
      <c r="G68" s="1610">
        <f>COUNTIFS(stayCity[city],entryCity[[#This Row],[city]],stayCity[yr],G$45)</f>
        <v/>
      </c>
      <c r="H68" s="1610">
        <f>COUNTIFS(stayCity[city],entryCity[[#This Row],[city]],stayCity[yr],H$45)</f>
        <v/>
      </c>
      <c r="I68" s="1610">
        <f>COUNTIFS(stayCity[city],entryCity[[#This Row],[city]],stayCity[yr],I$45)</f>
        <v/>
      </c>
      <c r="J68" s="1610">
        <f>COUNTIFS(stayCity[city],entryCity[[#This Row],[city]],stayCity[yr],J$45)</f>
        <v/>
      </c>
      <c r="K68" s="1610">
        <f>COUNTIFS(stayCity[city],entryCity[[#This Row],[city]],stayCity[yr],K$45)</f>
        <v/>
      </c>
      <c r="L68" s="1610">
        <f>COUNTIFS(stayCity[city],entryCity[[#This Row],[city]],stayCity[yr],L$45)</f>
        <v/>
      </c>
      <c r="M68" s="1610">
        <f>COUNTIFS(stayCity[city],entryCity[[#This Row],[city]],stayCity[yr],M$45)</f>
        <v/>
      </c>
      <c r="N68" s="1610">
        <f>COUNTIFS(stayCity[city],entryCity[[#This Row],[city]],stayCity[yr],N$45)</f>
        <v/>
      </c>
      <c r="O68" s="1610">
        <f>COUNTIFS(stayCity[city],entryCity[[#This Row],[city]],stayCity[yr],O$45)</f>
        <v/>
      </c>
      <c r="P68" s="1610">
        <f>COUNTIFS(stayCity[city],entryCity[[#This Row],[city]],stayCity[yr],P$45)</f>
        <v/>
      </c>
      <c r="Q68" s="1610">
        <f>COUNTIFS(stayCity[city],entryCity[[#This Row],[city]],stayCity[yr],Q$45)</f>
        <v/>
      </c>
      <c r="R68" s="1610">
        <f>COUNTIFS(stayCity[city],entryCity[[#This Row],[city]],stayCity[yr],R$45)</f>
        <v/>
      </c>
      <c r="S68" s="1610">
        <f>COUNTIFS(stayCity[city],entryCity[[#This Row],[city]],stayCity[yr],S$45)</f>
        <v/>
      </c>
      <c r="T68" s="1610">
        <f>COUNTIFS(stayCity[city],entryCity[[#This Row],[city]],stayCity[yr],T$45)</f>
        <v/>
      </c>
      <c r="U68" s="1610">
        <f>COUNTIFS(stayCity[city],entryCity[[#This Row],[city]],stayCity[yr],U$45)</f>
        <v/>
      </c>
      <c r="V68" s="1610">
        <f>COUNTIFS(stayCity[city],entryCity[[#This Row],[city]],stayCity[yr],V$45)</f>
        <v/>
      </c>
      <c r="W68" s="1610">
        <f>COUNTIFS(stayCity[city],entryCity[[#This Row],[city]],stayCity[yr],W$45)</f>
        <v/>
      </c>
      <c r="X68" s="1610">
        <f>COUNTIFS(stayCity[city],entryCity[[#This Row],[city]],stayCity[yr],X$45)</f>
        <v/>
      </c>
      <c r="Y68" s="1610">
        <f>COUNTIFS(stayCity[city],entryCity[[#This Row],[city]],stayCity[yr],Y$45)</f>
        <v/>
      </c>
      <c r="Z68" s="1610">
        <f>COUNTIFS(stayCity[city],entryCity[[#This Row],[city]],stayCity[yr],Z$45)</f>
        <v/>
      </c>
      <c r="AA68" s="1610">
        <f>COUNTIFS(stayCity[city],entryCity[[#This Row],[city]],stayCity[yr],AA$45)</f>
        <v/>
      </c>
      <c r="AB68" s="1610">
        <f>COUNTIFS(stayCity[city],entryCity[[#This Row],[city]],stayCity[yr],AB$45)</f>
        <v/>
      </c>
      <c r="AC68" s="1610">
        <f>COUNTIFS(stayCity[city],entryCity[[#This Row],[city]],stayCity[yr],AC$45)</f>
        <v/>
      </c>
      <c r="AD68" s="1610">
        <f>COUNTIFS(stayCity[city],entryCity[[#This Row],[city]],stayCity[yr],AD$45)</f>
        <v/>
      </c>
      <c r="AE68" s="1610">
        <f>COUNTIFS(stayCity[city],entryCity[[#This Row],[city]],stayCity[yr],AE$45)</f>
        <v/>
      </c>
      <c r="AF68" s="1610">
        <f>COUNTIFS(stayCity[city],entryCity[[#This Row],[city]],stayCity[yr],AF$45)</f>
        <v/>
      </c>
      <c r="AG68" s="1610">
        <f>COUNTIFS(stayCity[city],entryCity[[#This Row],[city]],stayCity[yr],AG$45)</f>
        <v/>
      </c>
      <c r="AH68" s="1610">
        <f>COUNTIFS(stayCity[city],entryCity[[#This Row],[city]],stayCity[yr],AH$45)</f>
        <v/>
      </c>
      <c r="AI68" s="1610">
        <f>COUNTIFS(stayCity[city],entryCity[[#This Row],[city]],stayCity[yr],AI$45)</f>
        <v/>
      </c>
      <c r="AJ68" s="1610">
        <f>COUNTIFS(stayCity[city],entryCity[[#This Row],[city]],stayCity[yr],AJ$45)</f>
        <v/>
      </c>
      <c r="AK68" s="1597" t="inlineStr">
        <is>
          <t>.</t>
        </is>
      </c>
      <c r="AL68" s="1612" t="n"/>
      <c r="AM68" s="1612" t="n"/>
      <c r="AN68" s="1612" t="n"/>
      <c r="AO68" s="1612" t="n"/>
      <c r="AP68" s="1612" t="n"/>
      <c r="AQ68" s="1612" t="n"/>
      <c r="AR68" s="1612" t="n"/>
      <c r="AS68" s="1612" t="n"/>
      <c r="AT68" s="1612" t="n"/>
      <c r="AU68" s="1612" t="n"/>
      <c r="AV68" s="1612" t="n"/>
      <c r="AW68" s="1612" t="n"/>
      <c r="AX68" s="1612" t="n"/>
      <c r="AY68" s="1612" t="n"/>
      <c r="AZ68" s="1612" t="n"/>
      <c r="BA68" s="1612" t="n"/>
      <c r="BB68" s="1612" t="n"/>
      <c r="BC68" s="1612" t="n"/>
      <c r="BD68" s="1612" t="n"/>
      <c r="BE68" s="1612" t="n"/>
      <c r="BF68" s="1612" t="n"/>
      <c r="BG68" s="1612" t="n"/>
      <c r="BH68" s="1612" t="n"/>
      <c r="BI68" s="1612" t="n"/>
      <c r="BJ68" s="1612" t="n"/>
      <c r="BK68" s="1612" t="n"/>
      <c r="BL68" s="1612" t="n"/>
      <c r="BM68" s="1612" t="n"/>
      <c r="BN68" s="1612" t="n"/>
      <c r="BO68" s="1612" t="n"/>
      <c r="BP68" s="1612" t="n"/>
      <c r="BQ68" s="1612" t="n"/>
      <c r="BR68" s="1612" t="n"/>
      <c r="BS68" s="1612" t="n"/>
      <c r="BT68" s="1612" t="n"/>
      <c r="BU68" s="1612" t="n"/>
      <c r="BV68" s="1612" t="n"/>
      <c r="BW68" s="1612" t="n"/>
      <c r="BX68" s="1612" t="n"/>
      <c r="BY68" s="1612" t="n"/>
      <c r="BZ68" s="1612" t="n"/>
      <c r="CA68" s="1612" t="n"/>
      <c r="CB68" s="1612" t="n"/>
      <c r="CC68" s="1612" t="n"/>
      <c r="CD68" s="1612" t="n"/>
      <c r="CE68" s="1612" t="n"/>
      <c r="CF68" s="1612" t="n"/>
      <c r="CG68" s="1612" t="n"/>
    </row>
    <row r="69" ht="15" customHeight="1">
      <c r="A69" s="1596" t="n"/>
      <c r="B69" s="1794">
        <f>SUM(D69:AK69)</f>
        <v/>
      </c>
      <c r="C69" s="1795" t="inlineStr">
        <is>
          <t>Marrakech</t>
        </is>
      </c>
      <c r="D69" s="1610">
        <f>COUNTIFS(stayCity[city],entryCity[[#This Row],[city]],stayCity[yr],D$45)</f>
        <v/>
      </c>
      <c r="E69" s="1610">
        <f>COUNTIFS(stayCity[city],entryCity[[#This Row],[city]],stayCity[yr],E$45)</f>
        <v/>
      </c>
      <c r="F69" s="1610">
        <f>COUNTIFS(stayCity[city],entryCity[[#This Row],[city]],stayCity[yr],F$45)</f>
        <v/>
      </c>
      <c r="G69" s="1610">
        <f>COUNTIFS(stayCity[city],entryCity[[#This Row],[city]],stayCity[yr],G$45)</f>
        <v/>
      </c>
      <c r="H69" s="1610">
        <f>COUNTIFS(stayCity[city],entryCity[[#This Row],[city]],stayCity[yr],H$45)</f>
        <v/>
      </c>
      <c r="I69" s="1610">
        <f>COUNTIFS(stayCity[city],entryCity[[#This Row],[city]],stayCity[yr],I$45)</f>
        <v/>
      </c>
      <c r="J69" s="1610">
        <f>COUNTIFS(stayCity[city],entryCity[[#This Row],[city]],stayCity[yr],J$45)</f>
        <v/>
      </c>
      <c r="K69" s="1610">
        <f>COUNTIFS(stayCity[city],entryCity[[#This Row],[city]],stayCity[yr],K$45)</f>
        <v/>
      </c>
      <c r="L69" s="1610">
        <f>COUNTIFS(stayCity[city],entryCity[[#This Row],[city]],stayCity[yr],L$45)</f>
        <v/>
      </c>
      <c r="M69" s="1610">
        <f>COUNTIFS(stayCity[city],entryCity[[#This Row],[city]],stayCity[yr],M$45)</f>
        <v/>
      </c>
      <c r="N69" s="1610">
        <f>COUNTIFS(stayCity[city],entryCity[[#This Row],[city]],stayCity[yr],N$45)</f>
        <v/>
      </c>
      <c r="O69" s="1610">
        <f>COUNTIFS(stayCity[city],entryCity[[#This Row],[city]],stayCity[yr],O$45)</f>
        <v/>
      </c>
      <c r="P69" s="1610">
        <f>COUNTIFS(stayCity[city],entryCity[[#This Row],[city]],stayCity[yr],P$45)</f>
        <v/>
      </c>
      <c r="Q69" s="1610">
        <f>COUNTIFS(stayCity[city],entryCity[[#This Row],[city]],stayCity[yr],Q$45)</f>
        <v/>
      </c>
      <c r="R69" s="1610">
        <f>COUNTIFS(stayCity[city],entryCity[[#This Row],[city]],stayCity[yr],R$45)</f>
        <v/>
      </c>
      <c r="S69" s="1610">
        <f>COUNTIFS(stayCity[city],entryCity[[#This Row],[city]],stayCity[yr],S$45)</f>
        <v/>
      </c>
      <c r="T69" s="1610">
        <f>COUNTIFS(stayCity[city],entryCity[[#This Row],[city]],stayCity[yr],T$45)</f>
        <v/>
      </c>
      <c r="U69" s="1610">
        <f>COUNTIFS(stayCity[city],entryCity[[#This Row],[city]],stayCity[yr],U$45)</f>
        <v/>
      </c>
      <c r="V69" s="1610">
        <f>COUNTIFS(stayCity[city],entryCity[[#This Row],[city]],stayCity[yr],V$45)</f>
        <v/>
      </c>
      <c r="W69" s="1610">
        <f>COUNTIFS(stayCity[city],entryCity[[#This Row],[city]],stayCity[yr],W$45)</f>
        <v/>
      </c>
      <c r="X69" s="1610">
        <f>COUNTIFS(stayCity[city],entryCity[[#This Row],[city]],stayCity[yr],X$45)</f>
        <v/>
      </c>
      <c r="Y69" s="1610">
        <f>COUNTIFS(stayCity[city],entryCity[[#This Row],[city]],stayCity[yr],Y$45)</f>
        <v/>
      </c>
      <c r="Z69" s="1610">
        <f>COUNTIFS(stayCity[city],entryCity[[#This Row],[city]],stayCity[yr],Z$45)</f>
        <v/>
      </c>
      <c r="AA69" s="1610">
        <f>COUNTIFS(stayCity[city],entryCity[[#This Row],[city]],stayCity[yr],AA$45)</f>
        <v/>
      </c>
      <c r="AB69" s="1610">
        <f>COUNTIFS(stayCity[city],entryCity[[#This Row],[city]],stayCity[yr],AB$45)</f>
        <v/>
      </c>
      <c r="AC69" s="1610">
        <f>COUNTIFS(stayCity[city],entryCity[[#This Row],[city]],stayCity[yr],AC$45)</f>
        <v/>
      </c>
      <c r="AD69" s="1610">
        <f>COUNTIFS(stayCity[city],entryCity[[#This Row],[city]],stayCity[yr],AD$45)</f>
        <v/>
      </c>
      <c r="AE69" s="1610">
        <f>COUNTIFS(stayCity[city],entryCity[[#This Row],[city]],stayCity[yr],AE$45)</f>
        <v/>
      </c>
      <c r="AF69" s="1610">
        <f>COUNTIFS(stayCity[city],entryCity[[#This Row],[city]],stayCity[yr],AF$45)</f>
        <v/>
      </c>
      <c r="AG69" s="1610">
        <f>COUNTIFS(stayCity[city],entryCity[[#This Row],[city]],stayCity[yr],AG$45)</f>
        <v/>
      </c>
      <c r="AH69" s="1610">
        <f>COUNTIFS(stayCity[city],entryCity[[#This Row],[city]],stayCity[yr],AH$45)</f>
        <v/>
      </c>
      <c r="AI69" s="1610">
        <f>COUNTIFS(stayCity[city],entryCity[[#This Row],[city]],stayCity[yr],AI$45)</f>
        <v/>
      </c>
      <c r="AJ69" s="1610">
        <f>COUNTIFS(stayCity[city],entryCity[[#This Row],[city]],stayCity[yr],AJ$45)</f>
        <v/>
      </c>
      <c r="AK69" s="1597" t="inlineStr">
        <is>
          <t>.</t>
        </is>
      </c>
      <c r="AL69" s="1612" t="n"/>
      <c r="AM69" s="1612" t="n"/>
      <c r="AN69" s="1612" t="n"/>
      <c r="AO69" s="1612" t="n"/>
      <c r="AP69" s="1612" t="n"/>
      <c r="AQ69" s="1612" t="n"/>
      <c r="AR69" s="1612" t="n"/>
      <c r="AS69" s="1612" t="n"/>
      <c r="AT69" s="1612" t="n"/>
      <c r="AU69" s="1612" t="n"/>
      <c r="AV69" s="1612" t="n"/>
      <c r="AW69" s="1612" t="n"/>
      <c r="AX69" s="1612" t="n"/>
      <c r="AY69" s="1612" t="n"/>
      <c r="AZ69" s="1612" t="n"/>
      <c r="BA69" s="1612" t="n"/>
      <c r="BB69" s="1612" t="n"/>
      <c r="BC69" s="1612" t="n"/>
      <c r="BD69" s="1612" t="n"/>
      <c r="BE69" s="1612" t="n"/>
      <c r="BF69" s="1612" t="n"/>
      <c r="BG69" s="1612" t="n"/>
      <c r="BH69" s="1612" t="n"/>
      <c r="BI69" s="1612" t="n"/>
      <c r="BJ69" s="1612" t="n"/>
      <c r="BK69" s="1612" t="n"/>
      <c r="BL69" s="1612" t="n"/>
      <c r="BM69" s="1612" t="n"/>
      <c r="BN69" s="1612" t="n"/>
      <c r="BO69" s="1612" t="n"/>
      <c r="BP69" s="1612" t="n"/>
      <c r="BQ69" s="1612" t="n"/>
      <c r="BR69" s="1612" t="n"/>
      <c r="BS69" s="1612" t="n"/>
      <c r="BT69" s="1612" t="n"/>
      <c r="BU69" s="1612" t="n"/>
      <c r="BV69" s="1612" t="n"/>
      <c r="BW69" s="1612" t="n"/>
      <c r="BX69" s="1612" t="n"/>
      <c r="BY69" s="1612" t="n"/>
      <c r="BZ69" s="1612" t="n"/>
      <c r="CA69" s="1612" t="n"/>
      <c r="CB69" s="1612" t="n"/>
      <c r="CC69" s="1612" t="n"/>
      <c r="CD69" s="1612" t="n"/>
      <c r="CE69" s="1612" t="n"/>
      <c r="CF69" s="1612" t="n"/>
      <c r="CG69" s="1612" t="n"/>
    </row>
    <row r="70" ht="15" customHeight="1">
      <c r="A70" s="1615" t="n"/>
      <c r="B70" s="1781">
        <f>SUM(D70:AK70)</f>
        <v/>
      </c>
      <c r="C70" s="1782" t="inlineStr">
        <is>
          <t>Beijing</t>
        </is>
      </c>
      <c r="D70" s="1610">
        <f>COUNTIFS(stayCity[city],entryCity[[#This Row],[city]],stayCity[yr],D$45)</f>
        <v/>
      </c>
      <c r="E70" s="1610">
        <f>COUNTIFS(stayCity[city],entryCity[[#This Row],[city]],stayCity[yr],E$45)</f>
        <v/>
      </c>
      <c r="F70" s="1610">
        <f>COUNTIFS(stayCity[city],entryCity[[#This Row],[city]],stayCity[yr],F$45)</f>
        <v/>
      </c>
      <c r="G70" s="1610">
        <f>COUNTIFS(stayCity[city],entryCity[[#This Row],[city]],stayCity[yr],G$45)</f>
        <v/>
      </c>
      <c r="H70" s="1610">
        <f>COUNTIFS(stayCity[city],entryCity[[#This Row],[city]],stayCity[yr],H$45)</f>
        <v/>
      </c>
      <c r="I70" s="1610">
        <f>COUNTIFS(stayCity[city],entryCity[[#This Row],[city]],stayCity[yr],I$45)</f>
        <v/>
      </c>
      <c r="J70" s="1610">
        <f>COUNTIFS(stayCity[city],entryCity[[#This Row],[city]],stayCity[yr],J$45)</f>
        <v/>
      </c>
      <c r="K70" s="1610">
        <f>COUNTIFS(stayCity[city],entryCity[[#This Row],[city]],stayCity[yr],K$45)</f>
        <v/>
      </c>
      <c r="L70" s="1610">
        <f>COUNTIFS(stayCity[city],entryCity[[#This Row],[city]],stayCity[yr],L$45)</f>
        <v/>
      </c>
      <c r="M70" s="1610">
        <f>COUNTIFS(stayCity[city],entryCity[[#This Row],[city]],stayCity[yr],M$45)</f>
        <v/>
      </c>
      <c r="N70" s="1610">
        <f>COUNTIFS(stayCity[city],entryCity[[#This Row],[city]],stayCity[yr],N$45)</f>
        <v/>
      </c>
      <c r="O70" s="1610">
        <f>COUNTIFS(stayCity[city],entryCity[[#This Row],[city]],stayCity[yr],O$45)</f>
        <v/>
      </c>
      <c r="P70" s="1610">
        <f>COUNTIFS(stayCity[city],entryCity[[#This Row],[city]],stayCity[yr],P$45)</f>
        <v/>
      </c>
      <c r="Q70" s="1610">
        <f>COUNTIFS(stayCity[city],entryCity[[#This Row],[city]],stayCity[yr],Q$45)</f>
        <v/>
      </c>
      <c r="R70" s="1610">
        <f>COUNTIFS(stayCity[city],entryCity[[#This Row],[city]],stayCity[yr],R$45)</f>
        <v/>
      </c>
      <c r="S70" s="1610">
        <f>COUNTIFS(stayCity[city],entryCity[[#This Row],[city]],stayCity[yr],S$45)</f>
        <v/>
      </c>
      <c r="T70" s="1610">
        <f>COUNTIFS(stayCity[city],entryCity[[#This Row],[city]],stayCity[yr],T$45)</f>
        <v/>
      </c>
      <c r="U70" s="1610">
        <f>COUNTIFS(stayCity[city],entryCity[[#This Row],[city]],stayCity[yr],U$45)</f>
        <v/>
      </c>
      <c r="V70" s="1610">
        <f>COUNTIFS(stayCity[city],entryCity[[#This Row],[city]],stayCity[yr],V$45)</f>
        <v/>
      </c>
      <c r="W70" s="1610">
        <f>COUNTIFS(stayCity[city],entryCity[[#This Row],[city]],stayCity[yr],W$45)</f>
        <v/>
      </c>
      <c r="X70" s="1610">
        <f>COUNTIFS(stayCity[city],entryCity[[#This Row],[city]],stayCity[yr],X$45)</f>
        <v/>
      </c>
      <c r="Y70" s="1610">
        <f>COUNTIFS(stayCity[city],entryCity[[#This Row],[city]],stayCity[yr],Y$45)</f>
        <v/>
      </c>
      <c r="Z70" s="1610">
        <f>COUNTIFS(stayCity[city],entryCity[[#This Row],[city]],stayCity[yr],Z$45)</f>
        <v/>
      </c>
      <c r="AA70" s="1610">
        <f>COUNTIFS(stayCity[city],entryCity[[#This Row],[city]],stayCity[yr],AA$45)</f>
        <v/>
      </c>
      <c r="AB70" s="1610">
        <f>COUNTIFS(stayCity[city],entryCity[[#This Row],[city]],stayCity[yr],AB$45)</f>
        <v/>
      </c>
      <c r="AC70" s="1610">
        <f>COUNTIFS(stayCity[city],entryCity[[#This Row],[city]],stayCity[yr],AC$45)</f>
        <v/>
      </c>
      <c r="AD70" s="1610">
        <f>COUNTIFS(stayCity[city],entryCity[[#This Row],[city]],stayCity[yr],AD$45)</f>
        <v/>
      </c>
      <c r="AE70" s="1610">
        <f>COUNTIFS(stayCity[city],entryCity[[#This Row],[city]],stayCity[yr],AE$45)</f>
        <v/>
      </c>
      <c r="AF70" s="1610">
        <f>COUNTIFS(stayCity[city],entryCity[[#This Row],[city]],stayCity[yr],AF$45)</f>
        <v/>
      </c>
      <c r="AG70" s="1610">
        <f>COUNTIFS(stayCity[city],entryCity[[#This Row],[city]],stayCity[yr],AG$45)</f>
        <v/>
      </c>
      <c r="AH70" s="1610">
        <f>COUNTIFS(stayCity[city],entryCity[[#This Row],[city]],stayCity[yr],AH$45)</f>
        <v/>
      </c>
      <c r="AI70" s="1610">
        <f>COUNTIFS(stayCity[city],entryCity[[#This Row],[city]],stayCity[yr],AI$45)</f>
        <v/>
      </c>
      <c r="AJ70" s="1610">
        <f>COUNTIFS(stayCity[city],entryCity[[#This Row],[city]],stayCity[yr],AJ$45)</f>
        <v/>
      </c>
      <c r="AK70" s="1597" t="inlineStr">
        <is>
          <t>.</t>
        </is>
      </c>
      <c r="AL70" s="1612" t="n"/>
      <c r="AM70" s="1612" t="n"/>
      <c r="AN70" s="1612" t="n"/>
      <c r="AO70" s="1612" t="n"/>
      <c r="AP70" s="1612" t="n"/>
      <c r="AQ70" s="1612" t="n"/>
      <c r="AR70" s="1612" t="n"/>
      <c r="AS70" s="1612" t="n"/>
      <c r="AT70" s="1612" t="n"/>
      <c r="AU70" s="1612" t="n"/>
      <c r="AV70" s="1612" t="n"/>
      <c r="AW70" s="1612" t="n"/>
      <c r="AX70" s="1612" t="n"/>
      <c r="AY70" s="1612" t="n"/>
      <c r="AZ70" s="1612" t="n"/>
      <c r="BA70" s="1612" t="n"/>
      <c r="BB70" s="1612" t="n"/>
      <c r="BC70" s="1612" t="n"/>
      <c r="BD70" s="1612" t="n"/>
      <c r="BE70" s="1612" t="n"/>
      <c r="BF70" s="1612" t="n"/>
      <c r="BG70" s="1612" t="n"/>
      <c r="BH70" s="1612" t="n"/>
      <c r="BI70" s="1612" t="n"/>
      <c r="BJ70" s="1612" t="n"/>
      <c r="BK70" s="1612" t="n"/>
      <c r="BL70" s="1612" t="n"/>
      <c r="BM70" s="1612" t="n"/>
      <c r="BN70" s="1612" t="n"/>
      <c r="BO70" s="1612" t="n"/>
      <c r="BP70" s="1612" t="n"/>
      <c r="BQ70" s="1612" t="n"/>
      <c r="BR70" s="1612" t="n"/>
      <c r="BS70" s="1612" t="n"/>
      <c r="BT70" s="1612" t="n"/>
      <c r="BU70" s="1612" t="n"/>
      <c r="BV70" s="1612" t="n"/>
      <c r="BW70" s="1612" t="n"/>
      <c r="BX70" s="1612" t="n"/>
      <c r="BY70" s="1612" t="n"/>
      <c r="BZ70" s="1612" t="n"/>
      <c r="CA70" s="1612" t="n"/>
      <c r="CB70" s="1612" t="n"/>
      <c r="CC70" s="1612" t="n"/>
      <c r="CD70" s="1612" t="n"/>
      <c r="CE70" s="1612" t="n"/>
      <c r="CF70" s="1612" t="n"/>
      <c r="CG70" s="1612" t="n"/>
    </row>
    <row r="71" ht="15" customHeight="1">
      <c r="A71" s="1596" t="n"/>
      <c r="B71" s="1794">
        <f>SUM(D71:AK71)</f>
        <v/>
      </c>
      <c r="C71" s="1795" t="inlineStr">
        <is>
          <t>Cairo</t>
        </is>
      </c>
      <c r="D71" s="1610">
        <f>COUNTIFS(stayCity[city],entryCity[[#This Row],[city]],stayCity[yr],D$45)</f>
        <v/>
      </c>
      <c r="E71" s="1610">
        <f>COUNTIFS(stayCity[city],entryCity[[#This Row],[city]],stayCity[yr],E$45)</f>
        <v/>
      </c>
      <c r="F71" s="1610">
        <f>COUNTIFS(stayCity[city],entryCity[[#This Row],[city]],stayCity[yr],F$45)</f>
        <v/>
      </c>
      <c r="G71" s="1610">
        <f>COUNTIFS(stayCity[city],entryCity[[#This Row],[city]],stayCity[yr],G$45)</f>
        <v/>
      </c>
      <c r="H71" s="1610">
        <f>COUNTIFS(stayCity[city],entryCity[[#This Row],[city]],stayCity[yr],H$45)</f>
        <v/>
      </c>
      <c r="I71" s="1610">
        <f>COUNTIFS(stayCity[city],entryCity[[#This Row],[city]],stayCity[yr],I$45)</f>
        <v/>
      </c>
      <c r="J71" s="1610">
        <f>COUNTIFS(stayCity[city],entryCity[[#This Row],[city]],stayCity[yr],J$45)</f>
        <v/>
      </c>
      <c r="K71" s="1610">
        <f>COUNTIFS(stayCity[city],entryCity[[#This Row],[city]],stayCity[yr],K$45)</f>
        <v/>
      </c>
      <c r="L71" s="1610">
        <f>COUNTIFS(stayCity[city],entryCity[[#This Row],[city]],stayCity[yr],L$45)</f>
        <v/>
      </c>
      <c r="M71" s="1610">
        <f>COUNTIFS(stayCity[city],entryCity[[#This Row],[city]],stayCity[yr],M$45)</f>
        <v/>
      </c>
      <c r="N71" s="1610">
        <f>COUNTIFS(stayCity[city],entryCity[[#This Row],[city]],stayCity[yr],N$45)</f>
        <v/>
      </c>
      <c r="O71" s="1610">
        <f>COUNTIFS(stayCity[city],entryCity[[#This Row],[city]],stayCity[yr],O$45)</f>
        <v/>
      </c>
      <c r="P71" s="1610">
        <f>COUNTIFS(stayCity[city],entryCity[[#This Row],[city]],stayCity[yr],P$45)</f>
        <v/>
      </c>
      <c r="Q71" s="1610">
        <f>COUNTIFS(stayCity[city],entryCity[[#This Row],[city]],stayCity[yr],Q$45)</f>
        <v/>
      </c>
      <c r="R71" s="1610">
        <f>COUNTIFS(stayCity[city],entryCity[[#This Row],[city]],stayCity[yr],R$45)</f>
        <v/>
      </c>
      <c r="S71" s="1610">
        <f>COUNTIFS(stayCity[city],entryCity[[#This Row],[city]],stayCity[yr],S$45)</f>
        <v/>
      </c>
      <c r="T71" s="1610">
        <f>COUNTIFS(stayCity[city],entryCity[[#This Row],[city]],stayCity[yr],T$45)</f>
        <v/>
      </c>
      <c r="U71" s="1610">
        <f>COUNTIFS(stayCity[city],entryCity[[#This Row],[city]],stayCity[yr],U$45)</f>
        <v/>
      </c>
      <c r="V71" s="1610">
        <f>COUNTIFS(stayCity[city],entryCity[[#This Row],[city]],stayCity[yr],V$45)</f>
        <v/>
      </c>
      <c r="W71" s="1610">
        <f>COUNTIFS(stayCity[city],entryCity[[#This Row],[city]],stayCity[yr],W$45)</f>
        <v/>
      </c>
      <c r="X71" s="1610">
        <f>COUNTIFS(stayCity[city],entryCity[[#This Row],[city]],stayCity[yr],X$45)</f>
        <v/>
      </c>
      <c r="Y71" s="1610">
        <f>COUNTIFS(stayCity[city],entryCity[[#This Row],[city]],stayCity[yr],Y$45)</f>
        <v/>
      </c>
      <c r="Z71" s="1610">
        <f>COUNTIFS(stayCity[city],entryCity[[#This Row],[city]],stayCity[yr],Z$45)</f>
        <v/>
      </c>
      <c r="AA71" s="1610">
        <f>COUNTIFS(stayCity[city],entryCity[[#This Row],[city]],stayCity[yr],AA$45)</f>
        <v/>
      </c>
      <c r="AB71" s="1610">
        <f>COUNTIFS(stayCity[city],entryCity[[#This Row],[city]],stayCity[yr],AB$45)</f>
        <v/>
      </c>
      <c r="AC71" s="1610">
        <f>COUNTIFS(stayCity[city],entryCity[[#This Row],[city]],stayCity[yr],AC$45)</f>
        <v/>
      </c>
      <c r="AD71" s="1610">
        <f>COUNTIFS(stayCity[city],entryCity[[#This Row],[city]],stayCity[yr],AD$45)</f>
        <v/>
      </c>
      <c r="AE71" s="1610">
        <f>COUNTIFS(stayCity[city],entryCity[[#This Row],[city]],stayCity[yr],AE$45)</f>
        <v/>
      </c>
      <c r="AF71" s="1610">
        <f>COUNTIFS(stayCity[city],entryCity[[#This Row],[city]],stayCity[yr],AF$45)</f>
        <v/>
      </c>
      <c r="AG71" s="1610">
        <f>COUNTIFS(stayCity[city],entryCity[[#This Row],[city]],stayCity[yr],AG$45)</f>
        <v/>
      </c>
      <c r="AH71" s="1610">
        <f>COUNTIFS(stayCity[city],entryCity[[#This Row],[city]],stayCity[yr],AH$45)</f>
        <v/>
      </c>
      <c r="AI71" s="1610">
        <f>COUNTIFS(stayCity[city],entryCity[[#This Row],[city]],stayCity[yr],AI$45)</f>
        <v/>
      </c>
      <c r="AJ71" s="1610">
        <f>COUNTIFS(stayCity[city],entryCity[[#This Row],[city]],stayCity[yr],AJ$45)</f>
        <v/>
      </c>
      <c r="AK71" s="1597" t="inlineStr">
        <is>
          <t>.</t>
        </is>
      </c>
      <c r="AL71" s="1612" t="n"/>
      <c r="AM71" s="1612" t="n"/>
      <c r="AN71" s="1612" t="n"/>
      <c r="AO71" s="1612" t="n"/>
      <c r="AP71" s="1612" t="n"/>
      <c r="AQ71" s="1612" t="n"/>
      <c r="AR71" s="1612" t="n"/>
      <c r="AS71" s="1612" t="n"/>
      <c r="AT71" s="1612" t="n"/>
      <c r="AU71" s="1612" t="n"/>
      <c r="AV71" s="1612" t="n"/>
      <c r="AW71" s="1612" t="n"/>
      <c r="AX71" s="1612" t="n"/>
      <c r="AY71" s="1612" t="n"/>
      <c r="AZ71" s="1612" t="n"/>
      <c r="BA71" s="1612" t="n"/>
      <c r="BB71" s="1612" t="n"/>
      <c r="BC71" s="1612" t="n"/>
      <c r="BD71" s="1612" t="n"/>
      <c r="BE71" s="1612" t="n"/>
      <c r="BF71" s="1612" t="n"/>
      <c r="BG71" s="1612" t="n"/>
      <c r="BH71" s="1612" t="n"/>
      <c r="BI71" s="1612" t="n"/>
      <c r="BJ71" s="1612" t="n"/>
      <c r="BK71" s="1612" t="n"/>
      <c r="BL71" s="1612" t="n"/>
      <c r="BM71" s="1612" t="n"/>
      <c r="BN71" s="1612" t="n"/>
      <c r="BO71" s="1612" t="n"/>
      <c r="BP71" s="1612" t="n"/>
      <c r="BQ71" s="1612" t="n"/>
      <c r="BR71" s="1612" t="n"/>
      <c r="BS71" s="1612" t="n"/>
      <c r="BT71" s="1612" t="n"/>
      <c r="BU71" s="1612" t="n"/>
      <c r="BV71" s="1612" t="n"/>
      <c r="BW71" s="1612" t="n"/>
      <c r="BX71" s="1612" t="n"/>
      <c r="BY71" s="1612" t="n"/>
      <c r="BZ71" s="1612" t="n"/>
      <c r="CA71" s="1612" t="n"/>
      <c r="CB71" s="1612" t="n"/>
      <c r="CC71" s="1612" t="n"/>
      <c r="CD71" s="1612" t="n"/>
      <c r="CE71" s="1612" t="n"/>
      <c r="CF71" s="1612" t="n"/>
      <c r="CG71" s="1612" t="n"/>
    </row>
    <row r="72" ht="15" customHeight="1">
      <c r="A72" s="1615" t="n"/>
      <c r="B72" s="1781">
        <f>SUM(D72:AK72)</f>
        <v/>
      </c>
      <c r="C72" s="1782" t="inlineStr">
        <is>
          <t>Penzance</t>
        </is>
      </c>
      <c r="D72" s="1610">
        <f>COUNTIFS(stayCity[city],entryCity[[#This Row],[city]],stayCity[yr],D$45)</f>
        <v/>
      </c>
      <c r="E72" s="1610">
        <f>COUNTIFS(stayCity[city],entryCity[[#This Row],[city]],stayCity[yr],E$45)</f>
        <v/>
      </c>
      <c r="F72" s="1610">
        <f>COUNTIFS(stayCity[city],entryCity[[#This Row],[city]],stayCity[yr],F$45)</f>
        <v/>
      </c>
      <c r="G72" s="1610">
        <f>COUNTIFS(stayCity[city],entryCity[[#This Row],[city]],stayCity[yr],G$45)</f>
        <v/>
      </c>
      <c r="H72" s="1610">
        <f>COUNTIFS(stayCity[city],entryCity[[#This Row],[city]],stayCity[yr],H$45)</f>
        <v/>
      </c>
      <c r="I72" s="1610">
        <f>COUNTIFS(stayCity[city],entryCity[[#This Row],[city]],stayCity[yr],I$45)</f>
        <v/>
      </c>
      <c r="J72" s="1610">
        <f>COUNTIFS(stayCity[city],entryCity[[#This Row],[city]],stayCity[yr],J$45)</f>
        <v/>
      </c>
      <c r="K72" s="1610">
        <f>COUNTIFS(stayCity[city],entryCity[[#This Row],[city]],stayCity[yr],K$45)</f>
        <v/>
      </c>
      <c r="L72" s="1610">
        <f>COUNTIFS(stayCity[city],entryCity[[#This Row],[city]],stayCity[yr],L$45)</f>
        <v/>
      </c>
      <c r="M72" s="1610">
        <f>COUNTIFS(stayCity[city],entryCity[[#This Row],[city]],stayCity[yr],M$45)</f>
        <v/>
      </c>
      <c r="N72" s="1610">
        <f>COUNTIFS(stayCity[city],entryCity[[#This Row],[city]],stayCity[yr],N$45)</f>
        <v/>
      </c>
      <c r="O72" s="1610">
        <f>COUNTIFS(stayCity[city],entryCity[[#This Row],[city]],stayCity[yr],O$45)</f>
        <v/>
      </c>
      <c r="P72" s="1610">
        <f>COUNTIFS(stayCity[city],entryCity[[#This Row],[city]],stayCity[yr],P$45)</f>
        <v/>
      </c>
      <c r="Q72" s="1610">
        <f>COUNTIFS(stayCity[city],entryCity[[#This Row],[city]],stayCity[yr],Q$45)</f>
        <v/>
      </c>
      <c r="R72" s="1610">
        <f>COUNTIFS(stayCity[city],entryCity[[#This Row],[city]],stayCity[yr],R$45)</f>
        <v/>
      </c>
      <c r="S72" s="1610">
        <f>COUNTIFS(stayCity[city],entryCity[[#This Row],[city]],stayCity[yr],S$45)</f>
        <v/>
      </c>
      <c r="T72" s="1610">
        <f>COUNTIFS(stayCity[city],entryCity[[#This Row],[city]],stayCity[yr],T$45)</f>
        <v/>
      </c>
      <c r="U72" s="1610">
        <f>COUNTIFS(stayCity[city],entryCity[[#This Row],[city]],stayCity[yr],U$45)</f>
        <v/>
      </c>
      <c r="V72" s="1610">
        <f>COUNTIFS(stayCity[city],entryCity[[#This Row],[city]],stayCity[yr],V$45)</f>
        <v/>
      </c>
      <c r="W72" s="1610">
        <f>COUNTIFS(stayCity[city],entryCity[[#This Row],[city]],stayCity[yr],W$45)</f>
        <v/>
      </c>
      <c r="X72" s="1610">
        <f>COUNTIFS(stayCity[city],entryCity[[#This Row],[city]],stayCity[yr],X$45)</f>
        <v/>
      </c>
      <c r="Y72" s="1610">
        <f>COUNTIFS(stayCity[city],entryCity[[#This Row],[city]],stayCity[yr],Y$45)</f>
        <v/>
      </c>
      <c r="Z72" s="1610">
        <f>COUNTIFS(stayCity[city],entryCity[[#This Row],[city]],stayCity[yr],Z$45)</f>
        <v/>
      </c>
      <c r="AA72" s="1610">
        <f>COUNTIFS(stayCity[city],entryCity[[#This Row],[city]],stayCity[yr],AA$45)</f>
        <v/>
      </c>
      <c r="AB72" s="1610">
        <f>COUNTIFS(stayCity[city],entryCity[[#This Row],[city]],stayCity[yr],AB$45)</f>
        <v/>
      </c>
      <c r="AC72" s="1610">
        <f>COUNTIFS(stayCity[city],entryCity[[#This Row],[city]],stayCity[yr],AC$45)</f>
        <v/>
      </c>
      <c r="AD72" s="1610">
        <f>COUNTIFS(stayCity[city],entryCity[[#This Row],[city]],stayCity[yr],AD$45)</f>
        <v/>
      </c>
      <c r="AE72" s="1610">
        <f>COUNTIFS(stayCity[city],entryCity[[#This Row],[city]],stayCity[yr],AE$45)</f>
        <v/>
      </c>
      <c r="AF72" s="1610">
        <f>COUNTIFS(stayCity[city],entryCity[[#This Row],[city]],stayCity[yr],AF$45)</f>
        <v/>
      </c>
      <c r="AG72" s="1610">
        <f>COUNTIFS(stayCity[city],entryCity[[#This Row],[city]],stayCity[yr],AG$45)</f>
        <v/>
      </c>
      <c r="AH72" s="1610">
        <f>COUNTIFS(stayCity[city],entryCity[[#This Row],[city]],stayCity[yr],AH$45)</f>
        <v/>
      </c>
      <c r="AI72" s="1610">
        <f>COUNTIFS(stayCity[city],entryCity[[#This Row],[city]],stayCity[yr],AI$45)</f>
        <v/>
      </c>
      <c r="AJ72" s="1610">
        <f>COUNTIFS(stayCity[city],entryCity[[#This Row],[city]],stayCity[yr],AJ$45)</f>
        <v/>
      </c>
      <c r="AK72" s="1597" t="inlineStr">
        <is>
          <t>.</t>
        </is>
      </c>
      <c r="AL72" s="1612" t="n"/>
      <c r="AM72" s="1612" t="n"/>
      <c r="AN72" s="1612" t="n"/>
      <c r="AO72" s="1612" t="n"/>
      <c r="AP72" s="1612" t="n"/>
      <c r="AQ72" s="1612" t="n"/>
      <c r="AR72" s="1612" t="n"/>
      <c r="AS72" s="1612" t="n"/>
      <c r="AT72" s="1612" t="n"/>
      <c r="AU72" s="1612" t="n"/>
      <c r="AV72" s="1612" t="n"/>
      <c r="AW72" s="1612" t="n"/>
      <c r="AX72" s="1612" t="n"/>
      <c r="AY72" s="1612" t="n"/>
      <c r="AZ72" s="1612" t="n"/>
      <c r="BA72" s="1612" t="n"/>
      <c r="BB72" s="1612" t="n"/>
      <c r="BC72" s="1612" t="n"/>
      <c r="BD72" s="1612" t="n"/>
      <c r="BE72" s="1612" t="n"/>
      <c r="BF72" s="1612" t="n"/>
      <c r="BG72" s="1612" t="n"/>
      <c r="BH72" s="1612" t="n"/>
      <c r="BI72" s="1612" t="n"/>
      <c r="BJ72" s="1612" t="n"/>
      <c r="BK72" s="1612" t="n"/>
      <c r="BL72" s="1612" t="n"/>
      <c r="BM72" s="1612" t="n"/>
      <c r="BN72" s="1612" t="n"/>
      <c r="BO72" s="1612" t="n"/>
      <c r="BP72" s="1612" t="n"/>
      <c r="BQ72" s="1612" t="n"/>
      <c r="BR72" s="1612" t="n"/>
      <c r="BS72" s="1612" t="n"/>
      <c r="BT72" s="1612" t="n"/>
      <c r="BU72" s="1612" t="n"/>
      <c r="BV72" s="1612" t="n"/>
      <c r="BW72" s="1612" t="n"/>
      <c r="BX72" s="1612" t="n"/>
      <c r="BY72" s="1612" t="n"/>
      <c r="BZ72" s="1612" t="n"/>
      <c r="CA72" s="1612" t="n"/>
      <c r="CB72" s="1612" t="n"/>
      <c r="CC72" s="1612" t="n"/>
      <c r="CD72" s="1612" t="n"/>
      <c r="CE72" s="1612" t="n"/>
      <c r="CF72" s="1612" t="n"/>
      <c r="CG72" s="1612" t="n"/>
    </row>
    <row r="73" ht="15" customHeight="1">
      <c r="A73" s="1596" t="inlineStr">
        <is>
          <t>.</t>
        </is>
      </c>
      <c r="B73" s="1794">
        <f>SUM(D73:AK73)</f>
        <v/>
      </c>
      <c r="C73" s="1795" t="inlineStr">
        <is>
          <t>Trois-Rivieres</t>
        </is>
      </c>
      <c r="D73" s="1610">
        <f>COUNTIFS(stayCity[city],entryCity[[#This Row],[city]],stayCity[yr],D$45)</f>
        <v/>
      </c>
      <c r="E73" s="1610">
        <f>COUNTIFS(stayCity[city],entryCity[[#This Row],[city]],stayCity[yr],E$45)</f>
        <v/>
      </c>
      <c r="F73" s="1610">
        <f>COUNTIFS(stayCity[city],entryCity[[#This Row],[city]],stayCity[yr],F$45)</f>
        <v/>
      </c>
      <c r="G73" s="1610">
        <f>COUNTIFS(stayCity[city],entryCity[[#This Row],[city]],stayCity[yr],G$45)</f>
        <v/>
      </c>
      <c r="H73" s="1610">
        <f>COUNTIFS(stayCity[city],entryCity[[#This Row],[city]],stayCity[yr],H$45)</f>
        <v/>
      </c>
      <c r="I73" s="1610">
        <f>COUNTIFS(stayCity[city],entryCity[[#This Row],[city]],stayCity[yr],I$45)</f>
        <v/>
      </c>
      <c r="J73" s="1610">
        <f>COUNTIFS(stayCity[city],entryCity[[#This Row],[city]],stayCity[yr],J$45)</f>
        <v/>
      </c>
      <c r="K73" s="1610">
        <f>COUNTIFS(stayCity[city],entryCity[[#This Row],[city]],stayCity[yr],K$45)</f>
        <v/>
      </c>
      <c r="L73" s="1610">
        <f>COUNTIFS(stayCity[city],entryCity[[#This Row],[city]],stayCity[yr],L$45)</f>
        <v/>
      </c>
      <c r="M73" s="1610">
        <f>COUNTIFS(stayCity[city],entryCity[[#This Row],[city]],stayCity[yr],M$45)</f>
        <v/>
      </c>
      <c r="N73" s="1610">
        <f>COUNTIFS(stayCity[city],entryCity[[#This Row],[city]],stayCity[yr],N$45)</f>
        <v/>
      </c>
      <c r="O73" s="1610">
        <f>COUNTIFS(stayCity[city],entryCity[[#This Row],[city]],stayCity[yr],O$45)</f>
        <v/>
      </c>
      <c r="P73" s="1610">
        <f>COUNTIFS(stayCity[city],entryCity[[#This Row],[city]],stayCity[yr],P$45)</f>
        <v/>
      </c>
      <c r="Q73" s="1610">
        <f>COUNTIFS(stayCity[city],entryCity[[#This Row],[city]],stayCity[yr],Q$45)</f>
        <v/>
      </c>
      <c r="R73" s="1610">
        <f>COUNTIFS(stayCity[city],entryCity[[#This Row],[city]],stayCity[yr],R$45)</f>
        <v/>
      </c>
      <c r="S73" s="1610">
        <f>COUNTIFS(stayCity[city],entryCity[[#This Row],[city]],stayCity[yr],S$45)</f>
        <v/>
      </c>
      <c r="T73" s="1610">
        <f>COUNTIFS(stayCity[city],entryCity[[#This Row],[city]],stayCity[yr],T$45)</f>
        <v/>
      </c>
      <c r="U73" s="1610">
        <f>COUNTIFS(stayCity[city],entryCity[[#This Row],[city]],stayCity[yr],U$45)</f>
        <v/>
      </c>
      <c r="V73" s="1610">
        <f>COUNTIFS(stayCity[city],entryCity[[#This Row],[city]],stayCity[yr],V$45)</f>
        <v/>
      </c>
      <c r="W73" s="1610">
        <f>COUNTIFS(stayCity[city],entryCity[[#This Row],[city]],stayCity[yr],W$45)</f>
        <v/>
      </c>
      <c r="X73" s="1610">
        <f>COUNTIFS(stayCity[city],entryCity[[#This Row],[city]],stayCity[yr],X$45)</f>
        <v/>
      </c>
      <c r="Y73" s="1610">
        <f>COUNTIFS(stayCity[city],entryCity[[#This Row],[city]],stayCity[yr],Y$45)</f>
        <v/>
      </c>
      <c r="Z73" s="1610">
        <f>COUNTIFS(stayCity[city],entryCity[[#This Row],[city]],stayCity[yr],Z$45)</f>
        <v/>
      </c>
      <c r="AA73" s="1610">
        <f>COUNTIFS(stayCity[city],entryCity[[#This Row],[city]],stayCity[yr],AA$45)</f>
        <v/>
      </c>
      <c r="AB73" s="1610">
        <f>COUNTIFS(stayCity[city],entryCity[[#This Row],[city]],stayCity[yr],AB$45)</f>
        <v/>
      </c>
      <c r="AC73" s="1610">
        <f>COUNTIFS(stayCity[city],entryCity[[#This Row],[city]],stayCity[yr],AC$45)</f>
        <v/>
      </c>
      <c r="AD73" s="1610">
        <f>COUNTIFS(stayCity[city],entryCity[[#This Row],[city]],stayCity[yr],AD$45)</f>
        <v/>
      </c>
      <c r="AE73" s="1610">
        <f>COUNTIFS(stayCity[city],entryCity[[#This Row],[city]],stayCity[yr],AE$45)</f>
        <v/>
      </c>
      <c r="AF73" s="1610">
        <f>COUNTIFS(stayCity[city],entryCity[[#This Row],[city]],stayCity[yr],AF$45)</f>
        <v/>
      </c>
      <c r="AG73" s="1610">
        <f>COUNTIFS(stayCity[city],entryCity[[#This Row],[city]],stayCity[yr],AG$45)</f>
        <v/>
      </c>
      <c r="AH73" s="1610">
        <f>COUNTIFS(stayCity[city],entryCity[[#This Row],[city]],stayCity[yr],AH$45)</f>
        <v/>
      </c>
      <c r="AI73" s="1610">
        <f>COUNTIFS(stayCity[city],entryCity[[#This Row],[city]],stayCity[yr],AI$45)</f>
        <v/>
      </c>
      <c r="AJ73" s="1610">
        <f>COUNTIFS(stayCity[city],entryCity[[#This Row],[city]],stayCity[yr],AJ$45)</f>
        <v/>
      </c>
      <c r="AK73" s="1597" t="inlineStr">
        <is>
          <t>.</t>
        </is>
      </c>
      <c r="AL73" s="1612" t="n"/>
      <c r="AM73" s="1612" t="n"/>
      <c r="AN73" s="1612" t="n"/>
      <c r="AO73" s="1612" t="n"/>
      <c r="AP73" s="1612" t="n"/>
      <c r="AQ73" s="1612" t="n"/>
      <c r="AR73" s="1612" t="n"/>
      <c r="AS73" s="1612" t="n"/>
      <c r="AT73" s="1612" t="n"/>
      <c r="AU73" s="1612" t="n"/>
      <c r="AV73" s="1612" t="n"/>
      <c r="AW73" s="1612" t="n"/>
      <c r="AX73" s="1612" t="n"/>
      <c r="AY73" s="1612" t="n"/>
      <c r="AZ73" s="1612" t="n"/>
      <c r="BA73" s="1612" t="n"/>
      <c r="BB73" s="1612" t="n"/>
      <c r="BC73" s="1612" t="n"/>
      <c r="BD73" s="1612" t="n"/>
      <c r="BE73" s="1612" t="n"/>
      <c r="BF73" s="1612" t="n"/>
      <c r="BG73" s="1612" t="n"/>
      <c r="BH73" s="1612" t="n"/>
      <c r="BI73" s="1612" t="n"/>
      <c r="BJ73" s="1612" t="n"/>
      <c r="BK73" s="1612" t="n"/>
      <c r="BL73" s="1612" t="n"/>
      <c r="BM73" s="1612" t="n"/>
      <c r="BN73" s="1612" t="n"/>
      <c r="BO73" s="1612" t="n"/>
      <c r="BP73" s="1612" t="n"/>
      <c r="BQ73" s="1612" t="n"/>
      <c r="BR73" s="1612" t="n"/>
      <c r="BS73" s="1612" t="n"/>
      <c r="BT73" s="1612" t="n"/>
      <c r="BU73" s="1612" t="n"/>
      <c r="BV73" s="1612" t="n"/>
      <c r="BW73" s="1612" t="n"/>
      <c r="BX73" s="1612" t="n"/>
      <c r="BY73" s="1612" t="n"/>
      <c r="BZ73" s="1612" t="n"/>
      <c r="CA73" s="1612" t="n"/>
      <c r="CB73" s="1612" t="n"/>
      <c r="CC73" s="1612" t="n"/>
      <c r="CD73" s="1612" t="n"/>
      <c r="CE73" s="1612" t="n"/>
      <c r="CF73" s="1612" t="n"/>
      <c r="CG73" s="1612" t="n"/>
    </row>
    <row r="74" ht="15" customHeight="1">
      <c r="A74" s="1615" t="inlineStr">
        <is>
          <t>.</t>
        </is>
      </c>
      <c r="B74" s="1677" t="inlineStr">
        <is>
          <t>.</t>
        </is>
      </c>
      <c r="C74" s="1677" t="inlineStr">
        <is>
          <t>.</t>
        </is>
      </c>
      <c r="D74" s="1611" t="inlineStr">
        <is>
          <t>.</t>
        </is>
      </c>
      <c r="E74" s="1611" t="inlineStr">
        <is>
          <t>.</t>
        </is>
      </c>
      <c r="F74" s="1611" t="inlineStr">
        <is>
          <t>.</t>
        </is>
      </c>
      <c r="G74" s="1611" t="inlineStr">
        <is>
          <t>.</t>
        </is>
      </c>
      <c r="H74" s="1611" t="inlineStr">
        <is>
          <t>.</t>
        </is>
      </c>
      <c r="I74" s="1611" t="inlineStr">
        <is>
          <t>.</t>
        </is>
      </c>
      <c r="J74" s="1611" t="inlineStr">
        <is>
          <t>.</t>
        </is>
      </c>
      <c r="K74" s="1611" t="inlineStr">
        <is>
          <t>.</t>
        </is>
      </c>
      <c r="L74" s="1611" t="inlineStr">
        <is>
          <t>.</t>
        </is>
      </c>
      <c r="M74" s="1611" t="inlineStr">
        <is>
          <t>.</t>
        </is>
      </c>
      <c r="N74" s="1611" t="inlineStr">
        <is>
          <t>.</t>
        </is>
      </c>
      <c r="O74" s="1611" t="inlineStr">
        <is>
          <t>.</t>
        </is>
      </c>
      <c r="P74" s="1611" t="inlineStr">
        <is>
          <t>.</t>
        </is>
      </c>
      <c r="Q74" s="1611" t="inlineStr">
        <is>
          <t>.</t>
        </is>
      </c>
      <c r="R74" s="1611" t="inlineStr">
        <is>
          <t>.</t>
        </is>
      </c>
      <c r="S74" s="1611" t="inlineStr">
        <is>
          <t>.</t>
        </is>
      </c>
      <c r="T74" s="1611" t="inlineStr">
        <is>
          <t>.</t>
        </is>
      </c>
      <c r="U74" s="1611" t="inlineStr">
        <is>
          <t>.</t>
        </is>
      </c>
      <c r="V74" s="1611" t="inlineStr">
        <is>
          <t>.</t>
        </is>
      </c>
      <c r="W74" s="1611" t="inlineStr">
        <is>
          <t>.</t>
        </is>
      </c>
      <c r="X74" s="1611" t="inlineStr">
        <is>
          <t>.</t>
        </is>
      </c>
      <c r="Y74" s="1611" t="inlineStr">
        <is>
          <t>.</t>
        </is>
      </c>
      <c r="Z74" s="1611" t="inlineStr">
        <is>
          <t>.</t>
        </is>
      </c>
      <c r="AA74" s="1611" t="inlineStr">
        <is>
          <t>.</t>
        </is>
      </c>
      <c r="AB74" s="1611" t="inlineStr">
        <is>
          <t>.</t>
        </is>
      </c>
      <c r="AC74" s="1611" t="inlineStr">
        <is>
          <t>.</t>
        </is>
      </c>
      <c r="AD74" s="1611" t="inlineStr">
        <is>
          <t>.</t>
        </is>
      </c>
      <c r="AE74" s="1611" t="inlineStr">
        <is>
          <t>.</t>
        </is>
      </c>
      <c r="AF74" s="1611" t="inlineStr">
        <is>
          <t>.</t>
        </is>
      </c>
      <c r="AG74" s="1611" t="inlineStr">
        <is>
          <t>.</t>
        </is>
      </c>
      <c r="AH74" s="1611" t="inlineStr">
        <is>
          <t>.</t>
        </is>
      </c>
      <c r="AI74" s="1611" t="inlineStr">
        <is>
          <t>.</t>
        </is>
      </c>
      <c r="AJ74" s="1611" t="inlineStr">
        <is>
          <t>.</t>
        </is>
      </c>
      <c r="AK74" s="1597" t="inlineStr">
        <is>
          <t>.</t>
        </is>
      </c>
      <c r="AL74" s="1612" t="n"/>
      <c r="AM74" s="1612" t="n"/>
      <c r="AN74" s="1612" t="n"/>
      <c r="AO74" s="1612" t="n"/>
      <c r="AP74" s="1612" t="n"/>
      <c r="AQ74" s="1612" t="n"/>
      <c r="AR74" s="1612" t="n"/>
      <c r="AS74" s="1612" t="n"/>
      <c r="AT74" s="1612" t="n"/>
      <c r="AU74" s="1612" t="n"/>
      <c r="AV74" s="1612" t="n"/>
      <c r="AW74" s="1612" t="n"/>
      <c r="AX74" s="1612" t="n"/>
      <c r="AY74" s="1612" t="n"/>
      <c r="AZ74" s="1612" t="n"/>
      <c r="BA74" s="1612" t="n"/>
      <c r="BB74" s="1612" t="n"/>
      <c r="BC74" s="1612" t="n"/>
      <c r="BD74" s="1612" t="n"/>
      <c r="BE74" s="1612" t="n"/>
      <c r="BF74" s="1612" t="n"/>
      <c r="BG74" s="1612" t="n"/>
      <c r="BH74" s="1612" t="n"/>
      <c r="BI74" s="1612" t="n"/>
      <c r="BJ74" s="1612" t="n"/>
      <c r="BK74" s="1612" t="n"/>
      <c r="BL74" s="1612" t="n"/>
      <c r="BM74" s="1612" t="n"/>
      <c r="BN74" s="1612" t="n"/>
      <c r="BO74" s="1612" t="n"/>
      <c r="BP74" s="1612" t="n"/>
      <c r="BQ74" s="1612" t="n"/>
      <c r="BR74" s="1612" t="n"/>
      <c r="BS74" s="1612" t="n"/>
      <c r="BT74" s="1612" t="n"/>
      <c r="BU74" s="1612" t="n"/>
      <c r="BV74" s="1612" t="n"/>
      <c r="BW74" s="1612" t="n"/>
      <c r="BX74" s="1612" t="n"/>
      <c r="BY74" s="1612" t="n"/>
      <c r="BZ74" s="1612" t="n"/>
      <c r="CA74" s="1612" t="n"/>
      <c r="CB74" s="1612" t="n"/>
      <c r="CC74" s="1612" t="n"/>
      <c r="CD74" s="1612" t="n"/>
      <c r="CE74" s="1612" t="n"/>
      <c r="CF74" s="1612" t="n"/>
      <c r="CG74" s="1612" t="n"/>
    </row>
    <row r="75">
      <c r="A75" s="1673" t="n"/>
      <c r="B75" s="1673" t="n"/>
      <c r="C75" s="1673" t="n"/>
      <c r="D75" s="1612" t="n"/>
      <c r="E75" s="1612" t="n"/>
      <c r="F75" s="1612" t="n"/>
      <c r="G75" s="1612" t="n"/>
      <c r="H75" s="1612" t="n"/>
      <c r="I75" s="1612" t="n"/>
      <c r="J75" s="1612" t="n"/>
      <c r="K75" s="1612" t="n"/>
      <c r="L75" s="1612" t="n"/>
      <c r="M75" s="1612" t="n"/>
      <c r="N75" s="1612" t="n"/>
      <c r="O75" s="1612" t="n"/>
      <c r="P75" s="1612" t="n"/>
      <c r="Q75" s="1612" t="n"/>
      <c r="R75" s="1612" t="n"/>
      <c r="S75" s="1612" t="n"/>
      <c r="T75" s="1612" t="n"/>
      <c r="U75" s="1612" t="n"/>
      <c r="V75" s="1612" t="n"/>
      <c r="W75" s="1612" t="n"/>
      <c r="X75" s="1612" t="n"/>
      <c r="Y75" s="1612" t="n"/>
      <c r="Z75" s="1612" t="n"/>
      <c r="AA75" s="1612" t="n"/>
      <c r="AB75" s="1612" t="n"/>
      <c r="AC75" s="1612" t="n"/>
      <c r="AD75" s="1612" t="n"/>
      <c r="AE75" s="1612" t="n"/>
      <c r="AF75" s="1612" t="n"/>
      <c r="AG75" s="1612" t="n"/>
      <c r="AH75" s="1612" t="n"/>
      <c r="AI75" s="1612" t="n"/>
      <c r="AJ75" s="1612" t="n"/>
      <c r="AK75" s="1612" t="n"/>
      <c r="AL75" s="1612" t="n"/>
      <c r="AM75" s="1612" t="n"/>
      <c r="AN75" s="1612" t="n"/>
      <c r="AO75" s="1612" t="n"/>
      <c r="AP75" s="1612" t="n"/>
      <c r="AQ75" s="1612" t="n"/>
      <c r="AR75" s="1612" t="n"/>
      <c r="AS75" s="1612" t="n"/>
      <c r="AT75" s="1612" t="n"/>
      <c r="AU75" s="1612" t="n"/>
      <c r="AV75" s="1612" t="n"/>
      <c r="AW75" s="1612" t="n"/>
      <c r="AX75" s="1612" t="n"/>
      <c r="AY75" s="1612" t="n"/>
      <c r="AZ75" s="1612" t="n"/>
      <c r="BA75" s="1612" t="n"/>
      <c r="BB75" s="1612" t="n"/>
      <c r="BC75" s="1612" t="n"/>
      <c r="BD75" s="1612" t="n"/>
      <c r="BE75" s="1612" t="n"/>
      <c r="BF75" s="1612" t="n"/>
      <c r="BG75" s="1612" t="n"/>
      <c r="BH75" s="1612" t="n"/>
      <c r="BI75" s="1612" t="n"/>
      <c r="BJ75" s="1612" t="n"/>
      <c r="BK75" s="1612" t="n"/>
      <c r="BL75" s="1612" t="n"/>
      <c r="BM75" s="1612" t="n"/>
      <c r="BN75" s="1612" t="n"/>
      <c r="BO75" s="1612" t="n"/>
      <c r="BP75" s="1612" t="n"/>
      <c r="BQ75" s="1612" t="n"/>
      <c r="BR75" s="1612" t="n"/>
      <c r="BS75" s="1612" t="n"/>
      <c r="BT75" s="1612" t="n"/>
      <c r="BU75" s="1612" t="n"/>
      <c r="BV75" s="1612" t="n"/>
      <c r="BW75" s="1612" t="n"/>
      <c r="BX75" s="1612" t="n"/>
      <c r="BY75" s="1612" t="n"/>
      <c r="BZ75" s="1612" t="n"/>
      <c r="CA75" s="1612" t="n"/>
      <c r="CB75" s="1612" t="n"/>
      <c r="CC75" s="1612" t="n"/>
      <c r="CD75" s="1612" t="n"/>
      <c r="CE75" s="1612" t="n"/>
      <c r="CF75" s="1612" t="n"/>
      <c r="CG75" s="1612" t="n"/>
    </row>
    <row r="76" ht="15" customHeight="1">
      <c r="A76" s="1677" t="n"/>
      <c r="B76" s="1677" t="n"/>
      <c r="C76" s="1677" t="inlineStr">
        <is>
          <t>SSA</t>
        </is>
      </c>
      <c r="D76" s="1719">
        <f>SUM($D81:D81)</f>
        <v/>
      </c>
      <c r="E76" s="1719">
        <f>SUM($D81:E81)</f>
        <v/>
      </c>
      <c r="F76" s="1719">
        <f>SUM($D81:F81)</f>
        <v/>
      </c>
      <c r="G76" s="1719">
        <f>SUM($D81:G81)</f>
        <v/>
      </c>
      <c r="H76" s="1719">
        <f>SUM($D81:H81)</f>
        <v/>
      </c>
      <c r="I76" s="1719">
        <f>SUM($D81:I81)</f>
        <v/>
      </c>
      <c r="J76" s="1719">
        <f>SUM($D81:J81)</f>
        <v/>
      </c>
      <c r="K76" s="1719">
        <f>SUM($D81:K81)</f>
        <v/>
      </c>
      <c r="L76" s="1831">
        <f>SUM($D81:L81)</f>
        <v/>
      </c>
      <c r="M76" s="1719">
        <f>SUM($D81:M81)</f>
        <v/>
      </c>
      <c r="N76" s="1719">
        <f>SUM($D81:N81)</f>
        <v/>
      </c>
      <c r="O76" s="1719">
        <f>SUM($D81:O81)</f>
        <v/>
      </c>
      <c r="P76" s="1719">
        <f>SUM($D81:P81)</f>
        <v/>
      </c>
      <c r="Q76" s="1719">
        <f>SUM($D81:Q81)</f>
        <v/>
      </c>
      <c r="R76" s="1719">
        <f>SUM($D81:R81)</f>
        <v/>
      </c>
      <c r="S76" s="1719">
        <f>SUM($D81:S81)</f>
        <v/>
      </c>
      <c r="T76" s="1719">
        <f>SUM($D81:T81)</f>
        <v/>
      </c>
      <c r="U76" s="1719">
        <f>SUM($D81:U81)</f>
        <v/>
      </c>
      <c r="V76" s="1719">
        <f>SUM($D81:V81)</f>
        <v/>
      </c>
      <c r="W76" s="1719">
        <f>SUM($D81:W81)</f>
        <v/>
      </c>
      <c r="X76" s="1719">
        <f>SUM($D81:X81)</f>
        <v/>
      </c>
      <c r="Y76" s="1719">
        <f>SUM($D81:Y81)</f>
        <v/>
      </c>
      <c r="Z76" s="1719">
        <f>SUM($D81:Z81)</f>
        <v/>
      </c>
      <c r="AA76" s="1719">
        <f>SUM($D81:AA81)</f>
        <v/>
      </c>
      <c r="AB76" s="1719">
        <f>SUM($D81:AB81)</f>
        <v/>
      </c>
      <c r="AC76" s="1719">
        <f>SUM($D81:AC81)</f>
        <v/>
      </c>
      <c r="AD76" s="1719">
        <f>SUM($D81:AD81)</f>
        <v/>
      </c>
      <c r="AE76" s="1719">
        <f>SUM($D81:AE81)</f>
        <v/>
      </c>
      <c r="AF76" s="1831">
        <f>SUM($D81:AF81)</f>
        <v/>
      </c>
      <c r="AG76" s="1831">
        <f>SUM($D81:AG81)</f>
        <v/>
      </c>
      <c r="AH76" s="1831">
        <f>SUM($D81:AH81)</f>
        <v/>
      </c>
      <c r="AI76" s="1831">
        <f>SUM($D81:AI81)</f>
        <v/>
      </c>
      <c r="AJ76" s="1831">
        <f>SUM($D81:AJ81)</f>
        <v/>
      </c>
      <c r="AK76" s="1612" t="n"/>
      <c r="AL76" s="1612" t="n"/>
      <c r="AM76" s="1612" t="n"/>
      <c r="AN76" s="1612" t="n"/>
      <c r="AO76" s="1612" t="n"/>
      <c r="AP76" s="1612" t="n"/>
      <c r="AQ76" s="1612" t="n"/>
      <c r="AR76" s="1612" t="n"/>
      <c r="AS76" s="1612" t="n"/>
      <c r="AT76" s="1612" t="n"/>
      <c r="AU76" s="1612" t="n"/>
      <c r="AV76" s="1612" t="n"/>
      <c r="AW76" s="1612" t="n"/>
      <c r="AX76" s="1612" t="n"/>
      <c r="AY76" s="1612" t="n"/>
      <c r="AZ76" s="1612" t="n"/>
      <c r="BA76" s="1612" t="n"/>
      <c r="BB76" s="1612" t="n"/>
      <c r="BC76" s="1612" t="n"/>
      <c r="BD76" s="1612" t="n"/>
      <c r="BE76" s="1612" t="n"/>
      <c r="BF76" s="1612" t="n"/>
      <c r="BG76" s="1612" t="n"/>
      <c r="BH76" s="1612" t="n"/>
      <c r="BI76" s="1612" t="n"/>
      <c r="BJ76" s="1612" t="n"/>
      <c r="BK76" s="1612" t="n"/>
      <c r="BL76" s="1612" t="n"/>
      <c r="BM76" s="1612" t="n"/>
      <c r="BN76" s="1612" t="n"/>
      <c r="BO76" s="1612" t="n"/>
      <c r="BP76" s="1612" t="n"/>
      <c r="BQ76" s="1612" t="n"/>
      <c r="BR76" s="1612" t="n"/>
      <c r="BS76" s="1612" t="n"/>
      <c r="BT76" s="1612" t="n"/>
      <c r="BU76" s="1612" t="n"/>
      <c r="BV76" s="1612" t="n"/>
      <c r="BW76" s="1612" t="n"/>
      <c r="BX76" s="1612" t="n"/>
      <c r="BY76" s="1612" t="n"/>
      <c r="BZ76" s="1612" t="n"/>
      <c r="CA76" s="1612" t="n"/>
      <c r="CB76" s="1612" t="n"/>
      <c r="CC76" s="1612" t="n"/>
      <c r="CD76" s="1612" t="n"/>
      <c r="CE76" s="1612" t="n"/>
      <c r="CF76" s="1612" t="n"/>
      <c r="CG76" s="1612" t="n"/>
    </row>
    <row r="77" ht="15" customHeight="1">
      <c r="A77" s="1673" t="n"/>
      <c r="B77" s="1673" t="n"/>
      <c r="C77" s="1673" t="inlineStr">
        <is>
          <t>SP</t>
        </is>
      </c>
      <c r="D77" s="1719">
        <f>SUM($D82:D82)</f>
        <v/>
      </c>
      <c r="E77" s="1831">
        <f>SUM($D82:E82)</f>
        <v/>
      </c>
      <c r="F77" s="1831">
        <f>SUM($D82:F82)</f>
        <v/>
      </c>
      <c r="G77" s="1831">
        <f>SUM($D82:G82)</f>
        <v/>
      </c>
      <c r="H77" s="1831">
        <f>SUM($D82:H82)</f>
        <v/>
      </c>
      <c r="I77" s="1831">
        <f>SUM($D82:I82)</f>
        <v/>
      </c>
      <c r="J77" s="1831">
        <f>SUM($D82:J82)</f>
        <v/>
      </c>
      <c r="K77" s="1831">
        <f>SUM($D82:K82)</f>
        <v/>
      </c>
      <c r="L77" s="1719">
        <f>SUM($D82:L82)</f>
        <v/>
      </c>
      <c r="M77" s="1831">
        <f>SUM($D82:M82)</f>
        <v/>
      </c>
      <c r="N77" s="1831">
        <f>SUM($D82:N82)</f>
        <v/>
      </c>
      <c r="O77" s="1831">
        <f>SUM($D82:O82)</f>
        <v/>
      </c>
      <c r="P77" s="1831">
        <f>SUM($D82:P82)</f>
        <v/>
      </c>
      <c r="Q77" s="1831">
        <f>SUM($D82:Q82)</f>
        <v/>
      </c>
      <c r="R77" s="1831">
        <f>SUM($D82:R82)</f>
        <v/>
      </c>
      <c r="S77" s="1831">
        <f>SUM($D82:S82)</f>
        <v/>
      </c>
      <c r="T77" s="1831">
        <f>SUM($D82:T82)</f>
        <v/>
      </c>
      <c r="U77" s="1831">
        <f>SUM($D82:U82)</f>
        <v/>
      </c>
      <c r="V77" s="1831">
        <f>SUM($D82:V82)</f>
        <v/>
      </c>
      <c r="W77" s="1831">
        <f>SUM($D82:W82)</f>
        <v/>
      </c>
      <c r="X77" s="1831">
        <f>SUM($D82:X82)</f>
        <v/>
      </c>
      <c r="Y77" s="1831">
        <f>SUM($D82:Y82)</f>
        <v/>
      </c>
      <c r="Z77" s="1831">
        <f>SUM($D82:Z82)</f>
        <v/>
      </c>
      <c r="AA77" s="1831">
        <f>SUM($D82:AA82)</f>
        <v/>
      </c>
      <c r="AB77" s="1831">
        <f>SUM($D82:AB82)</f>
        <v/>
      </c>
      <c r="AC77" s="1831">
        <f>SUM($D82:AC82)</f>
        <v/>
      </c>
      <c r="AD77" s="1831">
        <f>SUM($D82:AD82)</f>
        <v/>
      </c>
      <c r="AE77" s="1831">
        <f>SUM($D82:AE82)</f>
        <v/>
      </c>
      <c r="AF77" s="1719">
        <f>SUM($D82:AF82)</f>
        <v/>
      </c>
      <c r="AG77" s="1719">
        <f>SUM($D82:AG82)</f>
        <v/>
      </c>
      <c r="AH77" s="1719">
        <f>SUM($D82:AH82)</f>
        <v/>
      </c>
      <c r="AI77" s="1719">
        <f>SUM($D82:AI82)</f>
        <v/>
      </c>
      <c r="AJ77" s="1719">
        <f>SUM($D82:AJ82)</f>
        <v/>
      </c>
      <c r="AK77" s="1612" t="n"/>
      <c r="AL77" s="1612" t="n"/>
      <c r="AM77" s="1612" t="n"/>
      <c r="AN77" s="1612" t="n"/>
      <c r="AO77" s="1612" t="n"/>
      <c r="AP77" s="1612" t="n"/>
      <c r="AQ77" s="1612" t="n"/>
      <c r="AR77" s="1612" t="n"/>
      <c r="AS77" s="1612" t="n"/>
      <c r="AT77" s="1612" t="n"/>
      <c r="AU77" s="1612" t="n"/>
      <c r="AV77" s="1612" t="n"/>
      <c r="AW77" s="1612" t="n"/>
      <c r="AX77" s="1612" t="n"/>
      <c r="AY77" s="1612" t="n"/>
      <c r="AZ77" s="1612" t="n"/>
      <c r="BA77" s="1612" t="n"/>
      <c r="BB77" s="1612" t="n"/>
      <c r="BC77" s="1612" t="n"/>
      <c r="BD77" s="1612" t="n"/>
      <c r="BE77" s="1612" t="n"/>
      <c r="BF77" s="1612" t="n"/>
      <c r="BG77" s="1612" t="n"/>
      <c r="BH77" s="1612" t="n"/>
      <c r="BI77" s="1612" t="n"/>
      <c r="BJ77" s="1612" t="n"/>
      <c r="BK77" s="1612" t="n"/>
      <c r="BL77" s="1612" t="n"/>
      <c r="BM77" s="1612" t="n"/>
      <c r="BN77" s="1612" t="n"/>
      <c r="BO77" s="1612" t="n"/>
      <c r="BP77" s="1612" t="n"/>
      <c r="BQ77" s="1612" t="n"/>
      <c r="BR77" s="1612" t="n"/>
      <c r="BS77" s="1612" t="n"/>
      <c r="BT77" s="1612" t="n"/>
      <c r="BU77" s="1612" t="n"/>
      <c r="BV77" s="1612" t="n"/>
      <c r="BW77" s="1612" t="n"/>
      <c r="BX77" s="1612" t="n"/>
      <c r="BY77" s="1612" t="n"/>
      <c r="BZ77" s="1612" t="n"/>
      <c r="CA77" s="1612" t="n"/>
      <c r="CB77" s="1612" t="n"/>
      <c r="CC77" s="1612" t="n"/>
      <c r="CD77" s="1612" t="n"/>
      <c r="CE77" s="1612" t="n"/>
      <c r="CF77" s="1612" t="n"/>
      <c r="CG77" s="1612" t="n"/>
    </row>
    <row r="78" ht="15" customHeight="1">
      <c r="A78" s="1677" t="n"/>
      <c r="B78" s="1677" t="n"/>
      <c r="C78" s="1677" t="n"/>
      <c r="D78" s="1611" t="n"/>
      <c r="E78" s="1611" t="n"/>
      <c r="F78" s="1611" t="n"/>
      <c r="G78" s="1611" t="n"/>
      <c r="H78" s="1611" t="n"/>
      <c r="I78" s="1611" t="n"/>
      <c r="J78" s="1611" t="n"/>
      <c r="K78" s="1611" t="n"/>
      <c r="L78" s="1611" t="n"/>
      <c r="M78" s="1611" t="n"/>
      <c r="N78" s="1611" t="n"/>
      <c r="O78" s="1611" t="n"/>
      <c r="P78" s="1611" t="n"/>
      <c r="Q78" s="1611" t="n"/>
      <c r="R78" s="1611" t="n"/>
      <c r="S78" s="1611" t="n"/>
      <c r="T78" s="1611" t="n"/>
      <c r="U78" s="1611" t="n"/>
      <c r="V78" s="1611" t="n"/>
      <c r="W78" s="1611" t="n"/>
      <c r="X78" s="1611" t="n"/>
      <c r="Y78" s="1611" t="n"/>
      <c r="Z78" s="1611" t="n"/>
      <c r="AA78" s="1611" t="n"/>
      <c r="AB78" s="1611" t="n"/>
      <c r="AC78" s="1611" t="n"/>
      <c r="AD78" s="1611" t="n"/>
      <c r="AE78" s="1611" t="n"/>
      <c r="AF78" s="1611" t="n"/>
      <c r="AG78" s="1611" t="n"/>
      <c r="AH78" s="1611" t="n"/>
      <c r="AI78" s="1611" t="n"/>
      <c r="AJ78" s="1611" t="n"/>
      <c r="AK78" s="1597" t="inlineStr">
        <is>
          <t>.</t>
        </is>
      </c>
      <c r="AL78" s="1612" t="n"/>
      <c r="AM78" s="1612" t="n"/>
      <c r="AN78" s="1612" t="n"/>
      <c r="AO78" s="1612" t="n"/>
      <c r="AP78" s="1612" t="n"/>
      <c r="AQ78" s="1612" t="n"/>
      <c r="AR78" s="1612" t="n"/>
      <c r="AS78" s="1612" t="n"/>
      <c r="AT78" s="1612" t="n"/>
      <c r="AU78" s="1612" t="n"/>
      <c r="AV78" s="1612" t="n"/>
      <c r="AW78" s="1612" t="n"/>
      <c r="AX78" s="1612" t="n"/>
      <c r="AY78" s="1612" t="n"/>
      <c r="AZ78" s="1612" t="n"/>
      <c r="BA78" s="1612" t="n"/>
      <c r="BB78" s="1612" t="n"/>
      <c r="BC78" s="1612" t="n"/>
      <c r="BD78" s="1612" t="n"/>
      <c r="BE78" s="1612" t="n"/>
      <c r="BF78" s="1612" t="n"/>
      <c r="BG78" s="1612" t="n"/>
      <c r="BH78" s="1612" t="n"/>
      <c r="BI78" s="1612" t="n"/>
      <c r="BJ78" s="1612" t="n"/>
      <c r="BK78" s="1612" t="n"/>
      <c r="BL78" s="1612" t="n"/>
      <c r="BM78" s="1612" t="n"/>
      <c r="BN78" s="1612" t="n"/>
      <c r="BO78" s="1612" t="n"/>
      <c r="BP78" s="1612" t="n"/>
      <c r="BQ78" s="1612" t="n"/>
      <c r="BR78" s="1612" t="n"/>
      <c r="BS78" s="1612" t="n"/>
      <c r="BT78" s="1612" t="n"/>
      <c r="BU78" s="1612" t="n"/>
      <c r="BV78" s="1612" t="n"/>
      <c r="BW78" s="1612" t="n"/>
      <c r="BX78" s="1612" t="n"/>
      <c r="BY78" s="1612" t="n"/>
      <c r="BZ78" s="1612" t="n"/>
      <c r="CA78" s="1612" t="n"/>
      <c r="CB78" s="1612" t="n"/>
      <c r="CC78" s="1612" t="n"/>
      <c r="CD78" s="1612" t="n"/>
      <c r="CE78" s="1612" t="n"/>
      <c r="CF78" s="1612" t="n"/>
      <c r="CG78" s="1612" t="n"/>
    </row>
    <row r="79" ht="15" customHeight="1">
      <c r="A79" s="1673" t="n"/>
      <c r="B79" s="1826" t="inlineStr">
        <is>
          <t>Entry (with Stay)</t>
        </is>
      </c>
      <c r="C79" s="1349" t="n"/>
      <c r="D79" s="1827" t="n">
        <v>1991</v>
      </c>
      <c r="E79" s="1827" t="n">
        <v>1992</v>
      </c>
      <c r="F79" s="1827" t="n">
        <v>1993</v>
      </c>
      <c r="G79" s="1827" t="n">
        <v>1994</v>
      </c>
      <c r="H79" s="1827" t="n">
        <v>1995</v>
      </c>
      <c r="I79" s="1827" t="n">
        <v>1996</v>
      </c>
      <c r="J79" s="1827" t="n">
        <v>1997</v>
      </c>
      <c r="K79" s="1827" t="n">
        <v>1998</v>
      </c>
      <c r="L79" s="1827" t="n">
        <v>1999</v>
      </c>
      <c r="M79" s="1827" t="n">
        <v>2000</v>
      </c>
      <c r="N79" s="1827" t="n">
        <v>2001</v>
      </c>
      <c r="O79" s="1827" t="n">
        <v>2002</v>
      </c>
      <c r="P79" s="1827" t="n">
        <v>2003</v>
      </c>
      <c r="Q79" s="1827" t="n">
        <v>2004</v>
      </c>
      <c r="R79" s="1827" t="n">
        <v>2005</v>
      </c>
      <c r="S79" s="1827" t="n">
        <v>2006</v>
      </c>
      <c r="T79" s="1827" t="n">
        <v>2007</v>
      </c>
      <c r="U79" s="1827" t="n">
        <v>2008</v>
      </c>
      <c r="V79" s="1827" t="n">
        <v>2009</v>
      </c>
      <c r="W79" s="1827" t="n">
        <v>2010</v>
      </c>
      <c r="X79" s="1827" t="n">
        <v>2011</v>
      </c>
      <c r="Y79" s="1827" t="n">
        <v>2012</v>
      </c>
      <c r="Z79" s="1827" t="n">
        <v>2013</v>
      </c>
      <c r="AA79" s="1827" t="n">
        <v>2014</v>
      </c>
      <c r="AB79" s="1827" t="n">
        <v>2015</v>
      </c>
      <c r="AC79" s="1827" t="n">
        <v>2019</v>
      </c>
      <c r="AD79" s="1827" t="n">
        <v>2020</v>
      </c>
      <c r="AE79" s="1827" t="n">
        <v>2021</v>
      </c>
      <c r="AF79" s="1827" t="n">
        <v>2022</v>
      </c>
      <c r="AG79" s="1827" t="n">
        <v>2023</v>
      </c>
      <c r="AH79" s="1827" t="n">
        <v>2024</v>
      </c>
      <c r="AI79" s="1827" t="n">
        <v>2025</v>
      </c>
      <c r="AJ79" s="1827" t="n">
        <v>2026</v>
      </c>
      <c r="AK79" s="1597" t="inlineStr">
        <is>
          <t>.</t>
        </is>
      </c>
      <c r="AL79" s="1612" t="n"/>
      <c r="AM79" s="1612" t="n"/>
      <c r="AN79" s="1612" t="n"/>
      <c r="AO79" s="1612" t="n"/>
      <c r="AP79" s="1612" t="n"/>
      <c r="AQ79" s="1612" t="n"/>
      <c r="AR79" s="1612" t="n"/>
      <c r="AS79" s="1612" t="n"/>
      <c r="AT79" s="1612" t="n"/>
      <c r="AU79" s="1612" t="n"/>
      <c r="AV79" s="1612" t="n"/>
      <c r="AW79" s="1612" t="n"/>
      <c r="AX79" s="1612" t="n"/>
      <c r="AY79" s="1612" t="n"/>
      <c r="AZ79" s="1612" t="n"/>
      <c r="BA79" s="1612" t="n"/>
      <c r="BB79" s="1612" t="n"/>
      <c r="BC79" s="1612" t="n"/>
      <c r="BD79" s="1612" t="n"/>
      <c r="BE79" s="1612" t="n"/>
      <c r="BF79" s="1612" t="n"/>
      <c r="BG79" s="1612" t="n"/>
      <c r="BH79" s="1612" t="n"/>
      <c r="BI79" s="1612" t="n"/>
      <c r="BJ79" s="1612" t="n"/>
      <c r="BK79" s="1612" t="n"/>
      <c r="BL79" s="1612" t="n"/>
      <c r="BM79" s="1612" t="n"/>
      <c r="BN79" s="1612" t="n"/>
      <c r="BO79" s="1612" t="n"/>
      <c r="BP79" s="1612" t="n"/>
      <c r="BQ79" s="1612" t="n"/>
      <c r="BR79" s="1612" t="n"/>
      <c r="BS79" s="1612" t="n"/>
      <c r="BT79" s="1612" t="n"/>
      <c r="BU79" s="1612" t="n"/>
      <c r="BV79" s="1612" t="n"/>
      <c r="BW79" s="1612" t="n"/>
      <c r="BX79" s="1612" t="n"/>
      <c r="BY79" s="1612" t="n"/>
      <c r="BZ79" s="1612" t="n"/>
      <c r="CA79" s="1612" t="n"/>
      <c r="CB79" s="1612" t="n"/>
      <c r="CC79" s="1612" t="n"/>
      <c r="CD79" s="1612" t="n"/>
      <c r="CE79" s="1612" t="n"/>
      <c r="CF79" s="1612" t="n"/>
      <c r="CG79" s="1612" t="n"/>
    </row>
    <row r="80" ht="15" customHeight="1">
      <c r="A80" s="1615" t="n"/>
      <c r="B80" s="1828" t="inlineStr">
        <is>
          <t>entries</t>
        </is>
      </c>
      <c r="C80" s="1829" t="inlineStr">
        <is>
          <t>city</t>
        </is>
      </c>
      <c r="D80" s="1827" t="inlineStr">
        <is>
          <t>1991</t>
        </is>
      </c>
      <c r="E80" s="1827" t="inlineStr">
        <is>
          <t>1992</t>
        </is>
      </c>
      <c r="F80" s="1827" t="inlineStr">
        <is>
          <t>1993</t>
        </is>
      </c>
      <c r="G80" s="1827" t="inlineStr">
        <is>
          <t>1994</t>
        </is>
      </c>
      <c r="H80" s="1827" t="inlineStr">
        <is>
          <t>1995</t>
        </is>
      </c>
      <c r="I80" s="1689" t="inlineStr">
        <is>
          <t>1996</t>
        </is>
      </c>
      <c r="J80" s="1689" t="inlineStr">
        <is>
          <t>1997</t>
        </is>
      </c>
      <c r="K80" s="1689" t="inlineStr">
        <is>
          <t>1998</t>
        </is>
      </c>
      <c r="L80" s="1827" t="inlineStr">
        <is>
          <t>1999</t>
        </is>
      </c>
      <c r="M80" s="1827" t="inlineStr">
        <is>
          <t>2000</t>
        </is>
      </c>
      <c r="N80" s="1689" t="inlineStr">
        <is>
          <t>2001</t>
        </is>
      </c>
      <c r="O80" s="1689" t="inlineStr">
        <is>
          <t>2002</t>
        </is>
      </c>
      <c r="P80" s="1689" t="inlineStr">
        <is>
          <t>2003</t>
        </is>
      </c>
      <c r="Q80" s="1689" t="inlineStr">
        <is>
          <t>2004</t>
        </is>
      </c>
      <c r="R80" s="1689" t="inlineStr">
        <is>
          <t>2005</t>
        </is>
      </c>
      <c r="S80" s="1689" t="inlineStr">
        <is>
          <t>2006</t>
        </is>
      </c>
      <c r="T80" s="1689" t="inlineStr">
        <is>
          <t>2007</t>
        </is>
      </c>
      <c r="U80" s="1689" t="inlineStr">
        <is>
          <t>2008</t>
        </is>
      </c>
      <c r="V80" s="1689" t="inlineStr">
        <is>
          <t>2009</t>
        </is>
      </c>
      <c r="W80" s="1689" t="inlineStr">
        <is>
          <t>2010</t>
        </is>
      </c>
      <c r="X80" s="1689" t="inlineStr">
        <is>
          <t>2011</t>
        </is>
      </c>
      <c r="Y80" s="1689" t="inlineStr">
        <is>
          <t>2012</t>
        </is>
      </c>
      <c r="Z80" s="1689" t="inlineStr">
        <is>
          <t>2013</t>
        </is>
      </c>
      <c r="AA80" s="1689" t="inlineStr">
        <is>
          <t>2014</t>
        </is>
      </c>
      <c r="AB80" s="1689" t="inlineStr">
        <is>
          <t>2015</t>
        </is>
      </c>
      <c r="AC80" s="1689" t="inlineStr">
        <is>
          <t>2019</t>
        </is>
      </c>
      <c r="AD80" s="1689" t="inlineStr">
        <is>
          <t>2020</t>
        </is>
      </c>
      <c r="AE80" s="1689" t="inlineStr">
        <is>
          <t>2021</t>
        </is>
      </c>
      <c r="AF80" s="1689" t="inlineStr">
        <is>
          <t>2022</t>
        </is>
      </c>
      <c r="AG80" s="1689" t="inlineStr">
        <is>
          <t>2023</t>
        </is>
      </c>
      <c r="AH80" s="1689" t="inlineStr">
        <is>
          <t>2024</t>
        </is>
      </c>
      <c r="AI80" s="1830" t="inlineStr">
        <is>
          <t>2025</t>
        </is>
      </c>
      <c r="AJ80" s="1830" t="inlineStr">
        <is>
          <t>2026</t>
        </is>
      </c>
      <c r="AK80" s="1597" t="inlineStr">
        <is>
          <t>.</t>
        </is>
      </c>
      <c r="AL80" s="1612" t="n"/>
      <c r="AM80" s="1612" t="n"/>
      <c r="AN80" s="1612" t="n"/>
      <c r="AO80" s="1612" t="n"/>
      <c r="AP80" s="1612" t="n"/>
      <c r="AQ80" s="1612" t="n"/>
      <c r="AR80" s="1612" t="n"/>
      <c r="AS80" s="1612" t="n"/>
      <c r="AT80" s="1612" t="n"/>
      <c r="AU80" s="1612" t="n"/>
      <c r="AV80" s="1612" t="n"/>
      <c r="AW80" s="1612" t="n"/>
      <c r="AX80" s="1612" t="n"/>
      <c r="AY80" s="1612" t="n"/>
      <c r="AZ80" s="1612" t="n"/>
      <c r="BA80" s="1612" t="n"/>
      <c r="BB80" s="1612" t="n"/>
      <c r="BC80" s="1612" t="n"/>
      <c r="BD80" s="1612" t="n"/>
      <c r="BE80" s="1612" t="n"/>
      <c r="BF80" s="1612" t="n"/>
      <c r="BG80" s="1612" t="n"/>
      <c r="BH80" s="1612" t="n"/>
      <c r="BI80" s="1612" t="n"/>
      <c r="BJ80" s="1612" t="n"/>
      <c r="BK80" s="1612" t="n"/>
      <c r="BL80" s="1612" t="n"/>
      <c r="BM80" s="1612" t="n"/>
      <c r="BN80" s="1612" t="n"/>
      <c r="BO80" s="1612" t="n"/>
      <c r="BP80" s="1612" t="n"/>
      <c r="BQ80" s="1612" t="n"/>
      <c r="BR80" s="1612" t="n"/>
      <c r="BS80" s="1612" t="n"/>
      <c r="BT80" s="1612" t="n"/>
      <c r="BU80" s="1612" t="n"/>
      <c r="BV80" s="1612" t="n"/>
      <c r="BW80" s="1612" t="n"/>
      <c r="BX80" s="1612" t="n"/>
      <c r="BY80" s="1612" t="n"/>
      <c r="BZ80" s="1612" t="n"/>
      <c r="CA80" s="1612" t="n"/>
      <c r="CB80" s="1612" t="n"/>
      <c r="CC80" s="1612" t="n"/>
      <c r="CD80" s="1612" t="n"/>
      <c r="CE80" s="1612" t="n"/>
      <c r="CF80" s="1612" t="n"/>
      <c r="CG80" s="1612" t="n"/>
    </row>
    <row r="81" ht="15" customHeight="1">
      <c r="A81" s="1596" t="n"/>
      <c r="B81" s="1794">
        <f>SUM(entryCityBR[[#This Row],[1991]:[2026]])</f>
        <v/>
      </c>
      <c r="C81" s="1795" t="inlineStr">
        <is>
          <t>SSA</t>
        </is>
      </c>
      <c r="D81" s="1610">
        <f>COUNTIFS(stayCity[city],entryCityBR[[#This Row],[city]],stayCity[yr],D$79)</f>
        <v/>
      </c>
      <c r="E81" s="1610">
        <f>COUNTIFS(stayCity[city],entryCityBR[[#This Row],[city]],stayCity[yr],E$79)</f>
        <v/>
      </c>
      <c r="F81" s="1610">
        <f>COUNTIFS(stayCity[city],entryCityBR[[#This Row],[city]],stayCity[yr],F$79)</f>
        <v/>
      </c>
      <c r="G81" s="1610">
        <f>COUNTIFS(stayCity[city],entryCityBR[[#This Row],[city]],stayCity[yr],G$79)</f>
        <v/>
      </c>
      <c r="H81" s="1610">
        <f>COUNTIFS(stayCity[city],entryCityBR[[#This Row],[city]],stayCity[yr],H$79)</f>
        <v/>
      </c>
      <c r="I81" s="1610">
        <f>COUNTIFS(stayCity[city],entryCityBR[[#This Row],[city]],stayCity[yr],I$79)</f>
        <v/>
      </c>
      <c r="J81" s="1610">
        <f>COUNTIFS(stayCity[city],entryCityBR[[#This Row],[city]],stayCity[yr],J$79)</f>
        <v/>
      </c>
      <c r="K81" s="1610">
        <f>COUNTIFS(stayCity[city],entryCityBR[[#This Row],[city]],stayCity[yr],K$79)</f>
        <v/>
      </c>
      <c r="L81" s="1610">
        <f>COUNTIFS(stayCity[city],entryCityBR[[#This Row],[city]],stayCity[yr],L$79)</f>
        <v/>
      </c>
      <c r="M81" s="1610">
        <f>COUNTIFS(stayCity[city],entryCityBR[[#This Row],[city]],stayCity[yr],M$79)</f>
        <v/>
      </c>
      <c r="N81" s="1610">
        <f>COUNTIFS(stayCity[city],entryCityBR[[#This Row],[city]],stayCity[yr],N$79)</f>
        <v/>
      </c>
      <c r="O81" s="1610">
        <f>COUNTIFS(stayCity[city],entryCityBR[[#This Row],[city]],stayCity[yr],O$79)</f>
        <v/>
      </c>
      <c r="P81" s="1610">
        <f>COUNTIFS(stayCity[city],entryCityBR[[#This Row],[city]],stayCity[yr],P$79)</f>
        <v/>
      </c>
      <c r="Q81" s="1610">
        <f>COUNTIFS(stayCity[city],entryCityBR[[#This Row],[city]],stayCity[yr],Q$79)</f>
        <v/>
      </c>
      <c r="R81" s="1610">
        <f>COUNTIFS(stayCity[city],entryCityBR[[#This Row],[city]],stayCity[yr],R$79)</f>
        <v/>
      </c>
      <c r="S81" s="1610">
        <f>COUNTIFS(stayCity[city],entryCityBR[[#This Row],[city]],stayCity[yr],S$79)</f>
        <v/>
      </c>
      <c r="T81" s="1610">
        <f>COUNTIFS(stayCity[city],entryCityBR[[#This Row],[city]],stayCity[yr],T$79)</f>
        <v/>
      </c>
      <c r="U81" s="1610">
        <f>COUNTIFS(stayCity[city],entryCityBR[[#This Row],[city]],stayCity[yr],U$79)</f>
        <v/>
      </c>
      <c r="V81" s="1610">
        <f>COUNTIFS(stayCity[city],entryCityBR[[#This Row],[city]],stayCity[yr],V$79)</f>
        <v/>
      </c>
      <c r="W81" s="1610">
        <f>COUNTIFS(stayCity[city],entryCityBR[[#This Row],[city]],stayCity[yr],W$79)</f>
        <v/>
      </c>
      <c r="X81" s="1610">
        <f>COUNTIFS(stayCity[city],entryCityBR[[#This Row],[city]],stayCity[yr],X$79)</f>
        <v/>
      </c>
      <c r="Y81" s="1610">
        <f>COUNTIFS(stayCity[city],entryCityBR[[#This Row],[city]],stayCity[yr],Y$79)</f>
        <v/>
      </c>
      <c r="Z81" s="1610">
        <f>COUNTIFS(stayCity[city],entryCityBR[[#This Row],[city]],stayCity[yr],Z$79)</f>
        <v/>
      </c>
      <c r="AA81" s="1610">
        <f>COUNTIFS(stayCity[city],entryCityBR[[#This Row],[city]],stayCity[yr],AA$79)</f>
        <v/>
      </c>
      <c r="AB81" s="1610">
        <f>COUNTIFS(stayCity[city],entryCityBR[[#This Row],[city]],stayCity[yr],AB$79)</f>
        <v/>
      </c>
      <c r="AC81" s="1610">
        <f>COUNTIFS(stayCity[city],entryCityBR[[#This Row],[city]],stayCity[yr],AC$79)</f>
        <v/>
      </c>
      <c r="AD81" s="1610">
        <f>COUNTIFS(stayCity[city],entryCityBR[[#This Row],[city]],stayCity[yr],AD$79)</f>
        <v/>
      </c>
      <c r="AE81" s="1610">
        <f>COUNTIFS(stayCity[city],entryCityBR[[#This Row],[city]],stayCity[yr],AE$79)</f>
        <v/>
      </c>
      <c r="AF81" s="1610">
        <f>COUNTIFS(stayCity[city],entryCityBR[[#This Row],[city]],stayCity[yr],AF$79)</f>
        <v/>
      </c>
      <c r="AG81" s="1610">
        <f>COUNTIFS(stayCity[city],entryCityBR[[#This Row],[city]],stayCity[yr],AG$79)</f>
        <v/>
      </c>
      <c r="AH81" s="1610">
        <f>COUNTIFS(stayCity[city],entryCityBR[[#This Row],[city]],stayCity[yr],AH$79)</f>
        <v/>
      </c>
      <c r="AI81" s="1610">
        <f>COUNTIFS(stayCity[city],entryCityBR[[#This Row],[city]],stayCity[yr],AI$79)</f>
        <v/>
      </c>
      <c r="AJ81" s="1610">
        <f>COUNTIFS(stayCity[city],entryCityBR[[#This Row],[city]],stayCity[yr],AJ$79)</f>
        <v/>
      </c>
      <c r="AK81" s="1597" t="inlineStr">
        <is>
          <t>.</t>
        </is>
      </c>
      <c r="AL81" s="1612" t="n"/>
      <c r="AM81" s="1612" t="n"/>
      <c r="AN81" s="1612" t="n"/>
      <c r="AO81" s="1612" t="n"/>
      <c r="AP81" s="1612" t="n"/>
      <c r="AQ81" s="1612" t="n"/>
      <c r="AR81" s="1612" t="n"/>
      <c r="AS81" s="1612" t="n"/>
      <c r="AT81" s="1612" t="n"/>
      <c r="AU81" s="1612" t="n"/>
      <c r="AV81" s="1612" t="n"/>
      <c r="AW81" s="1612" t="n"/>
      <c r="AX81" s="1612" t="n"/>
      <c r="AY81" s="1612" t="n"/>
      <c r="AZ81" s="1612" t="n"/>
      <c r="BA81" s="1612" t="n"/>
      <c r="BB81" s="1612" t="n"/>
      <c r="BC81" s="1612" t="n"/>
      <c r="BD81" s="1612" t="n"/>
      <c r="BE81" s="1612" t="n"/>
      <c r="BF81" s="1612" t="n"/>
      <c r="BG81" s="1612" t="n"/>
      <c r="BH81" s="1612" t="n"/>
      <c r="BI81" s="1612" t="n"/>
      <c r="BJ81" s="1612" t="n"/>
      <c r="BK81" s="1612" t="n"/>
      <c r="BL81" s="1612" t="n"/>
      <c r="BM81" s="1612" t="n"/>
      <c r="BN81" s="1612" t="n"/>
      <c r="BO81" s="1612" t="n"/>
      <c r="BP81" s="1612" t="n"/>
      <c r="BQ81" s="1612" t="n"/>
      <c r="BR81" s="1612" t="n"/>
      <c r="BS81" s="1612" t="n"/>
      <c r="BT81" s="1612" t="n"/>
      <c r="BU81" s="1612" t="n"/>
      <c r="BV81" s="1612" t="n"/>
      <c r="BW81" s="1612" t="n"/>
      <c r="BX81" s="1612" t="n"/>
      <c r="BY81" s="1612" t="n"/>
      <c r="BZ81" s="1612" t="n"/>
      <c r="CA81" s="1612" t="n"/>
      <c r="CB81" s="1612" t="n"/>
      <c r="CC81" s="1612" t="n"/>
      <c r="CD81" s="1612" t="n"/>
      <c r="CE81" s="1612" t="n"/>
      <c r="CF81" s="1612" t="n"/>
      <c r="CG81" s="1612" t="n"/>
    </row>
    <row r="82" ht="15" customHeight="1">
      <c r="A82" s="1615" t="n"/>
      <c r="B82" s="1781">
        <f>SUM(entryCityBR[[#This Row],[1991]:[2026]])</f>
        <v/>
      </c>
      <c r="C82" s="1782" t="inlineStr">
        <is>
          <t>SP</t>
        </is>
      </c>
      <c r="D82" s="1610">
        <f>COUNTIFS(stayCity[city],entryCityBR[[#This Row],[city]],stayCity[yr],D$79)</f>
        <v/>
      </c>
      <c r="E82" s="1610">
        <f>COUNTIFS(stayCity[city],entryCityBR[[#This Row],[city]],stayCity[yr],E$79)</f>
        <v/>
      </c>
      <c r="F82" s="1610">
        <f>COUNTIFS(stayCity[city],entryCityBR[[#This Row],[city]],stayCity[yr],F$79)</f>
        <v/>
      </c>
      <c r="G82" s="1610">
        <f>COUNTIFS(stayCity[city],entryCityBR[[#This Row],[city]],stayCity[yr],G$79)</f>
        <v/>
      </c>
      <c r="H82" s="1610">
        <f>COUNTIFS(stayCity[city],entryCityBR[[#This Row],[city]],stayCity[yr],H$79)</f>
        <v/>
      </c>
      <c r="I82" s="1610">
        <f>COUNTIFS(stayCity[city],entryCityBR[[#This Row],[city]],stayCity[yr],I$79)</f>
        <v/>
      </c>
      <c r="J82" s="1610">
        <f>COUNTIFS(stayCity[city],entryCityBR[[#This Row],[city]],stayCity[yr],J$79)</f>
        <v/>
      </c>
      <c r="K82" s="1610">
        <f>COUNTIFS(stayCity[city],entryCityBR[[#This Row],[city]],stayCity[yr],K$79)</f>
        <v/>
      </c>
      <c r="L82" s="1610">
        <f>COUNTIFS(stayCity[city],entryCityBR[[#This Row],[city]],stayCity[yr],L$79)</f>
        <v/>
      </c>
      <c r="M82" s="1610">
        <f>COUNTIFS(stayCity[city],entryCityBR[[#This Row],[city]],stayCity[yr],M$79)</f>
        <v/>
      </c>
      <c r="N82" s="1610">
        <f>COUNTIFS(stayCity[city],entryCityBR[[#This Row],[city]],stayCity[yr],N$79)</f>
        <v/>
      </c>
      <c r="O82" s="1610">
        <f>COUNTIFS(stayCity[city],entryCityBR[[#This Row],[city]],stayCity[yr],O$79)</f>
        <v/>
      </c>
      <c r="P82" s="1610">
        <f>COUNTIFS(stayCity[city],entryCityBR[[#This Row],[city]],stayCity[yr],P$79)</f>
        <v/>
      </c>
      <c r="Q82" s="1610">
        <f>COUNTIFS(stayCity[city],entryCityBR[[#This Row],[city]],stayCity[yr],Q$79)</f>
        <v/>
      </c>
      <c r="R82" s="1610">
        <f>COUNTIFS(stayCity[city],entryCityBR[[#This Row],[city]],stayCity[yr],R$79)</f>
        <v/>
      </c>
      <c r="S82" s="1610">
        <f>COUNTIFS(stayCity[city],entryCityBR[[#This Row],[city]],stayCity[yr],S$79)</f>
        <v/>
      </c>
      <c r="T82" s="1610">
        <f>COUNTIFS(stayCity[city],entryCityBR[[#This Row],[city]],stayCity[yr],T$79)</f>
        <v/>
      </c>
      <c r="U82" s="1610">
        <f>COUNTIFS(stayCity[city],entryCityBR[[#This Row],[city]],stayCity[yr],U$79)</f>
        <v/>
      </c>
      <c r="V82" s="1610">
        <f>COUNTIFS(stayCity[city],entryCityBR[[#This Row],[city]],stayCity[yr],V$79)</f>
        <v/>
      </c>
      <c r="W82" s="1610">
        <f>COUNTIFS(stayCity[city],entryCityBR[[#This Row],[city]],stayCity[yr],W$79)</f>
        <v/>
      </c>
      <c r="X82" s="1610">
        <f>COUNTIFS(stayCity[city],entryCityBR[[#This Row],[city]],stayCity[yr],X$79)</f>
        <v/>
      </c>
      <c r="Y82" s="1610">
        <f>COUNTIFS(stayCity[city],entryCityBR[[#This Row],[city]],stayCity[yr],Y$79)</f>
        <v/>
      </c>
      <c r="Z82" s="1610">
        <f>COUNTIFS(stayCity[city],entryCityBR[[#This Row],[city]],stayCity[yr],Z$79)</f>
        <v/>
      </c>
      <c r="AA82" s="1610">
        <f>COUNTIFS(stayCity[city],entryCityBR[[#This Row],[city]],stayCity[yr],AA$79)</f>
        <v/>
      </c>
      <c r="AB82" s="1610">
        <f>COUNTIFS(stayCity[city],entryCityBR[[#This Row],[city]],stayCity[yr],AB$79)</f>
        <v/>
      </c>
      <c r="AC82" s="1610">
        <f>COUNTIFS(stayCity[city],entryCityBR[[#This Row],[city]],stayCity[yr],AC$79)</f>
        <v/>
      </c>
      <c r="AD82" s="1610">
        <f>COUNTIFS(stayCity[city],entryCityBR[[#This Row],[city]],stayCity[yr],AD$79)</f>
        <v/>
      </c>
      <c r="AE82" s="1610">
        <f>COUNTIFS(stayCity[city],entryCityBR[[#This Row],[city]],stayCity[yr],AE$79)</f>
        <v/>
      </c>
      <c r="AF82" s="1610">
        <f>COUNTIFS(stayCity[city],entryCityBR[[#This Row],[city]],stayCity[yr],AF$79)</f>
        <v/>
      </c>
      <c r="AG82" s="1610">
        <f>COUNTIFS(stayCity[city],entryCityBR[[#This Row],[city]],stayCity[yr],AG$79)</f>
        <v/>
      </c>
      <c r="AH82" s="1610">
        <f>COUNTIFS(stayCity[city],entryCityBR[[#This Row],[city]],stayCity[yr],AH$79)</f>
        <v/>
      </c>
      <c r="AI82" s="1610">
        <f>COUNTIFS(stayCity[city],entryCityBR[[#This Row],[city]],stayCity[yr],AI$79)</f>
        <v/>
      </c>
      <c r="AJ82" s="1610">
        <f>COUNTIFS(stayCity[city],entryCityBR[[#This Row],[city]],stayCity[yr],AJ$79)</f>
        <v/>
      </c>
      <c r="AK82" s="1597" t="inlineStr">
        <is>
          <t>.</t>
        </is>
      </c>
      <c r="AL82" s="1612" t="n"/>
      <c r="AM82" s="1612" t="n"/>
      <c r="AN82" s="1612" t="n"/>
      <c r="AO82" s="1612" t="n"/>
      <c r="AP82" s="1612" t="n"/>
      <c r="AQ82" s="1612" t="n"/>
      <c r="AR82" s="1612" t="n"/>
      <c r="AS82" s="1612" t="n"/>
      <c r="AT82" s="1612" t="n"/>
      <c r="AU82" s="1612" t="n"/>
      <c r="AV82" s="1612" t="n"/>
      <c r="AW82" s="1612" t="n"/>
      <c r="AX82" s="1612" t="n"/>
      <c r="AY82" s="1612" t="n"/>
      <c r="AZ82" s="1612" t="n"/>
      <c r="BA82" s="1612" t="n"/>
      <c r="BB82" s="1612" t="n"/>
      <c r="BC82" s="1612" t="n"/>
      <c r="BD82" s="1612" t="n"/>
      <c r="BE82" s="1612" t="n"/>
      <c r="BF82" s="1612" t="n"/>
      <c r="BG82" s="1612" t="n"/>
      <c r="BH82" s="1612" t="n"/>
      <c r="BI82" s="1612" t="n"/>
      <c r="BJ82" s="1612" t="n"/>
      <c r="BK82" s="1612" t="n"/>
      <c r="BL82" s="1612" t="n"/>
      <c r="BM82" s="1612" t="n"/>
      <c r="BN82" s="1612" t="n"/>
      <c r="BO82" s="1612" t="n"/>
      <c r="BP82" s="1612" t="n"/>
      <c r="BQ82" s="1612" t="n"/>
      <c r="BR82" s="1612" t="n"/>
      <c r="BS82" s="1612" t="n"/>
      <c r="BT82" s="1612" t="n"/>
      <c r="BU82" s="1612" t="n"/>
      <c r="BV82" s="1612" t="n"/>
      <c r="BW82" s="1612" t="n"/>
      <c r="BX82" s="1612" t="n"/>
      <c r="BY82" s="1612" t="n"/>
      <c r="BZ82" s="1612" t="n"/>
      <c r="CA82" s="1612" t="n"/>
      <c r="CB82" s="1612" t="n"/>
      <c r="CC82" s="1612" t="n"/>
      <c r="CD82" s="1612" t="n"/>
      <c r="CE82" s="1612" t="n"/>
      <c r="CF82" s="1612" t="n"/>
      <c r="CG82" s="1612" t="n"/>
    </row>
    <row r="83" ht="15" customHeight="1">
      <c r="A83" s="1596" t="n"/>
      <c r="B83" s="1794">
        <f>SUM(entryCityBR[[#This Row],[1991]:[2026]])</f>
        <v/>
      </c>
      <c r="C83" s="1795" t="inlineStr">
        <is>
          <t>Rio</t>
        </is>
      </c>
      <c r="D83" s="1610">
        <f>COUNTIFS(stayCity[city],entryCityBR[[#This Row],[city]],stayCity[yr],D$79)</f>
        <v/>
      </c>
      <c r="E83" s="1610">
        <f>COUNTIFS(stayCity[city],entryCityBR[[#This Row],[city]],stayCity[yr],E$79)</f>
        <v/>
      </c>
      <c r="F83" s="1610">
        <f>COUNTIFS(stayCity[city],entryCityBR[[#This Row],[city]],stayCity[yr],F$79)</f>
        <v/>
      </c>
      <c r="G83" s="1610">
        <f>COUNTIFS(stayCity[city],entryCityBR[[#This Row],[city]],stayCity[yr],G$79)</f>
        <v/>
      </c>
      <c r="H83" s="1610">
        <f>COUNTIFS(stayCity[city],entryCityBR[[#This Row],[city]],stayCity[yr],H$79)</f>
        <v/>
      </c>
      <c r="I83" s="1610">
        <f>COUNTIFS(stayCity[city],entryCityBR[[#This Row],[city]],stayCity[yr],I$79)</f>
        <v/>
      </c>
      <c r="J83" s="1610">
        <f>COUNTIFS(stayCity[city],entryCityBR[[#This Row],[city]],stayCity[yr],J$79)</f>
        <v/>
      </c>
      <c r="K83" s="1610">
        <f>COUNTIFS(stayCity[city],entryCityBR[[#This Row],[city]],stayCity[yr],K$79)</f>
        <v/>
      </c>
      <c r="L83" s="1610">
        <f>COUNTIFS(stayCity[city],entryCityBR[[#This Row],[city]],stayCity[yr],L$79)</f>
        <v/>
      </c>
      <c r="M83" s="1610">
        <f>COUNTIFS(stayCity[city],entryCityBR[[#This Row],[city]],stayCity[yr],M$79)</f>
        <v/>
      </c>
      <c r="N83" s="1610">
        <f>COUNTIFS(stayCity[city],entryCityBR[[#This Row],[city]],stayCity[yr],N$79)</f>
        <v/>
      </c>
      <c r="O83" s="1610">
        <f>COUNTIFS(stayCity[city],entryCityBR[[#This Row],[city]],stayCity[yr],O$79)</f>
        <v/>
      </c>
      <c r="P83" s="1610">
        <f>COUNTIFS(stayCity[city],entryCityBR[[#This Row],[city]],stayCity[yr],P$79)</f>
        <v/>
      </c>
      <c r="Q83" s="1610">
        <f>COUNTIFS(stayCity[city],entryCityBR[[#This Row],[city]],stayCity[yr],Q$79)</f>
        <v/>
      </c>
      <c r="R83" s="1610">
        <f>COUNTIFS(stayCity[city],entryCityBR[[#This Row],[city]],stayCity[yr],R$79)</f>
        <v/>
      </c>
      <c r="S83" s="1610">
        <f>COUNTIFS(stayCity[city],entryCityBR[[#This Row],[city]],stayCity[yr],S$79)</f>
        <v/>
      </c>
      <c r="T83" s="1610">
        <f>COUNTIFS(stayCity[city],entryCityBR[[#This Row],[city]],stayCity[yr],T$79)</f>
        <v/>
      </c>
      <c r="U83" s="1610">
        <f>COUNTIFS(stayCity[city],entryCityBR[[#This Row],[city]],stayCity[yr],U$79)</f>
        <v/>
      </c>
      <c r="V83" s="1610">
        <f>COUNTIFS(stayCity[city],entryCityBR[[#This Row],[city]],stayCity[yr],V$79)</f>
        <v/>
      </c>
      <c r="W83" s="1610">
        <f>COUNTIFS(stayCity[city],entryCityBR[[#This Row],[city]],stayCity[yr],W$79)</f>
        <v/>
      </c>
      <c r="X83" s="1610">
        <f>COUNTIFS(stayCity[city],entryCityBR[[#This Row],[city]],stayCity[yr],X$79)</f>
        <v/>
      </c>
      <c r="Y83" s="1610">
        <f>COUNTIFS(stayCity[city],entryCityBR[[#This Row],[city]],stayCity[yr],Y$79)</f>
        <v/>
      </c>
      <c r="Z83" s="1610">
        <f>COUNTIFS(stayCity[city],entryCityBR[[#This Row],[city]],stayCity[yr],Z$79)</f>
        <v/>
      </c>
      <c r="AA83" s="1610">
        <f>COUNTIFS(stayCity[city],entryCityBR[[#This Row],[city]],stayCity[yr],AA$79)</f>
        <v/>
      </c>
      <c r="AB83" s="1610">
        <f>COUNTIFS(stayCity[city],entryCityBR[[#This Row],[city]],stayCity[yr],AB$79)</f>
        <v/>
      </c>
      <c r="AC83" s="1610">
        <f>COUNTIFS(stayCity[city],entryCityBR[[#This Row],[city]],stayCity[yr],AC$79)</f>
        <v/>
      </c>
      <c r="AD83" s="1610">
        <f>COUNTIFS(stayCity[city],entryCityBR[[#This Row],[city]],stayCity[yr],AD$79)</f>
        <v/>
      </c>
      <c r="AE83" s="1610">
        <f>COUNTIFS(stayCity[city],entryCityBR[[#This Row],[city]],stayCity[yr],AE$79)</f>
        <v/>
      </c>
      <c r="AF83" s="1610">
        <f>COUNTIFS(stayCity[city],entryCityBR[[#This Row],[city]],stayCity[yr],AF$79)</f>
        <v/>
      </c>
      <c r="AG83" s="1610">
        <f>COUNTIFS(stayCity[city],entryCityBR[[#This Row],[city]],stayCity[yr],AG$79)</f>
        <v/>
      </c>
      <c r="AH83" s="1610">
        <f>COUNTIFS(stayCity[city],entryCityBR[[#This Row],[city]],stayCity[yr],AH$79)</f>
        <v/>
      </c>
      <c r="AI83" s="1610">
        <f>COUNTIFS(stayCity[city],entryCityBR[[#This Row],[city]],stayCity[yr],AI$79)</f>
        <v/>
      </c>
      <c r="AJ83" s="1610">
        <f>COUNTIFS(stayCity[city],entryCityBR[[#This Row],[city]],stayCity[yr],AJ$79)</f>
        <v/>
      </c>
      <c r="AK83" s="1597" t="inlineStr">
        <is>
          <t>.</t>
        </is>
      </c>
      <c r="AL83" s="1612" t="n"/>
      <c r="AM83" s="1612" t="n"/>
      <c r="AN83" s="1612" t="n"/>
      <c r="AO83" s="1612" t="n"/>
      <c r="AP83" s="1612" t="n"/>
      <c r="AQ83" s="1612" t="n"/>
      <c r="AR83" s="1612" t="n"/>
      <c r="AS83" s="1612" t="n"/>
      <c r="AT83" s="1612" t="n"/>
      <c r="AU83" s="1612" t="n"/>
      <c r="AV83" s="1612" t="n"/>
      <c r="AW83" s="1612" t="n"/>
      <c r="AX83" s="1612" t="n"/>
      <c r="AY83" s="1612" t="n"/>
      <c r="AZ83" s="1612" t="n"/>
      <c r="BA83" s="1612" t="n"/>
      <c r="BB83" s="1612" t="n"/>
      <c r="BC83" s="1612" t="n"/>
      <c r="BD83" s="1612" t="n"/>
      <c r="BE83" s="1612" t="n"/>
      <c r="BF83" s="1612" t="n"/>
      <c r="BG83" s="1612" t="n"/>
      <c r="BH83" s="1612" t="n"/>
      <c r="BI83" s="1612" t="n"/>
      <c r="BJ83" s="1612" t="n"/>
      <c r="BK83" s="1612" t="n"/>
      <c r="BL83" s="1612" t="n"/>
      <c r="BM83" s="1612" t="n"/>
      <c r="BN83" s="1612" t="n"/>
      <c r="BO83" s="1612" t="n"/>
      <c r="BP83" s="1612" t="n"/>
      <c r="BQ83" s="1612" t="n"/>
      <c r="BR83" s="1612" t="n"/>
      <c r="BS83" s="1612" t="n"/>
      <c r="BT83" s="1612" t="n"/>
      <c r="BU83" s="1612" t="n"/>
      <c r="BV83" s="1612" t="n"/>
      <c r="BW83" s="1612" t="n"/>
      <c r="BX83" s="1612" t="n"/>
      <c r="BY83" s="1612" t="n"/>
      <c r="BZ83" s="1612" t="n"/>
      <c r="CA83" s="1612" t="n"/>
      <c r="CB83" s="1612" t="n"/>
      <c r="CC83" s="1612" t="n"/>
      <c r="CD83" s="1612" t="n"/>
      <c r="CE83" s="1612" t="n"/>
      <c r="CF83" s="1612" t="n"/>
      <c r="CG83" s="1612" t="n"/>
    </row>
    <row r="84" ht="15" customHeight="1">
      <c r="A84" s="1615" t="n"/>
      <c r="B84" s="1781">
        <f>SUM(entryCityBR[[#This Row],[1991]:[2026]])</f>
        <v/>
      </c>
      <c r="C84" s="1782" t="inlineStr">
        <is>
          <t>Bertioga</t>
        </is>
      </c>
      <c r="D84" s="1610">
        <f>COUNTIFS(stayCity[city],entryCityBR[[#This Row],[city]],stayCity[yr],D$79)</f>
        <v/>
      </c>
      <c r="E84" s="1610">
        <f>COUNTIFS(stayCity[city],entryCityBR[[#This Row],[city]],stayCity[yr],E$79)</f>
        <v/>
      </c>
      <c r="F84" s="1610">
        <f>COUNTIFS(stayCity[city],entryCityBR[[#This Row],[city]],stayCity[yr],F$79)</f>
        <v/>
      </c>
      <c r="G84" s="1610">
        <f>COUNTIFS(stayCity[city],entryCityBR[[#This Row],[city]],stayCity[yr],G$79)</f>
        <v/>
      </c>
      <c r="H84" s="1610">
        <f>COUNTIFS(stayCity[city],entryCityBR[[#This Row],[city]],stayCity[yr],H$79)</f>
        <v/>
      </c>
      <c r="I84" s="1610">
        <f>COUNTIFS(stayCity[city],entryCityBR[[#This Row],[city]],stayCity[yr],I$79)</f>
        <v/>
      </c>
      <c r="J84" s="1610">
        <f>COUNTIFS(stayCity[city],entryCityBR[[#This Row],[city]],stayCity[yr],J$79)</f>
        <v/>
      </c>
      <c r="K84" s="1610">
        <f>COUNTIFS(stayCity[city],entryCityBR[[#This Row],[city]],stayCity[yr],K$79)</f>
        <v/>
      </c>
      <c r="L84" s="1610">
        <f>COUNTIFS(stayCity[city],entryCityBR[[#This Row],[city]],stayCity[yr],L$79)</f>
        <v/>
      </c>
      <c r="M84" s="1610">
        <f>COUNTIFS(stayCity[city],entryCityBR[[#This Row],[city]],stayCity[yr],M$79)</f>
        <v/>
      </c>
      <c r="N84" s="1610">
        <f>COUNTIFS(stayCity[city],entryCityBR[[#This Row],[city]],stayCity[yr],N$79)</f>
        <v/>
      </c>
      <c r="O84" s="1610">
        <f>COUNTIFS(stayCity[city],entryCityBR[[#This Row],[city]],stayCity[yr],O$79)</f>
        <v/>
      </c>
      <c r="P84" s="1610">
        <f>COUNTIFS(stayCity[city],entryCityBR[[#This Row],[city]],stayCity[yr],P$79)</f>
        <v/>
      </c>
      <c r="Q84" s="1610">
        <f>COUNTIFS(stayCity[city],entryCityBR[[#This Row],[city]],stayCity[yr],Q$79)</f>
        <v/>
      </c>
      <c r="R84" s="1610">
        <f>COUNTIFS(stayCity[city],entryCityBR[[#This Row],[city]],stayCity[yr],R$79)</f>
        <v/>
      </c>
      <c r="S84" s="1610">
        <f>COUNTIFS(stayCity[city],entryCityBR[[#This Row],[city]],stayCity[yr],S$79)</f>
        <v/>
      </c>
      <c r="T84" s="1610">
        <f>COUNTIFS(stayCity[city],entryCityBR[[#This Row],[city]],stayCity[yr],T$79)</f>
        <v/>
      </c>
      <c r="U84" s="1610">
        <f>COUNTIFS(stayCity[city],entryCityBR[[#This Row],[city]],stayCity[yr],U$79)</f>
        <v/>
      </c>
      <c r="V84" s="1610">
        <f>COUNTIFS(stayCity[city],entryCityBR[[#This Row],[city]],stayCity[yr],V$79)</f>
        <v/>
      </c>
      <c r="W84" s="1610">
        <f>COUNTIFS(stayCity[city],entryCityBR[[#This Row],[city]],stayCity[yr],W$79)</f>
        <v/>
      </c>
      <c r="X84" s="1610">
        <f>COUNTIFS(stayCity[city],entryCityBR[[#This Row],[city]],stayCity[yr],X$79)</f>
        <v/>
      </c>
      <c r="Y84" s="1610">
        <f>COUNTIFS(stayCity[city],entryCityBR[[#This Row],[city]],stayCity[yr],Y$79)</f>
        <v/>
      </c>
      <c r="Z84" s="1610">
        <f>COUNTIFS(stayCity[city],entryCityBR[[#This Row],[city]],stayCity[yr],Z$79)</f>
        <v/>
      </c>
      <c r="AA84" s="1610">
        <f>COUNTIFS(stayCity[city],entryCityBR[[#This Row],[city]],stayCity[yr],AA$79)</f>
        <v/>
      </c>
      <c r="AB84" s="1610">
        <f>COUNTIFS(stayCity[city],entryCityBR[[#This Row],[city]],stayCity[yr],AB$79)</f>
        <v/>
      </c>
      <c r="AC84" s="1610">
        <f>COUNTIFS(stayCity[city],entryCityBR[[#This Row],[city]],stayCity[yr],AC$79)</f>
        <v/>
      </c>
      <c r="AD84" s="1610">
        <f>COUNTIFS(stayCity[city],entryCityBR[[#This Row],[city]],stayCity[yr],AD$79)</f>
        <v/>
      </c>
      <c r="AE84" s="1610">
        <f>COUNTIFS(stayCity[city],entryCityBR[[#This Row],[city]],stayCity[yr],AE$79)</f>
        <v/>
      </c>
      <c r="AF84" s="1610">
        <f>COUNTIFS(stayCity[city],entryCityBR[[#This Row],[city]],stayCity[yr],AF$79)</f>
        <v/>
      </c>
      <c r="AG84" s="1610">
        <f>COUNTIFS(stayCity[city],entryCityBR[[#This Row],[city]],stayCity[yr],AG$79)</f>
        <v/>
      </c>
      <c r="AH84" s="1610">
        <f>COUNTIFS(stayCity[city],entryCityBR[[#This Row],[city]],stayCity[yr],AH$79)</f>
        <v/>
      </c>
      <c r="AI84" s="1610">
        <f>COUNTIFS(stayCity[city],entryCityBR[[#This Row],[city]],stayCity[yr],AI$79)</f>
        <v/>
      </c>
      <c r="AJ84" s="1610">
        <f>COUNTIFS(stayCity[city],entryCityBR[[#This Row],[city]],stayCity[yr],AJ$79)</f>
        <v/>
      </c>
      <c r="AK84" s="1597" t="inlineStr">
        <is>
          <t>.</t>
        </is>
      </c>
      <c r="AL84" s="1612" t="n"/>
      <c r="AM84" s="1612" t="n"/>
      <c r="AN84" s="1612" t="n"/>
      <c r="AO84" s="1612" t="n"/>
      <c r="AP84" s="1612" t="n"/>
      <c r="AQ84" s="1612" t="n"/>
      <c r="AR84" s="1612" t="n"/>
      <c r="AS84" s="1612" t="n"/>
      <c r="AT84" s="1612" t="n"/>
      <c r="AU84" s="1612" t="n"/>
      <c r="AV84" s="1612" t="n"/>
      <c r="AW84" s="1612" t="n"/>
      <c r="AX84" s="1612" t="n"/>
      <c r="AY84" s="1612" t="n"/>
      <c r="AZ84" s="1612" t="n"/>
      <c r="BA84" s="1612" t="n"/>
      <c r="BB84" s="1612" t="n"/>
      <c r="BC84" s="1612" t="n"/>
      <c r="BD84" s="1612" t="n"/>
      <c r="BE84" s="1612" t="n"/>
      <c r="BF84" s="1612" t="n"/>
      <c r="BG84" s="1612" t="n"/>
      <c r="BH84" s="1612" t="n"/>
      <c r="BI84" s="1612" t="n"/>
      <c r="BJ84" s="1612" t="n"/>
      <c r="BK84" s="1612" t="n"/>
      <c r="BL84" s="1612" t="n"/>
      <c r="BM84" s="1612" t="n"/>
      <c r="BN84" s="1612" t="n"/>
      <c r="BO84" s="1612" t="n"/>
      <c r="BP84" s="1612" t="n"/>
      <c r="BQ84" s="1612" t="n"/>
      <c r="BR84" s="1612" t="n"/>
      <c r="BS84" s="1612" t="n"/>
      <c r="BT84" s="1612" t="n"/>
      <c r="BU84" s="1612" t="n"/>
      <c r="BV84" s="1612" t="n"/>
      <c r="BW84" s="1612" t="n"/>
      <c r="BX84" s="1612" t="n"/>
      <c r="BY84" s="1612" t="n"/>
      <c r="BZ84" s="1612" t="n"/>
      <c r="CA84" s="1612" t="n"/>
      <c r="CB84" s="1612" t="n"/>
      <c r="CC84" s="1612" t="n"/>
      <c r="CD84" s="1612" t="n"/>
      <c r="CE84" s="1612" t="n"/>
      <c r="CF84" s="1612" t="n"/>
      <c r="CG84" s="1612" t="n"/>
    </row>
    <row r="85" ht="15" customHeight="1">
      <c r="A85" s="1596" t="n"/>
      <c r="B85" s="1794">
        <f>SUM(entryCityBR[[#This Row],[1991]:[2026]])</f>
        <v/>
      </c>
      <c r="C85" s="1795" t="inlineStr">
        <is>
          <t>Guaecá</t>
        </is>
      </c>
      <c r="D85" s="1610">
        <f>COUNTIFS(stayCity[city],entryCityBR[[#This Row],[city]],stayCity[yr],D$79)</f>
        <v/>
      </c>
      <c r="E85" s="1610">
        <f>COUNTIFS(stayCity[city],entryCityBR[[#This Row],[city]],stayCity[yr],E$79)</f>
        <v/>
      </c>
      <c r="F85" s="1610">
        <f>COUNTIFS(stayCity[city],entryCityBR[[#This Row],[city]],stayCity[yr],F$79)</f>
        <v/>
      </c>
      <c r="G85" s="1610">
        <f>COUNTIFS(stayCity[city],entryCityBR[[#This Row],[city]],stayCity[yr],G$79)</f>
        <v/>
      </c>
      <c r="H85" s="1610">
        <f>COUNTIFS(stayCity[city],entryCityBR[[#This Row],[city]],stayCity[yr],H$79)</f>
        <v/>
      </c>
      <c r="I85" s="1610">
        <f>COUNTIFS(stayCity[city],entryCityBR[[#This Row],[city]],stayCity[yr],I$79)</f>
        <v/>
      </c>
      <c r="J85" s="1610">
        <f>COUNTIFS(stayCity[city],entryCityBR[[#This Row],[city]],stayCity[yr],J$79)</f>
        <v/>
      </c>
      <c r="K85" s="1610">
        <f>COUNTIFS(stayCity[city],entryCityBR[[#This Row],[city]],stayCity[yr],K$79)</f>
        <v/>
      </c>
      <c r="L85" s="1610">
        <f>COUNTIFS(stayCity[city],entryCityBR[[#This Row],[city]],stayCity[yr],L$79)</f>
        <v/>
      </c>
      <c r="M85" s="1610">
        <f>COUNTIFS(stayCity[city],entryCityBR[[#This Row],[city]],stayCity[yr],M$79)</f>
        <v/>
      </c>
      <c r="N85" s="1610">
        <f>COUNTIFS(stayCity[city],entryCityBR[[#This Row],[city]],stayCity[yr],N$79)</f>
        <v/>
      </c>
      <c r="O85" s="1610">
        <f>COUNTIFS(stayCity[city],entryCityBR[[#This Row],[city]],stayCity[yr],O$79)</f>
        <v/>
      </c>
      <c r="P85" s="1610">
        <f>COUNTIFS(stayCity[city],entryCityBR[[#This Row],[city]],stayCity[yr],P$79)</f>
        <v/>
      </c>
      <c r="Q85" s="1610">
        <f>COUNTIFS(stayCity[city],entryCityBR[[#This Row],[city]],stayCity[yr],Q$79)</f>
        <v/>
      </c>
      <c r="R85" s="1610">
        <f>COUNTIFS(stayCity[city],entryCityBR[[#This Row],[city]],stayCity[yr],R$79)</f>
        <v/>
      </c>
      <c r="S85" s="1610">
        <f>COUNTIFS(stayCity[city],entryCityBR[[#This Row],[city]],stayCity[yr],S$79)</f>
        <v/>
      </c>
      <c r="T85" s="1610">
        <f>COUNTIFS(stayCity[city],entryCityBR[[#This Row],[city]],stayCity[yr],T$79)</f>
        <v/>
      </c>
      <c r="U85" s="1610">
        <f>COUNTIFS(stayCity[city],entryCityBR[[#This Row],[city]],stayCity[yr],U$79)</f>
        <v/>
      </c>
      <c r="V85" s="1610">
        <f>COUNTIFS(stayCity[city],entryCityBR[[#This Row],[city]],stayCity[yr],V$79)</f>
        <v/>
      </c>
      <c r="W85" s="1610">
        <f>COUNTIFS(stayCity[city],entryCityBR[[#This Row],[city]],stayCity[yr],W$79)</f>
        <v/>
      </c>
      <c r="X85" s="1610">
        <f>COUNTIFS(stayCity[city],entryCityBR[[#This Row],[city]],stayCity[yr],X$79)</f>
        <v/>
      </c>
      <c r="Y85" s="1610">
        <f>COUNTIFS(stayCity[city],entryCityBR[[#This Row],[city]],stayCity[yr],Y$79)</f>
        <v/>
      </c>
      <c r="Z85" s="1610">
        <f>COUNTIFS(stayCity[city],entryCityBR[[#This Row],[city]],stayCity[yr],Z$79)</f>
        <v/>
      </c>
      <c r="AA85" s="1610">
        <f>COUNTIFS(stayCity[city],entryCityBR[[#This Row],[city]],stayCity[yr],AA$79)</f>
        <v/>
      </c>
      <c r="AB85" s="1610">
        <f>COUNTIFS(stayCity[city],entryCityBR[[#This Row],[city]],stayCity[yr],AB$79)</f>
        <v/>
      </c>
      <c r="AC85" s="1610">
        <f>COUNTIFS(stayCity[city],entryCityBR[[#This Row],[city]],stayCity[yr],AC$79)</f>
        <v/>
      </c>
      <c r="AD85" s="1610">
        <f>COUNTIFS(stayCity[city],entryCityBR[[#This Row],[city]],stayCity[yr],AD$79)</f>
        <v/>
      </c>
      <c r="AE85" s="1610">
        <f>COUNTIFS(stayCity[city],entryCityBR[[#This Row],[city]],stayCity[yr],AE$79)</f>
        <v/>
      </c>
      <c r="AF85" s="1610">
        <f>COUNTIFS(stayCity[city],entryCityBR[[#This Row],[city]],stayCity[yr],AF$79)</f>
        <v/>
      </c>
      <c r="AG85" s="1610">
        <f>COUNTIFS(stayCity[city],entryCityBR[[#This Row],[city]],stayCity[yr],AG$79)</f>
        <v/>
      </c>
      <c r="AH85" s="1610">
        <f>COUNTIFS(stayCity[city],entryCityBR[[#This Row],[city]],stayCity[yr],AH$79)</f>
        <v/>
      </c>
      <c r="AI85" s="1610">
        <f>COUNTIFS(stayCity[city],entryCityBR[[#This Row],[city]],stayCity[yr],AI$79)</f>
        <v/>
      </c>
      <c r="AJ85" s="1610">
        <f>COUNTIFS(stayCity[city],entryCityBR[[#This Row],[city]],stayCity[yr],AJ$79)</f>
        <v/>
      </c>
      <c r="AK85" s="1597" t="inlineStr">
        <is>
          <t>.</t>
        </is>
      </c>
      <c r="AL85" s="1612" t="n"/>
      <c r="AM85" s="1612" t="n"/>
      <c r="AN85" s="1612" t="n"/>
      <c r="AO85" s="1612" t="n"/>
      <c r="AP85" s="1612" t="n"/>
      <c r="AQ85" s="1612" t="n"/>
      <c r="AR85" s="1612" t="n"/>
      <c r="AS85" s="1612" t="n"/>
      <c r="AT85" s="1612" t="n"/>
      <c r="AU85" s="1612" t="n"/>
      <c r="AV85" s="1612" t="n"/>
      <c r="AW85" s="1612" t="n"/>
      <c r="AX85" s="1612" t="n"/>
      <c r="AY85" s="1612" t="n"/>
      <c r="AZ85" s="1612" t="n"/>
      <c r="BA85" s="1612" t="n"/>
      <c r="BB85" s="1612" t="n"/>
      <c r="BC85" s="1612" t="n"/>
      <c r="BD85" s="1612" t="n"/>
      <c r="BE85" s="1612" t="n"/>
      <c r="BF85" s="1612" t="n"/>
      <c r="BG85" s="1612" t="n"/>
      <c r="BH85" s="1612" t="n"/>
      <c r="BI85" s="1612" t="n"/>
      <c r="BJ85" s="1612" t="n"/>
      <c r="BK85" s="1612" t="n"/>
      <c r="BL85" s="1612" t="n"/>
      <c r="BM85" s="1612" t="n"/>
      <c r="BN85" s="1612" t="n"/>
      <c r="BO85" s="1612" t="n"/>
      <c r="BP85" s="1612" t="n"/>
      <c r="BQ85" s="1612" t="n"/>
      <c r="BR85" s="1612" t="n"/>
      <c r="BS85" s="1612" t="n"/>
      <c r="BT85" s="1612" t="n"/>
      <c r="BU85" s="1612" t="n"/>
      <c r="BV85" s="1612" t="n"/>
      <c r="BW85" s="1612" t="n"/>
      <c r="BX85" s="1612" t="n"/>
      <c r="BY85" s="1612" t="n"/>
      <c r="BZ85" s="1612" t="n"/>
      <c r="CA85" s="1612" t="n"/>
      <c r="CB85" s="1612" t="n"/>
      <c r="CC85" s="1612" t="n"/>
      <c r="CD85" s="1612" t="n"/>
      <c r="CE85" s="1612" t="n"/>
      <c r="CF85" s="1612" t="n"/>
      <c r="CG85" s="1612" t="n"/>
    </row>
    <row r="86" ht="15" customHeight="1">
      <c r="A86" s="1615" t="n"/>
      <c r="B86" s="1781">
        <f>SUM(entryCityBR[[#This Row],[1991]:[2026]])</f>
        <v/>
      </c>
      <c r="C86" s="1782" t="inlineStr">
        <is>
          <t>Aracaju</t>
        </is>
      </c>
      <c r="D86" s="1610">
        <f>COUNTIFS(stayCity[city],entryCityBR[[#This Row],[city]],stayCity[yr],D$79)</f>
        <v/>
      </c>
      <c r="E86" s="1610">
        <f>COUNTIFS(stayCity[city],entryCityBR[[#This Row],[city]],stayCity[yr],E$79)</f>
        <v/>
      </c>
      <c r="F86" s="1610">
        <f>COUNTIFS(stayCity[city],entryCityBR[[#This Row],[city]],stayCity[yr],F$79)</f>
        <v/>
      </c>
      <c r="G86" s="1610">
        <f>COUNTIFS(stayCity[city],entryCityBR[[#This Row],[city]],stayCity[yr],G$79)</f>
        <v/>
      </c>
      <c r="H86" s="1610">
        <f>COUNTIFS(stayCity[city],entryCityBR[[#This Row],[city]],stayCity[yr],H$79)</f>
        <v/>
      </c>
      <c r="I86" s="1610">
        <f>COUNTIFS(stayCity[city],entryCityBR[[#This Row],[city]],stayCity[yr],I$79)</f>
        <v/>
      </c>
      <c r="J86" s="1610">
        <f>COUNTIFS(stayCity[city],entryCityBR[[#This Row],[city]],stayCity[yr],J$79)</f>
        <v/>
      </c>
      <c r="K86" s="1610">
        <f>COUNTIFS(stayCity[city],entryCityBR[[#This Row],[city]],stayCity[yr],K$79)</f>
        <v/>
      </c>
      <c r="L86" s="1610">
        <f>COUNTIFS(stayCity[city],entryCityBR[[#This Row],[city]],stayCity[yr],L$79)</f>
        <v/>
      </c>
      <c r="M86" s="1610">
        <f>COUNTIFS(stayCity[city],entryCityBR[[#This Row],[city]],stayCity[yr],M$79)</f>
        <v/>
      </c>
      <c r="N86" s="1610">
        <f>COUNTIFS(stayCity[city],entryCityBR[[#This Row],[city]],stayCity[yr],N$79)</f>
        <v/>
      </c>
      <c r="O86" s="1610">
        <f>COUNTIFS(stayCity[city],entryCityBR[[#This Row],[city]],stayCity[yr],O$79)</f>
        <v/>
      </c>
      <c r="P86" s="1610">
        <f>COUNTIFS(stayCity[city],entryCityBR[[#This Row],[city]],stayCity[yr],P$79)</f>
        <v/>
      </c>
      <c r="Q86" s="1610">
        <f>COUNTIFS(stayCity[city],entryCityBR[[#This Row],[city]],stayCity[yr],Q$79)</f>
        <v/>
      </c>
      <c r="R86" s="1610">
        <f>COUNTIFS(stayCity[city],entryCityBR[[#This Row],[city]],stayCity[yr],R$79)</f>
        <v/>
      </c>
      <c r="S86" s="1610">
        <f>COUNTIFS(stayCity[city],entryCityBR[[#This Row],[city]],stayCity[yr],S$79)</f>
        <v/>
      </c>
      <c r="T86" s="1610">
        <f>COUNTIFS(stayCity[city],entryCityBR[[#This Row],[city]],stayCity[yr],T$79)</f>
        <v/>
      </c>
      <c r="U86" s="1610">
        <f>COUNTIFS(stayCity[city],entryCityBR[[#This Row],[city]],stayCity[yr],U$79)</f>
        <v/>
      </c>
      <c r="V86" s="1610">
        <f>COUNTIFS(stayCity[city],entryCityBR[[#This Row],[city]],stayCity[yr],V$79)</f>
        <v/>
      </c>
      <c r="W86" s="1610">
        <f>COUNTIFS(stayCity[city],entryCityBR[[#This Row],[city]],stayCity[yr],W$79)</f>
        <v/>
      </c>
      <c r="X86" s="1610">
        <f>COUNTIFS(stayCity[city],entryCityBR[[#This Row],[city]],stayCity[yr],X$79)</f>
        <v/>
      </c>
      <c r="Y86" s="1610">
        <f>COUNTIFS(stayCity[city],entryCityBR[[#This Row],[city]],stayCity[yr],Y$79)</f>
        <v/>
      </c>
      <c r="Z86" s="1610">
        <f>COUNTIFS(stayCity[city],entryCityBR[[#This Row],[city]],stayCity[yr],Z$79)</f>
        <v/>
      </c>
      <c r="AA86" s="1610">
        <f>COUNTIFS(stayCity[city],entryCityBR[[#This Row],[city]],stayCity[yr],AA$79)</f>
        <v/>
      </c>
      <c r="AB86" s="1610">
        <f>COUNTIFS(stayCity[city],entryCityBR[[#This Row],[city]],stayCity[yr],AB$79)</f>
        <v/>
      </c>
      <c r="AC86" s="1610">
        <f>COUNTIFS(stayCity[city],entryCityBR[[#This Row],[city]],stayCity[yr],AC$79)</f>
        <v/>
      </c>
      <c r="AD86" s="1610">
        <f>COUNTIFS(stayCity[city],entryCityBR[[#This Row],[city]],stayCity[yr],AD$79)</f>
        <v/>
      </c>
      <c r="AE86" s="1610">
        <f>COUNTIFS(stayCity[city],entryCityBR[[#This Row],[city]],stayCity[yr],AE$79)</f>
        <v/>
      </c>
      <c r="AF86" s="1610">
        <f>COUNTIFS(stayCity[city],entryCityBR[[#This Row],[city]],stayCity[yr],AF$79)</f>
        <v/>
      </c>
      <c r="AG86" s="1610">
        <f>COUNTIFS(stayCity[city],entryCityBR[[#This Row],[city]],stayCity[yr],AG$79)</f>
        <v/>
      </c>
      <c r="AH86" s="1610">
        <f>COUNTIFS(stayCity[city],entryCityBR[[#This Row],[city]],stayCity[yr],AH$79)</f>
        <v/>
      </c>
      <c r="AI86" s="1610">
        <f>COUNTIFS(stayCity[city],entryCityBR[[#This Row],[city]],stayCity[yr],AI$79)</f>
        <v/>
      </c>
      <c r="AJ86" s="1610">
        <f>COUNTIFS(stayCity[city],entryCityBR[[#This Row],[city]],stayCity[yr],AJ$79)</f>
        <v/>
      </c>
      <c r="AK86" s="1597" t="inlineStr">
        <is>
          <t>.</t>
        </is>
      </c>
      <c r="AL86" s="1612" t="n"/>
      <c r="AM86" s="1612" t="n"/>
      <c r="AN86" s="1612" t="n"/>
      <c r="AO86" s="1612" t="n"/>
      <c r="AP86" s="1612" t="n"/>
      <c r="AQ86" s="1612" t="n"/>
      <c r="AR86" s="1612" t="n"/>
      <c r="AS86" s="1612" t="n"/>
      <c r="AT86" s="1612" t="n"/>
      <c r="AU86" s="1612" t="n"/>
      <c r="AV86" s="1612" t="n"/>
      <c r="AW86" s="1612" t="n"/>
      <c r="AX86" s="1612" t="n"/>
      <c r="AY86" s="1612" t="n"/>
      <c r="AZ86" s="1612" t="n"/>
      <c r="BA86" s="1612" t="n"/>
      <c r="BB86" s="1612" t="n"/>
      <c r="BC86" s="1612" t="n"/>
      <c r="BD86" s="1612" t="n"/>
      <c r="BE86" s="1612" t="n"/>
      <c r="BF86" s="1612" t="n"/>
      <c r="BG86" s="1612" t="n"/>
      <c r="BH86" s="1612" t="n"/>
      <c r="BI86" s="1612" t="n"/>
      <c r="BJ86" s="1612" t="n"/>
      <c r="BK86" s="1612" t="n"/>
      <c r="BL86" s="1612" t="n"/>
      <c r="BM86" s="1612" t="n"/>
      <c r="BN86" s="1612" t="n"/>
      <c r="BO86" s="1612" t="n"/>
      <c r="BP86" s="1612" t="n"/>
      <c r="BQ86" s="1612" t="n"/>
      <c r="BR86" s="1612" t="n"/>
      <c r="BS86" s="1612" t="n"/>
      <c r="BT86" s="1612" t="n"/>
      <c r="BU86" s="1612" t="n"/>
      <c r="BV86" s="1612" t="n"/>
      <c r="BW86" s="1612" t="n"/>
      <c r="BX86" s="1612" t="n"/>
      <c r="BY86" s="1612" t="n"/>
      <c r="BZ86" s="1612" t="n"/>
      <c r="CA86" s="1612" t="n"/>
      <c r="CB86" s="1612" t="n"/>
      <c r="CC86" s="1612" t="n"/>
      <c r="CD86" s="1612" t="n"/>
      <c r="CE86" s="1612" t="n"/>
      <c r="CF86" s="1612" t="n"/>
      <c r="CG86" s="1612" t="n"/>
    </row>
    <row r="87" ht="15" customHeight="1">
      <c r="A87" s="1596" t="n"/>
      <c r="B87" s="1794">
        <f>SUM(entryCityBR[[#This Row],[1991]:[2026]])</f>
        <v/>
      </c>
      <c r="C87" s="1795" t="inlineStr">
        <is>
          <t>Praia do Forte</t>
        </is>
      </c>
      <c r="D87" s="1610">
        <f>COUNTIFS(stayCity[city],entryCityBR[[#This Row],[city]],stayCity[yr],D$79)</f>
        <v/>
      </c>
      <c r="E87" s="1610">
        <f>COUNTIFS(stayCity[city],entryCityBR[[#This Row],[city]],stayCity[yr],E$79)</f>
        <v/>
      </c>
      <c r="F87" s="1610">
        <f>COUNTIFS(stayCity[city],entryCityBR[[#This Row],[city]],stayCity[yr],F$79)</f>
        <v/>
      </c>
      <c r="G87" s="1610">
        <f>COUNTIFS(stayCity[city],entryCityBR[[#This Row],[city]],stayCity[yr],G$79)</f>
        <v/>
      </c>
      <c r="H87" s="1610">
        <f>COUNTIFS(stayCity[city],entryCityBR[[#This Row],[city]],stayCity[yr],H$79)</f>
        <v/>
      </c>
      <c r="I87" s="1610">
        <f>COUNTIFS(stayCity[city],entryCityBR[[#This Row],[city]],stayCity[yr],I$79)</f>
        <v/>
      </c>
      <c r="J87" s="1610">
        <f>COUNTIFS(stayCity[city],entryCityBR[[#This Row],[city]],stayCity[yr],J$79)</f>
        <v/>
      </c>
      <c r="K87" s="1610">
        <f>COUNTIFS(stayCity[city],entryCityBR[[#This Row],[city]],stayCity[yr],K$79)</f>
        <v/>
      </c>
      <c r="L87" s="1610">
        <f>COUNTIFS(stayCity[city],entryCityBR[[#This Row],[city]],stayCity[yr],L$79)</f>
        <v/>
      </c>
      <c r="M87" s="1610">
        <f>COUNTIFS(stayCity[city],entryCityBR[[#This Row],[city]],stayCity[yr],M$79)</f>
        <v/>
      </c>
      <c r="N87" s="1610">
        <f>COUNTIFS(stayCity[city],entryCityBR[[#This Row],[city]],stayCity[yr],N$79)</f>
        <v/>
      </c>
      <c r="O87" s="1610">
        <f>COUNTIFS(stayCity[city],entryCityBR[[#This Row],[city]],stayCity[yr],O$79)</f>
        <v/>
      </c>
      <c r="P87" s="1610">
        <f>COUNTIFS(stayCity[city],entryCityBR[[#This Row],[city]],stayCity[yr],P$79)</f>
        <v/>
      </c>
      <c r="Q87" s="1610">
        <f>COUNTIFS(stayCity[city],entryCityBR[[#This Row],[city]],stayCity[yr],Q$79)</f>
        <v/>
      </c>
      <c r="R87" s="1610">
        <f>COUNTIFS(stayCity[city],entryCityBR[[#This Row],[city]],stayCity[yr],R$79)</f>
        <v/>
      </c>
      <c r="S87" s="1610">
        <f>COUNTIFS(stayCity[city],entryCityBR[[#This Row],[city]],stayCity[yr],S$79)</f>
        <v/>
      </c>
      <c r="T87" s="1610">
        <f>COUNTIFS(stayCity[city],entryCityBR[[#This Row],[city]],stayCity[yr],T$79)</f>
        <v/>
      </c>
      <c r="U87" s="1610">
        <f>COUNTIFS(stayCity[city],entryCityBR[[#This Row],[city]],stayCity[yr],U$79)</f>
        <v/>
      </c>
      <c r="V87" s="1610">
        <f>COUNTIFS(stayCity[city],entryCityBR[[#This Row],[city]],stayCity[yr],V$79)</f>
        <v/>
      </c>
      <c r="W87" s="1610">
        <f>COUNTIFS(stayCity[city],entryCityBR[[#This Row],[city]],stayCity[yr],W$79)</f>
        <v/>
      </c>
      <c r="X87" s="1610">
        <f>COUNTIFS(stayCity[city],entryCityBR[[#This Row],[city]],stayCity[yr],X$79)</f>
        <v/>
      </c>
      <c r="Y87" s="1610">
        <f>COUNTIFS(stayCity[city],entryCityBR[[#This Row],[city]],stayCity[yr],Y$79)</f>
        <v/>
      </c>
      <c r="Z87" s="1610">
        <f>COUNTIFS(stayCity[city],entryCityBR[[#This Row],[city]],stayCity[yr],Z$79)</f>
        <v/>
      </c>
      <c r="AA87" s="1610">
        <f>COUNTIFS(stayCity[city],entryCityBR[[#This Row],[city]],stayCity[yr],AA$79)</f>
        <v/>
      </c>
      <c r="AB87" s="1610">
        <f>COUNTIFS(stayCity[city],entryCityBR[[#This Row],[city]],stayCity[yr],AB$79)</f>
        <v/>
      </c>
      <c r="AC87" s="1610">
        <f>COUNTIFS(stayCity[city],entryCityBR[[#This Row],[city]],stayCity[yr],AC$79)</f>
        <v/>
      </c>
      <c r="AD87" s="1610">
        <f>COUNTIFS(stayCity[city],entryCityBR[[#This Row],[city]],stayCity[yr],AD$79)</f>
        <v/>
      </c>
      <c r="AE87" s="1610">
        <f>COUNTIFS(stayCity[city],entryCityBR[[#This Row],[city]],stayCity[yr],AE$79)</f>
        <v/>
      </c>
      <c r="AF87" s="1610">
        <f>COUNTIFS(stayCity[city],entryCityBR[[#This Row],[city]],stayCity[yr],AF$79)</f>
        <v/>
      </c>
      <c r="AG87" s="1610">
        <f>COUNTIFS(stayCity[city],entryCityBR[[#This Row],[city]],stayCity[yr],AG$79)</f>
        <v/>
      </c>
      <c r="AH87" s="1610">
        <f>COUNTIFS(stayCity[city],entryCityBR[[#This Row],[city]],stayCity[yr],AH$79)</f>
        <v/>
      </c>
      <c r="AI87" s="1610">
        <f>COUNTIFS(stayCity[city],entryCityBR[[#This Row],[city]],stayCity[yr],AI$79)</f>
        <v/>
      </c>
      <c r="AJ87" s="1610">
        <f>COUNTIFS(stayCity[city],entryCityBR[[#This Row],[city]],stayCity[yr],AJ$79)</f>
        <v/>
      </c>
      <c r="AK87" s="1597" t="inlineStr">
        <is>
          <t>.</t>
        </is>
      </c>
      <c r="AL87" s="1612" t="n"/>
      <c r="AM87" s="1612" t="n"/>
      <c r="AN87" s="1612" t="n"/>
      <c r="AO87" s="1612" t="n"/>
      <c r="AP87" s="1612" t="n"/>
      <c r="AQ87" s="1612" t="n"/>
      <c r="AR87" s="1612" t="n"/>
      <c r="AS87" s="1612" t="n"/>
      <c r="AT87" s="1612" t="n"/>
      <c r="AU87" s="1612" t="n"/>
      <c r="AV87" s="1612" t="n"/>
      <c r="AW87" s="1612" t="n"/>
      <c r="AX87" s="1612" t="n"/>
      <c r="AY87" s="1612" t="n"/>
      <c r="AZ87" s="1612" t="n"/>
      <c r="BA87" s="1612" t="n"/>
      <c r="BB87" s="1612" t="n"/>
      <c r="BC87" s="1612" t="n"/>
      <c r="BD87" s="1612" t="n"/>
      <c r="BE87" s="1612" t="n"/>
      <c r="BF87" s="1612" t="n"/>
      <c r="BG87" s="1612" t="n"/>
      <c r="BH87" s="1612" t="n"/>
      <c r="BI87" s="1612" t="n"/>
      <c r="BJ87" s="1612" t="n"/>
      <c r="BK87" s="1612" t="n"/>
      <c r="BL87" s="1612" t="n"/>
      <c r="BM87" s="1612" t="n"/>
      <c r="BN87" s="1612" t="n"/>
      <c r="BO87" s="1612" t="n"/>
      <c r="BP87" s="1612" t="n"/>
      <c r="BQ87" s="1612" t="n"/>
      <c r="BR87" s="1612" t="n"/>
      <c r="BS87" s="1612" t="n"/>
      <c r="BT87" s="1612" t="n"/>
      <c r="BU87" s="1612" t="n"/>
      <c r="BV87" s="1612" t="n"/>
      <c r="BW87" s="1612" t="n"/>
      <c r="BX87" s="1612" t="n"/>
      <c r="BY87" s="1612" t="n"/>
      <c r="BZ87" s="1612" t="n"/>
      <c r="CA87" s="1612" t="n"/>
      <c r="CB87" s="1612" t="n"/>
      <c r="CC87" s="1612" t="n"/>
      <c r="CD87" s="1612" t="n"/>
      <c r="CE87" s="1612" t="n"/>
      <c r="CF87" s="1612" t="n"/>
      <c r="CG87" s="1612" t="n"/>
    </row>
    <row r="88" ht="15" customHeight="1">
      <c r="A88" s="1615" t="n"/>
      <c r="B88" s="1781">
        <f>SUM(entryCityBR[[#This Row],[1991]:[2026]])</f>
        <v/>
      </c>
      <c r="C88" s="1782" t="inlineStr">
        <is>
          <t>Porto Seguro</t>
        </is>
      </c>
      <c r="D88" s="1610">
        <f>COUNTIFS(stayCity[city],entryCityBR[[#This Row],[city]],stayCity[yr],D$79)</f>
        <v/>
      </c>
      <c r="E88" s="1610">
        <f>COUNTIFS(stayCity[city],entryCityBR[[#This Row],[city]],stayCity[yr],E$79)</f>
        <v/>
      </c>
      <c r="F88" s="1610">
        <f>COUNTIFS(stayCity[city],entryCityBR[[#This Row],[city]],stayCity[yr],F$79)</f>
        <v/>
      </c>
      <c r="G88" s="1610">
        <f>COUNTIFS(stayCity[city],entryCityBR[[#This Row],[city]],stayCity[yr],G$79)</f>
        <v/>
      </c>
      <c r="H88" s="1610">
        <f>COUNTIFS(stayCity[city],entryCityBR[[#This Row],[city]],stayCity[yr],H$79)</f>
        <v/>
      </c>
      <c r="I88" s="1610">
        <f>COUNTIFS(stayCity[city],entryCityBR[[#This Row],[city]],stayCity[yr],I$79)</f>
        <v/>
      </c>
      <c r="J88" s="1610">
        <f>COUNTIFS(stayCity[city],entryCityBR[[#This Row],[city]],stayCity[yr],J$79)</f>
        <v/>
      </c>
      <c r="K88" s="1610">
        <f>COUNTIFS(stayCity[city],entryCityBR[[#This Row],[city]],stayCity[yr],K$79)</f>
        <v/>
      </c>
      <c r="L88" s="1610">
        <f>COUNTIFS(stayCity[city],entryCityBR[[#This Row],[city]],stayCity[yr],L$79)</f>
        <v/>
      </c>
      <c r="M88" s="1610">
        <f>COUNTIFS(stayCity[city],entryCityBR[[#This Row],[city]],stayCity[yr],M$79)</f>
        <v/>
      </c>
      <c r="N88" s="1610">
        <f>COUNTIFS(stayCity[city],entryCityBR[[#This Row],[city]],stayCity[yr],N$79)</f>
        <v/>
      </c>
      <c r="O88" s="1610">
        <f>COUNTIFS(stayCity[city],entryCityBR[[#This Row],[city]],stayCity[yr],O$79)</f>
        <v/>
      </c>
      <c r="P88" s="1610">
        <f>COUNTIFS(stayCity[city],entryCityBR[[#This Row],[city]],stayCity[yr],P$79)</f>
        <v/>
      </c>
      <c r="Q88" s="1610">
        <f>COUNTIFS(stayCity[city],entryCityBR[[#This Row],[city]],stayCity[yr],Q$79)</f>
        <v/>
      </c>
      <c r="R88" s="1610">
        <f>COUNTIFS(stayCity[city],entryCityBR[[#This Row],[city]],stayCity[yr],R$79)</f>
        <v/>
      </c>
      <c r="S88" s="1610">
        <f>COUNTIFS(stayCity[city],entryCityBR[[#This Row],[city]],stayCity[yr],S$79)</f>
        <v/>
      </c>
      <c r="T88" s="1610">
        <f>COUNTIFS(stayCity[city],entryCityBR[[#This Row],[city]],stayCity[yr],T$79)</f>
        <v/>
      </c>
      <c r="U88" s="1610">
        <f>COUNTIFS(stayCity[city],entryCityBR[[#This Row],[city]],stayCity[yr],U$79)</f>
        <v/>
      </c>
      <c r="V88" s="1610">
        <f>COUNTIFS(stayCity[city],entryCityBR[[#This Row],[city]],stayCity[yr],V$79)</f>
        <v/>
      </c>
      <c r="W88" s="1610">
        <f>COUNTIFS(stayCity[city],entryCityBR[[#This Row],[city]],stayCity[yr],W$79)</f>
        <v/>
      </c>
      <c r="X88" s="1610">
        <f>COUNTIFS(stayCity[city],entryCityBR[[#This Row],[city]],stayCity[yr],X$79)</f>
        <v/>
      </c>
      <c r="Y88" s="1610">
        <f>COUNTIFS(stayCity[city],entryCityBR[[#This Row],[city]],stayCity[yr],Y$79)</f>
        <v/>
      </c>
      <c r="Z88" s="1610">
        <f>COUNTIFS(stayCity[city],entryCityBR[[#This Row],[city]],stayCity[yr],Z$79)</f>
        <v/>
      </c>
      <c r="AA88" s="1610">
        <f>COUNTIFS(stayCity[city],entryCityBR[[#This Row],[city]],stayCity[yr],AA$79)</f>
        <v/>
      </c>
      <c r="AB88" s="1610">
        <f>COUNTIFS(stayCity[city],entryCityBR[[#This Row],[city]],stayCity[yr],AB$79)</f>
        <v/>
      </c>
      <c r="AC88" s="1610">
        <f>COUNTIFS(stayCity[city],entryCityBR[[#This Row],[city]],stayCity[yr],AC$79)</f>
        <v/>
      </c>
      <c r="AD88" s="1610">
        <f>COUNTIFS(stayCity[city],entryCityBR[[#This Row],[city]],stayCity[yr],AD$79)</f>
        <v/>
      </c>
      <c r="AE88" s="1610">
        <f>COUNTIFS(stayCity[city],entryCityBR[[#This Row],[city]],stayCity[yr],AE$79)</f>
        <v/>
      </c>
      <c r="AF88" s="1610">
        <f>COUNTIFS(stayCity[city],entryCityBR[[#This Row],[city]],stayCity[yr],AF$79)</f>
        <v/>
      </c>
      <c r="AG88" s="1610">
        <f>COUNTIFS(stayCity[city],entryCityBR[[#This Row],[city]],stayCity[yr],AG$79)</f>
        <v/>
      </c>
      <c r="AH88" s="1610">
        <f>COUNTIFS(stayCity[city],entryCityBR[[#This Row],[city]],stayCity[yr],AH$79)</f>
        <v/>
      </c>
      <c r="AI88" s="1610">
        <f>COUNTIFS(stayCity[city],entryCityBR[[#This Row],[city]],stayCity[yr],AI$79)</f>
        <v/>
      </c>
      <c r="AJ88" s="1610">
        <f>COUNTIFS(stayCity[city],entryCityBR[[#This Row],[city]],stayCity[yr],AJ$79)</f>
        <v/>
      </c>
      <c r="AK88" s="1597" t="inlineStr">
        <is>
          <t>.</t>
        </is>
      </c>
      <c r="AL88" s="1612" t="n"/>
      <c r="AM88" s="1612" t="n"/>
      <c r="AN88" s="1612" t="n"/>
      <c r="AO88" s="1612" t="n"/>
      <c r="AP88" s="1612" t="n"/>
      <c r="AQ88" s="1612" t="n"/>
      <c r="AR88" s="1612" t="n"/>
      <c r="AS88" s="1612" t="n"/>
      <c r="AT88" s="1612" t="n"/>
      <c r="AU88" s="1612" t="n"/>
      <c r="AV88" s="1612" t="n"/>
      <c r="AW88" s="1612" t="n"/>
      <c r="AX88" s="1612" t="n"/>
      <c r="AY88" s="1612" t="n"/>
      <c r="AZ88" s="1612" t="n"/>
      <c r="BA88" s="1612" t="n"/>
      <c r="BB88" s="1612" t="n"/>
      <c r="BC88" s="1612" t="n"/>
      <c r="BD88" s="1612" t="n"/>
      <c r="BE88" s="1612" t="n"/>
      <c r="BF88" s="1612" t="n"/>
      <c r="BG88" s="1612" t="n"/>
      <c r="BH88" s="1612" t="n"/>
      <c r="BI88" s="1612" t="n"/>
      <c r="BJ88" s="1612" t="n"/>
      <c r="BK88" s="1612" t="n"/>
      <c r="BL88" s="1612" t="n"/>
      <c r="BM88" s="1612" t="n"/>
      <c r="BN88" s="1612" t="n"/>
      <c r="BO88" s="1612" t="n"/>
      <c r="BP88" s="1612" t="n"/>
      <c r="BQ88" s="1612" t="n"/>
      <c r="BR88" s="1612" t="n"/>
      <c r="BS88" s="1612" t="n"/>
      <c r="BT88" s="1612" t="n"/>
      <c r="BU88" s="1612" t="n"/>
      <c r="BV88" s="1612" t="n"/>
      <c r="BW88" s="1612" t="n"/>
      <c r="BX88" s="1612" t="n"/>
      <c r="BY88" s="1612" t="n"/>
      <c r="BZ88" s="1612" t="n"/>
      <c r="CA88" s="1612" t="n"/>
      <c r="CB88" s="1612" t="n"/>
      <c r="CC88" s="1612" t="n"/>
      <c r="CD88" s="1612" t="n"/>
      <c r="CE88" s="1612" t="n"/>
      <c r="CF88" s="1612" t="n"/>
      <c r="CG88" s="1612" t="n"/>
    </row>
    <row r="89" ht="15" customHeight="1">
      <c r="A89" s="1596" t="n"/>
      <c r="B89" s="1794">
        <f>SUM(entryCityBR[[#This Row],[1991]:[2026]])</f>
        <v/>
      </c>
      <c r="C89" s="1795" t="inlineStr">
        <is>
          <t>Cunha</t>
        </is>
      </c>
      <c r="D89" s="1610">
        <f>COUNTIFS(stayCity[city],entryCityBR[[#This Row],[city]],stayCity[yr],D$79)</f>
        <v/>
      </c>
      <c r="E89" s="1610">
        <f>COUNTIFS(stayCity[city],entryCityBR[[#This Row],[city]],stayCity[yr],E$79)</f>
        <v/>
      </c>
      <c r="F89" s="1610">
        <f>COUNTIFS(stayCity[city],entryCityBR[[#This Row],[city]],stayCity[yr],F$79)</f>
        <v/>
      </c>
      <c r="G89" s="1610">
        <f>COUNTIFS(stayCity[city],entryCityBR[[#This Row],[city]],stayCity[yr],G$79)</f>
        <v/>
      </c>
      <c r="H89" s="1610">
        <f>COUNTIFS(stayCity[city],entryCityBR[[#This Row],[city]],stayCity[yr],H$79)</f>
        <v/>
      </c>
      <c r="I89" s="1610">
        <f>COUNTIFS(stayCity[city],entryCityBR[[#This Row],[city]],stayCity[yr],I$79)</f>
        <v/>
      </c>
      <c r="J89" s="1610">
        <f>COUNTIFS(stayCity[city],entryCityBR[[#This Row],[city]],stayCity[yr],J$79)</f>
        <v/>
      </c>
      <c r="K89" s="1610">
        <f>COUNTIFS(stayCity[city],entryCityBR[[#This Row],[city]],stayCity[yr],K$79)</f>
        <v/>
      </c>
      <c r="L89" s="1610">
        <f>COUNTIFS(stayCity[city],entryCityBR[[#This Row],[city]],stayCity[yr],L$79)</f>
        <v/>
      </c>
      <c r="M89" s="1610">
        <f>COUNTIFS(stayCity[city],entryCityBR[[#This Row],[city]],stayCity[yr],M$79)</f>
        <v/>
      </c>
      <c r="N89" s="1610">
        <f>COUNTIFS(stayCity[city],entryCityBR[[#This Row],[city]],stayCity[yr],N$79)</f>
        <v/>
      </c>
      <c r="O89" s="1610">
        <f>COUNTIFS(stayCity[city],entryCityBR[[#This Row],[city]],stayCity[yr],O$79)</f>
        <v/>
      </c>
      <c r="P89" s="1610">
        <f>COUNTIFS(stayCity[city],entryCityBR[[#This Row],[city]],stayCity[yr],P$79)</f>
        <v/>
      </c>
      <c r="Q89" s="1610">
        <f>COUNTIFS(stayCity[city],entryCityBR[[#This Row],[city]],stayCity[yr],Q$79)</f>
        <v/>
      </c>
      <c r="R89" s="1610">
        <f>COUNTIFS(stayCity[city],entryCityBR[[#This Row],[city]],stayCity[yr],R$79)</f>
        <v/>
      </c>
      <c r="S89" s="1610">
        <f>COUNTIFS(stayCity[city],entryCityBR[[#This Row],[city]],stayCity[yr],S$79)</f>
        <v/>
      </c>
      <c r="T89" s="1610">
        <f>COUNTIFS(stayCity[city],entryCityBR[[#This Row],[city]],stayCity[yr],T$79)</f>
        <v/>
      </c>
      <c r="U89" s="1610">
        <f>COUNTIFS(stayCity[city],entryCityBR[[#This Row],[city]],stayCity[yr],U$79)</f>
        <v/>
      </c>
      <c r="V89" s="1610">
        <f>COUNTIFS(stayCity[city],entryCityBR[[#This Row],[city]],stayCity[yr],V$79)</f>
        <v/>
      </c>
      <c r="W89" s="1610">
        <f>COUNTIFS(stayCity[city],entryCityBR[[#This Row],[city]],stayCity[yr],W$79)</f>
        <v/>
      </c>
      <c r="X89" s="1610">
        <f>COUNTIFS(stayCity[city],entryCityBR[[#This Row],[city]],stayCity[yr],X$79)</f>
        <v/>
      </c>
      <c r="Y89" s="1610">
        <f>COUNTIFS(stayCity[city],entryCityBR[[#This Row],[city]],stayCity[yr],Y$79)</f>
        <v/>
      </c>
      <c r="Z89" s="1610">
        <f>COUNTIFS(stayCity[city],entryCityBR[[#This Row],[city]],stayCity[yr],Z$79)</f>
        <v/>
      </c>
      <c r="AA89" s="1610">
        <f>COUNTIFS(stayCity[city],entryCityBR[[#This Row],[city]],stayCity[yr],AA$79)</f>
        <v/>
      </c>
      <c r="AB89" s="1610">
        <f>COUNTIFS(stayCity[city],entryCityBR[[#This Row],[city]],stayCity[yr],AB$79)</f>
        <v/>
      </c>
      <c r="AC89" s="1610">
        <f>COUNTIFS(stayCity[city],entryCityBR[[#This Row],[city]],stayCity[yr],AC$79)</f>
        <v/>
      </c>
      <c r="AD89" s="1610">
        <f>COUNTIFS(stayCity[city],entryCityBR[[#This Row],[city]],stayCity[yr],AD$79)</f>
        <v/>
      </c>
      <c r="AE89" s="1610">
        <f>COUNTIFS(stayCity[city],entryCityBR[[#This Row],[city]],stayCity[yr],AE$79)</f>
        <v/>
      </c>
      <c r="AF89" s="1610">
        <f>COUNTIFS(stayCity[city],entryCityBR[[#This Row],[city]],stayCity[yr],AF$79)</f>
        <v/>
      </c>
      <c r="AG89" s="1610">
        <f>COUNTIFS(stayCity[city],entryCityBR[[#This Row],[city]],stayCity[yr],AG$79)</f>
        <v/>
      </c>
      <c r="AH89" s="1610">
        <f>COUNTIFS(stayCity[city],entryCityBR[[#This Row],[city]],stayCity[yr],AH$79)</f>
        <v/>
      </c>
      <c r="AI89" s="1610">
        <f>COUNTIFS(stayCity[city],entryCityBR[[#This Row],[city]],stayCity[yr],AI$79)</f>
        <v/>
      </c>
      <c r="AJ89" s="1610">
        <f>COUNTIFS(stayCity[city],entryCityBR[[#This Row],[city]],stayCity[yr],AJ$79)</f>
        <v/>
      </c>
      <c r="AK89" s="1597" t="inlineStr">
        <is>
          <t>.</t>
        </is>
      </c>
      <c r="AL89" s="1612" t="n"/>
      <c r="AM89" s="1612" t="n"/>
      <c r="AN89" s="1612" t="n"/>
      <c r="AO89" s="1612" t="n"/>
      <c r="AP89" s="1612" t="n"/>
      <c r="AQ89" s="1612" t="n"/>
      <c r="AR89" s="1612" t="n"/>
      <c r="AS89" s="1612" t="n"/>
      <c r="AT89" s="1612" t="n"/>
      <c r="AU89" s="1612" t="n"/>
      <c r="AV89" s="1612" t="n"/>
      <c r="AW89" s="1612" t="n"/>
      <c r="AX89" s="1612" t="n"/>
      <c r="AY89" s="1612" t="n"/>
      <c r="AZ89" s="1612" t="n"/>
      <c r="BA89" s="1612" t="n"/>
      <c r="BB89" s="1612" t="n"/>
      <c r="BC89" s="1612" t="n"/>
      <c r="BD89" s="1612" t="n"/>
      <c r="BE89" s="1612" t="n"/>
      <c r="BF89" s="1612" t="n"/>
      <c r="BG89" s="1612" t="n"/>
      <c r="BH89" s="1612" t="n"/>
      <c r="BI89" s="1612" t="n"/>
      <c r="BJ89" s="1612" t="n"/>
      <c r="BK89" s="1612" t="n"/>
      <c r="BL89" s="1612" t="n"/>
      <c r="BM89" s="1612" t="n"/>
      <c r="BN89" s="1612" t="n"/>
      <c r="BO89" s="1612" t="n"/>
      <c r="BP89" s="1612" t="n"/>
      <c r="BQ89" s="1612" t="n"/>
      <c r="BR89" s="1612" t="n"/>
      <c r="BS89" s="1612" t="n"/>
      <c r="BT89" s="1612" t="n"/>
      <c r="BU89" s="1612" t="n"/>
      <c r="BV89" s="1612" t="n"/>
      <c r="BW89" s="1612" t="n"/>
      <c r="BX89" s="1612" t="n"/>
      <c r="BY89" s="1612" t="n"/>
      <c r="BZ89" s="1612" t="n"/>
      <c r="CA89" s="1612" t="n"/>
      <c r="CB89" s="1612" t="n"/>
      <c r="CC89" s="1612" t="n"/>
      <c r="CD89" s="1612" t="n"/>
      <c r="CE89" s="1612" t="n"/>
      <c r="CF89" s="1612" t="n"/>
      <c r="CG89" s="1612" t="n"/>
    </row>
    <row r="90" ht="15" customHeight="1">
      <c r="A90" s="1615" t="n"/>
      <c r="B90" s="1781">
        <f>SUM(entryCityBR[[#This Row],[1991]:[2026]])</f>
        <v/>
      </c>
      <c r="C90" s="1782" t="inlineStr">
        <is>
          <t>Lencois</t>
        </is>
      </c>
      <c r="D90" s="1610">
        <f>COUNTIFS(stayCity[city],entryCityBR[[#This Row],[city]],stayCity[yr],D$79)</f>
        <v/>
      </c>
      <c r="E90" s="1610">
        <f>COUNTIFS(stayCity[city],entryCityBR[[#This Row],[city]],stayCity[yr],E$79)</f>
        <v/>
      </c>
      <c r="F90" s="1610">
        <f>COUNTIFS(stayCity[city],entryCityBR[[#This Row],[city]],stayCity[yr],F$79)</f>
        <v/>
      </c>
      <c r="G90" s="1610">
        <f>COUNTIFS(stayCity[city],entryCityBR[[#This Row],[city]],stayCity[yr],G$79)</f>
        <v/>
      </c>
      <c r="H90" s="1610">
        <f>COUNTIFS(stayCity[city],entryCityBR[[#This Row],[city]],stayCity[yr],H$79)</f>
        <v/>
      </c>
      <c r="I90" s="1610">
        <f>COUNTIFS(stayCity[city],entryCityBR[[#This Row],[city]],stayCity[yr],I$79)</f>
        <v/>
      </c>
      <c r="J90" s="1610">
        <f>COUNTIFS(stayCity[city],entryCityBR[[#This Row],[city]],stayCity[yr],J$79)</f>
        <v/>
      </c>
      <c r="K90" s="1610">
        <f>COUNTIFS(stayCity[city],entryCityBR[[#This Row],[city]],stayCity[yr],K$79)</f>
        <v/>
      </c>
      <c r="L90" s="1610">
        <f>COUNTIFS(stayCity[city],entryCityBR[[#This Row],[city]],stayCity[yr],L$79)</f>
        <v/>
      </c>
      <c r="M90" s="1610">
        <f>COUNTIFS(stayCity[city],entryCityBR[[#This Row],[city]],stayCity[yr],M$79)</f>
        <v/>
      </c>
      <c r="N90" s="1610">
        <f>COUNTIFS(stayCity[city],entryCityBR[[#This Row],[city]],stayCity[yr],N$79)</f>
        <v/>
      </c>
      <c r="O90" s="1610">
        <f>COUNTIFS(stayCity[city],entryCityBR[[#This Row],[city]],stayCity[yr],O$79)</f>
        <v/>
      </c>
      <c r="P90" s="1610">
        <f>COUNTIFS(stayCity[city],entryCityBR[[#This Row],[city]],stayCity[yr],P$79)</f>
        <v/>
      </c>
      <c r="Q90" s="1610">
        <f>COUNTIFS(stayCity[city],entryCityBR[[#This Row],[city]],stayCity[yr],Q$79)</f>
        <v/>
      </c>
      <c r="R90" s="1610">
        <f>COUNTIFS(stayCity[city],entryCityBR[[#This Row],[city]],stayCity[yr],R$79)</f>
        <v/>
      </c>
      <c r="S90" s="1610">
        <f>COUNTIFS(stayCity[city],entryCityBR[[#This Row],[city]],stayCity[yr],S$79)</f>
        <v/>
      </c>
      <c r="T90" s="1610">
        <f>COUNTIFS(stayCity[city],entryCityBR[[#This Row],[city]],stayCity[yr],T$79)</f>
        <v/>
      </c>
      <c r="U90" s="1610">
        <f>COUNTIFS(stayCity[city],entryCityBR[[#This Row],[city]],stayCity[yr],U$79)</f>
        <v/>
      </c>
      <c r="V90" s="1610">
        <f>COUNTIFS(stayCity[city],entryCityBR[[#This Row],[city]],stayCity[yr],V$79)</f>
        <v/>
      </c>
      <c r="W90" s="1610">
        <f>COUNTIFS(stayCity[city],entryCityBR[[#This Row],[city]],stayCity[yr],W$79)</f>
        <v/>
      </c>
      <c r="X90" s="1610">
        <f>COUNTIFS(stayCity[city],entryCityBR[[#This Row],[city]],stayCity[yr],X$79)</f>
        <v/>
      </c>
      <c r="Y90" s="1610">
        <f>COUNTIFS(stayCity[city],entryCityBR[[#This Row],[city]],stayCity[yr],Y$79)</f>
        <v/>
      </c>
      <c r="Z90" s="1610">
        <f>COUNTIFS(stayCity[city],entryCityBR[[#This Row],[city]],stayCity[yr],Z$79)</f>
        <v/>
      </c>
      <c r="AA90" s="1610">
        <f>COUNTIFS(stayCity[city],entryCityBR[[#This Row],[city]],stayCity[yr],AA$79)</f>
        <v/>
      </c>
      <c r="AB90" s="1610">
        <f>COUNTIFS(stayCity[city],entryCityBR[[#This Row],[city]],stayCity[yr],AB$79)</f>
        <v/>
      </c>
      <c r="AC90" s="1610">
        <f>COUNTIFS(stayCity[city],entryCityBR[[#This Row],[city]],stayCity[yr],AC$79)</f>
        <v/>
      </c>
      <c r="AD90" s="1610">
        <f>COUNTIFS(stayCity[city],entryCityBR[[#This Row],[city]],stayCity[yr],AD$79)</f>
        <v/>
      </c>
      <c r="AE90" s="1610">
        <f>COUNTIFS(stayCity[city],entryCityBR[[#This Row],[city]],stayCity[yr],AE$79)</f>
        <v/>
      </c>
      <c r="AF90" s="1610">
        <f>COUNTIFS(stayCity[city],entryCityBR[[#This Row],[city]],stayCity[yr],AF$79)</f>
        <v/>
      </c>
      <c r="AG90" s="1610">
        <f>COUNTIFS(stayCity[city],entryCityBR[[#This Row],[city]],stayCity[yr],AG$79)</f>
        <v/>
      </c>
      <c r="AH90" s="1610">
        <f>COUNTIFS(stayCity[city],entryCityBR[[#This Row],[city]],stayCity[yr],AH$79)</f>
        <v/>
      </c>
      <c r="AI90" s="1610">
        <f>COUNTIFS(stayCity[city],entryCityBR[[#This Row],[city]],stayCity[yr],AI$79)</f>
        <v/>
      </c>
      <c r="AJ90" s="1610">
        <f>COUNTIFS(stayCity[city],entryCityBR[[#This Row],[city]],stayCity[yr],AJ$79)</f>
        <v/>
      </c>
      <c r="AK90" s="1597" t="inlineStr">
        <is>
          <t>.</t>
        </is>
      </c>
      <c r="AL90" s="1612" t="n"/>
      <c r="AM90" s="1612" t="n"/>
      <c r="AN90" s="1612" t="n"/>
      <c r="AO90" s="1612" t="n"/>
      <c r="AP90" s="1612" t="n"/>
      <c r="AQ90" s="1612" t="n"/>
      <c r="AR90" s="1612" t="n"/>
      <c r="AS90" s="1612" t="n"/>
      <c r="AT90" s="1612" t="n"/>
      <c r="AU90" s="1612" t="n"/>
      <c r="AV90" s="1612" t="n"/>
      <c r="AW90" s="1612" t="n"/>
      <c r="AX90" s="1612" t="n"/>
      <c r="AY90" s="1612" t="n"/>
      <c r="AZ90" s="1612" t="n"/>
      <c r="BA90" s="1612" t="n"/>
      <c r="BB90" s="1612" t="n"/>
      <c r="BC90" s="1612" t="n"/>
      <c r="BD90" s="1612" t="n"/>
      <c r="BE90" s="1612" t="n"/>
      <c r="BF90" s="1612" t="n"/>
      <c r="BG90" s="1612" t="n"/>
      <c r="BH90" s="1612" t="n"/>
      <c r="BI90" s="1612" t="n"/>
      <c r="BJ90" s="1612" t="n"/>
      <c r="BK90" s="1612" t="n"/>
      <c r="BL90" s="1612" t="n"/>
      <c r="BM90" s="1612" t="n"/>
      <c r="BN90" s="1612" t="n"/>
      <c r="BO90" s="1612" t="n"/>
      <c r="BP90" s="1612" t="n"/>
      <c r="BQ90" s="1612" t="n"/>
      <c r="BR90" s="1612" t="n"/>
      <c r="BS90" s="1612" t="n"/>
      <c r="BT90" s="1612" t="n"/>
      <c r="BU90" s="1612" t="n"/>
      <c r="BV90" s="1612" t="n"/>
      <c r="BW90" s="1612" t="n"/>
      <c r="BX90" s="1612" t="n"/>
      <c r="BY90" s="1612" t="n"/>
      <c r="BZ90" s="1612" t="n"/>
      <c r="CA90" s="1612" t="n"/>
      <c r="CB90" s="1612" t="n"/>
      <c r="CC90" s="1612" t="n"/>
      <c r="CD90" s="1612" t="n"/>
      <c r="CE90" s="1612" t="n"/>
      <c r="CF90" s="1612" t="n"/>
      <c r="CG90" s="1612" t="n"/>
    </row>
    <row r="91" ht="15" customHeight="1">
      <c r="A91" s="1596" t="n"/>
      <c r="B91" s="1794">
        <f>SUM(entryCityBR[[#This Row],[1991]:[2026]])</f>
        <v/>
      </c>
      <c r="C91" s="1795" t="inlineStr">
        <is>
          <t>Boipeba</t>
        </is>
      </c>
      <c r="D91" s="1610">
        <f>COUNTIFS(stayCity[city],entryCityBR[[#This Row],[city]],stayCity[yr],D$79)</f>
        <v/>
      </c>
      <c r="E91" s="1610">
        <f>COUNTIFS(stayCity[city],entryCityBR[[#This Row],[city]],stayCity[yr],E$79)</f>
        <v/>
      </c>
      <c r="F91" s="1610">
        <f>COUNTIFS(stayCity[city],entryCityBR[[#This Row],[city]],stayCity[yr],F$79)</f>
        <v/>
      </c>
      <c r="G91" s="1610">
        <f>COUNTIFS(stayCity[city],entryCityBR[[#This Row],[city]],stayCity[yr],G$79)</f>
        <v/>
      </c>
      <c r="H91" s="1610">
        <f>COUNTIFS(stayCity[city],entryCityBR[[#This Row],[city]],stayCity[yr],H$79)</f>
        <v/>
      </c>
      <c r="I91" s="1610">
        <f>COUNTIFS(stayCity[city],entryCityBR[[#This Row],[city]],stayCity[yr],I$79)</f>
        <v/>
      </c>
      <c r="J91" s="1610">
        <f>COUNTIFS(stayCity[city],entryCityBR[[#This Row],[city]],stayCity[yr],J$79)</f>
        <v/>
      </c>
      <c r="K91" s="1610">
        <f>COUNTIFS(stayCity[city],entryCityBR[[#This Row],[city]],stayCity[yr],K$79)</f>
        <v/>
      </c>
      <c r="L91" s="1610">
        <f>COUNTIFS(stayCity[city],entryCityBR[[#This Row],[city]],stayCity[yr],L$79)</f>
        <v/>
      </c>
      <c r="M91" s="1610">
        <f>COUNTIFS(stayCity[city],entryCityBR[[#This Row],[city]],stayCity[yr],M$79)</f>
        <v/>
      </c>
      <c r="N91" s="1610">
        <f>COUNTIFS(stayCity[city],entryCityBR[[#This Row],[city]],stayCity[yr],N$79)</f>
        <v/>
      </c>
      <c r="O91" s="1610">
        <f>COUNTIFS(stayCity[city],entryCityBR[[#This Row],[city]],stayCity[yr],O$79)</f>
        <v/>
      </c>
      <c r="P91" s="1610">
        <f>COUNTIFS(stayCity[city],entryCityBR[[#This Row],[city]],stayCity[yr],P$79)</f>
        <v/>
      </c>
      <c r="Q91" s="1610">
        <f>COUNTIFS(stayCity[city],entryCityBR[[#This Row],[city]],stayCity[yr],Q$79)</f>
        <v/>
      </c>
      <c r="R91" s="1610">
        <f>COUNTIFS(stayCity[city],entryCityBR[[#This Row],[city]],stayCity[yr],R$79)</f>
        <v/>
      </c>
      <c r="S91" s="1610">
        <f>COUNTIFS(stayCity[city],entryCityBR[[#This Row],[city]],stayCity[yr],S$79)</f>
        <v/>
      </c>
      <c r="T91" s="1610">
        <f>COUNTIFS(stayCity[city],entryCityBR[[#This Row],[city]],stayCity[yr],T$79)</f>
        <v/>
      </c>
      <c r="U91" s="1610">
        <f>COUNTIFS(stayCity[city],entryCityBR[[#This Row],[city]],stayCity[yr],U$79)</f>
        <v/>
      </c>
      <c r="V91" s="1610">
        <f>COUNTIFS(stayCity[city],entryCityBR[[#This Row],[city]],stayCity[yr],V$79)</f>
        <v/>
      </c>
      <c r="W91" s="1610">
        <f>COUNTIFS(stayCity[city],entryCityBR[[#This Row],[city]],stayCity[yr],W$79)</f>
        <v/>
      </c>
      <c r="X91" s="1610">
        <f>COUNTIFS(stayCity[city],entryCityBR[[#This Row],[city]],stayCity[yr],X$79)</f>
        <v/>
      </c>
      <c r="Y91" s="1610">
        <f>COUNTIFS(stayCity[city],entryCityBR[[#This Row],[city]],stayCity[yr],Y$79)</f>
        <v/>
      </c>
      <c r="Z91" s="1610">
        <f>COUNTIFS(stayCity[city],entryCityBR[[#This Row],[city]],stayCity[yr],Z$79)</f>
        <v/>
      </c>
      <c r="AA91" s="1610">
        <f>COUNTIFS(stayCity[city],entryCityBR[[#This Row],[city]],stayCity[yr],AA$79)</f>
        <v/>
      </c>
      <c r="AB91" s="1610">
        <f>COUNTIFS(stayCity[city],entryCityBR[[#This Row],[city]],stayCity[yr],AB$79)</f>
        <v/>
      </c>
      <c r="AC91" s="1610">
        <f>COUNTIFS(stayCity[city],entryCityBR[[#This Row],[city]],stayCity[yr],AC$79)</f>
        <v/>
      </c>
      <c r="AD91" s="1610">
        <f>COUNTIFS(stayCity[city],entryCityBR[[#This Row],[city]],stayCity[yr],AD$79)</f>
        <v/>
      </c>
      <c r="AE91" s="1610">
        <f>COUNTIFS(stayCity[city],entryCityBR[[#This Row],[city]],stayCity[yr],AE$79)</f>
        <v/>
      </c>
      <c r="AF91" s="1610">
        <f>COUNTIFS(stayCity[city],entryCityBR[[#This Row],[city]],stayCity[yr],AF$79)</f>
        <v/>
      </c>
      <c r="AG91" s="1610">
        <f>COUNTIFS(stayCity[city],entryCityBR[[#This Row],[city]],stayCity[yr],AG$79)</f>
        <v/>
      </c>
      <c r="AH91" s="1610">
        <f>COUNTIFS(stayCity[city],entryCityBR[[#This Row],[city]],stayCity[yr],AH$79)</f>
        <v/>
      </c>
      <c r="AI91" s="1610">
        <f>COUNTIFS(stayCity[city],entryCityBR[[#This Row],[city]],stayCity[yr],AI$79)</f>
        <v/>
      </c>
      <c r="AJ91" s="1610">
        <f>COUNTIFS(stayCity[city],entryCityBR[[#This Row],[city]],stayCity[yr],AJ$79)</f>
        <v/>
      </c>
      <c r="AK91" s="1597" t="inlineStr">
        <is>
          <t>.</t>
        </is>
      </c>
      <c r="AL91" s="1612" t="n"/>
      <c r="AM91" s="1612" t="n"/>
      <c r="AN91" s="1612" t="n"/>
      <c r="AO91" s="1612" t="n"/>
      <c r="AP91" s="1612" t="n"/>
      <c r="AQ91" s="1612" t="n"/>
      <c r="AR91" s="1612" t="n"/>
      <c r="AS91" s="1612" t="n"/>
      <c r="AT91" s="1612" t="n"/>
      <c r="AU91" s="1612" t="n"/>
      <c r="AV91" s="1612" t="n"/>
      <c r="AW91" s="1612" t="n"/>
      <c r="AX91" s="1612" t="n"/>
      <c r="AY91" s="1612" t="n"/>
      <c r="AZ91" s="1612" t="n"/>
      <c r="BA91" s="1612" t="n"/>
      <c r="BB91" s="1612" t="n"/>
      <c r="BC91" s="1612" t="n"/>
      <c r="BD91" s="1612" t="n"/>
      <c r="BE91" s="1612" t="n"/>
      <c r="BF91" s="1612" t="n"/>
      <c r="BG91" s="1612" t="n"/>
      <c r="BH91" s="1612" t="n"/>
      <c r="BI91" s="1612" t="n"/>
      <c r="BJ91" s="1612" t="n"/>
      <c r="BK91" s="1612" t="n"/>
      <c r="BL91" s="1612" t="n"/>
      <c r="BM91" s="1612" t="n"/>
      <c r="BN91" s="1612" t="n"/>
      <c r="BO91" s="1612" t="n"/>
      <c r="BP91" s="1612" t="n"/>
      <c r="BQ91" s="1612" t="n"/>
      <c r="BR91" s="1612" t="n"/>
      <c r="BS91" s="1612" t="n"/>
      <c r="BT91" s="1612" t="n"/>
      <c r="BU91" s="1612" t="n"/>
      <c r="BV91" s="1612" t="n"/>
      <c r="BW91" s="1612" t="n"/>
      <c r="BX91" s="1612" t="n"/>
      <c r="BY91" s="1612" t="n"/>
      <c r="BZ91" s="1612" t="n"/>
      <c r="CA91" s="1612" t="n"/>
      <c r="CB91" s="1612" t="n"/>
      <c r="CC91" s="1612" t="n"/>
      <c r="CD91" s="1612" t="n"/>
      <c r="CE91" s="1612" t="n"/>
      <c r="CF91" s="1612" t="n"/>
      <c r="CG91" s="1612" t="n"/>
    </row>
    <row r="92" ht="15" customHeight="1">
      <c r="A92" s="1615" t="n"/>
      <c r="B92" s="1781">
        <f>SUM(entryCityBR[[#This Row],[1991]:[2026]])</f>
        <v/>
      </c>
      <c r="C92" s="1782" t="inlineStr">
        <is>
          <t>Morro de SP</t>
        </is>
      </c>
      <c r="D92" s="1610">
        <f>COUNTIFS(stayCity[city],entryCityBR[[#This Row],[city]],stayCity[yr],D$79)</f>
        <v/>
      </c>
      <c r="E92" s="1610">
        <f>COUNTIFS(stayCity[city],entryCityBR[[#This Row],[city]],stayCity[yr],E$79)</f>
        <v/>
      </c>
      <c r="F92" s="1610">
        <f>COUNTIFS(stayCity[city],entryCityBR[[#This Row],[city]],stayCity[yr],F$79)</f>
        <v/>
      </c>
      <c r="G92" s="1610">
        <f>COUNTIFS(stayCity[city],entryCityBR[[#This Row],[city]],stayCity[yr],G$79)</f>
        <v/>
      </c>
      <c r="H92" s="1610">
        <f>COUNTIFS(stayCity[city],entryCityBR[[#This Row],[city]],stayCity[yr],H$79)</f>
        <v/>
      </c>
      <c r="I92" s="1610">
        <f>COUNTIFS(stayCity[city],entryCityBR[[#This Row],[city]],stayCity[yr],I$79)</f>
        <v/>
      </c>
      <c r="J92" s="1610">
        <f>COUNTIFS(stayCity[city],entryCityBR[[#This Row],[city]],stayCity[yr],J$79)</f>
        <v/>
      </c>
      <c r="K92" s="1610">
        <f>COUNTIFS(stayCity[city],entryCityBR[[#This Row],[city]],stayCity[yr],K$79)</f>
        <v/>
      </c>
      <c r="L92" s="1610">
        <f>COUNTIFS(stayCity[city],entryCityBR[[#This Row],[city]],stayCity[yr],L$79)</f>
        <v/>
      </c>
      <c r="M92" s="1610">
        <f>COUNTIFS(stayCity[city],entryCityBR[[#This Row],[city]],stayCity[yr],M$79)</f>
        <v/>
      </c>
      <c r="N92" s="1610">
        <f>COUNTIFS(stayCity[city],entryCityBR[[#This Row],[city]],stayCity[yr],N$79)</f>
        <v/>
      </c>
      <c r="O92" s="1610">
        <f>COUNTIFS(stayCity[city],entryCityBR[[#This Row],[city]],stayCity[yr],O$79)</f>
        <v/>
      </c>
      <c r="P92" s="1610">
        <f>COUNTIFS(stayCity[city],entryCityBR[[#This Row],[city]],stayCity[yr],P$79)</f>
        <v/>
      </c>
      <c r="Q92" s="1610">
        <f>COUNTIFS(stayCity[city],entryCityBR[[#This Row],[city]],stayCity[yr],Q$79)</f>
        <v/>
      </c>
      <c r="R92" s="1610">
        <f>COUNTIFS(stayCity[city],entryCityBR[[#This Row],[city]],stayCity[yr],R$79)</f>
        <v/>
      </c>
      <c r="S92" s="1610">
        <f>COUNTIFS(stayCity[city],entryCityBR[[#This Row],[city]],stayCity[yr],S$79)</f>
        <v/>
      </c>
      <c r="T92" s="1610">
        <f>COUNTIFS(stayCity[city],entryCityBR[[#This Row],[city]],stayCity[yr],T$79)</f>
        <v/>
      </c>
      <c r="U92" s="1610">
        <f>COUNTIFS(stayCity[city],entryCityBR[[#This Row],[city]],stayCity[yr],U$79)</f>
        <v/>
      </c>
      <c r="V92" s="1610">
        <f>COUNTIFS(stayCity[city],entryCityBR[[#This Row],[city]],stayCity[yr],V$79)</f>
        <v/>
      </c>
      <c r="W92" s="1610">
        <f>COUNTIFS(stayCity[city],entryCityBR[[#This Row],[city]],stayCity[yr],W$79)</f>
        <v/>
      </c>
      <c r="X92" s="1610">
        <f>COUNTIFS(stayCity[city],entryCityBR[[#This Row],[city]],stayCity[yr],X$79)</f>
        <v/>
      </c>
      <c r="Y92" s="1610">
        <f>COUNTIFS(stayCity[city],entryCityBR[[#This Row],[city]],stayCity[yr],Y$79)</f>
        <v/>
      </c>
      <c r="Z92" s="1610">
        <f>COUNTIFS(stayCity[city],entryCityBR[[#This Row],[city]],stayCity[yr],Z$79)</f>
        <v/>
      </c>
      <c r="AA92" s="1610">
        <f>COUNTIFS(stayCity[city],entryCityBR[[#This Row],[city]],stayCity[yr],AA$79)</f>
        <v/>
      </c>
      <c r="AB92" s="1610">
        <f>COUNTIFS(stayCity[city],entryCityBR[[#This Row],[city]],stayCity[yr],AB$79)</f>
        <v/>
      </c>
      <c r="AC92" s="1610">
        <f>COUNTIFS(stayCity[city],entryCityBR[[#This Row],[city]],stayCity[yr],AC$79)</f>
        <v/>
      </c>
      <c r="AD92" s="1610">
        <f>COUNTIFS(stayCity[city],entryCityBR[[#This Row],[city]],stayCity[yr],AD$79)</f>
        <v/>
      </c>
      <c r="AE92" s="1610">
        <f>COUNTIFS(stayCity[city],entryCityBR[[#This Row],[city]],stayCity[yr],AE$79)</f>
        <v/>
      </c>
      <c r="AF92" s="1610">
        <f>COUNTIFS(stayCity[city],entryCityBR[[#This Row],[city]],stayCity[yr],AF$79)</f>
        <v/>
      </c>
      <c r="AG92" s="1610">
        <f>COUNTIFS(stayCity[city],entryCityBR[[#This Row],[city]],stayCity[yr],AG$79)</f>
        <v/>
      </c>
      <c r="AH92" s="1610">
        <f>COUNTIFS(stayCity[city],entryCityBR[[#This Row],[city]],stayCity[yr],AH$79)</f>
        <v/>
      </c>
      <c r="AI92" s="1610">
        <f>COUNTIFS(stayCity[city],entryCityBR[[#This Row],[city]],stayCity[yr],AI$79)</f>
        <v/>
      </c>
      <c r="AJ92" s="1610">
        <f>COUNTIFS(stayCity[city],entryCityBR[[#This Row],[city]],stayCity[yr],AJ$79)</f>
        <v/>
      </c>
      <c r="AK92" s="1597" t="inlineStr">
        <is>
          <t>.</t>
        </is>
      </c>
      <c r="AL92" s="1612" t="n"/>
      <c r="AM92" s="1612" t="n"/>
      <c r="AN92" s="1612" t="n"/>
      <c r="AO92" s="1612" t="n"/>
      <c r="AP92" s="1612" t="n"/>
      <c r="AQ92" s="1612" t="n"/>
      <c r="AR92" s="1612" t="n"/>
      <c r="AS92" s="1612" t="n"/>
      <c r="AT92" s="1612" t="n"/>
      <c r="AU92" s="1612" t="n"/>
      <c r="AV92" s="1612" t="n"/>
      <c r="AW92" s="1612" t="n"/>
      <c r="AX92" s="1612" t="n"/>
      <c r="AY92" s="1612" t="n"/>
      <c r="AZ92" s="1612" t="n"/>
      <c r="BA92" s="1612" t="n"/>
      <c r="BB92" s="1612" t="n"/>
      <c r="BC92" s="1612" t="n"/>
      <c r="BD92" s="1612" t="n"/>
      <c r="BE92" s="1612" t="n"/>
      <c r="BF92" s="1612" t="n"/>
      <c r="BG92" s="1612" t="n"/>
      <c r="BH92" s="1612" t="n"/>
      <c r="BI92" s="1612" t="n"/>
      <c r="BJ92" s="1612" t="n"/>
      <c r="BK92" s="1612" t="n"/>
      <c r="BL92" s="1612" t="n"/>
      <c r="BM92" s="1612" t="n"/>
      <c r="BN92" s="1612" t="n"/>
      <c r="BO92" s="1612" t="n"/>
      <c r="BP92" s="1612" t="n"/>
      <c r="BQ92" s="1612" t="n"/>
      <c r="BR92" s="1612" t="n"/>
      <c r="BS92" s="1612" t="n"/>
      <c r="BT92" s="1612" t="n"/>
      <c r="BU92" s="1612" t="n"/>
      <c r="BV92" s="1612" t="n"/>
      <c r="BW92" s="1612" t="n"/>
      <c r="BX92" s="1612" t="n"/>
      <c r="BY92" s="1612" t="n"/>
      <c r="BZ92" s="1612" t="n"/>
      <c r="CA92" s="1612" t="n"/>
      <c r="CB92" s="1612" t="n"/>
      <c r="CC92" s="1612" t="n"/>
      <c r="CD92" s="1612" t="n"/>
      <c r="CE92" s="1612" t="n"/>
      <c r="CF92" s="1612" t="n"/>
      <c r="CG92" s="1612" t="n"/>
    </row>
    <row r="93" ht="15" customHeight="1">
      <c r="A93" s="1596" t="n"/>
      <c r="B93" s="1794">
        <f>SUM(entryCityBR[[#This Row],[1991]:[2026]])</f>
        <v/>
      </c>
      <c r="C93" s="1795" t="inlineStr">
        <is>
          <t>Paraty</t>
        </is>
      </c>
      <c r="D93" s="1610">
        <f>COUNTIFS(stayCity[city],entryCityBR[[#This Row],[city]],stayCity[yr],D$79)</f>
        <v/>
      </c>
      <c r="E93" s="1610">
        <f>COUNTIFS(stayCity[city],entryCityBR[[#This Row],[city]],stayCity[yr],E$79)</f>
        <v/>
      </c>
      <c r="F93" s="1610">
        <f>COUNTIFS(stayCity[city],entryCityBR[[#This Row],[city]],stayCity[yr],F$79)</f>
        <v/>
      </c>
      <c r="G93" s="1610">
        <f>COUNTIFS(stayCity[city],entryCityBR[[#This Row],[city]],stayCity[yr],G$79)</f>
        <v/>
      </c>
      <c r="H93" s="1610">
        <f>COUNTIFS(stayCity[city],entryCityBR[[#This Row],[city]],stayCity[yr],H$79)</f>
        <v/>
      </c>
      <c r="I93" s="1610">
        <f>COUNTIFS(stayCity[city],entryCityBR[[#This Row],[city]],stayCity[yr],I$79)</f>
        <v/>
      </c>
      <c r="J93" s="1610">
        <f>COUNTIFS(stayCity[city],entryCityBR[[#This Row],[city]],stayCity[yr],J$79)</f>
        <v/>
      </c>
      <c r="K93" s="1610">
        <f>COUNTIFS(stayCity[city],entryCityBR[[#This Row],[city]],stayCity[yr],K$79)</f>
        <v/>
      </c>
      <c r="L93" s="1610">
        <f>COUNTIFS(stayCity[city],entryCityBR[[#This Row],[city]],stayCity[yr],L$79)</f>
        <v/>
      </c>
      <c r="M93" s="1610">
        <f>COUNTIFS(stayCity[city],entryCityBR[[#This Row],[city]],stayCity[yr],M$79)</f>
        <v/>
      </c>
      <c r="N93" s="1610">
        <f>COUNTIFS(stayCity[city],entryCityBR[[#This Row],[city]],stayCity[yr],N$79)</f>
        <v/>
      </c>
      <c r="O93" s="1610">
        <f>COUNTIFS(stayCity[city],entryCityBR[[#This Row],[city]],stayCity[yr],O$79)</f>
        <v/>
      </c>
      <c r="P93" s="1610">
        <f>COUNTIFS(stayCity[city],entryCityBR[[#This Row],[city]],stayCity[yr],P$79)</f>
        <v/>
      </c>
      <c r="Q93" s="1610">
        <f>COUNTIFS(stayCity[city],entryCityBR[[#This Row],[city]],stayCity[yr],Q$79)</f>
        <v/>
      </c>
      <c r="R93" s="1610">
        <f>COUNTIFS(stayCity[city],entryCityBR[[#This Row],[city]],stayCity[yr],R$79)</f>
        <v/>
      </c>
      <c r="S93" s="1610">
        <f>COUNTIFS(stayCity[city],entryCityBR[[#This Row],[city]],stayCity[yr],S$79)</f>
        <v/>
      </c>
      <c r="T93" s="1610">
        <f>COUNTIFS(stayCity[city],entryCityBR[[#This Row],[city]],stayCity[yr],T$79)</f>
        <v/>
      </c>
      <c r="U93" s="1610">
        <f>COUNTIFS(stayCity[city],entryCityBR[[#This Row],[city]],stayCity[yr],U$79)</f>
        <v/>
      </c>
      <c r="V93" s="1610">
        <f>COUNTIFS(stayCity[city],entryCityBR[[#This Row],[city]],stayCity[yr],V$79)</f>
        <v/>
      </c>
      <c r="W93" s="1610">
        <f>COUNTIFS(stayCity[city],entryCityBR[[#This Row],[city]],stayCity[yr],W$79)</f>
        <v/>
      </c>
      <c r="X93" s="1610">
        <f>COUNTIFS(stayCity[city],entryCityBR[[#This Row],[city]],stayCity[yr],X$79)</f>
        <v/>
      </c>
      <c r="Y93" s="1610">
        <f>COUNTIFS(stayCity[city],entryCityBR[[#This Row],[city]],stayCity[yr],Y$79)</f>
        <v/>
      </c>
      <c r="Z93" s="1610">
        <f>COUNTIFS(stayCity[city],entryCityBR[[#This Row],[city]],stayCity[yr],Z$79)</f>
        <v/>
      </c>
      <c r="AA93" s="1610">
        <f>COUNTIFS(stayCity[city],entryCityBR[[#This Row],[city]],stayCity[yr],AA$79)</f>
        <v/>
      </c>
      <c r="AB93" s="1610">
        <f>COUNTIFS(stayCity[city],entryCityBR[[#This Row],[city]],stayCity[yr],AB$79)</f>
        <v/>
      </c>
      <c r="AC93" s="1610">
        <f>COUNTIFS(stayCity[city],entryCityBR[[#This Row],[city]],stayCity[yr],AC$79)</f>
        <v/>
      </c>
      <c r="AD93" s="1610">
        <f>COUNTIFS(stayCity[city],entryCityBR[[#This Row],[city]],stayCity[yr],AD$79)</f>
        <v/>
      </c>
      <c r="AE93" s="1610">
        <f>COUNTIFS(stayCity[city],entryCityBR[[#This Row],[city]],stayCity[yr],AE$79)</f>
        <v/>
      </c>
      <c r="AF93" s="1610">
        <f>COUNTIFS(stayCity[city],entryCityBR[[#This Row],[city]],stayCity[yr],AF$79)</f>
        <v/>
      </c>
      <c r="AG93" s="1610">
        <f>COUNTIFS(stayCity[city],entryCityBR[[#This Row],[city]],stayCity[yr],AG$79)</f>
        <v/>
      </c>
      <c r="AH93" s="1610">
        <f>COUNTIFS(stayCity[city],entryCityBR[[#This Row],[city]],stayCity[yr],AH$79)</f>
        <v/>
      </c>
      <c r="AI93" s="1610">
        <f>COUNTIFS(stayCity[city],entryCityBR[[#This Row],[city]],stayCity[yr],AI$79)</f>
        <v/>
      </c>
      <c r="AJ93" s="1610">
        <f>COUNTIFS(stayCity[city],entryCityBR[[#This Row],[city]],stayCity[yr],AJ$79)</f>
        <v/>
      </c>
      <c r="AK93" s="1597" t="inlineStr">
        <is>
          <t>.</t>
        </is>
      </c>
      <c r="AL93" s="1612" t="n"/>
      <c r="AM93" s="1612" t="n"/>
      <c r="AN93" s="1612" t="n"/>
      <c r="AO93" s="1612" t="n"/>
      <c r="AP93" s="1612" t="n"/>
      <c r="AQ93" s="1612" t="n"/>
      <c r="AR93" s="1612" t="n"/>
      <c r="AS93" s="1612" t="n"/>
      <c r="AT93" s="1612" t="n"/>
      <c r="AU93" s="1612" t="n"/>
      <c r="AV93" s="1612" t="n"/>
      <c r="AW93" s="1612" t="n"/>
      <c r="AX93" s="1612" t="n"/>
      <c r="AY93" s="1612" t="n"/>
      <c r="AZ93" s="1612" t="n"/>
      <c r="BA93" s="1612" t="n"/>
      <c r="BB93" s="1612" t="n"/>
      <c r="BC93" s="1612" t="n"/>
      <c r="BD93" s="1612" t="n"/>
      <c r="BE93" s="1612" t="n"/>
      <c r="BF93" s="1612" t="n"/>
      <c r="BG93" s="1612" t="n"/>
      <c r="BH93" s="1612" t="n"/>
      <c r="BI93" s="1612" t="n"/>
      <c r="BJ93" s="1612" t="n"/>
      <c r="BK93" s="1612" t="n"/>
      <c r="BL93" s="1612" t="n"/>
      <c r="BM93" s="1612" t="n"/>
      <c r="BN93" s="1612" t="n"/>
      <c r="BO93" s="1612" t="n"/>
      <c r="BP93" s="1612" t="n"/>
      <c r="BQ93" s="1612" t="n"/>
      <c r="BR93" s="1612" t="n"/>
      <c r="BS93" s="1612" t="n"/>
      <c r="BT93" s="1612" t="n"/>
      <c r="BU93" s="1612" t="n"/>
      <c r="BV93" s="1612" t="n"/>
      <c r="BW93" s="1612" t="n"/>
      <c r="BX93" s="1612" t="n"/>
      <c r="BY93" s="1612" t="n"/>
      <c r="BZ93" s="1612" t="n"/>
      <c r="CA93" s="1612" t="n"/>
      <c r="CB93" s="1612" t="n"/>
      <c r="CC93" s="1612" t="n"/>
      <c r="CD93" s="1612" t="n"/>
      <c r="CE93" s="1612" t="n"/>
      <c r="CF93" s="1612" t="n"/>
      <c r="CG93" s="1612" t="n"/>
    </row>
    <row r="94" ht="15" customHeight="1">
      <c r="A94" s="1615" t="n"/>
      <c r="B94" s="1781">
        <f>SUM(entryCityBR[[#This Row],[1991]:[2026]])</f>
        <v/>
      </c>
      <c r="C94" s="1782" t="inlineStr">
        <is>
          <t>BH</t>
        </is>
      </c>
      <c r="D94" s="1610">
        <f>COUNTIFS(stayCity[city],entryCityBR[[#This Row],[city]],stayCity[yr],D$79)</f>
        <v/>
      </c>
      <c r="E94" s="1610">
        <f>COUNTIFS(stayCity[city],entryCityBR[[#This Row],[city]],stayCity[yr],E$79)</f>
        <v/>
      </c>
      <c r="F94" s="1610">
        <f>COUNTIFS(stayCity[city],entryCityBR[[#This Row],[city]],stayCity[yr],F$79)</f>
        <v/>
      </c>
      <c r="G94" s="1610">
        <f>COUNTIFS(stayCity[city],entryCityBR[[#This Row],[city]],stayCity[yr],G$79)</f>
        <v/>
      </c>
      <c r="H94" s="1610">
        <f>COUNTIFS(stayCity[city],entryCityBR[[#This Row],[city]],stayCity[yr],H$79)</f>
        <v/>
      </c>
      <c r="I94" s="1610">
        <f>COUNTIFS(stayCity[city],entryCityBR[[#This Row],[city]],stayCity[yr],I$79)</f>
        <v/>
      </c>
      <c r="J94" s="1610">
        <f>COUNTIFS(stayCity[city],entryCityBR[[#This Row],[city]],stayCity[yr],J$79)</f>
        <v/>
      </c>
      <c r="K94" s="1610">
        <f>COUNTIFS(stayCity[city],entryCityBR[[#This Row],[city]],stayCity[yr],K$79)</f>
        <v/>
      </c>
      <c r="L94" s="1610">
        <f>COUNTIFS(stayCity[city],entryCityBR[[#This Row],[city]],stayCity[yr],L$79)</f>
        <v/>
      </c>
      <c r="M94" s="1610">
        <f>COUNTIFS(stayCity[city],entryCityBR[[#This Row],[city]],stayCity[yr],M$79)</f>
        <v/>
      </c>
      <c r="N94" s="1610">
        <f>COUNTIFS(stayCity[city],entryCityBR[[#This Row],[city]],stayCity[yr],N$79)</f>
        <v/>
      </c>
      <c r="O94" s="1610">
        <f>COUNTIFS(stayCity[city],entryCityBR[[#This Row],[city]],stayCity[yr],O$79)</f>
        <v/>
      </c>
      <c r="P94" s="1610">
        <f>COUNTIFS(stayCity[city],entryCityBR[[#This Row],[city]],stayCity[yr],P$79)</f>
        <v/>
      </c>
      <c r="Q94" s="1610">
        <f>COUNTIFS(stayCity[city],entryCityBR[[#This Row],[city]],stayCity[yr],Q$79)</f>
        <v/>
      </c>
      <c r="R94" s="1610">
        <f>COUNTIFS(stayCity[city],entryCityBR[[#This Row],[city]],stayCity[yr],R$79)</f>
        <v/>
      </c>
      <c r="S94" s="1610">
        <f>COUNTIFS(stayCity[city],entryCityBR[[#This Row],[city]],stayCity[yr],S$79)</f>
        <v/>
      </c>
      <c r="T94" s="1610">
        <f>COUNTIFS(stayCity[city],entryCityBR[[#This Row],[city]],stayCity[yr],T$79)</f>
        <v/>
      </c>
      <c r="U94" s="1610">
        <f>COUNTIFS(stayCity[city],entryCityBR[[#This Row],[city]],stayCity[yr],U$79)</f>
        <v/>
      </c>
      <c r="V94" s="1610">
        <f>COUNTIFS(stayCity[city],entryCityBR[[#This Row],[city]],stayCity[yr],V$79)</f>
        <v/>
      </c>
      <c r="W94" s="1610">
        <f>COUNTIFS(stayCity[city],entryCityBR[[#This Row],[city]],stayCity[yr],W$79)</f>
        <v/>
      </c>
      <c r="X94" s="1610">
        <f>COUNTIFS(stayCity[city],entryCityBR[[#This Row],[city]],stayCity[yr],X$79)</f>
        <v/>
      </c>
      <c r="Y94" s="1610">
        <f>COUNTIFS(stayCity[city],entryCityBR[[#This Row],[city]],stayCity[yr],Y$79)</f>
        <v/>
      </c>
      <c r="Z94" s="1610">
        <f>COUNTIFS(stayCity[city],entryCityBR[[#This Row],[city]],stayCity[yr],Z$79)</f>
        <v/>
      </c>
      <c r="AA94" s="1610">
        <f>COUNTIFS(stayCity[city],entryCityBR[[#This Row],[city]],stayCity[yr],AA$79)</f>
        <v/>
      </c>
      <c r="AB94" s="1610">
        <f>COUNTIFS(stayCity[city],entryCityBR[[#This Row],[city]],stayCity[yr],AB$79)</f>
        <v/>
      </c>
      <c r="AC94" s="1610">
        <f>COUNTIFS(stayCity[city],entryCityBR[[#This Row],[city]],stayCity[yr],AC$79)</f>
        <v/>
      </c>
      <c r="AD94" s="1610">
        <f>COUNTIFS(stayCity[city],entryCityBR[[#This Row],[city]],stayCity[yr],AD$79)</f>
        <v/>
      </c>
      <c r="AE94" s="1610">
        <f>COUNTIFS(stayCity[city],entryCityBR[[#This Row],[city]],stayCity[yr],AE$79)</f>
        <v/>
      </c>
      <c r="AF94" s="1610">
        <f>COUNTIFS(stayCity[city],entryCityBR[[#This Row],[city]],stayCity[yr],AF$79)</f>
        <v/>
      </c>
      <c r="AG94" s="1610">
        <f>COUNTIFS(stayCity[city],entryCityBR[[#This Row],[city]],stayCity[yr],AG$79)</f>
        <v/>
      </c>
      <c r="AH94" s="1610">
        <f>COUNTIFS(stayCity[city],entryCityBR[[#This Row],[city]],stayCity[yr],AH$79)</f>
        <v/>
      </c>
      <c r="AI94" s="1610">
        <f>COUNTIFS(stayCity[city],entryCityBR[[#This Row],[city]],stayCity[yr],AI$79)</f>
        <v/>
      </c>
      <c r="AJ94" s="1610">
        <f>COUNTIFS(stayCity[city],entryCityBR[[#This Row],[city]],stayCity[yr],AJ$79)</f>
        <v/>
      </c>
      <c r="AK94" s="1597" t="inlineStr">
        <is>
          <t>.</t>
        </is>
      </c>
      <c r="AL94" s="1612" t="n"/>
      <c r="AM94" s="1612" t="n"/>
      <c r="AN94" s="1612" t="n"/>
      <c r="AO94" s="1612" t="n"/>
      <c r="AP94" s="1612" t="n"/>
      <c r="AQ94" s="1612" t="n"/>
      <c r="AR94" s="1612" t="n"/>
      <c r="AS94" s="1612" t="n"/>
      <c r="AT94" s="1612" t="n"/>
      <c r="AU94" s="1612" t="n"/>
      <c r="AV94" s="1612" t="n"/>
      <c r="AW94" s="1612" t="n"/>
      <c r="AX94" s="1612" t="n"/>
      <c r="AY94" s="1612" t="n"/>
      <c r="AZ94" s="1612" t="n"/>
      <c r="BA94" s="1612" t="n"/>
      <c r="BB94" s="1612" t="n"/>
      <c r="BC94" s="1612" t="n"/>
      <c r="BD94" s="1612" t="n"/>
      <c r="BE94" s="1612" t="n"/>
      <c r="BF94" s="1612" t="n"/>
      <c r="BG94" s="1612" t="n"/>
      <c r="BH94" s="1612" t="n"/>
      <c r="BI94" s="1612" t="n"/>
      <c r="BJ94" s="1612" t="n"/>
      <c r="BK94" s="1612" t="n"/>
      <c r="BL94" s="1612" t="n"/>
      <c r="BM94" s="1612" t="n"/>
      <c r="BN94" s="1612" t="n"/>
      <c r="BO94" s="1612" t="n"/>
      <c r="BP94" s="1612" t="n"/>
      <c r="BQ94" s="1612" t="n"/>
      <c r="BR94" s="1612" t="n"/>
      <c r="BS94" s="1612" t="n"/>
      <c r="BT94" s="1612" t="n"/>
      <c r="BU94" s="1612" t="n"/>
      <c r="BV94" s="1612" t="n"/>
      <c r="BW94" s="1612" t="n"/>
      <c r="BX94" s="1612" t="n"/>
      <c r="BY94" s="1612" t="n"/>
      <c r="BZ94" s="1612" t="n"/>
      <c r="CA94" s="1612" t="n"/>
      <c r="CB94" s="1612" t="n"/>
      <c r="CC94" s="1612" t="n"/>
      <c r="CD94" s="1612" t="n"/>
      <c r="CE94" s="1612" t="n"/>
      <c r="CF94" s="1612" t="n"/>
      <c r="CG94" s="1612" t="n"/>
    </row>
    <row r="95" ht="15" customHeight="1">
      <c r="A95" s="1596" t="n"/>
      <c r="B95" s="1794">
        <f>SUM(entryCityBR[[#This Row],[1991]:[2026]])</f>
        <v/>
      </c>
      <c r="C95" s="1795" t="inlineStr">
        <is>
          <t>Natal</t>
        </is>
      </c>
      <c r="D95" s="1610">
        <f>COUNTIFS(stayCity[city],entryCityBR[[#This Row],[city]],stayCity[yr],D$79)</f>
        <v/>
      </c>
      <c r="E95" s="1610">
        <f>COUNTIFS(stayCity[city],entryCityBR[[#This Row],[city]],stayCity[yr],E$79)</f>
        <v/>
      </c>
      <c r="F95" s="1610">
        <f>COUNTIFS(stayCity[city],entryCityBR[[#This Row],[city]],stayCity[yr],F$79)</f>
        <v/>
      </c>
      <c r="G95" s="1610">
        <f>COUNTIFS(stayCity[city],entryCityBR[[#This Row],[city]],stayCity[yr],G$79)</f>
        <v/>
      </c>
      <c r="H95" s="1610">
        <f>COUNTIFS(stayCity[city],entryCityBR[[#This Row],[city]],stayCity[yr],H$79)</f>
        <v/>
      </c>
      <c r="I95" s="1610">
        <f>COUNTIFS(stayCity[city],entryCityBR[[#This Row],[city]],stayCity[yr],I$79)</f>
        <v/>
      </c>
      <c r="J95" s="1610">
        <f>COUNTIFS(stayCity[city],entryCityBR[[#This Row],[city]],stayCity[yr],J$79)</f>
        <v/>
      </c>
      <c r="K95" s="1610">
        <f>COUNTIFS(stayCity[city],entryCityBR[[#This Row],[city]],stayCity[yr],K$79)</f>
        <v/>
      </c>
      <c r="L95" s="1610">
        <f>COUNTIFS(stayCity[city],entryCityBR[[#This Row],[city]],stayCity[yr],L$79)</f>
        <v/>
      </c>
      <c r="M95" s="1610">
        <f>COUNTIFS(stayCity[city],entryCityBR[[#This Row],[city]],stayCity[yr],M$79)</f>
        <v/>
      </c>
      <c r="N95" s="1610">
        <f>COUNTIFS(stayCity[city],entryCityBR[[#This Row],[city]],stayCity[yr],N$79)</f>
        <v/>
      </c>
      <c r="O95" s="1610">
        <f>COUNTIFS(stayCity[city],entryCityBR[[#This Row],[city]],stayCity[yr],O$79)</f>
        <v/>
      </c>
      <c r="P95" s="1610">
        <f>COUNTIFS(stayCity[city],entryCityBR[[#This Row],[city]],stayCity[yr],P$79)</f>
        <v/>
      </c>
      <c r="Q95" s="1610">
        <f>COUNTIFS(stayCity[city],entryCityBR[[#This Row],[city]],stayCity[yr],Q$79)</f>
        <v/>
      </c>
      <c r="R95" s="1610">
        <f>COUNTIFS(stayCity[city],entryCityBR[[#This Row],[city]],stayCity[yr],R$79)</f>
        <v/>
      </c>
      <c r="S95" s="1610">
        <f>COUNTIFS(stayCity[city],entryCityBR[[#This Row],[city]],stayCity[yr],S$79)</f>
        <v/>
      </c>
      <c r="T95" s="1610">
        <f>COUNTIFS(stayCity[city],entryCityBR[[#This Row],[city]],stayCity[yr],T$79)</f>
        <v/>
      </c>
      <c r="U95" s="1610">
        <f>COUNTIFS(stayCity[city],entryCityBR[[#This Row],[city]],stayCity[yr],U$79)</f>
        <v/>
      </c>
      <c r="V95" s="1610">
        <f>COUNTIFS(stayCity[city],entryCityBR[[#This Row],[city]],stayCity[yr],V$79)</f>
        <v/>
      </c>
      <c r="W95" s="1610">
        <f>COUNTIFS(stayCity[city],entryCityBR[[#This Row],[city]],stayCity[yr],W$79)</f>
        <v/>
      </c>
      <c r="X95" s="1610">
        <f>COUNTIFS(stayCity[city],entryCityBR[[#This Row],[city]],stayCity[yr],X$79)</f>
        <v/>
      </c>
      <c r="Y95" s="1610">
        <f>COUNTIFS(stayCity[city],entryCityBR[[#This Row],[city]],stayCity[yr],Y$79)</f>
        <v/>
      </c>
      <c r="Z95" s="1610">
        <f>COUNTIFS(stayCity[city],entryCityBR[[#This Row],[city]],stayCity[yr],Z$79)</f>
        <v/>
      </c>
      <c r="AA95" s="1610">
        <f>COUNTIFS(stayCity[city],entryCityBR[[#This Row],[city]],stayCity[yr],AA$79)</f>
        <v/>
      </c>
      <c r="AB95" s="1610">
        <f>COUNTIFS(stayCity[city],entryCityBR[[#This Row],[city]],stayCity[yr],AB$79)</f>
        <v/>
      </c>
      <c r="AC95" s="1610">
        <f>COUNTIFS(stayCity[city],entryCityBR[[#This Row],[city]],stayCity[yr],AC$79)</f>
        <v/>
      </c>
      <c r="AD95" s="1610">
        <f>COUNTIFS(stayCity[city],entryCityBR[[#This Row],[city]],stayCity[yr],AD$79)</f>
        <v/>
      </c>
      <c r="AE95" s="1610">
        <f>COUNTIFS(stayCity[city],entryCityBR[[#This Row],[city]],stayCity[yr],AE$79)</f>
        <v/>
      </c>
      <c r="AF95" s="1610">
        <f>COUNTIFS(stayCity[city],entryCityBR[[#This Row],[city]],stayCity[yr],AF$79)</f>
        <v/>
      </c>
      <c r="AG95" s="1610">
        <f>COUNTIFS(stayCity[city],entryCityBR[[#This Row],[city]],stayCity[yr],AG$79)</f>
        <v/>
      </c>
      <c r="AH95" s="1610">
        <f>COUNTIFS(stayCity[city],entryCityBR[[#This Row],[city]],stayCity[yr],AH$79)</f>
        <v/>
      </c>
      <c r="AI95" s="1610">
        <f>COUNTIFS(stayCity[city],entryCityBR[[#This Row],[city]],stayCity[yr],AI$79)</f>
        <v/>
      </c>
      <c r="AJ95" s="1610">
        <f>COUNTIFS(stayCity[city],entryCityBR[[#This Row],[city]],stayCity[yr],AJ$79)</f>
        <v/>
      </c>
      <c r="AK95" s="1597" t="inlineStr">
        <is>
          <t>.</t>
        </is>
      </c>
      <c r="AL95" s="1612" t="n"/>
      <c r="AM95" s="1612" t="n"/>
      <c r="AN95" s="1612" t="n"/>
      <c r="AO95" s="1612" t="n"/>
      <c r="AP95" s="1612" t="n"/>
      <c r="AQ95" s="1612" t="n"/>
      <c r="AR95" s="1612" t="n"/>
      <c r="AS95" s="1612" t="n"/>
      <c r="AT95" s="1612" t="n"/>
      <c r="AU95" s="1612" t="n"/>
      <c r="AV95" s="1612" t="n"/>
      <c r="AW95" s="1612" t="n"/>
      <c r="AX95" s="1612" t="n"/>
      <c r="AY95" s="1612" t="n"/>
      <c r="AZ95" s="1612" t="n"/>
      <c r="BA95" s="1612" t="n"/>
      <c r="BB95" s="1612" t="n"/>
      <c r="BC95" s="1612" t="n"/>
      <c r="BD95" s="1612" t="n"/>
      <c r="BE95" s="1612" t="n"/>
      <c r="BF95" s="1612" t="n"/>
      <c r="BG95" s="1612" t="n"/>
      <c r="BH95" s="1612" t="n"/>
      <c r="BI95" s="1612" t="n"/>
      <c r="BJ95" s="1612" t="n"/>
      <c r="BK95" s="1612" t="n"/>
      <c r="BL95" s="1612" t="n"/>
      <c r="BM95" s="1612" t="n"/>
      <c r="BN95" s="1612" t="n"/>
      <c r="BO95" s="1612" t="n"/>
      <c r="BP95" s="1612" t="n"/>
      <c r="BQ95" s="1612" t="n"/>
      <c r="BR95" s="1612" t="n"/>
      <c r="BS95" s="1612" t="n"/>
      <c r="BT95" s="1612" t="n"/>
      <c r="BU95" s="1612" t="n"/>
      <c r="BV95" s="1612" t="n"/>
      <c r="BW95" s="1612" t="n"/>
      <c r="BX95" s="1612" t="n"/>
      <c r="BY95" s="1612" t="n"/>
      <c r="BZ95" s="1612" t="n"/>
      <c r="CA95" s="1612" t="n"/>
      <c r="CB95" s="1612" t="n"/>
      <c r="CC95" s="1612" t="n"/>
      <c r="CD95" s="1612" t="n"/>
      <c r="CE95" s="1612" t="n"/>
      <c r="CF95" s="1612" t="n"/>
      <c r="CG95" s="1612" t="n"/>
    </row>
    <row r="96" ht="15" customHeight="1">
      <c r="A96" s="1615" t="n"/>
      <c r="B96" s="1781">
        <f>SUM(entryCityBR[[#This Row],[1991]:[2026]])</f>
        <v/>
      </c>
      <c r="C96" s="1782" t="inlineStr">
        <is>
          <t>Campos do Jordao</t>
        </is>
      </c>
      <c r="D96" s="1610">
        <f>COUNTIFS(stayCity[city],entryCityBR[[#This Row],[city]],stayCity[yr],D$79)</f>
        <v/>
      </c>
      <c r="E96" s="1610">
        <f>COUNTIFS(stayCity[city],entryCityBR[[#This Row],[city]],stayCity[yr],E$79)</f>
        <v/>
      </c>
      <c r="F96" s="1610">
        <f>COUNTIFS(stayCity[city],entryCityBR[[#This Row],[city]],stayCity[yr],F$79)</f>
        <v/>
      </c>
      <c r="G96" s="1610">
        <f>COUNTIFS(stayCity[city],entryCityBR[[#This Row],[city]],stayCity[yr],G$79)</f>
        <v/>
      </c>
      <c r="H96" s="1610">
        <f>COUNTIFS(stayCity[city],entryCityBR[[#This Row],[city]],stayCity[yr],H$79)</f>
        <v/>
      </c>
      <c r="I96" s="1610">
        <f>COUNTIFS(stayCity[city],entryCityBR[[#This Row],[city]],stayCity[yr],I$79)</f>
        <v/>
      </c>
      <c r="J96" s="1610">
        <f>COUNTIFS(stayCity[city],entryCityBR[[#This Row],[city]],stayCity[yr],J$79)</f>
        <v/>
      </c>
      <c r="K96" s="1610">
        <f>COUNTIFS(stayCity[city],entryCityBR[[#This Row],[city]],stayCity[yr],K$79)</f>
        <v/>
      </c>
      <c r="L96" s="1610">
        <f>COUNTIFS(stayCity[city],entryCityBR[[#This Row],[city]],stayCity[yr],L$79)</f>
        <v/>
      </c>
      <c r="M96" s="1610">
        <f>COUNTIFS(stayCity[city],entryCityBR[[#This Row],[city]],stayCity[yr],M$79)</f>
        <v/>
      </c>
      <c r="N96" s="1610">
        <f>COUNTIFS(stayCity[city],entryCityBR[[#This Row],[city]],stayCity[yr],N$79)</f>
        <v/>
      </c>
      <c r="O96" s="1610">
        <f>COUNTIFS(stayCity[city],entryCityBR[[#This Row],[city]],stayCity[yr],O$79)</f>
        <v/>
      </c>
      <c r="P96" s="1610">
        <f>COUNTIFS(stayCity[city],entryCityBR[[#This Row],[city]],stayCity[yr],P$79)</f>
        <v/>
      </c>
      <c r="Q96" s="1610">
        <f>COUNTIFS(stayCity[city],entryCityBR[[#This Row],[city]],stayCity[yr],Q$79)</f>
        <v/>
      </c>
      <c r="R96" s="1610">
        <f>COUNTIFS(stayCity[city],entryCityBR[[#This Row],[city]],stayCity[yr],R$79)</f>
        <v/>
      </c>
      <c r="S96" s="1610">
        <f>COUNTIFS(stayCity[city],entryCityBR[[#This Row],[city]],stayCity[yr],S$79)</f>
        <v/>
      </c>
      <c r="T96" s="1610">
        <f>COUNTIFS(stayCity[city],entryCityBR[[#This Row],[city]],stayCity[yr],T$79)</f>
        <v/>
      </c>
      <c r="U96" s="1610">
        <f>COUNTIFS(stayCity[city],entryCityBR[[#This Row],[city]],stayCity[yr],U$79)</f>
        <v/>
      </c>
      <c r="V96" s="1610">
        <f>COUNTIFS(stayCity[city],entryCityBR[[#This Row],[city]],stayCity[yr],V$79)</f>
        <v/>
      </c>
      <c r="W96" s="1610">
        <f>COUNTIFS(stayCity[city],entryCityBR[[#This Row],[city]],stayCity[yr],W$79)</f>
        <v/>
      </c>
      <c r="X96" s="1610">
        <f>COUNTIFS(stayCity[city],entryCityBR[[#This Row],[city]],stayCity[yr],X$79)</f>
        <v/>
      </c>
      <c r="Y96" s="1610">
        <f>COUNTIFS(stayCity[city],entryCityBR[[#This Row],[city]],stayCity[yr],Y$79)</f>
        <v/>
      </c>
      <c r="Z96" s="1610">
        <f>COUNTIFS(stayCity[city],entryCityBR[[#This Row],[city]],stayCity[yr],Z$79)</f>
        <v/>
      </c>
      <c r="AA96" s="1610">
        <f>COUNTIFS(stayCity[city],entryCityBR[[#This Row],[city]],stayCity[yr],AA$79)</f>
        <v/>
      </c>
      <c r="AB96" s="1610">
        <f>COUNTIFS(stayCity[city],entryCityBR[[#This Row],[city]],stayCity[yr],AB$79)</f>
        <v/>
      </c>
      <c r="AC96" s="1610">
        <f>COUNTIFS(stayCity[city],entryCityBR[[#This Row],[city]],stayCity[yr],AC$79)</f>
        <v/>
      </c>
      <c r="AD96" s="1610">
        <f>COUNTIFS(stayCity[city],entryCityBR[[#This Row],[city]],stayCity[yr],AD$79)</f>
        <v/>
      </c>
      <c r="AE96" s="1610">
        <f>COUNTIFS(stayCity[city],entryCityBR[[#This Row],[city]],stayCity[yr],AE$79)</f>
        <v/>
      </c>
      <c r="AF96" s="1610">
        <f>COUNTIFS(stayCity[city],entryCityBR[[#This Row],[city]],stayCity[yr],AF$79)</f>
        <v/>
      </c>
      <c r="AG96" s="1610">
        <f>COUNTIFS(stayCity[city],entryCityBR[[#This Row],[city]],stayCity[yr],AG$79)</f>
        <v/>
      </c>
      <c r="AH96" s="1610">
        <f>COUNTIFS(stayCity[city],entryCityBR[[#This Row],[city]],stayCity[yr],AH$79)</f>
        <v/>
      </c>
      <c r="AI96" s="1610">
        <f>COUNTIFS(stayCity[city],entryCityBR[[#This Row],[city]],stayCity[yr],AI$79)</f>
        <v/>
      </c>
      <c r="AJ96" s="1610">
        <f>COUNTIFS(stayCity[city],entryCityBR[[#This Row],[city]],stayCity[yr],AJ$79)</f>
        <v/>
      </c>
      <c r="AK96" s="1597" t="inlineStr">
        <is>
          <t>.</t>
        </is>
      </c>
      <c r="AL96" s="1612" t="n"/>
      <c r="AM96" s="1612" t="n"/>
      <c r="AN96" s="1612" t="n"/>
      <c r="AO96" s="1612" t="n"/>
      <c r="AP96" s="1612" t="n"/>
      <c r="AQ96" s="1612" t="n"/>
      <c r="AR96" s="1612" t="n"/>
      <c r="AS96" s="1612" t="n"/>
      <c r="AT96" s="1612" t="n"/>
      <c r="AU96" s="1612" t="n"/>
      <c r="AV96" s="1612" t="n"/>
      <c r="AW96" s="1612" t="n"/>
      <c r="AX96" s="1612" t="n"/>
      <c r="AY96" s="1612" t="n"/>
      <c r="AZ96" s="1612" t="n"/>
      <c r="BA96" s="1612" t="n"/>
      <c r="BB96" s="1612" t="n"/>
      <c r="BC96" s="1612" t="n"/>
      <c r="BD96" s="1612" t="n"/>
      <c r="BE96" s="1612" t="n"/>
      <c r="BF96" s="1612" t="n"/>
      <c r="BG96" s="1612" t="n"/>
      <c r="BH96" s="1612" t="n"/>
      <c r="BI96" s="1612" t="n"/>
      <c r="BJ96" s="1612" t="n"/>
      <c r="BK96" s="1612" t="n"/>
      <c r="BL96" s="1612" t="n"/>
      <c r="BM96" s="1612" t="n"/>
      <c r="BN96" s="1612" t="n"/>
      <c r="BO96" s="1612" t="n"/>
      <c r="BP96" s="1612" t="n"/>
      <c r="BQ96" s="1612" t="n"/>
      <c r="BR96" s="1612" t="n"/>
      <c r="BS96" s="1612" t="n"/>
      <c r="BT96" s="1612" t="n"/>
      <c r="BU96" s="1612" t="n"/>
      <c r="BV96" s="1612" t="n"/>
      <c r="BW96" s="1612" t="n"/>
      <c r="BX96" s="1612" t="n"/>
      <c r="BY96" s="1612" t="n"/>
      <c r="BZ96" s="1612" t="n"/>
      <c r="CA96" s="1612" t="n"/>
      <c r="CB96" s="1612" t="n"/>
      <c r="CC96" s="1612" t="n"/>
      <c r="CD96" s="1612" t="n"/>
      <c r="CE96" s="1612" t="n"/>
      <c r="CF96" s="1612" t="n"/>
      <c r="CG96" s="1612" t="n"/>
    </row>
    <row r="97" ht="15" customHeight="1">
      <c r="A97" s="1596" t="n"/>
      <c r="B97" s="1794">
        <f>SUM(entryCityBR[[#This Row],[1991]:[2026]])</f>
        <v/>
      </c>
      <c r="C97" s="1795" t="inlineStr">
        <is>
          <t>Petropolis</t>
        </is>
      </c>
      <c r="D97" s="1610">
        <f>COUNTIFS(stayCity[city],entryCityBR[[#This Row],[city]],stayCity[yr],D$79)</f>
        <v/>
      </c>
      <c r="E97" s="1610">
        <f>COUNTIFS(stayCity[city],entryCityBR[[#This Row],[city]],stayCity[yr],E$79)</f>
        <v/>
      </c>
      <c r="F97" s="1610">
        <f>COUNTIFS(stayCity[city],entryCityBR[[#This Row],[city]],stayCity[yr],F$79)</f>
        <v/>
      </c>
      <c r="G97" s="1610">
        <f>COUNTIFS(stayCity[city],entryCityBR[[#This Row],[city]],stayCity[yr],G$79)</f>
        <v/>
      </c>
      <c r="H97" s="1610">
        <f>COUNTIFS(stayCity[city],entryCityBR[[#This Row],[city]],stayCity[yr],H$79)</f>
        <v/>
      </c>
      <c r="I97" s="1610">
        <f>COUNTIFS(stayCity[city],entryCityBR[[#This Row],[city]],stayCity[yr],I$79)</f>
        <v/>
      </c>
      <c r="J97" s="1610">
        <f>COUNTIFS(stayCity[city],entryCityBR[[#This Row],[city]],stayCity[yr],J$79)</f>
        <v/>
      </c>
      <c r="K97" s="1610">
        <f>COUNTIFS(stayCity[city],entryCityBR[[#This Row],[city]],stayCity[yr],K$79)</f>
        <v/>
      </c>
      <c r="L97" s="1610">
        <f>COUNTIFS(stayCity[city],entryCityBR[[#This Row],[city]],stayCity[yr],L$79)</f>
        <v/>
      </c>
      <c r="M97" s="1610">
        <f>COUNTIFS(stayCity[city],entryCityBR[[#This Row],[city]],stayCity[yr],M$79)</f>
        <v/>
      </c>
      <c r="N97" s="1610">
        <f>COUNTIFS(stayCity[city],entryCityBR[[#This Row],[city]],stayCity[yr],N$79)</f>
        <v/>
      </c>
      <c r="O97" s="1610">
        <f>COUNTIFS(stayCity[city],entryCityBR[[#This Row],[city]],stayCity[yr],O$79)</f>
        <v/>
      </c>
      <c r="P97" s="1610">
        <f>COUNTIFS(stayCity[city],entryCityBR[[#This Row],[city]],stayCity[yr],P$79)</f>
        <v/>
      </c>
      <c r="Q97" s="1610">
        <f>COUNTIFS(stayCity[city],entryCityBR[[#This Row],[city]],stayCity[yr],Q$79)</f>
        <v/>
      </c>
      <c r="R97" s="1610">
        <f>COUNTIFS(stayCity[city],entryCityBR[[#This Row],[city]],stayCity[yr],R$79)</f>
        <v/>
      </c>
      <c r="S97" s="1610">
        <f>COUNTIFS(stayCity[city],entryCityBR[[#This Row],[city]],stayCity[yr],S$79)</f>
        <v/>
      </c>
      <c r="T97" s="1610">
        <f>COUNTIFS(stayCity[city],entryCityBR[[#This Row],[city]],stayCity[yr],T$79)</f>
        <v/>
      </c>
      <c r="U97" s="1610">
        <f>COUNTIFS(stayCity[city],entryCityBR[[#This Row],[city]],stayCity[yr],U$79)</f>
        <v/>
      </c>
      <c r="V97" s="1610">
        <f>COUNTIFS(stayCity[city],entryCityBR[[#This Row],[city]],stayCity[yr],V$79)</f>
        <v/>
      </c>
      <c r="W97" s="1610">
        <f>COUNTIFS(stayCity[city],entryCityBR[[#This Row],[city]],stayCity[yr],W$79)</f>
        <v/>
      </c>
      <c r="X97" s="1610">
        <f>COUNTIFS(stayCity[city],entryCityBR[[#This Row],[city]],stayCity[yr],X$79)</f>
        <v/>
      </c>
      <c r="Y97" s="1610">
        <f>COUNTIFS(stayCity[city],entryCityBR[[#This Row],[city]],stayCity[yr],Y$79)</f>
        <v/>
      </c>
      <c r="Z97" s="1610">
        <f>COUNTIFS(stayCity[city],entryCityBR[[#This Row],[city]],stayCity[yr],Z$79)</f>
        <v/>
      </c>
      <c r="AA97" s="1610">
        <f>COUNTIFS(stayCity[city],entryCityBR[[#This Row],[city]],stayCity[yr],AA$79)</f>
        <v/>
      </c>
      <c r="AB97" s="1610">
        <f>COUNTIFS(stayCity[city],entryCityBR[[#This Row],[city]],stayCity[yr],AB$79)</f>
        <v/>
      </c>
      <c r="AC97" s="1610">
        <f>COUNTIFS(stayCity[city],entryCityBR[[#This Row],[city]],stayCity[yr],AC$79)</f>
        <v/>
      </c>
      <c r="AD97" s="1610">
        <f>COUNTIFS(stayCity[city],entryCityBR[[#This Row],[city]],stayCity[yr],AD$79)</f>
        <v/>
      </c>
      <c r="AE97" s="1610">
        <f>COUNTIFS(stayCity[city],entryCityBR[[#This Row],[city]],stayCity[yr],AE$79)</f>
        <v/>
      </c>
      <c r="AF97" s="1610">
        <f>COUNTIFS(stayCity[city],entryCityBR[[#This Row],[city]],stayCity[yr],AF$79)</f>
        <v/>
      </c>
      <c r="AG97" s="1610">
        <f>COUNTIFS(stayCity[city],entryCityBR[[#This Row],[city]],stayCity[yr],AG$79)</f>
        <v/>
      </c>
      <c r="AH97" s="1610">
        <f>COUNTIFS(stayCity[city],entryCityBR[[#This Row],[city]],stayCity[yr],AH$79)</f>
        <v/>
      </c>
      <c r="AI97" s="1610">
        <f>COUNTIFS(stayCity[city],entryCityBR[[#This Row],[city]],stayCity[yr],AI$79)</f>
        <v/>
      </c>
      <c r="AJ97" s="1610">
        <f>COUNTIFS(stayCity[city],entryCityBR[[#This Row],[city]],stayCity[yr],AJ$79)</f>
        <v/>
      </c>
      <c r="AK97" s="1597" t="inlineStr">
        <is>
          <t>.</t>
        </is>
      </c>
      <c r="AL97" s="1612" t="n"/>
      <c r="AM97" s="1612" t="n"/>
      <c r="AN97" s="1612" t="n"/>
      <c r="AO97" s="1612" t="n"/>
      <c r="AP97" s="1612" t="n"/>
      <c r="AQ97" s="1612" t="n"/>
      <c r="AR97" s="1612" t="n"/>
      <c r="AS97" s="1612" t="n"/>
      <c r="AT97" s="1612" t="n"/>
      <c r="AU97" s="1612" t="n"/>
      <c r="AV97" s="1612" t="n"/>
      <c r="AW97" s="1612" t="n"/>
      <c r="AX97" s="1612" t="n"/>
      <c r="AY97" s="1612" t="n"/>
      <c r="AZ97" s="1612" t="n"/>
      <c r="BA97" s="1612" t="n"/>
      <c r="BB97" s="1612" t="n"/>
      <c r="BC97" s="1612" t="n"/>
      <c r="BD97" s="1612" t="n"/>
      <c r="BE97" s="1612" t="n"/>
      <c r="BF97" s="1612" t="n"/>
      <c r="BG97" s="1612" t="n"/>
      <c r="BH97" s="1612" t="n"/>
      <c r="BI97" s="1612" t="n"/>
      <c r="BJ97" s="1612" t="n"/>
      <c r="BK97" s="1612" t="n"/>
      <c r="BL97" s="1612" t="n"/>
      <c r="BM97" s="1612" t="n"/>
      <c r="BN97" s="1612" t="n"/>
      <c r="BO97" s="1612" t="n"/>
      <c r="BP97" s="1612" t="n"/>
      <c r="BQ97" s="1612" t="n"/>
      <c r="BR97" s="1612" t="n"/>
      <c r="BS97" s="1612" t="n"/>
      <c r="BT97" s="1612" t="n"/>
      <c r="BU97" s="1612" t="n"/>
      <c r="BV97" s="1612" t="n"/>
      <c r="BW97" s="1612" t="n"/>
      <c r="BX97" s="1612" t="n"/>
      <c r="BY97" s="1612" t="n"/>
      <c r="BZ97" s="1612" t="n"/>
      <c r="CA97" s="1612" t="n"/>
      <c r="CB97" s="1612" t="n"/>
      <c r="CC97" s="1612" t="n"/>
      <c r="CD97" s="1612" t="n"/>
      <c r="CE97" s="1612" t="n"/>
      <c r="CF97" s="1612" t="n"/>
      <c r="CG97" s="1612" t="n"/>
    </row>
    <row r="98" ht="15" customHeight="1">
      <c r="A98" s="1615" t="n"/>
      <c r="B98" s="1781">
        <f>SUM(entryCityBR[[#This Row],[1991]:[2026]])</f>
        <v/>
      </c>
      <c r="C98" s="1782" t="inlineStr">
        <is>
          <t>Lauro de Freitas</t>
        </is>
      </c>
      <c r="D98" s="1610">
        <f>COUNTIFS(stayCity[city],entryCityBR[[#This Row],[city]],stayCity[yr],D$79)</f>
        <v/>
      </c>
      <c r="E98" s="1610">
        <f>COUNTIFS(stayCity[city],entryCityBR[[#This Row],[city]],stayCity[yr],E$79)</f>
        <v/>
      </c>
      <c r="F98" s="1610">
        <f>COUNTIFS(stayCity[city],entryCityBR[[#This Row],[city]],stayCity[yr],F$79)</f>
        <v/>
      </c>
      <c r="G98" s="1610">
        <f>COUNTIFS(stayCity[city],entryCityBR[[#This Row],[city]],stayCity[yr],G$79)</f>
        <v/>
      </c>
      <c r="H98" s="1610">
        <f>COUNTIFS(stayCity[city],entryCityBR[[#This Row],[city]],stayCity[yr],H$79)</f>
        <v/>
      </c>
      <c r="I98" s="1610">
        <f>COUNTIFS(stayCity[city],entryCityBR[[#This Row],[city]],stayCity[yr],I$79)</f>
        <v/>
      </c>
      <c r="J98" s="1610">
        <f>COUNTIFS(stayCity[city],entryCityBR[[#This Row],[city]],stayCity[yr],J$79)</f>
        <v/>
      </c>
      <c r="K98" s="1610">
        <f>COUNTIFS(stayCity[city],entryCityBR[[#This Row],[city]],stayCity[yr],K$79)</f>
        <v/>
      </c>
      <c r="L98" s="1610">
        <f>COUNTIFS(stayCity[city],entryCityBR[[#This Row],[city]],stayCity[yr],L$79)</f>
        <v/>
      </c>
      <c r="M98" s="1610">
        <f>COUNTIFS(stayCity[city],entryCityBR[[#This Row],[city]],stayCity[yr],M$79)</f>
        <v/>
      </c>
      <c r="N98" s="1610">
        <f>COUNTIFS(stayCity[city],entryCityBR[[#This Row],[city]],stayCity[yr],N$79)</f>
        <v/>
      </c>
      <c r="O98" s="1610">
        <f>COUNTIFS(stayCity[city],entryCityBR[[#This Row],[city]],stayCity[yr],O$79)</f>
        <v/>
      </c>
      <c r="P98" s="1610">
        <f>COUNTIFS(stayCity[city],entryCityBR[[#This Row],[city]],stayCity[yr],P$79)</f>
        <v/>
      </c>
      <c r="Q98" s="1610">
        <f>COUNTIFS(stayCity[city],entryCityBR[[#This Row],[city]],stayCity[yr],Q$79)</f>
        <v/>
      </c>
      <c r="R98" s="1610">
        <f>COUNTIFS(stayCity[city],entryCityBR[[#This Row],[city]],stayCity[yr],R$79)</f>
        <v/>
      </c>
      <c r="S98" s="1610">
        <f>COUNTIFS(stayCity[city],entryCityBR[[#This Row],[city]],stayCity[yr],S$79)</f>
        <v/>
      </c>
      <c r="T98" s="1610">
        <f>COUNTIFS(stayCity[city],entryCityBR[[#This Row],[city]],stayCity[yr],T$79)</f>
        <v/>
      </c>
      <c r="U98" s="1610">
        <f>COUNTIFS(stayCity[city],entryCityBR[[#This Row],[city]],stayCity[yr],U$79)</f>
        <v/>
      </c>
      <c r="V98" s="1610">
        <f>COUNTIFS(stayCity[city],entryCityBR[[#This Row],[city]],stayCity[yr],V$79)</f>
        <v/>
      </c>
      <c r="W98" s="1610">
        <f>COUNTIFS(stayCity[city],entryCityBR[[#This Row],[city]],stayCity[yr],W$79)</f>
        <v/>
      </c>
      <c r="X98" s="1610">
        <f>COUNTIFS(stayCity[city],entryCityBR[[#This Row],[city]],stayCity[yr],X$79)</f>
        <v/>
      </c>
      <c r="Y98" s="1610">
        <f>COUNTIFS(stayCity[city],entryCityBR[[#This Row],[city]],stayCity[yr],Y$79)</f>
        <v/>
      </c>
      <c r="Z98" s="1610">
        <f>COUNTIFS(stayCity[city],entryCityBR[[#This Row],[city]],stayCity[yr],Z$79)</f>
        <v/>
      </c>
      <c r="AA98" s="1610">
        <f>COUNTIFS(stayCity[city],entryCityBR[[#This Row],[city]],stayCity[yr],AA$79)</f>
        <v/>
      </c>
      <c r="AB98" s="1610">
        <f>COUNTIFS(stayCity[city],entryCityBR[[#This Row],[city]],stayCity[yr],AB$79)</f>
        <v/>
      </c>
      <c r="AC98" s="1610">
        <f>COUNTIFS(stayCity[city],entryCityBR[[#This Row],[city]],stayCity[yr],AC$79)</f>
        <v/>
      </c>
      <c r="AD98" s="1610">
        <f>COUNTIFS(stayCity[city],entryCityBR[[#This Row],[city]],stayCity[yr],AD$79)</f>
        <v/>
      </c>
      <c r="AE98" s="1610">
        <f>COUNTIFS(stayCity[city],entryCityBR[[#This Row],[city]],stayCity[yr],AE$79)</f>
        <v/>
      </c>
      <c r="AF98" s="1610">
        <f>COUNTIFS(stayCity[city],entryCityBR[[#This Row],[city]],stayCity[yr],AF$79)</f>
        <v/>
      </c>
      <c r="AG98" s="1610">
        <f>COUNTIFS(stayCity[city],entryCityBR[[#This Row],[city]],stayCity[yr],AG$79)</f>
        <v/>
      </c>
      <c r="AH98" s="1610">
        <f>COUNTIFS(stayCity[city],entryCityBR[[#This Row],[city]],stayCity[yr],AH$79)</f>
        <v/>
      </c>
      <c r="AI98" s="1610">
        <f>COUNTIFS(stayCity[city],entryCityBR[[#This Row],[city]],stayCity[yr],AI$79)</f>
        <v/>
      </c>
      <c r="AJ98" s="1610">
        <f>COUNTIFS(stayCity[city],entryCityBR[[#This Row],[city]],stayCity[yr],AJ$79)</f>
        <v/>
      </c>
      <c r="AK98" s="1597" t="inlineStr">
        <is>
          <t>.</t>
        </is>
      </c>
      <c r="AL98" s="1612" t="n"/>
      <c r="AM98" s="1612" t="n"/>
      <c r="AN98" s="1612" t="n"/>
      <c r="AO98" s="1612" t="n"/>
      <c r="AP98" s="1612" t="n"/>
      <c r="AQ98" s="1612" t="n"/>
      <c r="AR98" s="1612" t="n"/>
      <c r="AS98" s="1612" t="n"/>
      <c r="AT98" s="1612" t="n"/>
      <c r="AU98" s="1612" t="n"/>
      <c r="AV98" s="1612" t="n"/>
      <c r="AW98" s="1612" t="n"/>
      <c r="AX98" s="1612" t="n"/>
      <c r="AY98" s="1612" t="n"/>
      <c r="AZ98" s="1612" t="n"/>
      <c r="BA98" s="1612" t="n"/>
      <c r="BB98" s="1612" t="n"/>
      <c r="BC98" s="1612" t="n"/>
      <c r="BD98" s="1612" t="n"/>
      <c r="BE98" s="1612" t="n"/>
      <c r="BF98" s="1612" t="n"/>
      <c r="BG98" s="1612" t="n"/>
      <c r="BH98" s="1612" t="n"/>
      <c r="BI98" s="1612" t="n"/>
      <c r="BJ98" s="1612" t="n"/>
      <c r="BK98" s="1612" t="n"/>
      <c r="BL98" s="1612" t="n"/>
      <c r="BM98" s="1612" t="n"/>
      <c r="BN98" s="1612" t="n"/>
      <c r="BO98" s="1612" t="n"/>
      <c r="BP98" s="1612" t="n"/>
      <c r="BQ98" s="1612" t="n"/>
      <c r="BR98" s="1612" t="n"/>
      <c r="BS98" s="1612" t="n"/>
      <c r="BT98" s="1612" t="n"/>
      <c r="BU98" s="1612" t="n"/>
      <c r="BV98" s="1612" t="n"/>
      <c r="BW98" s="1612" t="n"/>
      <c r="BX98" s="1612" t="n"/>
      <c r="BY98" s="1612" t="n"/>
      <c r="BZ98" s="1612" t="n"/>
      <c r="CA98" s="1612" t="n"/>
      <c r="CB98" s="1612" t="n"/>
      <c r="CC98" s="1612" t="n"/>
      <c r="CD98" s="1612" t="n"/>
      <c r="CE98" s="1612" t="n"/>
      <c r="CF98" s="1612" t="n"/>
      <c r="CG98" s="1612" t="n"/>
    </row>
    <row r="99" ht="15" customHeight="1">
      <c r="A99" s="1596" t="n"/>
      <c r="B99" s="1794">
        <f>SUM(entryCityBR[[#This Row],[1991]:[2026]])</f>
        <v/>
      </c>
      <c r="C99" s="1795" t="inlineStr">
        <is>
          <t>Curitiba</t>
        </is>
      </c>
      <c r="D99" s="1610">
        <f>COUNTIFS(stayCity[city],entryCityBR[[#This Row],[city]],stayCity[yr],D$79)</f>
        <v/>
      </c>
      <c r="E99" s="1610">
        <f>COUNTIFS(stayCity[city],entryCityBR[[#This Row],[city]],stayCity[yr],E$79)</f>
        <v/>
      </c>
      <c r="F99" s="1610">
        <f>COUNTIFS(stayCity[city],entryCityBR[[#This Row],[city]],stayCity[yr],F$79)</f>
        <v/>
      </c>
      <c r="G99" s="1610">
        <f>COUNTIFS(stayCity[city],entryCityBR[[#This Row],[city]],stayCity[yr],G$79)</f>
        <v/>
      </c>
      <c r="H99" s="1610">
        <f>COUNTIFS(stayCity[city],entryCityBR[[#This Row],[city]],stayCity[yr],H$79)</f>
        <v/>
      </c>
      <c r="I99" s="1610">
        <f>COUNTIFS(stayCity[city],entryCityBR[[#This Row],[city]],stayCity[yr],I$79)</f>
        <v/>
      </c>
      <c r="J99" s="1610">
        <f>COUNTIFS(stayCity[city],entryCityBR[[#This Row],[city]],stayCity[yr],J$79)</f>
        <v/>
      </c>
      <c r="K99" s="1610">
        <f>COUNTIFS(stayCity[city],entryCityBR[[#This Row],[city]],stayCity[yr],K$79)</f>
        <v/>
      </c>
      <c r="L99" s="1610">
        <f>COUNTIFS(stayCity[city],entryCityBR[[#This Row],[city]],stayCity[yr],L$79)</f>
        <v/>
      </c>
      <c r="M99" s="1610">
        <f>COUNTIFS(stayCity[city],entryCityBR[[#This Row],[city]],stayCity[yr],M$79)</f>
        <v/>
      </c>
      <c r="N99" s="1610">
        <f>COUNTIFS(stayCity[city],entryCityBR[[#This Row],[city]],stayCity[yr],N$79)</f>
        <v/>
      </c>
      <c r="O99" s="1610">
        <f>COUNTIFS(stayCity[city],entryCityBR[[#This Row],[city]],stayCity[yr],O$79)</f>
        <v/>
      </c>
      <c r="P99" s="1610">
        <f>COUNTIFS(stayCity[city],entryCityBR[[#This Row],[city]],stayCity[yr],P$79)</f>
        <v/>
      </c>
      <c r="Q99" s="1610">
        <f>COUNTIFS(stayCity[city],entryCityBR[[#This Row],[city]],stayCity[yr],Q$79)</f>
        <v/>
      </c>
      <c r="R99" s="1610">
        <f>COUNTIFS(stayCity[city],entryCityBR[[#This Row],[city]],stayCity[yr],R$79)</f>
        <v/>
      </c>
      <c r="S99" s="1610">
        <f>COUNTIFS(stayCity[city],entryCityBR[[#This Row],[city]],stayCity[yr],S$79)</f>
        <v/>
      </c>
      <c r="T99" s="1610">
        <f>COUNTIFS(stayCity[city],entryCityBR[[#This Row],[city]],stayCity[yr],T$79)</f>
        <v/>
      </c>
      <c r="U99" s="1610">
        <f>COUNTIFS(stayCity[city],entryCityBR[[#This Row],[city]],stayCity[yr],U$79)</f>
        <v/>
      </c>
      <c r="V99" s="1610">
        <f>COUNTIFS(stayCity[city],entryCityBR[[#This Row],[city]],stayCity[yr],V$79)</f>
        <v/>
      </c>
      <c r="W99" s="1610">
        <f>COUNTIFS(stayCity[city],entryCityBR[[#This Row],[city]],stayCity[yr],W$79)</f>
        <v/>
      </c>
      <c r="X99" s="1610">
        <f>COUNTIFS(stayCity[city],entryCityBR[[#This Row],[city]],stayCity[yr],X$79)</f>
        <v/>
      </c>
      <c r="Y99" s="1610">
        <f>COUNTIFS(stayCity[city],entryCityBR[[#This Row],[city]],stayCity[yr],Y$79)</f>
        <v/>
      </c>
      <c r="Z99" s="1610">
        <f>COUNTIFS(stayCity[city],entryCityBR[[#This Row],[city]],stayCity[yr],Z$79)</f>
        <v/>
      </c>
      <c r="AA99" s="1610">
        <f>COUNTIFS(stayCity[city],entryCityBR[[#This Row],[city]],stayCity[yr],AA$79)</f>
        <v/>
      </c>
      <c r="AB99" s="1610">
        <f>COUNTIFS(stayCity[city],entryCityBR[[#This Row],[city]],stayCity[yr],AB$79)</f>
        <v/>
      </c>
      <c r="AC99" s="1610">
        <f>COUNTIFS(stayCity[city],entryCityBR[[#This Row],[city]],stayCity[yr],AC$79)</f>
        <v/>
      </c>
      <c r="AD99" s="1610">
        <f>COUNTIFS(stayCity[city],entryCityBR[[#This Row],[city]],stayCity[yr],AD$79)</f>
        <v/>
      </c>
      <c r="AE99" s="1610">
        <f>COUNTIFS(stayCity[city],entryCityBR[[#This Row],[city]],stayCity[yr],AE$79)</f>
        <v/>
      </c>
      <c r="AF99" s="1610">
        <f>COUNTIFS(stayCity[city],entryCityBR[[#This Row],[city]],stayCity[yr],AF$79)</f>
        <v/>
      </c>
      <c r="AG99" s="1610">
        <f>COUNTIFS(stayCity[city],entryCityBR[[#This Row],[city]],stayCity[yr],AG$79)</f>
        <v/>
      </c>
      <c r="AH99" s="1610">
        <f>COUNTIFS(stayCity[city],entryCityBR[[#This Row],[city]],stayCity[yr],AH$79)</f>
        <v/>
      </c>
      <c r="AI99" s="1610">
        <f>COUNTIFS(stayCity[city],entryCityBR[[#This Row],[city]],stayCity[yr],AI$79)</f>
        <v/>
      </c>
      <c r="AJ99" s="1610">
        <f>COUNTIFS(stayCity[city],entryCityBR[[#This Row],[city]],stayCity[yr],AJ$79)</f>
        <v/>
      </c>
      <c r="AK99" s="1597" t="inlineStr">
        <is>
          <t>.</t>
        </is>
      </c>
      <c r="AL99" s="1612" t="n"/>
      <c r="AM99" s="1612" t="n"/>
      <c r="AN99" s="1612" t="n"/>
      <c r="AO99" s="1612" t="n"/>
      <c r="AP99" s="1612" t="n"/>
      <c r="AQ99" s="1612" t="n"/>
      <c r="AR99" s="1612" t="n"/>
      <c r="AS99" s="1612" t="n"/>
      <c r="AT99" s="1612" t="n"/>
      <c r="AU99" s="1612" t="n"/>
      <c r="AV99" s="1612" t="n"/>
      <c r="AW99" s="1612" t="n"/>
      <c r="AX99" s="1612" t="n"/>
      <c r="AY99" s="1612" t="n"/>
      <c r="AZ99" s="1612" t="n"/>
      <c r="BA99" s="1612" t="n"/>
      <c r="BB99" s="1612" t="n"/>
      <c r="BC99" s="1612" t="n"/>
      <c r="BD99" s="1612" t="n"/>
      <c r="BE99" s="1612" t="n"/>
      <c r="BF99" s="1612" t="n"/>
      <c r="BG99" s="1612" t="n"/>
      <c r="BH99" s="1612" t="n"/>
      <c r="BI99" s="1612" t="n"/>
      <c r="BJ99" s="1612" t="n"/>
      <c r="BK99" s="1612" t="n"/>
      <c r="BL99" s="1612" t="n"/>
      <c r="BM99" s="1612" t="n"/>
      <c r="BN99" s="1612" t="n"/>
      <c r="BO99" s="1612" t="n"/>
      <c r="BP99" s="1612" t="n"/>
      <c r="BQ99" s="1612" t="n"/>
      <c r="BR99" s="1612" t="n"/>
      <c r="BS99" s="1612" t="n"/>
      <c r="BT99" s="1612" t="n"/>
      <c r="BU99" s="1612" t="n"/>
      <c r="BV99" s="1612" t="n"/>
      <c r="BW99" s="1612" t="n"/>
      <c r="BX99" s="1612" t="n"/>
      <c r="BY99" s="1612" t="n"/>
      <c r="BZ99" s="1612" t="n"/>
      <c r="CA99" s="1612" t="n"/>
      <c r="CB99" s="1612" t="n"/>
      <c r="CC99" s="1612" t="n"/>
      <c r="CD99" s="1612" t="n"/>
      <c r="CE99" s="1612" t="n"/>
      <c r="CF99" s="1612" t="n"/>
      <c r="CG99" s="1612" t="n"/>
    </row>
    <row r="100" ht="15" customHeight="1">
      <c r="A100" s="1615" t="n"/>
      <c r="B100" s="1781">
        <f>SUM(entryCityBR[[#This Row],[1991]:[2026]])</f>
        <v/>
      </c>
      <c r="C100" s="1782" t="inlineStr">
        <is>
          <t>Camboriú</t>
        </is>
      </c>
      <c r="D100" s="1610">
        <f>COUNTIFS(stayCity[city],entryCityBR[[#This Row],[city]],stayCity[yr],D$79)</f>
        <v/>
      </c>
      <c r="E100" s="1610">
        <f>COUNTIFS(stayCity[city],entryCityBR[[#This Row],[city]],stayCity[yr],E$79)</f>
        <v/>
      </c>
      <c r="F100" s="1610">
        <f>COUNTIFS(stayCity[city],entryCityBR[[#This Row],[city]],stayCity[yr],F$79)</f>
        <v/>
      </c>
      <c r="G100" s="1610">
        <f>COUNTIFS(stayCity[city],entryCityBR[[#This Row],[city]],stayCity[yr],G$79)</f>
        <v/>
      </c>
      <c r="H100" s="1610">
        <f>COUNTIFS(stayCity[city],entryCityBR[[#This Row],[city]],stayCity[yr],H$79)</f>
        <v/>
      </c>
      <c r="I100" s="1610">
        <f>COUNTIFS(stayCity[city],entryCityBR[[#This Row],[city]],stayCity[yr],I$79)</f>
        <v/>
      </c>
      <c r="J100" s="1610">
        <f>COUNTIFS(stayCity[city],entryCityBR[[#This Row],[city]],stayCity[yr],J$79)</f>
        <v/>
      </c>
      <c r="K100" s="1610">
        <f>COUNTIFS(stayCity[city],entryCityBR[[#This Row],[city]],stayCity[yr],K$79)</f>
        <v/>
      </c>
      <c r="L100" s="1610">
        <f>COUNTIFS(stayCity[city],entryCityBR[[#This Row],[city]],stayCity[yr],L$79)</f>
        <v/>
      </c>
      <c r="M100" s="1610">
        <f>COUNTIFS(stayCity[city],entryCityBR[[#This Row],[city]],stayCity[yr],M$79)</f>
        <v/>
      </c>
      <c r="N100" s="1610">
        <f>COUNTIFS(stayCity[city],entryCityBR[[#This Row],[city]],stayCity[yr],N$79)</f>
        <v/>
      </c>
      <c r="O100" s="1610">
        <f>COUNTIFS(stayCity[city],entryCityBR[[#This Row],[city]],stayCity[yr],O$79)</f>
        <v/>
      </c>
      <c r="P100" s="1610">
        <f>COUNTIFS(stayCity[city],entryCityBR[[#This Row],[city]],stayCity[yr],P$79)</f>
        <v/>
      </c>
      <c r="Q100" s="1610">
        <f>COUNTIFS(stayCity[city],entryCityBR[[#This Row],[city]],stayCity[yr],Q$79)</f>
        <v/>
      </c>
      <c r="R100" s="1610">
        <f>COUNTIFS(stayCity[city],entryCityBR[[#This Row],[city]],stayCity[yr],R$79)</f>
        <v/>
      </c>
      <c r="S100" s="1610">
        <f>COUNTIFS(stayCity[city],entryCityBR[[#This Row],[city]],stayCity[yr],S$79)</f>
        <v/>
      </c>
      <c r="T100" s="1610">
        <f>COUNTIFS(stayCity[city],entryCityBR[[#This Row],[city]],stayCity[yr],T$79)</f>
        <v/>
      </c>
      <c r="U100" s="1610">
        <f>COUNTIFS(stayCity[city],entryCityBR[[#This Row],[city]],stayCity[yr],U$79)</f>
        <v/>
      </c>
      <c r="V100" s="1610">
        <f>COUNTIFS(stayCity[city],entryCityBR[[#This Row],[city]],stayCity[yr],V$79)</f>
        <v/>
      </c>
      <c r="W100" s="1610">
        <f>COUNTIFS(stayCity[city],entryCityBR[[#This Row],[city]],stayCity[yr],W$79)</f>
        <v/>
      </c>
      <c r="X100" s="1610">
        <f>COUNTIFS(stayCity[city],entryCityBR[[#This Row],[city]],stayCity[yr],X$79)</f>
        <v/>
      </c>
      <c r="Y100" s="1610">
        <f>COUNTIFS(stayCity[city],entryCityBR[[#This Row],[city]],stayCity[yr],Y$79)</f>
        <v/>
      </c>
      <c r="Z100" s="1610">
        <f>COUNTIFS(stayCity[city],entryCityBR[[#This Row],[city]],stayCity[yr],Z$79)</f>
        <v/>
      </c>
      <c r="AA100" s="1610">
        <f>COUNTIFS(stayCity[city],entryCityBR[[#This Row],[city]],stayCity[yr],AA$79)</f>
        <v/>
      </c>
      <c r="AB100" s="1610">
        <f>COUNTIFS(stayCity[city],entryCityBR[[#This Row],[city]],stayCity[yr],AB$79)</f>
        <v/>
      </c>
      <c r="AC100" s="1610">
        <f>COUNTIFS(stayCity[city],entryCityBR[[#This Row],[city]],stayCity[yr],AC$79)</f>
        <v/>
      </c>
      <c r="AD100" s="1610">
        <f>COUNTIFS(stayCity[city],entryCityBR[[#This Row],[city]],stayCity[yr],AD$79)</f>
        <v/>
      </c>
      <c r="AE100" s="1610">
        <f>COUNTIFS(stayCity[city],entryCityBR[[#This Row],[city]],stayCity[yr],AE$79)</f>
        <v/>
      </c>
      <c r="AF100" s="1610">
        <f>COUNTIFS(stayCity[city],entryCityBR[[#This Row],[city]],stayCity[yr],AF$79)</f>
        <v/>
      </c>
      <c r="AG100" s="1610">
        <f>COUNTIFS(stayCity[city],entryCityBR[[#This Row],[city]],stayCity[yr],AG$79)</f>
        <v/>
      </c>
      <c r="AH100" s="1610">
        <f>COUNTIFS(stayCity[city],entryCityBR[[#This Row],[city]],stayCity[yr],AH$79)</f>
        <v/>
      </c>
      <c r="AI100" s="1610">
        <f>COUNTIFS(stayCity[city],entryCityBR[[#This Row],[city]],stayCity[yr],AI$79)</f>
        <v/>
      </c>
      <c r="AJ100" s="1610">
        <f>COUNTIFS(stayCity[city],entryCityBR[[#This Row],[city]],stayCity[yr],AJ$79)</f>
        <v/>
      </c>
      <c r="AK100" s="1597" t="inlineStr">
        <is>
          <t>.</t>
        </is>
      </c>
      <c r="AL100" s="1612" t="n"/>
      <c r="AM100" s="1612" t="n"/>
      <c r="AN100" s="1612" t="n"/>
      <c r="AO100" s="1612" t="n"/>
      <c r="AP100" s="1612" t="n"/>
      <c r="AQ100" s="1612" t="n"/>
      <c r="AR100" s="1612" t="n"/>
      <c r="AS100" s="1612" t="n"/>
      <c r="AT100" s="1612" t="n"/>
      <c r="AU100" s="1612" t="n"/>
      <c r="AV100" s="1612" t="n"/>
      <c r="AW100" s="1612" t="n"/>
      <c r="AX100" s="1612" t="n"/>
      <c r="AY100" s="1612" t="n"/>
      <c r="AZ100" s="1612" t="n"/>
      <c r="BA100" s="1612" t="n"/>
      <c r="BB100" s="1612" t="n"/>
      <c r="BC100" s="1612" t="n"/>
      <c r="BD100" s="1612" t="n"/>
      <c r="BE100" s="1612" t="n"/>
      <c r="BF100" s="1612" t="n"/>
      <c r="BG100" s="1612" t="n"/>
      <c r="BH100" s="1612" t="n"/>
      <c r="BI100" s="1612" t="n"/>
      <c r="BJ100" s="1612" t="n"/>
      <c r="BK100" s="1612" t="n"/>
      <c r="BL100" s="1612" t="n"/>
      <c r="BM100" s="1612" t="n"/>
      <c r="BN100" s="1612" t="n"/>
      <c r="BO100" s="1612" t="n"/>
      <c r="BP100" s="1612" t="n"/>
      <c r="BQ100" s="1612" t="n"/>
      <c r="BR100" s="1612" t="n"/>
      <c r="BS100" s="1612" t="n"/>
      <c r="BT100" s="1612" t="n"/>
      <c r="BU100" s="1612" t="n"/>
      <c r="BV100" s="1612" t="n"/>
      <c r="BW100" s="1612" t="n"/>
      <c r="BX100" s="1612" t="n"/>
      <c r="BY100" s="1612" t="n"/>
      <c r="BZ100" s="1612" t="n"/>
      <c r="CA100" s="1612" t="n"/>
      <c r="CB100" s="1612" t="n"/>
      <c r="CC100" s="1612" t="n"/>
      <c r="CD100" s="1612" t="n"/>
      <c r="CE100" s="1612" t="n"/>
      <c r="CF100" s="1612" t="n"/>
      <c r="CG100" s="1612" t="n"/>
    </row>
    <row r="101" ht="15" customHeight="1">
      <c r="A101" s="1596" t="n"/>
      <c r="B101" s="1794">
        <f>SUM(entryCityBR[[#This Row],[1991]:[2026]])</f>
        <v/>
      </c>
      <c r="C101" s="1795" t="inlineStr">
        <is>
          <t>Fortaleza</t>
        </is>
      </c>
      <c r="D101" s="1610">
        <f>COUNTIFS(stayCity[city],entryCityBR[[#This Row],[city]],stayCity[yr],D$79)</f>
        <v/>
      </c>
      <c r="E101" s="1610">
        <f>COUNTIFS(stayCity[city],entryCityBR[[#This Row],[city]],stayCity[yr],E$79)</f>
        <v/>
      </c>
      <c r="F101" s="1610">
        <f>COUNTIFS(stayCity[city],entryCityBR[[#This Row],[city]],stayCity[yr],F$79)</f>
        <v/>
      </c>
      <c r="G101" s="1610">
        <f>COUNTIFS(stayCity[city],entryCityBR[[#This Row],[city]],stayCity[yr],G$79)</f>
        <v/>
      </c>
      <c r="H101" s="1610">
        <f>COUNTIFS(stayCity[city],entryCityBR[[#This Row],[city]],stayCity[yr],H$79)</f>
        <v/>
      </c>
      <c r="I101" s="1610">
        <f>COUNTIFS(stayCity[city],entryCityBR[[#This Row],[city]],stayCity[yr],I$79)</f>
        <v/>
      </c>
      <c r="J101" s="1610">
        <f>COUNTIFS(stayCity[city],entryCityBR[[#This Row],[city]],stayCity[yr],J$79)</f>
        <v/>
      </c>
      <c r="K101" s="1610">
        <f>COUNTIFS(stayCity[city],entryCityBR[[#This Row],[city]],stayCity[yr],K$79)</f>
        <v/>
      </c>
      <c r="L101" s="1610">
        <f>COUNTIFS(stayCity[city],entryCityBR[[#This Row],[city]],stayCity[yr],L$79)</f>
        <v/>
      </c>
      <c r="M101" s="1610">
        <f>COUNTIFS(stayCity[city],entryCityBR[[#This Row],[city]],stayCity[yr],M$79)</f>
        <v/>
      </c>
      <c r="N101" s="1610">
        <f>COUNTIFS(stayCity[city],entryCityBR[[#This Row],[city]],stayCity[yr],N$79)</f>
        <v/>
      </c>
      <c r="O101" s="1610">
        <f>COUNTIFS(stayCity[city],entryCityBR[[#This Row],[city]],stayCity[yr],O$79)</f>
        <v/>
      </c>
      <c r="P101" s="1610">
        <f>COUNTIFS(stayCity[city],entryCityBR[[#This Row],[city]],stayCity[yr],P$79)</f>
        <v/>
      </c>
      <c r="Q101" s="1610">
        <f>COUNTIFS(stayCity[city],entryCityBR[[#This Row],[city]],stayCity[yr],Q$79)</f>
        <v/>
      </c>
      <c r="R101" s="1610">
        <f>COUNTIFS(stayCity[city],entryCityBR[[#This Row],[city]],stayCity[yr],R$79)</f>
        <v/>
      </c>
      <c r="S101" s="1610">
        <f>COUNTIFS(stayCity[city],entryCityBR[[#This Row],[city]],stayCity[yr],S$79)</f>
        <v/>
      </c>
      <c r="T101" s="1610">
        <f>COUNTIFS(stayCity[city],entryCityBR[[#This Row],[city]],stayCity[yr],T$79)</f>
        <v/>
      </c>
      <c r="U101" s="1610">
        <f>COUNTIFS(stayCity[city],entryCityBR[[#This Row],[city]],stayCity[yr],U$79)</f>
        <v/>
      </c>
      <c r="V101" s="1610">
        <f>COUNTIFS(stayCity[city],entryCityBR[[#This Row],[city]],stayCity[yr],V$79)</f>
        <v/>
      </c>
      <c r="W101" s="1610">
        <f>COUNTIFS(stayCity[city],entryCityBR[[#This Row],[city]],stayCity[yr],W$79)</f>
        <v/>
      </c>
      <c r="X101" s="1610">
        <f>COUNTIFS(stayCity[city],entryCityBR[[#This Row],[city]],stayCity[yr],X$79)</f>
        <v/>
      </c>
      <c r="Y101" s="1610">
        <f>COUNTIFS(stayCity[city],entryCityBR[[#This Row],[city]],stayCity[yr],Y$79)</f>
        <v/>
      </c>
      <c r="Z101" s="1610">
        <f>COUNTIFS(stayCity[city],entryCityBR[[#This Row],[city]],stayCity[yr],Z$79)</f>
        <v/>
      </c>
      <c r="AA101" s="1610">
        <f>COUNTIFS(stayCity[city],entryCityBR[[#This Row],[city]],stayCity[yr],AA$79)</f>
        <v/>
      </c>
      <c r="AB101" s="1610">
        <f>COUNTIFS(stayCity[city],entryCityBR[[#This Row],[city]],stayCity[yr],AB$79)</f>
        <v/>
      </c>
      <c r="AC101" s="1610">
        <f>COUNTIFS(stayCity[city],entryCityBR[[#This Row],[city]],stayCity[yr],AC$79)</f>
        <v/>
      </c>
      <c r="AD101" s="1610">
        <f>COUNTIFS(stayCity[city],entryCityBR[[#This Row],[city]],stayCity[yr],AD$79)</f>
        <v/>
      </c>
      <c r="AE101" s="1610">
        <f>COUNTIFS(stayCity[city],entryCityBR[[#This Row],[city]],stayCity[yr],AE$79)</f>
        <v/>
      </c>
      <c r="AF101" s="1610">
        <f>COUNTIFS(stayCity[city],entryCityBR[[#This Row],[city]],stayCity[yr],AF$79)</f>
        <v/>
      </c>
      <c r="AG101" s="1610">
        <f>COUNTIFS(stayCity[city],entryCityBR[[#This Row],[city]],stayCity[yr],AG$79)</f>
        <v/>
      </c>
      <c r="AH101" s="1610">
        <f>COUNTIFS(stayCity[city],entryCityBR[[#This Row],[city]],stayCity[yr],AH$79)</f>
        <v/>
      </c>
      <c r="AI101" s="1610">
        <f>COUNTIFS(stayCity[city],entryCityBR[[#This Row],[city]],stayCity[yr],AI$79)</f>
        <v/>
      </c>
      <c r="AJ101" s="1610">
        <f>COUNTIFS(stayCity[city],entryCityBR[[#This Row],[city]],stayCity[yr],AJ$79)</f>
        <v/>
      </c>
      <c r="AK101" s="1597" t="inlineStr">
        <is>
          <t>.</t>
        </is>
      </c>
      <c r="AL101" s="1612" t="n"/>
      <c r="AM101" s="1612" t="n"/>
      <c r="AN101" s="1612" t="n"/>
      <c r="AO101" s="1612" t="n"/>
      <c r="AP101" s="1612" t="n"/>
      <c r="AQ101" s="1612" t="n"/>
      <c r="AR101" s="1612" t="n"/>
      <c r="AS101" s="1612" t="n"/>
      <c r="AT101" s="1612" t="n"/>
      <c r="AU101" s="1612" t="n"/>
      <c r="AV101" s="1612" t="n"/>
      <c r="AW101" s="1612" t="n"/>
      <c r="AX101" s="1612" t="n"/>
      <c r="AY101" s="1612" t="n"/>
      <c r="AZ101" s="1612" t="n"/>
      <c r="BA101" s="1612" t="n"/>
      <c r="BB101" s="1612" t="n"/>
      <c r="BC101" s="1612" t="n"/>
      <c r="BD101" s="1612" t="n"/>
      <c r="BE101" s="1612" t="n"/>
      <c r="BF101" s="1612" t="n"/>
      <c r="BG101" s="1612" t="n"/>
      <c r="BH101" s="1612" t="n"/>
      <c r="BI101" s="1612" t="n"/>
      <c r="BJ101" s="1612" t="n"/>
      <c r="BK101" s="1612" t="n"/>
      <c r="BL101" s="1612" t="n"/>
      <c r="BM101" s="1612" t="n"/>
      <c r="BN101" s="1612" t="n"/>
      <c r="BO101" s="1612" t="n"/>
      <c r="BP101" s="1612" t="n"/>
      <c r="BQ101" s="1612" t="n"/>
      <c r="BR101" s="1612" t="n"/>
      <c r="BS101" s="1612" t="n"/>
      <c r="BT101" s="1612" t="n"/>
      <c r="BU101" s="1612" t="n"/>
      <c r="BV101" s="1612" t="n"/>
      <c r="BW101" s="1612" t="n"/>
      <c r="BX101" s="1612" t="n"/>
      <c r="BY101" s="1612" t="n"/>
      <c r="BZ101" s="1612" t="n"/>
      <c r="CA101" s="1612" t="n"/>
      <c r="CB101" s="1612" t="n"/>
      <c r="CC101" s="1612" t="n"/>
      <c r="CD101" s="1612" t="n"/>
      <c r="CE101" s="1612" t="n"/>
      <c r="CF101" s="1612" t="n"/>
      <c r="CG101" s="1612" t="n"/>
    </row>
    <row r="102" ht="15" customHeight="1">
      <c r="A102" s="1615" t="n"/>
      <c r="B102" s="1781">
        <f>SUM(entryCityBR[[#This Row],[1991]:[2026]])</f>
        <v/>
      </c>
      <c r="C102" s="1782" t="inlineStr">
        <is>
          <t>Joao Pessoa</t>
        </is>
      </c>
      <c r="D102" s="1610">
        <f>COUNTIFS(stayCity[city],entryCityBR[[#This Row],[city]],stayCity[yr],D$79)</f>
        <v/>
      </c>
      <c r="E102" s="1610">
        <f>COUNTIFS(stayCity[city],entryCityBR[[#This Row],[city]],stayCity[yr],E$79)</f>
        <v/>
      </c>
      <c r="F102" s="1610">
        <f>COUNTIFS(stayCity[city],entryCityBR[[#This Row],[city]],stayCity[yr],F$79)</f>
        <v/>
      </c>
      <c r="G102" s="1610">
        <f>COUNTIFS(stayCity[city],entryCityBR[[#This Row],[city]],stayCity[yr],G$79)</f>
        <v/>
      </c>
      <c r="H102" s="1610">
        <f>COUNTIFS(stayCity[city],entryCityBR[[#This Row],[city]],stayCity[yr],H$79)</f>
        <v/>
      </c>
      <c r="I102" s="1610">
        <f>COUNTIFS(stayCity[city],entryCityBR[[#This Row],[city]],stayCity[yr],I$79)</f>
        <v/>
      </c>
      <c r="J102" s="1610">
        <f>COUNTIFS(stayCity[city],entryCityBR[[#This Row],[city]],stayCity[yr],J$79)</f>
        <v/>
      </c>
      <c r="K102" s="1610">
        <f>COUNTIFS(stayCity[city],entryCityBR[[#This Row],[city]],stayCity[yr],K$79)</f>
        <v/>
      </c>
      <c r="L102" s="1610">
        <f>COUNTIFS(stayCity[city],entryCityBR[[#This Row],[city]],stayCity[yr],L$79)</f>
        <v/>
      </c>
      <c r="M102" s="1610">
        <f>COUNTIFS(stayCity[city],entryCityBR[[#This Row],[city]],stayCity[yr],M$79)</f>
        <v/>
      </c>
      <c r="N102" s="1610">
        <f>COUNTIFS(stayCity[city],entryCityBR[[#This Row],[city]],stayCity[yr],N$79)</f>
        <v/>
      </c>
      <c r="O102" s="1610">
        <f>COUNTIFS(stayCity[city],entryCityBR[[#This Row],[city]],stayCity[yr],O$79)</f>
        <v/>
      </c>
      <c r="P102" s="1610">
        <f>COUNTIFS(stayCity[city],entryCityBR[[#This Row],[city]],stayCity[yr],P$79)</f>
        <v/>
      </c>
      <c r="Q102" s="1610">
        <f>COUNTIFS(stayCity[city],entryCityBR[[#This Row],[city]],stayCity[yr],Q$79)</f>
        <v/>
      </c>
      <c r="R102" s="1610">
        <f>COUNTIFS(stayCity[city],entryCityBR[[#This Row],[city]],stayCity[yr],R$79)</f>
        <v/>
      </c>
      <c r="S102" s="1610">
        <f>COUNTIFS(stayCity[city],entryCityBR[[#This Row],[city]],stayCity[yr],S$79)</f>
        <v/>
      </c>
      <c r="T102" s="1610">
        <f>COUNTIFS(stayCity[city],entryCityBR[[#This Row],[city]],stayCity[yr],T$79)</f>
        <v/>
      </c>
      <c r="U102" s="1610">
        <f>COUNTIFS(stayCity[city],entryCityBR[[#This Row],[city]],stayCity[yr],U$79)</f>
        <v/>
      </c>
      <c r="V102" s="1610">
        <f>COUNTIFS(stayCity[city],entryCityBR[[#This Row],[city]],stayCity[yr],V$79)</f>
        <v/>
      </c>
      <c r="W102" s="1610">
        <f>COUNTIFS(stayCity[city],entryCityBR[[#This Row],[city]],stayCity[yr],W$79)</f>
        <v/>
      </c>
      <c r="X102" s="1610">
        <f>COUNTIFS(stayCity[city],entryCityBR[[#This Row],[city]],stayCity[yr],X$79)</f>
        <v/>
      </c>
      <c r="Y102" s="1610">
        <f>COUNTIFS(stayCity[city],entryCityBR[[#This Row],[city]],stayCity[yr],Y$79)</f>
        <v/>
      </c>
      <c r="Z102" s="1610">
        <f>COUNTIFS(stayCity[city],entryCityBR[[#This Row],[city]],stayCity[yr],Z$79)</f>
        <v/>
      </c>
      <c r="AA102" s="1610">
        <f>COUNTIFS(stayCity[city],entryCityBR[[#This Row],[city]],stayCity[yr],AA$79)</f>
        <v/>
      </c>
      <c r="AB102" s="1610">
        <f>COUNTIFS(stayCity[city],entryCityBR[[#This Row],[city]],stayCity[yr],AB$79)</f>
        <v/>
      </c>
      <c r="AC102" s="1610">
        <f>COUNTIFS(stayCity[city],entryCityBR[[#This Row],[city]],stayCity[yr],AC$79)</f>
        <v/>
      </c>
      <c r="AD102" s="1610">
        <f>COUNTIFS(stayCity[city],entryCityBR[[#This Row],[city]],stayCity[yr],AD$79)</f>
        <v/>
      </c>
      <c r="AE102" s="1610">
        <f>COUNTIFS(stayCity[city],entryCityBR[[#This Row],[city]],stayCity[yr],AE$79)</f>
        <v/>
      </c>
      <c r="AF102" s="1610">
        <f>COUNTIFS(stayCity[city],entryCityBR[[#This Row],[city]],stayCity[yr],AF$79)</f>
        <v/>
      </c>
      <c r="AG102" s="1610">
        <f>COUNTIFS(stayCity[city],entryCityBR[[#This Row],[city]],stayCity[yr],AG$79)</f>
        <v/>
      </c>
      <c r="AH102" s="1610">
        <f>COUNTIFS(stayCity[city],entryCityBR[[#This Row],[city]],stayCity[yr],AH$79)</f>
        <v/>
      </c>
      <c r="AI102" s="1610">
        <f>COUNTIFS(stayCity[city],entryCityBR[[#This Row],[city]],stayCity[yr],AI$79)</f>
        <v/>
      </c>
      <c r="AJ102" s="1610">
        <f>COUNTIFS(stayCity[city],entryCityBR[[#This Row],[city]],stayCity[yr],AJ$79)</f>
        <v/>
      </c>
      <c r="AK102" s="1597" t="inlineStr">
        <is>
          <t>.</t>
        </is>
      </c>
      <c r="AL102" s="1612" t="n"/>
      <c r="AM102" s="1612" t="n"/>
      <c r="AN102" s="1612" t="n"/>
      <c r="AO102" s="1612" t="n"/>
      <c r="AP102" s="1612" t="n"/>
      <c r="AQ102" s="1612" t="n"/>
      <c r="AR102" s="1612" t="n"/>
      <c r="AS102" s="1612" t="n"/>
      <c r="AT102" s="1612" t="n"/>
      <c r="AU102" s="1612" t="n"/>
      <c r="AV102" s="1612" t="n"/>
      <c r="AW102" s="1612" t="n"/>
      <c r="AX102" s="1612" t="n"/>
      <c r="AY102" s="1612" t="n"/>
      <c r="AZ102" s="1612" t="n"/>
      <c r="BA102" s="1612" t="n"/>
      <c r="BB102" s="1612" t="n"/>
      <c r="BC102" s="1612" t="n"/>
      <c r="BD102" s="1612" t="n"/>
      <c r="BE102" s="1612" t="n"/>
      <c r="BF102" s="1612" t="n"/>
      <c r="BG102" s="1612" t="n"/>
      <c r="BH102" s="1612" t="n"/>
      <c r="BI102" s="1612" t="n"/>
      <c r="BJ102" s="1612" t="n"/>
      <c r="BK102" s="1612" t="n"/>
      <c r="BL102" s="1612" t="n"/>
      <c r="BM102" s="1612" t="n"/>
      <c r="BN102" s="1612" t="n"/>
      <c r="BO102" s="1612" t="n"/>
      <c r="BP102" s="1612" t="n"/>
      <c r="BQ102" s="1612" t="n"/>
      <c r="BR102" s="1612" t="n"/>
      <c r="BS102" s="1612" t="n"/>
      <c r="BT102" s="1612" t="n"/>
      <c r="BU102" s="1612" t="n"/>
      <c r="BV102" s="1612" t="n"/>
      <c r="BW102" s="1612" t="n"/>
      <c r="BX102" s="1612" t="n"/>
      <c r="BY102" s="1612" t="n"/>
      <c r="BZ102" s="1612" t="n"/>
      <c r="CA102" s="1612" t="n"/>
      <c r="CB102" s="1612" t="n"/>
      <c r="CC102" s="1612" t="n"/>
      <c r="CD102" s="1612" t="n"/>
      <c r="CE102" s="1612" t="n"/>
      <c r="CF102" s="1612" t="n"/>
      <c r="CG102" s="1612" t="n"/>
    </row>
    <row r="103" ht="15" customHeight="1">
      <c r="A103" s="1596" t="n"/>
      <c r="B103" s="1794">
        <f>SUM(entryCityBR[[#This Row],[1991]:[2026]])</f>
        <v/>
      </c>
      <c r="C103" s="1795" t="n"/>
      <c r="D103" s="1610">
        <f>COUNTIFS(stayCity[city],entryCityBR[[#This Row],[city]],stayCity[yr],D$79)</f>
        <v/>
      </c>
      <c r="E103" s="1610">
        <f>COUNTIFS(stayCity[city],entryCityBR[[#This Row],[city]],stayCity[yr],E$79)</f>
        <v/>
      </c>
      <c r="F103" s="1610">
        <f>COUNTIFS(stayCity[city],entryCityBR[[#This Row],[city]],stayCity[yr],F$79)</f>
        <v/>
      </c>
      <c r="G103" s="1610">
        <f>COUNTIFS(stayCity[city],entryCityBR[[#This Row],[city]],stayCity[yr],G$79)</f>
        <v/>
      </c>
      <c r="H103" s="1610">
        <f>COUNTIFS(stayCity[city],entryCityBR[[#This Row],[city]],stayCity[yr],H$79)</f>
        <v/>
      </c>
      <c r="I103" s="1610">
        <f>COUNTIFS(stayCity[city],entryCityBR[[#This Row],[city]],stayCity[yr],I$79)</f>
        <v/>
      </c>
      <c r="J103" s="1610">
        <f>COUNTIFS(stayCity[city],entryCityBR[[#This Row],[city]],stayCity[yr],J$79)</f>
        <v/>
      </c>
      <c r="K103" s="1610">
        <f>COUNTIFS(stayCity[city],entryCityBR[[#This Row],[city]],stayCity[yr],K$79)</f>
        <v/>
      </c>
      <c r="L103" s="1610">
        <f>COUNTIFS(stayCity[city],entryCityBR[[#This Row],[city]],stayCity[yr],L$79)</f>
        <v/>
      </c>
      <c r="M103" s="1610">
        <f>COUNTIFS(stayCity[city],entryCityBR[[#This Row],[city]],stayCity[yr],M$79)</f>
        <v/>
      </c>
      <c r="N103" s="1610">
        <f>COUNTIFS(stayCity[city],entryCityBR[[#This Row],[city]],stayCity[yr],N$79)</f>
        <v/>
      </c>
      <c r="O103" s="1610">
        <f>COUNTIFS(stayCity[city],entryCityBR[[#This Row],[city]],stayCity[yr],O$79)</f>
        <v/>
      </c>
      <c r="P103" s="1610">
        <f>COUNTIFS(stayCity[city],entryCityBR[[#This Row],[city]],stayCity[yr],P$79)</f>
        <v/>
      </c>
      <c r="Q103" s="1610">
        <f>COUNTIFS(stayCity[city],entryCityBR[[#This Row],[city]],stayCity[yr],Q$79)</f>
        <v/>
      </c>
      <c r="R103" s="1610">
        <f>COUNTIFS(stayCity[city],entryCityBR[[#This Row],[city]],stayCity[yr],R$79)</f>
        <v/>
      </c>
      <c r="S103" s="1610">
        <f>COUNTIFS(stayCity[city],entryCityBR[[#This Row],[city]],stayCity[yr],S$79)</f>
        <v/>
      </c>
      <c r="T103" s="1610">
        <f>COUNTIFS(stayCity[city],entryCityBR[[#This Row],[city]],stayCity[yr],T$79)</f>
        <v/>
      </c>
      <c r="U103" s="1610">
        <f>COUNTIFS(stayCity[city],entryCityBR[[#This Row],[city]],stayCity[yr],U$79)</f>
        <v/>
      </c>
      <c r="V103" s="1610">
        <f>COUNTIFS(stayCity[city],entryCityBR[[#This Row],[city]],stayCity[yr],V$79)</f>
        <v/>
      </c>
      <c r="W103" s="1610">
        <f>COUNTIFS(stayCity[city],entryCityBR[[#This Row],[city]],stayCity[yr],W$79)</f>
        <v/>
      </c>
      <c r="X103" s="1610">
        <f>COUNTIFS(stayCity[city],entryCityBR[[#This Row],[city]],stayCity[yr],X$79)</f>
        <v/>
      </c>
      <c r="Y103" s="1610">
        <f>COUNTIFS(stayCity[city],entryCityBR[[#This Row],[city]],stayCity[yr],Y$79)</f>
        <v/>
      </c>
      <c r="Z103" s="1610">
        <f>COUNTIFS(stayCity[city],entryCityBR[[#This Row],[city]],stayCity[yr],Z$79)</f>
        <v/>
      </c>
      <c r="AA103" s="1610">
        <f>COUNTIFS(stayCity[city],entryCityBR[[#This Row],[city]],stayCity[yr],AA$79)</f>
        <v/>
      </c>
      <c r="AB103" s="1610">
        <f>COUNTIFS(stayCity[city],entryCityBR[[#This Row],[city]],stayCity[yr],AB$79)</f>
        <v/>
      </c>
      <c r="AC103" s="1610">
        <f>COUNTIFS(stayCity[city],entryCityBR[[#This Row],[city]],stayCity[yr],AC$79)</f>
        <v/>
      </c>
      <c r="AD103" s="1610">
        <f>COUNTIFS(stayCity[city],entryCityBR[[#This Row],[city]],stayCity[yr],AD$79)</f>
        <v/>
      </c>
      <c r="AE103" s="1610">
        <f>COUNTIFS(stayCity[city],entryCityBR[[#This Row],[city]],stayCity[yr],AE$79)</f>
        <v/>
      </c>
      <c r="AF103" s="1610">
        <f>COUNTIFS(stayCity[city],entryCityBR[[#This Row],[city]],stayCity[yr],AF$79)</f>
        <v/>
      </c>
      <c r="AG103" s="1610">
        <f>COUNTIFS(stayCity[city],entryCityBR[[#This Row],[city]],stayCity[yr],AG$79)</f>
        <v/>
      </c>
      <c r="AH103" s="1610">
        <f>COUNTIFS(stayCity[city],entryCityBR[[#This Row],[city]],stayCity[yr],AH$79)</f>
        <v/>
      </c>
      <c r="AI103" s="1610">
        <f>COUNTIFS(stayCity[city],entryCityBR[[#This Row],[city]],stayCity[yr],AI$79)</f>
        <v/>
      </c>
      <c r="AJ103" s="1610">
        <f>COUNTIFS(stayCity[city],entryCityBR[[#This Row],[city]],stayCity[yr],AJ$79)</f>
        <v/>
      </c>
      <c r="AK103" s="1597" t="inlineStr">
        <is>
          <t>.</t>
        </is>
      </c>
      <c r="AL103" s="1612" t="n"/>
      <c r="AM103" s="1612" t="n"/>
      <c r="AN103" s="1612" t="n"/>
      <c r="AO103" s="1612" t="n"/>
      <c r="AP103" s="1612" t="n"/>
      <c r="AQ103" s="1612" t="n"/>
      <c r="AR103" s="1612" t="n"/>
      <c r="AS103" s="1612" t="n"/>
      <c r="AT103" s="1612" t="n"/>
      <c r="AU103" s="1612" t="n"/>
      <c r="AV103" s="1612" t="n"/>
      <c r="AW103" s="1612" t="n"/>
      <c r="AX103" s="1612" t="n"/>
      <c r="AY103" s="1612" t="n"/>
      <c r="AZ103" s="1612" t="n"/>
      <c r="BA103" s="1612" t="n"/>
      <c r="BB103" s="1612" t="n"/>
      <c r="BC103" s="1612" t="n"/>
      <c r="BD103" s="1612" t="n"/>
      <c r="BE103" s="1612" t="n"/>
      <c r="BF103" s="1612" t="n"/>
      <c r="BG103" s="1612" t="n"/>
      <c r="BH103" s="1612" t="n"/>
      <c r="BI103" s="1612" t="n"/>
      <c r="BJ103" s="1612" t="n"/>
      <c r="BK103" s="1612" t="n"/>
      <c r="BL103" s="1612" t="n"/>
      <c r="BM103" s="1612" t="n"/>
      <c r="BN103" s="1612" t="n"/>
      <c r="BO103" s="1612" t="n"/>
      <c r="BP103" s="1612" t="n"/>
      <c r="BQ103" s="1612" t="n"/>
      <c r="BR103" s="1612" t="n"/>
      <c r="BS103" s="1612" t="n"/>
      <c r="BT103" s="1612" t="n"/>
      <c r="BU103" s="1612" t="n"/>
      <c r="BV103" s="1612" t="n"/>
      <c r="BW103" s="1612" t="n"/>
      <c r="BX103" s="1612" t="n"/>
      <c r="BY103" s="1612" t="n"/>
      <c r="BZ103" s="1612" t="n"/>
      <c r="CA103" s="1612" t="n"/>
      <c r="CB103" s="1612" t="n"/>
      <c r="CC103" s="1612" t="n"/>
      <c r="CD103" s="1612" t="n"/>
      <c r="CE103" s="1612" t="n"/>
      <c r="CF103" s="1612" t="n"/>
      <c r="CG103" s="1612" t="n"/>
    </row>
    <row r="104" ht="15" customHeight="1">
      <c r="A104" s="1615" t="n"/>
      <c r="B104" s="1781">
        <f>SUM(entryCityBR[[#This Row],[1991]:[2026]])</f>
        <v/>
      </c>
      <c r="C104" s="1782" t="n"/>
      <c r="D104" s="1610">
        <f>COUNTIFS(stayCity[city],entryCityBR[[#This Row],[city]],stayCity[yr],D$79)</f>
        <v/>
      </c>
      <c r="E104" s="1610">
        <f>COUNTIFS(stayCity[city],entryCityBR[[#This Row],[city]],stayCity[yr],E$79)</f>
        <v/>
      </c>
      <c r="F104" s="1610">
        <f>COUNTIFS(stayCity[city],entryCityBR[[#This Row],[city]],stayCity[yr],F$79)</f>
        <v/>
      </c>
      <c r="G104" s="1610">
        <f>COUNTIFS(stayCity[city],entryCityBR[[#This Row],[city]],stayCity[yr],G$79)</f>
        <v/>
      </c>
      <c r="H104" s="1610">
        <f>COUNTIFS(stayCity[city],entryCityBR[[#This Row],[city]],stayCity[yr],H$79)</f>
        <v/>
      </c>
      <c r="I104" s="1610">
        <f>COUNTIFS(stayCity[city],entryCityBR[[#This Row],[city]],stayCity[yr],I$79)</f>
        <v/>
      </c>
      <c r="J104" s="1610">
        <f>COUNTIFS(stayCity[city],entryCityBR[[#This Row],[city]],stayCity[yr],J$79)</f>
        <v/>
      </c>
      <c r="K104" s="1610">
        <f>COUNTIFS(stayCity[city],entryCityBR[[#This Row],[city]],stayCity[yr],K$79)</f>
        <v/>
      </c>
      <c r="L104" s="1610">
        <f>COUNTIFS(stayCity[city],entryCityBR[[#This Row],[city]],stayCity[yr],L$79)</f>
        <v/>
      </c>
      <c r="M104" s="1610">
        <f>COUNTIFS(stayCity[city],entryCityBR[[#This Row],[city]],stayCity[yr],M$79)</f>
        <v/>
      </c>
      <c r="N104" s="1610">
        <f>COUNTIFS(stayCity[city],entryCityBR[[#This Row],[city]],stayCity[yr],N$79)</f>
        <v/>
      </c>
      <c r="O104" s="1610">
        <f>COUNTIFS(stayCity[city],entryCityBR[[#This Row],[city]],stayCity[yr],O$79)</f>
        <v/>
      </c>
      <c r="P104" s="1610">
        <f>COUNTIFS(stayCity[city],entryCityBR[[#This Row],[city]],stayCity[yr],P$79)</f>
        <v/>
      </c>
      <c r="Q104" s="1610">
        <f>COUNTIFS(stayCity[city],entryCityBR[[#This Row],[city]],stayCity[yr],Q$79)</f>
        <v/>
      </c>
      <c r="R104" s="1610">
        <f>COUNTIFS(stayCity[city],entryCityBR[[#This Row],[city]],stayCity[yr],R$79)</f>
        <v/>
      </c>
      <c r="S104" s="1610">
        <f>COUNTIFS(stayCity[city],entryCityBR[[#This Row],[city]],stayCity[yr],S$79)</f>
        <v/>
      </c>
      <c r="T104" s="1610">
        <f>COUNTIFS(stayCity[city],entryCityBR[[#This Row],[city]],stayCity[yr],T$79)</f>
        <v/>
      </c>
      <c r="U104" s="1610">
        <f>COUNTIFS(stayCity[city],entryCityBR[[#This Row],[city]],stayCity[yr],U$79)</f>
        <v/>
      </c>
      <c r="V104" s="1610">
        <f>COUNTIFS(stayCity[city],entryCityBR[[#This Row],[city]],stayCity[yr],V$79)</f>
        <v/>
      </c>
      <c r="W104" s="1610">
        <f>COUNTIFS(stayCity[city],entryCityBR[[#This Row],[city]],stayCity[yr],W$79)</f>
        <v/>
      </c>
      <c r="X104" s="1610">
        <f>COUNTIFS(stayCity[city],entryCityBR[[#This Row],[city]],stayCity[yr],X$79)</f>
        <v/>
      </c>
      <c r="Y104" s="1610">
        <f>COUNTIFS(stayCity[city],entryCityBR[[#This Row],[city]],stayCity[yr],Y$79)</f>
        <v/>
      </c>
      <c r="Z104" s="1610">
        <f>COUNTIFS(stayCity[city],entryCityBR[[#This Row],[city]],stayCity[yr],Z$79)</f>
        <v/>
      </c>
      <c r="AA104" s="1610">
        <f>COUNTIFS(stayCity[city],entryCityBR[[#This Row],[city]],stayCity[yr],AA$79)</f>
        <v/>
      </c>
      <c r="AB104" s="1610">
        <f>COUNTIFS(stayCity[city],entryCityBR[[#This Row],[city]],stayCity[yr],AB$79)</f>
        <v/>
      </c>
      <c r="AC104" s="1610">
        <f>COUNTIFS(stayCity[city],entryCityBR[[#This Row],[city]],stayCity[yr],AC$79)</f>
        <v/>
      </c>
      <c r="AD104" s="1610">
        <f>COUNTIFS(stayCity[city],entryCityBR[[#This Row],[city]],stayCity[yr],AD$79)</f>
        <v/>
      </c>
      <c r="AE104" s="1610">
        <f>COUNTIFS(stayCity[city],entryCityBR[[#This Row],[city]],stayCity[yr],AE$79)</f>
        <v/>
      </c>
      <c r="AF104" s="1610">
        <f>COUNTIFS(stayCity[city],entryCityBR[[#This Row],[city]],stayCity[yr],AF$79)</f>
        <v/>
      </c>
      <c r="AG104" s="1610">
        <f>COUNTIFS(stayCity[city],entryCityBR[[#This Row],[city]],stayCity[yr],AG$79)</f>
        <v/>
      </c>
      <c r="AH104" s="1610">
        <f>COUNTIFS(stayCity[city],entryCityBR[[#This Row],[city]],stayCity[yr],AH$79)</f>
        <v/>
      </c>
      <c r="AI104" s="1610">
        <f>COUNTIFS(stayCity[city],entryCityBR[[#This Row],[city]],stayCity[yr],AI$79)</f>
        <v/>
      </c>
      <c r="AJ104" s="1610">
        <f>COUNTIFS(stayCity[city],entryCityBR[[#This Row],[city]],stayCity[yr],AJ$79)</f>
        <v/>
      </c>
      <c r="AK104" s="1597" t="inlineStr">
        <is>
          <t>.</t>
        </is>
      </c>
      <c r="AL104" s="1612" t="n"/>
      <c r="AM104" s="1612" t="n"/>
      <c r="AN104" s="1612" t="n"/>
      <c r="AO104" s="1612" t="n"/>
      <c r="AP104" s="1612" t="n"/>
      <c r="AQ104" s="1612" t="n"/>
      <c r="AR104" s="1612" t="n"/>
      <c r="AS104" s="1612" t="n"/>
      <c r="AT104" s="1612" t="n"/>
      <c r="AU104" s="1612" t="n"/>
      <c r="AV104" s="1612" t="n"/>
      <c r="AW104" s="1612" t="n"/>
      <c r="AX104" s="1612" t="n"/>
      <c r="AY104" s="1612" t="n"/>
      <c r="AZ104" s="1612" t="n"/>
      <c r="BA104" s="1612" t="n"/>
      <c r="BB104" s="1612" t="n"/>
      <c r="BC104" s="1612" t="n"/>
      <c r="BD104" s="1612" t="n"/>
      <c r="BE104" s="1612" t="n"/>
      <c r="BF104" s="1612" t="n"/>
      <c r="BG104" s="1612" t="n"/>
      <c r="BH104" s="1612" t="n"/>
      <c r="BI104" s="1612" t="n"/>
      <c r="BJ104" s="1612" t="n"/>
      <c r="BK104" s="1612" t="n"/>
      <c r="BL104" s="1612" t="n"/>
      <c r="BM104" s="1612" t="n"/>
      <c r="BN104" s="1612" t="n"/>
      <c r="BO104" s="1612" t="n"/>
      <c r="BP104" s="1612" t="n"/>
      <c r="BQ104" s="1612" t="n"/>
      <c r="BR104" s="1612" t="n"/>
      <c r="BS104" s="1612" t="n"/>
      <c r="BT104" s="1612" t="n"/>
      <c r="BU104" s="1612" t="n"/>
      <c r="BV104" s="1612" t="n"/>
      <c r="BW104" s="1612" t="n"/>
      <c r="BX104" s="1612" t="n"/>
      <c r="BY104" s="1612" t="n"/>
      <c r="BZ104" s="1612" t="n"/>
      <c r="CA104" s="1612" t="n"/>
      <c r="CB104" s="1612" t="n"/>
      <c r="CC104" s="1612" t="n"/>
      <c r="CD104" s="1612" t="n"/>
      <c r="CE104" s="1612" t="n"/>
      <c r="CF104" s="1612" t="n"/>
      <c r="CG104" s="1612" t="n"/>
    </row>
    <row r="105" ht="15" customHeight="1">
      <c r="A105" s="1596" t="n"/>
      <c r="B105" s="1794">
        <f>SUM(entryCityBR[[#This Row],[1991]:[2026]])</f>
        <v/>
      </c>
      <c r="C105" s="1795" t="n"/>
      <c r="D105" s="1610">
        <f>COUNTIFS(stayCity[city],entryCityBR[[#This Row],[city]],stayCity[yr],D$79)</f>
        <v/>
      </c>
      <c r="E105" s="1610">
        <f>COUNTIFS(stayCity[city],entryCityBR[[#This Row],[city]],stayCity[yr],E$79)</f>
        <v/>
      </c>
      <c r="F105" s="1610">
        <f>COUNTIFS(stayCity[city],entryCityBR[[#This Row],[city]],stayCity[yr],F$79)</f>
        <v/>
      </c>
      <c r="G105" s="1610">
        <f>COUNTIFS(stayCity[city],entryCityBR[[#This Row],[city]],stayCity[yr],G$79)</f>
        <v/>
      </c>
      <c r="H105" s="1610">
        <f>COUNTIFS(stayCity[city],entryCityBR[[#This Row],[city]],stayCity[yr],H$79)</f>
        <v/>
      </c>
      <c r="I105" s="1610">
        <f>COUNTIFS(stayCity[city],entryCityBR[[#This Row],[city]],stayCity[yr],I$79)</f>
        <v/>
      </c>
      <c r="J105" s="1610">
        <f>COUNTIFS(stayCity[city],entryCityBR[[#This Row],[city]],stayCity[yr],J$79)</f>
        <v/>
      </c>
      <c r="K105" s="1610">
        <f>COUNTIFS(stayCity[city],entryCityBR[[#This Row],[city]],stayCity[yr],K$79)</f>
        <v/>
      </c>
      <c r="L105" s="1610">
        <f>COUNTIFS(stayCity[city],entryCityBR[[#This Row],[city]],stayCity[yr],L$79)</f>
        <v/>
      </c>
      <c r="M105" s="1610">
        <f>COUNTIFS(stayCity[city],entryCityBR[[#This Row],[city]],stayCity[yr],M$79)</f>
        <v/>
      </c>
      <c r="N105" s="1610">
        <f>COUNTIFS(stayCity[city],entryCityBR[[#This Row],[city]],stayCity[yr],N$79)</f>
        <v/>
      </c>
      <c r="O105" s="1610">
        <f>COUNTIFS(stayCity[city],entryCityBR[[#This Row],[city]],stayCity[yr],O$79)</f>
        <v/>
      </c>
      <c r="P105" s="1610">
        <f>COUNTIFS(stayCity[city],entryCityBR[[#This Row],[city]],stayCity[yr],P$79)</f>
        <v/>
      </c>
      <c r="Q105" s="1610">
        <f>COUNTIFS(stayCity[city],entryCityBR[[#This Row],[city]],stayCity[yr],Q$79)</f>
        <v/>
      </c>
      <c r="R105" s="1610">
        <f>COUNTIFS(stayCity[city],entryCityBR[[#This Row],[city]],stayCity[yr],R$79)</f>
        <v/>
      </c>
      <c r="S105" s="1610">
        <f>COUNTIFS(stayCity[city],entryCityBR[[#This Row],[city]],stayCity[yr],S$79)</f>
        <v/>
      </c>
      <c r="T105" s="1610">
        <f>COUNTIFS(stayCity[city],entryCityBR[[#This Row],[city]],stayCity[yr],T$79)</f>
        <v/>
      </c>
      <c r="U105" s="1610">
        <f>COUNTIFS(stayCity[city],entryCityBR[[#This Row],[city]],stayCity[yr],U$79)</f>
        <v/>
      </c>
      <c r="V105" s="1610">
        <f>COUNTIFS(stayCity[city],entryCityBR[[#This Row],[city]],stayCity[yr],V$79)</f>
        <v/>
      </c>
      <c r="W105" s="1610">
        <f>COUNTIFS(stayCity[city],entryCityBR[[#This Row],[city]],stayCity[yr],W$79)</f>
        <v/>
      </c>
      <c r="X105" s="1610">
        <f>COUNTIFS(stayCity[city],entryCityBR[[#This Row],[city]],stayCity[yr],X$79)</f>
        <v/>
      </c>
      <c r="Y105" s="1610">
        <f>COUNTIFS(stayCity[city],entryCityBR[[#This Row],[city]],stayCity[yr],Y$79)</f>
        <v/>
      </c>
      <c r="Z105" s="1610">
        <f>COUNTIFS(stayCity[city],entryCityBR[[#This Row],[city]],stayCity[yr],Z$79)</f>
        <v/>
      </c>
      <c r="AA105" s="1610">
        <f>COUNTIFS(stayCity[city],entryCityBR[[#This Row],[city]],stayCity[yr],AA$79)</f>
        <v/>
      </c>
      <c r="AB105" s="1610">
        <f>COUNTIFS(stayCity[city],entryCityBR[[#This Row],[city]],stayCity[yr],AB$79)</f>
        <v/>
      </c>
      <c r="AC105" s="1610">
        <f>COUNTIFS(stayCity[city],entryCityBR[[#This Row],[city]],stayCity[yr],AC$79)</f>
        <v/>
      </c>
      <c r="AD105" s="1610">
        <f>COUNTIFS(stayCity[city],entryCityBR[[#This Row],[city]],stayCity[yr],AD$79)</f>
        <v/>
      </c>
      <c r="AE105" s="1610">
        <f>COUNTIFS(stayCity[city],entryCityBR[[#This Row],[city]],stayCity[yr],AE$79)</f>
        <v/>
      </c>
      <c r="AF105" s="1610">
        <f>COUNTIFS(stayCity[city],entryCityBR[[#This Row],[city]],stayCity[yr],AF$79)</f>
        <v/>
      </c>
      <c r="AG105" s="1610">
        <f>COUNTIFS(stayCity[city],entryCityBR[[#This Row],[city]],stayCity[yr],AG$79)</f>
        <v/>
      </c>
      <c r="AH105" s="1610">
        <f>COUNTIFS(stayCity[city],entryCityBR[[#This Row],[city]],stayCity[yr],AH$79)</f>
        <v/>
      </c>
      <c r="AI105" s="1610">
        <f>COUNTIFS(stayCity[city],entryCityBR[[#This Row],[city]],stayCity[yr],AI$79)</f>
        <v/>
      </c>
      <c r="AJ105" s="1610">
        <f>COUNTIFS(stayCity[city],entryCityBR[[#This Row],[city]],stayCity[yr],AJ$79)</f>
        <v/>
      </c>
      <c r="AK105" s="1597" t="inlineStr">
        <is>
          <t>.</t>
        </is>
      </c>
      <c r="AL105" s="1612" t="n"/>
      <c r="AM105" s="1612" t="n"/>
      <c r="AN105" s="1612" t="n"/>
      <c r="AO105" s="1612" t="n"/>
      <c r="AP105" s="1612" t="n"/>
      <c r="AQ105" s="1612" t="n"/>
      <c r="AR105" s="1612" t="n"/>
      <c r="AS105" s="1612" t="n"/>
      <c r="AT105" s="1612" t="n"/>
      <c r="AU105" s="1612" t="n"/>
      <c r="AV105" s="1612" t="n"/>
      <c r="AW105" s="1612" t="n"/>
      <c r="AX105" s="1612" t="n"/>
      <c r="AY105" s="1612" t="n"/>
      <c r="AZ105" s="1612" t="n"/>
      <c r="BA105" s="1612" t="n"/>
      <c r="BB105" s="1612" t="n"/>
      <c r="BC105" s="1612" t="n"/>
      <c r="BD105" s="1612" t="n"/>
      <c r="BE105" s="1612" t="n"/>
      <c r="BF105" s="1612" t="n"/>
      <c r="BG105" s="1612" t="n"/>
      <c r="BH105" s="1612" t="n"/>
      <c r="BI105" s="1612" t="n"/>
      <c r="BJ105" s="1612" t="n"/>
      <c r="BK105" s="1612" t="n"/>
      <c r="BL105" s="1612" t="n"/>
      <c r="BM105" s="1612" t="n"/>
      <c r="BN105" s="1612" t="n"/>
      <c r="BO105" s="1612" t="n"/>
      <c r="BP105" s="1612" t="n"/>
      <c r="BQ105" s="1612" t="n"/>
      <c r="BR105" s="1612" t="n"/>
      <c r="BS105" s="1612" t="n"/>
      <c r="BT105" s="1612" t="n"/>
      <c r="BU105" s="1612" t="n"/>
      <c r="BV105" s="1612" t="n"/>
      <c r="BW105" s="1612" t="n"/>
      <c r="BX105" s="1612" t="n"/>
      <c r="BY105" s="1612" t="n"/>
      <c r="BZ105" s="1612" t="n"/>
      <c r="CA105" s="1612" t="n"/>
      <c r="CB105" s="1612" t="n"/>
      <c r="CC105" s="1612" t="n"/>
      <c r="CD105" s="1612" t="n"/>
      <c r="CE105" s="1612" t="n"/>
      <c r="CF105" s="1612" t="n"/>
      <c r="CG105" s="1612" t="n"/>
    </row>
    <row r="106" ht="15" customHeight="1">
      <c r="A106" s="1615" t="inlineStr">
        <is>
          <t>.</t>
        </is>
      </c>
      <c r="B106" s="1677" t="inlineStr">
        <is>
          <t>.</t>
        </is>
      </c>
      <c r="C106" s="1677" t="inlineStr">
        <is>
          <t>.</t>
        </is>
      </c>
      <c r="D106" s="1611" t="inlineStr">
        <is>
          <t>.</t>
        </is>
      </c>
      <c r="E106" s="1611" t="inlineStr">
        <is>
          <t>.</t>
        </is>
      </c>
      <c r="F106" s="1611" t="inlineStr">
        <is>
          <t>.</t>
        </is>
      </c>
      <c r="G106" s="1611" t="inlineStr">
        <is>
          <t>.</t>
        </is>
      </c>
      <c r="H106" s="1611" t="inlineStr">
        <is>
          <t>.</t>
        </is>
      </c>
      <c r="I106" s="1611" t="inlineStr">
        <is>
          <t>.</t>
        </is>
      </c>
      <c r="J106" s="1611" t="inlineStr">
        <is>
          <t>.</t>
        </is>
      </c>
      <c r="K106" s="1611" t="inlineStr">
        <is>
          <t>.</t>
        </is>
      </c>
      <c r="L106" s="1611" t="inlineStr">
        <is>
          <t>.</t>
        </is>
      </c>
      <c r="M106" s="1611" t="inlineStr">
        <is>
          <t>.</t>
        </is>
      </c>
      <c r="N106" s="1611" t="inlineStr">
        <is>
          <t>.</t>
        </is>
      </c>
      <c r="O106" s="1611" t="inlineStr">
        <is>
          <t>.</t>
        </is>
      </c>
      <c r="P106" s="1611" t="inlineStr">
        <is>
          <t>.</t>
        </is>
      </c>
      <c r="Q106" s="1611" t="inlineStr">
        <is>
          <t>.</t>
        </is>
      </c>
      <c r="R106" s="1611" t="inlineStr">
        <is>
          <t>.</t>
        </is>
      </c>
      <c r="S106" s="1611" t="inlineStr">
        <is>
          <t>.</t>
        </is>
      </c>
      <c r="T106" s="1611" t="inlineStr">
        <is>
          <t>.</t>
        </is>
      </c>
      <c r="U106" s="1611" t="inlineStr">
        <is>
          <t>.</t>
        </is>
      </c>
      <c r="V106" s="1611" t="inlineStr">
        <is>
          <t>.</t>
        </is>
      </c>
      <c r="W106" s="1611" t="inlineStr">
        <is>
          <t>.</t>
        </is>
      </c>
      <c r="X106" s="1611" t="inlineStr">
        <is>
          <t>.</t>
        </is>
      </c>
      <c r="Y106" s="1611" t="inlineStr">
        <is>
          <t>.</t>
        </is>
      </c>
      <c r="Z106" s="1611" t="inlineStr">
        <is>
          <t>.</t>
        </is>
      </c>
      <c r="AA106" s="1611" t="inlineStr">
        <is>
          <t>.</t>
        </is>
      </c>
      <c r="AB106" s="1611" t="inlineStr">
        <is>
          <t>.</t>
        </is>
      </c>
      <c r="AC106" s="1611" t="inlineStr">
        <is>
          <t>.</t>
        </is>
      </c>
      <c r="AD106" s="1611" t="inlineStr">
        <is>
          <t>.</t>
        </is>
      </c>
      <c r="AE106" s="1611" t="inlineStr">
        <is>
          <t>.</t>
        </is>
      </c>
      <c r="AF106" s="1611" t="inlineStr">
        <is>
          <t>.</t>
        </is>
      </c>
      <c r="AG106" s="1611" t="inlineStr">
        <is>
          <t>.</t>
        </is>
      </c>
      <c r="AH106" s="1611" t="inlineStr">
        <is>
          <t>.</t>
        </is>
      </c>
      <c r="AI106" s="1611" t="inlineStr">
        <is>
          <t>.</t>
        </is>
      </c>
      <c r="AJ106" s="1611" t="inlineStr">
        <is>
          <t>.</t>
        </is>
      </c>
      <c r="AK106" s="1597" t="inlineStr">
        <is>
          <t>.</t>
        </is>
      </c>
      <c r="AL106" s="1612" t="n"/>
      <c r="AM106" s="1612" t="n"/>
      <c r="AN106" s="1612" t="n"/>
      <c r="AO106" s="1612" t="n"/>
      <c r="AP106" s="1612" t="n"/>
      <c r="AQ106" s="1612" t="n"/>
      <c r="AR106" s="1612" t="n"/>
      <c r="AS106" s="1612" t="n"/>
      <c r="AT106" s="1612" t="n"/>
      <c r="AU106" s="1612" t="n"/>
      <c r="AV106" s="1612" t="n"/>
      <c r="AW106" s="1612" t="n"/>
      <c r="AX106" s="1612" t="n"/>
      <c r="AY106" s="1612" t="n"/>
      <c r="AZ106" s="1612" t="n"/>
      <c r="BA106" s="1612" t="n"/>
      <c r="BB106" s="1612" t="n"/>
      <c r="BC106" s="1612" t="n"/>
      <c r="BD106" s="1612" t="n"/>
      <c r="BE106" s="1612" t="n"/>
      <c r="BF106" s="1612" t="n"/>
      <c r="BG106" s="1612" t="n"/>
      <c r="BH106" s="1612" t="n"/>
      <c r="BI106" s="1612" t="n"/>
      <c r="BJ106" s="1612" t="n"/>
      <c r="BK106" s="1612" t="n"/>
      <c r="BL106" s="1612" t="n"/>
      <c r="BM106" s="1612" t="n"/>
      <c r="BN106" s="1612" t="n"/>
      <c r="BO106" s="1612" t="n"/>
      <c r="BP106" s="1612" t="n"/>
      <c r="BQ106" s="1612" t="n"/>
      <c r="BR106" s="1612" t="n"/>
      <c r="BS106" s="1612" t="n"/>
      <c r="BT106" s="1612" t="n"/>
      <c r="BU106" s="1612" t="n"/>
      <c r="BV106" s="1612" t="n"/>
      <c r="BW106" s="1612" t="n"/>
      <c r="BX106" s="1612" t="n"/>
      <c r="BY106" s="1612" t="n"/>
      <c r="BZ106" s="1612" t="n"/>
      <c r="CA106" s="1612" t="n"/>
      <c r="CB106" s="1612" t="n"/>
      <c r="CC106" s="1612" t="n"/>
      <c r="CD106" s="1612" t="n"/>
      <c r="CE106" s="1612" t="n"/>
      <c r="CF106" s="1612" t="n"/>
      <c r="CG106" s="1612" t="n"/>
    </row>
  </sheetData>
  <mergeCells count="9">
    <mergeCell ref="B2:C2"/>
    <mergeCell ref="AM40:AN40"/>
    <mergeCell ref="AM42:AN42"/>
    <mergeCell ref="BD41:BE41"/>
    <mergeCell ref="B45:C45"/>
    <mergeCell ref="BU2:BW2"/>
    <mergeCell ref="B79:C79"/>
    <mergeCell ref="BD40:BE40"/>
    <mergeCell ref="AM41:AN41"/>
  </mergeCells>
  <conditionalFormatting sqref="B4:B35">
    <cfRule type="colorScale" priority="127">
      <colorScale>
        <cfvo type="min"/>
        <cfvo type="percentile" val="50"/>
        <cfvo type="max"/>
        <color rgb="FFF8696B"/>
        <color rgb="FFFFEB84"/>
        <color rgb="FF63BE7B"/>
      </colorScale>
    </cfRule>
  </conditionalFormatting>
  <conditionalFormatting sqref="B37">
    <cfRule type="colorScale" priority="3">
      <colorScale>
        <cfvo type="min"/>
        <cfvo type="percentile" val="50"/>
        <cfvo type="max"/>
        <color rgb="FFF8696B"/>
        <color rgb="FFFFEB84"/>
        <color rgb="FF63BE7B"/>
      </colorScale>
    </cfRule>
  </conditionalFormatting>
  <conditionalFormatting sqref="B47:B73">
    <cfRule type="colorScale" priority="312">
      <colorScale>
        <cfvo type="min"/>
        <cfvo type="percentile" val="50"/>
        <cfvo type="max"/>
        <color rgb="FFF8696B"/>
        <color rgb="FFFFEB84"/>
        <color rgb="FF63BE7B"/>
      </colorScale>
    </cfRule>
  </conditionalFormatting>
  <conditionalFormatting sqref="B81:B105">
    <cfRule type="colorScale" priority="61">
      <colorScale>
        <cfvo type="min"/>
        <cfvo type="percentile" val="50"/>
        <cfvo type="max"/>
        <color rgb="FFF8696B"/>
        <color rgb="FFFFEB84"/>
        <color rgb="FF63BE7B"/>
      </colorScale>
    </cfRule>
  </conditionalFormatting>
  <conditionalFormatting sqref="D4:AJ35">
    <cfRule type="cellIs" priority="93" operator="equal" dxfId="2">
      <formula>0</formula>
    </cfRule>
    <cfRule type="colorScale" priority="125">
      <colorScale>
        <cfvo type="min"/>
        <cfvo type="percentile" val="50"/>
        <cfvo type="max"/>
        <color rgb="FFF8696B"/>
        <color rgb="FFFCFCFF"/>
        <color rgb="FF63BE7B"/>
      </colorScale>
    </cfRule>
  </conditionalFormatting>
  <conditionalFormatting sqref="D37:AJ37">
    <cfRule type="cellIs" priority="1" operator="equal" dxfId="2">
      <formula>0</formula>
    </cfRule>
    <cfRule type="colorScale" priority="2">
      <colorScale>
        <cfvo type="min"/>
        <cfvo type="percentile" val="50"/>
        <cfvo type="max"/>
        <color rgb="FFF8696B"/>
        <color rgb="FFFCFCFF"/>
        <color rgb="FF63BE7B"/>
      </colorScale>
    </cfRule>
  </conditionalFormatting>
  <conditionalFormatting sqref="D47:AJ73">
    <cfRule type="cellIs" priority="313" operator="equal" dxfId="2">
      <formula>0</formula>
    </cfRule>
    <cfRule type="colorScale" priority="314">
      <colorScale>
        <cfvo type="min"/>
        <cfvo type="percentile" val="50"/>
        <cfvo type="max"/>
        <color rgb="FFF8696B"/>
        <color rgb="FFFCFCFF"/>
        <color rgb="FF63BE7B"/>
      </colorScale>
    </cfRule>
  </conditionalFormatting>
  <conditionalFormatting sqref="D81:AJ105">
    <cfRule type="cellIs" priority="62" operator="equal" dxfId="2">
      <formula>0</formula>
    </cfRule>
    <cfRule type="colorScale" priority="63">
      <colorScale>
        <cfvo type="min"/>
        <cfvo type="percentile" val="50"/>
        <cfvo type="max"/>
        <color rgb="FFF8696B"/>
        <color rgb="FFFCFCFF"/>
        <color rgb="FF63BE7B"/>
      </colorScale>
    </cfRule>
  </conditionalFormatting>
  <conditionalFormatting sqref="AO4:AZ37">
    <cfRule type="cellIs" priority="113" operator="between" dxfId="5">
      <formula>0.01</formula>
      <formula>0.99</formula>
    </cfRule>
    <cfRule type="cellIs" priority="114" operator="between" dxfId="4">
      <formula>0.1</formula>
      <formula>29</formula>
    </cfRule>
    <cfRule type="cellIs" priority="115" operator="greaterThan" dxfId="1">
      <formula>29</formula>
    </cfRule>
    <cfRule type="cellIs" priority="116" operator="equal" dxfId="2">
      <formula>0</formula>
    </cfRule>
  </conditionalFormatting>
  <conditionalFormatting sqref="AO40:AZ40">
    <cfRule type="colorScale" priority="119">
      <colorScale>
        <cfvo type="min"/>
        <cfvo type="percentile" val="50"/>
        <cfvo type="max"/>
        <color rgb="FFF8696B"/>
        <color rgb="FFFFEB84"/>
        <color rgb="FF63BE7B"/>
      </colorScale>
    </cfRule>
  </conditionalFormatting>
  <conditionalFormatting sqref="AO41:AZ41">
    <cfRule type="colorScale" priority="78">
      <colorScale>
        <cfvo type="min"/>
        <cfvo type="percentile" val="50"/>
        <cfvo type="max"/>
        <color rgb="FFF8696B"/>
        <color rgb="FFFFEB84"/>
        <color rgb="FF63BE7B"/>
      </colorScale>
    </cfRule>
  </conditionalFormatting>
  <conditionalFormatting sqref="AO42:AZ42">
    <cfRule type="colorScale" priority="118">
      <colorScale>
        <cfvo type="min"/>
        <cfvo type="max"/>
        <color rgb="FFFCFCFF"/>
        <color rgb="FF63BE7B"/>
      </colorScale>
    </cfRule>
  </conditionalFormatting>
  <conditionalFormatting sqref="BA4:BA37">
    <cfRule type="colorScale" priority="309">
      <colorScale>
        <cfvo type="min"/>
        <cfvo type="percentile" val="50"/>
        <cfvo type="max"/>
        <color rgb="FFF8696B"/>
        <color rgb="FFFFEB84"/>
        <color rgb="FF63BE7B"/>
      </colorScale>
    </cfRule>
  </conditionalFormatting>
  <conditionalFormatting sqref="BB4:BB37">
    <cfRule type="colorScale" priority="311">
      <colorScale>
        <cfvo type="min"/>
        <cfvo type="percentile" val="50"/>
        <cfvo type="max"/>
        <color rgb="FFF8696B"/>
        <color rgb="FFFFEB84"/>
        <color rgb="FF63BE7B"/>
      </colorScale>
    </cfRule>
  </conditionalFormatting>
  <conditionalFormatting sqref="BF4:BQ36">
    <cfRule type="cellIs" priority="108" operator="between" dxfId="5">
      <formula>0.01</formula>
      <formula>0.99</formula>
    </cfRule>
    <cfRule type="cellIs" priority="109" operator="between" dxfId="4">
      <formula>0.1</formula>
      <formula>29</formula>
    </cfRule>
    <cfRule type="cellIs" priority="110" operator="greaterThan" dxfId="1">
      <formula>29</formula>
    </cfRule>
    <cfRule type="cellIs" priority="111" operator="equal" dxfId="2">
      <formula>0</formula>
    </cfRule>
  </conditionalFormatting>
  <conditionalFormatting sqref="BF37:BQ37">
    <cfRule type="cellIs" priority="72" operator="between" dxfId="5">
      <formula>0.01</formula>
      <formula>0.99</formula>
    </cfRule>
    <cfRule type="cellIs" priority="73" operator="between" dxfId="4">
      <formula>0.1</formula>
      <formula>29</formula>
    </cfRule>
    <cfRule type="cellIs" priority="74" operator="greaterThan" dxfId="1">
      <formula>29</formula>
    </cfRule>
    <cfRule type="cellIs" priority="75" operator="equal" dxfId="2">
      <formula>0</formula>
    </cfRule>
  </conditionalFormatting>
  <conditionalFormatting sqref="BF40:BQ40">
    <cfRule type="colorScale" priority="105">
      <colorScale>
        <cfvo type="min"/>
        <cfvo type="percentile" val="50"/>
        <cfvo type="max"/>
        <color rgb="FFF8696B"/>
        <color rgb="FFFCFCFF"/>
        <color rgb="FF5A8AC6"/>
      </colorScale>
    </cfRule>
  </conditionalFormatting>
  <conditionalFormatting sqref="BF41:BQ41">
    <cfRule type="colorScale" priority="106">
      <colorScale>
        <cfvo type="min"/>
        <cfvo type="percentile" val="50"/>
        <cfvo type="max"/>
        <color rgb="FFF8696B"/>
        <color rgb="FFFCFCFF"/>
        <color rgb="FF5A8AC6"/>
      </colorScale>
    </cfRule>
  </conditionalFormatting>
  <conditionalFormatting sqref="BG4:BG37">
    <cfRule type="cellIs" priority="71" operator="greaterThanOrEqual" dxfId="1">
      <formula>28</formula>
    </cfRule>
  </conditionalFormatting>
  <conditionalFormatting sqref="BR4:BR37">
    <cfRule type="colorScale" priority="85">
      <colorScale>
        <cfvo type="min"/>
        <cfvo type="max"/>
        <color rgb="FFF8696B"/>
        <color rgb="FFFCFCFF"/>
      </colorScale>
    </cfRule>
    <cfRule type="colorScale" priority="103">
      <colorScale>
        <cfvo type="min"/>
        <cfvo type="percentile" val="50"/>
        <cfvo type="max"/>
        <color rgb="FFF8696B"/>
        <color rgb="FFFFEB84"/>
        <color rgb="FF63BE7B"/>
      </colorScale>
    </cfRule>
  </conditionalFormatting>
  <conditionalFormatting sqref="BS4:BS37">
    <cfRule type="colorScale" priority="83">
      <colorScale>
        <cfvo type="min"/>
        <cfvo type="max"/>
        <color rgb="FFF8696B"/>
        <color rgb="FFFCFCFF"/>
      </colorScale>
    </cfRule>
    <cfRule type="colorScale" priority="84">
      <colorScale>
        <cfvo type="min"/>
        <cfvo type="percentile" val="50"/>
        <cfvo type="max"/>
        <color rgb="FFF8696B"/>
        <color rgb="FFFFEB84"/>
        <color rgb="FF63BE7B"/>
      </colorScale>
    </cfRule>
  </conditionalFormatting>
  <conditionalFormatting sqref="BS40:BS41">
    <cfRule type="colorScale" priority="82">
      <colorScale>
        <cfvo type="min"/>
        <cfvo type="percentile" val="50"/>
        <cfvo type="max"/>
        <color rgb="FFF8696B"/>
        <color rgb="FFFCFCFF"/>
        <color rgb="FF5A8AC6"/>
      </colorScale>
    </cfRule>
  </conditionalFormatting>
  <conditionalFormatting sqref="CC4:CF46">
    <cfRule type="cellIs" priority="76" operator="equal" dxfId="0" stopIfTrue="1">
      <formula>0</formula>
    </cfRule>
  </conditionalFormatting>
  <pageMargins left="0.7" right="0.7" top="0.75" bottom="0.75" header="0.3" footer="0.3"/>
  <pageSetup orientation="portrait" horizontalDpi="0" verticalDpi="0"/>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7.xml><?xml version="1.0" encoding="utf-8"?>
<worksheet xmlns="http://schemas.openxmlformats.org/spreadsheetml/2006/main">
  <sheetPr>
    <tabColor rgb="00546E7A"/>
    <outlinePr summaryBelow="1" summaryRight="1"/>
    <pageSetUpPr/>
  </sheetPr>
  <dimension ref="A1:CO169"/>
  <sheetViews>
    <sheetView workbookViewId="0">
      <selection activeCell="R38" sqref="R38"/>
    </sheetView>
  </sheetViews>
  <sheetFormatPr baseColWidth="10" defaultColWidth="3.5" defaultRowHeight="14"/>
  <cols>
    <col width="4.83203125" bestFit="1" customWidth="1" style="26" min="1" max="1"/>
    <col width="7.33203125" bestFit="1" customWidth="1" style="26" min="2" max="2"/>
    <col width="7.6640625" bestFit="1" customWidth="1" style="26" min="3" max="3"/>
    <col width="3.83203125" bestFit="1" customWidth="1" style="26" min="4" max="4"/>
    <col width="11.6640625" customWidth="1" style="26" min="5" max="5"/>
    <col width="3.83203125" bestFit="1" customWidth="1" style="26" min="6" max="6"/>
    <col width="3.5" customWidth="1" style="26" min="7" max="7"/>
    <col width="3.83203125" bestFit="1" customWidth="1" style="26" min="8" max="8"/>
    <col width="5" bestFit="1" customWidth="1" style="26" min="9" max="9"/>
    <col width="6" bestFit="1" customWidth="1" style="26" min="10" max="10"/>
    <col width="4.1640625" bestFit="1" customWidth="1" style="26" min="11" max="12"/>
    <col width="3.5" customWidth="1" style="26" min="13" max="13"/>
    <col width="3.83203125" bestFit="1" customWidth="1" style="26" min="14" max="14"/>
    <col width="4.83203125" bestFit="1" customWidth="1" style="26" min="15" max="15"/>
    <col width="6.83203125" customWidth="1" style="26" min="16" max="16"/>
    <col width="6.83203125" bestFit="1" customWidth="1" style="26" min="17" max="17"/>
    <col width="5.33203125" bestFit="1" customWidth="1" style="26" min="18" max="18"/>
    <col width="4.1640625" bestFit="1" customWidth="1" style="26" min="19" max="19"/>
    <col width="4.83203125" bestFit="1" customWidth="1" style="26" min="20" max="20"/>
    <col width="4.1640625" bestFit="1" customWidth="1" style="26" min="21" max="21"/>
    <col width="7.1640625" bestFit="1" customWidth="1" style="26" min="22" max="22"/>
    <col width="3.5" customWidth="1" style="26" min="23" max="23"/>
    <col width="11.1640625" bestFit="1" customWidth="1" style="26" min="24" max="24"/>
    <col width="6.33203125" bestFit="1" customWidth="1" style="26" min="25" max="25"/>
    <col width="7.6640625" bestFit="1" customWidth="1" style="26" min="26" max="26"/>
    <col width="7.5" bestFit="1" customWidth="1" style="26" min="27" max="27"/>
    <col width="6" bestFit="1" customWidth="1" style="26" min="28" max="28"/>
    <col width="8.6640625" bestFit="1" customWidth="1" style="26" min="29" max="29"/>
    <col width="6" bestFit="1" customWidth="1" style="26" min="30" max="30"/>
    <col width="3.5" customWidth="1" style="26" min="31" max="31"/>
    <col width="3.83203125" bestFit="1" customWidth="1" style="26" min="32" max="32"/>
    <col width="6.33203125" bestFit="1" customWidth="1" style="26" min="33" max="33"/>
    <col width="4.33203125" bestFit="1" customWidth="1" style="26" min="34" max="34"/>
    <col width="4.1640625" bestFit="1" customWidth="1" style="26" min="35" max="35"/>
    <col width="6" bestFit="1" customWidth="1" style="26" min="36" max="36"/>
    <col width="7.33203125" bestFit="1" customWidth="1" style="26" min="37" max="37"/>
    <col width="1.6640625" bestFit="1" customWidth="1" style="26" min="38" max="38"/>
    <col width="3.5" customWidth="1" style="26" min="39" max="42"/>
    <col width="3" bestFit="1" customWidth="1" style="26" min="43" max="43"/>
    <col width="20.5" bestFit="1" customWidth="1" style="26" min="44" max="45"/>
    <col width="7.83203125" bestFit="1" customWidth="1" style="26" min="46" max="46"/>
    <col width="6.5" bestFit="1" customWidth="1" style="26" min="47" max="47"/>
    <col width="4.83203125" bestFit="1" customWidth="1" style="26" min="48" max="48"/>
    <col width="18" bestFit="1" customWidth="1" style="26" min="49" max="49"/>
    <col width="13.33203125" bestFit="1" customWidth="1" style="26" min="50" max="50"/>
    <col width="7.5" bestFit="1" customWidth="1" style="26" min="51" max="51"/>
    <col width="7.6640625" bestFit="1" customWidth="1" style="26" min="52" max="52"/>
    <col width="4" bestFit="1" customWidth="1" style="26" min="53" max="53"/>
    <col width="18" bestFit="1" customWidth="1" style="26" min="54" max="54"/>
    <col width="35.83203125" bestFit="1" customWidth="1" style="26" min="55" max="55"/>
    <col width="6.5" bestFit="1" customWidth="1" style="26" min="56" max="57"/>
    <col width="4" bestFit="1" customWidth="1" style="26" min="58" max="58"/>
    <col width="24" bestFit="1" customWidth="1" style="26" min="59" max="59"/>
    <col width="16.5" bestFit="1" customWidth="1" style="26" min="60" max="60"/>
    <col width="6.6640625" bestFit="1" customWidth="1" style="26" min="61" max="61"/>
    <col width="11.5" bestFit="1" customWidth="1" style="26" min="62" max="62"/>
    <col width="5.6640625" bestFit="1" customWidth="1" style="26" min="63" max="63"/>
    <col width="18" bestFit="1" customWidth="1" style="26" min="64" max="64"/>
    <col width="16.6640625" bestFit="1" customWidth="1" style="26" min="65" max="65"/>
    <col width="9.33203125" bestFit="1" customWidth="1" style="26" min="66" max="66"/>
    <col width="6.83203125" bestFit="1" customWidth="1" style="26" min="67" max="67"/>
    <col width="4" bestFit="1" customWidth="1" style="26" min="68" max="68"/>
    <col width="18" bestFit="1" customWidth="1" style="26" min="69" max="69"/>
    <col width="37.5" bestFit="1" customWidth="1" style="26" min="70" max="70"/>
    <col width="6.6640625" bestFit="1" customWidth="1" style="26" min="71" max="71"/>
    <col width="6.83203125" bestFit="1" customWidth="1" style="26" min="72" max="72"/>
    <col width="4.83203125" bestFit="1" customWidth="1" style="26" min="73" max="73"/>
    <col width="15.1640625" bestFit="1" customWidth="1" style="26" min="74" max="74"/>
    <col width="18.1640625" bestFit="1" customWidth="1" style="26" min="75" max="75"/>
    <col width="5.6640625" customWidth="1" style="26" min="76" max="77"/>
    <col width="4" bestFit="1" customWidth="1" style="26" min="78" max="78"/>
    <col width="15.83203125" bestFit="1" customWidth="1" style="26" min="79" max="79"/>
    <col width="13.33203125" bestFit="1" customWidth="1" style="26" min="80" max="80"/>
    <col width="5.6640625" customWidth="1" style="26" min="81" max="82"/>
    <col width="4" bestFit="1" customWidth="1" style="26" min="83" max="83"/>
    <col width="15.83203125" bestFit="1" customWidth="1" style="26" min="84" max="84"/>
    <col width="15" bestFit="1" customWidth="1" style="26" min="85" max="85"/>
    <col width="6.1640625" bestFit="1" customWidth="1" style="26" min="86" max="87"/>
    <col width="3.1640625" bestFit="1" customWidth="1" style="26" min="88" max="88"/>
    <col width="12.1640625" bestFit="1" customWidth="1" style="26" min="89" max="89"/>
    <col width="16.83203125" bestFit="1" customWidth="1" style="26" min="90" max="90"/>
    <col width="5.6640625" customWidth="1" style="26" min="91" max="92"/>
    <col width="4" bestFit="1" customWidth="1" style="26" min="93" max="93"/>
    <col width="3.5" customWidth="1" style="26" min="94" max="16384"/>
  </cols>
  <sheetData>
    <row r="1" ht="15" customHeight="1" thickBot="1">
      <c r="A1" s="1832" t="n"/>
      <c r="B1" s="1833" t="inlineStr">
        <is>
          <t>JAN</t>
        </is>
      </c>
      <c r="C1" s="1834" t="n"/>
      <c r="D1" s="1835" t="n"/>
      <c r="E1" s="1836" t="inlineStr">
        <is>
          <t>FEV</t>
        </is>
      </c>
      <c r="F1" s="1834" t="n"/>
      <c r="G1" s="1835" t="n"/>
      <c r="H1" s="1833" t="inlineStr">
        <is>
          <t>MAR</t>
        </is>
      </c>
      <c r="I1" s="1834" t="n"/>
      <c r="J1" s="1835" t="n"/>
      <c r="K1" s="1836" t="inlineStr">
        <is>
          <t>ABR</t>
        </is>
      </c>
      <c r="L1" s="1834" t="n"/>
      <c r="M1" s="1835" t="n"/>
      <c r="N1" s="1833" t="inlineStr">
        <is>
          <t>MAI</t>
        </is>
      </c>
      <c r="O1" s="1834" t="n"/>
      <c r="P1" s="1835" t="n"/>
      <c r="Q1" s="1836" t="inlineStr">
        <is>
          <t>JUN</t>
        </is>
      </c>
      <c r="R1" s="1834" t="n"/>
      <c r="S1" s="1835" t="n"/>
      <c r="T1" s="1833" t="inlineStr">
        <is>
          <t>JUL</t>
        </is>
      </c>
      <c r="U1" s="1834" t="n"/>
      <c r="V1" s="1835" t="n"/>
      <c r="W1" s="1836" t="inlineStr">
        <is>
          <t>AGO</t>
        </is>
      </c>
      <c r="X1" s="1834" t="n"/>
      <c r="Y1" s="1835" t="n"/>
      <c r="Z1" s="1833" t="inlineStr">
        <is>
          <t>SET</t>
        </is>
      </c>
      <c r="AA1" s="1834" t="n"/>
      <c r="AB1" s="1835" t="n"/>
      <c r="AC1" s="1836" t="inlineStr">
        <is>
          <t>OUT</t>
        </is>
      </c>
      <c r="AD1" s="1834" t="n"/>
      <c r="AE1" s="1835" t="n"/>
      <c r="AF1" s="1833" t="inlineStr">
        <is>
          <t>NOV</t>
        </is>
      </c>
      <c r="AG1" s="1834" t="n"/>
      <c r="AH1" s="1835" t="n"/>
      <c r="AI1" s="1837" t="inlineStr">
        <is>
          <t>DEZ</t>
        </is>
      </c>
      <c r="AJ1" s="1834" t="n"/>
      <c r="AK1" s="1838" t="n"/>
      <c r="AL1" s="1839" t="inlineStr">
        <is>
          <t>.</t>
        </is>
      </c>
      <c r="AM1" s="1491" t="n"/>
      <c r="AN1" s="1491" t="n"/>
      <c r="AO1" s="1491" t="n"/>
      <c r="AP1" s="1491" t="n"/>
      <c r="AQ1" s="1840" t="inlineStr">
        <is>
          <t>.</t>
        </is>
      </c>
      <c r="AR1" s="1841" t="n">
        <v>1982</v>
      </c>
      <c r="AS1" s="1429" t="n"/>
      <c r="AT1" s="1429" t="n"/>
      <c r="AU1" s="1429" t="n"/>
      <c r="AV1" s="1072" t="n"/>
      <c r="AW1" s="1841" t="n">
        <v>1984</v>
      </c>
      <c r="AX1" s="1429" t="n"/>
      <c r="AY1" s="1429" t="n"/>
      <c r="AZ1" s="1429" t="n"/>
      <c r="BA1" s="1072" t="n"/>
      <c r="BB1" s="1841" t="n">
        <v>1987</v>
      </c>
      <c r="BC1" s="1429" t="n"/>
      <c r="BD1" s="1429" t="n"/>
      <c r="BE1" s="1429" t="n"/>
      <c r="BF1" s="1072" t="n"/>
      <c r="BG1" s="1841" t="n">
        <v>1989</v>
      </c>
      <c r="BH1" s="1429" t="n"/>
      <c r="BI1" s="1429" t="n"/>
      <c r="BJ1" s="1429" t="n"/>
      <c r="BK1" s="1072" t="n"/>
      <c r="BL1" s="1842" t="n"/>
      <c r="BM1" s="1842" t="n"/>
      <c r="BN1" s="1842" t="n"/>
      <c r="BO1" s="1842" t="n"/>
      <c r="BP1" s="1392" t="n"/>
      <c r="BQ1" s="1842" t="n"/>
      <c r="BR1" s="1842" t="n"/>
      <c r="BS1" s="1842" t="n"/>
      <c r="BT1" s="1842" t="n"/>
      <c r="BU1" s="1842" t="n"/>
      <c r="BV1" s="1842" t="n"/>
      <c r="BW1" s="1842" t="n"/>
      <c r="BX1" s="1842" t="n"/>
      <c r="BY1" s="1842" t="n"/>
      <c r="BZ1" s="1842" t="n"/>
      <c r="CA1" s="1842" t="n"/>
      <c r="CB1" s="1842" t="n"/>
      <c r="CC1" s="1842" t="n"/>
      <c r="CD1" s="1842" t="n"/>
      <c r="CE1" s="1491" t="n"/>
      <c r="CF1" s="1491" t="n"/>
      <c r="CG1" s="1491" t="n"/>
      <c r="CH1" s="1491" t="n"/>
      <c r="CI1" s="1491" t="n"/>
      <c r="CJ1" s="1491" t="n"/>
      <c r="CK1" s="1491" t="n"/>
      <c r="CL1" s="1491" t="n"/>
      <c r="CM1" s="1491" t="n"/>
      <c r="CN1" s="1491" t="n"/>
      <c r="CO1" s="1491" t="n"/>
    </row>
    <row r="2" ht="15" customHeight="1" thickBot="1">
      <c r="A2" s="1841" t="n">
        <v>1971</v>
      </c>
      <c r="B2" s="1843" t="n"/>
      <c r="C2" s="1843" t="inlineStr">
        <is>
          <t>SSA</t>
        </is>
      </c>
      <c r="D2" s="1843" t="n"/>
      <c r="E2" s="1843" t="n"/>
      <c r="F2" s="1843" t="n"/>
      <c r="G2" s="1843" t="n"/>
      <c r="H2" s="1843" t="n"/>
      <c r="I2" s="1843" t="inlineStr">
        <is>
          <t>SSA</t>
        </is>
      </c>
      <c r="J2" s="1843" t="n"/>
      <c r="K2" s="1843" t="n"/>
      <c r="L2" s="1843" t="n"/>
      <c r="M2" s="1843" t="n"/>
      <c r="N2" s="1843" t="n"/>
      <c r="O2" s="1843" t="inlineStr">
        <is>
          <t>SSA</t>
        </is>
      </c>
      <c r="P2" s="1843" t="n"/>
      <c r="Q2" s="1843" t="n"/>
      <c r="R2" s="1843" t="n"/>
      <c r="S2" s="1843" t="n"/>
      <c r="T2" s="1843" t="n"/>
      <c r="U2" s="1843" t="inlineStr">
        <is>
          <t>SSA</t>
        </is>
      </c>
      <c r="V2" s="1843" t="n"/>
      <c r="W2" s="1843" t="n"/>
      <c r="X2" s="1843" t="n"/>
      <c r="Y2" s="1843" t="n"/>
      <c r="Z2" s="1843" t="n"/>
      <c r="AA2" s="1843" t="inlineStr">
        <is>
          <t>SSA</t>
        </is>
      </c>
      <c r="AB2" s="1843" t="n"/>
      <c r="AC2" s="1843" t="n"/>
      <c r="AD2" s="1843" t="n"/>
      <c r="AE2" s="1843" t="n"/>
      <c r="AF2" s="1843" t="n"/>
      <c r="AG2" s="1843" t="inlineStr">
        <is>
          <t>SSA</t>
        </is>
      </c>
      <c r="AH2" s="1843" t="n"/>
      <c r="AI2" s="1843" t="n"/>
      <c r="AJ2" s="1843" t="n"/>
      <c r="AK2" s="1844" t="n"/>
      <c r="AL2" s="1839" t="n"/>
      <c r="AM2" s="1491" t="n"/>
      <c r="AN2" s="1491" t="n"/>
      <c r="AO2" s="1491" t="n"/>
      <c r="AP2" s="1491" t="n"/>
      <c r="AQ2" s="1349" t="n"/>
      <c r="AR2" s="1845" t="inlineStr">
        <is>
          <t>SSA</t>
        </is>
      </c>
      <c r="AS2" s="1846" t="inlineStr">
        <is>
          <t>Greenfeld</t>
        </is>
      </c>
      <c r="AT2" s="1847" t="n">
        <v>36892</v>
      </c>
      <c r="AU2" s="1848" t="n">
        <v>36897</v>
      </c>
      <c r="AV2" s="1849">
        <f>AU2-AT2</f>
        <v/>
      </c>
      <c r="AW2" s="1850" t="inlineStr">
        <is>
          <t>SSA</t>
        </is>
      </c>
      <c r="AX2" s="1851" t="n"/>
      <c r="AY2" s="1852" t="n">
        <v>30682</v>
      </c>
      <c r="AZ2" s="1852" t="n">
        <v>30713</v>
      </c>
      <c r="BA2" s="1853">
        <f>AZ2-AY2</f>
        <v/>
      </c>
      <c r="BB2" s="1854" t="inlineStr">
        <is>
          <t>Olinda</t>
        </is>
      </c>
      <c r="BC2" s="1846" t="inlineStr">
        <is>
          <t>aereo brasileiro</t>
        </is>
      </c>
      <c r="BD2" s="1847" t="n">
        <v>32017</v>
      </c>
      <c r="BE2" s="1848" t="n">
        <v>32018</v>
      </c>
      <c r="BF2" s="1853">
        <f>BE2-BD2</f>
        <v/>
      </c>
      <c r="BG2" s="1855" t="inlineStr">
        <is>
          <t>EGITO (Cairo)</t>
        </is>
      </c>
      <c r="BH2" s="1856" t="n"/>
      <c r="BI2" s="1857" t="n">
        <v>40451</v>
      </c>
      <c r="BJ2" s="1858" t="n">
        <v>40455</v>
      </c>
      <c r="BK2" s="1859">
        <f>BJ2-BI2</f>
        <v/>
      </c>
      <c r="BL2" s="1842" t="n"/>
      <c r="BM2" s="1842" t="n"/>
      <c r="BN2" s="1842" t="n"/>
      <c r="BO2" s="1842" t="n"/>
      <c r="BP2" s="1392" t="n"/>
      <c r="BQ2" s="1842" t="n"/>
      <c r="BR2" s="1842" t="n"/>
      <c r="BS2" s="1842" t="n"/>
      <c r="BT2" s="1842" t="n"/>
      <c r="BU2" s="1842" t="n"/>
      <c r="BV2" s="1842" t="n"/>
      <c r="BW2" s="1842" t="n"/>
      <c r="BX2" s="1842" t="n"/>
      <c r="BY2" s="1842" t="n"/>
      <c r="BZ2" s="1842" t="n"/>
      <c r="CA2" s="1842" t="n"/>
      <c r="CB2" s="1842" t="n"/>
      <c r="CC2" s="1842" t="n"/>
      <c r="CD2" s="1842" t="n"/>
      <c r="CE2" s="1491" t="n"/>
      <c r="CF2" s="1491" t="n"/>
      <c r="CG2" s="1491" t="n"/>
      <c r="CH2" s="1491" t="n"/>
      <c r="CI2" s="1491" t="n"/>
      <c r="CJ2" s="1491" t="n"/>
      <c r="CK2" s="1491" t="n"/>
      <c r="CL2" s="1491" t="n"/>
      <c r="CM2" s="1491" t="n"/>
      <c r="CN2" s="1491" t="n"/>
      <c r="CO2" s="1491" t="n"/>
    </row>
    <row r="3">
      <c r="A3" s="1860" t="n">
        <v>1991</v>
      </c>
      <c r="B3" s="1861" t="n"/>
      <c r="C3" s="1861" t="n"/>
      <c r="D3" s="1861" t="n"/>
      <c r="E3" s="1861" t="n"/>
      <c r="F3" s="1861" t="n"/>
      <c r="G3" s="1861" t="n"/>
      <c r="H3" s="1861" t="n"/>
      <c r="I3" s="1861" t="n"/>
      <c r="J3" s="1862" t="n"/>
      <c r="K3" s="1862" t="n"/>
      <c r="L3" s="1862" t="n"/>
      <c r="M3" s="1861" t="n"/>
      <c r="N3" s="1862" t="n"/>
      <c r="O3" s="1862" t="n"/>
      <c r="P3" s="1862" t="n"/>
      <c r="Q3" s="1862" t="n"/>
      <c r="R3" s="1862" t="n"/>
      <c r="S3" s="1862" t="n"/>
      <c r="T3" s="1862" t="n"/>
      <c r="U3" s="1862" t="n"/>
      <c r="V3" s="1862" t="n"/>
      <c r="W3" s="1861" t="n"/>
      <c r="X3" s="1861" t="n"/>
      <c r="Y3" s="1862" t="n"/>
      <c r="Z3" s="1862" t="n"/>
      <c r="AA3" s="1862" t="n"/>
      <c r="AB3" s="1861" t="n"/>
      <c r="AC3" s="1861" t="n"/>
      <c r="AD3" s="1862" t="n"/>
      <c r="AE3" s="1862" t="n"/>
      <c r="AF3" s="1862" t="n"/>
      <c r="AG3" s="1862" t="n"/>
      <c r="AH3" s="1862" t="n"/>
      <c r="AI3" s="1861" t="n"/>
      <c r="AJ3" s="1863" t="inlineStr">
        <is>
          <t>SP</t>
        </is>
      </c>
      <c r="AK3" s="1864" t="n"/>
      <c r="AL3" s="1839" t="n"/>
      <c r="AM3" s="1491" t="n"/>
      <c r="AN3" s="1491" t="n"/>
      <c r="AO3" s="1491" t="n"/>
      <c r="AP3" s="1491" t="n"/>
      <c r="AQ3" s="1349" t="n"/>
      <c r="AR3" s="1865" t="inlineStr">
        <is>
          <t xml:space="preserve">—&gt; Rio </t>
        </is>
      </c>
      <c r="AS3" s="1866" t="n"/>
      <c r="AT3" s="1867" t="n">
        <v>36897</v>
      </c>
      <c r="AU3" s="1868" t="inlineStr">
        <is>
          <t>—&gt;</t>
        </is>
      </c>
      <c r="AV3" s="1869" t="n"/>
      <c r="AW3" s="1870" t="inlineStr">
        <is>
          <t>Lisboa</t>
        </is>
      </c>
      <c r="AX3" s="1871" t="n"/>
      <c r="AY3" s="1872" t="n">
        <v>36923</v>
      </c>
      <c r="AZ3" s="1873" t="n">
        <v>36924</v>
      </c>
      <c r="BA3" s="1874">
        <f>AZ3-AY3</f>
        <v/>
      </c>
      <c r="BB3" s="1875" t="inlineStr">
        <is>
          <t>PARIS</t>
        </is>
      </c>
      <c r="BC3" s="1876" t="n"/>
      <c r="BD3" s="1877" t="n">
        <v>40054</v>
      </c>
      <c r="BE3" s="1878" t="n">
        <v>40057</v>
      </c>
      <c r="BF3" s="1879">
        <f>BE3-BD3</f>
        <v/>
      </c>
      <c r="BG3" s="1880" t="inlineStr">
        <is>
          <t>ATENAS</t>
        </is>
      </c>
      <c r="BH3" s="1881" t="n"/>
      <c r="BI3" s="1882" t="n">
        <v>40455</v>
      </c>
      <c r="BJ3" s="1883" t="n">
        <v>40456</v>
      </c>
      <c r="BK3" s="1884">
        <f>BJ3-BI3</f>
        <v/>
      </c>
      <c r="BL3" s="1842" t="n"/>
      <c r="BM3" s="1842" t="n"/>
      <c r="BN3" s="1842" t="n"/>
      <c r="BO3" s="1842" t="n"/>
      <c r="BP3" s="1392" t="n"/>
      <c r="BQ3" s="1842" t="n"/>
      <c r="BR3" s="1842" t="n"/>
      <c r="BS3" s="1842" t="n"/>
      <c r="BT3" s="1842" t="n"/>
      <c r="BU3" s="1842" t="n"/>
      <c r="BV3" s="1842" t="n"/>
      <c r="BW3" s="1842" t="n"/>
      <c r="BX3" s="1842" t="n"/>
      <c r="BY3" s="1842" t="n"/>
      <c r="BZ3" s="1842" t="n"/>
      <c r="CA3" s="1842" t="n"/>
      <c r="CB3" s="1842" t="n"/>
      <c r="CC3" s="1842" t="n"/>
      <c r="CD3" s="1842" t="n"/>
      <c r="CE3" s="1491" t="n"/>
      <c r="CF3" s="1491" t="n"/>
      <c r="CG3" s="1491" t="n"/>
      <c r="CH3" s="1491" t="n"/>
      <c r="CI3" s="1491" t="n"/>
      <c r="CJ3" s="1491" t="n"/>
      <c r="CK3" s="1491" t="n"/>
      <c r="CL3" s="1491" t="n"/>
      <c r="CM3" s="1491" t="n"/>
      <c r="CN3" s="1491" t="n"/>
      <c r="CO3" s="1491" t="n"/>
    </row>
    <row r="4">
      <c r="A4" s="1860" t="n">
        <v>1992</v>
      </c>
      <c r="B4" s="1861" t="n"/>
      <c r="C4" s="1885" t="inlineStr">
        <is>
          <t>SP</t>
        </is>
      </c>
      <c r="D4" s="1861" t="n"/>
      <c r="E4" s="1861" t="n"/>
      <c r="F4" s="1861" t="n"/>
      <c r="G4" s="1861" t="n"/>
      <c r="H4" s="1862" t="n"/>
      <c r="I4" s="1862" t="n"/>
      <c r="J4" s="1886" t="n"/>
      <c r="K4" s="1887" t="n"/>
      <c r="L4" s="1887" t="n"/>
      <c r="M4" s="1888" t="n"/>
      <c r="N4" s="1886" t="n"/>
      <c r="O4" s="1887" t="n"/>
      <c r="P4" s="1887" t="n"/>
      <c r="Q4" s="1887" t="n"/>
      <c r="R4" s="1887" t="n"/>
      <c r="S4" s="1887" t="n"/>
      <c r="T4" s="1889" t="n"/>
      <c r="U4" s="1887" t="n"/>
      <c r="V4" s="1889" t="n"/>
      <c r="W4" s="1890" t="n"/>
      <c r="X4" s="1864" t="n"/>
      <c r="Y4" s="1887" t="n"/>
      <c r="Z4" s="1887" t="n"/>
      <c r="AA4" s="1887" t="n"/>
      <c r="AB4" s="1888" t="n"/>
      <c r="AC4" s="1891" t="n"/>
      <c r="AD4" s="1887" t="n"/>
      <c r="AE4" s="1887" t="n"/>
      <c r="AF4" s="1887" t="n"/>
      <c r="AG4" s="1887" t="n"/>
      <c r="AH4" s="1887" t="n"/>
      <c r="AI4" s="1890" t="n"/>
      <c r="AJ4" s="1861" t="n"/>
      <c r="AK4" s="1864" t="n"/>
      <c r="AL4" s="1839" t="n"/>
      <c r="AM4" s="1491" t="n"/>
      <c r="AN4" s="1491" t="n"/>
      <c r="AO4" s="1491" t="n"/>
      <c r="AP4" s="1491" t="n"/>
      <c r="AQ4" s="1349" t="n"/>
      <c r="AR4" s="1850" t="inlineStr">
        <is>
          <t>espaco aereo brasileiro</t>
        </is>
      </c>
      <c r="AS4" s="1892" t="n"/>
      <c r="AT4" s="1893">
        <f>AT3</f>
        <v/>
      </c>
      <c r="AU4" s="1894">
        <f>AT4+1</f>
        <v/>
      </c>
      <c r="AV4" s="1853">
        <f>AU4-AT4</f>
        <v/>
      </c>
      <c r="AW4" s="1895" t="inlineStr">
        <is>
          <t>ROMA</t>
        </is>
      </c>
      <c r="AX4" s="1896" t="n"/>
      <c r="AY4" s="1897" t="n">
        <v>36924</v>
      </c>
      <c r="AZ4" s="1898" t="n">
        <v>36928</v>
      </c>
      <c r="BA4" s="1899">
        <f>AZ4-AY4</f>
        <v/>
      </c>
      <c r="BB4" s="1875" t="inlineStr">
        <is>
          <t>INTERIOR</t>
        </is>
      </c>
      <c r="BC4" s="1876" t="n"/>
      <c r="BD4" s="1877" t="n">
        <v>37135</v>
      </c>
      <c r="BE4" s="1878" t="n"/>
      <c r="BF4" s="1879" t="n">
        <v>6</v>
      </c>
      <c r="BG4" s="1880" t="inlineStr">
        <is>
          <t>Ilhas Gregas</t>
        </is>
      </c>
      <c r="BH4" s="1881" t="n"/>
      <c r="BI4" s="1882" t="n">
        <v>40456</v>
      </c>
      <c r="BJ4" s="1883" t="n">
        <v>40463</v>
      </c>
      <c r="BK4" s="1884">
        <f>BJ4-BI4</f>
        <v/>
      </c>
      <c r="BL4" s="1842" t="n"/>
      <c r="BM4" s="1842" t="n"/>
      <c r="BN4" s="1842" t="n"/>
      <c r="BO4" s="1842" t="n"/>
      <c r="BP4" s="1392" t="n"/>
      <c r="BQ4" s="1842" t="n"/>
      <c r="BR4" s="1842" t="n"/>
      <c r="BS4" s="1842" t="n"/>
      <c r="BT4" s="1842" t="n"/>
      <c r="BU4" s="1842" t="n"/>
      <c r="BV4" s="1842" t="n"/>
      <c r="BW4" s="1842" t="n"/>
      <c r="BX4" s="1842" t="n"/>
      <c r="BY4" s="1842" t="n"/>
      <c r="BZ4" s="1842" t="n"/>
      <c r="CA4" s="1842" t="n"/>
      <c r="CB4" s="1842" t="n"/>
      <c r="CC4" s="1842" t="n"/>
      <c r="CD4" s="1842" t="n"/>
      <c r="CE4" s="1491" t="n"/>
      <c r="CF4" s="1491" t="n"/>
      <c r="CG4" s="1491" t="n"/>
      <c r="CH4" s="1491" t="n"/>
      <c r="CI4" s="1491" t="n"/>
      <c r="CJ4" s="1491" t="n"/>
      <c r="CK4" s="1491" t="n"/>
      <c r="CL4" s="1491" t="n"/>
      <c r="CM4" s="1491" t="n"/>
      <c r="CN4" s="1491" t="n"/>
      <c r="CO4" s="1491" t="n"/>
    </row>
    <row r="5">
      <c r="A5" s="1860" t="n">
        <v>1993</v>
      </c>
      <c r="B5" s="1861" t="n"/>
      <c r="C5" s="1861" t="n"/>
      <c r="D5" s="1861" t="n"/>
      <c r="E5" s="1861" t="n"/>
      <c r="F5" s="1861" t="n"/>
      <c r="G5" s="1861" t="n"/>
      <c r="H5" s="1900" t="n"/>
      <c r="I5" s="1887" t="n"/>
      <c r="J5" s="1887" t="n"/>
      <c r="K5" s="1887" t="inlineStr">
        <is>
          <t>SP</t>
        </is>
      </c>
      <c r="L5" s="1887" t="n"/>
      <c r="M5" s="1887" t="n"/>
      <c r="N5" s="1887" t="n"/>
      <c r="O5" s="1887" t="n"/>
      <c r="P5" s="1887" t="n"/>
      <c r="Q5" s="1887" t="inlineStr">
        <is>
          <t>SP</t>
        </is>
      </c>
      <c r="R5" s="1887" t="n"/>
      <c r="S5" s="1887" t="n"/>
      <c r="T5" s="1901" t="n"/>
      <c r="U5" s="1902" t="n"/>
      <c r="V5" s="1861" t="n"/>
      <c r="W5" s="1861" t="n"/>
      <c r="X5" s="1891" t="n"/>
      <c r="Y5" s="1887" t="n"/>
      <c r="Z5" s="1887" t="inlineStr">
        <is>
          <t>SP</t>
        </is>
      </c>
      <c r="AA5" s="1887" t="n"/>
      <c r="AB5" s="1887" t="n"/>
      <c r="AC5" s="1887" t="n"/>
      <c r="AD5" s="1887" t="n"/>
      <c r="AE5" s="1887" t="n"/>
      <c r="AF5" s="1887" t="inlineStr">
        <is>
          <t>SP</t>
        </is>
      </c>
      <c r="AG5" s="1887" t="n"/>
      <c r="AH5" s="1901" t="n"/>
      <c r="AI5" s="1861" t="n"/>
      <c r="AJ5" s="1861" t="n"/>
      <c r="AK5" s="1864" t="n"/>
      <c r="AL5" s="1839" t="n"/>
      <c r="AM5" s="1491" t="n"/>
      <c r="AN5" s="1491" t="n"/>
      <c r="AO5" s="1491" t="n"/>
      <c r="AP5" s="1491" t="n"/>
      <c r="AQ5" s="1349" t="n"/>
      <c r="AR5" s="1903" t="inlineStr">
        <is>
          <t>PERU</t>
        </is>
      </c>
      <c r="AS5" s="1904" t="inlineStr">
        <is>
          <t>Lima</t>
        </is>
      </c>
      <c r="AT5" s="1905" t="n">
        <v>29958</v>
      </c>
      <c r="AU5" s="1906" t="n">
        <v>29959</v>
      </c>
      <c r="AV5" s="1899">
        <f>AU5-AT5</f>
        <v/>
      </c>
      <c r="AW5" s="1895" t="inlineStr">
        <is>
          <t>Veneza</t>
        </is>
      </c>
      <c r="AX5" s="1896" t="n"/>
      <c r="AY5" s="1897" t="n">
        <v>36928</v>
      </c>
      <c r="AZ5" s="1898" t="n">
        <v>36929</v>
      </c>
      <c r="BA5" s="1907">
        <f>AZ5-AY5</f>
        <v/>
      </c>
      <c r="BB5" s="1875" t="n"/>
      <c r="BC5" s="1876" t="inlineStr">
        <is>
          <t>Normandie: Rouen, St Michel, HONFLEUR</t>
        </is>
      </c>
      <c r="BD5" s="1877" t="n"/>
      <c r="BE5" s="1878" t="n"/>
      <c r="BF5" s="1908" t="n"/>
      <c r="BG5" s="1909" t="inlineStr">
        <is>
          <t>TURQUIA (Istambul)</t>
        </is>
      </c>
      <c r="BH5" s="1910" t="n"/>
      <c r="BI5" s="1911" t="n"/>
      <c r="BJ5" s="1912" t="n"/>
      <c r="BK5" s="1884" t="n"/>
      <c r="BL5" s="1842" t="n"/>
      <c r="BM5" s="1842" t="n"/>
      <c r="BN5" s="1842" t="n"/>
      <c r="BO5" s="1842" t="n"/>
      <c r="BP5" s="1392" t="n"/>
      <c r="BQ5" s="1842" t="n"/>
      <c r="BR5" s="1842" t="n"/>
      <c r="BS5" s="1842" t="n"/>
      <c r="BT5" s="1842" t="n"/>
      <c r="BU5" s="1842" t="n"/>
      <c r="BV5" s="1842" t="n"/>
      <c r="BW5" s="1842" t="n"/>
      <c r="BX5" s="1842" t="n"/>
      <c r="BY5" s="1842" t="n"/>
      <c r="BZ5" s="1842" t="n"/>
      <c r="CA5" s="1842" t="n"/>
      <c r="CB5" s="1842" t="n"/>
      <c r="CC5" s="1842" t="n"/>
      <c r="CD5" s="1842" t="n"/>
      <c r="CE5" s="1491" t="n"/>
      <c r="CF5" s="1491" t="n"/>
      <c r="CG5" s="1491" t="n"/>
      <c r="CH5" s="1491" t="n"/>
      <c r="CI5" s="1491" t="n"/>
      <c r="CJ5" s="1491" t="n"/>
      <c r="CK5" s="1491" t="n"/>
      <c r="CL5" s="1491" t="n"/>
      <c r="CM5" s="1491" t="n"/>
      <c r="CN5" s="1491" t="n"/>
      <c r="CO5" s="1491" t="n"/>
    </row>
    <row r="6">
      <c r="A6" s="1860" t="n">
        <v>1994</v>
      </c>
      <c r="B6" s="1861" t="n"/>
      <c r="C6" s="1861" t="n"/>
      <c r="D6" s="1861" t="n"/>
      <c r="E6" s="1861" t="n"/>
      <c r="F6" s="1861" t="n"/>
      <c r="G6" s="1862" t="n"/>
      <c r="H6" s="1886" t="n"/>
      <c r="I6" s="1887" t="n"/>
      <c r="J6" s="1887" t="n"/>
      <c r="K6" s="1887" t="n"/>
      <c r="L6" s="1887" t="n"/>
      <c r="M6" s="1887" t="n"/>
      <c r="N6" s="1887" t="n"/>
      <c r="O6" s="1913" t="n"/>
      <c r="P6" s="1887" t="n"/>
      <c r="Q6" s="1887" t="n"/>
      <c r="R6" s="1887" t="n"/>
      <c r="S6" s="1889" t="n"/>
      <c r="T6" s="1889" t="n"/>
      <c r="U6" s="1889" t="n"/>
      <c r="V6" s="1890" t="n"/>
      <c r="W6" s="1891" t="n"/>
      <c r="X6" s="1886" t="n"/>
      <c r="Y6" s="1887" t="n"/>
      <c r="Z6" s="1887" t="n"/>
      <c r="AA6" s="1887" t="n"/>
      <c r="AB6" s="1887" t="n"/>
      <c r="AC6" s="1887" t="n"/>
      <c r="AD6" s="1887" t="n"/>
      <c r="AE6" s="1887" t="n"/>
      <c r="AF6" s="1887" t="n"/>
      <c r="AG6" s="1887" t="n"/>
      <c r="AH6" s="1887" t="n"/>
      <c r="AI6" s="1888" t="n"/>
      <c r="AJ6" s="1861" t="n"/>
      <c r="AK6" s="1864" t="n"/>
      <c r="AL6" s="1839" t="n"/>
      <c r="AM6" s="1491" t="n"/>
      <c r="AN6" s="1491" t="n"/>
      <c r="AO6" s="1491" t="n"/>
      <c r="AP6" s="1491" t="n"/>
      <c r="AQ6" s="1349" t="n"/>
      <c r="AR6" s="1914" t="inlineStr">
        <is>
          <t>Cuzco</t>
        </is>
      </c>
      <c r="AS6" s="1915" t="n"/>
      <c r="AT6" s="1916" t="n">
        <v>29959</v>
      </c>
      <c r="AU6" s="1917" t="n">
        <v>29961</v>
      </c>
      <c r="AV6" s="1874">
        <f>AU6-AT6</f>
        <v/>
      </c>
      <c r="AW6" s="1918" t="inlineStr">
        <is>
          <t>Bern</t>
        </is>
      </c>
      <c r="AX6" s="1918" t="n"/>
      <c r="AY6" s="1919" t="n">
        <v>36929</v>
      </c>
      <c r="AZ6" s="1920" t="n">
        <v>36931</v>
      </c>
      <c r="BA6" s="1899">
        <f>AZ6-AY6</f>
        <v/>
      </c>
      <c r="BB6" s="1875" t="n"/>
      <c r="BC6" s="1876" t="inlineStr">
        <is>
          <t>Dinan, Dinard; Grand Roc, Les Eyzies (grutas); ST. MALO</t>
        </is>
      </c>
      <c r="BD6" s="1877" t="n">
        <v>32022</v>
      </c>
      <c r="BE6" s="1878" t="n"/>
      <c r="BF6" s="1908" t="n"/>
      <c r="BG6" s="1909" t="inlineStr">
        <is>
          <t>Efeso</t>
        </is>
      </c>
      <c r="BH6" s="1910" t="n"/>
      <c r="BI6" s="1911" t="n">
        <v>38635</v>
      </c>
      <c r="BJ6" s="1912" t="n"/>
      <c r="BK6" s="1884" t="n"/>
      <c r="BL6" s="1842" t="n"/>
      <c r="BM6" s="1842" t="n"/>
      <c r="BN6" s="1842" t="n"/>
      <c r="BO6" s="1842" t="n"/>
      <c r="BP6" s="1392" t="n"/>
      <c r="BQ6" s="1842" t="n"/>
      <c r="BR6" s="1842" t="n"/>
      <c r="BS6" s="1842" t="n"/>
      <c r="BT6" s="1842" t="n"/>
      <c r="BU6" s="1842" t="n"/>
      <c r="BV6" s="1842" t="n"/>
      <c r="BW6" s="1842" t="n"/>
      <c r="BX6" s="1842" t="n"/>
      <c r="BY6" s="1842" t="n"/>
      <c r="BZ6" s="1842" t="n"/>
      <c r="CA6" s="1842" t="n"/>
      <c r="CB6" s="1842" t="n"/>
      <c r="CC6" s="1842" t="n"/>
      <c r="CD6" s="1842" t="n"/>
      <c r="CE6" s="1491" t="n"/>
      <c r="CF6" s="1491" t="n"/>
      <c r="CG6" s="1491" t="n"/>
      <c r="CH6" s="1491" t="n"/>
      <c r="CI6" s="1491" t="n"/>
      <c r="CJ6" s="1491" t="n"/>
      <c r="CK6" s="1491" t="n"/>
      <c r="CL6" s="1491" t="n"/>
      <c r="CM6" s="1491" t="n"/>
      <c r="CN6" s="1491" t="n"/>
      <c r="CO6" s="1491" t="n"/>
    </row>
    <row r="7">
      <c r="A7" s="1860" t="n">
        <v>1995</v>
      </c>
      <c r="B7" s="1861" t="inlineStr">
        <is>
          <t>SSA</t>
        </is>
      </c>
      <c r="C7" s="1921" t="inlineStr">
        <is>
          <t>PRT</t>
        </is>
      </c>
      <c r="D7" s="1922" t="inlineStr">
        <is>
          <t>ESP</t>
        </is>
      </c>
      <c r="E7" s="1923" t="inlineStr">
        <is>
          <t>Tanger</t>
        </is>
      </c>
      <c r="F7" s="1861" t="n"/>
      <c r="G7" s="1924" t="n"/>
      <c r="H7" s="1889" t="n"/>
      <c r="I7" s="1887" t="n"/>
      <c r="J7" s="1889" t="n"/>
      <c r="K7" s="1889" t="n"/>
      <c r="L7" s="1889" t="n"/>
      <c r="M7" s="1889" t="n"/>
      <c r="N7" s="1889" t="n"/>
      <c r="O7" s="1889" t="n"/>
      <c r="P7" s="1889" t="n"/>
      <c r="Q7" s="1889" t="n"/>
      <c r="R7" s="1889" t="n"/>
      <c r="S7" s="1888" t="n"/>
      <c r="T7" s="1862" t="n"/>
      <c r="U7" s="1862" t="n"/>
      <c r="V7" s="1862" t="n"/>
      <c r="W7" s="1924" t="n"/>
      <c r="X7" s="1889" t="n"/>
      <c r="Y7" s="1889" t="n"/>
      <c r="Z7" s="1889" t="n"/>
      <c r="AA7" s="1889" t="n"/>
      <c r="AB7" s="1889" t="n"/>
      <c r="AC7" s="1889" t="n"/>
      <c r="AD7" s="1889" t="n"/>
      <c r="AE7" s="1889" t="n"/>
      <c r="AF7" s="1889" t="n"/>
      <c r="AG7" s="1889" t="n"/>
      <c r="AH7" s="1887" t="n"/>
      <c r="AI7" s="1925" t="n"/>
      <c r="AJ7" s="1926" t="n"/>
      <c r="AK7" s="1864" t="n"/>
      <c r="AL7" s="1839" t="n"/>
      <c r="AM7" s="1491" t="n"/>
      <c r="AN7" s="1491" t="n"/>
      <c r="AO7" s="1491" t="n"/>
      <c r="AP7" s="1491" t="n"/>
      <c r="AQ7" s="1349" t="n"/>
      <c r="AR7" s="1914" t="n"/>
      <c r="AS7" s="1927" t="inlineStr">
        <is>
          <t>—&gt; Machu Picchu</t>
        </is>
      </c>
      <c r="AT7" s="1916" t="n"/>
      <c r="AU7" s="1917" t="n">
        <v>29960</v>
      </c>
      <c r="AV7" s="1874" t="n"/>
      <c r="AW7" s="1918" t="inlineStr">
        <is>
          <t>Grundenwald</t>
        </is>
      </c>
      <c r="AX7" s="1918" t="n"/>
      <c r="AY7" s="1919" t="n">
        <v>39853</v>
      </c>
      <c r="AZ7" s="1920" t="n">
        <v>39854</v>
      </c>
      <c r="BA7" s="1907">
        <f>AZ7-AY7</f>
        <v/>
      </c>
      <c r="BB7" s="1875" t="n"/>
      <c r="BC7" s="1876" t="inlineStr">
        <is>
          <t>Serlat, CAHORS</t>
        </is>
      </c>
      <c r="BD7" s="1877" t="n">
        <v>32023</v>
      </c>
      <c r="BE7" s="1878" t="n"/>
      <c r="BF7" s="1908" t="n"/>
      <c r="BG7" s="1880" t="inlineStr">
        <is>
          <t>Atenas</t>
        </is>
      </c>
      <c r="BH7" s="1881" t="n"/>
      <c r="BI7" s="1882" t="n">
        <v>37176</v>
      </c>
      <c r="BJ7" s="1883" t="n">
        <v>37179</v>
      </c>
      <c r="BK7" s="1884">
        <f>BJ7-BI7</f>
        <v/>
      </c>
      <c r="BL7" s="1842" t="n"/>
      <c r="BM7" s="1842" t="n"/>
      <c r="BN7" s="1842" t="n"/>
      <c r="BO7" s="1842" t="n"/>
      <c r="BP7" s="1392" t="n"/>
      <c r="BQ7" s="1842" t="n"/>
      <c r="BR7" s="1842" t="n"/>
      <c r="BS7" s="1842" t="n"/>
      <c r="BT7" s="1842" t="n"/>
      <c r="BU7" s="1842" t="n"/>
      <c r="BV7" s="1842" t="n"/>
      <c r="BW7" s="1842" t="n"/>
      <c r="BX7" s="1842" t="n"/>
      <c r="BY7" s="1842" t="n"/>
      <c r="BZ7" s="1842" t="n"/>
      <c r="CA7" s="1842" t="n"/>
      <c r="CB7" s="1842" t="n"/>
      <c r="CC7" s="1842" t="n"/>
      <c r="CD7" s="1842" t="n"/>
      <c r="CE7" s="1491" t="n"/>
      <c r="CF7" s="1491" t="n"/>
      <c r="CG7" s="1491" t="n"/>
      <c r="CH7" s="1491" t="n"/>
      <c r="CI7" s="1491" t="n"/>
      <c r="CJ7" s="1491" t="n"/>
      <c r="CK7" s="1491" t="n"/>
      <c r="CL7" s="1491" t="n"/>
      <c r="CM7" s="1491" t="n"/>
      <c r="CN7" s="1491" t="n"/>
      <c r="CO7" s="1491" t="n"/>
    </row>
    <row r="8">
      <c r="A8" s="1860" t="n">
        <v>1996</v>
      </c>
      <c r="B8" s="1861" t="n"/>
      <c r="C8" s="1861" t="n"/>
      <c r="D8" s="1861" t="n"/>
      <c r="E8" s="1861" t="n"/>
      <c r="F8" s="1861" t="n"/>
      <c r="G8" s="1861" t="n"/>
      <c r="H8" s="1861" t="n"/>
      <c r="I8" s="1863" t="n"/>
      <c r="J8" s="1928" t="n"/>
      <c r="K8" s="1929" t="n"/>
      <c r="L8" s="1929" t="n"/>
      <c r="M8" s="1929" t="n"/>
      <c r="N8" s="1929" t="n"/>
      <c r="O8" s="1929" t="n"/>
      <c r="P8" s="1929" t="n"/>
      <c r="Q8" s="1929" t="inlineStr">
        <is>
          <t>LONDON</t>
        </is>
      </c>
      <c r="R8" s="1929" t="n"/>
      <c r="S8" s="1929" t="n"/>
      <c r="T8" s="1929" t="n"/>
      <c r="U8" s="1929" t="n"/>
      <c r="V8" s="1929" t="n"/>
      <c r="W8" s="1929" t="n"/>
      <c r="X8" s="1929" t="n"/>
      <c r="Y8" s="1930" t="n"/>
      <c r="Z8" s="1929" t="n"/>
      <c r="AA8" s="1931" t="n"/>
      <c r="AB8" s="1932" t="n"/>
      <c r="AC8" s="1932" t="n"/>
      <c r="AD8" s="1932" t="n"/>
      <c r="AE8" s="1932" t="n"/>
      <c r="AF8" s="1932" t="n"/>
      <c r="AG8" s="1932" t="n"/>
      <c r="AH8" s="1863" t="n"/>
      <c r="AI8" s="1888" t="n"/>
      <c r="AJ8" s="1862" t="n"/>
      <c r="AK8" s="1864" t="n"/>
      <c r="AL8" s="1839" t="n"/>
      <c r="AM8" s="1491" t="n"/>
      <c r="AN8" s="1491" t="n"/>
      <c r="AO8" s="1491" t="n"/>
      <c r="AP8" s="1491" t="n"/>
      <c r="AQ8" s="1349" t="n"/>
      <c r="AR8" s="1933" t="inlineStr">
        <is>
          <t>Lima</t>
        </is>
      </c>
      <c r="AS8" s="1927" t="n"/>
      <c r="AT8" s="1916" t="n">
        <v>40553</v>
      </c>
      <c r="AU8" s="1917" t="n"/>
      <c r="AV8" s="1874" t="n"/>
      <c r="AW8" s="1934" t="inlineStr">
        <is>
          <t>VALE DO RENO</t>
        </is>
      </c>
      <c r="AX8" s="1935" t="n"/>
      <c r="AY8" s="1936" t="n"/>
      <c r="AZ8" s="1937" t="n"/>
      <c r="BA8" s="1899" t="n"/>
      <c r="BB8" s="1875" t="n"/>
      <c r="BC8" s="1876" t="inlineStr">
        <is>
          <t>Albi, CARCASSONE</t>
        </is>
      </c>
      <c r="BD8" s="1877" t="n">
        <v>40060</v>
      </c>
      <c r="BE8" s="1878" t="n">
        <v>40061</v>
      </c>
      <c r="BF8" s="1908" t="n"/>
      <c r="BG8" s="1875" t="inlineStr">
        <is>
          <t>PARIS</t>
        </is>
      </c>
      <c r="BH8" s="1876" t="n"/>
      <c r="BI8" s="1877" t="n">
        <v>37179</v>
      </c>
      <c r="BJ8" s="1878" t="n">
        <v>37180</v>
      </c>
      <c r="BK8" s="1884">
        <f>BJ8-BI8</f>
        <v/>
      </c>
      <c r="BL8" s="1842" t="n"/>
      <c r="BM8" s="1842" t="n"/>
      <c r="BN8" s="1842" t="n"/>
      <c r="BO8" s="1842" t="n"/>
      <c r="BP8" s="1392" t="n"/>
      <c r="BQ8" s="1842" t="n"/>
      <c r="BR8" s="1842" t="n"/>
      <c r="BS8" s="1842" t="n"/>
      <c r="BT8" s="1842" t="n"/>
      <c r="BU8" s="1842" t="n"/>
      <c r="BV8" s="1842" t="n"/>
      <c r="BW8" s="1842" t="n"/>
      <c r="BX8" s="1842" t="n"/>
      <c r="BY8" s="1842" t="n"/>
      <c r="BZ8" s="1842" t="n"/>
      <c r="CA8" s="1842" t="n"/>
      <c r="CB8" s="1842" t="n"/>
      <c r="CC8" s="1842" t="n"/>
      <c r="CD8" s="1842" t="n"/>
      <c r="CE8" s="1491" t="n"/>
      <c r="CF8" s="1491" t="n"/>
      <c r="CG8" s="1491" t="n"/>
      <c r="CH8" s="1491" t="n"/>
      <c r="CI8" s="1491" t="n"/>
      <c r="CJ8" s="1491" t="n"/>
      <c r="CK8" s="1491" t="n"/>
      <c r="CL8" s="1491" t="n"/>
      <c r="CM8" s="1491" t="n"/>
      <c r="CN8" s="1491" t="n"/>
      <c r="CO8" s="1491" t="n"/>
    </row>
    <row r="9">
      <c r="A9" s="1860" t="n">
        <v>1997</v>
      </c>
      <c r="B9" s="1861" t="n"/>
      <c r="C9" s="1861" t="n"/>
      <c r="D9" s="1861" t="n"/>
      <c r="E9" s="1861" t="n"/>
      <c r="F9" s="1861" t="n"/>
      <c r="G9" s="1861" t="n"/>
      <c r="H9" s="1861" t="n"/>
      <c r="I9" s="1861" t="n"/>
      <c r="J9" s="1861" t="n"/>
      <c r="K9" s="1861" t="n"/>
      <c r="L9" s="1861" t="n"/>
      <c r="M9" s="1861" t="n"/>
      <c r="N9" s="1861" t="n"/>
      <c r="O9" s="1861" t="n"/>
      <c r="P9" s="1861" t="n"/>
      <c r="Q9" s="1938" t="n"/>
      <c r="R9" s="1861" t="n"/>
      <c r="S9" s="1861" t="n"/>
      <c r="T9" s="1861" t="n"/>
      <c r="U9" s="1861" t="n"/>
      <c r="V9" s="1861" t="n"/>
      <c r="W9" s="1861" t="n"/>
      <c r="X9" s="1939" t="n"/>
      <c r="Y9" s="1940" t="n"/>
      <c r="Z9" s="1932" t="n"/>
      <c r="AA9" s="1941" t="n"/>
      <c r="AB9" s="1932" t="n"/>
      <c r="AC9" s="1942" t="n"/>
      <c r="AD9" s="1932" t="inlineStr">
        <is>
          <t>PARIS</t>
        </is>
      </c>
      <c r="AE9" s="1932" t="n"/>
      <c r="AF9" s="1932" t="n"/>
      <c r="AG9" s="1932" t="n"/>
      <c r="AH9" s="1932" t="n"/>
      <c r="AI9" s="1932" t="n"/>
      <c r="AJ9" s="1932" t="n"/>
      <c r="AK9" s="1943" t="n"/>
      <c r="AL9" s="1839" t="n"/>
      <c r="AM9" s="1491" t="n"/>
      <c r="AN9" s="1491" t="n"/>
      <c r="AO9" s="1491" t="n"/>
      <c r="AP9" s="1491" t="n"/>
      <c r="AQ9" s="1349" t="n"/>
      <c r="AR9" s="1944" t="inlineStr">
        <is>
          <t>espaco aéreo peruano</t>
        </is>
      </c>
      <c r="AS9" s="1945" t="n"/>
      <c r="AT9" s="1946">
        <f>AT8</f>
        <v/>
      </c>
      <c r="AU9" s="1947">
        <f>AT9+1</f>
        <v/>
      </c>
      <c r="AV9" s="1948">
        <f>AU9-AT9</f>
        <v/>
      </c>
      <c r="AW9" s="1934" t="inlineStr">
        <is>
          <t>Baden-Baden</t>
        </is>
      </c>
      <c r="AX9" s="1935" t="n"/>
      <c r="AY9" s="1936" t="n">
        <v>30722</v>
      </c>
      <c r="AZ9" s="1937">
        <f>AY10</f>
        <v/>
      </c>
      <c r="BA9" s="1874">
        <f>AZ9-AY9</f>
        <v/>
      </c>
      <c r="BB9" s="1875" t="n"/>
      <c r="BC9" s="1876" t="inlineStr">
        <is>
          <t>Aigues-Mortes, FLORAC</t>
        </is>
      </c>
      <c r="BD9" s="1877" t="n">
        <v>32025</v>
      </c>
      <c r="BE9" s="1878" t="n"/>
      <c r="BF9" s="1908" t="n"/>
      <c r="BG9" s="1949" t="inlineStr">
        <is>
          <t>BELGICA (Gent)</t>
        </is>
      </c>
      <c r="BH9" s="1950" t="n"/>
      <c r="BI9" s="1951" t="n">
        <v>37180</v>
      </c>
      <c r="BJ9" s="1952" t="n">
        <v>37181</v>
      </c>
      <c r="BK9" s="1884">
        <f>BJ9-BI9</f>
        <v/>
      </c>
      <c r="BL9" s="1842" t="n"/>
      <c r="BM9" s="1842" t="n"/>
      <c r="BN9" s="1842" t="n"/>
      <c r="BO9" s="1842" t="n"/>
      <c r="BP9" s="1392" t="n"/>
      <c r="BQ9" s="1842" t="n"/>
      <c r="BR9" s="1842" t="n"/>
      <c r="BS9" s="1842" t="n"/>
      <c r="BT9" s="1842" t="n"/>
      <c r="BU9" s="1842" t="n"/>
      <c r="BV9" s="1842" t="n"/>
      <c r="BW9" s="1842" t="n"/>
      <c r="BX9" s="1842" t="n"/>
      <c r="BY9" s="1842" t="n"/>
      <c r="BZ9" s="1842" t="n"/>
      <c r="CA9" s="1842" t="n"/>
      <c r="CB9" s="1842" t="n"/>
      <c r="CC9" s="1842" t="n"/>
      <c r="CD9" s="1842" t="n"/>
      <c r="CE9" s="1491" t="n"/>
      <c r="CF9" s="1491" t="n"/>
      <c r="CG9" s="1491" t="n"/>
      <c r="CH9" s="1491" t="n"/>
      <c r="CI9" s="1491" t="n"/>
      <c r="CJ9" s="1491" t="n"/>
      <c r="CK9" s="1491" t="n"/>
      <c r="CL9" s="1491" t="n"/>
      <c r="CM9" s="1491" t="n"/>
      <c r="CN9" s="1491" t="n"/>
      <c r="CO9" s="1491" t="n"/>
    </row>
    <row r="10">
      <c r="A10" s="1860" t="n">
        <v>1998</v>
      </c>
      <c r="B10" s="1861" t="n"/>
      <c r="C10" s="1861" t="n"/>
      <c r="D10" s="1953" t="inlineStr">
        <is>
          <t>PARIS</t>
        </is>
      </c>
      <c r="E10" s="1072" t="n"/>
      <c r="F10" s="1861" t="n"/>
      <c r="G10" s="1861" t="n"/>
      <c r="H10" s="1861" t="n"/>
      <c r="I10" s="1953" t="inlineStr">
        <is>
          <t>PARIS</t>
        </is>
      </c>
      <c r="J10" s="1429" t="n"/>
      <c r="K10" s="1429" t="n"/>
      <c r="L10" s="1429" t="n"/>
      <c r="M10" s="1429" t="n"/>
      <c r="N10" s="1429" t="n"/>
      <c r="O10" s="1072" t="n"/>
      <c r="P10" s="1954" t="n"/>
      <c r="Q10" s="1955" t="n"/>
      <c r="R10" s="1941" t="n"/>
      <c r="S10" s="1956" t="n"/>
      <c r="T10" s="1941" t="inlineStr">
        <is>
          <t>PARIS</t>
        </is>
      </c>
      <c r="U10" s="1956" t="n"/>
      <c r="V10" s="1956" t="n"/>
      <c r="W10" s="1957" t="n"/>
      <c r="X10" s="1958" t="n"/>
      <c r="Y10" s="1959" t="n"/>
      <c r="Z10" s="1958" t="n"/>
      <c r="AA10" s="1921" t="inlineStr">
        <is>
          <t>Euro</t>
        </is>
      </c>
      <c r="AB10" s="1959" t="n"/>
      <c r="AC10" s="1960" t="n"/>
      <c r="AD10" s="1961" t="n"/>
      <c r="AE10" s="1962" t="inlineStr">
        <is>
          <t>CS</t>
        </is>
      </c>
      <c r="AF10" s="1429" t="n"/>
      <c r="AG10" s="1072" t="n"/>
      <c r="AH10" s="1959" t="n"/>
      <c r="AI10" s="1963" t="n"/>
      <c r="AJ10" s="1885" t="n"/>
      <c r="AK10" s="1864" t="n"/>
      <c r="AL10" s="1839" t="n"/>
      <c r="AM10" s="1491" t="n"/>
      <c r="AN10" s="1491" t="n"/>
      <c r="AO10" s="1491" t="n"/>
      <c r="AP10" s="1491" t="n"/>
      <c r="AQ10" s="1349" t="n"/>
      <c r="AR10" s="1964" t="inlineStr">
        <is>
          <t>México</t>
        </is>
      </c>
      <c r="AS10" s="1965" t="n"/>
      <c r="AT10" s="1966" t="n">
        <v>40189</v>
      </c>
      <c r="AU10" s="1967" t="n">
        <v>40191</v>
      </c>
      <c r="AV10" s="1899">
        <f>AU10-AT10</f>
        <v/>
      </c>
      <c r="AW10" s="1934" t="n"/>
      <c r="AX10" s="1968" t="inlineStr">
        <is>
          <t>FREUDENSTADT</t>
        </is>
      </c>
      <c r="AY10" s="1936" t="n">
        <v>30724</v>
      </c>
      <c r="AZ10" s="1937" t="n">
        <v>30726</v>
      </c>
      <c r="BA10" s="1874">
        <f>AZ10-AY10</f>
        <v/>
      </c>
      <c r="BB10" s="1875" t="n"/>
      <c r="BC10" s="1876" t="inlineStr">
        <is>
          <t>Les Baux, Arles, Chateneuf du Pape, AVIGNON</t>
        </is>
      </c>
      <c r="BD10" s="1877" t="n">
        <v>40062</v>
      </c>
      <c r="BE10" s="1878" t="n">
        <v>32027</v>
      </c>
      <c r="BF10" s="1071" t="n"/>
      <c r="BG10" s="1949" t="inlineStr">
        <is>
          <t>Brugge</t>
        </is>
      </c>
      <c r="BH10" s="1950" t="n"/>
      <c r="BI10" s="1951" t="n">
        <v>37181</v>
      </c>
      <c r="BJ10" s="1952" t="n">
        <v>37182</v>
      </c>
      <c r="BK10" s="1884">
        <f>BJ10-BI10</f>
        <v/>
      </c>
      <c r="BL10" s="1842" t="n"/>
      <c r="BM10" s="1842" t="n"/>
      <c r="BN10" s="1842" t="n"/>
      <c r="BO10" s="1842" t="n"/>
      <c r="BP10" s="1392" t="n"/>
      <c r="BQ10" s="1842" t="n"/>
      <c r="BR10" s="1842" t="n"/>
      <c r="BS10" s="1842" t="n"/>
      <c r="BT10" s="1842" t="n"/>
      <c r="BU10" s="1842" t="n"/>
      <c r="BV10" s="1842" t="n"/>
      <c r="BW10" s="1842" t="n"/>
      <c r="BX10" s="1842" t="n"/>
      <c r="BY10" s="1842" t="n"/>
      <c r="BZ10" s="1842" t="n"/>
      <c r="CA10" s="1842" t="n"/>
      <c r="CB10" s="1842" t="n"/>
      <c r="CC10" s="1842" t="n"/>
      <c r="CD10" s="1842" t="n"/>
      <c r="CE10" s="1491" t="n"/>
      <c r="CF10" s="1491" t="n"/>
      <c r="CG10" s="1491" t="n"/>
      <c r="CH10" s="1491" t="n"/>
      <c r="CI10" s="1491" t="n"/>
      <c r="CJ10" s="1491" t="n"/>
      <c r="CK10" s="1491" t="n"/>
      <c r="CL10" s="1491" t="n"/>
      <c r="CM10" s="1491" t="n"/>
      <c r="CN10" s="1491" t="n"/>
      <c r="CO10" s="1491" t="n"/>
    </row>
    <row r="11">
      <c r="A11" s="1860" t="n">
        <v>1999</v>
      </c>
      <c r="B11" s="1861" t="n"/>
      <c r="C11" s="1861" t="n"/>
      <c r="D11" s="1861" t="n"/>
      <c r="E11" s="1861" t="n"/>
      <c r="F11" s="1862" t="n"/>
      <c r="G11" s="1862" t="n"/>
      <c r="H11" s="1862" t="n"/>
      <c r="I11" s="1862" t="n"/>
      <c r="J11" s="1862" t="n"/>
      <c r="K11" s="1862" t="n"/>
      <c r="L11" s="1862" t="n"/>
      <c r="M11" s="1862" t="n"/>
      <c r="N11" s="1862" t="n"/>
      <c r="O11" s="1862" t="n"/>
      <c r="P11" s="1969" t="inlineStr">
        <is>
          <t>London</t>
        </is>
      </c>
      <c r="Q11" s="1070" t="n"/>
      <c r="R11" s="1970" t="inlineStr">
        <is>
          <t>Paris</t>
        </is>
      </c>
      <c r="S11" s="1862" t="n"/>
      <c r="T11" s="1902" t="n"/>
      <c r="U11" s="1862" t="n"/>
      <c r="V11" s="1862" t="n"/>
      <c r="W11" s="1862" t="n"/>
      <c r="X11" s="1862" t="n"/>
      <c r="Y11" s="1862" t="n"/>
      <c r="Z11" s="1862" t="n"/>
      <c r="AA11" s="1862" t="n"/>
      <c r="AB11" s="1900" t="n"/>
      <c r="AC11" s="1971" t="n"/>
      <c r="AD11" s="1972" t="n"/>
      <c r="AE11" s="1862" t="n"/>
      <c r="AF11" s="1862" t="n"/>
      <c r="AG11" s="1862" t="n"/>
      <c r="AH11" s="1862" t="n"/>
      <c r="AI11" s="1862" t="n"/>
      <c r="AJ11" s="1862" t="n"/>
      <c r="AK11" s="1891" t="n"/>
      <c r="AL11" s="1839" t="n"/>
      <c r="AM11" s="1491" t="n"/>
      <c r="AN11" s="1491" t="n"/>
      <c r="AO11" s="1491" t="n"/>
      <c r="AP11" s="1491" t="n"/>
      <c r="AQ11" s="1349" t="n"/>
      <c r="AR11" s="1973" t="n"/>
      <c r="AS11" s="1974" t="inlineStr">
        <is>
          <t>—&gt; Taxco, Cavaglia, ACAPULCO</t>
        </is>
      </c>
      <c r="AT11" s="1975" t="n">
        <v>39826</v>
      </c>
      <c r="AU11" s="1976">
        <f>AT11+2</f>
        <v/>
      </c>
      <c r="AV11" s="1874">
        <f>AU11-AT11</f>
        <v/>
      </c>
      <c r="AW11" s="1934" t="inlineStr">
        <is>
          <t>Wiesbaden, Köln</t>
        </is>
      </c>
      <c r="AX11" s="1935" t="n"/>
      <c r="AY11" s="1936">
        <f>AZ10</f>
        <v/>
      </c>
      <c r="AZ11" s="1937" t="n">
        <v>30729</v>
      </c>
      <c r="BA11" s="1907">
        <f>AZ11-AY11</f>
        <v/>
      </c>
      <c r="BB11" s="1918" t="inlineStr">
        <is>
          <t>SUIÇA</t>
        </is>
      </c>
      <c r="BC11" s="1977" t="inlineStr">
        <is>
          <t>LAUSANNE</t>
        </is>
      </c>
      <c r="BD11" s="1919" t="n">
        <v>32027</v>
      </c>
      <c r="BE11" s="1920" t="n">
        <v>32028</v>
      </c>
      <c r="BF11" s="1879">
        <f>BE13-BD11</f>
        <v/>
      </c>
      <c r="BG11" s="1875" t="n"/>
      <c r="BH11" s="1876" t="inlineStr">
        <is>
          <t>Calais</t>
        </is>
      </c>
      <c r="BI11" s="1877" t="n"/>
      <c r="BJ11" s="1878" t="n">
        <v>32799</v>
      </c>
      <c r="BK11" s="1884" t="n"/>
      <c r="BL11" s="1842" t="n"/>
      <c r="BM11" s="1842" t="n"/>
      <c r="BN11" s="1842" t="n"/>
      <c r="BO11" s="1842" t="n"/>
      <c r="BP11" s="1392" t="n"/>
      <c r="BQ11" s="1842" t="n"/>
      <c r="BR11" s="1842" t="n"/>
      <c r="BS11" s="1842" t="n"/>
      <c r="BT11" s="1842" t="n"/>
      <c r="BU11" s="1842" t="n"/>
      <c r="BV11" s="1842" t="n"/>
      <c r="BW11" s="1842" t="n"/>
      <c r="BX11" s="1842" t="n"/>
      <c r="BY11" s="1842" t="n"/>
      <c r="BZ11" s="1842" t="n"/>
      <c r="CA11" s="1842" t="n"/>
      <c r="CB11" s="1842" t="n"/>
      <c r="CC11" s="1842" t="n"/>
      <c r="CD11" s="1842" t="n"/>
      <c r="CE11" s="1491" t="n"/>
      <c r="CF11" s="1491" t="n"/>
      <c r="CG11" s="1491" t="n"/>
      <c r="CH11" s="1491" t="n"/>
      <c r="CI11" s="1491" t="n"/>
      <c r="CJ11" s="1491" t="n"/>
      <c r="CK11" s="1491" t="n"/>
      <c r="CL11" s="1491" t="n"/>
      <c r="CM11" s="1491" t="n"/>
      <c r="CN11" s="1491" t="n"/>
      <c r="CO11" s="1491" t="n"/>
    </row>
    <row r="12">
      <c r="A12" s="1978" t="n">
        <v>2000</v>
      </c>
      <c r="B12" s="1862" t="n"/>
      <c r="C12" s="1862" t="n"/>
      <c r="D12" s="1862" t="n"/>
      <c r="E12" s="1891" t="n"/>
      <c r="F12" s="1939" t="n"/>
      <c r="G12" s="1889" t="n"/>
      <c r="H12" s="1889" t="n"/>
      <c r="I12" s="1979" t="n"/>
      <c r="J12" s="1887" t="n"/>
      <c r="K12" s="1887" t="n"/>
      <c r="L12" s="1887" t="n"/>
      <c r="M12" s="1887" t="n"/>
      <c r="N12" s="1887" t="n"/>
      <c r="O12" s="1887" t="n"/>
      <c r="P12" s="1887" t="n"/>
      <c r="Q12" s="1887" t="n"/>
      <c r="R12" s="1887" t="n"/>
      <c r="S12" s="1887" t="n"/>
      <c r="T12" s="1887" t="n"/>
      <c r="U12" s="1887" t="n"/>
      <c r="V12" s="1887" t="n"/>
      <c r="W12" s="1887" t="n"/>
      <c r="X12" s="1887" t="n"/>
      <c r="Y12" s="1887" t="n"/>
      <c r="Z12" s="1887" t="n"/>
      <c r="AA12" s="1887" t="n"/>
      <c r="AB12" s="1887" t="n"/>
      <c r="AC12" s="1887" t="n"/>
      <c r="AD12" s="1979" t="n"/>
      <c r="AE12" s="1887" t="n"/>
      <c r="AF12" s="1887" t="n"/>
      <c r="AG12" s="1887" t="n"/>
      <c r="AH12" s="1887" t="n"/>
      <c r="AI12" s="1889" t="n"/>
      <c r="AJ12" s="1887" t="n"/>
      <c r="AK12" s="1980" t="n"/>
      <c r="AL12" s="1839" t="n"/>
      <c r="AM12" s="1491" t="n"/>
      <c r="AN12" s="1491" t="n"/>
      <c r="AO12" s="1491" t="n"/>
      <c r="AP12" s="1491" t="n"/>
      <c r="AQ12" s="1349" t="n"/>
      <c r="AR12" s="1981" t="inlineStr">
        <is>
          <t>México</t>
        </is>
      </c>
      <c r="AS12" s="1982" t="n"/>
      <c r="AT12" s="1983" t="n">
        <v>29966</v>
      </c>
      <c r="AU12" s="1984" t="n">
        <v>29967</v>
      </c>
      <c r="AV12" s="1907">
        <f>AU12-AT12</f>
        <v/>
      </c>
      <c r="AW12" s="1985" t="inlineStr">
        <is>
          <t>AMSTERDAM</t>
        </is>
      </c>
      <c r="AX12" s="1986" t="n"/>
      <c r="AY12" s="1987" t="n">
        <v>30729</v>
      </c>
      <c r="AZ12" s="1988" t="n">
        <v>30731</v>
      </c>
      <c r="BA12" s="1874">
        <f>AZ12-AY12</f>
        <v/>
      </c>
      <c r="BB12" s="1918" t="n"/>
      <c r="BC12" s="1977" t="inlineStr">
        <is>
          <t>Montreux, GENEVE</t>
        </is>
      </c>
      <c r="BD12" s="1919" t="n">
        <v>32028</v>
      </c>
      <c r="BE12" s="1920" t="n">
        <v>32029</v>
      </c>
      <c r="BF12" s="1908" t="n"/>
      <c r="BG12" s="1989" t="inlineStr">
        <is>
          <t>INGLATERRA</t>
        </is>
      </c>
      <c r="BH12" s="1990" t="n"/>
      <c r="BI12" s="1991" t="n"/>
      <c r="BJ12" s="1992" t="n"/>
      <c r="BK12" s="1884" t="n"/>
      <c r="BL12" s="1842" t="n"/>
      <c r="BM12" s="1842" t="n"/>
      <c r="BN12" s="1842" t="n"/>
      <c r="BO12" s="1842" t="n"/>
      <c r="BP12" s="1392" t="n"/>
      <c r="BQ12" s="1842" t="n"/>
      <c r="BR12" s="1842" t="n"/>
      <c r="BS12" s="1842" t="n"/>
      <c r="BT12" s="1842" t="n"/>
      <c r="BU12" s="1842" t="n"/>
      <c r="BV12" s="1842" t="n"/>
      <c r="BW12" s="1842" t="n"/>
      <c r="BX12" s="1842" t="n"/>
      <c r="BY12" s="1842" t="n"/>
      <c r="BZ12" s="1842" t="n"/>
      <c r="CA12" s="1842" t="n"/>
      <c r="CB12" s="1842" t="n"/>
      <c r="CC12" s="1842" t="n"/>
      <c r="CD12" s="1842" t="n"/>
      <c r="CE12" s="1491" t="n"/>
      <c r="CF12" s="1491" t="n"/>
      <c r="CG12" s="1491" t="n"/>
      <c r="CH12" s="1491" t="n"/>
      <c r="CI12" s="1491" t="n"/>
      <c r="CJ12" s="1491" t="n"/>
      <c r="CK12" s="1491" t="n"/>
      <c r="CL12" s="1491" t="n"/>
      <c r="CM12" s="1491" t="n"/>
      <c r="CN12" s="1491" t="n"/>
      <c r="CO12" s="1491" t="n"/>
    </row>
    <row r="13">
      <c r="A13" s="1978" t="n">
        <v>2001</v>
      </c>
      <c r="B13" s="1887" t="n"/>
      <c r="C13" s="1887" t="n"/>
      <c r="D13" s="1887" t="n"/>
      <c r="E13" s="1889" t="n"/>
      <c r="F13" s="1890" t="n"/>
      <c r="G13" s="1862" t="n"/>
      <c r="H13" s="1861" t="n"/>
      <c r="I13" s="1886" t="n"/>
      <c r="J13" s="1887" t="n"/>
      <c r="K13" s="1887" t="n"/>
      <c r="L13" s="1887" t="n"/>
      <c r="M13" s="1887" t="n"/>
      <c r="N13" s="1887" t="inlineStr">
        <is>
          <t>SP</t>
        </is>
      </c>
      <c r="O13" s="1887" t="n"/>
      <c r="P13" s="1887" t="n"/>
      <c r="Q13" s="1887" t="n"/>
      <c r="R13" s="1887" t="n"/>
      <c r="S13" s="1887" t="n"/>
      <c r="T13" s="1887" t="n"/>
      <c r="U13" s="1887" t="n"/>
      <c r="V13" s="1887" t="n"/>
      <c r="W13" s="1887" t="n"/>
      <c r="X13" s="1887" t="inlineStr">
        <is>
          <t>SP</t>
        </is>
      </c>
      <c r="Y13" s="1887" t="n"/>
      <c r="Z13" s="1887" t="n"/>
      <c r="AA13" s="1887" t="n"/>
      <c r="AB13" s="1889" t="n"/>
      <c r="AC13" s="1889" t="n"/>
      <c r="AD13" s="1887" t="n"/>
      <c r="AE13" s="1887" t="n"/>
      <c r="AF13" s="1887" t="n"/>
      <c r="AG13" s="1887" t="n"/>
      <c r="AH13" s="1887" t="n"/>
      <c r="AI13" s="1913" t="n"/>
      <c r="AJ13" s="1886" t="n"/>
      <c r="AK13" s="1993" t="n"/>
      <c r="AL13" s="1839" t="n"/>
      <c r="AM13" s="1491" t="n"/>
      <c r="AN13" s="1491" t="n"/>
      <c r="AO13" s="1491" t="n"/>
      <c r="AP13" s="1491" t="n"/>
      <c r="AQ13" s="1349" t="n"/>
      <c r="AR13" s="1994" t="inlineStr">
        <is>
          <t>USA</t>
        </is>
      </c>
      <c r="AS13" s="1995" t="inlineStr">
        <is>
          <t>New Orleans</t>
        </is>
      </c>
      <c r="AT13" s="1996" t="n">
        <v>36907</v>
      </c>
      <c r="AU13" s="1997" t="n">
        <v>36909</v>
      </c>
      <c r="AV13" s="1899">
        <f>AU13-AT13</f>
        <v/>
      </c>
      <c r="AW13" s="1875" t="inlineStr">
        <is>
          <t>PARIS</t>
        </is>
      </c>
      <c r="AX13" s="1875" t="n"/>
      <c r="AY13" s="1877" t="n">
        <v>36941</v>
      </c>
      <c r="AZ13" s="1878" t="n">
        <v>36946</v>
      </c>
      <c r="BA13" s="1879">
        <f>AZ13-AY13</f>
        <v/>
      </c>
      <c r="BB13" s="1918" t="n"/>
      <c r="BC13" s="1977" t="inlineStr">
        <is>
          <t>BASEL</t>
        </is>
      </c>
      <c r="BD13" s="1919" t="n">
        <v>32029</v>
      </c>
      <c r="BE13" s="1920" t="n">
        <v>32030</v>
      </c>
      <c r="BF13" s="1908" t="n"/>
      <c r="BG13" s="1989" t="inlineStr">
        <is>
          <t>—&gt;Salisbury</t>
        </is>
      </c>
      <c r="BH13" s="1990" t="n"/>
      <c r="BI13" s="1991" t="n">
        <v>37182</v>
      </c>
      <c r="BJ13" s="1992" t="n">
        <v>37183</v>
      </c>
      <c r="BK13" s="1884">
        <f>BJ13-BI13</f>
        <v/>
      </c>
      <c r="BL13" s="1842" t="n"/>
      <c r="BM13" s="1842" t="n"/>
      <c r="BN13" s="1842" t="n"/>
      <c r="BO13" s="1842" t="n"/>
      <c r="BP13" s="1392" t="n"/>
      <c r="BQ13" s="1842" t="n"/>
      <c r="BR13" s="1842" t="n"/>
      <c r="BS13" s="1842" t="n"/>
      <c r="BT13" s="1842" t="n"/>
      <c r="BU13" s="1842" t="n"/>
      <c r="BV13" s="1842" t="n"/>
      <c r="BW13" s="1842" t="n"/>
      <c r="BX13" s="1842" t="n"/>
      <c r="BY13" s="1842" t="n"/>
      <c r="BZ13" s="1842" t="n"/>
      <c r="CA13" s="1842" t="n"/>
      <c r="CB13" s="1842" t="n"/>
      <c r="CC13" s="1842" t="n"/>
      <c r="CD13" s="1842" t="n"/>
      <c r="CE13" s="1491" t="n"/>
      <c r="CF13" s="1491" t="n"/>
      <c r="CG13" s="1491" t="n"/>
      <c r="CH13" s="1491" t="n"/>
      <c r="CI13" s="1491" t="n"/>
      <c r="CJ13" s="1491" t="n"/>
      <c r="CK13" s="1491" t="n"/>
      <c r="CL13" s="1491" t="n"/>
      <c r="CM13" s="1491" t="n"/>
      <c r="CN13" s="1491" t="n"/>
      <c r="CO13" s="1491" t="n"/>
    </row>
    <row r="14">
      <c r="A14" s="1978" t="n">
        <v>2002</v>
      </c>
      <c r="B14" s="1889" t="n"/>
      <c r="C14" s="1887" t="inlineStr">
        <is>
          <t>SP</t>
        </is>
      </c>
      <c r="D14" s="1887" t="n"/>
      <c r="E14" s="1972" t="n"/>
      <c r="F14" s="1861" t="n"/>
      <c r="G14" s="1924" t="n"/>
      <c r="H14" s="1925" t="n"/>
      <c r="I14" s="1887" t="n"/>
      <c r="J14" s="1887" t="n"/>
      <c r="K14" s="1887" t="n"/>
      <c r="L14" s="1887" t="n"/>
      <c r="M14" s="1887" t="n"/>
      <c r="N14" s="1887" t="n"/>
      <c r="O14" s="1887" t="n"/>
      <c r="P14" s="1887" t="n"/>
      <c r="Q14" s="1887" t="n"/>
      <c r="R14" s="1913" t="n"/>
      <c r="S14" s="1887" t="n"/>
      <c r="T14" s="1887" t="n"/>
      <c r="U14" s="1887" t="n"/>
      <c r="V14" s="1887" t="n"/>
      <c r="W14" s="1887" t="n"/>
      <c r="X14" s="1887" t="n"/>
      <c r="Y14" s="1887" t="n"/>
      <c r="Z14" s="1887" t="n"/>
      <c r="AA14" s="1887" t="n"/>
      <c r="AB14" s="1888" t="n"/>
      <c r="AC14" s="1891" t="n"/>
      <c r="AD14" s="1889" t="n"/>
      <c r="AE14" s="1889" t="n"/>
      <c r="AF14" s="1913" t="n"/>
      <c r="AG14" s="1939" t="n"/>
      <c r="AH14" s="1889" t="n"/>
      <c r="AI14" s="1889" t="n"/>
      <c r="AJ14" s="1889" t="n"/>
      <c r="AK14" s="1913" t="n"/>
      <c r="AL14" s="1839" t="n"/>
      <c r="AM14" s="1491" t="n"/>
      <c r="AN14" s="1491" t="n"/>
      <c r="AO14" s="1491" t="n"/>
      <c r="AP14" s="1491" t="n"/>
      <c r="AQ14" s="1349" t="n"/>
      <c r="AR14" s="1998" t="n"/>
      <c r="AS14" s="1995" t="inlineStr">
        <is>
          <t>Orlando</t>
        </is>
      </c>
      <c r="AT14" s="1996" t="n">
        <v>36909</v>
      </c>
      <c r="AU14" s="1997" t="n">
        <v>36915</v>
      </c>
      <c r="AV14" s="1874">
        <f>AU14-AT14</f>
        <v/>
      </c>
      <c r="AW14" s="1989" t="inlineStr">
        <is>
          <t>LONDON</t>
        </is>
      </c>
      <c r="AX14" s="1989" t="n"/>
      <c r="AY14" s="1991" t="n">
        <v>30736</v>
      </c>
      <c r="AZ14" s="1992" t="n">
        <v>30740</v>
      </c>
      <c r="BA14" s="1874">
        <f>AZ14-AY14</f>
        <v/>
      </c>
      <c r="BB14" s="1999" t="n"/>
      <c r="BC14" s="2000" t="inlineStr">
        <is>
          <t>Berna, Basel</t>
        </is>
      </c>
      <c r="BD14" s="1919" t="n"/>
      <c r="BE14" s="1920" t="n"/>
      <c r="BF14" s="1071" t="n"/>
      <c r="BG14" s="1989" t="inlineStr">
        <is>
          <t>—&gt;Bath-Stratford</t>
        </is>
      </c>
      <c r="BH14" s="1990" t="n"/>
      <c r="BI14" s="1991" t="n">
        <v>37183</v>
      </c>
      <c r="BJ14" s="1992" t="n">
        <v>37184</v>
      </c>
      <c r="BK14" s="1884">
        <f>BJ14-BI14</f>
        <v/>
      </c>
      <c r="BL14" s="1842" t="n"/>
      <c r="BM14" s="1842" t="n"/>
      <c r="BN14" s="1842" t="n"/>
      <c r="BO14" s="1842" t="n"/>
      <c r="BP14" s="1392" t="n"/>
      <c r="BQ14" s="1842" t="n"/>
      <c r="BR14" s="1842" t="n"/>
      <c r="BS14" s="1842" t="n"/>
      <c r="BT14" s="1842" t="n"/>
      <c r="BU14" s="1842" t="n"/>
      <c r="BV14" s="1842" t="n"/>
      <c r="BW14" s="1842" t="n"/>
      <c r="BX14" s="1842" t="n"/>
      <c r="BY14" s="1842" t="n"/>
      <c r="BZ14" s="1842" t="n"/>
      <c r="CA14" s="1842" t="n"/>
      <c r="CB14" s="1842" t="n"/>
      <c r="CC14" s="1842" t="n"/>
      <c r="CD14" s="1842" t="n"/>
      <c r="CE14" s="1491" t="n"/>
      <c r="CF14" s="1491" t="n"/>
      <c r="CG14" s="1491" t="n"/>
      <c r="CH14" s="1491" t="n"/>
      <c r="CI14" s="1491" t="n"/>
      <c r="CJ14" s="1491" t="n"/>
      <c r="CK14" s="1491" t="n"/>
      <c r="CL14" s="1491" t="n"/>
      <c r="CM14" s="1491" t="n"/>
      <c r="CN14" s="1491" t="n"/>
      <c r="CO14" s="1491" t="n"/>
    </row>
    <row r="15">
      <c r="A15" s="1978" t="n">
        <v>2003</v>
      </c>
      <c r="B15" s="1861" t="n"/>
      <c r="C15" s="1939" t="n"/>
      <c r="D15" s="1901" t="n"/>
      <c r="E15" s="1862" t="n"/>
      <c r="F15" s="1861" t="n"/>
      <c r="G15" s="1861" t="n"/>
      <c r="H15" s="1902" t="n"/>
      <c r="I15" s="1939" t="n"/>
      <c r="J15" s="1889" t="n"/>
      <c r="K15" s="1889" t="n"/>
      <c r="L15" s="1887" t="n"/>
      <c r="M15" s="1887" t="n"/>
      <c r="N15" s="1887" t="n"/>
      <c r="O15" s="1887" t="n"/>
      <c r="P15" s="1887" t="n"/>
      <c r="Q15" s="1887" t="n"/>
      <c r="R15" s="1887" t="n"/>
      <c r="S15" s="1887" t="n"/>
      <c r="T15" s="1887" t="n"/>
      <c r="U15" s="2001" t="n"/>
      <c r="V15" s="2002" t="n"/>
      <c r="W15" s="2002" t="n"/>
      <c r="X15" s="2002" t="inlineStr">
        <is>
          <t>LONDON</t>
        </is>
      </c>
      <c r="Y15" s="2002" t="n"/>
      <c r="Z15" s="2002" t="n"/>
      <c r="AA15" s="2003" t="n"/>
      <c r="AB15" s="2004" t="n"/>
      <c r="AC15" s="2004" t="n"/>
      <c r="AD15" s="2004" t="n"/>
      <c r="AE15" s="2004" t="n"/>
      <c r="AF15" s="2004" t="inlineStr">
        <is>
          <t>USA</t>
        </is>
      </c>
      <c r="AG15" s="2005" t="n"/>
      <c r="AH15" s="2005" t="n"/>
      <c r="AI15" s="2004" t="n"/>
      <c r="AJ15" s="2006" t="n"/>
      <c r="AK15" s="1958" t="inlineStr">
        <is>
          <t>London</t>
        </is>
      </c>
      <c r="AL15" s="1839" t="n"/>
      <c r="AM15" s="1491" t="n"/>
      <c r="AN15" s="1491" t="n"/>
      <c r="AO15" s="1491" t="n"/>
      <c r="AP15" s="1491" t="n"/>
      <c r="AQ15" s="1349" t="n"/>
      <c r="AR15" s="1998" t="n"/>
      <c r="AS15" s="2007" t="inlineStr">
        <is>
          <t>—&gt; Disney (19); Tampa (23)</t>
        </is>
      </c>
      <c r="AT15" s="1996" t="n"/>
      <c r="AU15" s="1997" t="n"/>
      <c r="AV15" s="1874">
        <f>AU15-AT15</f>
        <v/>
      </c>
      <c r="AW15" s="2008" t="inlineStr">
        <is>
          <t>espaco aéreo INGLES</t>
        </is>
      </c>
      <c r="AX15" s="2009" t="n"/>
      <c r="AY15" s="2010" t="n">
        <v>30740</v>
      </c>
      <c r="AZ15" s="2011" t="n">
        <v>30741</v>
      </c>
      <c r="BA15" s="2012">
        <f>AZ15-AY15</f>
        <v/>
      </c>
      <c r="BB15" s="1875" t="inlineStr">
        <is>
          <t>ALSÁCIA</t>
        </is>
      </c>
      <c r="BC15" s="1876" t="n"/>
      <c r="BD15" s="1877" t="n">
        <v>32030</v>
      </c>
      <c r="BE15" s="1878" t="n">
        <v>37146</v>
      </c>
      <c r="BF15" s="1879">
        <f>BE17-BD15</f>
        <v/>
      </c>
      <c r="BG15" s="2013" t="inlineStr">
        <is>
          <t>—&gt;Chester</t>
        </is>
      </c>
      <c r="BH15" s="2014" t="n"/>
      <c r="BI15" s="1991" t="n">
        <v>37184</v>
      </c>
      <c r="BJ15" s="1992" t="n">
        <v>37185</v>
      </c>
      <c r="BK15" s="1884">
        <f>BJ15-BI15</f>
        <v/>
      </c>
      <c r="BL15" s="1842" t="n"/>
      <c r="BM15" s="1842" t="n"/>
      <c r="BN15" s="1842" t="n"/>
      <c r="BO15" s="1842" t="n"/>
      <c r="BP15" s="1392" t="n"/>
      <c r="BQ15" s="1842" t="n"/>
      <c r="BR15" s="1842" t="n"/>
      <c r="BS15" s="1842" t="n"/>
      <c r="BT15" s="1842" t="n"/>
      <c r="BU15" s="1842" t="n"/>
      <c r="BV15" s="1842" t="n"/>
      <c r="BW15" s="1842" t="n"/>
      <c r="BX15" s="1842" t="n"/>
      <c r="BY15" s="1842" t="n"/>
      <c r="BZ15" s="1842" t="n"/>
      <c r="CA15" s="1842" t="n"/>
      <c r="CB15" s="1842" t="n"/>
      <c r="CC15" s="1842" t="n"/>
      <c r="CD15" s="1842" t="n"/>
      <c r="CE15" s="1491" t="n"/>
      <c r="CF15" s="1491" t="n"/>
      <c r="CG15" s="1491" t="n"/>
      <c r="CH15" s="1491" t="n"/>
      <c r="CI15" s="1491" t="n"/>
      <c r="CJ15" s="1491" t="n"/>
      <c r="CK15" s="1491" t="n"/>
      <c r="CL15" s="1491" t="n"/>
      <c r="CM15" s="1491" t="n"/>
      <c r="CN15" s="1491" t="n"/>
      <c r="CO15" s="1491" t="n"/>
    </row>
    <row r="16">
      <c r="A16" s="1978" t="n">
        <v>2004</v>
      </c>
      <c r="B16" s="2003" t="inlineStr">
        <is>
          <t>London</t>
        </is>
      </c>
      <c r="C16" s="1955" t="inlineStr">
        <is>
          <t>Combloux</t>
        </is>
      </c>
      <c r="D16" s="2015" t="inlineStr">
        <is>
          <t>USA</t>
        </is>
      </c>
      <c r="E16" s="1885" t="n"/>
      <c r="F16" s="1861" t="n"/>
      <c r="G16" s="1861" t="n"/>
      <c r="H16" s="1885" t="n"/>
      <c r="I16" s="1861" t="n"/>
      <c r="J16" s="1861" t="n"/>
      <c r="K16" s="1861" t="n"/>
      <c r="L16" s="1902" t="n"/>
      <c r="M16" s="1902" t="n"/>
      <c r="N16" s="1902" t="n"/>
      <c r="O16" s="1938" t="n"/>
      <c r="P16" s="1902" t="n"/>
      <c r="Q16" s="1902" t="n"/>
      <c r="R16" s="1902" t="n"/>
      <c r="S16" s="1902" t="n"/>
      <c r="T16" s="1939" t="n"/>
      <c r="U16" s="1889" t="n"/>
      <c r="V16" s="1889" t="n"/>
      <c r="W16" s="1889" t="n"/>
      <c r="X16" s="1889" t="n"/>
      <c r="Y16" s="1889" t="n"/>
      <c r="Z16" s="1887" t="n"/>
      <c r="AA16" s="1887" t="n"/>
      <c r="AB16" s="1887" t="n"/>
      <c r="AC16" s="1971" t="n"/>
      <c r="AD16" s="1889" t="n"/>
      <c r="AE16" s="1889" t="n"/>
      <c r="AF16" s="1925" t="n"/>
      <c r="AG16" s="1971" t="n"/>
      <c r="AH16" s="1971" t="n"/>
      <c r="AI16" s="1913" t="n"/>
      <c r="AJ16" s="1924" t="n"/>
      <c r="AK16" s="1993" t="inlineStr">
        <is>
          <t>Rio</t>
        </is>
      </c>
      <c r="AL16" s="1839" t="n"/>
      <c r="AM16" s="1491" t="n"/>
      <c r="AN16" s="1491" t="n"/>
      <c r="AO16" s="1491" t="n"/>
      <c r="AP16" s="1491" t="n"/>
      <c r="AQ16" s="1349" t="n"/>
      <c r="AR16" s="2016" t="n"/>
      <c r="AS16" s="2017" t="inlineStr">
        <is>
          <t>Miami</t>
        </is>
      </c>
      <c r="AT16" s="2018" t="n">
        <v>36915</v>
      </c>
      <c r="AU16" s="2019" t="n">
        <v>36917</v>
      </c>
      <c r="AV16" s="1907">
        <f>AU16-AT16</f>
        <v/>
      </c>
      <c r="AW16" s="2020" t="inlineStr">
        <is>
          <t>USA</t>
        </is>
      </c>
      <c r="AX16" s="2021" t="inlineStr">
        <is>
          <t>New York</t>
        </is>
      </c>
      <c r="AY16" s="2022" t="n">
        <v>59</v>
      </c>
      <c r="AZ16" s="2023" t="n">
        <v>64</v>
      </c>
      <c r="BA16" s="1899">
        <f>AZ16-AY16</f>
        <v/>
      </c>
      <c r="BB16" s="1875" t="n"/>
      <c r="BC16" s="1876" t="inlineStr">
        <is>
          <t>Colmar, Petite Venice, Barr</t>
        </is>
      </c>
      <c r="BD16" s="1877" t="n"/>
      <c r="BE16" s="1878" t="n"/>
      <c r="BF16" s="1908" t="n"/>
      <c r="BG16" s="1989" t="inlineStr">
        <is>
          <t>ESCÓCIA (Lake District-Lac Lomond)</t>
        </is>
      </c>
      <c r="BH16" s="1990" t="n"/>
      <c r="BI16" s="1991" t="n">
        <v>37185</v>
      </c>
      <c r="BJ16" s="1992" t="n">
        <v>37186</v>
      </c>
      <c r="BK16" s="1884">
        <f>BJ16-BI16</f>
        <v/>
      </c>
      <c r="BL16" s="1842" t="n"/>
      <c r="BM16" s="1842" t="n"/>
      <c r="BN16" s="1842" t="n"/>
      <c r="BO16" s="1842" t="n"/>
      <c r="BP16" s="1392" t="n"/>
      <c r="BQ16" s="1842" t="n"/>
      <c r="BR16" s="1842" t="n"/>
      <c r="BS16" s="1842" t="n"/>
      <c r="BT16" s="1842" t="n"/>
      <c r="BU16" s="1842" t="n"/>
      <c r="BV16" s="1842" t="n"/>
      <c r="BW16" s="1842" t="n"/>
      <c r="BX16" s="1842" t="n"/>
      <c r="BY16" s="1842" t="n"/>
      <c r="BZ16" s="1842" t="n"/>
      <c r="CA16" s="1842" t="n"/>
      <c r="CB16" s="1842" t="n"/>
      <c r="CC16" s="1842" t="n"/>
      <c r="CD16" s="1842" t="n"/>
      <c r="CE16" s="1491" t="n"/>
      <c r="CF16" s="1491" t="n"/>
      <c r="CG16" s="1491" t="n"/>
      <c r="CH16" s="1491" t="n"/>
      <c r="CI16" s="1491" t="n"/>
      <c r="CJ16" s="1491" t="n"/>
      <c r="CK16" s="1491" t="n"/>
      <c r="CL16" s="1491" t="n"/>
      <c r="CM16" s="1491" t="n"/>
      <c r="CN16" s="1491" t="n"/>
      <c r="CO16" s="1491" t="n"/>
    </row>
    <row r="17">
      <c r="A17" s="2024" t="n">
        <v>2005</v>
      </c>
      <c r="B17" s="2025" t="inlineStr">
        <is>
          <t>Rio</t>
        </is>
      </c>
      <c r="C17" s="1861" t="n"/>
      <c r="D17" s="1861" t="n"/>
      <c r="E17" s="1861" t="n"/>
      <c r="F17" s="1861" t="n"/>
      <c r="G17" s="1861" t="n"/>
      <c r="H17" s="1861" t="n"/>
      <c r="I17" s="1861" t="n"/>
      <c r="J17" s="1861" t="n"/>
      <c r="K17" s="1861" t="n"/>
      <c r="L17" s="1939" t="n"/>
      <c r="M17" s="1887" t="n"/>
      <c r="N17" s="1887" t="n"/>
      <c r="O17" s="1890" t="n"/>
      <c r="P17" s="1958" t="inlineStr">
        <is>
          <t xml:space="preserve">     London</t>
        </is>
      </c>
      <c r="Q17" s="1072" t="n"/>
      <c r="R17" s="1953" t="inlineStr">
        <is>
          <t>FRANCA - VF</t>
        </is>
      </c>
      <c r="S17" s="1429" t="n"/>
      <c r="T17" s="1429" t="n"/>
      <c r="U17" s="1072" t="n"/>
      <c r="V17" s="2026" t="inlineStr">
        <is>
          <t>Suica - VF</t>
        </is>
      </c>
      <c r="W17" s="2027" t="n"/>
      <c r="X17" s="2028" t="inlineStr">
        <is>
          <t>ITALIA - VF</t>
        </is>
      </c>
      <c r="Y17" s="2028" t="n"/>
      <c r="Z17" s="2027" t="n"/>
      <c r="AA17" s="2028" t="inlineStr">
        <is>
          <t xml:space="preserve">        ROMA</t>
        </is>
      </c>
      <c r="AB17" s="2028" t="n"/>
      <c r="AC17" s="2029" t="n"/>
      <c r="AD17" s="2003" t="inlineStr">
        <is>
          <t>London</t>
        </is>
      </c>
      <c r="AE17" s="1861" t="n"/>
      <c r="AF17" s="1861" t="n"/>
      <c r="AG17" s="1939" t="n"/>
      <c r="AH17" s="1889" t="n"/>
      <c r="AI17" s="1980" t="n"/>
      <c r="AJ17" s="1861" t="n"/>
      <c r="AK17" s="1864" t="n"/>
      <c r="AL17" s="1839" t="n"/>
      <c r="AM17" s="1491" t="n"/>
      <c r="AN17" s="1491" t="n"/>
      <c r="AO17" s="1491" t="n"/>
      <c r="AP17" s="1491" t="n"/>
      <c r="AQ17" s="1349" t="n"/>
      <c r="AR17" s="2030" t="inlineStr">
        <is>
          <t>espaco aéreo USA</t>
        </is>
      </c>
      <c r="AS17" s="2031" t="n"/>
      <c r="AT17" s="2032" t="n">
        <v>40204</v>
      </c>
      <c r="AU17" s="2033" t="n">
        <v>40205</v>
      </c>
      <c r="AV17" s="2034">
        <f>AU17-AT17</f>
        <v/>
      </c>
      <c r="AW17" s="2035" t="n"/>
      <c r="AX17" s="2036" t="inlineStr">
        <is>
          <t>Washington</t>
        </is>
      </c>
      <c r="AY17" s="2037" t="n">
        <v>39876</v>
      </c>
      <c r="AZ17" s="1997" t="n">
        <v>39878</v>
      </c>
      <c r="BA17" s="1874">
        <f>AZ17-AY17</f>
        <v/>
      </c>
      <c r="BB17" s="1875" t="n"/>
      <c r="BC17" s="1876" t="inlineStr">
        <is>
          <t>Obermar, STRASSBOURG</t>
        </is>
      </c>
      <c r="BD17" s="1877" t="n">
        <v>32032</v>
      </c>
      <c r="BE17" s="1878" t="n">
        <v>32033</v>
      </c>
      <c r="BF17" s="1071" t="n"/>
      <c r="BG17" s="2013" t="inlineStr">
        <is>
          <t>Lac Lomond</t>
        </is>
      </c>
      <c r="BH17" s="2014" t="n"/>
      <c r="BI17" s="1991" t="n">
        <v>37186</v>
      </c>
      <c r="BJ17" s="1992" t="n">
        <v>37187</v>
      </c>
      <c r="BK17" s="1884">
        <f>BJ17-BI17</f>
        <v/>
      </c>
      <c r="BL17" s="1842" t="n"/>
      <c r="BM17" s="1842" t="n"/>
      <c r="BN17" s="1842" t="n"/>
      <c r="BO17" s="1842" t="n"/>
      <c r="BP17" s="1392" t="n"/>
      <c r="BQ17" s="1842" t="n"/>
      <c r="BR17" s="1842" t="n"/>
      <c r="BS17" s="1842" t="n"/>
      <c r="BT17" s="1842" t="n"/>
      <c r="BU17" s="1842" t="n"/>
      <c r="BV17" s="1842" t="n"/>
      <c r="BW17" s="1842" t="n"/>
      <c r="BX17" s="1842" t="n"/>
      <c r="BY17" s="1842" t="n"/>
      <c r="BZ17" s="1842" t="n"/>
      <c r="CA17" s="1842" t="n"/>
      <c r="CB17" s="1842" t="n"/>
      <c r="CC17" s="1842" t="n"/>
      <c r="CD17" s="1842" t="n"/>
      <c r="CE17" s="1491" t="n"/>
      <c r="CF17" s="1491" t="n"/>
      <c r="CG17" s="1491" t="n"/>
      <c r="CH17" s="1491" t="n"/>
      <c r="CI17" s="1491" t="n"/>
      <c r="CJ17" s="1491" t="n"/>
      <c r="CK17" s="1491" t="n"/>
      <c r="CL17" s="1491" t="n"/>
      <c r="CM17" s="1491" t="n"/>
      <c r="CN17" s="1491" t="n"/>
      <c r="CO17" s="1491" t="n"/>
    </row>
    <row r="18">
      <c r="A18" s="2024" t="n">
        <v>2006</v>
      </c>
      <c r="B18" s="1861" t="n"/>
      <c r="C18" s="1861" t="n"/>
      <c r="D18" s="1861" t="n"/>
      <c r="E18" s="1861" t="n"/>
      <c r="F18" s="1861" t="n"/>
      <c r="G18" s="1861" t="n"/>
      <c r="H18" s="2015" t="inlineStr">
        <is>
          <t>USA</t>
        </is>
      </c>
      <c r="I18" s="1890" t="n"/>
      <c r="J18" s="1861" t="n"/>
      <c r="K18" s="1861" t="n"/>
      <c r="L18" s="1864" t="n"/>
      <c r="M18" s="1887" t="n"/>
      <c r="N18" s="1887" t="n"/>
      <c r="O18" s="1888" t="n"/>
      <c r="P18" s="1861" t="n"/>
      <c r="Q18" s="1900" t="n"/>
      <c r="R18" s="1925" t="n"/>
      <c r="S18" s="1925" t="n"/>
      <c r="T18" s="1901" t="n"/>
      <c r="U18" s="1902" t="n"/>
      <c r="V18" s="1902" t="n"/>
      <c r="W18" s="1902" t="n"/>
      <c r="X18" s="1861" t="n"/>
      <c r="Y18" s="1902" t="n"/>
      <c r="Z18" s="1862" t="n"/>
      <c r="AA18" s="1861" t="n"/>
      <c r="AB18" s="1939" t="n"/>
      <c r="AC18" s="1890" t="n"/>
      <c r="AD18" s="1861" t="n"/>
      <c r="AE18" s="1862" t="n"/>
      <c r="AF18" s="1861" t="n"/>
      <c r="AG18" s="1861" t="n"/>
      <c r="AH18" s="1861" t="n"/>
      <c r="AI18" s="1938" t="n"/>
      <c r="AJ18" s="1861" t="n"/>
      <c r="AK18" s="1864" t="n"/>
      <c r="AL18" s="1839" t="n"/>
      <c r="AM18" s="1491" t="n"/>
      <c r="AN18" s="1491" t="n"/>
      <c r="AO18" s="1491" t="n"/>
      <c r="AP18" s="1491" t="n"/>
      <c r="AQ18" s="1349" t="n"/>
      <c r="AR18" s="1865" t="inlineStr">
        <is>
          <t>Manaus</t>
        </is>
      </c>
      <c r="AS18" s="1866" t="n"/>
      <c r="AT18" s="1867" t="n">
        <v>36918</v>
      </c>
      <c r="AU18" s="1868" t="n">
        <v>36921</v>
      </c>
      <c r="AV18" s="1869">
        <f>AU18-AT18</f>
        <v/>
      </c>
      <c r="AW18" s="2035" t="n"/>
      <c r="AX18" s="2036" t="inlineStr">
        <is>
          <t>Disney</t>
        </is>
      </c>
      <c r="AY18" s="2037" t="n">
        <v>40243</v>
      </c>
      <c r="AZ18" s="1997" t="n">
        <v>40248</v>
      </c>
      <c r="BA18" s="1874">
        <f>AZ18-AY18</f>
        <v/>
      </c>
      <c r="BB18" s="2038" t="inlineStr">
        <is>
          <t>ALEMANHA</t>
        </is>
      </c>
      <c r="BC18" s="2039" t="inlineStr">
        <is>
          <t>LINDAU</t>
        </is>
      </c>
      <c r="BD18" s="1936">
        <f>BE17</f>
        <v/>
      </c>
      <c r="BE18" s="1937" t="n">
        <v>32034</v>
      </c>
      <c r="BF18" s="1879">
        <f>BE18-BD18</f>
        <v/>
      </c>
      <c r="BG18" s="1989" t="inlineStr">
        <is>
          <t>Stirling</t>
        </is>
      </c>
      <c r="BH18" s="1990" t="n"/>
      <c r="BI18" s="1991" t="n">
        <v>37187</v>
      </c>
      <c r="BJ18" s="1992" t="n">
        <v>40110</v>
      </c>
      <c r="BK18" s="1884" t="n">
        <v>1</v>
      </c>
      <c r="BL18" s="1842" t="n"/>
      <c r="BM18" s="1842" t="n"/>
      <c r="BN18" s="1842" t="n"/>
      <c r="BO18" s="1842" t="n"/>
      <c r="BP18" s="1392" t="n"/>
      <c r="BQ18" s="1842" t="n"/>
      <c r="BR18" s="1842" t="n"/>
      <c r="BS18" s="1842" t="n"/>
      <c r="BT18" s="1842" t="n"/>
      <c r="BU18" s="1842" t="n"/>
      <c r="BV18" s="1842" t="n"/>
      <c r="BW18" s="1842" t="n"/>
      <c r="BX18" s="1842" t="n"/>
      <c r="BY18" s="1842" t="n"/>
      <c r="BZ18" s="1842" t="n"/>
      <c r="CA18" s="1842" t="n"/>
      <c r="CB18" s="1842" t="n"/>
      <c r="CC18" s="1842" t="n"/>
      <c r="CD18" s="1842" t="n"/>
      <c r="CE18" s="1491" t="n"/>
      <c r="CF18" s="1491" t="n"/>
      <c r="CG18" s="1491" t="n"/>
      <c r="CH18" s="1491" t="n"/>
      <c r="CI18" s="1491" t="n"/>
      <c r="CJ18" s="1491" t="n"/>
      <c r="CK18" s="1491" t="n"/>
      <c r="CL18" s="1491" t="n"/>
      <c r="CM18" s="1491" t="n"/>
      <c r="CN18" s="1491" t="n"/>
      <c r="CO18" s="1491" t="n"/>
    </row>
    <row r="19">
      <c r="A19" s="2024" t="n">
        <v>2007</v>
      </c>
      <c r="B19" s="1861" t="n"/>
      <c r="C19" s="1861" t="n"/>
      <c r="D19" s="1861" t="inlineStr">
        <is>
          <t>SSA</t>
        </is>
      </c>
      <c r="E19" s="1861" t="n"/>
      <c r="F19" s="1861" t="n"/>
      <c r="G19" s="1861" t="n"/>
      <c r="H19" s="1861" t="n"/>
      <c r="I19" s="1861" t="n"/>
      <c r="J19" s="1861" t="n"/>
      <c r="K19" s="1861" t="n"/>
      <c r="L19" s="1861" t="n"/>
      <c r="M19" s="1938" t="n"/>
      <c r="N19" s="1938" t="n"/>
      <c r="O19" s="1886" t="n"/>
      <c r="P19" s="1971" t="n"/>
      <c r="Q19" s="1887" t="n"/>
      <c r="R19" s="1979" t="n"/>
      <c r="S19" s="1958" t="inlineStr">
        <is>
          <t>LONDON</t>
        </is>
      </c>
      <c r="T19" s="1429" t="n"/>
      <c r="U19" s="1429" t="n"/>
      <c r="V19" s="1072" t="n"/>
      <c r="W19" s="1962" t="inlineStr">
        <is>
          <t>BARCELONA</t>
        </is>
      </c>
      <c r="X19" s="1429" t="n"/>
      <c r="Y19" s="1072" t="n"/>
      <c r="Z19" s="1921" t="inlineStr">
        <is>
          <t>BERLIN</t>
        </is>
      </c>
      <c r="AA19" s="1072" t="n"/>
      <c r="AB19" s="1958" t="inlineStr">
        <is>
          <t>London</t>
        </is>
      </c>
      <c r="AC19" s="1890" t="n"/>
      <c r="AD19" s="1861" t="n"/>
      <c r="AE19" s="1939" t="n"/>
      <c r="AF19" s="1890" t="n"/>
      <c r="AG19" s="1861" t="n"/>
      <c r="AH19" s="1861" t="inlineStr">
        <is>
          <t>SSA</t>
        </is>
      </c>
      <c r="AI19" s="1861" t="n"/>
      <c r="AJ19" s="1861" t="n"/>
      <c r="AK19" s="1864" t="n"/>
      <c r="AL19" s="1839" t="n"/>
      <c r="AM19" s="1491" t="n"/>
      <c r="AN19" s="1491" t="n"/>
      <c r="AO19" s="1491" t="n"/>
      <c r="AP19" s="1491" t="n"/>
      <c r="AQ19" s="1349" t="n"/>
      <c r="AR19" s="1865" t="inlineStr">
        <is>
          <t>Brasília</t>
        </is>
      </c>
      <c r="AS19" s="1866" t="n"/>
      <c r="AT19" s="1867" t="n">
        <v>36921</v>
      </c>
      <c r="AU19" s="1868" t="n">
        <v>36922</v>
      </c>
      <c r="AV19" s="1869">
        <f>AU19-AT19</f>
        <v/>
      </c>
      <c r="AW19" s="2040" t="n"/>
      <c r="AX19" s="2041" t="inlineStr">
        <is>
          <t xml:space="preserve">Miami </t>
        </is>
      </c>
      <c r="AY19" s="2042" t="n">
        <v>40248</v>
      </c>
      <c r="AZ19" s="2019" t="n">
        <v>40248</v>
      </c>
      <c r="BA19" s="1907">
        <f>AZ19-AY19</f>
        <v/>
      </c>
      <c r="BB19" s="1934" t="n"/>
      <c r="BC19" s="1968" t="inlineStr">
        <is>
          <t>Floresta Negra, Lindau</t>
        </is>
      </c>
      <c r="BD19" s="1936" t="n"/>
      <c r="BE19" s="1937" t="n"/>
      <c r="BF19" s="1908" t="n"/>
      <c r="BG19" s="1989" t="inlineStr">
        <is>
          <t>Eddinburgh</t>
        </is>
      </c>
      <c r="BH19" s="1990" t="n"/>
      <c r="BI19" s="1991" t="n">
        <v>37188</v>
      </c>
      <c r="BJ19" s="1992" t="n">
        <v>37190</v>
      </c>
      <c r="BK19" s="1884" t="n">
        <v>1</v>
      </c>
      <c r="BL19" s="1842" t="n"/>
      <c r="BM19" s="1842" t="n"/>
      <c r="BN19" s="1842" t="n"/>
      <c r="BO19" s="1842" t="n"/>
      <c r="BP19" s="1392" t="n"/>
      <c r="BQ19" s="1842" t="n"/>
      <c r="BR19" s="1842" t="n"/>
      <c r="BS19" s="1842" t="n"/>
      <c r="BT19" s="1842" t="n"/>
      <c r="BU19" s="1842" t="n"/>
      <c r="BV19" s="1842" t="n"/>
      <c r="BW19" s="1842" t="n"/>
      <c r="BX19" s="1842" t="n"/>
      <c r="BY19" s="1842" t="n"/>
      <c r="BZ19" s="1842" t="n"/>
      <c r="CA19" s="1842" t="n"/>
      <c r="CB19" s="1842" t="n"/>
      <c r="CC19" s="1842" t="n"/>
      <c r="CD19" s="1842" t="n"/>
      <c r="CE19" s="1491" t="n"/>
      <c r="CF19" s="1491" t="n"/>
      <c r="CG19" s="1491" t="n"/>
      <c r="CH19" s="1491" t="n"/>
      <c r="CI19" s="1491" t="n"/>
      <c r="CJ19" s="1491" t="n"/>
      <c r="CK19" s="1491" t="n"/>
      <c r="CL19" s="1491" t="n"/>
      <c r="CM19" s="1491" t="n"/>
      <c r="CN19" s="1491" t="n"/>
      <c r="CO19" s="1491" t="n"/>
    </row>
    <row r="20">
      <c r="A20" s="2024" t="n">
        <v>2008</v>
      </c>
      <c r="B20" s="1861" t="n"/>
      <c r="C20" s="1861" t="n"/>
      <c r="D20" s="1861" t="n"/>
      <c r="E20" s="1861" t="n"/>
      <c r="F20" s="1861" t="n"/>
      <c r="G20" s="1861" t="n"/>
      <c r="H20" s="1861" t="n"/>
      <c r="I20" s="1861" t="n"/>
      <c r="J20" s="1900" t="n"/>
      <c r="K20" s="1979" t="n"/>
      <c r="L20" s="2043" t="inlineStr">
        <is>
          <t>Rio</t>
        </is>
      </c>
      <c r="M20" s="1888" t="n"/>
      <c r="N20" s="1862" t="n"/>
      <c r="O20" s="1939" t="n"/>
      <c r="P20" s="1901" t="n"/>
      <c r="Q20" s="1863" t="n"/>
      <c r="R20" s="2044" t="inlineStr">
        <is>
          <t>ARG</t>
        </is>
      </c>
      <c r="S20" s="1901" t="n"/>
      <c r="T20" s="1902" t="n"/>
      <c r="U20" s="1902" t="n"/>
      <c r="V20" s="1902" t="n"/>
      <c r="W20" s="2045" t="n"/>
      <c r="X20" s="1889" t="n"/>
      <c r="Y20" s="1901" t="n"/>
      <c r="Z20" s="2045" t="n"/>
      <c r="AA20" s="2046" t="inlineStr">
        <is>
          <t>ARG</t>
        </is>
      </c>
      <c r="AB20" s="1890" t="n"/>
      <c r="AC20" s="1861" t="n"/>
      <c r="AD20" s="2047" t="inlineStr">
        <is>
          <t>Rio</t>
        </is>
      </c>
      <c r="AE20" s="2048" t="n"/>
      <c r="AF20" s="1900" t="n"/>
      <c r="AG20" s="1890" t="n"/>
      <c r="AH20" s="1861" t="n"/>
      <c r="AI20" s="1861" t="n"/>
      <c r="AJ20" s="2049" t="n"/>
      <c r="AK20" s="1864" t="n"/>
      <c r="AL20" s="1839" t="n"/>
      <c r="AM20" s="1491" t="n"/>
      <c r="AN20" s="1491" t="n"/>
      <c r="AO20" s="1491" t="n"/>
      <c r="AP20" s="1491" t="n"/>
      <c r="AQ20" s="1349" t="n"/>
      <c r="AR20" s="1865" t="inlineStr">
        <is>
          <t>SSA</t>
        </is>
      </c>
      <c r="AS20" s="1866" t="n"/>
      <c r="AT20" s="1867" t="n">
        <v>36922</v>
      </c>
      <c r="AU20" s="1868" t="inlineStr">
        <is>
          <t>on</t>
        </is>
      </c>
      <c r="AV20" s="1869" t="n"/>
      <c r="AW20" s="2008" t="inlineStr">
        <is>
          <t>espaco aéreo USA</t>
        </is>
      </c>
      <c r="AX20" s="2009" t="n"/>
      <c r="AY20" s="2010" t="n">
        <v>40248</v>
      </c>
      <c r="AZ20" s="2011" t="n">
        <v>40249</v>
      </c>
      <c r="BA20" s="2012">
        <f>AZ20-AY20</f>
        <v/>
      </c>
      <c r="BB20" s="2038" t="n"/>
      <c r="BC20" s="2039" t="inlineStr">
        <is>
          <t>Fussen</t>
        </is>
      </c>
      <c r="BD20" s="1936" t="n"/>
      <c r="BE20" s="1937" t="n"/>
      <c r="BF20" s="1071" t="n"/>
      <c r="BG20" s="2013" t="inlineStr">
        <is>
          <t>YORK</t>
        </is>
      </c>
      <c r="BH20" s="2014" t="n"/>
      <c r="BI20" s="1991" t="n">
        <v>37190</v>
      </c>
      <c r="BJ20" s="1992" t="n">
        <v>37191</v>
      </c>
      <c r="BK20" s="1884">
        <f>BJ20-BI20</f>
        <v/>
      </c>
      <c r="BL20" s="1842" t="n"/>
      <c r="BM20" s="1842" t="n"/>
      <c r="BN20" s="1842" t="n"/>
      <c r="BO20" s="1842" t="n"/>
      <c r="BP20" s="1392" t="n"/>
      <c r="BQ20" s="1842" t="n"/>
      <c r="BR20" s="1842" t="n"/>
      <c r="BS20" s="1842" t="n"/>
      <c r="BT20" s="1842" t="n"/>
      <c r="BU20" s="1842" t="n"/>
      <c r="BV20" s="1842" t="n"/>
      <c r="BW20" s="1842" t="n"/>
      <c r="BX20" s="1842" t="n"/>
      <c r="BY20" s="1842" t="n"/>
      <c r="BZ20" s="1842" t="n"/>
      <c r="CA20" s="1842" t="n"/>
      <c r="CB20" s="1842" t="n"/>
      <c r="CC20" s="1842" t="n"/>
      <c r="CD20" s="1842" t="n"/>
      <c r="CE20" s="1491" t="n"/>
      <c r="CF20" s="1491" t="n"/>
      <c r="CG20" s="1491" t="n"/>
      <c r="CH20" s="1491" t="n"/>
      <c r="CI20" s="1491" t="n"/>
      <c r="CJ20" s="1491" t="n"/>
      <c r="CK20" s="1491" t="n"/>
      <c r="CL20" s="1491" t="n"/>
      <c r="CM20" s="1491" t="n"/>
      <c r="CN20" s="1491" t="n"/>
      <c r="CO20" s="1491" t="n"/>
    </row>
    <row r="21">
      <c r="A21" s="2024" t="n">
        <v>2009</v>
      </c>
      <c r="B21" s="1861" t="n"/>
      <c r="C21" s="1861" t="n"/>
      <c r="D21" s="1861" t="n"/>
      <c r="E21" s="1861" t="n"/>
      <c r="F21" s="1861" t="n"/>
      <c r="G21" s="1861" t="n"/>
      <c r="H21" s="1864" t="n"/>
      <c r="I21" s="1900" t="n"/>
      <c r="J21" s="1887" t="inlineStr">
        <is>
          <t>SP</t>
        </is>
      </c>
      <c r="K21" s="2050" t="n"/>
      <c r="L21" s="2051" t="inlineStr">
        <is>
          <t>Paris</t>
        </is>
      </c>
      <c r="M21" s="1958" t="inlineStr">
        <is>
          <t>LONDON</t>
        </is>
      </c>
      <c r="N21" s="1429" t="n"/>
      <c r="O21" s="1429" t="n"/>
      <c r="P21" s="1429" t="n"/>
      <c r="Q21" s="1072" t="n"/>
      <c r="R21" s="1921" t="inlineStr">
        <is>
          <t>Dublin</t>
        </is>
      </c>
      <c r="S21" s="1958" t="inlineStr">
        <is>
          <t>LONDON</t>
        </is>
      </c>
      <c r="T21" s="1429" t="n"/>
      <c r="U21" s="1429" t="n"/>
      <c r="V21" s="1429" t="n"/>
      <c r="W21" s="1429" t="n"/>
      <c r="X21" s="1429" t="n"/>
      <c r="Y21" s="1072" t="n"/>
      <c r="Z21" s="2052" t="inlineStr">
        <is>
          <t>Italia</t>
        </is>
      </c>
      <c r="AA21" s="1921" t="inlineStr">
        <is>
          <t>Cruise</t>
        </is>
      </c>
      <c r="AB21" s="1958" t="inlineStr">
        <is>
          <t>LONDON</t>
        </is>
      </c>
      <c r="AC21" s="1072" t="n"/>
      <c r="AD21" s="1953" t="inlineStr">
        <is>
          <t>Paris</t>
        </is>
      </c>
      <c r="AE21" s="1429" t="n"/>
      <c r="AF21" s="1072" t="n"/>
      <c r="AG21" s="1921" t="inlineStr">
        <is>
          <t>Euro</t>
        </is>
      </c>
      <c r="AH21" s="2029" t="inlineStr">
        <is>
          <t>Milao</t>
        </is>
      </c>
      <c r="AI21" s="1956" t="inlineStr">
        <is>
          <t>Paris</t>
        </is>
      </c>
      <c r="AJ21" s="1958" t="inlineStr">
        <is>
          <t>London</t>
        </is>
      </c>
      <c r="AK21" s="1957" t="inlineStr">
        <is>
          <t>Paris</t>
        </is>
      </c>
      <c r="AL21" s="1839" t="n"/>
      <c r="AM21" s="1491" t="n"/>
      <c r="AN21" s="1491" t="n"/>
      <c r="AO21" s="1491" t="n"/>
      <c r="AP21" s="1491" t="n"/>
      <c r="AQ21" s="1349" t="n"/>
      <c r="AR21" s="2053" t="n"/>
      <c r="AS21" s="2054" t="n"/>
      <c r="AT21" s="2055" t="n"/>
      <c r="AU21" s="2056" t="n"/>
      <c r="AV21" s="1869" t="n"/>
      <c r="AW21" s="2057" t="n"/>
      <c r="AX21" s="2054" t="n"/>
      <c r="AY21" s="2055" t="n"/>
      <c r="AZ21" s="2056" t="n"/>
      <c r="BA21" s="1869" t="n"/>
      <c r="BB21" s="1909" t="inlineStr">
        <is>
          <t>INSBRUCK</t>
        </is>
      </c>
      <c r="BC21" s="1910" t="n"/>
      <c r="BD21" s="1911" t="n">
        <v>40070</v>
      </c>
      <c r="BE21" s="1912" t="n">
        <v>40072</v>
      </c>
      <c r="BF21" s="1874">
        <f>BE21-BD21</f>
        <v/>
      </c>
      <c r="BG21" s="1989" t="inlineStr">
        <is>
          <t>—&gt;Leeds-Cambridge</t>
        </is>
      </c>
      <c r="BH21" s="1990" t="n"/>
      <c r="BI21" s="1991" t="n">
        <v>37191</v>
      </c>
      <c r="BJ21" s="1992" t="n">
        <v>37192</v>
      </c>
      <c r="BK21" s="1884" t="n">
        <v>1</v>
      </c>
      <c r="BL21" s="1842" t="n"/>
      <c r="BM21" s="1842" t="n"/>
      <c r="BN21" s="1842" t="n"/>
      <c r="BO21" s="1842" t="n"/>
      <c r="BP21" s="1392" t="n"/>
      <c r="BQ21" s="1842" t="n"/>
      <c r="BR21" s="1842" t="n"/>
      <c r="BS21" s="1842" t="n"/>
      <c r="BT21" s="1842" t="n"/>
      <c r="BU21" s="1842" t="n"/>
      <c r="BV21" s="1842" t="n"/>
      <c r="BW21" s="1842" t="n"/>
      <c r="BX21" s="1842" t="n"/>
      <c r="BY21" s="1842" t="n"/>
      <c r="BZ21" s="1842" t="n"/>
      <c r="CA21" s="1842" t="n"/>
      <c r="CB21" s="1842" t="n"/>
      <c r="CC21" s="1842" t="n"/>
      <c r="CD21" s="1842" t="n"/>
      <c r="CE21" s="1491" t="n"/>
      <c r="CF21" s="1491" t="n"/>
      <c r="CG21" s="1491" t="n"/>
      <c r="CH21" s="1491" t="n"/>
      <c r="CI21" s="1491" t="n"/>
      <c r="CJ21" s="1491" t="n"/>
      <c r="CK21" s="1491" t="n"/>
      <c r="CL21" s="1491" t="n"/>
      <c r="CM21" s="1491" t="n"/>
      <c r="CN21" s="1491" t="n"/>
      <c r="CO21" s="1491" t="n"/>
    </row>
    <row r="22">
      <c r="A22" s="2024" t="n">
        <v>2010</v>
      </c>
      <c r="B22" s="1953" t="inlineStr">
        <is>
          <t>PARIS</t>
        </is>
      </c>
      <c r="C22" s="1429" t="n"/>
      <c r="D22" s="1429" t="n"/>
      <c r="E22" s="1429" t="n"/>
      <c r="F22" s="1429" t="n"/>
      <c r="G22" s="1429" t="n"/>
      <c r="H22" s="1072" t="n"/>
      <c r="I22" s="1923" t="inlineStr">
        <is>
          <t>Mkech</t>
        </is>
      </c>
      <c r="J22" s="2058" t="inlineStr">
        <is>
          <t>London</t>
        </is>
      </c>
      <c r="K22" s="1953" t="inlineStr">
        <is>
          <t>Paris</t>
        </is>
      </c>
      <c r="L22" s="1885" t="n"/>
      <c r="M22" s="1861" t="n"/>
      <c r="N22" s="1861" t="n"/>
      <c r="O22" s="1861" t="n"/>
      <c r="P22" s="1861" t="n"/>
      <c r="Q22" s="1861" t="n"/>
      <c r="R22" s="1861" t="n"/>
      <c r="S22" s="2059" t="n"/>
      <c r="T22" s="1346" t="n"/>
      <c r="U22" s="1346" t="n"/>
      <c r="V22" s="1346" t="n"/>
      <c r="W22" s="1077" t="n"/>
      <c r="X22" s="2049" t="n"/>
      <c r="Y22" s="2048" t="n"/>
      <c r="Z22" s="1346" t="n"/>
      <c r="AA22" s="1346" t="n"/>
      <c r="AB22" s="1346" t="n"/>
      <c r="AC22" s="1077" t="n"/>
      <c r="AD22" s="2049" t="n"/>
      <c r="AE22" s="1972" t="n"/>
      <c r="AF22" s="1346" t="n"/>
      <c r="AG22" s="1861" t="n"/>
      <c r="AH22" s="1861" t="n"/>
      <c r="AI22" s="2060" t="inlineStr">
        <is>
          <t>ARG</t>
        </is>
      </c>
      <c r="AJ22" s="2049" t="n"/>
      <c r="AK22" s="1861" t="inlineStr">
        <is>
          <t>SSA</t>
        </is>
      </c>
      <c r="AL22" s="1839" t="n"/>
      <c r="AM22" s="1491" t="n"/>
      <c r="AN22" s="1491" t="n"/>
      <c r="AO22" s="1491" t="n"/>
      <c r="AP22" s="1491" t="n"/>
      <c r="AQ22" s="1349" t="n"/>
      <c r="AR22" s="2053" t="n"/>
      <c r="AS22" s="2054" t="n"/>
      <c r="AT22" s="2055" t="n"/>
      <c r="AU22" s="2056" t="n"/>
      <c r="AV22" s="1869" t="n"/>
      <c r="AW22" s="2057" t="n"/>
      <c r="AX22" s="2054" t="n"/>
      <c r="AY22" s="2055" t="n"/>
      <c r="AZ22" s="2056" t="n"/>
      <c r="BA22" s="1869" t="n"/>
      <c r="BB22" s="1875" t="inlineStr">
        <is>
          <t>Strasbourg</t>
        </is>
      </c>
      <c r="BC22" s="1876" t="n"/>
      <c r="BD22" s="1877" t="n">
        <v>37150</v>
      </c>
      <c r="BE22" s="1878" t="n">
        <v>37151</v>
      </c>
      <c r="BF22" s="1879">
        <f>BE22-BD22</f>
        <v/>
      </c>
      <c r="BG22" s="1989" t="inlineStr">
        <is>
          <t>LONDON</t>
        </is>
      </c>
      <c r="BH22" s="1990" t="n"/>
      <c r="BI22" s="1991" t="n">
        <v>37192</v>
      </c>
      <c r="BJ22" s="1992" t="n">
        <v>37196</v>
      </c>
      <c r="BK22" s="1884">
        <f>BJ22-BI22</f>
        <v/>
      </c>
      <c r="BL22" s="1842" t="n"/>
      <c r="BM22" s="1842" t="n"/>
      <c r="BN22" s="1842" t="n"/>
      <c r="BO22" s="1842" t="n"/>
      <c r="BP22" s="1392" t="n"/>
      <c r="BQ22" s="1842" t="n"/>
      <c r="BR22" s="1842" t="n"/>
      <c r="BS22" s="1842" t="n"/>
      <c r="BT22" s="1842" t="n"/>
      <c r="BU22" s="1842" t="n"/>
      <c r="BV22" s="1842" t="n"/>
      <c r="BW22" s="1842" t="n"/>
      <c r="BX22" s="1842" t="n"/>
      <c r="BY22" s="1842" t="n"/>
      <c r="BZ22" s="1842" t="n"/>
      <c r="CA22" s="1842" t="n"/>
      <c r="CB22" s="1842" t="n"/>
      <c r="CC22" s="1842" t="n"/>
      <c r="CD22" s="1842" t="n"/>
      <c r="CE22" s="1491" t="n"/>
      <c r="CF22" s="1491" t="n"/>
      <c r="CG22" s="1491" t="n"/>
      <c r="CH22" s="1491" t="n"/>
      <c r="CI22" s="1491" t="n"/>
      <c r="CJ22" s="1491" t="n"/>
      <c r="CK22" s="1491" t="n"/>
      <c r="CL22" s="1491" t="n"/>
      <c r="CM22" s="1491" t="n"/>
      <c r="CN22" s="1491" t="n"/>
      <c r="CO22" s="1491" t="n"/>
    </row>
    <row r="23">
      <c r="A23" s="1978" t="n">
        <v>2011</v>
      </c>
      <c r="B23" s="1861" t="inlineStr">
        <is>
          <t>SSA</t>
        </is>
      </c>
      <c r="C23" s="2061" t="inlineStr">
        <is>
          <t>SP-Rio</t>
        </is>
      </c>
      <c r="D23" s="1072" t="n"/>
      <c r="E23" s="1861" t="n"/>
      <c r="F23" s="1861" t="n"/>
      <c r="G23" s="1861" t="n"/>
      <c r="H23" s="1861" t="n"/>
      <c r="I23" s="1861" t="n"/>
      <c r="J23" s="1861" t="n"/>
      <c r="K23" s="1861" t="n"/>
      <c r="L23" s="1071" t="n"/>
      <c r="M23" s="1979" t="n"/>
      <c r="N23" s="1070" t="n"/>
      <c r="O23" s="2049" t="n"/>
      <c r="P23" s="1979" t="n"/>
      <c r="Q23" s="1070" t="n"/>
      <c r="R23" s="2062" t="n"/>
      <c r="S23" s="2063" t="n"/>
      <c r="T23" s="2063" t="n"/>
      <c r="U23" s="2063" t="n"/>
      <c r="V23" s="2063" t="n"/>
      <c r="W23" s="2063" t="n"/>
      <c r="X23" s="2064" t="n"/>
      <c r="Y23" s="2064" t="n"/>
      <c r="Z23" s="2064" t="n"/>
      <c r="AA23" s="2064" t="n"/>
      <c r="AB23" s="2064" t="n"/>
      <c r="AC23" s="2064" t="n"/>
      <c r="AD23" s="2064" t="n"/>
      <c r="AE23" s="2064" t="n"/>
      <c r="AF23" s="2064" t="n"/>
      <c r="AG23" s="2064" t="n"/>
      <c r="AH23" s="2064" t="n"/>
      <c r="AI23" s="2064" t="n"/>
      <c r="AJ23" s="2064" t="n"/>
      <c r="AK23" s="2064" t="n"/>
      <c r="AL23" s="1839" t="n"/>
      <c r="AM23" s="1491" t="n"/>
      <c r="AN23" s="1491" t="n"/>
      <c r="AO23" s="1491" t="n"/>
      <c r="AP23" s="1491" t="n"/>
      <c r="AQ23" s="1349" t="n"/>
      <c r="AR23" s="2053" t="n"/>
      <c r="AS23" s="2054" t="n"/>
      <c r="AT23" s="2055" t="n"/>
      <c r="AU23" s="2056" t="n"/>
      <c r="AV23" s="1869" t="n"/>
      <c r="AW23" s="2057" t="n"/>
      <c r="AX23" s="2054" t="n"/>
      <c r="AY23" s="2055" t="n"/>
      <c r="AZ23" s="2056" t="n"/>
      <c r="BA23" s="1869" t="n"/>
      <c r="BB23" s="1909" t="inlineStr">
        <is>
          <t>Salzbourg —&gt;Vienna</t>
        </is>
      </c>
      <c r="BC23" s="1910" t="n"/>
      <c r="BD23" s="1911" t="n">
        <v>40073</v>
      </c>
      <c r="BE23" s="1912" t="n">
        <v>37152</v>
      </c>
      <c r="BF23" s="1874" t="n">
        <v>1</v>
      </c>
      <c r="BG23" s="1875" t="inlineStr">
        <is>
          <t>PARIS</t>
        </is>
      </c>
      <c r="BH23" s="1876" t="n"/>
      <c r="BI23" s="1877" t="n">
        <v>37196</v>
      </c>
      <c r="BJ23" s="1878" t="n">
        <v>37199</v>
      </c>
      <c r="BK23" s="1884">
        <f>BJ23-BI23</f>
        <v/>
      </c>
      <c r="BL23" s="1842" t="n"/>
      <c r="BM23" s="1842" t="n"/>
      <c r="BN23" s="1842" t="n"/>
      <c r="BO23" s="1842" t="n"/>
      <c r="BP23" s="1392" t="n"/>
      <c r="BQ23" s="1842" t="n"/>
      <c r="BR23" s="1842" t="n"/>
      <c r="BS23" s="1842" t="n"/>
      <c r="BT23" s="1842" t="n"/>
      <c r="BU23" s="1842" t="n"/>
      <c r="BV23" s="1842" t="n"/>
      <c r="BW23" s="1842" t="n"/>
      <c r="BX23" s="1842" t="n"/>
      <c r="BY23" s="1842" t="n"/>
      <c r="BZ23" s="1842" t="n"/>
      <c r="CA23" s="1842" t="n"/>
      <c r="CB23" s="1842" t="n"/>
      <c r="CC23" s="1842" t="n"/>
      <c r="CD23" s="1842" t="n"/>
      <c r="CE23" s="1491" t="n"/>
      <c r="CF23" s="1491" t="n"/>
      <c r="CG23" s="1491" t="n"/>
      <c r="CH23" s="1491" t="n"/>
      <c r="CI23" s="1491" t="n"/>
      <c r="CJ23" s="1491" t="n"/>
      <c r="CK23" s="1491" t="n"/>
      <c r="CL23" s="1491" t="n"/>
      <c r="CM23" s="1491" t="n"/>
      <c r="CN23" s="1491" t="n"/>
      <c r="CO23" s="1491" t="n"/>
    </row>
    <row r="24">
      <c r="A24" s="1978" t="n">
        <v>2012</v>
      </c>
      <c r="B24" s="2065" t="n"/>
      <c r="C24" s="2066" t="inlineStr">
        <is>
          <t>Montreal</t>
        </is>
      </c>
      <c r="D24" s="2066" t="n"/>
      <c r="E24" s="2066" t="n"/>
      <c r="F24" s="2015" t="inlineStr">
        <is>
          <t>USA</t>
        </is>
      </c>
      <c r="G24" s="2066" t="n"/>
      <c r="H24" s="2066" t="n"/>
      <c r="I24" s="2066" t="n"/>
      <c r="J24" s="2066" t="n"/>
      <c r="K24" s="2066" t="n"/>
      <c r="L24" s="2066" t="n"/>
      <c r="M24" s="2066" t="n"/>
      <c r="N24" s="2066" t="n"/>
      <c r="O24" s="2066" t="n"/>
      <c r="P24" s="2066" t="n"/>
      <c r="Q24" s="2066" t="n"/>
      <c r="R24" s="2067" t="n"/>
      <c r="S24" s="2067" t="n"/>
      <c r="T24" s="2067" t="n"/>
      <c r="U24" s="2067" t="n"/>
      <c r="V24" s="2067" t="n"/>
      <c r="W24" s="2067" t="n"/>
      <c r="X24" s="2067" t="n"/>
      <c r="Y24" s="2067" t="n"/>
      <c r="Z24" s="2067" t="n"/>
      <c r="AA24" s="2067" t="n"/>
      <c r="AB24" s="1913" t="inlineStr">
        <is>
          <t>SSA</t>
        </is>
      </c>
      <c r="AC24" s="1885" t="inlineStr">
        <is>
          <t>SP/Rio/SP</t>
        </is>
      </c>
      <c r="AD24" s="1913" t="inlineStr">
        <is>
          <t>SSA</t>
        </is>
      </c>
      <c r="AE24" s="2067" t="n"/>
      <c r="AF24" s="2067" t="n"/>
      <c r="AG24" s="2067" t="n"/>
      <c r="AH24" s="2067" t="n"/>
      <c r="AI24" s="2067" t="n"/>
      <c r="AJ24" s="2068" t="inlineStr">
        <is>
          <t>USA</t>
        </is>
      </c>
      <c r="AK24" s="2067" t="n"/>
      <c r="AL24" s="1839" t="n"/>
      <c r="AM24" s="1491" t="n"/>
      <c r="AN24" s="1491" t="n"/>
      <c r="AO24" s="1491" t="n"/>
      <c r="AP24" s="1491" t="n"/>
      <c r="AQ24" s="1349" t="n"/>
      <c r="AR24" s="2053" t="n"/>
      <c r="AS24" s="2054" t="n"/>
      <c r="AT24" s="2055" t="n"/>
      <c r="AU24" s="2056" t="n"/>
      <c r="AV24" s="1869" t="n"/>
      <c r="AW24" s="2057" t="n"/>
      <c r="AX24" s="2054" t="n"/>
      <c r="AY24" s="2055" t="n"/>
      <c r="AZ24" s="2056" t="n"/>
      <c r="BA24" s="1869" t="n"/>
      <c r="BB24" s="1909" t="inlineStr">
        <is>
          <t>VIENA</t>
        </is>
      </c>
      <c r="BC24" s="1910" t="n"/>
      <c r="BD24" s="1911" t="n">
        <v>37152</v>
      </c>
      <c r="BE24" s="1912" t="n">
        <v>37154</v>
      </c>
      <c r="BF24" s="1874">
        <f>BE24-BD24</f>
        <v/>
      </c>
      <c r="BG24" s="2008" t="inlineStr">
        <is>
          <t>espaco aéreo frances</t>
        </is>
      </c>
      <c r="BH24" s="2009" t="n"/>
      <c r="BI24" s="2010" t="n">
        <v>40486</v>
      </c>
      <c r="BJ24" s="2011" t="n">
        <v>40487</v>
      </c>
      <c r="BK24" s="2069">
        <f>BJ24-BI24</f>
        <v/>
      </c>
      <c r="BL24" s="1842" t="n"/>
      <c r="BM24" s="1842" t="n"/>
      <c r="BN24" s="1842" t="n"/>
      <c r="BO24" s="1842" t="n"/>
      <c r="BP24" s="1392" t="n"/>
      <c r="BQ24" s="1842" t="n"/>
      <c r="BR24" s="1842" t="n"/>
      <c r="BS24" s="1842" t="n"/>
      <c r="BT24" s="1842" t="n"/>
      <c r="BU24" s="1842" t="n"/>
      <c r="BV24" s="1842" t="n"/>
      <c r="BW24" s="1842" t="n"/>
      <c r="BX24" s="1842" t="n"/>
      <c r="BY24" s="1842" t="n"/>
      <c r="BZ24" s="1842" t="n"/>
      <c r="CA24" s="1842" t="n"/>
      <c r="CB24" s="1842" t="n"/>
      <c r="CC24" s="1842" t="n"/>
      <c r="CD24" s="1842" t="n"/>
      <c r="CE24" s="1491" t="n"/>
      <c r="CF24" s="1491" t="n"/>
      <c r="CG24" s="1491" t="n"/>
      <c r="CH24" s="1491" t="n"/>
      <c r="CI24" s="1491" t="n"/>
      <c r="CJ24" s="1491" t="n"/>
      <c r="CK24" s="1491" t="n"/>
      <c r="CL24" s="1491" t="n"/>
      <c r="CM24" s="1491" t="n"/>
      <c r="CN24" s="1491" t="n"/>
      <c r="CO24" s="1491" t="n"/>
    </row>
    <row r="25">
      <c r="A25" s="1978" t="n">
        <v>2013</v>
      </c>
      <c r="B25" s="2067" t="inlineStr">
        <is>
          <t>Montreal</t>
        </is>
      </c>
      <c r="C25" s="2047" t="inlineStr">
        <is>
          <t>Rio</t>
        </is>
      </c>
      <c r="D25" s="2070" t="inlineStr">
        <is>
          <t>SSA</t>
        </is>
      </c>
      <c r="E25" s="2067" t="n"/>
      <c r="F25" s="2067" t="n"/>
      <c r="G25" s="2067" t="n"/>
      <c r="H25" s="2067" t="n"/>
      <c r="I25" s="2067" t="n"/>
      <c r="J25" s="2067" t="n"/>
      <c r="K25" s="2067" t="n"/>
      <c r="L25" s="2067" t="n"/>
      <c r="M25" s="2067" t="n"/>
      <c r="N25" s="2067" t="n"/>
      <c r="O25" s="2067" t="n"/>
      <c r="P25" s="2067" t="n"/>
      <c r="Q25" s="2067" t="n"/>
      <c r="R25" s="2067" t="n"/>
      <c r="S25" s="2067" t="n"/>
      <c r="T25" s="2067" t="n"/>
      <c r="U25" s="2067" t="n"/>
      <c r="V25" s="2067" t="n"/>
      <c r="W25" s="2067" t="n"/>
      <c r="X25" s="2067" t="n"/>
      <c r="Y25" s="2067" t="n"/>
      <c r="Z25" s="2067" t="n"/>
      <c r="AA25" s="2015" t="inlineStr">
        <is>
          <t>USA</t>
        </is>
      </c>
      <c r="AB25" s="2067" t="n"/>
      <c r="AC25" s="2067" t="n"/>
      <c r="AD25" s="2067" t="n"/>
      <c r="AE25" s="2067" t="n"/>
      <c r="AF25" s="2067" t="n"/>
      <c r="AG25" s="2067" t="n"/>
      <c r="AH25" s="2067" t="n"/>
      <c r="AI25" s="2067" t="n"/>
      <c r="AJ25" s="2068" t="inlineStr">
        <is>
          <t>USA</t>
        </is>
      </c>
      <c r="AK25" s="2045" t="inlineStr">
        <is>
          <t>SSA/PF</t>
        </is>
      </c>
      <c r="AL25" s="1839" t="n"/>
      <c r="AM25" s="1491" t="n"/>
      <c r="AN25" s="1491" t="n"/>
      <c r="AO25" s="1491" t="n"/>
      <c r="AP25" s="1491" t="n"/>
      <c r="AQ25" s="1349" t="n"/>
      <c r="AR25" s="2071" t="n"/>
      <c r="AS25" s="2072" t="n"/>
      <c r="AT25" s="2055" t="n"/>
      <c r="AU25" s="2056" t="n"/>
      <c r="AV25" s="1869" t="n"/>
      <c r="AW25" s="2073" t="n"/>
      <c r="AX25" s="2072" t="n"/>
      <c r="AY25" s="2055" t="n"/>
      <c r="AZ25" s="2056" t="n"/>
      <c r="BA25" s="1869" t="n"/>
      <c r="BB25" s="2074" t="inlineStr">
        <is>
          <t>BUDAPESTE</t>
        </is>
      </c>
      <c r="BC25" s="2075" t="n"/>
      <c r="BD25" s="1882" t="n">
        <v>37154</v>
      </c>
      <c r="BE25" s="1883" t="n">
        <v>37156</v>
      </c>
      <c r="BF25" s="1874">
        <f>BE25-BD25</f>
        <v/>
      </c>
      <c r="BG25" s="2076" t="inlineStr">
        <is>
          <t>Recife</t>
        </is>
      </c>
      <c r="BH25" s="1866" t="n"/>
      <c r="BI25" s="1867" t="n">
        <v>37200</v>
      </c>
      <c r="BJ25" s="1868" t="n"/>
      <c r="BK25" s="2077" t="n"/>
      <c r="BL25" s="1842" t="n"/>
      <c r="BM25" s="1842" t="n"/>
      <c r="BN25" s="1842" t="n"/>
      <c r="BO25" s="1842" t="n"/>
      <c r="BP25" s="1392" t="n"/>
      <c r="BQ25" s="1842" t="n"/>
      <c r="BR25" s="1842" t="n"/>
      <c r="BS25" s="1842" t="n"/>
      <c r="BT25" s="1842" t="n"/>
      <c r="BU25" s="1842" t="n"/>
      <c r="BV25" s="1842" t="n"/>
      <c r="BW25" s="1842" t="n"/>
      <c r="BX25" s="1842" t="n"/>
      <c r="BY25" s="1842" t="n"/>
      <c r="BZ25" s="1842" t="n"/>
      <c r="CA25" s="1842" t="n"/>
      <c r="CB25" s="1842" t="n"/>
      <c r="CC25" s="1842" t="n"/>
      <c r="CD25" s="1842" t="n"/>
      <c r="CE25" s="1491" t="n"/>
      <c r="CF25" s="1491" t="n"/>
      <c r="CG25" s="1491" t="n"/>
      <c r="CH25" s="1491" t="n"/>
      <c r="CI25" s="1491" t="n"/>
      <c r="CJ25" s="1491" t="n"/>
      <c r="CK25" s="1491" t="n"/>
      <c r="CL25" s="1491" t="n"/>
      <c r="CM25" s="1491" t="n"/>
      <c r="CN25" s="1491" t="n"/>
      <c r="CO25" s="1491" t="n"/>
    </row>
    <row r="26">
      <c r="A26" s="1978" t="n">
        <v>2014</v>
      </c>
      <c r="B26" s="1902" t="inlineStr">
        <is>
          <t>SSA</t>
        </is>
      </c>
      <c r="C26" s="2078" t="inlineStr">
        <is>
          <t>SP/Rio</t>
        </is>
      </c>
      <c r="D26" s="1071" t="n"/>
      <c r="E26" s="2067" t="n"/>
      <c r="F26" s="2067" t="n"/>
      <c r="G26" s="2067" t="n"/>
      <c r="H26" s="2067" t="n"/>
      <c r="I26" s="2067" t="n"/>
      <c r="J26" s="2067" t="n"/>
      <c r="K26" s="2067" t="n"/>
      <c r="L26" s="2067" t="n"/>
      <c r="M26" s="2067" t="n"/>
      <c r="N26" s="2067" t="n"/>
      <c r="O26" s="2067" t="n"/>
      <c r="P26" s="2067" t="n"/>
      <c r="Q26" s="2067" t="n"/>
      <c r="R26" s="2067" t="n"/>
      <c r="S26" s="2067" t="n"/>
      <c r="U26" s="2067" t="n"/>
      <c r="V26" s="2067" t="n"/>
      <c r="W26" s="2067" t="n"/>
      <c r="X26" s="2079" t="inlineStr">
        <is>
          <t>Toronto</t>
        </is>
      </c>
      <c r="Y26" s="2067" t="n"/>
      <c r="Z26" s="2067" t="n"/>
      <c r="AA26" s="2067" t="n"/>
      <c r="AB26" s="2067" t="n"/>
      <c r="AC26" s="2015" t="inlineStr">
        <is>
          <t>USA</t>
        </is>
      </c>
      <c r="AD26" s="2067" t="n"/>
      <c r="AE26" s="2067" t="n"/>
      <c r="AF26" s="2067" t="n"/>
      <c r="AG26" s="2067" t="n"/>
      <c r="AH26" s="2067" t="n"/>
      <c r="AI26" s="2067" t="n"/>
      <c r="AJ26" s="2067" t="n"/>
      <c r="AK26" s="2067" t="n"/>
      <c r="AL26" s="1839" t="n"/>
      <c r="AM26" s="1491" t="n"/>
      <c r="AN26" s="1491" t="n"/>
      <c r="AO26" s="1491" t="n"/>
      <c r="AP26" s="1491" t="n"/>
      <c r="AQ26" s="1349" t="n"/>
      <c r="AR26" s="2053" t="n"/>
      <c r="AS26" s="2054" t="n"/>
      <c r="AT26" s="2055" t="n"/>
      <c r="AU26" s="2056" t="n"/>
      <c r="AV26" s="1869" t="n"/>
      <c r="AW26" s="2057" t="n"/>
      <c r="AX26" s="2054" t="n"/>
      <c r="AY26" s="2055" t="n"/>
      <c r="AZ26" s="2056" t="n"/>
      <c r="BA26" s="1869" t="n"/>
      <c r="BB26" s="1909" t="inlineStr">
        <is>
          <t>VIENA</t>
        </is>
      </c>
      <c r="BC26" s="1910" t="n"/>
      <c r="BD26" s="1911" t="n">
        <v>37156</v>
      </c>
      <c r="BE26" s="1912" t="n">
        <v>37157</v>
      </c>
      <c r="BF26" s="1874">
        <f>BE26-BD26</f>
        <v/>
      </c>
      <c r="BG26" s="2057" t="n"/>
      <c r="BH26" s="2080" t="n"/>
      <c r="BI26" s="2055" t="n"/>
      <c r="BJ26" s="2056" t="n"/>
      <c r="BK26" s="1884" t="n"/>
      <c r="BL26" s="1842" t="n"/>
      <c r="BM26" s="2081" t="n"/>
      <c r="BN26" s="2081" t="n"/>
      <c r="BO26" s="1842" t="n"/>
      <c r="BP26" s="1392" t="n"/>
      <c r="BQ26" s="1842" t="n"/>
      <c r="BR26" s="1842" t="n"/>
      <c r="BS26" s="1842" t="n"/>
      <c r="BT26" s="1842" t="n"/>
      <c r="BU26" s="1842" t="n"/>
      <c r="BV26" s="1842" t="n"/>
      <c r="BW26" s="1842" t="n"/>
      <c r="BX26" s="1842" t="n"/>
      <c r="BY26" s="1842" t="n"/>
      <c r="BZ26" s="1842" t="n"/>
      <c r="CA26" s="1842" t="n"/>
      <c r="CB26" s="1842" t="n"/>
      <c r="CC26" s="1842" t="n"/>
      <c r="CD26" s="1842" t="n"/>
      <c r="CE26" s="1491" t="n"/>
      <c r="CF26" s="1491" t="n"/>
      <c r="CG26" s="1491" t="n"/>
      <c r="CH26" s="1491" t="n"/>
      <c r="CI26" s="1491" t="n"/>
      <c r="CJ26" s="1491" t="n"/>
      <c r="CK26" s="1491" t="n"/>
      <c r="CL26" s="1491" t="n"/>
      <c r="CM26" s="1491" t="n"/>
      <c r="CN26" s="1491" t="n"/>
      <c r="CO26" s="1491" t="n"/>
    </row>
    <row r="27">
      <c r="A27" s="1978" t="n">
        <v>2015</v>
      </c>
      <c r="B27" s="2067" t="n"/>
      <c r="C27" s="1913" t="inlineStr">
        <is>
          <t>SSA</t>
        </is>
      </c>
      <c r="D27" s="2061" t="inlineStr">
        <is>
          <t>Rio</t>
        </is>
      </c>
      <c r="E27" s="1913" t="inlineStr">
        <is>
          <t>SSA (+Aracaju)</t>
        </is>
      </c>
      <c r="F27" s="1429" t="n"/>
      <c r="G27" s="1429" t="n"/>
      <c r="H27" s="1429" t="n"/>
      <c r="I27" s="1072" t="n"/>
      <c r="J27" s="1885" t="inlineStr">
        <is>
          <t>SP/Rio</t>
        </is>
      </c>
      <c r="K27" s="1072" t="n"/>
      <c r="L27" s="1913" t="inlineStr">
        <is>
          <t>SSA</t>
        </is>
      </c>
      <c r="M27" s="2067" t="n"/>
      <c r="N27" s="2067" t="n"/>
      <c r="O27" s="2067" t="n"/>
      <c r="P27" s="2067" t="n"/>
      <c r="Q27" s="2067" t="n"/>
      <c r="R27" s="2067" t="n"/>
      <c r="S27" s="2067" t="inlineStr">
        <is>
          <t>MONTREAL</t>
        </is>
      </c>
      <c r="U27" s="2067" t="n"/>
      <c r="V27" s="2067" t="n"/>
      <c r="W27" s="2067" t="n"/>
      <c r="X27" s="2067" t="n"/>
      <c r="Y27" s="2067" t="n"/>
      <c r="Z27" s="2067" t="n"/>
      <c r="AA27" s="2067" t="n"/>
      <c r="AB27" s="2067" t="n"/>
      <c r="AC27" s="2067" t="n"/>
      <c r="AD27" s="2067" t="n"/>
      <c r="AE27" s="2067" t="n"/>
      <c r="AF27" s="2067" t="n"/>
      <c r="AG27" s="2079" t="inlineStr">
        <is>
          <t>Halifax</t>
        </is>
      </c>
      <c r="AH27" s="2067" t="n"/>
      <c r="AI27" s="2067" t="n"/>
      <c r="AJ27" s="2067" t="n"/>
      <c r="AK27" s="2067" t="n"/>
      <c r="AL27" s="1839" t="n"/>
      <c r="AM27" s="1491" t="n"/>
      <c r="AN27" s="1491" t="n"/>
      <c r="AO27" s="1491" t="n"/>
      <c r="AP27" s="1491" t="n"/>
      <c r="AQ27" s="1349" t="n"/>
      <c r="AR27" s="2053" t="n"/>
      <c r="AS27" s="2054" t="n"/>
      <c r="AT27" s="2055" t="n"/>
      <c r="AU27" s="2056" t="n"/>
      <c r="AV27" s="1869" t="n"/>
      <c r="AW27" s="2057" t="n"/>
      <c r="AX27" s="2054" t="n"/>
      <c r="AY27" s="2055" t="n"/>
      <c r="AZ27" s="2056" t="n"/>
      <c r="BA27" s="1869" t="n"/>
      <c r="BB27" s="2038" t="inlineStr">
        <is>
          <t>MUNIQUE</t>
        </is>
      </c>
      <c r="BC27" s="2039" t="n"/>
      <c r="BD27" s="1936" t="n">
        <v>37157</v>
      </c>
      <c r="BE27" s="1937" t="n">
        <v>37160</v>
      </c>
      <c r="BF27" s="1874">
        <f>BE27-BD27</f>
        <v/>
      </c>
      <c r="BG27" s="2057" t="n"/>
      <c r="BH27" s="2080" t="n"/>
      <c r="BI27" s="2055" t="n"/>
      <c r="BJ27" s="2056" t="n"/>
      <c r="BK27" s="1884" t="n"/>
      <c r="BL27" s="1842" t="n"/>
      <c r="BM27" s="1842" t="n"/>
      <c r="BN27" s="1842" t="n"/>
      <c r="BO27" s="1842" t="n"/>
      <c r="BP27" s="1392" t="n"/>
      <c r="BQ27" s="1842" t="n"/>
      <c r="BR27" s="1842" t="n"/>
      <c r="BS27" s="1842" t="n"/>
      <c r="BT27" s="1842" t="n"/>
      <c r="BU27" s="1842" t="n"/>
      <c r="BV27" s="1842" t="n"/>
      <c r="BW27" s="1842" t="n"/>
      <c r="BX27" s="1842" t="n"/>
      <c r="BY27" s="1842" t="n"/>
      <c r="BZ27" s="1842" t="n"/>
      <c r="CA27" s="1842" t="n"/>
      <c r="CB27" s="1842" t="n"/>
      <c r="CC27" s="1842" t="n"/>
      <c r="CD27" s="1842" t="n"/>
      <c r="CE27" s="1491" t="n"/>
      <c r="CF27" s="1491" t="n"/>
      <c r="CG27" s="1491" t="n"/>
      <c r="CH27" s="1491" t="n"/>
      <c r="CI27" s="1491" t="n"/>
      <c r="CJ27" s="1491" t="n"/>
      <c r="CK27" s="1491" t="n"/>
      <c r="CL27" s="1491" t="n"/>
      <c r="CM27" s="1491" t="n"/>
      <c r="CN27" s="1491" t="n"/>
      <c r="CO27" s="1491" t="n"/>
    </row>
    <row r="28">
      <c r="A28" s="1978">
        <f>A27+1</f>
        <v/>
      </c>
      <c r="B28" s="2067" t="n"/>
      <c r="C28" s="2015" t="inlineStr">
        <is>
          <t>USA</t>
        </is>
      </c>
      <c r="D28" s="2067" t="n"/>
      <c r="E28" s="2067" t="n"/>
      <c r="F28" s="2067" t="n"/>
      <c r="G28" s="2067" t="n"/>
      <c r="H28" s="2067" t="n"/>
      <c r="I28" s="2067" t="n"/>
      <c r="J28" s="2067" t="n"/>
      <c r="K28" s="2067" t="n"/>
      <c r="L28" s="2067" t="n"/>
      <c r="M28" s="2067" t="n"/>
      <c r="N28" s="2067" t="n"/>
      <c r="O28" s="2082" t="inlineStr">
        <is>
          <t>China</t>
        </is>
      </c>
      <c r="P28" s="2067" t="n"/>
      <c r="Q28" s="2067" t="n"/>
      <c r="R28" s="2067" t="n"/>
      <c r="S28" s="2067" t="n"/>
      <c r="T28" s="2067" t="n"/>
      <c r="U28" s="2067" t="n"/>
      <c r="V28" s="2067" t="n"/>
      <c r="W28" s="2067" t="n"/>
      <c r="X28" s="2067" t="n"/>
      <c r="Y28" s="2067" t="n"/>
      <c r="Z28" s="2067" t="n"/>
      <c r="AA28" s="2067" t="n"/>
      <c r="AB28" s="2067" t="n"/>
      <c r="AC28" s="2067" t="n"/>
      <c r="AD28" s="2067" t="n"/>
      <c r="AE28" s="2067" t="n"/>
      <c r="AF28" s="2067" t="n"/>
      <c r="AG28" s="2067" t="n"/>
      <c r="AH28" s="2067" t="n"/>
      <c r="AI28" s="2067" t="n"/>
      <c r="AJ28" s="2067" t="n"/>
      <c r="AK28" s="2079" t="inlineStr">
        <is>
          <t>Tremblant</t>
        </is>
      </c>
      <c r="AL28" s="1839" t="n"/>
      <c r="AM28" s="1491" t="n"/>
      <c r="AN28" s="1491" t="n"/>
      <c r="AO28" s="1491" t="n"/>
      <c r="AP28" s="1491" t="n"/>
      <c r="AQ28" s="1349" t="n"/>
      <c r="AR28" s="2053" t="n"/>
      <c r="AS28" s="2054" t="n"/>
      <c r="AT28" s="2055" t="n"/>
      <c r="AU28" s="2056" t="n"/>
      <c r="AV28" s="1869" t="n"/>
      <c r="AW28" s="2057" t="n"/>
      <c r="AX28" s="2054" t="n"/>
      <c r="AY28" s="2055" t="n"/>
      <c r="AZ28" s="2056" t="n"/>
      <c r="BA28" s="1869" t="n"/>
      <c r="BB28" s="2083" t="inlineStr">
        <is>
          <t>PARIS</t>
        </is>
      </c>
      <c r="BC28" s="2084" t="n"/>
      <c r="BD28" s="2085" t="n">
        <v>37160</v>
      </c>
      <c r="BE28" s="2086" t="n">
        <v>37163</v>
      </c>
      <c r="BF28" s="1874">
        <f>BE28-BD28</f>
        <v/>
      </c>
      <c r="BG28" s="2057" t="n"/>
      <c r="BH28" s="2080" t="n"/>
      <c r="BI28" s="2055" t="n"/>
      <c r="BJ28" s="2056" t="n"/>
      <c r="BK28" s="1884" t="n"/>
      <c r="BL28" s="1842" t="n"/>
      <c r="BM28" s="1842" t="n"/>
      <c r="BN28" s="1842" t="n"/>
      <c r="BO28" s="1842" t="n"/>
      <c r="BP28" s="1392" t="n"/>
      <c r="BQ28" s="1842" t="n"/>
      <c r="BR28" s="1842" t="n"/>
      <c r="BS28" s="1842" t="n"/>
      <c r="BT28" s="1842" t="n"/>
      <c r="BU28" s="1842" t="n"/>
      <c r="BV28" s="1842" t="n"/>
      <c r="BW28" s="1842" t="n"/>
      <c r="BX28" s="1842" t="n"/>
      <c r="BY28" s="1842" t="n"/>
      <c r="BZ28" s="1842" t="n"/>
      <c r="CA28" s="1842" t="n"/>
      <c r="CB28" s="1842" t="n"/>
      <c r="CC28" s="1842" t="n"/>
      <c r="CD28" s="1842" t="n"/>
      <c r="CE28" s="1491" t="n"/>
      <c r="CF28" s="1491" t="n"/>
      <c r="CG28" s="1491" t="n"/>
      <c r="CH28" s="1491" t="n"/>
      <c r="CI28" s="1491" t="n"/>
      <c r="CJ28" s="1491" t="n"/>
      <c r="CK28" s="1491" t="n"/>
      <c r="CL28" s="1491" t="n"/>
      <c r="CM28" s="1491" t="n"/>
      <c r="CN28" s="1491" t="n"/>
      <c r="CO28" s="1491" t="n"/>
    </row>
    <row r="29">
      <c r="A29" s="1978">
        <f>A28+1</f>
        <v/>
      </c>
      <c r="B29" s="2087" t="inlineStr">
        <is>
          <t>Tremblant</t>
        </is>
      </c>
      <c r="C29" s="2067" t="n"/>
      <c r="D29" s="2067" t="n"/>
      <c r="E29" s="2067" t="n"/>
      <c r="F29" s="2067" t="n"/>
      <c r="G29" s="2067" t="n"/>
      <c r="H29" s="2067" t="n"/>
      <c r="I29" s="2067" t="n"/>
      <c r="J29" s="2067" t="n"/>
      <c r="K29" s="2067" t="n"/>
      <c r="L29" s="2067" t="n"/>
      <c r="M29" s="2067" t="n"/>
      <c r="N29" s="2067" t="n"/>
      <c r="O29" s="2067" t="n"/>
      <c r="P29" s="2067" t="n"/>
      <c r="Q29" s="2067" t="n"/>
      <c r="R29" s="2067" t="n"/>
      <c r="S29" s="2067" t="n"/>
      <c r="T29" s="2067" t="n"/>
      <c r="U29" s="2067" t="n"/>
      <c r="V29" s="2067" t="n"/>
      <c r="W29" s="2067" t="n"/>
      <c r="X29" s="2067" t="n"/>
      <c r="Y29" s="2067" t="n"/>
      <c r="Z29" s="2067" t="n"/>
      <c r="AA29" s="2067" t="n"/>
      <c r="AB29" s="2067" t="n"/>
      <c r="AC29" s="2067" t="n"/>
      <c r="AD29" s="2067" t="n"/>
      <c r="AE29" s="2067" t="n"/>
      <c r="AF29" s="2067" t="n"/>
      <c r="AG29" s="1958" t="inlineStr">
        <is>
          <t>London</t>
        </is>
      </c>
      <c r="AH29" s="2067" t="n"/>
      <c r="AI29" s="2067" t="n"/>
      <c r="AJ29" s="2067" t="n"/>
      <c r="AK29" s="2067" t="n"/>
      <c r="AL29" s="1839" t="n"/>
      <c r="AM29" s="1491" t="n"/>
      <c r="AN29" s="1491" t="n"/>
      <c r="AO29" s="1491" t="n"/>
      <c r="AP29" s="1491" t="n"/>
      <c r="AQ29" s="1349" t="n"/>
      <c r="AR29" s="2088" t="n"/>
      <c r="AS29" s="2089" t="n"/>
      <c r="AT29" s="2090" t="n"/>
      <c r="AU29" s="2091" t="n"/>
      <c r="AV29" s="2092" t="n"/>
      <c r="AW29" s="2093" t="n"/>
      <c r="AX29" s="2089" t="n"/>
      <c r="AY29" s="2090" t="n"/>
      <c r="AZ29" s="2091" t="n"/>
      <c r="BA29" s="2092" t="n"/>
      <c r="BB29" s="2008" t="inlineStr">
        <is>
          <t>espaco aereo FRANCES</t>
        </is>
      </c>
      <c r="BC29" s="2094" t="n"/>
      <c r="BD29" s="2010" t="n">
        <v>40815</v>
      </c>
      <c r="BE29" s="2011" t="n">
        <v>40816</v>
      </c>
      <c r="BF29" s="2095" t="n">
        <v>1</v>
      </c>
      <c r="BG29" s="2093" t="n"/>
      <c r="BH29" s="2096" t="n"/>
      <c r="BI29" s="2090" t="n"/>
      <c r="BJ29" s="2091" t="n"/>
      <c r="BK29" s="2097" t="n"/>
      <c r="BL29" s="1842" t="n"/>
      <c r="BM29" s="1842" t="n"/>
      <c r="BN29" s="1842" t="n"/>
      <c r="BO29" s="1842" t="n"/>
      <c r="BP29" s="1392" t="n"/>
      <c r="BQ29" s="1842" t="n"/>
      <c r="BR29" s="1842" t="n"/>
      <c r="BS29" s="1842" t="n"/>
      <c r="BT29" s="1842" t="n"/>
      <c r="BU29" s="1842" t="n"/>
      <c r="BV29" s="1842" t="n"/>
      <c r="BW29" s="1842" t="n"/>
      <c r="BX29" s="1842" t="n"/>
      <c r="BY29" s="1842" t="n"/>
      <c r="BZ29" s="1842" t="n"/>
      <c r="CA29" s="1842" t="n"/>
      <c r="CB29" s="1842" t="n"/>
      <c r="CC29" s="1842" t="n"/>
      <c r="CD29" s="1842" t="n"/>
      <c r="CE29" s="1491" t="n"/>
      <c r="CF29" s="1491" t="n"/>
      <c r="CG29" s="1491" t="n"/>
      <c r="CH29" s="1491" t="n"/>
      <c r="CI29" s="1491" t="n"/>
      <c r="CJ29" s="1491" t="n"/>
      <c r="CK29" s="1491" t="n"/>
      <c r="CL29" s="1491" t="n"/>
      <c r="CM29" s="1491" t="n"/>
      <c r="CN29" s="1491" t="n"/>
      <c r="CO29" s="1491" t="n"/>
    </row>
    <row r="30">
      <c r="A30" s="1978">
        <f>A29+1</f>
        <v/>
      </c>
      <c r="B30" s="2067" t="n"/>
      <c r="C30" s="2067" t="n"/>
      <c r="D30" s="2015" t="inlineStr">
        <is>
          <t>USA</t>
        </is>
      </c>
      <c r="E30" s="1072" t="n"/>
      <c r="F30" s="2067" t="n"/>
      <c r="G30" s="2067" t="n"/>
      <c r="H30" s="2067" t="n"/>
      <c r="I30" s="2067" t="n"/>
      <c r="J30" s="2067" t="n"/>
      <c r="K30" s="2067" t="n"/>
      <c r="L30" s="2067" t="n"/>
      <c r="M30" s="2067" t="n"/>
      <c r="N30" s="2067" t="n"/>
      <c r="O30" s="2067" t="n"/>
      <c r="P30" s="2067" t="n"/>
      <c r="Q30" s="2067" t="n"/>
      <c r="R30" s="2067" t="n"/>
      <c r="S30" s="2067" t="n"/>
      <c r="T30" s="2067" t="n"/>
      <c r="U30" s="2067" t="n"/>
      <c r="V30" s="2067" t="n"/>
      <c r="W30" s="2067" t="n"/>
      <c r="X30" s="2067" t="n"/>
      <c r="Y30" s="2067" t="n"/>
      <c r="Z30" s="2067" t="n"/>
      <c r="AA30" s="2067" t="n"/>
      <c r="AB30" s="2067" t="n"/>
      <c r="AC30" s="2067" t="n"/>
      <c r="AD30" s="2067" t="n"/>
      <c r="AE30" s="2067" t="n"/>
      <c r="AF30" s="2067" t="n"/>
      <c r="AG30" s="2098" t="inlineStr">
        <is>
          <t>PRT</t>
        </is>
      </c>
      <c r="AH30" s="1962" t="inlineStr">
        <is>
          <t>ESP</t>
        </is>
      </c>
      <c r="AI30" s="2067" t="n"/>
      <c r="AJ30" s="2067" t="n"/>
      <c r="AK30" s="2067" t="n"/>
      <c r="AL30" s="1839" t="n"/>
      <c r="AM30" s="1491" t="n"/>
      <c r="AN30" s="1491" t="n"/>
      <c r="AO30" s="1491" t="n"/>
      <c r="AP30" s="1491" t="n"/>
      <c r="AQ30" s="2099" t="inlineStr">
        <is>
          <t>ac</t>
        </is>
      </c>
      <c r="AR30" s="1841" t="n">
        <v>1995</v>
      </c>
      <c r="AS30" s="1429" t="n"/>
      <c r="AT30" s="1429" t="n"/>
      <c r="AU30" s="1429" t="n"/>
      <c r="AV30" s="1072" t="n"/>
      <c r="AW30" s="1841" t="n">
        <v>1996</v>
      </c>
      <c r="AX30" s="1429" t="n"/>
      <c r="AY30" s="1429" t="n"/>
      <c r="AZ30" s="1429" t="n"/>
      <c r="BA30" s="1072" t="n"/>
      <c r="BB30" s="1841" t="n">
        <v>1997</v>
      </c>
      <c r="BC30" s="1429" t="n"/>
      <c r="BD30" s="1429" t="n"/>
      <c r="BE30" s="1429" t="n"/>
      <c r="BF30" s="1072" t="n"/>
      <c r="BG30" s="1841" t="n">
        <v>1998</v>
      </c>
      <c r="BH30" s="1429" t="n"/>
      <c r="BI30" s="1429" t="n"/>
      <c r="BJ30" s="1429" t="n"/>
      <c r="BK30" s="1072" t="n"/>
      <c r="BL30" s="1841" t="n">
        <v>1999</v>
      </c>
      <c r="BM30" s="1429" t="n"/>
      <c r="BN30" s="1429" t="n"/>
      <c r="BO30" s="1429" t="n"/>
      <c r="BP30" s="1072" t="n"/>
      <c r="BQ30" s="1841" t="n">
        <v>2000</v>
      </c>
      <c r="BR30" s="1429" t="n"/>
      <c r="BS30" s="1429" t="n"/>
      <c r="BT30" s="1429" t="n"/>
      <c r="BU30" s="1072" t="n"/>
      <c r="BV30" s="1841" t="n">
        <v>2001</v>
      </c>
      <c r="BW30" s="1429" t="n"/>
      <c r="BX30" s="1429" t="n"/>
      <c r="BY30" s="1429" t="n"/>
      <c r="BZ30" s="1072" t="n"/>
      <c r="CA30" s="1841" t="n">
        <v>2002</v>
      </c>
      <c r="CB30" s="1429" t="n"/>
      <c r="CC30" s="1429" t="n"/>
      <c r="CD30" s="1429" t="n"/>
      <c r="CE30" s="1072" t="n"/>
      <c r="CF30" s="1841" t="n">
        <v>2003</v>
      </c>
      <c r="CG30" s="1429" t="n"/>
      <c r="CH30" s="1429" t="n"/>
      <c r="CI30" s="1429" t="n"/>
      <c r="CJ30" s="1072" t="n"/>
      <c r="CK30" s="1841" t="n">
        <v>2004</v>
      </c>
      <c r="CL30" s="1429" t="n"/>
      <c r="CM30" s="1429" t="n"/>
      <c r="CN30" s="1429" t="n"/>
      <c r="CO30" s="1072" t="n"/>
    </row>
    <row r="31">
      <c r="A31" s="1978">
        <f>A30+1</f>
        <v/>
      </c>
      <c r="B31" s="2067" t="n"/>
      <c r="C31" s="2067" t="n"/>
      <c r="D31" s="2067" t="n"/>
      <c r="E31" s="2067" t="n"/>
      <c r="F31" s="2067" t="n"/>
      <c r="G31" s="1913" t="inlineStr">
        <is>
          <t>SSA (+Aracaju)</t>
        </is>
      </c>
      <c r="H31" s="1429" t="n"/>
      <c r="I31" s="1072" t="n"/>
      <c r="J31" s="2061" t="inlineStr">
        <is>
          <t>Rio</t>
        </is>
      </c>
      <c r="K31" s="2067" t="n"/>
      <c r="L31" s="2067" t="n"/>
      <c r="M31" s="2067" t="n"/>
      <c r="N31" s="2067" t="n"/>
      <c r="O31" s="2067" t="n"/>
      <c r="P31" s="2067" t="n"/>
      <c r="Q31" s="2067" t="n"/>
      <c r="R31" s="1913" t="inlineStr">
        <is>
          <t>SSA</t>
        </is>
      </c>
      <c r="S31" s="1072" t="n"/>
      <c r="T31" s="2061" t="inlineStr">
        <is>
          <t>Rio</t>
        </is>
      </c>
      <c r="U31" s="1913" t="inlineStr">
        <is>
          <t>SSA</t>
        </is>
      </c>
      <c r="V31" s="2067" t="n"/>
      <c r="W31" s="2067" t="n"/>
      <c r="X31" s="2067" t="n"/>
      <c r="Y31" s="2067" t="n"/>
      <c r="Z31" s="2067" t="n"/>
      <c r="AA31" s="2067" t="n"/>
      <c r="AB31" s="2067" t="n"/>
      <c r="AC31" s="2067" t="n"/>
      <c r="AD31" s="2067" t="n"/>
      <c r="AE31" s="2067" t="n"/>
      <c r="AF31" s="2067" t="n"/>
      <c r="AG31" s="1958" t="inlineStr">
        <is>
          <t>London</t>
        </is>
      </c>
      <c r="AH31" s="2067" t="n"/>
      <c r="AI31" s="2067" t="n"/>
      <c r="AJ31" s="2067" t="n"/>
      <c r="AK31" s="2067" t="n"/>
      <c r="AL31" s="1839" t="n"/>
      <c r="AM31" s="1491" t="n"/>
      <c r="AN31" s="1491" t="n"/>
      <c r="AO31" s="1491" t="n"/>
      <c r="AP31" s="1491" t="n"/>
      <c r="AQ31" s="1349" t="n"/>
      <c r="AR31" s="1865" t="inlineStr">
        <is>
          <t>SSA</t>
        </is>
      </c>
      <c r="AS31" s="1866" t="n"/>
      <c r="AT31" s="2100" t="n">
        <v>36526</v>
      </c>
      <c r="AU31" s="2101" t="n">
        <v>36553</v>
      </c>
      <c r="AV31" s="2077">
        <f>AU31-AT31</f>
        <v/>
      </c>
      <c r="AW31" s="1865" t="inlineStr">
        <is>
          <t>SSA</t>
        </is>
      </c>
      <c r="AX31" s="1866" t="n"/>
      <c r="AY31" s="1867" t="n">
        <v>36873</v>
      </c>
      <c r="AZ31" s="1868" t="n">
        <v>36948</v>
      </c>
      <c r="BA31" s="2077">
        <f>AZ31-AY31</f>
        <v/>
      </c>
      <c r="BB31" s="1865" t="inlineStr">
        <is>
          <t>SSA</t>
        </is>
      </c>
      <c r="BC31" s="1866" t="n"/>
      <c r="BD31" s="1867" t="n">
        <v>35430</v>
      </c>
      <c r="BE31" s="1868" t="n">
        <v>35656</v>
      </c>
      <c r="BF31" s="2077">
        <f>BE31-BD31</f>
        <v/>
      </c>
      <c r="BG31" s="1865" t="inlineStr">
        <is>
          <t>Porto Seguro</t>
        </is>
      </c>
      <c r="BH31" s="2076" t="n"/>
      <c r="BI31" s="1867" t="n">
        <v>37253</v>
      </c>
      <c r="BJ31" s="1868" t="n">
        <v>37257</v>
      </c>
      <c r="BK31" s="1869">
        <f>BJ31-BI31</f>
        <v/>
      </c>
      <c r="BL31" s="1865" t="inlineStr">
        <is>
          <t>SSA</t>
        </is>
      </c>
      <c r="BM31" s="1866" t="n"/>
      <c r="BN31" s="1867" t="n">
        <v>36160</v>
      </c>
      <c r="BO31" s="1868" t="n">
        <v>36189</v>
      </c>
      <c r="BP31" s="2077">
        <f>BO31-BN31</f>
        <v/>
      </c>
      <c r="BQ31" s="2102" t="inlineStr">
        <is>
          <t>Porto Seguro</t>
        </is>
      </c>
      <c r="BR31" s="2103" t="n"/>
      <c r="BS31" s="2104" t="n">
        <v>36887</v>
      </c>
      <c r="BT31" s="2105" t="n">
        <v>36896</v>
      </c>
      <c r="BU31" s="1884">
        <f>BT31-BS31</f>
        <v/>
      </c>
      <c r="BV31" s="2103" t="inlineStr">
        <is>
          <t>Cunha-S.P</t>
        </is>
      </c>
      <c r="BW31" s="2106" t="n"/>
      <c r="BX31" s="2107" t="n">
        <v>36890</v>
      </c>
      <c r="BY31" s="2108" t="n">
        <v>36893</v>
      </c>
      <c r="BZ31" s="2109">
        <f>BY31-BX31</f>
        <v/>
      </c>
      <c r="CA31" s="2110" t="inlineStr">
        <is>
          <t>SC - Camboriú</t>
        </is>
      </c>
      <c r="CB31" s="2111" t="n"/>
      <c r="CC31" s="2112">
        <f>DATE(2001,12,28)</f>
        <v/>
      </c>
      <c r="CD31" s="2113">
        <f>DATE(2002,1,2)</f>
        <v/>
      </c>
      <c r="CE31" s="1884">
        <f>CD31-CC31</f>
        <v/>
      </c>
      <c r="CF31" s="2103" t="inlineStr">
        <is>
          <t>Porto Seguro</t>
        </is>
      </c>
      <c r="CG31" s="2103" t="n"/>
      <c r="CH31" s="2107" t="n">
        <v>37617</v>
      </c>
      <c r="CI31" s="2108" t="n">
        <v>37622</v>
      </c>
      <c r="CJ31" s="2109">
        <f>CI31-CH31</f>
        <v/>
      </c>
      <c r="CK31" s="2114" t="inlineStr">
        <is>
          <t>London</t>
        </is>
      </c>
      <c r="CL31" s="2115" t="n"/>
      <c r="CM31" s="2116" t="n">
        <v>37987</v>
      </c>
      <c r="CN31" s="2117" t="n">
        <v>37989</v>
      </c>
      <c r="CO31" s="1884">
        <f>CN31-CM31</f>
        <v/>
      </c>
    </row>
    <row r="32">
      <c r="A32" s="1978">
        <f>A31+1</f>
        <v/>
      </c>
      <c r="B32" s="2067" t="n"/>
      <c r="C32" s="2067" t="n"/>
      <c r="D32" s="2067" t="n"/>
      <c r="E32" s="2061" t="inlineStr">
        <is>
          <t>SP/Rio</t>
        </is>
      </c>
      <c r="F32" s="1913" t="inlineStr">
        <is>
          <t>SSA</t>
        </is>
      </c>
      <c r="G32" s="2067" t="n"/>
      <c r="H32" s="2067" t="n"/>
      <c r="I32" s="2067" t="n"/>
      <c r="J32" s="2067" t="n"/>
      <c r="K32" s="2067" t="n"/>
      <c r="L32" s="2067" t="n"/>
      <c r="M32" s="2067" t="n"/>
      <c r="N32" s="2067" t="n"/>
      <c r="O32" s="2067" t="n"/>
      <c r="P32" s="2067" t="n"/>
      <c r="Q32" s="2067" t="n"/>
      <c r="R32" s="2067" t="n"/>
      <c r="S32" s="2067" t="n"/>
      <c r="T32" s="2067" t="n"/>
      <c r="U32" s="2067" t="n"/>
      <c r="V32" s="2067" t="n"/>
      <c r="W32" s="2067" t="n"/>
      <c r="X32" s="2079" t="inlineStr">
        <is>
          <t>Niagara/Toronto</t>
        </is>
      </c>
      <c r="Y32" s="2067" t="n"/>
      <c r="Z32" s="2067" t="n"/>
      <c r="AA32" s="2067" t="n"/>
      <c r="AB32" s="2067" t="n"/>
      <c r="AC32" s="2067" t="n"/>
      <c r="AD32" s="2067" t="n"/>
      <c r="AE32" s="2067" t="n"/>
      <c r="AF32" s="2067" t="n"/>
      <c r="AG32" s="2067" t="n"/>
      <c r="AH32" s="2067" t="n"/>
      <c r="AI32" s="2067" t="n"/>
      <c r="AJ32" s="2067" t="n"/>
      <c r="AK32" s="2067" t="n"/>
      <c r="AL32" s="1839" t="n"/>
      <c r="AM32" s="1491" t="n"/>
      <c r="AN32" s="1491" t="n"/>
      <c r="AO32" s="1491" t="n"/>
      <c r="AP32" s="1491" t="n"/>
      <c r="AQ32" s="1349" t="n"/>
      <c r="AR32" s="1865" t="inlineStr">
        <is>
          <t>espaco aereo brasileiro</t>
        </is>
      </c>
      <c r="AS32" s="1866" t="n"/>
      <c r="AT32" s="2100" t="n">
        <v>40571</v>
      </c>
      <c r="AU32" s="2101" t="n">
        <v>40572</v>
      </c>
      <c r="AV32" s="2077">
        <f>AU32-AT32</f>
        <v/>
      </c>
      <c r="AW32" s="1865" t="inlineStr">
        <is>
          <t>Maceió</t>
        </is>
      </c>
      <c r="AX32" s="1866" t="n"/>
      <c r="AY32" s="1867" t="inlineStr">
        <is>
          <t>carnaval</t>
        </is>
      </c>
      <c r="AZ32" s="1868" t="inlineStr">
        <is>
          <t>datas?</t>
        </is>
      </c>
      <c r="BA32" s="2077" t="n">
        <v>3</v>
      </c>
      <c r="BB32" s="1865" t="inlineStr">
        <is>
          <t>SP</t>
        </is>
      </c>
      <c r="BC32" s="1866" t="n"/>
      <c r="BD32" s="1867" t="n">
        <v>36752</v>
      </c>
      <c r="BE32" s="1868" t="n">
        <v>36756</v>
      </c>
      <c r="BF32" s="2077">
        <f>BE32-BD32</f>
        <v/>
      </c>
      <c r="BG32" s="1865" t="inlineStr">
        <is>
          <t>SSA</t>
        </is>
      </c>
      <c r="BH32" s="2076" t="n"/>
      <c r="BI32" s="1867" t="n">
        <v>36892</v>
      </c>
      <c r="BJ32" s="1868" t="n">
        <v>36907</v>
      </c>
      <c r="BK32" s="1869">
        <f>BJ32-BI32</f>
        <v/>
      </c>
      <c r="BL32" s="1865" t="inlineStr">
        <is>
          <t xml:space="preserve">Aracaju </t>
        </is>
      </c>
      <c r="BM32" s="1866" t="n"/>
      <c r="BN32" s="1867" t="n">
        <v>36920</v>
      </c>
      <c r="BO32" s="1868" t="n">
        <v>36922</v>
      </c>
      <c r="BP32" s="2077">
        <f>BO32-BN32</f>
        <v/>
      </c>
      <c r="BQ32" s="2118" t="inlineStr">
        <is>
          <t>SSA</t>
        </is>
      </c>
      <c r="BR32" s="2119" t="n"/>
      <c r="BS32" s="2120" t="n">
        <v>36896</v>
      </c>
      <c r="BT32" s="2121" t="n">
        <v>36927</v>
      </c>
      <c r="BU32" s="1884">
        <f>BT32-BS32</f>
        <v/>
      </c>
      <c r="BV32" s="2119" t="inlineStr">
        <is>
          <t>SP</t>
        </is>
      </c>
      <c r="BW32" s="2122" t="n"/>
      <c r="BX32" s="2123" t="n">
        <v>36893</v>
      </c>
      <c r="BY32" s="2124" t="n">
        <v>36897</v>
      </c>
      <c r="BZ32" s="2109">
        <f>BY32-BX32</f>
        <v/>
      </c>
      <c r="CA32" s="2110" t="inlineStr">
        <is>
          <t>SP</t>
        </is>
      </c>
      <c r="CB32" s="2111" t="n"/>
      <c r="CC32" s="2112" t="n">
        <v>37258</v>
      </c>
      <c r="CD32" s="2113" t="n">
        <v>37274</v>
      </c>
      <c r="CE32" s="1884">
        <f>CD32-CC32</f>
        <v/>
      </c>
      <c r="CF32" s="2119" t="inlineStr">
        <is>
          <t>SSA</t>
        </is>
      </c>
      <c r="CG32" s="2119" t="n"/>
      <c r="CH32" s="2123" t="n">
        <v>37622</v>
      </c>
      <c r="CI32" s="2124" t="n">
        <v>37632</v>
      </c>
      <c r="CJ32" s="2109">
        <f>CI32-CH32</f>
        <v/>
      </c>
      <c r="CK32" s="2125" t="inlineStr">
        <is>
          <t>Geneva</t>
        </is>
      </c>
      <c r="CL32" s="1977" t="inlineStr">
        <is>
          <t>conexao</t>
        </is>
      </c>
      <c r="CM32" s="2126" t="n">
        <v>37989</v>
      </c>
      <c r="CN32" s="2127" t="n">
        <v>37989</v>
      </c>
      <c r="CO32" s="2128" t="inlineStr">
        <is>
          <t>-</t>
        </is>
      </c>
    </row>
    <row r="33">
      <c r="A33" s="1978">
        <f>A32+1</f>
        <v/>
      </c>
      <c r="B33" s="2067" t="n"/>
      <c r="C33" s="2067" t="n"/>
      <c r="D33" s="2067" t="n"/>
      <c r="E33" s="2067" t="n"/>
      <c r="F33" s="2067" t="n"/>
      <c r="G33" s="2067" t="n"/>
      <c r="H33" s="2067" t="n"/>
      <c r="I33" s="2067" t="n"/>
      <c r="J33" s="2067" t="n"/>
      <c r="K33" s="2067" t="n"/>
      <c r="L33" s="2067" t="n"/>
      <c r="M33" s="2067" t="n"/>
      <c r="N33" s="2067" t="n"/>
      <c r="O33" s="2067" t="n"/>
      <c r="P33" s="2067" t="n"/>
      <c r="Q33" s="2067" t="n"/>
      <c r="R33" s="2067" t="n"/>
      <c r="S33" s="2079" t="inlineStr">
        <is>
          <t>tr-qc</t>
        </is>
      </c>
      <c r="T33" s="2067" t="n"/>
      <c r="U33" s="2067" t="n"/>
      <c r="V33" s="2067" t="n"/>
      <c r="W33" s="2067" t="n"/>
      <c r="X33" s="2067" t="n"/>
      <c r="Y33" s="2067" t="n"/>
      <c r="Z33" s="2067" t="n"/>
      <c r="AA33" s="2067" t="n"/>
      <c r="AB33" s="1958" t="inlineStr">
        <is>
          <t>London</t>
        </is>
      </c>
      <c r="AC33" s="1072" t="n"/>
      <c r="AD33" s="2067" t="n"/>
      <c r="AE33" s="2067" t="n"/>
      <c r="AF33" s="2067" t="n"/>
      <c r="AG33" s="2067" t="n"/>
      <c r="AH33" s="2067" t="n"/>
      <c r="AI33" s="2067" t="n"/>
      <c r="AJ33" s="1913" t="inlineStr">
        <is>
          <t>SSA</t>
        </is>
      </c>
      <c r="AK33" s="2067" t="n"/>
      <c r="AL33" s="1839" t="n"/>
      <c r="AM33" s="1491" t="n"/>
      <c r="AN33" s="1491" t="n"/>
      <c r="AO33" s="1491" t="n"/>
      <c r="AP33" s="1491" t="n"/>
      <c r="AQ33" s="1349" t="n"/>
      <c r="AR33" s="2129" t="inlineStr">
        <is>
          <t>PORT (Lisboa)</t>
        </is>
      </c>
      <c r="AS33" s="1870" t="n"/>
      <c r="AT33" s="2130" t="n">
        <v>36920</v>
      </c>
      <c r="AU33" s="2131" t="n">
        <v>36920</v>
      </c>
      <c r="AV33" s="1884">
        <f>AU33-AT33</f>
        <v/>
      </c>
      <c r="AW33" s="1865" t="inlineStr">
        <is>
          <t>SP</t>
        </is>
      </c>
      <c r="AX33" s="1866" t="n"/>
      <c r="AY33" s="1867" t="n">
        <v>36582</v>
      </c>
      <c r="AZ33" s="1868" t="n">
        <v>36613</v>
      </c>
      <c r="BA33" s="2077">
        <f>AZ33-AY33</f>
        <v/>
      </c>
      <c r="BB33" s="2132" t="inlineStr">
        <is>
          <t>Paris</t>
        </is>
      </c>
      <c r="BC33" s="1875" t="inlineStr">
        <is>
          <t>(coments)</t>
        </is>
      </c>
      <c r="BD33" s="1877" t="n">
        <v>36757</v>
      </c>
      <c r="BE33" s="1878" t="n">
        <v>36764</v>
      </c>
      <c r="BF33" s="1884">
        <f>BE33-BD33</f>
        <v/>
      </c>
      <c r="BG33" s="2132" t="inlineStr">
        <is>
          <t>Paris</t>
        </is>
      </c>
      <c r="BH33" s="1875" t="inlineStr">
        <is>
          <t>(coments)</t>
        </is>
      </c>
      <c r="BI33" s="1877" t="n">
        <v>36542</v>
      </c>
      <c r="BJ33" s="1878" t="n">
        <v>36560</v>
      </c>
      <c r="BK33" s="1874">
        <f>BJ33-BI33</f>
        <v/>
      </c>
      <c r="BL33" s="1865" t="inlineStr">
        <is>
          <t>SSA</t>
        </is>
      </c>
      <c r="BM33" s="1866" t="n"/>
      <c r="BN33" s="1867" t="n">
        <v>36922</v>
      </c>
      <c r="BO33" s="1868" t="n">
        <v>36990</v>
      </c>
      <c r="BP33" s="2077">
        <f>BO33-BN33</f>
        <v/>
      </c>
      <c r="BQ33" s="2102" t="inlineStr">
        <is>
          <t>SP</t>
        </is>
      </c>
      <c r="BR33" s="2103" t="n"/>
      <c r="BS33" s="2104" t="n">
        <v>36561</v>
      </c>
      <c r="BT33" s="2105" t="n">
        <v>36607</v>
      </c>
      <c r="BU33" s="1884">
        <f>BT33-BS33</f>
        <v/>
      </c>
      <c r="BV33" s="2103" t="inlineStr">
        <is>
          <t>Boituva</t>
        </is>
      </c>
      <c r="BW33" s="2106" t="n"/>
      <c r="BX33" s="2107" t="n">
        <v>36897</v>
      </c>
      <c r="BY33" s="2108" t="n">
        <v>36898</v>
      </c>
      <c r="BZ33" s="2109">
        <f>BY33-BX33</f>
        <v/>
      </c>
      <c r="CA33" s="2110" t="inlineStr">
        <is>
          <t>RIO</t>
        </is>
      </c>
      <c r="CB33" s="2111" t="n"/>
      <c r="CC33" s="2112" t="n">
        <v>37274</v>
      </c>
      <c r="CD33" s="2113" t="n">
        <v>37288</v>
      </c>
      <c r="CE33" s="1884">
        <f>CD33-CC33</f>
        <v/>
      </c>
      <c r="CF33" s="2103" t="inlineStr">
        <is>
          <t>SP</t>
        </is>
      </c>
      <c r="CG33" s="2103" t="n"/>
      <c r="CH33" s="2107" t="n">
        <v>37632</v>
      </c>
      <c r="CI33" s="2108" t="n">
        <v>37637</v>
      </c>
      <c r="CJ33" s="2109">
        <f>CI33-CH33</f>
        <v/>
      </c>
      <c r="CK33" s="2132" t="inlineStr">
        <is>
          <t>Combloux</t>
        </is>
      </c>
      <c r="CL33" s="1876" t="n"/>
      <c r="CM33" s="2133" t="n">
        <v>37989</v>
      </c>
      <c r="CN33" s="2134" t="n">
        <v>37997</v>
      </c>
      <c r="CO33" s="1884">
        <f>CN33-CM33</f>
        <v/>
      </c>
    </row>
    <row r="34">
      <c r="A34" s="1978">
        <f>A33+1</f>
        <v/>
      </c>
      <c r="B34" s="2067" t="n"/>
      <c r="C34" s="2067" t="n"/>
      <c r="D34" s="2067" t="n"/>
      <c r="E34" s="2067" t="n"/>
      <c r="F34" s="2067" t="n"/>
      <c r="G34" s="2067" t="n"/>
      <c r="H34" s="2067" t="n"/>
      <c r="I34" s="2067" t="n"/>
      <c r="J34" s="2067" t="n"/>
      <c r="K34" s="2067" t="n"/>
      <c r="L34" s="2067" t="n"/>
      <c r="M34" s="2067" t="n"/>
      <c r="N34" s="2067" t="n"/>
      <c r="O34" s="2067" t="n"/>
      <c r="P34" s="2079" t="inlineStr">
        <is>
          <t>campings</t>
        </is>
      </c>
      <c r="Q34" s="2067" t="n"/>
      <c r="R34" s="1921" t="inlineStr">
        <is>
          <t>Ned/Bel/Deu/CH/Ita</t>
        </is>
      </c>
      <c r="S34" s="1429" t="n"/>
      <c r="T34" s="1072" t="n"/>
      <c r="U34" s="2067" t="n"/>
      <c r="V34" s="2067" t="n"/>
      <c r="W34" s="2067" t="n"/>
      <c r="X34" s="2067" t="n"/>
      <c r="Y34" s="2067" t="n"/>
      <c r="Z34" s="2067" t="n"/>
      <c r="AA34" s="1913" t="inlineStr">
        <is>
          <t>SSA</t>
        </is>
      </c>
      <c r="AB34" s="2061" t="inlineStr">
        <is>
          <t>Rio</t>
        </is>
      </c>
      <c r="AC34" s="1913" t="inlineStr">
        <is>
          <t>SSA/Aracaju</t>
        </is>
      </c>
      <c r="AD34" s="2067" t="n"/>
      <c r="AE34" s="2067" t="n"/>
      <c r="AF34" s="2067" t="n"/>
      <c r="AG34" s="2067" t="n"/>
      <c r="AH34" s="2067" t="n"/>
      <c r="AI34" s="2067" t="n"/>
      <c r="AJ34" s="2067" t="n"/>
      <c r="AK34" s="2067" t="n"/>
      <c r="AL34" s="1839" t="n"/>
      <c r="AM34" s="1491" t="n"/>
      <c r="AN34" s="1491" t="n"/>
      <c r="AO34" s="1491" t="n"/>
      <c r="AP34" s="1491" t="n"/>
      <c r="AQ34" s="1349" t="n"/>
      <c r="AR34" s="2135" t="inlineStr">
        <is>
          <t>Évora</t>
        </is>
      </c>
      <c r="AS34" s="2136" t="n"/>
      <c r="AT34" s="2130" t="n">
        <v>36920</v>
      </c>
      <c r="AU34" s="2131" t="n">
        <v>36921</v>
      </c>
      <c r="AV34" s="1884">
        <f>AU34-AT34</f>
        <v/>
      </c>
      <c r="AW34" s="1865" t="inlineStr">
        <is>
          <t>espaco aereo brasileiro</t>
        </is>
      </c>
      <c r="AX34" s="1866" t="n"/>
      <c r="AY34" s="1867" t="n">
        <v>40630</v>
      </c>
      <c r="AZ34" s="1868" t="n">
        <v>40631</v>
      </c>
      <c r="BA34" s="2077">
        <f>AZ34-AY34</f>
        <v/>
      </c>
      <c r="BB34" s="2137" t="inlineStr">
        <is>
          <t>London</t>
        </is>
      </c>
      <c r="BC34" s="1989" t="inlineStr">
        <is>
          <t>(coments)</t>
        </is>
      </c>
      <c r="BD34" s="1991" t="n">
        <v>36764</v>
      </c>
      <c r="BE34" s="1992" t="n">
        <v>36769</v>
      </c>
      <c r="BF34" s="1884">
        <f>BE34-BD34</f>
        <v/>
      </c>
      <c r="BG34" s="2138" t="inlineStr">
        <is>
          <t>conexao Bruxelas</t>
        </is>
      </c>
      <c r="BH34" s="2094" t="n"/>
      <c r="BI34" s="2010" t="n">
        <v>40213</v>
      </c>
      <c r="BJ34" s="2011" t="n">
        <v>40214</v>
      </c>
      <c r="BK34" s="2012">
        <f>BJ34-BI34</f>
        <v/>
      </c>
      <c r="BL34" s="1865" t="inlineStr">
        <is>
          <t>Boi Peba</t>
        </is>
      </c>
      <c r="BM34" s="1866" t="n"/>
      <c r="BN34" s="1867" t="n">
        <v>36990</v>
      </c>
      <c r="BO34" s="1868" t="n">
        <v>36993</v>
      </c>
      <c r="BP34" s="2077">
        <f>BO34-BN34</f>
        <v/>
      </c>
      <c r="BQ34" s="2118" t="inlineStr">
        <is>
          <t>SSA</t>
        </is>
      </c>
      <c r="BR34" s="2119" t="n"/>
      <c r="BS34" s="2120" t="n">
        <v>36607</v>
      </c>
      <c r="BT34" s="2121" t="n">
        <v>36614</v>
      </c>
      <c r="BU34" s="1884">
        <f>BT34-BS34</f>
        <v/>
      </c>
      <c r="BV34" s="2119" t="inlineStr">
        <is>
          <t>SP</t>
        </is>
      </c>
      <c r="BW34" s="2122" t="n"/>
      <c r="BX34" s="2123" t="n">
        <v>36898</v>
      </c>
      <c r="BY34" s="2124" t="n">
        <v>36917</v>
      </c>
      <c r="BZ34" s="2109">
        <f>BY34-BX34</f>
        <v/>
      </c>
      <c r="CA34" s="2110" t="inlineStr">
        <is>
          <t>SSA</t>
        </is>
      </c>
      <c r="CB34" s="2111" t="n"/>
      <c r="CC34" s="2112" t="n">
        <v>37288</v>
      </c>
      <c r="CD34" s="2113" t="n">
        <v>37304</v>
      </c>
      <c r="CE34" s="1884">
        <f>CD34-CC34</f>
        <v/>
      </c>
      <c r="CF34" s="2119" t="inlineStr">
        <is>
          <t>SSA</t>
        </is>
      </c>
      <c r="CG34" s="2119" t="n"/>
      <c r="CH34" s="2123" t="n">
        <v>37637</v>
      </c>
      <c r="CI34" s="2124" t="n">
        <v>37692</v>
      </c>
      <c r="CJ34" s="2109">
        <f>CI34-CH34</f>
        <v/>
      </c>
      <c r="CK34" s="2125" t="inlineStr">
        <is>
          <t>Geneva</t>
        </is>
      </c>
      <c r="CL34" s="1977" t="inlineStr">
        <is>
          <t>conexao</t>
        </is>
      </c>
      <c r="CM34" s="2126" t="n">
        <v>37997</v>
      </c>
      <c r="CN34" s="2127" t="n">
        <v>37997</v>
      </c>
      <c r="CO34" s="2128" t="inlineStr">
        <is>
          <t>-</t>
        </is>
      </c>
    </row>
    <row r="35">
      <c r="A35" s="1978">
        <f>A34+1</f>
        <v/>
      </c>
      <c r="B35" s="2067" t="n"/>
      <c r="C35" s="2079" t="inlineStr">
        <is>
          <t>Granby</t>
        </is>
      </c>
      <c r="D35" s="2067" t="n"/>
      <c r="E35" s="2067" t="n"/>
      <c r="F35" s="2139" t="n"/>
      <c r="G35" s="2139" t="n"/>
      <c r="H35" s="2139" t="n"/>
      <c r="I35" s="2139" t="n"/>
      <c r="J35" s="2139" t="n"/>
      <c r="K35" s="2139" t="n"/>
      <c r="L35" s="2015" t="inlineStr">
        <is>
          <t>USA</t>
        </is>
      </c>
      <c r="M35" s="2139" t="n"/>
      <c r="N35" s="2139" t="n"/>
      <c r="O35" s="2139" t="n"/>
      <c r="P35" s="2139" t="n"/>
      <c r="Q35" s="2139" t="n"/>
      <c r="R35" s="2139" t="n"/>
      <c r="S35" s="2139" t="n"/>
      <c r="T35" s="2139" t="n"/>
      <c r="U35" s="1953" t="inlineStr">
        <is>
          <t>Paris</t>
        </is>
      </c>
      <c r="V35" s="2003" t="inlineStr">
        <is>
          <t>London</t>
        </is>
      </c>
      <c r="W35" s="1913" t="inlineStr">
        <is>
          <t>SSA</t>
        </is>
      </c>
      <c r="X35" s="1429" t="n"/>
      <c r="Y35" s="1429" t="n"/>
      <c r="Z35" s="1072" t="n"/>
      <c r="AA35" s="2139" t="n"/>
      <c r="AB35" s="2139" t="n"/>
      <c r="AC35" s="2139" t="n"/>
      <c r="AD35" s="2139" t="n"/>
      <c r="AE35" s="2139" t="n"/>
      <c r="AF35" s="2139" t="n"/>
      <c r="AG35" s="2139" t="n"/>
      <c r="AH35" s="2139" t="n"/>
      <c r="AI35" s="2139" t="n"/>
      <c r="AJ35" s="2139" t="n"/>
      <c r="AK35" s="2139" t="n"/>
      <c r="AL35" s="1839" t="n"/>
      <c r="AM35" s="1491" t="n"/>
      <c r="AN35" s="1491" t="n"/>
      <c r="AO35" s="1491" t="n"/>
      <c r="AP35" s="1491" t="n"/>
      <c r="AQ35" s="1349" t="n"/>
      <c r="AR35" s="2140" t="inlineStr">
        <is>
          <t>ESP (Sevilla)</t>
        </is>
      </c>
      <c r="AS35" s="2141" t="n"/>
      <c r="AT35" s="2142" t="n">
        <v>36921</v>
      </c>
      <c r="AU35" s="2143" t="n">
        <v>36923</v>
      </c>
      <c r="AV35" s="1884">
        <f>AU35-AT35</f>
        <v/>
      </c>
      <c r="AW35" s="2137" t="inlineStr">
        <is>
          <t xml:space="preserve">London </t>
        </is>
      </c>
      <c r="AX35" s="1989" t="n"/>
      <c r="AY35" s="1991" t="n">
        <v>36614</v>
      </c>
      <c r="AZ35" s="1992" t="n">
        <v>36663</v>
      </c>
      <c r="BA35" s="1884">
        <f>AZ35-AY35</f>
        <v/>
      </c>
      <c r="BB35" s="2132" t="inlineStr">
        <is>
          <t>Paris</t>
        </is>
      </c>
      <c r="BC35" s="1875" t="inlineStr">
        <is>
          <t>(coments)</t>
        </is>
      </c>
      <c r="BD35" s="1877" t="n">
        <v>36769</v>
      </c>
      <c r="BE35" s="1878" t="n">
        <v>36851</v>
      </c>
      <c r="BF35" s="2144">
        <f>BE35-BD35</f>
        <v/>
      </c>
      <c r="BG35" s="1865" t="inlineStr">
        <is>
          <t>SSA</t>
        </is>
      </c>
      <c r="BH35" s="2145" t="n"/>
      <c r="BI35" s="1867" t="n">
        <v>36561</v>
      </c>
      <c r="BJ35" s="1868" t="n">
        <v>36595</v>
      </c>
      <c r="BK35" s="1869">
        <f>BJ35-BI35</f>
        <v/>
      </c>
      <c r="BL35" s="1865" t="inlineStr">
        <is>
          <t>SSA</t>
        </is>
      </c>
      <c r="BM35" s="1866" t="n"/>
      <c r="BN35" s="1867" t="n">
        <v>36993</v>
      </c>
      <c r="BO35" s="1868" t="n">
        <v>37034</v>
      </c>
      <c r="BP35" s="2077">
        <f>BO35-BN35</f>
        <v/>
      </c>
      <c r="BQ35" s="2102" t="inlineStr">
        <is>
          <t>SP</t>
        </is>
      </c>
      <c r="BR35" s="2103" t="n"/>
      <c r="BS35" s="2104" t="n">
        <v>36614</v>
      </c>
      <c r="BT35" s="2105" t="n">
        <v>36699</v>
      </c>
      <c r="BU35" s="1884">
        <f>BT35-BS35</f>
        <v/>
      </c>
      <c r="BV35" s="2103" t="inlineStr">
        <is>
          <t>Iporanga</t>
        </is>
      </c>
      <c r="BW35" s="2106" t="n"/>
      <c r="BX35" s="2107" t="n">
        <v>36917</v>
      </c>
      <c r="BY35" s="2108" t="n">
        <v>36919</v>
      </c>
      <c r="BZ35" s="2109">
        <f>BY35-BX35</f>
        <v/>
      </c>
      <c r="CA35" s="2110" t="inlineStr">
        <is>
          <t>SP</t>
        </is>
      </c>
      <c r="CB35" s="2111" t="n"/>
      <c r="CC35" s="2112" t="n">
        <v>37304</v>
      </c>
      <c r="CD35" s="2113" t="n">
        <v>37312</v>
      </c>
      <c r="CE35" s="1884">
        <f>CD35-CC35</f>
        <v/>
      </c>
      <c r="CF35" s="2103" t="inlineStr">
        <is>
          <t>SP</t>
        </is>
      </c>
      <c r="CG35" s="2103" t="n"/>
      <c r="CH35" s="2107" t="n">
        <v>37692</v>
      </c>
      <c r="CI35" s="2108" t="n">
        <v>37767</v>
      </c>
      <c r="CJ35" s="2109">
        <f>CI35-CH35</f>
        <v/>
      </c>
      <c r="CK35" s="2114" t="inlineStr">
        <is>
          <t>London</t>
        </is>
      </c>
      <c r="CL35" s="1990" t="n"/>
      <c r="CM35" s="2116" t="n">
        <v>37997</v>
      </c>
      <c r="CN35" s="2117" t="n">
        <v>37998</v>
      </c>
      <c r="CO35" s="1884">
        <f>CN35-CM35</f>
        <v/>
      </c>
    </row>
    <row r="36">
      <c r="A36" s="1978">
        <f>A35+1</f>
        <v/>
      </c>
      <c r="B36" s="2067" t="n"/>
      <c r="C36" s="2067" t="n"/>
      <c r="D36" s="2067" t="n"/>
      <c r="E36" s="2067" t="n"/>
      <c r="F36" s="2067" t="n"/>
      <c r="G36" s="2067" t="n"/>
      <c r="H36" s="2067" t="n"/>
      <c r="I36" s="2067" t="n"/>
      <c r="J36" s="2067" t="n"/>
      <c r="K36" s="2067" t="n"/>
      <c r="L36" s="2067" t="n"/>
      <c r="M36" s="2067" t="n"/>
      <c r="N36" s="2067" t="n"/>
      <c r="O36" s="2067" t="n"/>
      <c r="P36" s="2067" t="n"/>
      <c r="Q36" s="2067" t="n"/>
      <c r="R36" s="2061" t="inlineStr">
        <is>
          <t>BH</t>
        </is>
      </c>
      <c r="S36" s="1913" t="inlineStr">
        <is>
          <t>SSA</t>
        </is>
      </c>
      <c r="T36" s="1072" t="n"/>
      <c r="U36" s="2067" t="n"/>
      <c r="V36" s="2067" t="n"/>
      <c r="W36" s="2067" t="n"/>
      <c r="X36" s="1962" t="inlineStr">
        <is>
          <t>ESP</t>
        </is>
      </c>
      <c r="Y36" s="2146" t="inlineStr">
        <is>
          <t>PRT</t>
        </is>
      </c>
      <c r="Z36" s="2067" t="n"/>
      <c r="AA36" s="2003" t="inlineStr">
        <is>
          <t>London</t>
        </is>
      </c>
      <c r="AB36" s="2139" t="n"/>
      <c r="AC36" s="2139" t="n"/>
      <c r="AD36" s="2139" t="n"/>
      <c r="AE36" s="2048" t="inlineStr">
        <is>
          <t>SSA</t>
        </is>
      </c>
      <c r="AF36" s="1077" t="n"/>
      <c r="AG36" s="2139" t="n"/>
      <c r="AH36" s="2139" t="n"/>
      <c r="AI36" s="2139" t="n"/>
      <c r="AJ36" s="2139" t="n"/>
      <c r="AK36" s="2139" t="n"/>
      <c r="AL36" s="1839" t="n"/>
      <c r="AM36" s="1491" t="n"/>
      <c r="AN36" s="1491" t="n"/>
      <c r="AO36" s="1491" t="n"/>
      <c r="AP36" s="1491" t="n"/>
      <c r="AQ36" s="1349" t="n"/>
      <c r="AR36" s="2140" t="inlineStr">
        <is>
          <t>Cadiz (via Belo Cláudio = ruínas)</t>
        </is>
      </c>
      <c r="AS36" s="2141" t="n"/>
      <c r="AT36" s="2142" t="n">
        <v>36923</v>
      </c>
      <c r="AU36" s="2143" t="inlineStr">
        <is>
          <t>—&gt;</t>
        </is>
      </c>
      <c r="AV36" s="1884" t="n"/>
      <c r="AW36" s="2137" t="inlineStr">
        <is>
          <t xml:space="preserve">Brighton </t>
        </is>
      </c>
      <c r="AX36" s="1989" t="inlineStr">
        <is>
          <t>??</t>
        </is>
      </c>
      <c r="AY36" s="1991" t="n">
        <v>35202</v>
      </c>
      <c r="AZ36" s="1992" t="n">
        <v>35203</v>
      </c>
      <c r="BA36" s="2147">
        <f>AZ36-AY36</f>
        <v/>
      </c>
      <c r="BB36" s="2148" t="inlineStr">
        <is>
          <t>Amsterdam</t>
        </is>
      </c>
      <c r="BC36" s="1985" t="n"/>
      <c r="BD36" s="1987" t="n">
        <v>36851</v>
      </c>
      <c r="BE36" s="1988" t="n">
        <v>36854</v>
      </c>
      <c r="BF36" s="1884">
        <f>BE36-BD36</f>
        <v/>
      </c>
      <c r="BG36" s="2132" t="inlineStr">
        <is>
          <t>Paris</t>
        </is>
      </c>
      <c r="BH36" s="1875" t="n"/>
      <c r="BI36" s="1877" t="n">
        <v>36595</v>
      </c>
      <c r="BJ36" s="1878" t="n">
        <v>36672</v>
      </c>
      <c r="BK36" s="2144">
        <f>BJ36-BI36</f>
        <v/>
      </c>
      <c r="BL36" s="1865" t="inlineStr">
        <is>
          <t>espaco aereo brasileiro</t>
        </is>
      </c>
      <c r="BM36" s="2149" t="n"/>
      <c r="BN36" s="1867" t="n">
        <v>40686</v>
      </c>
      <c r="BO36" s="1868" t="n">
        <v>40687</v>
      </c>
      <c r="BP36" s="2077">
        <f>BO36-BN36</f>
        <v/>
      </c>
      <c r="BQ36" s="2118" t="inlineStr">
        <is>
          <t>RIO</t>
        </is>
      </c>
      <c r="BR36" s="2119" t="n"/>
      <c r="BS36" s="2120" t="n">
        <v>36699</v>
      </c>
      <c r="BT36" s="2121" t="n">
        <v>36702</v>
      </c>
      <c r="BU36" s="1884">
        <f>BT36-BS36</f>
        <v/>
      </c>
      <c r="BV36" s="2119" t="inlineStr">
        <is>
          <t>SP</t>
        </is>
      </c>
      <c r="BW36" s="2122" t="n"/>
      <c r="BX36" s="2123" t="n">
        <v>36919</v>
      </c>
      <c r="BY36" s="2124" t="n">
        <v>36925</v>
      </c>
      <c r="BZ36" s="2109">
        <f>BY36-BX36</f>
        <v/>
      </c>
      <c r="CA36" s="2110" t="inlineStr">
        <is>
          <t>Guaecá-S.P</t>
        </is>
      </c>
      <c r="CB36" s="2111" t="n"/>
      <c r="CC36" s="2112" t="n">
        <v>37312</v>
      </c>
      <c r="CD36" s="2113" t="n">
        <v>37315</v>
      </c>
      <c r="CE36" s="1884">
        <f>CD36-CC36</f>
        <v/>
      </c>
      <c r="CF36" s="2103" t="inlineStr">
        <is>
          <t>Campinas</t>
        </is>
      </c>
      <c r="CG36" s="2103" t="n"/>
      <c r="CH36" s="2107" t="n">
        <v>37767</v>
      </c>
      <c r="CI36" s="2108" t="n">
        <v>37768</v>
      </c>
      <c r="CJ36" s="2109">
        <f>CI36-CH36</f>
        <v/>
      </c>
      <c r="CK36" s="2150" t="inlineStr">
        <is>
          <t>Columbia</t>
        </is>
      </c>
      <c r="CL36" s="1995" t="n"/>
      <c r="CM36" s="2151" t="n">
        <v>37998</v>
      </c>
      <c r="CN36" s="2152" t="n">
        <v>38015</v>
      </c>
      <c r="CO36" s="1884">
        <f>CN36-CM36</f>
        <v/>
      </c>
    </row>
    <row r="37">
      <c r="A37" s="1978">
        <f>A36+1</f>
        <v/>
      </c>
      <c r="B37" s="2153" t="n"/>
      <c r="C37" s="2154" t="n"/>
      <c r="D37" s="2154" t="n"/>
      <c r="E37" s="2154" t="n"/>
      <c r="F37" s="2154" t="n"/>
      <c r="G37" s="2154" t="n"/>
      <c r="H37" s="2154" t="n"/>
      <c r="I37" s="2154" t="n"/>
      <c r="J37" s="2154" t="n"/>
      <c r="K37" s="2154" t="n"/>
      <c r="L37" s="2154" t="n"/>
      <c r="M37" s="2154" t="n"/>
      <c r="N37" s="2154" t="n"/>
      <c r="O37" s="2154" t="n"/>
      <c r="P37" s="2154" t="n"/>
      <c r="Q37" s="2154" t="n"/>
      <c r="R37" s="2154" t="n"/>
      <c r="S37" s="2154" t="n"/>
      <c r="T37" s="2155" t="n"/>
      <c r="U37" s="2156" t="n"/>
      <c r="V37" s="2157" t="inlineStr">
        <is>
          <t>PORTO</t>
        </is>
      </c>
      <c r="W37" s="2156" t="n"/>
      <c r="X37" s="1958" t="inlineStr">
        <is>
          <t>London</t>
        </is>
      </c>
      <c r="Y37" s="2155" t="n"/>
      <c r="Z37" s="2156" t="n"/>
      <c r="AA37" s="2158" t="inlineStr">
        <is>
          <t>Mtl</t>
        </is>
      </c>
      <c r="AB37" s="2156" t="n"/>
      <c r="AC37" s="2156" t="n"/>
      <c r="AD37" s="2156" t="n"/>
      <c r="AE37" s="2156" t="n"/>
      <c r="AF37" s="2156" t="n"/>
      <c r="AG37" s="2156" t="n"/>
      <c r="AH37" s="2156" t="n"/>
      <c r="AI37" s="2156" t="n"/>
      <c r="AJ37" s="2156" t="n"/>
      <c r="AK37" s="2156" t="n"/>
      <c r="AL37" s="1839" t="n"/>
      <c r="AM37" s="1491" t="n"/>
      <c r="AN37" s="1491" t="n"/>
      <c r="AO37" s="1491" t="n"/>
      <c r="AP37" s="1491" t="n"/>
      <c r="AQ37" s="1349" t="n"/>
      <c r="AR37" s="2140" t="inlineStr">
        <is>
          <t>Gibraltar —&gt; Tânger (Marrocos)</t>
        </is>
      </c>
      <c r="AS37" s="2141" t="n"/>
      <c r="AT37" s="2142" t="n"/>
      <c r="AU37" s="2143" t="n"/>
      <c r="AV37" s="1884" t="n"/>
      <c r="AW37" s="2137" t="inlineStr">
        <is>
          <t>??</t>
        </is>
      </c>
      <c r="AX37" s="2159" t="inlineStr">
        <is>
          <t>WALES</t>
        </is>
      </c>
      <c r="AY37" s="1991" t="inlineStr">
        <is>
          <t>??</t>
        </is>
      </c>
      <c r="AZ37" s="1992" t="n"/>
      <c r="BA37" s="2147" t="n"/>
      <c r="BB37" s="2132" t="inlineStr">
        <is>
          <t>Paris</t>
        </is>
      </c>
      <c r="BC37" s="1875" t="n"/>
      <c r="BD37" s="1877" t="n">
        <v>36854</v>
      </c>
      <c r="BE37" s="1878" t="n">
        <v>36872</v>
      </c>
      <c r="BF37" s="1884">
        <f>BE37-BD37</f>
        <v/>
      </c>
      <c r="BG37" s="2137" t="inlineStr">
        <is>
          <t>London</t>
        </is>
      </c>
      <c r="BH37" s="1989" t="inlineStr">
        <is>
          <t>(coments)</t>
        </is>
      </c>
      <c r="BI37" s="1991" t="n">
        <v>36672</v>
      </c>
      <c r="BJ37" s="1992" t="n">
        <v>36679</v>
      </c>
      <c r="BK37" s="1874">
        <f>BJ37-BI37</f>
        <v/>
      </c>
      <c r="BL37" s="2137" t="inlineStr">
        <is>
          <t>London</t>
        </is>
      </c>
      <c r="BM37" s="1989" t="n"/>
      <c r="BN37" s="1991" t="n">
        <v>36670</v>
      </c>
      <c r="BO37" s="1992" t="n">
        <v>36679</v>
      </c>
      <c r="BP37" s="1884">
        <f>BO37-BN37</f>
        <v/>
      </c>
      <c r="BQ37" s="2102" t="inlineStr">
        <is>
          <t>SP</t>
        </is>
      </c>
      <c r="BR37" s="2103" t="n"/>
      <c r="BS37" s="2104" t="n">
        <v>36702</v>
      </c>
      <c r="BT37" s="2105" t="n">
        <v>36776</v>
      </c>
      <c r="BU37" s="1884">
        <f>BT37-BS37</f>
        <v/>
      </c>
      <c r="BV37" s="2103" t="inlineStr">
        <is>
          <t>Itapeva-MG</t>
        </is>
      </c>
      <c r="BW37" s="2106" t="n"/>
      <c r="BX37" s="2107" t="n">
        <v>36925</v>
      </c>
      <c r="BY37" s="2108" t="n">
        <v>36927</v>
      </c>
      <c r="BZ37" s="2109">
        <f>BY37-BX37</f>
        <v/>
      </c>
      <c r="CA37" s="2110" t="inlineStr">
        <is>
          <t>SP</t>
        </is>
      </c>
      <c r="CB37" s="2111" t="n"/>
      <c r="CC37" s="2112" t="n">
        <v>37315</v>
      </c>
      <c r="CD37" s="2113" t="n">
        <v>37344</v>
      </c>
      <c r="CE37" s="1884">
        <f>CD37-CC37</f>
        <v/>
      </c>
      <c r="CF37" s="2103" t="inlineStr">
        <is>
          <t>SP</t>
        </is>
      </c>
      <c r="CG37" s="2103" t="n"/>
      <c r="CH37" s="2107" t="n">
        <v>37768</v>
      </c>
      <c r="CI37" s="2108" t="n">
        <v>37816</v>
      </c>
      <c r="CJ37" s="2109">
        <f>CI37-CH37</f>
        <v/>
      </c>
      <c r="CK37" s="2150" t="inlineStr">
        <is>
          <t>NY</t>
        </is>
      </c>
      <c r="CL37" s="1995" t="inlineStr">
        <is>
          <t>Fred</t>
        </is>
      </c>
      <c r="CM37" s="2151" t="n">
        <v>38015</v>
      </c>
      <c r="CN37" s="2152" t="n">
        <v>38018</v>
      </c>
      <c r="CO37" s="1884">
        <f>CN37-CM37</f>
        <v/>
      </c>
    </row>
    <row r="38">
      <c r="A38" s="1978">
        <f>A37+1</f>
        <v/>
      </c>
      <c r="B38" s="2160" t="n"/>
      <c r="C38" s="2160" t="n"/>
      <c r="D38" s="2160" t="n"/>
      <c r="E38" s="2161" t="inlineStr">
        <is>
          <t>PORTO</t>
        </is>
      </c>
      <c r="F38" s="2160" t="n"/>
      <c r="G38" s="2160" t="n"/>
      <c r="H38" s="1970" t="inlineStr">
        <is>
          <t>Paris</t>
        </is>
      </c>
      <c r="I38" s="2160" t="n"/>
      <c r="J38" s="2162" t="inlineStr">
        <is>
          <t>Rome</t>
        </is>
      </c>
      <c r="K38" s="2160" t="n"/>
      <c r="L38" s="2160" t="n"/>
      <c r="M38" s="2160" t="n"/>
      <c r="N38" s="2160" t="n"/>
      <c r="O38" s="1913" t="inlineStr">
        <is>
          <t>SSA</t>
        </is>
      </c>
      <c r="P38" s="2160" t="n"/>
      <c r="Q38" s="2160" t="n"/>
      <c r="R38" s="1491" t="n"/>
      <c r="S38" s="1491" t="n"/>
      <c r="T38" s="1491" t="n"/>
      <c r="U38" s="1491" t="n"/>
      <c r="V38" s="1491" t="n"/>
      <c r="W38" s="1491" t="n"/>
      <c r="X38" s="1491" t="n"/>
      <c r="Y38" s="1491" t="n"/>
      <c r="Z38" s="1491" t="n"/>
      <c r="AA38" s="1491" t="n"/>
      <c r="AB38" s="1491" t="n"/>
      <c r="AC38" s="1491" t="n"/>
      <c r="AD38" s="1491" t="n"/>
      <c r="AE38" s="1491" t="n"/>
      <c r="AF38" s="1491" t="n"/>
      <c r="AG38" s="1491" t="n"/>
      <c r="AH38" s="1491" t="n"/>
      <c r="AI38" s="1491" t="n"/>
      <c r="AJ38" s="1491" t="n"/>
      <c r="AK38" s="1491" t="n"/>
      <c r="AL38" s="1491" t="n"/>
      <c r="AM38" s="1491" t="n"/>
      <c r="AN38" s="1491" t="n"/>
      <c r="AO38" s="1491" t="n"/>
      <c r="AP38" s="1491" t="n"/>
      <c r="AQ38" s="1349" t="n"/>
      <c r="AR38" s="2163" t="inlineStr">
        <is>
          <t>Marrocos (Tanger)</t>
        </is>
      </c>
      <c r="AS38" s="2164" t="n"/>
      <c r="AT38" s="2165" t="n">
        <v>36924</v>
      </c>
      <c r="AU38" s="2166" t="n">
        <v>36924</v>
      </c>
      <c r="AV38" s="1884">
        <f>AU38-AT38</f>
        <v/>
      </c>
      <c r="AW38" s="2137" t="n"/>
      <c r="AX38" s="1989" t="inlineStr">
        <is>
          <t>??</t>
        </is>
      </c>
      <c r="AY38" s="1991" t="n">
        <v>35203</v>
      </c>
      <c r="AZ38" s="1992" t="n">
        <v>35204</v>
      </c>
      <c r="BA38" s="2147">
        <f>AZ38-AY38</f>
        <v/>
      </c>
      <c r="BB38" s="2167" t="inlineStr">
        <is>
          <t>Lucerne</t>
        </is>
      </c>
      <c r="BC38" s="2168" t="n"/>
      <c r="BD38" s="1911" t="n">
        <v>36872</v>
      </c>
      <c r="BE38" s="1912" t="n">
        <v>36875</v>
      </c>
      <c r="BF38" s="1884">
        <f>BE38-BD38</f>
        <v/>
      </c>
      <c r="BG38" s="2132" t="inlineStr">
        <is>
          <t>Paris</t>
        </is>
      </c>
      <c r="BH38" s="1875" t="inlineStr">
        <is>
          <t>(coments)</t>
        </is>
      </c>
      <c r="BI38" s="1877" t="n">
        <v>35948</v>
      </c>
      <c r="BJ38" s="1878" t="n">
        <v>35977</v>
      </c>
      <c r="BK38" s="1874">
        <f>BJ38-BI38</f>
        <v/>
      </c>
      <c r="BL38" s="2132" t="inlineStr">
        <is>
          <t>Paris</t>
        </is>
      </c>
      <c r="BM38" s="1875" t="n"/>
      <c r="BN38" s="1877" t="n">
        <v>36679</v>
      </c>
      <c r="BO38" s="1878" t="n">
        <v>36682</v>
      </c>
      <c r="BP38" s="1884">
        <f>BO38-BN38</f>
        <v/>
      </c>
      <c r="BQ38" s="2118" t="inlineStr">
        <is>
          <t>Cunha</t>
        </is>
      </c>
      <c r="BR38" s="2119" t="n"/>
      <c r="BS38" s="2120" t="n">
        <v>36776</v>
      </c>
      <c r="BT38" s="2121" t="n">
        <v>36779</v>
      </c>
      <c r="BU38" s="1884">
        <f>BT38-BS38</f>
        <v/>
      </c>
      <c r="BV38" s="2119" t="inlineStr">
        <is>
          <t>SP</t>
        </is>
      </c>
      <c r="BW38" s="2122" t="n"/>
      <c r="BX38" s="2123" t="n">
        <v>36927</v>
      </c>
      <c r="BY38" s="2124" t="n">
        <v>36929</v>
      </c>
      <c r="BZ38" s="2109">
        <f>BY38-BX38</f>
        <v/>
      </c>
      <c r="CA38" s="2110" t="inlineStr">
        <is>
          <t>Guaecá-S.P</t>
        </is>
      </c>
      <c r="CB38" s="2111" t="n"/>
      <c r="CC38" s="2112" t="n">
        <v>37344</v>
      </c>
      <c r="CD38" s="2113" t="n">
        <v>37347</v>
      </c>
      <c r="CE38" s="1884">
        <f>CD38-CC38</f>
        <v/>
      </c>
      <c r="CF38" s="2169" t="inlineStr">
        <is>
          <t>NY</t>
        </is>
      </c>
      <c r="CG38" s="1995" t="inlineStr">
        <is>
          <t>Fred</t>
        </is>
      </c>
      <c r="CH38" s="2151" t="n">
        <v>37817</v>
      </c>
      <c r="CI38" s="2152" t="n">
        <v>37824</v>
      </c>
      <c r="CJ38" s="2109">
        <f>CI38-CH38</f>
        <v/>
      </c>
      <c r="CK38" s="2138" t="inlineStr">
        <is>
          <t>espaco aereo USA</t>
        </is>
      </c>
      <c r="CL38" s="2094" t="n"/>
      <c r="CM38" s="2170" t="n">
        <v>38018</v>
      </c>
      <c r="CN38" s="2171" t="n">
        <v>38019</v>
      </c>
      <c r="CO38" s="2069" t="n">
        <v>1</v>
      </c>
    </row>
    <row r="39">
      <c r="A39" s="1491" t="n"/>
      <c r="B39" s="1491" t="n"/>
      <c r="C39" s="1491" t="n"/>
      <c r="D39" s="1491" t="n"/>
      <c r="E39" s="1491" t="n"/>
      <c r="F39" s="1491" t="n"/>
      <c r="G39" s="1491" t="n"/>
      <c r="H39" s="1491" t="n"/>
      <c r="I39" s="1491" t="n"/>
      <c r="J39" s="1491" t="n"/>
      <c r="K39" s="1491" t="n"/>
      <c r="L39" s="1491" t="n"/>
      <c r="M39" s="1491" t="n"/>
      <c r="N39" s="1491" t="n"/>
      <c r="O39" s="1491" t="n"/>
      <c r="P39" s="1491" t="n"/>
      <c r="Q39" s="1491" t="n"/>
      <c r="R39" s="1491" t="n"/>
      <c r="S39" s="1491" t="n"/>
      <c r="T39" s="1491" t="n"/>
      <c r="U39" s="1491" t="n"/>
      <c r="V39" s="1491" t="n"/>
      <c r="W39" s="1491" t="n"/>
      <c r="X39" s="1491" t="n"/>
      <c r="Y39" s="1491" t="n"/>
      <c r="Z39" s="1491" t="n"/>
      <c r="AA39" s="1491" t="n"/>
      <c r="AB39" s="1491" t="n"/>
      <c r="AC39" s="1491" t="n"/>
      <c r="AD39" s="1491" t="n"/>
      <c r="AE39" s="1491" t="n"/>
      <c r="AF39" s="1491" t="n"/>
      <c r="AG39" s="1491" t="n"/>
      <c r="AH39" s="1491" t="n"/>
      <c r="AI39" s="1491" t="n"/>
      <c r="AJ39" s="1491" t="n"/>
      <c r="AK39" s="1491" t="n"/>
      <c r="AL39" s="1491" t="n"/>
      <c r="AM39" s="1491" t="n"/>
      <c r="AN39" s="1491" t="n"/>
      <c r="AO39" s="1491" t="n"/>
      <c r="AP39" s="1491" t="n"/>
      <c r="AQ39" s="1349" t="n"/>
      <c r="AR39" s="2140" t="inlineStr">
        <is>
          <t>—&gt; Algineres —&gt; Gibraltar</t>
        </is>
      </c>
      <c r="AS39" s="2141" t="n"/>
      <c r="AT39" s="2142" t="n"/>
      <c r="AU39" s="2143" t="n"/>
      <c r="AV39" s="1884" t="n"/>
      <c r="AW39" s="2137" t="n"/>
      <c r="AX39" s="1989" t="n"/>
      <c r="AY39" s="1991" t="n">
        <v>36665</v>
      </c>
      <c r="AZ39" s="1992" t="n">
        <v>36697</v>
      </c>
      <c r="BA39" s="1884">
        <f>AZ39-AY39</f>
        <v/>
      </c>
      <c r="BB39" s="2132" t="inlineStr">
        <is>
          <t>Paris</t>
        </is>
      </c>
      <c r="BC39" s="1875" t="n"/>
      <c r="BD39" s="1877" t="n">
        <v>36875</v>
      </c>
      <c r="BE39" s="1878" t="n">
        <v>36878</v>
      </c>
      <c r="BF39" s="1884">
        <f>BE39-BD39</f>
        <v/>
      </c>
      <c r="BG39" s="2172" t="inlineStr">
        <is>
          <t>Bruxelas</t>
        </is>
      </c>
      <c r="BH39" s="2173" t="n"/>
      <c r="BI39" s="1987" t="n">
        <v>35977</v>
      </c>
      <c r="BJ39" s="1988" t="n">
        <v>35978</v>
      </c>
      <c r="BK39" s="1874">
        <f>BJ39-BI39</f>
        <v/>
      </c>
      <c r="BL39" s="2137" t="inlineStr">
        <is>
          <t>London</t>
        </is>
      </c>
      <c r="BM39" s="1989" t="n"/>
      <c r="BN39" s="1991" t="n">
        <v>36682</v>
      </c>
      <c r="BO39" s="1992" t="n">
        <v>36686</v>
      </c>
      <c r="BP39" s="1884">
        <f>BO39-BN39</f>
        <v/>
      </c>
      <c r="BQ39" s="2102" t="inlineStr">
        <is>
          <t>SP</t>
        </is>
      </c>
      <c r="BR39" s="2103" t="n"/>
      <c r="BS39" s="2104" t="n">
        <v>36779</v>
      </c>
      <c r="BT39" s="2105" t="n">
        <v>36810</v>
      </c>
      <c r="BU39" s="1884">
        <f>BT39-BS39</f>
        <v/>
      </c>
      <c r="BV39" s="2103" t="inlineStr">
        <is>
          <t>SSA</t>
        </is>
      </c>
      <c r="BW39" s="2106" t="n"/>
      <c r="BX39" s="2107" t="n">
        <v>36930</v>
      </c>
      <c r="BY39" s="2108" t="n">
        <v>36956</v>
      </c>
      <c r="BZ39" s="2109">
        <f>BY39-BX39</f>
        <v/>
      </c>
      <c r="CA39" s="2174" t="inlineStr">
        <is>
          <t>SP</t>
        </is>
      </c>
      <c r="CB39" s="2175" t="n"/>
      <c r="CC39" s="2176" t="n">
        <v>37347</v>
      </c>
      <c r="CD39" s="2177" t="n">
        <v>37403</v>
      </c>
      <c r="CE39" s="1884">
        <f>CD39-CC39</f>
        <v/>
      </c>
      <c r="CF39" s="2138" t="inlineStr">
        <is>
          <t>espaco aereo USA</t>
        </is>
      </c>
      <c r="CG39" s="2094" t="n"/>
      <c r="CH39" s="2170" t="n">
        <v>40746</v>
      </c>
      <c r="CI39" s="2171" t="n">
        <v>40747</v>
      </c>
      <c r="CJ39" s="2069" t="n">
        <v>1</v>
      </c>
      <c r="CK39" s="2102" t="inlineStr">
        <is>
          <t>SP</t>
        </is>
      </c>
      <c r="CL39" s="2103" t="n"/>
      <c r="CM39" s="2107" t="n">
        <v>38019</v>
      </c>
      <c r="CN39" s="2108" t="n">
        <v>38022</v>
      </c>
      <c r="CO39" s="1884">
        <f>CN39-CM39</f>
        <v/>
      </c>
    </row>
    <row r="40">
      <c r="A40" s="1491" t="n"/>
      <c r="B40" s="1491" t="n"/>
      <c r="C40" s="1491" t="n"/>
      <c r="D40" s="1491" t="n"/>
      <c r="E40" s="1491" t="n"/>
      <c r="F40" s="1491" t="n"/>
      <c r="G40" s="1491" t="n"/>
      <c r="H40" s="1491" t="n"/>
      <c r="I40" s="1491" t="n"/>
      <c r="J40" s="1491" t="n"/>
      <c r="K40" s="1491" t="n"/>
      <c r="L40" s="1491" t="n"/>
      <c r="M40" s="1491" t="n"/>
      <c r="N40" s="1491" t="n"/>
      <c r="O40" s="1491" t="n"/>
      <c r="P40" s="1491" t="n"/>
      <c r="Q40" s="1491" t="n"/>
      <c r="R40" s="1491" t="n"/>
      <c r="S40" s="1491" t="n"/>
      <c r="T40" s="1491" t="n"/>
      <c r="U40" s="1491" t="n"/>
      <c r="V40" s="1491" t="n"/>
      <c r="W40" s="1491" t="n"/>
      <c r="X40" s="1491" t="n"/>
      <c r="Y40" s="1491" t="n"/>
      <c r="Z40" s="1491" t="n"/>
      <c r="AA40" s="1491" t="n"/>
      <c r="AB40" s="1491" t="n"/>
      <c r="AC40" s="1491" t="n"/>
      <c r="AD40" s="1491" t="n"/>
      <c r="AE40" s="1491" t="n"/>
      <c r="AF40" s="1491" t="n"/>
      <c r="AG40" s="1491" t="n"/>
      <c r="AH40" s="1491" t="n"/>
      <c r="AI40" s="1491" t="n"/>
      <c r="AJ40" s="1491" t="n"/>
      <c r="AK40" s="1491" t="n"/>
      <c r="AL40" s="1491" t="n"/>
      <c r="AM40" s="1491" t="n"/>
      <c r="AN40" s="1491" t="n"/>
      <c r="AO40" s="1491" t="n"/>
      <c r="AP40" s="1491" t="n"/>
      <c r="AQ40" s="1349" t="n"/>
      <c r="AR40" s="2140" t="inlineStr">
        <is>
          <t>Málaga</t>
        </is>
      </c>
      <c r="AS40" s="2141" t="n"/>
      <c r="AT40" s="2142" t="n">
        <v>36925</v>
      </c>
      <c r="AU40" s="2143" t="n">
        <v>36926</v>
      </c>
      <c r="AV40" s="1884">
        <f>AU40-AT40</f>
        <v/>
      </c>
      <c r="AW40" s="2178" t="inlineStr">
        <is>
          <t>Estocolmo</t>
        </is>
      </c>
      <c r="AX40" s="1880" t="inlineStr">
        <is>
          <t>boat</t>
        </is>
      </c>
      <c r="AY40" s="1882" t="n">
        <v>40349</v>
      </c>
      <c r="AZ40" s="1883" t="n">
        <v>40349</v>
      </c>
      <c r="BA40" s="1884">
        <f>AZ40-AY40</f>
        <v/>
      </c>
      <c r="BB40" s="2138" t="inlineStr">
        <is>
          <t>conexao Frankfurt</t>
        </is>
      </c>
      <c r="BC40" s="2094" t="n"/>
      <c r="BD40" s="2010" t="n">
        <v>40530</v>
      </c>
      <c r="BE40" s="2011" t="n">
        <v>40531</v>
      </c>
      <c r="BF40" s="2069">
        <f>BE40-BD40</f>
        <v/>
      </c>
      <c r="BG40" s="2132" t="inlineStr">
        <is>
          <t>Paris</t>
        </is>
      </c>
      <c r="BH40" s="1875" t="n"/>
      <c r="BI40" s="1877" t="n">
        <v>35978</v>
      </c>
      <c r="BJ40" s="1878" t="n">
        <v>36011</v>
      </c>
      <c r="BK40" s="1874">
        <f>BJ40-BI40</f>
        <v/>
      </c>
      <c r="BL40" s="2138" t="inlineStr">
        <is>
          <t>conexao Lisboa</t>
        </is>
      </c>
      <c r="BM40" s="2094" t="n"/>
      <c r="BN40" s="2010" t="inlineStr">
        <is>
          <t>Voo de dia !!</t>
        </is>
      </c>
      <c r="BO40" s="2011" t="n"/>
      <c r="BP40" s="2179" t="inlineStr">
        <is>
          <t>-</t>
        </is>
      </c>
      <c r="BQ40" s="2118" t="inlineStr">
        <is>
          <t>SSA</t>
        </is>
      </c>
      <c r="BR40" s="2119" t="n"/>
      <c r="BS40" s="2120" t="n">
        <v>36810</v>
      </c>
      <c r="BT40" s="2121" t="n">
        <v>36816</v>
      </c>
      <c r="BU40" s="1884">
        <f>BT40-BS40</f>
        <v/>
      </c>
      <c r="BV40" s="2119" t="inlineStr">
        <is>
          <t>SP</t>
        </is>
      </c>
      <c r="BW40" s="2122" t="inlineStr">
        <is>
          <t>Tópicos</t>
        </is>
      </c>
      <c r="BX40" s="2123" t="n">
        <v>36956</v>
      </c>
      <c r="BY40" s="2124" t="n">
        <v>36994</v>
      </c>
      <c r="BZ40" s="2109">
        <f>BY40-BX40</f>
        <v/>
      </c>
      <c r="CA40" s="2174" t="inlineStr">
        <is>
          <t>Lindóia-S.P</t>
        </is>
      </c>
      <c r="CB40" s="2175" t="n"/>
      <c r="CC40" s="2176" t="n">
        <v>37403</v>
      </c>
      <c r="CD40" s="2177" t="n">
        <v>37405</v>
      </c>
      <c r="CE40" s="1884">
        <f>CD40-CC40</f>
        <v/>
      </c>
      <c r="CF40" s="2115" t="inlineStr">
        <is>
          <t>London</t>
        </is>
      </c>
      <c r="CG40" s="1990" t="inlineStr">
        <is>
          <t>David</t>
        </is>
      </c>
      <c r="CH40" s="2116" t="n">
        <v>37825</v>
      </c>
      <c r="CI40" s="2117" t="n">
        <v>37841</v>
      </c>
      <c r="CJ40" s="2109" t="n">
        <v>8</v>
      </c>
      <c r="CK40" s="2118" t="inlineStr">
        <is>
          <t>SSA</t>
        </is>
      </c>
      <c r="CL40" s="2119" t="n"/>
      <c r="CM40" s="2123" t="n">
        <v>38022</v>
      </c>
      <c r="CN40" s="2124" t="n">
        <v>38045</v>
      </c>
      <c r="CO40" s="1884">
        <f>CN40-CM40</f>
        <v/>
      </c>
    </row>
    <row r="41">
      <c r="A41" s="1491" t="n"/>
      <c r="B41" s="1491" t="n"/>
      <c r="C41" s="1491" t="n"/>
      <c r="D41" s="1491" t="n"/>
      <c r="E41" s="1491" t="n"/>
      <c r="F41" s="1491" t="n"/>
      <c r="G41" s="1491" t="n"/>
      <c r="H41" s="1491" t="n"/>
      <c r="I41" s="1491" t="n"/>
      <c r="J41" s="1491" t="n"/>
      <c r="K41" s="1491" t="n"/>
      <c r="L41" s="1491" t="n"/>
      <c r="M41" s="1491" t="n"/>
      <c r="N41" s="1491" t="n"/>
      <c r="O41" s="1491" t="n"/>
      <c r="P41" s="1491" t="n"/>
      <c r="Q41" s="1491" t="n"/>
      <c r="R41" s="1491" t="n"/>
      <c r="S41" s="1491" t="n"/>
      <c r="T41" s="1491" t="n"/>
      <c r="U41" s="1491" t="n"/>
      <c r="V41" s="1491" t="n"/>
      <c r="W41" s="1491" t="n"/>
      <c r="X41" s="1491" t="n"/>
      <c r="Y41" s="1491" t="n"/>
      <c r="Z41" s="1491" t="n"/>
      <c r="AA41" s="1491" t="n"/>
      <c r="AB41" s="1491" t="n"/>
      <c r="AC41" s="1491" t="n"/>
      <c r="AD41" s="1491" t="n"/>
      <c r="AE41" s="1491" t="n"/>
      <c r="AF41" s="1491" t="n"/>
      <c r="AG41" s="1491" t="n"/>
      <c r="AH41" s="1491" t="n"/>
      <c r="AI41" s="1491" t="n"/>
      <c r="AJ41" s="1491" t="n"/>
      <c r="AK41" s="1491" t="n"/>
      <c r="AL41" s="1491" t="n"/>
      <c r="AM41" s="1491" t="n"/>
      <c r="AN41" s="1491" t="n"/>
      <c r="AO41" s="1491" t="n"/>
      <c r="AP41" s="1491" t="n"/>
      <c r="AQ41" s="1349" t="n"/>
      <c r="AR41" s="2140" t="inlineStr">
        <is>
          <t>Granada</t>
        </is>
      </c>
      <c r="AS41" s="2141" t="n"/>
      <c r="AT41" s="2142" t="n">
        <v>36926</v>
      </c>
      <c r="AU41" s="2143" t="n">
        <v>36927</v>
      </c>
      <c r="AV41" s="1884">
        <f>AU41-AT41</f>
        <v/>
      </c>
      <c r="AW41" s="2008" t="inlineStr">
        <is>
          <t>águas suecas</t>
        </is>
      </c>
      <c r="AX41" s="2094" t="n"/>
      <c r="AY41" s="2010" t="n">
        <v>40349</v>
      </c>
      <c r="AZ41" s="2011" t="n">
        <v>40350</v>
      </c>
      <c r="BA41" s="2095">
        <f>AZ41-AY41</f>
        <v/>
      </c>
      <c r="BB41" s="1865" t="inlineStr">
        <is>
          <t>SSA</t>
        </is>
      </c>
      <c r="BC41" s="1866" t="n"/>
      <c r="BD41" s="1867" t="n">
        <v>35783</v>
      </c>
      <c r="BE41" s="1868" t="n">
        <v>35792</v>
      </c>
      <c r="BF41" s="2077">
        <f>BE41-BD41</f>
        <v/>
      </c>
      <c r="BG41" s="2137" t="inlineStr">
        <is>
          <t>London</t>
        </is>
      </c>
      <c r="BH41" s="1989" t="inlineStr">
        <is>
          <t>(coments)</t>
        </is>
      </c>
      <c r="BI41" s="1991" t="n">
        <v>36742</v>
      </c>
      <c r="BJ41" s="1992" t="n">
        <v>36756</v>
      </c>
      <c r="BK41" s="1874">
        <f>BJ41-BI41</f>
        <v/>
      </c>
      <c r="BL41" s="1865" t="inlineStr">
        <is>
          <t>SSA</t>
        </is>
      </c>
      <c r="BM41" s="1866" t="n"/>
      <c r="BN41" s="1867" t="n">
        <v>37051</v>
      </c>
      <c r="BO41" s="1868" t="n">
        <v>37052</v>
      </c>
      <c r="BP41" s="2077">
        <f>BO41-BN41</f>
        <v/>
      </c>
      <c r="BQ41" s="2102" t="inlineStr">
        <is>
          <t>SP</t>
        </is>
      </c>
      <c r="BR41" s="2103" t="n"/>
      <c r="BS41" s="2104" t="n">
        <v>36816</v>
      </c>
      <c r="BT41" s="2105" t="n">
        <v>36848</v>
      </c>
      <c r="BU41" s="1884">
        <f>BT41-BS41</f>
        <v/>
      </c>
      <c r="BV41" s="2103" t="inlineStr">
        <is>
          <t>C. Jordão</t>
        </is>
      </c>
      <c r="BW41" s="2103" t="inlineStr">
        <is>
          <t>Rapel em Cachoeira Grande</t>
        </is>
      </c>
      <c r="BX41" s="2107" t="n">
        <v>36994</v>
      </c>
      <c r="BY41" s="2108" t="n">
        <v>36996</v>
      </c>
      <c r="BZ41" s="2109">
        <f>BY41-BX41</f>
        <v/>
      </c>
      <c r="CA41" s="2174" t="inlineStr">
        <is>
          <t>Paraty-RJ</t>
        </is>
      </c>
      <c r="CB41" s="2175" t="n"/>
      <c r="CC41" s="2176" t="n">
        <v>37405</v>
      </c>
      <c r="CD41" s="2177" t="n">
        <v>37409</v>
      </c>
      <c r="CE41" s="1884">
        <f>CD41-CC41</f>
        <v/>
      </c>
      <c r="CF41" s="1989" t="inlineStr">
        <is>
          <t>Bournemouth</t>
        </is>
      </c>
      <c r="CG41" s="1990" t="n"/>
      <c r="CH41" s="2116" t="n">
        <v>37841</v>
      </c>
      <c r="CI41" s="2117" t="n">
        <v>37842</v>
      </c>
      <c r="CJ41" s="2109">
        <f>CI41-CH41</f>
        <v/>
      </c>
      <c r="CK41" s="2102" t="inlineStr">
        <is>
          <t>SP</t>
        </is>
      </c>
      <c r="CL41" s="2103" t="n"/>
      <c r="CM41" s="2107" t="n">
        <v>38045</v>
      </c>
      <c r="CN41" s="2108" t="n">
        <v>38059</v>
      </c>
      <c r="CO41" s="1884">
        <f>CN41-CM41</f>
        <v/>
      </c>
    </row>
    <row r="42">
      <c r="A42" s="1491" t="n"/>
      <c r="B42" s="1491" t="n"/>
      <c r="C42" s="1491" t="n"/>
      <c r="D42" s="1491" t="n"/>
      <c r="E42" s="1491" t="inlineStr">
        <is>
          <t>taperamuta antes de 2006??</t>
        </is>
      </c>
      <c r="F42" s="1491" t="n"/>
      <c r="G42" s="1491" t="n"/>
      <c r="H42" s="1491" t="n"/>
      <c r="I42" s="1491" t="n"/>
      <c r="J42" s="1491" t="n"/>
      <c r="K42" s="1491" t="n"/>
      <c r="L42" s="1491" t="n"/>
      <c r="M42" s="1491" t="n"/>
      <c r="N42" s="1491" t="n"/>
      <c r="O42" s="1491" t="n"/>
      <c r="P42" s="1491" t="n"/>
      <c r="Q42" s="1491" t="n"/>
      <c r="R42" s="1491" t="n"/>
      <c r="S42" s="1491" t="n"/>
      <c r="T42" s="1491" t="n"/>
      <c r="U42" s="1491" t="n"/>
      <c r="V42" s="1491" t="n"/>
      <c r="W42" s="1491" t="n"/>
      <c r="X42" s="1491" t="n"/>
      <c r="Y42" s="1491" t="n"/>
      <c r="Z42" s="1491" t="n"/>
      <c r="AA42" s="1491" t="n"/>
      <c r="AB42" s="1491" t="n"/>
      <c r="AC42" s="1491" t="n"/>
      <c r="AD42" s="1491" t="n"/>
      <c r="AE42" s="1491" t="n"/>
      <c r="AF42" s="1491" t="n"/>
      <c r="AG42" s="1491" t="n"/>
      <c r="AH42" s="1491" t="n"/>
      <c r="AI42" s="1491" t="n"/>
      <c r="AJ42" s="1491" t="n"/>
      <c r="AK42" s="1491" t="n"/>
      <c r="AL42" s="1491" t="n"/>
      <c r="AM42" s="1491" t="n"/>
      <c r="AN42" s="1491" t="n"/>
      <c r="AO42" s="1491" t="n"/>
      <c r="AP42" s="1491" t="n"/>
      <c r="AQ42" s="1349" t="n"/>
      <c r="AR42" s="2140" t="inlineStr">
        <is>
          <t>Peñiscola</t>
        </is>
      </c>
      <c r="AS42" s="2141" t="n"/>
      <c r="AT42" s="2142" t="n">
        <v>36927</v>
      </c>
      <c r="AU42" s="2143" t="n">
        <v>36928</v>
      </c>
      <c r="AV42" s="1884">
        <f>AU42-AT42</f>
        <v/>
      </c>
      <c r="AW42" s="2180" t="inlineStr">
        <is>
          <t>FINLAND</t>
        </is>
      </c>
      <c r="AX42" s="1909" t="inlineStr">
        <is>
          <t>Helsinque</t>
        </is>
      </c>
      <c r="AY42" s="1911" t="n">
        <v>40350</v>
      </c>
      <c r="AZ42" s="1912" t="n">
        <v>40350</v>
      </c>
      <c r="BA42" s="1884">
        <f>AZ42-AY42</f>
        <v/>
      </c>
      <c r="BB42" s="1865" t="inlineStr">
        <is>
          <t>Porto Seguro</t>
        </is>
      </c>
      <c r="BC42" s="2076" t="n"/>
      <c r="BD42" s="1867" t="n">
        <v>37253</v>
      </c>
      <c r="BE42" s="1868" t="n">
        <v>37257</v>
      </c>
      <c r="BF42" s="1849">
        <f>BE42-BD42</f>
        <v/>
      </c>
      <c r="BG42" s="2132" t="inlineStr">
        <is>
          <t>Paris</t>
        </is>
      </c>
      <c r="BH42" s="1875" t="inlineStr">
        <is>
          <t>(coments)</t>
        </is>
      </c>
      <c r="BI42" s="1877" t="n">
        <v>36756</v>
      </c>
      <c r="BJ42" s="1878" t="n">
        <v>36771</v>
      </c>
      <c r="BK42" s="1874">
        <f>BJ42-BI42</f>
        <v/>
      </c>
      <c r="BL42" s="1865" t="inlineStr">
        <is>
          <t xml:space="preserve">Morro de São Paulo </t>
        </is>
      </c>
      <c r="BM42" s="1866" t="n"/>
      <c r="BN42" s="1867" t="n">
        <v>37052</v>
      </c>
      <c r="BO42" s="1868" t="n">
        <v>37055</v>
      </c>
      <c r="BP42" s="2077">
        <f>BO42-BN42</f>
        <v/>
      </c>
      <c r="BQ42" s="2118" t="inlineStr">
        <is>
          <t>Cunha</t>
        </is>
      </c>
      <c r="BR42" s="2119" t="n"/>
      <c r="BS42" s="2120" t="n">
        <v>36848</v>
      </c>
      <c r="BT42" s="2121" t="n">
        <v>36849</v>
      </c>
      <c r="BU42" s="1884">
        <f>BT42-BS42</f>
        <v/>
      </c>
      <c r="BV42" s="2119" t="inlineStr">
        <is>
          <t>SP</t>
        </is>
      </c>
      <c r="BW42" s="2122" t="n"/>
      <c r="BX42" s="2123" t="n">
        <v>36996</v>
      </c>
      <c r="BY42" s="2124" t="n">
        <v>37011</v>
      </c>
      <c r="BZ42" s="2109">
        <f>BY42-BX42</f>
        <v/>
      </c>
      <c r="CA42" s="2174" t="inlineStr">
        <is>
          <t>SP</t>
        </is>
      </c>
      <c r="CB42" s="2175" t="n"/>
      <c r="CC42" s="2176" t="n">
        <v>37409</v>
      </c>
      <c r="CD42" s="2177" t="n">
        <v>37423</v>
      </c>
      <c r="CE42" s="1884">
        <f>CD42-CC42</f>
        <v/>
      </c>
      <c r="CF42" s="2115" t="inlineStr">
        <is>
          <t>London</t>
        </is>
      </c>
      <c r="CG42" s="1990" t="inlineStr">
        <is>
          <t>David</t>
        </is>
      </c>
      <c r="CH42" s="2116" t="n">
        <v>37843</v>
      </c>
      <c r="CI42" s="2117" t="n">
        <v>37856</v>
      </c>
      <c r="CJ42" s="2109">
        <f>CI42-CH42</f>
        <v/>
      </c>
      <c r="CK42" s="2118" t="inlineStr">
        <is>
          <t>SSA</t>
        </is>
      </c>
      <c r="CL42" s="2119" t="n"/>
      <c r="CM42" s="2123" t="n">
        <v>38059</v>
      </c>
      <c r="CN42" s="2124" t="n">
        <v>38161</v>
      </c>
      <c r="CO42" s="1884">
        <f>CN42-CM42</f>
        <v/>
      </c>
    </row>
    <row r="43">
      <c r="A43" s="1491" t="n"/>
      <c r="B43" s="1491" t="n"/>
      <c r="C43" s="1491" t="n"/>
      <c r="D43" s="1491" t="n"/>
      <c r="E43" s="1491" t="inlineStr">
        <is>
          <t>natal/rev aracaju</t>
        </is>
      </c>
      <c r="F43" s="1491" t="n"/>
      <c r="G43" s="1491" t="n"/>
      <c r="H43" s="1491" t="n"/>
      <c r="I43" s="1491" t="n"/>
      <c r="J43" s="1491" t="n"/>
      <c r="K43" s="1491" t="n"/>
      <c r="L43" s="1491" t="n"/>
      <c r="M43" s="1491" t="n"/>
      <c r="N43" s="1491" t="n"/>
      <c r="O43" s="1491" t="n"/>
      <c r="P43" s="1491" t="n"/>
      <c r="Q43" s="1491" t="n"/>
      <c r="R43" s="1491" t="n"/>
      <c r="S43" s="1491" t="n"/>
      <c r="T43" s="1491" t="n"/>
      <c r="U43" s="1491" t="n"/>
      <c r="V43" s="1491" t="n"/>
      <c r="W43" s="1491" t="n"/>
      <c r="X43" s="1491" t="n"/>
      <c r="Y43" s="1491" t="n"/>
      <c r="Z43" s="1491" t="n"/>
      <c r="AA43" s="1491" t="n"/>
      <c r="AB43" s="1491" t="n"/>
      <c r="AC43" s="1491" t="n"/>
      <c r="AD43" s="1491" t="n"/>
      <c r="AE43" s="1491" t="n"/>
      <c r="AF43" s="1491" t="n"/>
      <c r="AG43" s="1491" t="n"/>
      <c r="AH43" s="1491" t="n"/>
      <c r="AI43" s="1491" t="n"/>
      <c r="AJ43" s="1491" t="n"/>
      <c r="AK43" s="1491" t="n"/>
      <c r="AL43" s="1491" t="n"/>
      <c r="AM43" s="1491" t="n"/>
      <c r="AN43" s="1491" t="n"/>
      <c r="AO43" s="1491" t="n"/>
      <c r="AP43" s="1491" t="n"/>
      <c r="AQ43" s="1349" t="n"/>
      <c r="AR43" s="2181" t="inlineStr">
        <is>
          <t>Barcelona</t>
        </is>
      </c>
      <c r="AS43" s="2141" t="n"/>
      <c r="AT43" s="2142" t="n">
        <v>36928</v>
      </c>
      <c r="AU43" s="2143" t="n">
        <v>36931</v>
      </c>
      <c r="AV43" s="1884">
        <f>AU43-AT43</f>
        <v/>
      </c>
      <c r="AW43" s="2182" t="inlineStr">
        <is>
          <t>Cabana no lago</t>
        </is>
      </c>
      <c r="AX43" s="1909" t="n"/>
      <c r="AY43" s="1911" t="n">
        <v>40350</v>
      </c>
      <c r="AZ43" s="1912" t="n">
        <v>40352</v>
      </c>
      <c r="BA43" s="1884">
        <f>AZ43-AY43</f>
        <v/>
      </c>
      <c r="BB43" s="2053" t="n"/>
      <c r="BC43" s="2057" t="n"/>
      <c r="BD43" s="2055" t="n"/>
      <c r="BE43" s="2056" t="n"/>
      <c r="BF43" s="1884" t="n"/>
      <c r="BG43" s="2137" t="inlineStr">
        <is>
          <t>London</t>
        </is>
      </c>
      <c r="BH43" s="1989" t="n"/>
      <c r="BI43" s="1991" t="n">
        <v>36771</v>
      </c>
      <c r="BJ43" s="1992" t="n">
        <v>36782</v>
      </c>
      <c r="BK43" s="1874">
        <f>BJ43-BI43</f>
        <v/>
      </c>
      <c r="BL43" s="1865" t="inlineStr">
        <is>
          <t>SSA</t>
        </is>
      </c>
      <c r="BM43" s="1866" t="n"/>
      <c r="BN43" s="1867" t="n">
        <v>37055</v>
      </c>
      <c r="BO43" s="1868" t="n">
        <v>37151</v>
      </c>
      <c r="BP43" s="2077">
        <f>BO43-BN43</f>
        <v/>
      </c>
      <c r="BQ43" s="2102" t="inlineStr">
        <is>
          <t>SP</t>
        </is>
      </c>
      <c r="BR43" s="2103" t="n"/>
      <c r="BS43" s="2104" t="n">
        <v>36850</v>
      </c>
      <c r="BT43" s="2105" t="n">
        <v>36883</v>
      </c>
      <c r="BU43" s="1884">
        <f>BT43-BS43</f>
        <v/>
      </c>
      <c r="BV43" s="2103" t="inlineStr">
        <is>
          <t>Atibaia</t>
        </is>
      </c>
      <c r="BW43" s="2103" t="inlineStr">
        <is>
          <t>Ski Aquático</t>
        </is>
      </c>
      <c r="BX43" s="2107" t="n">
        <v>37011</v>
      </c>
      <c r="BY43" s="2108" t="n">
        <v>37012</v>
      </c>
      <c r="BZ43" s="2109">
        <f>BY43-BX43</f>
        <v/>
      </c>
      <c r="CA43" s="2110" t="inlineStr">
        <is>
          <t>SSA</t>
        </is>
      </c>
      <c r="CB43" s="2175" t="n"/>
      <c r="CC43" s="2176" t="n">
        <v>37423</v>
      </c>
      <c r="CD43" s="2177" t="n">
        <v>37427</v>
      </c>
      <c r="CE43" s="1884">
        <f>CD43-CC43</f>
        <v/>
      </c>
      <c r="CF43" s="2115" t="inlineStr">
        <is>
          <t>London</t>
        </is>
      </c>
      <c r="CG43" s="1990" t="inlineStr">
        <is>
          <t>T's Barnfield</t>
        </is>
      </c>
      <c r="CH43" s="2116" t="n">
        <v>37856</v>
      </c>
      <c r="CI43" s="2117" t="n">
        <v>37880</v>
      </c>
      <c r="CJ43" s="2109">
        <f>CI43-CH43</f>
        <v/>
      </c>
      <c r="CK43" s="2102" t="inlineStr">
        <is>
          <t>Amargosa</t>
        </is>
      </c>
      <c r="CL43" s="2103" t="n"/>
      <c r="CM43" s="2107" t="n">
        <v>38161</v>
      </c>
      <c r="CN43" s="2108" t="n">
        <v>38165</v>
      </c>
      <c r="CO43" s="1884">
        <f>CN43-CM43</f>
        <v/>
      </c>
    </row>
    <row r="44">
      <c r="A44" s="1491" t="n"/>
      <c r="B44" s="1491" t="n"/>
      <c r="C44" s="1491" t="n"/>
      <c r="D44" s="1491" t="n"/>
      <c r="E44" s="1491" t="inlineStr">
        <is>
          <t>catapora 78/79?</t>
        </is>
      </c>
      <c r="F44" s="1491" t="n"/>
      <c r="G44" s="1491" t="n"/>
      <c r="H44" s="1491" t="n"/>
      <c r="I44" s="1491" t="n"/>
      <c r="J44" s="1491" t="n"/>
      <c r="K44" s="1491" t="n"/>
      <c r="L44" s="1491" t="n"/>
      <c r="M44" s="1491" t="n"/>
      <c r="N44" s="1491" t="n"/>
      <c r="O44" s="1491" t="n"/>
      <c r="P44" s="1491" t="n"/>
      <c r="Q44" s="1491" t="n"/>
      <c r="R44" s="1491" t="n"/>
      <c r="S44" s="1491" t="n"/>
      <c r="T44" s="1491" t="n"/>
      <c r="U44" s="1491" t="n"/>
      <c r="V44" s="1491" t="n"/>
      <c r="W44" s="1491" t="n"/>
      <c r="X44" s="1491" t="n"/>
      <c r="Y44" s="1491" t="n"/>
      <c r="Z44" s="1491" t="n"/>
      <c r="AA44" s="1491" t="n"/>
      <c r="AB44" s="1491" t="n"/>
      <c r="AC44" s="1491" t="n"/>
      <c r="AD44" s="1491" t="n"/>
      <c r="AE44" s="1491" t="n"/>
      <c r="AF44" s="1491" t="n"/>
      <c r="AG44" s="1491" t="n"/>
      <c r="AH44" s="1491" t="n"/>
      <c r="AI44" s="1491" t="n"/>
      <c r="AJ44" s="1491" t="n"/>
      <c r="AK44" s="1491" t="n"/>
      <c r="AL44" s="1491" t="n"/>
      <c r="AM44" s="1491" t="n"/>
      <c r="AN44" s="1491" t="n"/>
      <c r="AO44" s="1491" t="n"/>
      <c r="AP44" s="1491" t="n"/>
      <c r="AQ44" s="1349" t="n"/>
      <c r="AR44" s="2181" t="inlineStr">
        <is>
          <t>Madrid</t>
        </is>
      </c>
      <c r="AS44" s="2141" t="n"/>
      <c r="AT44" s="2142" t="n">
        <v>36931</v>
      </c>
      <c r="AU44" s="2143" t="n">
        <v>36934</v>
      </c>
      <c r="AV44" s="1884">
        <f>AU44-AT44</f>
        <v/>
      </c>
      <c r="AW44" s="2182" t="inlineStr">
        <is>
          <t>Tampere</t>
        </is>
      </c>
      <c r="AX44" s="1909" t="n"/>
      <c r="AY44" s="1911" t="n">
        <v>40352</v>
      </c>
      <c r="AZ44" s="1912" t="n">
        <v>40354</v>
      </c>
      <c r="BA44" s="1884">
        <f>AZ44-AY44</f>
        <v/>
      </c>
      <c r="BB44" s="2071" t="n"/>
      <c r="BC44" s="2073" t="n"/>
      <c r="BD44" s="2055" t="n"/>
      <c r="BE44" s="2056" t="n"/>
      <c r="BF44" s="1884" t="n"/>
      <c r="BG44" s="2132" t="inlineStr">
        <is>
          <t>Paris</t>
        </is>
      </c>
      <c r="BH44" s="1875" t="n"/>
      <c r="BI44" s="1877" t="n">
        <v>36782</v>
      </c>
      <c r="BJ44" s="1878" t="n">
        <v>36783</v>
      </c>
      <c r="BK44" s="1874" t="n">
        <v>1</v>
      </c>
      <c r="BL44" s="1865" t="inlineStr">
        <is>
          <t>SP</t>
        </is>
      </c>
      <c r="BM44" s="1866" t="n"/>
      <c r="BN44" s="1867" t="n">
        <v>36786</v>
      </c>
      <c r="BO44" s="1868" t="n">
        <v>36801</v>
      </c>
      <c r="BP44" s="2077">
        <f>BO44-BN44</f>
        <v/>
      </c>
      <c r="BQ44" s="2118" t="inlineStr">
        <is>
          <t>Boituva</t>
        </is>
      </c>
      <c r="BR44" s="2119" t="n"/>
      <c r="BS44" s="2120" t="n">
        <v>36883</v>
      </c>
      <c r="BT44" s="2121" t="n">
        <v>36884</v>
      </c>
      <c r="BU44" s="1884">
        <f>BT44-BS44</f>
        <v/>
      </c>
      <c r="BV44" s="2119" t="inlineStr">
        <is>
          <t>SP</t>
        </is>
      </c>
      <c r="BW44" s="2122" t="n"/>
      <c r="BX44" s="2123" t="n">
        <v>37012</v>
      </c>
      <c r="BY44" s="2124" t="n">
        <v>37057</v>
      </c>
      <c r="BZ44" s="2109">
        <f>BY44-BX44</f>
        <v/>
      </c>
      <c r="CA44" s="2118" t="inlineStr">
        <is>
          <t>SP</t>
        </is>
      </c>
      <c r="CB44" s="2119" t="n"/>
      <c r="CC44" s="2123" t="n">
        <v>37427</v>
      </c>
      <c r="CD44" s="2124" t="n">
        <v>37434</v>
      </c>
      <c r="CE44" s="1884">
        <f>CD44-CC44</f>
        <v/>
      </c>
      <c r="CF44" s="2183" t="inlineStr">
        <is>
          <t>Iceland</t>
        </is>
      </c>
      <c r="CG44" s="1910" t="inlineStr">
        <is>
          <t>escala</t>
        </is>
      </c>
      <c r="CH44" s="2184" t="n">
        <v>37880</v>
      </c>
      <c r="CI44" s="2185" t="n">
        <v>37880</v>
      </c>
      <c r="CJ44" s="2109">
        <f>CI44-CH44</f>
        <v/>
      </c>
      <c r="CK44" s="2118" t="inlineStr">
        <is>
          <t>SSA</t>
        </is>
      </c>
      <c r="CL44" s="2119" t="n"/>
      <c r="CM44" s="2123" t="n">
        <v>38165</v>
      </c>
      <c r="CN44" s="2124" t="n">
        <v>38169</v>
      </c>
      <c r="CO44" s="1884">
        <f>CN44-CM44</f>
        <v/>
      </c>
    </row>
    <row r="45">
      <c r="A45" s="1491" t="n"/>
      <c r="B45" s="1491" t="n"/>
      <c r="C45" s="1491" t="n"/>
      <c r="D45" s="1491" t="n"/>
      <c r="E45" s="1491" t="inlineStr">
        <is>
          <t>rev rio dec 80?</t>
        </is>
      </c>
      <c r="F45" s="1491" t="n"/>
      <c r="G45" s="1491" t="n"/>
      <c r="H45" s="1491" t="n"/>
      <c r="I45" s="1491" t="n"/>
      <c r="J45" s="1491" t="n"/>
      <c r="K45" s="1491" t="n"/>
      <c r="L45" s="1491" t="n"/>
      <c r="M45" s="1491" t="n"/>
      <c r="N45" s="1491" t="n"/>
      <c r="O45" s="1491" t="n"/>
      <c r="P45" s="1491" t="n"/>
      <c r="Q45" s="1491" t="n"/>
      <c r="R45" s="1491" t="n"/>
      <c r="S45" s="1491" t="n"/>
      <c r="T45" s="1491" t="n"/>
      <c r="U45" s="1491" t="n"/>
      <c r="V45" s="1491" t="n"/>
      <c r="W45" s="1491" t="n"/>
      <c r="X45" s="1491" t="n"/>
      <c r="Y45" s="1491" t="n"/>
      <c r="Z45" s="1491" t="n"/>
      <c r="AA45" s="1491" t="n"/>
      <c r="AB45" s="1491" t="n"/>
      <c r="AC45" s="1491" t="n"/>
      <c r="AD45" s="1491" t="n"/>
      <c r="AE45" s="1491" t="n"/>
      <c r="AF45" s="1491" t="n"/>
      <c r="AG45" s="1491" t="n"/>
      <c r="AH45" s="1491" t="n"/>
      <c r="AI45" s="1491" t="n"/>
      <c r="AJ45" s="1491" t="n"/>
      <c r="AK45" s="1491" t="n"/>
      <c r="AL45" s="1491" t="n"/>
      <c r="AM45" s="1491" t="n"/>
      <c r="AN45" s="1491" t="n"/>
      <c r="AO45" s="1491" t="n"/>
      <c r="AP45" s="1491" t="n"/>
      <c r="AQ45" s="1349" t="n"/>
      <c r="AR45" s="2140" t="inlineStr">
        <is>
          <t>Toledo</t>
        </is>
      </c>
      <c r="AS45" s="2141" t="n"/>
      <c r="AT45" s="2142" t="n">
        <v>36934</v>
      </c>
      <c r="AU45" s="2143" t="n">
        <v>36935</v>
      </c>
      <c r="AV45" s="1884">
        <f>AU45-AT45</f>
        <v/>
      </c>
      <c r="AW45" s="2182" t="inlineStr">
        <is>
          <t>Helsinque</t>
        </is>
      </c>
      <c r="AX45" s="1909" t="n"/>
      <c r="AY45" s="1911" t="n">
        <v>40354</v>
      </c>
      <c r="AZ45" s="1912" t="n">
        <v>40355</v>
      </c>
      <c r="BA45" s="1884">
        <f>AZ45-AY45</f>
        <v/>
      </c>
      <c r="BB45" s="2053" t="n"/>
      <c r="BC45" s="2057" t="n"/>
      <c r="BD45" s="2055" t="n"/>
      <c r="BE45" s="2056" t="n"/>
      <c r="BF45" s="1884" t="n"/>
      <c r="BG45" s="2148" t="inlineStr">
        <is>
          <t>Bruxelas</t>
        </is>
      </c>
      <c r="BH45" s="1985" t="n"/>
      <c r="BI45" s="1987" t="n">
        <v>37148</v>
      </c>
      <c r="BJ45" s="1988" t="n">
        <v>37149</v>
      </c>
      <c r="BK45" s="1874">
        <f>BJ45-BI45</f>
        <v/>
      </c>
      <c r="BL45" s="1865" t="inlineStr">
        <is>
          <t>SSA</t>
        </is>
      </c>
      <c r="BM45" s="1866" t="n"/>
      <c r="BN45" s="1867" t="n">
        <v>36801</v>
      </c>
      <c r="BO45" s="1868" t="n">
        <v>36887</v>
      </c>
      <c r="BP45" s="2077">
        <f>BO45-BN45</f>
        <v/>
      </c>
      <c r="BQ45" s="2102" t="inlineStr">
        <is>
          <t>SP</t>
        </is>
      </c>
      <c r="BR45" s="2103" t="n"/>
      <c r="BS45" s="2104" t="n">
        <v>36884</v>
      </c>
      <c r="BT45" s="2105" t="n">
        <v>36890</v>
      </c>
      <c r="BU45" s="1884">
        <f>BT45-BS45</f>
        <v/>
      </c>
      <c r="BV45" s="2103" t="inlineStr">
        <is>
          <t>Ilhabela</t>
        </is>
      </c>
      <c r="BW45" s="2106" t="inlineStr">
        <is>
          <t>Mergulho</t>
        </is>
      </c>
      <c r="BX45" s="2107" t="n">
        <v>37057</v>
      </c>
      <c r="BY45" s="2108" t="n">
        <v>37059</v>
      </c>
      <c r="BZ45" s="2109">
        <f>BY45-BX45</f>
        <v/>
      </c>
      <c r="CA45" s="2102" t="inlineStr">
        <is>
          <t>RIO</t>
        </is>
      </c>
      <c r="CB45" s="2103" t="n"/>
      <c r="CC45" s="2107" t="n">
        <v>37434</v>
      </c>
      <c r="CD45" s="2108" t="n">
        <v>37436</v>
      </c>
      <c r="CE45" s="1884">
        <f>CD45-CC45</f>
        <v/>
      </c>
      <c r="CF45" s="2169" t="inlineStr">
        <is>
          <t>NYC</t>
        </is>
      </c>
      <c r="CG45" s="1995" t="inlineStr">
        <is>
          <t>Alexandre</t>
        </is>
      </c>
      <c r="CH45" s="2151" t="n">
        <v>37880</v>
      </c>
      <c r="CI45" s="2152" t="n">
        <v>37882</v>
      </c>
      <c r="CJ45" s="2109">
        <f>CI45-CH45</f>
        <v/>
      </c>
      <c r="CK45" s="2102" t="inlineStr">
        <is>
          <t>SP</t>
        </is>
      </c>
      <c r="CL45" s="2103" t="n"/>
      <c r="CM45" s="2107" t="n">
        <v>38169</v>
      </c>
      <c r="CN45" s="2108" t="n">
        <v>38323</v>
      </c>
      <c r="CO45" s="1884">
        <f>CN45-CM45</f>
        <v/>
      </c>
    </row>
    <row r="46">
      <c r="A46" s="1491" t="n"/>
      <c r="B46" s="1491" t="n"/>
      <c r="C46" s="1491" t="n"/>
      <c r="D46" s="1491" t="n"/>
      <c r="E46" s="1491" t="n"/>
      <c r="F46" s="1491" t="n"/>
      <c r="G46" s="1491" t="n"/>
      <c r="H46" s="1491" t="n"/>
      <c r="I46" s="1491" t="n"/>
      <c r="J46" s="1491" t="n"/>
      <c r="K46" s="1491" t="n"/>
      <c r="L46" s="1491" t="n"/>
      <c r="M46" s="1491" t="n"/>
      <c r="N46" s="1491" t="n"/>
      <c r="O46" s="1491" t="n"/>
      <c r="P46" s="1491" t="n"/>
      <c r="Q46" s="1491" t="n"/>
      <c r="R46" s="1491" t="n"/>
      <c r="S46" s="1491" t="n"/>
      <c r="T46" s="1491" t="n"/>
      <c r="U46" s="1491" t="n"/>
      <c r="V46" s="1491" t="n"/>
      <c r="W46" s="1491" t="n"/>
      <c r="X46" s="1491" t="n"/>
      <c r="Y46" s="1491" t="n"/>
      <c r="Z46" s="1491" t="n"/>
      <c r="AA46" s="1491" t="n"/>
      <c r="AB46" s="1491" t="n"/>
      <c r="AC46" s="1491" t="n"/>
      <c r="AD46" s="1491" t="n"/>
      <c r="AE46" s="1491" t="n"/>
      <c r="AF46" s="1491" t="n"/>
      <c r="AG46" s="1491" t="n"/>
      <c r="AH46" s="1491" t="n"/>
      <c r="AI46" s="1491" t="n"/>
      <c r="AJ46" s="1491" t="n"/>
      <c r="AK46" s="1491" t="n"/>
      <c r="AL46" s="1491" t="n"/>
      <c r="AM46" s="1491" t="n"/>
      <c r="AN46" s="1491" t="n"/>
      <c r="AO46" s="1491" t="n"/>
      <c r="AP46" s="1491" t="n"/>
      <c r="AQ46" s="1349" t="n"/>
      <c r="AR46" s="2181" t="inlineStr">
        <is>
          <t>Madrid</t>
        </is>
      </c>
      <c r="AS46" s="2141" t="n"/>
      <c r="AT46" s="2142" t="n">
        <v>36935</v>
      </c>
      <c r="AU46" s="2143" t="n">
        <v>36937</v>
      </c>
      <c r="AV46" s="1884">
        <f>AU46-AT46</f>
        <v/>
      </c>
      <c r="AW46" s="2008" t="inlineStr">
        <is>
          <t>águas finlandesas</t>
        </is>
      </c>
      <c r="AX46" s="2094" t="n"/>
      <c r="AY46" s="2010" t="n">
        <v>40355</v>
      </c>
      <c r="AZ46" s="2011" t="n">
        <v>40356</v>
      </c>
      <c r="BA46" s="2095">
        <f>AZ46-AY46</f>
        <v/>
      </c>
      <c r="BB46" s="2071" t="n"/>
      <c r="BC46" s="2073" t="n"/>
      <c r="BD46" s="2055" t="n"/>
      <c r="BE46" s="2056" t="n"/>
      <c r="BF46" s="1884" t="n"/>
      <c r="BG46" s="2148" t="inlineStr">
        <is>
          <t>Amsterdam</t>
        </is>
      </c>
      <c r="BH46" s="1985" t="n"/>
      <c r="BI46" s="1987" t="n">
        <v>37149</v>
      </c>
      <c r="BJ46" s="1988" t="n">
        <v>37151</v>
      </c>
      <c r="BK46" s="1874">
        <f>BJ46-BI46</f>
        <v/>
      </c>
      <c r="BL46" s="1865" t="inlineStr">
        <is>
          <t>Porto Seguro</t>
        </is>
      </c>
      <c r="BM46" s="1866" t="n"/>
      <c r="BN46" s="1867" t="n">
        <v>36887</v>
      </c>
      <c r="BO46" s="1868" t="n">
        <v>36896</v>
      </c>
      <c r="BP46" s="2077">
        <f>BO46-BN46</f>
        <v/>
      </c>
      <c r="BQ46" s="2118" t="inlineStr">
        <is>
          <t>Cunha</t>
        </is>
      </c>
      <c r="BR46" s="2119" t="n"/>
      <c r="BS46" s="2120" t="n">
        <v>36890</v>
      </c>
      <c r="BT46" s="2121" t="n">
        <v>36893</v>
      </c>
      <c r="BU46" s="1884">
        <f>BT46-BS46</f>
        <v/>
      </c>
      <c r="BV46" s="2119" t="inlineStr">
        <is>
          <t>SP</t>
        </is>
      </c>
      <c r="BW46" s="2122" t="n"/>
      <c r="BX46" s="2123" t="n">
        <v>37059</v>
      </c>
      <c r="BY46" s="2124" t="n">
        <v>37079</v>
      </c>
      <c r="BZ46" s="2109">
        <f>BY46-BX46</f>
        <v/>
      </c>
      <c r="CA46" s="2118" t="inlineStr">
        <is>
          <t>SP</t>
        </is>
      </c>
      <c r="CB46" s="2119" t="n"/>
      <c r="CC46" s="2123" t="n">
        <v>37436</v>
      </c>
      <c r="CD46" s="2124" t="n">
        <v>37440</v>
      </c>
      <c r="CE46" s="1884">
        <f>CD46-CC46</f>
        <v/>
      </c>
      <c r="CF46" s="2169" t="inlineStr">
        <is>
          <t>Columbia</t>
        </is>
      </c>
      <c r="CG46" s="1995" t="inlineStr">
        <is>
          <t>Otavio</t>
        </is>
      </c>
      <c r="CH46" s="2151" t="n">
        <v>37882</v>
      </c>
      <c r="CI46" s="2152" t="n">
        <v>37893</v>
      </c>
      <c r="CJ46" s="2186">
        <f>CI46-CH46</f>
        <v/>
      </c>
      <c r="CK46" s="2118" t="inlineStr">
        <is>
          <t>SSA</t>
        </is>
      </c>
      <c r="CL46" s="2119" t="n"/>
      <c r="CM46" s="2123" t="n">
        <v>38323</v>
      </c>
      <c r="CN46" s="2124" t="n">
        <v>38330</v>
      </c>
      <c r="CO46" s="1884">
        <f>CN46-CM46</f>
        <v/>
      </c>
    </row>
    <row r="47">
      <c r="A47" s="1491" t="n"/>
      <c r="B47" s="1491" t="n"/>
      <c r="C47" s="1491" t="n"/>
      <c r="D47" s="1491" t="n"/>
      <c r="E47" s="1491" t="n"/>
      <c r="F47" s="1491" t="n"/>
      <c r="G47" s="1491" t="n"/>
      <c r="H47" s="1491" t="n"/>
      <c r="I47" s="1491" t="n"/>
      <c r="J47" s="1491" t="n"/>
      <c r="K47" s="1491" t="n"/>
      <c r="L47" s="1491" t="n"/>
      <c r="M47" s="1491" t="n"/>
      <c r="N47" s="1491" t="n"/>
      <c r="O47" s="1491" t="n"/>
      <c r="P47" s="1491" t="n"/>
      <c r="Q47" s="1491" t="n"/>
      <c r="R47" s="1491" t="n"/>
      <c r="S47" s="1491" t="n"/>
      <c r="T47" s="1491" t="n"/>
      <c r="U47" s="1491" t="n"/>
      <c r="V47" s="1491" t="n"/>
      <c r="W47" s="1491" t="n"/>
      <c r="X47" s="1491" t="n"/>
      <c r="Y47" s="1491" t="n"/>
      <c r="Z47" s="1491" t="n"/>
      <c r="AA47" s="1491" t="n"/>
      <c r="AB47" s="1491" t="n"/>
      <c r="AC47" s="1491" t="n"/>
      <c r="AD47" s="1491" t="n"/>
      <c r="AE47" s="1491" t="n"/>
      <c r="AF47" s="1491" t="n"/>
      <c r="AG47" s="1491" t="n"/>
      <c r="AH47" s="1491" t="n"/>
      <c r="AI47" s="1491" t="n"/>
      <c r="AJ47" s="1491" t="n"/>
      <c r="AK47" s="1491" t="n"/>
      <c r="AL47" s="1491" t="n"/>
      <c r="AM47" s="1491" t="n"/>
      <c r="AN47" s="1491" t="n"/>
      <c r="AO47" s="1491" t="n"/>
      <c r="AP47" s="1491" t="n"/>
      <c r="AQ47" s="1349" t="n"/>
      <c r="AR47" s="2140" t="inlineStr">
        <is>
          <t>Vale de los Caídos (El Escorial)</t>
        </is>
      </c>
      <c r="AS47" s="2141" t="n"/>
      <c r="AT47" s="2142" t="n">
        <v>36937</v>
      </c>
      <c r="AU47" s="2143" t="inlineStr">
        <is>
          <t>—&gt;</t>
        </is>
      </c>
      <c r="AV47" s="1884" t="n"/>
      <c r="AW47" s="2178" t="inlineStr">
        <is>
          <t>Estocolmo</t>
        </is>
      </c>
      <c r="AX47" s="2187" t="n"/>
      <c r="AY47" s="1882" t="n">
        <v>36704</v>
      </c>
      <c r="AZ47" s="1883" t="n">
        <v>40356</v>
      </c>
      <c r="BA47" s="1884" t="n">
        <v>0</v>
      </c>
      <c r="BB47" s="2053" t="n"/>
      <c r="BC47" s="2057" t="n"/>
      <c r="BD47" s="2055" t="n"/>
      <c r="BE47" s="2056" t="n"/>
      <c r="BF47" s="1884" t="n"/>
      <c r="BG47" s="2188" t="inlineStr">
        <is>
          <t>Koln  (pit stop)</t>
        </is>
      </c>
      <c r="BH47" s="2039" t="n"/>
      <c r="BI47" s="1936" t="n">
        <v>41534</v>
      </c>
      <c r="BJ47" s="1937" t="n"/>
      <c r="BK47" s="2189" t="inlineStr">
        <is>
          <t>-</t>
        </is>
      </c>
      <c r="BL47" s="2053" t="n"/>
      <c r="BM47" s="2057" t="n"/>
      <c r="BN47" s="2055" t="n"/>
      <c r="BO47" s="2056" t="n"/>
      <c r="BP47" s="1884" t="n"/>
      <c r="BQ47" s="2190" t="n"/>
      <c r="BR47" s="2191" t="n"/>
      <c r="BS47" s="2192" t="n"/>
      <c r="BT47" s="2193" t="n"/>
      <c r="BU47" s="1884" t="n"/>
      <c r="BV47" s="2103" t="inlineStr">
        <is>
          <t>Guaratinguetá</t>
        </is>
      </c>
      <c r="BW47" s="2106" t="inlineStr">
        <is>
          <t>H 7 Lagos</t>
        </is>
      </c>
      <c r="BX47" s="2107" t="n">
        <v>37079</v>
      </c>
      <c r="BY47" s="2108" t="n">
        <v>37081</v>
      </c>
      <c r="BZ47" s="2109">
        <f>BY47-BX47</f>
        <v/>
      </c>
      <c r="CA47" s="2102" t="inlineStr">
        <is>
          <t>Bertioga</t>
        </is>
      </c>
      <c r="CB47" s="2103" t="n"/>
      <c r="CC47" s="2107" t="n">
        <v>37440</v>
      </c>
      <c r="CD47" s="2108" t="n">
        <v>37441</v>
      </c>
      <c r="CE47" s="1884">
        <f>CD47-CC47</f>
        <v/>
      </c>
      <c r="CF47" s="2169" t="inlineStr">
        <is>
          <t>Columbia</t>
        </is>
      </c>
      <c r="CG47" s="1995" t="inlineStr">
        <is>
          <t>My Place</t>
        </is>
      </c>
      <c r="CH47" s="2151" t="n">
        <v>37893</v>
      </c>
      <c r="CI47" s="2152" t="n">
        <v>37951</v>
      </c>
      <c r="CJ47" s="2186">
        <f>CI47-CH47</f>
        <v/>
      </c>
      <c r="CK47" s="2102" t="inlineStr">
        <is>
          <t>SP</t>
        </is>
      </c>
      <c r="CL47" s="2103" t="n"/>
      <c r="CM47" s="2107" t="n">
        <v>38330</v>
      </c>
      <c r="CN47" s="2108" t="n">
        <v>38337</v>
      </c>
      <c r="CO47" s="1884">
        <f>CN47-CM47</f>
        <v/>
      </c>
    </row>
    <row r="48">
      <c r="A48" s="1491" t="n"/>
      <c r="B48" s="1491" t="n"/>
      <c r="C48" s="1491" t="n"/>
      <c r="D48" s="1491" t="n"/>
      <c r="E48" s="1491" t="n"/>
      <c r="F48" s="1491" t="n"/>
      <c r="G48" s="1491" t="n"/>
      <c r="H48" s="1491" t="n"/>
      <c r="I48" s="1491" t="n"/>
      <c r="J48" s="1491" t="n"/>
      <c r="K48" s="1491" t="n"/>
      <c r="L48" s="1491" t="n"/>
      <c r="M48" s="1491" t="n"/>
      <c r="N48" s="1491" t="n"/>
      <c r="O48" s="1491" t="n"/>
      <c r="P48" s="1491" t="n"/>
      <c r="Q48" s="1491" t="n"/>
      <c r="R48" s="1491" t="n"/>
      <c r="S48" s="1491" t="n"/>
      <c r="T48" s="1491" t="n"/>
      <c r="U48" s="1491" t="n"/>
      <c r="V48" s="1491" t="n"/>
      <c r="W48" s="1491" t="n"/>
      <c r="X48" s="1491" t="n"/>
      <c r="Y48" s="1491" t="n"/>
      <c r="Z48" s="1491" t="n"/>
      <c r="AA48" s="1491" t="n"/>
      <c r="AB48" s="1491" t="n"/>
      <c r="AC48" s="1491" t="n"/>
      <c r="AD48" s="1491" t="n"/>
      <c r="AE48" s="1491" t="n"/>
      <c r="AF48" s="1491" t="n"/>
      <c r="AG48" s="1491" t="n"/>
      <c r="AH48" s="1491" t="n"/>
      <c r="AI48" s="1491" t="n"/>
      <c r="AJ48" s="1491" t="n"/>
      <c r="AK48" s="1491" t="n"/>
      <c r="AL48" s="1491" t="n"/>
      <c r="AM48" s="1491" t="n"/>
      <c r="AN48" s="1491" t="n"/>
      <c r="AO48" s="1491" t="n"/>
      <c r="AP48" s="1491" t="n"/>
      <c r="AQ48" s="1349" t="n"/>
      <c r="AR48" s="2140" t="inlineStr">
        <is>
          <t>Salamanca</t>
        </is>
      </c>
      <c r="AS48" s="2141" t="n"/>
      <c r="AT48" s="2142" t="n">
        <v>36937</v>
      </c>
      <c r="AU48" s="2143" t="n">
        <v>36938</v>
      </c>
      <c r="AV48" s="1884">
        <f>AU48-AT48</f>
        <v/>
      </c>
      <c r="AW48" s="2137" t="inlineStr">
        <is>
          <t xml:space="preserve">London </t>
        </is>
      </c>
      <c r="AX48" s="1989" t="n"/>
      <c r="AY48" s="1991" t="n">
        <v>36704</v>
      </c>
      <c r="AZ48" s="1992" t="n">
        <v>36784</v>
      </c>
      <c r="BA48" s="2144">
        <f>AZ48-AY48</f>
        <v/>
      </c>
      <c r="BB48" s="2053" t="n"/>
      <c r="BC48" s="2057" t="inlineStr">
        <is>
          <t>pre-caju</t>
        </is>
      </c>
      <c r="BD48" s="2055" t="n"/>
      <c r="BE48" s="2056" t="n"/>
      <c r="BF48" s="1884" t="n"/>
      <c r="BG48" s="2167" t="inlineStr">
        <is>
          <t>Basel - passagem trem</t>
        </is>
      </c>
      <c r="BH48" s="2168" t="n"/>
      <c r="BI48" s="1911" t="n">
        <v>41534</v>
      </c>
      <c r="BJ48" s="1912" t="n"/>
      <c r="BK48" s="2128" t="inlineStr">
        <is>
          <t>-</t>
        </is>
      </c>
      <c r="BL48" s="2053" t="n"/>
      <c r="BM48" s="2057" t="n"/>
      <c r="BN48" s="2055" t="n"/>
      <c r="BO48" s="2056" t="n"/>
      <c r="BP48" s="1884" t="n"/>
      <c r="BQ48" s="2190" t="n"/>
      <c r="BR48" s="2191" t="n"/>
      <c r="BS48" s="2192" t="n"/>
      <c r="BT48" s="2193" t="n"/>
      <c r="BU48" s="1884" t="n"/>
      <c r="BV48" s="2119" t="inlineStr">
        <is>
          <t>SP</t>
        </is>
      </c>
      <c r="BW48" s="2122" t="inlineStr">
        <is>
          <t>Tópicos</t>
        </is>
      </c>
      <c r="BX48" s="2123" t="n">
        <v>37081</v>
      </c>
      <c r="BY48" s="2124" t="n">
        <v>37112</v>
      </c>
      <c r="BZ48" s="2109">
        <f>BY48-BX48</f>
        <v/>
      </c>
      <c r="CA48" s="2118" t="inlineStr">
        <is>
          <t>SP</t>
        </is>
      </c>
      <c r="CB48" s="2119" t="n"/>
      <c r="CC48" s="2123" t="n">
        <v>37441</v>
      </c>
      <c r="CD48" s="2124" t="n">
        <v>37445</v>
      </c>
      <c r="CE48" s="1884">
        <f>CD48-CC48</f>
        <v/>
      </c>
      <c r="CF48" s="2169" t="inlineStr">
        <is>
          <t>Asheville</t>
        </is>
      </c>
      <c r="CG48" s="1995" t="n"/>
      <c r="CH48" s="2151" t="n">
        <v>37951</v>
      </c>
      <c r="CI48" s="2152" t="n">
        <v>37953</v>
      </c>
      <c r="CJ48" s="2109">
        <f>CI48-CH48</f>
        <v/>
      </c>
      <c r="CK48" s="2102" t="inlineStr">
        <is>
          <t>Guaeca</t>
        </is>
      </c>
      <c r="CL48" s="2103" t="n"/>
      <c r="CM48" s="2107" t="n">
        <v>38337</v>
      </c>
      <c r="CN48" s="2108" t="n">
        <v>38347</v>
      </c>
      <c r="CO48" s="1884">
        <f>CN48-CM48</f>
        <v/>
      </c>
    </row>
    <row r="49">
      <c r="A49" s="1491" t="n"/>
      <c r="B49" s="1491" t="n"/>
      <c r="C49" s="1491" t="n"/>
      <c r="D49" s="1491" t="n"/>
      <c r="E49" s="1491" t="n"/>
      <c r="F49" s="1491" t="n"/>
      <c r="G49" s="1491" t="n"/>
      <c r="H49" s="1491" t="n"/>
      <c r="I49" s="1491" t="n"/>
      <c r="J49" s="1491" t="n"/>
      <c r="K49" s="1491" t="n"/>
      <c r="L49" s="1491" t="n"/>
      <c r="M49" s="1491" t="n"/>
      <c r="N49" s="1491" t="n"/>
      <c r="O49" s="1491" t="n"/>
      <c r="P49" s="1491" t="n"/>
      <c r="Q49" s="1491" t="n"/>
      <c r="R49" s="1491" t="n"/>
      <c r="S49" s="1491" t="n"/>
      <c r="T49" s="1491" t="n"/>
      <c r="U49" s="1491" t="n"/>
      <c r="V49" s="1491" t="n"/>
      <c r="W49" s="1491" t="n"/>
      <c r="X49" s="1491" t="n"/>
      <c r="Y49" s="1491" t="n"/>
      <c r="Z49" s="1491" t="n"/>
      <c r="AA49" s="1491" t="n"/>
      <c r="AB49" s="1491" t="n"/>
      <c r="AC49" s="1491" t="n"/>
      <c r="AD49" s="1491" t="n"/>
      <c r="AE49" s="1491" t="n"/>
      <c r="AF49" s="1491" t="n"/>
      <c r="AG49" s="1491" t="n"/>
      <c r="AH49" s="1491" t="n"/>
      <c r="AI49" s="1491" t="n"/>
      <c r="AJ49" s="1491" t="n"/>
      <c r="AK49" s="1491" t="n"/>
      <c r="AL49" s="1491" t="n"/>
      <c r="AM49" s="1491" t="n"/>
      <c r="AN49" s="1491" t="n"/>
      <c r="AO49" s="1491" t="n"/>
      <c r="AP49" s="1491" t="n"/>
      <c r="AQ49" s="1349" t="n"/>
      <c r="AR49" s="2140" t="inlineStr">
        <is>
          <t>Avila (Esp)</t>
        </is>
      </c>
      <c r="AS49" s="2141" t="n"/>
      <c r="AT49" s="2142" t="n">
        <v>36938</v>
      </c>
      <c r="AU49" s="2143" t="n">
        <v>36939</v>
      </c>
      <c r="AV49" s="1884">
        <f>AU49-AT49</f>
        <v/>
      </c>
      <c r="AW49" s="2132" t="inlineStr">
        <is>
          <t>Paris</t>
        </is>
      </c>
      <c r="AX49" s="1875" t="n"/>
      <c r="AY49" s="1877" t="n">
        <v>36784</v>
      </c>
      <c r="AZ49" s="1878" t="n">
        <v>36795</v>
      </c>
      <c r="BA49" s="1884">
        <f>AZ49-AY49</f>
        <v/>
      </c>
      <c r="BB49" s="2071" t="n"/>
      <c r="BC49" s="2073" t="n"/>
      <c r="BD49" s="2055" t="n"/>
      <c r="BE49" s="2056" t="n"/>
      <c r="BF49" s="1884" t="n"/>
      <c r="BG49" s="2138" t="inlineStr">
        <is>
          <t>trem  espaco italia</t>
        </is>
      </c>
      <c r="BH49" s="2094" t="n"/>
      <c r="BI49" s="2010" t="n">
        <v>40438</v>
      </c>
      <c r="BJ49" s="2011" t="n">
        <v>40439</v>
      </c>
      <c r="BK49" s="2012">
        <f>BJ49-BI49</f>
        <v/>
      </c>
      <c r="BL49" s="2071" t="n"/>
      <c r="BM49" s="2073" t="n"/>
      <c r="BN49" s="2055" t="n"/>
      <c r="BO49" s="2056" t="n"/>
      <c r="BP49" s="1884" t="n"/>
      <c r="BQ49" s="2194" t="n"/>
      <c r="BR49" s="2191" t="n"/>
      <c r="BS49" s="2192" t="n"/>
      <c r="BT49" s="2193" t="n"/>
      <c r="BU49" s="1884" t="n"/>
      <c r="BV49" s="2103" t="inlineStr">
        <is>
          <t>C. Jordão</t>
        </is>
      </c>
      <c r="BW49" s="2103" t="inlineStr">
        <is>
          <t>Cong Acupuntura</t>
        </is>
      </c>
      <c r="BX49" s="2107" t="n">
        <v>37112</v>
      </c>
      <c r="BY49" s="2108" t="n">
        <v>37115</v>
      </c>
      <c r="BZ49" s="2109">
        <f>BY49-BX49</f>
        <v/>
      </c>
      <c r="CA49" s="2102" t="inlineStr">
        <is>
          <t>Bertioga</t>
        </is>
      </c>
      <c r="CB49" s="2103" t="n"/>
      <c r="CC49" s="2107" t="n">
        <v>37445</v>
      </c>
      <c r="CD49" s="2108" t="n">
        <v>37469</v>
      </c>
      <c r="CE49" s="1884">
        <f>CD49-CC49</f>
        <v/>
      </c>
      <c r="CF49" s="2169" t="inlineStr">
        <is>
          <t>Columbia</t>
        </is>
      </c>
      <c r="CG49" s="1995" t="inlineStr">
        <is>
          <t>My Place</t>
        </is>
      </c>
      <c r="CH49" s="2151" t="n">
        <v>37953</v>
      </c>
      <c r="CI49" s="2152" t="n">
        <v>37970</v>
      </c>
      <c r="CJ49" s="2109">
        <f>CI49-CH49</f>
        <v/>
      </c>
      <c r="CK49" s="2102" t="inlineStr">
        <is>
          <t>SP</t>
        </is>
      </c>
      <c r="CL49" s="2103" t="n"/>
      <c r="CM49" s="2107" t="n">
        <v>38347</v>
      </c>
      <c r="CN49" s="2108" t="n">
        <v>38352</v>
      </c>
      <c r="CO49" s="1884">
        <f>CN49-CM49</f>
        <v/>
      </c>
    </row>
    <row r="50">
      <c r="A50" s="1491" t="n"/>
      <c r="B50" s="1491" t="n"/>
      <c r="C50" s="1491" t="n"/>
      <c r="D50" s="1491" t="n"/>
      <c r="E50" s="1491" t="n"/>
      <c r="F50" s="1491" t="n"/>
      <c r="G50" s="1491" t="n"/>
      <c r="H50" s="1491" t="n"/>
      <c r="I50" s="1491" t="n"/>
      <c r="J50" s="1491" t="n"/>
      <c r="K50" s="1491" t="n"/>
      <c r="L50" s="1491" t="n"/>
      <c r="M50" s="1491" t="n"/>
      <c r="N50" s="1491" t="n"/>
      <c r="O50" s="1491" t="n"/>
      <c r="P50" s="1491" t="n"/>
      <c r="Q50" s="1491" t="n"/>
      <c r="R50" s="1491" t="n"/>
      <c r="S50" s="1491" t="n"/>
      <c r="T50" s="1491" t="n"/>
      <c r="U50" s="1491" t="n"/>
      <c r="V50" s="1491" t="n"/>
      <c r="W50" s="1491" t="n"/>
      <c r="X50" s="1491" t="n"/>
      <c r="Y50" s="1491" t="n"/>
      <c r="Z50" s="1491" t="n"/>
      <c r="AA50" s="1491" t="n"/>
      <c r="AB50" s="1491" t="n"/>
      <c r="AC50" s="1491" t="n"/>
      <c r="AD50" s="1491" t="n"/>
      <c r="AE50" s="1491" t="n"/>
      <c r="AF50" s="1491" t="n"/>
      <c r="AG50" s="1491" t="n"/>
      <c r="AH50" s="1491" t="n"/>
      <c r="AI50" s="1491" t="n"/>
      <c r="AJ50" s="1491" t="n"/>
      <c r="AK50" s="1491" t="n"/>
      <c r="AL50" s="1491" t="n"/>
      <c r="AM50" s="1491" t="n"/>
      <c r="AN50" s="1491" t="n"/>
      <c r="AO50" s="1491" t="n"/>
      <c r="AP50" s="1491" t="n"/>
      <c r="AQ50" s="1349" t="n"/>
      <c r="AR50" s="2135" t="inlineStr">
        <is>
          <t>Coimbra</t>
        </is>
      </c>
      <c r="AS50" s="2136" t="inlineStr">
        <is>
          <t>Serra da Estrela</t>
        </is>
      </c>
      <c r="AT50" s="2130" t="n">
        <v>36939</v>
      </c>
      <c r="AU50" s="2131" t="n">
        <v>36941</v>
      </c>
      <c r="AV50" s="1899">
        <f>AU50-AT50</f>
        <v/>
      </c>
      <c r="AW50" s="2148" t="inlineStr">
        <is>
          <t xml:space="preserve">Amsterdam </t>
        </is>
      </c>
      <c r="AX50" s="1985" t="n"/>
      <c r="AY50" s="1987" t="n">
        <v>36795</v>
      </c>
      <c r="AZ50" s="1988" t="n">
        <v>36798</v>
      </c>
      <c r="BA50" s="1884">
        <f>AZ50-AY50</f>
        <v/>
      </c>
      <c r="BB50" s="2053" t="n"/>
      <c r="BC50" s="2057" t="n"/>
      <c r="BD50" s="2055" t="n"/>
      <c r="BE50" s="2056" t="n"/>
      <c r="BF50" s="1884" t="n"/>
      <c r="BG50" s="2195" t="inlineStr">
        <is>
          <t>Roma</t>
        </is>
      </c>
      <c r="BH50" s="1895" t="n"/>
      <c r="BI50" s="1897" t="n">
        <v>37152</v>
      </c>
      <c r="BJ50" s="1898" t="n">
        <v>37156</v>
      </c>
      <c r="BK50" s="1874">
        <f>BJ50-BI50</f>
        <v/>
      </c>
      <c r="BL50" s="2053" t="n"/>
      <c r="BM50" s="2057" t="n"/>
      <c r="BN50" s="2055" t="n"/>
      <c r="BO50" s="2056" t="n"/>
      <c r="BP50" s="1884" t="n"/>
      <c r="BQ50" s="2190" t="n"/>
      <c r="BR50" s="2196" t="n"/>
      <c r="BS50" s="2192" t="n"/>
      <c r="BT50" s="2193" t="n"/>
      <c r="BU50" s="1884" t="n"/>
      <c r="BV50" s="2119" t="inlineStr">
        <is>
          <t>SP</t>
        </is>
      </c>
      <c r="BW50" s="2122" t="inlineStr">
        <is>
          <t>Niver</t>
        </is>
      </c>
      <c r="BX50" s="2123" t="n">
        <v>37115</v>
      </c>
      <c r="BY50" s="2124" t="n">
        <v>37141</v>
      </c>
      <c r="BZ50" s="2109">
        <f>BY50-BX50</f>
        <v/>
      </c>
      <c r="CA50" s="2118" t="inlineStr">
        <is>
          <t>SP</t>
        </is>
      </c>
      <c r="CB50" s="2119" t="n"/>
      <c r="CC50" s="2123" t="n">
        <v>37469</v>
      </c>
      <c r="CD50" s="2124" t="n">
        <v>37473</v>
      </c>
      <c r="CE50" s="1884">
        <f>CD50-CC50</f>
        <v/>
      </c>
      <c r="CF50" s="2115" t="inlineStr">
        <is>
          <t>London</t>
        </is>
      </c>
      <c r="CG50" s="1990" t="inlineStr">
        <is>
          <t>David</t>
        </is>
      </c>
      <c r="CH50" s="2116" t="n">
        <v>37970</v>
      </c>
      <c r="CI50" s="2117" t="n">
        <v>37978</v>
      </c>
      <c r="CJ50" s="2109">
        <f>CI50-CH50</f>
        <v/>
      </c>
      <c r="CK50" s="2102" t="inlineStr">
        <is>
          <t>Rio</t>
        </is>
      </c>
      <c r="CL50" s="2103" t="n"/>
      <c r="CM50" s="2107" t="n">
        <v>38352</v>
      </c>
      <c r="CN50" s="2108" t="n">
        <v>38356</v>
      </c>
      <c r="CO50" s="1884">
        <f>CN50-CM50</f>
        <v/>
      </c>
    </row>
    <row r="51">
      <c r="A51" s="1491" t="n"/>
      <c r="B51" s="1491" t="n"/>
      <c r="C51" s="1491" t="n"/>
      <c r="D51" s="1491" t="n"/>
      <c r="E51" s="1491" t="n"/>
      <c r="F51" s="1491" t="n"/>
      <c r="G51" s="1491" t="n"/>
      <c r="H51" s="1491" t="n"/>
      <c r="I51" s="1491" t="n"/>
      <c r="J51" s="1491" t="n"/>
      <c r="K51" s="1491" t="n"/>
      <c r="L51" s="1491" t="n"/>
      <c r="M51" s="1491" t="n"/>
      <c r="N51" s="1491" t="n"/>
      <c r="O51" s="1491" t="n"/>
      <c r="P51" s="1491" t="n"/>
      <c r="Q51" s="1491" t="n"/>
      <c r="R51" s="1491" t="n"/>
      <c r="S51" s="1491" t="n"/>
      <c r="T51" s="1491" t="n"/>
      <c r="U51" s="1491" t="n"/>
      <c r="V51" s="1491" t="n"/>
      <c r="W51" s="1491" t="n"/>
      <c r="X51" s="1491" t="n"/>
      <c r="Y51" s="1491" t="n"/>
      <c r="Z51" s="1491" t="n"/>
      <c r="AA51" s="1491" t="n"/>
      <c r="AB51" s="1491" t="n"/>
      <c r="AC51" s="1491" t="n"/>
      <c r="AD51" s="1491" t="n"/>
      <c r="AE51" s="1491" t="n"/>
      <c r="AF51" s="1491" t="n"/>
      <c r="AG51" s="1491" t="n"/>
      <c r="AH51" s="1491" t="n"/>
      <c r="AI51" s="1491" t="n"/>
      <c r="AJ51" s="1491" t="n"/>
      <c r="AK51" s="1491" t="n"/>
      <c r="AL51" s="1491" t="n"/>
      <c r="AM51" s="1491" t="n"/>
      <c r="AN51" s="1491" t="n"/>
      <c r="AO51" s="1491" t="n"/>
      <c r="AP51" s="1491" t="n"/>
      <c r="AQ51" s="1349" t="n"/>
      <c r="AR51" s="2135" t="inlineStr">
        <is>
          <t>Batalha, Alcobaça, Fátima</t>
        </is>
      </c>
      <c r="AS51" s="2136" t="n"/>
      <c r="AT51" s="2130" t="n"/>
      <c r="AU51" s="2131" t="n"/>
      <c r="AV51" s="1907" t="n"/>
      <c r="AW51" s="2132" t="inlineStr">
        <is>
          <t>Paris</t>
        </is>
      </c>
      <c r="AX51" s="1875" t="n"/>
      <c r="AY51" s="1877" t="n">
        <v>36798</v>
      </c>
      <c r="AZ51" s="1878" t="n">
        <v>36845</v>
      </c>
      <c r="BA51" s="1884">
        <f>AZ51-AY51</f>
        <v/>
      </c>
      <c r="BB51" s="2053" t="n"/>
      <c r="BC51" s="2057" t="n"/>
      <c r="BD51" s="2055" t="n"/>
      <c r="BE51" s="2056" t="n"/>
      <c r="BF51" s="1884" t="n"/>
      <c r="BG51" s="2197" t="inlineStr">
        <is>
          <t>Itália: interior</t>
        </is>
      </c>
      <c r="BH51" s="1895" t="n"/>
      <c r="BI51" s="1897" t="n">
        <v>37156</v>
      </c>
      <c r="BJ51" s="1898" t="n">
        <v>37161</v>
      </c>
      <c r="BK51" s="1874">
        <f>BJ51-BI51</f>
        <v/>
      </c>
      <c r="BL51" s="2053" t="n"/>
      <c r="BM51" s="2057" t="n"/>
      <c r="BN51" s="2055" t="n"/>
      <c r="BO51" s="2056" t="n"/>
      <c r="BP51" s="1884" t="n"/>
      <c r="BQ51" s="2190" t="n"/>
      <c r="BR51" s="2191" t="n"/>
      <c r="BS51" s="2192" t="n"/>
      <c r="BT51" s="2193" t="n"/>
      <c r="BU51" s="1884" t="n"/>
      <c r="BV51" s="2103" t="inlineStr">
        <is>
          <t>Paraty-RJ</t>
        </is>
      </c>
      <c r="BW51" s="2106" t="n"/>
      <c r="BX51" s="2107" t="n">
        <v>37141</v>
      </c>
      <c r="BY51" s="2108" t="n">
        <v>37143</v>
      </c>
      <c r="BZ51" s="2109">
        <f>BY51-BX51</f>
        <v/>
      </c>
      <c r="CA51" s="2102" t="inlineStr">
        <is>
          <t>Bertioga</t>
        </is>
      </c>
      <c r="CB51" s="2103" t="n"/>
      <c r="CC51" s="2107" t="n">
        <v>37473</v>
      </c>
      <c r="CD51" s="2108" t="n">
        <v>37478</v>
      </c>
      <c r="CE51" s="1884">
        <f>CD51-CC51</f>
        <v/>
      </c>
      <c r="CF51" s="2115" t="inlineStr">
        <is>
          <t>London</t>
        </is>
      </c>
      <c r="CG51" s="1990" t="inlineStr">
        <is>
          <t>Tufnell</t>
        </is>
      </c>
      <c r="CH51" s="2116" t="n">
        <v>37978</v>
      </c>
      <c r="CI51" s="2117" t="n">
        <v>37987</v>
      </c>
      <c r="CJ51" s="2198">
        <f>CI51-CH51</f>
        <v/>
      </c>
      <c r="CK51" s="2190" t="n"/>
      <c r="CL51" s="2191" t="n"/>
      <c r="CM51" s="2192" t="n"/>
      <c r="CN51" s="2193" t="n"/>
      <c r="CO51" s="1884" t="n"/>
    </row>
    <row r="52">
      <c r="A52" s="1491" t="n"/>
      <c r="B52" s="1491" t="n"/>
      <c r="C52" s="1491" t="n"/>
      <c r="D52" s="1491" t="n"/>
      <c r="E52" s="1491" t="n"/>
      <c r="F52" s="1491" t="n"/>
      <c r="G52" s="1491" t="n"/>
      <c r="H52" s="1491" t="n"/>
      <c r="I52" s="1491" t="n"/>
      <c r="J52" s="1491" t="n"/>
      <c r="K52" s="1491" t="n"/>
      <c r="L52" s="1491" t="n"/>
      <c r="M52" s="1491" t="n"/>
      <c r="N52" s="1491" t="n"/>
      <c r="O52" s="1491" t="n"/>
      <c r="P52" s="1491" t="n"/>
      <c r="Q52" s="1491" t="n"/>
      <c r="R52" s="1491" t="n"/>
      <c r="S52" s="1491" t="n"/>
      <c r="T52" s="1491" t="n"/>
      <c r="U52" s="1491" t="n"/>
      <c r="V52" s="1491" t="n"/>
      <c r="W52" s="1491" t="n"/>
      <c r="X52" s="1491" t="n"/>
      <c r="Y52" s="1491" t="n"/>
      <c r="Z52" s="1491" t="n"/>
      <c r="AA52" s="1491" t="n"/>
      <c r="AB52" s="1491" t="n"/>
      <c r="AC52" s="1491" t="n"/>
      <c r="AD52" s="1491" t="n"/>
      <c r="AE52" s="1491" t="n"/>
      <c r="AF52" s="1491" t="n"/>
      <c r="AG52" s="1491" t="n"/>
      <c r="AH52" s="1491" t="n"/>
      <c r="AI52" s="1491" t="n"/>
      <c r="AJ52" s="1491" t="n"/>
      <c r="AK52" s="1491" t="n"/>
      <c r="AL52" s="1491" t="n"/>
      <c r="AM52" s="1491" t="n"/>
      <c r="AN52" s="1491" t="n"/>
      <c r="AO52" s="1491" t="n"/>
      <c r="AP52" s="1491" t="n"/>
      <c r="AQ52" s="1349" t="n"/>
      <c r="AR52" s="1870" t="inlineStr">
        <is>
          <t>Lisboa</t>
        </is>
      </c>
      <c r="AS52" s="1871" t="n"/>
      <c r="AT52" s="2130" t="n">
        <v>36941</v>
      </c>
      <c r="AU52" s="2131" t="n">
        <v>36943</v>
      </c>
      <c r="AV52" s="1884">
        <f>AU52-AT52</f>
        <v/>
      </c>
      <c r="AW52" s="2137" t="inlineStr">
        <is>
          <t xml:space="preserve">London </t>
        </is>
      </c>
      <c r="AX52" s="1989" t="n"/>
      <c r="AY52" s="1991" t="n">
        <v>36845</v>
      </c>
      <c r="AZ52" s="1992" t="n">
        <v>36851</v>
      </c>
      <c r="BA52" s="1884">
        <f>AZ52-AY52</f>
        <v/>
      </c>
      <c r="BB52" s="2053" t="n"/>
      <c r="BC52" s="2057" t="n"/>
      <c r="BD52" s="2055" t="n"/>
      <c r="BE52" s="2056" t="n"/>
      <c r="BF52" s="1884" t="n"/>
      <c r="BG52" s="2138" t="inlineStr">
        <is>
          <t>trem  espaco italia</t>
        </is>
      </c>
      <c r="BH52" s="2094" t="n"/>
      <c r="BI52" s="2010" t="n">
        <v>40448</v>
      </c>
      <c r="BJ52" s="2011" t="n">
        <v>40449</v>
      </c>
      <c r="BK52" s="2012">
        <f>BJ52-BI52</f>
        <v/>
      </c>
      <c r="BL52" s="2053" t="n"/>
      <c r="BM52" s="2057" t="n"/>
      <c r="BN52" s="2055" t="n"/>
      <c r="BO52" s="2056" t="n"/>
      <c r="BP52" s="1884" t="n"/>
      <c r="BQ52" s="2190" t="n"/>
      <c r="BR52" s="2191" t="n"/>
      <c r="BS52" s="2192" t="n"/>
      <c r="BT52" s="2193" t="n"/>
      <c r="BU52" s="1884" t="n"/>
      <c r="BV52" s="2119" t="inlineStr">
        <is>
          <t>SP</t>
        </is>
      </c>
      <c r="BW52" s="2122" t="inlineStr">
        <is>
          <t>Brotas</t>
        </is>
      </c>
      <c r="BX52" s="2123" t="n">
        <v>37143</v>
      </c>
      <c r="BY52" s="2124" t="n">
        <v>37196</v>
      </c>
      <c r="BZ52" s="2109">
        <f>BY52-BX52</f>
        <v/>
      </c>
      <c r="CA52" s="2118" t="inlineStr">
        <is>
          <t>SP</t>
        </is>
      </c>
      <c r="CB52" s="2119" t="n"/>
      <c r="CC52" s="2123" t="n">
        <v>37478</v>
      </c>
      <c r="CD52" s="2124" t="n">
        <v>37486</v>
      </c>
      <c r="CE52" s="1884">
        <f>CD52-CC52</f>
        <v/>
      </c>
      <c r="CF52" s="2191" t="n"/>
      <c r="CG52" s="2191" t="n"/>
      <c r="CH52" s="2192" t="n"/>
      <c r="CI52" s="2193" t="n"/>
      <c r="CJ52" s="2109" t="n"/>
      <c r="CK52" s="2190" t="n"/>
      <c r="CL52" s="2191" t="n"/>
      <c r="CM52" s="2192" t="n"/>
      <c r="CN52" s="2193" t="n"/>
      <c r="CO52" s="1884" t="n"/>
    </row>
    <row r="53">
      <c r="A53" s="1491" t="n"/>
      <c r="B53" s="1491" t="n"/>
      <c r="C53" s="1491" t="n"/>
      <c r="D53" s="1491" t="n"/>
      <c r="E53" s="1491" t="n"/>
      <c r="F53" s="1491" t="n"/>
      <c r="G53" s="1491" t="n"/>
      <c r="H53" s="1491" t="n"/>
      <c r="I53" s="1491" t="n"/>
      <c r="J53" s="1491" t="n"/>
      <c r="K53" s="1491" t="n"/>
      <c r="L53" s="1491" t="n"/>
      <c r="M53" s="1491" t="n"/>
      <c r="N53" s="1491" t="n"/>
      <c r="O53" s="1491" t="n"/>
      <c r="P53" s="1491" t="n"/>
      <c r="Q53" s="1491" t="n"/>
      <c r="R53" s="1491" t="n"/>
      <c r="S53" s="1491" t="n"/>
      <c r="T53" s="1491" t="n"/>
      <c r="U53" s="1491" t="n"/>
      <c r="V53" s="1491" t="n"/>
      <c r="W53" s="1491" t="n"/>
      <c r="X53" s="1491" t="n"/>
      <c r="Y53" s="1491" t="n"/>
      <c r="Z53" s="1491" t="n"/>
      <c r="AA53" s="1491" t="n"/>
      <c r="AB53" s="1491" t="n"/>
      <c r="AC53" s="1491" t="n"/>
      <c r="AD53" s="1491" t="n"/>
      <c r="AE53" s="1491" t="n"/>
      <c r="AF53" s="1491" t="n"/>
      <c r="AG53" s="1491" t="n"/>
      <c r="AH53" s="1491" t="n"/>
      <c r="AI53" s="1491" t="n"/>
      <c r="AJ53" s="1491" t="n"/>
      <c r="AK53" s="1491" t="n"/>
      <c r="AL53" s="1491" t="n"/>
      <c r="AM53" s="1491" t="n"/>
      <c r="AN53" s="1491" t="n"/>
      <c r="AO53" s="1491" t="n"/>
      <c r="AP53" s="1491" t="n"/>
      <c r="AQ53" s="1349" t="n"/>
      <c r="AR53" s="2008" t="inlineStr">
        <is>
          <t>espaco aereo portugues</t>
        </is>
      </c>
      <c r="AS53" s="2094" t="n"/>
      <c r="AT53" s="2199" t="n">
        <v>40230</v>
      </c>
      <c r="AU53" s="2200" t="n">
        <v>40231</v>
      </c>
      <c r="AV53" s="2095">
        <f>AU53-AT53</f>
        <v/>
      </c>
      <c r="AW53" s="2008" t="inlineStr">
        <is>
          <t>espaco aéreo "ingles"</t>
        </is>
      </c>
      <c r="AX53" s="2094" t="n"/>
      <c r="AY53" s="2010" t="n">
        <v>40503</v>
      </c>
      <c r="AZ53" s="2011" t="n">
        <v>40504</v>
      </c>
      <c r="BA53" s="2095">
        <f>AZ53-AY53</f>
        <v/>
      </c>
      <c r="BB53" s="2053" t="n"/>
      <c r="BC53" s="2057" t="n"/>
      <c r="BD53" s="2055" t="n"/>
      <c r="BE53" s="2056" t="n"/>
      <c r="BF53" s="1884" t="n"/>
      <c r="BG53" s="2132" t="inlineStr">
        <is>
          <t>Paris</t>
        </is>
      </c>
      <c r="BH53" s="1875" t="n"/>
      <c r="BI53" s="1877" t="n">
        <v>37162</v>
      </c>
      <c r="BJ53" s="1878" t="n">
        <v>37165</v>
      </c>
      <c r="BK53" s="1874">
        <f>BJ53-BI53</f>
        <v/>
      </c>
      <c r="BL53" s="2053" t="n"/>
      <c r="BM53" s="2057" t="n"/>
      <c r="BN53" s="2055" t="n"/>
      <c r="BO53" s="2056" t="n"/>
      <c r="BP53" s="1884" t="n"/>
      <c r="BQ53" s="2190" t="n"/>
      <c r="BR53" s="2191" t="n"/>
      <c r="BS53" s="2192" t="n"/>
      <c r="BT53" s="2193" t="n"/>
      <c r="BU53" s="1884" t="n"/>
      <c r="BV53" s="2103" t="inlineStr">
        <is>
          <t>Ubatuba</t>
        </is>
      </c>
      <c r="BW53" s="2106" t="n"/>
      <c r="BX53" s="2107" t="n">
        <v>37196</v>
      </c>
      <c r="BY53" s="2108" t="n">
        <v>37199</v>
      </c>
      <c r="BZ53" s="2109">
        <f>BY53-BX53</f>
        <v/>
      </c>
      <c r="CA53" s="2102" t="inlineStr">
        <is>
          <t>Bertioga</t>
        </is>
      </c>
      <c r="CB53" s="2103" t="n"/>
      <c r="CC53" s="2107" t="n">
        <v>37487</v>
      </c>
      <c r="CD53" s="2108" t="n">
        <v>37491</v>
      </c>
      <c r="CE53" s="1884">
        <f>CD53-CC53</f>
        <v/>
      </c>
      <c r="CF53" s="2191" t="n"/>
      <c r="CG53" s="2191" t="n"/>
      <c r="CH53" s="2192" t="n"/>
      <c r="CI53" s="2193" t="n"/>
      <c r="CJ53" s="2109" t="n"/>
      <c r="CK53" s="2190" t="n"/>
      <c r="CL53" s="2191" t="n"/>
      <c r="CM53" s="2192" t="n"/>
      <c r="CN53" s="2193" t="n"/>
      <c r="CO53" s="1884" t="n"/>
    </row>
    <row r="54">
      <c r="A54" s="1491" t="n"/>
      <c r="B54" s="1491" t="n"/>
      <c r="C54" s="1491" t="n"/>
      <c r="D54" s="1491" t="n"/>
      <c r="E54" s="1491" t="n"/>
      <c r="F54" s="1491" t="n"/>
      <c r="G54" s="1491" t="n"/>
      <c r="H54" s="1491" t="n"/>
      <c r="I54" s="1491" t="n"/>
      <c r="J54" s="1491" t="n"/>
      <c r="K54" s="1491" t="n"/>
      <c r="L54" s="1491" t="n"/>
      <c r="M54" s="1491" t="n"/>
      <c r="N54" s="1491" t="n"/>
      <c r="O54" s="1491" t="n"/>
      <c r="P54" s="1491" t="n"/>
      <c r="Q54" s="1491" t="n"/>
      <c r="R54" s="1491" t="n"/>
      <c r="S54" s="1491" t="n"/>
      <c r="T54" s="1491" t="n"/>
      <c r="U54" s="1491" t="n"/>
      <c r="V54" s="1491" t="n"/>
      <c r="W54" s="1491" t="n"/>
      <c r="X54" s="1491" t="n"/>
      <c r="Y54" s="1491" t="n"/>
      <c r="Z54" s="1491" t="n"/>
      <c r="AA54" s="1491" t="n"/>
      <c r="AB54" s="1491" t="n"/>
      <c r="AC54" s="1491" t="n"/>
      <c r="AD54" s="1491" t="n"/>
      <c r="AE54" s="1491" t="n"/>
      <c r="AF54" s="1491" t="n"/>
      <c r="AG54" s="1491" t="n"/>
      <c r="AH54" s="1491" t="n"/>
      <c r="AI54" s="1491" t="n"/>
      <c r="AJ54" s="1491" t="n"/>
      <c r="AK54" s="1491" t="n"/>
      <c r="AL54" s="1491" t="n"/>
      <c r="AM54" s="1491" t="n"/>
      <c r="AN54" s="1491" t="n"/>
      <c r="AO54" s="1491" t="n"/>
      <c r="AP54" s="1491" t="n"/>
      <c r="AQ54" s="1349" t="n"/>
      <c r="AR54" s="1865" t="inlineStr">
        <is>
          <t>SSA</t>
        </is>
      </c>
      <c r="AS54" s="1866" t="n"/>
      <c r="AT54" s="2100" t="n">
        <v>36944</v>
      </c>
      <c r="AU54" s="2101" t="n">
        <v>36951</v>
      </c>
      <c r="AV54" s="2077">
        <f>AU54-AT54</f>
        <v/>
      </c>
      <c r="AW54" s="1865" t="inlineStr">
        <is>
          <t>SP</t>
        </is>
      </c>
      <c r="AX54" s="2076" t="n"/>
      <c r="AY54" s="1867" t="n">
        <v>36852</v>
      </c>
      <c r="AZ54" s="1868" t="n">
        <v>36858</v>
      </c>
      <c r="BA54" s="2077">
        <f>AZ54-AY54</f>
        <v/>
      </c>
      <c r="BB54" s="2071" t="n"/>
      <c r="BC54" s="2073" t="n"/>
      <c r="BD54" s="2055" t="n"/>
      <c r="BE54" s="2056" t="n"/>
      <c r="BF54" s="1884" t="n"/>
      <c r="BG54" s="2132" t="inlineStr">
        <is>
          <t>Giverny (Monet) —&gt; Canal da Mancha</t>
        </is>
      </c>
      <c r="BH54" s="1875" t="n"/>
      <c r="BI54" s="1877" t="n"/>
      <c r="BJ54" s="1878" t="n"/>
      <c r="BK54" s="2189" t="inlineStr">
        <is>
          <t>-</t>
        </is>
      </c>
      <c r="BL54" s="2071" t="n"/>
      <c r="BM54" s="2073" t="n"/>
      <c r="BN54" s="2055" t="n"/>
      <c r="BO54" s="2056" t="n"/>
      <c r="BP54" s="1884" t="n"/>
      <c r="BQ54" s="2190" t="n"/>
      <c r="BR54" s="2191" t="n"/>
      <c r="BS54" s="2192" t="n"/>
      <c r="BT54" s="2193" t="n"/>
      <c r="BU54" s="1884" t="n"/>
      <c r="BV54" s="2119" t="inlineStr">
        <is>
          <t>SP</t>
        </is>
      </c>
      <c r="BW54" s="2122" t="inlineStr">
        <is>
          <t>Tópicos</t>
        </is>
      </c>
      <c r="BX54" s="2123" t="n">
        <v>37199</v>
      </c>
      <c r="BY54" s="2124" t="n">
        <v>37225</v>
      </c>
      <c r="BZ54" s="2109">
        <f>BY54-BX54</f>
        <v/>
      </c>
      <c r="CA54" s="2102" t="inlineStr">
        <is>
          <t>Guaecá-S.P</t>
        </is>
      </c>
      <c r="CB54" s="2103" t="n"/>
      <c r="CC54" s="2107" t="n">
        <v>37491</v>
      </c>
      <c r="CD54" s="2108" t="n">
        <v>37493</v>
      </c>
      <c r="CE54" s="1884">
        <f>CD54-CC54</f>
        <v/>
      </c>
      <c r="CF54" s="2191" t="n"/>
      <c r="CG54" s="2191" t="n"/>
      <c r="CH54" s="2192" t="n"/>
      <c r="CI54" s="2193" t="n"/>
      <c r="CJ54" s="2109" t="n"/>
      <c r="CK54" s="2190" t="n"/>
      <c r="CL54" s="2191" t="n"/>
      <c r="CM54" s="2192" t="n"/>
      <c r="CN54" s="2193" t="n"/>
      <c r="CO54" s="1884" t="n"/>
    </row>
    <row r="55">
      <c r="A55" s="1491" t="n"/>
      <c r="B55" s="1491" t="n"/>
      <c r="C55" s="1491" t="n"/>
      <c r="D55" s="1491" t="n"/>
      <c r="E55" s="1491" t="n"/>
      <c r="F55" s="1491" t="n"/>
      <c r="G55" s="1491" t="n"/>
      <c r="H55" s="1491" t="n"/>
      <c r="I55" s="1491" t="n"/>
      <c r="J55" s="1491" t="n"/>
      <c r="K55" s="1491" t="n"/>
      <c r="L55" s="1491" t="n"/>
      <c r="M55" s="1491" t="n"/>
      <c r="N55" s="1491" t="n"/>
      <c r="O55" s="1491" t="n"/>
      <c r="P55" s="1491" t="n"/>
      <c r="Q55" s="1491" t="n"/>
      <c r="R55" s="1491" t="n"/>
      <c r="S55" s="1491" t="n"/>
      <c r="T55" s="1491" t="n"/>
      <c r="U55" s="1491" t="n"/>
      <c r="V55" s="1491" t="n"/>
      <c r="W55" s="1491" t="n"/>
      <c r="X55" s="1491" t="n"/>
      <c r="Y55" s="1491" t="n"/>
      <c r="Z55" s="1491" t="n"/>
      <c r="AA55" s="1491" t="n"/>
      <c r="AB55" s="1491" t="n"/>
      <c r="AC55" s="1491" t="n"/>
      <c r="AD55" s="1491" t="n"/>
      <c r="AE55" s="1491" t="n"/>
      <c r="AF55" s="1491" t="n"/>
      <c r="AG55" s="1491" t="n"/>
      <c r="AH55" s="1491" t="n"/>
      <c r="AI55" s="1491" t="n"/>
      <c r="AJ55" s="1491" t="n"/>
      <c r="AK55" s="1491" t="n"/>
      <c r="AL55" s="1491" t="n"/>
      <c r="AM55" s="1491" t="n"/>
      <c r="AN55" s="1491" t="n"/>
      <c r="AO55" s="1491" t="n"/>
      <c r="AP55" s="1491" t="n"/>
      <c r="AQ55" s="1349" t="n"/>
      <c r="AR55" s="1865" t="inlineStr">
        <is>
          <t>SP</t>
        </is>
      </c>
      <c r="AS55" s="1866" t="n"/>
      <c r="AT55" s="2100" t="n">
        <v>36951</v>
      </c>
      <c r="AU55" s="2101" t="n">
        <v>37064</v>
      </c>
      <c r="AV55" s="2092">
        <f>AU55-AT55</f>
        <v/>
      </c>
      <c r="AW55" s="1865" t="inlineStr">
        <is>
          <t>SSA</t>
        </is>
      </c>
      <c r="AX55" s="1866" t="n"/>
      <c r="AY55" s="1867" t="n">
        <v>35397</v>
      </c>
      <c r="AZ55" s="1868" t="n">
        <v>35430</v>
      </c>
      <c r="BA55" s="2077">
        <f>AZ55-AY55</f>
        <v/>
      </c>
      <c r="BB55" s="2053" t="n"/>
      <c r="BC55" s="2057" t="n"/>
      <c r="BD55" s="2055" t="n"/>
      <c r="BE55" s="2056" t="n"/>
      <c r="BF55" s="1884" t="n"/>
      <c r="BG55" s="2137" t="inlineStr">
        <is>
          <t>Canterbury</t>
        </is>
      </c>
      <c r="BH55" s="1989" t="n"/>
      <c r="BI55" s="1991" t="n">
        <v>37165</v>
      </c>
      <c r="BJ55" s="1992" t="inlineStr">
        <is>
          <t>?</t>
        </is>
      </c>
      <c r="BK55" s="2201" t="inlineStr">
        <is>
          <t>???</t>
        </is>
      </c>
      <c r="BL55" s="2053" t="n"/>
      <c r="BM55" s="2057" t="n"/>
      <c r="BN55" s="2055" t="n"/>
      <c r="BO55" s="2056" t="n"/>
      <c r="BP55" s="1884" t="n"/>
      <c r="BQ55" s="2190" t="n"/>
      <c r="BR55" s="2191" t="n"/>
      <c r="BS55" s="2192" t="n"/>
      <c r="BT55" s="2193" t="n"/>
      <c r="BU55" s="1884" t="n"/>
      <c r="BV55" s="2103" t="inlineStr">
        <is>
          <t>SSA</t>
        </is>
      </c>
      <c r="BW55" s="2106" t="n"/>
      <c r="BX55" s="2107" t="n">
        <v>37225</v>
      </c>
      <c r="BY55" s="2108" t="n">
        <v>37235</v>
      </c>
      <c r="BZ55" s="2109">
        <f>BY55-BX55</f>
        <v/>
      </c>
      <c r="CA55" s="2102" t="inlineStr">
        <is>
          <t>Bertioga</t>
        </is>
      </c>
      <c r="CB55" s="2103" t="n"/>
      <c r="CC55" s="2107" t="n">
        <v>37493</v>
      </c>
      <c r="CD55" s="2108" t="n">
        <v>37497</v>
      </c>
      <c r="CE55" s="1884">
        <f>CD55-CC55</f>
        <v/>
      </c>
      <c r="CF55" s="2191" t="n"/>
      <c r="CG55" s="2191" t="n"/>
      <c r="CH55" s="2192" t="n"/>
      <c r="CI55" s="2193" t="n"/>
      <c r="CJ55" s="2109" t="n"/>
      <c r="CK55" s="2190" t="n"/>
      <c r="CL55" s="2191" t="n"/>
      <c r="CM55" s="2192" t="n"/>
      <c r="CN55" s="2193" t="n"/>
      <c r="CO55" s="1884" t="n"/>
    </row>
    <row r="56">
      <c r="A56" s="1491" t="n"/>
      <c r="B56" s="1491" t="n"/>
      <c r="C56" s="1491" t="n"/>
      <c r="D56" s="1491" t="n"/>
      <c r="E56" s="1491" t="n"/>
      <c r="F56" s="1491" t="n"/>
      <c r="G56" s="1491" t="n"/>
      <c r="H56" s="1491" t="n"/>
      <c r="I56" s="1491" t="n"/>
      <c r="J56" s="1491" t="n"/>
      <c r="K56" s="1491" t="n"/>
      <c r="L56" s="1491" t="n"/>
      <c r="M56" s="1491" t="n"/>
      <c r="N56" s="1491" t="n"/>
      <c r="O56" s="1491" t="n"/>
      <c r="P56" s="1491" t="n"/>
      <c r="Q56" s="1491" t="n"/>
      <c r="R56" s="1491" t="n"/>
      <c r="S56" s="1491" t="n"/>
      <c r="T56" s="1491" t="n"/>
      <c r="U56" s="1491" t="n"/>
      <c r="V56" s="1491" t="n"/>
      <c r="W56" s="1491" t="n"/>
      <c r="X56" s="1491" t="n"/>
      <c r="Y56" s="1491" t="n"/>
      <c r="Z56" s="1491" t="n"/>
      <c r="AA56" s="1491" t="n"/>
      <c r="AB56" s="1491" t="n"/>
      <c r="AC56" s="1491" t="n"/>
      <c r="AD56" s="1491" t="n"/>
      <c r="AE56" s="1491" t="n"/>
      <c r="AF56" s="1491" t="n"/>
      <c r="AG56" s="1491" t="n"/>
      <c r="AH56" s="1491" t="n"/>
      <c r="AI56" s="1491" t="n"/>
      <c r="AJ56" s="1491" t="n"/>
      <c r="AK56" s="1491" t="n"/>
      <c r="AL56" s="1491" t="n"/>
      <c r="AM56" s="1491" t="n"/>
      <c r="AN56" s="1491" t="n"/>
      <c r="AO56" s="1491" t="n"/>
      <c r="AP56" s="1491" t="n"/>
      <c r="AQ56" s="1349" t="n"/>
      <c r="AR56" s="1865" t="inlineStr">
        <is>
          <t>SSA</t>
        </is>
      </c>
      <c r="AS56" s="1866" t="n"/>
      <c r="AT56" s="2100" t="n">
        <v>37064</v>
      </c>
      <c r="AU56" s="2101" t="n">
        <v>37098</v>
      </c>
      <c r="AV56" s="2077">
        <f>AU56-AT56</f>
        <v/>
      </c>
      <c r="AW56" s="2053" t="n"/>
      <c r="AX56" s="2057" t="n"/>
      <c r="AY56" s="2055" t="n"/>
      <c r="AZ56" s="2056" t="n"/>
      <c r="BA56" s="1884" t="n"/>
      <c r="BB56" s="2053" t="n"/>
      <c r="BC56" s="2057" t="n"/>
      <c r="BD56" s="2055" t="n"/>
      <c r="BE56" s="2056" t="n"/>
      <c r="BF56" s="1884" t="n"/>
      <c r="BG56" s="2137" t="inlineStr">
        <is>
          <t>London</t>
        </is>
      </c>
      <c r="BH56" s="1989" t="n"/>
      <c r="BI56" s="1991" t="n">
        <v>40452</v>
      </c>
      <c r="BJ56" s="1992" t="n">
        <v>40458</v>
      </c>
      <c r="BK56" s="2201">
        <f>BJ56-BI56</f>
        <v/>
      </c>
      <c r="BL56" s="2053" t="n"/>
      <c r="BM56" s="2057" t="n"/>
      <c r="BN56" s="2055" t="n"/>
      <c r="BO56" s="2056" t="n"/>
      <c r="BP56" s="1884" t="n"/>
      <c r="BQ56" s="2190" t="n"/>
      <c r="BR56" s="2191" t="n"/>
      <c r="BS56" s="2192" t="n"/>
      <c r="BT56" s="2193" t="n"/>
      <c r="BU56" s="1884" t="n"/>
      <c r="BV56" s="2119" t="inlineStr">
        <is>
          <t>SP</t>
        </is>
      </c>
      <c r="BW56" s="2122" t="inlineStr">
        <is>
          <t>Tópicos</t>
        </is>
      </c>
      <c r="BX56" s="2123" t="n">
        <v>37235</v>
      </c>
      <c r="BY56" s="2124" t="n">
        <v>37253</v>
      </c>
      <c r="BZ56" s="2109">
        <f>BY56-BX56</f>
        <v/>
      </c>
      <c r="CA56" s="2118" t="inlineStr">
        <is>
          <t>SP</t>
        </is>
      </c>
      <c r="CB56" s="2119" t="n"/>
      <c r="CC56" s="2123" t="n">
        <v>37497</v>
      </c>
      <c r="CD56" s="2124" t="n">
        <v>37501</v>
      </c>
      <c r="CE56" s="1884">
        <f>CD56-CC56</f>
        <v/>
      </c>
      <c r="CF56" s="2191" t="n"/>
      <c r="CG56" s="2191" t="n"/>
      <c r="CH56" s="2192" t="n"/>
      <c r="CI56" s="2193" t="n"/>
      <c r="CJ56" s="2109" t="n"/>
      <c r="CK56" s="2190" t="n"/>
      <c r="CL56" s="2191" t="n"/>
      <c r="CM56" s="2192" t="n"/>
      <c r="CN56" s="2193" t="n"/>
      <c r="CO56" s="1884" t="n"/>
    </row>
    <row r="57">
      <c r="A57" s="1491" t="n"/>
      <c r="B57" s="1491" t="n"/>
      <c r="C57" s="1491" t="n"/>
      <c r="D57" s="1491" t="n"/>
      <c r="E57" s="1491" t="n"/>
      <c r="F57" s="1491" t="n"/>
      <c r="G57" s="1491" t="n"/>
      <c r="H57" s="1491" t="n"/>
      <c r="I57" s="1491" t="n"/>
      <c r="J57" s="1491" t="n"/>
      <c r="K57" s="1491" t="n"/>
      <c r="L57" s="1491" t="n"/>
      <c r="M57" s="1491" t="n"/>
      <c r="N57" s="1491" t="n"/>
      <c r="O57" s="1491" t="n"/>
      <c r="P57" s="1491" t="n"/>
      <c r="Q57" s="1491" t="n"/>
      <c r="R57" s="1491" t="n"/>
      <c r="S57" s="1491" t="n"/>
      <c r="T57" s="1491" t="n"/>
      <c r="U57" s="1491" t="n"/>
      <c r="V57" s="1491" t="n"/>
      <c r="W57" s="1491" t="n"/>
      <c r="X57" s="1491" t="n"/>
      <c r="Y57" s="1491" t="n"/>
      <c r="Z57" s="1491" t="n"/>
      <c r="AA57" s="1491" t="n"/>
      <c r="AB57" s="1491" t="n"/>
      <c r="AC57" s="1491" t="n"/>
      <c r="AD57" s="1491" t="n"/>
      <c r="AE57" s="1491" t="n"/>
      <c r="AF57" s="1491" t="n"/>
      <c r="AG57" s="1491" t="n"/>
      <c r="AH57" s="1491" t="n"/>
      <c r="AI57" s="1491" t="n"/>
      <c r="AJ57" s="1491" t="n"/>
      <c r="AK57" s="1491" t="n"/>
      <c r="AL57" s="1491" t="n"/>
      <c r="AM57" s="1491" t="n"/>
      <c r="AN57" s="1491" t="n"/>
      <c r="AO57" s="1491" t="n"/>
      <c r="AP57" s="1491" t="n"/>
      <c r="AQ57" s="1349" t="n"/>
      <c r="AR57" s="1865" t="inlineStr">
        <is>
          <t>SP</t>
        </is>
      </c>
      <c r="AS57" s="1866" t="n"/>
      <c r="AT57" s="2100" t="n">
        <v>37098</v>
      </c>
      <c r="AU57" s="2101" t="n">
        <v>37238</v>
      </c>
      <c r="AV57" s="2092">
        <f>AU57-AT57</f>
        <v/>
      </c>
      <c r="AW57" s="2053" t="n"/>
      <c r="AX57" s="2057" t="n"/>
      <c r="AY57" s="2055" t="n"/>
      <c r="AZ57" s="2056" t="n"/>
      <c r="BA57" s="1884" t="n"/>
      <c r="BB57" s="2053" t="n"/>
      <c r="BC57" s="2057" t="n"/>
      <c r="BD57" s="2055" t="n"/>
      <c r="BE57" s="2056" t="n"/>
      <c r="BF57" s="1884" t="n"/>
      <c r="BG57" s="2132" t="inlineStr">
        <is>
          <t>Orléans, Loire, Tours</t>
        </is>
      </c>
      <c r="BH57" s="1875" t="n"/>
      <c r="BI57" s="1877" t="n">
        <v>40458</v>
      </c>
      <c r="BJ57" s="1878" t="n">
        <v>40461</v>
      </c>
      <c r="BK57" s="1874">
        <f>BJ57-BI57</f>
        <v/>
      </c>
      <c r="BL57" s="2053" t="n"/>
      <c r="BM57" s="2057" t="n"/>
      <c r="BN57" s="2055" t="n"/>
      <c r="BO57" s="2056" t="n"/>
      <c r="BP57" s="1884" t="n"/>
      <c r="BQ57" s="2190" t="n"/>
      <c r="BR57" s="2191" t="n"/>
      <c r="BS57" s="2192" t="n"/>
      <c r="BT57" s="2193" t="n"/>
      <c r="BU57" s="1884" t="n"/>
      <c r="BV57" s="2103" t="inlineStr">
        <is>
          <t>Camboriú-SC</t>
        </is>
      </c>
      <c r="BW57" s="2106" t="n"/>
      <c r="BX57" s="2107" t="n">
        <v>37253</v>
      </c>
      <c r="BY57" s="2108" t="n">
        <v>37258</v>
      </c>
      <c r="BZ57" s="2109">
        <f>BY57-BX57</f>
        <v/>
      </c>
      <c r="CA57" s="2102" t="inlineStr">
        <is>
          <t>Bertioga</t>
        </is>
      </c>
      <c r="CB57" s="2103" t="n"/>
      <c r="CC57" s="2107" t="n">
        <v>37501</v>
      </c>
      <c r="CD57" s="2108" t="n">
        <v>37504</v>
      </c>
      <c r="CE57" s="1884">
        <f>CD57-CC57</f>
        <v/>
      </c>
      <c r="CF57" s="2191" t="n"/>
      <c r="CG57" s="2191" t="n"/>
      <c r="CH57" s="2192" t="n"/>
      <c r="CI57" s="2193" t="n"/>
      <c r="CJ57" s="2109" t="n"/>
      <c r="CK57" s="2190" t="n"/>
      <c r="CL57" s="2191" t="n"/>
      <c r="CM57" s="2192" t="n"/>
      <c r="CN57" s="2193" t="n"/>
      <c r="CO57" s="1884" t="n"/>
    </row>
    <row r="58">
      <c r="A58" s="1491" t="n"/>
      <c r="B58" s="1491" t="n"/>
      <c r="C58" s="1491" t="n"/>
      <c r="D58" s="1491" t="n"/>
      <c r="E58" s="1491" t="n"/>
      <c r="F58" s="1491" t="n"/>
      <c r="G58" s="1491" t="n"/>
      <c r="H58" s="1491" t="n"/>
      <c r="I58" s="1491" t="n"/>
      <c r="J58" s="1491" t="n"/>
      <c r="K58" s="1491" t="n"/>
      <c r="L58" s="1491" t="n"/>
      <c r="M58" s="1491" t="n"/>
      <c r="N58" s="1491" t="n"/>
      <c r="O58" s="1491" t="n"/>
      <c r="P58" s="1491" t="n"/>
      <c r="Q58" s="1491" t="n"/>
      <c r="R58" s="1491" t="n"/>
      <c r="S58" s="1491" t="n"/>
      <c r="T58" s="1491" t="n"/>
      <c r="U58" s="1491" t="n"/>
      <c r="V58" s="1491" t="n"/>
      <c r="W58" s="1491" t="n"/>
      <c r="X58" s="1491" t="n"/>
      <c r="Y58" s="1491" t="n"/>
      <c r="Z58" s="1491" t="n"/>
      <c r="AA58" s="1491" t="n"/>
      <c r="AB58" s="1491" t="n"/>
      <c r="AC58" s="1491" t="n"/>
      <c r="AD58" s="1491" t="n"/>
      <c r="AE58" s="1491" t="n"/>
      <c r="AF58" s="1491" t="n"/>
      <c r="AG58" s="1491" t="n"/>
      <c r="AH58" s="1491" t="n"/>
      <c r="AI58" s="1491" t="n"/>
      <c r="AJ58" s="1491" t="n"/>
      <c r="AK58" s="1491" t="n"/>
      <c r="AL58" s="1491" t="n"/>
      <c r="AM58" s="1491" t="n"/>
      <c r="AN58" s="1491" t="n"/>
      <c r="AO58" s="1491" t="n"/>
      <c r="AP58" s="1491" t="n"/>
      <c r="AQ58" s="1349" t="n"/>
      <c r="AR58" s="1865" t="inlineStr">
        <is>
          <t>SSA</t>
        </is>
      </c>
      <c r="AS58" s="1866" t="n"/>
      <c r="AT58" s="2100" t="n">
        <v>37238</v>
      </c>
      <c r="AU58" s="2101" t="n">
        <v>37313</v>
      </c>
      <c r="AV58" s="2077">
        <f>AU58-AT58</f>
        <v/>
      </c>
      <c r="AW58" s="2071" t="n"/>
      <c r="AX58" s="2073" t="n"/>
      <c r="AY58" s="2055" t="n"/>
      <c r="AZ58" s="2056" t="n"/>
      <c r="BA58" s="1884" t="n"/>
      <c r="BB58" s="2071" t="n"/>
      <c r="BC58" s="2073" t="n"/>
      <c r="BD58" s="2055" t="n"/>
      <c r="BE58" s="2056" t="n"/>
      <c r="BF58" s="1884" t="n"/>
      <c r="BG58" s="2132" t="inlineStr">
        <is>
          <t>Paris</t>
        </is>
      </c>
      <c r="BH58" s="1875" t="n"/>
      <c r="BI58" s="1877" t="n">
        <v>37174</v>
      </c>
      <c r="BJ58" s="1878" t="n">
        <v>37176</v>
      </c>
      <c r="BK58" s="1874">
        <f>BJ58-BI58</f>
        <v/>
      </c>
      <c r="BL58" s="2071" t="n"/>
      <c r="BM58" s="2073" t="n"/>
      <c r="BN58" s="2055" t="n"/>
      <c r="BO58" s="2056" t="n"/>
      <c r="BP58" s="1884" t="n"/>
      <c r="BQ58" s="2190" t="n"/>
      <c r="BR58" s="2191" t="n"/>
      <c r="BS58" s="2192" t="n"/>
      <c r="BT58" s="2193" t="n"/>
      <c r="BU58" s="1884" t="n"/>
      <c r="BV58" s="2191" t="n"/>
      <c r="BW58" s="2057" t="n"/>
      <c r="BX58" s="2192" t="n"/>
      <c r="BY58" s="2193" t="n"/>
      <c r="BZ58" s="2109" t="n"/>
      <c r="CA58" s="2118" t="inlineStr">
        <is>
          <t>SP</t>
        </is>
      </c>
      <c r="CB58" s="2119" t="n"/>
      <c r="CC58" s="2123" t="n">
        <v>37504</v>
      </c>
      <c r="CD58" s="2124" t="n">
        <v>37506</v>
      </c>
      <c r="CE58" s="1884">
        <f>CD58-CC58</f>
        <v/>
      </c>
      <c r="CF58" s="2191" t="n"/>
      <c r="CG58" s="2191" t="n"/>
      <c r="CH58" s="2192" t="n"/>
      <c r="CI58" s="2193" t="n"/>
      <c r="CJ58" s="2109" t="n"/>
      <c r="CK58" s="2190" t="n"/>
      <c r="CL58" s="2191" t="n"/>
      <c r="CM58" s="2192" t="n"/>
      <c r="CN58" s="2193" t="n"/>
      <c r="CO58" s="1884" t="n"/>
    </row>
    <row r="59">
      <c r="A59" s="1491" t="n"/>
      <c r="B59" s="1491" t="n"/>
      <c r="C59" s="1491" t="n"/>
      <c r="D59" s="1491" t="n"/>
      <c r="E59" s="1491" t="n"/>
      <c r="F59" s="1491" t="n"/>
      <c r="G59" s="1491" t="n"/>
      <c r="H59" s="1491" t="n"/>
      <c r="I59" s="1491" t="n"/>
      <c r="J59" s="1491" t="n"/>
      <c r="K59" s="1491" t="n"/>
      <c r="L59" s="1491" t="n"/>
      <c r="M59" s="1491" t="n"/>
      <c r="N59" s="1491" t="n"/>
      <c r="O59" s="1491" t="n"/>
      <c r="P59" s="1491" t="n"/>
      <c r="Q59" s="1491" t="n"/>
      <c r="R59" s="1491" t="n"/>
      <c r="S59" s="1491" t="n"/>
      <c r="T59" s="1491" t="n"/>
      <c r="U59" s="1491" t="n"/>
      <c r="V59" s="1491" t="n"/>
      <c r="W59" s="1491" t="n"/>
      <c r="X59" s="1491" t="n"/>
      <c r="Y59" s="1491" t="n"/>
      <c r="Z59" s="1491" t="n"/>
      <c r="AA59" s="1491" t="n"/>
      <c r="AB59" s="1491" t="n"/>
      <c r="AC59" s="1491" t="n"/>
      <c r="AD59" s="1491" t="n"/>
      <c r="AE59" s="1491" t="n"/>
      <c r="AF59" s="1491" t="n"/>
      <c r="AG59" s="1491" t="n"/>
      <c r="AH59" s="1491" t="n"/>
      <c r="AI59" s="1491" t="n"/>
      <c r="AJ59" s="1491" t="n"/>
      <c r="AK59" s="1491" t="n"/>
      <c r="AL59" s="1491" t="n"/>
      <c r="AM59" s="1491" t="n"/>
      <c r="AN59" s="1491" t="n"/>
      <c r="AO59" s="1491" t="n"/>
      <c r="AP59" s="1491" t="n"/>
      <c r="AQ59" s="1349" t="n"/>
      <c r="AR59" s="2053" t="n"/>
      <c r="AS59" s="2057" t="n"/>
      <c r="AT59" s="2055" t="n"/>
      <c r="AU59" s="2056" t="n"/>
      <c r="AV59" s="1884" t="n"/>
      <c r="AW59" s="2053" t="n"/>
      <c r="AX59" s="2057" t="n"/>
      <c r="AY59" s="2055" t="n"/>
      <c r="AZ59" s="2056" t="n"/>
      <c r="BA59" s="1884" t="n"/>
      <c r="BB59" s="2053" t="n"/>
      <c r="BC59" s="2057" t="n"/>
      <c r="BD59" s="2055" t="n"/>
      <c r="BE59" s="2056" t="n"/>
      <c r="BF59" s="1884" t="n"/>
      <c r="BG59" s="2132" t="inlineStr">
        <is>
          <t>Metz</t>
        </is>
      </c>
      <c r="BH59" s="1875" t="n"/>
      <c r="BI59" s="1877" t="n">
        <v>40463</v>
      </c>
      <c r="BJ59" s="1878" t="n">
        <v>40464</v>
      </c>
      <c r="BK59" s="1874" t="n">
        <v>1</v>
      </c>
      <c r="BL59" s="2053" t="n"/>
      <c r="BM59" s="2057" t="n"/>
      <c r="BN59" s="2055" t="n"/>
      <c r="BO59" s="2056" t="n"/>
      <c r="BP59" s="1884" t="n"/>
      <c r="BQ59" s="2190" t="n"/>
      <c r="BR59" s="2191" t="n"/>
      <c r="BS59" s="2192" t="n"/>
      <c r="BT59" s="2193" t="n"/>
      <c r="BU59" s="1884" t="n"/>
      <c r="BV59" s="2191" t="n"/>
      <c r="BW59" s="2191" t="n"/>
      <c r="BX59" s="2192" t="n"/>
      <c r="BY59" s="2193" t="n"/>
      <c r="BZ59" s="2109" t="n"/>
      <c r="CA59" s="2102" t="inlineStr">
        <is>
          <t>Bertioga</t>
        </is>
      </c>
      <c r="CB59" s="2103" t="n"/>
      <c r="CC59" s="2107" t="n">
        <v>37506</v>
      </c>
      <c r="CD59" s="2108" t="n">
        <v>37510</v>
      </c>
      <c r="CE59" s="1884">
        <f>CD59-CC59</f>
        <v/>
      </c>
      <c r="CF59" s="2191" t="n"/>
      <c r="CG59" s="2191" t="n"/>
      <c r="CH59" s="2192" t="n"/>
      <c r="CI59" s="2193" t="n"/>
      <c r="CJ59" s="2109" t="n"/>
      <c r="CK59" s="2190" t="n"/>
      <c r="CL59" s="2191" t="n"/>
      <c r="CM59" s="2192" t="n"/>
      <c r="CN59" s="2193" t="n"/>
      <c r="CO59" s="1884" t="n"/>
    </row>
    <row r="60">
      <c r="A60" s="1491" t="n"/>
      <c r="B60" s="1491" t="n"/>
      <c r="C60" s="1491" t="n"/>
      <c r="D60" s="1491" t="n"/>
      <c r="E60" s="1491" t="n"/>
      <c r="F60" s="1491" t="n"/>
      <c r="G60" s="1491" t="n"/>
      <c r="H60" s="1491" t="n"/>
      <c r="I60" s="1491" t="n"/>
      <c r="J60" s="1491" t="n"/>
      <c r="K60" s="1491" t="n"/>
      <c r="L60" s="1491" t="n"/>
      <c r="M60" s="1491" t="n"/>
      <c r="N60" s="1491" t="n"/>
      <c r="O60" s="1491" t="n"/>
      <c r="P60" s="1491" t="n"/>
      <c r="Q60" s="1491" t="n"/>
      <c r="R60" s="1491" t="n"/>
      <c r="S60" s="1491" t="n"/>
      <c r="T60" s="1491" t="n"/>
      <c r="U60" s="1491" t="n"/>
      <c r="V60" s="1491" t="n"/>
      <c r="W60" s="1491" t="n"/>
      <c r="X60" s="1491" t="n"/>
      <c r="Y60" s="1491" t="n"/>
      <c r="Z60" s="1491" t="n"/>
      <c r="AA60" s="1491" t="n"/>
      <c r="AB60" s="1491" t="n"/>
      <c r="AC60" s="1491" t="n"/>
      <c r="AD60" s="1491" t="n"/>
      <c r="AE60" s="1491" t="n"/>
      <c r="AF60" s="1491" t="n"/>
      <c r="AG60" s="1491" t="n"/>
      <c r="AH60" s="1491" t="n"/>
      <c r="AI60" s="1491" t="n"/>
      <c r="AJ60" s="1491" t="n"/>
      <c r="AK60" s="1491" t="n"/>
      <c r="AL60" s="1491" t="n"/>
      <c r="AM60" s="1491" t="n"/>
      <c r="AN60" s="1491" t="n"/>
      <c r="AO60" s="1491" t="n"/>
      <c r="AP60" s="1491" t="n"/>
      <c r="AQ60" s="1349" t="n"/>
      <c r="AR60" s="2053" t="n"/>
      <c r="AS60" s="2057" t="n"/>
      <c r="AT60" s="2055" t="n"/>
      <c r="AU60" s="2056" t="n"/>
      <c r="AV60" s="1884" t="n"/>
      <c r="AW60" s="2071" t="n"/>
      <c r="AX60" s="2073" t="n"/>
      <c r="AY60" s="2055" t="n"/>
      <c r="AZ60" s="2056" t="n"/>
      <c r="BA60" s="1884" t="n"/>
      <c r="BB60" s="2071" t="n"/>
      <c r="BC60" s="2073" t="n"/>
      <c r="BD60" s="2055" t="n"/>
      <c r="BE60" s="2056" t="n"/>
      <c r="BF60" s="1884" t="n"/>
      <c r="BG60" s="2180" t="inlineStr">
        <is>
          <t>Luxembourg</t>
        </is>
      </c>
      <c r="BH60" s="1909" t="n"/>
      <c r="BI60" s="1911" t="n">
        <v>37177</v>
      </c>
      <c r="BJ60" s="1912" t="inlineStr">
        <is>
          <t>—&gt; Petite Suisse</t>
        </is>
      </c>
      <c r="BK60" s="1874" t="n"/>
      <c r="BL60" s="2071" t="n"/>
      <c r="BM60" s="2073" t="n"/>
      <c r="BN60" s="2055" t="n"/>
      <c r="BO60" s="2056" t="n"/>
      <c r="BP60" s="1884" t="n"/>
      <c r="BQ60" s="2190" t="n"/>
      <c r="BR60" s="2191" t="n"/>
      <c r="BS60" s="2192" t="n"/>
      <c r="BT60" s="2193" t="n"/>
      <c r="BU60" s="1884" t="n"/>
      <c r="BV60" s="2191" t="n"/>
      <c r="BW60" s="2191" t="n"/>
      <c r="BX60" s="2192" t="n"/>
      <c r="BY60" s="2193" t="n"/>
      <c r="BZ60" s="2109" t="n"/>
      <c r="CA60" s="2118" t="inlineStr">
        <is>
          <t>SP</t>
        </is>
      </c>
      <c r="CB60" s="2119" t="n"/>
      <c r="CC60" s="2123" t="n">
        <v>37510</v>
      </c>
      <c r="CD60" s="2124" t="n">
        <v>37512</v>
      </c>
      <c r="CE60" s="1884">
        <f>CD60-CC60</f>
        <v/>
      </c>
      <c r="CF60" s="2191" t="n"/>
      <c r="CG60" s="2191" t="n"/>
      <c r="CH60" s="2192" t="n"/>
      <c r="CI60" s="2193" t="n"/>
      <c r="CJ60" s="2109" t="n"/>
      <c r="CK60" s="2190" t="n"/>
      <c r="CL60" s="2191" t="n"/>
      <c r="CM60" s="2192" t="n"/>
      <c r="CN60" s="2193" t="n"/>
      <c r="CO60" s="1884" t="n"/>
    </row>
    <row r="61">
      <c r="A61" s="1491" t="n"/>
      <c r="B61" s="1491" t="n"/>
      <c r="C61" s="1491" t="n"/>
      <c r="D61" s="1491" t="n"/>
      <c r="E61" s="1491" t="n"/>
      <c r="F61" s="1491" t="n"/>
      <c r="G61" s="1491" t="n"/>
      <c r="H61" s="1491" t="n"/>
      <c r="I61" s="1491" t="n"/>
      <c r="J61" s="1491" t="n"/>
      <c r="K61" s="1491" t="n"/>
      <c r="L61" s="1491" t="n"/>
      <c r="M61" s="1491" t="n"/>
      <c r="N61" s="1491" t="n"/>
      <c r="O61" s="1491" t="n"/>
      <c r="P61" s="1491" t="n"/>
      <c r="Q61" s="1491" t="n"/>
      <c r="R61" s="1491" t="n"/>
      <c r="S61" s="1491" t="n"/>
      <c r="T61" s="1491" t="n"/>
      <c r="U61" s="1491" t="n"/>
      <c r="V61" s="1491" t="n"/>
      <c r="W61" s="1491" t="n"/>
      <c r="X61" s="1491" t="n"/>
      <c r="Y61" s="1491" t="n"/>
      <c r="Z61" s="1491" t="n"/>
      <c r="AA61" s="1491" t="n"/>
      <c r="AB61" s="1491" t="n"/>
      <c r="AC61" s="1491" t="n"/>
      <c r="AD61" s="1491" t="n"/>
      <c r="AE61" s="1491" t="n"/>
      <c r="AF61" s="1491" t="n"/>
      <c r="AG61" s="1491" t="n"/>
      <c r="AH61" s="1491" t="n"/>
      <c r="AI61" s="1491" t="n"/>
      <c r="AJ61" s="1491" t="n"/>
      <c r="AK61" s="1491" t="n"/>
      <c r="AL61" s="1491" t="n"/>
      <c r="AM61" s="1491" t="n"/>
      <c r="AN61" s="1491" t="n"/>
      <c r="AO61" s="1491" t="n"/>
      <c r="AP61" s="1491" t="n"/>
      <c r="AQ61" s="1349" t="n"/>
      <c r="AR61" s="2053" t="n"/>
      <c r="AS61" s="2057" t="n"/>
      <c r="AT61" s="2055" t="n"/>
      <c r="AU61" s="2056" t="n"/>
      <c r="AV61" s="1884" t="n"/>
      <c r="AW61" s="2053" t="n"/>
      <c r="AX61" s="2057" t="n"/>
      <c r="AY61" s="2055" t="n"/>
      <c r="AZ61" s="2056" t="n"/>
      <c r="BA61" s="1884" t="n"/>
      <c r="BB61" s="2053" t="n"/>
      <c r="BC61" s="2057" t="n"/>
      <c r="BD61" s="2055" t="n"/>
      <c r="BE61" s="2056" t="n"/>
      <c r="BF61" s="1884" t="n"/>
      <c r="BG61" s="2182" t="inlineStr">
        <is>
          <t>Vianden</t>
        </is>
      </c>
      <c r="BH61" s="1909" t="inlineStr">
        <is>
          <t>—&gt; Luxembourg —&gt; Paris</t>
        </is>
      </c>
      <c r="BI61" s="1911" t="n">
        <v>37177</v>
      </c>
      <c r="BJ61" s="1912" t="n">
        <v>37179</v>
      </c>
      <c r="BK61" s="1874">
        <f>BJ61-BI61</f>
        <v/>
      </c>
      <c r="BL61" s="2053" t="n"/>
      <c r="BM61" s="2057" t="n"/>
      <c r="BN61" s="2055" t="n"/>
      <c r="BO61" s="2056" t="n"/>
      <c r="BP61" s="1884" t="n"/>
      <c r="BQ61" s="2190" t="n"/>
      <c r="BR61" s="2191" t="n"/>
      <c r="BS61" s="2192" t="n"/>
      <c r="BT61" s="2193" t="n"/>
      <c r="BU61" s="1884" t="n"/>
      <c r="BV61" s="2191" t="n"/>
      <c r="BW61" s="2191" t="n"/>
      <c r="BX61" s="2192" t="n"/>
      <c r="BY61" s="2193" t="n"/>
      <c r="BZ61" s="2109" t="n"/>
      <c r="CA61" s="2102" t="inlineStr">
        <is>
          <t>Bertioga</t>
        </is>
      </c>
      <c r="CB61" s="2103" t="n"/>
      <c r="CC61" s="2107" t="n">
        <v>37512</v>
      </c>
      <c r="CD61" s="2108" t="n">
        <v>37516</v>
      </c>
      <c r="CE61" s="1884">
        <f>CD61-CC61</f>
        <v/>
      </c>
      <c r="CF61" s="2191" t="n"/>
      <c r="CG61" s="2191" t="n"/>
      <c r="CH61" s="2192" t="n"/>
      <c r="CI61" s="2193" t="n"/>
      <c r="CJ61" s="2109" t="n"/>
      <c r="CK61" s="2190" t="n"/>
      <c r="CL61" s="2191" t="n"/>
      <c r="CM61" s="2192" t="n"/>
      <c r="CN61" s="2193" t="n"/>
      <c r="CO61" s="1884" t="n"/>
    </row>
    <row r="62">
      <c r="A62" s="1491" t="n"/>
      <c r="B62" s="1491" t="n"/>
      <c r="C62" s="1491" t="n"/>
      <c r="D62" s="1491" t="n"/>
      <c r="E62" s="1491" t="n"/>
      <c r="F62" s="1491" t="n"/>
      <c r="G62" s="1491" t="n"/>
      <c r="H62" s="1491" t="n"/>
      <c r="I62" s="1491" t="n"/>
      <c r="J62" s="1491" t="n"/>
      <c r="K62" s="1491" t="n"/>
      <c r="L62" s="1491" t="n"/>
      <c r="M62" s="1491" t="n"/>
      <c r="N62" s="1491" t="n"/>
      <c r="O62" s="1491" t="n"/>
      <c r="P62" s="1491" t="n"/>
      <c r="Q62" s="1491" t="n"/>
      <c r="R62" s="1491" t="n"/>
      <c r="S62" s="1491" t="n"/>
      <c r="T62" s="1491" t="n"/>
      <c r="U62" s="1491" t="n"/>
      <c r="V62" s="1491" t="n"/>
      <c r="W62" s="1491" t="n"/>
      <c r="X62" s="1491" t="n"/>
      <c r="Y62" s="1491" t="n"/>
      <c r="Z62" s="1491" t="n"/>
      <c r="AA62" s="1491" t="n"/>
      <c r="AB62" s="1491" t="n"/>
      <c r="AC62" s="1491" t="n"/>
      <c r="AD62" s="1491" t="n"/>
      <c r="AE62" s="1491" t="n"/>
      <c r="AF62" s="1491" t="n"/>
      <c r="AG62" s="1491" t="n"/>
      <c r="AH62" s="1491" t="n"/>
      <c r="AI62" s="1491" t="n"/>
      <c r="AJ62" s="1491" t="n"/>
      <c r="AK62" s="1491" t="n"/>
      <c r="AL62" s="1491" t="n"/>
      <c r="AM62" s="1491" t="n"/>
      <c r="AN62" s="1491" t="n"/>
      <c r="AO62" s="1491" t="n"/>
      <c r="AP62" s="1491" t="n"/>
      <c r="AQ62" s="1349" t="n"/>
      <c r="AR62" s="2053" t="n"/>
      <c r="AS62" s="2057" t="n"/>
      <c r="AT62" s="2055" t="n"/>
      <c r="AU62" s="2056" t="n"/>
      <c r="AV62" s="1884" t="n"/>
      <c r="AW62" s="2071" t="n"/>
      <c r="AX62" s="2073" t="n"/>
      <c r="AY62" s="2055" t="n"/>
      <c r="AZ62" s="2056" t="n"/>
      <c r="BA62" s="1884" t="n"/>
      <c r="BB62" s="2071" t="n"/>
      <c r="BC62" s="2073" t="n"/>
      <c r="BD62" s="2055" t="n"/>
      <c r="BE62" s="2056" t="n"/>
      <c r="BF62" s="1884" t="n"/>
      <c r="BG62" s="2132" t="inlineStr">
        <is>
          <t>Paris</t>
        </is>
      </c>
      <c r="BH62" s="1875" t="n"/>
      <c r="BI62" s="1877" t="n">
        <v>37179</v>
      </c>
      <c r="BJ62" s="1878" t="n">
        <v>37182</v>
      </c>
      <c r="BK62" s="1874">
        <f>BJ62-BI62</f>
        <v/>
      </c>
      <c r="BL62" s="2071" t="n"/>
      <c r="BM62" s="2073" t="n"/>
      <c r="BN62" s="2055" t="n"/>
      <c r="BO62" s="2056" t="n"/>
      <c r="BP62" s="1884" t="n"/>
      <c r="BQ62" s="2190" t="n"/>
      <c r="BR62" s="2191" t="n"/>
      <c r="BS62" s="2192" t="n"/>
      <c r="BT62" s="2193" t="n"/>
      <c r="BU62" s="1884" t="n"/>
      <c r="BV62" s="2191" t="n"/>
      <c r="BW62" s="2191" t="n"/>
      <c r="BX62" s="2192" t="n"/>
      <c r="BY62" s="2193" t="n"/>
      <c r="BZ62" s="2109" t="n"/>
      <c r="CA62" s="2118" t="inlineStr">
        <is>
          <t>SP</t>
        </is>
      </c>
      <c r="CB62" s="2119" t="n"/>
      <c r="CC62" s="2123" t="n">
        <v>37516</v>
      </c>
      <c r="CD62" s="2124" t="n">
        <v>37519</v>
      </c>
      <c r="CE62" s="1884">
        <f>CD62-CC62</f>
        <v/>
      </c>
      <c r="CF62" s="2191" t="n"/>
      <c r="CG62" s="2191" t="n"/>
      <c r="CH62" s="2192" t="n"/>
      <c r="CI62" s="2193" t="n"/>
      <c r="CJ62" s="2109" t="n"/>
      <c r="CK62" s="2190" t="n"/>
      <c r="CL62" s="2191" t="n"/>
      <c r="CM62" s="2192" t="n"/>
      <c r="CN62" s="2193" t="n"/>
      <c r="CO62" s="1884" t="n"/>
    </row>
    <row r="63">
      <c r="A63" s="1491" t="n"/>
      <c r="B63" s="1491" t="n"/>
      <c r="C63" s="1491" t="n"/>
      <c r="D63" s="1491" t="n"/>
      <c r="E63" s="1491" t="n"/>
      <c r="F63" s="1491" t="n"/>
      <c r="G63" s="1491" t="n"/>
      <c r="H63" s="1491" t="n"/>
      <c r="I63" s="1491" t="n"/>
      <c r="J63" s="1491" t="n"/>
      <c r="K63" s="1491" t="n"/>
      <c r="L63" s="1491" t="n"/>
      <c r="M63" s="1491" t="n"/>
      <c r="N63" s="1491" t="n"/>
      <c r="O63" s="1491" t="n"/>
      <c r="P63" s="1491" t="n"/>
      <c r="Q63" s="1491" t="n"/>
      <c r="R63" s="1491" t="n"/>
      <c r="S63" s="1491" t="n"/>
      <c r="T63" s="1491" t="n"/>
      <c r="U63" s="1491" t="n"/>
      <c r="V63" s="1491" t="n"/>
      <c r="W63" s="1491" t="n"/>
      <c r="X63" s="1491" t="n"/>
      <c r="Y63" s="1491" t="n"/>
      <c r="Z63" s="1491" t="n"/>
      <c r="AA63" s="1491" t="n"/>
      <c r="AB63" s="1491" t="n"/>
      <c r="AC63" s="1491" t="n"/>
      <c r="AD63" s="1491" t="n"/>
      <c r="AE63" s="1491" t="n"/>
      <c r="AF63" s="1491" t="n"/>
      <c r="AG63" s="1491" t="n"/>
      <c r="AH63" s="1491" t="n"/>
      <c r="AI63" s="1491" t="n"/>
      <c r="AJ63" s="1491" t="n"/>
      <c r="AK63" s="1491" t="n"/>
      <c r="AL63" s="1491" t="n"/>
      <c r="AM63" s="1491" t="n"/>
      <c r="AN63" s="1491" t="n"/>
      <c r="AO63" s="1491" t="n"/>
      <c r="AP63" s="1491" t="n"/>
      <c r="AQ63" s="1349" t="n"/>
      <c r="AR63" s="2053" t="n"/>
      <c r="AS63" s="2057" t="n"/>
      <c r="AT63" s="2055" t="n"/>
      <c r="AU63" s="2056" t="n"/>
      <c r="AV63" s="1884" t="n"/>
      <c r="AW63" s="2053" t="n"/>
      <c r="AX63" s="2057" t="n"/>
      <c r="AY63" s="2055" t="n"/>
      <c r="AZ63" s="2056" t="n"/>
      <c r="BA63" s="1884" t="n"/>
      <c r="BB63" s="2053" t="n"/>
      <c r="BC63" s="2057" t="n"/>
      <c r="BD63" s="2055" t="n"/>
      <c r="BE63" s="2056" t="n"/>
      <c r="BF63" s="1884" t="n"/>
      <c r="BG63" s="2132" t="inlineStr">
        <is>
          <t>transito franca</t>
        </is>
      </c>
      <c r="BH63" s="1875" t="n"/>
      <c r="BI63" s="1877" t="n">
        <v>36817</v>
      </c>
      <c r="BJ63" s="1878" t="n">
        <v>40470</v>
      </c>
      <c r="BK63" s="1874" t="n">
        <v>1</v>
      </c>
      <c r="BL63" s="2053" t="n"/>
      <c r="BM63" s="2057" t="n"/>
      <c r="BN63" s="2055" t="n"/>
      <c r="BO63" s="2056" t="n"/>
      <c r="BP63" s="1884" t="n"/>
      <c r="BQ63" s="2190" t="n"/>
      <c r="BR63" s="2191" t="n"/>
      <c r="BS63" s="2192" t="n"/>
      <c r="BT63" s="2193" t="n"/>
      <c r="BU63" s="1884" t="n"/>
      <c r="BV63" s="2191" t="n"/>
      <c r="BW63" s="2191" t="n"/>
      <c r="BX63" s="2192" t="n"/>
      <c r="BY63" s="2193" t="n"/>
      <c r="BZ63" s="2109" t="n"/>
      <c r="CA63" s="2102" t="inlineStr">
        <is>
          <t>Bertioga</t>
        </is>
      </c>
      <c r="CB63" s="2103" t="n"/>
      <c r="CC63" s="2107" t="n">
        <v>37519</v>
      </c>
      <c r="CD63" s="2108" t="n">
        <v>37523</v>
      </c>
      <c r="CE63" s="1884">
        <f>CD63-CC63</f>
        <v/>
      </c>
      <c r="CF63" s="2191" t="n"/>
      <c r="CG63" s="2191" t="n"/>
      <c r="CH63" s="2192" t="n"/>
      <c r="CI63" s="2193" t="n"/>
      <c r="CJ63" s="2109" t="n"/>
      <c r="CK63" s="2190" t="n"/>
      <c r="CL63" s="2191" t="n"/>
      <c r="CM63" s="2192" t="n"/>
      <c r="CN63" s="2193" t="n"/>
      <c r="CO63" s="1884" t="n"/>
    </row>
    <row r="64">
      <c r="A64" s="1491" t="n"/>
      <c r="B64" s="1491" t="n"/>
      <c r="C64" s="1491" t="n"/>
      <c r="D64" s="1491" t="n"/>
      <c r="E64" s="1491" t="n"/>
      <c r="F64" s="1491" t="n"/>
      <c r="G64" s="1491" t="n"/>
      <c r="H64" s="1491" t="n"/>
      <c r="I64" s="1491" t="n"/>
      <c r="J64" s="1491" t="n"/>
      <c r="K64" s="1491" t="n"/>
      <c r="L64" s="1491" t="n"/>
      <c r="M64" s="1491" t="n"/>
      <c r="N64" s="1491" t="n"/>
      <c r="O64" s="1491" t="n"/>
      <c r="P64" s="1491" t="n"/>
      <c r="Q64" s="1491" t="n"/>
      <c r="R64" s="1491" t="n"/>
      <c r="S64" s="1491" t="n"/>
      <c r="T64" s="1491" t="n"/>
      <c r="U64" s="1491" t="n"/>
      <c r="V64" s="1491" t="n"/>
      <c r="W64" s="1491" t="n"/>
      <c r="X64" s="1491" t="n"/>
      <c r="Y64" s="1491" t="n"/>
      <c r="Z64" s="1491" t="n"/>
      <c r="AA64" s="1491" t="n"/>
      <c r="AB64" s="1491" t="n"/>
      <c r="AC64" s="1491" t="n"/>
      <c r="AD64" s="1491" t="n"/>
      <c r="AE64" s="1491" t="n"/>
      <c r="AF64" s="1491" t="n"/>
      <c r="AG64" s="1491" t="n"/>
      <c r="AH64" s="1491" t="n"/>
      <c r="AI64" s="1491" t="n"/>
      <c r="AJ64" s="1491" t="n"/>
      <c r="AK64" s="1491" t="n"/>
      <c r="AL64" s="1491" t="n"/>
      <c r="AM64" s="1491" t="n"/>
      <c r="AN64" s="1491" t="n"/>
      <c r="AO64" s="1491" t="n"/>
      <c r="AP64" s="1491" t="n"/>
      <c r="AQ64" s="1349" t="n"/>
      <c r="AR64" s="2053" t="n"/>
      <c r="AS64" s="2057" t="n"/>
      <c r="AT64" s="2055" t="n"/>
      <c r="AU64" s="2056" t="n"/>
      <c r="AV64" s="1884" t="n"/>
      <c r="AW64" s="2053" t="n"/>
      <c r="AX64" s="2057" t="n"/>
      <c r="AY64" s="2055" t="n"/>
      <c r="AZ64" s="2056" t="n"/>
      <c r="BA64" s="1884" t="n"/>
      <c r="BB64" s="2053" t="n"/>
      <c r="BC64" s="2057" t="n"/>
      <c r="BD64" s="2055" t="n"/>
      <c r="BE64" s="2056" t="n"/>
      <c r="BF64" s="1884" t="n"/>
      <c r="BG64" s="2140" t="inlineStr">
        <is>
          <t>ESPANHA</t>
        </is>
      </c>
      <c r="BH64" s="2202" t="inlineStr">
        <is>
          <t>St Jean</t>
        </is>
      </c>
      <c r="BI64" s="2203" t="n">
        <v>36818</v>
      </c>
      <c r="BJ64" s="2204" t="n">
        <v>36854</v>
      </c>
      <c r="BK64" s="2144">
        <f>BJ64-BI64</f>
        <v/>
      </c>
      <c r="BL64" s="2053" t="n"/>
      <c r="BM64" s="2057" t="n"/>
      <c r="BN64" s="2055" t="n"/>
      <c r="BO64" s="2056" t="n"/>
      <c r="BP64" s="1884" t="n"/>
      <c r="BQ64" s="2190" t="n"/>
      <c r="BR64" s="2191" t="n"/>
      <c r="BS64" s="2192" t="n"/>
      <c r="BT64" s="2193" t="n"/>
      <c r="BU64" s="1884" t="n"/>
      <c r="BV64" s="2191" t="n"/>
      <c r="BW64" s="2191" t="n"/>
      <c r="BX64" s="2192" t="n"/>
      <c r="BY64" s="2193" t="n"/>
      <c r="BZ64" s="2109" t="n"/>
      <c r="CA64" s="2118" t="inlineStr">
        <is>
          <t>SP</t>
        </is>
      </c>
      <c r="CB64" s="2119" t="n"/>
      <c r="CC64" s="2123" t="n">
        <v>37523</v>
      </c>
      <c r="CD64" s="2124" t="n">
        <v>37525</v>
      </c>
      <c r="CE64" s="1884">
        <f>CD64-CC64</f>
        <v/>
      </c>
      <c r="CF64" s="2191" t="n"/>
      <c r="CG64" s="2191" t="n"/>
      <c r="CH64" s="2192" t="n"/>
      <c r="CI64" s="2193" t="n"/>
      <c r="CJ64" s="2109" t="n"/>
      <c r="CK64" s="2190" t="n"/>
      <c r="CL64" s="2191" t="n"/>
      <c r="CM64" s="2192" t="n"/>
      <c r="CN64" s="2193" t="n"/>
      <c r="CO64" s="1884" t="n"/>
    </row>
    <row r="65">
      <c r="A65" s="1491" t="n"/>
      <c r="B65" s="1491" t="n"/>
      <c r="C65" s="1491" t="n"/>
      <c r="D65" s="1491" t="n"/>
      <c r="E65" s="1491" t="n"/>
      <c r="F65" s="1491" t="n"/>
      <c r="G65" s="1491" t="n"/>
      <c r="H65" s="1491" t="n"/>
      <c r="I65" s="1491" t="n"/>
      <c r="J65" s="1491" t="n"/>
      <c r="K65" s="1491" t="n"/>
      <c r="L65" s="1491" t="n"/>
      <c r="M65" s="1491" t="n"/>
      <c r="N65" s="1491" t="n"/>
      <c r="O65" s="1491" t="n"/>
      <c r="P65" s="1491" t="n"/>
      <c r="Q65" s="1491" t="n"/>
      <c r="R65" s="1491" t="n"/>
      <c r="S65" s="1491" t="n"/>
      <c r="T65" s="1491" t="n"/>
      <c r="U65" s="1491" t="n"/>
      <c r="V65" s="1491" t="n"/>
      <c r="W65" s="1491" t="n"/>
      <c r="X65" s="1491" t="n"/>
      <c r="Y65" s="1491" t="n"/>
      <c r="Z65" s="1491" t="n"/>
      <c r="AA65" s="1491" t="n"/>
      <c r="AB65" s="1491" t="n"/>
      <c r="AC65" s="1491" t="n"/>
      <c r="AD65" s="1491" t="n"/>
      <c r="AE65" s="1491" t="n"/>
      <c r="AF65" s="1491" t="n"/>
      <c r="AG65" s="1491" t="n"/>
      <c r="AH65" s="1491" t="n"/>
      <c r="AI65" s="1491" t="n"/>
      <c r="AJ65" s="1491" t="n"/>
      <c r="AK65" s="1491" t="n"/>
      <c r="AL65" s="1491" t="n"/>
      <c r="AM65" s="1491" t="n"/>
      <c r="AN65" s="1491" t="n"/>
      <c r="AO65" s="1491" t="n"/>
      <c r="AP65" s="1491" t="n"/>
      <c r="AQ65" s="1349" t="n"/>
      <c r="AR65" s="2053" t="n"/>
      <c r="AS65" s="2057" t="n"/>
      <c r="AT65" s="2055" t="n"/>
      <c r="AU65" s="2056" t="n"/>
      <c r="AV65" s="1884" t="n"/>
      <c r="AW65" s="2071" t="n"/>
      <c r="AX65" s="2073" t="n"/>
      <c r="AY65" s="2055" t="n"/>
      <c r="AZ65" s="2056" t="n"/>
      <c r="BA65" s="1884" t="n"/>
      <c r="BB65" s="2071" t="n"/>
      <c r="BC65" s="2073" t="n"/>
      <c r="BD65" s="2055" t="n"/>
      <c r="BE65" s="2056" t="n"/>
      <c r="BF65" s="1884" t="n"/>
      <c r="BG65" s="2132" t="inlineStr">
        <is>
          <t>Paris</t>
        </is>
      </c>
      <c r="BH65" s="1875" t="n"/>
      <c r="BI65" s="1877" t="n">
        <v>36854</v>
      </c>
      <c r="BJ65" s="1878" t="n">
        <v>36868</v>
      </c>
      <c r="BK65" s="1874">
        <f>BJ65-BI65</f>
        <v/>
      </c>
      <c r="BL65" s="2071" t="n"/>
      <c r="BM65" s="2073" t="n"/>
      <c r="BN65" s="2055" t="n"/>
      <c r="BO65" s="2056" t="n"/>
      <c r="BP65" s="1884" t="n"/>
      <c r="BQ65" s="2190" t="n"/>
      <c r="BR65" s="2191" t="n"/>
      <c r="BS65" s="2192" t="n"/>
      <c r="BT65" s="2193" t="n"/>
      <c r="BU65" s="1884" t="n"/>
      <c r="BV65" s="2191" t="n"/>
      <c r="BW65" s="2191" t="n"/>
      <c r="BX65" s="2192" t="n"/>
      <c r="BY65" s="2193" t="n"/>
      <c r="BZ65" s="2109" t="n"/>
      <c r="CA65" s="2205" t="inlineStr">
        <is>
          <t>SSA</t>
        </is>
      </c>
      <c r="CB65" s="2103" t="n"/>
      <c r="CC65" s="2107" t="n">
        <v>37526</v>
      </c>
      <c r="CD65" s="2108" t="n">
        <v>37530</v>
      </c>
      <c r="CE65" s="1884">
        <f>CD65-CC65</f>
        <v/>
      </c>
      <c r="CF65" s="2191" t="n"/>
      <c r="CG65" s="2191" t="n"/>
      <c r="CH65" s="2192" t="n"/>
      <c r="CI65" s="2193" t="n"/>
      <c r="CJ65" s="2109" t="n"/>
      <c r="CK65" s="2190" t="n"/>
      <c r="CL65" s="2191" t="n"/>
      <c r="CM65" s="2192" t="n"/>
      <c r="CN65" s="2193" t="n"/>
      <c r="CO65" s="1884" t="n"/>
    </row>
    <row r="66">
      <c r="A66" s="1491" t="n"/>
      <c r="B66" s="1491" t="n"/>
      <c r="C66" s="1491" t="n"/>
      <c r="D66" s="1491" t="n"/>
      <c r="E66" s="1491" t="n"/>
      <c r="F66" s="1491" t="n"/>
      <c r="G66" s="1491" t="n"/>
      <c r="H66" s="1491" t="n"/>
      <c r="I66" s="1491" t="n"/>
      <c r="J66" s="1491" t="n"/>
      <c r="K66" s="1491" t="n"/>
      <c r="L66" s="1491" t="n"/>
      <c r="M66" s="1491" t="n"/>
      <c r="N66" s="1491" t="n"/>
      <c r="O66" s="1491" t="n"/>
      <c r="P66" s="1491" t="n"/>
      <c r="Q66" s="1491" t="n"/>
      <c r="R66" s="1491" t="n"/>
      <c r="S66" s="1491" t="n"/>
      <c r="T66" s="1491" t="n"/>
      <c r="U66" s="1491" t="n"/>
      <c r="V66" s="1491" t="n"/>
      <c r="W66" s="1491" t="n"/>
      <c r="X66" s="1491" t="n"/>
      <c r="Y66" s="1491" t="n"/>
      <c r="Z66" s="1491" t="n"/>
      <c r="AA66" s="1491" t="n"/>
      <c r="AB66" s="1491" t="n"/>
      <c r="AC66" s="1491" t="n"/>
      <c r="AD66" s="1491" t="n"/>
      <c r="AE66" s="1491" t="n"/>
      <c r="AF66" s="1491" t="n"/>
      <c r="AG66" s="1491" t="n"/>
      <c r="AH66" s="1491" t="n"/>
      <c r="AI66" s="1491" t="n"/>
      <c r="AJ66" s="1491" t="n"/>
      <c r="AK66" s="1491" t="n"/>
      <c r="AL66" s="1491" t="n"/>
      <c r="AM66" s="1491" t="n"/>
      <c r="AN66" s="1491" t="n"/>
      <c r="AO66" s="1491" t="n"/>
      <c r="AP66" s="1491" t="n"/>
      <c r="AQ66" s="1349" t="n"/>
      <c r="AR66" s="2053" t="n"/>
      <c r="AS66" s="2057" t="n"/>
      <c r="AT66" s="2055" t="n"/>
      <c r="AU66" s="2056" t="n"/>
      <c r="AV66" s="1884" t="n"/>
      <c r="AW66" s="2071" t="n"/>
      <c r="AX66" s="2073" t="n"/>
      <c r="AY66" s="2055" t="n"/>
      <c r="AZ66" s="2056" t="n"/>
      <c r="BA66" s="1884" t="n"/>
      <c r="BB66" s="2071" t="n"/>
      <c r="BC66" s="2073" t="n"/>
      <c r="BD66" s="2055" t="n"/>
      <c r="BE66" s="2056" t="n"/>
      <c r="BF66" s="1884" t="n"/>
      <c r="BG66" s="2138" t="inlineStr">
        <is>
          <t>conexao Frankfurt</t>
        </is>
      </c>
      <c r="BH66" s="2094" t="n"/>
      <c r="BI66" s="2010" t="n">
        <v>40520</v>
      </c>
      <c r="BJ66" s="2011" t="n">
        <v>40521</v>
      </c>
      <c r="BK66" s="2012">
        <f>BJ66-BI66</f>
        <v/>
      </c>
      <c r="BL66" s="2071" t="n"/>
      <c r="BM66" s="2073" t="n"/>
      <c r="BN66" s="2055" t="n"/>
      <c r="BO66" s="2056" t="n"/>
      <c r="BP66" s="1884" t="n"/>
      <c r="BQ66" s="2190" t="n"/>
      <c r="BR66" s="2191" t="n"/>
      <c r="BS66" s="2192" t="n"/>
      <c r="BT66" s="2193" t="n"/>
      <c r="BU66" s="1884" t="n"/>
      <c r="BV66" s="2191" t="n"/>
      <c r="BW66" s="2191" t="n"/>
      <c r="BX66" s="2192" t="n"/>
      <c r="BY66" s="2193" t="n"/>
      <c r="BZ66" s="2109" t="n"/>
      <c r="CA66" s="2118" t="inlineStr">
        <is>
          <t>SP</t>
        </is>
      </c>
      <c r="CB66" s="2119" t="n"/>
      <c r="CC66" s="2123" t="n">
        <v>37530</v>
      </c>
      <c r="CD66" s="2124" t="n">
        <v>37533</v>
      </c>
      <c r="CE66" s="1884">
        <f>CD66-CC66</f>
        <v/>
      </c>
      <c r="CF66" s="2191" t="n"/>
      <c r="CG66" s="2191" t="n"/>
      <c r="CH66" s="2192" t="n"/>
      <c r="CI66" s="2193" t="n"/>
      <c r="CJ66" s="2109" t="n"/>
      <c r="CK66" s="2190" t="n"/>
      <c r="CL66" s="2191" t="n"/>
      <c r="CM66" s="2192" t="n"/>
      <c r="CN66" s="2193" t="n"/>
      <c r="CO66" s="1884" t="n"/>
    </row>
    <row r="67">
      <c r="A67" s="1491" t="n"/>
      <c r="B67" s="1491" t="n"/>
      <c r="C67" s="1491" t="n"/>
      <c r="D67" s="1491" t="n"/>
      <c r="E67" s="1491" t="n"/>
      <c r="F67" s="1491" t="n"/>
      <c r="G67" s="1491" t="n"/>
      <c r="H67" s="1491" t="n"/>
      <c r="I67" s="1491" t="n"/>
      <c r="J67" s="1491" t="n"/>
      <c r="K67" s="1491" t="n"/>
      <c r="L67" s="1491" t="n"/>
      <c r="M67" s="1491" t="n"/>
      <c r="N67" s="1491" t="n"/>
      <c r="O67" s="1491" t="n"/>
      <c r="P67" s="1491" t="n"/>
      <c r="Q67" s="1491" t="n"/>
      <c r="R67" s="1491" t="n"/>
      <c r="S67" s="1491" t="n"/>
      <c r="T67" s="1491" t="n"/>
      <c r="U67" s="1491" t="n"/>
      <c r="V67" s="1491" t="n"/>
      <c r="W67" s="1491" t="n"/>
      <c r="X67" s="1491" t="n"/>
      <c r="Y67" s="1491" t="n"/>
      <c r="Z67" s="1491" t="n"/>
      <c r="AA67" s="1491" t="n"/>
      <c r="AB67" s="1491" t="n"/>
      <c r="AC67" s="1491" t="n"/>
      <c r="AD67" s="1491" t="n"/>
      <c r="AE67" s="1491" t="n"/>
      <c r="AF67" s="1491" t="n"/>
      <c r="AG67" s="1491" t="n"/>
      <c r="AH67" s="1491" t="n"/>
      <c r="AI67" s="1491" t="n"/>
      <c r="AJ67" s="1491" t="n"/>
      <c r="AK67" s="1491" t="n"/>
      <c r="AL67" s="1491" t="n"/>
      <c r="AM67" s="1491" t="n"/>
      <c r="AN67" s="1491" t="n"/>
      <c r="AO67" s="1491" t="n"/>
      <c r="AP67" s="1491" t="n"/>
      <c r="AQ67" s="1070" t="n"/>
      <c r="AR67" s="2053" t="n"/>
      <c r="AS67" s="2057" t="n"/>
      <c r="AT67" s="2055" t="n"/>
      <c r="AU67" s="2056" t="n"/>
      <c r="AV67" s="1884" t="n"/>
      <c r="AW67" s="2071" t="n"/>
      <c r="AX67" s="2073" t="n"/>
      <c r="AY67" s="2055" t="n"/>
      <c r="AZ67" s="2056" t="n"/>
      <c r="BA67" s="1884" t="n"/>
      <c r="BB67" s="2071" t="n"/>
      <c r="BC67" s="2073" t="n"/>
      <c r="BD67" s="2055" t="n"/>
      <c r="BE67" s="2056" t="n"/>
      <c r="BF67" s="1884" t="n"/>
      <c r="BG67" s="1865" t="inlineStr">
        <is>
          <t>SP</t>
        </is>
      </c>
      <c r="BH67" s="1866" t="n"/>
      <c r="BI67" s="1867" t="n">
        <v>36869</v>
      </c>
      <c r="BJ67" s="1868" t="n">
        <v>36881</v>
      </c>
      <c r="BK67" s="1869">
        <f>BJ67-BI67</f>
        <v/>
      </c>
      <c r="BL67" s="2071" t="n"/>
      <c r="BM67" s="2073" t="n"/>
      <c r="BN67" s="2055" t="n"/>
      <c r="BO67" s="2056" t="n"/>
      <c r="BP67" s="1884" t="n"/>
      <c r="BQ67" s="2190" t="n"/>
      <c r="BR67" s="2191" t="n"/>
      <c r="BS67" s="2192" t="n"/>
      <c r="BT67" s="2193" t="n"/>
      <c r="BU67" s="1884" t="n"/>
      <c r="BV67" s="2191" t="n"/>
      <c r="BW67" s="2191" t="n"/>
      <c r="BX67" s="2192" t="n"/>
      <c r="BY67" s="2193" t="n"/>
      <c r="BZ67" s="2109" t="n"/>
      <c r="CA67" s="2102" t="inlineStr">
        <is>
          <t>Bertioga</t>
        </is>
      </c>
      <c r="CB67" s="2103" t="n"/>
      <c r="CC67" s="2107" t="n">
        <v>37533</v>
      </c>
      <c r="CD67" s="2108" t="n">
        <v>37537</v>
      </c>
      <c r="CE67" s="1884">
        <f>CD67-CC67</f>
        <v/>
      </c>
      <c r="CF67" s="2191" t="n"/>
      <c r="CG67" s="2191" t="n"/>
      <c r="CH67" s="2192" t="n"/>
      <c r="CI67" s="2193" t="n"/>
      <c r="CJ67" s="2109" t="n"/>
      <c r="CK67" s="2190" t="n"/>
      <c r="CL67" s="2191" t="n"/>
      <c r="CM67" s="2192" t="n"/>
      <c r="CN67" s="2193" t="n"/>
      <c r="CO67" s="1884" t="n"/>
    </row>
    <row r="68">
      <c r="A68" s="1491" t="n"/>
      <c r="B68" s="1491" t="n"/>
      <c r="C68" s="1491" t="n"/>
      <c r="D68" s="1491" t="n"/>
      <c r="E68" s="1491" t="n"/>
      <c r="F68" s="1491" t="n"/>
      <c r="G68" s="1491" t="n"/>
      <c r="H68" s="1491" t="n"/>
      <c r="I68" s="1491" t="n"/>
      <c r="J68" s="1491" t="n"/>
      <c r="K68" s="1491" t="n"/>
      <c r="L68" s="1491" t="n"/>
      <c r="M68" s="1491" t="n"/>
      <c r="N68" s="1491" t="n"/>
      <c r="O68" s="1491" t="n"/>
      <c r="P68" s="1491" t="n"/>
      <c r="Q68" s="1491" t="n"/>
      <c r="R68" s="1491" t="n"/>
      <c r="S68" s="1491" t="n"/>
      <c r="T68" s="1491" t="n"/>
      <c r="U68" s="1491" t="n"/>
      <c r="V68" s="1491" t="n"/>
      <c r="W68" s="1491" t="n"/>
      <c r="X68" s="1491" t="n"/>
      <c r="Y68" s="1491" t="n"/>
      <c r="Z68" s="1491" t="n"/>
      <c r="AA68" s="1491" t="n"/>
      <c r="AB68" s="1491" t="n"/>
      <c r="AC68" s="1491" t="n"/>
      <c r="AD68" s="1491" t="n"/>
      <c r="AE68" s="1491" t="n"/>
      <c r="AF68" s="1491" t="n"/>
      <c r="AG68" s="1491" t="n"/>
      <c r="AH68" s="1491" t="n"/>
      <c r="AI68" s="1491" t="n"/>
      <c r="AJ68" s="1491" t="n"/>
      <c r="AK68" s="1491" t="n"/>
      <c r="AL68" s="1491" t="n"/>
      <c r="AM68" s="1491" t="n"/>
      <c r="AN68" s="1491" t="n"/>
      <c r="AO68" s="1491" t="n"/>
      <c r="AP68" s="1491" t="n"/>
      <c r="AQ68" s="1840" t="n"/>
      <c r="AR68" s="2053" t="n"/>
      <c r="AS68" s="2057" t="n"/>
      <c r="AT68" s="2055" t="n"/>
      <c r="AU68" s="2056" t="n"/>
      <c r="AV68" s="1884" t="n"/>
      <c r="AW68" s="2071" t="n"/>
      <c r="AX68" s="2073" t="n"/>
      <c r="AY68" s="2055" t="n"/>
      <c r="AZ68" s="2056" t="n"/>
      <c r="BA68" s="1884" t="n"/>
      <c r="BB68" s="2071" t="n"/>
      <c r="BC68" s="2073" t="n"/>
      <c r="BD68" s="2055" t="n"/>
      <c r="BE68" s="2056" t="n"/>
      <c r="BF68" s="1884" t="n"/>
      <c r="BG68" s="1865" t="inlineStr">
        <is>
          <t>SSA</t>
        </is>
      </c>
      <c r="BH68" s="1866" t="n"/>
      <c r="BI68" s="1867" t="n">
        <v>40533</v>
      </c>
      <c r="BJ68" s="1868" t="n">
        <v>40543</v>
      </c>
      <c r="BK68" s="2092">
        <f>BJ68-BI68</f>
        <v/>
      </c>
      <c r="BL68" s="2071" t="n"/>
      <c r="BM68" s="2073" t="n"/>
      <c r="BN68" s="2055" t="n"/>
      <c r="BO68" s="2056" t="n"/>
      <c r="BP68" s="1884" t="n"/>
      <c r="BQ68" s="2190" t="n"/>
      <c r="BR68" s="2191" t="n"/>
      <c r="BS68" s="2192" t="n"/>
      <c r="BT68" s="2193" t="n"/>
      <c r="BU68" s="1884" t="n"/>
      <c r="BV68" s="2191" t="n"/>
      <c r="BW68" s="2191" t="n"/>
      <c r="BX68" s="2192" t="n"/>
      <c r="BY68" s="2193" t="n"/>
      <c r="BZ68" s="2109" t="n"/>
      <c r="CA68" s="2118" t="inlineStr">
        <is>
          <t>SP</t>
        </is>
      </c>
      <c r="CB68" s="2119" t="n"/>
      <c r="CC68" s="2123" t="n">
        <v>37537</v>
      </c>
      <c r="CD68" s="2124" t="n">
        <v>37540</v>
      </c>
      <c r="CE68" s="1884">
        <f>CD68-CC68</f>
        <v/>
      </c>
      <c r="CF68" s="2191" t="n"/>
      <c r="CG68" s="2191" t="n"/>
      <c r="CH68" s="2192" t="n"/>
      <c r="CI68" s="2193" t="n"/>
      <c r="CJ68" s="2109" t="n"/>
      <c r="CK68" s="2190" t="n"/>
      <c r="CL68" s="2191" t="n"/>
      <c r="CM68" s="2192" t="n"/>
      <c r="CN68" s="2193" t="n"/>
      <c r="CO68" s="1884" t="n"/>
    </row>
    <row r="69">
      <c r="A69" s="1491" t="n"/>
      <c r="B69" s="1491" t="n"/>
      <c r="C69" s="1491" t="n"/>
      <c r="D69" s="1491" t="n"/>
      <c r="E69" s="1491" t="n"/>
      <c r="F69" s="1491" t="n"/>
      <c r="G69" s="1491" t="n"/>
      <c r="H69" s="1491" t="n"/>
      <c r="I69" s="1491" t="n"/>
      <c r="J69" s="1491" t="n"/>
      <c r="K69" s="1491" t="n"/>
      <c r="L69" s="1491" t="n"/>
      <c r="M69" s="1491" t="n"/>
      <c r="N69" s="1491" t="n"/>
      <c r="O69" s="1491" t="n"/>
      <c r="P69" s="1491" t="n"/>
      <c r="Q69" s="1491" t="n"/>
      <c r="R69" s="1491" t="n"/>
      <c r="S69" s="1491" t="n"/>
      <c r="T69" s="1491" t="n"/>
      <c r="U69" s="1491" t="n"/>
      <c r="V69" s="1491" t="n"/>
      <c r="W69" s="1491" t="n"/>
      <c r="X69" s="1491" t="n"/>
      <c r="Y69" s="1491" t="n"/>
      <c r="Z69" s="1491" t="n"/>
      <c r="AA69" s="1491" t="n"/>
      <c r="AB69" s="1491" t="n"/>
      <c r="AC69" s="1491" t="n"/>
      <c r="AD69" s="1491" t="n"/>
      <c r="AE69" s="1491" t="n"/>
      <c r="AF69" s="1491" t="n"/>
      <c r="AG69" s="1491" t="n"/>
      <c r="AH69" s="1491" t="n"/>
      <c r="AI69" s="1491" t="n"/>
      <c r="AJ69" s="1491" t="n"/>
      <c r="AK69" s="1491" t="n"/>
      <c r="AL69" s="1491" t="n"/>
      <c r="AM69" s="1491" t="n"/>
      <c r="AN69" s="1491" t="n"/>
      <c r="AO69" s="1491" t="n"/>
      <c r="AP69" s="1491" t="n"/>
      <c r="AQ69" s="2206" t="n"/>
      <c r="AR69" s="2053" t="n"/>
      <c r="AS69" s="2057" t="n"/>
      <c r="AT69" s="2055" t="n"/>
      <c r="AU69" s="2056" t="n"/>
      <c r="AV69" s="1884" t="n"/>
      <c r="AW69" s="2071" t="n"/>
      <c r="AX69" s="2073" t="n"/>
      <c r="AY69" s="2055" t="n"/>
      <c r="AZ69" s="2056" t="n"/>
      <c r="BA69" s="1884" t="n"/>
      <c r="BB69" s="2071" t="n"/>
      <c r="BC69" s="2073" t="n"/>
      <c r="BD69" s="2055" t="n"/>
      <c r="BE69" s="2056" t="n"/>
      <c r="BF69" s="1884" t="n"/>
      <c r="BG69" s="2071" t="n"/>
      <c r="BH69" s="2073" t="n"/>
      <c r="BI69" s="2055" t="n"/>
      <c r="BJ69" s="2056" t="n"/>
      <c r="BK69" s="1884" t="n"/>
      <c r="BL69" s="2071" t="n"/>
      <c r="BM69" s="2073" t="n"/>
      <c r="BN69" s="2055" t="n"/>
      <c r="BO69" s="2056" t="n"/>
      <c r="BP69" s="1884" t="n"/>
      <c r="BQ69" s="2190" t="n"/>
      <c r="BR69" s="2191" t="n"/>
      <c r="BS69" s="2192" t="n"/>
      <c r="BT69" s="2193" t="n"/>
      <c r="BU69" s="1884" t="n"/>
      <c r="BV69" s="2191" t="n"/>
      <c r="BW69" s="2191" t="n"/>
      <c r="BX69" s="2192" t="n"/>
      <c r="BY69" s="2193" t="n"/>
      <c r="BZ69" s="2109" t="n"/>
      <c r="CA69" s="2102" t="inlineStr">
        <is>
          <t>Bertioga</t>
        </is>
      </c>
      <c r="CB69" s="2103" t="n"/>
      <c r="CC69" s="2107" t="n">
        <v>37540</v>
      </c>
      <c r="CD69" s="2108" t="n">
        <v>37547</v>
      </c>
      <c r="CE69" s="1884">
        <f>CD69-CC69</f>
        <v/>
      </c>
      <c r="CF69" s="2191" t="n"/>
      <c r="CG69" s="2191" t="n"/>
      <c r="CH69" s="2192" t="n"/>
      <c r="CI69" s="2193" t="n"/>
      <c r="CJ69" s="2109" t="n"/>
      <c r="CK69" s="2190" t="n"/>
      <c r="CL69" s="2191" t="n"/>
      <c r="CM69" s="2192" t="n"/>
      <c r="CN69" s="2193" t="n"/>
      <c r="CO69" s="1884" t="n"/>
    </row>
    <row r="70">
      <c r="A70" s="1491" t="n"/>
      <c r="B70" s="1491" t="n"/>
      <c r="C70" s="1491" t="n"/>
      <c r="D70" s="1491" t="n"/>
      <c r="E70" s="1491" t="n"/>
      <c r="F70" s="1491" t="n"/>
      <c r="G70" s="1491" t="n"/>
      <c r="H70" s="1491" t="n"/>
      <c r="I70" s="1491" t="n"/>
      <c r="J70" s="1491" t="n"/>
      <c r="K70" s="1491" t="n"/>
      <c r="L70" s="1491" t="n"/>
      <c r="M70" s="1491" t="n"/>
      <c r="N70" s="1491" t="n"/>
      <c r="O70" s="1491" t="n"/>
      <c r="P70" s="1491" t="n"/>
      <c r="Q70" s="1491" t="n"/>
      <c r="R70" s="1491" t="n"/>
      <c r="S70" s="1491" t="n"/>
      <c r="T70" s="1491" t="n"/>
      <c r="U70" s="1491" t="n"/>
      <c r="V70" s="1491" t="n"/>
      <c r="W70" s="1491" t="n"/>
      <c r="X70" s="1491" t="n"/>
      <c r="Y70" s="1491" t="n"/>
      <c r="Z70" s="1491" t="n"/>
      <c r="AA70" s="1491" t="n"/>
      <c r="AB70" s="1491" t="n"/>
      <c r="AC70" s="1491" t="n"/>
      <c r="AD70" s="1491" t="n"/>
      <c r="AE70" s="1491" t="n"/>
      <c r="AF70" s="1491" t="n"/>
      <c r="AG70" s="1491" t="n"/>
      <c r="AH70" s="1491" t="n"/>
      <c r="AI70" s="1491" t="n"/>
      <c r="AJ70" s="1491" t="n"/>
      <c r="AK70" s="1491" t="n"/>
      <c r="AL70" s="1491" t="n"/>
      <c r="AM70" s="1491" t="n"/>
      <c r="AN70" s="1491" t="n"/>
      <c r="AO70" s="1491" t="n"/>
      <c r="AP70" s="1491" t="n"/>
      <c r="AQ70" s="1908" t="n"/>
      <c r="AR70" s="2053" t="n"/>
      <c r="AS70" s="2057" t="n"/>
      <c r="AT70" s="2055" t="n"/>
      <c r="AU70" s="2056" t="n"/>
      <c r="AV70" s="1884" t="n"/>
      <c r="AW70" s="2071" t="n"/>
      <c r="AX70" s="2073" t="n"/>
      <c r="AY70" s="2055" t="n"/>
      <c r="AZ70" s="2056" t="n"/>
      <c r="BA70" s="1884" t="n"/>
      <c r="BB70" s="2071" t="n"/>
      <c r="BC70" s="2073" t="n"/>
      <c r="BD70" s="2055" t="n"/>
      <c r="BE70" s="2056" t="n"/>
      <c r="BF70" s="1884" t="n"/>
      <c r="BG70" s="2071" t="n"/>
      <c r="BH70" s="2073" t="n"/>
      <c r="BI70" s="2055" t="n"/>
      <c r="BJ70" s="2056" t="n"/>
      <c r="BK70" s="1884" t="n"/>
      <c r="BL70" s="2071" t="n"/>
      <c r="BM70" s="2073" t="n"/>
      <c r="BN70" s="2055" t="n"/>
      <c r="BO70" s="2056" t="n"/>
      <c r="BP70" s="1884" t="n"/>
      <c r="BQ70" s="2190" t="n"/>
      <c r="BR70" s="2191" t="n"/>
      <c r="BS70" s="2192" t="n"/>
      <c r="BT70" s="2193" t="n"/>
      <c r="BU70" s="1884" t="n"/>
      <c r="BV70" s="2191" t="n"/>
      <c r="BW70" s="2191" t="n"/>
      <c r="BX70" s="2192" t="n"/>
      <c r="BY70" s="2193" t="n"/>
      <c r="BZ70" s="2109" t="n"/>
      <c r="CA70" s="2102" t="inlineStr">
        <is>
          <t>Guaecá-S.P</t>
        </is>
      </c>
      <c r="CB70" s="2103" t="n"/>
      <c r="CC70" s="2107" t="n">
        <v>37547</v>
      </c>
      <c r="CD70" s="2108" t="n">
        <v>37551</v>
      </c>
      <c r="CE70" s="1884">
        <f>CD70-CC70</f>
        <v/>
      </c>
      <c r="CF70" s="2191" t="n"/>
      <c r="CG70" s="2191" t="n"/>
      <c r="CH70" s="2192" t="n"/>
      <c r="CI70" s="2193" t="n"/>
      <c r="CJ70" s="2109" t="n"/>
      <c r="CK70" s="2190" t="n"/>
      <c r="CL70" s="2191" t="n"/>
      <c r="CM70" s="2192" t="n"/>
      <c r="CN70" s="2193" t="n"/>
      <c r="CO70" s="1884" t="n"/>
    </row>
    <row r="71">
      <c r="A71" s="1491" t="n"/>
      <c r="B71" s="1491" t="n"/>
      <c r="C71" s="1491" t="n"/>
      <c r="D71" s="1491" t="n"/>
      <c r="E71" s="1491" t="n"/>
      <c r="F71" s="1491" t="n"/>
      <c r="G71" s="1491" t="n"/>
      <c r="H71" s="1491" t="n"/>
      <c r="I71" s="1491" t="n"/>
      <c r="J71" s="1491" t="n"/>
      <c r="K71" s="1491" t="n"/>
      <c r="L71" s="1491" t="n"/>
      <c r="M71" s="1491" t="n"/>
      <c r="N71" s="1491" t="n"/>
      <c r="O71" s="1491" t="n"/>
      <c r="P71" s="1491" t="n"/>
      <c r="Q71" s="1491" t="n"/>
      <c r="R71" s="1491" t="n"/>
      <c r="S71" s="1491" t="n"/>
      <c r="T71" s="1491" t="n"/>
      <c r="U71" s="1491" t="n"/>
      <c r="V71" s="1491" t="n"/>
      <c r="W71" s="1491" t="n"/>
      <c r="X71" s="1491" t="n"/>
      <c r="Y71" s="1491" t="n"/>
      <c r="Z71" s="1491" t="n"/>
      <c r="AA71" s="1491" t="n"/>
      <c r="AB71" s="1491" t="n"/>
      <c r="AC71" s="1491" t="n"/>
      <c r="AD71" s="1491" t="n"/>
      <c r="AE71" s="1491" t="n"/>
      <c r="AF71" s="1491" t="n"/>
      <c r="AG71" s="1491" t="n"/>
      <c r="AH71" s="1491" t="n"/>
      <c r="AI71" s="1491" t="n"/>
      <c r="AJ71" s="1491" t="n"/>
      <c r="AK71" s="1491" t="n"/>
      <c r="AL71" s="1491" t="n"/>
      <c r="AM71" s="1491" t="n"/>
      <c r="AN71" s="1491" t="n"/>
      <c r="AO71" s="1491" t="n"/>
      <c r="AP71" s="1491" t="n"/>
      <c r="AQ71" s="1908" t="n"/>
      <c r="AR71" s="2053" t="n"/>
      <c r="AS71" s="2057" t="n"/>
      <c r="AT71" s="2055" t="n"/>
      <c r="AU71" s="2056" t="n"/>
      <c r="AV71" s="1884" t="n"/>
      <c r="AW71" s="2071" t="n"/>
      <c r="AX71" s="2073" t="n"/>
      <c r="AY71" s="2055" t="n"/>
      <c r="AZ71" s="2056" t="n"/>
      <c r="BA71" s="1884" t="n"/>
      <c r="BB71" s="2071" t="n"/>
      <c r="BC71" s="2073" t="n"/>
      <c r="BD71" s="2055" t="n"/>
      <c r="BE71" s="2056" t="n"/>
      <c r="BF71" s="1884" t="n"/>
      <c r="BG71" s="2071" t="n"/>
      <c r="BH71" s="2073" t="n"/>
      <c r="BI71" s="2055" t="n"/>
      <c r="BJ71" s="2056" t="n"/>
      <c r="BK71" s="1884" t="n"/>
      <c r="BL71" s="2071" t="n"/>
      <c r="BM71" s="2073" t="n"/>
      <c r="BN71" s="2055" t="n"/>
      <c r="BO71" s="2056" t="n"/>
      <c r="BP71" s="1884" t="n"/>
      <c r="BQ71" s="2190" t="n"/>
      <c r="BR71" s="2191" t="n"/>
      <c r="BS71" s="2192" t="n"/>
      <c r="BT71" s="2193" t="n"/>
      <c r="BU71" s="1884" t="n"/>
      <c r="BV71" s="2191" t="n"/>
      <c r="BW71" s="2191" t="n"/>
      <c r="BX71" s="2192" t="n"/>
      <c r="BY71" s="2193" t="n"/>
      <c r="BZ71" s="2109" t="n"/>
      <c r="CA71" s="2102" t="inlineStr">
        <is>
          <t>Bertioga</t>
        </is>
      </c>
      <c r="CB71" s="2103" t="n"/>
      <c r="CC71" s="2107" t="n">
        <v>37551</v>
      </c>
      <c r="CD71" s="2108" t="n">
        <v>37553</v>
      </c>
      <c r="CE71" s="1884">
        <f>CD71-CC71</f>
        <v/>
      </c>
      <c r="CF71" s="2191" t="n"/>
      <c r="CG71" s="2191" t="n"/>
      <c r="CH71" s="2192" t="n"/>
      <c r="CI71" s="2193" t="n"/>
      <c r="CJ71" s="2109" t="n"/>
      <c r="CK71" s="2190" t="n"/>
      <c r="CL71" s="2191" t="n"/>
      <c r="CM71" s="2192" t="n"/>
      <c r="CN71" s="2193" t="n"/>
      <c r="CO71" s="1884" t="n"/>
    </row>
    <row r="72">
      <c r="A72" s="1491" t="n"/>
      <c r="B72" s="1491" t="n"/>
      <c r="C72" s="1491" t="n"/>
      <c r="D72" s="1491" t="n"/>
      <c r="E72" s="1491" t="n"/>
      <c r="F72" s="1491" t="n"/>
      <c r="G72" s="1491" t="n"/>
      <c r="H72" s="1491" t="n"/>
      <c r="I72" s="1491" t="n"/>
      <c r="J72" s="1491" t="n"/>
      <c r="K72" s="1491" t="n"/>
      <c r="L72" s="1491" t="n"/>
      <c r="M72" s="1491" t="n"/>
      <c r="N72" s="1491" t="n"/>
      <c r="O72" s="1491" t="n"/>
      <c r="P72" s="1491" t="n"/>
      <c r="Q72" s="1491" t="n"/>
      <c r="R72" s="1491" t="n"/>
      <c r="S72" s="1491" t="n"/>
      <c r="T72" s="1491" t="n"/>
      <c r="U72" s="1491" t="n"/>
      <c r="V72" s="1491" t="n"/>
      <c r="W72" s="1491" t="n"/>
      <c r="X72" s="1491" t="n"/>
      <c r="Y72" s="1491" t="n"/>
      <c r="Z72" s="1491" t="n"/>
      <c r="AA72" s="1491" t="n"/>
      <c r="AB72" s="1491" t="n"/>
      <c r="AC72" s="1491" t="n"/>
      <c r="AD72" s="1491" t="n"/>
      <c r="AE72" s="1491" t="n"/>
      <c r="AF72" s="1491" t="n"/>
      <c r="AG72" s="1491" t="n"/>
      <c r="AH72" s="1491" t="n"/>
      <c r="AI72" s="1491" t="n"/>
      <c r="AJ72" s="1491" t="n"/>
      <c r="AK72" s="1491" t="n"/>
      <c r="AL72" s="1491" t="n"/>
      <c r="AM72" s="1491" t="n"/>
      <c r="AN72" s="1491" t="n"/>
      <c r="AO72" s="1491" t="n"/>
      <c r="AP72" s="1491" t="n"/>
      <c r="AQ72" s="1908" t="n"/>
      <c r="AR72" s="2053" t="n"/>
      <c r="AS72" s="2057" t="n"/>
      <c r="AT72" s="2055" t="n"/>
      <c r="AU72" s="2056" t="n"/>
      <c r="AV72" s="1884" t="n"/>
      <c r="AW72" s="2071" t="n"/>
      <c r="AX72" s="2073" t="n"/>
      <c r="AY72" s="2055" t="n"/>
      <c r="AZ72" s="2056" t="n"/>
      <c r="BA72" s="1884" t="n"/>
      <c r="BB72" s="2071" t="n"/>
      <c r="BC72" s="2073" t="n"/>
      <c r="BD72" s="2055" t="n"/>
      <c r="BE72" s="2056" t="n"/>
      <c r="BF72" s="1884" t="n"/>
      <c r="BG72" s="2071" t="n"/>
      <c r="BH72" s="2073" t="n"/>
      <c r="BI72" s="2055" t="n"/>
      <c r="BJ72" s="2056" t="n"/>
      <c r="BK72" s="1884" t="n"/>
      <c r="BL72" s="2071" t="n"/>
      <c r="BM72" s="2073" t="n"/>
      <c r="BN72" s="2055" t="n"/>
      <c r="BO72" s="2056" t="n"/>
      <c r="BP72" s="1884" t="n"/>
      <c r="BQ72" s="2190" t="n"/>
      <c r="BR72" s="2191" t="n"/>
      <c r="BS72" s="2192" t="n"/>
      <c r="BT72" s="2193" t="n"/>
      <c r="BU72" s="1884" t="n"/>
      <c r="BV72" s="2191" t="n"/>
      <c r="BW72" s="2191" t="n"/>
      <c r="BX72" s="2192" t="n"/>
      <c r="BY72" s="2193" t="n"/>
      <c r="BZ72" s="2109" t="n"/>
      <c r="CA72" s="2118" t="inlineStr">
        <is>
          <t>SP</t>
        </is>
      </c>
      <c r="CB72" s="2119" t="n"/>
      <c r="CC72" s="2123" t="n">
        <v>37553</v>
      </c>
      <c r="CD72" s="2124" t="n">
        <v>37555</v>
      </c>
      <c r="CE72" s="1884">
        <f>CD72-CC72</f>
        <v/>
      </c>
      <c r="CF72" s="2191" t="n"/>
      <c r="CG72" s="2191" t="n"/>
      <c r="CH72" s="2192" t="n"/>
      <c r="CI72" s="2193" t="n"/>
      <c r="CJ72" s="2109" t="n"/>
      <c r="CK72" s="2190" t="n"/>
      <c r="CL72" s="2191" t="n"/>
      <c r="CM72" s="2192" t="n"/>
      <c r="CN72" s="2193" t="n"/>
      <c r="CO72" s="1884" t="n"/>
    </row>
    <row r="73">
      <c r="A73" s="1491" t="n"/>
      <c r="B73" s="1491" t="n"/>
      <c r="C73" s="1491" t="n"/>
      <c r="D73" s="1491" t="n"/>
      <c r="E73" s="1491" t="n"/>
      <c r="F73" s="1491" t="n"/>
      <c r="G73" s="1491" t="n"/>
      <c r="H73" s="1491" t="n"/>
      <c r="I73" s="1491" t="n"/>
      <c r="J73" s="1491" t="n"/>
      <c r="K73" s="1491" t="n"/>
      <c r="L73" s="1491" t="n"/>
      <c r="M73" s="1491" t="n"/>
      <c r="N73" s="1491" t="n"/>
      <c r="O73" s="1491" t="n"/>
      <c r="P73" s="1491" t="n"/>
      <c r="Q73" s="1491" t="n"/>
      <c r="R73" s="1491" t="n"/>
      <c r="S73" s="1491" t="n"/>
      <c r="T73" s="1491" t="n"/>
      <c r="U73" s="1491" t="n"/>
      <c r="V73" s="1491" t="n"/>
      <c r="W73" s="1491" t="n"/>
      <c r="X73" s="1491" t="n"/>
      <c r="Y73" s="1491" t="n"/>
      <c r="Z73" s="1491" t="n"/>
      <c r="AA73" s="1491" t="n"/>
      <c r="AB73" s="1491" t="n"/>
      <c r="AC73" s="1491" t="n"/>
      <c r="AD73" s="1491" t="n"/>
      <c r="AE73" s="1491" t="n"/>
      <c r="AF73" s="1491" t="n"/>
      <c r="AG73" s="1491" t="n"/>
      <c r="AH73" s="1491" t="n"/>
      <c r="AI73" s="1491" t="n"/>
      <c r="AJ73" s="1491" t="n"/>
      <c r="AK73" s="1491" t="n"/>
      <c r="AL73" s="1491" t="n"/>
      <c r="AM73" s="1491" t="n"/>
      <c r="AN73" s="1491" t="n"/>
      <c r="AO73" s="1491" t="n"/>
      <c r="AP73" s="1491" t="n"/>
      <c r="AQ73" s="1908" t="n"/>
      <c r="AR73" s="2053" t="n"/>
      <c r="AS73" s="2057" t="n"/>
      <c r="AT73" s="2055" t="n"/>
      <c r="AU73" s="2056" t="n"/>
      <c r="AV73" s="1884" t="n"/>
      <c r="AW73" s="2071" t="n"/>
      <c r="AX73" s="2073" t="n"/>
      <c r="AY73" s="2055" t="n"/>
      <c r="AZ73" s="2056" t="n"/>
      <c r="BA73" s="1884" t="n"/>
      <c r="BB73" s="2071" t="n"/>
      <c r="BC73" s="2073" t="n"/>
      <c r="BD73" s="2055" t="n"/>
      <c r="BE73" s="2056" t="n"/>
      <c r="BF73" s="1884" t="n"/>
      <c r="BG73" s="2071" t="n"/>
      <c r="BH73" s="2073" t="n"/>
      <c r="BI73" s="2055" t="n"/>
      <c r="BJ73" s="2056" t="n"/>
      <c r="BK73" s="1884" t="n"/>
      <c r="BL73" s="2071" t="n"/>
      <c r="BM73" s="2073" t="n"/>
      <c r="BN73" s="2055" t="n"/>
      <c r="BO73" s="2056" t="n"/>
      <c r="BP73" s="1884" t="n"/>
      <c r="BQ73" s="2190" t="n"/>
      <c r="BR73" s="2191" t="n"/>
      <c r="BS73" s="2192" t="n"/>
      <c r="BT73" s="2193" t="n"/>
      <c r="BU73" s="1884" t="n"/>
      <c r="BV73" s="2191" t="n"/>
      <c r="BW73" s="2191" t="n"/>
      <c r="BX73" s="2192" t="n"/>
      <c r="BY73" s="2193" t="n"/>
      <c r="BZ73" s="2109" t="n"/>
      <c r="CA73" s="2205" t="inlineStr">
        <is>
          <t>SSA</t>
        </is>
      </c>
      <c r="CB73" s="2103" t="n"/>
      <c r="CC73" s="2107" t="n">
        <v>37555</v>
      </c>
      <c r="CD73" s="2108" t="n">
        <v>37564</v>
      </c>
      <c r="CE73" s="1884">
        <f>CD73-CC73</f>
        <v/>
      </c>
      <c r="CF73" s="2191" t="n"/>
      <c r="CG73" s="2191" t="n"/>
      <c r="CH73" s="2192" t="n"/>
      <c r="CI73" s="2193" t="n"/>
      <c r="CJ73" s="2109" t="n"/>
      <c r="CK73" s="2190" t="n"/>
      <c r="CL73" s="2191" t="n"/>
      <c r="CM73" s="2192" t="n"/>
      <c r="CN73" s="2193" t="n"/>
      <c r="CO73" s="1884" t="n"/>
    </row>
    <row r="74">
      <c r="A74" s="1491" t="n"/>
      <c r="B74" s="1491" t="n"/>
      <c r="C74" s="1491" t="n"/>
      <c r="D74" s="1491" t="n"/>
      <c r="E74" s="1491" t="n"/>
      <c r="F74" s="1491" t="n"/>
      <c r="G74" s="1491" t="n"/>
      <c r="H74" s="1491" t="n"/>
      <c r="I74" s="1491" t="n"/>
      <c r="J74" s="1491" t="n"/>
      <c r="K74" s="1491" t="n"/>
      <c r="L74" s="1491" t="n"/>
      <c r="M74" s="1491" t="n"/>
      <c r="N74" s="1491" t="n"/>
      <c r="O74" s="1491" t="n"/>
      <c r="P74" s="1491" t="n"/>
      <c r="Q74" s="1491" t="n"/>
      <c r="R74" s="1491" t="n"/>
      <c r="S74" s="1491" t="n"/>
      <c r="T74" s="1491" t="n"/>
      <c r="U74" s="1491" t="n"/>
      <c r="V74" s="1491" t="n"/>
      <c r="W74" s="1491" t="n"/>
      <c r="X74" s="1491" t="n"/>
      <c r="Y74" s="1491" t="n"/>
      <c r="Z74" s="1491" t="n"/>
      <c r="AA74" s="1491" t="n"/>
      <c r="AB74" s="1491" t="n"/>
      <c r="AC74" s="1491" t="n"/>
      <c r="AD74" s="1491" t="n"/>
      <c r="AE74" s="1491" t="n"/>
      <c r="AF74" s="1491" t="n"/>
      <c r="AG74" s="1491" t="n"/>
      <c r="AH74" s="1491" t="n"/>
      <c r="AI74" s="1491" t="n"/>
      <c r="AJ74" s="1491" t="n"/>
      <c r="AK74" s="1491" t="n"/>
      <c r="AL74" s="1491" t="n"/>
      <c r="AM74" s="1491" t="n"/>
      <c r="AN74" s="1491" t="n"/>
      <c r="AO74" s="1491" t="n"/>
      <c r="AP74" s="1491" t="n"/>
      <c r="AQ74" s="1908" t="n"/>
      <c r="AR74" s="2053" t="n"/>
      <c r="AS74" s="2057" t="n"/>
      <c r="AT74" s="2055" t="n"/>
      <c r="AU74" s="2056" t="n"/>
      <c r="AV74" s="1884" t="n"/>
      <c r="AW74" s="2071" t="n"/>
      <c r="AX74" s="2073" t="n"/>
      <c r="AY74" s="2055" t="n"/>
      <c r="AZ74" s="2056" t="n"/>
      <c r="BA74" s="1884" t="n"/>
      <c r="BB74" s="2071" t="n"/>
      <c r="BC74" s="2073" t="n"/>
      <c r="BD74" s="2055" t="n"/>
      <c r="BE74" s="2056" t="n"/>
      <c r="BF74" s="1884" t="n"/>
      <c r="BG74" s="2071" t="n"/>
      <c r="BH74" s="2073" t="n"/>
      <c r="BI74" s="2055" t="n"/>
      <c r="BJ74" s="2056" t="n"/>
      <c r="BK74" s="1884" t="n"/>
      <c r="BL74" s="2071" t="n"/>
      <c r="BM74" s="2073" t="n"/>
      <c r="BN74" s="2055" t="n"/>
      <c r="BO74" s="2056" t="n"/>
      <c r="BP74" s="1884" t="n"/>
      <c r="BQ74" s="2190" t="n"/>
      <c r="BR74" s="2191" t="n"/>
      <c r="BS74" s="2192" t="n"/>
      <c r="BT74" s="2193" t="n"/>
      <c r="BU74" s="1884" t="n"/>
      <c r="BV74" s="2191" t="n"/>
      <c r="BW74" s="2191" t="n"/>
      <c r="BX74" s="2192" t="n"/>
      <c r="BY74" s="2193" t="n"/>
      <c r="BZ74" s="2109" t="n"/>
      <c r="CA74" s="2118" t="inlineStr">
        <is>
          <t>SP</t>
        </is>
      </c>
      <c r="CB74" s="2119" t="n"/>
      <c r="CC74" s="2123" t="n">
        <v>38295</v>
      </c>
      <c r="CD74" s="2124" t="n">
        <v>38300</v>
      </c>
      <c r="CE74" s="1884">
        <f>CD74-CC74</f>
        <v/>
      </c>
      <c r="CF74" s="2191" t="n"/>
      <c r="CG74" s="2191" t="n"/>
      <c r="CH74" s="2192" t="n"/>
      <c r="CI74" s="2193" t="n"/>
      <c r="CJ74" s="2109" t="n"/>
      <c r="CK74" s="2190" t="n"/>
      <c r="CL74" s="2191" t="n"/>
      <c r="CM74" s="2192" t="n"/>
      <c r="CN74" s="2193" t="n"/>
      <c r="CO74" s="1884" t="n"/>
    </row>
    <row r="75">
      <c r="A75" s="1491" t="n"/>
      <c r="B75" s="1491" t="n"/>
      <c r="C75" s="1491" t="n"/>
      <c r="D75" s="1491" t="n"/>
      <c r="E75" s="1491" t="n"/>
      <c r="F75" s="1491" t="n"/>
      <c r="G75" s="1491" t="n"/>
      <c r="H75" s="1491" t="n"/>
      <c r="I75" s="1491" t="n"/>
      <c r="J75" s="1491" t="n"/>
      <c r="K75" s="1491" t="n"/>
      <c r="L75" s="1491" t="n"/>
      <c r="M75" s="1491" t="n"/>
      <c r="N75" s="1491" t="n"/>
      <c r="O75" s="1491" t="n"/>
      <c r="P75" s="1491" t="n"/>
      <c r="Q75" s="1491" t="n"/>
      <c r="R75" s="1491" t="n"/>
      <c r="S75" s="1491" t="n"/>
      <c r="T75" s="1491" t="n"/>
      <c r="U75" s="1491" t="n"/>
      <c r="V75" s="1491" t="n"/>
      <c r="W75" s="1491" t="n"/>
      <c r="X75" s="1491" t="n"/>
      <c r="Y75" s="1491" t="n"/>
      <c r="Z75" s="1491" t="n"/>
      <c r="AA75" s="1491" t="n"/>
      <c r="AB75" s="1491" t="n"/>
      <c r="AC75" s="1491" t="n"/>
      <c r="AD75" s="1491" t="n"/>
      <c r="AE75" s="1491" t="n"/>
      <c r="AF75" s="1491" t="n"/>
      <c r="AG75" s="1491" t="n"/>
      <c r="AH75" s="1491" t="n"/>
      <c r="AI75" s="1491" t="n"/>
      <c r="AJ75" s="1491" t="n"/>
      <c r="AK75" s="1491" t="n"/>
      <c r="AL75" s="1491" t="n"/>
      <c r="AM75" s="1491" t="n"/>
      <c r="AN75" s="1491" t="n"/>
      <c r="AO75" s="1491" t="n"/>
      <c r="AP75" s="1491" t="n"/>
      <c r="AQ75" s="1908" t="n"/>
      <c r="AR75" s="2053" t="n"/>
      <c r="AS75" s="2057" t="n"/>
      <c r="AT75" s="2055" t="n"/>
      <c r="AU75" s="2056" t="n"/>
      <c r="AV75" s="1884" t="n"/>
      <c r="AW75" s="2071" t="n"/>
      <c r="AX75" s="2073" t="n"/>
      <c r="AY75" s="2055" t="n"/>
      <c r="AZ75" s="2056" t="n"/>
      <c r="BA75" s="1884" t="n"/>
      <c r="BB75" s="2071" t="n"/>
      <c r="BC75" s="2073" t="n"/>
      <c r="BD75" s="2055" t="n"/>
      <c r="BE75" s="2056" t="n"/>
      <c r="BF75" s="1884" t="n"/>
      <c r="BG75" s="2071" t="n"/>
      <c r="BH75" s="2073" t="n"/>
      <c r="BI75" s="2055" t="n"/>
      <c r="BJ75" s="2056" t="n"/>
      <c r="BK75" s="1884" t="n"/>
      <c r="BL75" s="2071" t="n"/>
      <c r="BM75" s="2073" t="n"/>
      <c r="BN75" s="2055" t="n"/>
      <c r="BO75" s="2056" t="n"/>
      <c r="BP75" s="1884" t="n"/>
      <c r="BQ75" s="2190" t="n"/>
      <c r="BR75" s="2191" t="n"/>
      <c r="BS75" s="2192" t="n"/>
      <c r="BT75" s="2193" t="n"/>
      <c r="BU75" s="1884" t="n"/>
      <c r="BV75" s="2191" t="n"/>
      <c r="BW75" s="2191" t="n"/>
      <c r="BX75" s="2192" t="n"/>
      <c r="BY75" s="2193" t="n"/>
      <c r="BZ75" s="2109" t="n"/>
      <c r="CA75" s="2102" t="inlineStr">
        <is>
          <t>Bertioga</t>
        </is>
      </c>
      <c r="CB75" s="2103" t="n"/>
      <c r="CC75" s="2107" t="n">
        <v>38300</v>
      </c>
      <c r="CD75" s="2108" t="n">
        <v>38304</v>
      </c>
      <c r="CE75" s="1884">
        <f>CD75-CC75</f>
        <v/>
      </c>
      <c r="CF75" s="2191" t="n"/>
      <c r="CG75" s="2191" t="n"/>
      <c r="CH75" s="2192" t="n"/>
      <c r="CI75" s="2193" t="n"/>
      <c r="CJ75" s="2109" t="n"/>
      <c r="CK75" s="2190" t="n"/>
      <c r="CL75" s="2191" t="n"/>
      <c r="CM75" s="2192" t="n"/>
      <c r="CN75" s="2193" t="n"/>
      <c r="CO75" s="1884" t="n"/>
    </row>
    <row r="76">
      <c r="A76" s="1491" t="n"/>
      <c r="B76" s="1491" t="n"/>
      <c r="C76" s="1491" t="n"/>
      <c r="D76" s="1491" t="n"/>
      <c r="E76" s="1491" t="n"/>
      <c r="F76" s="1491" t="n"/>
      <c r="G76" s="1491" t="n"/>
      <c r="H76" s="1491" t="n"/>
      <c r="I76" s="1491" t="n"/>
      <c r="J76" s="1491" t="n"/>
      <c r="K76" s="1491" t="n"/>
      <c r="L76" s="1491" t="n"/>
      <c r="M76" s="1491" t="n"/>
      <c r="N76" s="1491" t="n"/>
      <c r="O76" s="1491" t="n"/>
      <c r="P76" s="1491" t="n"/>
      <c r="Q76" s="1491" t="n"/>
      <c r="R76" s="1491" t="n"/>
      <c r="S76" s="1491" t="n"/>
      <c r="T76" s="1491" t="n"/>
      <c r="U76" s="1491" t="n"/>
      <c r="V76" s="1491" t="n"/>
      <c r="W76" s="1491" t="n"/>
      <c r="X76" s="1491" t="n"/>
      <c r="Y76" s="1491" t="n"/>
      <c r="Z76" s="1491" t="n"/>
      <c r="AA76" s="1491" t="n"/>
      <c r="AB76" s="1491" t="n"/>
      <c r="AC76" s="1491" t="n"/>
      <c r="AD76" s="1491" t="n"/>
      <c r="AE76" s="1491" t="n"/>
      <c r="AF76" s="1491" t="n"/>
      <c r="AG76" s="1491" t="n"/>
      <c r="AH76" s="1491" t="n"/>
      <c r="AI76" s="1491" t="n"/>
      <c r="AJ76" s="1491" t="n"/>
      <c r="AK76" s="1491" t="n"/>
      <c r="AL76" s="1491" t="n"/>
      <c r="AM76" s="1491" t="n"/>
      <c r="AN76" s="1491" t="n"/>
      <c r="AO76" s="1491" t="n"/>
      <c r="AP76" s="1491" t="n"/>
      <c r="AQ76" s="1908" t="n"/>
      <c r="AR76" s="2053" t="n"/>
      <c r="AS76" s="2057" t="n"/>
      <c r="AT76" s="2055" t="n"/>
      <c r="AU76" s="2056" t="n"/>
      <c r="AV76" s="1884" t="n"/>
      <c r="AW76" s="2071" t="n"/>
      <c r="AX76" s="2073" t="n"/>
      <c r="AY76" s="2055" t="n"/>
      <c r="AZ76" s="2056" t="n"/>
      <c r="BA76" s="1884" t="n"/>
      <c r="BB76" s="2071" t="n"/>
      <c r="BC76" s="2073" t="n"/>
      <c r="BD76" s="2055" t="n"/>
      <c r="BE76" s="2056" t="n"/>
      <c r="BF76" s="1884" t="n"/>
      <c r="BG76" s="2071" t="n"/>
      <c r="BH76" s="2073" t="n"/>
      <c r="BI76" s="2055" t="n"/>
      <c r="BJ76" s="2056" t="n"/>
      <c r="BK76" s="1884" t="n"/>
      <c r="BL76" s="2071" t="n"/>
      <c r="BM76" s="2073" t="n"/>
      <c r="BN76" s="2055" t="n"/>
      <c r="BO76" s="2056" t="n"/>
      <c r="BP76" s="1884" t="n"/>
      <c r="BQ76" s="2190" t="n"/>
      <c r="BR76" s="2191" t="n"/>
      <c r="BS76" s="2192" t="n"/>
      <c r="BT76" s="2193" t="n"/>
      <c r="BU76" s="1884" t="n"/>
      <c r="BV76" s="2191" t="n"/>
      <c r="BW76" s="2191" t="n"/>
      <c r="BX76" s="2192" t="n"/>
      <c r="BY76" s="2193" t="n"/>
      <c r="BZ76" s="2109" t="n"/>
      <c r="CA76" s="2205" t="inlineStr">
        <is>
          <t>BH</t>
        </is>
      </c>
      <c r="CB76" s="2103" t="n"/>
      <c r="CC76" s="2107" t="n">
        <v>38304</v>
      </c>
      <c r="CD76" s="2108" t="n">
        <v>38308</v>
      </c>
      <c r="CE76" s="1884">
        <f>CD76-CC76</f>
        <v/>
      </c>
      <c r="CF76" s="2191" t="n"/>
      <c r="CG76" s="2191" t="n"/>
      <c r="CH76" s="2192" t="n"/>
      <c r="CI76" s="2193" t="n"/>
      <c r="CJ76" s="2109" t="n"/>
      <c r="CK76" s="2190" t="n"/>
      <c r="CL76" s="2191" t="n"/>
      <c r="CM76" s="2192" t="n"/>
      <c r="CN76" s="2193" t="n"/>
      <c r="CO76" s="1884" t="n"/>
    </row>
    <row r="77">
      <c r="A77" s="1491" t="n"/>
      <c r="B77" s="1491" t="n"/>
      <c r="C77" s="1491" t="n"/>
      <c r="D77" s="1491" t="n"/>
      <c r="E77" s="1491" t="n"/>
      <c r="F77" s="1491" t="n"/>
      <c r="G77" s="1491" t="n"/>
      <c r="H77" s="1491" t="n"/>
      <c r="I77" s="1491" t="n"/>
      <c r="J77" s="1491" t="n"/>
      <c r="K77" s="1491" t="n"/>
      <c r="L77" s="1491" t="n"/>
      <c r="M77" s="1491" t="n"/>
      <c r="N77" s="1491" t="n"/>
      <c r="O77" s="1491" t="n"/>
      <c r="P77" s="1491" t="n"/>
      <c r="Q77" s="1491" t="n"/>
      <c r="R77" s="1491" t="n"/>
      <c r="S77" s="1491" t="n"/>
      <c r="T77" s="1491" t="n"/>
      <c r="U77" s="1491" t="n"/>
      <c r="V77" s="1491" t="n"/>
      <c r="W77" s="1491" t="n"/>
      <c r="X77" s="1491" t="n"/>
      <c r="Y77" s="1491" t="n"/>
      <c r="Z77" s="1491" t="n"/>
      <c r="AA77" s="1491" t="n"/>
      <c r="AB77" s="1491" t="n"/>
      <c r="AC77" s="1491" t="n"/>
      <c r="AD77" s="1491" t="n"/>
      <c r="AE77" s="1491" t="n"/>
      <c r="AF77" s="1491" t="n"/>
      <c r="AG77" s="1491" t="n"/>
      <c r="AH77" s="1491" t="n"/>
      <c r="AI77" s="1491" t="n"/>
      <c r="AJ77" s="1491" t="n"/>
      <c r="AK77" s="1491" t="n"/>
      <c r="AL77" s="1491" t="n"/>
      <c r="AM77" s="1491" t="n"/>
      <c r="AN77" s="1491" t="n"/>
      <c r="AO77" s="1491" t="n"/>
      <c r="AP77" s="1491" t="n"/>
      <c r="AQ77" s="1908" t="n"/>
      <c r="AR77" s="2053" t="n"/>
      <c r="AS77" s="2057" t="n"/>
      <c r="AT77" s="2055" t="n"/>
      <c r="AU77" s="2056" t="n"/>
      <c r="AV77" s="1884" t="n"/>
      <c r="AW77" s="2071" t="n"/>
      <c r="AX77" s="2073" t="n"/>
      <c r="AY77" s="2055" t="n"/>
      <c r="AZ77" s="2056" t="n"/>
      <c r="BA77" s="1884" t="n"/>
      <c r="BB77" s="2071" t="n"/>
      <c r="BC77" s="2073" t="n"/>
      <c r="BD77" s="2055" t="n"/>
      <c r="BE77" s="2056" t="n"/>
      <c r="BF77" s="1884" t="n"/>
      <c r="BG77" s="2071" t="n"/>
      <c r="BH77" s="2073" t="n"/>
      <c r="BI77" s="2055" t="n"/>
      <c r="BJ77" s="2056" t="n"/>
      <c r="BK77" s="1884" t="n"/>
      <c r="BL77" s="2071" t="n"/>
      <c r="BM77" s="2073" t="n"/>
      <c r="BN77" s="2055" t="n"/>
      <c r="BO77" s="2056" t="n"/>
      <c r="BP77" s="1884" t="n"/>
      <c r="BQ77" s="2190" t="n"/>
      <c r="BR77" s="2191" t="n"/>
      <c r="BS77" s="2192" t="n"/>
      <c r="BT77" s="2193" t="n"/>
      <c r="BU77" s="1884" t="n"/>
      <c r="BV77" s="2191" t="n"/>
      <c r="BW77" s="2191" t="n"/>
      <c r="BX77" s="2192" t="n"/>
      <c r="BY77" s="2193" t="n"/>
      <c r="BZ77" s="2109" t="n"/>
      <c r="CA77" s="2102" t="inlineStr">
        <is>
          <t>Bertioga</t>
        </is>
      </c>
      <c r="CB77" s="2103" t="n"/>
      <c r="CC77" s="2107" t="n">
        <v>37547</v>
      </c>
      <c r="CD77" s="2108" t="n">
        <v>37580</v>
      </c>
      <c r="CE77" s="1884">
        <f>CD77-CC77</f>
        <v/>
      </c>
      <c r="CF77" s="2191" t="n"/>
      <c r="CG77" s="2191" t="n"/>
      <c r="CH77" s="2192" t="n"/>
      <c r="CI77" s="2193" t="n"/>
      <c r="CJ77" s="2109" t="n"/>
      <c r="CK77" s="2190" t="n"/>
      <c r="CL77" s="2191" t="n"/>
      <c r="CM77" s="2192" t="n"/>
      <c r="CN77" s="2193" t="n"/>
      <c r="CO77" s="1884" t="n"/>
    </row>
    <row r="78">
      <c r="A78" s="1491" t="n"/>
      <c r="B78" s="1491" t="n"/>
      <c r="C78" s="1491" t="n"/>
      <c r="D78" s="1491" t="n"/>
      <c r="E78" s="1491" t="n"/>
      <c r="F78" s="1491" t="n"/>
      <c r="G78" s="1491" t="n"/>
      <c r="H78" s="1491" t="n"/>
      <c r="I78" s="1491" t="n"/>
      <c r="J78" s="1491" t="n"/>
      <c r="K78" s="1491" t="n"/>
      <c r="L78" s="1491" t="n"/>
      <c r="M78" s="1491" t="n"/>
      <c r="N78" s="1491" t="n"/>
      <c r="O78" s="1491" t="n"/>
      <c r="P78" s="1491" t="n"/>
      <c r="Q78" s="1491" t="n"/>
      <c r="R78" s="1491" t="n"/>
      <c r="S78" s="1491" t="n"/>
      <c r="T78" s="1491" t="n"/>
      <c r="U78" s="1491" t="n"/>
      <c r="V78" s="1491" t="n"/>
      <c r="W78" s="1491" t="n"/>
      <c r="X78" s="1491" t="n"/>
      <c r="Y78" s="1491" t="n"/>
      <c r="Z78" s="1491" t="n"/>
      <c r="AA78" s="1491" t="n"/>
      <c r="AB78" s="1491" t="n"/>
      <c r="AC78" s="1491" t="n"/>
      <c r="AD78" s="1491" t="n"/>
      <c r="AE78" s="1491" t="n"/>
      <c r="AF78" s="1491" t="n"/>
      <c r="AG78" s="1491" t="n"/>
      <c r="AH78" s="1491" t="n"/>
      <c r="AI78" s="1491" t="n"/>
      <c r="AJ78" s="1491" t="n"/>
      <c r="AK78" s="1491" t="n"/>
      <c r="AL78" s="1491" t="n"/>
      <c r="AM78" s="1491" t="n"/>
      <c r="AN78" s="1491" t="n"/>
      <c r="AO78" s="1491" t="n"/>
      <c r="AP78" s="1491" t="n"/>
      <c r="AQ78" s="1908" t="n"/>
      <c r="AR78" s="2053" t="n"/>
      <c r="AS78" s="2057" t="n"/>
      <c r="AT78" s="2055" t="n"/>
      <c r="AU78" s="2056" t="n"/>
      <c r="AV78" s="1884" t="n"/>
      <c r="AW78" s="2071" t="n"/>
      <c r="AX78" s="2073" t="n"/>
      <c r="AY78" s="2055" t="n"/>
      <c r="AZ78" s="2056" t="n"/>
      <c r="BA78" s="1884" t="n"/>
      <c r="BB78" s="2071" t="n"/>
      <c r="BC78" s="2073" t="n"/>
      <c r="BD78" s="2055" t="n"/>
      <c r="BE78" s="2056" t="n"/>
      <c r="BF78" s="1884" t="n"/>
      <c r="BG78" s="2071" t="n"/>
      <c r="BH78" s="2073" t="n"/>
      <c r="BI78" s="2055" t="n"/>
      <c r="BJ78" s="2056" t="n"/>
      <c r="BK78" s="1884" t="n"/>
      <c r="BL78" s="2071" t="n"/>
      <c r="BM78" s="2073" t="n"/>
      <c r="BN78" s="2055" t="n"/>
      <c r="BO78" s="2056" t="n"/>
      <c r="BP78" s="1884" t="n"/>
      <c r="BQ78" s="2190" t="n"/>
      <c r="BR78" s="2191" t="n"/>
      <c r="BS78" s="2192" t="n"/>
      <c r="BT78" s="2193" t="n"/>
      <c r="BU78" s="1884" t="n"/>
      <c r="BV78" s="2191" t="n"/>
      <c r="BW78" s="2191" t="n"/>
      <c r="BX78" s="2192" t="n"/>
      <c r="BY78" s="2193" t="n"/>
      <c r="BZ78" s="2109" t="n"/>
      <c r="CA78" s="2118" t="inlineStr">
        <is>
          <t>SP</t>
        </is>
      </c>
      <c r="CB78" s="2119" t="n"/>
      <c r="CC78" s="2123" t="n">
        <v>37580</v>
      </c>
      <c r="CD78" s="2124" t="n">
        <v>37582</v>
      </c>
      <c r="CE78" s="1884">
        <f>CD78-CC78</f>
        <v/>
      </c>
      <c r="CF78" s="2191" t="n"/>
      <c r="CG78" s="2191" t="n"/>
      <c r="CH78" s="2192" t="n"/>
      <c r="CI78" s="2193" t="n"/>
      <c r="CJ78" s="2109" t="n"/>
      <c r="CK78" s="2190" t="n"/>
      <c r="CL78" s="2191" t="n"/>
      <c r="CM78" s="2192" t="n"/>
      <c r="CN78" s="2193" t="n"/>
      <c r="CO78" s="1884" t="n"/>
    </row>
    <row r="79">
      <c r="A79" s="1491" t="n"/>
      <c r="B79" s="1491" t="n"/>
      <c r="C79" s="1491" t="n"/>
      <c r="D79" s="1491" t="n"/>
      <c r="E79" s="1491" t="n"/>
      <c r="F79" s="1491" t="n"/>
      <c r="G79" s="1491" t="n"/>
      <c r="H79" s="1491" t="n"/>
      <c r="I79" s="1491" t="n"/>
      <c r="J79" s="1491" t="n"/>
      <c r="K79" s="1491" t="n"/>
      <c r="L79" s="1491" t="n"/>
      <c r="M79" s="1491" t="n"/>
      <c r="N79" s="1491" t="n"/>
      <c r="O79" s="1491" t="n"/>
      <c r="P79" s="1491" t="n"/>
      <c r="Q79" s="1491" t="n"/>
      <c r="R79" s="1491" t="n"/>
      <c r="S79" s="1491" t="n"/>
      <c r="T79" s="1491" t="n"/>
      <c r="U79" s="1491" t="n"/>
      <c r="V79" s="1491" t="n"/>
      <c r="W79" s="1491" t="n"/>
      <c r="X79" s="1491" t="n"/>
      <c r="Y79" s="1491" t="n"/>
      <c r="Z79" s="1491" t="n"/>
      <c r="AA79" s="1491" t="n"/>
      <c r="AB79" s="1491" t="n"/>
      <c r="AC79" s="1491" t="n"/>
      <c r="AD79" s="1491" t="n"/>
      <c r="AE79" s="1491" t="n"/>
      <c r="AF79" s="1491" t="n"/>
      <c r="AG79" s="1491" t="n"/>
      <c r="AH79" s="1491" t="n"/>
      <c r="AI79" s="1491" t="n"/>
      <c r="AJ79" s="1491" t="n"/>
      <c r="AK79" s="1491" t="n"/>
      <c r="AL79" s="1491" t="n"/>
      <c r="AM79" s="1491" t="n"/>
      <c r="AN79" s="1491" t="n"/>
      <c r="AO79" s="1491" t="n"/>
      <c r="AP79" s="1491" t="n"/>
      <c r="AQ79" s="1908" t="n"/>
      <c r="AR79" s="2053" t="n"/>
      <c r="AS79" s="2057" t="n"/>
      <c r="AT79" s="2055" t="n"/>
      <c r="AU79" s="2056" t="n"/>
      <c r="AV79" s="1884" t="n"/>
      <c r="AW79" s="2071" t="n"/>
      <c r="AX79" s="2073" t="n"/>
      <c r="AY79" s="2055" t="n"/>
      <c r="AZ79" s="2056" t="n"/>
      <c r="BA79" s="1884" t="n"/>
      <c r="BB79" s="2071" t="n"/>
      <c r="BC79" s="2073" t="n"/>
      <c r="BD79" s="2055" t="n"/>
      <c r="BE79" s="2056" t="n"/>
      <c r="BF79" s="1884" t="n"/>
      <c r="BG79" s="2071" t="n"/>
      <c r="BH79" s="2073" t="n"/>
      <c r="BI79" s="2055" t="n"/>
      <c r="BJ79" s="2056" t="n"/>
      <c r="BK79" s="1884" t="n"/>
      <c r="BL79" s="2071" t="n"/>
      <c r="BM79" s="2073" t="n"/>
      <c r="BN79" s="2055" t="n"/>
      <c r="BO79" s="2056" t="n"/>
      <c r="BP79" s="1884" t="n"/>
      <c r="BQ79" s="2190" t="n"/>
      <c r="BR79" s="2191" t="n"/>
      <c r="BS79" s="2192" t="n"/>
      <c r="BT79" s="2193" t="n"/>
      <c r="BU79" s="1884" t="n"/>
      <c r="BV79" s="2191" t="n"/>
      <c r="BW79" s="2191" t="n"/>
      <c r="BX79" s="2192" t="n"/>
      <c r="BY79" s="2193" t="n"/>
      <c r="BZ79" s="2109" t="n"/>
      <c r="CA79" s="2102" t="inlineStr">
        <is>
          <t>Bertioga</t>
        </is>
      </c>
      <c r="CB79" s="2103" t="n"/>
      <c r="CC79" s="2107" t="n">
        <v>37582</v>
      </c>
      <c r="CD79" s="2108" t="n">
        <v>37591</v>
      </c>
      <c r="CE79" s="1884">
        <f>CD79-CC79</f>
        <v/>
      </c>
      <c r="CF79" s="2191" t="n"/>
      <c r="CG79" s="2191" t="n"/>
      <c r="CH79" s="2192" t="n"/>
      <c r="CI79" s="2193" t="n"/>
      <c r="CJ79" s="2109" t="n"/>
      <c r="CK79" s="2190" t="n"/>
      <c r="CL79" s="2191" t="n"/>
      <c r="CM79" s="2192" t="n"/>
      <c r="CN79" s="2193" t="n"/>
      <c r="CO79" s="1884" t="n"/>
    </row>
    <row r="80">
      <c r="A80" s="1491" t="n"/>
      <c r="B80" s="1491" t="n"/>
      <c r="C80" s="1491" t="n"/>
      <c r="D80" s="1491" t="n"/>
      <c r="E80" s="1491" t="n"/>
      <c r="F80" s="1491" t="n"/>
      <c r="G80" s="1491" t="n"/>
      <c r="H80" s="1491" t="n"/>
      <c r="I80" s="1491" t="n"/>
      <c r="J80" s="1491" t="n"/>
      <c r="K80" s="1491" t="n"/>
      <c r="L80" s="1491" t="n"/>
      <c r="M80" s="1491" t="n"/>
      <c r="N80" s="1491" t="n"/>
      <c r="O80" s="1491" t="n"/>
      <c r="P80" s="1491" t="n"/>
      <c r="Q80" s="1491" t="n"/>
      <c r="R80" s="1491" t="n"/>
      <c r="S80" s="1491" t="n"/>
      <c r="T80" s="1491" t="n"/>
      <c r="U80" s="1491" t="n"/>
      <c r="V80" s="1491" t="n"/>
      <c r="W80" s="1491" t="n"/>
      <c r="X80" s="1491" t="n"/>
      <c r="Y80" s="1491" t="n"/>
      <c r="Z80" s="1491" t="n"/>
      <c r="AA80" s="1491" t="n"/>
      <c r="AB80" s="1491" t="n"/>
      <c r="AC80" s="1491" t="n"/>
      <c r="AD80" s="1491" t="n"/>
      <c r="AE80" s="1491" t="n"/>
      <c r="AF80" s="1491" t="n"/>
      <c r="AG80" s="1491" t="n"/>
      <c r="AH80" s="1491" t="n"/>
      <c r="AI80" s="1491" t="n"/>
      <c r="AJ80" s="1491" t="n"/>
      <c r="AK80" s="1491" t="n"/>
      <c r="AL80" s="1491" t="n"/>
      <c r="AM80" s="1491" t="n"/>
      <c r="AN80" s="1491" t="n"/>
      <c r="AO80" s="1491" t="n"/>
      <c r="AP80" s="1491" t="n"/>
      <c r="AQ80" s="1908" t="n"/>
      <c r="AR80" s="2053" t="n"/>
      <c r="AS80" s="2057" t="n"/>
      <c r="AT80" s="2055" t="n"/>
      <c r="AU80" s="2056" t="n"/>
      <c r="AV80" s="1884" t="n"/>
      <c r="AW80" s="2071" t="n"/>
      <c r="AX80" s="2073" t="n"/>
      <c r="AY80" s="2055" t="n"/>
      <c r="AZ80" s="2056" t="n"/>
      <c r="BA80" s="1884" t="n"/>
      <c r="BB80" s="2071" t="n"/>
      <c r="BC80" s="2073" t="n"/>
      <c r="BD80" s="2055" t="n"/>
      <c r="BE80" s="2056" t="n"/>
      <c r="BF80" s="1884" t="n"/>
      <c r="BG80" s="2071" t="n"/>
      <c r="BH80" s="2073" t="n"/>
      <c r="BI80" s="2055" t="n"/>
      <c r="BJ80" s="2056" t="n"/>
      <c r="BK80" s="1884" t="n"/>
      <c r="BL80" s="2071" t="n"/>
      <c r="BM80" s="2073" t="n"/>
      <c r="BN80" s="2055" t="n"/>
      <c r="BO80" s="2056" t="n"/>
      <c r="BP80" s="1884" t="n"/>
      <c r="BQ80" s="2190" t="n"/>
      <c r="BR80" s="2191" t="n"/>
      <c r="BS80" s="2192" t="n"/>
      <c r="BT80" s="2193" t="n"/>
      <c r="BU80" s="1884" t="n"/>
      <c r="BV80" s="2191" t="n"/>
      <c r="BW80" s="2191" t="n"/>
      <c r="BX80" s="2192" t="n"/>
      <c r="BY80" s="2193" t="n"/>
      <c r="BZ80" s="2109" t="n"/>
      <c r="CA80" s="2102" t="inlineStr">
        <is>
          <t>Guaecá-S.P</t>
        </is>
      </c>
      <c r="CB80" s="2103" t="n"/>
      <c r="CC80" s="2107" t="n">
        <v>37591</v>
      </c>
      <c r="CD80" s="2108" t="n">
        <v>37592</v>
      </c>
      <c r="CE80" s="1884">
        <f>CD80-CC80</f>
        <v/>
      </c>
      <c r="CF80" s="2191" t="n"/>
      <c r="CG80" s="2191" t="n"/>
      <c r="CH80" s="2192" t="n"/>
      <c r="CI80" s="2193" t="n"/>
      <c r="CJ80" s="2109" t="n"/>
      <c r="CK80" s="2190" t="n"/>
      <c r="CL80" s="2191" t="n"/>
      <c r="CM80" s="2192" t="n"/>
      <c r="CN80" s="2193" t="n"/>
      <c r="CO80" s="1884" t="n"/>
    </row>
    <row r="81">
      <c r="A81" s="1491" t="n"/>
      <c r="B81" s="1491" t="n"/>
      <c r="C81" s="1491" t="n"/>
      <c r="D81" s="1491" t="n"/>
      <c r="E81" s="1491" t="n"/>
      <c r="F81" s="1491" t="n"/>
      <c r="G81" s="1491" t="n"/>
      <c r="H81" s="1491" t="n"/>
      <c r="I81" s="1491" t="n"/>
      <c r="J81" s="1491" t="n"/>
      <c r="K81" s="1491" t="n"/>
      <c r="L81" s="1491" t="n"/>
      <c r="M81" s="1491" t="n"/>
      <c r="N81" s="1491" t="n"/>
      <c r="O81" s="1491" t="n"/>
      <c r="P81" s="1491" t="n"/>
      <c r="Q81" s="1491" t="n"/>
      <c r="R81" s="1491" t="n"/>
      <c r="S81" s="1491" t="n"/>
      <c r="T81" s="1491" t="n"/>
      <c r="U81" s="1491" t="n"/>
      <c r="V81" s="1491" t="n"/>
      <c r="W81" s="1491" t="n"/>
      <c r="X81" s="1491" t="n"/>
      <c r="Y81" s="1491" t="n"/>
      <c r="Z81" s="1491" t="n"/>
      <c r="AA81" s="1491" t="n"/>
      <c r="AB81" s="1491" t="n"/>
      <c r="AC81" s="1491" t="n"/>
      <c r="AD81" s="1491" t="n"/>
      <c r="AE81" s="1491" t="n"/>
      <c r="AF81" s="1491" t="n"/>
      <c r="AG81" s="1491" t="n"/>
      <c r="AH81" s="1491" t="n"/>
      <c r="AI81" s="1491" t="n"/>
      <c r="AJ81" s="1491" t="n"/>
      <c r="AK81" s="1491" t="n"/>
      <c r="AL81" s="1491" t="n"/>
      <c r="AM81" s="1491" t="n"/>
      <c r="AN81" s="1491" t="n"/>
      <c r="AO81" s="1491" t="n"/>
      <c r="AP81" s="1491" t="n"/>
      <c r="AQ81" s="1908" t="n"/>
      <c r="AR81" s="2053" t="n"/>
      <c r="AS81" s="2057" t="n"/>
      <c r="AT81" s="2055" t="n"/>
      <c r="AU81" s="2056" t="n"/>
      <c r="AV81" s="1884" t="n"/>
      <c r="AW81" s="2071" t="n"/>
      <c r="AX81" s="2073" t="n"/>
      <c r="AY81" s="2055" t="n"/>
      <c r="AZ81" s="2056" t="n"/>
      <c r="BA81" s="1884" t="n"/>
      <c r="BB81" s="2071" t="n"/>
      <c r="BC81" s="2073" t="n"/>
      <c r="BD81" s="2055" t="n"/>
      <c r="BE81" s="2056" t="n"/>
      <c r="BF81" s="1884" t="n"/>
      <c r="BG81" s="2071" t="n"/>
      <c r="BH81" s="2073" t="n"/>
      <c r="BI81" s="2055" t="n"/>
      <c r="BJ81" s="2056" t="n"/>
      <c r="BK81" s="1884" t="n"/>
      <c r="BL81" s="2071" t="n"/>
      <c r="BM81" s="2073" t="n"/>
      <c r="BN81" s="2055" t="n"/>
      <c r="BO81" s="2056" t="n"/>
      <c r="BP81" s="1884" t="n"/>
      <c r="BQ81" s="2190" t="n"/>
      <c r="BR81" s="2191" t="n"/>
      <c r="BS81" s="2192" t="n"/>
      <c r="BT81" s="2193" t="n"/>
      <c r="BU81" s="1884" t="n"/>
      <c r="BV81" s="2191" t="n"/>
      <c r="BW81" s="2191" t="n"/>
      <c r="BX81" s="2192" t="n"/>
      <c r="BY81" s="2193" t="n"/>
      <c r="BZ81" s="2109" t="n"/>
      <c r="CA81" s="2102" t="inlineStr">
        <is>
          <t>Bertioga</t>
        </is>
      </c>
      <c r="CB81" s="2103" t="n"/>
      <c r="CC81" s="2107" t="n">
        <v>37592</v>
      </c>
      <c r="CD81" s="2108" t="n">
        <v>37598</v>
      </c>
      <c r="CE81" s="1884">
        <f>CD81-CC81</f>
        <v/>
      </c>
      <c r="CF81" s="2191" t="n"/>
      <c r="CG81" s="2191" t="n"/>
      <c r="CH81" s="2192" t="n"/>
      <c r="CI81" s="2193" t="n"/>
      <c r="CJ81" s="2109" t="n"/>
      <c r="CK81" s="2190" t="n"/>
      <c r="CL81" s="2191" t="n"/>
      <c r="CM81" s="2192" t="n"/>
      <c r="CN81" s="2193" t="n"/>
      <c r="CO81" s="1884" t="n"/>
    </row>
    <row r="82">
      <c r="A82" s="1491" t="n"/>
      <c r="B82" s="1491" t="n"/>
      <c r="C82" s="1491" t="n"/>
      <c r="D82" s="1491" t="n"/>
      <c r="E82" s="1491" t="n"/>
      <c r="F82" s="1491" t="n"/>
      <c r="G82" s="1491" t="n"/>
      <c r="H82" s="1491" t="n"/>
      <c r="I82" s="1491" t="n"/>
      <c r="J82" s="1491" t="n"/>
      <c r="K82" s="1491" t="n"/>
      <c r="L82" s="1491" t="n"/>
      <c r="M82" s="1491" t="n"/>
      <c r="N82" s="1491" t="n"/>
      <c r="O82" s="1491" t="n"/>
      <c r="P82" s="1491" t="n"/>
      <c r="Q82" s="1491" t="n"/>
      <c r="R82" s="1491" t="n"/>
      <c r="S82" s="1491" t="n"/>
      <c r="T82" s="1491" t="n"/>
      <c r="U82" s="1491" t="n"/>
      <c r="V82" s="1491" t="n"/>
      <c r="W82" s="1491" t="n"/>
      <c r="X82" s="1491" t="n"/>
      <c r="Y82" s="1491" t="n"/>
      <c r="Z82" s="1491" t="n"/>
      <c r="AA82" s="1491" t="n"/>
      <c r="AB82" s="1491" t="n"/>
      <c r="AC82" s="1491" t="n"/>
      <c r="AD82" s="1491" t="n"/>
      <c r="AE82" s="1491" t="n"/>
      <c r="AF82" s="1491" t="n"/>
      <c r="AG82" s="1491" t="n"/>
      <c r="AH82" s="1491" t="n"/>
      <c r="AI82" s="1491" t="n"/>
      <c r="AJ82" s="1491" t="n"/>
      <c r="AK82" s="1491" t="n"/>
      <c r="AL82" s="1491" t="n"/>
      <c r="AM82" s="1491" t="n"/>
      <c r="AN82" s="1491" t="n"/>
      <c r="AO82" s="1491" t="n"/>
      <c r="AP82" s="1491" t="n"/>
      <c r="AQ82" s="1908" t="n"/>
      <c r="AR82" s="2053" t="n"/>
      <c r="AS82" s="2057" t="n"/>
      <c r="AT82" s="2055" t="n"/>
      <c r="AU82" s="2056" t="n"/>
      <c r="AV82" s="1884" t="n"/>
      <c r="AW82" s="2071" t="n"/>
      <c r="AX82" s="2073" t="n"/>
      <c r="AY82" s="2055" t="n"/>
      <c r="AZ82" s="2056" t="n"/>
      <c r="BA82" s="1884" t="n"/>
      <c r="BB82" s="2071" t="n"/>
      <c r="BC82" s="2073" t="n"/>
      <c r="BD82" s="2055" t="n"/>
      <c r="BE82" s="2056" t="n"/>
      <c r="BF82" s="1884" t="n"/>
      <c r="BG82" s="2071" t="n"/>
      <c r="BH82" s="2073" t="n"/>
      <c r="BI82" s="2055" t="n"/>
      <c r="BJ82" s="2056" t="n"/>
      <c r="BK82" s="1884" t="n"/>
      <c r="BL82" s="2071" t="n"/>
      <c r="BM82" s="2073" t="n"/>
      <c r="BN82" s="2055" t="n"/>
      <c r="BO82" s="2056" t="n"/>
      <c r="BP82" s="1884" t="n"/>
      <c r="BQ82" s="2190" t="n"/>
      <c r="BR82" s="2191" t="n"/>
      <c r="BS82" s="2192" t="n"/>
      <c r="BT82" s="2193" t="n"/>
      <c r="BU82" s="1884" t="n"/>
      <c r="BV82" s="2191" t="n"/>
      <c r="BW82" s="2191" t="n"/>
      <c r="BX82" s="2192" t="n"/>
      <c r="BY82" s="2193" t="n"/>
      <c r="BZ82" s="2109" t="n"/>
      <c r="CA82" s="2102" t="inlineStr">
        <is>
          <t>Guaecá-S.P</t>
        </is>
      </c>
      <c r="CB82" s="2103" t="n"/>
      <c r="CC82" s="2107" t="n">
        <v>37598</v>
      </c>
      <c r="CD82" s="2108" t="n">
        <v>37602</v>
      </c>
      <c r="CE82" s="1884">
        <f>CD82-CC82</f>
        <v/>
      </c>
      <c r="CF82" s="2191" t="n"/>
      <c r="CG82" s="2191" t="n"/>
      <c r="CH82" s="2192" t="n"/>
      <c r="CI82" s="2193" t="n"/>
      <c r="CJ82" s="2109" t="n"/>
      <c r="CK82" s="2190" t="n"/>
      <c r="CL82" s="2191" t="n"/>
      <c r="CM82" s="2192" t="n"/>
      <c r="CN82" s="2193" t="n"/>
      <c r="CO82" s="1884" t="n"/>
    </row>
    <row r="83">
      <c r="A83" s="1491" t="n"/>
      <c r="B83" s="1491" t="n"/>
      <c r="C83" s="1491" t="n"/>
      <c r="D83" s="1491" t="n"/>
      <c r="E83" s="1491" t="n"/>
      <c r="F83" s="1491" t="n"/>
      <c r="G83" s="1491" t="n"/>
      <c r="H83" s="1491" t="n"/>
      <c r="I83" s="1491" t="n"/>
      <c r="J83" s="1491" t="n"/>
      <c r="K83" s="1491" t="n"/>
      <c r="L83" s="1491" t="n"/>
      <c r="M83" s="1491" t="n"/>
      <c r="N83" s="1491" t="n"/>
      <c r="O83" s="1491" t="n"/>
      <c r="P83" s="1491" t="n"/>
      <c r="Q83" s="1491" t="n"/>
      <c r="R83" s="1491" t="n"/>
      <c r="S83" s="1491" t="n"/>
      <c r="T83" s="1491" t="n"/>
      <c r="U83" s="1491" t="n"/>
      <c r="V83" s="1491" t="n"/>
      <c r="W83" s="1491" t="n"/>
      <c r="X83" s="1491" t="n"/>
      <c r="Y83" s="1491" t="n"/>
      <c r="Z83" s="1491" t="n"/>
      <c r="AA83" s="1491" t="n"/>
      <c r="AB83" s="1491" t="n"/>
      <c r="AC83" s="1491" t="n"/>
      <c r="AD83" s="1491" t="n"/>
      <c r="AE83" s="1491" t="n"/>
      <c r="AF83" s="1491" t="n"/>
      <c r="AG83" s="1491" t="n"/>
      <c r="AH83" s="1491" t="n"/>
      <c r="AI83" s="1491" t="n"/>
      <c r="AJ83" s="1491" t="n"/>
      <c r="AK83" s="1491" t="n"/>
      <c r="AL83" s="1491" t="n"/>
      <c r="AM83" s="1491" t="n"/>
      <c r="AN83" s="1491" t="n"/>
      <c r="AO83" s="1491" t="n"/>
      <c r="AP83" s="1491" t="n"/>
      <c r="AQ83" s="1908" t="n"/>
      <c r="AR83" s="2053" t="n"/>
      <c r="AS83" s="2057" t="n"/>
      <c r="AT83" s="2055" t="n"/>
      <c r="AU83" s="2056" t="n"/>
      <c r="AV83" s="1884" t="n"/>
      <c r="AW83" s="2071" t="n"/>
      <c r="AX83" s="2073" t="n"/>
      <c r="AY83" s="2055" t="n"/>
      <c r="AZ83" s="2056" t="n"/>
      <c r="BA83" s="1884" t="n"/>
      <c r="BB83" s="2071" t="n"/>
      <c r="BC83" s="2073" t="n"/>
      <c r="BD83" s="2055" t="n"/>
      <c r="BE83" s="2056" t="n"/>
      <c r="BF83" s="1884" t="n"/>
      <c r="BG83" s="2071" t="n"/>
      <c r="BH83" s="2073" t="n"/>
      <c r="BI83" s="2055" t="n"/>
      <c r="BJ83" s="2056" t="n"/>
      <c r="BK83" s="1884" t="n"/>
      <c r="BL83" s="2071" t="n"/>
      <c r="BM83" s="2073" t="n"/>
      <c r="BN83" s="2055" t="n"/>
      <c r="BO83" s="2056" t="n"/>
      <c r="BP83" s="1884" t="n"/>
      <c r="BQ83" s="2190" t="n"/>
      <c r="BR83" s="2191" t="n"/>
      <c r="BS83" s="2192" t="n"/>
      <c r="BT83" s="2193" t="n"/>
      <c r="BU83" s="1884" t="n"/>
      <c r="BV83" s="2191" t="n"/>
      <c r="BW83" s="2191" t="n"/>
      <c r="BX83" s="2192" t="n"/>
      <c r="BY83" s="2193" t="n"/>
      <c r="BZ83" s="2109" t="n"/>
      <c r="CA83" s="2118" t="inlineStr">
        <is>
          <t>SP</t>
        </is>
      </c>
      <c r="CB83" s="2119" t="n"/>
      <c r="CC83" s="2123" t="n">
        <v>37602</v>
      </c>
      <c r="CD83" s="2124" t="n">
        <v>37605</v>
      </c>
      <c r="CE83" s="1884">
        <f>CD83-CC83</f>
        <v/>
      </c>
      <c r="CF83" s="2191" t="n"/>
      <c r="CG83" s="2191" t="n"/>
      <c r="CH83" s="2192" t="n"/>
      <c r="CI83" s="2193" t="n"/>
      <c r="CJ83" s="2109" t="n"/>
      <c r="CK83" s="2190" t="n"/>
      <c r="CL83" s="2191" t="n"/>
      <c r="CM83" s="2192" t="n"/>
      <c r="CN83" s="2193" t="n"/>
      <c r="CO83" s="1884" t="n"/>
    </row>
    <row r="84">
      <c r="A84" s="1491" t="n"/>
      <c r="B84" s="1491" t="n"/>
      <c r="C84" s="1491" t="n"/>
      <c r="D84" s="1491" t="n"/>
      <c r="E84" s="1491" t="n"/>
      <c r="F84" s="1491" t="n"/>
      <c r="G84" s="1491" t="n"/>
      <c r="H84" s="1491" t="n"/>
      <c r="I84" s="1491" t="n"/>
      <c r="J84" s="1491" t="n"/>
      <c r="K84" s="1491" t="n"/>
      <c r="L84" s="1491" t="n"/>
      <c r="M84" s="1491" t="n"/>
      <c r="N84" s="1491" t="n"/>
      <c r="O84" s="1491" t="n"/>
      <c r="P84" s="1491" t="n"/>
      <c r="Q84" s="1491" t="n"/>
      <c r="R84" s="1491" t="n"/>
      <c r="S84" s="1491" t="n"/>
      <c r="T84" s="1491" t="n"/>
      <c r="U84" s="1491" t="n"/>
      <c r="V84" s="1491" t="n"/>
      <c r="W84" s="1491" t="n"/>
      <c r="X84" s="1491" t="n"/>
      <c r="Y84" s="1491" t="n"/>
      <c r="Z84" s="1491" t="n"/>
      <c r="AA84" s="1491" t="n"/>
      <c r="AB84" s="1491" t="n"/>
      <c r="AC84" s="1491" t="n"/>
      <c r="AD84" s="1491" t="n"/>
      <c r="AE84" s="1491" t="n"/>
      <c r="AF84" s="1491" t="n"/>
      <c r="AG84" s="1491" t="n"/>
      <c r="AH84" s="1491" t="n"/>
      <c r="AI84" s="1491" t="n"/>
      <c r="AJ84" s="1491" t="n"/>
      <c r="AK84" s="1491" t="n"/>
      <c r="AL84" s="1491" t="n"/>
      <c r="AM84" s="1491" t="n"/>
      <c r="AN84" s="1491" t="n"/>
      <c r="AO84" s="1491" t="n"/>
      <c r="AP84" s="1491" t="n"/>
      <c r="AQ84" s="1908" t="n"/>
      <c r="AR84" s="2053" t="n"/>
      <c r="AS84" s="2057" t="n"/>
      <c r="AT84" s="2055" t="n"/>
      <c r="AU84" s="2056" t="n"/>
      <c r="AV84" s="1884" t="n"/>
      <c r="AW84" s="2071" t="n"/>
      <c r="AX84" s="2073" t="n"/>
      <c r="AY84" s="2055" t="n"/>
      <c r="AZ84" s="2056" t="n"/>
      <c r="BA84" s="1884" t="n"/>
      <c r="BB84" s="2071" t="n"/>
      <c r="BC84" s="2073" t="n"/>
      <c r="BD84" s="2055" t="n"/>
      <c r="BE84" s="2056" t="n"/>
      <c r="BF84" s="1884" t="n"/>
      <c r="BG84" s="2071" t="n"/>
      <c r="BH84" s="2073" t="n"/>
      <c r="BI84" s="2055" t="n"/>
      <c r="BJ84" s="2056" t="n"/>
      <c r="BK84" s="1884" t="n"/>
      <c r="BL84" s="2071" t="n"/>
      <c r="BM84" s="2073" t="n"/>
      <c r="BN84" s="2055" t="n"/>
      <c r="BO84" s="2056" t="n"/>
      <c r="BP84" s="1884" t="n"/>
      <c r="BQ84" s="2190" t="n"/>
      <c r="BR84" s="2191" t="n"/>
      <c r="BS84" s="2192" t="n"/>
      <c r="BT84" s="2193" t="n"/>
      <c r="BU84" s="1884" t="n"/>
      <c r="BV84" s="2191" t="n"/>
      <c r="BW84" s="2191" t="n"/>
      <c r="BX84" s="2192" t="n"/>
      <c r="BY84" s="2193" t="n"/>
      <c r="BZ84" s="2109" t="n"/>
      <c r="CA84" s="2102" t="inlineStr">
        <is>
          <t>Guaecá-S.P</t>
        </is>
      </c>
      <c r="CB84" s="2103" t="n"/>
      <c r="CC84" s="2107" t="n">
        <v>37605</v>
      </c>
      <c r="CD84" s="2108" t="n">
        <v>37608</v>
      </c>
      <c r="CE84" s="1884">
        <f>CD84-CC84</f>
        <v/>
      </c>
      <c r="CF84" s="2191" t="n"/>
      <c r="CG84" s="2191" t="n"/>
      <c r="CH84" s="2192" t="n"/>
      <c r="CI84" s="2193" t="n"/>
      <c r="CJ84" s="2109" t="n"/>
      <c r="CK84" s="2190" t="n"/>
      <c r="CL84" s="2191" t="n"/>
      <c r="CM84" s="2192" t="n"/>
      <c r="CN84" s="2193" t="n"/>
      <c r="CO84" s="1884" t="n"/>
    </row>
    <row r="85">
      <c r="A85" s="1491" t="n"/>
      <c r="B85" s="1491" t="n"/>
      <c r="C85" s="1491" t="n"/>
      <c r="D85" s="1491" t="n"/>
      <c r="E85" s="1491" t="n"/>
      <c r="F85" s="1491" t="n"/>
      <c r="G85" s="1491" t="n"/>
      <c r="H85" s="1491" t="n"/>
      <c r="I85" s="1491" t="n"/>
      <c r="J85" s="1491" t="n"/>
      <c r="K85" s="1491" t="n"/>
      <c r="L85" s="1491" t="n"/>
      <c r="M85" s="1491" t="n"/>
      <c r="N85" s="1491" t="n"/>
      <c r="O85" s="1491" t="n"/>
      <c r="P85" s="1491" t="n"/>
      <c r="Q85" s="1491" t="n"/>
      <c r="R85" s="1491" t="n"/>
      <c r="S85" s="1491" t="n"/>
      <c r="T85" s="1491" t="n"/>
      <c r="U85" s="1491" t="n"/>
      <c r="V85" s="1491" t="n"/>
      <c r="W85" s="1491" t="n"/>
      <c r="X85" s="1491" t="n"/>
      <c r="Y85" s="1491" t="n"/>
      <c r="Z85" s="1491" t="n"/>
      <c r="AA85" s="1491" t="n"/>
      <c r="AB85" s="1491" t="n"/>
      <c r="AC85" s="1491" t="n"/>
      <c r="AD85" s="1491" t="n"/>
      <c r="AE85" s="1491" t="n"/>
      <c r="AF85" s="1491" t="n"/>
      <c r="AG85" s="1491" t="n"/>
      <c r="AH85" s="1491" t="n"/>
      <c r="AI85" s="1491" t="n"/>
      <c r="AJ85" s="1491" t="n"/>
      <c r="AK85" s="1491" t="n"/>
      <c r="AL85" s="1491" t="n"/>
      <c r="AM85" s="1491" t="n"/>
      <c r="AN85" s="1491" t="n"/>
      <c r="AO85" s="1491" t="n"/>
      <c r="AP85" s="1491" t="n"/>
      <c r="AQ85" s="1908" t="n"/>
      <c r="AR85" s="2053" t="n"/>
      <c r="AS85" s="2057" t="n"/>
      <c r="AT85" s="2055" t="n"/>
      <c r="AU85" s="2056" t="n"/>
      <c r="AV85" s="1884" t="n"/>
      <c r="AW85" s="2071" t="n"/>
      <c r="AX85" s="2073" t="n"/>
      <c r="AY85" s="2055" t="n"/>
      <c r="AZ85" s="2056" t="n"/>
      <c r="BA85" s="1884" t="n"/>
      <c r="BB85" s="2071" t="n"/>
      <c r="BC85" s="2073" t="n"/>
      <c r="BD85" s="2055" t="n"/>
      <c r="BE85" s="2056" t="n"/>
      <c r="BF85" s="1884" t="n"/>
      <c r="BG85" s="2071" t="n"/>
      <c r="BH85" s="2073" t="n"/>
      <c r="BI85" s="2055" t="n"/>
      <c r="BJ85" s="2056" t="n"/>
      <c r="BK85" s="1884" t="n"/>
      <c r="BL85" s="2071" t="n"/>
      <c r="BM85" s="2073" t="n"/>
      <c r="BN85" s="2055" t="n"/>
      <c r="BO85" s="2056" t="n"/>
      <c r="BP85" s="1884" t="n"/>
      <c r="BQ85" s="2190" t="n"/>
      <c r="BR85" s="2191" t="n"/>
      <c r="BS85" s="2192" t="n"/>
      <c r="BT85" s="2193" t="n"/>
      <c r="BU85" s="1884" t="n"/>
      <c r="BV85" s="2191" t="n"/>
      <c r="BW85" s="2191" t="n"/>
      <c r="BX85" s="2192" t="n"/>
      <c r="BY85" s="2193" t="n"/>
      <c r="BZ85" s="2109" t="n"/>
      <c r="CA85" s="2118" t="inlineStr">
        <is>
          <t>SP</t>
        </is>
      </c>
      <c r="CB85" s="2119" t="n"/>
      <c r="CC85" s="2123" t="n">
        <v>37608</v>
      </c>
      <c r="CD85" s="2124" t="n">
        <v>37609</v>
      </c>
      <c r="CE85" s="1884">
        <f>CD85-CC85</f>
        <v/>
      </c>
      <c r="CF85" s="2191" t="n"/>
      <c r="CG85" s="2191" t="n"/>
      <c r="CH85" s="2192" t="n"/>
      <c r="CI85" s="2193" t="n"/>
      <c r="CJ85" s="2109" t="n"/>
      <c r="CK85" s="2190" t="n"/>
      <c r="CL85" s="2191" t="n"/>
      <c r="CM85" s="2192" t="n"/>
      <c r="CN85" s="2193" t="n"/>
      <c r="CO85" s="1884" t="n"/>
    </row>
    <row r="86">
      <c r="A86" s="1491" t="n"/>
      <c r="B86" s="1491" t="n"/>
      <c r="C86" s="1491" t="n"/>
      <c r="D86" s="1491" t="n"/>
      <c r="E86" s="1491" t="n"/>
      <c r="F86" s="1491" t="n"/>
      <c r="G86" s="1491" t="n"/>
      <c r="H86" s="1491" t="n"/>
      <c r="I86" s="1491" t="n"/>
      <c r="J86" s="1491" t="n"/>
      <c r="K86" s="1491" t="n"/>
      <c r="L86" s="1491" t="n"/>
      <c r="M86" s="1491" t="n"/>
      <c r="N86" s="1491" t="n"/>
      <c r="O86" s="1491" t="n"/>
      <c r="P86" s="1491" t="n"/>
      <c r="Q86" s="1491" t="n"/>
      <c r="R86" s="1491" t="n"/>
      <c r="S86" s="1491" t="n"/>
      <c r="T86" s="1491" t="n"/>
      <c r="U86" s="1491" t="n"/>
      <c r="V86" s="1491" t="n"/>
      <c r="W86" s="1491" t="n"/>
      <c r="X86" s="1491" t="n"/>
      <c r="Y86" s="1491" t="n"/>
      <c r="Z86" s="1491" t="n"/>
      <c r="AA86" s="1491" t="n"/>
      <c r="AB86" s="1491" t="n"/>
      <c r="AC86" s="1491" t="n"/>
      <c r="AD86" s="1491" t="n"/>
      <c r="AE86" s="1491" t="n"/>
      <c r="AF86" s="1491" t="n"/>
      <c r="AG86" s="1491" t="n"/>
      <c r="AH86" s="1491" t="n"/>
      <c r="AI86" s="1491" t="n"/>
      <c r="AJ86" s="1491" t="n"/>
      <c r="AK86" s="1491" t="n"/>
      <c r="AL86" s="1491" t="n"/>
      <c r="AM86" s="1491" t="n"/>
      <c r="AN86" s="1491" t="n"/>
      <c r="AO86" s="1491" t="n"/>
      <c r="AP86" s="1491" t="n"/>
      <c r="AQ86" s="1908" t="n"/>
      <c r="AR86" s="2053" t="n"/>
      <c r="AS86" s="2057" t="n"/>
      <c r="AT86" s="2055" t="n"/>
      <c r="AU86" s="2056" t="n"/>
      <c r="AV86" s="1884" t="n"/>
      <c r="AW86" s="2071" t="n"/>
      <c r="AX86" s="2073" t="n"/>
      <c r="AY86" s="2055" t="n"/>
      <c r="AZ86" s="2056" t="n"/>
      <c r="BA86" s="1884" t="n"/>
      <c r="BB86" s="2071" t="n"/>
      <c r="BC86" s="2073" t="n"/>
      <c r="BD86" s="2055" t="n"/>
      <c r="BE86" s="2056" t="n"/>
      <c r="BF86" s="1884" t="n"/>
      <c r="BG86" s="2071" t="n"/>
      <c r="BH86" s="2073" t="n"/>
      <c r="BI86" s="2055" t="n"/>
      <c r="BJ86" s="2056" t="n"/>
      <c r="BK86" s="1884" t="n"/>
      <c r="BL86" s="2071" t="n"/>
      <c r="BM86" s="2073" t="n"/>
      <c r="BN86" s="2055" t="n"/>
      <c r="BO86" s="2056" t="n"/>
      <c r="BP86" s="1884" t="n"/>
      <c r="BQ86" s="2190" t="n"/>
      <c r="BR86" s="2191" t="n"/>
      <c r="BS86" s="2192" t="n"/>
      <c r="BT86" s="2193" t="n"/>
      <c r="BU86" s="1884" t="n"/>
      <c r="BV86" s="2191" t="n"/>
      <c r="BW86" s="2191" t="n"/>
      <c r="BX86" s="2192" t="n"/>
      <c r="BY86" s="2193" t="n"/>
      <c r="BZ86" s="2109" t="n"/>
      <c r="CA86" s="2102" t="inlineStr">
        <is>
          <t>RIO</t>
        </is>
      </c>
      <c r="CB86" s="2103" t="n"/>
      <c r="CC86" s="2107" t="n">
        <v>37974</v>
      </c>
      <c r="CD86" s="2108" t="n">
        <v>37976</v>
      </c>
      <c r="CE86" s="1884">
        <f>CD86-CC86</f>
        <v/>
      </c>
      <c r="CF86" s="2191" t="n"/>
      <c r="CG86" s="2191" t="n"/>
      <c r="CH86" s="2192" t="n"/>
      <c r="CI86" s="2193" t="n"/>
      <c r="CJ86" s="2109" t="n"/>
      <c r="CK86" s="2190" t="n"/>
      <c r="CL86" s="2191" t="n"/>
      <c r="CM86" s="2192" t="n"/>
      <c r="CN86" s="2193" t="n"/>
      <c r="CO86" s="1884" t="n"/>
    </row>
    <row r="87">
      <c r="A87" s="1491" t="n"/>
      <c r="B87" s="1491" t="n"/>
      <c r="C87" s="1491" t="n"/>
      <c r="D87" s="1491" t="n"/>
      <c r="E87" s="1491" t="n"/>
      <c r="F87" s="1491" t="n"/>
      <c r="G87" s="1491" t="n"/>
      <c r="H87" s="1491" t="n"/>
      <c r="I87" s="1491" t="n"/>
      <c r="J87" s="1491" t="n"/>
      <c r="K87" s="1491" t="n"/>
      <c r="L87" s="1491" t="n"/>
      <c r="M87" s="1491" t="n"/>
      <c r="N87" s="1491" t="n"/>
      <c r="O87" s="1491" t="n"/>
      <c r="P87" s="1491" t="n"/>
      <c r="Q87" s="1491" t="n"/>
      <c r="R87" s="1491" t="n"/>
      <c r="S87" s="1491" t="n"/>
      <c r="T87" s="1491" t="n"/>
      <c r="U87" s="1491" t="n"/>
      <c r="V87" s="1491" t="n"/>
      <c r="W87" s="1491" t="n"/>
      <c r="X87" s="1491" t="n"/>
      <c r="Y87" s="1491" t="n"/>
      <c r="Z87" s="1491" t="n"/>
      <c r="AA87" s="1491" t="n"/>
      <c r="AB87" s="1491" t="n"/>
      <c r="AC87" s="1491" t="n"/>
      <c r="AD87" s="1491" t="n"/>
      <c r="AE87" s="1491" t="n"/>
      <c r="AF87" s="1491" t="n"/>
      <c r="AG87" s="1491" t="n"/>
      <c r="AH87" s="1491" t="n"/>
      <c r="AI87" s="1491" t="n"/>
      <c r="AJ87" s="1491" t="n"/>
      <c r="AK87" s="1491" t="n"/>
      <c r="AL87" s="1491" t="n"/>
      <c r="AM87" s="1491" t="n"/>
      <c r="AN87" s="1491" t="n"/>
      <c r="AO87" s="1491" t="n"/>
      <c r="AP87" s="1491" t="n"/>
      <c r="AQ87" s="1908" t="n"/>
      <c r="AR87" s="2053" t="n"/>
      <c r="AS87" s="2057" t="n"/>
      <c r="AT87" s="2055" t="n"/>
      <c r="AU87" s="2056" t="n"/>
      <c r="AV87" s="1884" t="n"/>
      <c r="AW87" s="2071" t="n"/>
      <c r="AX87" s="2073" t="n"/>
      <c r="AY87" s="2055" t="n"/>
      <c r="AZ87" s="2056" t="n"/>
      <c r="BA87" s="1884" t="n"/>
      <c r="BB87" s="2071" t="n"/>
      <c r="BC87" s="2073" t="n"/>
      <c r="BD87" s="2055" t="n"/>
      <c r="BE87" s="2056" t="n"/>
      <c r="BF87" s="1884" t="n"/>
      <c r="BG87" s="2071" t="n"/>
      <c r="BH87" s="2073" t="n"/>
      <c r="BI87" s="2055" t="n"/>
      <c r="BJ87" s="2056" t="n"/>
      <c r="BK87" s="1884" t="n"/>
      <c r="BL87" s="2071" t="n"/>
      <c r="BM87" s="2073" t="n"/>
      <c r="BN87" s="2055" t="n"/>
      <c r="BO87" s="2056" t="n"/>
      <c r="BP87" s="1884" t="n"/>
      <c r="BQ87" s="2190" t="n"/>
      <c r="BR87" s="2191" t="n"/>
      <c r="BS87" s="2192" t="n"/>
      <c r="BT87" s="2193" t="n"/>
      <c r="BU87" s="1884" t="n"/>
      <c r="BV87" s="2191" t="n"/>
      <c r="BW87" s="2191" t="n"/>
      <c r="BX87" s="2192" t="n"/>
      <c r="BY87" s="2193" t="n"/>
      <c r="BZ87" s="2109" t="n"/>
      <c r="CA87" s="2205" t="inlineStr">
        <is>
          <t>SSA</t>
        </is>
      </c>
      <c r="CB87" s="2103" t="n"/>
      <c r="CC87" s="2107" t="n">
        <v>37976</v>
      </c>
      <c r="CD87" s="2108" t="n">
        <v>37981</v>
      </c>
      <c r="CE87" s="1884">
        <f>CD87-CC87</f>
        <v/>
      </c>
      <c r="CF87" s="2191" t="n"/>
      <c r="CG87" s="2191" t="n"/>
      <c r="CH87" s="2192" t="n"/>
      <c r="CI87" s="2193" t="n"/>
      <c r="CJ87" s="2109" t="n"/>
      <c r="CK87" s="2190" t="n"/>
      <c r="CL87" s="2191" t="n"/>
      <c r="CM87" s="2192" t="n"/>
      <c r="CN87" s="2193" t="n"/>
      <c r="CO87" s="1884" t="n"/>
    </row>
    <row r="88">
      <c r="A88" s="1491" t="n"/>
      <c r="B88" s="1491" t="n"/>
      <c r="C88" s="1491" t="n"/>
      <c r="D88" s="1491" t="n"/>
      <c r="E88" s="1491" t="n"/>
      <c r="F88" s="1491" t="n"/>
      <c r="G88" s="1491" t="n"/>
      <c r="H88" s="1491" t="n"/>
      <c r="I88" s="1491" t="n"/>
      <c r="J88" s="1491" t="n"/>
      <c r="K88" s="1491" t="n"/>
      <c r="L88" s="1491" t="n"/>
      <c r="M88" s="1491" t="n"/>
      <c r="N88" s="1491" t="n"/>
      <c r="O88" s="1491" t="n"/>
      <c r="P88" s="1491" t="n"/>
      <c r="Q88" s="1491" t="n"/>
      <c r="R88" s="1491" t="n"/>
      <c r="S88" s="1491" t="n"/>
      <c r="T88" s="1491" t="n"/>
      <c r="U88" s="1491" t="n"/>
      <c r="V88" s="1491" t="n"/>
      <c r="W88" s="1491" t="n"/>
      <c r="X88" s="1491" t="n"/>
      <c r="Y88" s="1491" t="n"/>
      <c r="Z88" s="1491" t="n"/>
      <c r="AA88" s="1491" t="n"/>
      <c r="AB88" s="1491" t="n"/>
      <c r="AC88" s="1491" t="n"/>
      <c r="AD88" s="1491" t="n"/>
      <c r="AE88" s="1491" t="n"/>
      <c r="AF88" s="1491" t="n"/>
      <c r="AG88" s="1491" t="n"/>
      <c r="AH88" s="1491" t="n"/>
      <c r="AI88" s="1491" t="n"/>
      <c r="AJ88" s="1491" t="n"/>
      <c r="AK88" s="1491" t="n"/>
      <c r="AL88" s="1491" t="n"/>
      <c r="AM88" s="1491" t="n"/>
      <c r="AN88" s="1491" t="n"/>
      <c r="AO88" s="1491" t="n"/>
      <c r="AP88" s="1491" t="n"/>
      <c r="AQ88" s="1908" t="n"/>
      <c r="AR88" s="2053" t="n"/>
      <c r="AS88" s="2057" t="n"/>
      <c r="AT88" s="2055" t="n"/>
      <c r="AU88" s="2056" t="n"/>
      <c r="AV88" s="1884" t="n"/>
      <c r="AW88" s="2071" t="n"/>
      <c r="AX88" s="2073" t="n"/>
      <c r="AY88" s="2055" t="n"/>
      <c r="AZ88" s="2056" t="n"/>
      <c r="BA88" s="1884" t="n"/>
      <c r="BB88" s="2071" t="n"/>
      <c r="BC88" s="2073" t="n"/>
      <c r="BD88" s="2055" t="n"/>
      <c r="BE88" s="2056" t="n"/>
      <c r="BF88" s="1884" t="n"/>
      <c r="BG88" s="2071" t="n"/>
      <c r="BH88" s="2073" t="n"/>
      <c r="BI88" s="2055" t="n"/>
      <c r="BJ88" s="2056" t="n"/>
      <c r="BK88" s="1884" t="n"/>
      <c r="BL88" s="2071" t="n"/>
      <c r="BM88" s="2073" t="n"/>
      <c r="BN88" s="2055" t="n"/>
      <c r="BO88" s="2056" t="n"/>
      <c r="BP88" s="1884" t="n"/>
      <c r="BQ88" s="2190" t="n"/>
      <c r="BR88" s="2191" t="n"/>
      <c r="BS88" s="2192" t="n"/>
      <c r="BT88" s="2193" t="n"/>
      <c r="BU88" s="1884" t="n"/>
      <c r="BV88" s="2191" t="n"/>
      <c r="BW88" s="2191" t="n"/>
      <c r="BX88" s="2192" t="n"/>
      <c r="BY88" s="2193" t="n"/>
      <c r="BZ88" s="2109" t="n"/>
      <c r="CA88" s="2102" t="inlineStr">
        <is>
          <t>Porto Seguro/Arraial</t>
        </is>
      </c>
      <c r="CB88" s="2103" t="n"/>
      <c r="CC88" s="2107" t="n">
        <v>37982</v>
      </c>
      <c r="CD88" s="2108" t="n">
        <v>37987</v>
      </c>
      <c r="CE88" s="1884">
        <f>CD88-CC88</f>
        <v/>
      </c>
      <c r="CF88" s="2191" t="n"/>
      <c r="CG88" s="2191" t="n"/>
      <c r="CH88" s="2192" t="n"/>
      <c r="CI88" s="2193" t="n"/>
      <c r="CJ88" s="2109" t="n"/>
      <c r="CK88" s="2207" t="n"/>
      <c r="CL88" s="2208" t="n"/>
      <c r="CM88" s="2209" t="n"/>
      <c r="CN88" s="2210" t="n"/>
      <c r="CO88" s="2097" t="n"/>
    </row>
    <row r="89">
      <c r="A89" s="1491" t="n"/>
      <c r="B89" s="1491" t="n"/>
      <c r="C89" s="1491" t="n"/>
      <c r="D89" s="1491" t="n"/>
      <c r="E89" s="1491" t="n"/>
      <c r="F89" s="1491" t="n"/>
      <c r="G89" s="1491" t="n"/>
      <c r="H89" s="1491" t="n"/>
      <c r="I89" s="1491" t="n"/>
      <c r="J89" s="1491" t="n"/>
      <c r="K89" s="1491" t="n"/>
      <c r="L89" s="1491" t="n"/>
      <c r="M89" s="1491" t="n"/>
      <c r="N89" s="1491" t="n"/>
      <c r="O89" s="1491" t="n"/>
      <c r="P89" s="1491" t="n"/>
      <c r="Q89" s="1491" t="n"/>
      <c r="R89" s="1491" t="n"/>
      <c r="S89" s="1491" t="n"/>
      <c r="T89" s="1491" t="n"/>
      <c r="U89" s="1491" t="n"/>
      <c r="V89" s="1491" t="n"/>
      <c r="W89" s="1491" t="n"/>
      <c r="X89" s="1491" t="n"/>
      <c r="Y89" s="1491" t="n"/>
      <c r="Z89" s="1491" t="n"/>
      <c r="AA89" s="1491" t="n"/>
      <c r="AB89" s="1491" t="n"/>
      <c r="AC89" s="1491" t="n"/>
      <c r="AD89" s="1491" t="n"/>
      <c r="AE89" s="1491" t="n"/>
      <c r="AF89" s="1491" t="n"/>
      <c r="AG89" s="1491" t="n"/>
      <c r="AH89" s="1491" t="n"/>
      <c r="AI89" s="1491" t="n"/>
      <c r="AJ89" s="1491" t="n"/>
      <c r="AK89" s="1491" t="n"/>
      <c r="AL89" s="1491" t="n"/>
      <c r="AM89" s="1491" t="n"/>
      <c r="AN89" s="1491" t="n"/>
      <c r="AO89" s="1491" t="n"/>
      <c r="AP89" s="1491" t="n"/>
      <c r="AQ89" s="1071" t="n"/>
      <c r="AR89" s="2211" t="n"/>
      <c r="AS89" s="2211" t="n"/>
      <c r="AT89" s="2211" t="n"/>
      <c r="AU89" s="2211" t="n"/>
      <c r="AV89" s="2211" t="n"/>
      <c r="AW89" s="2211" t="n"/>
      <c r="AX89" s="2211" t="n"/>
      <c r="AY89" s="2211" t="n"/>
      <c r="AZ89" s="2211" t="n"/>
      <c r="BA89" s="2211" t="n"/>
      <c r="BB89" s="2211" t="n"/>
      <c r="BC89" s="2211" t="n"/>
      <c r="BD89" s="2211" t="n"/>
      <c r="BE89" s="2211" t="n"/>
      <c r="BF89" s="2211" t="n"/>
      <c r="BG89" s="2211" t="n"/>
      <c r="BH89" s="2211" t="n"/>
      <c r="BI89" s="2211" t="n"/>
      <c r="BJ89" s="2211" t="n"/>
      <c r="BK89" s="2211" t="n"/>
      <c r="BL89" s="2211" t="n"/>
      <c r="BM89" s="2211" t="n"/>
      <c r="BN89" s="2211" t="n"/>
      <c r="BO89" s="2211" t="n"/>
      <c r="BP89" s="2211" t="n"/>
      <c r="BQ89" s="2211" t="n"/>
      <c r="BR89" s="2211" t="n"/>
      <c r="BS89" s="2211" t="n"/>
      <c r="BT89" s="2211" t="n"/>
      <c r="BU89" s="2211" t="n"/>
      <c r="BV89" s="2211" t="n"/>
      <c r="BW89" s="2211" t="n"/>
      <c r="BX89" s="2211" t="n"/>
      <c r="BY89" s="2211" t="n"/>
      <c r="BZ89" s="2211" t="n"/>
      <c r="CA89" s="2211" t="n"/>
      <c r="CB89" s="2211" t="n"/>
      <c r="CC89" s="1842" t="n"/>
      <c r="CD89" s="1842" t="n"/>
      <c r="CE89" s="1491" t="n"/>
      <c r="CF89" s="1491" t="n"/>
      <c r="CG89" s="1491" t="n"/>
      <c r="CH89" s="1491" t="n"/>
      <c r="CI89" s="1491" t="n"/>
      <c r="CJ89" s="1491" t="n"/>
      <c r="CK89" s="1491" t="n"/>
      <c r="CL89" s="1491" t="n"/>
      <c r="CM89" s="1491" t="n"/>
      <c r="CN89" s="1491" t="n"/>
      <c r="CO89" s="1491" t="n"/>
    </row>
    <row r="90">
      <c r="A90" s="1491" t="n"/>
      <c r="B90" s="1491" t="n"/>
      <c r="C90" s="1491" t="n"/>
      <c r="D90" s="1491" t="n"/>
      <c r="E90" s="1491" t="n"/>
      <c r="F90" s="1491" t="n"/>
      <c r="G90" s="1491" t="n"/>
      <c r="H90" s="1491" t="n"/>
      <c r="I90" s="1491" t="n"/>
      <c r="J90" s="1491" t="n"/>
      <c r="K90" s="1491" t="n"/>
      <c r="L90" s="1491" t="n"/>
      <c r="M90" s="1491" t="n"/>
      <c r="N90" s="1491" t="n"/>
      <c r="O90" s="1491" t="n"/>
      <c r="P90" s="1491" t="n"/>
      <c r="Q90" s="1491" t="n"/>
      <c r="R90" s="1491" t="n"/>
      <c r="S90" s="1491" t="n"/>
      <c r="T90" s="1491" t="n"/>
      <c r="U90" s="1491" t="n"/>
      <c r="V90" s="1491" t="n"/>
      <c r="W90" s="1491" t="n"/>
      <c r="X90" s="1491" t="n"/>
      <c r="Y90" s="1491" t="n"/>
      <c r="Z90" s="1491" t="n"/>
      <c r="AA90" s="1491" t="n"/>
      <c r="AB90" s="1491" t="n"/>
      <c r="AC90" s="1491" t="n"/>
      <c r="AD90" s="1491" t="n"/>
      <c r="AE90" s="1491" t="n"/>
      <c r="AF90" s="1491" t="n"/>
      <c r="AG90" s="1491" t="n"/>
      <c r="AH90" s="1491" t="n"/>
      <c r="AI90" s="1491" t="n"/>
      <c r="AJ90" s="1491" t="n"/>
      <c r="AK90" s="1491" t="n"/>
      <c r="AL90" s="1491" t="n"/>
      <c r="AM90" s="1491" t="n"/>
      <c r="AN90" s="1491" t="n"/>
      <c r="AO90" s="1491" t="n"/>
      <c r="AP90" s="1491" t="n"/>
      <c r="AQ90" s="2212" t="inlineStr">
        <is>
          <t>AC</t>
        </is>
      </c>
      <c r="AR90" s="1841" t="n">
        <v>2005</v>
      </c>
      <c r="AS90" s="1429" t="n"/>
      <c r="AT90" s="1429" t="n"/>
      <c r="AU90" s="1429" t="n"/>
      <c r="AV90" s="1072" t="n"/>
      <c r="AW90" s="1841" t="n">
        <v>2006</v>
      </c>
      <c r="AX90" s="1429" t="n"/>
      <c r="AY90" s="1429" t="n"/>
      <c r="AZ90" s="1429" t="n"/>
      <c r="BA90" s="1072" t="n"/>
      <c r="BB90" s="1841" t="n">
        <v>2007</v>
      </c>
      <c r="BC90" s="1429" t="n"/>
      <c r="BD90" s="1429" t="n"/>
      <c r="BE90" s="1429" t="n"/>
      <c r="BF90" s="1072" t="n"/>
      <c r="BG90" s="1841" t="n">
        <v>2008</v>
      </c>
      <c r="BH90" s="1429" t="n"/>
      <c r="BI90" s="1429" t="n"/>
      <c r="BJ90" s="1429" t="n"/>
      <c r="BK90" s="1072" t="n"/>
      <c r="BL90" s="2213" t="n">
        <v>2009</v>
      </c>
      <c r="BM90" s="1429" t="n"/>
      <c r="BN90" s="1429" t="n"/>
      <c r="BO90" s="1429" t="n"/>
      <c r="BP90" s="2214" t="n"/>
      <c r="BQ90" s="2215" t="n">
        <v>2010</v>
      </c>
      <c r="BR90" s="1712" t="n"/>
      <c r="BS90" s="1712" t="n"/>
      <c r="BT90" s="1712" t="n"/>
      <c r="BU90" s="1070" t="n"/>
      <c r="BV90" s="1841" t="n">
        <v>2011</v>
      </c>
      <c r="BW90" s="1429" t="n"/>
      <c r="BX90" s="1429" t="n"/>
      <c r="BY90" s="1429" t="n"/>
      <c r="BZ90" s="1072" t="n"/>
      <c r="CA90" s="1841" t="n">
        <v>2012</v>
      </c>
      <c r="CB90" s="1429" t="n"/>
      <c r="CC90" s="1429" t="n"/>
      <c r="CD90" s="1429" t="n"/>
      <c r="CE90" s="1072" t="n"/>
      <c r="CF90" s="2213" t="n">
        <v>2013</v>
      </c>
      <c r="CG90" s="1429" t="n"/>
      <c r="CH90" s="1429" t="n"/>
      <c r="CI90" s="1429" t="n"/>
      <c r="CJ90" s="2214" t="n"/>
      <c r="CK90" s="2216" t="n">
        <v>2014</v>
      </c>
      <c r="CO90" s="2217" t="n"/>
    </row>
    <row r="91">
      <c r="A91" s="1491" t="n"/>
      <c r="B91" s="1491" t="n"/>
      <c r="C91" s="1491" t="n"/>
      <c r="D91" s="1491" t="n"/>
      <c r="E91" s="1491" t="n"/>
      <c r="F91" s="1491" t="n"/>
      <c r="G91" s="1491" t="n"/>
      <c r="H91" s="1491" t="n"/>
      <c r="I91" s="1491" t="n"/>
      <c r="J91" s="1491" t="n"/>
      <c r="K91" s="1491" t="n"/>
      <c r="L91" s="1491" t="n"/>
      <c r="M91" s="1491" t="n"/>
      <c r="N91" s="1491" t="n"/>
      <c r="O91" s="1491" t="n"/>
      <c r="P91" s="1491" t="n"/>
      <c r="Q91" s="1491" t="n"/>
      <c r="R91" s="1491" t="n"/>
      <c r="S91" s="1491" t="n"/>
      <c r="T91" s="1491" t="n"/>
      <c r="U91" s="1491" t="n"/>
      <c r="V91" s="1491" t="n"/>
      <c r="W91" s="1491" t="n"/>
      <c r="X91" s="1491" t="n"/>
      <c r="Y91" s="1491" t="n"/>
      <c r="Z91" s="1491" t="n"/>
      <c r="AA91" s="1491" t="n"/>
      <c r="AB91" s="1491" t="n"/>
      <c r="AC91" s="1491" t="n"/>
      <c r="AD91" s="1491" t="n"/>
      <c r="AE91" s="1491" t="n"/>
      <c r="AF91" s="1491" t="n"/>
      <c r="AG91" s="1491" t="n"/>
      <c r="AH91" s="1491" t="n"/>
      <c r="AI91" s="1491" t="n"/>
      <c r="AJ91" s="1491" t="n"/>
      <c r="AK91" s="1491" t="n"/>
      <c r="AL91" s="1491" t="n"/>
      <c r="AM91" s="1491" t="n"/>
      <c r="AN91" s="1491" t="n"/>
      <c r="AO91" s="1491" t="n"/>
      <c r="AP91" s="1491" t="n"/>
      <c r="AQ91" s="1908" t="n"/>
      <c r="AR91" s="1865" t="inlineStr">
        <is>
          <t>Rio</t>
        </is>
      </c>
      <c r="AS91" s="1866" t="inlineStr">
        <is>
          <t>Rene</t>
        </is>
      </c>
      <c r="AT91" s="1867" t="n">
        <v>38352</v>
      </c>
      <c r="AU91" s="1868" t="n">
        <v>38356</v>
      </c>
      <c r="AV91" s="1869">
        <f>AU91-AT91</f>
        <v/>
      </c>
      <c r="AW91" s="2119" t="inlineStr">
        <is>
          <t>SSA</t>
        </is>
      </c>
      <c r="AX91" s="2122" t="inlineStr">
        <is>
          <t>Ondina</t>
        </is>
      </c>
      <c r="AY91" s="2123" t="n">
        <v>38717</v>
      </c>
      <c r="AZ91" s="2124" t="n">
        <v>38778</v>
      </c>
      <c r="BA91" s="1874">
        <f>AZ91-AY91</f>
        <v/>
      </c>
      <c r="BB91" s="2118" t="inlineStr">
        <is>
          <t>SSA</t>
        </is>
      </c>
      <c r="BC91" s="2122" t="inlineStr">
        <is>
          <t>Ondina</t>
        </is>
      </c>
      <c r="BD91" s="2123" t="n">
        <v>39082</v>
      </c>
      <c r="BE91" s="2124" t="n">
        <v>39093</v>
      </c>
      <c r="BF91" s="1874">
        <f>BE91-BD91</f>
        <v/>
      </c>
      <c r="BG91" s="2103" t="inlineStr">
        <is>
          <t>Aracaju</t>
        </is>
      </c>
      <c r="BH91" s="2106" t="inlineStr">
        <is>
          <t>Hotel</t>
        </is>
      </c>
      <c r="BI91" s="2107" t="n">
        <v>11390</v>
      </c>
      <c r="BJ91" s="2218" t="n">
        <v>39512</v>
      </c>
      <c r="BK91" s="1874">
        <f>BJ91-BI91</f>
        <v/>
      </c>
      <c r="BL91" s="2076" t="inlineStr">
        <is>
          <t>SSA</t>
        </is>
      </c>
      <c r="BM91" s="1866" t="inlineStr">
        <is>
          <t>BSFlat</t>
        </is>
      </c>
      <c r="BN91" s="2219" t="n">
        <v>39813</v>
      </c>
      <c r="BO91" s="2220" t="n">
        <v>39889</v>
      </c>
      <c r="BP91" s="1869">
        <f>BO91-BN91</f>
        <v/>
      </c>
      <c r="BQ91" s="2221" t="inlineStr">
        <is>
          <t>Paris</t>
        </is>
      </c>
      <c r="BR91" s="2222" t="inlineStr">
        <is>
          <t>XIVeme</t>
        </is>
      </c>
      <c r="BS91" s="2223" t="n">
        <v>40179</v>
      </c>
      <c r="BT91" s="2224" t="n">
        <v>40243</v>
      </c>
      <c r="BU91" s="2225">
        <f>BT91-BS91</f>
        <v/>
      </c>
      <c r="BV91" s="2118" t="inlineStr">
        <is>
          <t>SSA</t>
        </is>
      </c>
      <c r="BW91" s="2122" t="inlineStr">
        <is>
          <t>The Place</t>
        </is>
      </c>
      <c r="BX91" s="2226" t="n">
        <v>40544</v>
      </c>
      <c r="BY91" s="2227" t="n">
        <v>40565</v>
      </c>
      <c r="BZ91" s="2228">
        <f>BY91-BX91</f>
        <v/>
      </c>
      <c r="CA91" s="2229" t="inlineStr">
        <is>
          <t>MONTREAL</t>
        </is>
      </c>
      <c r="CB91" s="2230" t="n"/>
      <c r="CC91" s="2231" t="n"/>
      <c r="CD91" s="2232" t="n"/>
      <c r="CE91" s="2233" t="inlineStr">
        <is>
          <t>-</t>
        </is>
      </c>
      <c r="CF91" s="2229" t="inlineStr">
        <is>
          <t>MONTREAL</t>
        </is>
      </c>
      <c r="CG91" s="2230" t="n"/>
      <c r="CH91" s="2231" t="n"/>
      <c r="CI91" s="2232" t="n"/>
      <c r="CJ91" s="2234" t="inlineStr">
        <is>
          <t>-</t>
        </is>
      </c>
      <c r="CK91" s="2118" t="inlineStr">
        <is>
          <t>SSA</t>
        </is>
      </c>
      <c r="CL91" s="2235" t="inlineStr">
        <is>
          <t>Ondina</t>
        </is>
      </c>
      <c r="CM91" s="2236" t="n">
        <v>41640</v>
      </c>
      <c r="CN91" s="2237" t="n">
        <v>41645</v>
      </c>
      <c r="CO91" s="1899">
        <f>CN91-CM91</f>
        <v/>
      </c>
    </row>
    <row r="92">
      <c r="A92" s="1491" t="n"/>
      <c r="B92" s="1491" t="n"/>
      <c r="C92" s="1491" t="n"/>
      <c r="D92" s="1491" t="n"/>
      <c r="E92" s="1491" t="n"/>
      <c r="F92" s="1491" t="n"/>
      <c r="G92" s="1491" t="n"/>
      <c r="H92" s="1491" t="n"/>
      <c r="I92" s="1491" t="n"/>
      <c r="J92" s="1491" t="n"/>
      <c r="K92" s="1491" t="n"/>
      <c r="L92" s="1491" t="n"/>
      <c r="M92" s="1491" t="n"/>
      <c r="N92" s="1491" t="n"/>
      <c r="O92" s="1491" t="n"/>
      <c r="P92" s="1491" t="n"/>
      <c r="Q92" s="1491" t="n"/>
      <c r="R92" s="1491" t="n"/>
      <c r="S92" s="1491" t="n"/>
      <c r="T92" s="1491" t="n"/>
      <c r="U92" s="1491" t="n"/>
      <c r="V92" s="1491" t="n"/>
      <c r="W92" s="1491" t="n"/>
      <c r="X92" s="1491" t="n"/>
      <c r="Y92" s="1491" t="n"/>
      <c r="Z92" s="1491" t="n"/>
      <c r="AA92" s="1491" t="n"/>
      <c r="AB92" s="1491" t="n"/>
      <c r="AC92" s="1491" t="n"/>
      <c r="AD92" s="1491" t="n"/>
      <c r="AE92" s="1491" t="n"/>
      <c r="AF92" s="1491" t="n"/>
      <c r="AG92" s="1491" t="n"/>
      <c r="AH92" s="1491" t="n"/>
      <c r="AI92" s="1491" t="n"/>
      <c r="AJ92" s="1491" t="n"/>
      <c r="AK92" s="1491" t="n"/>
      <c r="AL92" s="1491" t="n"/>
      <c r="AM92" s="1491" t="n"/>
      <c r="AN92" s="1491" t="n"/>
      <c r="AO92" s="1491" t="n"/>
      <c r="AP92" s="1491" t="n"/>
      <c r="AQ92" s="1908" t="n"/>
      <c r="AR92" s="1865" t="inlineStr">
        <is>
          <t>SSA</t>
        </is>
      </c>
      <c r="AS92" s="1866" t="inlineStr">
        <is>
          <t>Ondina</t>
        </is>
      </c>
      <c r="AT92" s="1867" t="n">
        <v>38356</v>
      </c>
      <c r="AU92" s="1868" t="n">
        <v>38453</v>
      </c>
      <c r="AV92" s="1869">
        <f>AU92-AT92</f>
        <v/>
      </c>
      <c r="AW92" s="2169" t="inlineStr">
        <is>
          <t>Miami - Orlando</t>
        </is>
      </c>
      <c r="AX92" s="2238" t="n"/>
      <c r="AY92" s="2151" t="n">
        <v>38779</v>
      </c>
      <c r="AZ92" s="2152" t="n">
        <v>38788</v>
      </c>
      <c r="BA92" s="1874">
        <f>AZ92-AY92</f>
        <v/>
      </c>
      <c r="BB92" s="2102" t="inlineStr">
        <is>
          <t>FORTALEZA</t>
        </is>
      </c>
      <c r="BC92" s="2106" t="n"/>
      <c r="BD92" s="2107" t="n">
        <v>39093</v>
      </c>
      <c r="BE92" s="2108" t="n">
        <v>39098</v>
      </c>
      <c r="BF92" s="1874">
        <f>BE92-BD92</f>
        <v/>
      </c>
      <c r="BG92" s="2119" t="inlineStr">
        <is>
          <t>SSA</t>
        </is>
      </c>
      <c r="BH92" s="2122" t="inlineStr">
        <is>
          <t>Ondina</t>
        </is>
      </c>
      <c r="BI92" s="2123" t="n">
        <v>39512</v>
      </c>
      <c r="BJ92" s="2239" t="n">
        <v>39534</v>
      </c>
      <c r="BK92" s="1874">
        <f>BJ92-BI92</f>
        <v/>
      </c>
      <c r="BL92" s="2076" t="inlineStr">
        <is>
          <t>SP</t>
        </is>
      </c>
      <c r="BM92" s="1866" t="inlineStr">
        <is>
          <t>Moyses</t>
        </is>
      </c>
      <c r="BN92" s="2219" t="n">
        <v>39889</v>
      </c>
      <c r="BO92" s="2220" t="n">
        <v>39910</v>
      </c>
      <c r="BP92" s="1869">
        <f>BO92-BN92</f>
        <v/>
      </c>
      <c r="BQ92" s="2163" t="inlineStr">
        <is>
          <t>Marrakech</t>
        </is>
      </c>
      <c r="BR92" s="2240" t="n"/>
      <c r="BS92" s="2241" t="n">
        <v>40243</v>
      </c>
      <c r="BT92" s="2242" t="n">
        <v>40249</v>
      </c>
      <c r="BU92" s="2228">
        <f>BT92-BS92</f>
        <v/>
      </c>
      <c r="BV92" s="2102" t="inlineStr">
        <is>
          <t>SP</t>
        </is>
      </c>
      <c r="BW92" s="2243" t="inlineStr">
        <is>
          <t>Moyses</t>
        </is>
      </c>
      <c r="BX92" s="2244" t="n">
        <v>40565</v>
      </c>
      <c r="BY92" s="2245" t="n">
        <v>40570</v>
      </c>
      <c r="BZ92" s="2228">
        <f>BY92-BX92</f>
        <v/>
      </c>
      <c r="CA92" s="2246" t="inlineStr">
        <is>
          <t>4560, Bld Lasalle, #112</t>
        </is>
      </c>
      <c r="CB92" s="2247" t="n"/>
      <c r="CC92" s="2248" t="n">
        <v>40909</v>
      </c>
      <c r="CD92" s="2249" t="n">
        <v>40954</v>
      </c>
      <c r="CE92" s="2228">
        <f>CD92-CC92</f>
        <v/>
      </c>
      <c r="CF92" s="2246" t="inlineStr">
        <is>
          <t>4560, Bld Lasalle, #112</t>
        </is>
      </c>
      <c r="CG92" s="2247" t="n"/>
      <c r="CH92" s="2248" t="n">
        <v>41275</v>
      </c>
      <c r="CI92" s="2249" t="n">
        <v>41282</v>
      </c>
      <c r="CJ92" s="1874">
        <f>CI92-CH92</f>
        <v/>
      </c>
      <c r="CK92" s="2102" t="inlineStr">
        <is>
          <t>SP</t>
        </is>
      </c>
      <c r="CL92" s="2243" t="inlineStr">
        <is>
          <t>chez Sam</t>
        </is>
      </c>
      <c r="CM92" s="2244">
        <f>CN91</f>
        <v/>
      </c>
      <c r="CN92" s="2250" t="n">
        <v>41648</v>
      </c>
      <c r="CO92" s="1874">
        <f>CN92-CM92</f>
        <v/>
      </c>
    </row>
    <row r="93">
      <c r="A93" s="1491" t="n"/>
      <c r="B93" s="1491" t="n"/>
      <c r="C93" s="1491" t="n"/>
      <c r="D93" s="1491" t="n"/>
      <c r="E93" s="1491" t="n"/>
      <c r="F93" s="1491" t="n"/>
      <c r="G93" s="1491" t="n"/>
      <c r="H93" s="1491" t="n"/>
      <c r="I93" s="1491" t="n"/>
      <c r="J93" s="1491" t="n"/>
      <c r="K93" s="1491" t="n"/>
      <c r="L93" s="1491" t="n"/>
      <c r="M93" s="1491" t="n"/>
      <c r="N93" s="1491" t="n"/>
      <c r="O93" s="1491" t="n"/>
      <c r="P93" s="1491" t="n"/>
      <c r="Q93" s="1491" t="n"/>
      <c r="R93" s="1491" t="n"/>
      <c r="S93" s="1491" t="n"/>
      <c r="T93" s="1491" t="n"/>
      <c r="U93" s="1491" t="n"/>
      <c r="V93" s="1491" t="n"/>
      <c r="W93" s="1491" t="n"/>
      <c r="X93" s="1491" t="n"/>
      <c r="Y93" s="1491" t="n"/>
      <c r="Z93" s="1491" t="n"/>
      <c r="AA93" s="1491" t="n"/>
      <c r="AB93" s="1491" t="n"/>
      <c r="AC93" s="1491" t="n"/>
      <c r="AD93" s="1491" t="n"/>
      <c r="AE93" s="1491" t="n"/>
      <c r="AF93" s="1491" t="n"/>
      <c r="AG93" s="1491" t="n"/>
      <c r="AH93" s="1491" t="n"/>
      <c r="AI93" s="1491" t="n"/>
      <c r="AJ93" s="1491" t="n"/>
      <c r="AK93" s="1491" t="n"/>
      <c r="AL93" s="1491" t="n"/>
      <c r="AM93" s="1491" t="n"/>
      <c r="AN93" s="1491" t="n"/>
      <c r="AO93" s="1491" t="n"/>
      <c r="AP93" s="1491" t="n"/>
      <c r="AQ93" s="1908" t="n"/>
      <c r="AR93" s="1865" t="inlineStr">
        <is>
          <t>S.P</t>
        </is>
      </c>
      <c r="AS93" s="1866" t="inlineStr">
        <is>
          <t>Moyses</t>
        </is>
      </c>
      <c r="AT93" s="1867" t="n">
        <v>38453</v>
      </c>
      <c r="AU93" s="1868" t="n">
        <v>38477</v>
      </c>
      <c r="AV93" s="1869">
        <f>AU93-AT93</f>
        <v/>
      </c>
      <c r="AW93" s="2119" t="inlineStr">
        <is>
          <t>SSA</t>
        </is>
      </c>
      <c r="AX93" s="2122" t="inlineStr">
        <is>
          <t>Ondina</t>
        </is>
      </c>
      <c r="AY93" s="1919" t="n">
        <v>38788</v>
      </c>
      <c r="AZ93" s="2124" t="n">
        <v>38826</v>
      </c>
      <c r="BA93" s="2251">
        <f>AZ93-AY93</f>
        <v/>
      </c>
      <c r="BB93" s="2118" t="inlineStr">
        <is>
          <t>SSA</t>
        </is>
      </c>
      <c r="BC93" s="2122" t="inlineStr">
        <is>
          <t>Ondina</t>
        </is>
      </c>
      <c r="BD93" s="2123" t="n">
        <v>39098</v>
      </c>
      <c r="BE93" s="2124" t="n">
        <v>39213</v>
      </c>
      <c r="BF93" s="1874">
        <f>BE93-BD93</f>
        <v/>
      </c>
      <c r="BG93" s="2103" t="inlineStr">
        <is>
          <t>SP</t>
        </is>
      </c>
      <c r="BH93" s="2106" t="inlineStr">
        <is>
          <t>Rato/Moyses</t>
        </is>
      </c>
      <c r="BI93" s="2107" t="n">
        <v>39534</v>
      </c>
      <c r="BJ93" s="2218" t="n">
        <v>39540</v>
      </c>
      <c r="BK93" s="1874">
        <f>BJ93-BI93</f>
        <v/>
      </c>
      <c r="BL93" s="2076" t="inlineStr">
        <is>
          <t>espaco aereo BR</t>
        </is>
      </c>
      <c r="BM93" s="1866" t="n"/>
      <c r="BN93" s="2219" t="n">
        <v>40275</v>
      </c>
      <c r="BO93" s="2220" t="n">
        <v>40276</v>
      </c>
      <c r="BP93" s="1869">
        <f>BO93-BN93</f>
        <v/>
      </c>
      <c r="BQ93" s="2114" t="inlineStr">
        <is>
          <t>London</t>
        </is>
      </c>
      <c r="BR93" s="2252" t="inlineStr">
        <is>
          <t>Ruislip</t>
        </is>
      </c>
      <c r="BS93" s="2116" t="n">
        <v>40249</v>
      </c>
      <c r="BT93" s="2117" t="n">
        <v>40257</v>
      </c>
      <c r="BU93" s="2228">
        <f>BT93-BS93</f>
        <v/>
      </c>
      <c r="BV93" s="2102" t="inlineStr">
        <is>
          <t>Rio</t>
        </is>
      </c>
      <c r="BW93" s="2243" t="inlineStr">
        <is>
          <t>Monica</t>
        </is>
      </c>
      <c r="BX93" s="2244" t="n">
        <v>40570</v>
      </c>
      <c r="BY93" s="2245" t="n">
        <v>40577</v>
      </c>
      <c r="BZ93" s="2228">
        <f>BY93-BX93</f>
        <v/>
      </c>
      <c r="CA93" s="2246" t="n"/>
      <c r="CB93" s="2253" t="inlineStr">
        <is>
          <t>Mont Saint-Sauveur</t>
        </is>
      </c>
      <c r="CC93" s="2254" t="n">
        <v>40935</v>
      </c>
      <c r="CD93" s="2249" t="n"/>
      <c r="CE93" s="2233" t="inlineStr">
        <is>
          <t>-</t>
        </is>
      </c>
      <c r="CF93" s="1998" t="inlineStr">
        <is>
          <t xml:space="preserve">Miami </t>
        </is>
      </c>
      <c r="CG93" s="2255" t="inlineStr">
        <is>
          <t>conexao</t>
        </is>
      </c>
      <c r="CH93" s="2151" t="n">
        <v>41282</v>
      </c>
      <c r="CI93" s="2152" t="n"/>
      <c r="CJ93" s="1874" t="n"/>
      <c r="CK93" s="2148" t="inlineStr">
        <is>
          <t>Rio</t>
        </is>
      </c>
      <c r="CL93" s="2256" t="inlineStr">
        <is>
          <t>chez Tatá</t>
        </is>
      </c>
      <c r="CM93" s="2257" t="n">
        <v>41648</v>
      </c>
      <c r="CN93" s="2258" t="n">
        <v>41652</v>
      </c>
      <c r="CO93" s="1874">
        <f>CN93-CM93</f>
        <v/>
      </c>
    </row>
    <row r="94">
      <c r="A94" s="1491" t="n"/>
      <c r="B94" s="1491" t="n"/>
      <c r="C94" s="1491" t="n"/>
      <c r="D94" s="1491" t="n"/>
      <c r="E94" s="1491" t="n"/>
      <c r="F94" s="1491" t="n"/>
      <c r="G94" s="1491" t="n"/>
      <c r="H94" s="1491" t="n"/>
      <c r="I94" s="1491" t="n"/>
      <c r="J94" s="1491" t="n"/>
      <c r="K94" s="1491" t="n"/>
      <c r="L94" s="1491" t="n"/>
      <c r="M94" s="1491" t="n"/>
      <c r="N94" s="1491" t="n"/>
      <c r="O94" s="1491" t="n"/>
      <c r="P94" s="1491" t="n"/>
      <c r="Q94" s="1491" t="n"/>
      <c r="R94" s="1491" t="n"/>
      <c r="S94" s="1491" t="n"/>
      <c r="T94" s="1491" t="n"/>
      <c r="U94" s="1491" t="n"/>
      <c r="V94" s="1491" t="n"/>
      <c r="W94" s="1491" t="n"/>
      <c r="X94" s="1491" t="n"/>
      <c r="Y94" s="1491" t="n"/>
      <c r="Z94" s="1491" t="n"/>
      <c r="AA94" s="1491" t="n"/>
      <c r="AB94" s="1491" t="n"/>
      <c r="AC94" s="1491" t="n"/>
      <c r="AD94" s="1491" t="n"/>
      <c r="AE94" s="1491" t="n"/>
      <c r="AF94" s="1491" t="n"/>
      <c r="AG94" s="1491" t="n"/>
      <c r="AH94" s="1491" t="n"/>
      <c r="AI94" s="1491" t="n"/>
      <c r="AJ94" s="1491" t="n"/>
      <c r="AK94" s="1491" t="n"/>
      <c r="AL94" s="1491" t="n"/>
      <c r="AM94" s="1491" t="n"/>
      <c r="AN94" s="1491" t="n"/>
      <c r="AO94" s="1491" t="n"/>
      <c r="AP94" s="1491" t="n"/>
      <c r="AQ94" s="1908" t="n"/>
      <c r="AR94" s="1865" t="inlineStr">
        <is>
          <t>SSA</t>
        </is>
      </c>
      <c r="AS94" s="1866" t="inlineStr">
        <is>
          <t>Ondina</t>
        </is>
      </c>
      <c r="AT94" s="1867" t="n">
        <v>38477</v>
      </c>
      <c r="AU94" s="1868" t="n">
        <v>38496</v>
      </c>
      <c r="AV94" s="1869">
        <f>AU94-AT94</f>
        <v/>
      </c>
      <c r="AW94" s="2103" t="inlineStr">
        <is>
          <t>SP</t>
        </is>
      </c>
      <c r="AX94" s="2106" t="inlineStr">
        <is>
          <t>Moyses</t>
        </is>
      </c>
      <c r="AY94" s="2107" t="n">
        <v>38826</v>
      </c>
      <c r="AZ94" s="2108" t="n">
        <v>38841</v>
      </c>
      <c r="BA94" s="1874">
        <f>AZ94-AY94</f>
        <v/>
      </c>
      <c r="BB94" s="2102" t="inlineStr">
        <is>
          <t>Joao Pessoa</t>
        </is>
      </c>
      <c r="BC94" s="2106" t="n"/>
      <c r="BD94" s="2107" t="n">
        <v>39213</v>
      </c>
      <c r="BE94" s="2108" t="n">
        <v>39215</v>
      </c>
      <c r="BF94" s="1874">
        <f>BE94-BD94</f>
        <v/>
      </c>
      <c r="BG94" s="2119" t="inlineStr">
        <is>
          <t>SSA</t>
        </is>
      </c>
      <c r="BH94" s="2122" t="inlineStr">
        <is>
          <t>Ondina</t>
        </is>
      </c>
      <c r="BI94" s="2123" t="n">
        <v>39540</v>
      </c>
      <c r="BJ94" s="2239" t="n">
        <v>39548</v>
      </c>
      <c r="BK94" s="1874">
        <f>BJ94-BI94</f>
        <v/>
      </c>
      <c r="BL94" s="2259" t="inlineStr">
        <is>
          <t>Paris</t>
        </is>
      </c>
      <c r="BM94" s="1876" t="n"/>
      <c r="BN94" s="2133" t="n">
        <v>39911</v>
      </c>
      <c r="BO94" s="2134" t="n">
        <v>39915</v>
      </c>
      <c r="BP94" s="2260">
        <f>BO94-BN94</f>
        <v/>
      </c>
      <c r="BQ94" s="2114" t="n"/>
      <c r="BR94" s="2252" t="inlineStr">
        <is>
          <t>Bath/Stonehenge</t>
        </is>
      </c>
      <c r="BS94" s="2116" t="n"/>
      <c r="BT94" s="2117" t="n">
        <v>40254</v>
      </c>
      <c r="BU94" s="2233" t="inlineStr">
        <is>
          <t>-</t>
        </is>
      </c>
      <c r="BV94" s="2118" t="inlineStr">
        <is>
          <t>SSA</t>
        </is>
      </c>
      <c r="BW94" s="2235" t="inlineStr">
        <is>
          <t>The Place</t>
        </is>
      </c>
      <c r="BX94" s="2236" t="n">
        <v>40577</v>
      </c>
      <c r="BY94" s="2227" t="n">
        <v>40645</v>
      </c>
      <c r="BZ94" s="2228">
        <f>BY94-BX94</f>
        <v/>
      </c>
      <c r="CA94" s="1998" t="inlineStr">
        <is>
          <t>Orlando</t>
        </is>
      </c>
      <c r="CB94" s="2255" t="n"/>
      <c r="CC94" s="2151" t="n">
        <v>40954</v>
      </c>
      <c r="CD94" s="2152" t="n">
        <v>40964</v>
      </c>
      <c r="CE94" s="2109">
        <f>CD94-CC94</f>
        <v/>
      </c>
      <c r="CF94" s="2261" t="inlineStr">
        <is>
          <t>espaco aereo americano</t>
        </is>
      </c>
      <c r="CG94" s="2262" t="n"/>
      <c r="CH94" s="2263" t="n">
        <v>41282</v>
      </c>
      <c r="CI94" s="2264" t="n">
        <v>41283</v>
      </c>
      <c r="CJ94" s="2265">
        <f>CI94-CH94</f>
        <v/>
      </c>
      <c r="CK94" s="2118" t="inlineStr">
        <is>
          <t>SSA</t>
        </is>
      </c>
      <c r="CL94" s="2235" t="inlineStr">
        <is>
          <t>Ondina</t>
        </is>
      </c>
      <c r="CM94" s="2236">
        <f>CN93</f>
        <v/>
      </c>
      <c r="CN94" s="2237" t="n">
        <v>41657</v>
      </c>
      <c r="CO94" s="1874">
        <f>CN94-CM94</f>
        <v/>
      </c>
    </row>
    <row r="95">
      <c r="A95" s="1491" t="n"/>
      <c r="B95" s="1491" t="n"/>
      <c r="C95" s="1491" t="n"/>
      <c r="D95" s="1491" t="n"/>
      <c r="E95" s="1491" t="n"/>
      <c r="F95" s="1491" t="n"/>
      <c r="G95" s="1491" t="n"/>
      <c r="H95" s="1491" t="n"/>
      <c r="I95" s="1491" t="n"/>
      <c r="J95" s="1491" t="n"/>
      <c r="K95" s="1491" t="n"/>
      <c r="L95" s="1491" t="n"/>
      <c r="M95" s="1491" t="n"/>
      <c r="N95" s="1491" t="n"/>
      <c r="O95" s="1491" t="n"/>
      <c r="P95" s="1491" t="n"/>
      <c r="Q95" s="1491" t="n"/>
      <c r="R95" s="1491" t="n"/>
      <c r="S95" s="1491" t="n"/>
      <c r="T95" s="1491" t="n"/>
      <c r="U95" s="1491" t="n"/>
      <c r="V95" s="1491" t="n"/>
      <c r="W95" s="1491" t="n"/>
      <c r="X95" s="1491" t="n"/>
      <c r="Y95" s="1491" t="n"/>
      <c r="Z95" s="1491" t="n"/>
      <c r="AA95" s="1491" t="n"/>
      <c r="AB95" s="1491" t="n"/>
      <c r="AC95" s="1491" t="n"/>
      <c r="AD95" s="1491" t="n"/>
      <c r="AE95" s="1491" t="n"/>
      <c r="AF95" s="1491" t="n"/>
      <c r="AG95" s="1491" t="n"/>
      <c r="AH95" s="1491" t="n"/>
      <c r="AI95" s="1491" t="n"/>
      <c r="AJ95" s="1491" t="n"/>
      <c r="AK95" s="1491" t="n"/>
      <c r="AL95" s="1491" t="n"/>
      <c r="AM95" s="1491" t="n"/>
      <c r="AN95" s="1491" t="n"/>
      <c r="AO95" s="1491" t="n"/>
      <c r="AP95" s="1491" t="n"/>
      <c r="AQ95" s="1908" t="n"/>
      <c r="AR95" s="1865" t="inlineStr">
        <is>
          <t>espaco aereo brasileiro</t>
        </is>
      </c>
      <c r="AS95" s="1866" t="n"/>
      <c r="AT95" s="1867" t="n">
        <v>38496</v>
      </c>
      <c r="AU95" s="1868" t="n">
        <v>38497</v>
      </c>
      <c r="AV95" s="2266" t="n">
        <v>1</v>
      </c>
      <c r="AW95" s="2119" t="inlineStr">
        <is>
          <t>SSA</t>
        </is>
      </c>
      <c r="AX95" s="2122" t="inlineStr">
        <is>
          <t>Ondina</t>
        </is>
      </c>
      <c r="AY95" s="2123" t="n">
        <v>38841</v>
      </c>
      <c r="AZ95" s="2124" t="n">
        <v>38869</v>
      </c>
      <c r="BA95" s="1874">
        <f>AZ95-AY95</f>
        <v/>
      </c>
      <c r="BB95" s="2118" t="inlineStr">
        <is>
          <t>SSA</t>
        </is>
      </c>
      <c r="BC95" s="2122" t="inlineStr">
        <is>
          <t>Ondina</t>
        </is>
      </c>
      <c r="BD95" s="2123" t="n">
        <v>39215</v>
      </c>
      <c r="BE95" s="2124" t="n">
        <v>39218</v>
      </c>
      <c r="BF95" s="1874">
        <f>BE95-BD95</f>
        <v/>
      </c>
      <c r="BG95" s="2267" t="inlineStr">
        <is>
          <t>SSA</t>
        </is>
      </c>
      <c r="BH95" s="2268" t="inlineStr">
        <is>
          <t>BSFlat</t>
        </is>
      </c>
      <c r="BI95" s="2123" t="n">
        <v>39548</v>
      </c>
      <c r="BJ95" s="2239" t="n">
        <v>39557</v>
      </c>
      <c r="BK95" s="1874">
        <f>BJ95-BI95</f>
        <v/>
      </c>
      <c r="BL95" s="2115" t="inlineStr">
        <is>
          <t>London</t>
        </is>
      </c>
      <c r="BM95" s="1990" t="inlineStr">
        <is>
          <t>Tufnell</t>
        </is>
      </c>
      <c r="BN95" s="2116" t="n">
        <v>39915</v>
      </c>
      <c r="BO95" s="2117" t="n">
        <v>39923</v>
      </c>
      <c r="BP95" s="2269">
        <f>BO95-BN95</f>
        <v/>
      </c>
      <c r="BQ95" s="2270" t="inlineStr">
        <is>
          <t>Paris</t>
        </is>
      </c>
      <c r="BR95" s="2271" t="inlineStr">
        <is>
          <t>XIVeme</t>
        </is>
      </c>
      <c r="BS95" s="2133" t="n">
        <v>40257</v>
      </c>
      <c r="BT95" s="2134" t="n">
        <v>40270</v>
      </c>
      <c r="BU95" s="2228">
        <f>BT95-BS95</f>
        <v/>
      </c>
      <c r="BV95" s="2102" t="inlineStr">
        <is>
          <t>SP</t>
        </is>
      </c>
      <c r="BW95" s="2243" t="inlineStr">
        <is>
          <t>Moyses</t>
        </is>
      </c>
      <c r="BX95" s="2244" t="n">
        <v>40645</v>
      </c>
      <c r="BY95" s="2245" t="n">
        <v>40651</v>
      </c>
      <c r="BZ95" s="2228">
        <f>BY95-BX95</f>
        <v/>
      </c>
      <c r="CA95" s="2261" t="inlineStr">
        <is>
          <t>espaco aereo americano</t>
        </is>
      </c>
      <c r="CB95" s="2262" t="n"/>
      <c r="CC95" s="2263" t="n">
        <v>40964</v>
      </c>
      <c r="CD95" s="2264" t="n">
        <v>40965</v>
      </c>
      <c r="CE95" s="2272">
        <f>CD95-CC95</f>
        <v/>
      </c>
      <c r="CF95" s="2102" t="inlineStr">
        <is>
          <t>Rio</t>
        </is>
      </c>
      <c r="CG95" s="2243" t="inlineStr">
        <is>
          <t>chez Tata'</t>
        </is>
      </c>
      <c r="CH95" s="2244" t="n">
        <v>41283</v>
      </c>
      <c r="CI95" s="2245" t="n">
        <v>41285</v>
      </c>
      <c r="CJ95" s="1874">
        <f>CI95-CH95</f>
        <v/>
      </c>
      <c r="CK95" s="1998" t="inlineStr">
        <is>
          <t xml:space="preserve">Miami </t>
        </is>
      </c>
      <c r="CL95" s="2255" t="inlineStr">
        <is>
          <t>conexao</t>
        </is>
      </c>
      <c r="CM95" s="2151">
        <f>CN94</f>
        <v/>
      </c>
      <c r="CN95" s="2273" t="n"/>
      <c r="CO95" s="1874" t="n"/>
    </row>
    <row r="96">
      <c r="A96" s="1491" t="n"/>
      <c r="B96" s="1491" t="n"/>
      <c r="C96" s="1491" t="n"/>
      <c r="D96" s="1491" t="n"/>
      <c r="E96" s="1491" t="n"/>
      <c r="F96" s="1491" t="n"/>
      <c r="G96" s="1491" t="n"/>
      <c r="H96" s="1491" t="n"/>
      <c r="I96" s="1491" t="n"/>
      <c r="J96" s="1491" t="n"/>
      <c r="K96" s="1491" t="n"/>
      <c r="L96" s="1491" t="n"/>
      <c r="M96" s="1491" t="n"/>
      <c r="N96" s="1491" t="n"/>
      <c r="O96" s="1491" t="n"/>
      <c r="P96" s="1491" t="n"/>
      <c r="Q96" s="1491" t="n"/>
      <c r="R96" s="1491" t="n"/>
      <c r="S96" s="1491" t="n"/>
      <c r="T96" s="1491" t="n"/>
      <c r="U96" s="1491" t="n"/>
      <c r="V96" s="1491" t="n"/>
      <c r="W96" s="1491" t="n"/>
      <c r="X96" s="1491" t="n"/>
      <c r="Y96" s="1491" t="n"/>
      <c r="Z96" s="1491" t="n"/>
      <c r="AA96" s="1491" t="n"/>
      <c r="AB96" s="1491" t="n"/>
      <c r="AC96" s="1491" t="n"/>
      <c r="AD96" s="1491" t="n"/>
      <c r="AE96" s="1491" t="n"/>
      <c r="AF96" s="1491" t="n"/>
      <c r="AG96" s="1491" t="n"/>
      <c r="AH96" s="1491" t="n"/>
      <c r="AI96" s="1491" t="n"/>
      <c r="AJ96" s="1491" t="n"/>
      <c r="AK96" s="1491" t="n"/>
      <c r="AL96" s="1491" t="n"/>
      <c r="AM96" s="1491" t="n"/>
      <c r="AN96" s="1491" t="n"/>
      <c r="AO96" s="1491" t="n"/>
      <c r="AP96" s="1491" t="n"/>
      <c r="AQ96" s="1908" t="n"/>
      <c r="AR96" s="2114" t="inlineStr">
        <is>
          <t>London</t>
        </is>
      </c>
      <c r="AS96" s="1990" t="inlineStr">
        <is>
          <t>David's</t>
        </is>
      </c>
      <c r="AT96" s="2116" t="n">
        <v>38497</v>
      </c>
      <c r="AU96" s="2117" t="n">
        <v>38509</v>
      </c>
      <c r="AV96" s="1874">
        <f>AU96-AT96</f>
        <v/>
      </c>
      <c r="AW96" s="2103" t="inlineStr">
        <is>
          <t>SP</t>
        </is>
      </c>
      <c r="AX96" s="2106" t="inlineStr">
        <is>
          <t>Moyses</t>
        </is>
      </c>
      <c r="AY96" s="2107" t="n">
        <v>38869</v>
      </c>
      <c r="AZ96" s="2108" t="n">
        <v>38896</v>
      </c>
      <c r="BA96" s="1874">
        <f>AZ96-AY96</f>
        <v/>
      </c>
      <c r="BB96" s="2102" t="inlineStr">
        <is>
          <t>SP</t>
        </is>
      </c>
      <c r="BC96" s="2106" t="inlineStr">
        <is>
          <t>Bado</t>
        </is>
      </c>
      <c r="BD96" s="2107" t="n">
        <v>39219</v>
      </c>
      <c r="BE96" s="2108" t="n">
        <v>39222</v>
      </c>
      <c r="BF96" s="1874">
        <f>BE96-BD96</f>
        <v/>
      </c>
      <c r="BG96" s="2103" t="inlineStr">
        <is>
          <t>RIO</t>
        </is>
      </c>
      <c r="BH96" s="2106" t="inlineStr">
        <is>
          <t>Monica</t>
        </is>
      </c>
      <c r="BI96" s="2107" t="n">
        <v>39557</v>
      </c>
      <c r="BJ96" s="2218" t="n">
        <v>39563</v>
      </c>
      <c r="BK96" s="1874">
        <f>BJ96-BI96</f>
        <v/>
      </c>
      <c r="BL96" s="2115" t="inlineStr">
        <is>
          <t>London</t>
        </is>
      </c>
      <c r="BM96" s="1990" t="inlineStr">
        <is>
          <t>N.Gower</t>
        </is>
      </c>
      <c r="BN96" s="2116" t="n">
        <v>39923</v>
      </c>
      <c r="BO96" s="2117" t="n">
        <v>39949</v>
      </c>
      <c r="BP96" s="2269">
        <f>BO96-BN96</f>
        <v/>
      </c>
      <c r="BQ96" s="2125" t="inlineStr">
        <is>
          <t>Zurich</t>
        </is>
      </c>
      <c r="BR96" s="2274" t="inlineStr">
        <is>
          <t>conexao</t>
        </is>
      </c>
      <c r="BS96" s="2126" t="n">
        <v>40270</v>
      </c>
      <c r="BT96" s="2127" t="n">
        <v>40270</v>
      </c>
      <c r="BU96" s="2233" t="inlineStr">
        <is>
          <t>-</t>
        </is>
      </c>
      <c r="BV96" s="2118" t="inlineStr">
        <is>
          <t>SSA</t>
        </is>
      </c>
      <c r="BW96" s="2235" t="inlineStr">
        <is>
          <t>The Place</t>
        </is>
      </c>
      <c r="BX96" s="2236" t="n">
        <v>40651</v>
      </c>
      <c r="BY96" s="2227" t="n">
        <v>40672</v>
      </c>
      <c r="BZ96" s="2228">
        <f>BY96-BX96</f>
        <v/>
      </c>
      <c r="CA96" s="2246" t="inlineStr">
        <is>
          <t>4560, Bld Lasalle, #112</t>
        </is>
      </c>
      <c r="CB96" s="2247" t="n"/>
      <c r="CC96" s="2254" t="n">
        <v>40965</v>
      </c>
      <c r="CD96" s="2249" t="n">
        <v>41178</v>
      </c>
      <c r="CE96" s="2228">
        <f>CD96-CC96</f>
        <v/>
      </c>
      <c r="CF96" s="2118" t="inlineStr">
        <is>
          <t>SSA</t>
        </is>
      </c>
      <c r="CG96" s="2235" t="inlineStr">
        <is>
          <t>Ondina</t>
        </is>
      </c>
      <c r="CH96" s="2236" t="n">
        <v>41285</v>
      </c>
      <c r="CI96" s="2227" t="n">
        <v>41300</v>
      </c>
      <c r="CJ96" s="1874">
        <f>CI96-CH96</f>
        <v/>
      </c>
      <c r="CK96" s="2246" t="inlineStr">
        <is>
          <t>771, Rue Beatty</t>
        </is>
      </c>
      <c r="CL96" s="2247" t="n"/>
      <c r="CM96" s="2254" t="n">
        <v>41657</v>
      </c>
      <c r="CN96" s="2275" t="n">
        <v>41697</v>
      </c>
      <c r="CO96" s="2276">
        <f>CN96-CM96</f>
        <v/>
      </c>
    </row>
    <row r="97">
      <c r="A97" s="1491" t="n"/>
      <c r="B97" s="1491" t="n"/>
      <c r="C97" s="1491" t="n"/>
      <c r="D97" s="1491" t="n"/>
      <c r="E97" s="1491" t="n"/>
      <c r="F97" s="1491" t="n"/>
      <c r="G97" s="1491" t="n"/>
      <c r="H97" s="1491" t="n"/>
      <c r="I97" s="1491" t="n"/>
      <c r="J97" s="1491" t="n"/>
      <c r="K97" s="1491" t="n"/>
      <c r="L97" s="1491" t="n"/>
      <c r="M97" s="1491" t="n"/>
      <c r="N97" s="1491" t="n"/>
      <c r="O97" s="1491" t="n"/>
      <c r="P97" s="1491" t="n"/>
      <c r="Q97" s="1491" t="n"/>
      <c r="R97" s="1491" t="n"/>
      <c r="S97" s="1491" t="n"/>
      <c r="T97" s="1491" t="n"/>
      <c r="U97" s="1491" t="n"/>
      <c r="V97" s="1491" t="n"/>
      <c r="W97" s="1491" t="n"/>
      <c r="X97" s="1491" t="n"/>
      <c r="Y97" s="1491" t="n"/>
      <c r="Z97" s="1491" t="n"/>
      <c r="AA97" s="1491" t="n"/>
      <c r="AB97" s="1491" t="n"/>
      <c r="AC97" s="1491" t="n"/>
      <c r="AD97" s="1491" t="n"/>
      <c r="AE97" s="1491" t="n"/>
      <c r="AF97" s="1491" t="n"/>
      <c r="AG97" s="1491" t="n"/>
      <c r="AH97" s="1491" t="n"/>
      <c r="AI97" s="1491" t="n"/>
      <c r="AJ97" s="1491" t="n"/>
      <c r="AK97" s="1491" t="n"/>
      <c r="AL97" s="1491" t="n"/>
      <c r="AM97" s="1491" t="n"/>
      <c r="AN97" s="1491" t="n"/>
      <c r="AO97" s="1491" t="n"/>
      <c r="AP97" s="1491" t="n"/>
      <c r="AQ97" s="1908" t="n"/>
      <c r="AR97" s="2114" t="n"/>
      <c r="AS97" s="1990" t="inlineStr">
        <is>
          <t>Windsor, Hampton</t>
        </is>
      </c>
      <c r="AT97" s="2116" t="n"/>
      <c r="AU97" s="2117" t="n">
        <v>38507</v>
      </c>
      <c r="AV97" s="2189" t="inlineStr">
        <is>
          <t>-</t>
        </is>
      </c>
      <c r="AW97" s="2119" t="inlineStr">
        <is>
          <t>SSA</t>
        </is>
      </c>
      <c r="AX97" s="2122" t="inlineStr">
        <is>
          <t>Ondina</t>
        </is>
      </c>
      <c r="AY97" s="2123" t="n">
        <v>38897</v>
      </c>
      <c r="AZ97" s="2124" t="n">
        <v>38961</v>
      </c>
      <c r="BA97" s="1874">
        <f>AZ97-AY97</f>
        <v/>
      </c>
      <c r="BB97" s="2102" t="inlineStr">
        <is>
          <t>Curitiba</t>
        </is>
      </c>
      <c r="BC97" s="2106" t="n"/>
      <c r="BD97" s="2107" t="n">
        <v>39222</v>
      </c>
      <c r="BE97" s="2108" t="n">
        <v>39226</v>
      </c>
      <c r="BF97" s="1874">
        <f>BE97-BD97</f>
        <v/>
      </c>
      <c r="BG97" s="2119" t="inlineStr">
        <is>
          <t>SSA</t>
        </is>
      </c>
      <c r="BH97" s="2122" t="inlineStr">
        <is>
          <t>BSFlat</t>
        </is>
      </c>
      <c r="BI97" s="2123" t="n">
        <v>39563</v>
      </c>
      <c r="BJ97" s="2239" t="n">
        <v>39581</v>
      </c>
      <c r="BK97" s="1874">
        <f>BJ97-BI97</f>
        <v/>
      </c>
      <c r="BL97" s="2115" t="inlineStr">
        <is>
          <t>Sheringham (Norfolk)</t>
        </is>
      </c>
      <c r="BM97" s="1990" t="n"/>
      <c r="BN97" s="2116" t="n">
        <v>39949</v>
      </c>
      <c r="BO97" s="2117" t="n">
        <v>39950</v>
      </c>
      <c r="BP97" s="2269">
        <f>BO97-BN97</f>
        <v/>
      </c>
      <c r="BQ97" s="2138" t="inlineStr">
        <is>
          <t xml:space="preserve">espaco aereo suico </t>
        </is>
      </c>
      <c r="BR97" s="2277" t="n"/>
      <c r="BS97" s="2170" t="n">
        <v>40270</v>
      </c>
      <c r="BT97" s="2171" t="n">
        <v>40271</v>
      </c>
      <c r="BU97" s="2278">
        <f>BT97-BS97</f>
        <v/>
      </c>
      <c r="BV97" s="2102" t="inlineStr">
        <is>
          <t>SP</t>
        </is>
      </c>
      <c r="BW97" s="2243" t="inlineStr">
        <is>
          <t>Ibis</t>
        </is>
      </c>
      <c r="BX97" s="2244" t="n">
        <v>40672</v>
      </c>
      <c r="BY97" s="2245" t="n">
        <v>40673</v>
      </c>
      <c r="BZ97" s="2228">
        <f>BY97-BX97</f>
        <v/>
      </c>
      <c r="CA97" s="2246" t="n"/>
      <c r="CB97" s="2253" t="inlineStr">
        <is>
          <t>Ottawa (day trip)</t>
        </is>
      </c>
      <c r="CC97" s="2254" t="n">
        <v>41049</v>
      </c>
      <c r="CD97" s="2249" t="n"/>
      <c r="CE97" s="2233" t="inlineStr">
        <is>
          <t>-</t>
        </is>
      </c>
      <c r="CF97" s="2102" t="inlineStr">
        <is>
          <t>Rio</t>
        </is>
      </c>
      <c r="CG97" s="2243" t="n"/>
      <c r="CH97" s="2244" t="n">
        <v>41300</v>
      </c>
      <c r="CI97" s="2245" t="n">
        <v>41301</v>
      </c>
      <c r="CJ97" s="1874">
        <f>CI97-CH97</f>
        <v/>
      </c>
      <c r="CK97" s="2279" t="n"/>
      <c r="CL97" s="2280" t="inlineStr">
        <is>
          <t>La Belle - Mont-Tremblant</t>
        </is>
      </c>
      <c r="CM97" s="2281" t="n">
        <v>41697</v>
      </c>
      <c r="CN97" s="1896" t="n">
        <v>41700</v>
      </c>
      <c r="CO97" s="2276">
        <f>CN97-CM97</f>
        <v/>
      </c>
    </row>
    <row r="98">
      <c r="A98" s="1491" t="n"/>
      <c r="B98" s="1491" t="n"/>
      <c r="C98" s="1491" t="n"/>
      <c r="D98" s="1491" t="n"/>
      <c r="E98" s="1491" t="n"/>
      <c r="F98" s="1491" t="n"/>
      <c r="G98" s="1491" t="n"/>
      <c r="H98" s="1491" t="n"/>
      <c r="I98" s="1491" t="n"/>
      <c r="J98" s="1491" t="n"/>
      <c r="K98" s="1491" t="n"/>
      <c r="L98" s="1491" t="n"/>
      <c r="M98" s="1491" t="n"/>
      <c r="N98" s="1491" t="n"/>
      <c r="O98" s="1491" t="n"/>
      <c r="P98" s="1491" t="n"/>
      <c r="Q98" s="1491" t="n"/>
      <c r="R98" s="1491" t="n"/>
      <c r="S98" s="1491" t="n"/>
      <c r="T98" s="1491" t="n"/>
      <c r="U98" s="1491" t="n"/>
      <c r="V98" s="1491" t="n"/>
      <c r="W98" s="1491" t="n"/>
      <c r="X98" s="1491" t="n"/>
      <c r="Y98" s="1491" t="n"/>
      <c r="Z98" s="1491" t="n"/>
      <c r="AA98" s="1491" t="n"/>
      <c r="AB98" s="1491" t="n"/>
      <c r="AC98" s="1491" t="n"/>
      <c r="AD98" s="1491" t="n"/>
      <c r="AE98" s="1491" t="n"/>
      <c r="AF98" s="1491" t="n"/>
      <c r="AG98" s="1491" t="n"/>
      <c r="AH98" s="1491" t="n"/>
      <c r="AI98" s="1491" t="n"/>
      <c r="AJ98" s="1491" t="n"/>
      <c r="AK98" s="1491" t="n"/>
      <c r="AL98" s="1491" t="n"/>
      <c r="AM98" s="1491" t="n"/>
      <c r="AN98" s="1491" t="n"/>
      <c r="AO98" s="1491" t="n"/>
      <c r="AP98" s="1491" t="n"/>
      <c r="AQ98" s="1908" t="n"/>
      <c r="AR98" s="2114" t="inlineStr">
        <is>
          <t>Canterbury</t>
        </is>
      </c>
      <c r="AS98" s="1990" t="inlineStr">
        <is>
          <t>VF</t>
        </is>
      </c>
      <c r="AT98" s="2116" t="n">
        <v>38509</v>
      </c>
      <c r="AU98" s="2117" t="n">
        <v>38510</v>
      </c>
      <c r="AV98" s="1874">
        <f>AU98-AT98</f>
        <v/>
      </c>
      <c r="AW98" s="2103" t="inlineStr">
        <is>
          <t>RIO</t>
        </is>
      </c>
      <c r="AX98" s="2106" t="inlineStr">
        <is>
          <t>Hotel</t>
        </is>
      </c>
      <c r="AY98" s="2107" t="n">
        <v>38961</v>
      </c>
      <c r="AZ98" s="2108" t="n">
        <v>38964</v>
      </c>
      <c r="BA98" s="1874">
        <f>AZ98-AY98</f>
        <v/>
      </c>
      <c r="BB98" s="2102" t="inlineStr">
        <is>
          <t>SP</t>
        </is>
      </c>
      <c r="BC98" s="2106" t="inlineStr">
        <is>
          <t>Moyses</t>
        </is>
      </c>
      <c r="BD98" s="2107" t="n">
        <v>39226</v>
      </c>
      <c r="BE98" s="2108" t="n">
        <v>39233</v>
      </c>
      <c r="BF98" s="1874">
        <f>BE98-BD98</f>
        <v/>
      </c>
      <c r="BG98" s="2103" t="inlineStr">
        <is>
          <t>SP</t>
        </is>
      </c>
      <c r="BH98" s="2106" t="inlineStr">
        <is>
          <t>Moyses</t>
        </is>
      </c>
      <c r="BI98" s="2107" t="n">
        <v>39581</v>
      </c>
      <c r="BJ98" s="2218" t="n">
        <v>39584</v>
      </c>
      <c r="BK98" s="1874">
        <f>BJ98-BI98</f>
        <v/>
      </c>
      <c r="BL98" s="2115" t="inlineStr">
        <is>
          <t>London</t>
        </is>
      </c>
      <c r="BM98" s="1990" t="inlineStr">
        <is>
          <t>N.Gower</t>
        </is>
      </c>
      <c r="BN98" s="2116" t="n">
        <v>39950</v>
      </c>
      <c r="BO98" s="2117" t="n">
        <v>39975</v>
      </c>
      <c r="BP98" s="2269">
        <f>BO98-BN98</f>
        <v/>
      </c>
      <c r="BQ98" s="2102" t="inlineStr">
        <is>
          <t>SP</t>
        </is>
      </c>
      <c r="BR98" s="2243" t="inlineStr">
        <is>
          <t>Moyses</t>
        </is>
      </c>
      <c r="BS98" s="2244" t="n">
        <v>40271</v>
      </c>
      <c r="BT98" s="2245" t="n">
        <v>40281</v>
      </c>
      <c r="BU98" s="2228">
        <f>BT98-BS98</f>
        <v/>
      </c>
      <c r="BV98" s="2102" t="inlineStr">
        <is>
          <t>SP</t>
        </is>
      </c>
      <c r="BW98" s="2243" t="inlineStr">
        <is>
          <t>Moyses</t>
        </is>
      </c>
      <c r="BX98" s="2244" t="n">
        <v>40673</v>
      </c>
      <c r="BY98" s="2245" t="n">
        <v>40677</v>
      </c>
      <c r="BZ98" s="2228">
        <f>BY98-BX98</f>
        <v/>
      </c>
      <c r="CA98" s="2246" t="n"/>
      <c r="CB98" s="2253" t="inlineStr">
        <is>
          <t>Mont Saint-Sauveur</t>
        </is>
      </c>
      <c r="CC98" s="2254" t="n">
        <v>41091</v>
      </c>
      <c r="CD98" s="2249" t="n"/>
      <c r="CE98" s="2233" t="inlineStr">
        <is>
          <t>-</t>
        </is>
      </c>
      <c r="CF98" s="1865" t="inlineStr">
        <is>
          <t>espaco aereo brasileiro</t>
        </is>
      </c>
      <c r="CG98" s="2282" t="n"/>
      <c r="CH98" s="2219" t="n">
        <v>41301</v>
      </c>
      <c r="CI98" s="2220" t="n">
        <v>41302</v>
      </c>
      <c r="CJ98" s="1869">
        <f>CI98-CH98</f>
        <v/>
      </c>
      <c r="CK98" s="2246" t="inlineStr">
        <is>
          <t>771, Rue Beatty</t>
        </is>
      </c>
      <c r="CL98" s="2247" t="n"/>
      <c r="CM98" s="2254" t="n">
        <v>41700</v>
      </c>
      <c r="CN98" s="2275" t="n">
        <v>41856</v>
      </c>
      <c r="CO98" s="2276">
        <f>CN98-CM98</f>
        <v/>
      </c>
    </row>
    <row r="99">
      <c r="A99" s="1491" t="n"/>
      <c r="B99" s="1491" t="n"/>
      <c r="C99" s="1491" t="n"/>
      <c r="D99" s="1491" t="n"/>
      <c r="E99" s="1491" t="n"/>
      <c r="F99" s="1491" t="n"/>
      <c r="G99" s="1491" t="n"/>
      <c r="H99" s="1491" t="n"/>
      <c r="I99" s="1491" t="n"/>
      <c r="J99" s="1491" t="n"/>
      <c r="K99" s="1491" t="n"/>
      <c r="L99" s="1491" t="n"/>
      <c r="M99" s="1491" t="n"/>
      <c r="N99" s="1491" t="n"/>
      <c r="O99" s="1491" t="n"/>
      <c r="P99" s="1491" t="n"/>
      <c r="Q99" s="1491" t="n"/>
      <c r="R99" s="1491" t="n"/>
      <c r="S99" s="1491" t="n"/>
      <c r="T99" s="1491" t="n"/>
      <c r="U99" s="1491" t="n"/>
      <c r="V99" s="1491" t="n"/>
      <c r="W99" s="1491" t="n"/>
      <c r="X99" s="1491" t="n"/>
      <c r="Y99" s="1491" t="n"/>
      <c r="Z99" s="1491" t="n"/>
      <c r="AA99" s="1491" t="n"/>
      <c r="AB99" s="1491" t="n"/>
      <c r="AC99" s="1491" t="n"/>
      <c r="AD99" s="1491" t="n"/>
      <c r="AE99" s="1491" t="n"/>
      <c r="AF99" s="1491" t="n"/>
      <c r="AG99" s="1491" t="n"/>
      <c r="AH99" s="1491" t="n"/>
      <c r="AI99" s="1491" t="n"/>
      <c r="AJ99" s="1491" t="n"/>
      <c r="AK99" s="1491" t="n"/>
      <c r="AL99" s="1491" t="n"/>
      <c r="AM99" s="1491" t="n"/>
      <c r="AN99" s="1491" t="n"/>
      <c r="AO99" s="1491" t="n"/>
      <c r="AP99" s="1491" t="n"/>
      <c r="AQ99" s="1908" t="n"/>
      <c r="AR99" s="2270" t="inlineStr">
        <is>
          <t>FRANCA</t>
        </is>
      </c>
      <c r="AS99" s="1876" t="inlineStr">
        <is>
          <t>VF</t>
        </is>
      </c>
      <c r="AT99" s="2133" t="n"/>
      <c r="AU99" s="2134" t="n"/>
      <c r="AV99" s="1874" t="n"/>
      <c r="AW99" s="2119" t="inlineStr">
        <is>
          <t>SSA</t>
        </is>
      </c>
      <c r="AX99" s="2122" t="inlineStr">
        <is>
          <t>Ondina</t>
        </is>
      </c>
      <c r="AY99" s="2123" t="n">
        <v>38965</v>
      </c>
      <c r="AZ99" s="2124" t="n">
        <v>39082</v>
      </c>
      <c r="BA99" s="1874">
        <f>AZ99-AY99</f>
        <v/>
      </c>
      <c r="BB99" s="2102" t="inlineStr">
        <is>
          <t>Rio</t>
        </is>
      </c>
      <c r="BC99" s="2106" t="inlineStr">
        <is>
          <t>Rene</t>
        </is>
      </c>
      <c r="BD99" s="2107" t="n">
        <v>39233</v>
      </c>
      <c r="BE99" s="2108" t="n">
        <v>39240</v>
      </c>
      <c r="BF99" s="1874">
        <f>BE99-BD99</f>
        <v/>
      </c>
      <c r="BG99" s="2119" t="inlineStr">
        <is>
          <t>SSA</t>
        </is>
      </c>
      <c r="BH99" s="2122" t="inlineStr">
        <is>
          <t>BSFlat</t>
        </is>
      </c>
      <c r="BI99" s="2123" t="n">
        <v>39584</v>
      </c>
      <c r="BJ99" s="2239" t="n">
        <v>39597</v>
      </c>
      <c r="BK99" s="1874">
        <f>BJ99-BI99</f>
        <v/>
      </c>
      <c r="BL99" s="2183" t="inlineStr">
        <is>
          <t>Dublin</t>
        </is>
      </c>
      <c r="BM99" s="1910" t="n"/>
      <c r="BN99" s="2184" t="n">
        <v>39975</v>
      </c>
      <c r="BO99" s="2185" t="n">
        <v>39979</v>
      </c>
      <c r="BP99" s="2283">
        <f>BO99-BN99</f>
        <v/>
      </c>
      <c r="BQ99" s="2102" t="inlineStr">
        <is>
          <t>RIO</t>
        </is>
      </c>
      <c r="BR99" s="2243" t="inlineStr">
        <is>
          <t>Monica</t>
        </is>
      </c>
      <c r="BS99" s="2244" t="n">
        <v>40281</v>
      </c>
      <c r="BT99" s="2245" t="n">
        <v>40285</v>
      </c>
      <c r="BU99" s="2228">
        <f>BT99-BS99</f>
        <v/>
      </c>
      <c r="BV99" s="2118" t="inlineStr">
        <is>
          <t>SSA</t>
        </is>
      </c>
      <c r="BW99" s="2235" t="inlineStr">
        <is>
          <t>The Place</t>
        </is>
      </c>
      <c r="BX99" s="2236" t="n">
        <v>40677</v>
      </c>
      <c r="BY99" s="2227" t="n">
        <v>40688</v>
      </c>
      <c r="BZ99" s="2228">
        <f>BY99-BX99</f>
        <v/>
      </c>
      <c r="CA99" s="2246" t="n"/>
      <c r="CB99" s="2253" t="inlineStr">
        <is>
          <t>Bromont</t>
        </is>
      </c>
      <c r="CC99" s="2254" t="n">
        <v>41112</v>
      </c>
      <c r="CD99" s="2249" t="n"/>
      <c r="CE99" s="2233" t="inlineStr">
        <is>
          <t>-</t>
        </is>
      </c>
      <c r="CF99" s="1998" t="inlineStr">
        <is>
          <t xml:space="preserve">Miami </t>
        </is>
      </c>
      <c r="CG99" s="2255" t="inlineStr">
        <is>
          <t>conexao</t>
        </is>
      </c>
      <c r="CH99" s="2151" t="n">
        <v>41302</v>
      </c>
      <c r="CI99" s="2152" t="n"/>
      <c r="CJ99" s="1874" t="n"/>
      <c r="CK99" s="2279" t="n"/>
      <c r="CL99" s="2280" t="inlineStr">
        <is>
          <t>Toronto</t>
        </is>
      </c>
      <c r="CM99" s="2281" t="n">
        <v>41856</v>
      </c>
      <c r="CN99" s="1896" t="n">
        <v>41858</v>
      </c>
      <c r="CO99" s="2276">
        <f>CN99-CM99</f>
        <v/>
      </c>
    </row>
    <row r="100">
      <c r="A100" s="1491" t="n"/>
      <c r="B100" s="1491" t="n"/>
      <c r="C100" s="1491" t="n"/>
      <c r="D100" s="1491" t="n"/>
      <c r="E100" s="1491" t="n"/>
      <c r="F100" s="1491" t="n"/>
      <c r="G100" s="1491" t="n"/>
      <c r="H100" s="1491" t="n"/>
      <c r="I100" s="1491" t="n"/>
      <c r="J100" s="1491" t="n"/>
      <c r="K100" s="1491" t="n"/>
      <c r="L100" s="1491" t="n"/>
      <c r="M100" s="1491" t="n"/>
      <c r="N100" s="1491" t="n"/>
      <c r="O100" s="1491" t="n"/>
      <c r="P100" s="1491" t="n"/>
      <c r="Q100" s="1491" t="n"/>
      <c r="R100" s="1491" t="n"/>
      <c r="S100" s="1491" t="n"/>
      <c r="T100" s="1491" t="n"/>
      <c r="U100" s="1491" t="n"/>
      <c r="V100" s="1491" t="n"/>
      <c r="W100" s="1491" t="n"/>
      <c r="X100" s="1491" t="n"/>
      <c r="Y100" s="1491" t="n"/>
      <c r="Z100" s="1491" t="n"/>
      <c r="AA100" s="1491" t="n"/>
      <c r="AB100" s="1491" t="n"/>
      <c r="AC100" s="1491" t="n"/>
      <c r="AD100" s="1491" t="n"/>
      <c r="AE100" s="1491" t="n"/>
      <c r="AF100" s="1491" t="n"/>
      <c r="AG100" s="1491" t="n"/>
      <c r="AH100" s="1491" t="n"/>
      <c r="AI100" s="1491" t="n"/>
      <c r="AJ100" s="1491" t="n"/>
      <c r="AK100" s="1491" t="n"/>
      <c r="AL100" s="1491" t="n"/>
      <c r="AM100" s="1491" t="n"/>
      <c r="AN100" s="1491" t="n"/>
      <c r="AO100" s="1491" t="n"/>
      <c r="AP100" s="1491" t="n"/>
      <c r="AQ100" s="1908" t="n"/>
      <c r="AR100" s="2270" t="inlineStr">
        <is>
          <t>Calais</t>
        </is>
      </c>
      <c r="AS100" s="1876" t="inlineStr">
        <is>
          <t>Les Fourgs</t>
        </is>
      </c>
      <c r="AT100" s="2133" t="n">
        <v>38510</v>
      </c>
      <c r="AU100" s="2134" t="n">
        <v>38548</v>
      </c>
      <c r="AV100" s="1874">
        <f>AU100-AT100</f>
        <v/>
      </c>
      <c r="AW100" s="2196" t="n"/>
      <c r="AX100" s="2191" t="n"/>
      <c r="AY100" s="2192" t="n"/>
      <c r="AZ100" s="2193" t="n"/>
      <c r="BA100" s="1874" t="n"/>
      <c r="BB100" s="2118" t="inlineStr">
        <is>
          <t>SSA</t>
        </is>
      </c>
      <c r="BC100" s="2122" t="inlineStr">
        <is>
          <t>Ondina</t>
        </is>
      </c>
      <c r="BD100" s="2123" t="n">
        <v>39241</v>
      </c>
      <c r="BE100" s="2124" t="n">
        <v>39252</v>
      </c>
      <c r="BF100" s="1874">
        <f>BE100-BD100</f>
        <v/>
      </c>
      <c r="BG100" s="2103" t="inlineStr">
        <is>
          <t>SP</t>
        </is>
      </c>
      <c r="BH100" s="2106" t="inlineStr">
        <is>
          <t>Rato</t>
        </is>
      </c>
      <c r="BI100" s="2107" t="n">
        <v>39597</v>
      </c>
      <c r="BJ100" s="2218" t="n">
        <v>39601</v>
      </c>
      <c r="BK100" s="1874">
        <f>BJ100-BI100</f>
        <v/>
      </c>
      <c r="BL100" s="2115" t="inlineStr">
        <is>
          <t>London</t>
        </is>
      </c>
      <c r="BM100" s="1990" t="inlineStr">
        <is>
          <t>N.Gower</t>
        </is>
      </c>
      <c r="BN100" s="2116" t="n">
        <v>39979</v>
      </c>
      <c r="BO100" s="2117" t="n">
        <v>40060</v>
      </c>
      <c r="BP100" s="2269">
        <f>BO100-BN100</f>
        <v/>
      </c>
      <c r="BQ100" s="2118" t="inlineStr">
        <is>
          <t>SSA</t>
        </is>
      </c>
      <c r="BR100" s="2235" t="inlineStr">
        <is>
          <t>Ondina</t>
        </is>
      </c>
      <c r="BS100" s="2236" t="n">
        <v>40285</v>
      </c>
      <c r="BT100" s="2227" t="n">
        <v>40308</v>
      </c>
      <c r="BU100" s="2228">
        <f>BT100-BS100</f>
        <v/>
      </c>
      <c r="BV100" s="2102" t="inlineStr">
        <is>
          <t>SP</t>
        </is>
      </c>
      <c r="BW100" s="2243" t="inlineStr">
        <is>
          <t>Moyses</t>
        </is>
      </c>
      <c r="BX100" s="2244" t="n">
        <v>40688</v>
      </c>
      <c r="BY100" s="2245" t="n">
        <v>40692</v>
      </c>
      <c r="BZ100" s="2228">
        <f>BY100-BX100</f>
        <v/>
      </c>
      <c r="CA100" s="2246" t="n"/>
      <c r="CB100" s="2253" t="inlineStr">
        <is>
          <t>Calypso (Ottawa)</t>
        </is>
      </c>
      <c r="CC100" s="2254" t="n">
        <v>41147</v>
      </c>
      <c r="CD100" s="2249" t="n"/>
      <c r="CE100" s="2233" t="inlineStr">
        <is>
          <t>-</t>
        </is>
      </c>
      <c r="CF100" s="2246" t="inlineStr">
        <is>
          <t>4560, Bld Lasalle, #112</t>
        </is>
      </c>
      <c r="CG100" s="2247" t="n"/>
      <c r="CH100" s="2254" t="n">
        <v>41302</v>
      </c>
      <c r="CI100" s="2249" t="n">
        <v>41374</v>
      </c>
      <c r="CJ100" s="1874">
        <f>CI100-CH100</f>
        <v/>
      </c>
      <c r="CK100" s="2246" t="inlineStr">
        <is>
          <t>771, Rue Beatty</t>
        </is>
      </c>
      <c r="CL100" s="2247" t="n"/>
      <c r="CM100" s="2254">
        <f>CN99</f>
        <v/>
      </c>
      <c r="CN100" s="2275" t="n">
        <v>41913</v>
      </c>
      <c r="CO100" s="2276">
        <f>CN100-CM100</f>
        <v/>
      </c>
    </row>
    <row r="101">
      <c r="A101" s="1491" t="n"/>
      <c r="B101" s="1491" t="n"/>
      <c r="C101" s="1491" t="n"/>
      <c r="D101" s="1491" t="n"/>
      <c r="E101" s="1491" t="n"/>
      <c r="F101" s="1491" t="n"/>
      <c r="G101" s="1491" t="n"/>
      <c r="H101" s="1491" t="n"/>
      <c r="I101" s="1491" t="n"/>
      <c r="J101" s="1491" t="n"/>
      <c r="K101" s="1491" t="n"/>
      <c r="L101" s="1491" t="n"/>
      <c r="M101" s="1491" t="n"/>
      <c r="N101" s="1491" t="n"/>
      <c r="O101" s="1491" t="n"/>
      <c r="P101" s="1491" t="n"/>
      <c r="Q101" s="1491" t="n"/>
      <c r="R101" s="1491" t="n"/>
      <c r="S101" s="1491" t="n"/>
      <c r="T101" s="1491" t="n"/>
      <c r="U101" s="1491" t="n"/>
      <c r="V101" s="1491" t="n"/>
      <c r="W101" s="1491" t="n"/>
      <c r="X101" s="1491" t="n"/>
      <c r="Y101" s="1491" t="n"/>
      <c r="Z101" s="1491" t="n"/>
      <c r="AA101" s="1491" t="n"/>
      <c r="AB101" s="1491" t="n"/>
      <c r="AC101" s="1491" t="n"/>
      <c r="AD101" s="1491" t="n"/>
      <c r="AE101" s="1491" t="n"/>
      <c r="AF101" s="1491" t="n"/>
      <c r="AG101" s="1491" t="n"/>
      <c r="AH101" s="1491" t="n"/>
      <c r="AI101" s="1491" t="n"/>
      <c r="AJ101" s="1491" t="n"/>
      <c r="AK101" s="1491" t="n"/>
      <c r="AL101" s="1491" t="n"/>
      <c r="AM101" s="1491" t="n"/>
      <c r="AN101" s="1491" t="n"/>
      <c r="AO101" s="1491" t="n"/>
      <c r="AP101" s="1491" t="n"/>
      <c r="AQ101" s="1908" t="n"/>
      <c r="AR101" s="2125" t="inlineStr">
        <is>
          <t>SUICA</t>
        </is>
      </c>
      <c r="AS101" s="1977" t="inlineStr">
        <is>
          <t>VF</t>
        </is>
      </c>
      <c r="AT101" s="2126" t="n"/>
      <c r="AU101" s="2127" t="n"/>
      <c r="AV101" s="1874" t="n"/>
      <c r="AW101" s="2191" t="n"/>
      <c r="AX101" s="2191" t="n"/>
      <c r="AY101" s="2192" t="n"/>
      <c r="AZ101" s="2193" t="n"/>
      <c r="BA101" s="1874" t="n"/>
      <c r="BB101" s="1865" t="inlineStr">
        <is>
          <t>espaco aereo BR</t>
        </is>
      </c>
      <c r="BC101" s="1866" t="n"/>
      <c r="BD101" s="1867" t="n">
        <v>40348</v>
      </c>
      <c r="BE101" s="1868" t="n">
        <v>40349</v>
      </c>
      <c r="BF101" s="1869">
        <f>BE101-BD101</f>
        <v/>
      </c>
      <c r="BG101" s="2119" t="inlineStr">
        <is>
          <t>SSA</t>
        </is>
      </c>
      <c r="BH101" s="2122" t="inlineStr">
        <is>
          <t>BSFlat</t>
        </is>
      </c>
      <c r="BI101" s="2123" t="n">
        <v>39601</v>
      </c>
      <c r="BJ101" s="2239" t="n">
        <v>39611</v>
      </c>
      <c r="BK101" s="1874">
        <f>BJ101-BI101</f>
        <v/>
      </c>
      <c r="BL101" s="2284" t="inlineStr">
        <is>
          <t>Venice</t>
        </is>
      </c>
      <c r="BM101" s="2285" t="n"/>
      <c r="BN101" s="2281" t="n">
        <v>40060</v>
      </c>
      <c r="BO101" s="2286" t="n">
        <v>40062</v>
      </c>
      <c r="BP101" s="2287">
        <f>BO101-BN101</f>
        <v/>
      </c>
      <c r="BQ101" s="2118" t="inlineStr">
        <is>
          <t>SSA</t>
        </is>
      </c>
      <c r="BR101" s="2235" t="inlineStr">
        <is>
          <t>The Place</t>
        </is>
      </c>
      <c r="BS101" s="2236" t="n">
        <v>40308</v>
      </c>
      <c r="BT101" s="2227" t="n">
        <v>40339</v>
      </c>
      <c r="BU101" s="2228">
        <f>BT101-BS101</f>
        <v/>
      </c>
      <c r="BV101" s="2118" t="inlineStr">
        <is>
          <t>SSA</t>
        </is>
      </c>
      <c r="BW101" s="2235" t="inlineStr">
        <is>
          <t>The Place</t>
        </is>
      </c>
      <c r="BX101" s="2236" t="n">
        <v>40692</v>
      </c>
      <c r="BY101" s="2227" t="n">
        <v>40699</v>
      </c>
      <c r="BZ101" s="2228">
        <f>BY101-BX101</f>
        <v/>
      </c>
      <c r="CA101" s="1998" t="inlineStr">
        <is>
          <t>Detroit</t>
        </is>
      </c>
      <c r="CB101" s="2255" t="inlineStr">
        <is>
          <t>conexao</t>
        </is>
      </c>
      <c r="CC101" s="2151" t="n">
        <v>41178</v>
      </c>
      <c r="CD101" s="2152" t="n"/>
      <c r="CE101" s="2233" t="inlineStr">
        <is>
          <t>-</t>
        </is>
      </c>
      <c r="CF101" s="2246" t="n"/>
      <c r="CG101" s="2253" t="inlineStr">
        <is>
          <t>Royal Victoria Hospital</t>
        </is>
      </c>
      <c r="CH101" s="2254" t="n">
        <v>41374</v>
      </c>
      <c r="CI101" s="2249" t="n">
        <v>41378</v>
      </c>
      <c r="CJ101" s="1874">
        <f>CI101-CH101</f>
        <v/>
      </c>
      <c r="CK101" s="1998" t="inlineStr">
        <is>
          <t>NY</t>
        </is>
      </c>
      <c r="CL101" s="2255" t="inlineStr">
        <is>
          <t>conexao</t>
        </is>
      </c>
      <c r="CM101" s="2151">
        <f>CN100</f>
        <v/>
      </c>
      <c r="CN101" s="2273" t="n"/>
      <c r="CO101" s="1874" t="n"/>
    </row>
    <row r="102">
      <c r="A102" s="1491" t="n"/>
      <c r="B102" s="1491" t="n"/>
      <c r="C102" s="1491" t="n"/>
      <c r="D102" s="1491" t="n"/>
      <c r="E102" s="1491" t="n"/>
      <c r="F102" s="1491" t="n"/>
      <c r="G102" s="1491" t="n"/>
      <c r="H102" s="1491" t="n"/>
      <c r="I102" s="1491" t="n"/>
      <c r="J102" s="1491" t="n"/>
      <c r="K102" s="1491" t="n"/>
      <c r="L102" s="1491" t="n"/>
      <c r="M102" s="1491" t="n"/>
      <c r="N102" s="1491" t="n"/>
      <c r="O102" s="1491" t="n"/>
      <c r="P102" s="1491" t="n"/>
      <c r="Q102" s="1491" t="n"/>
      <c r="R102" s="1491" t="n"/>
      <c r="S102" s="1491" t="n"/>
      <c r="T102" s="1491" t="n"/>
      <c r="U102" s="1491" t="n"/>
      <c r="V102" s="1491" t="n"/>
      <c r="W102" s="1491" t="n"/>
      <c r="X102" s="1491" t="n"/>
      <c r="Y102" s="1491" t="n"/>
      <c r="Z102" s="1491" t="n"/>
      <c r="AA102" s="1491" t="n"/>
      <c r="AB102" s="1491" t="n"/>
      <c r="AC102" s="1491" t="n"/>
      <c r="AD102" s="1491" t="n"/>
      <c r="AE102" s="1491" t="n"/>
      <c r="AF102" s="1491" t="n"/>
      <c r="AG102" s="1491" t="n"/>
      <c r="AH102" s="1491" t="n"/>
      <c r="AI102" s="1491" t="n"/>
      <c r="AJ102" s="1491" t="n"/>
      <c r="AK102" s="1491" t="n"/>
      <c r="AL102" s="1491" t="n"/>
      <c r="AM102" s="1491" t="n"/>
      <c r="AN102" s="1491" t="n"/>
      <c r="AO102" s="1491" t="n"/>
      <c r="AP102" s="1491" t="n"/>
      <c r="AQ102" s="1908" t="n"/>
      <c r="AR102" s="2125" t="inlineStr">
        <is>
          <t>Geneve</t>
        </is>
      </c>
      <c r="AS102" s="1977" t="inlineStr">
        <is>
          <t>chez Carlim</t>
        </is>
      </c>
      <c r="AT102" s="2126" t="n">
        <v>38548</v>
      </c>
      <c r="AU102" s="2127" t="n">
        <v>38552</v>
      </c>
      <c r="AV102" s="1874">
        <f>AU102-AT102</f>
        <v/>
      </c>
      <c r="AW102" s="2191" t="n"/>
      <c r="AX102" s="2191" t="n"/>
      <c r="AY102" s="2192" t="n"/>
      <c r="AZ102" s="2193" t="n"/>
      <c r="BA102" s="1874" t="n"/>
      <c r="BB102" s="2030" t="inlineStr">
        <is>
          <t>conexao Madrid</t>
        </is>
      </c>
      <c r="BC102" s="2288" t="n"/>
      <c r="BD102" s="2170" t="n">
        <v>39253</v>
      </c>
      <c r="BE102" s="2171" t="n">
        <v>39253</v>
      </c>
      <c r="BF102" s="2095" t="inlineStr">
        <is>
          <t>-</t>
        </is>
      </c>
      <c r="BG102" s="2103" t="inlineStr">
        <is>
          <t>SP</t>
        </is>
      </c>
      <c r="BH102" s="2106" t="inlineStr">
        <is>
          <t>Rato (pitstop)</t>
        </is>
      </c>
      <c r="BI102" s="2107" t="n">
        <v>39611</v>
      </c>
      <c r="BJ102" s="2218" t="n">
        <v>39611</v>
      </c>
      <c r="BK102" s="1874">
        <f>BJ102-BI102</f>
        <v/>
      </c>
      <c r="BL102" s="2284" t="inlineStr">
        <is>
          <t>CRUISE</t>
        </is>
      </c>
      <c r="BM102" s="2285" t="inlineStr">
        <is>
          <t>Sea+Bari</t>
        </is>
      </c>
      <c r="BN102" s="2281" t="n">
        <v>40062</v>
      </c>
      <c r="BO102" s="2286" t="n">
        <v>40064</v>
      </c>
      <c r="BP102" s="2287">
        <f>BO102-BN102</f>
        <v/>
      </c>
      <c r="BQ102" s="2188" t="inlineStr">
        <is>
          <t>Praia Forte</t>
        </is>
      </c>
      <c r="BR102" s="2289" t="inlineStr">
        <is>
          <t>Porto da Lua</t>
        </is>
      </c>
      <c r="BS102" s="2290" t="n">
        <v>40339</v>
      </c>
      <c r="BT102" s="2291" t="n">
        <v>40342</v>
      </c>
      <c r="BU102" s="2228">
        <f>BT102-BS102</f>
        <v/>
      </c>
      <c r="BV102" s="1865" t="inlineStr">
        <is>
          <t>espaco aereo brasileiro</t>
        </is>
      </c>
      <c r="BW102" s="2282" t="n"/>
      <c r="BX102" s="2219" t="n">
        <v>40699</v>
      </c>
      <c r="BY102" s="2220" t="n">
        <v>40700</v>
      </c>
      <c r="BZ102" s="2292">
        <f>BY102-BX102</f>
        <v/>
      </c>
      <c r="CA102" s="2261" t="inlineStr">
        <is>
          <t>espaco aereo americano</t>
        </is>
      </c>
      <c r="CB102" s="2262" t="n"/>
      <c r="CC102" s="2263" t="n">
        <v>41178</v>
      </c>
      <c r="CD102" s="2264" t="n">
        <v>41179</v>
      </c>
      <c r="CE102" s="2272">
        <f>CD102-CC102</f>
        <v/>
      </c>
      <c r="CF102" s="2246" t="inlineStr">
        <is>
          <t>4560, Bld Lasalle, #112</t>
        </is>
      </c>
      <c r="CG102" s="2247" t="n"/>
      <c r="CH102" s="2254" t="n">
        <v>41378</v>
      </c>
      <c r="CI102" s="2249" t="n">
        <v>41453</v>
      </c>
      <c r="CJ102" s="1874">
        <f>CI102-CH102</f>
        <v/>
      </c>
      <c r="CK102" s="1998" t="inlineStr">
        <is>
          <t>Orlando</t>
        </is>
      </c>
      <c r="CL102" s="2255" t="n"/>
      <c r="CM102" s="2151" t="n">
        <v>41913</v>
      </c>
      <c r="CN102" s="2273" t="n">
        <v>41924</v>
      </c>
      <c r="CO102" s="1874">
        <f>CN102-CM102</f>
        <v/>
      </c>
    </row>
    <row r="103">
      <c r="A103" s="1491" t="n"/>
      <c r="B103" s="1491" t="n"/>
      <c r="C103" s="1491" t="n"/>
      <c r="D103" s="1491" t="n"/>
      <c r="E103" s="1491" t="n"/>
      <c r="F103" s="1491" t="n"/>
      <c r="G103" s="1491" t="n"/>
      <c r="H103" s="1491" t="n"/>
      <c r="I103" s="1491" t="n"/>
      <c r="J103" s="1491" t="n"/>
      <c r="K103" s="1491" t="n"/>
      <c r="L103" s="1491" t="n"/>
      <c r="M103" s="1491" t="n"/>
      <c r="N103" s="1491" t="n"/>
      <c r="O103" s="1491" t="n"/>
      <c r="P103" s="1491" t="n"/>
      <c r="Q103" s="1491" t="n"/>
      <c r="R103" s="1491" t="n"/>
      <c r="S103" s="1491" t="n"/>
      <c r="T103" s="1491" t="n"/>
      <c r="U103" s="1491" t="n"/>
      <c r="V103" s="1491" t="n"/>
      <c r="W103" s="1491" t="n"/>
      <c r="X103" s="1491" t="n"/>
      <c r="Y103" s="1491" t="n"/>
      <c r="Z103" s="1491" t="n"/>
      <c r="AA103" s="1491" t="n"/>
      <c r="AB103" s="1491" t="n"/>
      <c r="AC103" s="1491" t="n"/>
      <c r="AD103" s="1491" t="n"/>
      <c r="AE103" s="1491" t="n"/>
      <c r="AF103" s="1491" t="n"/>
      <c r="AG103" s="1491" t="n"/>
      <c r="AH103" s="1491" t="n"/>
      <c r="AI103" s="1491" t="n"/>
      <c r="AJ103" s="1491" t="n"/>
      <c r="AK103" s="1491" t="n"/>
      <c r="AL103" s="1491" t="n"/>
      <c r="AM103" s="1491" t="n"/>
      <c r="AN103" s="1491" t="n"/>
      <c r="AO103" s="1491" t="n"/>
      <c r="AP103" s="1491" t="n"/>
      <c r="AQ103" s="1908" t="n"/>
      <c r="AR103" s="2125" t="inlineStr">
        <is>
          <t>Orbe</t>
        </is>
      </c>
      <c r="AS103" s="1977" t="inlineStr">
        <is>
          <t>Gd St Bernard</t>
        </is>
      </c>
      <c r="AT103" s="2126" t="n">
        <v>38552</v>
      </c>
      <c r="AU103" s="2127" t="n">
        <v>38562</v>
      </c>
      <c r="AV103" s="1874">
        <f>AU103-AT103</f>
        <v/>
      </c>
      <c r="AW103" s="2196" t="n"/>
      <c r="AX103" s="2191" t="n"/>
      <c r="AY103" s="2192" t="n"/>
      <c r="AZ103" s="2193" t="n"/>
      <c r="BA103" s="1874" t="n"/>
      <c r="BB103" s="2114" t="inlineStr">
        <is>
          <t>London</t>
        </is>
      </c>
      <c r="BC103" s="1990" t="inlineStr">
        <is>
          <t>David's</t>
        </is>
      </c>
      <c r="BD103" s="2116" t="n">
        <v>39253</v>
      </c>
      <c r="BE103" s="2117" t="n">
        <v>39257</v>
      </c>
      <c r="BF103" s="1874">
        <f>BE103-BD103</f>
        <v/>
      </c>
      <c r="BG103" s="2293" t="inlineStr">
        <is>
          <t>Buenos Aires</t>
        </is>
      </c>
      <c r="BH103" s="1927" t="n"/>
      <c r="BI103" s="1916" t="n">
        <v>39611</v>
      </c>
      <c r="BJ103" s="2294" t="n">
        <v>39618</v>
      </c>
      <c r="BK103" s="1874">
        <f>BJ103-BI103</f>
        <v/>
      </c>
      <c r="BL103" s="2183" t="n"/>
      <c r="BM103" s="1910" t="inlineStr">
        <is>
          <t>Corfu</t>
        </is>
      </c>
      <c r="BN103" s="2184" t="n">
        <v>40064</v>
      </c>
      <c r="BO103" s="2185" t="n">
        <v>40065</v>
      </c>
      <c r="BP103" s="2283">
        <f>BO103-BN103</f>
        <v/>
      </c>
      <c r="BQ103" s="2118" t="inlineStr">
        <is>
          <t>SSA</t>
        </is>
      </c>
      <c r="BR103" s="2235" t="inlineStr">
        <is>
          <t>The Place</t>
        </is>
      </c>
      <c r="BS103" s="2236" t="n">
        <v>40342</v>
      </c>
      <c r="BT103" s="2227" t="n">
        <v>40357</v>
      </c>
      <c r="BU103" s="2228">
        <f>BT103-BS103</f>
        <v/>
      </c>
      <c r="BV103" s="1998" t="inlineStr">
        <is>
          <t xml:space="preserve">Miami </t>
        </is>
      </c>
      <c r="BW103" s="2255" t="inlineStr">
        <is>
          <t>conexao</t>
        </is>
      </c>
      <c r="BX103" s="2151" t="n">
        <v>40700</v>
      </c>
      <c r="BY103" s="2152" t="n"/>
      <c r="BZ103" s="2233" t="inlineStr">
        <is>
          <t>-</t>
        </is>
      </c>
      <c r="CA103" s="2102" t="inlineStr">
        <is>
          <t>SP</t>
        </is>
      </c>
      <c r="CB103" s="2243" t="inlineStr">
        <is>
          <t>conexao</t>
        </is>
      </c>
      <c r="CC103" s="2244" t="n">
        <v>41179</v>
      </c>
      <c r="CD103" s="2245" t="n"/>
      <c r="CE103" s="2233" t="inlineStr">
        <is>
          <t>-</t>
        </is>
      </c>
      <c r="CF103" s="2246" t="inlineStr">
        <is>
          <t>771, Rue Beatty</t>
        </is>
      </c>
      <c r="CG103" s="2247" t="n"/>
      <c r="CH103" s="2254" t="n">
        <v>41453</v>
      </c>
      <c r="CI103" s="2249" t="n">
        <v>41477</v>
      </c>
      <c r="CJ103" s="1874">
        <f>CI103-CH103</f>
        <v/>
      </c>
      <c r="CK103" s="1998" t="inlineStr">
        <is>
          <t>NY</t>
        </is>
      </c>
      <c r="CL103" s="2255" t="inlineStr">
        <is>
          <t>conexao</t>
        </is>
      </c>
      <c r="CM103" s="2151">
        <f>CN102</f>
        <v/>
      </c>
      <c r="CN103" s="2273" t="n"/>
      <c r="CO103" s="1874" t="n"/>
    </row>
    <row r="104">
      <c r="A104" s="1491" t="n"/>
      <c r="B104" s="1491" t="n"/>
      <c r="C104" s="1491" t="n"/>
      <c r="D104" s="1491" t="n"/>
      <c r="E104" s="1491" t="n"/>
      <c r="F104" s="1491" t="n"/>
      <c r="G104" s="1491" t="n"/>
      <c r="H104" s="1491" t="n"/>
      <c r="I104" s="1491" t="n"/>
      <c r="J104" s="1491" t="n"/>
      <c r="K104" s="1491" t="n"/>
      <c r="L104" s="1491" t="n"/>
      <c r="M104" s="1491" t="n"/>
      <c r="N104" s="1491" t="n"/>
      <c r="O104" s="1491" t="n"/>
      <c r="P104" s="1491" t="n"/>
      <c r="Q104" s="1491" t="n"/>
      <c r="R104" s="1491" t="n"/>
      <c r="S104" s="1491" t="n"/>
      <c r="T104" s="1491" t="n"/>
      <c r="U104" s="1491" t="n"/>
      <c r="V104" s="1491" t="n"/>
      <c r="W104" s="1491" t="n"/>
      <c r="X104" s="1491" t="n"/>
      <c r="Y104" s="1491" t="n"/>
      <c r="Z104" s="1491" t="n"/>
      <c r="AA104" s="1491" t="n"/>
      <c r="AB104" s="1491" t="n"/>
      <c r="AC104" s="1491" t="n"/>
      <c r="AD104" s="1491" t="n"/>
      <c r="AE104" s="1491" t="n"/>
      <c r="AF104" s="1491" t="n"/>
      <c r="AG104" s="1491" t="n"/>
      <c r="AH104" s="1491" t="n"/>
      <c r="AI104" s="1491" t="n"/>
      <c r="AJ104" s="1491" t="n"/>
      <c r="AK104" s="1491" t="n"/>
      <c r="AL104" s="1491" t="n"/>
      <c r="AM104" s="1491" t="n"/>
      <c r="AN104" s="1491" t="n"/>
      <c r="AO104" s="1491" t="n"/>
      <c r="AP104" s="1491" t="n"/>
      <c r="AQ104" s="1908" t="n"/>
      <c r="AR104" s="2295" t="inlineStr">
        <is>
          <t>ITALIA</t>
        </is>
      </c>
      <c r="AS104" s="2285" t="n"/>
      <c r="AT104" s="2281" t="n"/>
      <c r="AU104" s="2286" t="n"/>
      <c r="AV104" s="1874" t="n"/>
      <c r="AW104" s="2196" t="n"/>
      <c r="AX104" s="2191" t="n"/>
      <c r="AY104" s="2192" t="n"/>
      <c r="AZ104" s="2193" t="n"/>
      <c r="BA104" s="1874" t="n"/>
      <c r="BB104" s="2114" t="inlineStr">
        <is>
          <t>Penzance</t>
        </is>
      </c>
      <c r="BC104" s="1990" t="inlineStr">
        <is>
          <t>Cornwall</t>
        </is>
      </c>
      <c r="BD104" s="2116" t="n">
        <v>39257</v>
      </c>
      <c r="BE104" s="2117" t="n">
        <v>39262</v>
      </c>
      <c r="BF104" s="1874">
        <f>BE104-BD104</f>
        <v/>
      </c>
      <c r="BG104" s="2296" t="inlineStr">
        <is>
          <t>Montevideu</t>
        </is>
      </c>
      <c r="BH104" s="2297" t="n"/>
      <c r="BI104" s="1975" t="n">
        <v>39618</v>
      </c>
      <c r="BJ104" s="2298" t="n">
        <v>39618</v>
      </c>
      <c r="BK104" s="1874">
        <f>BJ104-BI104</f>
        <v/>
      </c>
      <c r="BL104" s="2183" t="n"/>
      <c r="BM104" s="1910" t="inlineStr">
        <is>
          <t>Santorini/Mykonos</t>
        </is>
      </c>
      <c r="BN104" s="2184" t="n">
        <v>40065</v>
      </c>
      <c r="BO104" s="2185" t="n">
        <v>40066</v>
      </c>
      <c r="BP104" s="2283">
        <f>BO104-BN104</f>
        <v/>
      </c>
      <c r="BQ104" s="2102" t="inlineStr">
        <is>
          <t>SP</t>
        </is>
      </c>
      <c r="BR104" s="2243" t="inlineStr">
        <is>
          <t>conexao</t>
        </is>
      </c>
      <c r="BS104" s="2244" t="n">
        <v>40357</v>
      </c>
      <c r="BT104" s="2245" t="n">
        <v>40357</v>
      </c>
      <c r="BU104" s="2233" t="inlineStr">
        <is>
          <t>-</t>
        </is>
      </c>
      <c r="BV104" s="2246" t="inlineStr">
        <is>
          <t>MONTREAL</t>
        </is>
      </c>
      <c r="BW104" s="2247" t="n"/>
      <c r="BX104" s="2254" t="n"/>
      <c r="BY104" s="2249" t="n"/>
      <c r="BZ104" s="2233" t="inlineStr">
        <is>
          <t>-</t>
        </is>
      </c>
      <c r="CA104" s="2118" t="inlineStr">
        <is>
          <t>SSA</t>
        </is>
      </c>
      <c r="CB104" s="2235" t="inlineStr">
        <is>
          <t>Ondina</t>
        </is>
      </c>
      <c r="CC104" s="2236" t="n">
        <v>41179</v>
      </c>
      <c r="CD104" s="2227" t="n">
        <v>41180</v>
      </c>
      <c r="CE104" s="2228">
        <f>CD104-CC104</f>
        <v/>
      </c>
      <c r="CF104" s="2279" t="n"/>
      <c r="CG104" s="2299" t="inlineStr">
        <is>
          <t>Quebec City</t>
        </is>
      </c>
      <c r="CH104" s="2281" t="n">
        <v>41477</v>
      </c>
      <c r="CI104" s="2286" t="n">
        <v>41478</v>
      </c>
      <c r="CJ104" s="1874">
        <f>CI104-CH104</f>
        <v/>
      </c>
      <c r="CK104" s="2246" t="inlineStr">
        <is>
          <t>771, Rue Beatty</t>
        </is>
      </c>
      <c r="CL104" s="2247" t="n"/>
      <c r="CM104" s="2254" t="n">
        <v>41924</v>
      </c>
      <c r="CN104" s="2275" t="n">
        <v>42005</v>
      </c>
      <c r="CO104" s="2276">
        <f>CN104-CM104</f>
        <v/>
      </c>
    </row>
    <row r="105">
      <c r="A105" s="1491" t="n"/>
      <c r="B105" s="1491" t="n"/>
      <c r="C105" s="1491" t="n"/>
      <c r="D105" s="1491" t="n"/>
      <c r="E105" s="1491" t="n"/>
      <c r="F105" s="1491" t="n"/>
      <c r="G105" s="1491" t="n"/>
      <c r="H105" s="1491" t="n"/>
      <c r="I105" s="1491" t="n"/>
      <c r="J105" s="1491" t="n"/>
      <c r="K105" s="1491" t="n"/>
      <c r="L105" s="1491" t="n"/>
      <c r="M105" s="1491" t="n"/>
      <c r="N105" s="1491" t="n"/>
      <c r="O105" s="1491" t="n"/>
      <c r="P105" s="1491" t="n"/>
      <c r="Q105" s="1491" t="n"/>
      <c r="R105" s="1491" t="n"/>
      <c r="S105" s="1491" t="n"/>
      <c r="T105" s="1491" t="n"/>
      <c r="U105" s="1491" t="n"/>
      <c r="V105" s="1491" t="n"/>
      <c r="W105" s="1491" t="n"/>
      <c r="X105" s="1491" t="n"/>
      <c r="Y105" s="1491" t="n"/>
      <c r="Z105" s="1491" t="n"/>
      <c r="AA105" s="1491" t="n"/>
      <c r="AB105" s="1491" t="n"/>
      <c r="AC105" s="1491" t="n"/>
      <c r="AD105" s="1491" t="n"/>
      <c r="AE105" s="1491" t="n"/>
      <c r="AF105" s="1491" t="n"/>
      <c r="AG105" s="1491" t="n"/>
      <c r="AH105" s="1491" t="n"/>
      <c r="AI105" s="1491" t="n"/>
      <c r="AJ105" s="1491" t="n"/>
      <c r="AK105" s="1491" t="n"/>
      <c r="AL105" s="1491" t="n"/>
      <c r="AM105" s="1491" t="n"/>
      <c r="AN105" s="1491" t="n"/>
      <c r="AO105" s="1491" t="n"/>
      <c r="AP105" s="1491" t="n"/>
      <c r="AQ105" s="1908" t="n"/>
      <c r="AR105" s="2295" t="inlineStr">
        <is>
          <t>Aosta</t>
        </is>
      </c>
      <c r="AS105" s="2285" t="inlineStr">
        <is>
          <t>Roma</t>
        </is>
      </c>
      <c r="AT105" s="2281" t="n">
        <v>38562</v>
      </c>
      <c r="AU105" s="2286" t="n">
        <v>38595</v>
      </c>
      <c r="AV105" s="1874">
        <f>AU105-AT105</f>
        <v/>
      </c>
      <c r="AW105" s="2196" t="n"/>
      <c r="AX105" s="2191" t="n"/>
      <c r="AY105" s="2192" t="n"/>
      <c r="AZ105" s="2193" t="n"/>
      <c r="BA105" s="1874" t="n"/>
      <c r="BB105" s="2114" t="n"/>
      <c r="BC105" s="1990" t="inlineStr">
        <is>
          <t>Stonehenge w/ Thomas</t>
        </is>
      </c>
      <c r="BD105" s="2116" t="n"/>
      <c r="BE105" s="2117" t="n">
        <v>40358</v>
      </c>
      <c r="BF105" s="2189" t="inlineStr">
        <is>
          <t>-</t>
        </is>
      </c>
      <c r="BG105" s="2293" t="inlineStr">
        <is>
          <t>Buenos Aires</t>
        </is>
      </c>
      <c r="BH105" s="1927" t="n"/>
      <c r="BI105" s="1916" t="n">
        <v>39618</v>
      </c>
      <c r="BJ105" s="2294" t="n">
        <v>39624</v>
      </c>
      <c r="BK105" s="1874">
        <f>BJ105-BI105</f>
        <v/>
      </c>
      <c r="BL105" s="2183" t="n"/>
      <c r="BM105" s="1910" t="inlineStr">
        <is>
          <t>Athens (Piraeus)</t>
        </is>
      </c>
      <c r="BN105" s="2184" t="n">
        <v>40066</v>
      </c>
      <c r="BO105" s="2185" t="n">
        <v>40067</v>
      </c>
      <c r="BP105" s="2283">
        <f>BO105-BN105</f>
        <v/>
      </c>
      <c r="BQ105" s="1865" t="inlineStr">
        <is>
          <t>espaco aereo brasileiro</t>
        </is>
      </c>
      <c r="BR105" s="2282" t="n"/>
      <c r="BS105" s="2219">
        <f>BT104</f>
        <v/>
      </c>
      <c r="BT105" s="2220">
        <f>BS105+1</f>
        <v/>
      </c>
      <c r="BU105" s="2292">
        <f>BT105-BS105</f>
        <v/>
      </c>
      <c r="BV105" s="2246" t="inlineStr">
        <is>
          <t>82, rue Gordon</t>
        </is>
      </c>
      <c r="BW105" s="2247" t="n"/>
      <c r="BX105" s="2254" t="n">
        <v>40700</v>
      </c>
      <c r="BY105" s="2249" t="n">
        <v>40704</v>
      </c>
      <c r="BZ105" s="2228">
        <f>BY105-BX105</f>
        <v/>
      </c>
      <c r="CA105" s="2188" t="inlineStr">
        <is>
          <t>Praia Forte Tivoli Resort</t>
        </is>
      </c>
      <c r="CB105" s="2289" t="n"/>
      <c r="CC105" s="2290" t="n">
        <v>41180</v>
      </c>
      <c r="CD105" s="2291" t="n">
        <v>41182</v>
      </c>
      <c r="CE105" s="2228">
        <f>CD105-CC105</f>
        <v/>
      </c>
      <c r="CF105" s="2246" t="inlineStr">
        <is>
          <t>771, Rue Beatty</t>
        </is>
      </c>
      <c r="CG105" s="2247" t="n"/>
      <c r="CH105" s="2254" t="n">
        <v>41478</v>
      </c>
      <c r="CI105" s="2249" t="n">
        <v>41517</v>
      </c>
      <c r="CJ105" s="1874">
        <f>CI105-CH105</f>
        <v/>
      </c>
      <c r="CK105" s="2300" t="n"/>
      <c r="CL105" s="2300" t="n"/>
      <c r="CM105" s="2300" t="n"/>
      <c r="CN105" s="2300" t="n"/>
      <c r="CO105" s="2301" t="n"/>
    </row>
    <row r="106">
      <c r="A106" s="1491" t="n"/>
      <c r="B106" s="1491" t="n"/>
      <c r="C106" s="1491" t="n"/>
      <c r="D106" s="1491" t="n"/>
      <c r="E106" s="1491" t="n"/>
      <c r="F106" s="1491" t="n"/>
      <c r="G106" s="1491" t="n"/>
      <c r="H106" s="1491" t="n"/>
      <c r="I106" s="1491" t="n"/>
      <c r="J106" s="1491" t="n"/>
      <c r="K106" s="1491" t="n"/>
      <c r="L106" s="1491" t="n"/>
      <c r="M106" s="1491" t="n"/>
      <c r="N106" s="1491" t="n"/>
      <c r="O106" s="1491" t="n"/>
      <c r="P106" s="1491" t="n"/>
      <c r="Q106" s="1491" t="n"/>
      <c r="R106" s="1491" t="n"/>
      <c r="S106" s="1491" t="n"/>
      <c r="T106" s="1491" t="n"/>
      <c r="U106" s="1491" t="n"/>
      <c r="V106" s="1491" t="n"/>
      <c r="W106" s="1491" t="n"/>
      <c r="X106" s="1491" t="n"/>
      <c r="Y106" s="1491" t="n"/>
      <c r="Z106" s="1491" t="n"/>
      <c r="AA106" s="1491" t="n"/>
      <c r="AB106" s="1491" t="n"/>
      <c r="AC106" s="1491" t="n"/>
      <c r="AD106" s="1491" t="n"/>
      <c r="AE106" s="1491" t="n"/>
      <c r="AF106" s="1491" t="n"/>
      <c r="AG106" s="1491" t="n"/>
      <c r="AH106" s="1491" t="n"/>
      <c r="AI106" s="1491" t="n"/>
      <c r="AJ106" s="1491" t="n"/>
      <c r="AK106" s="1491" t="n"/>
      <c r="AL106" s="1491" t="n"/>
      <c r="AM106" s="1491" t="n"/>
      <c r="AN106" s="1491" t="n"/>
      <c r="AO106" s="1491" t="n"/>
      <c r="AP106" s="1491" t="n"/>
      <c r="AQ106" s="1908" t="n"/>
      <c r="AR106" s="2295" t="inlineStr">
        <is>
          <t>Roma</t>
        </is>
      </c>
      <c r="AS106" s="2285" t="n"/>
      <c r="AT106" s="2281" t="n">
        <v>38595</v>
      </c>
      <c r="AU106" s="2286" t="n">
        <v>38633</v>
      </c>
      <c r="AV106" s="1874">
        <f>AU106-AT106</f>
        <v/>
      </c>
      <c r="AW106" s="2191" t="n"/>
      <c r="AX106" s="2191" t="n"/>
      <c r="AY106" s="2192" t="n"/>
      <c r="AZ106" s="2193" t="n"/>
      <c r="BA106" s="1874" t="n"/>
      <c r="BB106" s="2114" t="inlineStr">
        <is>
          <t>London</t>
        </is>
      </c>
      <c r="BC106" s="1990" t="inlineStr">
        <is>
          <t>David's</t>
        </is>
      </c>
      <c r="BD106" s="2116" t="n">
        <v>39262</v>
      </c>
      <c r="BE106" s="2117" t="n">
        <v>39291</v>
      </c>
      <c r="BF106" s="1874">
        <f>BE106-BD106</f>
        <v/>
      </c>
      <c r="BG106" s="2103" t="inlineStr">
        <is>
          <t>SP</t>
        </is>
      </c>
      <c r="BH106" s="2106" t="inlineStr">
        <is>
          <t>Rato</t>
        </is>
      </c>
      <c r="BI106" s="2107" t="n">
        <v>39624</v>
      </c>
      <c r="BJ106" s="2218" t="n">
        <v>39625</v>
      </c>
      <c r="BK106" s="1874">
        <f>BJ106-BI106</f>
        <v/>
      </c>
      <c r="BL106" s="2183" t="n"/>
      <c r="BM106" s="1910" t="inlineStr">
        <is>
          <t>Olympia (Katakolon)</t>
        </is>
      </c>
      <c r="BN106" s="2184" t="n">
        <v>40067</v>
      </c>
      <c r="BO106" s="2185" t="n">
        <v>40068</v>
      </c>
      <c r="BP106" s="2283">
        <f>BO106-BN106</f>
        <v/>
      </c>
      <c r="BQ106" s="1973" t="inlineStr">
        <is>
          <t>Mexico city</t>
        </is>
      </c>
      <c r="BR106" s="2302" t="inlineStr">
        <is>
          <t>conexao</t>
        </is>
      </c>
      <c r="BS106" s="2303" t="n">
        <v>40358</v>
      </c>
      <c r="BT106" s="2304" t="n">
        <v>40358</v>
      </c>
      <c r="BU106" s="2233" t="inlineStr">
        <is>
          <t>-</t>
        </is>
      </c>
      <c r="BV106" s="2246" t="inlineStr">
        <is>
          <t>Chateau Isabelle</t>
        </is>
      </c>
      <c r="BW106" s="2247" t="n"/>
      <c r="BX106" s="2254" t="n">
        <v>40704</v>
      </c>
      <c r="BY106" s="2305" t="n">
        <v>40909</v>
      </c>
      <c r="BZ106" s="2228">
        <f>BY106-BX106</f>
        <v/>
      </c>
      <c r="CA106" s="2118" t="inlineStr">
        <is>
          <t>SSA</t>
        </is>
      </c>
      <c r="CB106" s="2235" t="inlineStr">
        <is>
          <t>Ondina</t>
        </is>
      </c>
      <c r="CC106" s="2236" t="n">
        <v>41182</v>
      </c>
      <c r="CD106" s="2227" t="n">
        <v>41192</v>
      </c>
      <c r="CE106" s="2228">
        <f>CD106-CC106</f>
        <v/>
      </c>
      <c r="CF106" s="2279" t="n"/>
      <c r="CG106" s="2299" t="inlineStr">
        <is>
          <t>Portneuf</t>
        </is>
      </c>
      <c r="CH106" s="2281" t="n">
        <v>41517</v>
      </c>
      <c r="CI106" s="2286" t="n">
        <v>41518</v>
      </c>
      <c r="CJ106" s="1874">
        <f>CI106-CH106</f>
        <v/>
      </c>
      <c r="CK106" s="2300" t="n"/>
      <c r="CL106" s="2300" t="n"/>
      <c r="CM106" s="2300" t="n"/>
      <c r="CN106" s="2300" t="n"/>
      <c r="CO106" s="2301" t="n"/>
    </row>
    <row r="107">
      <c r="A107" s="1491" t="n"/>
      <c r="B107" s="1491" t="n"/>
      <c r="C107" s="1491" t="n"/>
      <c r="D107" s="1491" t="n"/>
      <c r="E107" s="1491" t="n"/>
      <c r="F107" s="1491" t="n"/>
      <c r="G107" s="1491" t="n"/>
      <c r="H107" s="1491" t="n"/>
      <c r="I107" s="1491" t="n"/>
      <c r="J107" s="1491" t="n"/>
      <c r="K107" s="1491" t="n"/>
      <c r="L107" s="1491" t="n"/>
      <c r="M107" s="1491" t="n"/>
      <c r="N107" s="1491" t="n"/>
      <c r="O107" s="1491" t="n"/>
      <c r="P107" s="1491" t="n"/>
      <c r="Q107" s="1491" t="n"/>
      <c r="R107" s="1491" t="n"/>
      <c r="S107" s="1491" t="n"/>
      <c r="T107" s="1491" t="n"/>
      <c r="U107" s="1491" t="n"/>
      <c r="V107" s="1491" t="n"/>
      <c r="W107" s="1491" t="n"/>
      <c r="X107" s="1491" t="n"/>
      <c r="Y107" s="1491" t="n"/>
      <c r="Z107" s="1491" t="n"/>
      <c r="AA107" s="1491" t="n"/>
      <c r="AB107" s="1491" t="n"/>
      <c r="AC107" s="1491" t="n"/>
      <c r="AD107" s="1491" t="n"/>
      <c r="AE107" s="1491" t="n"/>
      <c r="AF107" s="1491" t="n"/>
      <c r="AG107" s="1491" t="n"/>
      <c r="AH107" s="1491" t="n"/>
      <c r="AI107" s="1491" t="n"/>
      <c r="AJ107" s="1491" t="n"/>
      <c r="AK107" s="1491" t="n"/>
      <c r="AL107" s="1491" t="n"/>
      <c r="AM107" s="1491" t="n"/>
      <c r="AN107" s="1491" t="n"/>
      <c r="AO107" s="1491" t="n"/>
      <c r="AP107" s="1491" t="n"/>
      <c r="AQ107" s="1908" t="n"/>
      <c r="AR107" s="2114" t="inlineStr">
        <is>
          <t>London</t>
        </is>
      </c>
      <c r="AS107" s="1990" t="inlineStr">
        <is>
          <t>David's</t>
        </is>
      </c>
      <c r="AT107" s="2116" t="n">
        <v>38633</v>
      </c>
      <c r="AU107" s="2117" t="n">
        <v>38638</v>
      </c>
      <c r="AV107" s="1874">
        <f>AU107-AT107</f>
        <v/>
      </c>
      <c r="AW107" s="2191" t="n"/>
      <c r="AX107" s="2191" t="n"/>
      <c r="AY107" s="2192" t="n"/>
      <c r="AZ107" s="2193" t="n"/>
      <c r="BA107" s="1874" t="n"/>
      <c r="BB107" s="2306" t="n"/>
      <c r="BC107" s="2307" t="inlineStr">
        <is>
          <t>Bath + Stonehenge inside</t>
        </is>
      </c>
      <c r="BD107" s="2308" t="n"/>
      <c r="BE107" s="2309" t="n">
        <v>39270</v>
      </c>
      <c r="BF107" s="2310" t="inlineStr">
        <is>
          <t>-</t>
        </is>
      </c>
      <c r="BG107" s="2103" t="inlineStr">
        <is>
          <t>RIO</t>
        </is>
      </c>
      <c r="BH107" s="2106" t="inlineStr">
        <is>
          <t>(SDU--&gt;GIG)</t>
        </is>
      </c>
      <c r="BI107" s="2107" t="n">
        <v>39625</v>
      </c>
      <c r="BJ107" s="2218" t="n">
        <v>39625</v>
      </c>
      <c r="BK107" s="1874">
        <f>BJ107-BI107</f>
        <v/>
      </c>
      <c r="BL107" s="2311" t="n"/>
      <c r="BM107" s="2075" t="inlineStr">
        <is>
          <t>Dubrovinic</t>
        </is>
      </c>
      <c r="BN107" s="2312" t="n">
        <v>40068</v>
      </c>
      <c r="BO107" s="2313" t="n">
        <v>40069</v>
      </c>
      <c r="BP107" s="2314">
        <f>BO107-BN107</f>
        <v/>
      </c>
      <c r="BQ107" s="2246" t="inlineStr">
        <is>
          <t>Montreal</t>
        </is>
      </c>
      <c r="BR107" s="2247" t="inlineStr">
        <is>
          <t>1950 Lincoln apt 208 [H3H 2N8]</t>
        </is>
      </c>
      <c r="BS107" s="2254" t="n">
        <v>40358</v>
      </c>
      <c r="BT107" s="2249" t="n">
        <v>40395</v>
      </c>
      <c r="BU107" s="2228">
        <f>BT107-BS107</f>
        <v/>
      </c>
      <c r="BV107" s="2246" t="n"/>
      <c r="BW107" s="2253" t="inlineStr">
        <is>
          <t>Montebello (day trip)</t>
        </is>
      </c>
      <c r="BX107" s="2254" t="n">
        <v>40825</v>
      </c>
      <c r="BY107" s="2249" t="n"/>
      <c r="BZ107" s="2233" t="inlineStr">
        <is>
          <t>-</t>
        </is>
      </c>
      <c r="CA107" s="2102" t="inlineStr">
        <is>
          <t>SP</t>
        </is>
      </c>
      <c r="CB107" s="2243" t="inlineStr">
        <is>
          <t>chez Sam</t>
        </is>
      </c>
      <c r="CC107" s="2244" t="n">
        <v>41192</v>
      </c>
      <c r="CD107" s="2245" t="n">
        <v>41195</v>
      </c>
      <c r="CE107" s="2228">
        <f>CD107-CC107</f>
        <v/>
      </c>
      <c r="CF107" s="2246" t="inlineStr">
        <is>
          <t>771, Rue Beatty</t>
        </is>
      </c>
      <c r="CG107" s="2247" t="n"/>
      <c r="CH107" s="2254">
        <f>CI106</f>
        <v/>
      </c>
      <c r="CI107" s="2249" t="n">
        <v>41542</v>
      </c>
      <c r="CJ107" s="1874">
        <f>CI107-CH107</f>
        <v/>
      </c>
      <c r="CK107" s="2300" t="n"/>
      <c r="CL107" s="2300" t="n"/>
      <c r="CM107" s="2300" t="n"/>
      <c r="CN107" s="2300" t="n"/>
      <c r="CO107" s="2301" t="n"/>
    </row>
    <row r="108">
      <c r="A108" s="1491" t="n"/>
      <c r="B108" s="1491" t="n"/>
      <c r="C108" s="1491" t="n"/>
      <c r="D108" s="1491" t="n"/>
      <c r="E108" s="1491" t="n"/>
      <c r="F108" s="1491" t="n"/>
      <c r="G108" s="1491" t="n"/>
      <c r="H108" s="1491" t="n"/>
      <c r="I108" s="1491" t="n"/>
      <c r="J108" s="1491" t="n"/>
      <c r="K108" s="1491" t="n"/>
      <c r="L108" s="1491" t="n"/>
      <c r="M108" s="1491" t="n"/>
      <c r="N108" s="1491" t="n"/>
      <c r="O108" s="1491" t="n"/>
      <c r="P108" s="1491" t="n"/>
      <c r="Q108" s="1491" t="n"/>
      <c r="R108" s="1491" t="n"/>
      <c r="S108" s="1491" t="n"/>
      <c r="T108" s="1491" t="n"/>
      <c r="U108" s="1491" t="n"/>
      <c r="V108" s="1491" t="n"/>
      <c r="W108" s="1491" t="n"/>
      <c r="X108" s="1491" t="n"/>
      <c r="Y108" s="1491" t="n"/>
      <c r="Z108" s="1491" t="n"/>
      <c r="AA108" s="1491" t="n"/>
      <c r="AB108" s="1491" t="n"/>
      <c r="AC108" s="1491" t="n"/>
      <c r="AD108" s="1491" t="n"/>
      <c r="AE108" s="1491" t="n"/>
      <c r="AF108" s="1491" t="n"/>
      <c r="AG108" s="1491" t="n"/>
      <c r="AH108" s="1491" t="n"/>
      <c r="AI108" s="1491" t="n"/>
      <c r="AJ108" s="1491" t="n"/>
      <c r="AK108" s="1491" t="n"/>
      <c r="AL108" s="1491" t="n"/>
      <c r="AM108" s="1491" t="n"/>
      <c r="AN108" s="1491" t="n"/>
      <c r="AO108" s="1491" t="n"/>
      <c r="AP108" s="1491" t="n"/>
      <c r="AQ108" s="1908" t="n"/>
      <c r="AR108" s="2315" t="inlineStr">
        <is>
          <t>conexao Lisboa</t>
        </is>
      </c>
      <c r="AS108" s="2316" t="n"/>
      <c r="AT108" s="2317" t="n">
        <v>40464</v>
      </c>
      <c r="AU108" s="2318" t="n">
        <v>40464</v>
      </c>
      <c r="AV108" s="2319" t="inlineStr">
        <is>
          <t>-</t>
        </is>
      </c>
      <c r="AW108" s="2191" t="n"/>
      <c r="AX108" s="2191" t="n"/>
      <c r="AY108" s="2192" t="n"/>
      <c r="AZ108" s="2193" t="n"/>
      <c r="BA108" s="1874" t="n"/>
      <c r="BB108" s="2259" t="inlineStr">
        <is>
          <t>Paris</t>
        </is>
      </c>
      <c r="BC108" s="1876" t="n"/>
      <c r="BD108" s="2133" t="n">
        <v>40387</v>
      </c>
      <c r="BE108" s="2134" t="n">
        <v>40394</v>
      </c>
      <c r="BF108" s="1874">
        <f>BE108-BD108</f>
        <v/>
      </c>
      <c r="BG108" s="2119" t="inlineStr">
        <is>
          <t>SSA</t>
        </is>
      </c>
      <c r="BH108" s="2122" t="inlineStr">
        <is>
          <t>BSFlat</t>
        </is>
      </c>
      <c r="BI108" s="2123" t="n">
        <v>39626</v>
      </c>
      <c r="BJ108" s="2239" t="n">
        <v>39633</v>
      </c>
      <c r="BK108" s="1874">
        <f>BJ108-BI108</f>
        <v/>
      </c>
      <c r="BL108" s="2284" t="inlineStr">
        <is>
          <t>(Venice)--&gt; Rome</t>
        </is>
      </c>
      <c r="BM108" s="2285" t="n"/>
      <c r="BN108" s="2281" t="n">
        <v>40069</v>
      </c>
      <c r="BO108" s="2286" t="n">
        <v>40072</v>
      </c>
      <c r="BP108" s="2287">
        <f>BO108-BN108</f>
        <v/>
      </c>
      <c r="BQ108" s="2246" t="n"/>
      <c r="BR108" s="2253" t="inlineStr">
        <is>
          <t>Ottawa (day trip)</t>
        </is>
      </c>
      <c r="BS108" s="2254" t="n">
        <v>40374</v>
      </c>
      <c r="BT108" s="2249" t="n"/>
      <c r="BU108" s="2233" t="inlineStr">
        <is>
          <t>-</t>
        </is>
      </c>
      <c r="BV108" s="2246" t="n"/>
      <c r="BW108" s="2253" t="inlineStr">
        <is>
          <t>Ottawa (day trip)</t>
        </is>
      </c>
      <c r="BX108" s="2254" t="n">
        <v>40846</v>
      </c>
      <c r="BY108" s="2249" t="n"/>
      <c r="BZ108" s="2233" t="inlineStr">
        <is>
          <t>-</t>
        </is>
      </c>
      <c r="CA108" s="2148" t="inlineStr">
        <is>
          <t>Rio</t>
        </is>
      </c>
      <c r="CB108" s="2256" t="inlineStr">
        <is>
          <t>chez Monica</t>
        </is>
      </c>
      <c r="CC108" s="2257" t="n">
        <v>41195</v>
      </c>
      <c r="CD108" s="2320" t="n">
        <v>41197</v>
      </c>
      <c r="CE108" s="2228">
        <f>CD108-CC108</f>
        <v/>
      </c>
      <c r="CF108" s="1998" t="inlineStr">
        <is>
          <t>Plattsburgh</t>
        </is>
      </c>
      <c r="CG108" s="2255" t="inlineStr">
        <is>
          <t>Hamptons Inn</t>
        </is>
      </c>
      <c r="CH108" s="2151" t="n">
        <v>41542</v>
      </c>
      <c r="CI108" s="2152" t="n">
        <v>41544</v>
      </c>
      <c r="CJ108" s="1874">
        <f>CI108-CH108</f>
        <v/>
      </c>
      <c r="CK108" s="2300" t="n"/>
      <c r="CL108" s="2300" t="n"/>
      <c r="CM108" s="2300" t="n"/>
      <c r="CN108" s="2300" t="n"/>
      <c r="CO108" s="2301" t="n"/>
    </row>
    <row r="109">
      <c r="A109" s="1491" t="n"/>
      <c r="B109" s="1491" t="n"/>
      <c r="C109" s="1491" t="n"/>
      <c r="D109" s="1491" t="n"/>
      <c r="E109" s="1491" t="n"/>
      <c r="F109" s="1491" t="n"/>
      <c r="G109" s="1491" t="n"/>
      <c r="H109" s="1491" t="n"/>
      <c r="I109" s="1491" t="n"/>
      <c r="J109" s="1491" t="n"/>
      <c r="K109" s="1491" t="n"/>
      <c r="L109" s="1491" t="n"/>
      <c r="M109" s="1491" t="n"/>
      <c r="N109" s="1491" t="n"/>
      <c r="O109" s="1491" t="n"/>
      <c r="P109" s="1491" t="n"/>
      <c r="Q109" s="1491" t="n"/>
      <c r="R109" s="1491" t="n"/>
      <c r="S109" s="1491" t="n"/>
      <c r="T109" s="1491" t="n"/>
      <c r="U109" s="1491" t="n"/>
      <c r="V109" s="1491" t="n"/>
      <c r="W109" s="1491" t="n"/>
      <c r="X109" s="1491" t="n"/>
      <c r="Y109" s="1491" t="n"/>
      <c r="Z109" s="1491" t="n"/>
      <c r="AA109" s="1491" t="n"/>
      <c r="AB109" s="1491" t="n"/>
      <c r="AC109" s="1491" t="n"/>
      <c r="AD109" s="1491" t="n"/>
      <c r="AE109" s="1491" t="n"/>
      <c r="AF109" s="1491" t="n"/>
      <c r="AG109" s="1491" t="n"/>
      <c r="AH109" s="1491" t="n"/>
      <c r="AI109" s="1491" t="n"/>
      <c r="AJ109" s="1491" t="n"/>
      <c r="AK109" s="1491" t="n"/>
      <c r="AL109" s="1491" t="n"/>
      <c r="AM109" s="1491" t="n"/>
      <c r="AN109" s="1491" t="n"/>
      <c r="AO109" s="1491" t="n"/>
      <c r="AP109" s="1491" t="n"/>
      <c r="AQ109" s="1908" t="n"/>
      <c r="AR109" s="2030" t="inlineStr">
        <is>
          <t>espaco aereo portugues</t>
        </is>
      </c>
      <c r="AS109" s="2321" t="n"/>
      <c r="AT109" s="2032" t="inlineStr">
        <is>
          <t>voo de dia</t>
        </is>
      </c>
      <c r="AU109" s="2033" t="n"/>
      <c r="AV109" s="2095" t="inlineStr">
        <is>
          <t>-</t>
        </is>
      </c>
      <c r="AW109" s="2196" t="n"/>
      <c r="AX109" s="2191" t="n"/>
      <c r="AY109" s="2192" t="n"/>
      <c r="AZ109" s="2193" t="n"/>
      <c r="BA109" s="1874" t="n"/>
      <c r="BB109" s="2322" t="inlineStr">
        <is>
          <t>trem FRANCA - esp</t>
        </is>
      </c>
      <c r="BC109" s="2094" t="n"/>
      <c r="BD109" s="2170" t="n">
        <v>40394</v>
      </c>
      <c r="BE109" s="2171" t="n">
        <v>40395</v>
      </c>
      <c r="BF109" s="2012">
        <f>BE109-BD109</f>
        <v/>
      </c>
      <c r="BG109" s="2103" t="inlineStr">
        <is>
          <t>Aracaju</t>
        </is>
      </c>
      <c r="BH109" s="2106" t="inlineStr">
        <is>
          <t>Mariana</t>
        </is>
      </c>
      <c r="BI109" s="2107" t="n">
        <v>39633</v>
      </c>
      <c r="BJ109" s="2218" t="n">
        <v>39635</v>
      </c>
      <c r="BK109" s="1874">
        <f>BJ109-BI109</f>
        <v/>
      </c>
      <c r="BL109" s="2115" t="inlineStr">
        <is>
          <t>London</t>
        </is>
      </c>
      <c r="BM109" s="1990" t="inlineStr">
        <is>
          <t>N.Gower</t>
        </is>
      </c>
      <c r="BN109" s="2116" t="n">
        <v>40072</v>
      </c>
      <c r="BO109" s="2117" t="n">
        <v>40096</v>
      </c>
      <c r="BP109" s="2269">
        <f>BO109-BN109</f>
        <v/>
      </c>
      <c r="BQ109" s="2246" t="n"/>
      <c r="BR109" s="2253" t="inlineStr">
        <is>
          <t>Sherbrooke (day trip)</t>
        </is>
      </c>
      <c r="BS109" s="2254" t="n">
        <v>40379</v>
      </c>
      <c r="BT109" s="2249" t="n"/>
      <c r="BU109" s="2233" t="inlineStr">
        <is>
          <t>-</t>
        </is>
      </c>
      <c r="BV109" s="2190" t="n"/>
      <c r="BW109" s="2191" t="n"/>
      <c r="BX109" s="2190" t="n"/>
      <c r="BY109" s="2323" t="n"/>
      <c r="BZ109" s="1884">
        <f>BY109-BX109</f>
        <v/>
      </c>
      <c r="CA109" s="2102" t="inlineStr">
        <is>
          <t>SP</t>
        </is>
      </c>
      <c r="CB109" s="2243" t="inlineStr">
        <is>
          <t>chez Sam</t>
        </is>
      </c>
      <c r="CC109" s="2244" t="n">
        <v>41197</v>
      </c>
      <c r="CD109" s="2245" t="n">
        <v>41198</v>
      </c>
      <c r="CE109" s="2228">
        <f>CD109-CC109</f>
        <v/>
      </c>
      <c r="CF109" s="2246" t="inlineStr">
        <is>
          <t>771, Rue Beatty</t>
        </is>
      </c>
      <c r="CG109" s="2247" t="n"/>
      <c r="CH109" s="2254">
        <f>CI108</f>
        <v/>
      </c>
      <c r="CI109" s="2249" t="n">
        <v>41614</v>
      </c>
      <c r="CJ109" s="1874">
        <f>CI109-CH109</f>
        <v/>
      </c>
      <c r="CK109" s="2300" t="n"/>
      <c r="CL109" s="2300" t="n"/>
      <c r="CM109" s="2300" t="n"/>
      <c r="CN109" s="2300" t="n"/>
      <c r="CO109" s="2301" t="n"/>
    </row>
    <row r="110">
      <c r="A110" s="1491" t="n"/>
      <c r="B110" s="1491" t="n"/>
      <c r="C110" s="1491" t="n"/>
      <c r="D110" s="1491" t="n"/>
      <c r="E110" s="1491" t="n"/>
      <c r="F110" s="1491" t="n"/>
      <c r="G110" s="1491" t="n"/>
      <c r="H110" s="1491" t="n"/>
      <c r="I110" s="1491" t="n"/>
      <c r="J110" s="1491" t="n"/>
      <c r="K110" s="1491" t="n"/>
      <c r="L110" s="1491" t="n"/>
      <c r="M110" s="1491" t="n"/>
      <c r="N110" s="1491" t="n"/>
      <c r="O110" s="1491" t="n"/>
      <c r="P110" s="1491" t="n"/>
      <c r="Q110" s="1491" t="n"/>
      <c r="R110" s="1491" t="n"/>
      <c r="S110" s="1491" t="n"/>
      <c r="T110" s="1491" t="n"/>
      <c r="U110" s="1491" t="n"/>
      <c r="V110" s="1491" t="n"/>
      <c r="W110" s="1491" t="n"/>
      <c r="X110" s="1491" t="n"/>
      <c r="Y110" s="1491" t="n"/>
      <c r="Z110" s="1491" t="n"/>
      <c r="AA110" s="1491" t="n"/>
      <c r="AB110" s="1491" t="n"/>
      <c r="AC110" s="1491" t="n"/>
      <c r="AD110" s="1491" t="n"/>
      <c r="AE110" s="1491" t="n"/>
      <c r="AF110" s="1491" t="n"/>
      <c r="AG110" s="1491" t="n"/>
      <c r="AH110" s="1491" t="n"/>
      <c r="AI110" s="1491" t="n"/>
      <c r="AJ110" s="1491" t="n"/>
      <c r="AK110" s="1491" t="n"/>
      <c r="AL110" s="1491" t="n"/>
      <c r="AM110" s="1491" t="n"/>
      <c r="AN110" s="1491" t="n"/>
      <c r="AO110" s="1491" t="n"/>
      <c r="AP110" s="1491" t="n"/>
      <c r="AQ110" s="1908" t="n"/>
      <c r="AR110" s="1865" t="inlineStr">
        <is>
          <t>SSA</t>
        </is>
      </c>
      <c r="AS110" s="1866" t="inlineStr">
        <is>
          <t>Ondina</t>
        </is>
      </c>
      <c r="AT110" s="1867" t="n">
        <v>38638</v>
      </c>
      <c r="AU110" s="1868" t="n">
        <v>38664</v>
      </c>
      <c r="AV110" s="1869">
        <f>AU110-AT110</f>
        <v/>
      </c>
      <c r="AW110" s="2191" t="n"/>
      <c r="AX110" s="2191" t="n"/>
      <c r="AY110" s="2192" t="n"/>
      <c r="AZ110" s="2193" t="n"/>
      <c r="BA110" s="1874" t="n"/>
      <c r="BB110" s="2324" t="inlineStr">
        <is>
          <t>Barcelona</t>
        </is>
      </c>
      <c r="BC110" s="2202" t="n"/>
      <c r="BD110" s="2325" t="n">
        <v>39299</v>
      </c>
      <c r="BE110" s="2326" t="n">
        <v>39327</v>
      </c>
      <c r="BF110" s="1874">
        <f>BE110-BD110</f>
        <v/>
      </c>
      <c r="BG110" s="2119" t="inlineStr">
        <is>
          <t>SSA</t>
        </is>
      </c>
      <c r="BH110" s="2122" t="inlineStr">
        <is>
          <t>BSFlat</t>
        </is>
      </c>
      <c r="BI110" s="2123" t="n">
        <v>39635</v>
      </c>
      <c r="BJ110" s="2239" t="n">
        <v>39671</v>
      </c>
      <c r="BK110" s="1874">
        <f>BJ110-BI110</f>
        <v/>
      </c>
      <c r="BL110" s="2259" t="inlineStr">
        <is>
          <t>Paris</t>
        </is>
      </c>
      <c r="BM110" s="1876" t="inlineStr">
        <is>
          <t>Bobigny</t>
        </is>
      </c>
      <c r="BN110" s="2133" t="n">
        <v>40096</v>
      </c>
      <c r="BO110" s="2134" t="n">
        <v>40109</v>
      </c>
      <c r="BP110" s="2260">
        <f>BO110-BN110</f>
        <v/>
      </c>
      <c r="BQ110" s="1973" t="inlineStr">
        <is>
          <t>Mexico city</t>
        </is>
      </c>
      <c r="BR110" s="2302" t="inlineStr">
        <is>
          <t>conexao</t>
        </is>
      </c>
      <c r="BS110" s="2303" t="n">
        <v>40395</v>
      </c>
      <c r="BT110" s="2304" t="n">
        <v>40395</v>
      </c>
      <c r="BU110" s="2233" t="inlineStr">
        <is>
          <t>-</t>
        </is>
      </c>
      <c r="BV110" s="2190" t="n"/>
      <c r="BW110" s="2191" t="n"/>
      <c r="BX110" s="2190" t="n"/>
      <c r="BY110" s="2323" t="n"/>
      <c r="BZ110" s="1884">
        <f>BY110-BX110</f>
        <v/>
      </c>
      <c r="CA110" s="2118" t="inlineStr">
        <is>
          <t>SSA</t>
        </is>
      </c>
      <c r="CB110" s="2235" t="inlineStr">
        <is>
          <t>Ondina</t>
        </is>
      </c>
      <c r="CC110" s="2236" t="n">
        <v>41198</v>
      </c>
      <c r="CD110" s="2227" t="n">
        <v>41203</v>
      </c>
      <c r="CE110" s="2228">
        <f>CD110-CC110</f>
        <v/>
      </c>
      <c r="CF110" s="1998" t="inlineStr">
        <is>
          <t>Burlington</t>
        </is>
      </c>
      <c r="CG110" s="2255" t="inlineStr">
        <is>
          <t>Comfort Suites</t>
        </is>
      </c>
      <c r="CH110" s="2151" t="n">
        <v>41614</v>
      </c>
      <c r="CI110" s="2152" t="n">
        <v>41616</v>
      </c>
      <c r="CJ110" s="1874">
        <f>CI110-CH110</f>
        <v/>
      </c>
      <c r="CK110" s="2300" t="n"/>
      <c r="CL110" s="2300" t="n"/>
      <c r="CM110" s="2300" t="n"/>
      <c r="CN110" s="2300" t="n"/>
      <c r="CO110" s="2301" t="n"/>
    </row>
    <row r="111">
      <c r="A111" s="1491" t="n"/>
      <c r="B111" s="1491" t="n"/>
      <c r="C111" s="1491" t="n"/>
      <c r="D111" s="1491" t="n"/>
      <c r="E111" s="1491" t="n"/>
      <c r="F111" s="1491" t="n"/>
      <c r="G111" s="1491" t="n"/>
      <c r="H111" s="1491" t="n"/>
      <c r="I111" s="1491" t="n"/>
      <c r="J111" s="1491" t="n"/>
      <c r="K111" s="1491" t="n"/>
      <c r="L111" s="1491" t="n"/>
      <c r="M111" s="1491" t="n"/>
      <c r="N111" s="1491" t="n"/>
      <c r="O111" s="1491" t="n"/>
      <c r="P111" s="1491" t="n"/>
      <c r="Q111" s="1491" t="n"/>
      <c r="R111" s="1491" t="n"/>
      <c r="S111" s="1491" t="n"/>
      <c r="T111" s="1491" t="n"/>
      <c r="U111" s="1491" t="n"/>
      <c r="V111" s="1491" t="n"/>
      <c r="W111" s="1491" t="n"/>
      <c r="X111" s="1491" t="n"/>
      <c r="Y111" s="1491" t="n"/>
      <c r="Z111" s="1491" t="n"/>
      <c r="AA111" s="1491" t="n"/>
      <c r="AB111" s="1491" t="n"/>
      <c r="AC111" s="1491" t="n"/>
      <c r="AD111" s="1491" t="n"/>
      <c r="AE111" s="1491" t="n"/>
      <c r="AF111" s="1491" t="n"/>
      <c r="AG111" s="1491" t="n"/>
      <c r="AH111" s="1491" t="n"/>
      <c r="AI111" s="1491" t="n"/>
      <c r="AJ111" s="1491" t="n"/>
      <c r="AK111" s="1491" t="n"/>
      <c r="AL111" s="1491" t="n"/>
      <c r="AM111" s="1491" t="n"/>
      <c r="AN111" s="1491" t="n"/>
      <c r="AO111" s="1491" t="n"/>
      <c r="AP111" s="1491" t="n"/>
      <c r="AQ111" s="1908" t="n"/>
      <c r="AR111" s="1865" t="inlineStr">
        <is>
          <t>SP</t>
        </is>
      </c>
      <c r="AS111" s="1866" t="inlineStr">
        <is>
          <t>Bado</t>
        </is>
      </c>
      <c r="AT111" s="1867" t="n">
        <v>38664</v>
      </c>
      <c r="AU111" s="1868" t="n">
        <v>38691</v>
      </c>
      <c r="AV111" s="1869">
        <f>AU111-AT111</f>
        <v/>
      </c>
      <c r="AW111" s="2196" t="n"/>
      <c r="AX111" s="2191" t="n"/>
      <c r="AY111" s="2192" t="n"/>
      <c r="AZ111" s="2193" t="n"/>
      <c r="BA111" s="1874" t="n"/>
      <c r="BB111" s="2327" t="inlineStr">
        <is>
          <t>Berlin</t>
        </is>
      </c>
      <c r="BC111" s="2039" t="n"/>
      <c r="BD111" s="2290" t="n">
        <v>39327</v>
      </c>
      <c r="BE111" s="2291" t="n">
        <v>39347</v>
      </c>
      <c r="BF111" s="1874">
        <f>BE111-BD111</f>
        <v/>
      </c>
      <c r="BG111" s="2103" t="inlineStr">
        <is>
          <t>SP</t>
        </is>
      </c>
      <c r="BH111" s="2106" t="inlineStr">
        <is>
          <t>Moyses</t>
        </is>
      </c>
      <c r="BI111" s="2107" t="n">
        <v>39671</v>
      </c>
      <c r="BJ111" s="2218" t="n">
        <v>39675</v>
      </c>
      <c r="BK111" s="1874">
        <f>BJ111-BI111</f>
        <v/>
      </c>
      <c r="BL111" s="2259" t="inlineStr">
        <is>
          <t>Paris</t>
        </is>
      </c>
      <c r="BM111" s="1876" t="inlineStr">
        <is>
          <t>XIVeme</t>
        </is>
      </c>
      <c r="BN111" s="2133" t="n">
        <v>40109</v>
      </c>
      <c r="BO111" s="2134" t="n">
        <v>40126</v>
      </c>
      <c r="BP111" s="2260">
        <f>BO111-BN111</f>
        <v/>
      </c>
      <c r="BQ111" s="2138" t="inlineStr">
        <is>
          <t>espaco aereo mexicano</t>
        </is>
      </c>
      <c r="BR111" s="2277" t="n"/>
      <c r="BS111" s="2170" t="n">
        <v>40395</v>
      </c>
      <c r="BT111" s="2171" t="n">
        <v>40396</v>
      </c>
      <c r="BU111" s="2278">
        <f>BT111-BS111</f>
        <v/>
      </c>
      <c r="BV111" s="2190" t="n"/>
      <c r="BW111" s="2191" t="n"/>
      <c r="BX111" s="2190" t="n"/>
      <c r="BY111" s="2323" t="n"/>
      <c r="BZ111" s="1884">
        <f>BY111-BX111</f>
        <v/>
      </c>
      <c r="CA111" s="2102" t="inlineStr">
        <is>
          <t>SP</t>
        </is>
      </c>
      <c r="CB111" s="2243" t="inlineStr">
        <is>
          <t>conexao</t>
        </is>
      </c>
      <c r="CC111" s="2244" t="n">
        <v>41203</v>
      </c>
      <c r="CD111" s="2245" t="n"/>
      <c r="CE111" s="2233" t="inlineStr">
        <is>
          <t>-</t>
        </is>
      </c>
      <c r="CF111" s="2246" t="inlineStr">
        <is>
          <t>771, Rue Beatty</t>
        </is>
      </c>
      <c r="CG111" s="2247" t="n"/>
      <c r="CH111" s="2254">
        <f>CI110</f>
        <v/>
      </c>
      <c r="CI111" s="2249" t="n">
        <v>41623</v>
      </c>
      <c r="CJ111" s="1874">
        <f>CI111-CH111</f>
        <v/>
      </c>
      <c r="CK111" s="2300" t="n"/>
      <c r="CL111" s="2300" t="n"/>
      <c r="CM111" s="2300" t="n"/>
      <c r="CN111" s="2300" t="n"/>
      <c r="CO111" s="2301" t="n"/>
    </row>
    <row r="112">
      <c r="A112" s="1491" t="n"/>
      <c r="B112" s="1491" t="n"/>
      <c r="C112" s="1491" t="n"/>
      <c r="D112" s="1491" t="n"/>
      <c r="E112" s="1491" t="n"/>
      <c r="F112" s="1491" t="n"/>
      <c r="G112" s="1491" t="n"/>
      <c r="H112" s="1491" t="n"/>
      <c r="I112" s="1491" t="n"/>
      <c r="J112" s="1491" t="n"/>
      <c r="K112" s="1491" t="n"/>
      <c r="L112" s="1491" t="n"/>
      <c r="M112" s="1491" t="n"/>
      <c r="N112" s="1491" t="n"/>
      <c r="O112" s="1491" t="n"/>
      <c r="P112" s="1491" t="n"/>
      <c r="Q112" s="1491" t="n"/>
      <c r="R112" s="1491" t="n"/>
      <c r="S112" s="1491" t="n"/>
      <c r="T112" s="1491" t="n"/>
      <c r="U112" s="1491" t="n"/>
      <c r="V112" s="1491" t="n"/>
      <c r="W112" s="1491" t="n"/>
      <c r="X112" s="1491" t="n"/>
      <c r="Y112" s="1491" t="n"/>
      <c r="Z112" s="1491" t="n"/>
      <c r="AA112" s="1491" t="n"/>
      <c r="AB112" s="1491" t="n"/>
      <c r="AC112" s="1491" t="n"/>
      <c r="AD112" s="1491" t="n"/>
      <c r="AE112" s="1491" t="n"/>
      <c r="AF112" s="1491" t="n"/>
      <c r="AG112" s="1491" t="n"/>
      <c r="AH112" s="1491" t="n"/>
      <c r="AI112" s="1491" t="n"/>
      <c r="AJ112" s="1491" t="n"/>
      <c r="AK112" s="1491" t="n"/>
      <c r="AL112" s="1491" t="n"/>
      <c r="AM112" s="1491" t="n"/>
      <c r="AN112" s="1491" t="n"/>
      <c r="AO112" s="1491" t="n"/>
      <c r="AP112" s="1491" t="n"/>
      <c r="AQ112" s="1908" t="n"/>
      <c r="AR112" s="1865" t="inlineStr">
        <is>
          <t>SSA</t>
        </is>
      </c>
      <c r="AS112" s="1866" t="inlineStr">
        <is>
          <t>Ondina</t>
        </is>
      </c>
      <c r="AT112" s="1867" t="n">
        <v>38691</v>
      </c>
      <c r="AU112" s="1868" t="n">
        <v>38717</v>
      </c>
      <c r="AV112" s="1869">
        <f>AU112-AT112</f>
        <v/>
      </c>
      <c r="AW112" s="2191" t="n"/>
      <c r="AX112" s="2191" t="n"/>
      <c r="AY112" s="2192" t="n"/>
      <c r="AZ112" s="2193" t="n"/>
      <c r="BA112" s="1874" t="n"/>
      <c r="BB112" s="2115" t="inlineStr">
        <is>
          <t>London</t>
        </is>
      </c>
      <c r="BC112" s="1990" t="inlineStr">
        <is>
          <t>David's</t>
        </is>
      </c>
      <c r="BD112" s="2116" t="n">
        <v>39347</v>
      </c>
      <c r="BE112" s="2117" t="n">
        <v>39354</v>
      </c>
      <c r="BF112" s="1874">
        <f>BE112-BD112</f>
        <v/>
      </c>
      <c r="BG112" s="2119" t="inlineStr">
        <is>
          <t>SSA</t>
        </is>
      </c>
      <c r="BH112" s="2122" t="inlineStr">
        <is>
          <t>BSFlat</t>
        </is>
      </c>
      <c r="BI112" s="2123" t="n">
        <v>39675</v>
      </c>
      <c r="BJ112" s="2239" t="n">
        <v>39709</v>
      </c>
      <c r="BK112" s="1874">
        <f>BJ112-BI112</f>
        <v/>
      </c>
      <c r="BL112" s="2328" t="inlineStr">
        <is>
          <t>Amsterdam</t>
        </is>
      </c>
      <c r="BM112" s="2329" t="n"/>
      <c r="BN112" s="2257" t="n">
        <v>40126</v>
      </c>
      <c r="BO112" s="2320" t="n">
        <v>40130</v>
      </c>
      <c r="BP112" s="2330">
        <f>BO112-BN112</f>
        <v/>
      </c>
      <c r="BQ112" s="2102" t="inlineStr">
        <is>
          <t>SP</t>
        </is>
      </c>
      <c r="BR112" s="2243" t="inlineStr">
        <is>
          <t>Moyses</t>
        </is>
      </c>
      <c r="BS112" s="2244" t="n">
        <v>40396</v>
      </c>
      <c r="BT112" s="2245" t="n">
        <v>40399</v>
      </c>
      <c r="BU112" s="2228">
        <f>BT112-BS112</f>
        <v/>
      </c>
      <c r="BV112" s="2190" t="n"/>
      <c r="BW112" s="2191" t="n"/>
      <c r="BX112" s="2190" t="n"/>
      <c r="BY112" s="2323" t="n"/>
      <c r="BZ112" s="1884">
        <f>BY112-BX112</f>
        <v/>
      </c>
      <c r="CA112" s="1865" t="inlineStr">
        <is>
          <t>espaco aereo brasileiro</t>
        </is>
      </c>
      <c r="CB112" s="2282" t="n"/>
      <c r="CC112" s="2219" t="n">
        <v>41203</v>
      </c>
      <c r="CD112" s="2220" t="n">
        <v>41204</v>
      </c>
      <c r="CE112" s="2292">
        <f>CD112-CC112</f>
        <v/>
      </c>
      <c r="CF112" s="1998" t="inlineStr">
        <is>
          <t xml:space="preserve">Miami </t>
        </is>
      </c>
      <c r="CG112" s="2255" t="inlineStr">
        <is>
          <t>conexao</t>
        </is>
      </c>
      <c r="CH112" s="2151" t="n">
        <v>41623</v>
      </c>
      <c r="CI112" s="2152" t="n"/>
      <c r="CJ112" s="2189" t="inlineStr">
        <is>
          <t>-</t>
        </is>
      </c>
      <c r="CK112" s="2300" t="n"/>
      <c r="CL112" s="2300" t="n"/>
      <c r="CM112" s="2300" t="n"/>
      <c r="CN112" s="2300" t="n"/>
      <c r="CO112" s="2301" t="n"/>
    </row>
    <row r="113">
      <c r="A113" s="1491" t="n"/>
      <c r="B113" s="1491" t="n"/>
      <c r="C113" s="1491" t="n"/>
      <c r="D113" s="1491" t="n"/>
      <c r="E113" s="1491" t="n"/>
      <c r="F113" s="1491" t="n"/>
      <c r="G113" s="1491" t="n"/>
      <c r="H113" s="1491" t="n"/>
      <c r="I113" s="1491" t="n"/>
      <c r="J113" s="1491" t="n"/>
      <c r="K113" s="1491" t="n"/>
      <c r="L113" s="1491" t="n"/>
      <c r="M113" s="1491" t="n"/>
      <c r="N113" s="1491" t="n"/>
      <c r="O113" s="1491" t="n"/>
      <c r="P113" s="1491" t="n"/>
      <c r="Q113" s="1491" t="n"/>
      <c r="R113" s="1491" t="n"/>
      <c r="S113" s="1491" t="n"/>
      <c r="T113" s="1491" t="n"/>
      <c r="U113" s="1491" t="n"/>
      <c r="V113" s="1491" t="n"/>
      <c r="W113" s="1491" t="n"/>
      <c r="X113" s="1491" t="n"/>
      <c r="Y113" s="1491" t="n"/>
      <c r="Z113" s="1491" t="n"/>
      <c r="AA113" s="1491" t="n"/>
      <c r="AB113" s="1491" t="n"/>
      <c r="AC113" s="1491" t="n"/>
      <c r="AD113" s="1491" t="n"/>
      <c r="AE113" s="1491" t="n"/>
      <c r="AF113" s="1491" t="n"/>
      <c r="AG113" s="1491" t="n"/>
      <c r="AH113" s="1491" t="n"/>
      <c r="AI113" s="1491" t="n"/>
      <c r="AJ113" s="1491" t="n"/>
      <c r="AK113" s="1491" t="n"/>
      <c r="AL113" s="1491" t="n"/>
      <c r="AM113" s="1491" t="n"/>
      <c r="AN113" s="1491" t="n"/>
      <c r="AO113" s="1491" t="n"/>
      <c r="AP113" s="1491" t="n"/>
      <c r="AQ113" s="1908" t="n"/>
      <c r="AR113" s="2190" t="n"/>
      <c r="AS113" s="2191" t="n"/>
      <c r="AT113" s="2192" t="n"/>
      <c r="AU113" s="2193" t="n"/>
      <c r="AV113" s="1874" t="n"/>
      <c r="AW113" s="2191" t="n"/>
      <c r="AX113" s="2191" t="n"/>
      <c r="AY113" s="2192" t="n"/>
      <c r="AZ113" s="2193" t="n"/>
      <c r="BA113" s="1874" t="n"/>
      <c r="BB113" s="2324" t="inlineStr">
        <is>
          <t>Madrid</t>
        </is>
      </c>
      <c r="BC113" s="2202" t="inlineStr">
        <is>
          <t>conexao</t>
        </is>
      </c>
      <c r="BD113" s="2325" t="n">
        <v>39354</v>
      </c>
      <c r="BE113" s="2326" t="n">
        <v>39355</v>
      </c>
      <c r="BF113" s="2012">
        <f>BE113-BD113</f>
        <v/>
      </c>
      <c r="BG113" s="2119" t="inlineStr">
        <is>
          <t>SP</t>
        </is>
      </c>
      <c r="BH113" s="2122" t="inlineStr">
        <is>
          <t>Ibis (pitstop)</t>
        </is>
      </c>
      <c r="BI113" s="2123" t="n">
        <v>39709</v>
      </c>
      <c r="BJ113" s="2239" t="n">
        <v>39709</v>
      </c>
      <c r="BK113" s="2189" t="inlineStr">
        <is>
          <t>-</t>
        </is>
      </c>
      <c r="BL113" s="2331" t="inlineStr">
        <is>
          <t>Brussels</t>
        </is>
      </c>
      <c r="BM113" s="1950" t="n"/>
      <c r="BN113" s="2332" t="n">
        <v>40130</v>
      </c>
      <c r="BO113" s="2333" t="n">
        <v>40131</v>
      </c>
      <c r="BP113" s="2334">
        <f>BO113-BN113</f>
        <v/>
      </c>
      <c r="BQ113" s="2118" t="inlineStr">
        <is>
          <t>SSA</t>
        </is>
      </c>
      <c r="BR113" s="2235" t="inlineStr">
        <is>
          <t>The Place</t>
        </is>
      </c>
      <c r="BS113" s="2236" t="n">
        <v>40399</v>
      </c>
      <c r="BT113" s="2227" t="n">
        <v>40466</v>
      </c>
      <c r="BU113" s="2228">
        <f>BT113-BS113</f>
        <v/>
      </c>
      <c r="BV113" s="2190" t="n"/>
      <c r="BW113" s="2191" t="n"/>
      <c r="BX113" s="2190" t="n"/>
      <c r="BY113" s="2323" t="n"/>
      <c r="BZ113" s="1884">
        <f>BY113-BX113</f>
        <v/>
      </c>
      <c r="CA113" s="1998" t="inlineStr">
        <is>
          <t>Detroit</t>
        </is>
      </c>
      <c r="CB113" s="2255" t="inlineStr">
        <is>
          <t>conexao</t>
        </is>
      </c>
      <c r="CC113" s="2151" t="n">
        <v>41204</v>
      </c>
      <c r="CD113" s="2152" t="n"/>
      <c r="CE113" s="2233" t="inlineStr">
        <is>
          <t>-</t>
        </is>
      </c>
      <c r="CF113" s="2261" t="inlineStr">
        <is>
          <t>espaco aereo americano</t>
        </is>
      </c>
      <c r="CG113" s="2262" t="n"/>
      <c r="CH113" s="2263" t="n">
        <v>41623</v>
      </c>
      <c r="CI113" s="2264" t="n">
        <v>41624</v>
      </c>
      <c r="CJ113" s="2265">
        <f>CI113-CH113</f>
        <v/>
      </c>
      <c r="CK113" s="2300" t="n"/>
      <c r="CL113" s="2300" t="n"/>
      <c r="CM113" s="2300" t="n"/>
      <c r="CN113" s="2300" t="n"/>
      <c r="CO113" s="2301" t="n"/>
    </row>
    <row r="114">
      <c r="A114" s="1491" t="n"/>
      <c r="B114" s="1491" t="n"/>
      <c r="C114" s="1491" t="n"/>
      <c r="D114" s="1491" t="n"/>
      <c r="E114" s="1491" t="n"/>
      <c r="F114" s="1491" t="n"/>
      <c r="G114" s="1491" t="n"/>
      <c r="H114" s="1491" t="n"/>
      <c r="I114" s="1491" t="n"/>
      <c r="J114" s="1491" t="n"/>
      <c r="K114" s="1491" t="n"/>
      <c r="L114" s="1491" t="n"/>
      <c r="M114" s="1491" t="n"/>
      <c r="N114" s="1491" t="n"/>
      <c r="O114" s="1491" t="n"/>
      <c r="P114" s="1491" t="n"/>
      <c r="Q114" s="1491" t="n"/>
      <c r="R114" s="1491" t="n"/>
      <c r="S114" s="1491" t="n"/>
      <c r="T114" s="1491" t="n"/>
      <c r="U114" s="1491" t="n"/>
      <c r="V114" s="1491" t="n"/>
      <c r="W114" s="1491" t="n"/>
      <c r="X114" s="1491" t="n"/>
      <c r="Y114" s="1491" t="n"/>
      <c r="Z114" s="1491" t="n"/>
      <c r="AA114" s="1491" t="n"/>
      <c r="AB114" s="1491" t="n"/>
      <c r="AC114" s="1491" t="n"/>
      <c r="AD114" s="1491" t="n"/>
      <c r="AE114" s="1491" t="n"/>
      <c r="AF114" s="1491" t="n"/>
      <c r="AG114" s="1491" t="n"/>
      <c r="AH114" s="1491" t="n"/>
      <c r="AI114" s="1491" t="n"/>
      <c r="AJ114" s="1491" t="n"/>
      <c r="AK114" s="1491" t="n"/>
      <c r="AL114" s="1491" t="n"/>
      <c r="AM114" s="1491" t="n"/>
      <c r="AN114" s="1491" t="n"/>
      <c r="AO114" s="1491" t="n"/>
      <c r="AP114" s="1491" t="n"/>
      <c r="AQ114" s="1908" t="n"/>
      <c r="AR114" s="2194" t="n"/>
      <c r="AS114" s="2191" t="n"/>
      <c r="AT114" s="2192" t="n"/>
      <c r="AU114" s="2193" t="n"/>
      <c r="AV114" s="1874" t="n"/>
      <c r="AW114" s="2196" t="n"/>
      <c r="AX114" s="2191" t="n"/>
      <c r="AY114" s="2192" t="n"/>
      <c r="AZ114" s="2193" t="n"/>
      <c r="BA114" s="1874" t="n"/>
      <c r="BB114" s="2119" t="inlineStr">
        <is>
          <t>SSA</t>
        </is>
      </c>
      <c r="BC114" s="2122" t="inlineStr">
        <is>
          <t>Ondina</t>
        </is>
      </c>
      <c r="BD114" s="2123" t="n">
        <v>39355</v>
      </c>
      <c r="BE114" s="2124" t="n">
        <v>39368</v>
      </c>
      <c r="BF114" s="1874">
        <f>BE114-BD114</f>
        <v/>
      </c>
      <c r="BG114" s="2293" t="inlineStr">
        <is>
          <t>Bariloche</t>
        </is>
      </c>
      <c r="BH114" s="1927" t="n"/>
      <c r="BI114" s="1916" t="n">
        <v>39710</v>
      </c>
      <c r="BJ114" s="2294" t="n">
        <v>39717</v>
      </c>
      <c r="BK114" s="1874">
        <f>BJ114-BI114</f>
        <v/>
      </c>
      <c r="BL114" s="2259" t="inlineStr">
        <is>
          <t>Paris</t>
        </is>
      </c>
      <c r="BM114" s="1876" t="inlineStr">
        <is>
          <t>XIVeme</t>
        </is>
      </c>
      <c r="BN114" s="2133" t="n">
        <v>40131</v>
      </c>
      <c r="BO114" s="2134" t="n">
        <v>40139</v>
      </c>
      <c r="BP114" s="2260">
        <f>BO114-BN114</f>
        <v/>
      </c>
      <c r="BQ114" s="2102" t="inlineStr">
        <is>
          <t>SP</t>
        </is>
      </c>
      <c r="BR114" s="2243" t="inlineStr">
        <is>
          <t>Moyses</t>
        </is>
      </c>
      <c r="BS114" s="2244" t="n">
        <v>40466</v>
      </c>
      <c r="BT114" s="2245" t="n">
        <v>40478</v>
      </c>
      <c r="BU114" s="2228">
        <f>BT114-BS114</f>
        <v/>
      </c>
      <c r="BV114" s="2190" t="n"/>
      <c r="BW114" s="2191" t="n"/>
      <c r="BX114" s="2190" t="n"/>
      <c r="BY114" s="2323" t="n"/>
      <c r="BZ114" s="1884">
        <f>BY114-BX114</f>
        <v/>
      </c>
      <c r="CA114" s="2246" t="inlineStr">
        <is>
          <t>4560, Bld Lasalle, #112</t>
        </is>
      </c>
      <c r="CB114" s="2247" t="n"/>
      <c r="CC114" s="2254" t="n">
        <v>41204</v>
      </c>
      <c r="CD114" s="2249" t="n">
        <v>41265</v>
      </c>
      <c r="CE114" s="2228">
        <f>CD114-CC114</f>
        <v/>
      </c>
      <c r="CF114" s="2118" t="inlineStr">
        <is>
          <t>SSA</t>
        </is>
      </c>
      <c r="CG114" s="2235" t="inlineStr">
        <is>
          <t>Ondina</t>
        </is>
      </c>
      <c r="CH114" s="2236" t="n">
        <v>41624</v>
      </c>
      <c r="CI114" s="2227" t="n">
        <v>41634</v>
      </c>
      <c r="CJ114" s="1874">
        <f>CI114-CH114</f>
        <v/>
      </c>
      <c r="CK114" s="2300" t="n"/>
      <c r="CL114" s="2300" t="n"/>
      <c r="CM114" s="2300" t="n"/>
      <c r="CN114" s="2300" t="n"/>
      <c r="CO114" s="2301" t="n"/>
    </row>
    <row r="115">
      <c r="A115" s="1491" t="n"/>
      <c r="B115" s="1491" t="n"/>
      <c r="C115" s="1491" t="n"/>
      <c r="D115" s="1491" t="n"/>
      <c r="E115" s="1491" t="n"/>
      <c r="F115" s="1491" t="n"/>
      <c r="G115" s="1491" t="n"/>
      <c r="H115" s="1491" t="n"/>
      <c r="I115" s="1491" t="n"/>
      <c r="J115" s="1491" t="n"/>
      <c r="K115" s="1491" t="n"/>
      <c r="L115" s="1491" t="n"/>
      <c r="M115" s="1491" t="n"/>
      <c r="N115" s="1491" t="n"/>
      <c r="O115" s="1491" t="n"/>
      <c r="P115" s="1491" t="n"/>
      <c r="Q115" s="1491" t="n"/>
      <c r="R115" s="1491" t="n"/>
      <c r="S115" s="1491" t="n"/>
      <c r="T115" s="1491" t="n"/>
      <c r="U115" s="1491" t="n"/>
      <c r="V115" s="1491" t="n"/>
      <c r="W115" s="1491" t="n"/>
      <c r="X115" s="1491" t="n"/>
      <c r="Y115" s="1491" t="n"/>
      <c r="Z115" s="1491" t="n"/>
      <c r="AA115" s="1491" t="n"/>
      <c r="AB115" s="1491" t="n"/>
      <c r="AC115" s="1491" t="n"/>
      <c r="AD115" s="1491" t="n"/>
      <c r="AE115" s="1491" t="n"/>
      <c r="AF115" s="1491" t="n"/>
      <c r="AG115" s="1491" t="n"/>
      <c r="AH115" s="1491" t="n"/>
      <c r="AI115" s="1491" t="n"/>
      <c r="AJ115" s="1491" t="n"/>
      <c r="AK115" s="1491" t="n"/>
      <c r="AL115" s="1491" t="n"/>
      <c r="AM115" s="1491" t="n"/>
      <c r="AN115" s="1491" t="n"/>
      <c r="AO115" s="1491" t="n"/>
      <c r="AP115" s="1491" t="n"/>
      <c r="AQ115" s="1908" t="n"/>
      <c r="AR115" s="2190" t="n"/>
      <c r="AS115" s="2191" t="n"/>
      <c r="AT115" s="2192" t="n"/>
      <c r="AU115" s="2193" t="n"/>
      <c r="AV115" s="1874" t="n"/>
      <c r="AW115" s="2191" t="n"/>
      <c r="AX115" s="2191" t="n"/>
      <c r="AY115" s="2192" t="n"/>
      <c r="AZ115" s="2193" t="n"/>
      <c r="BA115" s="1874" t="n"/>
      <c r="BB115" s="2103" t="inlineStr">
        <is>
          <t>SP</t>
        </is>
      </c>
      <c r="BC115" s="2106" t="inlineStr">
        <is>
          <t>Moyses</t>
        </is>
      </c>
      <c r="BD115" s="2107" t="n">
        <v>39368</v>
      </c>
      <c r="BE115" s="2108" t="n">
        <v>39375</v>
      </c>
      <c r="BF115" s="1874">
        <f>BE115-BD115</f>
        <v/>
      </c>
      <c r="BG115" s="2103" t="inlineStr">
        <is>
          <t>SP</t>
        </is>
      </c>
      <c r="BH115" s="2106" t="inlineStr">
        <is>
          <t>(GRU)</t>
        </is>
      </c>
      <c r="BI115" s="2107" t="n">
        <v>39717</v>
      </c>
      <c r="BJ115" s="2218" t="n">
        <v>39717</v>
      </c>
      <c r="BK115" s="1874">
        <f>BJ115-BI115</f>
        <v/>
      </c>
      <c r="BL115" s="2284" t="inlineStr">
        <is>
          <t>Milan</t>
        </is>
      </c>
      <c r="BM115" s="2285" t="n"/>
      <c r="BN115" s="2281" t="n">
        <v>40139</v>
      </c>
      <c r="BO115" s="2286" t="n">
        <v>40141</v>
      </c>
      <c r="BP115" s="2287">
        <f>BO115-BN115</f>
        <v/>
      </c>
      <c r="BQ115" s="2118" t="inlineStr">
        <is>
          <t>SSA</t>
        </is>
      </c>
      <c r="BR115" s="2235" t="inlineStr">
        <is>
          <t>The Place</t>
        </is>
      </c>
      <c r="BS115" s="2236" t="n">
        <v>40478</v>
      </c>
      <c r="BT115" s="2227" t="n">
        <v>40515</v>
      </c>
      <c r="BU115" s="2228">
        <f>BT115-BS115</f>
        <v/>
      </c>
      <c r="BV115" s="2190" t="n"/>
      <c r="BW115" s="2191" t="n"/>
      <c r="BX115" s="2190" t="n"/>
      <c r="BY115" s="2323" t="n"/>
      <c r="BZ115" s="1884">
        <f>BY115-BX115</f>
        <v/>
      </c>
      <c r="CA115" s="1998" t="inlineStr">
        <is>
          <t>NY</t>
        </is>
      </c>
      <c r="CB115" s="2255" t="inlineStr">
        <is>
          <t>Gran Hyatt</t>
        </is>
      </c>
      <c r="CC115" s="2151" t="n">
        <v>41265</v>
      </c>
      <c r="CD115" s="2152" t="n">
        <v>41270</v>
      </c>
      <c r="CE115" s="2228">
        <f>CD115-CC115</f>
        <v/>
      </c>
      <c r="CF115" s="2335" t="n"/>
      <c r="CG115" s="2336" t="inlineStr">
        <is>
          <t>PF</t>
        </is>
      </c>
      <c r="CH115" s="2337">
        <f>CI114</f>
        <v/>
      </c>
      <c r="CI115" s="2338">
        <f>CH116</f>
        <v/>
      </c>
      <c r="CJ115" s="1874">
        <f>CI115-CH115</f>
        <v/>
      </c>
      <c r="CK115" s="2300" t="n"/>
      <c r="CL115" s="2300" t="n"/>
      <c r="CM115" s="2300" t="n"/>
      <c r="CN115" s="2300" t="n"/>
      <c r="CO115" s="2301" t="n"/>
    </row>
    <row r="116">
      <c r="A116" s="1491" t="n"/>
      <c r="B116" s="1491" t="n"/>
      <c r="C116" s="1491" t="n"/>
      <c r="D116" s="1491" t="n"/>
      <c r="E116" s="1491" t="n"/>
      <c r="F116" s="1491" t="n"/>
      <c r="G116" s="1491" t="n"/>
      <c r="H116" s="1491" t="n"/>
      <c r="I116" s="1491" t="n"/>
      <c r="J116" s="1491" t="n"/>
      <c r="K116" s="1491" t="n"/>
      <c r="L116" s="1491" t="n"/>
      <c r="M116" s="1491" t="n"/>
      <c r="N116" s="1491" t="n"/>
      <c r="O116" s="1491" t="n"/>
      <c r="P116" s="1491" t="n"/>
      <c r="Q116" s="1491" t="n"/>
      <c r="R116" s="1491" t="n"/>
      <c r="S116" s="1491" t="n"/>
      <c r="T116" s="1491" t="n"/>
      <c r="U116" s="1491" t="n"/>
      <c r="V116" s="1491" t="n"/>
      <c r="W116" s="1491" t="n"/>
      <c r="X116" s="1491" t="n"/>
      <c r="Y116" s="1491" t="n"/>
      <c r="Z116" s="1491" t="n"/>
      <c r="AA116" s="1491" t="n"/>
      <c r="AB116" s="1491" t="n"/>
      <c r="AC116" s="1491" t="n"/>
      <c r="AD116" s="1491" t="n"/>
      <c r="AE116" s="1491" t="n"/>
      <c r="AF116" s="1491" t="n"/>
      <c r="AG116" s="1491" t="n"/>
      <c r="AH116" s="1491" t="n"/>
      <c r="AI116" s="1491" t="n"/>
      <c r="AJ116" s="1491" t="n"/>
      <c r="AK116" s="1491" t="n"/>
      <c r="AL116" s="1491" t="n"/>
      <c r="AM116" s="1491" t="n"/>
      <c r="AN116" s="1491" t="n"/>
      <c r="AO116" s="1491" t="n"/>
      <c r="AP116" s="1491" t="n"/>
      <c r="AQ116" s="1908" t="n"/>
      <c r="AR116" s="2190" t="n"/>
      <c r="AS116" s="2191" t="n"/>
      <c r="AT116" s="2192" t="n"/>
      <c r="AU116" s="2193" t="n"/>
      <c r="AV116" s="1874" t="n"/>
      <c r="AW116" s="2191" t="n"/>
      <c r="AX116" s="2191" t="n"/>
      <c r="AY116" s="2192" t="n"/>
      <c r="AZ116" s="2193" t="n"/>
      <c r="BA116" s="1874" t="n"/>
      <c r="BB116" s="2119" t="inlineStr">
        <is>
          <t>SSA</t>
        </is>
      </c>
      <c r="BC116" s="2122" t="inlineStr">
        <is>
          <t>Ondina</t>
        </is>
      </c>
      <c r="BD116" s="2123" t="n">
        <v>39375</v>
      </c>
      <c r="BE116" s="2124" t="n">
        <v>39415</v>
      </c>
      <c r="BF116" s="1874">
        <f>BE116-BD116</f>
        <v/>
      </c>
      <c r="BG116" s="2119" t="inlineStr">
        <is>
          <t>SSA</t>
        </is>
      </c>
      <c r="BH116" s="2122" t="inlineStr">
        <is>
          <t>BSFlat</t>
        </is>
      </c>
      <c r="BI116" s="2123" t="n">
        <v>39717</v>
      </c>
      <c r="BJ116" s="2239" t="n">
        <v>39730</v>
      </c>
      <c r="BK116" s="1874">
        <f>BJ116-BI116</f>
        <v/>
      </c>
      <c r="BL116" s="2183" t="inlineStr">
        <is>
          <t>Praga</t>
        </is>
      </c>
      <c r="BM116" s="1910" t="n"/>
      <c r="BN116" s="2184" t="n">
        <v>40141</v>
      </c>
      <c r="BO116" s="2185" t="n">
        <v>40144</v>
      </c>
      <c r="BP116" s="2283">
        <f>BO116-BN116</f>
        <v/>
      </c>
      <c r="BQ116" s="2339" t="inlineStr">
        <is>
          <t>Buenos Aires</t>
        </is>
      </c>
      <c r="BR116" s="2340" t="n"/>
      <c r="BS116" s="2341" t="n">
        <v>40515</v>
      </c>
      <c r="BT116" s="2342" t="n">
        <v>40519</v>
      </c>
      <c r="BU116" s="2228">
        <f>BT116-BS116</f>
        <v/>
      </c>
      <c r="BV116" s="2190" t="n"/>
      <c r="BW116" s="2191" t="n"/>
      <c r="BX116" s="2190" t="n"/>
      <c r="BY116" s="2323" t="n"/>
      <c r="BZ116" s="1884">
        <f>BY116-BX116</f>
        <v/>
      </c>
      <c r="CA116" s="2246" t="inlineStr">
        <is>
          <t>4560, Bld Lasalle, #112</t>
        </is>
      </c>
      <c r="CB116" s="2247" t="n"/>
      <c r="CC116" s="2254" t="n">
        <v>41270</v>
      </c>
      <c r="CD116" s="2249" t="n">
        <v>41275</v>
      </c>
      <c r="CE116" s="2228">
        <f>CD116-CC116</f>
        <v/>
      </c>
      <c r="CF116" s="2118" t="inlineStr">
        <is>
          <t>SSA</t>
        </is>
      </c>
      <c r="CG116" s="2235" t="inlineStr">
        <is>
          <t>Ondina</t>
        </is>
      </c>
      <c r="CH116" s="2236" t="n">
        <v>41637</v>
      </c>
      <c r="CI116" s="2227" t="n">
        <v>41640</v>
      </c>
      <c r="CJ116" s="1874">
        <f>CI116-CH116</f>
        <v/>
      </c>
      <c r="CK116" s="2300" t="n"/>
      <c r="CL116" s="2300" t="n"/>
      <c r="CM116" s="2300" t="n"/>
      <c r="CN116" s="2300" t="n"/>
      <c r="CO116" s="2301" t="n"/>
    </row>
    <row r="117">
      <c r="A117" s="1491" t="n"/>
      <c r="B117" s="1491" t="n"/>
      <c r="C117" s="1491" t="n"/>
      <c r="D117" s="1491" t="n"/>
      <c r="E117" s="1491" t="n"/>
      <c r="F117" s="1491" t="n"/>
      <c r="G117" s="1491" t="n"/>
      <c r="H117" s="1491" t="n"/>
      <c r="I117" s="1491" t="n"/>
      <c r="J117" s="1491" t="n"/>
      <c r="K117" s="1491" t="n"/>
      <c r="L117" s="1491" t="n"/>
      <c r="M117" s="1491" t="n"/>
      <c r="N117" s="1491" t="n"/>
      <c r="O117" s="1491" t="n"/>
      <c r="P117" s="1491" t="n"/>
      <c r="Q117" s="1491" t="n"/>
      <c r="R117" s="1491" t="n"/>
      <c r="S117" s="1491" t="n"/>
      <c r="T117" s="1491" t="n"/>
      <c r="U117" s="1491" t="n"/>
      <c r="V117" s="1491" t="n"/>
      <c r="W117" s="1491" t="n"/>
      <c r="X117" s="1491" t="n"/>
      <c r="Y117" s="1491" t="n"/>
      <c r="Z117" s="1491" t="n"/>
      <c r="AA117" s="1491" t="n"/>
      <c r="AB117" s="1491" t="n"/>
      <c r="AC117" s="1491" t="n"/>
      <c r="AD117" s="1491" t="n"/>
      <c r="AE117" s="1491" t="n"/>
      <c r="AF117" s="1491" t="n"/>
      <c r="AG117" s="1491" t="n"/>
      <c r="AH117" s="1491" t="n"/>
      <c r="AI117" s="1491" t="n"/>
      <c r="AJ117" s="1491" t="n"/>
      <c r="AK117" s="1491" t="n"/>
      <c r="AL117" s="1491" t="n"/>
      <c r="AM117" s="1491" t="n"/>
      <c r="AN117" s="1491" t="n"/>
      <c r="AO117" s="1491" t="n"/>
      <c r="AP117" s="1491" t="n"/>
      <c r="AQ117" s="1908" t="n"/>
      <c r="AR117" s="2190" t="n"/>
      <c r="AS117" s="2191" t="n"/>
      <c r="AT117" s="2192" t="n"/>
      <c r="AU117" s="2193" t="n"/>
      <c r="AV117" s="1874" t="n"/>
      <c r="AW117" s="2191" t="n"/>
      <c r="AX117" s="2191" t="n"/>
      <c r="AY117" s="2192" t="n"/>
      <c r="AZ117" s="2193" t="n"/>
      <c r="BA117" s="1874" t="n"/>
      <c r="BB117" s="2103" t="inlineStr">
        <is>
          <t>NATAL</t>
        </is>
      </c>
      <c r="BC117" s="2106" t="inlineStr">
        <is>
          <t xml:space="preserve">Hotel </t>
        </is>
      </c>
      <c r="BD117" s="2107" t="n">
        <v>39415</v>
      </c>
      <c r="BE117" s="2108" t="n">
        <v>39420</v>
      </c>
      <c r="BF117" s="1874">
        <f>BE117-BD117</f>
        <v/>
      </c>
      <c r="BG117" s="2103" t="inlineStr">
        <is>
          <t>Brasília</t>
        </is>
      </c>
      <c r="BH117" s="2106" t="n"/>
      <c r="BI117" s="2107" t="n">
        <v>39730</v>
      </c>
      <c r="BJ117" s="2218" t="n">
        <v>39730</v>
      </c>
      <c r="BK117" s="1874">
        <f>BJ117-BI117</f>
        <v/>
      </c>
      <c r="BL117" s="2259" t="inlineStr">
        <is>
          <t>Paris</t>
        </is>
      </c>
      <c r="BM117" s="1876" t="inlineStr">
        <is>
          <t>XIVeme</t>
        </is>
      </c>
      <c r="BN117" s="2133" t="n">
        <v>40144</v>
      </c>
      <c r="BO117" s="2134" t="n">
        <v>40157</v>
      </c>
      <c r="BP117" s="2260">
        <f>BO117-BN117</f>
        <v/>
      </c>
      <c r="BQ117" s="2339" t="n"/>
      <c r="BR117" s="2340" t="inlineStr">
        <is>
          <t>Tigre</t>
        </is>
      </c>
      <c r="BS117" s="2341" t="n">
        <v>40519</v>
      </c>
      <c r="BT117" s="2342" t="n">
        <v>40520</v>
      </c>
      <c r="BU117" s="2228">
        <f>BT117-BS117</f>
        <v/>
      </c>
      <c r="BV117" s="2190" t="n"/>
      <c r="BW117" s="2191" t="n"/>
      <c r="BX117" s="2190" t="n"/>
      <c r="BY117" s="2323" t="n"/>
      <c r="BZ117" s="1884">
        <f>BY117-BX117</f>
        <v/>
      </c>
      <c r="CA117" s="2190" t="n"/>
      <c r="CB117" s="2191" t="n"/>
      <c r="CC117" s="2190" t="n"/>
      <c r="CD117" s="2323" t="n"/>
      <c r="CE117" s="2228">
        <f>CD117-CC117</f>
        <v/>
      </c>
      <c r="CF117" s="2190" t="n"/>
      <c r="CG117" s="2191" t="n"/>
      <c r="CH117" s="2190" t="n"/>
      <c r="CI117" s="2323" t="n"/>
      <c r="CJ117" s="1874">
        <f>CI117-CH117</f>
        <v/>
      </c>
      <c r="CK117" s="2300" t="n"/>
      <c r="CL117" s="2300" t="n"/>
      <c r="CM117" s="2300" t="n"/>
      <c r="CN117" s="2300" t="n"/>
      <c r="CO117" s="2301" t="n"/>
    </row>
    <row r="118">
      <c r="A118" s="1491" t="n"/>
      <c r="B118" s="1491" t="n"/>
      <c r="C118" s="1491" t="n"/>
      <c r="D118" s="1491" t="n"/>
      <c r="E118" s="1491" t="n"/>
      <c r="F118" s="1491" t="n"/>
      <c r="G118" s="1491" t="n"/>
      <c r="H118" s="1491" t="n"/>
      <c r="I118" s="1491" t="n"/>
      <c r="J118" s="1491" t="n"/>
      <c r="K118" s="1491" t="n"/>
      <c r="L118" s="1491" t="n"/>
      <c r="M118" s="1491" t="n"/>
      <c r="N118" s="1491" t="n"/>
      <c r="O118" s="1491" t="n"/>
      <c r="P118" s="1491" t="n"/>
      <c r="Q118" s="1491" t="n"/>
      <c r="R118" s="1491" t="n"/>
      <c r="S118" s="1491" t="n"/>
      <c r="T118" s="1491" t="n"/>
      <c r="U118" s="1491" t="n"/>
      <c r="V118" s="1491" t="n"/>
      <c r="W118" s="1491" t="n"/>
      <c r="X118" s="1491" t="n"/>
      <c r="Y118" s="1491" t="n"/>
      <c r="Z118" s="1491" t="n"/>
      <c r="AA118" s="1491" t="n"/>
      <c r="AB118" s="1491" t="n"/>
      <c r="AC118" s="1491" t="n"/>
      <c r="AD118" s="1491" t="n"/>
      <c r="AE118" s="1491" t="n"/>
      <c r="AF118" s="1491" t="n"/>
      <c r="AG118" s="1491" t="n"/>
      <c r="AH118" s="1491" t="n"/>
      <c r="AI118" s="1491" t="n"/>
      <c r="AJ118" s="1491" t="n"/>
      <c r="AK118" s="1491" t="n"/>
      <c r="AL118" s="1491" t="n"/>
      <c r="AM118" s="1491" t="n"/>
      <c r="AN118" s="1491" t="n"/>
      <c r="AO118" s="1491" t="n"/>
      <c r="AP118" s="1491" t="n"/>
      <c r="AQ118" s="1908" t="n"/>
      <c r="AR118" s="2190" t="n"/>
      <c r="AS118" s="2191" t="n"/>
      <c r="AT118" s="2192" t="n"/>
      <c r="AU118" s="2193" t="n"/>
      <c r="AV118" s="1874" t="n"/>
      <c r="AW118" s="2191" t="n"/>
      <c r="AX118" s="2191" t="n"/>
      <c r="AY118" s="2192" t="n"/>
      <c r="AZ118" s="2193" t="n"/>
      <c r="BA118" s="1874" t="n"/>
      <c r="BB118" s="2119" t="inlineStr">
        <is>
          <t>SSA</t>
        </is>
      </c>
      <c r="BC118" s="2122" t="inlineStr">
        <is>
          <t>Ondina</t>
        </is>
      </c>
      <c r="BD118" s="2123" t="n">
        <v>39420</v>
      </c>
      <c r="BE118" s="2124" t="n">
        <v>39447</v>
      </c>
      <c r="BF118" s="1874">
        <f>BE118-BD118</f>
        <v/>
      </c>
      <c r="BG118" s="2103" t="inlineStr">
        <is>
          <t>RIO</t>
        </is>
      </c>
      <c r="BH118" s="2106" t="inlineStr">
        <is>
          <t>Monica</t>
        </is>
      </c>
      <c r="BI118" s="2107" t="n">
        <v>39730</v>
      </c>
      <c r="BJ118" s="2218" t="n">
        <v>39734</v>
      </c>
      <c r="BK118" s="1874">
        <f>BJ118-BI118</f>
        <v/>
      </c>
      <c r="BL118" s="2259" t="n"/>
      <c r="BM118" s="1876" t="n"/>
      <c r="BN118" s="2133" t="n"/>
      <c r="BO118" s="2134" t="n"/>
      <c r="BP118" s="2260" t="n"/>
      <c r="BQ118" s="2339" t="inlineStr">
        <is>
          <t>Buenos Aires</t>
        </is>
      </c>
      <c r="BR118" s="2340" t="n"/>
      <c r="BS118" s="2341" t="n">
        <v>40520</v>
      </c>
      <c r="BT118" s="2342" t="n">
        <v>40525</v>
      </c>
      <c r="BU118" s="2228">
        <f>BT118-BS118</f>
        <v/>
      </c>
      <c r="BV118" s="2190" t="n"/>
      <c r="BW118" s="2191" t="n"/>
      <c r="BX118" s="2190" t="n"/>
      <c r="BY118" s="2323" t="n"/>
      <c r="BZ118" s="1884">
        <f>BY118-BX118</f>
        <v/>
      </c>
      <c r="CA118" s="2190" t="n"/>
      <c r="CB118" s="2191" t="n"/>
      <c r="CC118" s="2190" t="n"/>
      <c r="CD118" s="2323" t="n"/>
      <c r="CE118" s="2228">
        <f>CD118-CC118</f>
        <v/>
      </c>
      <c r="CF118" s="2190" t="n"/>
      <c r="CG118" s="2191" t="n"/>
      <c r="CH118" s="2190" t="n"/>
      <c r="CI118" s="2323" t="n"/>
      <c r="CJ118" s="1874">
        <f>CI118-CH118</f>
        <v/>
      </c>
      <c r="CK118" s="2300" t="n"/>
      <c r="CL118" s="2300" t="n"/>
      <c r="CM118" s="2300" t="n"/>
      <c r="CN118" s="2300" t="n"/>
      <c r="CO118" s="2301" t="n"/>
    </row>
    <row r="119">
      <c r="A119" s="1491" t="n"/>
      <c r="B119" s="1491" t="n"/>
      <c r="C119" s="1491" t="n"/>
      <c r="D119" s="1491" t="n"/>
      <c r="E119" s="1491" t="n"/>
      <c r="F119" s="1491" t="n"/>
      <c r="G119" s="1491" t="n"/>
      <c r="H119" s="1491" t="n"/>
      <c r="I119" s="1491" t="n"/>
      <c r="J119" s="1491" t="n"/>
      <c r="K119" s="1491" t="n"/>
      <c r="L119" s="1491" t="n"/>
      <c r="M119" s="1491" t="n"/>
      <c r="N119" s="1491" t="n"/>
      <c r="O119" s="1491" t="n"/>
      <c r="P119" s="1491" t="n"/>
      <c r="Q119" s="1491" t="n"/>
      <c r="R119" s="1491" t="n"/>
      <c r="S119" s="1491" t="n"/>
      <c r="T119" s="1491" t="n"/>
      <c r="U119" s="1491" t="n"/>
      <c r="V119" s="1491" t="n"/>
      <c r="W119" s="1491" t="n"/>
      <c r="X119" s="1491" t="n"/>
      <c r="Y119" s="1491" t="n"/>
      <c r="Z119" s="1491" t="n"/>
      <c r="AA119" s="1491" t="n"/>
      <c r="AB119" s="1491" t="n"/>
      <c r="AC119" s="1491" t="n"/>
      <c r="AD119" s="1491" t="n"/>
      <c r="AE119" s="1491" t="n"/>
      <c r="AF119" s="1491" t="n"/>
      <c r="AG119" s="1491" t="n"/>
      <c r="AH119" s="1491" t="n"/>
      <c r="AI119" s="1491" t="n"/>
      <c r="AJ119" s="1491" t="n"/>
      <c r="AK119" s="1491" t="n"/>
      <c r="AL119" s="1491" t="n"/>
      <c r="AM119" s="1491" t="n"/>
      <c r="AN119" s="1491" t="n"/>
      <c r="AO119" s="1491" t="n"/>
      <c r="AP119" s="1491" t="n"/>
      <c r="AQ119" s="1908" t="n"/>
      <c r="AR119" s="2190" t="n"/>
      <c r="AS119" s="2191" t="n"/>
      <c r="AT119" s="2192" t="n"/>
      <c r="AU119" s="2193" t="n"/>
      <c r="AV119" s="1874" t="n"/>
      <c r="AW119" s="2191" t="n"/>
      <c r="AX119" s="2191" t="n"/>
      <c r="AY119" s="2192" t="n"/>
      <c r="AZ119" s="2193" t="n"/>
      <c r="BA119" s="1874" t="n"/>
      <c r="BB119" s="2191" t="n"/>
      <c r="BC119" s="2191" t="n"/>
      <c r="BD119" s="2192" t="n"/>
      <c r="BE119" s="2193" t="n"/>
      <c r="BF119" s="1874" t="n"/>
      <c r="BG119" s="2119" t="inlineStr">
        <is>
          <t>SSA</t>
        </is>
      </c>
      <c r="BH119" s="2122" t="inlineStr">
        <is>
          <t>BSFlat</t>
        </is>
      </c>
      <c r="BI119" s="2123" t="n">
        <v>39734</v>
      </c>
      <c r="BJ119" s="2239" t="n">
        <v>39754</v>
      </c>
      <c r="BK119" s="1874">
        <f>BJ119-BI119</f>
        <v/>
      </c>
      <c r="BL119" s="2115" t="inlineStr">
        <is>
          <t>London</t>
        </is>
      </c>
      <c r="BM119" s="1990" t="inlineStr">
        <is>
          <t>Ruislip</t>
        </is>
      </c>
      <c r="BN119" s="2116" t="n">
        <v>40157</v>
      </c>
      <c r="BO119" s="2117" t="n">
        <v>40162</v>
      </c>
      <c r="BP119" s="2269">
        <f>BO119-BN119</f>
        <v/>
      </c>
      <c r="BQ119" s="2102" t="inlineStr">
        <is>
          <t>SP</t>
        </is>
      </c>
      <c r="BR119" s="2243" t="inlineStr">
        <is>
          <t>Moyses</t>
        </is>
      </c>
      <c r="BS119" s="2244" t="n">
        <v>40525</v>
      </c>
      <c r="BT119" s="2245" t="n">
        <v>40526</v>
      </c>
      <c r="BU119" s="2228">
        <f>BT119-BS119</f>
        <v/>
      </c>
      <c r="BV119" s="2190" t="n"/>
      <c r="BW119" s="2191" t="n"/>
      <c r="BX119" s="2190" t="n"/>
      <c r="BY119" s="2323" t="n"/>
      <c r="BZ119" s="1884">
        <f>BY119-BX119</f>
        <v/>
      </c>
      <c r="CA119" s="2190" t="n"/>
      <c r="CB119" s="2191" t="n"/>
      <c r="CC119" s="2190" t="n"/>
      <c r="CD119" s="2323" t="n"/>
      <c r="CE119" s="2228">
        <f>CD119-CC119</f>
        <v/>
      </c>
      <c r="CF119" s="2190" t="n"/>
      <c r="CG119" s="2191" t="n"/>
      <c r="CH119" s="2190" t="n"/>
      <c r="CI119" s="2323" t="n"/>
      <c r="CJ119" s="1874">
        <f>CI119-CH119</f>
        <v/>
      </c>
      <c r="CK119" s="2300" t="n"/>
      <c r="CL119" s="2300" t="n"/>
      <c r="CM119" s="2300" t="n"/>
      <c r="CN119" s="2300" t="n"/>
      <c r="CO119" s="2301" t="n"/>
    </row>
    <row r="120">
      <c r="A120" s="1491" t="n"/>
      <c r="B120" s="1491" t="n"/>
      <c r="C120" s="1491" t="n"/>
      <c r="D120" s="1491" t="n"/>
      <c r="E120" s="1491" t="n"/>
      <c r="F120" s="1491" t="n"/>
      <c r="G120" s="1491" t="n"/>
      <c r="H120" s="1491" t="n"/>
      <c r="I120" s="1491" t="n"/>
      <c r="J120" s="1491" t="n"/>
      <c r="K120" s="1491" t="n"/>
      <c r="L120" s="1491" t="n"/>
      <c r="M120" s="1491" t="n"/>
      <c r="N120" s="1491" t="n"/>
      <c r="O120" s="1491" t="n"/>
      <c r="P120" s="1491" t="n"/>
      <c r="Q120" s="1491" t="n"/>
      <c r="R120" s="1491" t="n"/>
      <c r="S120" s="1491" t="n"/>
      <c r="T120" s="1491" t="n"/>
      <c r="U120" s="1491" t="n"/>
      <c r="V120" s="1491" t="n"/>
      <c r="W120" s="1491" t="n"/>
      <c r="X120" s="1491" t="n"/>
      <c r="Y120" s="1491" t="n"/>
      <c r="Z120" s="1491" t="n"/>
      <c r="AA120" s="1491" t="n"/>
      <c r="AB120" s="1491" t="n"/>
      <c r="AC120" s="1491" t="n"/>
      <c r="AD120" s="1491" t="n"/>
      <c r="AE120" s="1491" t="n"/>
      <c r="AF120" s="1491" t="n"/>
      <c r="AG120" s="1491" t="n"/>
      <c r="AH120" s="1491" t="n"/>
      <c r="AI120" s="1491" t="n"/>
      <c r="AJ120" s="1491" t="n"/>
      <c r="AK120" s="1491" t="n"/>
      <c r="AL120" s="1491" t="n"/>
      <c r="AM120" s="1491" t="n"/>
      <c r="AN120" s="1491" t="n"/>
      <c r="AO120" s="1491" t="n"/>
      <c r="AP120" s="1491" t="n"/>
      <c r="AQ120" s="1908" t="n"/>
      <c r="AR120" s="2194" t="n"/>
      <c r="AS120" s="2191" t="n"/>
      <c r="AT120" s="2192" t="n"/>
      <c r="AU120" s="2193" t="n"/>
      <c r="AV120" s="1874" t="n"/>
      <c r="AW120" s="2196" t="n"/>
      <c r="AX120" s="2191" t="n"/>
      <c r="AY120" s="2192" t="n"/>
      <c r="AZ120" s="2193" t="n"/>
      <c r="BA120" s="1874" t="n"/>
      <c r="BB120" s="2196" t="n"/>
      <c r="BC120" s="2191" t="n"/>
      <c r="BD120" s="2192" t="n"/>
      <c r="BE120" s="2193" t="n"/>
      <c r="BF120" s="1874" t="n"/>
      <c r="BG120" s="2103" t="inlineStr">
        <is>
          <t>SP</t>
        </is>
      </c>
      <c r="BH120" s="2106" t="inlineStr">
        <is>
          <t>Moyses/Bado</t>
        </is>
      </c>
      <c r="BI120" s="2107" t="n">
        <v>39754</v>
      </c>
      <c r="BJ120" s="2218" t="n">
        <v>39759</v>
      </c>
      <c r="BK120" s="1874">
        <f>BJ120-BI120</f>
        <v/>
      </c>
      <c r="BL120" s="2259" t="inlineStr">
        <is>
          <t>Paris</t>
        </is>
      </c>
      <c r="BM120" s="1876" t="inlineStr">
        <is>
          <t>XIVeme</t>
        </is>
      </c>
      <c r="BN120" s="2133" t="n">
        <v>40162</v>
      </c>
      <c r="BO120" s="2134" t="n">
        <v>40179</v>
      </c>
      <c r="BP120" s="2260">
        <f>BO120-BN120</f>
        <v/>
      </c>
      <c r="BQ120" s="2118" t="inlineStr">
        <is>
          <t>SSA</t>
        </is>
      </c>
      <c r="BR120" s="2235" t="inlineStr">
        <is>
          <t>The Place</t>
        </is>
      </c>
      <c r="BS120" s="2236" t="n">
        <v>40526</v>
      </c>
      <c r="BT120" s="2343" t="n">
        <v>40544</v>
      </c>
      <c r="BU120" s="2228">
        <f>BT120-BS120</f>
        <v/>
      </c>
      <c r="BV120" s="2190" t="n"/>
      <c r="BW120" s="2191" t="n"/>
      <c r="BX120" s="2190" t="n"/>
      <c r="BY120" s="2323" t="n"/>
      <c r="BZ120" s="1884">
        <f>BY120-BX120</f>
        <v/>
      </c>
      <c r="CA120" s="2190" t="n"/>
      <c r="CB120" s="2191" t="n"/>
      <c r="CC120" s="2190" t="n"/>
      <c r="CD120" s="2323" t="n"/>
      <c r="CE120" s="2228">
        <f>CD120-CC120</f>
        <v/>
      </c>
      <c r="CF120" s="2190" t="n"/>
      <c r="CG120" s="2191" t="n"/>
      <c r="CH120" s="2190" t="n"/>
      <c r="CI120" s="2323" t="n"/>
      <c r="CJ120" s="1874">
        <f>CI120-CH120</f>
        <v/>
      </c>
      <c r="CK120" s="2300" t="n"/>
      <c r="CL120" s="2300" t="n"/>
      <c r="CM120" s="2300" t="n"/>
      <c r="CN120" s="2300" t="n"/>
      <c r="CO120" s="2301" t="n"/>
    </row>
    <row r="121">
      <c r="A121" s="1491" t="n"/>
      <c r="B121" s="1491" t="n"/>
      <c r="C121" s="1491" t="n"/>
      <c r="D121" s="1491" t="n"/>
      <c r="E121" s="1491" t="n"/>
      <c r="F121" s="1491" t="n"/>
      <c r="G121" s="1491" t="n"/>
      <c r="H121" s="1491" t="n"/>
      <c r="I121" s="1491" t="n"/>
      <c r="J121" s="1491" t="n"/>
      <c r="K121" s="1491" t="n"/>
      <c r="L121" s="1491" t="n"/>
      <c r="M121" s="1491" t="n"/>
      <c r="N121" s="1491" t="n"/>
      <c r="O121" s="1491" t="n"/>
      <c r="P121" s="1491" t="n"/>
      <c r="Q121" s="1491" t="n"/>
      <c r="R121" s="1491" t="n"/>
      <c r="S121" s="1491" t="n"/>
      <c r="T121" s="1491" t="n"/>
      <c r="U121" s="1491" t="n"/>
      <c r="V121" s="1491" t="n"/>
      <c r="W121" s="1491" t="n"/>
      <c r="X121" s="1491" t="n"/>
      <c r="Y121" s="1491" t="n"/>
      <c r="Z121" s="1491" t="n"/>
      <c r="AA121" s="1491" t="n"/>
      <c r="AB121" s="1491" t="n"/>
      <c r="AC121" s="1491" t="n"/>
      <c r="AD121" s="1491" t="n"/>
      <c r="AE121" s="1491" t="n"/>
      <c r="AF121" s="1491" t="n"/>
      <c r="AG121" s="1491" t="n"/>
      <c r="AH121" s="1491" t="n"/>
      <c r="AI121" s="1491" t="n"/>
      <c r="AJ121" s="1491" t="n"/>
      <c r="AK121" s="1491" t="n"/>
      <c r="AL121" s="1491" t="n"/>
      <c r="AM121" s="1491" t="n"/>
      <c r="AN121" s="1491" t="n"/>
      <c r="AO121" s="1491" t="n"/>
      <c r="AP121" s="1491" t="n"/>
      <c r="AQ121" s="1908" t="n"/>
      <c r="AR121" s="2190" t="n"/>
      <c r="AS121" s="2191" t="n"/>
      <c r="AT121" s="2192" t="n"/>
      <c r="AU121" s="2193" t="n"/>
      <c r="AV121" s="1874" t="n"/>
      <c r="AW121" s="2191" t="n"/>
      <c r="AX121" s="2191" t="n"/>
      <c r="AY121" s="2192" t="n"/>
      <c r="AZ121" s="2193" t="n"/>
      <c r="BA121" s="1874" t="n"/>
      <c r="BB121" s="2191" t="n"/>
      <c r="BC121" s="2191" t="n"/>
      <c r="BD121" s="2192" t="n"/>
      <c r="BE121" s="2193" t="n"/>
      <c r="BF121" s="1874" t="n"/>
      <c r="BG121" s="2119" t="inlineStr">
        <is>
          <t>SSA</t>
        </is>
      </c>
      <c r="BH121" s="2122" t="inlineStr">
        <is>
          <t>BSFlat</t>
        </is>
      </c>
      <c r="BI121" s="2123" t="n">
        <v>39759</v>
      </c>
      <c r="BJ121" s="2239" t="n">
        <v>39767</v>
      </c>
      <c r="BK121" s="1874">
        <f>BJ121-BI121</f>
        <v/>
      </c>
      <c r="BL121" s="2196" t="n"/>
      <c r="BM121" s="2191" t="n"/>
      <c r="BN121" s="2192" t="n"/>
      <c r="BO121" s="2193" t="n"/>
      <c r="BP121" s="1874" t="n"/>
      <c r="BQ121" s="2344" t="n"/>
      <c r="BR121" s="2344" t="n"/>
      <c r="BS121" s="2344" t="n"/>
      <c r="BT121" s="2344" t="n"/>
      <c r="BU121" s="1874" t="n"/>
      <c r="BV121" s="1842" t="n"/>
      <c r="BW121" s="1842" t="n"/>
      <c r="BX121" s="1842" t="n"/>
      <c r="BY121" s="1842" t="n"/>
      <c r="BZ121" s="1842" t="n"/>
      <c r="CA121" s="1842" t="n"/>
      <c r="CB121" s="1842" t="n"/>
      <c r="CC121" s="1842" t="n"/>
      <c r="CD121" s="1842" t="n"/>
      <c r="CE121" s="1491" t="n"/>
      <c r="CF121" s="1491" t="n"/>
      <c r="CG121" s="1491" t="n"/>
      <c r="CH121" s="1491" t="n"/>
      <c r="CI121" s="1491" t="n"/>
      <c r="CJ121" s="1491" t="n"/>
      <c r="CK121" s="1491" t="n"/>
      <c r="CL121" s="1491" t="n"/>
      <c r="CM121" s="1491" t="n"/>
      <c r="CN121" s="1491" t="n"/>
      <c r="CO121" s="1491" t="n"/>
    </row>
    <row r="122">
      <c r="A122" s="1491" t="n"/>
      <c r="B122" s="1491" t="n"/>
      <c r="C122" s="1491" t="n"/>
      <c r="D122" s="1491" t="n"/>
      <c r="E122" s="1491" t="n"/>
      <c r="F122" s="1491" t="n"/>
      <c r="G122" s="1491" t="n"/>
      <c r="H122" s="1491" t="n"/>
      <c r="I122" s="1491" t="n"/>
      <c r="J122" s="1491" t="n"/>
      <c r="K122" s="1491" t="n"/>
      <c r="L122" s="1491" t="n"/>
      <c r="M122" s="1491" t="n"/>
      <c r="N122" s="1491" t="n"/>
      <c r="O122" s="1491" t="n"/>
      <c r="P122" s="1491" t="n"/>
      <c r="Q122" s="1491" t="n"/>
      <c r="R122" s="1491" t="n"/>
      <c r="S122" s="1491" t="n"/>
      <c r="T122" s="1491" t="n"/>
      <c r="U122" s="1491" t="n"/>
      <c r="V122" s="1491" t="n"/>
      <c r="W122" s="1491" t="n"/>
      <c r="X122" s="1491" t="n"/>
      <c r="Y122" s="1491" t="n"/>
      <c r="Z122" s="1491" t="n"/>
      <c r="AA122" s="1491" t="n"/>
      <c r="AB122" s="1491" t="n"/>
      <c r="AC122" s="1491" t="n"/>
      <c r="AD122" s="1491" t="n"/>
      <c r="AE122" s="1491" t="n"/>
      <c r="AF122" s="1491" t="n"/>
      <c r="AG122" s="1491" t="n"/>
      <c r="AH122" s="1491" t="n"/>
      <c r="AI122" s="1491" t="n"/>
      <c r="AJ122" s="1491" t="n"/>
      <c r="AK122" s="1491" t="n"/>
      <c r="AL122" s="1491" t="n"/>
      <c r="AM122" s="1491" t="n"/>
      <c r="AN122" s="1491" t="n"/>
      <c r="AO122" s="1491" t="n"/>
      <c r="AP122" s="1491" t="n"/>
      <c r="AQ122" s="1908" t="n"/>
      <c r="AR122" s="2190" t="n"/>
      <c r="AS122" s="2191" t="n"/>
      <c r="AT122" s="2192" t="n"/>
      <c r="AU122" s="2193" t="n"/>
      <c r="AV122" s="1874" t="n"/>
      <c r="AW122" s="2191" t="n"/>
      <c r="AX122" s="2191" t="n"/>
      <c r="AY122" s="2192" t="n"/>
      <c r="AZ122" s="2193" t="n"/>
      <c r="BA122" s="1874" t="n"/>
      <c r="BB122" s="2191" t="n"/>
      <c r="BC122" s="2191" t="n"/>
      <c r="BD122" s="2192" t="n"/>
      <c r="BE122" s="2193" t="n"/>
      <c r="BF122" s="1874" t="n"/>
      <c r="BG122" s="2103" t="inlineStr">
        <is>
          <t>Aracaju</t>
        </is>
      </c>
      <c r="BH122" s="2106" t="inlineStr">
        <is>
          <t>Nasc Hotel</t>
        </is>
      </c>
      <c r="BI122" s="2107" t="n">
        <v>39767</v>
      </c>
      <c r="BJ122" s="2218" t="n">
        <v>39769</v>
      </c>
      <c r="BK122" s="1874">
        <f>BJ122-BI122</f>
        <v/>
      </c>
      <c r="BL122" s="2196" t="n"/>
      <c r="BM122" s="2191" t="n"/>
      <c r="BN122" s="2192" t="n"/>
      <c r="BO122" s="2193" t="n"/>
      <c r="BP122" s="1874" t="n"/>
      <c r="BQ122" s="2344" t="n"/>
      <c r="BR122" s="2344" t="n"/>
      <c r="BS122" s="2344" t="n"/>
      <c r="BT122" s="2344" t="n"/>
      <c r="BU122" s="1874" t="n"/>
      <c r="BV122" s="1842" t="n"/>
      <c r="BW122" s="1842" t="n"/>
      <c r="BX122" s="1842" t="n"/>
      <c r="BY122" s="1842" t="n"/>
      <c r="BZ122" s="1842" t="n"/>
      <c r="CA122" s="1842" t="n"/>
      <c r="CB122" s="1842" t="n"/>
      <c r="CC122" s="1842" t="n"/>
      <c r="CD122" s="1842" t="n"/>
      <c r="CE122" s="1491" t="n"/>
      <c r="CF122" s="1491" t="n"/>
      <c r="CG122" s="1491" t="n"/>
      <c r="CH122" s="1491" t="n"/>
      <c r="CI122" s="1491" t="n"/>
      <c r="CJ122" s="1491" t="n"/>
      <c r="CK122" s="1491" t="n"/>
      <c r="CL122" s="1491" t="n"/>
      <c r="CM122" s="1491" t="n"/>
      <c r="CN122" s="1491" t="n"/>
      <c r="CO122" s="1491" t="n"/>
    </row>
    <row r="123">
      <c r="A123" s="1491" t="n"/>
      <c r="B123" s="1491" t="n"/>
      <c r="C123" s="1491" t="n"/>
      <c r="D123" s="1491" t="n"/>
      <c r="E123" s="1491" t="n"/>
      <c r="F123" s="1491" t="n"/>
      <c r="G123" s="1491" t="n"/>
      <c r="H123" s="1491" t="n"/>
      <c r="I123" s="1491" t="n"/>
      <c r="J123" s="1491" t="n"/>
      <c r="K123" s="1491" t="n"/>
      <c r="L123" s="1491" t="n"/>
      <c r="M123" s="1491" t="n"/>
      <c r="N123" s="1491" t="n"/>
      <c r="O123" s="1491" t="n"/>
      <c r="P123" s="1491" t="n"/>
      <c r="Q123" s="1491" t="n"/>
      <c r="R123" s="1491" t="n"/>
      <c r="S123" s="1491" t="n"/>
      <c r="T123" s="1491" t="n"/>
      <c r="U123" s="1491" t="n"/>
      <c r="V123" s="1491" t="n"/>
      <c r="W123" s="1491" t="n"/>
      <c r="X123" s="1491" t="n"/>
      <c r="Y123" s="1491" t="n"/>
      <c r="Z123" s="1491" t="n"/>
      <c r="AA123" s="1491" t="n"/>
      <c r="AB123" s="1491" t="n"/>
      <c r="AC123" s="1491" t="n"/>
      <c r="AD123" s="1491" t="n"/>
      <c r="AE123" s="1491" t="n"/>
      <c r="AF123" s="1491" t="n"/>
      <c r="AG123" s="1491" t="n"/>
      <c r="AH123" s="1491" t="n"/>
      <c r="AI123" s="1491" t="n"/>
      <c r="AJ123" s="1491" t="n"/>
      <c r="AK123" s="1491" t="n"/>
      <c r="AL123" s="1491" t="n"/>
      <c r="AM123" s="1491" t="n"/>
      <c r="AN123" s="1491" t="n"/>
      <c r="AO123" s="1491" t="n"/>
      <c r="AP123" s="1491" t="n"/>
      <c r="AQ123" s="1908" t="n"/>
      <c r="AR123" s="2190" t="n"/>
      <c r="AS123" s="2191" t="n"/>
      <c r="AT123" s="2192" t="n"/>
      <c r="AU123" s="2193" t="n"/>
      <c r="AV123" s="1874" t="n"/>
      <c r="AW123" s="2191" t="n"/>
      <c r="AX123" s="2191" t="n"/>
      <c r="AY123" s="2192" t="n"/>
      <c r="AZ123" s="2193" t="n"/>
      <c r="BA123" s="1874" t="n"/>
      <c r="BB123" s="2191" t="n"/>
      <c r="BC123" s="2191" t="n"/>
      <c r="BD123" s="2192" t="n"/>
      <c r="BE123" s="2193" t="n"/>
      <c r="BF123" s="1874" t="n"/>
      <c r="BG123" s="2119" t="inlineStr">
        <is>
          <t>SSA</t>
        </is>
      </c>
      <c r="BH123" s="2122" t="inlineStr">
        <is>
          <t>BSFlat</t>
        </is>
      </c>
      <c r="BI123" s="2123" t="n">
        <v>39769</v>
      </c>
      <c r="BJ123" s="2239" t="n">
        <v>39771</v>
      </c>
      <c r="BK123" s="1874">
        <f>BJ123-BI123</f>
        <v/>
      </c>
      <c r="BL123" s="2344" t="inlineStr">
        <is>
          <t>THOMAS LANE</t>
        </is>
      </c>
      <c r="BM123" s="2191" t="n"/>
      <c r="BN123" s="2192" t="n"/>
      <c r="BO123" s="2193" t="n"/>
      <c r="BP123" s="1874" t="n"/>
      <c r="BQ123" s="2344" t="n"/>
      <c r="BR123" s="2344" t="n"/>
      <c r="BS123" s="2344" t="n"/>
      <c r="BT123" s="2344" t="n"/>
      <c r="BU123" s="1874" t="n"/>
      <c r="BV123" s="1842" t="n"/>
      <c r="BW123" s="1842" t="n"/>
      <c r="BX123" s="1842" t="n"/>
      <c r="BY123" s="1842" t="n"/>
      <c r="BZ123" s="1842" t="n"/>
      <c r="CA123" s="1842" t="n"/>
      <c r="CB123" s="1842" t="n"/>
      <c r="CC123" s="1842" t="n"/>
      <c r="CD123" s="1842" t="n"/>
      <c r="CE123" s="1491" t="n"/>
      <c r="CF123" s="1491" t="n"/>
      <c r="CG123" s="1491" t="n"/>
      <c r="CH123" s="1491" t="n"/>
      <c r="CI123" s="1491" t="n"/>
      <c r="CJ123" s="1491" t="n"/>
      <c r="CK123" s="1491" t="n"/>
      <c r="CL123" s="1491" t="n"/>
      <c r="CM123" s="1491" t="n"/>
      <c r="CN123" s="1491" t="n"/>
      <c r="CO123" s="1491" t="n"/>
    </row>
    <row r="124">
      <c r="A124" s="1491" t="n"/>
      <c r="B124" s="1491" t="n"/>
      <c r="C124" s="1491" t="n"/>
      <c r="D124" s="1491" t="n"/>
      <c r="E124" s="1491" t="n"/>
      <c r="F124" s="1491" t="n"/>
      <c r="G124" s="1491" t="n"/>
      <c r="H124" s="1491" t="n"/>
      <c r="I124" s="1491" t="n"/>
      <c r="J124" s="1491" t="n"/>
      <c r="K124" s="1491" t="n"/>
      <c r="L124" s="1491" t="n"/>
      <c r="M124" s="1491" t="n"/>
      <c r="N124" s="1491" t="n"/>
      <c r="O124" s="1491" t="n"/>
      <c r="P124" s="1491" t="n"/>
      <c r="Q124" s="1491" t="n"/>
      <c r="R124" s="1491" t="n"/>
      <c r="S124" s="1491" t="n"/>
      <c r="T124" s="1491" t="n"/>
      <c r="U124" s="1491" t="n"/>
      <c r="V124" s="1491" t="n"/>
      <c r="W124" s="1491" t="n"/>
      <c r="X124" s="1491" t="n"/>
      <c r="Y124" s="1491" t="n"/>
      <c r="Z124" s="1491" t="n"/>
      <c r="AA124" s="1491" t="n"/>
      <c r="AB124" s="1491" t="n"/>
      <c r="AC124" s="1491" t="n"/>
      <c r="AD124" s="1491" t="n"/>
      <c r="AE124" s="1491" t="n"/>
      <c r="AF124" s="1491" t="n"/>
      <c r="AG124" s="1491" t="n"/>
      <c r="AH124" s="1491" t="n"/>
      <c r="AI124" s="1491" t="n"/>
      <c r="AJ124" s="1491" t="n"/>
      <c r="AK124" s="1491" t="n"/>
      <c r="AL124" s="1491" t="n"/>
      <c r="AM124" s="1491" t="n"/>
      <c r="AN124" s="1491" t="n"/>
      <c r="AO124" s="1491" t="n"/>
      <c r="AP124" s="1491" t="n"/>
      <c r="AQ124" s="1908" t="n"/>
      <c r="AR124" s="2194" t="n"/>
      <c r="AS124" s="2191" t="n"/>
      <c r="AT124" s="2192" t="n"/>
      <c r="AU124" s="2193" t="n"/>
      <c r="AV124" s="1874" t="n"/>
      <c r="AW124" s="2196" t="n"/>
      <c r="AX124" s="2191" t="n"/>
      <c r="AY124" s="2192" t="n"/>
      <c r="AZ124" s="2193" t="n"/>
      <c r="BA124" s="1874" t="n"/>
      <c r="BB124" s="2196" t="n"/>
      <c r="BC124" s="2191" t="n"/>
      <c r="BD124" s="2192" t="n"/>
      <c r="BE124" s="2193" t="n"/>
      <c r="BF124" s="1874" t="n"/>
      <c r="BG124" s="2103" t="inlineStr">
        <is>
          <t>Natal</t>
        </is>
      </c>
      <c r="BH124" s="2106" t="inlineStr">
        <is>
          <t>Hotel</t>
        </is>
      </c>
      <c r="BI124" s="2107" t="n">
        <v>39771</v>
      </c>
      <c r="BJ124" s="2218" t="n">
        <v>39772</v>
      </c>
      <c r="BK124" s="1874">
        <f>BJ124-BI124</f>
        <v/>
      </c>
      <c r="BL124" s="2344" t="inlineStr">
        <is>
          <t>76 Leslie Road</t>
        </is>
      </c>
      <c r="BM124" s="2191" t="n"/>
      <c r="BN124" s="2192" t="n"/>
      <c r="BO124" s="2193" t="n"/>
      <c r="BP124" s="1874" t="n"/>
      <c r="BQ124" s="2344" t="n"/>
      <c r="BR124" s="2344" t="n"/>
      <c r="BS124" s="2344" t="n"/>
      <c r="BT124" s="2344" t="n"/>
      <c r="BU124" s="1874" t="n"/>
      <c r="BV124" s="1842" t="n"/>
      <c r="BW124" s="1842" t="n"/>
      <c r="BX124" s="1842" t="n"/>
      <c r="BY124" s="1842" t="n"/>
      <c r="BZ124" s="1842" t="n"/>
      <c r="CA124" s="1842" t="n"/>
      <c r="CB124" s="1842" t="n"/>
      <c r="CC124" s="1842" t="n"/>
      <c r="CD124" s="1842" t="n"/>
      <c r="CE124" s="1491" t="n"/>
      <c r="CF124" s="1491" t="n"/>
      <c r="CG124" s="1491" t="n"/>
      <c r="CH124" s="1491" t="n"/>
      <c r="CI124" s="1491" t="n"/>
      <c r="CJ124" s="1491" t="n"/>
      <c r="CK124" s="1491" t="n"/>
      <c r="CL124" s="1491" t="n"/>
      <c r="CM124" s="1491" t="n"/>
      <c r="CN124" s="1491" t="n"/>
      <c r="CO124" s="1491" t="n"/>
    </row>
    <row r="125">
      <c r="A125" s="1491" t="n"/>
      <c r="B125" s="1491" t="n"/>
      <c r="C125" s="1491" t="n"/>
      <c r="D125" s="1491" t="n"/>
      <c r="E125" s="1491" t="n"/>
      <c r="F125" s="1491" t="n"/>
      <c r="G125" s="1491" t="n"/>
      <c r="H125" s="1491" t="n"/>
      <c r="I125" s="1491" t="n"/>
      <c r="J125" s="1491" t="n"/>
      <c r="K125" s="1491" t="n"/>
      <c r="L125" s="1491" t="n"/>
      <c r="M125" s="1491" t="n"/>
      <c r="N125" s="1491" t="n"/>
      <c r="O125" s="1491" t="n"/>
      <c r="P125" s="1491" t="n"/>
      <c r="Q125" s="1491" t="n"/>
      <c r="R125" s="1491" t="n"/>
      <c r="S125" s="1491" t="n"/>
      <c r="T125" s="1491" t="n"/>
      <c r="U125" s="1491" t="n"/>
      <c r="V125" s="1491" t="n"/>
      <c r="W125" s="1491" t="n"/>
      <c r="X125" s="1491" t="n"/>
      <c r="Y125" s="1491" t="n"/>
      <c r="Z125" s="1491" t="n"/>
      <c r="AA125" s="1491" t="n"/>
      <c r="AB125" s="1491" t="n"/>
      <c r="AC125" s="1491" t="n"/>
      <c r="AD125" s="1491" t="n"/>
      <c r="AE125" s="1491" t="n"/>
      <c r="AF125" s="1491" t="n"/>
      <c r="AG125" s="1491" t="n"/>
      <c r="AH125" s="1491" t="n"/>
      <c r="AI125" s="1491" t="n"/>
      <c r="AJ125" s="1491" t="n"/>
      <c r="AK125" s="1491" t="n"/>
      <c r="AL125" s="1491" t="n"/>
      <c r="AM125" s="1491" t="n"/>
      <c r="AN125" s="1491" t="n"/>
      <c r="AO125" s="1491" t="n"/>
      <c r="AP125" s="1491" t="n"/>
      <c r="AQ125" s="1908" t="n"/>
      <c r="AR125" s="2194" t="n"/>
      <c r="AS125" s="2191" t="n"/>
      <c r="AT125" s="2192" t="n"/>
      <c r="AU125" s="2193" t="n"/>
      <c r="AV125" s="1874" t="n"/>
      <c r="AW125" s="2196" t="n"/>
      <c r="AX125" s="2191" t="n"/>
      <c r="AY125" s="2192" t="n"/>
      <c r="AZ125" s="2193" t="n"/>
      <c r="BA125" s="1874" t="n"/>
      <c r="BB125" s="2196" t="n"/>
      <c r="BC125" s="2191" t="n"/>
      <c r="BD125" s="2192" t="n"/>
      <c r="BE125" s="2193" t="n"/>
      <c r="BF125" s="1874" t="n"/>
      <c r="BG125" s="2103" t="inlineStr">
        <is>
          <t>Pipa</t>
        </is>
      </c>
      <c r="BH125" s="2106" t="n"/>
      <c r="BI125" s="2107" t="n">
        <v>39772</v>
      </c>
      <c r="BJ125" s="2218" t="n">
        <v>39776</v>
      </c>
      <c r="BK125" s="1874">
        <f>BJ125-BI125</f>
        <v/>
      </c>
      <c r="BL125" s="2344" t="inlineStr">
        <is>
          <t>London</t>
        </is>
      </c>
      <c r="BM125" s="2191" t="n"/>
      <c r="BN125" s="2192" t="n"/>
      <c r="BO125" s="2193" t="n"/>
      <c r="BP125" s="1874" t="n"/>
      <c r="BQ125" s="2344" t="n"/>
      <c r="BR125" s="2344" t="n"/>
      <c r="BS125" s="2344" t="n"/>
      <c r="BT125" s="2344" t="n"/>
      <c r="BU125" s="1874" t="n"/>
      <c r="BV125" s="1842" t="n"/>
      <c r="BW125" s="1842" t="n"/>
      <c r="BX125" s="1842" t="n"/>
      <c r="BY125" s="1842" t="n"/>
      <c r="BZ125" s="1842" t="n"/>
      <c r="CA125" s="1842" t="n"/>
      <c r="CB125" s="1842" t="n"/>
      <c r="CC125" s="1842" t="n"/>
      <c r="CD125" s="1842" t="n"/>
      <c r="CE125" s="1491" t="n"/>
      <c r="CF125" s="1491" t="n"/>
      <c r="CG125" s="1491" t="n"/>
      <c r="CH125" s="1491" t="n"/>
      <c r="CI125" s="1491" t="n"/>
      <c r="CJ125" s="1491" t="n"/>
      <c r="CK125" s="1491" t="n"/>
      <c r="CL125" s="1491" t="n"/>
      <c r="CM125" s="1491" t="n"/>
      <c r="CN125" s="1491" t="n"/>
      <c r="CO125" s="1491" t="n"/>
    </row>
    <row r="126">
      <c r="A126" s="1491" t="n"/>
      <c r="B126" s="1491" t="n"/>
      <c r="C126" s="1491" t="n"/>
      <c r="D126" s="1491" t="n"/>
      <c r="E126" s="1491" t="n"/>
      <c r="F126" s="1491" t="n"/>
      <c r="G126" s="1491" t="n"/>
      <c r="H126" s="1491" t="n"/>
      <c r="I126" s="1491" t="n"/>
      <c r="J126" s="1491" t="n"/>
      <c r="K126" s="1491" t="n"/>
      <c r="L126" s="1491" t="n"/>
      <c r="M126" s="1491" t="n"/>
      <c r="N126" s="1491" t="n"/>
      <c r="O126" s="1491" t="n"/>
      <c r="P126" s="1491" t="n"/>
      <c r="Q126" s="1491" t="n"/>
      <c r="R126" s="1491" t="n"/>
      <c r="S126" s="1491" t="n"/>
      <c r="T126" s="1491" t="n"/>
      <c r="U126" s="1491" t="n"/>
      <c r="V126" s="1491" t="n"/>
      <c r="W126" s="1491" t="n"/>
      <c r="X126" s="1491" t="n"/>
      <c r="Y126" s="1491" t="n"/>
      <c r="Z126" s="1491" t="n"/>
      <c r="AA126" s="1491" t="n"/>
      <c r="AB126" s="1491" t="n"/>
      <c r="AC126" s="1491" t="n"/>
      <c r="AD126" s="1491" t="n"/>
      <c r="AE126" s="1491" t="n"/>
      <c r="AF126" s="1491" t="n"/>
      <c r="AG126" s="1491" t="n"/>
      <c r="AH126" s="1491" t="n"/>
      <c r="AI126" s="1491" t="n"/>
      <c r="AJ126" s="1491" t="n"/>
      <c r="AK126" s="1491" t="n"/>
      <c r="AL126" s="1491" t="n"/>
      <c r="AM126" s="1491" t="n"/>
      <c r="AN126" s="1491" t="n"/>
      <c r="AO126" s="1491" t="n"/>
      <c r="AP126" s="1491" t="n"/>
      <c r="AQ126" s="1908" t="n"/>
      <c r="AR126" s="2190" t="n"/>
      <c r="AS126" s="2191" t="n"/>
      <c r="AT126" s="2192" t="n"/>
      <c r="AU126" s="2193" t="n"/>
      <c r="AV126" s="1874" t="n"/>
      <c r="AW126" s="2191" t="n"/>
      <c r="AX126" s="2191" t="n"/>
      <c r="AY126" s="2192" t="n"/>
      <c r="AZ126" s="2193" t="n"/>
      <c r="BA126" s="1874" t="n"/>
      <c r="BB126" s="2191" t="n"/>
      <c r="BC126" s="2191" t="n"/>
      <c r="BD126" s="2192" t="n"/>
      <c r="BE126" s="2193" t="n"/>
      <c r="BF126" s="1874" t="n"/>
      <c r="BG126" s="2119" t="inlineStr">
        <is>
          <t>SSA</t>
        </is>
      </c>
      <c r="BH126" s="2122" t="inlineStr">
        <is>
          <t>BSFlat</t>
        </is>
      </c>
      <c r="BI126" s="2123" t="n">
        <v>39776</v>
      </c>
      <c r="BJ126" s="2239" t="n">
        <v>39795</v>
      </c>
      <c r="BK126" s="1874">
        <f>BJ126-BI126</f>
        <v/>
      </c>
      <c r="BL126" s="2344" t="inlineStr">
        <is>
          <t>N2 8BJ</t>
        </is>
      </c>
      <c r="BM126" s="2191" t="n"/>
      <c r="BN126" s="2192" t="n"/>
      <c r="BO126" s="2193" t="n"/>
      <c r="BP126" s="1874" t="n"/>
      <c r="BQ126" s="2344" t="n"/>
      <c r="BR126" s="2344" t="n"/>
      <c r="BS126" s="2344" t="n"/>
      <c r="BT126" s="2344" t="n"/>
      <c r="BU126" s="1874" t="n"/>
      <c r="BV126" s="1842" t="n"/>
      <c r="BW126" s="1842" t="n"/>
      <c r="BX126" s="1842" t="n"/>
      <c r="BY126" s="1842" t="n"/>
      <c r="BZ126" s="1842" t="n"/>
      <c r="CA126" s="1842" t="n"/>
      <c r="CB126" s="1842" t="n"/>
      <c r="CC126" s="1842" t="n"/>
      <c r="CD126" s="1842" t="n"/>
      <c r="CE126" s="1491" t="n"/>
      <c r="CF126" s="1491" t="n"/>
      <c r="CG126" s="1491" t="n"/>
      <c r="CH126" s="1491" t="n"/>
      <c r="CI126" s="1491" t="n"/>
      <c r="CJ126" s="1491" t="n"/>
      <c r="CK126" s="1491" t="n"/>
      <c r="CL126" s="1491" t="n"/>
      <c r="CM126" s="1491" t="n"/>
      <c r="CN126" s="1491" t="n"/>
      <c r="CO126" s="1491" t="n"/>
    </row>
    <row r="127">
      <c r="A127" s="1491" t="n"/>
      <c r="B127" s="1491" t="n"/>
      <c r="C127" s="1491" t="n"/>
      <c r="D127" s="1491" t="n"/>
      <c r="E127" s="1491" t="n"/>
      <c r="F127" s="1491" t="n"/>
      <c r="G127" s="1491" t="n"/>
      <c r="H127" s="1491" t="n"/>
      <c r="I127" s="1491" t="n"/>
      <c r="J127" s="1491" t="n"/>
      <c r="K127" s="1491" t="n"/>
      <c r="L127" s="1491" t="n"/>
      <c r="M127" s="1491" t="n"/>
      <c r="N127" s="1491" t="n"/>
      <c r="O127" s="1491" t="n"/>
      <c r="P127" s="1491" t="n"/>
      <c r="Q127" s="1491" t="n"/>
      <c r="R127" s="1491" t="n"/>
      <c r="S127" s="1491" t="n"/>
      <c r="T127" s="1491" t="n"/>
      <c r="U127" s="1491" t="n"/>
      <c r="V127" s="1491" t="n"/>
      <c r="W127" s="1491" t="n"/>
      <c r="X127" s="1491" t="n"/>
      <c r="Y127" s="1491" t="n"/>
      <c r="Z127" s="1491" t="n"/>
      <c r="AA127" s="1491" t="n"/>
      <c r="AB127" s="1491" t="n"/>
      <c r="AC127" s="1491" t="n"/>
      <c r="AD127" s="1491" t="n"/>
      <c r="AE127" s="1491" t="n"/>
      <c r="AF127" s="1491" t="n"/>
      <c r="AG127" s="1491" t="n"/>
      <c r="AH127" s="1491" t="n"/>
      <c r="AI127" s="1491" t="n"/>
      <c r="AJ127" s="1491" t="n"/>
      <c r="AK127" s="1491" t="n"/>
      <c r="AL127" s="1491" t="n"/>
      <c r="AM127" s="1491" t="n"/>
      <c r="AN127" s="1491" t="n"/>
      <c r="AO127" s="1491" t="n"/>
      <c r="AP127" s="1491" t="n"/>
      <c r="AQ127" s="1908" t="n"/>
      <c r="AR127" s="2190" t="n"/>
      <c r="AS127" s="2191" t="n"/>
      <c r="AT127" s="2192" t="n"/>
      <c r="AU127" s="2193" t="n"/>
      <c r="AV127" s="1874" t="n"/>
      <c r="AW127" s="2191" t="n"/>
      <c r="AX127" s="2191" t="n"/>
      <c r="AY127" s="2192" t="n"/>
      <c r="AZ127" s="2193" t="n"/>
      <c r="BA127" s="1874" t="n"/>
      <c r="BB127" s="2191" t="n"/>
      <c r="BC127" s="2191" t="n"/>
      <c r="BD127" s="2192" t="n"/>
      <c r="BE127" s="2193" t="n"/>
      <c r="BF127" s="1874" t="n"/>
      <c r="BG127" s="2103" t="inlineStr">
        <is>
          <t>RIO</t>
        </is>
      </c>
      <c r="BH127" s="2106" t="inlineStr">
        <is>
          <t>Monica</t>
        </is>
      </c>
      <c r="BI127" s="2107" t="n">
        <v>39795</v>
      </c>
      <c r="BJ127" s="2218" t="n">
        <v>39798</v>
      </c>
      <c r="BK127" s="1874">
        <f>BJ127-BI127</f>
        <v/>
      </c>
      <c r="BL127" s="2344" t="n"/>
      <c r="BM127" s="2191" t="n"/>
      <c r="BN127" s="2192" t="n"/>
      <c r="BO127" s="2193" t="n"/>
      <c r="BP127" s="1874" t="n"/>
      <c r="BQ127" s="2344" t="n"/>
      <c r="BR127" s="2344" t="n"/>
      <c r="BS127" s="2344" t="n"/>
      <c r="BT127" s="2344" t="n"/>
      <c r="BU127" s="1874" t="n"/>
      <c r="BV127" s="1842" t="n"/>
      <c r="BW127" s="1842" t="n"/>
      <c r="BX127" s="1842" t="n"/>
      <c r="BY127" s="1842" t="n"/>
      <c r="BZ127" s="1842" t="n"/>
      <c r="CA127" s="1842" t="n"/>
      <c r="CB127" s="1842" t="n"/>
      <c r="CC127" s="1842" t="n"/>
      <c r="CD127" s="1842" t="n"/>
      <c r="CE127" s="1491" t="n"/>
      <c r="CF127" s="1491" t="n"/>
      <c r="CG127" s="1491" t="n"/>
      <c r="CH127" s="1491" t="n"/>
      <c r="CI127" s="1491" t="n"/>
      <c r="CJ127" s="1491" t="n"/>
      <c r="CK127" s="1491" t="n"/>
      <c r="CL127" s="1491" t="n"/>
      <c r="CM127" s="1491" t="n"/>
      <c r="CN127" s="1491" t="n"/>
      <c r="CO127" s="1491" t="n"/>
    </row>
    <row r="128">
      <c r="A128" s="1491" t="n"/>
      <c r="B128" s="1491" t="n"/>
      <c r="C128" s="1491" t="n"/>
      <c r="D128" s="1491" t="n"/>
      <c r="E128" s="1491" t="n"/>
      <c r="F128" s="1491" t="n"/>
      <c r="G128" s="1491" t="n"/>
      <c r="H128" s="1491" t="n"/>
      <c r="I128" s="1491" t="n"/>
      <c r="J128" s="1491" t="n"/>
      <c r="K128" s="1491" t="n"/>
      <c r="L128" s="1491" t="n"/>
      <c r="M128" s="1491" t="n"/>
      <c r="N128" s="1491" t="n"/>
      <c r="O128" s="1491" t="n"/>
      <c r="P128" s="1491" t="n"/>
      <c r="Q128" s="1491" t="n"/>
      <c r="R128" s="1491" t="n"/>
      <c r="S128" s="1491" t="n"/>
      <c r="T128" s="1491" t="n"/>
      <c r="U128" s="1491" t="n"/>
      <c r="V128" s="1491" t="n"/>
      <c r="W128" s="1491" t="n"/>
      <c r="X128" s="1491" t="n"/>
      <c r="Y128" s="1491" t="n"/>
      <c r="Z128" s="1491" t="n"/>
      <c r="AA128" s="1491" t="n"/>
      <c r="AB128" s="1491" t="n"/>
      <c r="AC128" s="1491" t="n"/>
      <c r="AD128" s="1491" t="n"/>
      <c r="AE128" s="1491" t="n"/>
      <c r="AF128" s="1491" t="n"/>
      <c r="AG128" s="1491" t="n"/>
      <c r="AH128" s="1491" t="n"/>
      <c r="AI128" s="1491" t="n"/>
      <c r="AJ128" s="1491" t="n"/>
      <c r="AK128" s="1491" t="n"/>
      <c r="AL128" s="1491" t="n"/>
      <c r="AM128" s="1491" t="n"/>
      <c r="AN128" s="1491" t="n"/>
      <c r="AO128" s="1491" t="n"/>
      <c r="AP128" s="1491" t="n"/>
      <c r="AQ128" s="1908" t="n"/>
      <c r="AR128" s="2190" t="n"/>
      <c r="AS128" s="2191" t="n"/>
      <c r="AT128" s="2192" t="n"/>
      <c r="AU128" s="2193" t="n"/>
      <c r="AV128" s="1874" t="n"/>
      <c r="AW128" s="2191" t="n"/>
      <c r="AX128" s="2191" t="n"/>
      <c r="AY128" s="2192" t="n"/>
      <c r="AZ128" s="2193" t="n"/>
      <c r="BA128" s="1874" t="n"/>
      <c r="BB128" s="2191" t="n"/>
      <c r="BC128" s="2191" t="n"/>
      <c r="BD128" s="2192" t="n"/>
      <c r="BE128" s="2193" t="n"/>
      <c r="BF128" s="1874" t="n"/>
      <c r="BG128" s="2103" t="inlineStr">
        <is>
          <t>SP</t>
        </is>
      </c>
      <c r="BH128" s="2106" t="inlineStr">
        <is>
          <t>Moyses</t>
        </is>
      </c>
      <c r="BI128" s="2107" t="n">
        <v>39798</v>
      </c>
      <c r="BJ128" s="2218" t="n">
        <v>39804</v>
      </c>
      <c r="BK128" s="1874">
        <f>BJ128-BI128</f>
        <v/>
      </c>
      <c r="BL128" s="2344" t="inlineStr">
        <is>
          <t>STU</t>
        </is>
      </c>
      <c r="BM128" s="2191" t="n"/>
      <c r="BN128" s="2192" t="n"/>
      <c r="BO128" s="2193" t="n"/>
      <c r="BP128" s="1874" t="n"/>
      <c r="BQ128" s="2344" t="n"/>
      <c r="BR128" s="2344" t="n"/>
      <c r="BS128" s="2344" t="n"/>
      <c r="BT128" s="2344" t="n"/>
      <c r="BU128" s="1874" t="n"/>
      <c r="BV128" s="1842" t="n"/>
      <c r="BW128" s="1842" t="n"/>
      <c r="BX128" s="1842" t="n"/>
      <c r="BY128" s="1842" t="n"/>
      <c r="BZ128" s="1842" t="n"/>
      <c r="CA128" s="1842" t="n"/>
      <c r="CB128" s="1842" t="n"/>
      <c r="CC128" s="1842" t="n"/>
      <c r="CD128" s="1842" t="n"/>
      <c r="CE128" s="1491" t="n"/>
      <c r="CF128" s="1491" t="n"/>
      <c r="CG128" s="1491" t="n"/>
      <c r="CH128" s="1491" t="n"/>
      <c r="CI128" s="1491" t="n"/>
      <c r="CJ128" s="1491" t="n"/>
      <c r="CK128" s="1491" t="n"/>
      <c r="CL128" s="1491" t="n"/>
      <c r="CM128" s="1491" t="n"/>
      <c r="CN128" s="1491" t="n"/>
      <c r="CO128" s="1491" t="n"/>
    </row>
    <row r="129">
      <c r="A129" s="1491" t="n"/>
      <c r="B129" s="1491" t="n"/>
      <c r="C129" s="1491" t="n"/>
      <c r="D129" s="1491" t="n"/>
      <c r="E129" s="1491" t="n"/>
      <c r="F129" s="1491" t="n"/>
      <c r="G129" s="1491" t="n"/>
      <c r="H129" s="1491" t="n"/>
      <c r="I129" s="1491" t="n"/>
      <c r="J129" s="1491" t="n"/>
      <c r="K129" s="1491" t="n"/>
      <c r="L129" s="1491" t="n"/>
      <c r="M129" s="1491" t="n"/>
      <c r="N129" s="1491" t="n"/>
      <c r="O129" s="1491" t="n"/>
      <c r="P129" s="1491" t="n"/>
      <c r="Q129" s="1491" t="n"/>
      <c r="R129" s="1491" t="n"/>
      <c r="S129" s="1491" t="n"/>
      <c r="T129" s="1491" t="n"/>
      <c r="U129" s="1491" t="n"/>
      <c r="V129" s="1491" t="n"/>
      <c r="W129" s="1491" t="n"/>
      <c r="X129" s="1491" t="n"/>
      <c r="Y129" s="1491" t="n"/>
      <c r="Z129" s="1491" t="n"/>
      <c r="AA129" s="1491" t="n"/>
      <c r="AB129" s="1491" t="n"/>
      <c r="AC129" s="1491" t="n"/>
      <c r="AD129" s="1491" t="n"/>
      <c r="AE129" s="1491" t="n"/>
      <c r="AF129" s="1491" t="n"/>
      <c r="AG129" s="1491" t="n"/>
      <c r="AH129" s="1491" t="n"/>
      <c r="AI129" s="1491" t="n"/>
      <c r="AJ129" s="1491" t="n"/>
      <c r="AK129" s="1491" t="n"/>
      <c r="AL129" s="1491" t="n"/>
      <c r="AM129" s="1491" t="n"/>
      <c r="AN129" s="1491" t="n"/>
      <c r="AO129" s="1491" t="n"/>
      <c r="AP129" s="1491" t="n"/>
      <c r="AQ129" s="1908" t="n"/>
      <c r="AR129" s="2190" t="n"/>
      <c r="AS129" s="2191" t="n"/>
      <c r="AT129" s="2192" t="n"/>
      <c r="AU129" s="2193" t="n"/>
      <c r="AV129" s="1874" t="n"/>
      <c r="AW129" s="2191" t="n"/>
      <c r="AX129" s="2191" t="n"/>
      <c r="AY129" s="2192" t="n"/>
      <c r="AZ129" s="2193" t="n"/>
      <c r="BA129" s="1874" t="n"/>
      <c r="BB129" s="2191" t="n"/>
      <c r="BC129" s="2191" t="n"/>
      <c r="BD129" s="2192" t="n"/>
      <c r="BE129" s="2193" t="n"/>
      <c r="BF129" s="1874" t="n"/>
      <c r="BG129" s="2103" t="inlineStr">
        <is>
          <t>RIO</t>
        </is>
      </c>
      <c r="BH129" s="2106" t="inlineStr">
        <is>
          <t>(SDU--&gt;GIG)</t>
        </is>
      </c>
      <c r="BI129" s="2107" t="n">
        <v>39804</v>
      </c>
      <c r="BJ129" s="2218" t="n">
        <v>39804</v>
      </c>
      <c r="BK129" s="1874">
        <f>BJ129-BI129</f>
        <v/>
      </c>
      <c r="BL129" s="2344" t="inlineStr">
        <is>
          <t>35 Cissbury Ring North</t>
        </is>
      </c>
      <c r="BM129" s="2191" t="n"/>
      <c r="BN129" s="2192" t="n"/>
      <c r="BO129" s="2193" t="n"/>
      <c r="BP129" s="1874" t="n"/>
      <c r="BQ129" s="2344" t="n"/>
      <c r="BR129" s="2344" t="n"/>
      <c r="BS129" s="2344" t="n"/>
      <c r="BT129" s="2344" t="n"/>
      <c r="BU129" s="1874" t="n"/>
      <c r="BV129" s="1842" t="n"/>
      <c r="BW129" s="1842" t="n"/>
      <c r="BX129" s="1842" t="n"/>
      <c r="BY129" s="1842" t="n"/>
      <c r="BZ129" s="1842" t="n"/>
      <c r="CA129" s="1842" t="n"/>
      <c r="CB129" s="1842" t="n"/>
      <c r="CC129" s="1842" t="n"/>
      <c r="CD129" s="1842" t="n"/>
      <c r="CE129" s="1491" t="n"/>
      <c r="CF129" s="1491" t="n"/>
      <c r="CG129" s="1491" t="n"/>
      <c r="CH129" s="1491" t="n"/>
      <c r="CI129" s="1491" t="n"/>
      <c r="CJ129" s="1491" t="n"/>
      <c r="CK129" s="1491" t="n"/>
      <c r="CL129" s="1491" t="n"/>
      <c r="CM129" s="1491" t="n"/>
      <c r="CN129" s="1491" t="n"/>
      <c r="CO129" s="1491" t="n"/>
    </row>
    <row r="130">
      <c r="A130" s="1491" t="n"/>
      <c r="B130" s="1491" t="n"/>
      <c r="C130" s="1491" t="n"/>
      <c r="D130" s="1491" t="n"/>
      <c r="E130" s="1491" t="n"/>
      <c r="F130" s="1491" t="n"/>
      <c r="G130" s="1491" t="n"/>
      <c r="H130" s="1491" t="n"/>
      <c r="I130" s="1491" t="n"/>
      <c r="J130" s="1491" t="n"/>
      <c r="K130" s="1491" t="n"/>
      <c r="L130" s="1491" t="n"/>
      <c r="M130" s="1491" t="n"/>
      <c r="N130" s="1491" t="n"/>
      <c r="O130" s="1491" t="n"/>
      <c r="P130" s="1491" t="n"/>
      <c r="Q130" s="1491" t="n"/>
      <c r="R130" s="1491" t="n"/>
      <c r="S130" s="1491" t="n"/>
      <c r="T130" s="1491" t="n"/>
      <c r="U130" s="1491" t="n"/>
      <c r="V130" s="1491" t="n"/>
      <c r="W130" s="1491" t="n"/>
      <c r="X130" s="1491" t="n"/>
      <c r="Y130" s="1491" t="n"/>
      <c r="Z130" s="1491" t="n"/>
      <c r="AA130" s="1491" t="n"/>
      <c r="AB130" s="1491" t="n"/>
      <c r="AC130" s="1491" t="n"/>
      <c r="AD130" s="1491" t="n"/>
      <c r="AE130" s="1491" t="n"/>
      <c r="AF130" s="1491" t="n"/>
      <c r="AG130" s="1491" t="n"/>
      <c r="AH130" s="1491" t="n"/>
      <c r="AI130" s="1491" t="n"/>
      <c r="AJ130" s="1491" t="n"/>
      <c r="AK130" s="1491" t="n"/>
      <c r="AL130" s="1491" t="n"/>
      <c r="AM130" s="1491" t="n"/>
      <c r="AN130" s="1491" t="n"/>
      <c r="AO130" s="1491" t="n"/>
      <c r="AP130" s="1491" t="n"/>
      <c r="AQ130" s="1071" t="n"/>
      <c r="AR130" s="2207" t="n"/>
      <c r="AS130" s="2208" t="n"/>
      <c r="AT130" s="2209" t="n"/>
      <c r="AU130" s="2210" t="n"/>
      <c r="AV130" s="1907" t="n"/>
      <c r="AW130" s="2208" t="n"/>
      <c r="AX130" s="2208" t="n"/>
      <c r="AY130" s="2209" t="n"/>
      <c r="AZ130" s="2210" t="n"/>
      <c r="BA130" s="1907" t="n"/>
      <c r="BB130" s="2208" t="n"/>
      <c r="BC130" s="2208" t="n"/>
      <c r="BD130" s="2209" t="n"/>
      <c r="BE130" s="2210" t="n"/>
      <c r="BF130" s="1907" t="n"/>
      <c r="BG130" s="2345" t="inlineStr">
        <is>
          <t>SSA</t>
        </is>
      </c>
      <c r="BH130" s="2346" t="inlineStr">
        <is>
          <t>BSFlat</t>
        </is>
      </c>
      <c r="BI130" s="2347" t="n">
        <v>39805</v>
      </c>
      <c r="BJ130" s="2348" t="n">
        <v>39813</v>
      </c>
      <c r="BK130" s="1907">
        <f>BJ130-BI130</f>
        <v/>
      </c>
      <c r="BL130" s="2344" t="inlineStr">
        <is>
          <t>N12 7AL</t>
        </is>
      </c>
      <c r="BM130" s="2208" t="n"/>
      <c r="BN130" s="2209" t="n"/>
      <c r="BO130" s="2210" t="n"/>
      <c r="BP130" s="1907" t="n"/>
      <c r="BQ130" s="2344" t="n"/>
      <c r="BR130" s="2344" t="n"/>
      <c r="BS130" s="2344" t="n"/>
      <c r="BT130" s="2344" t="n"/>
      <c r="BU130" s="1907" t="n"/>
      <c r="BV130" s="1842" t="n"/>
      <c r="BW130" s="1842" t="n"/>
      <c r="BX130" s="1842" t="n"/>
      <c r="BY130" s="1842" t="n"/>
      <c r="BZ130" s="1842" t="n"/>
      <c r="CA130" s="1842" t="n"/>
      <c r="CB130" s="1842" t="n"/>
      <c r="CC130" s="1842" t="n"/>
      <c r="CD130" s="1842" t="n"/>
      <c r="CE130" s="1491" t="n"/>
      <c r="CF130" s="1491" t="n"/>
      <c r="CG130" s="1491" t="n"/>
      <c r="CH130" s="1491" t="n"/>
      <c r="CI130" s="1491" t="n"/>
      <c r="CJ130" s="1491" t="n"/>
      <c r="CK130" s="1491" t="n"/>
      <c r="CL130" s="1491" t="n"/>
      <c r="CM130" s="1491" t="n"/>
      <c r="CN130" s="1491" t="n"/>
      <c r="CO130" s="1491" t="n"/>
    </row>
    <row r="131">
      <c r="A131" s="1491" t="n"/>
      <c r="B131" s="1491" t="n"/>
      <c r="C131" s="1491" t="n"/>
      <c r="D131" s="1491" t="n"/>
      <c r="E131" s="1491" t="n"/>
      <c r="F131" s="1491" t="n"/>
      <c r="G131" s="1491" t="n"/>
      <c r="H131" s="1491" t="n"/>
      <c r="I131" s="1491" t="n"/>
      <c r="J131" s="1491" t="n"/>
      <c r="K131" s="1491" t="n"/>
      <c r="L131" s="1491" t="n"/>
      <c r="M131" s="1491" t="n"/>
      <c r="N131" s="1491" t="n"/>
      <c r="O131" s="1491" t="n"/>
      <c r="P131" s="1491" t="n"/>
      <c r="Q131" s="1491" t="n"/>
      <c r="R131" s="1491" t="n"/>
      <c r="S131" s="1491" t="n"/>
      <c r="T131" s="1491" t="n"/>
      <c r="U131" s="1491" t="n"/>
      <c r="V131" s="1491" t="n"/>
      <c r="W131" s="1491" t="n"/>
      <c r="X131" s="1491" t="n"/>
      <c r="Y131" s="1491" t="n"/>
      <c r="Z131" s="1491" t="n"/>
      <c r="AA131" s="1491" t="n"/>
      <c r="AB131" s="1491" t="n"/>
      <c r="AC131" s="1491" t="n"/>
      <c r="AD131" s="1491" t="n"/>
      <c r="AE131" s="1491" t="n"/>
      <c r="AF131" s="1491" t="n"/>
      <c r="AG131" s="1491" t="n"/>
      <c r="AH131" s="1491" t="n"/>
      <c r="AI131" s="1491" t="n"/>
      <c r="AJ131" s="1491" t="n"/>
      <c r="AK131" s="1491" t="n"/>
      <c r="AL131" s="1491" t="n"/>
      <c r="AM131" s="1491" t="n"/>
      <c r="AN131" s="1491" t="n"/>
      <c r="AO131" s="1491" t="n"/>
      <c r="AP131" s="1491" t="n"/>
      <c r="AQ131" s="2349" t="inlineStr">
        <is>
          <t>d</t>
        </is>
      </c>
      <c r="AR131" s="2211" t="n"/>
      <c r="AS131" s="2211" t="n"/>
      <c r="AT131" s="2211" t="n"/>
      <c r="AU131" s="2211" t="n"/>
      <c r="AV131" s="2211" t="n"/>
      <c r="AW131" s="2211" t="n"/>
      <c r="AX131" s="2211" t="n"/>
      <c r="AY131" s="2211" t="n"/>
      <c r="AZ131" s="2211" t="n"/>
      <c r="BA131" s="2211" t="n"/>
      <c r="BB131" s="2211" t="n"/>
      <c r="BC131" s="2211" t="n"/>
      <c r="BD131" s="2211" t="n"/>
      <c r="BE131" s="2211" t="n"/>
      <c r="BF131" s="2211" t="n"/>
      <c r="BG131" s="2211" t="n"/>
      <c r="BH131" s="2211" t="n"/>
      <c r="BI131" s="2211" t="n"/>
      <c r="BJ131" s="2211" t="n"/>
      <c r="BK131" s="2211" t="n"/>
      <c r="BL131" s="2211" t="n"/>
      <c r="BM131" s="2211" t="n"/>
      <c r="BN131" s="2211" t="n"/>
      <c r="BO131" s="2211" t="n"/>
      <c r="BP131" s="2211" t="n"/>
      <c r="BQ131" s="2211" t="n"/>
      <c r="BR131" s="2211" t="n"/>
      <c r="BS131" s="2211" t="n"/>
      <c r="BT131" s="2211" t="n"/>
      <c r="BU131" s="2211" t="n"/>
      <c r="BV131" s="2211" t="n"/>
      <c r="BW131" s="2211" t="n"/>
      <c r="BX131" s="2211" t="n"/>
      <c r="BY131" s="2211" t="n"/>
      <c r="BZ131" s="2211" t="n"/>
      <c r="CA131" s="2211" t="n"/>
      <c r="CB131" s="2211" t="n"/>
      <c r="CC131" s="2211" t="n"/>
      <c r="CD131" s="2211" t="n"/>
      <c r="CE131" s="2211" t="n"/>
      <c r="CF131" s="2211" t="n"/>
      <c r="CG131" s="2211" t="n"/>
      <c r="CH131" s="2211" t="n"/>
      <c r="CI131" s="2211" t="n"/>
      <c r="CJ131" s="2211" t="n"/>
      <c r="CK131" s="2211" t="n"/>
      <c r="CL131" s="2211" t="n"/>
      <c r="CM131" s="2211" t="n"/>
      <c r="CN131" s="2211" t="n"/>
      <c r="CO131" s="2211" t="n"/>
    </row>
    <row r="132">
      <c r="A132" s="1491" t="n"/>
      <c r="B132" s="1491" t="n"/>
      <c r="C132" s="1491" t="n"/>
      <c r="D132" s="1491" t="n"/>
      <c r="E132" s="1491" t="n"/>
      <c r="F132" s="1491" t="n"/>
      <c r="G132" s="1491" t="n"/>
      <c r="H132" s="1491" t="n"/>
      <c r="I132" s="1491" t="n"/>
      <c r="J132" s="1491" t="n"/>
      <c r="K132" s="1491" t="n"/>
      <c r="L132" s="1491" t="n"/>
      <c r="M132" s="1491" t="n"/>
      <c r="N132" s="1491" t="n"/>
      <c r="O132" s="1491" t="n"/>
      <c r="P132" s="1491" t="n"/>
      <c r="Q132" s="1491" t="n"/>
      <c r="R132" s="1491" t="n"/>
      <c r="S132" s="1491" t="n"/>
      <c r="T132" s="1491" t="n"/>
      <c r="U132" s="1491" t="n"/>
      <c r="V132" s="1491" t="n"/>
      <c r="W132" s="1491" t="n"/>
      <c r="X132" s="1491" t="n"/>
      <c r="Y132" s="1491" t="n"/>
      <c r="Z132" s="1491" t="n"/>
      <c r="AA132" s="1491" t="n"/>
      <c r="AB132" s="1491" t="n"/>
      <c r="AC132" s="1491" t="n"/>
      <c r="AD132" s="1491" t="n"/>
      <c r="AE132" s="1491" t="n"/>
      <c r="AF132" s="1491" t="n"/>
      <c r="AG132" s="1491" t="n"/>
      <c r="AH132" s="1491" t="n"/>
      <c r="AI132" s="1491" t="n"/>
      <c r="AJ132" s="1491" t="n"/>
      <c r="AK132" s="1491" t="n"/>
      <c r="AL132" s="1491" t="n"/>
      <c r="AM132" s="1491" t="n"/>
      <c r="AN132" s="1491" t="n"/>
      <c r="AO132" s="1491" t="n"/>
      <c r="AP132" s="1491" t="n"/>
      <c r="AR132" s="2350" t="n">
        <v>2015</v>
      </c>
      <c r="AV132" s="1349" t="n"/>
      <c r="AW132" s="1841">
        <f>AR132+1</f>
        <v/>
      </c>
      <c r="AX132" s="1429" t="n"/>
      <c r="AY132" s="1429" t="n"/>
      <c r="AZ132" s="1429" t="n"/>
      <c r="BA132" s="1072" t="n"/>
      <c r="BB132" s="1841">
        <f>AW132+1</f>
        <v/>
      </c>
      <c r="BC132" s="1429" t="n"/>
      <c r="BD132" s="1429" t="n"/>
      <c r="BE132" s="1429" t="n"/>
      <c r="BF132" s="1072" t="n"/>
      <c r="BG132" s="1841">
        <f>BB132+1</f>
        <v/>
      </c>
      <c r="BH132" s="1429" t="n"/>
      <c r="BI132" s="1429" t="n"/>
      <c r="BJ132" s="1429" t="n"/>
      <c r="BK132" s="1072" t="n"/>
      <c r="BL132" s="1841">
        <f>BG132+1</f>
        <v/>
      </c>
      <c r="BM132" s="1429" t="n"/>
      <c r="BN132" s="1429" t="n"/>
      <c r="BO132" s="1429" t="n"/>
      <c r="BP132" s="1072" t="n"/>
      <c r="BQ132" s="1841">
        <f>BL132+1</f>
        <v/>
      </c>
      <c r="BR132" s="1429" t="n"/>
      <c r="BS132" s="1429" t="n"/>
      <c r="BT132" s="1429" t="n"/>
      <c r="BU132" s="1072" t="n"/>
      <c r="BV132" s="1842" t="n"/>
      <c r="BW132" s="1842" t="n"/>
      <c r="BX132" s="1842" t="n"/>
      <c r="BY132" s="1842" t="n"/>
      <c r="BZ132" s="1842" t="n"/>
      <c r="CA132" s="1842" t="n"/>
      <c r="CB132" s="1842" t="n"/>
      <c r="CC132" s="1842" t="n"/>
      <c r="CD132" s="1842" t="n"/>
      <c r="CE132" s="1491" t="n"/>
      <c r="CF132" s="1491" t="n"/>
      <c r="CG132" s="1491" t="n"/>
      <c r="CH132" s="1491" t="n"/>
      <c r="CI132" s="1491" t="n"/>
      <c r="CJ132" s="1491" t="n"/>
      <c r="CK132" s="1491" t="n"/>
      <c r="CL132" s="1491" t="n"/>
      <c r="CM132" s="1491" t="n"/>
      <c r="CN132" s="1491" t="n"/>
      <c r="CO132" s="1491" t="n"/>
    </row>
    <row r="133">
      <c r="A133" s="1491" t="n"/>
      <c r="B133" s="1491" t="n"/>
      <c r="C133" s="1491" t="n"/>
      <c r="D133" s="1491" t="n"/>
      <c r="E133" s="1491" t="n"/>
      <c r="F133" s="1491" t="n"/>
      <c r="G133" s="1491" t="n"/>
      <c r="H133" s="1491" t="n"/>
      <c r="I133" s="1491" t="n"/>
      <c r="J133" s="1491" t="n"/>
      <c r="K133" s="1491" t="n"/>
      <c r="L133" s="1491" t="n"/>
      <c r="M133" s="1491" t="n"/>
      <c r="N133" s="1491" t="n"/>
      <c r="O133" s="1491" t="n"/>
      <c r="P133" s="1491" t="n"/>
      <c r="Q133" s="1491" t="n"/>
      <c r="R133" s="1491" t="n"/>
      <c r="S133" s="1491" t="n"/>
      <c r="T133" s="1491" t="n"/>
      <c r="U133" s="1491" t="n"/>
      <c r="V133" s="1491" t="n"/>
      <c r="W133" s="1491" t="n"/>
      <c r="X133" s="1491" t="n"/>
      <c r="Y133" s="1491" t="n"/>
      <c r="Z133" s="1491" t="n"/>
      <c r="AA133" s="1491" t="n"/>
      <c r="AB133" s="1491" t="n"/>
      <c r="AC133" s="1491" t="n"/>
      <c r="AD133" s="1491" t="n"/>
      <c r="AE133" s="1491" t="n"/>
      <c r="AF133" s="1491" t="n"/>
      <c r="AG133" s="1491" t="n"/>
      <c r="AH133" s="1491" t="n"/>
      <c r="AI133" s="1491" t="n"/>
      <c r="AJ133" s="1491" t="n"/>
      <c r="AK133" s="1491" t="n"/>
      <c r="AL133" s="1491" t="n"/>
      <c r="AM133" s="1491" t="n"/>
      <c r="AN133" s="1491" t="n"/>
      <c r="AO133" s="1491" t="n"/>
      <c r="AP133" s="1491" t="n"/>
      <c r="AR133" s="2246" t="inlineStr">
        <is>
          <t>771, Rue Beatty</t>
        </is>
      </c>
      <c r="AS133" s="2247" t="n"/>
      <c r="AT133" s="2254" t="n">
        <v>42005</v>
      </c>
      <c r="AU133" s="2275" t="n">
        <v>42015</v>
      </c>
      <c r="AV133" s="2351">
        <f>AU133-AT133</f>
        <v/>
      </c>
      <c r="AW133" s="2352" t="inlineStr">
        <is>
          <t>771, Rue Beatty</t>
        </is>
      </c>
      <c r="AX133" s="2353" t="n"/>
      <c r="AY133" s="2354" t="n">
        <v>42370</v>
      </c>
      <c r="AZ133" s="2354" t="n">
        <v>42375</v>
      </c>
      <c r="BA133" s="2351">
        <f>AZ133-AY133</f>
        <v/>
      </c>
      <c r="BB133" s="2355" t="inlineStr">
        <is>
          <t>Mont-Tremblant</t>
        </is>
      </c>
      <c r="BC133" s="2356" t="inlineStr">
        <is>
          <t>Chateau Beauvallon</t>
        </is>
      </c>
      <c r="BD133" s="2357" t="n">
        <v>42736</v>
      </c>
      <c r="BE133" s="2357" t="n">
        <v>42737</v>
      </c>
      <c r="BF133" s="2358">
        <f>BE133-BD133</f>
        <v/>
      </c>
      <c r="BG133" s="2229" t="inlineStr">
        <is>
          <t>7880, Rue Nadeau J4Y 2C3</t>
        </is>
      </c>
      <c r="BH133" s="2230" t="n"/>
      <c r="BI133" s="2231" t="n">
        <v>43101</v>
      </c>
      <c r="BJ133" s="2359" t="n">
        <v>43125</v>
      </c>
      <c r="BK133" s="2360">
        <f>BJ133-BI133</f>
        <v/>
      </c>
      <c r="BL133" s="2229" t="inlineStr">
        <is>
          <t>7880, Rue Nadeau J4Y 2C3</t>
        </is>
      </c>
      <c r="BM133" s="2230" t="n"/>
      <c r="BN133" s="2231" t="n">
        <v>43466</v>
      </c>
      <c r="BO133" s="2359" t="n">
        <v>43515</v>
      </c>
      <c r="BP133" s="2360">
        <f>BO133-BN133</f>
        <v/>
      </c>
      <c r="BQ133" s="2229" t="inlineStr">
        <is>
          <t>7880, Rue Nadeau J4Y 2C3</t>
        </is>
      </c>
      <c r="BR133" s="2230" t="n"/>
      <c r="BS133" s="2231" t="n">
        <v>43831</v>
      </c>
      <c r="BT133" s="2359">
        <f>TODAY()</f>
        <v/>
      </c>
      <c r="BU133" s="2360">
        <f>BT133-BS133</f>
        <v/>
      </c>
      <c r="BV133" s="1842" t="n"/>
      <c r="BW133" s="1842" t="n"/>
      <c r="BX133" s="1842" t="n"/>
      <c r="BY133" s="1842" t="n"/>
      <c r="BZ133" s="1842" t="n"/>
      <c r="CA133" s="1842" t="n"/>
      <c r="CB133" s="1842" t="n"/>
      <c r="CC133" s="1842" t="n"/>
      <c r="CD133" s="1842" t="n"/>
      <c r="CE133" s="1491" t="n"/>
      <c r="CF133" s="1491" t="n"/>
      <c r="CG133" s="1491" t="n"/>
      <c r="CH133" s="1491" t="n"/>
      <c r="CI133" s="1491" t="n"/>
      <c r="CJ133" s="1491" t="n"/>
      <c r="CK133" s="1491" t="n"/>
      <c r="CL133" s="1491" t="n"/>
      <c r="CM133" s="1491" t="n"/>
      <c r="CN133" s="1491" t="n"/>
      <c r="CO133" s="1491" t="n"/>
    </row>
    <row r="134">
      <c r="A134" s="1491" t="n"/>
      <c r="B134" s="1491" t="n"/>
      <c r="C134" s="1491" t="n"/>
      <c r="D134" s="1491" t="n"/>
      <c r="E134" s="1491" t="n"/>
      <c r="F134" s="1491" t="n"/>
      <c r="G134" s="1491" t="n"/>
      <c r="H134" s="1491" t="n"/>
      <c r="I134" s="1491" t="n"/>
      <c r="J134" s="1491" t="n"/>
      <c r="K134" s="1491" t="n"/>
      <c r="L134" s="1491" t="n"/>
      <c r="M134" s="1491" t="n"/>
      <c r="N134" s="1491" t="n"/>
      <c r="O134" s="1491" t="n"/>
      <c r="P134" s="1491" t="n"/>
      <c r="Q134" s="1491" t="n"/>
      <c r="R134" s="1491" t="n"/>
      <c r="S134" s="1491" t="n"/>
      <c r="T134" s="1491" t="n"/>
      <c r="U134" s="1491" t="n"/>
      <c r="V134" s="1491" t="n"/>
      <c r="W134" s="1491" t="n"/>
      <c r="X134" s="1491" t="n"/>
      <c r="Y134" s="1491" t="n"/>
      <c r="Z134" s="1491" t="n"/>
      <c r="AA134" s="1491" t="n"/>
      <c r="AB134" s="1491" t="n"/>
      <c r="AC134" s="1491" t="n"/>
      <c r="AD134" s="1491" t="n"/>
      <c r="AE134" s="1491" t="n"/>
      <c r="AF134" s="1491" t="n"/>
      <c r="AG134" s="1491" t="n"/>
      <c r="AH134" s="1491" t="n"/>
      <c r="AI134" s="1491" t="n"/>
      <c r="AJ134" s="1491" t="n"/>
      <c r="AK134" s="1491" t="n"/>
      <c r="AL134" s="1491" t="n"/>
      <c r="AM134" s="1491" t="n"/>
      <c r="AN134" s="1491" t="n"/>
      <c r="AO134" s="1491" t="n"/>
      <c r="AP134" s="1491" t="n"/>
      <c r="AR134" s="1998" t="inlineStr">
        <is>
          <t>Miami</t>
        </is>
      </c>
      <c r="AS134" s="2255" t="inlineStr">
        <is>
          <t>conexao</t>
        </is>
      </c>
      <c r="AT134" s="2151" t="n">
        <v>42015</v>
      </c>
      <c r="AU134" s="2152" t="n">
        <v>42015</v>
      </c>
      <c r="AV134" s="2351">
        <f>AU134-AT134</f>
        <v/>
      </c>
      <c r="AW134" s="1998" t="inlineStr">
        <is>
          <t>NY</t>
        </is>
      </c>
      <c r="AX134" s="2255" t="inlineStr">
        <is>
          <t>conexao</t>
        </is>
      </c>
      <c r="AY134" s="2151">
        <f>AZ133</f>
        <v/>
      </c>
      <c r="AZ134" s="2273" t="n"/>
      <c r="BA134" s="1874" t="n"/>
      <c r="BB134" s="2246" t="inlineStr">
        <is>
          <t>7880, Rue Nadeau J4Y 2C3</t>
        </is>
      </c>
      <c r="BC134" s="2247" t="n"/>
      <c r="BD134" s="2254">
        <f>BE133</f>
        <v/>
      </c>
      <c r="BE134" s="2275" t="n">
        <v>43051</v>
      </c>
      <c r="BF134" s="2358">
        <f>BE134-BD134</f>
        <v/>
      </c>
      <c r="BG134" s="1998" t="inlineStr">
        <is>
          <t>Detroit</t>
        </is>
      </c>
      <c r="BH134" s="2255" t="inlineStr">
        <is>
          <t>conexao</t>
        </is>
      </c>
      <c r="BI134" s="2151" t="n">
        <v>43125</v>
      </c>
      <c r="BJ134" s="2273" t="n"/>
      <c r="BK134" s="1874" t="n"/>
      <c r="BL134" s="2361" t="n"/>
      <c r="BM134" s="2362" t="inlineStr">
        <is>
          <t>PANAMA CONEXAO</t>
        </is>
      </c>
      <c r="BN134" s="2363">
        <f>BO133</f>
        <v/>
      </c>
      <c r="BO134" s="2364">
        <f>BN134</f>
        <v/>
      </c>
      <c r="BP134" s="2365">
        <f>BO134-BN134</f>
        <v/>
      </c>
      <c r="BQ134" s="2118" t="inlineStr">
        <is>
          <t>SP</t>
        </is>
      </c>
      <c r="BR134" s="2235" t="inlineStr">
        <is>
          <t>tatá remove tumor intestino, no sirio</t>
        </is>
      </c>
      <c r="BS134" s="2236" t="n">
        <v>43868</v>
      </c>
      <c r="BT134" s="2227" t="n">
        <v>43874</v>
      </c>
      <c r="BU134" s="2360">
        <f>BT134-BS134</f>
        <v/>
      </c>
      <c r="BV134" s="1842" t="n"/>
      <c r="BW134" s="1842" t="n"/>
      <c r="BX134" s="1842" t="n"/>
      <c r="BY134" s="1842" t="n"/>
      <c r="BZ134" s="1842" t="n"/>
      <c r="CA134" s="1842" t="n"/>
      <c r="CB134" s="1842" t="n"/>
      <c r="CC134" s="1842" t="n"/>
      <c r="CD134" s="1842" t="n"/>
      <c r="CE134" s="1491" t="n"/>
      <c r="CF134" s="1491" t="n"/>
      <c r="CG134" s="1491" t="n"/>
      <c r="CH134" s="1491" t="n"/>
      <c r="CI134" s="1491" t="n"/>
      <c r="CJ134" s="1491" t="n"/>
      <c r="CK134" s="1491" t="n"/>
      <c r="CL134" s="1491" t="n"/>
      <c r="CM134" s="1491" t="n"/>
      <c r="CN134" s="1491" t="n"/>
      <c r="CO134" s="1491" t="n"/>
    </row>
    <row r="135">
      <c r="A135" s="1491" t="n"/>
      <c r="B135" s="1491" t="n"/>
      <c r="C135" s="1491" t="n"/>
      <c r="D135" s="1491" t="n"/>
      <c r="E135" s="1491" t="n"/>
      <c r="F135" s="1491" t="n"/>
      <c r="G135" s="1491" t="n"/>
      <c r="H135" s="1491" t="n"/>
      <c r="I135" s="1491" t="n"/>
      <c r="J135" s="1491" t="n"/>
      <c r="K135" s="1491" t="n"/>
      <c r="L135" s="1491" t="n"/>
      <c r="M135" s="1491" t="n"/>
      <c r="N135" s="1491" t="n"/>
      <c r="O135" s="1491" t="n"/>
      <c r="P135" s="1491" t="n"/>
      <c r="Q135" s="1491" t="n"/>
      <c r="R135" s="1491" t="n"/>
      <c r="S135" s="1491" t="n"/>
      <c r="T135" s="1491" t="n"/>
      <c r="U135" s="1491" t="n"/>
      <c r="V135" s="1491" t="n"/>
      <c r="W135" s="1491" t="n"/>
      <c r="X135" s="1491" t="n"/>
      <c r="Y135" s="1491" t="n"/>
      <c r="Z135" s="1491" t="n"/>
      <c r="AA135" s="1491" t="n"/>
      <c r="AB135" s="1491" t="n"/>
      <c r="AC135" s="1491" t="n"/>
      <c r="AD135" s="1491" t="n"/>
      <c r="AE135" s="1491" t="n"/>
      <c r="AF135" s="1491" t="n"/>
      <c r="AG135" s="1491" t="n"/>
      <c r="AH135" s="1491" t="n"/>
      <c r="AI135" s="1491" t="n"/>
      <c r="AJ135" s="1491" t="n"/>
      <c r="AK135" s="1491" t="n"/>
      <c r="AL135" s="1491" t="n"/>
      <c r="AM135" s="1491" t="n"/>
      <c r="AN135" s="1491" t="n"/>
      <c r="AO135" s="1491" t="n"/>
      <c r="AP135" s="1491" t="n"/>
      <c r="AR135" s="2008" t="inlineStr">
        <is>
          <t>espaco aéreo USA</t>
        </is>
      </c>
      <c r="AS135" s="2009" t="n"/>
      <c r="AT135" s="2199" t="n">
        <v>42015</v>
      </c>
      <c r="AU135" s="2200" t="n">
        <v>42016</v>
      </c>
      <c r="AV135" s="2351">
        <f>AU135-AT135</f>
        <v/>
      </c>
      <c r="AW135" s="1998" t="inlineStr">
        <is>
          <t>Orlando</t>
        </is>
      </c>
      <c r="AX135" s="2255" t="n"/>
      <c r="AY135" s="2151" t="n">
        <v>42375</v>
      </c>
      <c r="AZ135" s="2273" t="n">
        <v>42388</v>
      </c>
      <c r="BA135" s="1874">
        <f>AZ135-AY135</f>
        <v/>
      </c>
      <c r="BB135" s="2352" t="inlineStr">
        <is>
          <t>Granby</t>
        </is>
      </c>
      <c r="BC135" s="2366" t="n"/>
      <c r="BD135" s="2354" t="n">
        <v>42919</v>
      </c>
      <c r="BE135" s="2354" t="n"/>
      <c r="BF135" s="2228" t="n"/>
      <c r="BG135" s="1998" t="inlineStr">
        <is>
          <t>Orlando</t>
        </is>
      </c>
      <c r="BH135" s="2255" t="n"/>
      <c r="BI135" s="2151" t="n">
        <v>43125</v>
      </c>
      <c r="BJ135" s="2273" t="n">
        <v>43136</v>
      </c>
      <c r="BK135" s="1874">
        <f>BJ135-BI135</f>
        <v/>
      </c>
      <c r="BL135" s="2118" t="inlineStr">
        <is>
          <t>SSA</t>
        </is>
      </c>
      <c r="BM135" s="2235" t="inlineStr">
        <is>
          <t>Ondina</t>
        </is>
      </c>
      <c r="BN135" s="2236" t="n">
        <v>43516</v>
      </c>
      <c r="BO135" s="2227" t="n">
        <v>43523</v>
      </c>
      <c r="BP135" s="1874">
        <f>BO135-BN135</f>
        <v/>
      </c>
      <c r="BQ135" s="2335" t="inlineStr">
        <is>
          <t>SSA</t>
        </is>
      </c>
      <c r="BR135" s="2336" t="inlineStr">
        <is>
          <t>few days in SSA, vejo rapidamente galera, reuniao clube xp</t>
        </is>
      </c>
      <c r="BS135" s="2337">
        <f>BT134</f>
        <v/>
      </c>
      <c r="BT135" s="2338" t="n">
        <v>43879</v>
      </c>
      <c r="BU135" s="2360">
        <f>BT135-BS135</f>
        <v/>
      </c>
      <c r="BV135" s="1842" t="n"/>
      <c r="BW135" s="1842" t="n"/>
      <c r="BX135" s="1842" t="n"/>
      <c r="BY135" s="1842" t="n"/>
      <c r="BZ135" s="1842" t="n"/>
      <c r="CA135" s="1842" t="n"/>
      <c r="CB135" s="1842" t="n"/>
      <c r="CC135" s="1842" t="n"/>
      <c r="CD135" s="1842" t="n"/>
      <c r="CE135" s="1491" t="n"/>
      <c r="CF135" s="1491" t="n"/>
      <c r="CG135" s="1491" t="n"/>
      <c r="CH135" s="1491" t="n"/>
      <c r="CI135" s="1491" t="n"/>
      <c r="CJ135" s="1491" t="n"/>
      <c r="CK135" s="1491" t="n"/>
      <c r="CL135" s="1491" t="n"/>
      <c r="CM135" s="1491" t="n"/>
      <c r="CN135" s="1491" t="n"/>
      <c r="CO135" s="1491" t="n"/>
    </row>
    <row r="136">
      <c r="A136" s="1491" t="n"/>
      <c r="B136" s="1491" t="n"/>
      <c r="C136" s="1491" t="n"/>
      <c r="D136" s="1491" t="n"/>
      <c r="E136" s="1491" t="n"/>
      <c r="F136" s="1491" t="n"/>
      <c r="G136" s="1491" t="n"/>
      <c r="H136" s="1491" t="n"/>
      <c r="I136" s="1491" t="n"/>
      <c r="J136" s="1491" t="n"/>
      <c r="K136" s="1491" t="n"/>
      <c r="L136" s="1491" t="n"/>
      <c r="M136" s="1491" t="n"/>
      <c r="N136" s="1491" t="n"/>
      <c r="O136" s="1491" t="n"/>
      <c r="P136" s="1491" t="n"/>
      <c r="Q136" s="1491" t="n"/>
      <c r="R136" s="1491" t="n"/>
      <c r="S136" s="1491" t="n"/>
      <c r="T136" s="1491" t="n"/>
      <c r="U136" s="1491" t="n"/>
      <c r="V136" s="1491" t="n"/>
      <c r="W136" s="1491" t="n"/>
      <c r="X136" s="1491" t="n"/>
      <c r="Y136" s="1491" t="n"/>
      <c r="Z136" s="1491" t="n"/>
      <c r="AA136" s="1491" t="n"/>
      <c r="AB136" s="1491" t="n"/>
      <c r="AC136" s="1491" t="n"/>
      <c r="AD136" s="1491" t="n"/>
      <c r="AE136" s="1491" t="n"/>
      <c r="AF136" s="1491" t="n"/>
      <c r="AG136" s="1491" t="n"/>
      <c r="AH136" s="1491" t="n"/>
      <c r="AI136" s="1491" t="n"/>
      <c r="AJ136" s="1491" t="n"/>
      <c r="AK136" s="1491" t="n"/>
      <c r="AL136" s="1491" t="n"/>
      <c r="AM136" s="1491" t="n"/>
      <c r="AN136" s="1491" t="n"/>
      <c r="AO136" s="1491" t="n"/>
      <c r="AP136" s="1491" t="n"/>
      <c r="AR136" s="2118" t="inlineStr">
        <is>
          <t>SSA</t>
        </is>
      </c>
      <c r="AS136" s="2235" t="n"/>
      <c r="AT136" s="2236" t="n">
        <v>42016</v>
      </c>
      <c r="AU136" s="2227" t="n">
        <v>42025</v>
      </c>
      <c r="AV136" s="2351">
        <f>AU136-AT136</f>
        <v/>
      </c>
      <c r="AW136" s="1998" t="inlineStr">
        <is>
          <t>Detroit</t>
        </is>
      </c>
      <c r="AX136" s="2255" t="inlineStr">
        <is>
          <t>conexao</t>
        </is>
      </c>
      <c r="AY136" s="2151">
        <f>AZ135</f>
        <v/>
      </c>
      <c r="AZ136" s="2273" t="n"/>
      <c r="BA136" s="1874" t="n"/>
      <c r="BB136" s="2008" t="inlineStr">
        <is>
          <t>aereo</t>
        </is>
      </c>
      <c r="BC136" s="2009" t="inlineStr">
        <is>
          <t>can</t>
        </is>
      </c>
      <c r="BD136" s="2199" t="n">
        <v>43051</v>
      </c>
      <c r="BE136" s="2200" t="n">
        <v>43052</v>
      </c>
      <c r="BF136" s="2367">
        <f>BE136-BD136</f>
        <v/>
      </c>
      <c r="BG136" s="1998" t="inlineStr">
        <is>
          <t>NY</t>
        </is>
      </c>
      <c r="BH136" s="2255" t="inlineStr">
        <is>
          <t>conexao</t>
        </is>
      </c>
      <c r="BI136" s="2151">
        <f>BJ135</f>
        <v/>
      </c>
      <c r="BJ136" s="2273" t="n"/>
      <c r="BK136" s="1874" t="n"/>
      <c r="BL136" s="2335" t="n"/>
      <c r="BM136" s="2336" t="inlineStr">
        <is>
          <t>ARACAJU</t>
        </is>
      </c>
      <c r="BN136" s="2337">
        <f>BO135</f>
        <v/>
      </c>
      <c r="BO136" s="2338" t="n">
        <v>43530</v>
      </c>
      <c r="BP136" s="1874">
        <f>BO136-BN136</f>
        <v/>
      </c>
      <c r="BQ136" s="2118" t="inlineStr">
        <is>
          <t>Rio</t>
        </is>
      </c>
      <c r="BR136" s="2235" t="inlineStr">
        <is>
          <t>com pai e tatá e cia</t>
        </is>
      </c>
      <c r="BS136" s="2236">
        <f>BT135</f>
        <v/>
      </c>
      <c r="BT136" s="2227" t="n">
        <v>43887</v>
      </c>
      <c r="BU136" s="2360">
        <f>BT136-BS136</f>
        <v/>
      </c>
      <c r="BV136" s="1842" t="n"/>
      <c r="BW136" s="1842" t="n"/>
      <c r="BX136" s="1842" t="n"/>
      <c r="BY136" s="1842" t="n"/>
      <c r="BZ136" s="1842" t="n"/>
      <c r="CA136" s="1842" t="n"/>
      <c r="CB136" s="1842" t="n"/>
      <c r="CC136" s="1842" t="n"/>
      <c r="CD136" s="1842" t="n"/>
      <c r="CE136" s="1491" t="n"/>
      <c r="CF136" s="1491" t="n"/>
      <c r="CG136" s="1491" t="n"/>
      <c r="CH136" s="1491" t="n"/>
      <c r="CI136" s="1491" t="n"/>
      <c r="CJ136" s="1491" t="n"/>
      <c r="CK136" s="1491" t="n"/>
      <c r="CL136" s="1491" t="n"/>
      <c r="CM136" s="1491" t="n"/>
      <c r="CN136" s="1491" t="n"/>
      <c r="CO136" s="1491" t="n"/>
    </row>
    <row r="137">
      <c r="A137" s="1491" t="n"/>
      <c r="B137" s="1491" t="n"/>
      <c r="C137" s="1491" t="n"/>
      <c r="D137" s="1491" t="n"/>
      <c r="E137" s="1491" t="n"/>
      <c r="F137" s="1491" t="n"/>
      <c r="G137" s="1491" t="n"/>
      <c r="H137" s="1491" t="n"/>
      <c r="I137" s="1491" t="n"/>
      <c r="J137" s="1491" t="n"/>
      <c r="K137" s="1491" t="n"/>
      <c r="L137" s="1491" t="n"/>
      <c r="M137" s="1491" t="n"/>
      <c r="N137" s="1491" t="n"/>
      <c r="O137" s="1491" t="n"/>
      <c r="P137" s="1491" t="n"/>
      <c r="Q137" s="1491" t="n"/>
      <c r="R137" s="1491" t="n"/>
      <c r="S137" s="1491" t="n"/>
      <c r="T137" s="1491" t="n"/>
      <c r="U137" s="1491" t="n"/>
      <c r="V137" s="1491" t="n"/>
      <c r="W137" s="1491" t="n"/>
      <c r="X137" s="1491" t="n"/>
      <c r="Y137" s="1491" t="n"/>
      <c r="Z137" s="1491" t="n"/>
      <c r="AA137" s="1491" t="n"/>
      <c r="AB137" s="1491" t="n"/>
      <c r="AC137" s="1491" t="n"/>
      <c r="AD137" s="1491" t="n"/>
      <c r="AE137" s="1491" t="n"/>
      <c r="AF137" s="1491" t="n"/>
      <c r="AG137" s="1491" t="n"/>
      <c r="AH137" s="1491" t="n"/>
      <c r="AI137" s="1491" t="n"/>
      <c r="AJ137" s="1491" t="n"/>
      <c r="AK137" s="1491" t="n"/>
      <c r="AL137" s="1491" t="n"/>
      <c r="AM137" s="1491" t="n"/>
      <c r="AN137" s="1491" t="n"/>
      <c r="AO137" s="1491" t="n"/>
      <c r="AP137" s="1491" t="n"/>
      <c r="AR137" s="2368" t="inlineStr">
        <is>
          <t>Guarajuba</t>
        </is>
      </c>
      <c r="AS137" s="2235" t="n"/>
      <c r="AT137" s="2236" t="n">
        <v>42022</v>
      </c>
      <c r="AU137" s="2227" t="n"/>
      <c r="AV137" s="2351" t="n"/>
      <c r="AW137" s="2246" t="inlineStr">
        <is>
          <t>771, Rue Beatty</t>
        </is>
      </c>
      <c r="AX137" s="2247" t="n"/>
      <c r="AY137" s="2254" t="n">
        <v>42388</v>
      </c>
      <c r="AZ137" s="2275" t="n">
        <v>42507</v>
      </c>
      <c r="BA137" s="2276">
        <f>AZ137-AY137</f>
        <v/>
      </c>
      <c r="BB137" s="2115" t="inlineStr">
        <is>
          <t>London</t>
        </is>
      </c>
      <c r="BC137" s="1989" t="inlineStr">
        <is>
          <t>David/s/Stu's</t>
        </is>
      </c>
      <c r="BD137" s="2116" t="n">
        <v>43052</v>
      </c>
      <c r="BE137" s="2117" t="n">
        <v>43061</v>
      </c>
      <c r="BF137" s="2367">
        <f>BE137-BD137</f>
        <v/>
      </c>
      <c r="BG137" s="2246" t="inlineStr">
        <is>
          <t>7880, Rue Nadeau J4Y 2C3</t>
        </is>
      </c>
      <c r="BH137" s="2247" t="n"/>
      <c r="BI137" s="2254" t="n">
        <v>43136</v>
      </c>
      <c r="BJ137" s="2275" t="n">
        <v>43416</v>
      </c>
      <c r="BK137" s="2276">
        <f>BJ137-BI137</f>
        <v/>
      </c>
      <c r="BL137" s="2118" t="inlineStr">
        <is>
          <t>SSA</t>
        </is>
      </c>
      <c r="BM137" s="2235" t="inlineStr">
        <is>
          <t>Ondina</t>
        </is>
      </c>
      <c r="BN137" s="2236">
        <f>BO136</f>
        <v/>
      </c>
      <c r="BO137" s="2227" t="n">
        <v>43538</v>
      </c>
      <c r="BP137" s="1874">
        <f>BO137-BN137</f>
        <v/>
      </c>
      <c r="BQ137" s="1998" t="inlineStr">
        <is>
          <t>conexao</t>
        </is>
      </c>
      <c r="BR137" s="2255" t="inlineStr">
        <is>
          <t>newark+washington</t>
        </is>
      </c>
      <c r="BS137" s="2151">
        <f>BT136</f>
        <v/>
      </c>
      <c r="BT137" s="2273" t="n">
        <v>43888</v>
      </c>
      <c r="BU137" s="2360">
        <f>BT137-BS137</f>
        <v/>
      </c>
      <c r="BV137" s="1842" t="n"/>
      <c r="BW137" s="1842" t="n"/>
      <c r="BX137" s="1842" t="n"/>
      <c r="BY137" s="1842" t="n"/>
      <c r="BZ137" s="1842" t="n"/>
      <c r="CA137" s="1842" t="n"/>
      <c r="CB137" s="1842" t="n"/>
      <c r="CC137" s="1842" t="n"/>
      <c r="CD137" s="1842" t="n"/>
      <c r="CE137" s="1491" t="n"/>
      <c r="CF137" s="1491" t="n"/>
      <c r="CG137" s="1491" t="n"/>
      <c r="CH137" s="1491" t="n"/>
      <c r="CI137" s="1491" t="n"/>
      <c r="CJ137" s="1491" t="n"/>
      <c r="CK137" s="1491" t="n"/>
      <c r="CL137" s="1491" t="n"/>
      <c r="CM137" s="1491" t="n"/>
      <c r="CN137" s="1491" t="n"/>
      <c r="CO137" s="1491" t="n"/>
    </row>
    <row r="138">
      <c r="A138" s="1491" t="n"/>
      <c r="B138" s="1491" t="n"/>
      <c r="C138" s="1491" t="n"/>
      <c r="D138" s="1491" t="n"/>
      <c r="E138" s="1491" t="n"/>
      <c r="F138" s="1491" t="n"/>
      <c r="G138" s="1491" t="n"/>
      <c r="H138" s="1491" t="n"/>
      <c r="I138" s="1491" t="n"/>
      <c r="J138" s="1491" t="n"/>
      <c r="K138" s="1491" t="n"/>
      <c r="L138" s="1491" t="n"/>
      <c r="M138" s="1491" t="n"/>
      <c r="N138" s="1491" t="n"/>
      <c r="O138" s="1491" t="n"/>
      <c r="P138" s="1491" t="n"/>
      <c r="Q138" s="1491" t="n"/>
      <c r="R138" s="1491" t="n"/>
      <c r="S138" s="1491" t="n"/>
      <c r="T138" s="1491" t="n"/>
      <c r="U138" s="1491" t="n"/>
      <c r="V138" s="1491" t="n"/>
      <c r="W138" s="1491" t="n"/>
      <c r="X138" s="1491" t="n"/>
      <c r="Y138" s="1491" t="n"/>
      <c r="Z138" s="1491" t="n"/>
      <c r="AA138" s="1491" t="n"/>
      <c r="AB138" s="1491" t="n"/>
      <c r="AC138" s="1491" t="n"/>
      <c r="AD138" s="1491" t="n"/>
      <c r="AE138" s="1491" t="n"/>
      <c r="AF138" s="1491" t="n"/>
      <c r="AG138" s="1491" t="n"/>
      <c r="AH138" s="1491" t="n"/>
      <c r="AI138" s="1491" t="n"/>
      <c r="AJ138" s="1491" t="n"/>
      <c r="AK138" s="1491" t="n"/>
      <c r="AL138" s="1491" t="n"/>
      <c r="AM138" s="1491" t="n"/>
      <c r="AN138" s="1491" t="n"/>
      <c r="AO138" s="1491" t="n"/>
      <c r="AP138" s="1491" t="n"/>
      <c r="AR138" s="2102" t="inlineStr">
        <is>
          <t>Rio</t>
        </is>
      </c>
      <c r="AS138" s="2243" t="inlineStr">
        <is>
          <t>Tatá</t>
        </is>
      </c>
      <c r="AT138" s="2244" t="n">
        <v>42025</v>
      </c>
      <c r="AU138" s="2245" t="n">
        <v>42035</v>
      </c>
      <c r="AV138" s="2351">
        <f>AU138-AT138</f>
        <v/>
      </c>
      <c r="AW138" s="2355" t="inlineStr">
        <is>
          <t>Vancouver</t>
        </is>
      </c>
      <c r="AX138" s="2356" t="inlineStr">
        <is>
          <t>conexao</t>
        </is>
      </c>
      <c r="AY138" s="2357">
        <f>AZ137</f>
        <v/>
      </c>
      <c r="AZ138" s="2357">
        <f>AY138</f>
        <v/>
      </c>
      <c r="BA138" s="2351" t="n"/>
      <c r="BB138" s="2246" t="inlineStr">
        <is>
          <t>7880, Rue Nadeau J4Y 2C3</t>
        </is>
      </c>
      <c r="BC138" s="2247" t="n"/>
      <c r="BD138" s="2254" t="n">
        <v>43061</v>
      </c>
      <c r="BE138" s="2275" t="n">
        <v>43101</v>
      </c>
      <c r="BF138" s="2358">
        <f>BE138-BD138</f>
        <v/>
      </c>
      <c r="BG138" s="2129" t="inlineStr">
        <is>
          <t>PORTUGAL</t>
        </is>
      </c>
      <c r="BH138" s="1870" t="inlineStr">
        <is>
          <t>Lisboa*</t>
        </is>
      </c>
      <c r="BI138" s="2130" t="n">
        <v>43417</v>
      </c>
      <c r="BJ138" s="2131" t="n">
        <v>43417</v>
      </c>
      <c r="BK138" s="1884">
        <f>BJ138-BI138</f>
        <v/>
      </c>
      <c r="BL138" s="2335" t="n"/>
      <c r="BM138" s="2336" t="inlineStr">
        <is>
          <t>RIO</t>
        </is>
      </c>
      <c r="BN138" s="2337">
        <f>BO137</f>
        <v/>
      </c>
      <c r="BO138" s="2338" t="n">
        <v>43539</v>
      </c>
      <c r="BP138" s="1874">
        <f>BO138-BN138</f>
        <v/>
      </c>
      <c r="BQ138" s="2229" t="inlineStr">
        <is>
          <t>7880, Rue Nadeau J4Y 2C3</t>
        </is>
      </c>
      <c r="BR138" s="2230" t="n"/>
      <c r="BS138" s="2231">
        <f>BT137</f>
        <v/>
      </c>
      <c r="BT138" s="2359">
        <f>TODAY()</f>
        <v/>
      </c>
      <c r="BU138" s="2360">
        <f>BT138-BS138</f>
        <v/>
      </c>
      <c r="BV138" s="1842" t="n"/>
      <c r="BW138" s="1842" t="n"/>
      <c r="BX138" s="1842" t="n"/>
      <c r="BY138" s="1842" t="n"/>
      <c r="BZ138" s="1842" t="n"/>
      <c r="CA138" s="1842" t="n"/>
      <c r="CB138" s="1842" t="n"/>
      <c r="CC138" s="1842" t="n"/>
      <c r="CD138" s="1842" t="n"/>
      <c r="CE138" s="1491" t="n"/>
      <c r="CF138" s="1491" t="n"/>
      <c r="CG138" s="1491" t="n"/>
      <c r="CH138" s="1491" t="n"/>
      <c r="CI138" s="1491" t="n"/>
      <c r="CJ138" s="1491" t="n"/>
      <c r="CK138" s="1491" t="n"/>
      <c r="CL138" s="1491" t="n"/>
      <c r="CM138" s="1491" t="n"/>
      <c r="CN138" s="1491" t="n"/>
      <c r="CO138" s="1491" t="n"/>
    </row>
    <row r="139">
      <c r="A139" s="1491" t="n"/>
      <c r="B139" s="1491" t="n"/>
      <c r="C139" s="1491" t="n"/>
      <c r="D139" s="1491" t="n"/>
      <c r="E139" s="1491" t="n"/>
      <c r="F139" s="1491" t="n"/>
      <c r="G139" s="1491" t="n"/>
      <c r="H139" s="1491" t="n"/>
      <c r="I139" s="1491" t="n"/>
      <c r="J139" s="1491" t="n"/>
      <c r="K139" s="1491" t="n"/>
      <c r="L139" s="1491" t="n"/>
      <c r="M139" s="1491" t="n"/>
      <c r="N139" s="1491" t="n"/>
      <c r="O139" s="1491" t="n"/>
      <c r="P139" s="1491" t="n"/>
      <c r="Q139" s="1491" t="n"/>
      <c r="R139" s="1491" t="n"/>
      <c r="S139" s="1491" t="n"/>
      <c r="T139" s="1491" t="n"/>
      <c r="U139" s="1491" t="n"/>
      <c r="V139" s="1491" t="n"/>
      <c r="W139" s="1491" t="n"/>
      <c r="X139" s="1491" t="n"/>
      <c r="Y139" s="1491" t="n"/>
      <c r="Z139" s="1491" t="n"/>
      <c r="AA139" s="1491" t="n"/>
      <c r="AB139" s="1491" t="n"/>
      <c r="AC139" s="1491" t="n"/>
      <c r="AD139" s="1491" t="n"/>
      <c r="AE139" s="1491" t="n"/>
      <c r="AF139" s="1491" t="n"/>
      <c r="AG139" s="1491" t="n"/>
      <c r="AH139" s="1491" t="n"/>
      <c r="AI139" s="1491" t="n"/>
      <c r="AJ139" s="1491" t="n"/>
      <c r="AK139" s="1491" t="n"/>
      <c r="AL139" s="1491" t="n"/>
      <c r="AM139" s="1491" t="n"/>
      <c r="AN139" s="1491" t="n"/>
      <c r="AO139" s="1491" t="n"/>
      <c r="AP139" s="1491" t="n"/>
      <c r="AR139" s="2118" t="inlineStr">
        <is>
          <t>SSA</t>
        </is>
      </c>
      <c r="AS139" s="2235" t="n"/>
      <c r="AT139" s="2236">
        <f>AU138</f>
        <v/>
      </c>
      <c r="AU139" s="2227">
        <f>AT139+14</f>
        <v/>
      </c>
      <c r="AV139" s="2351">
        <f>AU139-AT139</f>
        <v/>
      </c>
      <c r="AW139" s="2369" t="inlineStr">
        <is>
          <t>BEIJING</t>
        </is>
      </c>
      <c r="AX139" s="2370" t="n"/>
      <c r="AY139" s="2371" t="n">
        <v>42508</v>
      </c>
      <c r="AZ139" s="2372" t="n">
        <v>42514</v>
      </c>
      <c r="BA139" s="2373">
        <f>AZ139-AY139</f>
        <v/>
      </c>
      <c r="BB139" s="2190" t="n"/>
      <c r="BC139" s="2191" t="n"/>
      <c r="BD139" s="2190" t="n"/>
      <c r="BE139" s="2323" t="n"/>
      <c r="BF139" s="2228" t="n"/>
      <c r="BG139" s="2129" t="n"/>
      <c r="BH139" s="1870" t="inlineStr">
        <is>
          <t>Porto</t>
        </is>
      </c>
      <c r="BI139" s="2130" t="n">
        <v>43417</v>
      </c>
      <c r="BJ139" s="2131" t="n">
        <v>43418</v>
      </c>
      <c r="BK139" s="1884">
        <f>BJ139-BI139</f>
        <v/>
      </c>
      <c r="BL139" s="2118" t="inlineStr">
        <is>
          <t>SSA</t>
        </is>
      </c>
      <c r="BM139" s="2235" t="inlineStr">
        <is>
          <t>Ondina</t>
        </is>
      </c>
      <c r="BN139" s="2236">
        <f>BO138</f>
        <v/>
      </c>
      <c r="BO139" s="2227" t="n">
        <v>43547</v>
      </c>
      <c r="BP139" s="1874">
        <f>BO139-BN139</f>
        <v/>
      </c>
      <c r="BQ139" s="2344" t="n"/>
      <c r="BR139" s="2344" t="n"/>
      <c r="BS139" s="2344" t="n"/>
      <c r="BT139" s="2344" t="n"/>
      <c r="BU139" s="1874" t="n"/>
      <c r="BV139" s="1842" t="n"/>
      <c r="BW139" s="1842" t="n"/>
      <c r="BX139" s="1842" t="n"/>
      <c r="BY139" s="1842" t="n"/>
      <c r="BZ139" s="1842" t="n"/>
      <c r="CA139" s="1842" t="n"/>
      <c r="CB139" s="1842" t="n"/>
      <c r="CC139" s="1842" t="n"/>
      <c r="CD139" s="1842" t="n"/>
      <c r="CE139" s="1491" t="n"/>
      <c r="CF139" s="1491" t="n"/>
      <c r="CG139" s="1491" t="n"/>
      <c r="CH139" s="1491" t="n"/>
      <c r="CI139" s="1491" t="n"/>
      <c r="CJ139" s="1491" t="n"/>
      <c r="CK139" s="1491" t="n"/>
      <c r="CL139" s="1491" t="n"/>
      <c r="CM139" s="1491" t="n"/>
      <c r="CN139" s="1491" t="n"/>
      <c r="CO139" s="1491" t="n"/>
    </row>
    <row r="140">
      <c r="A140" s="1491" t="n"/>
      <c r="B140" s="1491" t="n"/>
      <c r="C140" s="1491" t="n"/>
      <c r="D140" s="1491" t="n"/>
      <c r="E140" s="1491" t="n"/>
      <c r="F140" s="1491" t="n"/>
      <c r="G140" s="1491" t="n"/>
      <c r="H140" s="1491" t="n"/>
      <c r="I140" s="1491" t="n"/>
      <c r="J140" s="1491" t="n"/>
      <c r="K140" s="1491" t="n"/>
      <c r="L140" s="1491" t="n"/>
      <c r="M140" s="1491" t="n"/>
      <c r="N140" s="1491" t="n"/>
      <c r="O140" s="1491" t="n"/>
      <c r="P140" s="1491" t="n"/>
      <c r="Q140" s="1491" t="n"/>
      <c r="R140" s="1491" t="n"/>
      <c r="S140" s="1491" t="n"/>
      <c r="T140" s="1491" t="n"/>
      <c r="U140" s="1491" t="n"/>
      <c r="V140" s="1491" t="n"/>
      <c r="W140" s="1491" t="n"/>
      <c r="X140" s="1491" t="n"/>
      <c r="Y140" s="1491" t="n"/>
      <c r="Z140" s="1491" t="n"/>
      <c r="AA140" s="1491" t="n"/>
      <c r="AB140" s="1491" t="n"/>
      <c r="AC140" s="1491" t="n"/>
      <c r="AD140" s="1491" t="n"/>
      <c r="AE140" s="1491" t="n"/>
      <c r="AF140" s="1491" t="n"/>
      <c r="AG140" s="1491" t="n"/>
      <c r="AH140" s="1491" t="n"/>
      <c r="AI140" s="1491" t="n"/>
      <c r="AJ140" s="1491" t="n"/>
      <c r="AK140" s="1491" t="n"/>
      <c r="AL140" s="1491" t="n"/>
      <c r="AM140" s="1491" t="n"/>
      <c r="AN140" s="1491" t="n"/>
      <c r="AO140" s="1491" t="n"/>
      <c r="AP140" s="1491" t="n"/>
      <c r="AR140" s="2368" t="inlineStr">
        <is>
          <t>Aracaju</t>
        </is>
      </c>
      <c r="AS140" s="2235" t="n"/>
      <c r="AT140" s="2236">
        <f>AU139</f>
        <v/>
      </c>
      <c r="AU140" s="2227">
        <f>AT140+6</f>
        <v/>
      </c>
      <c r="AV140" s="2351">
        <f>AU140-AT140</f>
        <v/>
      </c>
      <c r="AW140" s="2369" t="inlineStr">
        <is>
          <t>XI'AN</t>
        </is>
      </c>
      <c r="AX140" s="2370" t="n"/>
      <c r="AY140" s="2371" t="n">
        <v>42514</v>
      </c>
      <c r="AZ140" s="2372" t="n">
        <v>42516</v>
      </c>
      <c r="BA140" s="2373">
        <f>AZ140-AY140</f>
        <v/>
      </c>
      <c r="BB140" s="2190" t="n"/>
      <c r="BC140" s="2191" t="n"/>
      <c r="BD140" s="2190" t="n"/>
      <c r="BE140" s="2323" t="n"/>
      <c r="BF140" s="2228" t="n"/>
      <c r="BG140" s="2129" t="inlineStr">
        <is>
          <t>Porto –&gt;</t>
        </is>
      </c>
      <c r="BH140" s="1870" t="inlineStr">
        <is>
          <t>Valença</t>
        </is>
      </c>
      <c r="BI140" s="2130" t="n">
        <v>43418</v>
      </c>
      <c r="BJ140" s="2131" t="n">
        <v>43425</v>
      </c>
      <c r="BK140" s="1884">
        <f>BJ140-BI140</f>
        <v/>
      </c>
      <c r="BL140" s="2335" t="n"/>
      <c r="BM140" s="2336" t="inlineStr">
        <is>
          <t>RIO</t>
        </is>
      </c>
      <c r="BN140" s="2337">
        <f>BO139</f>
        <v/>
      </c>
      <c r="BO140" s="2338" t="n">
        <v>43550</v>
      </c>
      <c r="BP140" s="1874">
        <f>BO140-BN140</f>
        <v/>
      </c>
      <c r="BQ140" s="2344" t="n"/>
      <c r="BR140" s="2344" t="n"/>
      <c r="BS140" s="2344" t="n"/>
      <c r="BT140" s="2344" t="n"/>
      <c r="BU140" s="1874" t="n"/>
      <c r="BV140" s="1842" t="n"/>
      <c r="BW140" s="1842" t="n"/>
      <c r="BX140" s="1842" t="n"/>
      <c r="BY140" s="1842" t="n"/>
      <c r="BZ140" s="1842" t="n"/>
      <c r="CA140" s="1842" t="n"/>
      <c r="CB140" s="1842" t="n"/>
      <c r="CC140" s="1842" t="n"/>
      <c r="CD140" s="1842" t="n"/>
      <c r="CE140" s="1491" t="n"/>
      <c r="CF140" s="1491" t="n"/>
      <c r="CG140" s="1491" t="n"/>
      <c r="CH140" s="1491" t="n"/>
      <c r="CI140" s="1491" t="n"/>
      <c r="CJ140" s="1491" t="n"/>
      <c r="CK140" s="1491" t="n"/>
      <c r="CL140" s="1491" t="n"/>
      <c r="CM140" s="1491" t="n"/>
      <c r="CN140" s="1491" t="n"/>
      <c r="CO140" s="1491" t="n"/>
    </row>
    <row r="141">
      <c r="A141" s="1491" t="n"/>
      <c r="B141" s="1491" t="n"/>
      <c r="C141" s="1491" t="n"/>
      <c r="D141" s="1491" t="n"/>
      <c r="E141" s="1491" t="n"/>
      <c r="F141" s="1491" t="n"/>
      <c r="G141" s="1491" t="n"/>
      <c r="H141" s="1491" t="n"/>
      <c r="I141" s="1491" t="n"/>
      <c r="J141" s="1491" t="n"/>
      <c r="K141" s="1491" t="n"/>
      <c r="L141" s="1491" t="n"/>
      <c r="M141" s="1491" t="n"/>
      <c r="N141" s="1491" t="n"/>
      <c r="O141" s="1491" t="n"/>
      <c r="P141" s="1491" t="n"/>
      <c r="Q141" s="1491" t="n"/>
      <c r="R141" s="1491" t="n"/>
      <c r="S141" s="1491" t="n"/>
      <c r="T141" s="1491" t="n"/>
      <c r="U141" s="1491" t="n"/>
      <c r="V141" s="1491" t="n"/>
      <c r="W141" s="1491" t="n"/>
      <c r="X141" s="1491" t="n"/>
      <c r="Y141" s="1491" t="n"/>
      <c r="Z141" s="1491" t="n"/>
      <c r="AA141" s="1491" t="n"/>
      <c r="AB141" s="1491" t="n"/>
      <c r="AC141" s="1491" t="n"/>
      <c r="AD141" s="1491" t="n"/>
      <c r="AE141" s="1491" t="n"/>
      <c r="AF141" s="1491" t="n"/>
      <c r="AG141" s="1491" t="n"/>
      <c r="AH141" s="1491" t="n"/>
      <c r="AI141" s="1491" t="n"/>
      <c r="AJ141" s="1491" t="n"/>
      <c r="AK141" s="1491" t="n"/>
      <c r="AL141" s="1491" t="n"/>
      <c r="AM141" s="1491" t="n"/>
      <c r="AN141" s="1491" t="n"/>
      <c r="AO141" s="1491" t="n"/>
      <c r="AP141" s="1491" t="n"/>
      <c r="AR141" s="2374" t="inlineStr">
        <is>
          <t>SSA</t>
        </is>
      </c>
      <c r="AS141" s="2375" t="n"/>
      <c r="AT141" s="2376" t="n">
        <v>42035</v>
      </c>
      <c r="AU141" s="2377" t="n">
        <v>42135</v>
      </c>
      <c r="AV141" s="2351">
        <f>AU141-AT141</f>
        <v/>
      </c>
      <c r="AW141" s="2369" t="inlineStr">
        <is>
          <t>BEIJING</t>
        </is>
      </c>
      <c r="AX141" s="2370" t="inlineStr">
        <is>
          <t>conexao</t>
        </is>
      </c>
      <c r="AY141" s="2371">
        <f>AZ140</f>
        <v/>
      </c>
      <c r="AZ141" s="2372">
        <f>AY141</f>
        <v/>
      </c>
      <c r="BA141" s="2373" t="n"/>
      <c r="BB141" s="2190" t="n"/>
      <c r="BC141" s="2191" t="n"/>
      <c r="BD141" s="2190" t="n"/>
      <c r="BE141" s="2323" t="n"/>
      <c r="BF141" s="2228" t="n"/>
      <c r="BG141" s="2378" t="inlineStr">
        <is>
          <t>Tuí –&gt;</t>
        </is>
      </c>
      <c r="BH141" s="2202" t="inlineStr">
        <is>
          <t>Santiago</t>
        </is>
      </c>
      <c r="BI141" s="2325" t="n">
        <v>43425</v>
      </c>
      <c r="BJ141" s="2326" t="n">
        <v>43430</v>
      </c>
      <c r="BK141" s="1874">
        <f>BJ141-BI141</f>
        <v/>
      </c>
      <c r="BL141" s="2361" t="n"/>
      <c r="BM141" s="2362" t="inlineStr">
        <is>
          <t>ATLANTA CONEXAO</t>
        </is>
      </c>
      <c r="BN141" s="2363">
        <f>BO140</f>
        <v/>
      </c>
      <c r="BO141" s="2364">
        <f>BN141</f>
        <v/>
      </c>
      <c r="BP141" s="2365">
        <f>BO141-BN141</f>
        <v/>
      </c>
      <c r="BQ141" s="2344" t="n"/>
      <c r="BR141" s="2344" t="n"/>
      <c r="BS141" s="2344" t="n"/>
      <c r="BT141" s="2344" t="n"/>
      <c r="BU141" s="1874" t="n"/>
      <c r="BV141" s="1842" t="n"/>
      <c r="BW141" s="1842" t="n"/>
      <c r="BX141" s="1842" t="n"/>
      <c r="BY141" s="1842" t="n"/>
      <c r="BZ141" s="1842" t="n"/>
      <c r="CA141" s="1842" t="n"/>
      <c r="CB141" s="1842" t="n"/>
      <c r="CC141" s="1842" t="n"/>
      <c r="CD141" s="1842" t="n"/>
      <c r="CE141" s="1491" t="n"/>
      <c r="CF141" s="1491" t="n"/>
      <c r="CG141" s="1491" t="n"/>
      <c r="CH141" s="1491" t="n"/>
      <c r="CI141" s="1491" t="n"/>
      <c r="CJ141" s="1491" t="n"/>
      <c r="CK141" s="1491" t="n"/>
      <c r="CL141" s="1491" t="n"/>
      <c r="CM141" s="1491" t="n"/>
      <c r="CN141" s="1491" t="n"/>
      <c r="CO141" s="1491" t="n"/>
    </row>
    <row r="142">
      <c r="A142" s="1491" t="n"/>
      <c r="B142" s="1491" t="n"/>
      <c r="C142" s="1491" t="n"/>
      <c r="D142" s="1491" t="n"/>
      <c r="E142" s="1491" t="n"/>
      <c r="F142" s="1491" t="n"/>
      <c r="G142" s="1491" t="n"/>
      <c r="H142" s="1491" t="n"/>
      <c r="I142" s="1491" t="n"/>
      <c r="J142" s="1491" t="n"/>
      <c r="K142" s="1491" t="n"/>
      <c r="L142" s="1491" t="n"/>
      <c r="M142" s="1491" t="n"/>
      <c r="N142" s="1491" t="n"/>
      <c r="O142" s="1491" t="n"/>
      <c r="P142" s="1491" t="n"/>
      <c r="Q142" s="1491" t="n"/>
      <c r="R142" s="1491" t="n"/>
      <c r="S142" s="1491" t="n"/>
      <c r="T142" s="1491" t="n"/>
      <c r="U142" s="1491" t="n"/>
      <c r="V142" s="1491" t="n"/>
      <c r="W142" s="1491" t="n"/>
      <c r="X142" s="1491" t="n"/>
      <c r="Y142" s="1491" t="n"/>
      <c r="Z142" s="1491" t="n"/>
      <c r="AA142" s="1491" t="n"/>
      <c r="AB142" s="1491" t="n"/>
      <c r="AC142" s="1491" t="n"/>
      <c r="AD142" s="1491" t="n"/>
      <c r="AE142" s="1491" t="n"/>
      <c r="AF142" s="1491" t="n"/>
      <c r="AG142" s="1491" t="n"/>
      <c r="AH142" s="1491" t="n"/>
      <c r="AI142" s="1491" t="n"/>
      <c r="AJ142" s="1491" t="n"/>
      <c r="AK142" s="1491" t="n"/>
      <c r="AL142" s="1491" t="n"/>
      <c r="AM142" s="1491" t="n"/>
      <c r="AN142" s="1491" t="n"/>
      <c r="AO142" s="1491" t="n"/>
      <c r="AP142" s="1491" t="n"/>
      <c r="AR142" s="2379" t="inlineStr">
        <is>
          <t>SP</t>
        </is>
      </c>
      <c r="AS142" s="2380" t="inlineStr">
        <is>
          <t>Sam</t>
        </is>
      </c>
      <c r="AT142" s="2381" t="n">
        <v>42088</v>
      </c>
      <c r="AU142" s="2382" t="n">
        <v>42091</v>
      </c>
      <c r="AV142" s="2351">
        <f>AU142-AT142</f>
        <v/>
      </c>
      <c r="AW142" s="2355" t="inlineStr">
        <is>
          <t>Toronto</t>
        </is>
      </c>
      <c r="AX142" s="2356" t="inlineStr">
        <is>
          <t>conexao</t>
        </is>
      </c>
      <c r="AY142" s="2357">
        <f>AZ141</f>
        <v/>
      </c>
      <c r="AZ142" s="2357">
        <f>AY142</f>
        <v/>
      </c>
      <c r="BA142" s="2351" t="n"/>
      <c r="BB142" s="2190" t="n"/>
      <c r="BC142" s="2191" t="n"/>
      <c r="BD142" s="2190" t="n"/>
      <c r="BE142" s="2323" t="n"/>
      <c r="BF142" s="2228" t="n"/>
      <c r="BG142" s="2378" t="n"/>
      <c r="BH142" s="2202" t="inlineStr">
        <is>
          <t>Barcelona</t>
        </is>
      </c>
      <c r="BI142" s="2325" t="n">
        <v>43430</v>
      </c>
      <c r="BJ142" s="2326" t="n">
        <v>43433</v>
      </c>
      <c r="BK142" s="1874">
        <f>BJ142-BI142</f>
        <v/>
      </c>
      <c r="BL142" s="2229" t="inlineStr">
        <is>
          <t>7880, Rue Nadeau J4Y 2C3</t>
        </is>
      </c>
      <c r="BM142" s="2230" t="n"/>
      <c r="BN142" s="2231">
        <f>BO141</f>
        <v/>
      </c>
      <c r="BO142" s="2359" t="n">
        <v>43641</v>
      </c>
      <c r="BP142" s="2360">
        <f>BO142-BN142</f>
        <v/>
      </c>
      <c r="BQ142" s="2344" t="n"/>
      <c r="BR142" s="2344" t="n"/>
      <c r="BS142" s="2344" t="n"/>
      <c r="BT142" s="2344" t="n"/>
      <c r="BU142" s="1874" t="n"/>
      <c r="BV142" s="1842" t="n"/>
      <c r="BW142" s="1842" t="n"/>
      <c r="BX142" s="1842" t="n"/>
      <c r="BY142" s="1842" t="n"/>
      <c r="BZ142" s="1842" t="n"/>
      <c r="CA142" s="1842" t="n"/>
      <c r="CB142" s="1842" t="n"/>
      <c r="CC142" s="1842" t="n"/>
      <c r="CD142" s="1842" t="n"/>
      <c r="CE142" s="1491" t="n"/>
      <c r="CF142" s="1491" t="n"/>
      <c r="CG142" s="1491" t="n"/>
      <c r="CH142" s="1491" t="n"/>
      <c r="CI142" s="1491" t="n"/>
      <c r="CJ142" s="1491" t="n"/>
      <c r="CK142" s="1491" t="n"/>
      <c r="CL142" s="1491" t="n"/>
      <c r="CM142" s="1491" t="n"/>
      <c r="CN142" s="1491" t="n"/>
      <c r="CO142" s="1491" t="n"/>
    </row>
    <row r="143">
      <c r="A143" s="1491" t="n"/>
      <c r="B143" s="1491" t="n"/>
      <c r="C143" s="1491" t="n"/>
      <c r="D143" s="1491" t="n"/>
      <c r="E143" s="1491" t="n"/>
      <c r="F143" s="1491" t="n"/>
      <c r="G143" s="1491" t="n"/>
      <c r="H143" s="1491" t="n"/>
      <c r="I143" s="1491" t="n"/>
      <c r="J143" s="1491" t="n"/>
      <c r="K143" s="1491" t="n"/>
      <c r="L143" s="1491" t="n"/>
      <c r="M143" s="1491" t="n"/>
      <c r="N143" s="1491" t="n"/>
      <c r="O143" s="1491" t="n"/>
      <c r="P143" s="1491" t="n"/>
      <c r="Q143" s="1491" t="n"/>
      <c r="R143" s="1491" t="n"/>
      <c r="S143" s="1491" t="n"/>
      <c r="T143" s="1491" t="n"/>
      <c r="U143" s="1491" t="n"/>
      <c r="V143" s="1491" t="n"/>
      <c r="W143" s="1491" t="n"/>
      <c r="X143" s="1491" t="n"/>
      <c r="Y143" s="1491" t="n"/>
      <c r="Z143" s="1491" t="n"/>
      <c r="AA143" s="1491" t="n"/>
      <c r="AB143" s="1491" t="n"/>
      <c r="AC143" s="1491" t="n"/>
      <c r="AD143" s="1491" t="n"/>
      <c r="AE143" s="1491" t="n"/>
      <c r="AF143" s="1491" t="n"/>
      <c r="AG143" s="1491" t="n"/>
      <c r="AH143" s="1491" t="n"/>
      <c r="AI143" s="1491" t="n"/>
      <c r="AJ143" s="1491" t="n"/>
      <c r="AK143" s="1491" t="n"/>
      <c r="AL143" s="1491" t="n"/>
      <c r="AM143" s="1491" t="n"/>
      <c r="AN143" s="1491" t="n"/>
      <c r="AO143" s="1491" t="n"/>
      <c r="AP143" s="1491" t="n"/>
      <c r="AR143" s="2379" t="inlineStr">
        <is>
          <t>Rio</t>
        </is>
      </c>
      <c r="AS143" s="2380" t="inlineStr">
        <is>
          <t>Tatá</t>
        </is>
      </c>
      <c r="AT143" s="2381" t="n">
        <v>42091</v>
      </c>
      <c r="AU143" s="2382" t="n">
        <v>42100</v>
      </c>
      <c r="AV143" s="2351">
        <f>AU143-AT143</f>
        <v/>
      </c>
      <c r="AW143" s="2246" t="inlineStr">
        <is>
          <t>771, Rue Beatty</t>
        </is>
      </c>
      <c r="AX143" s="2247" t="n"/>
      <c r="AY143" s="2254" t="n">
        <v>42516</v>
      </c>
      <c r="AZ143" s="2275" t="n">
        <v>42547</v>
      </c>
      <c r="BA143" s="2276">
        <f>AZ143-AY143</f>
        <v/>
      </c>
      <c r="BB143" s="2190" t="n"/>
      <c r="BC143" s="2191" t="n"/>
      <c r="BD143" s="2190" t="n"/>
      <c r="BE143" s="2323" t="n"/>
      <c r="BF143" s="2228" t="n"/>
      <c r="BG143" s="2129" t="n"/>
      <c r="BH143" s="1870" t="inlineStr">
        <is>
          <t>Porto*</t>
        </is>
      </c>
      <c r="BI143" s="2130" t="n">
        <v>43433</v>
      </c>
      <c r="BJ143" s="2131" t="n">
        <v>43433</v>
      </c>
      <c r="BK143" s="1884">
        <f>BJ143-BI143</f>
        <v/>
      </c>
      <c r="BL143" s="2361" t="n"/>
      <c r="BM143" s="2362" t="inlineStr">
        <is>
          <t>PANAMA CONEXAO</t>
        </is>
      </c>
      <c r="BN143" s="2363">
        <f>BO142</f>
        <v/>
      </c>
      <c r="BO143" s="2364">
        <f>BN143</f>
        <v/>
      </c>
      <c r="BP143" s="2365">
        <f>BO143-BN143</f>
        <v/>
      </c>
      <c r="BQ143" s="2344" t="n"/>
      <c r="BR143" s="2344" t="n"/>
      <c r="BS143" s="2344" t="n"/>
      <c r="BT143" s="2344" t="n"/>
      <c r="BU143" s="1907" t="n"/>
      <c r="BV143" s="1842" t="n"/>
      <c r="BW143" s="1842" t="n"/>
      <c r="BX143" s="1842" t="n"/>
      <c r="BY143" s="1842" t="n"/>
      <c r="BZ143" s="1842" t="n"/>
      <c r="CA143" s="1842" t="n"/>
      <c r="CB143" s="1842" t="n"/>
      <c r="CC143" s="1842" t="n"/>
      <c r="CD143" s="1842" t="n"/>
      <c r="CE143" s="1491" t="n"/>
      <c r="CF143" s="1491" t="n"/>
      <c r="CG143" s="1491" t="n"/>
      <c r="CH143" s="1491" t="n"/>
      <c r="CI143" s="1491" t="n"/>
      <c r="CJ143" s="1491" t="n"/>
      <c r="CK143" s="1491" t="n"/>
      <c r="CL143" s="1491" t="n"/>
      <c r="CM143" s="1491" t="n"/>
      <c r="CN143" s="1491" t="n"/>
      <c r="CO143" s="1491" t="n"/>
    </row>
    <row r="144">
      <c r="A144" s="1491" t="n"/>
      <c r="B144" s="1491" t="n"/>
      <c r="C144" s="1491" t="n"/>
      <c r="D144" s="1491" t="n"/>
      <c r="E144" s="1491" t="n"/>
      <c r="F144" s="1491" t="n"/>
      <c r="G144" s="1491" t="n"/>
      <c r="H144" s="1491" t="n"/>
      <c r="I144" s="1491" t="n"/>
      <c r="J144" s="1491" t="n"/>
      <c r="K144" s="1491" t="n"/>
      <c r="L144" s="1491" t="n"/>
      <c r="M144" s="1491" t="n"/>
      <c r="N144" s="1491" t="n"/>
      <c r="O144" s="1491" t="n"/>
      <c r="P144" s="1491" t="n"/>
      <c r="Q144" s="1491" t="n"/>
      <c r="R144" s="1491" t="n"/>
      <c r="S144" s="1491" t="n"/>
      <c r="T144" s="1491" t="n"/>
      <c r="U144" s="1491" t="n"/>
      <c r="V144" s="1491" t="n"/>
      <c r="W144" s="1491" t="n"/>
      <c r="X144" s="1491" t="n"/>
      <c r="Y144" s="1491" t="n"/>
      <c r="Z144" s="1491" t="n"/>
      <c r="AA144" s="1491" t="n"/>
      <c r="AB144" s="1491" t="n"/>
      <c r="AC144" s="1491" t="n"/>
      <c r="AD144" s="1491" t="n"/>
      <c r="AE144" s="1491" t="n"/>
      <c r="AF144" s="1491" t="n"/>
      <c r="AG144" s="1491" t="n"/>
      <c r="AH144" s="1491" t="n"/>
      <c r="AI144" s="1491" t="n"/>
      <c r="AJ144" s="1491" t="n"/>
      <c r="AK144" s="1491" t="n"/>
      <c r="AL144" s="1491" t="n"/>
      <c r="AM144" s="1491" t="n"/>
      <c r="AN144" s="1491" t="n"/>
      <c r="AO144" s="1491" t="n"/>
      <c r="AP144" s="1491" t="n"/>
      <c r="AR144" s="2374" t="inlineStr">
        <is>
          <t>SSA</t>
        </is>
      </c>
      <c r="AS144" s="2375" t="n"/>
      <c r="AT144" s="2376" t="n">
        <v>42100</v>
      </c>
      <c r="AU144" s="2377" t="n">
        <v>42115</v>
      </c>
      <c r="AV144" s="2351">
        <f>AU144-AT144</f>
        <v/>
      </c>
      <c r="AW144" s="2246" t="inlineStr">
        <is>
          <t>7880, Rue Nadeau J4Y 2C3</t>
        </is>
      </c>
      <c r="AX144" s="2247" t="n"/>
      <c r="AY144" s="2254" t="n">
        <v>42547</v>
      </c>
      <c r="AZ144" s="2275" t="n">
        <v>42581</v>
      </c>
      <c r="BA144" s="2276">
        <f>AZ144-AY144</f>
        <v/>
      </c>
      <c r="BB144" s="2190" t="n"/>
      <c r="BC144" s="2191" t="n"/>
      <c r="BD144" s="2190" t="n"/>
      <c r="BE144" s="2323" t="n"/>
      <c r="BF144" s="2228" t="n"/>
      <c r="BG144" s="2129" t="n"/>
      <c r="BH144" s="1870" t="inlineStr">
        <is>
          <t xml:space="preserve">Lisboa </t>
        </is>
      </c>
      <c r="BI144" s="2130" t="n">
        <v>43433</v>
      </c>
      <c r="BJ144" s="2131" t="n">
        <v>43434</v>
      </c>
      <c r="BK144" s="1884">
        <f>BJ144-BI144</f>
        <v/>
      </c>
      <c r="BL144" s="2118" t="inlineStr">
        <is>
          <t>SSA</t>
        </is>
      </c>
      <c r="BM144" s="2235" t="inlineStr">
        <is>
          <t>Ondina</t>
        </is>
      </c>
      <c r="BN144" s="2236">
        <f>BO143</f>
        <v/>
      </c>
      <c r="BO144" s="2227" t="n">
        <v>43667</v>
      </c>
      <c r="BP144" s="1874">
        <f>BO144-BN144</f>
        <v/>
      </c>
      <c r="BQ144" s="2344" t="n"/>
      <c r="BR144" s="2344" t="n"/>
      <c r="BS144" s="2344" t="n"/>
      <c r="BT144" s="2344" t="n"/>
      <c r="BU144" s="1874" t="n"/>
      <c r="BV144" s="1842" t="n"/>
      <c r="BW144" s="1842" t="n"/>
      <c r="BX144" s="1842" t="n"/>
      <c r="BY144" s="1842" t="n"/>
      <c r="BZ144" s="1842" t="n"/>
      <c r="CA144" s="1842" t="n"/>
      <c r="CB144" s="1842" t="n"/>
      <c r="CC144" s="1842" t="n"/>
      <c r="CD144" s="1842" t="n"/>
      <c r="CE144" s="1491" t="n"/>
      <c r="CF144" s="1491" t="n"/>
      <c r="CG144" s="1491" t="n"/>
      <c r="CH144" s="1491" t="n"/>
      <c r="CI144" s="1491" t="n"/>
      <c r="CJ144" s="1491" t="n"/>
      <c r="CK144" s="1491" t="n"/>
      <c r="CL144" s="1491" t="n"/>
      <c r="CM144" s="1491" t="n"/>
      <c r="CN144" s="1491" t="n"/>
      <c r="CO144" s="1491" t="n"/>
    </row>
    <row r="145">
      <c r="A145" s="1491" t="n"/>
      <c r="B145" s="1491" t="n"/>
      <c r="C145" s="1491" t="n"/>
      <c r="D145" s="1491" t="n"/>
      <c r="E145" s="1491" t="n"/>
      <c r="F145" s="1491" t="n"/>
      <c r="G145" s="1491" t="n"/>
      <c r="H145" s="1491" t="n"/>
      <c r="I145" s="1491" t="n"/>
      <c r="J145" s="1491" t="n"/>
      <c r="K145" s="1491" t="n"/>
      <c r="L145" s="1491" t="n"/>
      <c r="M145" s="1491" t="n"/>
      <c r="N145" s="1491" t="n"/>
      <c r="O145" s="1491" t="n"/>
      <c r="P145" s="1491" t="n"/>
      <c r="Q145" s="1491" t="n"/>
      <c r="R145" s="1491" t="n"/>
      <c r="S145" s="1491" t="n"/>
      <c r="T145" s="1491" t="n"/>
      <c r="U145" s="1491" t="n"/>
      <c r="V145" s="1491" t="n"/>
      <c r="W145" s="1491" t="n"/>
      <c r="X145" s="1491" t="n"/>
      <c r="Y145" s="1491" t="n"/>
      <c r="Z145" s="1491" t="n"/>
      <c r="AA145" s="1491" t="n"/>
      <c r="AB145" s="1491" t="n"/>
      <c r="AC145" s="1491" t="n"/>
      <c r="AD145" s="1491" t="n"/>
      <c r="AE145" s="1491" t="n"/>
      <c r="AF145" s="1491" t="n"/>
      <c r="AG145" s="1491" t="n"/>
      <c r="AH145" s="1491" t="n"/>
      <c r="AI145" s="1491" t="n"/>
      <c r="AJ145" s="1491" t="n"/>
      <c r="AK145" s="1491" t="n"/>
      <c r="AL145" s="1491" t="n"/>
      <c r="AM145" s="1491" t="n"/>
      <c r="AN145" s="1491" t="n"/>
      <c r="AO145" s="1491" t="n"/>
      <c r="AP145" s="1491" t="n"/>
      <c r="AR145" s="2383" t="inlineStr">
        <is>
          <t>espaco aereo brasileiro</t>
        </is>
      </c>
      <c r="AS145" s="2384" t="n"/>
      <c r="AT145" s="2385" t="n">
        <v>42115</v>
      </c>
      <c r="AU145" s="2386" t="n">
        <v>42116</v>
      </c>
      <c r="AV145" s="2351">
        <f>AU145-AT145</f>
        <v/>
      </c>
      <c r="AW145" s="2355" t="inlineStr">
        <is>
          <t>Ottawa</t>
        </is>
      </c>
      <c r="AX145" s="2356" t="inlineStr">
        <is>
          <t>day trip</t>
        </is>
      </c>
      <c r="AY145" s="2357">
        <f>AZ144</f>
        <v/>
      </c>
      <c r="AZ145" s="2357">
        <f>AY145</f>
        <v/>
      </c>
      <c r="BA145" s="1884" t="n"/>
      <c r="BB145" s="2190" t="n"/>
      <c r="BC145" s="2191" t="n"/>
      <c r="BD145" s="2190" t="n"/>
      <c r="BE145" s="2323" t="n"/>
      <c r="BF145" s="2228" t="n"/>
      <c r="BG145" s="2246" t="inlineStr">
        <is>
          <t>7880, Rue Nadeau J4Y 2C3</t>
        </is>
      </c>
      <c r="BH145" s="2247" t="n"/>
      <c r="BI145" s="2254" t="n">
        <v>43434</v>
      </c>
      <c r="BJ145" s="2275">
        <f>TODAY()</f>
        <v/>
      </c>
      <c r="BK145" s="2276">
        <f>BJ145-BI145</f>
        <v/>
      </c>
      <c r="BL145" s="2335" t="n"/>
      <c r="BM145" s="2336" t="inlineStr">
        <is>
          <t>RIO</t>
        </is>
      </c>
      <c r="BN145" s="2337">
        <f>BO144</f>
        <v/>
      </c>
      <c r="BO145" s="2338" t="n">
        <v>43670</v>
      </c>
      <c r="BP145" s="1874">
        <f>BO145-BN145</f>
        <v/>
      </c>
      <c r="BQ145" s="2344" t="n"/>
      <c r="BR145" s="2344" t="n"/>
      <c r="BS145" s="2344" t="n"/>
      <c r="BT145" s="2344" t="n"/>
      <c r="BU145" s="1874" t="n"/>
      <c r="BV145" s="1842" t="n"/>
      <c r="BW145" s="1842" t="n"/>
      <c r="BX145" s="1842" t="n"/>
      <c r="BY145" s="1842" t="n"/>
      <c r="BZ145" s="1842" t="n"/>
      <c r="CA145" s="1842" t="n"/>
      <c r="CB145" s="1842" t="n"/>
      <c r="CC145" s="1842" t="n"/>
      <c r="CD145" s="1842" t="n"/>
      <c r="CE145" s="1491" t="n"/>
      <c r="CF145" s="1491" t="n"/>
      <c r="CG145" s="1491" t="n"/>
      <c r="CH145" s="1491" t="n"/>
      <c r="CI145" s="1491" t="n"/>
      <c r="CJ145" s="1491" t="n"/>
      <c r="CK145" s="1491" t="n"/>
      <c r="CL145" s="1491" t="n"/>
      <c r="CM145" s="1491" t="n"/>
      <c r="CN145" s="1491" t="n"/>
      <c r="CO145" s="1491" t="n"/>
    </row>
    <row r="146">
      <c r="A146" s="1491" t="n"/>
      <c r="B146" s="1491" t="n"/>
      <c r="C146" s="1491" t="n"/>
      <c r="D146" s="1491" t="n"/>
      <c r="E146" s="1491" t="n"/>
      <c r="F146" s="1491" t="n"/>
      <c r="G146" s="1491" t="n"/>
      <c r="H146" s="1491" t="n"/>
      <c r="I146" s="1491" t="n"/>
      <c r="J146" s="1491" t="n"/>
      <c r="K146" s="1491" t="n"/>
      <c r="L146" s="1491" t="n"/>
      <c r="M146" s="1491" t="n"/>
      <c r="N146" s="1491" t="n"/>
      <c r="O146" s="1491" t="n"/>
      <c r="P146" s="1491" t="n"/>
      <c r="Q146" s="1491" t="n"/>
      <c r="R146" s="1491" t="n"/>
      <c r="S146" s="1491" t="n"/>
      <c r="T146" s="1491" t="n"/>
      <c r="U146" s="1491" t="n"/>
      <c r="V146" s="1491" t="n"/>
      <c r="W146" s="1491" t="n"/>
      <c r="X146" s="1491" t="n"/>
      <c r="Y146" s="1491" t="n"/>
      <c r="Z146" s="1491" t="n"/>
      <c r="AA146" s="1491" t="n"/>
      <c r="AB146" s="1491" t="n"/>
      <c r="AC146" s="1491" t="n"/>
      <c r="AD146" s="1491" t="n"/>
      <c r="AE146" s="1491" t="n"/>
      <c r="AF146" s="1491" t="n"/>
      <c r="AG146" s="1491" t="n"/>
      <c r="AH146" s="1491" t="n"/>
      <c r="AI146" s="1491" t="n"/>
      <c r="AJ146" s="1491" t="n"/>
      <c r="AK146" s="1491" t="n"/>
      <c r="AL146" s="1491" t="n"/>
      <c r="AM146" s="1491" t="n"/>
      <c r="AN146" s="1491" t="n"/>
      <c r="AO146" s="1491" t="n"/>
      <c r="AP146" s="1491" t="n"/>
      <c r="AR146" s="2387" t="inlineStr">
        <is>
          <t>Miami</t>
        </is>
      </c>
      <c r="AS146" s="2388" t="inlineStr">
        <is>
          <t>conexao</t>
        </is>
      </c>
      <c r="AT146" s="2389" t="n">
        <v>42116</v>
      </c>
      <c r="AU146" s="2390" t="n">
        <v>42116</v>
      </c>
      <c r="AV146" s="2351">
        <f>AU146-AT146</f>
        <v/>
      </c>
      <c r="AW146" s="2246" t="inlineStr">
        <is>
          <t>7880, Rue Nadeau J4Y 2C3</t>
        </is>
      </c>
      <c r="AX146" s="2247" t="n"/>
      <c r="AY146" s="2254" t="n">
        <v>42581</v>
      </c>
      <c r="AZ146" s="2275" t="n">
        <v>42733</v>
      </c>
      <c r="BA146" s="2276">
        <f>AZ146-AY146</f>
        <v/>
      </c>
      <c r="BB146" s="2190" t="n"/>
      <c r="BC146" s="2191" t="n"/>
      <c r="BD146" s="2190" t="n"/>
      <c r="BE146" s="2323" t="n"/>
      <c r="BF146" s="2228" t="n"/>
      <c r="BG146" s="2190" t="n"/>
      <c r="BH146" s="2191" t="n"/>
      <c r="BI146" s="2190" t="n"/>
      <c r="BJ146" s="2323" t="n"/>
      <c r="BK146" s="1874" t="n"/>
      <c r="BL146" s="2118" t="inlineStr">
        <is>
          <t>SSA</t>
        </is>
      </c>
      <c r="BM146" s="2235" t="inlineStr">
        <is>
          <t>Ondina</t>
        </is>
      </c>
      <c r="BN146" s="2236">
        <f>BO145</f>
        <v/>
      </c>
      <c r="BO146" s="2227" t="n">
        <v>43673</v>
      </c>
      <c r="BP146" s="1874">
        <f>BO146-BN146</f>
        <v/>
      </c>
      <c r="BQ146" s="2344" t="n"/>
      <c r="BR146" s="2344" t="n"/>
      <c r="BS146" s="2344" t="n"/>
      <c r="BT146" s="2344" t="n"/>
      <c r="BU146" s="1874" t="n"/>
      <c r="BV146" s="1842" t="n"/>
      <c r="BW146" s="1842" t="n"/>
      <c r="BX146" s="1842" t="n"/>
      <c r="BY146" s="1842" t="n"/>
      <c r="BZ146" s="1842" t="n"/>
      <c r="CA146" s="1842" t="n"/>
      <c r="CB146" s="1842" t="n"/>
      <c r="CC146" s="1842" t="n"/>
      <c r="CD146" s="1842" t="n"/>
      <c r="CE146" s="1491" t="n"/>
      <c r="CF146" s="1491" t="n"/>
      <c r="CG146" s="1491" t="n"/>
      <c r="CH146" s="1491" t="n"/>
      <c r="CI146" s="1491" t="n"/>
      <c r="CJ146" s="1491" t="n"/>
      <c r="CK146" s="1491" t="n"/>
      <c r="CL146" s="1491" t="n"/>
      <c r="CM146" s="1491" t="n"/>
      <c r="CN146" s="1491" t="n"/>
      <c r="CO146" s="1491" t="n"/>
    </row>
    <row r="147">
      <c r="A147" s="1491" t="n"/>
      <c r="B147" s="1491" t="n"/>
      <c r="C147" s="1491" t="n"/>
      <c r="D147" s="1491" t="n"/>
      <c r="E147" s="1491" t="n"/>
      <c r="F147" s="1491" t="n"/>
      <c r="G147" s="1491" t="n"/>
      <c r="H147" s="1491" t="n"/>
      <c r="I147" s="1491" t="n"/>
      <c r="J147" s="1491" t="n"/>
      <c r="K147" s="1491" t="n"/>
      <c r="L147" s="1491" t="n"/>
      <c r="M147" s="1491" t="n"/>
      <c r="N147" s="1491" t="n"/>
      <c r="O147" s="1491" t="n"/>
      <c r="P147" s="1491" t="n"/>
      <c r="Q147" s="1491" t="n"/>
      <c r="R147" s="1491" t="n"/>
      <c r="S147" s="1491" t="n"/>
      <c r="T147" s="1491" t="n"/>
      <c r="U147" s="1491" t="n"/>
      <c r="V147" s="1491" t="n"/>
      <c r="W147" s="1491" t="n"/>
      <c r="X147" s="1491" t="n"/>
      <c r="Y147" s="1491" t="n"/>
      <c r="Z147" s="1491" t="n"/>
      <c r="AA147" s="1491" t="n"/>
      <c r="AB147" s="1491" t="n"/>
      <c r="AC147" s="1491" t="n"/>
      <c r="AD147" s="1491" t="n"/>
      <c r="AE147" s="1491" t="n"/>
      <c r="AF147" s="1491" t="n"/>
      <c r="AG147" s="1491" t="n"/>
      <c r="AH147" s="1491" t="n"/>
      <c r="AI147" s="1491" t="n"/>
      <c r="AJ147" s="1491" t="n"/>
      <c r="AK147" s="1491" t="n"/>
      <c r="AL147" s="1491" t="n"/>
      <c r="AM147" s="1491" t="n"/>
      <c r="AN147" s="1491" t="n"/>
      <c r="AO147" s="1491" t="n"/>
      <c r="AP147" s="1491" t="n"/>
      <c r="AR147" s="2352" t="inlineStr">
        <is>
          <t>771, Rue Beatty</t>
        </is>
      </c>
      <c r="AS147" s="2353" t="n"/>
      <c r="AT147" s="2354" t="n">
        <v>42116</v>
      </c>
      <c r="AU147" s="2354" t="n">
        <v>42149</v>
      </c>
      <c r="AV147" s="2351">
        <f>AU147-AT147</f>
        <v/>
      </c>
      <c r="AW147" s="2355" t="inlineStr">
        <is>
          <t>Mont-Tremblant</t>
        </is>
      </c>
      <c r="AX147" s="2356" t="inlineStr">
        <is>
          <t>Chateau Beauvallon</t>
        </is>
      </c>
      <c r="AY147" s="2357">
        <f>AZ146</f>
        <v/>
      </c>
      <c r="AZ147" s="2357" t="n">
        <v>42736</v>
      </c>
      <c r="BA147" s="2276">
        <f>AZ147-AY147</f>
        <v/>
      </c>
      <c r="BB147" s="2190" t="n"/>
      <c r="BC147" s="2191" t="n"/>
      <c r="BD147" s="2190" t="n"/>
      <c r="BE147" s="2323" t="n"/>
      <c r="BF147" s="2228" t="n"/>
      <c r="BG147" s="2361" t="n"/>
      <c r="BH147" s="2362" t="inlineStr">
        <is>
          <t>usa (phil)</t>
        </is>
      </c>
      <c r="BI147" s="2363" t="n">
        <v>43300</v>
      </c>
      <c r="BJ147" s="2364" t="n">
        <v>43300</v>
      </c>
      <c r="BK147" s="2365">
        <f>BJ147-BI147</f>
        <v/>
      </c>
      <c r="BL147" s="2361" t="inlineStr">
        <is>
          <t>PANAMA</t>
        </is>
      </c>
      <c r="BM147" s="2362" t="inlineStr">
        <is>
          <t>CONEXAO E CITY TOUR!</t>
        </is>
      </c>
      <c r="BN147" s="2363">
        <f>BO146</f>
        <v/>
      </c>
      <c r="BO147" s="2364">
        <f>BN147</f>
        <v/>
      </c>
      <c r="BP147" s="2365">
        <f>BO147-BN147</f>
        <v/>
      </c>
      <c r="BQ147" s="2344" t="n"/>
      <c r="BR147" s="2344" t="n"/>
      <c r="BS147" s="2344" t="n"/>
      <c r="BT147" s="2344" t="n"/>
      <c r="BU147" s="1874" t="n"/>
      <c r="BV147" s="1842" t="n"/>
      <c r="BW147" s="1842" t="n"/>
      <c r="BX147" s="1842" t="n"/>
      <c r="BY147" s="1842" t="n"/>
      <c r="BZ147" s="1842" t="n"/>
      <c r="CA147" s="1842" t="n"/>
      <c r="CB147" s="1842" t="n"/>
      <c r="CC147" s="1842" t="n"/>
      <c r="CD147" s="1842" t="n"/>
      <c r="CE147" s="1491" t="n"/>
      <c r="CF147" s="1491" t="n"/>
      <c r="CG147" s="1491" t="n"/>
      <c r="CH147" s="1491" t="n"/>
      <c r="CI147" s="1491" t="n"/>
      <c r="CJ147" s="1491" t="n"/>
      <c r="CK147" s="1491" t="n"/>
      <c r="CL147" s="1491" t="n"/>
      <c r="CM147" s="1491" t="n"/>
      <c r="CN147" s="1491" t="n"/>
      <c r="CO147" s="1491" t="n"/>
    </row>
    <row r="148">
      <c r="A148" s="1491" t="n"/>
      <c r="B148" s="1491" t="n"/>
      <c r="C148" s="1491" t="n"/>
      <c r="D148" s="1491" t="n"/>
      <c r="E148" s="1491" t="n"/>
      <c r="F148" s="1491" t="n"/>
      <c r="G148" s="1491" t="n"/>
      <c r="H148" s="1491" t="n"/>
      <c r="I148" s="1491" t="n"/>
      <c r="J148" s="1491" t="n"/>
      <c r="K148" s="1491" t="n"/>
      <c r="L148" s="1491" t="n"/>
      <c r="M148" s="1491" t="n"/>
      <c r="N148" s="1491" t="n"/>
      <c r="O148" s="1491" t="n"/>
      <c r="P148" s="1491" t="n"/>
      <c r="Q148" s="1491" t="n"/>
      <c r="R148" s="1491" t="n"/>
      <c r="S148" s="1491" t="n"/>
      <c r="T148" s="1491" t="n"/>
      <c r="U148" s="1491" t="n"/>
      <c r="V148" s="1491" t="n"/>
      <c r="W148" s="1491" t="n"/>
      <c r="X148" s="1491" t="n"/>
      <c r="Y148" s="1491" t="n"/>
      <c r="Z148" s="1491" t="n"/>
      <c r="AA148" s="1491" t="n"/>
      <c r="AB148" s="1491" t="n"/>
      <c r="AC148" s="1491" t="n"/>
      <c r="AD148" s="1491" t="n"/>
      <c r="AE148" s="1491" t="n"/>
      <c r="AF148" s="1491" t="n"/>
      <c r="AG148" s="1491" t="n"/>
      <c r="AH148" s="1491" t="n"/>
      <c r="AI148" s="1491" t="n"/>
      <c r="AJ148" s="1491" t="n"/>
      <c r="AK148" s="1491" t="n"/>
      <c r="AL148" s="1491" t="n"/>
      <c r="AM148" s="1491" t="n"/>
      <c r="AN148" s="1491" t="n"/>
      <c r="AO148" s="1491" t="n"/>
      <c r="AP148" s="1491" t="n"/>
      <c r="AR148" s="2387" t="inlineStr">
        <is>
          <t>Queensbury</t>
        </is>
      </c>
      <c r="AS148" s="2255" t="n"/>
      <c r="AT148" s="2389">
        <f>AU147</f>
        <v/>
      </c>
      <c r="AU148" s="2390">
        <f>AT148+2</f>
        <v/>
      </c>
      <c r="AV148" s="2351">
        <f>AU148-AT148</f>
        <v/>
      </c>
      <c r="AW148" s="2190" t="n"/>
      <c r="AX148" s="2191" t="n"/>
      <c r="AY148" s="2190" t="n"/>
      <c r="AZ148" s="2323" t="n"/>
      <c r="BA148" s="1884">
        <f>AZ148-AY148</f>
        <v/>
      </c>
      <c r="BB148" s="2190" t="n"/>
      <c r="BC148" s="2191" t="n"/>
      <c r="BD148" s="2190" t="n"/>
      <c r="BE148" s="2323" t="n"/>
      <c r="BF148" s="2228">
        <f>BE148-BD148</f>
        <v/>
      </c>
      <c r="BG148" s="2361" t="n"/>
      <c r="BH148" s="2362" t="inlineStr">
        <is>
          <t>Miami (sleep-over)</t>
        </is>
      </c>
      <c r="BI148" s="2363" t="n">
        <v>43300</v>
      </c>
      <c r="BJ148" s="2364" t="n">
        <v>43301</v>
      </c>
      <c r="BK148" s="2365">
        <f>BJ148-BI148</f>
        <v/>
      </c>
      <c r="BL148" s="2229" t="inlineStr">
        <is>
          <t>7880, Rue Nadeau J4Y 2C3</t>
        </is>
      </c>
      <c r="BM148" s="2230" t="n"/>
      <c r="BN148" s="2231">
        <f>BO147</f>
        <v/>
      </c>
      <c r="BO148" s="2359" t="n">
        <v>43781</v>
      </c>
      <c r="BP148" s="2360">
        <f>BO148-BN148</f>
        <v/>
      </c>
      <c r="BQ148" s="2344" t="n"/>
      <c r="BR148" s="2344" t="n"/>
      <c r="BS148" s="2344" t="n"/>
      <c r="BT148" s="2344" t="n"/>
      <c r="BU148" s="1874" t="n"/>
      <c r="BV148" s="1842" t="n"/>
      <c r="BW148" s="1842" t="n"/>
      <c r="BX148" s="1842" t="n"/>
      <c r="BY148" s="1842" t="n"/>
      <c r="BZ148" s="1842" t="n"/>
      <c r="CA148" s="1842" t="n"/>
      <c r="CB148" s="1842" t="n"/>
      <c r="CC148" s="1842" t="n"/>
      <c r="CD148" s="1842" t="n"/>
      <c r="CE148" s="1491" t="n"/>
      <c r="CF148" s="1491" t="n"/>
      <c r="CG148" s="1491" t="n"/>
      <c r="CH148" s="1491" t="n"/>
      <c r="CI148" s="1491" t="n"/>
      <c r="CJ148" s="1491" t="n"/>
      <c r="CK148" s="1491" t="n"/>
      <c r="CL148" s="1491" t="n"/>
      <c r="CM148" s="1491" t="n"/>
      <c r="CN148" s="1491" t="n"/>
      <c r="CO148" s="1491" t="n"/>
    </row>
    <row r="149">
      <c r="A149" s="1491" t="n"/>
      <c r="B149" s="1491" t="n"/>
      <c r="C149" s="1491" t="n"/>
      <c r="D149" s="1491" t="n"/>
      <c r="E149" s="1491" t="n"/>
      <c r="F149" s="1491" t="n"/>
      <c r="G149" s="1491" t="n"/>
      <c r="H149" s="1491" t="n"/>
      <c r="I149" s="1491" t="n"/>
      <c r="J149" s="1491" t="n"/>
      <c r="K149" s="1491" t="n"/>
      <c r="L149" s="1491" t="n"/>
      <c r="M149" s="1491" t="n"/>
      <c r="N149" s="1491" t="n"/>
      <c r="O149" s="1491" t="n"/>
      <c r="P149" s="1491" t="n"/>
      <c r="Q149" s="1491" t="n"/>
      <c r="R149" s="1491" t="n"/>
      <c r="S149" s="1491" t="n"/>
      <c r="T149" s="1491" t="n"/>
      <c r="U149" s="1491" t="n"/>
      <c r="V149" s="1491" t="n"/>
      <c r="W149" s="1491" t="n"/>
      <c r="X149" s="1491" t="n"/>
      <c r="Y149" s="1491" t="n"/>
      <c r="Z149" s="1491" t="n"/>
      <c r="AA149" s="1491" t="n"/>
      <c r="AB149" s="1491" t="n"/>
      <c r="AC149" s="1491" t="n"/>
      <c r="AD149" s="1491" t="n"/>
      <c r="AE149" s="1491" t="n"/>
      <c r="AF149" s="1491" t="n"/>
      <c r="AG149" s="1491" t="n"/>
      <c r="AH149" s="1491" t="n"/>
      <c r="AI149" s="1491" t="n"/>
      <c r="AJ149" s="1491" t="n"/>
      <c r="AK149" s="1491" t="n"/>
      <c r="AL149" s="1491" t="n"/>
      <c r="AM149" s="1491" t="n"/>
      <c r="AN149" s="1491" t="n"/>
      <c r="AO149" s="1491" t="n"/>
      <c r="AP149" s="1491" t="n"/>
      <c r="AR149" s="2352" t="inlineStr">
        <is>
          <t>771, Rue Beatty</t>
        </is>
      </c>
      <c r="AS149" s="2353" t="n"/>
      <c r="AT149" s="2354">
        <f>AU148</f>
        <v/>
      </c>
      <c r="AU149" s="2354">
        <f>TODAY()</f>
        <v/>
      </c>
      <c r="AV149" s="2351">
        <f>AU149-AT149</f>
        <v/>
      </c>
      <c r="AW149" s="2190" t="n"/>
      <c r="AX149" s="2191" t="n"/>
      <c r="AY149" s="2190" t="n"/>
      <c r="AZ149" s="2323" t="n"/>
      <c r="BA149" s="1884">
        <f>AZ149-AY149</f>
        <v/>
      </c>
      <c r="BB149" s="2190" t="n"/>
      <c r="BC149" s="2191" t="n"/>
      <c r="BD149" s="2190" t="n"/>
      <c r="BE149" s="2323" t="n"/>
      <c r="BF149" s="2228">
        <f>BE149-BD149</f>
        <v/>
      </c>
      <c r="BG149" s="2361" t="inlineStr">
        <is>
          <t xml:space="preserve">NINA </t>
        </is>
      </c>
      <c r="BH149" s="2362" t="inlineStr">
        <is>
          <t>aereo USA</t>
        </is>
      </c>
      <c r="BI149" s="2363" t="n">
        <v>43301</v>
      </c>
      <c r="BJ149" s="2364" t="n">
        <v>43302</v>
      </c>
      <c r="BK149" s="2365">
        <f>BJ149-BI149</f>
        <v/>
      </c>
      <c r="BL149" s="2115" t="inlineStr">
        <is>
          <t>London</t>
        </is>
      </c>
      <c r="BM149" s="1989" t="inlineStr">
        <is>
          <t>David's &amp; Thomas'</t>
        </is>
      </c>
      <c r="BN149" s="2116" t="n">
        <v>43782</v>
      </c>
      <c r="BO149" s="2117" t="n">
        <v>43793</v>
      </c>
      <c r="BP149" s="2367">
        <f>BO149-BN149</f>
        <v/>
      </c>
      <c r="BQ149" s="2344" t="n"/>
      <c r="BR149" s="2344" t="n"/>
      <c r="BS149" s="2344" t="n"/>
      <c r="BT149" s="2344" t="n"/>
      <c r="BU149" s="1874" t="n"/>
      <c r="BV149" s="1842" t="n"/>
      <c r="BW149" s="1842" t="n"/>
      <c r="BX149" s="1842" t="n"/>
      <c r="BY149" s="1842" t="n"/>
      <c r="BZ149" s="1842" t="n"/>
      <c r="CA149" s="1842" t="n"/>
      <c r="CB149" s="1842" t="n"/>
      <c r="CC149" s="1842" t="n"/>
      <c r="CD149" s="1842" t="n"/>
      <c r="CE149" s="1491" t="n"/>
      <c r="CF149" s="1491" t="n"/>
      <c r="CG149" s="1491" t="n"/>
      <c r="CH149" s="1491" t="n"/>
      <c r="CI149" s="1491" t="n"/>
      <c r="CJ149" s="1491" t="n"/>
      <c r="CK149" s="1491" t="n"/>
      <c r="CL149" s="1491" t="n"/>
      <c r="CM149" s="1491" t="n"/>
      <c r="CN149" s="1491" t="n"/>
      <c r="CO149" s="1491" t="n"/>
    </row>
    <row r="150">
      <c r="A150" s="1491" t="n"/>
      <c r="B150" s="1491" t="n"/>
      <c r="C150" s="1491" t="n"/>
      <c r="D150" s="1491" t="n"/>
      <c r="E150" s="1491" t="n"/>
      <c r="F150" s="1491" t="n"/>
      <c r="G150" s="1491" t="n"/>
      <c r="H150" s="1491" t="n"/>
      <c r="I150" s="1491" t="n"/>
      <c r="J150" s="1491" t="n"/>
      <c r="K150" s="1491" t="n"/>
      <c r="L150" s="1491" t="n"/>
      <c r="M150" s="1491" t="n"/>
      <c r="N150" s="1491" t="n"/>
      <c r="O150" s="1491" t="n"/>
      <c r="P150" s="1491" t="n"/>
      <c r="Q150" s="1491" t="n"/>
      <c r="R150" s="1491" t="n"/>
      <c r="S150" s="1491" t="n"/>
      <c r="T150" s="1491" t="n"/>
      <c r="U150" s="1491" t="n"/>
      <c r="V150" s="1491" t="n"/>
      <c r="W150" s="1491" t="n"/>
      <c r="X150" s="1491" t="n"/>
      <c r="Y150" s="1491" t="n"/>
      <c r="Z150" s="1491" t="n"/>
      <c r="AA150" s="1491" t="n"/>
      <c r="AB150" s="1491" t="n"/>
      <c r="AC150" s="1491" t="n"/>
      <c r="AD150" s="1491" t="n"/>
      <c r="AE150" s="1491" t="n"/>
      <c r="AF150" s="1491" t="n"/>
      <c r="AG150" s="1491" t="n"/>
      <c r="AH150" s="1491" t="n"/>
      <c r="AI150" s="1491" t="n"/>
      <c r="AJ150" s="1491" t="n"/>
      <c r="AK150" s="1491" t="n"/>
      <c r="AL150" s="1491" t="n"/>
      <c r="AM150" s="1491" t="n"/>
      <c r="AN150" s="1491" t="n"/>
      <c r="AO150" s="1491" t="n"/>
      <c r="AP150" s="1491" t="n"/>
      <c r="AR150" s="2352" t="n"/>
      <c r="AS150" s="2366" t="inlineStr">
        <is>
          <t>Bromont - Parc Aquatique</t>
        </is>
      </c>
      <c r="AT150" s="2354" t="n">
        <v>42232</v>
      </c>
      <c r="AU150" s="2354" t="n"/>
      <c r="AV150" s="2228" t="n"/>
      <c r="AW150" s="2190" t="n"/>
      <c r="AX150" s="2191" t="n"/>
      <c r="AY150" s="2190" t="n"/>
      <c r="AZ150" s="2323" t="n"/>
      <c r="BA150" s="1884">
        <f>AZ150-AY150</f>
        <v/>
      </c>
      <c r="BB150" s="2190" t="n"/>
      <c r="BC150" s="2191" t="n"/>
      <c r="BD150" s="2190" t="n"/>
      <c r="BE150" s="2323" t="n"/>
      <c r="BF150" s="2228">
        <f>BE150-BD150</f>
        <v/>
      </c>
      <c r="BG150" s="2361" t="inlineStr">
        <is>
          <t xml:space="preserve">NINA </t>
        </is>
      </c>
      <c r="BH150" s="2362" t="inlineStr">
        <is>
          <t>SP-Caxias</t>
        </is>
      </c>
      <c r="BI150" s="2363" t="n">
        <v>43302</v>
      </c>
      <c r="BJ150" s="2364" t="n">
        <v>43304</v>
      </c>
      <c r="BK150" s="2365">
        <f>BJ150-BI150</f>
        <v/>
      </c>
      <c r="BL150" s="2229" t="inlineStr">
        <is>
          <t>7880, Rue Nadeau J4Y 2C3</t>
        </is>
      </c>
      <c r="BM150" s="2230" t="n"/>
      <c r="BN150" s="2231">
        <f>BO149</f>
        <v/>
      </c>
      <c r="BO150" s="2359" t="n">
        <v>43798</v>
      </c>
      <c r="BP150" s="2360">
        <f>BO150-BN150</f>
        <v/>
      </c>
      <c r="BQ150" s="2344" t="n"/>
      <c r="BR150" s="2344" t="n"/>
      <c r="BS150" s="2344" t="n"/>
      <c r="BT150" s="2344" t="n"/>
      <c r="BU150" s="1874" t="n"/>
      <c r="BV150" s="1842" t="n"/>
      <c r="BW150" s="1842" t="n"/>
      <c r="BX150" s="1842" t="n"/>
      <c r="BY150" s="1842" t="n"/>
      <c r="BZ150" s="1842" t="n"/>
      <c r="CA150" s="1842" t="n"/>
      <c r="CB150" s="1842" t="n"/>
      <c r="CC150" s="1842" t="n"/>
      <c r="CD150" s="1842" t="n"/>
      <c r="CE150" s="1491" t="n"/>
      <c r="CF150" s="1491" t="n"/>
      <c r="CG150" s="1491" t="n"/>
      <c r="CH150" s="1491" t="n"/>
      <c r="CI150" s="1491" t="n"/>
      <c r="CJ150" s="1491" t="n"/>
      <c r="CK150" s="1491" t="n"/>
      <c r="CL150" s="1491" t="n"/>
      <c r="CM150" s="1491" t="n"/>
      <c r="CN150" s="1491" t="n"/>
      <c r="CO150" s="1491" t="n"/>
    </row>
    <row r="151">
      <c r="A151" s="1491" t="n"/>
      <c r="B151" s="1491" t="n"/>
      <c r="C151" s="1491" t="n"/>
      <c r="D151" s="1491" t="n"/>
      <c r="E151" s="1491" t="n"/>
      <c r="F151" s="1491" t="n"/>
      <c r="G151" s="1491" t="n"/>
      <c r="H151" s="1491" t="n"/>
      <c r="I151" s="1491" t="n"/>
      <c r="J151" s="1491" t="n"/>
      <c r="K151" s="1491" t="n"/>
      <c r="L151" s="1491" t="n"/>
      <c r="M151" s="1491" t="n"/>
      <c r="N151" s="1491" t="n"/>
      <c r="O151" s="1491" t="n"/>
      <c r="P151" s="1491" t="n"/>
      <c r="Q151" s="1491" t="n"/>
      <c r="R151" s="1491" t="n"/>
      <c r="S151" s="1491" t="n"/>
      <c r="T151" s="1491" t="n"/>
      <c r="U151" s="1491" t="n"/>
      <c r="V151" s="1491" t="n"/>
      <c r="W151" s="1491" t="n"/>
      <c r="X151" s="1491" t="n"/>
      <c r="Y151" s="1491" t="n"/>
      <c r="Z151" s="1491" t="n"/>
      <c r="AA151" s="1491" t="n"/>
      <c r="AB151" s="1491" t="n"/>
      <c r="AC151" s="1491" t="n"/>
      <c r="AD151" s="1491" t="n"/>
      <c r="AE151" s="1491" t="n"/>
      <c r="AF151" s="1491" t="n"/>
      <c r="AG151" s="1491" t="n"/>
      <c r="AH151" s="1491" t="n"/>
      <c r="AI151" s="1491" t="n"/>
      <c r="AJ151" s="1491" t="n"/>
      <c r="AK151" s="1491" t="n"/>
      <c r="AL151" s="1491" t="n"/>
      <c r="AM151" s="1491" t="n"/>
      <c r="AN151" s="1491" t="n"/>
      <c r="AO151" s="1491" t="n"/>
      <c r="AP151" s="1491" t="n"/>
      <c r="AR151" s="2361" t="n"/>
      <c r="AS151" s="2362" t="inlineStr">
        <is>
          <t>aereo canadense</t>
        </is>
      </c>
      <c r="AT151" s="2363" t="n">
        <v>42282</v>
      </c>
      <c r="AU151" s="2364" t="n">
        <v>42283</v>
      </c>
      <c r="AV151" s="2391">
        <f>AU151-AT151</f>
        <v/>
      </c>
      <c r="AW151" s="2361" t="n"/>
      <c r="AX151" s="2362" t="inlineStr">
        <is>
          <t>aereo canadense</t>
        </is>
      </c>
      <c r="AY151" s="2363" t="n">
        <v>42661</v>
      </c>
      <c r="AZ151" s="2364">
        <f>AY151</f>
        <v/>
      </c>
      <c r="BA151" s="2391">
        <f>AZ151-AY151</f>
        <v/>
      </c>
      <c r="BB151" s="2361" t="inlineStr">
        <is>
          <t xml:space="preserve">NINA </t>
        </is>
      </c>
      <c r="BC151" s="2362" t="n"/>
      <c r="BD151" s="2363" t="n">
        <v>42991</v>
      </c>
      <c r="BE151" s="2364" t="n">
        <v>42991</v>
      </c>
      <c r="BF151" s="2391">
        <f>BE151-BD151</f>
        <v/>
      </c>
      <c r="BG151" s="2361" t="inlineStr">
        <is>
          <t xml:space="preserve">NINA </t>
        </is>
      </c>
      <c r="BH151" s="2362" t="inlineStr">
        <is>
          <t>PoA</t>
        </is>
      </c>
      <c r="BI151" s="2363" t="n">
        <v>43304</v>
      </c>
      <c r="BJ151" s="2364" t="n">
        <v>43310</v>
      </c>
      <c r="BK151" s="2365">
        <f>BJ151-BI151</f>
        <v/>
      </c>
      <c r="BL151" s="1998" t="inlineStr">
        <is>
          <t>Burlington</t>
        </is>
      </c>
      <c r="BM151" s="2255" t="inlineStr">
        <is>
          <t>Hampton Inn</t>
        </is>
      </c>
      <c r="BN151" s="2151">
        <f>BO150</f>
        <v/>
      </c>
      <c r="BO151" s="2152" t="n">
        <v>43799</v>
      </c>
      <c r="BP151" s="1874">
        <f>BO151-BN151</f>
        <v/>
      </c>
      <c r="BQ151" s="2344" t="n"/>
      <c r="BR151" s="2344" t="n"/>
      <c r="BS151" s="2344" t="n"/>
      <c r="BT151" s="2344" t="n"/>
      <c r="BU151" s="1874" t="n"/>
      <c r="BV151" s="1842" t="n"/>
      <c r="BW151" s="1842" t="n"/>
      <c r="BX151" s="1842" t="n"/>
      <c r="BY151" s="1842" t="n"/>
      <c r="BZ151" s="1842" t="n"/>
      <c r="CA151" s="1842" t="n"/>
      <c r="CB151" s="1842" t="n"/>
      <c r="CC151" s="1842" t="n"/>
      <c r="CD151" s="1842" t="n"/>
      <c r="CE151" s="1491" t="n"/>
      <c r="CF151" s="1491" t="n"/>
      <c r="CG151" s="1491" t="n"/>
      <c r="CH151" s="1491" t="n"/>
      <c r="CI151" s="1491" t="n"/>
      <c r="CJ151" s="1491" t="n"/>
      <c r="CK151" s="1491" t="n"/>
      <c r="CL151" s="1491" t="n"/>
      <c r="CM151" s="1491" t="n"/>
      <c r="CN151" s="1491" t="n"/>
      <c r="CO151" s="1491" t="n"/>
    </row>
    <row r="152">
      <c r="A152" s="1491" t="n"/>
      <c r="B152" s="1491" t="n"/>
      <c r="C152" s="1491" t="n"/>
      <c r="D152" s="1491" t="n"/>
      <c r="E152" s="1491" t="n"/>
      <c r="F152" s="1491" t="n"/>
      <c r="G152" s="1491" t="n"/>
      <c r="H152" s="1491" t="n"/>
      <c r="I152" s="1491" t="n"/>
      <c r="J152" s="1491" t="n"/>
      <c r="K152" s="1491" t="n"/>
      <c r="L152" s="1491" t="n"/>
      <c r="M152" s="1491" t="n"/>
      <c r="N152" s="1491" t="n"/>
      <c r="O152" s="1491" t="n"/>
      <c r="P152" s="1491" t="n"/>
      <c r="Q152" s="1491" t="n"/>
      <c r="R152" s="1491" t="n"/>
      <c r="S152" s="1491" t="n"/>
      <c r="T152" s="1491" t="n"/>
      <c r="U152" s="1491" t="n"/>
      <c r="V152" s="1491" t="n"/>
      <c r="W152" s="1491" t="n"/>
      <c r="X152" s="1491" t="n"/>
      <c r="Y152" s="1491" t="n"/>
      <c r="Z152" s="1491" t="n"/>
      <c r="AA152" s="1491" t="n"/>
      <c r="AB152" s="1491" t="n"/>
      <c r="AC152" s="1491" t="n"/>
      <c r="AD152" s="1491" t="n"/>
      <c r="AE152" s="1491" t="n"/>
      <c r="AF152" s="1491" t="n"/>
      <c r="AG152" s="1491" t="n"/>
      <c r="AH152" s="1491" t="n"/>
      <c r="AI152" s="1491" t="n"/>
      <c r="AJ152" s="1491" t="n"/>
      <c r="AK152" s="1491" t="n"/>
      <c r="AL152" s="1491" t="n"/>
      <c r="AM152" s="1491" t="n"/>
      <c r="AN152" s="1491" t="n"/>
      <c r="AO152" s="1491" t="n"/>
      <c r="AP152" s="1491" t="n"/>
      <c r="AR152" s="2361" t="inlineStr">
        <is>
          <t xml:space="preserve">NINA </t>
        </is>
      </c>
      <c r="AS152" s="2362" t="inlineStr">
        <is>
          <t>RIO</t>
        </is>
      </c>
      <c r="AT152" s="2363" t="n">
        <v>42283</v>
      </c>
      <c r="AU152" s="2364" t="n">
        <v>42289</v>
      </c>
      <c r="AV152" s="2391">
        <f>AU152-AT152</f>
        <v/>
      </c>
      <c r="AW152" s="2361" t="n"/>
      <c r="AX152" s="2362" t="inlineStr">
        <is>
          <t>Panama (conexao)</t>
        </is>
      </c>
      <c r="AY152" s="2363">
        <f>AZ151</f>
        <v/>
      </c>
      <c r="AZ152" s="2364">
        <f>AY152</f>
        <v/>
      </c>
      <c r="BA152" s="2391">
        <f>AZ152-AY152</f>
        <v/>
      </c>
      <c r="BB152" s="2361" t="inlineStr">
        <is>
          <t xml:space="preserve">NINA </t>
        </is>
      </c>
      <c r="BC152" s="2362" t="inlineStr">
        <is>
          <t>aereo usa/atlanta</t>
        </is>
      </c>
      <c r="BD152" s="2363">
        <f>BE151</f>
        <v/>
      </c>
      <c r="BE152" s="2364" t="n">
        <v>42992</v>
      </c>
      <c r="BF152" s="2391">
        <f>BE152-BD152</f>
        <v/>
      </c>
      <c r="BG152" s="2361" t="inlineStr">
        <is>
          <t xml:space="preserve">NINA </t>
        </is>
      </c>
      <c r="BH152" s="2362" t="inlineStr">
        <is>
          <t>Sampa</t>
        </is>
      </c>
      <c r="BI152" s="2363" t="n">
        <v>43310</v>
      </c>
      <c r="BJ152" s="2364" t="n">
        <v>43318</v>
      </c>
      <c r="BK152" s="2365">
        <f>BJ152-BI152</f>
        <v/>
      </c>
      <c r="BL152" s="2229" t="inlineStr">
        <is>
          <t>7880, Rue Nadeau J4Y 2C3</t>
        </is>
      </c>
      <c r="BM152" s="2230" t="n"/>
      <c r="BN152" s="2231">
        <f>BO151</f>
        <v/>
      </c>
      <c r="BO152" s="2359" t="n">
        <v>43831</v>
      </c>
      <c r="BP152" s="2360">
        <f>BO152-BN152</f>
        <v/>
      </c>
      <c r="BQ152" s="2344" t="n"/>
      <c r="BR152" s="2344" t="n"/>
      <c r="BS152" s="2344" t="n"/>
      <c r="BT152" s="2344" t="n"/>
      <c r="BU152" s="1874" t="n"/>
      <c r="BV152" s="1842" t="n"/>
      <c r="BW152" s="1842" t="n"/>
      <c r="BX152" s="1842" t="n"/>
      <c r="BY152" s="1842" t="n"/>
      <c r="BZ152" s="1842" t="n"/>
      <c r="CA152" s="1842" t="n"/>
      <c r="CB152" s="1842" t="n"/>
      <c r="CC152" s="1842" t="n"/>
      <c r="CD152" s="1842" t="n"/>
      <c r="CE152" s="1491" t="n"/>
      <c r="CF152" s="1491" t="n"/>
      <c r="CG152" s="1491" t="n"/>
      <c r="CH152" s="1491" t="n"/>
      <c r="CI152" s="1491" t="n"/>
      <c r="CJ152" s="1491" t="n"/>
      <c r="CK152" s="1491" t="n"/>
      <c r="CL152" s="1491" t="n"/>
      <c r="CM152" s="1491" t="n"/>
      <c r="CN152" s="1491" t="n"/>
      <c r="CO152" s="1491" t="n"/>
    </row>
    <row r="153">
      <c r="A153" s="1491" t="n"/>
      <c r="B153" s="1491" t="n"/>
      <c r="C153" s="1491" t="n"/>
      <c r="D153" s="1491" t="n"/>
      <c r="E153" s="1491" t="n"/>
      <c r="F153" s="1491" t="n"/>
      <c r="G153" s="1491" t="n"/>
      <c r="H153" s="1491" t="n"/>
      <c r="I153" s="1491" t="n"/>
      <c r="J153" s="1491" t="n"/>
      <c r="K153" s="1491" t="n"/>
      <c r="L153" s="1491" t="n"/>
      <c r="M153" s="1491" t="n"/>
      <c r="N153" s="1491" t="n"/>
      <c r="O153" s="1491" t="n"/>
      <c r="P153" s="1491" t="n"/>
      <c r="Q153" s="1491" t="n"/>
      <c r="R153" s="1491" t="n"/>
      <c r="S153" s="1491" t="n"/>
      <c r="T153" s="1491" t="n"/>
      <c r="U153" s="1491" t="n"/>
      <c r="V153" s="1491" t="n"/>
      <c r="W153" s="1491" t="n"/>
      <c r="X153" s="1491" t="n"/>
      <c r="Y153" s="1491" t="n"/>
      <c r="Z153" s="1491" t="n"/>
      <c r="AA153" s="1491" t="n"/>
      <c r="AB153" s="1491" t="n"/>
      <c r="AC153" s="1491" t="n"/>
      <c r="AD153" s="1491" t="n"/>
      <c r="AE153" s="1491" t="n"/>
      <c r="AF153" s="1491" t="n"/>
      <c r="AG153" s="1491" t="n"/>
      <c r="AH153" s="1491" t="n"/>
      <c r="AI153" s="1491" t="n"/>
      <c r="AJ153" s="1491" t="n"/>
      <c r="AK153" s="1491" t="n"/>
      <c r="AL153" s="1491" t="n"/>
      <c r="AM153" s="1491" t="n"/>
      <c r="AN153" s="1491" t="n"/>
      <c r="AO153" s="1491" t="n"/>
      <c r="AP153" s="1491" t="n"/>
      <c r="AR153" s="2361" t="inlineStr">
        <is>
          <t xml:space="preserve">NINA </t>
        </is>
      </c>
      <c r="AS153" s="2362" t="inlineStr">
        <is>
          <t>SSA</t>
        </is>
      </c>
      <c r="AT153" s="2363">
        <f>AU152</f>
        <v/>
      </c>
      <c r="AU153" s="2364" t="n">
        <v>42296</v>
      </c>
      <c r="AV153" s="2391">
        <f>AU153-AT153</f>
        <v/>
      </c>
      <c r="AW153" s="2361" t="inlineStr">
        <is>
          <t xml:space="preserve">NINA </t>
        </is>
      </c>
      <c r="AX153" s="2362" t="inlineStr">
        <is>
          <t>Rio</t>
        </is>
      </c>
      <c r="AY153" s="2363">
        <f>AZ152</f>
        <v/>
      </c>
      <c r="AZ153" s="2364" t="n">
        <v>42667</v>
      </c>
      <c r="BA153" s="2391">
        <f>AZ153-AY153</f>
        <v/>
      </c>
      <c r="BB153" s="2361" t="inlineStr">
        <is>
          <t xml:space="preserve">NINA </t>
        </is>
      </c>
      <c r="BC153" s="2362" t="inlineStr">
        <is>
          <t>Rio</t>
        </is>
      </c>
      <c r="BD153" s="2363">
        <f>BE152</f>
        <v/>
      </c>
      <c r="BE153" s="2364" t="n">
        <v>42996</v>
      </c>
      <c r="BF153" s="2391">
        <f>BE153-BD153</f>
        <v/>
      </c>
      <c r="BG153" s="2361" t="n"/>
      <c r="BH153" s="2362" t="inlineStr">
        <is>
          <t>aereo BRA</t>
        </is>
      </c>
      <c r="BI153" s="2363" t="n">
        <v>43318</v>
      </c>
      <c r="BJ153" s="2364" t="n">
        <v>43319</v>
      </c>
      <c r="BK153" s="2365">
        <f>BJ153-BI153</f>
        <v/>
      </c>
      <c r="BL153" s="2300" t="n"/>
      <c r="BM153" s="2300" t="n"/>
      <c r="BN153" s="2300" t="n"/>
      <c r="BO153" s="2300" t="n"/>
      <c r="BP153" s="2301" t="n"/>
      <c r="BQ153" s="2344" t="n"/>
      <c r="BR153" s="2344" t="n"/>
      <c r="BS153" s="2344" t="n"/>
      <c r="BT153" s="2344" t="n"/>
      <c r="BU153" s="1907" t="n"/>
      <c r="BV153" s="1842" t="n"/>
      <c r="BW153" s="1842" t="n"/>
      <c r="BX153" s="1842" t="n"/>
      <c r="BY153" s="1842" t="n"/>
      <c r="BZ153" s="1842" t="n"/>
      <c r="CA153" s="1842" t="n"/>
      <c r="CB153" s="1842" t="n"/>
      <c r="CC153" s="1842" t="n"/>
      <c r="CD153" s="1842" t="n"/>
      <c r="CE153" s="1491" t="n"/>
      <c r="CF153" s="1491" t="n"/>
      <c r="CG153" s="1491" t="n"/>
      <c r="CH153" s="1491" t="n"/>
      <c r="CI153" s="1491" t="n"/>
      <c r="CJ153" s="1491" t="n"/>
      <c r="CK153" s="1491" t="n"/>
      <c r="CL153" s="1491" t="n"/>
      <c r="CM153" s="1491" t="n"/>
      <c r="CN153" s="1491" t="n"/>
      <c r="CO153" s="1491" t="n"/>
    </row>
    <row r="154">
      <c r="A154" s="1491" t="n"/>
      <c r="B154" s="1491" t="n"/>
      <c r="C154" s="1491" t="n"/>
      <c r="D154" s="1491" t="n"/>
      <c r="E154" s="1491" t="n"/>
      <c r="F154" s="1491" t="n"/>
      <c r="G154" s="1491" t="n"/>
      <c r="H154" s="1491" t="n"/>
      <c r="I154" s="1491" t="n"/>
      <c r="J154" s="1491" t="n"/>
      <c r="K154" s="1491" t="n"/>
      <c r="L154" s="1491" t="n"/>
      <c r="M154" s="1491" t="n"/>
      <c r="N154" s="1491" t="n"/>
      <c r="O154" s="1491" t="n"/>
      <c r="P154" s="1491" t="n"/>
      <c r="Q154" s="1491" t="n"/>
      <c r="R154" s="1491" t="n"/>
      <c r="S154" s="1491" t="n"/>
      <c r="T154" s="1491" t="n"/>
      <c r="U154" s="1491" t="n"/>
      <c r="V154" s="1491" t="n"/>
      <c r="W154" s="1491" t="n"/>
      <c r="X154" s="1491" t="n"/>
      <c r="Y154" s="1491" t="n"/>
      <c r="Z154" s="1491" t="n"/>
      <c r="AA154" s="1491" t="n"/>
      <c r="AB154" s="1491" t="n"/>
      <c r="AC154" s="1491" t="n"/>
      <c r="AD154" s="1491" t="n"/>
      <c r="AE154" s="1491" t="n"/>
      <c r="AF154" s="1491" t="n"/>
      <c r="AG154" s="1491" t="n"/>
      <c r="AH154" s="1491" t="n"/>
      <c r="AI154" s="1491" t="n"/>
      <c r="AJ154" s="1491" t="n"/>
      <c r="AK154" s="1491" t="n"/>
      <c r="AL154" s="1491" t="n"/>
      <c r="AM154" s="1491" t="n"/>
      <c r="AN154" s="1491" t="n"/>
      <c r="AO154" s="1491" t="n"/>
      <c r="AP154" s="1491" t="n"/>
      <c r="AR154" s="2361" t="inlineStr">
        <is>
          <t xml:space="preserve">NINA </t>
        </is>
      </c>
      <c r="AS154" s="2362" t="inlineStr">
        <is>
          <t>RIO</t>
        </is>
      </c>
      <c r="AT154" s="2363">
        <f>AU153</f>
        <v/>
      </c>
      <c r="AU154" s="2364" t="n">
        <v>42297</v>
      </c>
      <c r="AV154" s="2391">
        <f>AU154-AT154</f>
        <v/>
      </c>
      <c r="AW154" s="2361" t="inlineStr">
        <is>
          <t xml:space="preserve">NINA </t>
        </is>
      </c>
      <c r="AX154" s="2362" t="inlineStr">
        <is>
          <t>SSA</t>
        </is>
      </c>
      <c r="AY154" s="2363">
        <f>AZ153</f>
        <v/>
      </c>
      <c r="AZ154" s="2364" t="n">
        <v>42681</v>
      </c>
      <c r="BA154" s="2391">
        <f>AZ154-AY154</f>
        <v/>
      </c>
      <c r="BB154" s="2361" t="inlineStr">
        <is>
          <t xml:space="preserve">NINA </t>
        </is>
      </c>
      <c r="BC154" s="2362" t="inlineStr">
        <is>
          <t>Recife</t>
        </is>
      </c>
      <c r="BD154" s="2363">
        <f>BE153</f>
        <v/>
      </c>
      <c r="BE154" s="2364" t="n">
        <v>42998</v>
      </c>
      <c r="BF154" s="2391">
        <f>BE154-BD154</f>
        <v/>
      </c>
      <c r="BG154" s="2190" t="n"/>
      <c r="BH154" s="2191" t="n"/>
      <c r="BI154" s="2190" t="n"/>
      <c r="BJ154" s="2323" t="n"/>
      <c r="BK154" s="1874">
        <f>BJ154-BI154</f>
        <v/>
      </c>
      <c r="BL154" s="2300" t="n"/>
      <c r="BM154" s="2300" t="n"/>
      <c r="BN154" s="2300" t="n"/>
      <c r="BO154" s="2300" t="n"/>
      <c r="BP154" s="2301" t="n"/>
      <c r="BQ154" s="2344" t="n"/>
      <c r="BR154" s="2344" t="n"/>
      <c r="BS154" s="2344" t="n"/>
      <c r="BT154" s="2344" t="n"/>
      <c r="BU154" s="1874" t="n"/>
      <c r="BV154" s="1842" t="n"/>
      <c r="BW154" s="1842" t="n"/>
      <c r="BX154" s="1842" t="n"/>
      <c r="BY154" s="1842" t="n"/>
      <c r="BZ154" s="1842" t="n"/>
      <c r="CA154" s="1842" t="n"/>
      <c r="CB154" s="1842" t="n"/>
      <c r="CC154" s="1842" t="n"/>
      <c r="CD154" s="1842" t="n"/>
      <c r="CE154" s="1491" t="n"/>
      <c r="CF154" s="1491" t="n"/>
      <c r="CG154" s="1491" t="n"/>
      <c r="CH154" s="1491" t="n"/>
      <c r="CI154" s="1491" t="n"/>
      <c r="CJ154" s="1491" t="n"/>
      <c r="CK154" s="1491" t="n"/>
      <c r="CL154" s="1491" t="n"/>
      <c r="CM154" s="1491" t="n"/>
      <c r="CN154" s="1491" t="n"/>
      <c r="CO154" s="1491" t="n"/>
    </row>
    <row r="155">
      <c r="A155" s="1491" t="n"/>
      <c r="B155" s="1491" t="n"/>
      <c r="C155" s="1491" t="n"/>
      <c r="D155" s="1491" t="n"/>
      <c r="E155" s="1491" t="n"/>
      <c r="F155" s="1491" t="n"/>
      <c r="G155" s="1491" t="n"/>
      <c r="H155" s="1491" t="n"/>
      <c r="I155" s="1491" t="n"/>
      <c r="J155" s="1491" t="n"/>
      <c r="K155" s="1491" t="n"/>
      <c r="L155" s="1491" t="n"/>
      <c r="M155" s="1491" t="n"/>
      <c r="N155" s="1491" t="n"/>
      <c r="O155" s="1491" t="n"/>
      <c r="P155" s="1491" t="n"/>
      <c r="Q155" s="1491" t="n"/>
      <c r="R155" s="1491" t="n"/>
      <c r="S155" s="1491" t="n"/>
      <c r="T155" s="1491" t="n"/>
      <c r="U155" s="1491" t="n"/>
      <c r="V155" s="1491" t="n"/>
      <c r="W155" s="1491" t="n"/>
      <c r="X155" s="1491" t="n"/>
      <c r="Y155" s="1491" t="n"/>
      <c r="Z155" s="1491" t="n"/>
      <c r="AA155" s="1491" t="n"/>
      <c r="AB155" s="1491" t="n"/>
      <c r="AC155" s="1491" t="n"/>
      <c r="AD155" s="1491" t="n"/>
      <c r="AE155" s="1491" t="n"/>
      <c r="AF155" s="1491" t="n"/>
      <c r="AG155" s="1491" t="n"/>
      <c r="AH155" s="1491" t="n"/>
      <c r="AI155" s="1491" t="n"/>
      <c r="AJ155" s="1491" t="n"/>
      <c r="AK155" s="1491" t="n"/>
      <c r="AL155" s="1491" t="n"/>
      <c r="AM155" s="1491" t="n"/>
      <c r="AN155" s="1491" t="n"/>
      <c r="AO155" s="1491" t="n"/>
      <c r="AP155" s="1491" t="n"/>
      <c r="AR155" s="2361" t="inlineStr">
        <is>
          <t xml:space="preserve">NINA </t>
        </is>
      </c>
      <c r="AS155" s="2362" t="inlineStr">
        <is>
          <t xml:space="preserve">aereo brasil </t>
        </is>
      </c>
      <c r="AT155" s="2363">
        <f>AU154</f>
        <v/>
      </c>
      <c r="AU155" s="2364" t="n">
        <v>42298</v>
      </c>
      <c r="AV155" s="2391">
        <f>AU155-AT155</f>
        <v/>
      </c>
      <c r="AW155" s="2361" t="inlineStr">
        <is>
          <t xml:space="preserve">NINA </t>
        </is>
      </c>
      <c r="AX155" s="2362" t="inlineStr">
        <is>
          <t>Rio</t>
        </is>
      </c>
      <c r="AY155" s="2363">
        <f>AZ154</f>
        <v/>
      </c>
      <c r="AZ155" s="2364" t="n">
        <v>42684</v>
      </c>
      <c r="BA155" s="2391">
        <f>AZ155-AY155</f>
        <v/>
      </c>
      <c r="BB155" s="2361" t="inlineStr">
        <is>
          <t xml:space="preserve">NINA </t>
        </is>
      </c>
      <c r="BC155" s="2362" t="inlineStr">
        <is>
          <t>Salvador</t>
        </is>
      </c>
      <c r="BD155" s="2363">
        <f>BE154</f>
        <v/>
      </c>
      <c r="BE155" s="2364" t="n">
        <v>43000</v>
      </c>
      <c r="BF155" s="2391">
        <f>BE155-BD155</f>
        <v/>
      </c>
      <c r="BG155" s="2361" t="inlineStr">
        <is>
          <t xml:space="preserve">NINA </t>
        </is>
      </c>
      <c r="BH155" s="2362" t="inlineStr">
        <is>
          <t>aereo can</t>
        </is>
      </c>
      <c r="BI155" s="2363" t="n">
        <v>43358</v>
      </c>
      <c r="BJ155" s="2364" t="n">
        <v>43359</v>
      </c>
      <c r="BK155" s="2365">
        <f>BJ155-BI155</f>
        <v/>
      </c>
      <c r="BL155" s="2361" t="inlineStr">
        <is>
          <t xml:space="preserve">NINA </t>
        </is>
      </c>
      <c r="BM155" s="2362" t="inlineStr">
        <is>
          <t>Brasil</t>
        </is>
      </c>
      <c r="BN155" s="2363" t="inlineStr">
        <is>
          <t>setembro</t>
        </is>
      </c>
      <c r="BO155" s="2364" t="n"/>
      <c r="BP155" s="2365" t="n"/>
      <c r="BQ155" s="2344" t="n"/>
      <c r="BR155" s="2344" t="n"/>
      <c r="BS155" s="2344" t="n"/>
      <c r="BT155" s="2344" t="n"/>
      <c r="BU155" s="1874" t="n"/>
      <c r="BV155" s="1842" t="n"/>
      <c r="BW155" s="1842" t="n"/>
      <c r="BX155" s="1842" t="n"/>
      <c r="BY155" s="1842" t="n"/>
      <c r="BZ155" s="1842" t="n"/>
      <c r="CA155" s="1842" t="n"/>
      <c r="CB155" s="1842" t="n"/>
      <c r="CC155" s="1842" t="n"/>
      <c r="CD155" s="1842" t="n"/>
      <c r="CE155" s="1491" t="n"/>
      <c r="CF155" s="1491" t="n"/>
      <c r="CG155" s="1491" t="n"/>
      <c r="CH155" s="1491" t="n"/>
      <c r="CI155" s="1491" t="n"/>
      <c r="CJ155" s="1491" t="n"/>
      <c r="CK155" s="1491" t="n"/>
      <c r="CL155" s="1491" t="n"/>
      <c r="CM155" s="1491" t="n"/>
      <c r="CN155" s="1491" t="n"/>
      <c r="CO155" s="1491" t="n"/>
    </row>
    <row r="156">
      <c r="A156" s="1491" t="n"/>
      <c r="B156" s="1491" t="n"/>
      <c r="C156" s="1491" t="n"/>
      <c r="D156" s="1491" t="n"/>
      <c r="E156" s="1491" t="n"/>
      <c r="F156" s="1491" t="n"/>
      <c r="G156" s="1491" t="n"/>
      <c r="H156" s="1491" t="n"/>
      <c r="I156" s="1491" t="n"/>
      <c r="J156" s="1491" t="n"/>
      <c r="K156" s="1491" t="n"/>
      <c r="L156" s="1491" t="n"/>
      <c r="M156" s="1491" t="n"/>
      <c r="N156" s="1491" t="n"/>
      <c r="O156" s="1491" t="n"/>
      <c r="P156" s="1491" t="n"/>
      <c r="Q156" s="1491" t="n"/>
      <c r="R156" s="1491" t="n"/>
      <c r="S156" s="1491" t="n"/>
      <c r="T156" s="1491" t="n"/>
      <c r="U156" s="1491" t="n"/>
      <c r="V156" s="1491" t="n"/>
      <c r="W156" s="1491" t="n"/>
      <c r="X156" s="1491" t="n"/>
      <c r="Y156" s="1491" t="n"/>
      <c r="Z156" s="1491" t="n"/>
      <c r="AA156" s="1491" t="n"/>
      <c r="AB156" s="1491" t="n"/>
      <c r="AC156" s="1491" t="n"/>
      <c r="AD156" s="1491" t="n"/>
      <c r="AE156" s="1491" t="n"/>
      <c r="AF156" s="1491" t="n"/>
      <c r="AG156" s="1491" t="n"/>
      <c r="AH156" s="1491" t="n"/>
      <c r="AI156" s="1491" t="n"/>
      <c r="AJ156" s="1491" t="n"/>
      <c r="AK156" s="1491" t="n"/>
      <c r="AL156" s="1491" t="n"/>
      <c r="AM156" s="1491" t="n"/>
      <c r="AN156" s="1491" t="n"/>
      <c r="AO156" s="1491" t="n"/>
      <c r="AP156" s="1491" t="n"/>
      <c r="AR156" s="2352" t="n"/>
      <c r="AS156" s="2366" t="inlineStr">
        <is>
          <t>Bromont - 30k</t>
        </is>
      </c>
      <c r="AT156" s="2354" t="n">
        <v>42316</v>
      </c>
      <c r="AU156" s="2354" t="n"/>
      <c r="AV156" s="2228" t="n"/>
      <c r="AW156" s="2361" t="n"/>
      <c r="AX156" s="2362" t="inlineStr">
        <is>
          <t>Panama (conexao)</t>
        </is>
      </c>
      <c r="AY156" s="2363">
        <f>AZ155</f>
        <v/>
      </c>
      <c r="AZ156" s="2364" t="n">
        <v>42684</v>
      </c>
      <c r="BA156" s="2391">
        <f>AZ156-AY156</f>
        <v/>
      </c>
      <c r="BB156" s="2361" t="inlineStr">
        <is>
          <t xml:space="preserve">NINA </t>
        </is>
      </c>
      <c r="BC156" s="2362" t="inlineStr">
        <is>
          <t>Rio</t>
        </is>
      </c>
      <c r="BD156" s="2363">
        <f>BE155</f>
        <v/>
      </c>
      <c r="BE156" s="2364" t="n">
        <v>43008</v>
      </c>
      <c r="BF156" s="2391">
        <f>BE156-BD156</f>
        <v/>
      </c>
      <c r="BG156" s="2361" t="n"/>
      <c r="BH156" s="2362" t="inlineStr">
        <is>
          <t>rio</t>
        </is>
      </c>
      <c r="BI156" s="2363" t="n">
        <v>43359</v>
      </c>
      <c r="BJ156" s="2364" t="n">
        <v>43361</v>
      </c>
      <c r="BK156" s="2365">
        <f>BJ156-BI156</f>
        <v/>
      </c>
      <c r="BL156" s="2300" t="n"/>
      <c r="BM156" s="2300" t="n"/>
      <c r="BN156" s="2300" t="n"/>
      <c r="BO156" s="2300" t="n"/>
      <c r="BP156" s="2301" t="n"/>
      <c r="BQ156" s="2344" t="n"/>
      <c r="BR156" s="2344" t="n"/>
      <c r="BS156" s="2344" t="n"/>
      <c r="BT156" s="2344" t="n"/>
      <c r="BU156" s="1874" t="n"/>
      <c r="BV156" s="1842" t="n"/>
      <c r="BW156" s="1842" t="n"/>
      <c r="BX156" s="1842" t="n"/>
      <c r="BY156" s="1842" t="n"/>
      <c r="BZ156" s="1842" t="n"/>
      <c r="CA156" s="1842" t="n"/>
      <c r="CB156" s="1842" t="n"/>
      <c r="CC156" s="1842" t="n"/>
      <c r="CD156" s="1842" t="n"/>
      <c r="CE156" s="1491" t="n"/>
      <c r="CF156" s="1491" t="n"/>
      <c r="CG156" s="1491" t="n"/>
      <c r="CH156" s="1491" t="n"/>
      <c r="CI156" s="1491" t="n"/>
      <c r="CJ156" s="1491" t="n"/>
      <c r="CK156" s="1491" t="n"/>
      <c r="CL156" s="1491" t="n"/>
      <c r="CM156" s="1491" t="n"/>
      <c r="CN156" s="1491" t="n"/>
      <c r="CO156" s="1491" t="n"/>
    </row>
    <row r="157">
      <c r="A157" s="1491" t="n"/>
      <c r="B157" s="1491" t="n"/>
      <c r="C157" s="1491" t="n"/>
      <c r="D157" s="1491" t="n"/>
      <c r="E157" s="1491" t="n"/>
      <c r="F157" s="1491" t="n"/>
      <c r="G157" s="1491" t="n"/>
      <c r="H157" s="1491" t="n"/>
      <c r="I157" s="1491" t="n"/>
      <c r="J157" s="1491" t="n"/>
      <c r="K157" s="1491" t="n"/>
      <c r="L157" s="1491" t="n"/>
      <c r="M157" s="1491" t="n"/>
      <c r="N157" s="1491" t="n"/>
      <c r="O157" s="1491" t="n"/>
      <c r="P157" s="1491" t="n"/>
      <c r="Q157" s="1491" t="n"/>
      <c r="R157" s="1491" t="n"/>
      <c r="S157" s="1491" t="n"/>
      <c r="T157" s="1491" t="n"/>
      <c r="U157" s="1491" t="n"/>
      <c r="V157" s="1491" t="n"/>
      <c r="W157" s="1491" t="n"/>
      <c r="X157" s="1491" t="n"/>
      <c r="Y157" s="1491" t="n"/>
      <c r="Z157" s="1491" t="n"/>
      <c r="AA157" s="1491" t="n"/>
      <c r="AB157" s="1491" t="n"/>
      <c r="AC157" s="1491" t="n"/>
      <c r="AD157" s="1491" t="n"/>
      <c r="AE157" s="1491" t="n"/>
      <c r="AF157" s="1491" t="n"/>
      <c r="AG157" s="1491" t="n"/>
      <c r="AH157" s="1491" t="n"/>
      <c r="AI157" s="1491" t="n"/>
      <c r="AJ157" s="1491" t="n"/>
      <c r="AK157" s="1491" t="n"/>
      <c r="AL157" s="1491" t="n"/>
      <c r="AM157" s="1491" t="n"/>
      <c r="AN157" s="1491" t="n"/>
      <c r="AO157" s="1491" t="n"/>
      <c r="AP157" s="1491" t="n"/>
      <c r="AR157" s="2355" t="inlineStr">
        <is>
          <t>Halifax</t>
        </is>
      </c>
      <c r="AS157" s="2356" t="inlineStr">
        <is>
          <t>Ielts</t>
        </is>
      </c>
      <c r="AT157" s="2357" t="n">
        <v>42328</v>
      </c>
      <c r="AU157" s="2357" t="n">
        <v>42329</v>
      </c>
      <c r="AV157" s="2351">
        <f>AU157-AT157</f>
        <v/>
      </c>
      <c r="AW157" s="2361" t="n"/>
      <c r="AX157" s="2362" t="n"/>
      <c r="AY157" s="2363" t="n"/>
      <c r="AZ157" s="2364" t="n"/>
      <c r="BA157" s="2391" t="n"/>
      <c r="BB157" s="2361" t="inlineStr">
        <is>
          <t xml:space="preserve">NINA </t>
        </is>
      </c>
      <c r="BC157" s="2362" t="inlineStr">
        <is>
          <t>BSB</t>
        </is>
      </c>
      <c r="BD157" s="2363">
        <f>BE156</f>
        <v/>
      </c>
      <c r="BE157" s="2364" t="n">
        <v>43009</v>
      </c>
      <c r="BF157" s="2391">
        <f>BE157-BD157</f>
        <v/>
      </c>
      <c r="BG157" s="2361" t="n"/>
      <c r="BH157" s="2362" t="inlineStr">
        <is>
          <t>recife</t>
        </is>
      </c>
      <c r="BI157" s="2363" t="n">
        <v>43361</v>
      </c>
      <c r="BJ157" s="2364" t="n">
        <v>43363</v>
      </c>
      <c r="BK157" s="2365">
        <f>BJ157-BI157</f>
        <v/>
      </c>
      <c r="BL157" s="2300" t="n"/>
      <c r="BM157" s="2300" t="n"/>
      <c r="BN157" s="2300" t="n"/>
      <c r="BO157" s="2300" t="n"/>
      <c r="BP157" s="2301" t="n"/>
      <c r="BQ157" s="2344" t="n"/>
      <c r="BR157" s="2344" t="n"/>
      <c r="BS157" s="2344" t="n"/>
      <c r="BT157" s="2344" t="n"/>
      <c r="BU157" s="1874" t="n"/>
      <c r="BV157" s="1842" t="n"/>
      <c r="BW157" s="1842" t="n"/>
      <c r="BX157" s="1842" t="n"/>
      <c r="BY157" s="1842" t="n"/>
      <c r="BZ157" s="1842" t="n"/>
      <c r="CA157" s="1842" t="n"/>
      <c r="CB157" s="1842" t="n"/>
      <c r="CC157" s="1842" t="n"/>
      <c r="CD157" s="1842" t="n"/>
      <c r="CE157" s="1491" t="n"/>
      <c r="CF157" s="1491" t="n"/>
      <c r="CG157" s="1491" t="n"/>
      <c r="CH157" s="1491" t="n"/>
      <c r="CI157" s="1491" t="n"/>
      <c r="CJ157" s="1491" t="n"/>
      <c r="CK157" s="1491" t="n"/>
      <c r="CL157" s="1491" t="n"/>
      <c r="CM157" s="1491" t="n"/>
      <c r="CN157" s="1491" t="n"/>
      <c r="CO157" s="1491" t="n"/>
    </row>
    <row r="158">
      <c r="A158" s="1491" t="n"/>
      <c r="B158" s="1491" t="n"/>
      <c r="C158" s="1491" t="n"/>
      <c r="D158" s="1491" t="n"/>
      <c r="E158" s="1491" t="n"/>
      <c r="F158" s="1491" t="n"/>
      <c r="G158" s="1491" t="n"/>
      <c r="H158" s="1491" t="n"/>
      <c r="I158" s="1491" t="n"/>
      <c r="J158" s="1491" t="n"/>
      <c r="K158" s="1491" t="n"/>
      <c r="L158" s="1491" t="n"/>
      <c r="M158" s="1491" t="n"/>
      <c r="N158" s="1491" t="n"/>
      <c r="O158" s="1491" t="n"/>
      <c r="P158" s="1491" t="n"/>
      <c r="Q158" s="1491" t="n"/>
      <c r="R158" s="1491" t="n"/>
      <c r="S158" s="1491" t="n"/>
      <c r="T158" s="1491" t="n"/>
      <c r="U158" s="1491" t="n"/>
      <c r="V158" s="1491" t="n"/>
      <c r="W158" s="1491" t="n"/>
      <c r="X158" s="1491" t="n"/>
      <c r="Y158" s="1491" t="n"/>
      <c r="Z158" s="1491" t="n"/>
      <c r="AA158" s="1491" t="n"/>
      <c r="AB158" s="1491" t="n"/>
      <c r="AC158" s="1491" t="n"/>
      <c r="AD158" s="1491" t="n"/>
      <c r="AE158" s="1491" t="n"/>
      <c r="AF158" s="1491" t="n"/>
      <c r="AG158" s="1491" t="n"/>
      <c r="AH158" s="1491" t="n"/>
      <c r="AI158" s="1491" t="n"/>
      <c r="AJ158" s="1491" t="n"/>
      <c r="AK158" s="1491" t="n"/>
      <c r="AL158" s="1491" t="n"/>
      <c r="AM158" s="1491" t="n"/>
      <c r="AN158" s="1491" t="n"/>
      <c r="AO158" s="1491" t="n"/>
      <c r="AP158" s="1491" t="n"/>
      <c r="AR158" s="2352" t="inlineStr">
        <is>
          <t>771, Rue Beatty</t>
        </is>
      </c>
      <c r="AS158" s="2353" t="n"/>
      <c r="AT158" s="2354">
        <f>AU157</f>
        <v/>
      </c>
      <c r="AU158" s="2354" t="n">
        <v>42370</v>
      </c>
      <c r="AV158" s="2351">
        <f>AU158-AT158</f>
        <v/>
      </c>
      <c r="AW158" s="2361" t="n"/>
      <c r="AX158" s="2362" t="n"/>
      <c r="AY158" s="2363" t="n"/>
      <c r="AZ158" s="2364" t="n"/>
      <c r="BA158" s="2391" t="n"/>
      <c r="BB158" s="2361" t="inlineStr">
        <is>
          <t xml:space="preserve">NINA </t>
        </is>
      </c>
      <c r="BC158" s="2362" t="inlineStr">
        <is>
          <t>Rio</t>
        </is>
      </c>
      <c r="BD158" s="2363">
        <f>BE157</f>
        <v/>
      </c>
      <c r="BE158" s="2364" t="n">
        <v>43018</v>
      </c>
      <c r="BF158" s="2391">
        <f>BE158-BD158</f>
        <v/>
      </c>
      <c r="BG158" s="2361" t="n"/>
      <c r="BH158" s="2362" t="inlineStr">
        <is>
          <t>sp</t>
        </is>
      </c>
      <c r="BI158" s="2363" t="n">
        <v>43363</v>
      </c>
      <c r="BJ158" s="2364" t="n">
        <v>43368</v>
      </c>
      <c r="BK158" s="2365">
        <f>BJ158-BI158</f>
        <v/>
      </c>
      <c r="BL158" s="2300" t="n"/>
      <c r="BM158" s="2300" t="n"/>
      <c r="BN158" s="2300" t="n"/>
      <c r="BO158" s="2300" t="n"/>
      <c r="BP158" s="2301" t="n"/>
      <c r="BQ158" s="2344" t="n"/>
      <c r="BR158" s="2344" t="n"/>
      <c r="BS158" s="2344" t="n"/>
      <c r="BT158" s="2344" t="n"/>
      <c r="BU158" s="1874" t="n"/>
      <c r="BV158" s="1842" t="n"/>
      <c r="BW158" s="1842" t="n"/>
      <c r="BX158" s="1842" t="n"/>
      <c r="BY158" s="1842" t="n"/>
      <c r="BZ158" s="1842" t="n"/>
      <c r="CA158" s="1842" t="n"/>
      <c r="CB158" s="1842" t="n"/>
      <c r="CC158" s="1842" t="n"/>
      <c r="CD158" s="1842" t="n"/>
      <c r="CE158" s="1491" t="n"/>
      <c r="CF158" s="1491" t="n"/>
      <c r="CG158" s="1491" t="n"/>
      <c r="CH158" s="1491" t="n"/>
      <c r="CI158" s="1491" t="n"/>
      <c r="CJ158" s="1491" t="n"/>
      <c r="CK158" s="1491" t="n"/>
      <c r="CL158" s="1491" t="n"/>
      <c r="CM158" s="1491" t="n"/>
      <c r="CN158" s="1491" t="n"/>
      <c r="CO158" s="1491" t="n"/>
    </row>
    <row r="159">
      <c r="A159" s="1491" t="n"/>
      <c r="B159" s="1491" t="n"/>
      <c r="C159" s="1491" t="n"/>
      <c r="D159" s="1491" t="n"/>
      <c r="E159" s="1491" t="n"/>
      <c r="F159" s="1491" t="n"/>
      <c r="G159" s="1491" t="n"/>
      <c r="H159" s="1491" t="n"/>
      <c r="I159" s="1491" t="n"/>
      <c r="J159" s="1491" t="n"/>
      <c r="K159" s="1491" t="n"/>
      <c r="L159" s="1491" t="n"/>
      <c r="M159" s="1491" t="n"/>
      <c r="N159" s="1491" t="n"/>
      <c r="O159" s="1491" t="n"/>
      <c r="P159" s="1491" t="n"/>
      <c r="Q159" s="1491" t="n"/>
      <c r="R159" s="1491" t="n"/>
      <c r="S159" s="1491" t="n"/>
      <c r="T159" s="1491" t="n"/>
      <c r="U159" s="1491" t="n"/>
      <c r="V159" s="1491" t="n"/>
      <c r="W159" s="1491" t="n"/>
      <c r="X159" s="1491" t="n"/>
      <c r="Y159" s="1491" t="n"/>
      <c r="Z159" s="1491" t="n"/>
      <c r="AA159" s="1491" t="n"/>
      <c r="AB159" s="1491" t="n"/>
      <c r="AC159" s="1491" t="n"/>
      <c r="AD159" s="1491" t="n"/>
      <c r="AE159" s="1491" t="n"/>
      <c r="AF159" s="1491" t="n"/>
      <c r="AG159" s="1491" t="n"/>
      <c r="AH159" s="1491" t="n"/>
      <c r="AI159" s="1491" t="n"/>
      <c r="AJ159" s="1491" t="n"/>
      <c r="AK159" s="1491" t="n"/>
      <c r="AL159" s="1491" t="n"/>
      <c r="AM159" s="1491" t="n"/>
      <c r="AN159" s="1491" t="n"/>
      <c r="AO159" s="1491" t="n"/>
      <c r="AP159" s="1491" t="n"/>
      <c r="AR159" s="2190" t="n"/>
      <c r="AS159" s="2191" t="n"/>
      <c r="AT159" s="2190" t="n"/>
      <c r="AU159" s="2323" t="n"/>
      <c r="AV159" s="1884" t="n"/>
      <c r="AW159" s="2190" t="n"/>
      <c r="AX159" s="2191" t="n"/>
      <c r="AY159" s="2190" t="n"/>
      <c r="AZ159" s="2323" t="n"/>
      <c r="BA159" s="1884" t="n"/>
      <c r="BB159" s="2361" t="inlineStr">
        <is>
          <t xml:space="preserve">NINA </t>
        </is>
      </c>
      <c r="BC159" s="2362" t="inlineStr">
        <is>
          <t>atlanta, nyc</t>
        </is>
      </c>
      <c r="BD159" s="2363" t="n">
        <v>43019</v>
      </c>
      <c r="BE159" s="2364" t="n">
        <v>43019</v>
      </c>
      <c r="BF159" s="2391" t="n"/>
      <c r="BG159" s="2361" t="n"/>
      <c r="BH159" s="2362" t="inlineStr">
        <is>
          <t>rio</t>
        </is>
      </c>
      <c r="BI159" s="2363">
        <f>BJ158</f>
        <v/>
      </c>
      <c r="BJ159" s="2392" t="n">
        <v>43371</v>
      </c>
      <c r="BK159" s="2365">
        <f>BJ159-BI159</f>
        <v/>
      </c>
      <c r="BL159" s="2300" t="n"/>
      <c r="BM159" s="2300" t="n"/>
      <c r="BN159" s="2300" t="n"/>
      <c r="BO159" s="2300" t="n"/>
      <c r="BP159" s="2301" t="n"/>
      <c r="BQ159" s="2344" t="n"/>
      <c r="BR159" s="2344" t="n"/>
      <c r="BS159" s="2344" t="n"/>
      <c r="BT159" s="2344" t="n"/>
      <c r="BU159" s="1874" t="n"/>
      <c r="BV159" s="1842" t="n"/>
      <c r="BW159" s="1842" t="n"/>
      <c r="BX159" s="1842" t="n"/>
      <c r="BY159" s="1842" t="n"/>
      <c r="BZ159" s="1842" t="n"/>
      <c r="CA159" s="1842" t="n"/>
      <c r="CB159" s="1842" t="n"/>
      <c r="CC159" s="1842" t="n"/>
      <c r="CD159" s="1842" t="n"/>
      <c r="CE159" s="1491" t="n"/>
      <c r="CF159" s="1491" t="n"/>
      <c r="CG159" s="1491" t="n"/>
      <c r="CH159" s="1491" t="n"/>
      <c r="CI159" s="1491" t="n"/>
      <c r="CJ159" s="1491" t="n"/>
      <c r="CK159" s="1491" t="n"/>
      <c r="CL159" s="1491" t="n"/>
      <c r="CM159" s="1491" t="n"/>
      <c r="CN159" s="1491" t="n"/>
      <c r="CO159" s="1491" t="n"/>
    </row>
    <row r="160">
      <c r="A160" s="1491" t="n"/>
      <c r="B160" s="1491" t="n"/>
      <c r="C160" s="1491" t="n"/>
      <c r="D160" s="1491" t="n"/>
      <c r="E160" s="1491" t="n"/>
      <c r="F160" s="1491" t="n"/>
      <c r="G160" s="1491" t="n"/>
      <c r="H160" s="1491" t="n"/>
      <c r="I160" s="1491" t="n"/>
      <c r="J160" s="1491" t="n"/>
      <c r="K160" s="1491" t="n"/>
      <c r="L160" s="1491" t="n"/>
      <c r="M160" s="1491" t="n"/>
      <c r="N160" s="1491" t="n"/>
      <c r="O160" s="1491" t="n"/>
      <c r="P160" s="1491" t="n"/>
      <c r="Q160" s="1491" t="n"/>
      <c r="R160" s="1491" t="n"/>
      <c r="S160" s="1491" t="n"/>
      <c r="T160" s="1491" t="n"/>
      <c r="U160" s="1491" t="n"/>
      <c r="V160" s="1491" t="n"/>
      <c r="W160" s="1491" t="n"/>
      <c r="X160" s="1491" t="n"/>
      <c r="Y160" s="1491" t="n"/>
      <c r="Z160" s="1491" t="n"/>
      <c r="AA160" s="1491" t="n"/>
      <c r="AB160" s="1491" t="n"/>
      <c r="AC160" s="1491" t="n"/>
      <c r="AD160" s="1491" t="n"/>
      <c r="AE160" s="1491" t="n"/>
      <c r="AF160" s="1491" t="n"/>
      <c r="AG160" s="1491" t="n"/>
      <c r="AH160" s="1491" t="n"/>
      <c r="AI160" s="1491" t="n"/>
      <c r="AJ160" s="1491" t="n"/>
      <c r="AK160" s="1491" t="n"/>
      <c r="AL160" s="1491" t="n"/>
      <c r="AM160" s="1491" t="n"/>
      <c r="AN160" s="1491" t="n"/>
      <c r="AO160" s="1491" t="n"/>
      <c r="AP160" s="1491" t="n"/>
      <c r="AR160" s="2190" t="n"/>
      <c r="AS160" s="2191" t="n"/>
      <c r="AT160" s="2190" t="n"/>
      <c r="AU160" s="2323" t="n"/>
      <c r="AV160" s="2109" t="n"/>
      <c r="AW160" s="2190" t="n"/>
      <c r="AX160" s="2191" t="n"/>
      <c r="AY160" s="2190" t="n"/>
      <c r="AZ160" s="2323" t="n"/>
      <c r="BA160" s="1884" t="n"/>
      <c r="BB160" s="2361" t="n"/>
      <c r="BC160" s="2393" t="n"/>
      <c r="BD160" s="2363" t="n"/>
      <c r="BE160" s="2364" t="n"/>
      <c r="BF160" s="2391" t="n"/>
      <c r="BG160" s="2361" t="n"/>
      <c r="BH160" s="2362" t="inlineStr">
        <is>
          <t>poa</t>
        </is>
      </c>
      <c r="BI160" s="2363" t="n">
        <v>43371</v>
      </c>
      <c r="BJ160" s="2364" t="n">
        <v>43401</v>
      </c>
      <c r="BK160" s="2365">
        <f>BJ160-BI160</f>
        <v/>
      </c>
      <c r="BL160" s="2300" t="n"/>
      <c r="BM160" s="2300" t="n"/>
      <c r="BN160" s="2300" t="n"/>
      <c r="BO160" s="2300" t="n"/>
      <c r="BP160" s="2301" t="n"/>
      <c r="BQ160" s="2344" t="n"/>
      <c r="BR160" s="2344" t="n"/>
      <c r="BS160" s="2344" t="n"/>
      <c r="BT160" s="2344" t="n"/>
      <c r="BU160" s="1874" t="n"/>
      <c r="BV160" s="1842" t="n"/>
      <c r="BW160" s="1842" t="n"/>
      <c r="BX160" s="1842" t="n"/>
      <c r="BY160" s="1842" t="n"/>
      <c r="BZ160" s="1842" t="n"/>
      <c r="CA160" s="1842" t="n"/>
      <c r="CB160" s="1842" t="n"/>
      <c r="CC160" s="1842" t="n"/>
      <c r="CD160" s="1842" t="n"/>
      <c r="CE160" s="1491" t="n"/>
      <c r="CF160" s="1491" t="n"/>
      <c r="CG160" s="1491" t="n"/>
      <c r="CH160" s="1491" t="n"/>
      <c r="CI160" s="1491" t="n"/>
      <c r="CJ160" s="1491" t="n"/>
      <c r="CK160" s="1491" t="n"/>
      <c r="CL160" s="1491" t="n"/>
      <c r="CM160" s="1491" t="n"/>
      <c r="CN160" s="1491" t="n"/>
      <c r="CO160" s="1491" t="n"/>
    </row>
    <row r="161">
      <c r="A161" s="1491" t="n"/>
      <c r="B161" s="1491" t="n"/>
      <c r="C161" s="1491" t="n"/>
      <c r="D161" s="1491" t="n"/>
      <c r="E161" s="1491" t="n"/>
      <c r="F161" s="1491" t="n"/>
      <c r="G161" s="1491" t="n"/>
      <c r="H161" s="1491" t="n"/>
      <c r="I161" s="1491" t="n"/>
      <c r="J161" s="1491" t="n"/>
      <c r="K161" s="1491" t="n"/>
      <c r="L161" s="1491" t="n"/>
      <c r="M161" s="1491" t="n"/>
      <c r="N161" s="1491" t="n"/>
      <c r="O161" s="1491" t="n"/>
      <c r="P161" s="1491" t="n"/>
      <c r="Q161" s="1491" t="n"/>
      <c r="R161" s="1491" t="n"/>
      <c r="S161" s="1491" t="n"/>
      <c r="T161" s="1491" t="n"/>
      <c r="U161" s="1491" t="n"/>
      <c r="V161" s="1491" t="n"/>
      <c r="W161" s="1491" t="n"/>
      <c r="X161" s="1491" t="n"/>
      <c r="Y161" s="1491" t="n"/>
      <c r="Z161" s="1491" t="n"/>
      <c r="AA161" s="1491" t="n"/>
      <c r="AB161" s="1491" t="n"/>
      <c r="AC161" s="1491" t="n"/>
      <c r="AD161" s="1491" t="n"/>
      <c r="AE161" s="1491" t="n"/>
      <c r="AF161" s="1491" t="n"/>
      <c r="AG161" s="1491" t="n"/>
      <c r="AH161" s="1491" t="n"/>
      <c r="AI161" s="1491" t="n"/>
      <c r="AJ161" s="1491" t="n"/>
      <c r="AK161" s="1491" t="n"/>
      <c r="AL161" s="1491" t="n"/>
      <c r="AM161" s="1491" t="n"/>
      <c r="AN161" s="1491" t="n"/>
      <c r="AO161" s="1491" t="n"/>
      <c r="AP161" s="1491" t="n"/>
      <c r="AR161" s="2190" t="n"/>
      <c r="AS161" s="2191" t="n"/>
      <c r="AT161" s="2190" t="n"/>
      <c r="AU161" s="2323" t="n"/>
      <c r="AV161" s="2109" t="n"/>
      <c r="AW161" s="2190" t="n"/>
      <c r="AX161" s="2191" t="n"/>
      <c r="AY161" s="2190" t="n"/>
      <c r="AZ161" s="2323" t="n"/>
      <c r="BA161" s="1884" t="n"/>
      <c r="BB161" s="2361" t="n"/>
      <c r="BC161" s="2393" t="n"/>
      <c r="BD161" s="2363" t="n"/>
      <c r="BE161" s="2364" t="n"/>
      <c r="BF161" s="2391" t="n"/>
      <c r="BG161" s="2361" t="n"/>
      <c r="BH161" s="2362" t="inlineStr">
        <is>
          <t>rio</t>
        </is>
      </c>
      <c r="BI161" s="2363" t="n">
        <v>43401</v>
      </c>
      <c r="BJ161" s="2364" t="n">
        <v>43403</v>
      </c>
      <c r="BK161" s="2365">
        <f>BJ161-BI161</f>
        <v/>
      </c>
      <c r="BL161" s="2300" t="n"/>
      <c r="BM161" s="2300" t="n"/>
      <c r="BN161" s="2300" t="n"/>
      <c r="BO161" s="2300" t="n"/>
      <c r="BP161" s="2301" t="n"/>
      <c r="BQ161" s="2344" t="n"/>
      <c r="BR161" s="2344" t="n"/>
      <c r="BS161" s="2344" t="n"/>
      <c r="BT161" s="2344" t="n"/>
      <c r="BU161" s="1874" t="n"/>
      <c r="BV161" s="1842" t="n"/>
      <c r="BW161" s="1842" t="n"/>
      <c r="BX161" s="1842" t="n"/>
      <c r="BY161" s="1842" t="n"/>
      <c r="BZ161" s="1842" t="n"/>
      <c r="CA161" s="1842" t="n"/>
      <c r="CB161" s="1842" t="n"/>
      <c r="CC161" s="1842" t="n"/>
      <c r="CD161" s="1842" t="n"/>
      <c r="CE161" s="1491" t="n"/>
      <c r="CF161" s="1491" t="n"/>
      <c r="CG161" s="1491" t="n"/>
      <c r="CH161" s="1491" t="n"/>
      <c r="CI161" s="1491" t="n"/>
      <c r="CJ161" s="1491" t="n"/>
      <c r="CK161" s="1491" t="n"/>
      <c r="CL161" s="1491" t="n"/>
      <c r="CM161" s="1491" t="n"/>
      <c r="CN161" s="1491" t="n"/>
      <c r="CO161" s="1491" t="n"/>
    </row>
    <row r="162">
      <c r="A162" s="1491" t="n"/>
      <c r="B162" s="1491" t="n"/>
      <c r="C162" s="1491" t="n"/>
      <c r="D162" s="1491" t="n"/>
      <c r="E162" s="1491" t="n"/>
      <c r="F162" s="1491" t="n"/>
      <c r="G162" s="1491" t="n"/>
      <c r="H162" s="1491" t="n"/>
      <c r="I162" s="1491" t="n"/>
      <c r="J162" s="1491" t="n"/>
      <c r="K162" s="1491" t="n"/>
      <c r="L162" s="1491" t="n"/>
      <c r="M162" s="1491" t="n"/>
      <c r="N162" s="1491" t="n"/>
      <c r="O162" s="1491" t="n"/>
      <c r="P162" s="1491" t="n"/>
      <c r="Q162" s="1491" t="n"/>
      <c r="R162" s="1491" t="n"/>
      <c r="S162" s="1491" t="n"/>
      <c r="T162" s="1491" t="n"/>
      <c r="U162" s="1491" t="n"/>
      <c r="V162" s="1491" t="n"/>
      <c r="W162" s="1491" t="n"/>
      <c r="X162" s="1491" t="n"/>
      <c r="Y162" s="1491" t="n"/>
      <c r="Z162" s="1491" t="n"/>
      <c r="AA162" s="1491" t="n"/>
      <c r="AB162" s="1491" t="n"/>
      <c r="AC162" s="1491" t="n"/>
      <c r="AD162" s="1491" t="n"/>
      <c r="AE162" s="1491" t="n"/>
      <c r="AF162" s="1491" t="n"/>
      <c r="AG162" s="1491" t="n"/>
      <c r="AH162" s="1491" t="n"/>
      <c r="AI162" s="1491" t="n"/>
      <c r="AJ162" s="1491" t="n"/>
      <c r="AK162" s="1491" t="n"/>
      <c r="AL162" s="1491" t="n"/>
      <c r="AM162" s="1491" t="n"/>
      <c r="AN162" s="1491" t="n"/>
      <c r="AO162" s="1491" t="n"/>
      <c r="AP162" s="1491" t="n"/>
      <c r="AR162" s="2190" t="n"/>
      <c r="AS162" s="2191" t="n"/>
      <c r="AT162" s="2190" t="n"/>
      <c r="AU162" s="2323" t="n"/>
      <c r="AV162" s="2109" t="n"/>
      <c r="AW162" s="2190" t="n"/>
      <c r="AX162" s="2191" t="n"/>
      <c r="AY162" s="2190" t="n"/>
      <c r="AZ162" s="2323" t="n"/>
      <c r="BA162" s="1884" t="n"/>
      <c r="BB162" s="2361" t="n"/>
      <c r="BC162" s="2393" t="n"/>
      <c r="BD162" s="2363" t="n"/>
      <c r="BE162" s="2364" t="n"/>
      <c r="BF162" s="2391" t="n"/>
      <c r="BG162" s="2361" t="n"/>
      <c r="BH162" s="2362" t="inlineStr">
        <is>
          <t>aereo BRA</t>
        </is>
      </c>
      <c r="BI162" s="2363" t="n">
        <v>43403</v>
      </c>
      <c r="BJ162" s="2364" t="n">
        <v>43404</v>
      </c>
      <c r="BK162" s="2365">
        <f>BJ162-BI162</f>
        <v/>
      </c>
      <c r="BL162" s="2300" t="n"/>
      <c r="BM162" s="2300" t="n"/>
      <c r="BN162" s="2300" t="n"/>
      <c r="BO162" s="2300" t="n"/>
      <c r="BP162" s="2301" t="n"/>
      <c r="BQ162" s="2344" t="n"/>
      <c r="BR162" s="2344" t="n"/>
      <c r="BS162" s="2344" t="n"/>
      <c r="BT162" s="2344" t="n"/>
      <c r="BU162" s="1874" t="n"/>
      <c r="BV162" s="1842" t="n"/>
      <c r="BW162" s="1842" t="n"/>
      <c r="BX162" s="1842" t="n"/>
      <c r="BY162" s="1842" t="n"/>
      <c r="BZ162" s="1842" t="n"/>
      <c r="CA162" s="1842" t="n"/>
      <c r="CB162" s="1842" t="n"/>
      <c r="CC162" s="1842" t="n"/>
      <c r="CD162" s="1842" t="n"/>
      <c r="CE162" s="1491" t="n"/>
      <c r="CF162" s="1491" t="n"/>
      <c r="CG162" s="1491" t="n"/>
      <c r="CH162" s="1491" t="n"/>
      <c r="CI162" s="1491" t="n"/>
      <c r="CJ162" s="1491" t="n"/>
      <c r="CK162" s="1491" t="n"/>
      <c r="CL162" s="1491" t="n"/>
      <c r="CM162" s="1491" t="n"/>
      <c r="CN162" s="1491" t="n"/>
      <c r="CO162" s="1491" t="n"/>
    </row>
    <row r="163">
      <c r="A163" s="1491" t="n"/>
      <c r="B163" s="1491" t="n"/>
      <c r="C163" s="1491" t="n"/>
      <c r="D163" s="1491" t="n"/>
      <c r="E163" s="1491" t="n"/>
      <c r="F163" s="1491" t="n"/>
      <c r="G163" s="1491" t="n"/>
      <c r="H163" s="1491" t="n"/>
      <c r="I163" s="1491" t="n"/>
      <c r="J163" s="1491" t="n"/>
      <c r="K163" s="1491" t="n"/>
      <c r="L163" s="1491" t="n"/>
      <c r="M163" s="1491" t="n"/>
      <c r="N163" s="1491" t="n"/>
      <c r="O163" s="1491" t="n"/>
      <c r="P163" s="1491" t="n"/>
      <c r="Q163" s="1491" t="n"/>
      <c r="R163" s="1491" t="n"/>
      <c r="S163" s="1491" t="n"/>
      <c r="T163" s="1491" t="n"/>
      <c r="U163" s="1491" t="n"/>
      <c r="V163" s="1491" t="n"/>
      <c r="W163" s="1491" t="n"/>
      <c r="X163" s="1491" t="n"/>
      <c r="Y163" s="1491" t="n"/>
      <c r="Z163" s="1491" t="n"/>
      <c r="AA163" s="1491" t="n"/>
      <c r="AB163" s="1491" t="n"/>
      <c r="AC163" s="1491" t="n"/>
      <c r="AD163" s="1491" t="n"/>
      <c r="AE163" s="1491" t="n"/>
      <c r="AF163" s="1491" t="n"/>
      <c r="AG163" s="1491" t="n"/>
      <c r="AH163" s="1491" t="n"/>
      <c r="AI163" s="1491" t="n"/>
      <c r="AJ163" s="1491" t="n"/>
      <c r="AK163" s="1491" t="n"/>
      <c r="AL163" s="1491" t="n"/>
      <c r="AM163" s="1491" t="n"/>
      <c r="AN163" s="1491" t="n"/>
      <c r="AO163" s="1491" t="n"/>
      <c r="AP163" s="1491" t="n"/>
      <c r="AR163" s="2190" t="n"/>
      <c r="AS163" s="2191" t="n"/>
      <c r="AT163" s="2190" t="n"/>
      <c r="AU163" s="2323" t="n"/>
      <c r="AV163" s="2109" t="n"/>
      <c r="AW163" s="2190" t="n"/>
      <c r="AX163" s="2191" t="n"/>
      <c r="AY163" s="2190" t="n"/>
      <c r="AZ163" s="2323" t="n"/>
      <c r="BA163" s="1884" t="n"/>
      <c r="BB163" s="2361" t="n"/>
      <c r="BC163" s="2393" t="n"/>
      <c r="BD163" s="2363" t="n"/>
      <c r="BE163" s="2364" t="n"/>
      <c r="BF163" s="2391" t="n"/>
      <c r="BG163" s="2190" t="n"/>
      <c r="BH163" s="2191" t="n"/>
      <c r="BI163" s="2190" t="n"/>
      <c r="BJ163" s="2323" t="n"/>
      <c r="BK163" s="1874">
        <f>BJ163-BI163</f>
        <v/>
      </c>
      <c r="BL163" s="2300" t="n"/>
      <c r="BM163" s="2300" t="n"/>
      <c r="BN163" s="2300" t="n"/>
      <c r="BO163" s="2300" t="n"/>
      <c r="BP163" s="2301" t="n"/>
      <c r="BQ163" s="2344" t="n"/>
      <c r="BR163" s="2344" t="n"/>
      <c r="BS163" s="2344" t="n"/>
      <c r="BT163" s="2344" t="n"/>
      <c r="BU163" s="1907" t="n"/>
      <c r="BV163" s="1842" t="n"/>
      <c r="BW163" s="1842" t="n"/>
      <c r="BX163" s="1842" t="n"/>
      <c r="BY163" s="1842" t="n"/>
      <c r="BZ163" s="1842" t="n"/>
      <c r="CA163" s="1842" t="n"/>
      <c r="CB163" s="1842" t="n"/>
      <c r="CC163" s="1842" t="n"/>
      <c r="CD163" s="1842" t="n"/>
      <c r="CE163" s="1491" t="n"/>
      <c r="CF163" s="1491" t="n"/>
      <c r="CG163" s="1491" t="n"/>
      <c r="CH163" s="1491" t="n"/>
      <c r="CI163" s="1491" t="n"/>
      <c r="CJ163" s="1491" t="n"/>
      <c r="CK163" s="1491" t="n"/>
      <c r="CL163" s="1491" t="n"/>
      <c r="CM163" s="1491" t="n"/>
      <c r="CN163" s="1491" t="n"/>
      <c r="CO163" s="1491" t="n"/>
    </row>
    <row r="164">
      <c r="A164" s="1491" t="n"/>
      <c r="B164" s="1491" t="n"/>
      <c r="C164" s="1491" t="n"/>
      <c r="D164" s="1491" t="n"/>
      <c r="E164" s="1491" t="n"/>
      <c r="F164" s="1491" t="n"/>
      <c r="G164" s="1491" t="n"/>
      <c r="H164" s="1491" t="n"/>
      <c r="I164" s="1491" t="n"/>
      <c r="J164" s="1491" t="n"/>
      <c r="K164" s="1491" t="n"/>
      <c r="L164" s="1491" t="n"/>
      <c r="M164" s="1491" t="n"/>
      <c r="N164" s="1491" t="n"/>
      <c r="O164" s="1491" t="n"/>
      <c r="P164" s="1491" t="n"/>
      <c r="Q164" s="1491" t="n"/>
      <c r="R164" s="1491" t="n"/>
      <c r="S164" s="1491" t="n"/>
      <c r="T164" s="1491" t="n"/>
      <c r="U164" s="1491" t="n"/>
      <c r="V164" s="1491" t="n"/>
      <c r="W164" s="1491" t="n"/>
      <c r="X164" s="1491" t="n"/>
      <c r="Y164" s="1491" t="n"/>
      <c r="Z164" s="1491" t="n"/>
      <c r="AA164" s="1491" t="n"/>
      <c r="AB164" s="1491" t="n"/>
      <c r="AC164" s="1491" t="n"/>
      <c r="AD164" s="1491" t="n"/>
      <c r="AE164" s="1491" t="n"/>
      <c r="AF164" s="1491" t="n"/>
      <c r="AG164" s="1491" t="n"/>
      <c r="AH164" s="1491" t="n"/>
      <c r="AI164" s="1491" t="n"/>
      <c r="AJ164" s="1491" t="n"/>
      <c r="AK164" s="1491" t="n"/>
      <c r="AL164" s="1491" t="n"/>
      <c r="AM164" s="1491" t="n"/>
      <c r="AN164" s="1491" t="n"/>
      <c r="AO164" s="1491" t="n"/>
      <c r="AP164" s="1491" t="n"/>
      <c r="AR164" s="2190" t="n"/>
      <c r="AS164" s="2191" t="n"/>
      <c r="AT164" s="2190" t="n"/>
      <c r="AU164" s="2323" t="n"/>
      <c r="AV164" s="2109" t="n"/>
      <c r="AW164" s="2190" t="n"/>
      <c r="AX164" s="2191" t="n"/>
      <c r="AY164" s="2190" t="n"/>
      <c r="AZ164" s="2323" t="n"/>
      <c r="BA164" s="1884" t="n"/>
      <c r="BB164" s="2361" t="n"/>
      <c r="BC164" s="2393" t="n"/>
      <c r="BD164" s="2363" t="n"/>
      <c r="BE164" s="2364" t="n"/>
      <c r="BF164" s="2391" t="n"/>
      <c r="BG164" s="2361" t="inlineStr">
        <is>
          <t xml:space="preserve">NINA </t>
        </is>
      </c>
      <c r="BH164" s="2362" t="inlineStr">
        <is>
          <t>aereo can</t>
        </is>
      </c>
      <c r="BI164" s="2363" t="n">
        <v>43436</v>
      </c>
      <c r="BJ164" s="2364" t="n">
        <v>43437</v>
      </c>
      <c r="BK164" s="2365">
        <f>BJ164-BI164</f>
        <v/>
      </c>
      <c r="BL164" s="2300" t="n"/>
      <c r="BM164" s="2300" t="n"/>
      <c r="BN164" s="2300" t="n"/>
      <c r="BO164" s="2300" t="n"/>
      <c r="BP164" s="2301" t="n"/>
      <c r="BQ164" s="2344" t="n"/>
      <c r="BR164" s="2344" t="n"/>
      <c r="BS164" s="2344" t="n"/>
      <c r="BT164" s="2344" t="n"/>
      <c r="BU164" s="1874" t="n"/>
      <c r="BV164" s="1842" t="n"/>
      <c r="BW164" s="1842" t="n"/>
      <c r="BX164" s="1842" t="n"/>
      <c r="BY164" s="1842" t="n"/>
      <c r="BZ164" s="1842" t="n"/>
      <c r="CA164" s="1842" t="n"/>
      <c r="CB164" s="1842" t="n"/>
      <c r="CC164" s="1842" t="n"/>
      <c r="CD164" s="1842" t="n"/>
      <c r="CE164" s="1491" t="n"/>
      <c r="CF164" s="1491" t="n"/>
      <c r="CG164" s="1491" t="n"/>
      <c r="CH164" s="1491" t="n"/>
      <c r="CI164" s="1491" t="n"/>
      <c r="CJ164" s="1491" t="n"/>
      <c r="CK164" s="1491" t="n"/>
      <c r="CL164" s="1491" t="n"/>
      <c r="CM164" s="1491" t="n"/>
      <c r="CN164" s="1491" t="n"/>
      <c r="CO164" s="1491" t="n"/>
    </row>
    <row r="165">
      <c r="A165" s="1491" t="n"/>
      <c r="B165" s="1491" t="n"/>
      <c r="C165" s="1491" t="n"/>
      <c r="D165" s="1491" t="n"/>
      <c r="E165" s="1491" t="n"/>
      <c r="F165" s="1491" t="n"/>
      <c r="G165" s="1491" t="n"/>
      <c r="H165" s="1491" t="n"/>
      <c r="I165" s="1491" t="n"/>
      <c r="J165" s="1491" t="n"/>
      <c r="K165" s="1491" t="n"/>
      <c r="L165" s="1491" t="n"/>
      <c r="M165" s="1491" t="n"/>
      <c r="N165" s="1491" t="n"/>
      <c r="O165" s="1491" t="n"/>
      <c r="P165" s="1491" t="n"/>
      <c r="Q165" s="1491" t="n"/>
      <c r="R165" s="1491" t="n"/>
      <c r="S165" s="1491" t="n"/>
      <c r="T165" s="1491" t="n"/>
      <c r="U165" s="1491" t="n"/>
      <c r="V165" s="1491" t="n"/>
      <c r="W165" s="1491" t="n"/>
      <c r="X165" s="1491" t="n"/>
      <c r="Y165" s="1491" t="n"/>
      <c r="Z165" s="1491" t="n"/>
      <c r="AA165" s="1491" t="n"/>
      <c r="AB165" s="1491" t="n"/>
      <c r="AC165" s="1491" t="n"/>
      <c r="AD165" s="1491" t="n"/>
      <c r="AE165" s="1491" t="n"/>
      <c r="AF165" s="1491" t="n"/>
      <c r="AG165" s="1491" t="n"/>
      <c r="AH165" s="1491" t="n"/>
      <c r="AI165" s="1491" t="n"/>
      <c r="AJ165" s="1491" t="n"/>
      <c r="AK165" s="1491" t="n"/>
      <c r="AL165" s="1491" t="n"/>
      <c r="AM165" s="1491" t="n"/>
      <c r="AN165" s="1491" t="n"/>
      <c r="AO165" s="1491" t="n"/>
      <c r="AP165" s="1491" t="n"/>
      <c r="AR165" s="2190" t="n"/>
      <c r="AS165" s="2191" t="n"/>
      <c r="AT165" s="2190" t="n"/>
      <c r="AU165" s="2323" t="n"/>
      <c r="AV165" s="2109" t="n"/>
      <c r="AW165" s="2190" t="n"/>
      <c r="AX165" s="2191" t="n"/>
      <c r="AY165" s="2190" t="n"/>
      <c r="AZ165" s="2323" t="n"/>
      <c r="BA165" s="1884" t="n"/>
      <c r="BB165" s="2361" t="n"/>
      <c r="BC165" s="2393" t="n"/>
      <c r="BD165" s="2363" t="n"/>
      <c r="BE165" s="2364" t="n"/>
      <c r="BF165" s="2391" t="n"/>
      <c r="BG165" s="2361" t="inlineStr">
        <is>
          <t xml:space="preserve">NINA </t>
        </is>
      </c>
      <c r="BH165" s="2362" t="inlineStr">
        <is>
          <t>sp</t>
        </is>
      </c>
      <c r="BI165" s="2363">
        <f>BJ164</f>
        <v/>
      </c>
      <c r="BJ165" s="2364">
        <f>BI165</f>
        <v/>
      </c>
      <c r="BK165" s="2365">
        <f>BJ165-BI165</f>
        <v/>
      </c>
      <c r="BL165" s="2300" t="n"/>
      <c r="BM165" s="2300" t="n"/>
      <c r="BN165" s="2300" t="n"/>
      <c r="BO165" s="2300" t="n"/>
      <c r="BP165" s="2301" t="n"/>
      <c r="BQ165" s="2344" t="n"/>
      <c r="BR165" s="2344" t="n"/>
      <c r="BS165" s="2344" t="n"/>
      <c r="BT165" s="2344" t="n"/>
      <c r="BU165" s="1874" t="n"/>
      <c r="BV165" s="1842" t="n"/>
      <c r="BW165" s="1842" t="n"/>
      <c r="BX165" s="1842" t="n"/>
      <c r="BY165" s="1842" t="n"/>
      <c r="BZ165" s="1842" t="n"/>
      <c r="CA165" s="1842" t="n"/>
      <c r="CB165" s="1842" t="n"/>
      <c r="CC165" s="1842" t="n"/>
      <c r="CD165" s="1842" t="n"/>
      <c r="CE165" s="1491" t="n"/>
      <c r="CF165" s="1491" t="n"/>
      <c r="CG165" s="1491" t="n"/>
      <c r="CH165" s="1491" t="n"/>
      <c r="CI165" s="1491" t="n"/>
      <c r="CJ165" s="1491" t="n"/>
      <c r="CK165" s="1491" t="n"/>
      <c r="CL165" s="1491" t="n"/>
      <c r="CM165" s="1491" t="n"/>
      <c r="CN165" s="1491" t="n"/>
      <c r="CO165" s="1491" t="n"/>
    </row>
    <row r="166">
      <c r="A166" s="1491" t="n"/>
      <c r="B166" s="1491" t="n"/>
      <c r="C166" s="1491" t="n"/>
      <c r="D166" s="1491" t="n"/>
      <c r="E166" s="1491" t="n"/>
      <c r="F166" s="1491" t="n"/>
      <c r="G166" s="1491" t="n"/>
      <c r="H166" s="1491" t="n"/>
      <c r="I166" s="1491" t="n"/>
      <c r="J166" s="1491" t="n"/>
      <c r="K166" s="1491" t="n"/>
      <c r="L166" s="1491" t="n"/>
      <c r="M166" s="1491" t="n"/>
      <c r="N166" s="1491" t="n"/>
      <c r="O166" s="1491" t="n"/>
      <c r="P166" s="1491" t="n"/>
      <c r="Q166" s="1491" t="n"/>
      <c r="R166" s="1491" t="n"/>
      <c r="S166" s="1491" t="n"/>
      <c r="T166" s="1491" t="n"/>
      <c r="U166" s="1491" t="n"/>
      <c r="V166" s="1491" t="n"/>
      <c r="W166" s="1491" t="n"/>
      <c r="X166" s="1491" t="n"/>
      <c r="Y166" s="1491" t="n"/>
      <c r="Z166" s="1491" t="n"/>
      <c r="AA166" s="1491" t="n"/>
      <c r="AB166" s="1491" t="n"/>
      <c r="AC166" s="1491" t="n"/>
      <c r="AD166" s="1491" t="n"/>
      <c r="AE166" s="1491" t="n"/>
      <c r="AF166" s="1491" t="n"/>
      <c r="AG166" s="1491" t="n"/>
      <c r="AH166" s="1491" t="n"/>
      <c r="AI166" s="1491" t="n"/>
      <c r="AJ166" s="1491" t="n"/>
      <c r="AK166" s="1491" t="n"/>
      <c r="AL166" s="1491" t="n"/>
      <c r="AM166" s="1491" t="n"/>
      <c r="AN166" s="1491" t="n"/>
      <c r="AO166" s="1491" t="n"/>
      <c r="AP166" s="1491" t="n"/>
      <c r="AR166" s="2190" t="n"/>
      <c r="AS166" s="2191" t="n"/>
      <c r="AT166" s="2190" t="n"/>
      <c r="AU166" s="2323" t="n"/>
      <c r="AV166" s="2109" t="n"/>
      <c r="AW166" s="2190" t="n"/>
      <c r="AX166" s="2191" t="n"/>
      <c r="AY166" s="2190" t="n"/>
      <c r="AZ166" s="2323" t="n"/>
      <c r="BA166" s="1884" t="n"/>
      <c r="BB166" s="2361" t="n"/>
      <c r="BC166" s="2393" t="n"/>
      <c r="BD166" s="2363" t="n"/>
      <c r="BE166" s="2364" t="n"/>
      <c r="BF166" s="2391" t="n"/>
      <c r="BG166" s="2361" t="inlineStr">
        <is>
          <t xml:space="preserve">NINA </t>
        </is>
      </c>
      <c r="BH166" s="2362" t="inlineStr">
        <is>
          <t>poa</t>
        </is>
      </c>
      <c r="BI166" s="2363">
        <f>BJ165</f>
        <v/>
      </c>
      <c r="BJ166" s="2364" t="n">
        <v>43456</v>
      </c>
      <c r="BK166" s="2365">
        <f>BJ166-BI166</f>
        <v/>
      </c>
      <c r="BL166" s="2300" t="n"/>
      <c r="BM166" s="2300" t="n"/>
      <c r="BN166" s="2300" t="n"/>
      <c r="BO166" s="2300" t="n"/>
      <c r="BP166" s="2301" t="n"/>
      <c r="BQ166" s="2344" t="n"/>
      <c r="BR166" s="2344" t="n"/>
      <c r="BS166" s="2344" t="n"/>
      <c r="BT166" s="2344" t="n"/>
      <c r="BU166" s="1874" t="n"/>
      <c r="BV166" s="1842" t="n"/>
      <c r="BW166" s="1842" t="n"/>
      <c r="BX166" s="1842" t="n"/>
      <c r="BY166" s="1842" t="n"/>
      <c r="BZ166" s="1842" t="n"/>
      <c r="CA166" s="1842" t="n"/>
      <c r="CB166" s="1842" t="n"/>
      <c r="CC166" s="1842" t="n"/>
      <c r="CD166" s="1842" t="n"/>
      <c r="CE166" s="1491" t="n"/>
      <c r="CF166" s="1491" t="n"/>
      <c r="CG166" s="1491" t="n"/>
      <c r="CH166" s="1491" t="n"/>
      <c r="CI166" s="1491" t="n"/>
      <c r="CJ166" s="1491" t="n"/>
      <c r="CK166" s="1491" t="n"/>
      <c r="CL166" s="1491" t="n"/>
      <c r="CM166" s="1491" t="n"/>
      <c r="CN166" s="1491" t="n"/>
      <c r="CO166" s="1491" t="n"/>
    </row>
    <row r="167">
      <c r="A167" s="1491" t="n"/>
      <c r="B167" s="1491" t="n"/>
      <c r="C167" s="1491" t="n"/>
      <c r="D167" s="1491" t="n"/>
      <c r="E167" s="1491" t="n"/>
      <c r="F167" s="1491" t="n"/>
      <c r="G167" s="1491" t="n"/>
      <c r="H167" s="1491" t="n"/>
      <c r="I167" s="1491" t="n"/>
      <c r="J167" s="1491" t="n"/>
      <c r="K167" s="1491" t="n"/>
      <c r="L167" s="1491" t="n"/>
      <c r="M167" s="1491" t="n"/>
      <c r="N167" s="1491" t="n"/>
      <c r="O167" s="1491" t="n"/>
      <c r="P167" s="1491" t="n"/>
      <c r="Q167" s="1491" t="n"/>
      <c r="R167" s="1491" t="n"/>
      <c r="S167" s="1491" t="n"/>
      <c r="T167" s="1491" t="n"/>
      <c r="U167" s="1491" t="n"/>
      <c r="V167" s="1491" t="n"/>
      <c r="W167" s="1491" t="n"/>
      <c r="X167" s="1491" t="n"/>
      <c r="Y167" s="1491" t="n"/>
      <c r="Z167" s="1491" t="n"/>
      <c r="AA167" s="1491" t="n"/>
      <c r="AB167" s="1491" t="n"/>
      <c r="AC167" s="1491" t="n"/>
      <c r="AD167" s="1491" t="n"/>
      <c r="AE167" s="1491" t="n"/>
      <c r="AF167" s="1491" t="n"/>
      <c r="AG167" s="1491" t="n"/>
      <c r="AH167" s="1491" t="n"/>
      <c r="AI167" s="1491" t="n"/>
      <c r="AJ167" s="1491" t="n"/>
      <c r="AK167" s="1491" t="n"/>
      <c r="AL167" s="1491" t="n"/>
      <c r="AM167" s="1491" t="n"/>
      <c r="AN167" s="1491" t="n"/>
      <c r="AO167" s="1491" t="n"/>
      <c r="AP167" s="1491" t="n"/>
      <c r="AR167" s="2190" t="n"/>
      <c r="AS167" s="2191" t="n"/>
      <c r="AT167" s="2190" t="n"/>
      <c r="AU167" s="2323" t="n"/>
      <c r="AV167" s="2109" t="n"/>
      <c r="AW167" s="2190" t="n"/>
      <c r="AX167" s="2191" t="n"/>
      <c r="AY167" s="2190" t="n"/>
      <c r="AZ167" s="2323" t="n"/>
      <c r="BA167" s="1884" t="n"/>
      <c r="BB167" s="2361" t="n"/>
      <c r="BC167" s="2393" t="n"/>
      <c r="BD167" s="2363" t="n"/>
      <c r="BE167" s="2364" t="n"/>
      <c r="BF167" s="2391" t="n"/>
      <c r="BG167" s="2361" t="inlineStr">
        <is>
          <t xml:space="preserve">NINA </t>
        </is>
      </c>
      <c r="BH167" s="2362" t="inlineStr">
        <is>
          <t>aereo BRA</t>
        </is>
      </c>
      <c r="BI167" s="2363">
        <f>BJ166</f>
        <v/>
      </c>
      <c r="BJ167" s="2364">
        <f>BI167+1</f>
        <v/>
      </c>
      <c r="BK167" s="2365">
        <f>BJ167-BI167</f>
        <v/>
      </c>
      <c r="BL167" s="2300" t="n"/>
      <c r="BM167" s="2300" t="n"/>
      <c r="BN167" s="2300" t="n"/>
      <c r="BO167" s="2300" t="n"/>
      <c r="BP167" s="2301" t="n"/>
      <c r="BQ167" s="2344" t="n"/>
      <c r="BR167" s="2344" t="n"/>
      <c r="BS167" s="2344" t="n"/>
      <c r="BT167" s="2344" t="n"/>
      <c r="BU167" s="1874" t="n"/>
      <c r="BV167" s="1842" t="n"/>
      <c r="BW167" s="1842" t="n"/>
      <c r="BX167" s="1842" t="n"/>
      <c r="BY167" s="1842" t="n"/>
      <c r="BZ167" s="1842" t="n"/>
      <c r="CA167" s="1842" t="n"/>
      <c r="CB167" s="1842" t="n"/>
      <c r="CC167" s="1842" t="n"/>
      <c r="CD167" s="1842" t="n"/>
      <c r="CE167" s="1491" t="n"/>
      <c r="CF167" s="1491" t="n"/>
      <c r="CG167" s="1491" t="n"/>
      <c r="CH167" s="1491" t="n"/>
      <c r="CI167" s="1491" t="n"/>
      <c r="CJ167" s="1491" t="n"/>
      <c r="CK167" s="1491" t="n"/>
      <c r="CL167" s="1491" t="n"/>
      <c r="CM167" s="1491" t="n"/>
      <c r="CN167" s="1491" t="n"/>
      <c r="CO167" s="1491" t="n"/>
    </row>
    <row r="168">
      <c r="A168" s="1491" t="n"/>
      <c r="B168" s="1491" t="n"/>
      <c r="C168" s="1491" t="n"/>
      <c r="D168" s="1491" t="n"/>
      <c r="E168" s="1491" t="n"/>
      <c r="F168" s="1491" t="n"/>
      <c r="G168" s="1491" t="n"/>
      <c r="H168" s="1491" t="n"/>
      <c r="I168" s="1491" t="n"/>
      <c r="J168" s="1491" t="n"/>
      <c r="K168" s="1491" t="n"/>
      <c r="L168" s="1491" t="n"/>
      <c r="M168" s="1491" t="n"/>
      <c r="N168" s="1491" t="n"/>
      <c r="O168" s="1491" t="n"/>
      <c r="P168" s="1491" t="n"/>
      <c r="Q168" s="1491" t="n"/>
      <c r="R168" s="1491" t="n"/>
      <c r="S168" s="1491" t="n"/>
      <c r="T168" s="1491" t="n"/>
      <c r="U168" s="1491" t="n"/>
      <c r="V168" s="1491" t="n"/>
      <c r="W168" s="1491" t="n"/>
      <c r="X168" s="1491" t="n"/>
      <c r="Y168" s="1491" t="n"/>
      <c r="Z168" s="1491" t="n"/>
      <c r="AA168" s="1491" t="n"/>
      <c r="AB168" s="1491" t="n"/>
      <c r="AC168" s="1491" t="n"/>
      <c r="AD168" s="1491" t="n"/>
      <c r="AE168" s="1491" t="n"/>
      <c r="AF168" s="1491" t="n"/>
      <c r="AG168" s="1491" t="n"/>
      <c r="AH168" s="1491" t="n"/>
      <c r="AI168" s="1491" t="n"/>
      <c r="AJ168" s="1491" t="n"/>
      <c r="AK168" s="1491" t="n"/>
      <c r="AL168" s="1491" t="n"/>
      <c r="AM168" s="1491" t="n"/>
      <c r="AN168" s="1491" t="n"/>
      <c r="AO168" s="1491" t="n"/>
      <c r="AP168" s="1491" t="n"/>
      <c r="AR168" s="2394" t="n"/>
      <c r="AS168" s="2395" t="n"/>
      <c r="AT168" s="2209" t="n"/>
      <c r="AU168" s="2210" t="n"/>
      <c r="AV168" s="2396" t="n"/>
      <c r="AW168" s="2207" t="n"/>
      <c r="AX168" s="2208" t="n"/>
      <c r="AY168" s="2207" t="n"/>
      <c r="AZ168" s="2395" t="n"/>
      <c r="BA168" s="2097" t="n"/>
      <c r="BB168" s="2207" t="n"/>
      <c r="BC168" s="2208" t="n"/>
      <c r="BD168" s="2207" t="n"/>
      <c r="BE168" s="2395" t="n"/>
      <c r="BF168" s="2228">
        <f>BE168-BD168</f>
        <v/>
      </c>
      <c r="BG168" s="2207" t="n"/>
      <c r="BH168" s="2208" t="n"/>
      <c r="BI168" s="2207" t="n"/>
      <c r="BJ168" s="2395" t="n"/>
      <c r="BK168" s="1907">
        <f>BJ168-BI168</f>
        <v/>
      </c>
      <c r="BL168" s="2300" t="n"/>
      <c r="BM168" s="2300" t="n"/>
      <c r="BN168" s="2300" t="n"/>
      <c r="BO168" s="2300" t="n"/>
      <c r="BP168" s="2397" t="n"/>
      <c r="BQ168" s="2344" t="n"/>
      <c r="BR168" s="2344" t="n"/>
      <c r="BS168" s="2344" t="n"/>
      <c r="BT168" s="2344" t="n"/>
      <c r="BU168" s="1874" t="n"/>
      <c r="BV168" s="1842" t="n"/>
      <c r="BW168" s="1842" t="n"/>
      <c r="BX168" s="1842" t="n"/>
      <c r="BY168" s="1842" t="n"/>
      <c r="BZ168" s="1842" t="n"/>
      <c r="CA168" s="1842" t="n"/>
      <c r="CB168" s="1842" t="n"/>
      <c r="CC168" s="1842" t="n"/>
      <c r="CD168" s="1842" t="n"/>
      <c r="CE168" s="1491" t="n"/>
      <c r="CF168" s="1491" t="n"/>
      <c r="CG168" s="1491" t="n"/>
      <c r="CH168" s="1491" t="n"/>
      <c r="CI168" s="1491" t="n"/>
      <c r="CJ168" s="1491" t="n"/>
      <c r="CK168" s="1491" t="n"/>
      <c r="CL168" s="1491" t="n"/>
      <c r="CM168" s="1491" t="n"/>
      <c r="CN168" s="1491" t="n"/>
      <c r="CO168" s="1491" t="n"/>
    </row>
    <row r="169">
      <c r="A169" s="1491" t="n"/>
      <c r="B169" s="1491" t="n"/>
      <c r="C169" s="1491" t="n"/>
      <c r="D169" s="1491" t="n"/>
      <c r="E169" s="1491" t="n"/>
      <c r="F169" s="1491" t="n"/>
      <c r="G169" s="1491" t="n"/>
      <c r="H169" s="1491" t="n"/>
      <c r="I169" s="1491" t="n"/>
      <c r="J169" s="1491" t="n"/>
      <c r="K169" s="1491" t="n"/>
      <c r="L169" s="1491" t="n"/>
      <c r="M169" s="1491" t="n"/>
      <c r="N169" s="1491" t="n"/>
      <c r="O169" s="1491" t="n"/>
      <c r="P169" s="1491" t="n"/>
      <c r="Q169" s="1491" t="n"/>
      <c r="R169" s="1491" t="n"/>
      <c r="S169" s="1491" t="n"/>
      <c r="T169" s="1491" t="n"/>
      <c r="U169" s="1491" t="n"/>
      <c r="V169" s="1491" t="n"/>
      <c r="W169" s="1491" t="n"/>
      <c r="X169" s="1491" t="n"/>
      <c r="Y169" s="1491" t="n"/>
      <c r="Z169" s="1491" t="n"/>
      <c r="AA169" s="1491" t="n"/>
      <c r="AB169" s="1491" t="n"/>
      <c r="AC169" s="1491" t="n"/>
      <c r="AD169" s="1491" t="n"/>
      <c r="AE169" s="1491" t="n"/>
      <c r="AF169" s="1491" t="n"/>
      <c r="AG169" s="1491" t="n"/>
      <c r="AH169" s="1491" t="n"/>
      <c r="AI169" s="1491" t="n"/>
      <c r="AJ169" s="1491" t="n"/>
      <c r="AK169" s="1491" t="n"/>
      <c r="AL169" s="1491" t="n"/>
      <c r="AM169" s="1491" t="n"/>
      <c r="AN169" s="1491" t="n"/>
      <c r="AO169" s="1491" t="n"/>
      <c r="AP169" s="1491" t="n"/>
      <c r="AQ169" s="2300" t="n"/>
      <c r="AR169" s="2398" t="n"/>
      <c r="BK169" s="2399" t="n"/>
      <c r="BQ169" s="2399" t="n"/>
      <c r="BR169" s="2399" t="n"/>
      <c r="BS169" s="2399" t="n"/>
      <c r="BT169" s="2399" t="n"/>
      <c r="BU169" s="2399" t="n"/>
      <c r="BV169" s="2399" t="n"/>
      <c r="BW169" s="1842" t="n"/>
      <c r="BX169" s="1842" t="n"/>
      <c r="BY169" s="1842" t="n"/>
      <c r="BZ169" s="1842" t="n"/>
      <c r="CA169" s="1842" t="n"/>
      <c r="CB169" s="1842" t="n"/>
      <c r="CC169" s="1842" t="n"/>
      <c r="CD169" s="1842" t="n"/>
      <c r="CE169" s="1491" t="n"/>
      <c r="CF169" s="1491" t="n"/>
      <c r="CG169" s="1491" t="n"/>
      <c r="CH169" s="1491" t="n"/>
      <c r="CI169" s="1491" t="n"/>
      <c r="CJ169" s="1491" t="n"/>
      <c r="CK169" s="1491" t="n"/>
      <c r="CL169" s="1491" t="n"/>
      <c r="CM169" s="1491" t="n"/>
      <c r="CN169" s="1491" t="n"/>
      <c r="CO169" s="1491" t="n"/>
    </row>
  </sheetData>
  <mergeCells count="87">
    <mergeCell ref="BG132:BK132"/>
    <mergeCell ref="AQ1:AQ29"/>
    <mergeCell ref="CF30:CJ30"/>
    <mergeCell ref="BL90:BP90"/>
    <mergeCell ref="BV90:BZ90"/>
    <mergeCell ref="BB132:BF132"/>
    <mergeCell ref="CK30:CO30"/>
    <mergeCell ref="AB21:AC21"/>
    <mergeCell ref="BK169:BP169"/>
    <mergeCell ref="M21:Q21"/>
    <mergeCell ref="AR30:AV30"/>
    <mergeCell ref="CA90:CE90"/>
    <mergeCell ref="AW1:BA1"/>
    <mergeCell ref="AW90:BA90"/>
    <mergeCell ref="AE36:AF36"/>
    <mergeCell ref="S19:V19"/>
    <mergeCell ref="CA30:CE30"/>
    <mergeCell ref="BL132:BP132"/>
    <mergeCell ref="D10:E10"/>
    <mergeCell ref="AQ131:AQ168"/>
    <mergeCell ref="AE22:AF22"/>
    <mergeCell ref="I10:O10"/>
    <mergeCell ref="BV30:BZ30"/>
    <mergeCell ref="BF4:BF10"/>
    <mergeCell ref="P11:Q11"/>
    <mergeCell ref="J27:K27"/>
    <mergeCell ref="CF90:CJ90"/>
    <mergeCell ref="Y22:AC22"/>
    <mergeCell ref="AW132:BA132"/>
    <mergeCell ref="L22:L23"/>
    <mergeCell ref="D25:D26"/>
    <mergeCell ref="BB90:BF90"/>
    <mergeCell ref="AD21:AF21"/>
    <mergeCell ref="BG30:BK30"/>
    <mergeCell ref="AI1:AK1"/>
    <mergeCell ref="AQ90:AQ130"/>
    <mergeCell ref="E1:G1"/>
    <mergeCell ref="B1:D1"/>
    <mergeCell ref="N1:P1"/>
    <mergeCell ref="BF15:BF17"/>
    <mergeCell ref="CK90:CO90"/>
    <mergeCell ref="BQ30:BU30"/>
    <mergeCell ref="T1:V1"/>
    <mergeCell ref="BG90:BK90"/>
    <mergeCell ref="Z1:AB1"/>
    <mergeCell ref="P17:Q17"/>
    <mergeCell ref="BL30:BP30"/>
    <mergeCell ref="AW30:BA30"/>
    <mergeCell ref="G31:I31"/>
    <mergeCell ref="BB1:BF1"/>
    <mergeCell ref="C23:D23"/>
    <mergeCell ref="H1:J1"/>
    <mergeCell ref="BF18:BF20"/>
    <mergeCell ref="D30:E30"/>
    <mergeCell ref="M23:N23"/>
    <mergeCell ref="AQ69:AQ89"/>
    <mergeCell ref="S26:T26"/>
    <mergeCell ref="AR90:AV90"/>
    <mergeCell ref="BQ132:BU132"/>
    <mergeCell ref="BF11:BF14"/>
    <mergeCell ref="S22:W22"/>
    <mergeCell ref="K1:M1"/>
    <mergeCell ref="R17:U17"/>
    <mergeCell ref="W1:Y1"/>
    <mergeCell ref="S27:T27"/>
    <mergeCell ref="Q1:S1"/>
    <mergeCell ref="R31:S31"/>
    <mergeCell ref="AC1:AE1"/>
    <mergeCell ref="AR132:AV132"/>
    <mergeCell ref="AE10:AG10"/>
    <mergeCell ref="BB30:BF30"/>
    <mergeCell ref="BG1:BK1"/>
    <mergeCell ref="AR169:BJ169"/>
    <mergeCell ref="S21:Y21"/>
    <mergeCell ref="P23:Q23"/>
    <mergeCell ref="AF1:AH1"/>
    <mergeCell ref="B22:H22"/>
    <mergeCell ref="AQ30:AQ67"/>
    <mergeCell ref="W19:Y19"/>
    <mergeCell ref="W35:Z35"/>
    <mergeCell ref="BQ90:BU90"/>
    <mergeCell ref="E27:I27"/>
    <mergeCell ref="S36:T36"/>
    <mergeCell ref="Z19:AA19"/>
    <mergeCell ref="AR1:AV1"/>
    <mergeCell ref="AB33:AC33"/>
    <mergeCell ref="R34:T34"/>
  </mergeCells>
  <pageMargins left="0.7" right="0.7" top="0.75" bottom="0.75" header="0.3" footer="0.3"/>
  <pageSetup orientation="portrait"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Chloe B. P4-01</dc:creator>
  <dcterms:created xmlns:dcterms="http://purl.org/dc/terms/" xmlns:xsi="http://www.w3.org/2001/XMLSchema-instance" xsi:type="dcterms:W3CDTF">2025-07-15T19:16:56Z</dcterms:created>
  <dcterms:modified xmlns:dcterms="http://purl.org/dc/terms/" xmlns:xsi="http://www.w3.org/2001/XMLSchema-instance" xsi:type="dcterms:W3CDTF">2026-06-05T11:22:43Z</dcterms:modified>
  <cp:lastModifiedBy>Marcos Bulcao</cp:lastModifiedBy>
</cp:coreProperties>
</file>